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TVGCHD002\userprofiles$\HK1MASO\MyPersonalData\Desktop\"/>
    </mc:Choice>
  </mc:AlternateContent>
  <xr:revisionPtr revIDLastSave="0" documentId="13_ncr:1_{CD82B12E-5874-4F10-BF80-C7921FF191F7}" xr6:coauthVersionLast="41" xr6:coauthVersionMax="45" xr10:uidLastSave="{00000000-0000-0000-0000-000000000000}"/>
  <bookViews>
    <workbookView xWindow="-108" yWindow="-108" windowWidth="23256" windowHeight="12576" tabRatio="672" firstSheet="3" activeTab="7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Sheet3" sheetId="32" r:id="rId14"/>
    <sheet name="Team forecast" sheetId="18" r:id="rId15"/>
    <sheet name="Inputs --&gt;" sheetId="10" r:id="rId16"/>
    <sheet name="SOG" sheetId="28" r:id="rId17"/>
    <sheet name="Players" sheetId="2" r:id="rId18"/>
    <sheet name="Games" sheetId="17" r:id="rId19"/>
    <sheet name="Teams" sheetId="27" r:id="rId20"/>
    <sheet name="FuzzyLookup_AddIn_Undo_Sheet" sheetId="31" state="hidden" r:id="rId21"/>
    <sheet name="Euro Qual stats" sheetId="29" r:id="rId22"/>
    <sheet name="Translate table" sheetId="30" r:id="rId23"/>
    <sheet name="Lookup" sheetId="6" r:id="rId24"/>
  </sheets>
  <definedNames>
    <definedName name="_xlnm._FilterDatabase" localSheetId="21" hidden="1">'Euro Qual stats'!$A$1:$L$2071</definedName>
    <definedName name="_xlnm._FilterDatabase" localSheetId="18" hidden="1">Games!$A$1:$M$37</definedName>
    <definedName name="_xlnm._FilterDatabase" localSheetId="23" hidden="1">Lookup!$G$1:$J$611</definedName>
    <definedName name="_xlnm._FilterDatabase" localSheetId="12" hidden="1">'Master data'!$A$1:$CD$622</definedName>
    <definedName name="_xlnm._FilterDatabase" localSheetId="17" hidden="1">Players!$A$2:$BR$623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4" hidden="1">'Team forecast'!$B$1:$AQ$26</definedName>
    <definedName name="_xlnm._FilterDatabase" localSheetId="3" hidden="1">'Top 100'!$A$2:$K$102</definedName>
    <definedName name="_xlnm._FilterDatabase" localSheetId="22" hidden="1">'Translate table'!$A$2:$A$622</definedName>
    <definedName name="fullname">Players!$P$3:$P$623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5" i="24" l="1"/>
  <c r="F25" i="24"/>
  <c r="E25" i="24"/>
  <c r="G24" i="24"/>
  <c r="F24" i="24"/>
  <c r="E24" i="24"/>
  <c r="G23" i="24"/>
  <c r="F23" i="24"/>
  <c r="E23" i="24"/>
  <c r="G22" i="24"/>
  <c r="F22" i="24"/>
  <c r="E22" i="24"/>
  <c r="G21" i="24"/>
  <c r="F21" i="24"/>
  <c r="E21" i="24"/>
  <c r="G20" i="24"/>
  <c r="F20" i="24"/>
  <c r="E20" i="24"/>
  <c r="G19" i="24"/>
  <c r="F19" i="24"/>
  <c r="E19" i="24"/>
  <c r="G18" i="24"/>
  <c r="F18" i="24"/>
  <c r="E18" i="24"/>
  <c r="G17" i="24"/>
  <c r="F17" i="24"/>
  <c r="E17" i="24"/>
  <c r="G16" i="24"/>
  <c r="F16" i="24"/>
  <c r="E16" i="24"/>
  <c r="G15" i="24"/>
  <c r="F15" i="24"/>
  <c r="E15" i="24"/>
  <c r="G14" i="24"/>
  <c r="F14" i="24"/>
  <c r="E14" i="24"/>
  <c r="G13" i="24"/>
  <c r="F13" i="24"/>
  <c r="E13" i="24"/>
  <c r="G12" i="24"/>
  <c r="F12" i="24"/>
  <c r="E12" i="24"/>
  <c r="G11" i="24"/>
  <c r="F11" i="24"/>
  <c r="E11" i="24"/>
  <c r="G10" i="24"/>
  <c r="F10" i="24"/>
  <c r="E10" i="24"/>
  <c r="G9" i="24"/>
  <c r="F9" i="24"/>
  <c r="E9" i="24"/>
  <c r="G8" i="24"/>
  <c r="F8" i="24"/>
  <c r="E8" i="24"/>
  <c r="G7" i="24"/>
  <c r="F7" i="24"/>
  <c r="E7" i="24"/>
  <c r="G6" i="24"/>
  <c r="F6" i="24"/>
  <c r="E6" i="24"/>
  <c r="G5" i="24"/>
  <c r="F5" i="24"/>
  <c r="E5" i="24"/>
  <c r="G4" i="24"/>
  <c r="F4" i="24"/>
  <c r="E4" i="24"/>
  <c r="G3" i="24"/>
  <c r="F3" i="24"/>
  <c r="E3" i="24"/>
  <c r="G2" i="24"/>
  <c r="F2" i="24"/>
  <c r="E2" i="24"/>
  <c r="E3" i="26"/>
  <c r="F3" i="26"/>
  <c r="G3" i="26"/>
  <c r="E4" i="26"/>
  <c r="F4" i="26"/>
  <c r="G4" i="26"/>
  <c r="E5" i="26"/>
  <c r="F5" i="26"/>
  <c r="G5" i="26"/>
  <c r="E6" i="26"/>
  <c r="F6" i="26"/>
  <c r="G6" i="26"/>
  <c r="E7" i="26"/>
  <c r="F7" i="26"/>
  <c r="G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" i="26"/>
  <c r="G2" i="26"/>
  <c r="F2" i="26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2" i="14"/>
  <c r="BZ3" i="1"/>
  <c r="CA3" i="1"/>
  <c r="CB3" i="1"/>
  <c r="CC3" i="1"/>
  <c r="BZ4" i="1"/>
  <c r="CA4" i="1"/>
  <c r="CB4" i="1"/>
  <c r="CC4" i="1"/>
  <c r="BZ5" i="1"/>
  <c r="CA5" i="1"/>
  <c r="CB5" i="1"/>
  <c r="CC5" i="1"/>
  <c r="BZ6" i="1"/>
  <c r="CA6" i="1"/>
  <c r="CB6" i="1"/>
  <c r="CC6" i="1"/>
  <c r="BZ7" i="1"/>
  <c r="CA7" i="1"/>
  <c r="CB7" i="1"/>
  <c r="CC7" i="1"/>
  <c r="BZ8" i="1"/>
  <c r="CA8" i="1"/>
  <c r="CB8" i="1"/>
  <c r="CC8" i="1"/>
  <c r="BZ9" i="1"/>
  <c r="CA9" i="1"/>
  <c r="CB9" i="1"/>
  <c r="CC9" i="1"/>
  <c r="BZ10" i="1"/>
  <c r="CA10" i="1"/>
  <c r="CB10" i="1"/>
  <c r="CC10" i="1"/>
  <c r="BZ11" i="1"/>
  <c r="CA11" i="1"/>
  <c r="CB11" i="1"/>
  <c r="CC11" i="1"/>
  <c r="BZ12" i="1"/>
  <c r="CA12" i="1"/>
  <c r="CB12" i="1"/>
  <c r="CC12" i="1"/>
  <c r="BZ13" i="1"/>
  <c r="CA13" i="1"/>
  <c r="CB13" i="1"/>
  <c r="CC13" i="1"/>
  <c r="BZ14" i="1"/>
  <c r="CA14" i="1"/>
  <c r="CB14" i="1"/>
  <c r="CC14" i="1"/>
  <c r="BZ15" i="1"/>
  <c r="CA15" i="1"/>
  <c r="CB15" i="1"/>
  <c r="CC15" i="1"/>
  <c r="BZ16" i="1"/>
  <c r="CA16" i="1"/>
  <c r="CB16" i="1"/>
  <c r="CC16" i="1"/>
  <c r="BZ17" i="1"/>
  <c r="CA17" i="1"/>
  <c r="CB17" i="1"/>
  <c r="CC17" i="1"/>
  <c r="BZ18" i="1"/>
  <c r="CA18" i="1"/>
  <c r="CB18" i="1"/>
  <c r="CC18" i="1"/>
  <c r="BZ19" i="1"/>
  <c r="CA19" i="1"/>
  <c r="CB19" i="1"/>
  <c r="CC19" i="1"/>
  <c r="BZ20" i="1"/>
  <c r="CA20" i="1"/>
  <c r="CB20" i="1"/>
  <c r="CC20" i="1"/>
  <c r="BZ21" i="1"/>
  <c r="CA21" i="1"/>
  <c r="CB21" i="1"/>
  <c r="CC21" i="1"/>
  <c r="BZ22" i="1"/>
  <c r="CA22" i="1"/>
  <c r="CB22" i="1"/>
  <c r="CC22" i="1"/>
  <c r="BZ23" i="1"/>
  <c r="CA23" i="1"/>
  <c r="CB23" i="1"/>
  <c r="CC23" i="1"/>
  <c r="BZ24" i="1"/>
  <c r="CA24" i="1"/>
  <c r="CB24" i="1"/>
  <c r="CC24" i="1"/>
  <c r="BZ25" i="1"/>
  <c r="CA25" i="1"/>
  <c r="CB25" i="1"/>
  <c r="CC25" i="1"/>
  <c r="BZ26" i="1"/>
  <c r="CA26" i="1"/>
  <c r="CB26" i="1"/>
  <c r="CC26" i="1"/>
  <c r="BZ27" i="1"/>
  <c r="CA27" i="1"/>
  <c r="CB27" i="1"/>
  <c r="CC27" i="1"/>
  <c r="BZ28" i="1"/>
  <c r="CA28" i="1"/>
  <c r="CB28" i="1"/>
  <c r="CC28" i="1"/>
  <c r="BZ29" i="1"/>
  <c r="CA29" i="1"/>
  <c r="CB29" i="1"/>
  <c r="CC29" i="1"/>
  <c r="BZ30" i="1"/>
  <c r="CA30" i="1"/>
  <c r="CB30" i="1"/>
  <c r="CC30" i="1"/>
  <c r="BZ31" i="1"/>
  <c r="CA31" i="1"/>
  <c r="CB31" i="1"/>
  <c r="CC31" i="1"/>
  <c r="BZ32" i="1"/>
  <c r="CA32" i="1"/>
  <c r="CB32" i="1"/>
  <c r="CC32" i="1"/>
  <c r="BZ33" i="1"/>
  <c r="CA33" i="1"/>
  <c r="CB33" i="1"/>
  <c r="CC33" i="1"/>
  <c r="BZ34" i="1"/>
  <c r="CA34" i="1"/>
  <c r="CB34" i="1"/>
  <c r="CC34" i="1"/>
  <c r="BZ35" i="1"/>
  <c r="CA35" i="1"/>
  <c r="CB35" i="1"/>
  <c r="CC35" i="1"/>
  <c r="BZ36" i="1"/>
  <c r="CA36" i="1"/>
  <c r="CB36" i="1"/>
  <c r="CC36" i="1"/>
  <c r="BZ37" i="1"/>
  <c r="CA37" i="1"/>
  <c r="CB37" i="1"/>
  <c r="CC37" i="1"/>
  <c r="BZ38" i="1"/>
  <c r="CA38" i="1"/>
  <c r="CB38" i="1"/>
  <c r="CC38" i="1"/>
  <c r="BZ39" i="1"/>
  <c r="CA39" i="1"/>
  <c r="CB39" i="1"/>
  <c r="CC39" i="1"/>
  <c r="BZ40" i="1"/>
  <c r="CA40" i="1"/>
  <c r="CB40" i="1"/>
  <c r="CC40" i="1"/>
  <c r="BZ41" i="1"/>
  <c r="CA41" i="1"/>
  <c r="CB41" i="1"/>
  <c r="CC41" i="1"/>
  <c r="BZ42" i="1"/>
  <c r="CA42" i="1"/>
  <c r="CB42" i="1"/>
  <c r="CC42" i="1"/>
  <c r="BZ43" i="1"/>
  <c r="CA43" i="1"/>
  <c r="CB43" i="1"/>
  <c r="CC43" i="1"/>
  <c r="BZ44" i="1"/>
  <c r="CA44" i="1"/>
  <c r="CB44" i="1"/>
  <c r="CC44" i="1"/>
  <c r="BZ45" i="1"/>
  <c r="CA45" i="1"/>
  <c r="CB45" i="1"/>
  <c r="CC45" i="1"/>
  <c r="BZ46" i="1"/>
  <c r="CA46" i="1"/>
  <c r="CB46" i="1"/>
  <c r="CC46" i="1"/>
  <c r="BZ47" i="1"/>
  <c r="CA47" i="1"/>
  <c r="CB47" i="1"/>
  <c r="CC47" i="1"/>
  <c r="BZ48" i="1"/>
  <c r="CA48" i="1"/>
  <c r="CB48" i="1"/>
  <c r="CC48" i="1"/>
  <c r="BZ49" i="1"/>
  <c r="CA49" i="1"/>
  <c r="CB49" i="1"/>
  <c r="CC49" i="1"/>
  <c r="BZ50" i="1"/>
  <c r="CA50" i="1"/>
  <c r="CB50" i="1"/>
  <c r="CC50" i="1"/>
  <c r="BZ51" i="1"/>
  <c r="CA51" i="1"/>
  <c r="CB51" i="1"/>
  <c r="CC51" i="1"/>
  <c r="BZ52" i="1"/>
  <c r="CA52" i="1"/>
  <c r="CB52" i="1"/>
  <c r="CC52" i="1"/>
  <c r="BZ53" i="1"/>
  <c r="CA53" i="1"/>
  <c r="CB53" i="1"/>
  <c r="CC53" i="1"/>
  <c r="BZ54" i="1"/>
  <c r="CA54" i="1"/>
  <c r="CB54" i="1"/>
  <c r="CC54" i="1"/>
  <c r="BZ55" i="1"/>
  <c r="CA55" i="1"/>
  <c r="CB55" i="1"/>
  <c r="CC55" i="1"/>
  <c r="BZ56" i="1"/>
  <c r="CA56" i="1"/>
  <c r="CB56" i="1"/>
  <c r="CC56" i="1"/>
  <c r="BZ57" i="1"/>
  <c r="CA57" i="1"/>
  <c r="CB57" i="1"/>
  <c r="CC57" i="1"/>
  <c r="BZ58" i="1"/>
  <c r="CA58" i="1"/>
  <c r="CB58" i="1"/>
  <c r="CC58" i="1"/>
  <c r="BZ59" i="1"/>
  <c r="CA59" i="1"/>
  <c r="CB59" i="1"/>
  <c r="CC59" i="1"/>
  <c r="BZ60" i="1"/>
  <c r="CA60" i="1"/>
  <c r="CB60" i="1"/>
  <c r="CC60" i="1"/>
  <c r="BZ61" i="1"/>
  <c r="CA61" i="1"/>
  <c r="CB61" i="1"/>
  <c r="CC61" i="1"/>
  <c r="BZ62" i="1"/>
  <c r="CA62" i="1"/>
  <c r="CB62" i="1"/>
  <c r="CC62" i="1"/>
  <c r="BZ63" i="1"/>
  <c r="CA63" i="1"/>
  <c r="CB63" i="1"/>
  <c r="CC63" i="1"/>
  <c r="BZ64" i="1"/>
  <c r="CA64" i="1"/>
  <c r="CB64" i="1"/>
  <c r="CC64" i="1"/>
  <c r="BZ65" i="1"/>
  <c r="CA65" i="1"/>
  <c r="CB65" i="1"/>
  <c r="CC65" i="1"/>
  <c r="BZ66" i="1"/>
  <c r="CA66" i="1"/>
  <c r="CB66" i="1"/>
  <c r="CC66" i="1"/>
  <c r="BZ67" i="1"/>
  <c r="CA67" i="1"/>
  <c r="CB67" i="1"/>
  <c r="CC67" i="1"/>
  <c r="BZ68" i="1"/>
  <c r="CA68" i="1"/>
  <c r="CB68" i="1"/>
  <c r="CC68" i="1"/>
  <c r="BZ69" i="1"/>
  <c r="CA69" i="1"/>
  <c r="CB69" i="1"/>
  <c r="CC69" i="1"/>
  <c r="BZ70" i="1"/>
  <c r="CA70" i="1"/>
  <c r="CB70" i="1"/>
  <c r="CC70" i="1"/>
  <c r="BZ71" i="1"/>
  <c r="CA71" i="1"/>
  <c r="CB71" i="1"/>
  <c r="CC71" i="1"/>
  <c r="BZ72" i="1"/>
  <c r="CA72" i="1"/>
  <c r="CB72" i="1"/>
  <c r="CC72" i="1"/>
  <c r="BZ73" i="1"/>
  <c r="CA73" i="1"/>
  <c r="CB73" i="1"/>
  <c r="CC73" i="1"/>
  <c r="BZ74" i="1"/>
  <c r="CA74" i="1"/>
  <c r="CB74" i="1"/>
  <c r="CC74" i="1"/>
  <c r="BZ75" i="1"/>
  <c r="CA75" i="1"/>
  <c r="CB75" i="1"/>
  <c r="CC75" i="1"/>
  <c r="BZ76" i="1"/>
  <c r="CA76" i="1"/>
  <c r="CB76" i="1"/>
  <c r="CC76" i="1"/>
  <c r="BZ77" i="1"/>
  <c r="CA77" i="1"/>
  <c r="CB77" i="1"/>
  <c r="CC77" i="1"/>
  <c r="BZ78" i="1"/>
  <c r="CA78" i="1"/>
  <c r="CB78" i="1"/>
  <c r="CC78" i="1"/>
  <c r="BZ79" i="1"/>
  <c r="CA79" i="1"/>
  <c r="CB79" i="1"/>
  <c r="CC79" i="1"/>
  <c r="BZ80" i="1"/>
  <c r="CA80" i="1"/>
  <c r="CB80" i="1"/>
  <c r="CC80" i="1"/>
  <c r="BZ81" i="1"/>
  <c r="CA81" i="1"/>
  <c r="CB81" i="1"/>
  <c r="CC81" i="1"/>
  <c r="BZ82" i="1"/>
  <c r="CA82" i="1"/>
  <c r="CB82" i="1"/>
  <c r="CC82" i="1"/>
  <c r="BZ83" i="1"/>
  <c r="CA83" i="1"/>
  <c r="CB83" i="1"/>
  <c r="CC83" i="1"/>
  <c r="BZ84" i="1"/>
  <c r="CA84" i="1"/>
  <c r="CB84" i="1"/>
  <c r="CC84" i="1"/>
  <c r="BZ85" i="1"/>
  <c r="CA85" i="1"/>
  <c r="CB85" i="1"/>
  <c r="CC85" i="1"/>
  <c r="BZ86" i="1"/>
  <c r="CA86" i="1"/>
  <c r="CB86" i="1"/>
  <c r="CC86" i="1"/>
  <c r="BZ87" i="1"/>
  <c r="CA87" i="1"/>
  <c r="CB87" i="1"/>
  <c r="CC87" i="1"/>
  <c r="BZ88" i="1"/>
  <c r="CA88" i="1"/>
  <c r="CB88" i="1"/>
  <c r="CC88" i="1"/>
  <c r="BZ89" i="1"/>
  <c r="CA89" i="1"/>
  <c r="CB89" i="1"/>
  <c r="CC89" i="1"/>
  <c r="BZ90" i="1"/>
  <c r="CA90" i="1"/>
  <c r="CB90" i="1"/>
  <c r="CC90" i="1"/>
  <c r="BZ91" i="1"/>
  <c r="CA91" i="1"/>
  <c r="CB91" i="1"/>
  <c r="CC91" i="1"/>
  <c r="BZ92" i="1"/>
  <c r="CA92" i="1"/>
  <c r="CB92" i="1"/>
  <c r="CC92" i="1"/>
  <c r="BZ93" i="1"/>
  <c r="CA93" i="1"/>
  <c r="CB93" i="1"/>
  <c r="CC93" i="1"/>
  <c r="BZ94" i="1"/>
  <c r="CA94" i="1"/>
  <c r="CB94" i="1"/>
  <c r="CC94" i="1"/>
  <c r="BZ95" i="1"/>
  <c r="CA95" i="1"/>
  <c r="CB95" i="1"/>
  <c r="CC95" i="1"/>
  <c r="BZ96" i="1"/>
  <c r="CA96" i="1"/>
  <c r="CB96" i="1"/>
  <c r="CC96" i="1"/>
  <c r="BZ97" i="1"/>
  <c r="CA97" i="1"/>
  <c r="CB97" i="1"/>
  <c r="CC97" i="1"/>
  <c r="BZ98" i="1"/>
  <c r="CA98" i="1"/>
  <c r="CB98" i="1"/>
  <c r="CC98" i="1"/>
  <c r="BZ99" i="1"/>
  <c r="CA99" i="1"/>
  <c r="CB99" i="1"/>
  <c r="CC99" i="1"/>
  <c r="BZ100" i="1"/>
  <c r="CA100" i="1"/>
  <c r="CB100" i="1"/>
  <c r="CC100" i="1"/>
  <c r="BZ101" i="1"/>
  <c r="CA101" i="1"/>
  <c r="CB101" i="1"/>
  <c r="CC101" i="1"/>
  <c r="BZ102" i="1"/>
  <c r="CA102" i="1"/>
  <c r="CB102" i="1"/>
  <c r="CC102" i="1"/>
  <c r="BZ103" i="1"/>
  <c r="CA103" i="1"/>
  <c r="CB103" i="1"/>
  <c r="CC103" i="1"/>
  <c r="BZ104" i="1"/>
  <c r="CA104" i="1"/>
  <c r="CB104" i="1"/>
  <c r="CC104" i="1"/>
  <c r="BZ105" i="1"/>
  <c r="CA105" i="1"/>
  <c r="CB105" i="1"/>
  <c r="CC105" i="1"/>
  <c r="BZ106" i="1"/>
  <c r="CA106" i="1"/>
  <c r="CB106" i="1"/>
  <c r="CC106" i="1"/>
  <c r="BZ107" i="1"/>
  <c r="CA107" i="1"/>
  <c r="CB107" i="1"/>
  <c r="CC107" i="1"/>
  <c r="BZ108" i="1"/>
  <c r="CA108" i="1"/>
  <c r="CB108" i="1"/>
  <c r="CC108" i="1"/>
  <c r="BZ109" i="1"/>
  <c r="CA109" i="1"/>
  <c r="CB109" i="1"/>
  <c r="CC109" i="1"/>
  <c r="BZ110" i="1"/>
  <c r="CA110" i="1"/>
  <c r="CB110" i="1"/>
  <c r="CC110" i="1"/>
  <c r="BZ111" i="1"/>
  <c r="CA111" i="1"/>
  <c r="CB111" i="1"/>
  <c r="CC111" i="1"/>
  <c r="BZ112" i="1"/>
  <c r="CA112" i="1"/>
  <c r="CB112" i="1"/>
  <c r="CC112" i="1"/>
  <c r="BZ113" i="1"/>
  <c r="CA113" i="1"/>
  <c r="CB113" i="1"/>
  <c r="CC113" i="1"/>
  <c r="BZ114" i="1"/>
  <c r="CA114" i="1"/>
  <c r="CB114" i="1"/>
  <c r="CC114" i="1"/>
  <c r="BZ115" i="1"/>
  <c r="CA115" i="1"/>
  <c r="CB115" i="1"/>
  <c r="CC115" i="1"/>
  <c r="BZ116" i="1"/>
  <c r="CA116" i="1"/>
  <c r="CB116" i="1"/>
  <c r="CC116" i="1"/>
  <c r="BZ117" i="1"/>
  <c r="CA117" i="1"/>
  <c r="CB117" i="1"/>
  <c r="CC117" i="1"/>
  <c r="BZ118" i="1"/>
  <c r="CA118" i="1"/>
  <c r="CB118" i="1"/>
  <c r="CC118" i="1"/>
  <c r="BZ119" i="1"/>
  <c r="CA119" i="1"/>
  <c r="CB119" i="1"/>
  <c r="CC119" i="1"/>
  <c r="BZ120" i="1"/>
  <c r="CA120" i="1"/>
  <c r="CB120" i="1"/>
  <c r="CC120" i="1"/>
  <c r="BZ121" i="1"/>
  <c r="CA121" i="1"/>
  <c r="CB121" i="1"/>
  <c r="CC121" i="1"/>
  <c r="BZ122" i="1"/>
  <c r="CA122" i="1"/>
  <c r="CB122" i="1"/>
  <c r="CC122" i="1"/>
  <c r="BZ123" i="1"/>
  <c r="CA123" i="1"/>
  <c r="CB123" i="1"/>
  <c r="CC123" i="1"/>
  <c r="BZ124" i="1"/>
  <c r="CA124" i="1"/>
  <c r="CB124" i="1"/>
  <c r="CC124" i="1"/>
  <c r="BZ125" i="1"/>
  <c r="CA125" i="1"/>
  <c r="CB125" i="1"/>
  <c r="CC125" i="1"/>
  <c r="BZ126" i="1"/>
  <c r="CA126" i="1"/>
  <c r="CB126" i="1"/>
  <c r="CC126" i="1"/>
  <c r="BZ127" i="1"/>
  <c r="CA127" i="1"/>
  <c r="CB127" i="1"/>
  <c r="CC127" i="1"/>
  <c r="BZ128" i="1"/>
  <c r="CA128" i="1"/>
  <c r="CB128" i="1"/>
  <c r="CC128" i="1"/>
  <c r="BZ129" i="1"/>
  <c r="CA129" i="1"/>
  <c r="CB129" i="1"/>
  <c r="CC129" i="1"/>
  <c r="BZ130" i="1"/>
  <c r="CA130" i="1"/>
  <c r="CB130" i="1"/>
  <c r="CC130" i="1"/>
  <c r="BZ131" i="1"/>
  <c r="CA131" i="1"/>
  <c r="CB131" i="1"/>
  <c r="CC131" i="1"/>
  <c r="BZ132" i="1"/>
  <c r="CA132" i="1"/>
  <c r="CB132" i="1"/>
  <c r="CC132" i="1"/>
  <c r="BZ133" i="1"/>
  <c r="CA133" i="1"/>
  <c r="CB133" i="1"/>
  <c r="CC133" i="1"/>
  <c r="BZ134" i="1"/>
  <c r="CA134" i="1"/>
  <c r="CB134" i="1"/>
  <c r="CC134" i="1"/>
  <c r="BZ135" i="1"/>
  <c r="CA135" i="1"/>
  <c r="CB135" i="1"/>
  <c r="CC135" i="1"/>
  <c r="BZ136" i="1"/>
  <c r="CA136" i="1"/>
  <c r="CB136" i="1"/>
  <c r="CC136" i="1"/>
  <c r="BZ137" i="1"/>
  <c r="CA137" i="1"/>
  <c r="CB137" i="1"/>
  <c r="CC137" i="1"/>
  <c r="BZ138" i="1"/>
  <c r="CA138" i="1"/>
  <c r="CB138" i="1"/>
  <c r="CC138" i="1"/>
  <c r="BZ139" i="1"/>
  <c r="CA139" i="1"/>
  <c r="CB139" i="1"/>
  <c r="CC139" i="1"/>
  <c r="BZ140" i="1"/>
  <c r="CA140" i="1"/>
  <c r="CB140" i="1"/>
  <c r="CC140" i="1"/>
  <c r="BZ141" i="1"/>
  <c r="CA141" i="1"/>
  <c r="CB141" i="1"/>
  <c r="CC141" i="1"/>
  <c r="BZ142" i="1"/>
  <c r="CA142" i="1"/>
  <c r="CB142" i="1"/>
  <c r="CC142" i="1"/>
  <c r="BZ143" i="1"/>
  <c r="CA143" i="1"/>
  <c r="CB143" i="1"/>
  <c r="CC143" i="1"/>
  <c r="BZ144" i="1"/>
  <c r="CA144" i="1"/>
  <c r="CB144" i="1"/>
  <c r="CC144" i="1"/>
  <c r="BZ145" i="1"/>
  <c r="CA145" i="1"/>
  <c r="CB145" i="1"/>
  <c r="CC145" i="1"/>
  <c r="BZ146" i="1"/>
  <c r="CA146" i="1"/>
  <c r="CB146" i="1"/>
  <c r="CC146" i="1"/>
  <c r="BZ147" i="1"/>
  <c r="CA147" i="1"/>
  <c r="CB147" i="1"/>
  <c r="CC147" i="1"/>
  <c r="BZ148" i="1"/>
  <c r="CA148" i="1"/>
  <c r="CB148" i="1"/>
  <c r="CC148" i="1"/>
  <c r="BZ149" i="1"/>
  <c r="CA149" i="1"/>
  <c r="CB149" i="1"/>
  <c r="CC149" i="1"/>
  <c r="BZ150" i="1"/>
  <c r="CA150" i="1"/>
  <c r="CB150" i="1"/>
  <c r="CC150" i="1"/>
  <c r="BZ151" i="1"/>
  <c r="CA151" i="1"/>
  <c r="CB151" i="1"/>
  <c r="CC151" i="1"/>
  <c r="BZ152" i="1"/>
  <c r="CA152" i="1"/>
  <c r="CB152" i="1"/>
  <c r="CC152" i="1"/>
  <c r="BZ153" i="1"/>
  <c r="CA153" i="1"/>
  <c r="CB153" i="1"/>
  <c r="CC153" i="1"/>
  <c r="BZ154" i="1"/>
  <c r="CA154" i="1"/>
  <c r="CB154" i="1"/>
  <c r="CC154" i="1"/>
  <c r="BZ155" i="1"/>
  <c r="CA155" i="1"/>
  <c r="CB155" i="1"/>
  <c r="CC155" i="1"/>
  <c r="BZ156" i="1"/>
  <c r="CA156" i="1"/>
  <c r="CB156" i="1"/>
  <c r="CC156" i="1"/>
  <c r="BZ157" i="1"/>
  <c r="CA157" i="1"/>
  <c r="CB157" i="1"/>
  <c r="CC157" i="1"/>
  <c r="BZ158" i="1"/>
  <c r="CA158" i="1"/>
  <c r="CB158" i="1"/>
  <c r="CC158" i="1"/>
  <c r="BZ159" i="1"/>
  <c r="CA159" i="1"/>
  <c r="CB159" i="1"/>
  <c r="CC159" i="1"/>
  <c r="BZ160" i="1"/>
  <c r="CA160" i="1"/>
  <c r="CB160" i="1"/>
  <c r="CC160" i="1"/>
  <c r="BZ161" i="1"/>
  <c r="CA161" i="1"/>
  <c r="CB161" i="1"/>
  <c r="CC161" i="1"/>
  <c r="BZ162" i="1"/>
  <c r="CA162" i="1"/>
  <c r="CB162" i="1"/>
  <c r="CC162" i="1"/>
  <c r="BZ163" i="1"/>
  <c r="CA163" i="1"/>
  <c r="CB163" i="1"/>
  <c r="CC163" i="1"/>
  <c r="BZ164" i="1"/>
  <c r="CA164" i="1"/>
  <c r="CB164" i="1"/>
  <c r="CC164" i="1"/>
  <c r="BZ165" i="1"/>
  <c r="CA165" i="1"/>
  <c r="CB165" i="1"/>
  <c r="CC165" i="1"/>
  <c r="BZ166" i="1"/>
  <c r="CA166" i="1"/>
  <c r="CB166" i="1"/>
  <c r="CC166" i="1"/>
  <c r="BZ167" i="1"/>
  <c r="CA167" i="1"/>
  <c r="CB167" i="1"/>
  <c r="CC167" i="1"/>
  <c r="BZ168" i="1"/>
  <c r="CA168" i="1"/>
  <c r="CB168" i="1"/>
  <c r="CC168" i="1"/>
  <c r="BZ169" i="1"/>
  <c r="CA169" i="1"/>
  <c r="CB169" i="1"/>
  <c r="CC169" i="1"/>
  <c r="BZ170" i="1"/>
  <c r="CA170" i="1"/>
  <c r="CB170" i="1"/>
  <c r="CC170" i="1"/>
  <c r="BZ171" i="1"/>
  <c r="CA171" i="1"/>
  <c r="CB171" i="1"/>
  <c r="CC171" i="1"/>
  <c r="BZ172" i="1"/>
  <c r="CA172" i="1"/>
  <c r="CB172" i="1"/>
  <c r="CC172" i="1"/>
  <c r="BZ173" i="1"/>
  <c r="CA173" i="1"/>
  <c r="CB173" i="1"/>
  <c r="CC173" i="1"/>
  <c r="BZ174" i="1"/>
  <c r="CA174" i="1"/>
  <c r="CB174" i="1"/>
  <c r="CC174" i="1"/>
  <c r="BZ175" i="1"/>
  <c r="CA175" i="1"/>
  <c r="CB175" i="1"/>
  <c r="CC175" i="1"/>
  <c r="BZ176" i="1"/>
  <c r="CA176" i="1"/>
  <c r="CB176" i="1"/>
  <c r="CC176" i="1"/>
  <c r="BZ177" i="1"/>
  <c r="CA177" i="1"/>
  <c r="CB177" i="1"/>
  <c r="CC177" i="1"/>
  <c r="BZ178" i="1"/>
  <c r="CA178" i="1"/>
  <c r="CB178" i="1"/>
  <c r="CC178" i="1"/>
  <c r="BZ179" i="1"/>
  <c r="CA179" i="1"/>
  <c r="CB179" i="1"/>
  <c r="CC179" i="1"/>
  <c r="BZ180" i="1"/>
  <c r="CA180" i="1"/>
  <c r="CB180" i="1"/>
  <c r="CC180" i="1"/>
  <c r="BZ181" i="1"/>
  <c r="CA181" i="1"/>
  <c r="CB181" i="1"/>
  <c r="CC181" i="1"/>
  <c r="BZ182" i="1"/>
  <c r="CA182" i="1"/>
  <c r="CB182" i="1"/>
  <c r="CC182" i="1"/>
  <c r="BZ183" i="1"/>
  <c r="CA183" i="1"/>
  <c r="CB183" i="1"/>
  <c r="CC183" i="1"/>
  <c r="BZ184" i="1"/>
  <c r="CA184" i="1"/>
  <c r="CB184" i="1"/>
  <c r="CC184" i="1"/>
  <c r="BZ185" i="1"/>
  <c r="CA185" i="1"/>
  <c r="CB185" i="1"/>
  <c r="CC185" i="1"/>
  <c r="BZ186" i="1"/>
  <c r="CA186" i="1"/>
  <c r="CB186" i="1"/>
  <c r="CC186" i="1"/>
  <c r="BZ187" i="1"/>
  <c r="CA187" i="1"/>
  <c r="CB187" i="1"/>
  <c r="CC187" i="1"/>
  <c r="BZ188" i="1"/>
  <c r="CA188" i="1"/>
  <c r="CB188" i="1"/>
  <c r="CC188" i="1"/>
  <c r="BZ189" i="1"/>
  <c r="CA189" i="1"/>
  <c r="CB189" i="1"/>
  <c r="CC189" i="1"/>
  <c r="BZ190" i="1"/>
  <c r="CA190" i="1"/>
  <c r="CB190" i="1"/>
  <c r="CC190" i="1"/>
  <c r="BZ191" i="1"/>
  <c r="CA191" i="1"/>
  <c r="CB191" i="1"/>
  <c r="CC191" i="1"/>
  <c r="BZ192" i="1"/>
  <c r="CA192" i="1"/>
  <c r="CB192" i="1"/>
  <c r="CC192" i="1"/>
  <c r="BZ193" i="1"/>
  <c r="CA193" i="1"/>
  <c r="CB193" i="1"/>
  <c r="CC193" i="1"/>
  <c r="BZ194" i="1"/>
  <c r="CA194" i="1"/>
  <c r="CB194" i="1"/>
  <c r="CC194" i="1"/>
  <c r="BZ195" i="1"/>
  <c r="CA195" i="1"/>
  <c r="CB195" i="1"/>
  <c r="CC195" i="1"/>
  <c r="BZ196" i="1"/>
  <c r="CA196" i="1"/>
  <c r="CB196" i="1"/>
  <c r="CC196" i="1"/>
  <c r="BZ197" i="1"/>
  <c r="CA197" i="1"/>
  <c r="CB197" i="1"/>
  <c r="CC197" i="1"/>
  <c r="BZ198" i="1"/>
  <c r="CA198" i="1"/>
  <c r="CB198" i="1"/>
  <c r="CC198" i="1"/>
  <c r="BZ199" i="1"/>
  <c r="CA199" i="1"/>
  <c r="CB199" i="1"/>
  <c r="CC199" i="1"/>
  <c r="BZ200" i="1"/>
  <c r="CA200" i="1"/>
  <c r="CB200" i="1"/>
  <c r="CC200" i="1"/>
  <c r="BZ201" i="1"/>
  <c r="CA201" i="1"/>
  <c r="CB201" i="1"/>
  <c r="CC201" i="1"/>
  <c r="BZ202" i="1"/>
  <c r="CA202" i="1"/>
  <c r="CB202" i="1"/>
  <c r="CC202" i="1"/>
  <c r="BZ203" i="1"/>
  <c r="CA203" i="1"/>
  <c r="CB203" i="1"/>
  <c r="CC203" i="1"/>
  <c r="BZ204" i="1"/>
  <c r="CA204" i="1"/>
  <c r="CB204" i="1"/>
  <c r="CC204" i="1"/>
  <c r="BZ205" i="1"/>
  <c r="CA205" i="1"/>
  <c r="CB205" i="1"/>
  <c r="CC205" i="1"/>
  <c r="BZ206" i="1"/>
  <c r="CA206" i="1"/>
  <c r="CB206" i="1"/>
  <c r="CC206" i="1"/>
  <c r="BZ207" i="1"/>
  <c r="CA207" i="1"/>
  <c r="CB207" i="1"/>
  <c r="CC207" i="1"/>
  <c r="BZ208" i="1"/>
  <c r="CA208" i="1"/>
  <c r="CB208" i="1"/>
  <c r="CC208" i="1"/>
  <c r="BZ209" i="1"/>
  <c r="CA209" i="1"/>
  <c r="CB209" i="1"/>
  <c r="CC209" i="1"/>
  <c r="BZ210" i="1"/>
  <c r="CA210" i="1"/>
  <c r="CB210" i="1"/>
  <c r="CC210" i="1"/>
  <c r="BZ211" i="1"/>
  <c r="CA211" i="1"/>
  <c r="CB211" i="1"/>
  <c r="CC211" i="1"/>
  <c r="BZ212" i="1"/>
  <c r="CA212" i="1"/>
  <c r="CB212" i="1"/>
  <c r="CC212" i="1"/>
  <c r="BZ213" i="1"/>
  <c r="CA213" i="1"/>
  <c r="CB213" i="1"/>
  <c r="CC213" i="1"/>
  <c r="BZ214" i="1"/>
  <c r="CA214" i="1"/>
  <c r="CB214" i="1"/>
  <c r="CC214" i="1"/>
  <c r="BZ215" i="1"/>
  <c r="CA215" i="1"/>
  <c r="CB215" i="1"/>
  <c r="CC215" i="1"/>
  <c r="BZ216" i="1"/>
  <c r="CA216" i="1"/>
  <c r="CB216" i="1"/>
  <c r="CC216" i="1"/>
  <c r="BZ217" i="1"/>
  <c r="CA217" i="1"/>
  <c r="CB217" i="1"/>
  <c r="CC217" i="1"/>
  <c r="BZ218" i="1"/>
  <c r="CA218" i="1"/>
  <c r="CB218" i="1"/>
  <c r="CC218" i="1"/>
  <c r="BZ219" i="1"/>
  <c r="CA219" i="1"/>
  <c r="CB219" i="1"/>
  <c r="CC219" i="1"/>
  <c r="BZ220" i="1"/>
  <c r="CA220" i="1"/>
  <c r="CB220" i="1"/>
  <c r="CC220" i="1"/>
  <c r="BZ221" i="1"/>
  <c r="CA221" i="1"/>
  <c r="CB221" i="1"/>
  <c r="CC221" i="1"/>
  <c r="BZ222" i="1"/>
  <c r="CA222" i="1"/>
  <c r="CB222" i="1"/>
  <c r="CC222" i="1"/>
  <c r="BZ223" i="1"/>
  <c r="CA223" i="1"/>
  <c r="CB223" i="1"/>
  <c r="CC223" i="1"/>
  <c r="BZ224" i="1"/>
  <c r="CA224" i="1"/>
  <c r="CB224" i="1"/>
  <c r="CC224" i="1"/>
  <c r="BZ225" i="1"/>
  <c r="CA225" i="1"/>
  <c r="CB225" i="1"/>
  <c r="CC225" i="1"/>
  <c r="BZ226" i="1"/>
  <c r="CA226" i="1"/>
  <c r="CB226" i="1"/>
  <c r="CC226" i="1"/>
  <c r="BZ227" i="1"/>
  <c r="CA227" i="1"/>
  <c r="CB227" i="1"/>
  <c r="CC227" i="1"/>
  <c r="BZ228" i="1"/>
  <c r="CA228" i="1"/>
  <c r="CB228" i="1"/>
  <c r="CC228" i="1"/>
  <c r="BZ229" i="1"/>
  <c r="CA229" i="1"/>
  <c r="CB229" i="1"/>
  <c r="CC229" i="1"/>
  <c r="BZ230" i="1"/>
  <c r="CA230" i="1"/>
  <c r="CB230" i="1"/>
  <c r="CC230" i="1"/>
  <c r="BZ231" i="1"/>
  <c r="CA231" i="1"/>
  <c r="CB231" i="1"/>
  <c r="CC231" i="1"/>
  <c r="BZ232" i="1"/>
  <c r="CA232" i="1"/>
  <c r="CB232" i="1"/>
  <c r="CC232" i="1"/>
  <c r="BZ233" i="1"/>
  <c r="CA233" i="1"/>
  <c r="CB233" i="1"/>
  <c r="CC233" i="1"/>
  <c r="BZ234" i="1"/>
  <c r="CA234" i="1"/>
  <c r="CB234" i="1"/>
  <c r="CC234" i="1"/>
  <c r="BZ235" i="1"/>
  <c r="CA235" i="1"/>
  <c r="CB235" i="1"/>
  <c r="CC235" i="1"/>
  <c r="BZ236" i="1"/>
  <c r="CA236" i="1"/>
  <c r="CB236" i="1"/>
  <c r="CC236" i="1"/>
  <c r="BZ237" i="1"/>
  <c r="CA237" i="1"/>
  <c r="CB237" i="1"/>
  <c r="CC237" i="1"/>
  <c r="BZ238" i="1"/>
  <c r="CA238" i="1"/>
  <c r="CB238" i="1"/>
  <c r="CC238" i="1"/>
  <c r="BZ239" i="1"/>
  <c r="CA239" i="1"/>
  <c r="CB239" i="1"/>
  <c r="CC239" i="1"/>
  <c r="BZ240" i="1"/>
  <c r="CA240" i="1"/>
  <c r="CB240" i="1"/>
  <c r="CC240" i="1"/>
  <c r="BZ241" i="1"/>
  <c r="CA241" i="1"/>
  <c r="CB241" i="1"/>
  <c r="CC241" i="1"/>
  <c r="BZ242" i="1"/>
  <c r="CA242" i="1"/>
  <c r="CB242" i="1"/>
  <c r="CC242" i="1"/>
  <c r="BZ243" i="1"/>
  <c r="CA243" i="1"/>
  <c r="CB243" i="1"/>
  <c r="CC243" i="1"/>
  <c r="BZ244" i="1"/>
  <c r="CA244" i="1"/>
  <c r="CB244" i="1"/>
  <c r="CC244" i="1"/>
  <c r="BZ245" i="1"/>
  <c r="CA245" i="1"/>
  <c r="CB245" i="1"/>
  <c r="CC245" i="1"/>
  <c r="BZ246" i="1"/>
  <c r="CA246" i="1"/>
  <c r="CB246" i="1"/>
  <c r="CC246" i="1"/>
  <c r="BZ247" i="1"/>
  <c r="CA247" i="1"/>
  <c r="CB247" i="1"/>
  <c r="CC247" i="1"/>
  <c r="BZ248" i="1"/>
  <c r="CA248" i="1"/>
  <c r="CB248" i="1"/>
  <c r="CC248" i="1"/>
  <c r="BZ249" i="1"/>
  <c r="CA249" i="1"/>
  <c r="CB249" i="1"/>
  <c r="CC249" i="1"/>
  <c r="BZ250" i="1"/>
  <c r="CA250" i="1"/>
  <c r="CB250" i="1"/>
  <c r="CC250" i="1"/>
  <c r="BZ251" i="1"/>
  <c r="CA251" i="1"/>
  <c r="CB251" i="1"/>
  <c r="CC251" i="1"/>
  <c r="BZ252" i="1"/>
  <c r="CA252" i="1"/>
  <c r="CB252" i="1"/>
  <c r="CC252" i="1"/>
  <c r="BZ253" i="1"/>
  <c r="CA253" i="1"/>
  <c r="CB253" i="1"/>
  <c r="CC253" i="1"/>
  <c r="BZ254" i="1"/>
  <c r="CA254" i="1"/>
  <c r="CB254" i="1"/>
  <c r="CC254" i="1"/>
  <c r="BZ255" i="1"/>
  <c r="CA255" i="1"/>
  <c r="CB255" i="1"/>
  <c r="CC255" i="1"/>
  <c r="BZ256" i="1"/>
  <c r="CA256" i="1"/>
  <c r="CB256" i="1"/>
  <c r="CC256" i="1"/>
  <c r="BZ257" i="1"/>
  <c r="CA257" i="1"/>
  <c r="CB257" i="1"/>
  <c r="CC257" i="1"/>
  <c r="BZ258" i="1"/>
  <c r="CA258" i="1"/>
  <c r="CB258" i="1"/>
  <c r="CC258" i="1"/>
  <c r="BZ259" i="1"/>
  <c r="CA259" i="1"/>
  <c r="CB259" i="1"/>
  <c r="CC259" i="1"/>
  <c r="BZ260" i="1"/>
  <c r="CA260" i="1"/>
  <c r="CB260" i="1"/>
  <c r="CC260" i="1"/>
  <c r="BZ261" i="1"/>
  <c r="CA261" i="1"/>
  <c r="CB261" i="1"/>
  <c r="CC261" i="1"/>
  <c r="BZ262" i="1"/>
  <c r="CA262" i="1"/>
  <c r="CB262" i="1"/>
  <c r="CC262" i="1"/>
  <c r="BZ263" i="1"/>
  <c r="CA263" i="1"/>
  <c r="CB263" i="1"/>
  <c r="CC263" i="1"/>
  <c r="BZ264" i="1"/>
  <c r="CA264" i="1"/>
  <c r="CB264" i="1"/>
  <c r="CC264" i="1"/>
  <c r="BZ265" i="1"/>
  <c r="CA265" i="1"/>
  <c r="CB265" i="1"/>
  <c r="CC265" i="1"/>
  <c r="BZ266" i="1"/>
  <c r="CA266" i="1"/>
  <c r="CB266" i="1"/>
  <c r="CC266" i="1"/>
  <c r="BZ267" i="1"/>
  <c r="CA267" i="1"/>
  <c r="CB267" i="1"/>
  <c r="CC267" i="1"/>
  <c r="BZ268" i="1"/>
  <c r="CA268" i="1"/>
  <c r="CB268" i="1"/>
  <c r="CC268" i="1"/>
  <c r="BZ269" i="1"/>
  <c r="CA269" i="1"/>
  <c r="CB269" i="1"/>
  <c r="CC269" i="1"/>
  <c r="BZ270" i="1"/>
  <c r="CA270" i="1"/>
  <c r="CB270" i="1"/>
  <c r="CC270" i="1"/>
  <c r="BZ271" i="1"/>
  <c r="CA271" i="1"/>
  <c r="CB271" i="1"/>
  <c r="CC271" i="1"/>
  <c r="BZ272" i="1"/>
  <c r="CA272" i="1"/>
  <c r="CB272" i="1"/>
  <c r="CC272" i="1"/>
  <c r="BZ273" i="1"/>
  <c r="CA273" i="1"/>
  <c r="CB273" i="1"/>
  <c r="CC273" i="1"/>
  <c r="BZ274" i="1"/>
  <c r="CA274" i="1"/>
  <c r="CB274" i="1"/>
  <c r="CC274" i="1"/>
  <c r="BZ275" i="1"/>
  <c r="CA275" i="1"/>
  <c r="CB275" i="1"/>
  <c r="CC275" i="1"/>
  <c r="BZ276" i="1"/>
  <c r="CA276" i="1"/>
  <c r="CB276" i="1"/>
  <c r="CC276" i="1"/>
  <c r="BZ277" i="1"/>
  <c r="CA277" i="1"/>
  <c r="CB277" i="1"/>
  <c r="CC277" i="1"/>
  <c r="BZ278" i="1"/>
  <c r="CA278" i="1"/>
  <c r="CB278" i="1"/>
  <c r="CC278" i="1"/>
  <c r="BZ279" i="1"/>
  <c r="CA279" i="1"/>
  <c r="CB279" i="1"/>
  <c r="CC279" i="1"/>
  <c r="BZ280" i="1"/>
  <c r="CA280" i="1"/>
  <c r="CB280" i="1"/>
  <c r="CC280" i="1"/>
  <c r="BZ281" i="1"/>
  <c r="CA281" i="1"/>
  <c r="CB281" i="1"/>
  <c r="CC281" i="1"/>
  <c r="BZ282" i="1"/>
  <c r="CA282" i="1"/>
  <c r="CB282" i="1"/>
  <c r="CC282" i="1"/>
  <c r="BZ283" i="1"/>
  <c r="CA283" i="1"/>
  <c r="CB283" i="1"/>
  <c r="CC283" i="1"/>
  <c r="BZ284" i="1"/>
  <c r="CA284" i="1"/>
  <c r="CB284" i="1"/>
  <c r="CC284" i="1"/>
  <c r="BZ285" i="1"/>
  <c r="CA285" i="1"/>
  <c r="CB285" i="1"/>
  <c r="CC285" i="1"/>
  <c r="BZ286" i="1"/>
  <c r="CA286" i="1"/>
  <c r="CB286" i="1"/>
  <c r="CC286" i="1"/>
  <c r="BZ287" i="1"/>
  <c r="CA287" i="1"/>
  <c r="CB287" i="1"/>
  <c r="CC287" i="1"/>
  <c r="BZ288" i="1"/>
  <c r="CA288" i="1"/>
  <c r="CB288" i="1"/>
  <c r="CC288" i="1"/>
  <c r="BZ289" i="1"/>
  <c r="CA289" i="1"/>
  <c r="CB289" i="1"/>
  <c r="CC289" i="1"/>
  <c r="BZ290" i="1"/>
  <c r="CA290" i="1"/>
  <c r="CB290" i="1"/>
  <c r="CC290" i="1"/>
  <c r="BZ291" i="1"/>
  <c r="CA291" i="1"/>
  <c r="CB291" i="1"/>
  <c r="CC291" i="1"/>
  <c r="BZ292" i="1"/>
  <c r="CA292" i="1"/>
  <c r="CB292" i="1"/>
  <c r="CC292" i="1"/>
  <c r="BZ293" i="1"/>
  <c r="CA293" i="1"/>
  <c r="CB293" i="1"/>
  <c r="CC293" i="1"/>
  <c r="BZ294" i="1"/>
  <c r="CA294" i="1"/>
  <c r="CB294" i="1"/>
  <c r="CC294" i="1"/>
  <c r="BZ295" i="1"/>
  <c r="CA295" i="1"/>
  <c r="CB295" i="1"/>
  <c r="CC295" i="1"/>
  <c r="BZ296" i="1"/>
  <c r="CA296" i="1"/>
  <c r="CB296" i="1"/>
  <c r="CC296" i="1"/>
  <c r="BZ297" i="1"/>
  <c r="CA297" i="1"/>
  <c r="CB297" i="1"/>
  <c r="CC297" i="1"/>
  <c r="BZ298" i="1"/>
  <c r="CA298" i="1"/>
  <c r="CB298" i="1"/>
  <c r="CC298" i="1"/>
  <c r="BZ299" i="1"/>
  <c r="CA299" i="1"/>
  <c r="CB299" i="1"/>
  <c r="CC299" i="1"/>
  <c r="BZ300" i="1"/>
  <c r="CA300" i="1"/>
  <c r="CB300" i="1"/>
  <c r="CC300" i="1"/>
  <c r="BZ301" i="1"/>
  <c r="CA301" i="1"/>
  <c r="CB301" i="1"/>
  <c r="CC301" i="1"/>
  <c r="BZ302" i="1"/>
  <c r="CA302" i="1"/>
  <c r="CB302" i="1"/>
  <c r="CC302" i="1"/>
  <c r="BZ303" i="1"/>
  <c r="CA303" i="1"/>
  <c r="CB303" i="1"/>
  <c r="CC303" i="1"/>
  <c r="BZ304" i="1"/>
  <c r="CA304" i="1"/>
  <c r="CB304" i="1"/>
  <c r="CC304" i="1"/>
  <c r="BZ305" i="1"/>
  <c r="CA305" i="1"/>
  <c r="CB305" i="1"/>
  <c r="CC305" i="1"/>
  <c r="BZ306" i="1"/>
  <c r="CA306" i="1"/>
  <c r="CB306" i="1"/>
  <c r="CC306" i="1"/>
  <c r="BZ307" i="1"/>
  <c r="CA307" i="1"/>
  <c r="CB307" i="1"/>
  <c r="CC307" i="1"/>
  <c r="BZ308" i="1"/>
  <c r="CA308" i="1"/>
  <c r="CB308" i="1"/>
  <c r="CC308" i="1"/>
  <c r="BZ309" i="1"/>
  <c r="CA309" i="1"/>
  <c r="CB309" i="1"/>
  <c r="CC309" i="1"/>
  <c r="BZ310" i="1"/>
  <c r="CA310" i="1"/>
  <c r="CB310" i="1"/>
  <c r="CC310" i="1"/>
  <c r="BZ311" i="1"/>
  <c r="CA311" i="1"/>
  <c r="CB311" i="1"/>
  <c r="CC311" i="1"/>
  <c r="BZ312" i="1"/>
  <c r="CA312" i="1"/>
  <c r="CB312" i="1"/>
  <c r="CC312" i="1"/>
  <c r="BZ313" i="1"/>
  <c r="CA313" i="1"/>
  <c r="CB313" i="1"/>
  <c r="CC313" i="1"/>
  <c r="BZ314" i="1"/>
  <c r="CA314" i="1"/>
  <c r="CB314" i="1"/>
  <c r="CC314" i="1"/>
  <c r="BZ315" i="1"/>
  <c r="CA315" i="1"/>
  <c r="CB315" i="1"/>
  <c r="CC315" i="1"/>
  <c r="BZ316" i="1"/>
  <c r="CA316" i="1"/>
  <c r="CB316" i="1"/>
  <c r="CC316" i="1"/>
  <c r="BZ317" i="1"/>
  <c r="CA317" i="1"/>
  <c r="CB317" i="1"/>
  <c r="CC317" i="1"/>
  <c r="BZ318" i="1"/>
  <c r="CA318" i="1"/>
  <c r="CB318" i="1"/>
  <c r="CC318" i="1"/>
  <c r="BZ319" i="1"/>
  <c r="CA319" i="1"/>
  <c r="CB319" i="1"/>
  <c r="CC319" i="1"/>
  <c r="BZ320" i="1"/>
  <c r="CA320" i="1"/>
  <c r="CB320" i="1"/>
  <c r="CC320" i="1"/>
  <c r="BZ321" i="1"/>
  <c r="CA321" i="1"/>
  <c r="CB321" i="1"/>
  <c r="CC321" i="1"/>
  <c r="BZ322" i="1"/>
  <c r="CA322" i="1"/>
  <c r="CB322" i="1"/>
  <c r="CC322" i="1"/>
  <c r="BZ323" i="1"/>
  <c r="CA323" i="1"/>
  <c r="CB323" i="1"/>
  <c r="CC323" i="1"/>
  <c r="BZ324" i="1"/>
  <c r="CA324" i="1"/>
  <c r="CB324" i="1"/>
  <c r="CC324" i="1"/>
  <c r="BZ325" i="1"/>
  <c r="CA325" i="1"/>
  <c r="CB325" i="1"/>
  <c r="CC325" i="1"/>
  <c r="BZ326" i="1"/>
  <c r="CA326" i="1"/>
  <c r="CB326" i="1"/>
  <c r="CC326" i="1"/>
  <c r="BZ327" i="1"/>
  <c r="CA327" i="1"/>
  <c r="CB327" i="1"/>
  <c r="CC327" i="1"/>
  <c r="BZ328" i="1"/>
  <c r="CA328" i="1"/>
  <c r="CB328" i="1"/>
  <c r="CC328" i="1"/>
  <c r="BZ329" i="1"/>
  <c r="CA329" i="1"/>
  <c r="CB329" i="1"/>
  <c r="CC329" i="1"/>
  <c r="BZ330" i="1"/>
  <c r="CA330" i="1"/>
  <c r="CB330" i="1"/>
  <c r="CC330" i="1"/>
  <c r="BZ331" i="1"/>
  <c r="CA331" i="1"/>
  <c r="CB331" i="1"/>
  <c r="CC331" i="1"/>
  <c r="BZ332" i="1"/>
  <c r="CA332" i="1"/>
  <c r="CB332" i="1"/>
  <c r="CC332" i="1"/>
  <c r="BZ333" i="1"/>
  <c r="CA333" i="1"/>
  <c r="CB333" i="1"/>
  <c r="CC333" i="1"/>
  <c r="BZ334" i="1"/>
  <c r="CA334" i="1"/>
  <c r="CB334" i="1"/>
  <c r="CC334" i="1"/>
  <c r="BZ335" i="1"/>
  <c r="CA335" i="1"/>
  <c r="CB335" i="1"/>
  <c r="CC335" i="1"/>
  <c r="BZ336" i="1"/>
  <c r="CA336" i="1"/>
  <c r="CB336" i="1"/>
  <c r="CC336" i="1"/>
  <c r="BZ337" i="1"/>
  <c r="CA337" i="1"/>
  <c r="CB337" i="1"/>
  <c r="CC337" i="1"/>
  <c r="BZ338" i="1"/>
  <c r="CA338" i="1"/>
  <c r="CB338" i="1"/>
  <c r="CC338" i="1"/>
  <c r="BZ339" i="1"/>
  <c r="CA339" i="1"/>
  <c r="CB339" i="1"/>
  <c r="CC339" i="1"/>
  <c r="BZ340" i="1"/>
  <c r="CA340" i="1"/>
  <c r="CB340" i="1"/>
  <c r="CC340" i="1"/>
  <c r="BZ341" i="1"/>
  <c r="CA341" i="1"/>
  <c r="CB341" i="1"/>
  <c r="CC341" i="1"/>
  <c r="BZ342" i="1"/>
  <c r="CA342" i="1"/>
  <c r="CB342" i="1"/>
  <c r="CC342" i="1"/>
  <c r="BZ343" i="1"/>
  <c r="CA343" i="1"/>
  <c r="CB343" i="1"/>
  <c r="CC343" i="1"/>
  <c r="BZ344" i="1"/>
  <c r="CA344" i="1"/>
  <c r="CB344" i="1"/>
  <c r="CC344" i="1"/>
  <c r="BZ345" i="1"/>
  <c r="CA345" i="1"/>
  <c r="CB345" i="1"/>
  <c r="CC345" i="1"/>
  <c r="BZ346" i="1"/>
  <c r="CA346" i="1"/>
  <c r="CB346" i="1"/>
  <c r="CC346" i="1"/>
  <c r="BZ347" i="1"/>
  <c r="CA347" i="1"/>
  <c r="CB347" i="1"/>
  <c r="CC347" i="1"/>
  <c r="BZ348" i="1"/>
  <c r="CA348" i="1"/>
  <c r="CB348" i="1"/>
  <c r="CC348" i="1"/>
  <c r="BZ349" i="1"/>
  <c r="CA349" i="1"/>
  <c r="CB349" i="1"/>
  <c r="CC349" i="1"/>
  <c r="BZ350" i="1"/>
  <c r="CA350" i="1"/>
  <c r="CB350" i="1"/>
  <c r="CC350" i="1"/>
  <c r="BZ351" i="1"/>
  <c r="CA351" i="1"/>
  <c r="CB351" i="1"/>
  <c r="CC351" i="1"/>
  <c r="BZ352" i="1"/>
  <c r="CA352" i="1"/>
  <c r="CB352" i="1"/>
  <c r="CC352" i="1"/>
  <c r="BZ353" i="1"/>
  <c r="CA353" i="1"/>
  <c r="CB353" i="1"/>
  <c r="CC353" i="1"/>
  <c r="BZ354" i="1"/>
  <c r="CA354" i="1"/>
  <c r="CB354" i="1"/>
  <c r="CC354" i="1"/>
  <c r="BZ355" i="1"/>
  <c r="CA355" i="1"/>
  <c r="CB355" i="1"/>
  <c r="CC355" i="1"/>
  <c r="BZ356" i="1"/>
  <c r="CA356" i="1"/>
  <c r="CB356" i="1"/>
  <c r="CC356" i="1"/>
  <c r="BZ357" i="1"/>
  <c r="CA357" i="1"/>
  <c r="CB357" i="1"/>
  <c r="CC357" i="1"/>
  <c r="BZ358" i="1"/>
  <c r="CA358" i="1"/>
  <c r="CB358" i="1"/>
  <c r="CC358" i="1"/>
  <c r="BZ359" i="1"/>
  <c r="CA359" i="1"/>
  <c r="CB359" i="1"/>
  <c r="CC359" i="1"/>
  <c r="BZ360" i="1"/>
  <c r="CA360" i="1"/>
  <c r="CB360" i="1"/>
  <c r="CC360" i="1"/>
  <c r="BZ361" i="1"/>
  <c r="CA361" i="1"/>
  <c r="CB361" i="1"/>
  <c r="CC361" i="1"/>
  <c r="BZ362" i="1"/>
  <c r="CA362" i="1"/>
  <c r="CB362" i="1"/>
  <c r="CC362" i="1"/>
  <c r="BZ363" i="1"/>
  <c r="CA363" i="1"/>
  <c r="CB363" i="1"/>
  <c r="CC363" i="1"/>
  <c r="BZ364" i="1"/>
  <c r="CA364" i="1"/>
  <c r="CB364" i="1"/>
  <c r="CC364" i="1"/>
  <c r="BZ365" i="1"/>
  <c r="CA365" i="1"/>
  <c r="CB365" i="1"/>
  <c r="CC365" i="1"/>
  <c r="BZ366" i="1"/>
  <c r="CA366" i="1"/>
  <c r="CB366" i="1"/>
  <c r="CC366" i="1"/>
  <c r="BZ367" i="1"/>
  <c r="CA367" i="1"/>
  <c r="CB367" i="1"/>
  <c r="CC367" i="1"/>
  <c r="BZ368" i="1"/>
  <c r="CA368" i="1"/>
  <c r="CB368" i="1"/>
  <c r="CC368" i="1"/>
  <c r="BZ369" i="1"/>
  <c r="CA369" i="1"/>
  <c r="CB369" i="1"/>
  <c r="CC369" i="1"/>
  <c r="BZ370" i="1"/>
  <c r="CA370" i="1"/>
  <c r="CB370" i="1"/>
  <c r="CC370" i="1"/>
  <c r="BZ371" i="1"/>
  <c r="CA371" i="1"/>
  <c r="CB371" i="1"/>
  <c r="CC371" i="1"/>
  <c r="BZ372" i="1"/>
  <c r="CA372" i="1"/>
  <c r="CB372" i="1"/>
  <c r="CC372" i="1"/>
  <c r="BZ373" i="1"/>
  <c r="CA373" i="1"/>
  <c r="CB373" i="1"/>
  <c r="CC373" i="1"/>
  <c r="BZ374" i="1"/>
  <c r="CA374" i="1"/>
  <c r="CB374" i="1"/>
  <c r="CC374" i="1"/>
  <c r="BZ375" i="1"/>
  <c r="CA375" i="1"/>
  <c r="CB375" i="1"/>
  <c r="CC375" i="1"/>
  <c r="BZ376" i="1"/>
  <c r="CA376" i="1"/>
  <c r="CB376" i="1"/>
  <c r="CC376" i="1"/>
  <c r="BZ377" i="1"/>
  <c r="CA377" i="1"/>
  <c r="CB377" i="1"/>
  <c r="CC377" i="1"/>
  <c r="BZ378" i="1"/>
  <c r="CA378" i="1"/>
  <c r="CB378" i="1"/>
  <c r="CC378" i="1"/>
  <c r="BZ379" i="1"/>
  <c r="CA379" i="1"/>
  <c r="CB379" i="1"/>
  <c r="CC379" i="1"/>
  <c r="BZ380" i="1"/>
  <c r="CA380" i="1"/>
  <c r="CB380" i="1"/>
  <c r="CC380" i="1"/>
  <c r="BZ381" i="1"/>
  <c r="CA381" i="1"/>
  <c r="CB381" i="1"/>
  <c r="CC381" i="1"/>
  <c r="BZ382" i="1"/>
  <c r="CA382" i="1"/>
  <c r="CB382" i="1"/>
  <c r="CC382" i="1"/>
  <c r="BZ383" i="1"/>
  <c r="CA383" i="1"/>
  <c r="CB383" i="1"/>
  <c r="CC383" i="1"/>
  <c r="BZ384" i="1"/>
  <c r="CA384" i="1"/>
  <c r="CB384" i="1"/>
  <c r="CC384" i="1"/>
  <c r="BZ385" i="1"/>
  <c r="CA385" i="1"/>
  <c r="CB385" i="1"/>
  <c r="CC385" i="1"/>
  <c r="BZ386" i="1"/>
  <c r="CA386" i="1"/>
  <c r="CB386" i="1"/>
  <c r="CC386" i="1"/>
  <c r="BZ387" i="1"/>
  <c r="CA387" i="1"/>
  <c r="CB387" i="1"/>
  <c r="CC387" i="1"/>
  <c r="BZ388" i="1"/>
  <c r="CA388" i="1"/>
  <c r="CB388" i="1"/>
  <c r="CC388" i="1"/>
  <c r="BZ389" i="1"/>
  <c r="CA389" i="1"/>
  <c r="CB389" i="1"/>
  <c r="CC389" i="1"/>
  <c r="BZ390" i="1"/>
  <c r="CA390" i="1"/>
  <c r="CB390" i="1"/>
  <c r="CC390" i="1"/>
  <c r="BZ391" i="1"/>
  <c r="CA391" i="1"/>
  <c r="CB391" i="1"/>
  <c r="CC391" i="1"/>
  <c r="BZ392" i="1"/>
  <c r="CA392" i="1"/>
  <c r="CB392" i="1"/>
  <c r="CC392" i="1"/>
  <c r="BZ393" i="1"/>
  <c r="CA393" i="1"/>
  <c r="CB393" i="1"/>
  <c r="CC393" i="1"/>
  <c r="BZ394" i="1"/>
  <c r="CA394" i="1"/>
  <c r="CB394" i="1"/>
  <c r="CC394" i="1"/>
  <c r="BZ395" i="1"/>
  <c r="CA395" i="1"/>
  <c r="CB395" i="1"/>
  <c r="CC395" i="1"/>
  <c r="BZ396" i="1"/>
  <c r="CA396" i="1"/>
  <c r="CB396" i="1"/>
  <c r="CC396" i="1"/>
  <c r="BZ397" i="1"/>
  <c r="CA397" i="1"/>
  <c r="CB397" i="1"/>
  <c r="CC397" i="1"/>
  <c r="BZ398" i="1"/>
  <c r="CA398" i="1"/>
  <c r="CB398" i="1"/>
  <c r="CC398" i="1"/>
  <c r="BZ399" i="1"/>
  <c r="CA399" i="1"/>
  <c r="CB399" i="1"/>
  <c r="CC399" i="1"/>
  <c r="BZ400" i="1"/>
  <c r="CA400" i="1"/>
  <c r="CB400" i="1"/>
  <c r="CC400" i="1"/>
  <c r="BZ401" i="1"/>
  <c r="CA401" i="1"/>
  <c r="CB401" i="1"/>
  <c r="CC401" i="1"/>
  <c r="BZ402" i="1"/>
  <c r="CA402" i="1"/>
  <c r="CB402" i="1"/>
  <c r="CC402" i="1"/>
  <c r="BZ403" i="1"/>
  <c r="CA403" i="1"/>
  <c r="CB403" i="1"/>
  <c r="CC403" i="1"/>
  <c r="BZ404" i="1"/>
  <c r="CA404" i="1"/>
  <c r="CB404" i="1"/>
  <c r="CC404" i="1"/>
  <c r="BZ405" i="1"/>
  <c r="CA405" i="1"/>
  <c r="CB405" i="1"/>
  <c r="CC405" i="1"/>
  <c r="BZ406" i="1"/>
  <c r="CA406" i="1"/>
  <c r="CB406" i="1"/>
  <c r="CC406" i="1"/>
  <c r="BZ407" i="1"/>
  <c r="CA407" i="1"/>
  <c r="CB407" i="1"/>
  <c r="CC407" i="1"/>
  <c r="BZ408" i="1"/>
  <c r="CA408" i="1"/>
  <c r="CB408" i="1"/>
  <c r="CC408" i="1"/>
  <c r="BZ409" i="1"/>
  <c r="CA409" i="1"/>
  <c r="CB409" i="1"/>
  <c r="CC409" i="1"/>
  <c r="BZ410" i="1"/>
  <c r="CA410" i="1"/>
  <c r="CB410" i="1"/>
  <c r="CC410" i="1"/>
  <c r="BZ411" i="1"/>
  <c r="CA411" i="1"/>
  <c r="CB411" i="1"/>
  <c r="CC411" i="1"/>
  <c r="BZ412" i="1"/>
  <c r="CA412" i="1"/>
  <c r="CB412" i="1"/>
  <c r="CC412" i="1"/>
  <c r="BZ413" i="1"/>
  <c r="CA413" i="1"/>
  <c r="CB413" i="1"/>
  <c r="CC413" i="1"/>
  <c r="BZ414" i="1"/>
  <c r="CA414" i="1"/>
  <c r="CB414" i="1"/>
  <c r="CC414" i="1"/>
  <c r="BZ415" i="1"/>
  <c r="CA415" i="1"/>
  <c r="CB415" i="1"/>
  <c r="CC415" i="1"/>
  <c r="BZ416" i="1"/>
  <c r="CA416" i="1"/>
  <c r="CB416" i="1"/>
  <c r="CC416" i="1"/>
  <c r="BZ417" i="1"/>
  <c r="CA417" i="1"/>
  <c r="CB417" i="1"/>
  <c r="CC417" i="1"/>
  <c r="BZ418" i="1"/>
  <c r="CA418" i="1"/>
  <c r="CB418" i="1"/>
  <c r="CC418" i="1"/>
  <c r="BZ419" i="1"/>
  <c r="CA419" i="1"/>
  <c r="CB419" i="1"/>
  <c r="CC419" i="1"/>
  <c r="BZ420" i="1"/>
  <c r="CA420" i="1"/>
  <c r="CB420" i="1"/>
  <c r="CC420" i="1"/>
  <c r="BZ421" i="1"/>
  <c r="CA421" i="1"/>
  <c r="CB421" i="1"/>
  <c r="CC421" i="1"/>
  <c r="BZ422" i="1"/>
  <c r="CA422" i="1"/>
  <c r="CB422" i="1"/>
  <c r="CC422" i="1"/>
  <c r="BZ423" i="1"/>
  <c r="CA423" i="1"/>
  <c r="CB423" i="1"/>
  <c r="CC423" i="1"/>
  <c r="BZ424" i="1"/>
  <c r="CA424" i="1"/>
  <c r="CB424" i="1"/>
  <c r="CC424" i="1"/>
  <c r="BZ425" i="1"/>
  <c r="CA425" i="1"/>
  <c r="CB425" i="1"/>
  <c r="CC425" i="1"/>
  <c r="BZ426" i="1"/>
  <c r="CA426" i="1"/>
  <c r="CB426" i="1"/>
  <c r="CC426" i="1"/>
  <c r="BZ427" i="1"/>
  <c r="CA427" i="1"/>
  <c r="CB427" i="1"/>
  <c r="CC427" i="1"/>
  <c r="BZ428" i="1"/>
  <c r="CA428" i="1"/>
  <c r="CB428" i="1"/>
  <c r="CC428" i="1"/>
  <c r="BZ429" i="1"/>
  <c r="CA429" i="1"/>
  <c r="CB429" i="1"/>
  <c r="CC429" i="1"/>
  <c r="BZ430" i="1"/>
  <c r="CA430" i="1"/>
  <c r="CB430" i="1"/>
  <c r="CC430" i="1"/>
  <c r="BZ431" i="1"/>
  <c r="CA431" i="1"/>
  <c r="CB431" i="1"/>
  <c r="CC431" i="1"/>
  <c r="BZ432" i="1"/>
  <c r="CA432" i="1"/>
  <c r="CB432" i="1"/>
  <c r="CC432" i="1"/>
  <c r="BZ433" i="1"/>
  <c r="CA433" i="1"/>
  <c r="CB433" i="1"/>
  <c r="CC433" i="1"/>
  <c r="BZ434" i="1"/>
  <c r="CA434" i="1"/>
  <c r="CB434" i="1"/>
  <c r="CC434" i="1"/>
  <c r="BZ435" i="1"/>
  <c r="CA435" i="1"/>
  <c r="CB435" i="1"/>
  <c r="CC435" i="1"/>
  <c r="BZ436" i="1"/>
  <c r="CA436" i="1"/>
  <c r="CB436" i="1"/>
  <c r="CC436" i="1"/>
  <c r="BZ437" i="1"/>
  <c r="CA437" i="1"/>
  <c r="CB437" i="1"/>
  <c r="CC437" i="1"/>
  <c r="BZ438" i="1"/>
  <c r="CA438" i="1"/>
  <c r="CB438" i="1"/>
  <c r="CC438" i="1"/>
  <c r="BZ439" i="1"/>
  <c r="CA439" i="1"/>
  <c r="CB439" i="1"/>
  <c r="CC439" i="1"/>
  <c r="BZ440" i="1"/>
  <c r="CA440" i="1"/>
  <c r="CB440" i="1"/>
  <c r="CC440" i="1"/>
  <c r="BZ441" i="1"/>
  <c r="CA441" i="1"/>
  <c r="CB441" i="1"/>
  <c r="CC441" i="1"/>
  <c r="BZ442" i="1"/>
  <c r="CA442" i="1"/>
  <c r="CB442" i="1"/>
  <c r="CC442" i="1"/>
  <c r="BZ443" i="1"/>
  <c r="CA443" i="1"/>
  <c r="CB443" i="1"/>
  <c r="CC443" i="1"/>
  <c r="BZ444" i="1"/>
  <c r="CA444" i="1"/>
  <c r="CB444" i="1"/>
  <c r="CC444" i="1"/>
  <c r="BZ445" i="1"/>
  <c r="CA445" i="1"/>
  <c r="CB445" i="1"/>
  <c r="CC445" i="1"/>
  <c r="BZ446" i="1"/>
  <c r="CA446" i="1"/>
  <c r="CB446" i="1"/>
  <c r="CC446" i="1"/>
  <c r="BZ447" i="1"/>
  <c r="CA447" i="1"/>
  <c r="CB447" i="1"/>
  <c r="CC447" i="1"/>
  <c r="BZ448" i="1"/>
  <c r="CA448" i="1"/>
  <c r="CB448" i="1"/>
  <c r="CC448" i="1"/>
  <c r="BZ449" i="1"/>
  <c r="CA449" i="1"/>
  <c r="CB449" i="1"/>
  <c r="CC449" i="1"/>
  <c r="BZ450" i="1"/>
  <c r="CA450" i="1"/>
  <c r="CB450" i="1"/>
  <c r="CC450" i="1"/>
  <c r="BZ451" i="1"/>
  <c r="CA451" i="1"/>
  <c r="CB451" i="1"/>
  <c r="CC451" i="1"/>
  <c r="BZ452" i="1"/>
  <c r="CA452" i="1"/>
  <c r="CB452" i="1"/>
  <c r="CC452" i="1"/>
  <c r="BZ453" i="1"/>
  <c r="CA453" i="1"/>
  <c r="CB453" i="1"/>
  <c r="CC453" i="1"/>
  <c r="BZ454" i="1"/>
  <c r="CA454" i="1"/>
  <c r="CB454" i="1"/>
  <c r="CC454" i="1"/>
  <c r="BZ455" i="1"/>
  <c r="CA455" i="1"/>
  <c r="CB455" i="1"/>
  <c r="CC455" i="1"/>
  <c r="BZ456" i="1"/>
  <c r="CA456" i="1"/>
  <c r="CB456" i="1"/>
  <c r="CC456" i="1"/>
  <c r="BZ457" i="1"/>
  <c r="CA457" i="1"/>
  <c r="CB457" i="1"/>
  <c r="CC457" i="1"/>
  <c r="BZ458" i="1"/>
  <c r="CA458" i="1"/>
  <c r="CB458" i="1"/>
  <c r="CC458" i="1"/>
  <c r="BZ459" i="1"/>
  <c r="CA459" i="1"/>
  <c r="CB459" i="1"/>
  <c r="CC459" i="1"/>
  <c r="BZ460" i="1"/>
  <c r="CA460" i="1"/>
  <c r="CB460" i="1"/>
  <c r="CC460" i="1"/>
  <c r="BZ461" i="1"/>
  <c r="CA461" i="1"/>
  <c r="CB461" i="1"/>
  <c r="CC461" i="1"/>
  <c r="BZ462" i="1"/>
  <c r="CA462" i="1"/>
  <c r="CB462" i="1"/>
  <c r="CC462" i="1"/>
  <c r="BZ463" i="1"/>
  <c r="CA463" i="1"/>
  <c r="CB463" i="1"/>
  <c r="CC463" i="1"/>
  <c r="BZ464" i="1"/>
  <c r="CA464" i="1"/>
  <c r="CB464" i="1"/>
  <c r="CC464" i="1"/>
  <c r="BZ465" i="1"/>
  <c r="CA465" i="1"/>
  <c r="CB465" i="1"/>
  <c r="CC465" i="1"/>
  <c r="BZ466" i="1"/>
  <c r="CA466" i="1"/>
  <c r="CB466" i="1"/>
  <c r="CC466" i="1"/>
  <c r="BZ467" i="1"/>
  <c r="CA467" i="1"/>
  <c r="CB467" i="1"/>
  <c r="CC467" i="1"/>
  <c r="BZ468" i="1"/>
  <c r="CA468" i="1"/>
  <c r="CB468" i="1"/>
  <c r="CC468" i="1"/>
  <c r="BZ469" i="1"/>
  <c r="CA469" i="1"/>
  <c r="CB469" i="1"/>
  <c r="CC469" i="1"/>
  <c r="BZ470" i="1"/>
  <c r="CA470" i="1"/>
  <c r="CB470" i="1"/>
  <c r="CC470" i="1"/>
  <c r="BZ471" i="1"/>
  <c r="CA471" i="1"/>
  <c r="CB471" i="1"/>
  <c r="CC471" i="1"/>
  <c r="BZ472" i="1"/>
  <c r="CA472" i="1"/>
  <c r="CB472" i="1"/>
  <c r="CC472" i="1"/>
  <c r="BZ473" i="1"/>
  <c r="CA473" i="1"/>
  <c r="CB473" i="1"/>
  <c r="CC473" i="1"/>
  <c r="BZ474" i="1"/>
  <c r="CA474" i="1"/>
  <c r="CB474" i="1"/>
  <c r="CC474" i="1"/>
  <c r="BZ475" i="1"/>
  <c r="CA475" i="1"/>
  <c r="CB475" i="1"/>
  <c r="CC475" i="1"/>
  <c r="BZ476" i="1"/>
  <c r="CA476" i="1"/>
  <c r="CB476" i="1"/>
  <c r="CC476" i="1"/>
  <c r="BZ477" i="1"/>
  <c r="CA477" i="1"/>
  <c r="CB477" i="1"/>
  <c r="CC477" i="1"/>
  <c r="BZ478" i="1"/>
  <c r="CA478" i="1"/>
  <c r="CB478" i="1"/>
  <c r="CC478" i="1"/>
  <c r="BZ479" i="1"/>
  <c r="CA479" i="1"/>
  <c r="CB479" i="1"/>
  <c r="CC479" i="1"/>
  <c r="BZ480" i="1"/>
  <c r="CA480" i="1"/>
  <c r="CB480" i="1"/>
  <c r="CC480" i="1"/>
  <c r="BZ481" i="1"/>
  <c r="CA481" i="1"/>
  <c r="CB481" i="1"/>
  <c r="CC481" i="1"/>
  <c r="BZ482" i="1"/>
  <c r="CA482" i="1"/>
  <c r="CB482" i="1"/>
  <c r="CC482" i="1"/>
  <c r="BZ483" i="1"/>
  <c r="CA483" i="1"/>
  <c r="CB483" i="1"/>
  <c r="CC483" i="1"/>
  <c r="BZ484" i="1"/>
  <c r="CA484" i="1"/>
  <c r="CB484" i="1"/>
  <c r="CC484" i="1"/>
  <c r="BZ485" i="1"/>
  <c r="CA485" i="1"/>
  <c r="CB485" i="1"/>
  <c r="CC485" i="1"/>
  <c r="BZ486" i="1"/>
  <c r="CA486" i="1"/>
  <c r="CB486" i="1"/>
  <c r="CC486" i="1"/>
  <c r="BZ487" i="1"/>
  <c r="CA487" i="1"/>
  <c r="CB487" i="1"/>
  <c r="CC487" i="1"/>
  <c r="BZ488" i="1"/>
  <c r="CA488" i="1"/>
  <c r="CB488" i="1"/>
  <c r="CC488" i="1"/>
  <c r="BZ489" i="1"/>
  <c r="CA489" i="1"/>
  <c r="CB489" i="1"/>
  <c r="CC489" i="1"/>
  <c r="BZ490" i="1"/>
  <c r="CA490" i="1"/>
  <c r="CB490" i="1"/>
  <c r="CC490" i="1"/>
  <c r="BZ491" i="1"/>
  <c r="CA491" i="1"/>
  <c r="CB491" i="1"/>
  <c r="CC491" i="1"/>
  <c r="BZ492" i="1"/>
  <c r="CA492" i="1"/>
  <c r="CB492" i="1"/>
  <c r="CC492" i="1"/>
  <c r="BZ493" i="1"/>
  <c r="CA493" i="1"/>
  <c r="CB493" i="1"/>
  <c r="CC493" i="1"/>
  <c r="BZ494" i="1"/>
  <c r="CA494" i="1"/>
  <c r="CB494" i="1"/>
  <c r="CC494" i="1"/>
  <c r="BZ495" i="1"/>
  <c r="CA495" i="1"/>
  <c r="CB495" i="1"/>
  <c r="CC495" i="1"/>
  <c r="BZ496" i="1"/>
  <c r="CA496" i="1"/>
  <c r="CB496" i="1"/>
  <c r="CC496" i="1"/>
  <c r="BZ497" i="1"/>
  <c r="CA497" i="1"/>
  <c r="CB497" i="1"/>
  <c r="CC497" i="1"/>
  <c r="BZ498" i="1"/>
  <c r="CA498" i="1"/>
  <c r="CB498" i="1"/>
  <c r="CC498" i="1"/>
  <c r="BZ499" i="1"/>
  <c r="CA499" i="1"/>
  <c r="CB499" i="1"/>
  <c r="CC499" i="1"/>
  <c r="BZ500" i="1"/>
  <c r="CA500" i="1"/>
  <c r="CB500" i="1"/>
  <c r="CC500" i="1"/>
  <c r="BZ501" i="1"/>
  <c r="CA501" i="1"/>
  <c r="CB501" i="1"/>
  <c r="CC501" i="1"/>
  <c r="BZ502" i="1"/>
  <c r="CA502" i="1"/>
  <c r="CB502" i="1"/>
  <c r="CC502" i="1"/>
  <c r="BZ503" i="1"/>
  <c r="CA503" i="1"/>
  <c r="CB503" i="1"/>
  <c r="CC503" i="1"/>
  <c r="BZ504" i="1"/>
  <c r="CA504" i="1"/>
  <c r="CB504" i="1"/>
  <c r="CC504" i="1"/>
  <c r="BZ505" i="1"/>
  <c r="CA505" i="1"/>
  <c r="CB505" i="1"/>
  <c r="CC505" i="1"/>
  <c r="BZ506" i="1"/>
  <c r="CA506" i="1"/>
  <c r="CB506" i="1"/>
  <c r="CC506" i="1"/>
  <c r="BZ507" i="1"/>
  <c r="CA507" i="1"/>
  <c r="CB507" i="1"/>
  <c r="CC507" i="1"/>
  <c r="BZ508" i="1"/>
  <c r="CA508" i="1"/>
  <c r="CB508" i="1"/>
  <c r="CC508" i="1"/>
  <c r="BZ509" i="1"/>
  <c r="CA509" i="1"/>
  <c r="CB509" i="1"/>
  <c r="CC509" i="1"/>
  <c r="BZ510" i="1"/>
  <c r="CA510" i="1"/>
  <c r="CB510" i="1"/>
  <c r="CC510" i="1"/>
  <c r="BZ511" i="1"/>
  <c r="CA511" i="1"/>
  <c r="CB511" i="1"/>
  <c r="CC511" i="1"/>
  <c r="BZ512" i="1"/>
  <c r="CA512" i="1"/>
  <c r="CB512" i="1"/>
  <c r="CC512" i="1"/>
  <c r="BZ513" i="1"/>
  <c r="CA513" i="1"/>
  <c r="CB513" i="1"/>
  <c r="CC513" i="1"/>
  <c r="BZ514" i="1"/>
  <c r="CA514" i="1"/>
  <c r="CB514" i="1"/>
  <c r="CC514" i="1"/>
  <c r="BZ515" i="1"/>
  <c r="CA515" i="1"/>
  <c r="CB515" i="1"/>
  <c r="CC515" i="1"/>
  <c r="BZ516" i="1"/>
  <c r="CA516" i="1"/>
  <c r="CB516" i="1"/>
  <c r="CC516" i="1"/>
  <c r="BZ517" i="1"/>
  <c r="CA517" i="1"/>
  <c r="CB517" i="1"/>
  <c r="CC517" i="1"/>
  <c r="BZ518" i="1"/>
  <c r="CA518" i="1"/>
  <c r="CB518" i="1"/>
  <c r="CC518" i="1"/>
  <c r="BZ519" i="1"/>
  <c r="CA519" i="1"/>
  <c r="CB519" i="1"/>
  <c r="CC519" i="1"/>
  <c r="BZ520" i="1"/>
  <c r="CA520" i="1"/>
  <c r="CB520" i="1"/>
  <c r="CC520" i="1"/>
  <c r="BZ521" i="1"/>
  <c r="CA521" i="1"/>
  <c r="CB521" i="1"/>
  <c r="CC521" i="1"/>
  <c r="BZ522" i="1"/>
  <c r="CA522" i="1"/>
  <c r="CB522" i="1"/>
  <c r="CC522" i="1"/>
  <c r="BZ523" i="1"/>
  <c r="CA523" i="1"/>
  <c r="CB523" i="1"/>
  <c r="CC523" i="1"/>
  <c r="BZ524" i="1"/>
  <c r="CA524" i="1"/>
  <c r="CB524" i="1"/>
  <c r="CC524" i="1"/>
  <c r="BZ525" i="1"/>
  <c r="CA525" i="1"/>
  <c r="CB525" i="1"/>
  <c r="CC525" i="1"/>
  <c r="BZ526" i="1"/>
  <c r="CA526" i="1"/>
  <c r="CB526" i="1"/>
  <c r="CC526" i="1"/>
  <c r="BZ527" i="1"/>
  <c r="CA527" i="1"/>
  <c r="CB527" i="1"/>
  <c r="CC527" i="1"/>
  <c r="BZ528" i="1"/>
  <c r="CA528" i="1"/>
  <c r="CB528" i="1"/>
  <c r="CC528" i="1"/>
  <c r="BZ529" i="1"/>
  <c r="CA529" i="1"/>
  <c r="CB529" i="1"/>
  <c r="CC529" i="1"/>
  <c r="BZ530" i="1"/>
  <c r="CA530" i="1"/>
  <c r="CB530" i="1"/>
  <c r="CC530" i="1"/>
  <c r="BZ531" i="1"/>
  <c r="CA531" i="1"/>
  <c r="CB531" i="1"/>
  <c r="CC531" i="1"/>
  <c r="BZ532" i="1"/>
  <c r="CA532" i="1"/>
  <c r="CB532" i="1"/>
  <c r="CC532" i="1"/>
  <c r="BZ533" i="1"/>
  <c r="CA533" i="1"/>
  <c r="CB533" i="1"/>
  <c r="CC533" i="1"/>
  <c r="BZ534" i="1"/>
  <c r="CA534" i="1"/>
  <c r="CB534" i="1"/>
  <c r="CC534" i="1"/>
  <c r="BZ535" i="1"/>
  <c r="CA535" i="1"/>
  <c r="CB535" i="1"/>
  <c r="CC535" i="1"/>
  <c r="BZ536" i="1"/>
  <c r="CA536" i="1"/>
  <c r="CB536" i="1"/>
  <c r="CC536" i="1"/>
  <c r="BZ537" i="1"/>
  <c r="CA537" i="1"/>
  <c r="CB537" i="1"/>
  <c r="CC537" i="1"/>
  <c r="BZ538" i="1"/>
  <c r="CA538" i="1"/>
  <c r="CB538" i="1"/>
  <c r="CC538" i="1"/>
  <c r="BZ539" i="1"/>
  <c r="CA539" i="1"/>
  <c r="CB539" i="1"/>
  <c r="CC539" i="1"/>
  <c r="BZ540" i="1"/>
  <c r="CA540" i="1"/>
  <c r="CB540" i="1"/>
  <c r="CC540" i="1"/>
  <c r="BZ541" i="1"/>
  <c r="CA541" i="1"/>
  <c r="CB541" i="1"/>
  <c r="CC541" i="1"/>
  <c r="BZ542" i="1"/>
  <c r="CA542" i="1"/>
  <c r="CB542" i="1"/>
  <c r="CC542" i="1"/>
  <c r="BZ543" i="1"/>
  <c r="CA543" i="1"/>
  <c r="CB543" i="1"/>
  <c r="CC543" i="1"/>
  <c r="BZ544" i="1"/>
  <c r="CA544" i="1"/>
  <c r="CB544" i="1"/>
  <c r="CC544" i="1"/>
  <c r="BZ545" i="1"/>
  <c r="CA545" i="1"/>
  <c r="CB545" i="1"/>
  <c r="CC545" i="1"/>
  <c r="BZ546" i="1"/>
  <c r="CA546" i="1"/>
  <c r="CB546" i="1"/>
  <c r="CC546" i="1"/>
  <c r="BZ547" i="1"/>
  <c r="CA547" i="1"/>
  <c r="CB547" i="1"/>
  <c r="CC547" i="1"/>
  <c r="BZ548" i="1"/>
  <c r="CA548" i="1"/>
  <c r="CB548" i="1"/>
  <c r="CC548" i="1"/>
  <c r="BZ549" i="1"/>
  <c r="CA549" i="1"/>
  <c r="CB549" i="1"/>
  <c r="CC549" i="1"/>
  <c r="BZ550" i="1"/>
  <c r="CA550" i="1"/>
  <c r="CB550" i="1"/>
  <c r="CC550" i="1"/>
  <c r="BZ551" i="1"/>
  <c r="CA551" i="1"/>
  <c r="CB551" i="1"/>
  <c r="CC551" i="1"/>
  <c r="BZ552" i="1"/>
  <c r="CA552" i="1"/>
  <c r="CB552" i="1"/>
  <c r="CC552" i="1"/>
  <c r="BZ553" i="1"/>
  <c r="CA553" i="1"/>
  <c r="CB553" i="1"/>
  <c r="CC553" i="1"/>
  <c r="BZ554" i="1"/>
  <c r="CA554" i="1"/>
  <c r="CB554" i="1"/>
  <c r="CC554" i="1"/>
  <c r="BZ555" i="1"/>
  <c r="CA555" i="1"/>
  <c r="CB555" i="1"/>
  <c r="CC555" i="1"/>
  <c r="BZ556" i="1"/>
  <c r="CA556" i="1"/>
  <c r="CB556" i="1"/>
  <c r="CC556" i="1"/>
  <c r="BZ557" i="1"/>
  <c r="CA557" i="1"/>
  <c r="CB557" i="1"/>
  <c r="CC557" i="1"/>
  <c r="BZ558" i="1"/>
  <c r="CA558" i="1"/>
  <c r="CB558" i="1"/>
  <c r="CC558" i="1"/>
  <c r="BZ559" i="1"/>
  <c r="CA559" i="1"/>
  <c r="CB559" i="1"/>
  <c r="CC559" i="1"/>
  <c r="BZ560" i="1"/>
  <c r="CA560" i="1"/>
  <c r="CB560" i="1"/>
  <c r="CC560" i="1"/>
  <c r="BZ561" i="1"/>
  <c r="CA561" i="1"/>
  <c r="CB561" i="1"/>
  <c r="CC561" i="1"/>
  <c r="BZ562" i="1"/>
  <c r="CA562" i="1"/>
  <c r="CB562" i="1"/>
  <c r="CC562" i="1"/>
  <c r="BZ563" i="1"/>
  <c r="CA563" i="1"/>
  <c r="CB563" i="1"/>
  <c r="CC563" i="1"/>
  <c r="BZ564" i="1"/>
  <c r="CA564" i="1"/>
  <c r="CB564" i="1"/>
  <c r="CC564" i="1"/>
  <c r="BZ565" i="1"/>
  <c r="CA565" i="1"/>
  <c r="CB565" i="1"/>
  <c r="CC565" i="1"/>
  <c r="BZ566" i="1"/>
  <c r="CA566" i="1"/>
  <c r="CB566" i="1"/>
  <c r="CC566" i="1"/>
  <c r="BZ567" i="1"/>
  <c r="CA567" i="1"/>
  <c r="CB567" i="1"/>
  <c r="CC567" i="1"/>
  <c r="BZ568" i="1"/>
  <c r="CA568" i="1"/>
  <c r="CB568" i="1"/>
  <c r="CC568" i="1"/>
  <c r="BZ569" i="1"/>
  <c r="CA569" i="1"/>
  <c r="CB569" i="1"/>
  <c r="CC569" i="1"/>
  <c r="BZ570" i="1"/>
  <c r="CA570" i="1"/>
  <c r="CB570" i="1"/>
  <c r="CC570" i="1"/>
  <c r="BZ571" i="1"/>
  <c r="CA571" i="1"/>
  <c r="CB571" i="1"/>
  <c r="CC571" i="1"/>
  <c r="BZ572" i="1"/>
  <c r="CA572" i="1"/>
  <c r="CB572" i="1"/>
  <c r="CC572" i="1"/>
  <c r="BZ573" i="1"/>
  <c r="CA573" i="1"/>
  <c r="CB573" i="1"/>
  <c r="CC573" i="1"/>
  <c r="BZ574" i="1"/>
  <c r="CA574" i="1"/>
  <c r="CB574" i="1"/>
  <c r="CC574" i="1"/>
  <c r="BZ575" i="1"/>
  <c r="CA575" i="1"/>
  <c r="CB575" i="1"/>
  <c r="CC575" i="1"/>
  <c r="BZ576" i="1"/>
  <c r="CA576" i="1"/>
  <c r="CB576" i="1"/>
  <c r="CC576" i="1"/>
  <c r="BZ577" i="1"/>
  <c r="CA577" i="1"/>
  <c r="CB577" i="1"/>
  <c r="CC577" i="1"/>
  <c r="BZ578" i="1"/>
  <c r="CA578" i="1"/>
  <c r="CB578" i="1"/>
  <c r="CC578" i="1"/>
  <c r="BZ579" i="1"/>
  <c r="CA579" i="1"/>
  <c r="CB579" i="1"/>
  <c r="CC579" i="1"/>
  <c r="BZ580" i="1"/>
  <c r="CA580" i="1"/>
  <c r="CB580" i="1"/>
  <c r="CC580" i="1"/>
  <c r="BZ581" i="1"/>
  <c r="CA581" i="1"/>
  <c r="CB581" i="1"/>
  <c r="CC581" i="1"/>
  <c r="BZ582" i="1"/>
  <c r="CA582" i="1"/>
  <c r="CB582" i="1"/>
  <c r="CC582" i="1"/>
  <c r="BZ583" i="1"/>
  <c r="CA583" i="1"/>
  <c r="CB583" i="1"/>
  <c r="CC583" i="1"/>
  <c r="BZ584" i="1"/>
  <c r="CA584" i="1"/>
  <c r="CB584" i="1"/>
  <c r="CC584" i="1"/>
  <c r="BZ585" i="1"/>
  <c r="CA585" i="1"/>
  <c r="CB585" i="1"/>
  <c r="CC585" i="1"/>
  <c r="BZ586" i="1"/>
  <c r="CA586" i="1"/>
  <c r="CB586" i="1"/>
  <c r="CC586" i="1"/>
  <c r="BZ587" i="1"/>
  <c r="CA587" i="1"/>
  <c r="CB587" i="1"/>
  <c r="CC587" i="1"/>
  <c r="BZ588" i="1"/>
  <c r="CA588" i="1"/>
  <c r="CB588" i="1"/>
  <c r="CC588" i="1"/>
  <c r="BZ589" i="1"/>
  <c r="CA589" i="1"/>
  <c r="CB589" i="1"/>
  <c r="CC589" i="1"/>
  <c r="BZ590" i="1"/>
  <c r="CA590" i="1"/>
  <c r="CB590" i="1"/>
  <c r="CC590" i="1"/>
  <c r="BZ591" i="1"/>
  <c r="CA591" i="1"/>
  <c r="CB591" i="1"/>
  <c r="CC591" i="1"/>
  <c r="BZ592" i="1"/>
  <c r="CA592" i="1"/>
  <c r="CB592" i="1"/>
  <c r="CC592" i="1"/>
  <c r="BZ593" i="1"/>
  <c r="CA593" i="1"/>
  <c r="CB593" i="1"/>
  <c r="CC593" i="1"/>
  <c r="BZ594" i="1"/>
  <c r="CA594" i="1"/>
  <c r="CB594" i="1"/>
  <c r="CC594" i="1"/>
  <c r="BZ595" i="1"/>
  <c r="CA595" i="1"/>
  <c r="CB595" i="1"/>
  <c r="CC595" i="1"/>
  <c r="BZ596" i="1"/>
  <c r="CA596" i="1"/>
  <c r="CB596" i="1"/>
  <c r="CC596" i="1"/>
  <c r="BZ597" i="1"/>
  <c r="CA597" i="1"/>
  <c r="CB597" i="1"/>
  <c r="CC597" i="1"/>
  <c r="BZ598" i="1"/>
  <c r="CA598" i="1"/>
  <c r="CB598" i="1"/>
  <c r="CC598" i="1"/>
  <c r="BZ599" i="1"/>
  <c r="CA599" i="1"/>
  <c r="CB599" i="1"/>
  <c r="CC599" i="1"/>
  <c r="BZ600" i="1"/>
  <c r="CA600" i="1"/>
  <c r="CB600" i="1"/>
  <c r="CC600" i="1"/>
  <c r="BZ601" i="1"/>
  <c r="CA601" i="1"/>
  <c r="CB601" i="1"/>
  <c r="CC601" i="1"/>
  <c r="BZ602" i="1"/>
  <c r="CA602" i="1"/>
  <c r="CB602" i="1"/>
  <c r="CC602" i="1"/>
  <c r="BZ603" i="1"/>
  <c r="CA603" i="1"/>
  <c r="CB603" i="1"/>
  <c r="CC603" i="1"/>
  <c r="BZ604" i="1"/>
  <c r="CA604" i="1"/>
  <c r="CB604" i="1"/>
  <c r="CC604" i="1"/>
  <c r="BZ605" i="1"/>
  <c r="CA605" i="1"/>
  <c r="CB605" i="1"/>
  <c r="CC605" i="1"/>
  <c r="BZ606" i="1"/>
  <c r="CA606" i="1"/>
  <c r="CB606" i="1"/>
  <c r="CC606" i="1"/>
  <c r="BZ607" i="1"/>
  <c r="CA607" i="1"/>
  <c r="CB607" i="1"/>
  <c r="CC607" i="1"/>
  <c r="BZ608" i="1"/>
  <c r="CA608" i="1"/>
  <c r="CB608" i="1"/>
  <c r="CC608" i="1"/>
  <c r="BZ609" i="1"/>
  <c r="CA609" i="1"/>
  <c r="CB609" i="1"/>
  <c r="CC609" i="1"/>
  <c r="BZ610" i="1"/>
  <c r="CA610" i="1"/>
  <c r="CB610" i="1"/>
  <c r="CC610" i="1"/>
  <c r="BZ611" i="1"/>
  <c r="CA611" i="1"/>
  <c r="CB611" i="1"/>
  <c r="CC611" i="1"/>
  <c r="BZ612" i="1"/>
  <c r="CA612" i="1"/>
  <c r="CB612" i="1"/>
  <c r="CC612" i="1"/>
  <c r="BZ613" i="1"/>
  <c r="CA613" i="1"/>
  <c r="CB613" i="1"/>
  <c r="CC613" i="1"/>
  <c r="BZ614" i="1"/>
  <c r="CA614" i="1"/>
  <c r="CB614" i="1"/>
  <c r="CC614" i="1"/>
  <c r="BZ615" i="1"/>
  <c r="CA615" i="1"/>
  <c r="CB615" i="1"/>
  <c r="CC615" i="1"/>
  <c r="BZ616" i="1"/>
  <c r="CA616" i="1"/>
  <c r="CB616" i="1"/>
  <c r="CC616" i="1"/>
  <c r="BZ617" i="1"/>
  <c r="CA617" i="1"/>
  <c r="CB617" i="1"/>
  <c r="CC617" i="1"/>
  <c r="BZ618" i="1"/>
  <c r="CA618" i="1"/>
  <c r="CB618" i="1"/>
  <c r="CC618" i="1"/>
  <c r="BZ619" i="1"/>
  <c r="CA619" i="1"/>
  <c r="CB619" i="1"/>
  <c r="CC619" i="1"/>
  <c r="BZ620" i="1"/>
  <c r="CA620" i="1"/>
  <c r="CB620" i="1"/>
  <c r="CC620" i="1"/>
  <c r="BZ621" i="1"/>
  <c r="CA621" i="1"/>
  <c r="CB621" i="1"/>
  <c r="CC621" i="1"/>
  <c r="BZ622" i="1"/>
  <c r="CA622" i="1"/>
  <c r="CB622" i="1"/>
  <c r="CC622" i="1"/>
  <c r="CC2" i="1"/>
  <c r="CB2" i="1"/>
  <c r="CA2" i="1"/>
  <c r="BZ2" i="1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G622" i="1"/>
  <c r="CH622" i="1" s="1"/>
  <c r="CI62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AP526" i="1" s="1"/>
  <c r="B527" i="1"/>
  <c r="B528" i="1"/>
  <c r="B529" i="1"/>
  <c r="B530" i="1"/>
  <c r="B531" i="1"/>
  <c r="B532" i="1"/>
  <c r="B533" i="1"/>
  <c r="B534" i="1"/>
  <c r="B535" i="1"/>
  <c r="B536" i="1"/>
  <c r="B537" i="1"/>
  <c r="B538" i="1"/>
  <c r="AN538" i="1" s="1"/>
  <c r="B539" i="1"/>
  <c r="B540" i="1"/>
  <c r="B541" i="1"/>
  <c r="B542" i="1"/>
  <c r="B543" i="1"/>
  <c r="B544" i="1"/>
  <c r="B545" i="1"/>
  <c r="B546" i="1"/>
  <c r="B547" i="1"/>
  <c r="B548" i="1"/>
  <c r="B549" i="1"/>
  <c r="B550" i="1"/>
  <c r="J550" i="1" s="1"/>
  <c r="B551" i="1"/>
  <c r="B552" i="1"/>
  <c r="B553" i="1"/>
  <c r="B554" i="1"/>
  <c r="J554" i="1" s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U569" i="1" s="1"/>
  <c r="B570" i="1"/>
  <c r="B571" i="1"/>
  <c r="B572" i="1"/>
  <c r="AM572" i="1" s="1"/>
  <c r="B573" i="1"/>
  <c r="B574" i="1"/>
  <c r="B575" i="1"/>
  <c r="AL575" i="1" s="1"/>
  <c r="B576" i="1"/>
  <c r="B577" i="1"/>
  <c r="B578" i="1"/>
  <c r="B579" i="1"/>
  <c r="B580" i="1"/>
  <c r="AM580" i="1" s="1"/>
  <c r="B581" i="1"/>
  <c r="B582" i="1"/>
  <c r="B583" i="1"/>
  <c r="J583" i="1" s="1"/>
  <c r="B584" i="1"/>
  <c r="B585" i="1"/>
  <c r="B586" i="1"/>
  <c r="AN586" i="1" s="1"/>
  <c r="B587" i="1"/>
  <c r="U587" i="1" s="1"/>
  <c r="B588" i="1"/>
  <c r="I588" i="1" s="1"/>
  <c r="T588" i="1" s="1"/>
  <c r="B589" i="1"/>
  <c r="AL589" i="1" s="1"/>
  <c r="B590" i="1"/>
  <c r="B591" i="1"/>
  <c r="B592" i="1"/>
  <c r="BH592" i="1" s="1"/>
  <c r="B593" i="1"/>
  <c r="B594" i="1"/>
  <c r="B595" i="1"/>
  <c r="B596" i="1"/>
  <c r="B597" i="1"/>
  <c r="H597" i="1" s="1"/>
  <c r="S597" i="1" s="1"/>
  <c r="B598" i="1"/>
  <c r="AM598" i="1" s="1"/>
  <c r="B599" i="1"/>
  <c r="B600" i="1"/>
  <c r="I600" i="1" s="1"/>
  <c r="T600" i="1" s="1"/>
  <c r="B601" i="1"/>
  <c r="B602" i="1"/>
  <c r="B603" i="1"/>
  <c r="BI603" i="1" s="1"/>
  <c r="B604" i="1"/>
  <c r="AP604" i="1" s="1"/>
  <c r="B605" i="1"/>
  <c r="B606" i="1"/>
  <c r="B607" i="1"/>
  <c r="AN607" i="1" s="1"/>
  <c r="B608" i="1"/>
  <c r="AP608" i="1" s="1"/>
  <c r="B609" i="1"/>
  <c r="AM609" i="1" s="1"/>
  <c r="B610" i="1"/>
  <c r="BI610" i="1" s="1"/>
  <c r="B611" i="1"/>
  <c r="AM611" i="1" s="1"/>
  <c r="B612" i="1"/>
  <c r="B613" i="1"/>
  <c r="B614" i="1"/>
  <c r="BH614" i="1" s="1"/>
  <c r="B615" i="1"/>
  <c r="B616" i="1"/>
  <c r="AM616" i="1" s="1"/>
  <c r="B617" i="1"/>
  <c r="B618" i="1"/>
  <c r="V618" i="1" s="1"/>
  <c r="B619" i="1"/>
  <c r="B620" i="1"/>
  <c r="AL620" i="1" s="1"/>
  <c r="B621" i="1"/>
  <c r="BF621" i="1" s="1"/>
  <c r="B62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B3" i="24"/>
  <c r="C3" i="24"/>
  <c r="D3" i="24"/>
  <c r="B4" i="24"/>
  <c r="C4" i="24"/>
  <c r="D4" i="24"/>
  <c r="B5" i="24"/>
  <c r="C5" i="24"/>
  <c r="D5" i="24"/>
  <c r="B6" i="24"/>
  <c r="C6" i="24"/>
  <c r="D6" i="24"/>
  <c r="B7" i="24"/>
  <c r="C7" i="24"/>
  <c r="D7" i="24"/>
  <c r="B8" i="24"/>
  <c r="C8" i="24"/>
  <c r="D8" i="24"/>
  <c r="B9" i="24"/>
  <c r="C9" i="24"/>
  <c r="D9" i="24"/>
  <c r="B10" i="24"/>
  <c r="C10" i="24"/>
  <c r="D10" i="24"/>
  <c r="B11" i="24"/>
  <c r="C11" i="24"/>
  <c r="D11" i="24"/>
  <c r="B12" i="24"/>
  <c r="C12" i="24"/>
  <c r="D12" i="24"/>
  <c r="B13" i="24"/>
  <c r="C13" i="24"/>
  <c r="D13" i="24"/>
  <c r="B14" i="24"/>
  <c r="C14" i="24"/>
  <c r="D14" i="24"/>
  <c r="B15" i="24"/>
  <c r="C15" i="24"/>
  <c r="D15" i="24"/>
  <c r="B16" i="24"/>
  <c r="C16" i="24"/>
  <c r="D16" i="24"/>
  <c r="B17" i="24"/>
  <c r="C17" i="24"/>
  <c r="D17" i="24"/>
  <c r="B18" i="24"/>
  <c r="C18" i="24"/>
  <c r="D18" i="24"/>
  <c r="B19" i="24"/>
  <c r="C19" i="24"/>
  <c r="D19" i="24"/>
  <c r="B20" i="24"/>
  <c r="C20" i="24"/>
  <c r="D20" i="24"/>
  <c r="B21" i="24"/>
  <c r="C21" i="24"/>
  <c r="D21" i="24"/>
  <c r="B22" i="24"/>
  <c r="C22" i="24"/>
  <c r="D22" i="24"/>
  <c r="B23" i="24"/>
  <c r="C23" i="24"/>
  <c r="D23" i="24"/>
  <c r="B24" i="24"/>
  <c r="C24" i="24"/>
  <c r="D24" i="24"/>
  <c r="B25" i="24"/>
  <c r="C25" i="24"/>
  <c r="D25" i="24"/>
  <c r="C2" i="24"/>
  <c r="D2" i="24"/>
  <c r="B2" i="24"/>
  <c r="B2" i="26"/>
  <c r="AC2" i="18"/>
  <c r="AD2" i="18"/>
  <c r="E3" i="25"/>
  <c r="F3" i="25"/>
  <c r="E4" i="25"/>
  <c r="F4" i="25"/>
  <c r="E5" i="25"/>
  <c r="F5" i="25"/>
  <c r="E6" i="25"/>
  <c r="F6" i="25"/>
  <c r="E7" i="25"/>
  <c r="F7" i="25"/>
  <c r="E8" i="25"/>
  <c r="F8" i="25"/>
  <c r="E9" i="25"/>
  <c r="F9" i="25"/>
  <c r="E10" i="25"/>
  <c r="F10" i="25"/>
  <c r="E11" i="25"/>
  <c r="F11" i="25"/>
  <c r="E12" i="25"/>
  <c r="F12" i="25"/>
  <c r="E13" i="25"/>
  <c r="F13" i="25"/>
  <c r="E14" i="25"/>
  <c r="F14" i="25"/>
  <c r="E15" i="25"/>
  <c r="F15" i="25"/>
  <c r="E16" i="25"/>
  <c r="F16" i="25"/>
  <c r="E17" i="25"/>
  <c r="F17" i="25"/>
  <c r="E18" i="25"/>
  <c r="F18" i="25"/>
  <c r="E19" i="25"/>
  <c r="F19" i="25"/>
  <c r="E20" i="25"/>
  <c r="F20" i="25"/>
  <c r="E21" i="25"/>
  <c r="F21" i="25"/>
  <c r="E22" i="25"/>
  <c r="F22" i="25"/>
  <c r="E23" i="25"/>
  <c r="F23" i="25"/>
  <c r="E24" i="25"/>
  <c r="F24" i="25"/>
  <c r="E25" i="25"/>
  <c r="F25" i="25"/>
  <c r="E2" i="25"/>
  <c r="F2" i="25"/>
  <c r="B3" i="25"/>
  <c r="C3" i="25"/>
  <c r="D3" i="25"/>
  <c r="B4" i="25"/>
  <c r="C4" i="25"/>
  <c r="D4" i="25"/>
  <c r="B5" i="25"/>
  <c r="C5" i="25"/>
  <c r="D5" i="25"/>
  <c r="B6" i="25"/>
  <c r="C6" i="25"/>
  <c r="D6" i="25"/>
  <c r="B7" i="25"/>
  <c r="C7" i="25"/>
  <c r="D7" i="25"/>
  <c r="B8" i="25"/>
  <c r="C8" i="25"/>
  <c r="D8" i="25"/>
  <c r="B9" i="25"/>
  <c r="C9" i="25"/>
  <c r="D9" i="25"/>
  <c r="B10" i="25"/>
  <c r="C10" i="25"/>
  <c r="D10" i="25"/>
  <c r="B11" i="25"/>
  <c r="C11" i="25"/>
  <c r="D11" i="25"/>
  <c r="B12" i="25"/>
  <c r="C12" i="25"/>
  <c r="D12" i="25"/>
  <c r="B13" i="25"/>
  <c r="C13" i="25"/>
  <c r="D13" i="25"/>
  <c r="B14" i="25"/>
  <c r="C14" i="25"/>
  <c r="D14" i="25"/>
  <c r="B15" i="25"/>
  <c r="C15" i="25"/>
  <c r="D15" i="25"/>
  <c r="B16" i="25"/>
  <c r="C16" i="25"/>
  <c r="D16" i="25"/>
  <c r="B17" i="25"/>
  <c r="C17" i="25"/>
  <c r="D17" i="25"/>
  <c r="B18" i="25"/>
  <c r="C18" i="25"/>
  <c r="D18" i="25"/>
  <c r="B19" i="25"/>
  <c r="C19" i="25"/>
  <c r="D19" i="25"/>
  <c r="B20" i="25"/>
  <c r="C20" i="25"/>
  <c r="D20" i="25"/>
  <c r="B21" i="25"/>
  <c r="C21" i="25"/>
  <c r="D21" i="25"/>
  <c r="B22" i="25"/>
  <c r="C22" i="25"/>
  <c r="D22" i="25"/>
  <c r="B23" i="25"/>
  <c r="C23" i="25"/>
  <c r="D23" i="25"/>
  <c r="B24" i="25"/>
  <c r="C24" i="25"/>
  <c r="D24" i="25"/>
  <c r="B25" i="25"/>
  <c r="C25" i="25"/>
  <c r="D25" i="25"/>
  <c r="C2" i="25"/>
  <c r="D2" i="25"/>
  <c r="B2" i="25"/>
  <c r="B22" i="26"/>
  <c r="C22" i="26"/>
  <c r="D22" i="26"/>
  <c r="B23" i="26"/>
  <c r="C23" i="26"/>
  <c r="D23" i="26"/>
  <c r="B24" i="26"/>
  <c r="C24" i="26"/>
  <c r="D24" i="26"/>
  <c r="B25" i="26"/>
  <c r="C25" i="26"/>
  <c r="D25" i="26"/>
  <c r="B3" i="26"/>
  <c r="C3" i="26"/>
  <c r="D3" i="26"/>
  <c r="B4" i="26"/>
  <c r="C4" i="26"/>
  <c r="D4" i="26"/>
  <c r="B5" i="26"/>
  <c r="C5" i="26"/>
  <c r="D5" i="26"/>
  <c r="B6" i="26"/>
  <c r="C6" i="26"/>
  <c r="D6" i="26"/>
  <c r="B7" i="26"/>
  <c r="C7" i="26"/>
  <c r="D7" i="26"/>
  <c r="B8" i="26"/>
  <c r="C8" i="26"/>
  <c r="D8" i="26"/>
  <c r="B9" i="26"/>
  <c r="C9" i="26"/>
  <c r="D9" i="26"/>
  <c r="B10" i="26"/>
  <c r="C10" i="26"/>
  <c r="D10" i="26"/>
  <c r="B11" i="26"/>
  <c r="C11" i="26"/>
  <c r="D11" i="26"/>
  <c r="B12" i="26"/>
  <c r="C12" i="26"/>
  <c r="D12" i="26"/>
  <c r="B13" i="26"/>
  <c r="C13" i="26"/>
  <c r="D13" i="26"/>
  <c r="B14" i="26"/>
  <c r="C14" i="26"/>
  <c r="D14" i="26"/>
  <c r="B15" i="26"/>
  <c r="C15" i="26"/>
  <c r="D15" i="26"/>
  <c r="B16" i="26"/>
  <c r="C16" i="26"/>
  <c r="D16" i="26"/>
  <c r="B17" i="26"/>
  <c r="C17" i="26"/>
  <c r="D17" i="26"/>
  <c r="B18" i="26"/>
  <c r="C18" i="26"/>
  <c r="D18" i="26"/>
  <c r="B19" i="26"/>
  <c r="C19" i="26"/>
  <c r="D19" i="26"/>
  <c r="B20" i="26"/>
  <c r="C20" i="26"/>
  <c r="D20" i="26"/>
  <c r="B21" i="26"/>
  <c r="C21" i="26"/>
  <c r="D21" i="26"/>
  <c r="C2" i="26"/>
  <c r="D2" i="26"/>
  <c r="C3" i="15"/>
  <c r="AY2" i="2"/>
  <c r="AW2" i="2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W23" i="2" s="1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U98" i="2" s="1"/>
  <c r="AQ98" i="2"/>
  <c r="AV98" i="2" s="1"/>
  <c r="AR98" i="2"/>
  <c r="AW98" i="2" s="1"/>
  <c r="AS98" i="2"/>
  <c r="AX98" i="2" s="1"/>
  <c r="AT98" i="2"/>
  <c r="AY98" i="2" s="1"/>
  <c r="BH98" i="2" s="1"/>
  <c r="BM98" i="2" s="1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U153" i="2" s="1"/>
  <c r="AQ153" i="2"/>
  <c r="AV153" i="2" s="1"/>
  <c r="AR153" i="2"/>
  <c r="AW153" i="2" s="1"/>
  <c r="AS153" i="2"/>
  <c r="AX153" i="2" s="1"/>
  <c r="AT153" i="2"/>
  <c r="AY153" i="2" s="1"/>
  <c r="BH153" i="2" s="1"/>
  <c r="BM153" i="2" s="1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U198" i="2" s="1"/>
  <c r="AQ198" i="2"/>
  <c r="AV198" i="2" s="1"/>
  <c r="AR198" i="2"/>
  <c r="AW198" i="2" s="1"/>
  <c r="AS198" i="2"/>
  <c r="AX198" i="2" s="1"/>
  <c r="AT198" i="2"/>
  <c r="AY198" i="2" s="1"/>
  <c r="BH198" i="2" s="1"/>
  <c r="BM198" i="2" s="1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U209" i="2" s="1"/>
  <c r="AQ209" i="2"/>
  <c r="AV209" i="2" s="1"/>
  <c r="AR209" i="2"/>
  <c r="AW209" i="2" s="1"/>
  <c r="AS209" i="2"/>
  <c r="AX209" i="2" s="1"/>
  <c r="AT209" i="2"/>
  <c r="AY209" i="2" s="1"/>
  <c r="BH209" i="2" s="1"/>
  <c r="BM209" i="2" s="1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U214" i="2" s="1"/>
  <c r="AQ214" i="2"/>
  <c r="AV214" i="2" s="1"/>
  <c r="AR214" i="2"/>
  <c r="AW214" i="2" s="1"/>
  <c r="AS214" i="2"/>
  <c r="AX214" i="2" s="1"/>
  <c r="AT214" i="2"/>
  <c r="AY214" i="2" s="1"/>
  <c r="BH214" i="2" s="1"/>
  <c r="BM214" i="2" s="1"/>
  <c r="AP215" i="2"/>
  <c r="AU215" i="2" s="1"/>
  <c r="AQ215" i="2"/>
  <c r="AV215" i="2" s="1"/>
  <c r="AR215" i="2"/>
  <c r="AW215" i="2" s="1"/>
  <c r="AS215" i="2"/>
  <c r="AX215" i="2" s="1"/>
  <c r="AT215" i="2"/>
  <c r="AY215" i="2" s="1"/>
  <c r="BH215" i="2" s="1"/>
  <c r="BM215" i="2" s="1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U226" i="2" s="1"/>
  <c r="AQ226" i="2"/>
  <c r="AV226" i="2" s="1"/>
  <c r="AR226" i="2"/>
  <c r="AW226" i="2" s="1"/>
  <c r="AS226" i="2"/>
  <c r="AX226" i="2" s="1"/>
  <c r="AT226" i="2"/>
  <c r="AY226" i="2" s="1"/>
  <c r="BH226" i="2" s="1"/>
  <c r="BM226" i="2" s="1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U229" i="2" s="1"/>
  <c r="AQ229" i="2"/>
  <c r="AV229" i="2" s="1"/>
  <c r="AR229" i="2"/>
  <c r="AW229" i="2" s="1"/>
  <c r="AS229" i="2"/>
  <c r="AX229" i="2" s="1"/>
  <c r="AT229" i="2"/>
  <c r="AY229" i="2" s="1"/>
  <c r="BH229" i="2" s="1"/>
  <c r="BM229" i="2" s="1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U235" i="2" s="1"/>
  <c r="AQ235" i="2"/>
  <c r="AV235" i="2" s="1"/>
  <c r="AR235" i="2"/>
  <c r="AW235" i="2" s="1"/>
  <c r="AS235" i="2"/>
  <c r="AX235" i="2" s="1"/>
  <c r="AT235" i="2"/>
  <c r="AY235" i="2" s="1"/>
  <c r="BH235" i="2" s="1"/>
  <c r="BM235" i="2" s="1"/>
  <c r="AP236" i="2"/>
  <c r="AU236" i="2" s="1"/>
  <c r="AQ236" i="2"/>
  <c r="AV236" i="2" s="1"/>
  <c r="AR236" i="2"/>
  <c r="AW236" i="2" s="1"/>
  <c r="AS236" i="2"/>
  <c r="AX236" i="2" s="1"/>
  <c r="AT236" i="2"/>
  <c r="AY236" i="2" s="1"/>
  <c r="BH236" i="2" s="1"/>
  <c r="BM236" i="2" s="1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U252" i="2" s="1"/>
  <c r="AQ252" i="2"/>
  <c r="AV252" i="2" s="1"/>
  <c r="AR252" i="2"/>
  <c r="AW252" i="2" s="1"/>
  <c r="AS252" i="2"/>
  <c r="AX252" i="2" s="1"/>
  <c r="AT252" i="2"/>
  <c r="AY252" i="2" s="1"/>
  <c r="BH252" i="2" s="1"/>
  <c r="BM252" i="2" s="1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U259" i="2" s="1"/>
  <c r="AQ259" i="2"/>
  <c r="AV259" i="2" s="1"/>
  <c r="AR259" i="2"/>
  <c r="AW259" i="2" s="1"/>
  <c r="AS259" i="2"/>
  <c r="AX259" i="2" s="1"/>
  <c r="AT259" i="2"/>
  <c r="AY259" i="2" s="1"/>
  <c r="BH259" i="2" s="1"/>
  <c r="BM259" i="2" s="1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U268" i="2" s="1"/>
  <c r="AQ268" i="2"/>
  <c r="AV268" i="2" s="1"/>
  <c r="AR268" i="2"/>
  <c r="AW268" i="2" s="1"/>
  <c r="AS268" i="2"/>
  <c r="AX268" i="2" s="1"/>
  <c r="AT268" i="2"/>
  <c r="AY268" i="2" s="1"/>
  <c r="BH268" i="2" s="1"/>
  <c r="BM268" i="2" s="1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U271" i="2" s="1"/>
  <c r="AQ271" i="2"/>
  <c r="AV271" i="2" s="1"/>
  <c r="AR271" i="2"/>
  <c r="AW271" i="2" s="1"/>
  <c r="AS271" i="2"/>
  <c r="AX271" i="2" s="1"/>
  <c r="AT271" i="2"/>
  <c r="AY271" i="2" s="1"/>
  <c r="BH271" i="2" s="1"/>
  <c r="BM271" i="2" s="1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U287" i="2" s="1"/>
  <c r="AQ287" i="2"/>
  <c r="AV287" i="2" s="1"/>
  <c r="AR287" i="2"/>
  <c r="AW287" i="2" s="1"/>
  <c r="AS287" i="2"/>
  <c r="AX287" i="2" s="1"/>
  <c r="AT287" i="2"/>
  <c r="AY287" i="2" s="1"/>
  <c r="BH287" i="2" s="1"/>
  <c r="BM287" i="2" s="1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U291" i="2" s="1"/>
  <c r="AQ291" i="2"/>
  <c r="AV291" i="2" s="1"/>
  <c r="AR291" i="2"/>
  <c r="AW291" i="2" s="1"/>
  <c r="AS291" i="2"/>
  <c r="AX291" i="2" s="1"/>
  <c r="AT291" i="2"/>
  <c r="AY291" i="2" s="1"/>
  <c r="BH291" i="2" s="1"/>
  <c r="BM291" i="2" s="1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U298" i="2" s="1"/>
  <c r="AQ298" i="2"/>
  <c r="AV298" i="2" s="1"/>
  <c r="AR298" i="2"/>
  <c r="AW298" i="2" s="1"/>
  <c r="AS298" i="2"/>
  <c r="AX298" i="2" s="1"/>
  <c r="AT298" i="2"/>
  <c r="AY298" i="2" s="1"/>
  <c r="BH298" i="2" s="1"/>
  <c r="BM298" i="2" s="1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U315" i="2" s="1"/>
  <c r="AQ315" i="2"/>
  <c r="AV315" i="2" s="1"/>
  <c r="AR315" i="2"/>
  <c r="AW315" i="2" s="1"/>
  <c r="AS315" i="2"/>
  <c r="AX315" i="2" s="1"/>
  <c r="AT315" i="2"/>
  <c r="AY315" i="2" s="1"/>
  <c r="BH315" i="2" s="1"/>
  <c r="BM315" i="2" s="1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U322" i="2" s="1"/>
  <c r="AQ322" i="2"/>
  <c r="AV322" i="2" s="1"/>
  <c r="AR322" i="2"/>
  <c r="AW322" i="2" s="1"/>
  <c r="AS322" i="2"/>
  <c r="AX322" i="2" s="1"/>
  <c r="AT322" i="2"/>
  <c r="AY322" i="2" s="1"/>
  <c r="BH322" i="2" s="1"/>
  <c r="BM322" i="2" s="1"/>
  <c r="AP323" i="2"/>
  <c r="AQ323" i="2"/>
  <c r="AR323" i="2"/>
  <c r="AS323" i="2"/>
  <c r="AT323" i="2"/>
  <c r="AP324" i="2"/>
  <c r="AU324" i="2" s="1"/>
  <c r="AQ324" i="2"/>
  <c r="AV324" i="2" s="1"/>
  <c r="AR324" i="2"/>
  <c r="AW324" i="2" s="1"/>
  <c r="AS324" i="2"/>
  <c r="AX324" i="2" s="1"/>
  <c r="AT324" i="2"/>
  <c r="AY324" i="2" s="1"/>
  <c r="BH324" i="2" s="1"/>
  <c r="BM324" i="2" s="1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U331" i="2" s="1"/>
  <c r="AQ331" i="2"/>
  <c r="AV331" i="2" s="1"/>
  <c r="AR331" i="2"/>
  <c r="AW331" i="2" s="1"/>
  <c r="AS331" i="2"/>
  <c r="AX331" i="2" s="1"/>
  <c r="AT331" i="2"/>
  <c r="AY331" i="2" s="1"/>
  <c r="BH331" i="2" s="1"/>
  <c r="BM331" i="2" s="1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U337" i="2" s="1"/>
  <c r="AQ337" i="2"/>
  <c r="AV337" i="2" s="1"/>
  <c r="AR337" i="2"/>
  <c r="AW337" i="2" s="1"/>
  <c r="AS337" i="2"/>
  <c r="AX337" i="2" s="1"/>
  <c r="AT337" i="2"/>
  <c r="AY337" i="2" s="1"/>
  <c r="BH337" i="2" s="1"/>
  <c r="BM337" i="2" s="1"/>
  <c r="AP338" i="2"/>
  <c r="AQ338" i="2"/>
  <c r="AR338" i="2"/>
  <c r="AS338" i="2"/>
  <c r="AT338" i="2"/>
  <c r="AP339" i="2"/>
  <c r="AU339" i="2" s="1"/>
  <c r="AQ339" i="2"/>
  <c r="AV339" i="2" s="1"/>
  <c r="AR339" i="2"/>
  <c r="AW339" i="2" s="1"/>
  <c r="AS339" i="2"/>
  <c r="AX339" i="2" s="1"/>
  <c r="AT339" i="2"/>
  <c r="AY339" i="2" s="1"/>
  <c r="BH339" i="2" s="1"/>
  <c r="BM339" i="2" s="1"/>
  <c r="AP340" i="2"/>
  <c r="AQ340" i="2"/>
  <c r="AR340" i="2"/>
  <c r="AS340" i="2"/>
  <c r="AT340" i="2"/>
  <c r="AP341" i="2"/>
  <c r="AQ341" i="2"/>
  <c r="AR341" i="2"/>
  <c r="AS341" i="2"/>
  <c r="AT341" i="2"/>
  <c r="AP342" i="2"/>
  <c r="AU342" i="2" s="1"/>
  <c r="AQ342" i="2"/>
  <c r="AV342" i="2" s="1"/>
  <c r="AR342" i="2"/>
  <c r="AW342" i="2" s="1"/>
  <c r="AS342" i="2"/>
  <c r="AX342" i="2" s="1"/>
  <c r="AT342" i="2"/>
  <c r="AY342" i="2" s="1"/>
  <c r="BH342" i="2" s="1"/>
  <c r="BM342" i="2" s="1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U348" i="2" s="1"/>
  <c r="AQ348" i="2"/>
  <c r="AV348" i="2" s="1"/>
  <c r="AR348" i="2"/>
  <c r="AW348" i="2" s="1"/>
  <c r="AS348" i="2"/>
  <c r="AX348" i="2" s="1"/>
  <c r="AT348" i="2"/>
  <c r="AY348" i="2" s="1"/>
  <c r="BH348" i="2" s="1"/>
  <c r="BM348" i="2" s="1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U364" i="2" s="1"/>
  <c r="AQ364" i="2"/>
  <c r="AV364" i="2" s="1"/>
  <c r="AR364" i="2"/>
  <c r="AW364" i="2" s="1"/>
  <c r="AS364" i="2"/>
  <c r="AX364" i="2" s="1"/>
  <c r="AT364" i="2"/>
  <c r="AY364" i="2" s="1"/>
  <c r="BH364" i="2" s="1"/>
  <c r="BM364" i="2" s="1"/>
  <c r="AP365" i="2"/>
  <c r="AQ365" i="2"/>
  <c r="AR365" i="2"/>
  <c r="AS365" i="2"/>
  <c r="AT365" i="2"/>
  <c r="AP366" i="2"/>
  <c r="AU366" i="2" s="1"/>
  <c r="AQ366" i="2"/>
  <c r="AV366" i="2" s="1"/>
  <c r="AR366" i="2"/>
  <c r="AW366" i="2" s="1"/>
  <c r="AS366" i="2"/>
  <c r="AX366" i="2" s="1"/>
  <c r="AT366" i="2"/>
  <c r="AY366" i="2" s="1"/>
  <c r="BH366" i="2" s="1"/>
  <c r="BM366" i="2" s="1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U371" i="2" s="1"/>
  <c r="AQ371" i="2"/>
  <c r="AV371" i="2" s="1"/>
  <c r="AR371" i="2"/>
  <c r="AW371" i="2" s="1"/>
  <c r="AS371" i="2"/>
  <c r="AX371" i="2" s="1"/>
  <c r="AT371" i="2"/>
  <c r="AY371" i="2" s="1"/>
  <c r="BH371" i="2" s="1"/>
  <c r="BM371" i="2" s="1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U376" i="2" s="1"/>
  <c r="AQ376" i="2"/>
  <c r="AV376" i="2" s="1"/>
  <c r="AR376" i="2"/>
  <c r="AW376" i="2" s="1"/>
  <c r="AS376" i="2"/>
  <c r="AX376" i="2" s="1"/>
  <c r="AT376" i="2"/>
  <c r="AY376" i="2" s="1"/>
  <c r="BH376" i="2" s="1"/>
  <c r="BM376" i="2" s="1"/>
  <c r="AP377" i="2"/>
  <c r="AQ377" i="2"/>
  <c r="AR377" i="2"/>
  <c r="AS377" i="2"/>
  <c r="AT377" i="2"/>
  <c r="AP378" i="2"/>
  <c r="AQ378" i="2"/>
  <c r="AR378" i="2"/>
  <c r="AS378" i="2"/>
  <c r="AT378" i="2"/>
  <c r="AP379" i="2"/>
  <c r="AU379" i="2" s="1"/>
  <c r="AQ379" i="2"/>
  <c r="AV379" i="2" s="1"/>
  <c r="AR379" i="2"/>
  <c r="AW379" i="2" s="1"/>
  <c r="AS379" i="2"/>
  <c r="AX379" i="2" s="1"/>
  <c r="AT379" i="2"/>
  <c r="AY379" i="2" s="1"/>
  <c r="BH379" i="2" s="1"/>
  <c r="BM379" i="2" s="1"/>
  <c r="AP380" i="2"/>
  <c r="AQ380" i="2"/>
  <c r="AR380" i="2"/>
  <c r="AS380" i="2"/>
  <c r="AT380" i="2"/>
  <c r="AP381" i="2"/>
  <c r="AU381" i="2" s="1"/>
  <c r="AQ381" i="2"/>
  <c r="AV381" i="2" s="1"/>
  <c r="AR381" i="2"/>
  <c r="AW381" i="2" s="1"/>
  <c r="AS381" i="2"/>
  <c r="AX381" i="2" s="1"/>
  <c r="AT381" i="2"/>
  <c r="AY381" i="2" s="1"/>
  <c r="BH381" i="2" s="1"/>
  <c r="BM381" i="2" s="1"/>
  <c r="AP382" i="2"/>
  <c r="AQ382" i="2"/>
  <c r="AR382" i="2"/>
  <c r="AS382" i="2"/>
  <c r="AT382" i="2"/>
  <c r="AP383" i="2"/>
  <c r="AQ383" i="2"/>
  <c r="AR383" i="2"/>
  <c r="AS383" i="2"/>
  <c r="AT383" i="2"/>
  <c r="AP384" i="2"/>
  <c r="AU384" i="2" s="1"/>
  <c r="AQ384" i="2"/>
  <c r="AV384" i="2" s="1"/>
  <c r="AR384" i="2"/>
  <c r="AW384" i="2" s="1"/>
  <c r="AS384" i="2"/>
  <c r="AX384" i="2" s="1"/>
  <c r="AT384" i="2"/>
  <c r="AY384" i="2" s="1"/>
  <c r="BH384" i="2" s="1"/>
  <c r="BM384" i="2" s="1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U389" i="2" s="1"/>
  <c r="AQ389" i="2"/>
  <c r="AV389" i="2" s="1"/>
  <c r="AR389" i="2"/>
  <c r="AW389" i="2" s="1"/>
  <c r="AS389" i="2"/>
  <c r="AX389" i="2" s="1"/>
  <c r="AT389" i="2"/>
  <c r="AY389" i="2" s="1"/>
  <c r="BH389" i="2" s="1"/>
  <c r="BM389" i="2" s="1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U392" i="2" s="1"/>
  <c r="AQ392" i="2"/>
  <c r="AV392" i="2" s="1"/>
  <c r="AR392" i="2"/>
  <c r="AW392" i="2" s="1"/>
  <c r="AS392" i="2"/>
  <c r="AX392" i="2" s="1"/>
  <c r="AT392" i="2"/>
  <c r="AY392" i="2" s="1"/>
  <c r="BH392" i="2" s="1"/>
  <c r="BM392" i="2" s="1"/>
  <c r="AP393" i="2"/>
  <c r="AQ393" i="2"/>
  <c r="AR393" i="2"/>
  <c r="AS393" i="2"/>
  <c r="AT393" i="2"/>
  <c r="AP394" i="2"/>
  <c r="AU394" i="2" s="1"/>
  <c r="AQ394" i="2"/>
  <c r="AV394" i="2" s="1"/>
  <c r="AR394" i="2"/>
  <c r="AW394" i="2" s="1"/>
  <c r="AS394" i="2"/>
  <c r="AX394" i="2" s="1"/>
  <c r="AT394" i="2"/>
  <c r="AY394" i="2" s="1"/>
  <c r="BH394" i="2" s="1"/>
  <c r="BM394" i="2" s="1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U399" i="2" s="1"/>
  <c r="AQ399" i="2"/>
  <c r="AV399" i="2" s="1"/>
  <c r="AR399" i="2"/>
  <c r="AW399" i="2" s="1"/>
  <c r="AS399" i="2"/>
  <c r="AX399" i="2" s="1"/>
  <c r="AT399" i="2"/>
  <c r="AY399" i="2" s="1"/>
  <c r="BH399" i="2" s="1"/>
  <c r="BM399" i="2" s="1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U404" i="2" s="1"/>
  <c r="AQ404" i="2"/>
  <c r="AV404" i="2" s="1"/>
  <c r="AR404" i="2"/>
  <c r="AW404" i="2" s="1"/>
  <c r="AS404" i="2"/>
  <c r="AX404" i="2" s="1"/>
  <c r="AT404" i="2"/>
  <c r="AY404" i="2" s="1"/>
  <c r="BH404" i="2" s="1"/>
  <c r="BM404" i="2" s="1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U415" i="2" s="1"/>
  <c r="AQ415" i="2"/>
  <c r="AV415" i="2" s="1"/>
  <c r="AR415" i="2"/>
  <c r="AW415" i="2" s="1"/>
  <c r="AS415" i="2"/>
  <c r="AX415" i="2" s="1"/>
  <c r="AT415" i="2"/>
  <c r="AY415" i="2" s="1"/>
  <c r="BH415" i="2" s="1"/>
  <c r="BM415" i="2" s="1"/>
  <c r="AP416" i="2"/>
  <c r="AQ416" i="2"/>
  <c r="AR416" i="2"/>
  <c r="AS416" i="2"/>
  <c r="AT416" i="2"/>
  <c r="AP417" i="2"/>
  <c r="AU417" i="2" s="1"/>
  <c r="AQ417" i="2"/>
  <c r="AV417" i="2" s="1"/>
  <c r="AR417" i="2"/>
  <c r="AW417" i="2" s="1"/>
  <c r="AS417" i="2"/>
  <c r="AX417" i="2" s="1"/>
  <c r="AT417" i="2"/>
  <c r="AY417" i="2" s="1"/>
  <c r="BH417" i="2" s="1"/>
  <c r="BM417" i="2" s="1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U424" i="2" s="1"/>
  <c r="AQ424" i="2"/>
  <c r="AV424" i="2" s="1"/>
  <c r="AR424" i="2"/>
  <c r="AW424" i="2" s="1"/>
  <c r="AS424" i="2"/>
  <c r="AX424" i="2" s="1"/>
  <c r="AT424" i="2"/>
  <c r="AY424" i="2" s="1"/>
  <c r="BH424" i="2" s="1"/>
  <c r="BM424" i="2" s="1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U427" i="2" s="1"/>
  <c r="AQ427" i="2"/>
  <c r="AV427" i="2" s="1"/>
  <c r="AR427" i="2"/>
  <c r="AW427" i="2" s="1"/>
  <c r="AS427" i="2"/>
  <c r="AX427" i="2" s="1"/>
  <c r="AT427" i="2"/>
  <c r="AY427" i="2" s="1"/>
  <c r="BH427" i="2" s="1"/>
  <c r="BM427" i="2" s="1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U438" i="2" s="1"/>
  <c r="AQ438" i="2"/>
  <c r="AV438" i="2" s="1"/>
  <c r="AR438" i="2"/>
  <c r="AW438" i="2" s="1"/>
  <c r="AS438" i="2"/>
  <c r="AX438" i="2" s="1"/>
  <c r="AT438" i="2"/>
  <c r="AY438" i="2" s="1"/>
  <c r="BH438" i="2" s="1"/>
  <c r="BM438" i="2" s="1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U441" i="2" s="1"/>
  <c r="AQ441" i="2"/>
  <c r="AV441" i="2" s="1"/>
  <c r="AR441" i="2"/>
  <c r="AW441" i="2" s="1"/>
  <c r="AS441" i="2"/>
  <c r="AX441" i="2" s="1"/>
  <c r="AT441" i="2"/>
  <c r="AY441" i="2" s="1"/>
  <c r="BH441" i="2" s="1"/>
  <c r="BM441" i="2" s="1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U444" i="2" s="1"/>
  <c r="AQ444" i="2"/>
  <c r="AV444" i="2" s="1"/>
  <c r="AR444" i="2"/>
  <c r="AW444" i="2" s="1"/>
  <c r="AS444" i="2"/>
  <c r="AX444" i="2" s="1"/>
  <c r="AT444" i="2"/>
  <c r="AY444" i="2" s="1"/>
  <c r="BH444" i="2" s="1"/>
  <c r="BM444" i="2" s="1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U450" i="2" s="1"/>
  <c r="AQ450" i="2"/>
  <c r="AV450" i="2" s="1"/>
  <c r="AR450" i="2"/>
  <c r="AW450" i="2" s="1"/>
  <c r="AS450" i="2"/>
  <c r="AX450" i="2" s="1"/>
  <c r="AT450" i="2"/>
  <c r="AY450" i="2" s="1"/>
  <c r="BH450" i="2" s="1"/>
  <c r="BM450" i="2" s="1"/>
  <c r="AP451" i="2"/>
  <c r="AQ451" i="2"/>
  <c r="AR451" i="2"/>
  <c r="AS451" i="2"/>
  <c r="AT451" i="2"/>
  <c r="AP452" i="2"/>
  <c r="AU452" i="2" s="1"/>
  <c r="AQ452" i="2"/>
  <c r="AV452" i="2" s="1"/>
  <c r="AR452" i="2"/>
  <c r="AW452" i="2" s="1"/>
  <c r="AS452" i="2"/>
  <c r="AX452" i="2" s="1"/>
  <c r="AT452" i="2"/>
  <c r="AY452" i="2" s="1"/>
  <c r="BH452" i="2" s="1"/>
  <c r="BM452" i="2" s="1"/>
  <c r="AP453" i="2"/>
  <c r="AQ453" i="2"/>
  <c r="AR453" i="2"/>
  <c r="AS453" i="2"/>
  <c r="AT453" i="2"/>
  <c r="AP454" i="2"/>
  <c r="AU454" i="2" s="1"/>
  <c r="AQ454" i="2"/>
  <c r="AV454" i="2" s="1"/>
  <c r="AR454" i="2"/>
  <c r="AW454" i="2" s="1"/>
  <c r="AS454" i="2"/>
  <c r="AX454" i="2" s="1"/>
  <c r="AT454" i="2"/>
  <c r="AY454" i="2" s="1"/>
  <c r="BH454" i="2" s="1"/>
  <c r="BM454" i="2" s="1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U462" i="2" s="1"/>
  <c r="AQ462" i="2"/>
  <c r="AV462" i="2" s="1"/>
  <c r="AR462" i="2"/>
  <c r="AW462" i="2" s="1"/>
  <c r="AS462" i="2"/>
  <c r="AX462" i="2" s="1"/>
  <c r="AT462" i="2"/>
  <c r="AY462" i="2" s="1"/>
  <c r="BH462" i="2" s="1"/>
  <c r="BM462" i="2" s="1"/>
  <c r="AP463" i="2"/>
  <c r="AQ463" i="2"/>
  <c r="AR463" i="2"/>
  <c r="AS463" i="2"/>
  <c r="AT463" i="2"/>
  <c r="AP464" i="2"/>
  <c r="AU464" i="2" s="1"/>
  <c r="AQ464" i="2"/>
  <c r="AV464" i="2" s="1"/>
  <c r="AR464" i="2"/>
  <c r="AW464" i="2" s="1"/>
  <c r="AS464" i="2"/>
  <c r="AX464" i="2" s="1"/>
  <c r="AT464" i="2"/>
  <c r="AY464" i="2" s="1"/>
  <c r="BH464" i="2" s="1"/>
  <c r="BM464" i="2" s="1"/>
  <c r="AP465" i="2"/>
  <c r="AQ465" i="2"/>
  <c r="AR465" i="2"/>
  <c r="AS465" i="2"/>
  <c r="AT465" i="2"/>
  <c r="AP466" i="2"/>
  <c r="AU466" i="2" s="1"/>
  <c r="AQ466" i="2"/>
  <c r="AV466" i="2" s="1"/>
  <c r="AR466" i="2"/>
  <c r="AW466" i="2" s="1"/>
  <c r="AS466" i="2"/>
  <c r="AX466" i="2" s="1"/>
  <c r="AT466" i="2"/>
  <c r="AY466" i="2" s="1"/>
  <c r="BH466" i="2" s="1"/>
  <c r="BM466" i="2" s="1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U470" i="2" s="1"/>
  <c r="AQ470" i="2"/>
  <c r="AV470" i="2" s="1"/>
  <c r="AR470" i="2"/>
  <c r="AW470" i="2" s="1"/>
  <c r="AS470" i="2"/>
  <c r="AX470" i="2" s="1"/>
  <c r="AT470" i="2"/>
  <c r="AY470" i="2" s="1"/>
  <c r="BH470" i="2" s="1"/>
  <c r="BM470" i="2" s="1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U480" i="2" s="1"/>
  <c r="AQ480" i="2"/>
  <c r="AV480" i="2" s="1"/>
  <c r="AR480" i="2"/>
  <c r="AW480" i="2" s="1"/>
  <c r="AS480" i="2"/>
  <c r="AX480" i="2" s="1"/>
  <c r="AT480" i="2"/>
  <c r="AY480" i="2" s="1"/>
  <c r="BH480" i="2" s="1"/>
  <c r="BM480" i="2" s="1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U496" i="2" s="1"/>
  <c r="AQ496" i="2"/>
  <c r="AV496" i="2" s="1"/>
  <c r="AR496" i="2"/>
  <c r="AW496" i="2" s="1"/>
  <c r="AS496" i="2"/>
  <c r="AX496" i="2" s="1"/>
  <c r="AT496" i="2"/>
  <c r="AY496" i="2" s="1"/>
  <c r="BH496" i="2" s="1"/>
  <c r="BM496" i="2" s="1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U504" i="2" s="1"/>
  <c r="AQ504" i="2"/>
  <c r="AV504" i="2" s="1"/>
  <c r="AR504" i="2"/>
  <c r="AW504" i="2" s="1"/>
  <c r="AS504" i="2"/>
  <c r="AX504" i="2" s="1"/>
  <c r="AT504" i="2"/>
  <c r="AY504" i="2" s="1"/>
  <c r="BH504" i="2" s="1"/>
  <c r="BM504" i="2" s="1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U507" i="2" s="1"/>
  <c r="AQ507" i="2"/>
  <c r="AV507" i="2" s="1"/>
  <c r="AR507" i="2"/>
  <c r="AW507" i="2" s="1"/>
  <c r="AS507" i="2"/>
  <c r="AX507" i="2" s="1"/>
  <c r="AT507" i="2"/>
  <c r="AY507" i="2" s="1"/>
  <c r="BH507" i="2" s="1"/>
  <c r="BM507" i="2" s="1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U513" i="2" s="1"/>
  <c r="AQ513" i="2"/>
  <c r="AV513" i="2" s="1"/>
  <c r="AR513" i="2"/>
  <c r="AW513" i="2" s="1"/>
  <c r="AS513" i="2"/>
  <c r="AX513" i="2" s="1"/>
  <c r="AT513" i="2"/>
  <c r="AY513" i="2" s="1"/>
  <c r="BH513" i="2" s="1"/>
  <c r="BM513" i="2" s="1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U518" i="2" s="1"/>
  <c r="AQ518" i="2"/>
  <c r="AV518" i="2" s="1"/>
  <c r="AR518" i="2"/>
  <c r="AW518" i="2" s="1"/>
  <c r="AS518" i="2"/>
  <c r="AX518" i="2" s="1"/>
  <c r="AT518" i="2"/>
  <c r="AY518" i="2" s="1"/>
  <c r="BH518" i="2" s="1"/>
  <c r="BM518" i="2" s="1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U524" i="2" s="1"/>
  <c r="AQ524" i="2"/>
  <c r="AV524" i="2" s="1"/>
  <c r="AR524" i="2"/>
  <c r="AW524" i="2" s="1"/>
  <c r="AS524" i="2"/>
  <c r="AX524" i="2" s="1"/>
  <c r="AT524" i="2"/>
  <c r="AY524" i="2" s="1"/>
  <c r="BH524" i="2" s="1"/>
  <c r="BM524" i="2" s="1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U530" i="2" s="1"/>
  <c r="AQ530" i="2"/>
  <c r="AV530" i="2" s="1"/>
  <c r="AR530" i="2"/>
  <c r="AW530" i="2" s="1"/>
  <c r="AS530" i="2"/>
  <c r="AX530" i="2" s="1"/>
  <c r="AT530" i="2"/>
  <c r="AY530" i="2" s="1"/>
  <c r="BH530" i="2" s="1"/>
  <c r="BM530" i="2" s="1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U535" i="2" s="1"/>
  <c r="AQ535" i="2"/>
  <c r="AV535" i="2" s="1"/>
  <c r="AR535" i="2"/>
  <c r="AW535" i="2" s="1"/>
  <c r="AS535" i="2"/>
  <c r="AX535" i="2" s="1"/>
  <c r="AT535" i="2"/>
  <c r="AY535" i="2" s="1"/>
  <c r="BH535" i="2" s="1"/>
  <c r="BM535" i="2" s="1"/>
  <c r="AP536" i="2"/>
  <c r="AQ536" i="2"/>
  <c r="AR536" i="2"/>
  <c r="AS536" i="2"/>
  <c r="AT536" i="2"/>
  <c r="AP537" i="2"/>
  <c r="AU537" i="2" s="1"/>
  <c r="AQ537" i="2"/>
  <c r="AV537" i="2" s="1"/>
  <c r="AR537" i="2"/>
  <c r="AW537" i="2" s="1"/>
  <c r="AS537" i="2"/>
  <c r="AX537" i="2" s="1"/>
  <c r="AT537" i="2"/>
  <c r="AY537" i="2" s="1"/>
  <c r="BH537" i="2" s="1"/>
  <c r="BM537" i="2" s="1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U540" i="2" s="1"/>
  <c r="AQ540" i="2"/>
  <c r="AV540" i="2" s="1"/>
  <c r="AR540" i="2"/>
  <c r="AW540" i="2" s="1"/>
  <c r="AS540" i="2"/>
  <c r="AX540" i="2" s="1"/>
  <c r="AT540" i="2"/>
  <c r="AY540" i="2" s="1"/>
  <c r="BH540" i="2" s="1"/>
  <c r="BM540" i="2" s="1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U545" i="2" s="1"/>
  <c r="AQ545" i="2"/>
  <c r="AV545" i="2" s="1"/>
  <c r="AR545" i="2"/>
  <c r="AW545" i="2" s="1"/>
  <c r="AS545" i="2"/>
  <c r="AX545" i="2" s="1"/>
  <c r="AT545" i="2"/>
  <c r="AY545" i="2" s="1"/>
  <c r="BH545" i="2" s="1"/>
  <c r="BM545" i="2" s="1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U550" i="2" s="1"/>
  <c r="AQ550" i="2"/>
  <c r="AV550" i="2" s="1"/>
  <c r="AR550" i="2"/>
  <c r="AW550" i="2" s="1"/>
  <c r="AS550" i="2"/>
  <c r="AX550" i="2" s="1"/>
  <c r="AT550" i="2"/>
  <c r="AY550" i="2" s="1"/>
  <c r="BH550" i="2" s="1"/>
  <c r="BM550" i="2" s="1"/>
  <c r="AP551" i="2"/>
  <c r="AQ551" i="2"/>
  <c r="AR551" i="2"/>
  <c r="AS551" i="2"/>
  <c r="AT551" i="2"/>
  <c r="AP552" i="2"/>
  <c r="AU552" i="2" s="1"/>
  <c r="AQ552" i="2"/>
  <c r="AV552" i="2" s="1"/>
  <c r="AR552" i="2"/>
  <c r="AW552" i="2" s="1"/>
  <c r="AS552" i="2"/>
  <c r="AX552" i="2" s="1"/>
  <c r="AT552" i="2"/>
  <c r="AY552" i="2" s="1"/>
  <c r="BH552" i="2" s="1"/>
  <c r="BM552" i="2" s="1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U557" i="2" s="1"/>
  <c r="AQ557" i="2"/>
  <c r="AV557" i="2" s="1"/>
  <c r="AR557" i="2"/>
  <c r="AW557" i="2" s="1"/>
  <c r="AS557" i="2"/>
  <c r="AX557" i="2" s="1"/>
  <c r="AT557" i="2"/>
  <c r="AY557" i="2" s="1"/>
  <c r="BH557" i="2" s="1"/>
  <c r="BM557" i="2" s="1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U561" i="2" s="1"/>
  <c r="AQ561" i="2"/>
  <c r="AV561" i="2" s="1"/>
  <c r="AR561" i="2"/>
  <c r="AW561" i="2" s="1"/>
  <c r="AS561" i="2"/>
  <c r="AX561" i="2" s="1"/>
  <c r="AT561" i="2"/>
  <c r="AY561" i="2" s="1"/>
  <c r="BH561" i="2" s="1"/>
  <c r="BM561" i="2" s="1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U564" i="2" s="1"/>
  <c r="AQ564" i="2"/>
  <c r="AV564" i="2" s="1"/>
  <c r="AR564" i="2"/>
  <c r="AW564" i="2" s="1"/>
  <c r="AS564" i="2"/>
  <c r="AX564" i="2" s="1"/>
  <c r="AT564" i="2"/>
  <c r="AY564" i="2" s="1"/>
  <c r="BH564" i="2" s="1"/>
  <c r="BM564" i="2" s="1"/>
  <c r="AP565" i="2"/>
  <c r="AU565" i="2" s="1"/>
  <c r="AQ565" i="2"/>
  <c r="AV565" i="2" s="1"/>
  <c r="AR565" i="2"/>
  <c r="AW565" i="2" s="1"/>
  <c r="AS565" i="2"/>
  <c r="AX565" i="2" s="1"/>
  <c r="AT565" i="2"/>
  <c r="AY565" i="2" s="1"/>
  <c r="BH565" i="2" s="1"/>
  <c r="BM565" i="2" s="1"/>
  <c r="AP566" i="2"/>
  <c r="AU566" i="2" s="1"/>
  <c r="AQ566" i="2"/>
  <c r="AV566" i="2" s="1"/>
  <c r="AR566" i="2"/>
  <c r="AW566" i="2" s="1"/>
  <c r="AS566" i="2"/>
  <c r="AX566" i="2" s="1"/>
  <c r="AT566" i="2"/>
  <c r="AY566" i="2" s="1"/>
  <c r="BH566" i="2" s="1"/>
  <c r="BM566" i="2" s="1"/>
  <c r="AP567" i="2"/>
  <c r="AQ567" i="2"/>
  <c r="AR567" i="2"/>
  <c r="AS567" i="2"/>
  <c r="AT567" i="2"/>
  <c r="AP568" i="2"/>
  <c r="AU568" i="2" s="1"/>
  <c r="AQ568" i="2"/>
  <c r="AV568" i="2" s="1"/>
  <c r="AR568" i="2"/>
  <c r="AW568" i="2" s="1"/>
  <c r="AS568" i="2"/>
  <c r="AX568" i="2" s="1"/>
  <c r="AT568" i="2"/>
  <c r="AY568" i="2" s="1"/>
  <c r="BH568" i="2" s="1"/>
  <c r="BM568" i="2" s="1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U572" i="2" s="1"/>
  <c r="AQ572" i="2"/>
  <c r="AV572" i="2" s="1"/>
  <c r="AR572" i="2"/>
  <c r="AW572" i="2" s="1"/>
  <c r="AS572" i="2"/>
  <c r="AX572" i="2" s="1"/>
  <c r="AT572" i="2"/>
  <c r="AY572" i="2" s="1"/>
  <c r="BH572" i="2" s="1"/>
  <c r="BM572" i="2" s="1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U575" i="2" s="1"/>
  <c r="AQ575" i="2"/>
  <c r="AV575" i="2" s="1"/>
  <c r="AR575" i="2"/>
  <c r="AW575" i="2" s="1"/>
  <c r="AS575" i="2"/>
  <c r="AX575" i="2" s="1"/>
  <c r="AT575" i="2"/>
  <c r="AY575" i="2" s="1"/>
  <c r="BH575" i="2" s="1"/>
  <c r="BM575" i="2" s="1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U580" i="2" s="1"/>
  <c r="AQ580" i="2"/>
  <c r="AV580" i="2" s="1"/>
  <c r="AR580" i="2"/>
  <c r="AW580" i="2" s="1"/>
  <c r="AS580" i="2"/>
  <c r="AX580" i="2" s="1"/>
  <c r="AT580" i="2"/>
  <c r="AY580" i="2" s="1"/>
  <c r="BH580" i="2" s="1"/>
  <c r="BM580" i="2" s="1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U584" i="2" s="1"/>
  <c r="AQ584" i="2"/>
  <c r="AV584" i="2" s="1"/>
  <c r="AR584" i="2"/>
  <c r="AW584" i="2" s="1"/>
  <c r="AS584" i="2"/>
  <c r="AX584" i="2" s="1"/>
  <c r="AT584" i="2"/>
  <c r="AY584" i="2" s="1"/>
  <c r="BH584" i="2" s="1"/>
  <c r="BM584" i="2" s="1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U593" i="2" s="1"/>
  <c r="AQ593" i="2"/>
  <c r="AV593" i="2" s="1"/>
  <c r="AR593" i="2"/>
  <c r="AW593" i="2" s="1"/>
  <c r="AS593" i="2"/>
  <c r="AX593" i="2" s="1"/>
  <c r="AT593" i="2"/>
  <c r="AY593" i="2" s="1"/>
  <c r="BH593" i="2" s="1"/>
  <c r="BM593" i="2" s="1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U602" i="2" s="1"/>
  <c r="AQ602" i="2"/>
  <c r="AV602" i="2" s="1"/>
  <c r="AR602" i="2"/>
  <c r="AW602" i="2" s="1"/>
  <c r="AS602" i="2"/>
  <c r="AX602" i="2" s="1"/>
  <c r="AT602" i="2"/>
  <c r="AY602" i="2" s="1"/>
  <c r="BH602" i="2" s="1"/>
  <c r="BM602" i="2" s="1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U605" i="2" s="1"/>
  <c r="AQ605" i="2"/>
  <c r="AV605" i="2" s="1"/>
  <c r="AR605" i="2"/>
  <c r="AW605" i="2" s="1"/>
  <c r="AS605" i="2"/>
  <c r="AX605" i="2" s="1"/>
  <c r="AT605" i="2"/>
  <c r="AY605" i="2" s="1"/>
  <c r="BH605" i="2" s="1"/>
  <c r="BM605" i="2" s="1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U609" i="2" s="1"/>
  <c r="AQ609" i="2"/>
  <c r="AV609" i="2" s="1"/>
  <c r="AR609" i="2"/>
  <c r="AW609" i="2" s="1"/>
  <c r="AS609" i="2"/>
  <c r="AX609" i="2" s="1"/>
  <c r="AT609" i="2"/>
  <c r="AY609" i="2" s="1"/>
  <c r="BH609" i="2" s="1"/>
  <c r="BM609" i="2" s="1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U615" i="2" s="1"/>
  <c r="AQ615" i="2"/>
  <c r="AV615" i="2" s="1"/>
  <c r="AR615" i="2"/>
  <c r="AW615" i="2" s="1"/>
  <c r="AS615" i="2"/>
  <c r="AX615" i="2" s="1"/>
  <c r="AT615" i="2"/>
  <c r="AY615" i="2" s="1"/>
  <c r="BH615" i="2" s="1"/>
  <c r="BM615" i="2" s="1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P623" i="2"/>
  <c r="AU623" i="2" s="1"/>
  <c r="AQ623" i="2"/>
  <c r="AV623" i="2" s="1"/>
  <c r="AR623" i="2"/>
  <c r="AW623" i="2" s="1"/>
  <c r="AS623" i="2"/>
  <c r="AX623" i="2" s="1"/>
  <c r="AT623" i="2"/>
  <c r="AY623" i="2" s="1"/>
  <c r="BH623" i="2" s="1"/>
  <c r="BM623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BH620" i="1" l="1"/>
  <c r="AN618" i="1"/>
  <c r="AP616" i="1"/>
  <c r="H608" i="1"/>
  <c r="U597" i="1"/>
  <c r="J622" i="1"/>
  <c r="AN571" i="1"/>
  <c r="AO571" i="1"/>
  <c r="AP571" i="1"/>
  <c r="H571" i="1"/>
  <c r="U571" i="1"/>
  <c r="BF571" i="1"/>
  <c r="I571" i="1"/>
  <c r="T571" i="1" s="1"/>
  <c r="V571" i="1"/>
  <c r="J571" i="1"/>
  <c r="W571" i="1"/>
  <c r="BH571" i="1"/>
  <c r="BI571" i="1"/>
  <c r="AL571" i="1"/>
  <c r="BH487" i="1"/>
  <c r="AL487" i="1"/>
  <c r="BI487" i="1"/>
  <c r="AM487" i="1"/>
  <c r="H487" i="1"/>
  <c r="S487" i="1" s="1"/>
  <c r="U487" i="1"/>
  <c r="AN487" i="1"/>
  <c r="I487" i="1"/>
  <c r="T487" i="1" s="1"/>
  <c r="V487" i="1"/>
  <c r="AO487" i="1"/>
  <c r="J487" i="1"/>
  <c r="W487" i="1"/>
  <c r="AP487" i="1"/>
  <c r="BF487" i="1"/>
  <c r="BH355" i="1"/>
  <c r="BI355" i="1"/>
  <c r="AL355" i="1"/>
  <c r="AM355" i="1"/>
  <c r="AN355" i="1"/>
  <c r="AO355" i="1"/>
  <c r="AP355" i="1"/>
  <c r="H355" i="1"/>
  <c r="U355" i="1"/>
  <c r="I355" i="1"/>
  <c r="T355" i="1" s="1"/>
  <c r="V355" i="1"/>
  <c r="J355" i="1"/>
  <c r="W355" i="1"/>
  <c r="BF355" i="1"/>
  <c r="AO283" i="1"/>
  <c r="U283" i="1"/>
  <c r="AP283" i="1"/>
  <c r="H283" i="1"/>
  <c r="V283" i="1"/>
  <c r="I283" i="1"/>
  <c r="T283" i="1" s="1"/>
  <c r="W283" i="1"/>
  <c r="J283" i="1"/>
  <c r="BF283" i="1"/>
  <c r="AL283" i="1"/>
  <c r="AM283" i="1"/>
  <c r="BH283" i="1"/>
  <c r="AN283" i="1"/>
  <c r="BI283" i="1"/>
  <c r="H211" i="1"/>
  <c r="S211" i="1" s="1"/>
  <c r="U211" i="1"/>
  <c r="BF211" i="1"/>
  <c r="I211" i="1"/>
  <c r="T211" i="1" s="1"/>
  <c r="V211" i="1"/>
  <c r="BI211" i="1"/>
  <c r="AL211" i="1"/>
  <c r="AM211" i="1"/>
  <c r="AN211" i="1"/>
  <c r="AO211" i="1"/>
  <c r="J211" i="1"/>
  <c r="W211" i="1"/>
  <c r="AP211" i="1"/>
  <c r="BH211" i="1"/>
  <c r="U139" i="1"/>
  <c r="AP139" i="1"/>
  <c r="H139" i="1"/>
  <c r="S139" i="1" s="1"/>
  <c r="V139" i="1"/>
  <c r="I139" i="1"/>
  <c r="T139" i="1" s="1"/>
  <c r="W139" i="1"/>
  <c r="J139" i="1"/>
  <c r="BH139" i="1"/>
  <c r="AN139" i="1"/>
  <c r="AO139" i="1"/>
  <c r="AM139" i="1"/>
  <c r="BF139" i="1"/>
  <c r="BI139" i="1"/>
  <c r="AL139" i="1"/>
  <c r="J55" i="1"/>
  <c r="V55" i="1"/>
  <c r="AM55" i="1"/>
  <c r="BF55" i="1"/>
  <c r="I55" i="1"/>
  <c r="T55" i="1" s="1"/>
  <c r="U55" i="1"/>
  <c r="AO55" i="1"/>
  <c r="W55" i="1"/>
  <c r="BI55" i="1"/>
  <c r="H55" i="1"/>
  <c r="S55" i="1" s="1"/>
  <c r="AL55" i="1"/>
  <c r="BH55" i="1"/>
  <c r="AN55" i="1"/>
  <c r="AP55" i="1"/>
  <c r="I618" i="1"/>
  <c r="T618" i="1" s="1"/>
  <c r="J606" i="1"/>
  <c r="V606" i="1"/>
  <c r="AP606" i="1"/>
  <c r="W606" i="1"/>
  <c r="BF606" i="1"/>
  <c r="BH606" i="1"/>
  <c r="AL606" i="1"/>
  <c r="BI606" i="1"/>
  <c r="AM606" i="1"/>
  <c r="H606" i="1"/>
  <c r="S606" i="1" s="1"/>
  <c r="AN606" i="1"/>
  <c r="BH594" i="1"/>
  <c r="BI594" i="1"/>
  <c r="AL594" i="1"/>
  <c r="AM594" i="1"/>
  <c r="AN594" i="1"/>
  <c r="AO594" i="1"/>
  <c r="AP594" i="1"/>
  <c r="H594" i="1"/>
  <c r="S594" i="1" s="1"/>
  <c r="U594" i="1"/>
  <c r="I594" i="1"/>
  <c r="T594" i="1" s="1"/>
  <c r="V594" i="1"/>
  <c r="J594" i="1"/>
  <c r="W594" i="1"/>
  <c r="BF594" i="1"/>
  <c r="BF582" i="1"/>
  <c r="BH582" i="1"/>
  <c r="AL582" i="1"/>
  <c r="BI582" i="1"/>
  <c r="AM582" i="1"/>
  <c r="AN582" i="1"/>
  <c r="AO582" i="1"/>
  <c r="H582" i="1"/>
  <c r="S582" i="1" s="1"/>
  <c r="U582" i="1"/>
  <c r="AP582" i="1"/>
  <c r="I582" i="1"/>
  <c r="T582" i="1" s="1"/>
  <c r="V582" i="1"/>
  <c r="J582" i="1"/>
  <c r="W582" i="1"/>
  <c r="I570" i="1"/>
  <c r="T570" i="1" s="1"/>
  <c r="V570" i="1"/>
  <c r="AO570" i="1"/>
  <c r="J570" i="1"/>
  <c r="W570" i="1"/>
  <c r="AP570" i="1"/>
  <c r="BF570" i="1"/>
  <c r="AL570" i="1"/>
  <c r="AM570" i="1"/>
  <c r="BH570" i="1"/>
  <c r="BF558" i="1"/>
  <c r="AL558" i="1"/>
  <c r="H558" i="1"/>
  <c r="S558" i="1" s="1"/>
  <c r="U558" i="1"/>
  <c r="AM558" i="1"/>
  <c r="BH558" i="1"/>
  <c r="I558" i="1"/>
  <c r="T558" i="1" s="1"/>
  <c r="V558" i="1"/>
  <c r="AN558" i="1"/>
  <c r="BI558" i="1"/>
  <c r="J558" i="1"/>
  <c r="W558" i="1"/>
  <c r="AO558" i="1"/>
  <c r="AP558" i="1"/>
  <c r="AL546" i="1"/>
  <c r="AM546" i="1"/>
  <c r="AN546" i="1"/>
  <c r="U546" i="1"/>
  <c r="AO546" i="1"/>
  <c r="H546" i="1"/>
  <c r="S546" i="1" s="1"/>
  <c r="V546" i="1"/>
  <c r="AP546" i="1"/>
  <c r="I546" i="1"/>
  <c r="T546" i="1" s="1"/>
  <c r="W546" i="1"/>
  <c r="J546" i="1"/>
  <c r="BF546" i="1"/>
  <c r="BH546" i="1"/>
  <c r="BI546" i="1"/>
  <c r="I534" i="1"/>
  <c r="T534" i="1" s="1"/>
  <c r="W534" i="1"/>
  <c r="J534" i="1"/>
  <c r="BH534" i="1"/>
  <c r="BI534" i="1"/>
  <c r="AL534" i="1"/>
  <c r="AM534" i="1"/>
  <c r="AN534" i="1"/>
  <c r="AO534" i="1"/>
  <c r="AP534" i="1"/>
  <c r="U534" i="1"/>
  <c r="BF534" i="1"/>
  <c r="H534" i="1"/>
  <c r="H522" i="1"/>
  <c r="S522" i="1" s="1"/>
  <c r="U522" i="1"/>
  <c r="I522" i="1"/>
  <c r="T522" i="1" s="1"/>
  <c r="V522" i="1"/>
  <c r="J522" i="1"/>
  <c r="W522" i="1"/>
  <c r="BF522" i="1"/>
  <c r="BH522" i="1"/>
  <c r="AL522" i="1"/>
  <c r="BI522" i="1"/>
  <c r="AM522" i="1"/>
  <c r="AN522" i="1"/>
  <c r="AO522" i="1"/>
  <c r="AP522" i="1"/>
  <c r="I510" i="1"/>
  <c r="T510" i="1" s="1"/>
  <c r="V510" i="1"/>
  <c r="J510" i="1"/>
  <c r="W510" i="1"/>
  <c r="BF510" i="1"/>
  <c r="BH510" i="1"/>
  <c r="BI510" i="1"/>
  <c r="AL510" i="1"/>
  <c r="AM510" i="1"/>
  <c r="AN510" i="1"/>
  <c r="AO510" i="1"/>
  <c r="AP510" i="1"/>
  <c r="H510" i="1"/>
  <c r="S510" i="1" s="1"/>
  <c r="U510" i="1"/>
  <c r="BH498" i="1"/>
  <c r="AL498" i="1"/>
  <c r="BI498" i="1"/>
  <c r="AM498" i="1"/>
  <c r="AN498" i="1"/>
  <c r="AO498" i="1"/>
  <c r="AP498" i="1"/>
  <c r="U498" i="1"/>
  <c r="H498" i="1"/>
  <c r="V498" i="1"/>
  <c r="I498" i="1"/>
  <c r="T498" i="1" s="1"/>
  <c r="W498" i="1"/>
  <c r="J498" i="1"/>
  <c r="BF498" i="1"/>
  <c r="J486" i="1"/>
  <c r="W486" i="1"/>
  <c r="AO486" i="1"/>
  <c r="AP486" i="1"/>
  <c r="BF486" i="1"/>
  <c r="AL486" i="1"/>
  <c r="BH486" i="1"/>
  <c r="H486" i="1"/>
  <c r="U486" i="1"/>
  <c r="AM486" i="1"/>
  <c r="BI486" i="1"/>
  <c r="I486" i="1"/>
  <c r="T486" i="1" s="1"/>
  <c r="V486" i="1"/>
  <c r="AN486" i="1"/>
  <c r="AP474" i="1"/>
  <c r="U474" i="1"/>
  <c r="H474" i="1"/>
  <c r="V474" i="1"/>
  <c r="I474" i="1"/>
  <c r="T474" i="1" s="1"/>
  <c r="W474" i="1"/>
  <c r="J474" i="1"/>
  <c r="BF474" i="1"/>
  <c r="AL474" i="1"/>
  <c r="BH474" i="1"/>
  <c r="AM474" i="1"/>
  <c r="BI474" i="1"/>
  <c r="AN474" i="1"/>
  <c r="AO474" i="1"/>
  <c r="AN462" i="1"/>
  <c r="AO462" i="1"/>
  <c r="AP462" i="1"/>
  <c r="U462" i="1"/>
  <c r="H462" i="1"/>
  <c r="S462" i="1" s="1"/>
  <c r="V462" i="1"/>
  <c r="I462" i="1"/>
  <c r="T462" i="1" s="1"/>
  <c r="W462" i="1"/>
  <c r="J462" i="1"/>
  <c r="BF462" i="1"/>
  <c r="BH462" i="1"/>
  <c r="BI462" i="1"/>
  <c r="AL462" i="1"/>
  <c r="AM462" i="1"/>
  <c r="AL450" i="1"/>
  <c r="AM450" i="1"/>
  <c r="AN450" i="1"/>
  <c r="AO450" i="1"/>
  <c r="AP450" i="1"/>
  <c r="H450" i="1"/>
  <c r="U450" i="1"/>
  <c r="I450" i="1"/>
  <c r="T450" i="1" s="1"/>
  <c r="V450" i="1"/>
  <c r="J450" i="1"/>
  <c r="W450" i="1"/>
  <c r="BF450" i="1"/>
  <c r="BH450" i="1"/>
  <c r="BI450" i="1"/>
  <c r="BF438" i="1"/>
  <c r="AL438" i="1"/>
  <c r="AM438" i="1"/>
  <c r="BH438" i="1"/>
  <c r="AN438" i="1"/>
  <c r="BI438" i="1"/>
  <c r="H438" i="1"/>
  <c r="S438" i="1" s="1"/>
  <c r="U438" i="1"/>
  <c r="AO438" i="1"/>
  <c r="I438" i="1"/>
  <c r="T438" i="1" s="1"/>
  <c r="V438" i="1"/>
  <c r="AP438" i="1"/>
  <c r="J438" i="1"/>
  <c r="W438" i="1"/>
  <c r="U426" i="1"/>
  <c r="AP426" i="1"/>
  <c r="H426" i="1"/>
  <c r="S426" i="1" s="1"/>
  <c r="V426" i="1"/>
  <c r="I426" i="1"/>
  <c r="T426" i="1" s="1"/>
  <c r="W426" i="1"/>
  <c r="J426" i="1"/>
  <c r="BF426" i="1"/>
  <c r="BH426" i="1"/>
  <c r="AL426" i="1"/>
  <c r="BI426" i="1"/>
  <c r="AM426" i="1"/>
  <c r="AN426" i="1"/>
  <c r="AO426" i="1"/>
  <c r="AL414" i="1"/>
  <c r="BH414" i="1"/>
  <c r="AM414" i="1"/>
  <c r="BI414" i="1"/>
  <c r="AN414" i="1"/>
  <c r="AO414" i="1"/>
  <c r="H414" i="1"/>
  <c r="S414" i="1" s="1"/>
  <c r="U414" i="1"/>
  <c r="AP414" i="1"/>
  <c r="I414" i="1"/>
  <c r="T414" i="1" s="1"/>
  <c r="V414" i="1"/>
  <c r="J414" i="1"/>
  <c r="W414" i="1"/>
  <c r="BF414" i="1"/>
  <c r="I402" i="1"/>
  <c r="T402" i="1" s="1"/>
  <c r="U402" i="1"/>
  <c r="J402" i="1"/>
  <c r="V402" i="1"/>
  <c r="AL402" i="1"/>
  <c r="W402" i="1"/>
  <c r="AM402" i="1"/>
  <c r="AN402" i="1"/>
  <c r="AO402" i="1"/>
  <c r="BF402" i="1"/>
  <c r="AP402" i="1"/>
  <c r="BH402" i="1"/>
  <c r="BI402" i="1"/>
  <c r="H402" i="1"/>
  <c r="S402" i="1" s="1"/>
  <c r="AM390" i="1"/>
  <c r="BH390" i="1"/>
  <c r="AN390" i="1"/>
  <c r="BI390" i="1"/>
  <c r="AO390" i="1"/>
  <c r="U390" i="1"/>
  <c r="AP390" i="1"/>
  <c r="H390" i="1"/>
  <c r="V390" i="1"/>
  <c r="I390" i="1"/>
  <c r="T390" i="1" s="1"/>
  <c r="W390" i="1"/>
  <c r="J390" i="1"/>
  <c r="BF390" i="1"/>
  <c r="AL390" i="1"/>
  <c r="BF378" i="1"/>
  <c r="AL378" i="1"/>
  <c r="AM378" i="1"/>
  <c r="BH378" i="1"/>
  <c r="AN378" i="1"/>
  <c r="BI378" i="1"/>
  <c r="AO378" i="1"/>
  <c r="AP378" i="1"/>
  <c r="U378" i="1"/>
  <c r="H378" i="1"/>
  <c r="S378" i="1" s="1"/>
  <c r="V378" i="1"/>
  <c r="I378" i="1"/>
  <c r="T378" i="1" s="1"/>
  <c r="W378" i="1"/>
  <c r="J378" i="1"/>
  <c r="U366" i="1"/>
  <c r="H366" i="1"/>
  <c r="S366" i="1" s="1"/>
  <c r="V366" i="1"/>
  <c r="I366" i="1"/>
  <c r="W366" i="1"/>
  <c r="J366" i="1"/>
  <c r="BF366" i="1"/>
  <c r="BH366" i="1"/>
  <c r="BI366" i="1"/>
  <c r="AL366" i="1"/>
  <c r="AN366" i="1"/>
  <c r="AO366" i="1"/>
  <c r="AM366" i="1"/>
  <c r="AP366" i="1"/>
  <c r="I354" i="1"/>
  <c r="T354" i="1" s="1"/>
  <c r="V354" i="1"/>
  <c r="BF354" i="1"/>
  <c r="J354" i="1"/>
  <c r="W354" i="1"/>
  <c r="BH354" i="1"/>
  <c r="BI354" i="1"/>
  <c r="AL354" i="1"/>
  <c r="AM354" i="1"/>
  <c r="AN354" i="1"/>
  <c r="AO354" i="1"/>
  <c r="AP354" i="1"/>
  <c r="H354" i="1"/>
  <c r="S354" i="1" s="1"/>
  <c r="U354" i="1"/>
  <c r="AM342" i="1"/>
  <c r="AN342" i="1"/>
  <c r="AO342" i="1"/>
  <c r="AP342" i="1"/>
  <c r="H342" i="1"/>
  <c r="U342" i="1"/>
  <c r="I342" i="1"/>
  <c r="T342" i="1" s="1"/>
  <c r="V342" i="1"/>
  <c r="J342" i="1"/>
  <c r="W342" i="1"/>
  <c r="BF342" i="1"/>
  <c r="BH342" i="1"/>
  <c r="BI342" i="1"/>
  <c r="AL342" i="1"/>
  <c r="H330" i="1"/>
  <c r="S330" i="1" s="1"/>
  <c r="V330" i="1"/>
  <c r="I330" i="1"/>
  <c r="W330" i="1"/>
  <c r="BF330" i="1"/>
  <c r="J330" i="1"/>
  <c r="BH330" i="1"/>
  <c r="BI330" i="1"/>
  <c r="AL330" i="1"/>
  <c r="AM330" i="1"/>
  <c r="AN330" i="1"/>
  <c r="AO330" i="1"/>
  <c r="AP330" i="1"/>
  <c r="U330" i="1"/>
  <c r="J318" i="1"/>
  <c r="BF318" i="1"/>
  <c r="BI318" i="1"/>
  <c r="AL318" i="1"/>
  <c r="H318" i="1"/>
  <c r="S318" i="1" s="1"/>
  <c r="V318" i="1"/>
  <c r="AM318" i="1"/>
  <c r="AN318" i="1"/>
  <c r="AO318" i="1"/>
  <c r="AP318" i="1"/>
  <c r="I318" i="1"/>
  <c r="T318" i="1" s="1"/>
  <c r="BH318" i="1"/>
  <c r="U318" i="1"/>
  <c r="W318" i="1"/>
  <c r="H306" i="1"/>
  <c r="V306" i="1"/>
  <c r="I306" i="1"/>
  <c r="T306" i="1" s="1"/>
  <c r="W306" i="1"/>
  <c r="BF306" i="1"/>
  <c r="J306" i="1"/>
  <c r="BH306" i="1"/>
  <c r="BI306" i="1"/>
  <c r="AL306" i="1"/>
  <c r="AM306" i="1"/>
  <c r="AN306" i="1"/>
  <c r="AO306" i="1"/>
  <c r="AP306" i="1"/>
  <c r="U306" i="1"/>
  <c r="BF294" i="1"/>
  <c r="BH294" i="1"/>
  <c r="BI294" i="1"/>
  <c r="AL294" i="1"/>
  <c r="AM294" i="1"/>
  <c r="AN294" i="1"/>
  <c r="AO294" i="1"/>
  <c r="H294" i="1"/>
  <c r="U294" i="1"/>
  <c r="AP294" i="1"/>
  <c r="I294" i="1"/>
  <c r="T294" i="1" s="1"/>
  <c r="V294" i="1"/>
  <c r="J294" i="1"/>
  <c r="W294" i="1"/>
  <c r="AP282" i="1"/>
  <c r="H282" i="1"/>
  <c r="U282" i="1"/>
  <c r="I282" i="1"/>
  <c r="T282" i="1" s="1"/>
  <c r="V282" i="1"/>
  <c r="J282" i="1"/>
  <c r="W282" i="1"/>
  <c r="BF282" i="1"/>
  <c r="BH282" i="1"/>
  <c r="BI282" i="1"/>
  <c r="AL282" i="1"/>
  <c r="AM282" i="1"/>
  <c r="AN282" i="1"/>
  <c r="AO282" i="1"/>
  <c r="H270" i="1"/>
  <c r="S270" i="1" s="1"/>
  <c r="U270" i="1"/>
  <c r="J270" i="1"/>
  <c r="W270" i="1"/>
  <c r="BF270" i="1"/>
  <c r="BH270" i="1"/>
  <c r="BI270" i="1"/>
  <c r="AM270" i="1"/>
  <c r="AO270" i="1"/>
  <c r="V270" i="1"/>
  <c r="AL270" i="1"/>
  <c r="AN270" i="1"/>
  <c r="AP270" i="1"/>
  <c r="I270" i="1"/>
  <c r="T270" i="1" s="1"/>
  <c r="U258" i="1"/>
  <c r="H258" i="1"/>
  <c r="S258" i="1" s="1"/>
  <c r="V258" i="1"/>
  <c r="I258" i="1"/>
  <c r="T258" i="1" s="1"/>
  <c r="W258" i="1"/>
  <c r="BF258" i="1"/>
  <c r="J258" i="1"/>
  <c r="BH258" i="1"/>
  <c r="BI258" i="1"/>
  <c r="AL258" i="1"/>
  <c r="AM258" i="1"/>
  <c r="AO258" i="1"/>
  <c r="AN258" i="1"/>
  <c r="AP258" i="1"/>
  <c r="AM246" i="1"/>
  <c r="AN246" i="1"/>
  <c r="AO246" i="1"/>
  <c r="AP246" i="1"/>
  <c r="U246" i="1"/>
  <c r="H246" i="1"/>
  <c r="V246" i="1"/>
  <c r="I246" i="1"/>
  <c r="T246" i="1" s="1"/>
  <c r="W246" i="1"/>
  <c r="J246" i="1"/>
  <c r="BF246" i="1"/>
  <c r="BI246" i="1"/>
  <c r="AL246" i="1"/>
  <c r="BH246" i="1"/>
  <c r="AL234" i="1"/>
  <c r="BH234" i="1"/>
  <c r="AM234" i="1"/>
  <c r="BI234" i="1"/>
  <c r="U234" i="1"/>
  <c r="AN234" i="1"/>
  <c r="H234" i="1"/>
  <c r="S234" i="1" s="1"/>
  <c r="V234" i="1"/>
  <c r="AO234" i="1"/>
  <c r="I234" i="1"/>
  <c r="T234" i="1" s="1"/>
  <c r="W234" i="1"/>
  <c r="AP234" i="1"/>
  <c r="J234" i="1"/>
  <c r="BF234" i="1"/>
  <c r="H222" i="1"/>
  <c r="S222" i="1" s="1"/>
  <c r="V222" i="1"/>
  <c r="I222" i="1"/>
  <c r="T222" i="1" s="1"/>
  <c r="W222" i="1"/>
  <c r="BF222" i="1"/>
  <c r="AL222" i="1"/>
  <c r="BI222" i="1"/>
  <c r="AM222" i="1"/>
  <c r="AN222" i="1"/>
  <c r="AO222" i="1"/>
  <c r="AP222" i="1"/>
  <c r="J222" i="1"/>
  <c r="U222" i="1"/>
  <c r="BH222" i="1"/>
  <c r="AL210" i="1"/>
  <c r="BI210" i="1"/>
  <c r="AM210" i="1"/>
  <c r="AN210" i="1"/>
  <c r="AO210" i="1"/>
  <c r="AP210" i="1"/>
  <c r="U210" i="1"/>
  <c r="H210" i="1"/>
  <c r="S210" i="1" s="1"/>
  <c r="V210" i="1"/>
  <c r="I210" i="1"/>
  <c r="T210" i="1" s="1"/>
  <c r="W210" i="1"/>
  <c r="J210" i="1"/>
  <c r="BF210" i="1"/>
  <c r="BH210" i="1"/>
  <c r="I198" i="1"/>
  <c r="T198" i="1" s="1"/>
  <c r="W198" i="1"/>
  <c r="AO198" i="1"/>
  <c r="BI198" i="1"/>
  <c r="J198" i="1"/>
  <c r="AP198" i="1"/>
  <c r="U198" i="1"/>
  <c r="AM198" i="1"/>
  <c r="BF198" i="1"/>
  <c r="AL198" i="1"/>
  <c r="H198" i="1"/>
  <c r="S198" i="1" s="1"/>
  <c r="V198" i="1"/>
  <c r="AN198" i="1"/>
  <c r="BH198" i="1"/>
  <c r="I186" i="1"/>
  <c r="T186" i="1" s="1"/>
  <c r="V186" i="1"/>
  <c r="J186" i="1"/>
  <c r="W186" i="1"/>
  <c r="BF186" i="1"/>
  <c r="BH186" i="1"/>
  <c r="BI186" i="1"/>
  <c r="AL186" i="1"/>
  <c r="AM186" i="1"/>
  <c r="AN186" i="1"/>
  <c r="AP186" i="1"/>
  <c r="H186" i="1"/>
  <c r="S186" i="1" s="1"/>
  <c r="U186" i="1"/>
  <c r="AO186" i="1"/>
  <c r="BF174" i="1"/>
  <c r="AL174" i="1"/>
  <c r="BH174" i="1"/>
  <c r="AM174" i="1"/>
  <c r="BI174" i="1"/>
  <c r="AN174" i="1"/>
  <c r="H174" i="1"/>
  <c r="S174" i="1" s="1"/>
  <c r="U174" i="1"/>
  <c r="AO174" i="1"/>
  <c r="I174" i="1"/>
  <c r="T174" i="1" s="1"/>
  <c r="V174" i="1"/>
  <c r="AP174" i="1"/>
  <c r="J174" i="1"/>
  <c r="W174" i="1"/>
  <c r="AP162" i="1"/>
  <c r="H162" i="1"/>
  <c r="U162" i="1"/>
  <c r="I162" i="1"/>
  <c r="T162" i="1" s="1"/>
  <c r="V162" i="1"/>
  <c r="AN162" i="1"/>
  <c r="AL162" i="1"/>
  <c r="AM162" i="1"/>
  <c r="AO162" i="1"/>
  <c r="J162" i="1"/>
  <c r="BF162" i="1"/>
  <c r="BH162" i="1"/>
  <c r="BI162" i="1"/>
  <c r="W162" i="1"/>
  <c r="AN150" i="1"/>
  <c r="AO150" i="1"/>
  <c r="AP150" i="1"/>
  <c r="H150" i="1"/>
  <c r="S150" i="1" s="1"/>
  <c r="U150" i="1"/>
  <c r="AL150" i="1"/>
  <c r="BH150" i="1"/>
  <c r="AM150" i="1"/>
  <c r="BI150" i="1"/>
  <c r="V150" i="1"/>
  <c r="W150" i="1"/>
  <c r="J150" i="1"/>
  <c r="BF150" i="1"/>
  <c r="I150" i="1"/>
  <c r="T150" i="1" s="1"/>
  <c r="AO138" i="1"/>
  <c r="H138" i="1"/>
  <c r="S138" i="1" s="1"/>
  <c r="U138" i="1"/>
  <c r="AP138" i="1"/>
  <c r="J138" i="1"/>
  <c r="W138" i="1"/>
  <c r="AL138" i="1"/>
  <c r="V138" i="1"/>
  <c r="AM138" i="1"/>
  <c r="AN138" i="1"/>
  <c r="BF138" i="1"/>
  <c r="I138" i="1"/>
  <c r="T138" i="1" s="1"/>
  <c r="BH138" i="1"/>
  <c r="BI138" i="1"/>
  <c r="AM126" i="1"/>
  <c r="BI126" i="1"/>
  <c r="AN126" i="1"/>
  <c r="AP126" i="1"/>
  <c r="U126" i="1"/>
  <c r="H126" i="1"/>
  <c r="V126" i="1"/>
  <c r="I126" i="1"/>
  <c r="T126" i="1" s="1"/>
  <c r="W126" i="1"/>
  <c r="BF126" i="1"/>
  <c r="AO126" i="1"/>
  <c r="J126" i="1"/>
  <c r="BH126" i="1"/>
  <c r="AL126" i="1"/>
  <c r="BF114" i="1"/>
  <c r="AM114" i="1"/>
  <c r="BI114" i="1"/>
  <c r="AN114" i="1"/>
  <c r="H114" i="1"/>
  <c r="U114" i="1"/>
  <c r="AO114" i="1"/>
  <c r="V114" i="1"/>
  <c r="W114" i="1"/>
  <c r="I114" i="1"/>
  <c r="T114" i="1" s="1"/>
  <c r="AP114" i="1"/>
  <c r="J114" i="1"/>
  <c r="AL114" i="1"/>
  <c r="BH114" i="1"/>
  <c r="AN102" i="1"/>
  <c r="AO102" i="1"/>
  <c r="AP102" i="1"/>
  <c r="U102" i="1"/>
  <c r="H102" i="1"/>
  <c r="S102" i="1" s="1"/>
  <c r="V102" i="1"/>
  <c r="BF102" i="1"/>
  <c r="I102" i="1"/>
  <c r="T102" i="1" s="1"/>
  <c r="W102" i="1"/>
  <c r="BI102" i="1"/>
  <c r="J102" i="1"/>
  <c r="AL102" i="1"/>
  <c r="AM102" i="1"/>
  <c r="BH102" i="1"/>
  <c r="BF90" i="1"/>
  <c r="BH90" i="1"/>
  <c r="AL90" i="1"/>
  <c r="AM90" i="1"/>
  <c r="AN90" i="1"/>
  <c r="AO90" i="1"/>
  <c r="H90" i="1"/>
  <c r="S90" i="1" s="1"/>
  <c r="U90" i="1"/>
  <c r="AP90" i="1"/>
  <c r="I90" i="1"/>
  <c r="T90" i="1" s="1"/>
  <c r="V90" i="1"/>
  <c r="BI90" i="1"/>
  <c r="W90" i="1"/>
  <c r="J90" i="1"/>
  <c r="AM78" i="1"/>
  <c r="AN78" i="1"/>
  <c r="AO78" i="1"/>
  <c r="H78" i="1"/>
  <c r="S78" i="1" s="1"/>
  <c r="V78" i="1"/>
  <c r="I78" i="1"/>
  <c r="T78" i="1" s="1"/>
  <c r="W78" i="1"/>
  <c r="J78" i="1"/>
  <c r="BH78" i="1"/>
  <c r="AP78" i="1"/>
  <c r="BF78" i="1"/>
  <c r="U78" i="1"/>
  <c r="AL78" i="1"/>
  <c r="BI78" i="1"/>
  <c r="H66" i="1"/>
  <c r="S66" i="1" s="1"/>
  <c r="U66" i="1"/>
  <c r="AO66" i="1"/>
  <c r="BH66" i="1"/>
  <c r="BI66" i="1"/>
  <c r="AL66" i="1"/>
  <c r="AM66" i="1"/>
  <c r="AN66" i="1"/>
  <c r="AP66" i="1"/>
  <c r="I66" i="1"/>
  <c r="T66" i="1" s="1"/>
  <c r="BF66" i="1"/>
  <c r="J66" i="1"/>
  <c r="W66" i="1"/>
  <c r="V66" i="1"/>
  <c r="AL54" i="1"/>
  <c r="U54" i="1"/>
  <c r="J54" i="1"/>
  <c r="BI54" i="1"/>
  <c r="AO54" i="1"/>
  <c r="V54" i="1"/>
  <c r="AM54" i="1"/>
  <c r="AN54" i="1"/>
  <c r="H54" i="1"/>
  <c r="S54" i="1" s="1"/>
  <c r="AP54" i="1"/>
  <c r="BF54" i="1"/>
  <c r="BH54" i="1"/>
  <c r="I54" i="1"/>
  <c r="T54" i="1" s="1"/>
  <c r="W54" i="1"/>
  <c r="I42" i="1"/>
  <c r="T42" i="1" s="1"/>
  <c r="W42" i="1"/>
  <c r="J42" i="1"/>
  <c r="BF42" i="1"/>
  <c r="U42" i="1"/>
  <c r="BI42" i="1"/>
  <c r="AL42" i="1"/>
  <c r="AP42" i="1"/>
  <c r="V42" i="1"/>
  <c r="AN42" i="1"/>
  <c r="H42" i="1"/>
  <c r="S42" i="1" s="1"/>
  <c r="BH42" i="1"/>
  <c r="AM42" i="1"/>
  <c r="AO42" i="1"/>
  <c r="AL30" i="1"/>
  <c r="AM30" i="1"/>
  <c r="AO30" i="1"/>
  <c r="U30" i="1"/>
  <c r="BF30" i="1"/>
  <c r="I30" i="1"/>
  <c r="T30" i="1" s="1"/>
  <c r="J30" i="1"/>
  <c r="AN30" i="1"/>
  <c r="W30" i="1"/>
  <c r="AP30" i="1"/>
  <c r="BH30" i="1"/>
  <c r="V30" i="1"/>
  <c r="BI30" i="1"/>
  <c r="H30" i="1"/>
  <c r="S30" i="1" s="1"/>
  <c r="J18" i="1"/>
  <c r="W18" i="1"/>
  <c r="BF18" i="1"/>
  <c r="BH18" i="1"/>
  <c r="AL18" i="1"/>
  <c r="BI18" i="1"/>
  <c r="AM18" i="1"/>
  <c r="AN18" i="1"/>
  <c r="H18" i="1"/>
  <c r="U18" i="1"/>
  <c r="AO18" i="1"/>
  <c r="V18" i="1"/>
  <c r="I18" i="1"/>
  <c r="T18" i="1" s="1"/>
  <c r="AP18" i="1"/>
  <c r="AM6" i="1"/>
  <c r="H6" i="1"/>
  <c r="U6" i="1"/>
  <c r="AN6" i="1"/>
  <c r="I6" i="1"/>
  <c r="T6" i="1" s="1"/>
  <c r="V6" i="1"/>
  <c r="AO6" i="1"/>
  <c r="BF6" i="1"/>
  <c r="J6" i="1"/>
  <c r="W6" i="1"/>
  <c r="AP6" i="1"/>
  <c r="BH6" i="1"/>
  <c r="BI6" i="1"/>
  <c r="AL6" i="1"/>
  <c r="W622" i="1"/>
  <c r="I622" i="1"/>
  <c r="T622" i="1" s="1"/>
  <c r="W619" i="1"/>
  <c r="J619" i="1"/>
  <c r="BF618" i="1"/>
  <c r="AM618" i="1"/>
  <c r="U618" i="1"/>
  <c r="AN616" i="1"/>
  <c r="J523" i="1"/>
  <c r="W523" i="1"/>
  <c r="BF523" i="1"/>
  <c r="AL523" i="1"/>
  <c r="BH523" i="1"/>
  <c r="AM523" i="1"/>
  <c r="BI523" i="1"/>
  <c r="AN523" i="1"/>
  <c r="AO523" i="1"/>
  <c r="AP523" i="1"/>
  <c r="H523" i="1"/>
  <c r="S523" i="1" s="1"/>
  <c r="U523" i="1"/>
  <c r="I523" i="1"/>
  <c r="T523" i="1" s="1"/>
  <c r="V523" i="1"/>
  <c r="J439" i="1"/>
  <c r="W439" i="1"/>
  <c r="BF439" i="1"/>
  <c r="AL439" i="1"/>
  <c r="BH439" i="1"/>
  <c r="AM439" i="1"/>
  <c r="BI439" i="1"/>
  <c r="AN439" i="1"/>
  <c r="AO439" i="1"/>
  <c r="AP439" i="1"/>
  <c r="H439" i="1"/>
  <c r="S439" i="1" s="1"/>
  <c r="U439" i="1"/>
  <c r="I439" i="1"/>
  <c r="T439" i="1" s="1"/>
  <c r="V439" i="1"/>
  <c r="J367" i="1"/>
  <c r="BF367" i="1"/>
  <c r="BH367" i="1"/>
  <c r="AL367" i="1"/>
  <c r="BI367" i="1"/>
  <c r="AM367" i="1"/>
  <c r="AN367" i="1"/>
  <c r="U367" i="1"/>
  <c r="AP367" i="1"/>
  <c r="H367" i="1"/>
  <c r="V367" i="1"/>
  <c r="I367" i="1"/>
  <c r="T367" i="1" s="1"/>
  <c r="W367" i="1"/>
  <c r="AO367" i="1"/>
  <c r="H271" i="1"/>
  <c r="U271" i="1"/>
  <c r="AN271" i="1"/>
  <c r="I271" i="1"/>
  <c r="T271" i="1" s="1"/>
  <c r="V271" i="1"/>
  <c r="AO271" i="1"/>
  <c r="BH271" i="1"/>
  <c r="AL271" i="1"/>
  <c r="W271" i="1"/>
  <c r="AM271" i="1"/>
  <c r="AP271" i="1"/>
  <c r="BF271" i="1"/>
  <c r="J271" i="1"/>
  <c r="BI271" i="1"/>
  <c r="BH187" i="1"/>
  <c r="BI187" i="1"/>
  <c r="AL187" i="1"/>
  <c r="AM187" i="1"/>
  <c r="AN187" i="1"/>
  <c r="AO187" i="1"/>
  <c r="U187" i="1"/>
  <c r="I187" i="1"/>
  <c r="T187" i="1" s="1"/>
  <c r="W187" i="1"/>
  <c r="BF187" i="1"/>
  <c r="H187" i="1"/>
  <c r="J187" i="1"/>
  <c r="V187" i="1"/>
  <c r="AP187" i="1"/>
  <c r="AL103" i="1"/>
  <c r="H103" i="1"/>
  <c r="S103" i="1" s="1"/>
  <c r="U103" i="1"/>
  <c r="AM103" i="1"/>
  <c r="BF103" i="1"/>
  <c r="J103" i="1"/>
  <c r="W103" i="1"/>
  <c r="AO103" i="1"/>
  <c r="BH103" i="1"/>
  <c r="AP103" i="1"/>
  <c r="BI103" i="1"/>
  <c r="V103" i="1"/>
  <c r="I103" i="1"/>
  <c r="T103" i="1" s="1"/>
  <c r="AN103" i="1"/>
  <c r="BF617" i="1"/>
  <c r="BH617" i="1"/>
  <c r="AL617" i="1"/>
  <c r="BI617" i="1"/>
  <c r="AM617" i="1"/>
  <c r="AN617" i="1"/>
  <c r="I617" i="1"/>
  <c r="T617" i="1" s="1"/>
  <c r="V617" i="1"/>
  <c r="J605" i="1"/>
  <c r="W605" i="1"/>
  <c r="AO605" i="1"/>
  <c r="BH605" i="1"/>
  <c r="AP605" i="1"/>
  <c r="BI605" i="1"/>
  <c r="AL605" i="1"/>
  <c r="H605" i="1"/>
  <c r="U605" i="1"/>
  <c r="AM605" i="1"/>
  <c r="BF605" i="1"/>
  <c r="BH593" i="1"/>
  <c r="BI593" i="1"/>
  <c r="AL593" i="1"/>
  <c r="AM593" i="1"/>
  <c r="AN593" i="1"/>
  <c r="H593" i="1"/>
  <c r="S593" i="1" s="1"/>
  <c r="U593" i="1"/>
  <c r="AO593" i="1"/>
  <c r="I593" i="1"/>
  <c r="T593" i="1" s="1"/>
  <c r="V593" i="1"/>
  <c r="AP593" i="1"/>
  <c r="J593" i="1"/>
  <c r="W593" i="1"/>
  <c r="BF593" i="1"/>
  <c r="AL581" i="1"/>
  <c r="BH581" i="1"/>
  <c r="AM581" i="1"/>
  <c r="BI581" i="1"/>
  <c r="H581" i="1"/>
  <c r="S581" i="1" s="1"/>
  <c r="U581" i="1"/>
  <c r="AN581" i="1"/>
  <c r="I581" i="1"/>
  <c r="T581" i="1" s="1"/>
  <c r="V581" i="1"/>
  <c r="AO581" i="1"/>
  <c r="J581" i="1"/>
  <c r="W581" i="1"/>
  <c r="AP581" i="1"/>
  <c r="I569" i="1"/>
  <c r="T569" i="1" s="1"/>
  <c r="V569" i="1"/>
  <c r="J569" i="1"/>
  <c r="W569" i="1"/>
  <c r="BF569" i="1"/>
  <c r="BH569" i="1"/>
  <c r="BI569" i="1"/>
  <c r="AL569" i="1"/>
  <c r="AM569" i="1"/>
  <c r="AN569" i="1"/>
  <c r="AO569" i="1"/>
  <c r="AP569" i="1"/>
  <c r="BH557" i="1"/>
  <c r="AL557" i="1"/>
  <c r="BI557" i="1"/>
  <c r="AM557" i="1"/>
  <c r="AN557" i="1"/>
  <c r="AO557" i="1"/>
  <c r="AP557" i="1"/>
  <c r="H557" i="1"/>
  <c r="S557" i="1" s="1"/>
  <c r="U557" i="1"/>
  <c r="I557" i="1"/>
  <c r="T557" i="1" s="1"/>
  <c r="V557" i="1"/>
  <c r="J557" i="1"/>
  <c r="W557" i="1"/>
  <c r="BF557" i="1"/>
  <c r="AL545" i="1"/>
  <c r="BI545" i="1"/>
  <c r="AM545" i="1"/>
  <c r="AN545" i="1"/>
  <c r="AO545" i="1"/>
  <c r="AP545" i="1"/>
  <c r="U545" i="1"/>
  <c r="H545" i="1"/>
  <c r="S545" i="1" s="1"/>
  <c r="V545" i="1"/>
  <c r="I545" i="1"/>
  <c r="T545" i="1" s="1"/>
  <c r="W545" i="1"/>
  <c r="J545" i="1"/>
  <c r="BF545" i="1"/>
  <c r="BH545" i="1"/>
  <c r="BF533" i="1"/>
  <c r="BH533" i="1"/>
  <c r="AL533" i="1"/>
  <c r="BI533" i="1"/>
  <c r="AM533" i="1"/>
  <c r="U533" i="1"/>
  <c r="AN533" i="1"/>
  <c r="H533" i="1"/>
  <c r="S533" i="1" s="1"/>
  <c r="V533" i="1"/>
  <c r="AO533" i="1"/>
  <c r="I533" i="1"/>
  <c r="T533" i="1" s="1"/>
  <c r="W533" i="1"/>
  <c r="AP533" i="1"/>
  <c r="J533" i="1"/>
  <c r="U521" i="1"/>
  <c r="H521" i="1"/>
  <c r="V521" i="1"/>
  <c r="I521" i="1"/>
  <c r="T521" i="1" s="1"/>
  <c r="W521" i="1"/>
  <c r="J521" i="1"/>
  <c r="BF521" i="1"/>
  <c r="BH521" i="1"/>
  <c r="AL521" i="1"/>
  <c r="BI521" i="1"/>
  <c r="AM521" i="1"/>
  <c r="AN521" i="1"/>
  <c r="AO521" i="1"/>
  <c r="AP521" i="1"/>
  <c r="AP509" i="1"/>
  <c r="U509" i="1"/>
  <c r="BF509" i="1"/>
  <c r="H509" i="1"/>
  <c r="S509" i="1" s="1"/>
  <c r="V509" i="1"/>
  <c r="I509" i="1"/>
  <c r="T509" i="1" s="1"/>
  <c r="W509" i="1"/>
  <c r="BH509" i="1"/>
  <c r="J509" i="1"/>
  <c r="BI509" i="1"/>
  <c r="AL509" i="1"/>
  <c r="AM509" i="1"/>
  <c r="AN509" i="1"/>
  <c r="AO509" i="1"/>
  <c r="BI497" i="1"/>
  <c r="AL497" i="1"/>
  <c r="AM497" i="1"/>
  <c r="AN497" i="1"/>
  <c r="AO497" i="1"/>
  <c r="U497" i="1"/>
  <c r="AP497" i="1"/>
  <c r="H497" i="1"/>
  <c r="S497" i="1" s="1"/>
  <c r="V497" i="1"/>
  <c r="I497" i="1"/>
  <c r="T497" i="1" s="1"/>
  <c r="W497" i="1"/>
  <c r="J497" i="1"/>
  <c r="BF497" i="1"/>
  <c r="BH497" i="1"/>
  <c r="I485" i="1"/>
  <c r="T485" i="1" s="1"/>
  <c r="V485" i="1"/>
  <c r="BI485" i="1"/>
  <c r="J485" i="1"/>
  <c r="W485" i="1"/>
  <c r="AL485" i="1"/>
  <c r="AM485" i="1"/>
  <c r="AN485" i="1"/>
  <c r="BF485" i="1"/>
  <c r="AO485" i="1"/>
  <c r="H485" i="1"/>
  <c r="U485" i="1"/>
  <c r="AP485" i="1"/>
  <c r="BH485" i="1"/>
  <c r="AO473" i="1"/>
  <c r="AP473" i="1"/>
  <c r="H473" i="1"/>
  <c r="S473" i="1" s="1"/>
  <c r="U473" i="1"/>
  <c r="I473" i="1"/>
  <c r="T473" i="1" s="1"/>
  <c r="V473" i="1"/>
  <c r="J473" i="1"/>
  <c r="W473" i="1"/>
  <c r="BF473" i="1"/>
  <c r="BH473" i="1"/>
  <c r="AL473" i="1"/>
  <c r="BI473" i="1"/>
  <c r="AM473" i="1"/>
  <c r="AN473" i="1"/>
  <c r="AN461" i="1"/>
  <c r="H461" i="1"/>
  <c r="S461" i="1" s="1"/>
  <c r="U461" i="1"/>
  <c r="AO461" i="1"/>
  <c r="I461" i="1"/>
  <c r="T461" i="1" s="1"/>
  <c r="V461" i="1"/>
  <c r="AP461" i="1"/>
  <c r="J461" i="1"/>
  <c r="W461" i="1"/>
  <c r="BF461" i="1"/>
  <c r="AL461" i="1"/>
  <c r="BH461" i="1"/>
  <c r="BI461" i="1"/>
  <c r="AM461" i="1"/>
  <c r="BH449" i="1"/>
  <c r="BI449" i="1"/>
  <c r="AL449" i="1"/>
  <c r="AM449" i="1"/>
  <c r="AN449" i="1"/>
  <c r="AO449" i="1"/>
  <c r="AP449" i="1"/>
  <c r="H449" i="1"/>
  <c r="U449" i="1"/>
  <c r="I449" i="1"/>
  <c r="T449" i="1" s="1"/>
  <c r="V449" i="1"/>
  <c r="J449" i="1"/>
  <c r="W449" i="1"/>
  <c r="BF449" i="1"/>
  <c r="I437" i="1"/>
  <c r="T437" i="1" s="1"/>
  <c r="V437" i="1"/>
  <c r="AM437" i="1"/>
  <c r="J437" i="1"/>
  <c r="W437" i="1"/>
  <c r="AN437" i="1"/>
  <c r="AO437" i="1"/>
  <c r="AP437" i="1"/>
  <c r="BF437" i="1"/>
  <c r="BH437" i="1"/>
  <c r="H437" i="1"/>
  <c r="S437" i="1" s="1"/>
  <c r="U437" i="1"/>
  <c r="AL437" i="1"/>
  <c r="BI437" i="1"/>
  <c r="H425" i="1"/>
  <c r="S425" i="1" s="1"/>
  <c r="U425" i="1"/>
  <c r="I425" i="1"/>
  <c r="T425" i="1" s="1"/>
  <c r="V425" i="1"/>
  <c r="J425" i="1"/>
  <c r="W425" i="1"/>
  <c r="BF425" i="1"/>
  <c r="BH425" i="1"/>
  <c r="AL425" i="1"/>
  <c r="BI425" i="1"/>
  <c r="AM425" i="1"/>
  <c r="AN425" i="1"/>
  <c r="AO425" i="1"/>
  <c r="AP425" i="1"/>
  <c r="AO413" i="1"/>
  <c r="AP413" i="1"/>
  <c r="H413" i="1"/>
  <c r="S413" i="1" s="1"/>
  <c r="U413" i="1"/>
  <c r="I413" i="1"/>
  <c r="T413" i="1" s="1"/>
  <c r="V413" i="1"/>
  <c r="J413" i="1"/>
  <c r="W413" i="1"/>
  <c r="BF413" i="1"/>
  <c r="AL413" i="1"/>
  <c r="AM413" i="1"/>
  <c r="BH413" i="1"/>
  <c r="AN413" i="1"/>
  <c r="BI413" i="1"/>
  <c r="I401" i="1"/>
  <c r="T401" i="1" s="1"/>
  <c r="V401" i="1"/>
  <c r="J401" i="1"/>
  <c r="W401" i="1"/>
  <c r="BF401" i="1"/>
  <c r="BH401" i="1"/>
  <c r="AL401" i="1"/>
  <c r="BI401" i="1"/>
  <c r="AM401" i="1"/>
  <c r="AN401" i="1"/>
  <c r="AO401" i="1"/>
  <c r="AP401" i="1"/>
  <c r="H401" i="1"/>
  <c r="U401" i="1"/>
  <c r="AL389" i="1"/>
  <c r="BI389" i="1"/>
  <c r="AM389" i="1"/>
  <c r="AN389" i="1"/>
  <c r="AO389" i="1"/>
  <c r="H389" i="1"/>
  <c r="S389" i="1" s="1"/>
  <c r="U389" i="1"/>
  <c r="AP389" i="1"/>
  <c r="I389" i="1"/>
  <c r="T389" i="1" s="1"/>
  <c r="V389" i="1"/>
  <c r="J389" i="1"/>
  <c r="W389" i="1"/>
  <c r="BF389" i="1"/>
  <c r="BH389" i="1"/>
  <c r="BF377" i="1"/>
  <c r="BH377" i="1"/>
  <c r="AL377" i="1"/>
  <c r="BI377" i="1"/>
  <c r="AM377" i="1"/>
  <c r="AN377" i="1"/>
  <c r="AO377" i="1"/>
  <c r="H377" i="1"/>
  <c r="S377" i="1" s="1"/>
  <c r="U377" i="1"/>
  <c r="AP377" i="1"/>
  <c r="I377" i="1"/>
  <c r="T377" i="1" s="1"/>
  <c r="V377" i="1"/>
  <c r="J377" i="1"/>
  <c r="W377" i="1"/>
  <c r="AN365" i="1"/>
  <c r="AO365" i="1"/>
  <c r="AP365" i="1"/>
  <c r="U365" i="1"/>
  <c r="H365" i="1"/>
  <c r="S365" i="1" s="1"/>
  <c r="V365" i="1"/>
  <c r="I365" i="1"/>
  <c r="T365" i="1" s="1"/>
  <c r="W365" i="1"/>
  <c r="BF365" i="1"/>
  <c r="J365" i="1"/>
  <c r="BH365" i="1"/>
  <c r="AL365" i="1"/>
  <c r="AM365" i="1"/>
  <c r="BI365" i="1"/>
  <c r="H353" i="1"/>
  <c r="S353" i="1" s="1"/>
  <c r="V353" i="1"/>
  <c r="AP353" i="1"/>
  <c r="I353" i="1"/>
  <c r="T353" i="1" s="1"/>
  <c r="W353" i="1"/>
  <c r="J353" i="1"/>
  <c r="BF353" i="1"/>
  <c r="BH353" i="1"/>
  <c r="BI353" i="1"/>
  <c r="AL353" i="1"/>
  <c r="AM353" i="1"/>
  <c r="AN353" i="1"/>
  <c r="U353" i="1"/>
  <c r="AO353" i="1"/>
  <c r="U341" i="1"/>
  <c r="AM341" i="1"/>
  <c r="H341" i="1"/>
  <c r="V341" i="1"/>
  <c r="AN341" i="1"/>
  <c r="I341" i="1"/>
  <c r="T341" i="1" s="1"/>
  <c r="W341" i="1"/>
  <c r="AO341" i="1"/>
  <c r="J341" i="1"/>
  <c r="AP341" i="1"/>
  <c r="BF341" i="1"/>
  <c r="BH341" i="1"/>
  <c r="AL341" i="1"/>
  <c r="BI341" i="1"/>
  <c r="AN329" i="1"/>
  <c r="AO329" i="1"/>
  <c r="AP329" i="1"/>
  <c r="U329" i="1"/>
  <c r="H329" i="1"/>
  <c r="S329" i="1" s="1"/>
  <c r="V329" i="1"/>
  <c r="I329" i="1"/>
  <c r="T329" i="1" s="1"/>
  <c r="W329" i="1"/>
  <c r="BF329" i="1"/>
  <c r="J329" i="1"/>
  <c r="BH329" i="1"/>
  <c r="BI329" i="1"/>
  <c r="AL329" i="1"/>
  <c r="AM329" i="1"/>
  <c r="H317" i="1"/>
  <c r="S317" i="1" s="1"/>
  <c r="V317" i="1"/>
  <c r="I317" i="1"/>
  <c r="T317" i="1" s="1"/>
  <c r="W317" i="1"/>
  <c r="J317" i="1"/>
  <c r="BF317" i="1"/>
  <c r="BH317" i="1"/>
  <c r="BI317" i="1"/>
  <c r="AP317" i="1"/>
  <c r="U317" i="1"/>
  <c r="AL317" i="1"/>
  <c r="AM317" i="1"/>
  <c r="AN317" i="1"/>
  <c r="AO317" i="1"/>
  <c r="U305" i="1"/>
  <c r="H305" i="1"/>
  <c r="S305" i="1" s="1"/>
  <c r="V305" i="1"/>
  <c r="BF305" i="1"/>
  <c r="I305" i="1"/>
  <c r="T305" i="1" s="1"/>
  <c r="W305" i="1"/>
  <c r="J305" i="1"/>
  <c r="BH305" i="1"/>
  <c r="AL305" i="1"/>
  <c r="BI305" i="1"/>
  <c r="AM305" i="1"/>
  <c r="AN305" i="1"/>
  <c r="AO305" i="1"/>
  <c r="AP305" i="1"/>
  <c r="I293" i="1"/>
  <c r="T293" i="1" s="1"/>
  <c r="W293" i="1"/>
  <c r="J293" i="1"/>
  <c r="BF293" i="1"/>
  <c r="BH293" i="1"/>
  <c r="AL293" i="1"/>
  <c r="BI293" i="1"/>
  <c r="AM293" i="1"/>
  <c r="AN293" i="1"/>
  <c r="AO293" i="1"/>
  <c r="AP293" i="1"/>
  <c r="U293" i="1"/>
  <c r="H293" i="1"/>
  <c r="S293" i="1" s="1"/>
  <c r="V293" i="1"/>
  <c r="AP281" i="1"/>
  <c r="U281" i="1"/>
  <c r="H281" i="1"/>
  <c r="S281" i="1" s="1"/>
  <c r="V281" i="1"/>
  <c r="I281" i="1"/>
  <c r="T281" i="1" s="1"/>
  <c r="W281" i="1"/>
  <c r="J281" i="1"/>
  <c r="BF281" i="1"/>
  <c r="BH281" i="1"/>
  <c r="AL281" i="1"/>
  <c r="BI281" i="1"/>
  <c r="AM281" i="1"/>
  <c r="AN281" i="1"/>
  <c r="AO281" i="1"/>
  <c r="AP269" i="1"/>
  <c r="BF269" i="1"/>
  <c r="AL269" i="1"/>
  <c r="BI269" i="1"/>
  <c r="I269" i="1"/>
  <c r="T269" i="1" s="1"/>
  <c r="V269" i="1"/>
  <c r="AN269" i="1"/>
  <c r="U269" i="1"/>
  <c r="W269" i="1"/>
  <c r="AM269" i="1"/>
  <c r="AO269" i="1"/>
  <c r="BH269" i="1"/>
  <c r="H269" i="1"/>
  <c r="S269" i="1" s="1"/>
  <c r="J269" i="1"/>
  <c r="AO257" i="1"/>
  <c r="AP257" i="1"/>
  <c r="H257" i="1"/>
  <c r="S257" i="1" s="1"/>
  <c r="U257" i="1"/>
  <c r="I257" i="1"/>
  <c r="T257" i="1" s="1"/>
  <c r="V257" i="1"/>
  <c r="J257" i="1"/>
  <c r="W257" i="1"/>
  <c r="BF257" i="1"/>
  <c r="BH257" i="1"/>
  <c r="BI257" i="1"/>
  <c r="AM257" i="1"/>
  <c r="AL257" i="1"/>
  <c r="AN257" i="1"/>
  <c r="AL245" i="1"/>
  <c r="BI245" i="1"/>
  <c r="AM245" i="1"/>
  <c r="AN245" i="1"/>
  <c r="AO245" i="1"/>
  <c r="AP245" i="1"/>
  <c r="H245" i="1"/>
  <c r="S245" i="1" s="1"/>
  <c r="U245" i="1"/>
  <c r="I245" i="1"/>
  <c r="T245" i="1" s="1"/>
  <c r="V245" i="1"/>
  <c r="J245" i="1"/>
  <c r="W245" i="1"/>
  <c r="BF245" i="1"/>
  <c r="BH245" i="1"/>
  <c r="AO233" i="1"/>
  <c r="H233" i="1"/>
  <c r="U233" i="1"/>
  <c r="AP233" i="1"/>
  <c r="I233" i="1"/>
  <c r="T233" i="1" s="1"/>
  <c r="V233" i="1"/>
  <c r="J233" i="1"/>
  <c r="W233" i="1"/>
  <c r="BF233" i="1"/>
  <c r="AM233" i="1"/>
  <c r="BI233" i="1"/>
  <c r="AL233" i="1"/>
  <c r="AN233" i="1"/>
  <c r="BH233" i="1"/>
  <c r="I221" i="1"/>
  <c r="T221" i="1" s="1"/>
  <c r="W221" i="1"/>
  <c r="J221" i="1"/>
  <c r="BF221" i="1"/>
  <c r="AL221" i="1"/>
  <c r="BH221" i="1"/>
  <c r="AM221" i="1"/>
  <c r="BI221" i="1"/>
  <c r="AN221" i="1"/>
  <c r="AO221" i="1"/>
  <c r="U221" i="1"/>
  <c r="AP221" i="1"/>
  <c r="H221" i="1"/>
  <c r="V221" i="1"/>
  <c r="H209" i="1"/>
  <c r="BH209" i="1"/>
  <c r="AL209" i="1"/>
  <c r="BI209" i="1"/>
  <c r="AM209" i="1"/>
  <c r="AN209" i="1"/>
  <c r="V209" i="1"/>
  <c r="AP209" i="1"/>
  <c r="I209" i="1"/>
  <c r="T209" i="1" s="1"/>
  <c r="W209" i="1"/>
  <c r="J209" i="1"/>
  <c r="U209" i="1"/>
  <c r="AO209" i="1"/>
  <c r="BF209" i="1"/>
  <c r="AL197" i="1"/>
  <c r="BH197" i="1"/>
  <c r="AM197" i="1"/>
  <c r="BI197" i="1"/>
  <c r="W197" i="1"/>
  <c r="AN197" i="1"/>
  <c r="H197" i="1"/>
  <c r="AO197" i="1"/>
  <c r="I197" i="1"/>
  <c r="T197" i="1" s="1"/>
  <c r="AP197" i="1"/>
  <c r="J197" i="1"/>
  <c r="BF197" i="1"/>
  <c r="U197" i="1"/>
  <c r="V197" i="1"/>
  <c r="BF185" i="1"/>
  <c r="BH185" i="1"/>
  <c r="AL185" i="1"/>
  <c r="BI185" i="1"/>
  <c r="AM185" i="1"/>
  <c r="AN185" i="1"/>
  <c r="AO185" i="1"/>
  <c r="I185" i="1"/>
  <c r="T185" i="1" s="1"/>
  <c r="V185" i="1"/>
  <c r="H185" i="1"/>
  <c r="S185" i="1" s="1"/>
  <c r="J185" i="1"/>
  <c r="U185" i="1"/>
  <c r="W185" i="1"/>
  <c r="AP185" i="1"/>
  <c r="AL173" i="1"/>
  <c r="BI173" i="1"/>
  <c r="AM173" i="1"/>
  <c r="AN173" i="1"/>
  <c r="AO173" i="1"/>
  <c r="AP173" i="1"/>
  <c r="H173" i="1"/>
  <c r="S173" i="1" s="1"/>
  <c r="U173" i="1"/>
  <c r="I173" i="1"/>
  <c r="T173" i="1" s="1"/>
  <c r="V173" i="1"/>
  <c r="J173" i="1"/>
  <c r="W173" i="1"/>
  <c r="BF173" i="1"/>
  <c r="BH173" i="1"/>
  <c r="AM161" i="1"/>
  <c r="AN161" i="1"/>
  <c r="AO161" i="1"/>
  <c r="AP161" i="1"/>
  <c r="U161" i="1"/>
  <c r="BI161" i="1"/>
  <c r="J161" i="1"/>
  <c r="BF161" i="1"/>
  <c r="BH161" i="1"/>
  <c r="V161" i="1"/>
  <c r="W161" i="1"/>
  <c r="H161" i="1"/>
  <c r="S161" i="1" s="1"/>
  <c r="AL161" i="1"/>
  <c r="I161" i="1"/>
  <c r="T161" i="1" s="1"/>
  <c r="AM149" i="1"/>
  <c r="AN149" i="1"/>
  <c r="AO149" i="1"/>
  <c r="U149" i="1"/>
  <c r="AP149" i="1"/>
  <c r="H149" i="1"/>
  <c r="S149" i="1" s="1"/>
  <c r="V149" i="1"/>
  <c r="J149" i="1"/>
  <c r="BH149" i="1"/>
  <c r="AL149" i="1"/>
  <c r="BI149" i="1"/>
  <c r="W149" i="1"/>
  <c r="BF149" i="1"/>
  <c r="I149" i="1"/>
  <c r="T149" i="1" s="1"/>
  <c r="H137" i="1"/>
  <c r="U137" i="1"/>
  <c r="I137" i="1"/>
  <c r="T137" i="1" s="1"/>
  <c r="V137" i="1"/>
  <c r="BF137" i="1"/>
  <c r="BH137" i="1"/>
  <c r="AL137" i="1"/>
  <c r="BI137" i="1"/>
  <c r="AO137" i="1"/>
  <c r="AP137" i="1"/>
  <c r="J137" i="1"/>
  <c r="AM137" i="1"/>
  <c r="AN137" i="1"/>
  <c r="W137" i="1"/>
  <c r="AL125" i="1"/>
  <c r="BI125" i="1"/>
  <c r="AM125" i="1"/>
  <c r="AO125" i="1"/>
  <c r="H125" i="1"/>
  <c r="S125" i="1" s="1"/>
  <c r="U125" i="1"/>
  <c r="AP125" i="1"/>
  <c r="I125" i="1"/>
  <c r="T125" i="1" s="1"/>
  <c r="V125" i="1"/>
  <c r="J125" i="1"/>
  <c r="W125" i="1"/>
  <c r="BF125" i="1"/>
  <c r="BH125" i="1"/>
  <c r="AN125" i="1"/>
  <c r="BH113" i="1"/>
  <c r="AN113" i="1"/>
  <c r="AO113" i="1"/>
  <c r="AP113" i="1"/>
  <c r="BF113" i="1"/>
  <c r="AL113" i="1"/>
  <c r="H113" i="1"/>
  <c r="S113" i="1" s="1"/>
  <c r="I113" i="1"/>
  <c r="T113" i="1" s="1"/>
  <c r="J113" i="1"/>
  <c r="U113" i="1"/>
  <c r="AM113" i="1"/>
  <c r="BI113" i="1"/>
  <c r="V113" i="1"/>
  <c r="W113" i="1"/>
  <c r="BH101" i="1"/>
  <c r="BI101" i="1"/>
  <c r="AL101" i="1"/>
  <c r="H101" i="1"/>
  <c r="S101" i="1" s="1"/>
  <c r="U101" i="1"/>
  <c r="AN101" i="1"/>
  <c r="I101" i="1"/>
  <c r="T101" i="1" s="1"/>
  <c r="V101" i="1"/>
  <c r="AO101" i="1"/>
  <c r="J101" i="1"/>
  <c r="W101" i="1"/>
  <c r="AP101" i="1"/>
  <c r="BF101" i="1"/>
  <c r="AM101" i="1"/>
  <c r="H89" i="1"/>
  <c r="V89" i="1"/>
  <c r="I89" i="1"/>
  <c r="T89" i="1" s="1"/>
  <c r="W89" i="1"/>
  <c r="BF89" i="1"/>
  <c r="J89" i="1"/>
  <c r="AL89" i="1"/>
  <c r="BI89" i="1"/>
  <c r="AM89" i="1"/>
  <c r="AN89" i="1"/>
  <c r="AO89" i="1"/>
  <c r="AP89" i="1"/>
  <c r="BH89" i="1"/>
  <c r="U89" i="1"/>
  <c r="J77" i="1"/>
  <c r="W77" i="1"/>
  <c r="AO77" i="1"/>
  <c r="AP77" i="1"/>
  <c r="BF77" i="1"/>
  <c r="H77" i="1"/>
  <c r="S77" i="1" s="1"/>
  <c r="U77" i="1"/>
  <c r="AM77" i="1"/>
  <c r="BI77" i="1"/>
  <c r="BH77" i="1"/>
  <c r="V77" i="1"/>
  <c r="I77" i="1"/>
  <c r="T77" i="1" s="1"/>
  <c r="AL77" i="1"/>
  <c r="AN77" i="1"/>
  <c r="I65" i="1"/>
  <c r="T65" i="1" s="1"/>
  <c r="V65" i="1"/>
  <c r="AN65" i="1"/>
  <c r="BH65" i="1"/>
  <c r="J65" i="1"/>
  <c r="W65" i="1"/>
  <c r="AO65" i="1"/>
  <c r="BI65" i="1"/>
  <c r="U65" i="1"/>
  <c r="AL65" i="1"/>
  <c r="AM65" i="1"/>
  <c r="AP65" i="1"/>
  <c r="BF65" i="1"/>
  <c r="H65" i="1"/>
  <c r="S65" i="1" s="1"/>
  <c r="BF53" i="1"/>
  <c r="U53" i="1"/>
  <c r="AM53" i="1"/>
  <c r="BI53" i="1"/>
  <c r="AO53" i="1"/>
  <c r="I53" i="1"/>
  <c r="T53" i="1" s="1"/>
  <c r="AL53" i="1"/>
  <c r="AP53" i="1"/>
  <c r="V53" i="1"/>
  <c r="AN53" i="1"/>
  <c r="BH53" i="1"/>
  <c r="H53" i="1"/>
  <c r="S53" i="1" s="1"/>
  <c r="J53" i="1"/>
  <c r="W53" i="1"/>
  <c r="U41" i="1"/>
  <c r="H41" i="1"/>
  <c r="S41" i="1" s="1"/>
  <c r="V41" i="1"/>
  <c r="J41" i="1"/>
  <c r="BF41" i="1"/>
  <c r="W41" i="1"/>
  <c r="BI41" i="1"/>
  <c r="I41" i="1"/>
  <c r="T41" i="1" s="1"/>
  <c r="AL41" i="1"/>
  <c r="AN41" i="1"/>
  <c r="BH41" i="1"/>
  <c r="AO41" i="1"/>
  <c r="AP41" i="1"/>
  <c r="AM41" i="1"/>
  <c r="BF29" i="1"/>
  <c r="H29" i="1"/>
  <c r="S29" i="1" s="1"/>
  <c r="W29" i="1"/>
  <c r="I29" i="1"/>
  <c r="T29" i="1" s="1"/>
  <c r="BH29" i="1"/>
  <c r="BI29" i="1"/>
  <c r="AO29" i="1"/>
  <c r="V29" i="1"/>
  <c r="AM29" i="1"/>
  <c r="J29" i="1"/>
  <c r="U29" i="1"/>
  <c r="AL29" i="1"/>
  <c r="AP29" i="1"/>
  <c r="AN29" i="1"/>
  <c r="J17" i="1"/>
  <c r="BF17" i="1"/>
  <c r="BH17" i="1"/>
  <c r="AL17" i="1"/>
  <c r="BI17" i="1"/>
  <c r="AM17" i="1"/>
  <c r="AN17" i="1"/>
  <c r="AO17" i="1"/>
  <c r="U17" i="1"/>
  <c r="AP17" i="1"/>
  <c r="H17" i="1"/>
  <c r="S17" i="1" s="1"/>
  <c r="V17" i="1"/>
  <c r="I17" i="1"/>
  <c r="T17" i="1" s="1"/>
  <c r="W17" i="1"/>
  <c r="AP5" i="1"/>
  <c r="H5" i="1"/>
  <c r="S5" i="1" s="1"/>
  <c r="U5" i="1"/>
  <c r="I5" i="1"/>
  <c r="T5" i="1" s="1"/>
  <c r="V5" i="1"/>
  <c r="J5" i="1"/>
  <c r="W5" i="1"/>
  <c r="BF5" i="1"/>
  <c r="BH5" i="1"/>
  <c r="BI5" i="1"/>
  <c r="AL5" i="1"/>
  <c r="AM5" i="1"/>
  <c r="AN5" i="1"/>
  <c r="AO5" i="1"/>
  <c r="V622" i="1"/>
  <c r="H622" i="1"/>
  <c r="S622" i="1" s="1"/>
  <c r="BF620" i="1"/>
  <c r="V619" i="1"/>
  <c r="I619" i="1"/>
  <c r="T619" i="1" s="1"/>
  <c r="AL618" i="1"/>
  <c r="AP617" i="1"/>
  <c r="V600" i="1"/>
  <c r="BF588" i="1"/>
  <c r="H569" i="1"/>
  <c r="S569" i="1" s="1"/>
  <c r="AL595" i="1"/>
  <c r="BI595" i="1"/>
  <c r="AM595" i="1"/>
  <c r="AN595" i="1"/>
  <c r="AO595" i="1"/>
  <c r="AP595" i="1"/>
  <c r="U595" i="1"/>
  <c r="H595" i="1"/>
  <c r="S595" i="1" s="1"/>
  <c r="V595" i="1"/>
  <c r="I595" i="1"/>
  <c r="T595" i="1" s="1"/>
  <c r="W595" i="1"/>
  <c r="J595" i="1"/>
  <c r="BF595" i="1"/>
  <c r="AN343" i="1"/>
  <c r="AO343" i="1"/>
  <c r="H343" i="1"/>
  <c r="S343" i="1" s="1"/>
  <c r="U343" i="1"/>
  <c r="AP343" i="1"/>
  <c r="I343" i="1"/>
  <c r="T343" i="1" s="1"/>
  <c r="V343" i="1"/>
  <c r="J343" i="1"/>
  <c r="W343" i="1"/>
  <c r="BF343" i="1"/>
  <c r="BH343" i="1"/>
  <c r="BI343" i="1"/>
  <c r="AL343" i="1"/>
  <c r="AM343" i="1"/>
  <c r="H616" i="1"/>
  <c r="S616" i="1" s="1"/>
  <c r="U616" i="1"/>
  <c r="I616" i="1"/>
  <c r="T616" i="1" s="1"/>
  <c r="V616" i="1"/>
  <c r="J616" i="1"/>
  <c r="W616" i="1"/>
  <c r="BF616" i="1"/>
  <c r="BH616" i="1"/>
  <c r="BI616" i="1"/>
  <c r="AO616" i="1"/>
  <c r="H604" i="1"/>
  <c r="S604" i="1" s="1"/>
  <c r="I604" i="1"/>
  <c r="T604" i="1" s="1"/>
  <c r="U604" i="1"/>
  <c r="AL604" i="1"/>
  <c r="J604" i="1"/>
  <c r="V604" i="1"/>
  <c r="AM604" i="1"/>
  <c r="BF604" i="1"/>
  <c r="W604" i="1"/>
  <c r="AN604" i="1"/>
  <c r="AO604" i="1"/>
  <c r="BH604" i="1"/>
  <c r="AL592" i="1"/>
  <c r="BI592" i="1"/>
  <c r="AM592" i="1"/>
  <c r="AN592" i="1"/>
  <c r="AO592" i="1"/>
  <c r="AP592" i="1"/>
  <c r="U592" i="1"/>
  <c r="H592" i="1"/>
  <c r="S592" i="1" s="1"/>
  <c r="V592" i="1"/>
  <c r="I592" i="1"/>
  <c r="T592" i="1" s="1"/>
  <c r="W592" i="1"/>
  <c r="BF592" i="1"/>
  <c r="J592" i="1"/>
  <c r="AN580" i="1"/>
  <c r="AO580" i="1"/>
  <c r="AP580" i="1"/>
  <c r="H580" i="1"/>
  <c r="U580" i="1"/>
  <c r="I580" i="1"/>
  <c r="T580" i="1" s="1"/>
  <c r="V580" i="1"/>
  <c r="J580" i="1"/>
  <c r="W580" i="1"/>
  <c r="BF580" i="1"/>
  <c r="BH580" i="1"/>
  <c r="AL580" i="1"/>
  <c r="BI580" i="1"/>
  <c r="AO568" i="1"/>
  <c r="AP568" i="1"/>
  <c r="BF568" i="1"/>
  <c r="H568" i="1"/>
  <c r="U568" i="1"/>
  <c r="I568" i="1"/>
  <c r="T568" i="1" s="1"/>
  <c r="V568" i="1"/>
  <c r="BH568" i="1"/>
  <c r="J568" i="1"/>
  <c r="W568" i="1"/>
  <c r="BI568" i="1"/>
  <c r="AL568" i="1"/>
  <c r="AM568" i="1"/>
  <c r="I556" i="1"/>
  <c r="T556" i="1" s="1"/>
  <c r="V556" i="1"/>
  <c r="J556" i="1"/>
  <c r="W556" i="1"/>
  <c r="BH556" i="1"/>
  <c r="BI556" i="1"/>
  <c r="AL556" i="1"/>
  <c r="AM556" i="1"/>
  <c r="AN556" i="1"/>
  <c r="AO556" i="1"/>
  <c r="AP556" i="1"/>
  <c r="H556" i="1"/>
  <c r="S556" i="1" s="1"/>
  <c r="U556" i="1"/>
  <c r="BF556" i="1"/>
  <c r="BH544" i="1"/>
  <c r="BI544" i="1"/>
  <c r="AL544" i="1"/>
  <c r="AM544" i="1"/>
  <c r="AN544" i="1"/>
  <c r="AO544" i="1"/>
  <c r="AP544" i="1"/>
  <c r="H544" i="1"/>
  <c r="U544" i="1"/>
  <c r="I544" i="1"/>
  <c r="T544" i="1" s="1"/>
  <c r="V544" i="1"/>
  <c r="BF544" i="1"/>
  <c r="J544" i="1"/>
  <c r="W544" i="1"/>
  <c r="I532" i="1"/>
  <c r="T532" i="1" s="1"/>
  <c r="V532" i="1"/>
  <c r="J532" i="1"/>
  <c r="W532" i="1"/>
  <c r="BH532" i="1"/>
  <c r="BI532" i="1"/>
  <c r="AL532" i="1"/>
  <c r="AM532" i="1"/>
  <c r="AN532" i="1"/>
  <c r="AO532" i="1"/>
  <c r="AP532" i="1"/>
  <c r="H532" i="1"/>
  <c r="S532" i="1" s="1"/>
  <c r="U532" i="1"/>
  <c r="BF532" i="1"/>
  <c r="BF520" i="1"/>
  <c r="AL520" i="1"/>
  <c r="BH520" i="1"/>
  <c r="AM520" i="1"/>
  <c r="BI520" i="1"/>
  <c r="AN520" i="1"/>
  <c r="H520" i="1"/>
  <c r="S520" i="1" s="1"/>
  <c r="U520" i="1"/>
  <c r="AO520" i="1"/>
  <c r="I520" i="1"/>
  <c r="T520" i="1" s="1"/>
  <c r="V520" i="1"/>
  <c r="AP520" i="1"/>
  <c r="J520" i="1"/>
  <c r="W520" i="1"/>
  <c r="AM508" i="1"/>
  <c r="AN508" i="1"/>
  <c r="AO508" i="1"/>
  <c r="AP508" i="1"/>
  <c r="U508" i="1"/>
  <c r="H508" i="1"/>
  <c r="S508" i="1" s="1"/>
  <c r="V508" i="1"/>
  <c r="I508" i="1"/>
  <c r="T508" i="1" s="1"/>
  <c r="W508" i="1"/>
  <c r="BF508" i="1"/>
  <c r="J508" i="1"/>
  <c r="BH508" i="1"/>
  <c r="AL508" i="1"/>
  <c r="BI508" i="1"/>
  <c r="BH496" i="1"/>
  <c r="AL496" i="1"/>
  <c r="BI496" i="1"/>
  <c r="AM496" i="1"/>
  <c r="AN496" i="1"/>
  <c r="AO496" i="1"/>
  <c r="AP496" i="1"/>
  <c r="U496" i="1"/>
  <c r="H496" i="1"/>
  <c r="S496" i="1" s="1"/>
  <c r="V496" i="1"/>
  <c r="I496" i="1"/>
  <c r="T496" i="1" s="1"/>
  <c r="W496" i="1"/>
  <c r="J496" i="1"/>
  <c r="BF496" i="1"/>
  <c r="BF484" i="1"/>
  <c r="BH484" i="1"/>
  <c r="AL484" i="1"/>
  <c r="BI484" i="1"/>
  <c r="AM484" i="1"/>
  <c r="H484" i="1"/>
  <c r="S484" i="1" s="1"/>
  <c r="U484" i="1"/>
  <c r="AN484" i="1"/>
  <c r="I484" i="1"/>
  <c r="T484" i="1" s="1"/>
  <c r="V484" i="1"/>
  <c r="AO484" i="1"/>
  <c r="J484" i="1"/>
  <c r="W484" i="1"/>
  <c r="AP484" i="1"/>
  <c r="AN472" i="1"/>
  <c r="AO472" i="1"/>
  <c r="AP472" i="1"/>
  <c r="H472" i="1"/>
  <c r="S472" i="1" s="1"/>
  <c r="U472" i="1"/>
  <c r="I472" i="1"/>
  <c r="T472" i="1" s="1"/>
  <c r="V472" i="1"/>
  <c r="J472" i="1"/>
  <c r="W472" i="1"/>
  <c r="BF472" i="1"/>
  <c r="BH472" i="1"/>
  <c r="BI472" i="1"/>
  <c r="AL472" i="1"/>
  <c r="AM472" i="1"/>
  <c r="H460" i="1"/>
  <c r="S460" i="1" s="1"/>
  <c r="U460" i="1"/>
  <c r="AP460" i="1"/>
  <c r="I460" i="1"/>
  <c r="T460" i="1" s="1"/>
  <c r="V460" i="1"/>
  <c r="J460" i="1"/>
  <c r="W460" i="1"/>
  <c r="BF460" i="1"/>
  <c r="BH460" i="1"/>
  <c r="BI460" i="1"/>
  <c r="AL460" i="1"/>
  <c r="AM460" i="1"/>
  <c r="AN460" i="1"/>
  <c r="AO460" i="1"/>
  <c r="I448" i="1"/>
  <c r="T448" i="1" s="1"/>
  <c r="V448" i="1"/>
  <c r="AO448" i="1"/>
  <c r="J448" i="1"/>
  <c r="W448" i="1"/>
  <c r="AP448" i="1"/>
  <c r="BF448" i="1"/>
  <c r="AL448" i="1"/>
  <c r="AM448" i="1"/>
  <c r="BH448" i="1"/>
  <c r="H448" i="1"/>
  <c r="S448" i="1" s="1"/>
  <c r="U448" i="1"/>
  <c r="AN448" i="1"/>
  <c r="BI448" i="1"/>
  <c r="J436" i="1"/>
  <c r="W436" i="1"/>
  <c r="BF436" i="1"/>
  <c r="BH436" i="1"/>
  <c r="BI436" i="1"/>
  <c r="AL436" i="1"/>
  <c r="AM436" i="1"/>
  <c r="AN436" i="1"/>
  <c r="AO436" i="1"/>
  <c r="H436" i="1"/>
  <c r="U436" i="1"/>
  <c r="AP436" i="1"/>
  <c r="I436" i="1"/>
  <c r="T436" i="1" s="1"/>
  <c r="V436" i="1"/>
  <c r="AP424" i="1"/>
  <c r="U424" i="1"/>
  <c r="H424" i="1"/>
  <c r="V424" i="1"/>
  <c r="I424" i="1"/>
  <c r="T424" i="1" s="1"/>
  <c r="W424" i="1"/>
  <c r="J424" i="1"/>
  <c r="BF424" i="1"/>
  <c r="BH424" i="1"/>
  <c r="BI424" i="1"/>
  <c r="AL424" i="1"/>
  <c r="AM424" i="1"/>
  <c r="AN424" i="1"/>
  <c r="AO424" i="1"/>
  <c r="U412" i="1"/>
  <c r="AL412" i="1"/>
  <c r="H412" i="1"/>
  <c r="S412" i="1" s="1"/>
  <c r="V412" i="1"/>
  <c r="AM412" i="1"/>
  <c r="I412" i="1"/>
  <c r="T412" i="1" s="1"/>
  <c r="W412" i="1"/>
  <c r="AN412" i="1"/>
  <c r="BF412" i="1"/>
  <c r="J412" i="1"/>
  <c r="AO412" i="1"/>
  <c r="AP412" i="1"/>
  <c r="BH412" i="1"/>
  <c r="BI412" i="1"/>
  <c r="J400" i="1"/>
  <c r="W400" i="1"/>
  <c r="BF400" i="1"/>
  <c r="BH400" i="1"/>
  <c r="AL400" i="1"/>
  <c r="BI400" i="1"/>
  <c r="AM400" i="1"/>
  <c r="AN400" i="1"/>
  <c r="AO400" i="1"/>
  <c r="H400" i="1"/>
  <c r="S400" i="1" s="1"/>
  <c r="U400" i="1"/>
  <c r="AP400" i="1"/>
  <c r="I400" i="1"/>
  <c r="T400" i="1" s="1"/>
  <c r="V400" i="1"/>
  <c r="AM388" i="1"/>
  <c r="AN388" i="1"/>
  <c r="AO388" i="1"/>
  <c r="AP388" i="1"/>
  <c r="H388" i="1"/>
  <c r="S388" i="1" s="1"/>
  <c r="U388" i="1"/>
  <c r="I388" i="1"/>
  <c r="T388" i="1" s="1"/>
  <c r="V388" i="1"/>
  <c r="J388" i="1"/>
  <c r="W388" i="1"/>
  <c r="BF388" i="1"/>
  <c r="BH388" i="1"/>
  <c r="AL388" i="1"/>
  <c r="BI388" i="1"/>
  <c r="J376" i="1"/>
  <c r="W376" i="1"/>
  <c r="BF376" i="1"/>
  <c r="BH376" i="1"/>
  <c r="AL376" i="1"/>
  <c r="BI376" i="1"/>
  <c r="AM376" i="1"/>
  <c r="AN376" i="1"/>
  <c r="AO376" i="1"/>
  <c r="AP376" i="1"/>
  <c r="H376" i="1"/>
  <c r="S376" i="1" s="1"/>
  <c r="U376" i="1"/>
  <c r="I376" i="1"/>
  <c r="T376" i="1" s="1"/>
  <c r="V376" i="1"/>
  <c r="AO364" i="1"/>
  <c r="H364" i="1"/>
  <c r="U364" i="1"/>
  <c r="AP364" i="1"/>
  <c r="I364" i="1"/>
  <c r="T364" i="1" s="1"/>
  <c r="V364" i="1"/>
  <c r="J364" i="1"/>
  <c r="W364" i="1"/>
  <c r="BF364" i="1"/>
  <c r="AL364" i="1"/>
  <c r="BI364" i="1"/>
  <c r="AM364" i="1"/>
  <c r="AN364" i="1"/>
  <c r="BH364" i="1"/>
  <c r="BF352" i="1"/>
  <c r="AL352" i="1"/>
  <c r="AM352" i="1"/>
  <c r="BH352" i="1"/>
  <c r="H352" i="1"/>
  <c r="U352" i="1"/>
  <c r="AN352" i="1"/>
  <c r="BI352" i="1"/>
  <c r="I352" i="1"/>
  <c r="T352" i="1" s="1"/>
  <c r="V352" i="1"/>
  <c r="AO352" i="1"/>
  <c r="J352" i="1"/>
  <c r="W352" i="1"/>
  <c r="AP352" i="1"/>
  <c r="BF340" i="1"/>
  <c r="BH340" i="1"/>
  <c r="AL340" i="1"/>
  <c r="BI340" i="1"/>
  <c r="AM340" i="1"/>
  <c r="H340" i="1"/>
  <c r="U340" i="1"/>
  <c r="AN340" i="1"/>
  <c r="I340" i="1"/>
  <c r="T340" i="1" s="1"/>
  <c r="V340" i="1"/>
  <c r="AO340" i="1"/>
  <c r="J340" i="1"/>
  <c r="W340" i="1"/>
  <c r="AP340" i="1"/>
  <c r="U328" i="1"/>
  <c r="AO328" i="1"/>
  <c r="H328" i="1"/>
  <c r="S328" i="1" s="1"/>
  <c r="V328" i="1"/>
  <c r="AP328" i="1"/>
  <c r="I328" i="1"/>
  <c r="T328" i="1" s="1"/>
  <c r="W328" i="1"/>
  <c r="J328" i="1"/>
  <c r="BF328" i="1"/>
  <c r="BH328" i="1"/>
  <c r="AL328" i="1"/>
  <c r="BI328" i="1"/>
  <c r="AM328" i="1"/>
  <c r="AN328" i="1"/>
  <c r="U316" i="1"/>
  <c r="H316" i="1"/>
  <c r="V316" i="1"/>
  <c r="I316" i="1"/>
  <c r="T316" i="1" s="1"/>
  <c r="W316" i="1"/>
  <c r="J316" i="1"/>
  <c r="BH316" i="1"/>
  <c r="AL316" i="1"/>
  <c r="BI316" i="1"/>
  <c r="AP316" i="1"/>
  <c r="AM316" i="1"/>
  <c r="AN316" i="1"/>
  <c r="AO316" i="1"/>
  <c r="BF316" i="1"/>
  <c r="BF304" i="1"/>
  <c r="AL304" i="1"/>
  <c r="AM304" i="1"/>
  <c r="BH304" i="1"/>
  <c r="H304" i="1"/>
  <c r="S304" i="1" s="1"/>
  <c r="U304" i="1"/>
  <c r="AN304" i="1"/>
  <c r="BI304" i="1"/>
  <c r="I304" i="1"/>
  <c r="T304" i="1" s="1"/>
  <c r="V304" i="1"/>
  <c r="AO304" i="1"/>
  <c r="J304" i="1"/>
  <c r="W304" i="1"/>
  <c r="AP304" i="1"/>
  <c r="AP292" i="1"/>
  <c r="U292" i="1"/>
  <c r="H292" i="1"/>
  <c r="V292" i="1"/>
  <c r="I292" i="1"/>
  <c r="T292" i="1" s="1"/>
  <c r="W292" i="1"/>
  <c r="J292" i="1"/>
  <c r="BF292" i="1"/>
  <c r="BH292" i="1"/>
  <c r="AL292" i="1"/>
  <c r="BI292" i="1"/>
  <c r="AM292" i="1"/>
  <c r="AN292" i="1"/>
  <c r="AO292" i="1"/>
  <c r="AO280" i="1"/>
  <c r="U280" i="1"/>
  <c r="AP280" i="1"/>
  <c r="H280" i="1"/>
  <c r="V280" i="1"/>
  <c r="I280" i="1"/>
  <c r="T280" i="1" s="1"/>
  <c r="W280" i="1"/>
  <c r="J280" i="1"/>
  <c r="BF280" i="1"/>
  <c r="AL280" i="1"/>
  <c r="AM280" i="1"/>
  <c r="BH280" i="1"/>
  <c r="AN280" i="1"/>
  <c r="BI280" i="1"/>
  <c r="BF268" i="1"/>
  <c r="BH268" i="1"/>
  <c r="BI268" i="1"/>
  <c r="AL268" i="1"/>
  <c r="AM268" i="1"/>
  <c r="AO268" i="1"/>
  <c r="I268" i="1"/>
  <c r="T268" i="1" s="1"/>
  <c r="V268" i="1"/>
  <c r="U268" i="1"/>
  <c r="W268" i="1"/>
  <c r="AN268" i="1"/>
  <c r="AP268" i="1"/>
  <c r="H268" i="1"/>
  <c r="J268" i="1"/>
  <c r="AM256" i="1"/>
  <c r="AN256" i="1"/>
  <c r="AO256" i="1"/>
  <c r="AP256" i="1"/>
  <c r="H256" i="1"/>
  <c r="U256" i="1"/>
  <c r="I256" i="1"/>
  <c r="T256" i="1" s="1"/>
  <c r="V256" i="1"/>
  <c r="J256" i="1"/>
  <c r="W256" i="1"/>
  <c r="BF256" i="1"/>
  <c r="BI256" i="1"/>
  <c r="AL256" i="1"/>
  <c r="BH256" i="1"/>
  <c r="BH244" i="1"/>
  <c r="BI244" i="1"/>
  <c r="AL244" i="1"/>
  <c r="AM244" i="1"/>
  <c r="AN244" i="1"/>
  <c r="AO244" i="1"/>
  <c r="AP244" i="1"/>
  <c r="H244" i="1"/>
  <c r="U244" i="1"/>
  <c r="J244" i="1"/>
  <c r="W244" i="1"/>
  <c r="BF244" i="1"/>
  <c r="I244" i="1"/>
  <c r="T244" i="1" s="1"/>
  <c r="V244" i="1"/>
  <c r="H232" i="1"/>
  <c r="I232" i="1"/>
  <c r="T232" i="1" s="1"/>
  <c r="U232" i="1"/>
  <c r="J232" i="1"/>
  <c r="V232" i="1"/>
  <c r="W232" i="1"/>
  <c r="BF232" i="1"/>
  <c r="BH232" i="1"/>
  <c r="AL232" i="1"/>
  <c r="BI232" i="1"/>
  <c r="AM232" i="1"/>
  <c r="AO232" i="1"/>
  <c r="AN232" i="1"/>
  <c r="AP232" i="1"/>
  <c r="U220" i="1"/>
  <c r="I220" i="1"/>
  <c r="T220" i="1" s="1"/>
  <c r="W220" i="1"/>
  <c r="J220" i="1"/>
  <c r="BH220" i="1"/>
  <c r="AL220" i="1"/>
  <c r="AM220" i="1"/>
  <c r="AN220" i="1"/>
  <c r="AO220" i="1"/>
  <c r="AP220" i="1"/>
  <c r="BF220" i="1"/>
  <c r="BI220" i="1"/>
  <c r="H220" i="1"/>
  <c r="V220" i="1"/>
  <c r="AM208" i="1"/>
  <c r="AN208" i="1"/>
  <c r="AP208" i="1"/>
  <c r="BH208" i="1"/>
  <c r="AO208" i="1"/>
  <c r="H208" i="1"/>
  <c r="I208" i="1"/>
  <c r="T208" i="1" s="1"/>
  <c r="J208" i="1"/>
  <c r="BF208" i="1"/>
  <c r="U208" i="1"/>
  <c r="V208" i="1"/>
  <c r="W208" i="1"/>
  <c r="AL208" i="1"/>
  <c r="BI208" i="1"/>
  <c r="BH196" i="1"/>
  <c r="AL196" i="1"/>
  <c r="BI196" i="1"/>
  <c r="AN196" i="1"/>
  <c r="AO196" i="1"/>
  <c r="AP196" i="1"/>
  <c r="J196" i="1"/>
  <c r="W196" i="1"/>
  <c r="BF196" i="1"/>
  <c r="I196" i="1"/>
  <c r="T196" i="1" s="1"/>
  <c r="U196" i="1"/>
  <c r="AM196" i="1"/>
  <c r="V196" i="1"/>
  <c r="H196" i="1"/>
  <c r="J184" i="1"/>
  <c r="BF184" i="1"/>
  <c r="BH184" i="1"/>
  <c r="BI184" i="1"/>
  <c r="AL184" i="1"/>
  <c r="AM184" i="1"/>
  <c r="AN184" i="1"/>
  <c r="AO184" i="1"/>
  <c r="H184" i="1"/>
  <c r="V184" i="1"/>
  <c r="I184" i="1"/>
  <c r="T184" i="1" s="1"/>
  <c r="U184" i="1"/>
  <c r="W184" i="1"/>
  <c r="AP184" i="1"/>
  <c r="BI172" i="1"/>
  <c r="AL172" i="1"/>
  <c r="AM172" i="1"/>
  <c r="AN172" i="1"/>
  <c r="AO172" i="1"/>
  <c r="AP172" i="1"/>
  <c r="U172" i="1"/>
  <c r="H172" i="1"/>
  <c r="S172" i="1" s="1"/>
  <c r="V172" i="1"/>
  <c r="I172" i="1"/>
  <c r="T172" i="1" s="1"/>
  <c r="W172" i="1"/>
  <c r="J172" i="1"/>
  <c r="BF172" i="1"/>
  <c r="BH172" i="1"/>
  <c r="AL160" i="1"/>
  <c r="BI160" i="1"/>
  <c r="AM160" i="1"/>
  <c r="AN160" i="1"/>
  <c r="U160" i="1"/>
  <c r="AO160" i="1"/>
  <c r="H160" i="1"/>
  <c r="S160" i="1" s="1"/>
  <c r="V160" i="1"/>
  <c r="AP160" i="1"/>
  <c r="I160" i="1"/>
  <c r="T160" i="1" s="1"/>
  <c r="J160" i="1"/>
  <c r="BF160" i="1"/>
  <c r="W160" i="1"/>
  <c r="BH160" i="1"/>
  <c r="AL148" i="1"/>
  <c r="AM148" i="1"/>
  <c r="AN148" i="1"/>
  <c r="AO148" i="1"/>
  <c r="AP148" i="1"/>
  <c r="U148" i="1"/>
  <c r="J148" i="1"/>
  <c r="BH148" i="1"/>
  <c r="BI148" i="1"/>
  <c r="H148" i="1"/>
  <c r="S148" i="1" s="1"/>
  <c r="I148" i="1"/>
  <c r="T148" i="1" s="1"/>
  <c r="V148" i="1"/>
  <c r="W148" i="1"/>
  <c r="BF148" i="1"/>
  <c r="J136" i="1"/>
  <c r="AP136" i="1"/>
  <c r="BF136" i="1"/>
  <c r="U136" i="1"/>
  <c r="AM136" i="1"/>
  <c r="I136" i="1"/>
  <c r="T136" i="1" s="1"/>
  <c r="BH136" i="1"/>
  <c r="BI136" i="1"/>
  <c r="V136" i="1"/>
  <c r="AO136" i="1"/>
  <c r="H136" i="1"/>
  <c r="S136" i="1" s="1"/>
  <c r="W136" i="1"/>
  <c r="AL136" i="1"/>
  <c r="AN136" i="1"/>
  <c r="BI124" i="1"/>
  <c r="AL124" i="1"/>
  <c r="AN124" i="1"/>
  <c r="AO124" i="1"/>
  <c r="AP124" i="1"/>
  <c r="H124" i="1"/>
  <c r="S124" i="1" s="1"/>
  <c r="V124" i="1"/>
  <c r="BF124" i="1"/>
  <c r="J124" i="1"/>
  <c r="U124" i="1"/>
  <c r="W124" i="1"/>
  <c r="AM124" i="1"/>
  <c r="BH124" i="1"/>
  <c r="I124" i="1"/>
  <c r="T124" i="1" s="1"/>
  <c r="AL112" i="1"/>
  <c r="BI112" i="1"/>
  <c r="I112" i="1"/>
  <c r="T112" i="1" s="1"/>
  <c r="V112" i="1"/>
  <c r="AO112" i="1"/>
  <c r="J112" i="1"/>
  <c r="W112" i="1"/>
  <c r="AP112" i="1"/>
  <c r="BF112" i="1"/>
  <c r="BH112" i="1"/>
  <c r="U112" i="1"/>
  <c r="AM112" i="1"/>
  <c r="AN112" i="1"/>
  <c r="H112" i="1"/>
  <c r="S112" i="1" s="1"/>
  <c r="AN100" i="1"/>
  <c r="AO100" i="1"/>
  <c r="AP100" i="1"/>
  <c r="I100" i="1"/>
  <c r="T100" i="1" s="1"/>
  <c r="V100" i="1"/>
  <c r="J100" i="1"/>
  <c r="W100" i="1"/>
  <c r="BF100" i="1"/>
  <c r="BI100" i="1"/>
  <c r="U100" i="1"/>
  <c r="AL100" i="1"/>
  <c r="H100" i="1"/>
  <c r="AM100" i="1"/>
  <c r="BH100" i="1"/>
  <c r="I88" i="1"/>
  <c r="T88" i="1" s="1"/>
  <c r="V88" i="1"/>
  <c r="AN88" i="1"/>
  <c r="BF88" i="1"/>
  <c r="J88" i="1"/>
  <c r="W88" i="1"/>
  <c r="AO88" i="1"/>
  <c r="AP88" i="1"/>
  <c r="BH88" i="1"/>
  <c r="U88" i="1"/>
  <c r="AL88" i="1"/>
  <c r="AM88" i="1"/>
  <c r="BI88" i="1"/>
  <c r="H88" i="1"/>
  <c r="BF76" i="1"/>
  <c r="BH76" i="1"/>
  <c r="AM76" i="1"/>
  <c r="AN76" i="1"/>
  <c r="AO76" i="1"/>
  <c r="AP76" i="1"/>
  <c r="I76" i="1"/>
  <c r="T76" i="1" s="1"/>
  <c r="V76" i="1"/>
  <c r="BI76" i="1"/>
  <c r="H76" i="1"/>
  <c r="U76" i="1"/>
  <c r="W76" i="1"/>
  <c r="AL76" i="1"/>
  <c r="J76" i="1"/>
  <c r="H64" i="1"/>
  <c r="U64" i="1"/>
  <c r="AL64" i="1"/>
  <c r="AM64" i="1"/>
  <c r="BH64" i="1"/>
  <c r="AN64" i="1"/>
  <c r="BI64" i="1"/>
  <c r="AO64" i="1"/>
  <c r="AP64" i="1"/>
  <c r="I64" i="1"/>
  <c r="T64" i="1" s="1"/>
  <c r="BF64" i="1"/>
  <c r="J64" i="1"/>
  <c r="V64" i="1"/>
  <c r="W64" i="1"/>
  <c r="AM52" i="1"/>
  <c r="AP52" i="1"/>
  <c r="AO52" i="1"/>
  <c r="U52" i="1"/>
  <c r="V52" i="1"/>
  <c r="I52" i="1"/>
  <c r="T52" i="1" s="1"/>
  <c r="BH52" i="1"/>
  <c r="H52" i="1"/>
  <c r="J52" i="1"/>
  <c r="BI52" i="1"/>
  <c r="W52" i="1"/>
  <c r="AL52" i="1"/>
  <c r="AN52" i="1"/>
  <c r="BF52" i="1"/>
  <c r="H40" i="1"/>
  <c r="V40" i="1"/>
  <c r="I40" i="1"/>
  <c r="T40" i="1" s="1"/>
  <c r="W40" i="1"/>
  <c r="J40" i="1"/>
  <c r="AL40" i="1"/>
  <c r="AM40" i="1"/>
  <c r="AO40" i="1"/>
  <c r="BF40" i="1"/>
  <c r="U40" i="1"/>
  <c r="AN40" i="1"/>
  <c r="AP40" i="1"/>
  <c r="BH40" i="1"/>
  <c r="BI40" i="1"/>
  <c r="J28" i="1"/>
  <c r="W28" i="1"/>
  <c r="BF28" i="1"/>
  <c r="AN28" i="1"/>
  <c r="AO28" i="1"/>
  <c r="AP28" i="1"/>
  <c r="AM28" i="1"/>
  <c r="I28" i="1"/>
  <c r="T28" i="1" s="1"/>
  <c r="BI28" i="1"/>
  <c r="H28" i="1"/>
  <c r="S28" i="1" s="1"/>
  <c r="U28" i="1"/>
  <c r="AL28" i="1"/>
  <c r="BH28" i="1"/>
  <c r="V28" i="1"/>
  <c r="BF16" i="1"/>
  <c r="AL16" i="1"/>
  <c r="BH16" i="1"/>
  <c r="AM16" i="1"/>
  <c r="BI16" i="1"/>
  <c r="AN16" i="1"/>
  <c r="AO16" i="1"/>
  <c r="H16" i="1"/>
  <c r="S16" i="1" s="1"/>
  <c r="U16" i="1"/>
  <c r="AP16" i="1"/>
  <c r="I16" i="1"/>
  <c r="T16" i="1" s="1"/>
  <c r="V16" i="1"/>
  <c r="J16" i="1"/>
  <c r="W16" i="1"/>
  <c r="AP4" i="1"/>
  <c r="H4" i="1"/>
  <c r="S4" i="1" s="1"/>
  <c r="U4" i="1"/>
  <c r="I4" i="1"/>
  <c r="T4" i="1" s="1"/>
  <c r="V4" i="1"/>
  <c r="J4" i="1"/>
  <c r="W4" i="1"/>
  <c r="BF4" i="1"/>
  <c r="AL4" i="1"/>
  <c r="BH4" i="1"/>
  <c r="AM4" i="1"/>
  <c r="BI4" i="1"/>
  <c r="AN4" i="1"/>
  <c r="AO4" i="1"/>
  <c r="U622" i="1"/>
  <c r="J620" i="1"/>
  <c r="U619" i="1"/>
  <c r="H619" i="1"/>
  <c r="S619" i="1" s="1"/>
  <c r="AO617" i="1"/>
  <c r="AL616" i="1"/>
  <c r="V588" i="1"/>
  <c r="AN568" i="1"/>
  <c r="AO607" i="1"/>
  <c r="AP607" i="1"/>
  <c r="H607" i="1"/>
  <c r="S607" i="1" s="1"/>
  <c r="I607" i="1"/>
  <c r="T607" i="1" s="1"/>
  <c r="U607" i="1"/>
  <c r="J607" i="1"/>
  <c r="V607" i="1"/>
  <c r="BF607" i="1"/>
  <c r="W607" i="1"/>
  <c r="BH607" i="1"/>
  <c r="BI607" i="1"/>
  <c r="AL607" i="1"/>
  <c r="AM607" i="1"/>
  <c r="H427" i="1"/>
  <c r="V427" i="1"/>
  <c r="I427" i="1"/>
  <c r="T427" i="1" s="1"/>
  <c r="W427" i="1"/>
  <c r="J427" i="1"/>
  <c r="BF427" i="1"/>
  <c r="BH427" i="1"/>
  <c r="BI427" i="1"/>
  <c r="AL427" i="1"/>
  <c r="AM427" i="1"/>
  <c r="AN427" i="1"/>
  <c r="AO427" i="1"/>
  <c r="U427" i="1"/>
  <c r="AP427" i="1"/>
  <c r="BF615" i="1"/>
  <c r="AL615" i="1"/>
  <c r="AM615" i="1"/>
  <c r="BH615" i="1"/>
  <c r="H615" i="1"/>
  <c r="S615" i="1" s="1"/>
  <c r="U615" i="1"/>
  <c r="AN615" i="1"/>
  <c r="BI615" i="1"/>
  <c r="I615" i="1"/>
  <c r="T615" i="1" s="1"/>
  <c r="V615" i="1"/>
  <c r="AO615" i="1"/>
  <c r="J615" i="1"/>
  <c r="W615" i="1"/>
  <c r="AP615" i="1"/>
  <c r="J603" i="1"/>
  <c r="V603" i="1"/>
  <c r="AN603" i="1"/>
  <c r="W603" i="1"/>
  <c r="AO603" i="1"/>
  <c r="AP603" i="1"/>
  <c r="BF603" i="1"/>
  <c r="H603" i="1"/>
  <c r="S603" i="1" s="1"/>
  <c r="AL603" i="1"/>
  <c r="BH603" i="1"/>
  <c r="BF591" i="1"/>
  <c r="BH591" i="1"/>
  <c r="BI591" i="1"/>
  <c r="AL591" i="1"/>
  <c r="AM591" i="1"/>
  <c r="AN591" i="1"/>
  <c r="AO591" i="1"/>
  <c r="AP591" i="1"/>
  <c r="H591" i="1"/>
  <c r="S591" i="1" s="1"/>
  <c r="U591" i="1"/>
  <c r="I591" i="1"/>
  <c r="T591" i="1" s="1"/>
  <c r="V591" i="1"/>
  <c r="H579" i="1"/>
  <c r="S579" i="1" s="1"/>
  <c r="U579" i="1"/>
  <c r="AO579" i="1"/>
  <c r="I579" i="1"/>
  <c r="T579" i="1" s="1"/>
  <c r="V579" i="1"/>
  <c r="AP579" i="1"/>
  <c r="J579" i="1"/>
  <c r="W579" i="1"/>
  <c r="BF579" i="1"/>
  <c r="AL579" i="1"/>
  <c r="AM579" i="1"/>
  <c r="BH579" i="1"/>
  <c r="AL567" i="1"/>
  <c r="AM567" i="1"/>
  <c r="AN567" i="1"/>
  <c r="AO567" i="1"/>
  <c r="AP567" i="1"/>
  <c r="H567" i="1"/>
  <c r="S567" i="1" s="1"/>
  <c r="U567" i="1"/>
  <c r="I567" i="1"/>
  <c r="T567" i="1" s="1"/>
  <c r="V567" i="1"/>
  <c r="J567" i="1"/>
  <c r="W567" i="1"/>
  <c r="BF567" i="1"/>
  <c r="BH567" i="1"/>
  <c r="BF555" i="1"/>
  <c r="BH555" i="1"/>
  <c r="AL555" i="1"/>
  <c r="BI555" i="1"/>
  <c r="AM555" i="1"/>
  <c r="AN555" i="1"/>
  <c r="AO555" i="1"/>
  <c r="H555" i="1"/>
  <c r="S555" i="1" s="1"/>
  <c r="U555" i="1"/>
  <c r="AP555" i="1"/>
  <c r="I555" i="1"/>
  <c r="T555" i="1" s="1"/>
  <c r="V555" i="1"/>
  <c r="J555" i="1"/>
  <c r="W555" i="1"/>
  <c r="I543" i="1"/>
  <c r="T543" i="1" s="1"/>
  <c r="W543" i="1"/>
  <c r="J543" i="1"/>
  <c r="BF543" i="1"/>
  <c r="BH543" i="1"/>
  <c r="BI543" i="1"/>
  <c r="AL543" i="1"/>
  <c r="AM543" i="1"/>
  <c r="AN543" i="1"/>
  <c r="AO543" i="1"/>
  <c r="AP543" i="1"/>
  <c r="U543" i="1"/>
  <c r="H543" i="1"/>
  <c r="V543" i="1"/>
  <c r="H531" i="1"/>
  <c r="S531" i="1" s="1"/>
  <c r="U531" i="1"/>
  <c r="I531" i="1"/>
  <c r="T531" i="1" s="1"/>
  <c r="V531" i="1"/>
  <c r="J531" i="1"/>
  <c r="W531" i="1"/>
  <c r="BF531" i="1"/>
  <c r="BH531" i="1"/>
  <c r="AL531" i="1"/>
  <c r="BI531" i="1"/>
  <c r="AM531" i="1"/>
  <c r="AN531" i="1"/>
  <c r="AO531" i="1"/>
  <c r="AP531" i="1"/>
  <c r="BF519" i="1"/>
  <c r="AL519" i="1"/>
  <c r="BH519" i="1"/>
  <c r="AM519" i="1"/>
  <c r="BI519" i="1"/>
  <c r="AN519" i="1"/>
  <c r="AO519" i="1"/>
  <c r="AP519" i="1"/>
  <c r="H519" i="1"/>
  <c r="S519" i="1" s="1"/>
  <c r="U519" i="1"/>
  <c r="I519" i="1"/>
  <c r="T519" i="1" s="1"/>
  <c r="V519" i="1"/>
  <c r="J519" i="1"/>
  <c r="W519" i="1"/>
  <c r="AL507" i="1"/>
  <c r="BI507" i="1"/>
  <c r="AM507" i="1"/>
  <c r="AN507" i="1"/>
  <c r="AO507" i="1"/>
  <c r="H507" i="1"/>
  <c r="S507" i="1" s="1"/>
  <c r="U507" i="1"/>
  <c r="AP507" i="1"/>
  <c r="I507" i="1"/>
  <c r="T507" i="1" s="1"/>
  <c r="V507" i="1"/>
  <c r="J507" i="1"/>
  <c r="W507" i="1"/>
  <c r="BF507" i="1"/>
  <c r="BH507" i="1"/>
  <c r="BH495" i="1"/>
  <c r="AL495" i="1"/>
  <c r="BI495" i="1"/>
  <c r="AM495" i="1"/>
  <c r="AN495" i="1"/>
  <c r="AO495" i="1"/>
  <c r="U495" i="1"/>
  <c r="AP495" i="1"/>
  <c r="H495" i="1"/>
  <c r="V495" i="1"/>
  <c r="I495" i="1"/>
  <c r="T495" i="1" s="1"/>
  <c r="W495" i="1"/>
  <c r="J495" i="1"/>
  <c r="BF495" i="1"/>
  <c r="H483" i="1"/>
  <c r="S483" i="1" s="1"/>
  <c r="V483" i="1"/>
  <c r="AP483" i="1"/>
  <c r="I483" i="1"/>
  <c r="T483" i="1" s="1"/>
  <c r="W483" i="1"/>
  <c r="J483" i="1"/>
  <c r="BF483" i="1"/>
  <c r="AL483" i="1"/>
  <c r="AM483" i="1"/>
  <c r="BH483" i="1"/>
  <c r="AN483" i="1"/>
  <c r="BI483" i="1"/>
  <c r="U483" i="1"/>
  <c r="AO483" i="1"/>
  <c r="AL471" i="1"/>
  <c r="AM471" i="1"/>
  <c r="AN471" i="1"/>
  <c r="AO471" i="1"/>
  <c r="AP471" i="1"/>
  <c r="U471" i="1"/>
  <c r="H471" i="1"/>
  <c r="V471" i="1"/>
  <c r="BF471" i="1"/>
  <c r="I471" i="1"/>
  <c r="T471" i="1" s="1"/>
  <c r="W471" i="1"/>
  <c r="J471" i="1"/>
  <c r="BH471" i="1"/>
  <c r="BI471" i="1"/>
  <c r="AP459" i="1"/>
  <c r="U459" i="1"/>
  <c r="H459" i="1"/>
  <c r="V459" i="1"/>
  <c r="I459" i="1"/>
  <c r="T459" i="1" s="1"/>
  <c r="W459" i="1"/>
  <c r="J459" i="1"/>
  <c r="BF459" i="1"/>
  <c r="BH459" i="1"/>
  <c r="BI459" i="1"/>
  <c r="AL459" i="1"/>
  <c r="AM459" i="1"/>
  <c r="AN459" i="1"/>
  <c r="AO459" i="1"/>
  <c r="H447" i="1"/>
  <c r="U447" i="1"/>
  <c r="I447" i="1"/>
  <c r="T447" i="1" s="1"/>
  <c r="V447" i="1"/>
  <c r="J447" i="1"/>
  <c r="W447" i="1"/>
  <c r="BF447" i="1"/>
  <c r="BH447" i="1"/>
  <c r="BI447" i="1"/>
  <c r="AL447" i="1"/>
  <c r="AM447" i="1"/>
  <c r="AN447" i="1"/>
  <c r="AO447" i="1"/>
  <c r="AP447" i="1"/>
  <c r="BF435" i="1"/>
  <c r="BH435" i="1"/>
  <c r="AL435" i="1"/>
  <c r="BI435" i="1"/>
  <c r="AM435" i="1"/>
  <c r="AN435" i="1"/>
  <c r="U435" i="1"/>
  <c r="AO435" i="1"/>
  <c r="H435" i="1"/>
  <c r="S435" i="1" s="1"/>
  <c r="V435" i="1"/>
  <c r="AP435" i="1"/>
  <c r="I435" i="1"/>
  <c r="T435" i="1" s="1"/>
  <c r="W435" i="1"/>
  <c r="J435" i="1"/>
  <c r="AO423" i="1"/>
  <c r="AP423" i="1"/>
  <c r="U423" i="1"/>
  <c r="H423" i="1"/>
  <c r="S423" i="1" s="1"/>
  <c r="V423" i="1"/>
  <c r="I423" i="1"/>
  <c r="T423" i="1" s="1"/>
  <c r="W423" i="1"/>
  <c r="J423" i="1"/>
  <c r="BF423" i="1"/>
  <c r="AL423" i="1"/>
  <c r="BH423" i="1"/>
  <c r="AM423" i="1"/>
  <c r="BI423" i="1"/>
  <c r="AN423" i="1"/>
  <c r="AM411" i="1"/>
  <c r="AN411" i="1"/>
  <c r="AO411" i="1"/>
  <c r="AP411" i="1"/>
  <c r="H411" i="1"/>
  <c r="S411" i="1" s="1"/>
  <c r="U411" i="1"/>
  <c r="I411" i="1"/>
  <c r="T411" i="1" s="1"/>
  <c r="V411" i="1"/>
  <c r="J411" i="1"/>
  <c r="W411" i="1"/>
  <c r="BF411" i="1"/>
  <c r="BH411" i="1"/>
  <c r="AL411" i="1"/>
  <c r="BI411" i="1"/>
  <c r="BF399" i="1"/>
  <c r="AL399" i="1"/>
  <c r="BH399" i="1"/>
  <c r="AM399" i="1"/>
  <c r="BI399" i="1"/>
  <c r="AN399" i="1"/>
  <c r="AO399" i="1"/>
  <c r="AP399" i="1"/>
  <c r="H399" i="1"/>
  <c r="U399" i="1"/>
  <c r="I399" i="1"/>
  <c r="T399" i="1" s="1"/>
  <c r="V399" i="1"/>
  <c r="J399" i="1"/>
  <c r="W399" i="1"/>
  <c r="AN387" i="1"/>
  <c r="BI387" i="1"/>
  <c r="U387" i="1"/>
  <c r="AO387" i="1"/>
  <c r="H387" i="1"/>
  <c r="V387" i="1"/>
  <c r="AP387" i="1"/>
  <c r="I387" i="1"/>
  <c r="T387" i="1" s="1"/>
  <c r="W387" i="1"/>
  <c r="J387" i="1"/>
  <c r="BF387" i="1"/>
  <c r="AL387" i="1"/>
  <c r="BH387" i="1"/>
  <c r="AM387" i="1"/>
  <c r="BF375" i="1"/>
  <c r="AL375" i="1"/>
  <c r="AM375" i="1"/>
  <c r="BH375" i="1"/>
  <c r="AN375" i="1"/>
  <c r="BI375" i="1"/>
  <c r="AO375" i="1"/>
  <c r="AP375" i="1"/>
  <c r="U375" i="1"/>
  <c r="H375" i="1"/>
  <c r="V375" i="1"/>
  <c r="I375" i="1"/>
  <c r="T375" i="1" s="1"/>
  <c r="W375" i="1"/>
  <c r="J375" i="1"/>
  <c r="AO363" i="1"/>
  <c r="AP363" i="1"/>
  <c r="U363" i="1"/>
  <c r="H363" i="1"/>
  <c r="S363" i="1" s="1"/>
  <c r="V363" i="1"/>
  <c r="I363" i="1"/>
  <c r="T363" i="1" s="1"/>
  <c r="W363" i="1"/>
  <c r="J363" i="1"/>
  <c r="BF363" i="1"/>
  <c r="BH363" i="1"/>
  <c r="AL363" i="1"/>
  <c r="AM363" i="1"/>
  <c r="AN363" i="1"/>
  <c r="BI363" i="1"/>
  <c r="BI351" i="1"/>
  <c r="AL351" i="1"/>
  <c r="AM351" i="1"/>
  <c r="AN351" i="1"/>
  <c r="AO351" i="1"/>
  <c r="AP351" i="1"/>
  <c r="H351" i="1"/>
  <c r="S351" i="1" s="1"/>
  <c r="U351" i="1"/>
  <c r="I351" i="1"/>
  <c r="T351" i="1" s="1"/>
  <c r="V351" i="1"/>
  <c r="J351" i="1"/>
  <c r="W351" i="1"/>
  <c r="BF351" i="1"/>
  <c r="BH351" i="1"/>
  <c r="J339" i="1"/>
  <c r="W339" i="1"/>
  <c r="BF339" i="1"/>
  <c r="BH339" i="1"/>
  <c r="BI339" i="1"/>
  <c r="AL339" i="1"/>
  <c r="AM339" i="1"/>
  <c r="AN339" i="1"/>
  <c r="AO339" i="1"/>
  <c r="AP339" i="1"/>
  <c r="H339" i="1"/>
  <c r="U339" i="1"/>
  <c r="I339" i="1"/>
  <c r="T339" i="1" s="1"/>
  <c r="V339" i="1"/>
  <c r="AO327" i="1"/>
  <c r="U327" i="1"/>
  <c r="AP327" i="1"/>
  <c r="H327" i="1"/>
  <c r="S327" i="1" s="1"/>
  <c r="V327" i="1"/>
  <c r="I327" i="1"/>
  <c r="T327" i="1" s="1"/>
  <c r="W327" i="1"/>
  <c r="J327" i="1"/>
  <c r="BF327" i="1"/>
  <c r="BH327" i="1"/>
  <c r="BI327" i="1"/>
  <c r="AL327" i="1"/>
  <c r="AM327" i="1"/>
  <c r="AN327" i="1"/>
  <c r="AO315" i="1"/>
  <c r="AP315" i="1"/>
  <c r="H315" i="1"/>
  <c r="S315" i="1" s="1"/>
  <c r="U315" i="1"/>
  <c r="I315" i="1"/>
  <c r="T315" i="1" s="1"/>
  <c r="V315" i="1"/>
  <c r="J315" i="1"/>
  <c r="W315" i="1"/>
  <c r="BF315" i="1"/>
  <c r="BH315" i="1"/>
  <c r="AM315" i="1"/>
  <c r="AL315" i="1"/>
  <c r="AN315" i="1"/>
  <c r="BI315" i="1"/>
  <c r="AL303" i="1"/>
  <c r="BH303" i="1"/>
  <c r="AM303" i="1"/>
  <c r="BI303" i="1"/>
  <c r="AN303" i="1"/>
  <c r="AO303" i="1"/>
  <c r="AP303" i="1"/>
  <c r="H303" i="1"/>
  <c r="S303" i="1" s="1"/>
  <c r="U303" i="1"/>
  <c r="I303" i="1"/>
  <c r="T303" i="1" s="1"/>
  <c r="V303" i="1"/>
  <c r="J303" i="1"/>
  <c r="W303" i="1"/>
  <c r="BF303" i="1"/>
  <c r="AN291" i="1"/>
  <c r="AO291" i="1"/>
  <c r="AP291" i="1"/>
  <c r="H291" i="1"/>
  <c r="U291" i="1"/>
  <c r="I291" i="1"/>
  <c r="T291" i="1" s="1"/>
  <c r="V291" i="1"/>
  <c r="J291" i="1"/>
  <c r="W291" i="1"/>
  <c r="BF291" i="1"/>
  <c r="BH291" i="1"/>
  <c r="BI291" i="1"/>
  <c r="AL291" i="1"/>
  <c r="AM291" i="1"/>
  <c r="I279" i="1"/>
  <c r="T279" i="1" s="1"/>
  <c r="V279" i="1"/>
  <c r="J279" i="1"/>
  <c r="W279" i="1"/>
  <c r="BF279" i="1"/>
  <c r="AL279" i="1"/>
  <c r="BH279" i="1"/>
  <c r="AM279" i="1"/>
  <c r="BI279" i="1"/>
  <c r="AN279" i="1"/>
  <c r="AO279" i="1"/>
  <c r="AP279" i="1"/>
  <c r="H279" i="1"/>
  <c r="U279" i="1"/>
  <c r="BF267" i="1"/>
  <c r="BH267" i="1"/>
  <c r="AL267" i="1"/>
  <c r="BI267" i="1"/>
  <c r="AM267" i="1"/>
  <c r="AN267" i="1"/>
  <c r="H267" i="1"/>
  <c r="V267" i="1"/>
  <c r="AP267" i="1"/>
  <c r="J267" i="1"/>
  <c r="U267" i="1"/>
  <c r="W267" i="1"/>
  <c r="AO267" i="1"/>
  <c r="I267" i="1"/>
  <c r="T267" i="1" s="1"/>
  <c r="BI255" i="1"/>
  <c r="AL255" i="1"/>
  <c r="AM255" i="1"/>
  <c r="AN255" i="1"/>
  <c r="AO255" i="1"/>
  <c r="U255" i="1"/>
  <c r="AP255" i="1"/>
  <c r="H255" i="1"/>
  <c r="V255" i="1"/>
  <c r="I255" i="1"/>
  <c r="T255" i="1" s="1"/>
  <c r="W255" i="1"/>
  <c r="J255" i="1"/>
  <c r="BF255" i="1"/>
  <c r="BH255" i="1"/>
  <c r="BF243" i="1"/>
  <c r="BH243" i="1"/>
  <c r="BI243" i="1"/>
  <c r="AL243" i="1"/>
  <c r="AM243" i="1"/>
  <c r="AN243" i="1"/>
  <c r="AO243" i="1"/>
  <c r="U243" i="1"/>
  <c r="AP243" i="1"/>
  <c r="I243" i="1"/>
  <c r="T243" i="1" s="1"/>
  <c r="W243" i="1"/>
  <c r="H243" i="1"/>
  <c r="J243" i="1"/>
  <c r="V243" i="1"/>
  <c r="BF231" i="1"/>
  <c r="BH231" i="1"/>
  <c r="AL231" i="1"/>
  <c r="BI231" i="1"/>
  <c r="AM231" i="1"/>
  <c r="U231" i="1"/>
  <c r="AN231" i="1"/>
  <c r="H231" i="1"/>
  <c r="S231" i="1" s="1"/>
  <c r="V231" i="1"/>
  <c r="AO231" i="1"/>
  <c r="I231" i="1"/>
  <c r="T231" i="1" s="1"/>
  <c r="W231" i="1"/>
  <c r="AP231" i="1"/>
  <c r="J231" i="1"/>
  <c r="AM219" i="1"/>
  <c r="AN219" i="1"/>
  <c r="AP219" i="1"/>
  <c r="H219" i="1"/>
  <c r="S219" i="1" s="1"/>
  <c r="V219" i="1"/>
  <c r="BF219" i="1"/>
  <c r="I219" i="1"/>
  <c r="T219" i="1" s="1"/>
  <c r="W219" i="1"/>
  <c r="J219" i="1"/>
  <c r="BH219" i="1"/>
  <c r="BI219" i="1"/>
  <c r="U219" i="1"/>
  <c r="AL219" i="1"/>
  <c r="AO219" i="1"/>
  <c r="AL207" i="1"/>
  <c r="AM207" i="1"/>
  <c r="BH207" i="1"/>
  <c r="AO207" i="1"/>
  <c r="U207" i="1"/>
  <c r="AP207" i="1"/>
  <c r="H207" i="1"/>
  <c r="S207" i="1" s="1"/>
  <c r="V207" i="1"/>
  <c r="BI207" i="1"/>
  <c r="W207" i="1"/>
  <c r="AN207" i="1"/>
  <c r="I207" i="1"/>
  <c r="T207" i="1" s="1"/>
  <c r="J207" i="1"/>
  <c r="BF207" i="1"/>
  <c r="BF195" i="1"/>
  <c r="AM195" i="1"/>
  <c r="BH195" i="1"/>
  <c r="AN195" i="1"/>
  <c r="BI195" i="1"/>
  <c r="AO195" i="1"/>
  <c r="U195" i="1"/>
  <c r="J195" i="1"/>
  <c r="V195" i="1"/>
  <c r="W195" i="1"/>
  <c r="AL195" i="1"/>
  <c r="H195" i="1"/>
  <c r="I195" i="1"/>
  <c r="T195" i="1" s="1"/>
  <c r="AP195" i="1"/>
  <c r="I183" i="1"/>
  <c r="T183" i="1" s="1"/>
  <c r="V183" i="1"/>
  <c r="J183" i="1"/>
  <c r="W183" i="1"/>
  <c r="BF183" i="1"/>
  <c r="BH183" i="1"/>
  <c r="AL183" i="1"/>
  <c r="BI183" i="1"/>
  <c r="AM183" i="1"/>
  <c r="AN183" i="1"/>
  <c r="AP183" i="1"/>
  <c r="H183" i="1"/>
  <c r="S183" i="1" s="1"/>
  <c r="U183" i="1"/>
  <c r="AO183" i="1"/>
  <c r="BF171" i="1"/>
  <c r="BH171" i="1"/>
  <c r="AL171" i="1"/>
  <c r="BI171" i="1"/>
  <c r="AM171" i="1"/>
  <c r="AN171" i="1"/>
  <c r="AO171" i="1"/>
  <c r="H171" i="1"/>
  <c r="S171" i="1" s="1"/>
  <c r="U171" i="1"/>
  <c r="AP171" i="1"/>
  <c r="I171" i="1"/>
  <c r="T171" i="1" s="1"/>
  <c r="V171" i="1"/>
  <c r="J171" i="1"/>
  <c r="W171" i="1"/>
  <c r="AO159" i="1"/>
  <c r="H159" i="1"/>
  <c r="U159" i="1"/>
  <c r="AP159" i="1"/>
  <c r="I159" i="1"/>
  <c r="T159" i="1" s="1"/>
  <c r="V159" i="1"/>
  <c r="J159" i="1"/>
  <c r="W159" i="1"/>
  <c r="AM159" i="1"/>
  <c r="BI159" i="1"/>
  <c r="BF159" i="1"/>
  <c r="BH159" i="1"/>
  <c r="AL159" i="1"/>
  <c r="AN159" i="1"/>
  <c r="AL147" i="1"/>
  <c r="BH147" i="1"/>
  <c r="AM147" i="1"/>
  <c r="BI147" i="1"/>
  <c r="AN147" i="1"/>
  <c r="AO147" i="1"/>
  <c r="U147" i="1"/>
  <c r="J147" i="1"/>
  <c r="BF147" i="1"/>
  <c r="H147" i="1"/>
  <c r="I147" i="1"/>
  <c r="T147" i="1" s="1"/>
  <c r="V147" i="1"/>
  <c r="AP147" i="1"/>
  <c r="W147" i="1"/>
  <c r="H135" i="1"/>
  <c r="S135" i="1" s="1"/>
  <c r="U135" i="1"/>
  <c r="I135" i="1"/>
  <c r="T135" i="1" s="1"/>
  <c r="V135" i="1"/>
  <c r="BF135" i="1"/>
  <c r="BH135" i="1"/>
  <c r="BI135" i="1"/>
  <c r="AN135" i="1"/>
  <c r="W135" i="1"/>
  <c r="AL135" i="1"/>
  <c r="AO135" i="1"/>
  <c r="AP135" i="1"/>
  <c r="J135" i="1"/>
  <c r="AM135" i="1"/>
  <c r="I123" i="1"/>
  <c r="T123" i="1" s="1"/>
  <c r="W123" i="1"/>
  <c r="BF123" i="1"/>
  <c r="AO123" i="1"/>
  <c r="U123" i="1"/>
  <c r="AP123" i="1"/>
  <c r="H123" i="1"/>
  <c r="J123" i="1"/>
  <c r="BH123" i="1"/>
  <c r="BI123" i="1"/>
  <c r="V123" i="1"/>
  <c r="AL123" i="1"/>
  <c r="AM123" i="1"/>
  <c r="AN123" i="1"/>
  <c r="AO111" i="1"/>
  <c r="J111" i="1"/>
  <c r="W111" i="1"/>
  <c r="AL111" i="1"/>
  <c r="BI111" i="1"/>
  <c r="AM111" i="1"/>
  <c r="AN111" i="1"/>
  <c r="H111" i="1"/>
  <c r="AP111" i="1"/>
  <c r="BF111" i="1"/>
  <c r="BH111" i="1"/>
  <c r="I111" i="1"/>
  <c r="T111" i="1" s="1"/>
  <c r="U111" i="1"/>
  <c r="V111" i="1"/>
  <c r="AN99" i="1"/>
  <c r="AO99" i="1"/>
  <c r="AP99" i="1"/>
  <c r="I99" i="1"/>
  <c r="T99" i="1" s="1"/>
  <c r="V99" i="1"/>
  <c r="J99" i="1"/>
  <c r="W99" i="1"/>
  <c r="BF99" i="1"/>
  <c r="BI99" i="1"/>
  <c r="U99" i="1"/>
  <c r="AL99" i="1"/>
  <c r="H99" i="1"/>
  <c r="S99" i="1" s="1"/>
  <c r="AM99" i="1"/>
  <c r="BH99" i="1"/>
  <c r="AO87" i="1"/>
  <c r="AP87" i="1"/>
  <c r="I87" i="1"/>
  <c r="T87" i="1" s="1"/>
  <c r="V87" i="1"/>
  <c r="BF87" i="1"/>
  <c r="J87" i="1"/>
  <c r="W87" i="1"/>
  <c r="BH87" i="1"/>
  <c r="BI87" i="1"/>
  <c r="AL87" i="1"/>
  <c r="H87" i="1"/>
  <c r="S87" i="1" s="1"/>
  <c r="AN87" i="1"/>
  <c r="U87" i="1"/>
  <c r="AM87" i="1"/>
  <c r="BF75" i="1"/>
  <c r="BH75" i="1"/>
  <c r="AL75" i="1"/>
  <c r="AM75" i="1"/>
  <c r="AN75" i="1"/>
  <c r="AO75" i="1"/>
  <c r="I75" i="1"/>
  <c r="T75" i="1" s="1"/>
  <c r="V75" i="1"/>
  <c r="BI75" i="1"/>
  <c r="H75" i="1"/>
  <c r="S75" i="1" s="1"/>
  <c r="U75" i="1"/>
  <c r="W75" i="1"/>
  <c r="AP75" i="1"/>
  <c r="J75" i="1"/>
  <c r="AM63" i="1"/>
  <c r="BH63" i="1"/>
  <c r="AN63" i="1"/>
  <c r="BI63" i="1"/>
  <c r="I63" i="1"/>
  <c r="T63" i="1" s="1"/>
  <c r="V63" i="1"/>
  <c r="AP63" i="1"/>
  <c r="J63" i="1"/>
  <c r="W63" i="1"/>
  <c r="BF63" i="1"/>
  <c r="U63" i="1"/>
  <c r="AL63" i="1"/>
  <c r="AO63" i="1"/>
  <c r="H63" i="1"/>
  <c r="S63" i="1" s="1"/>
  <c r="AL51" i="1"/>
  <c r="AM51" i="1"/>
  <c r="H51" i="1"/>
  <c r="S51" i="1" s="1"/>
  <c r="V51" i="1"/>
  <c r="AO51" i="1"/>
  <c r="AP51" i="1"/>
  <c r="BF51" i="1"/>
  <c r="J51" i="1"/>
  <c r="BI51" i="1"/>
  <c r="I51" i="1"/>
  <c r="T51" i="1" s="1"/>
  <c r="U51" i="1"/>
  <c r="AN51" i="1"/>
  <c r="BH51" i="1"/>
  <c r="W51" i="1"/>
  <c r="AP39" i="1"/>
  <c r="U39" i="1"/>
  <c r="W39" i="1"/>
  <c r="BF39" i="1"/>
  <c r="J39" i="1"/>
  <c r="AN39" i="1"/>
  <c r="BI39" i="1"/>
  <c r="H39" i="1"/>
  <c r="S39" i="1" s="1"/>
  <c r="AL39" i="1"/>
  <c r="AM39" i="1"/>
  <c r="AO39" i="1"/>
  <c r="I39" i="1"/>
  <c r="T39" i="1" s="1"/>
  <c r="V39" i="1"/>
  <c r="BH39" i="1"/>
  <c r="BF27" i="1"/>
  <c r="AM27" i="1"/>
  <c r="BH27" i="1"/>
  <c r="BI27" i="1"/>
  <c r="AL27" i="1"/>
  <c r="AO27" i="1"/>
  <c r="U27" i="1"/>
  <c r="W27" i="1"/>
  <c r="I27" i="1"/>
  <c r="T27" i="1" s="1"/>
  <c r="AP27" i="1"/>
  <c r="J27" i="1"/>
  <c r="AN27" i="1"/>
  <c r="V27" i="1"/>
  <c r="H27" i="1"/>
  <c r="BH15" i="1"/>
  <c r="AL15" i="1"/>
  <c r="BI15" i="1"/>
  <c r="AM15" i="1"/>
  <c r="AN15" i="1"/>
  <c r="H15" i="1"/>
  <c r="U15" i="1"/>
  <c r="AO15" i="1"/>
  <c r="I15" i="1"/>
  <c r="T15" i="1" s="1"/>
  <c r="V15" i="1"/>
  <c r="AP15" i="1"/>
  <c r="J15" i="1"/>
  <c r="W15" i="1"/>
  <c r="BF15" i="1"/>
  <c r="H3" i="1"/>
  <c r="AN3" i="1"/>
  <c r="I3" i="1"/>
  <c r="T3" i="1" s="1"/>
  <c r="U3" i="1"/>
  <c r="AO3" i="1"/>
  <c r="J3" i="1"/>
  <c r="V3" i="1"/>
  <c r="AP3" i="1"/>
  <c r="BF3" i="1"/>
  <c r="W3" i="1"/>
  <c r="BH3" i="1"/>
  <c r="BI3" i="1"/>
  <c r="AL3" i="1"/>
  <c r="AM3" i="1"/>
  <c r="AP622" i="1"/>
  <c r="J621" i="1"/>
  <c r="W620" i="1"/>
  <c r="I620" i="1"/>
  <c r="T620" i="1" s="1"/>
  <c r="AP619" i="1"/>
  <c r="W617" i="1"/>
  <c r="AO606" i="1"/>
  <c r="AM603" i="1"/>
  <c r="BF583" i="1"/>
  <c r="BI579" i="1"/>
  <c r="AL614" i="1"/>
  <c r="BI614" i="1"/>
  <c r="AM614" i="1"/>
  <c r="AN614" i="1"/>
  <c r="AO614" i="1"/>
  <c r="AP614" i="1"/>
  <c r="H614" i="1"/>
  <c r="S614" i="1" s="1"/>
  <c r="U614" i="1"/>
  <c r="I614" i="1"/>
  <c r="T614" i="1" s="1"/>
  <c r="V614" i="1"/>
  <c r="J614" i="1"/>
  <c r="W614" i="1"/>
  <c r="BF614" i="1"/>
  <c r="J602" i="1"/>
  <c r="BF602" i="1"/>
  <c r="AL602" i="1"/>
  <c r="BH602" i="1"/>
  <c r="AM602" i="1"/>
  <c r="BI602" i="1"/>
  <c r="AN602" i="1"/>
  <c r="AO602" i="1"/>
  <c r="AP602" i="1"/>
  <c r="U602" i="1"/>
  <c r="H602" i="1"/>
  <c r="S602" i="1" s="1"/>
  <c r="V602" i="1"/>
  <c r="AL590" i="1"/>
  <c r="BH590" i="1"/>
  <c r="AM590" i="1"/>
  <c r="BI590" i="1"/>
  <c r="AN590" i="1"/>
  <c r="U590" i="1"/>
  <c r="AO590" i="1"/>
  <c r="H590" i="1"/>
  <c r="S590" i="1" s="1"/>
  <c r="V590" i="1"/>
  <c r="AP590" i="1"/>
  <c r="I590" i="1"/>
  <c r="T590" i="1" s="1"/>
  <c r="W590" i="1"/>
  <c r="J590" i="1"/>
  <c r="BF578" i="1"/>
  <c r="BH578" i="1"/>
  <c r="AL578" i="1"/>
  <c r="BI578" i="1"/>
  <c r="AM578" i="1"/>
  <c r="H578" i="1"/>
  <c r="S578" i="1" s="1"/>
  <c r="U578" i="1"/>
  <c r="AN578" i="1"/>
  <c r="I578" i="1"/>
  <c r="T578" i="1" s="1"/>
  <c r="V578" i="1"/>
  <c r="AO578" i="1"/>
  <c r="J578" i="1"/>
  <c r="W578" i="1"/>
  <c r="AP578" i="1"/>
  <c r="AL566" i="1"/>
  <c r="AM566" i="1"/>
  <c r="AN566" i="1"/>
  <c r="AO566" i="1"/>
  <c r="AP566" i="1"/>
  <c r="H566" i="1"/>
  <c r="S566" i="1" s="1"/>
  <c r="I566" i="1"/>
  <c r="T566" i="1" s="1"/>
  <c r="J566" i="1"/>
  <c r="U566" i="1"/>
  <c r="BF566" i="1"/>
  <c r="V566" i="1"/>
  <c r="W566" i="1"/>
  <c r="BH566" i="1"/>
  <c r="BF554" i="1"/>
  <c r="BH554" i="1"/>
  <c r="AL554" i="1"/>
  <c r="BI554" i="1"/>
  <c r="AM554" i="1"/>
  <c r="AN554" i="1"/>
  <c r="AO554" i="1"/>
  <c r="AP554" i="1"/>
  <c r="H554" i="1"/>
  <c r="S554" i="1" s="1"/>
  <c r="U554" i="1"/>
  <c r="I554" i="1"/>
  <c r="T554" i="1" s="1"/>
  <c r="V554" i="1"/>
  <c r="W554" i="1"/>
  <c r="BF542" i="1"/>
  <c r="U542" i="1"/>
  <c r="AL542" i="1"/>
  <c r="BH542" i="1"/>
  <c r="H542" i="1"/>
  <c r="S542" i="1" s="1"/>
  <c r="V542" i="1"/>
  <c r="AM542" i="1"/>
  <c r="BI542" i="1"/>
  <c r="I542" i="1"/>
  <c r="T542" i="1" s="1"/>
  <c r="W542" i="1"/>
  <c r="AN542" i="1"/>
  <c r="J542" i="1"/>
  <c r="AO542" i="1"/>
  <c r="AP542" i="1"/>
  <c r="U530" i="1"/>
  <c r="BF530" i="1"/>
  <c r="H530" i="1"/>
  <c r="S530" i="1" s="1"/>
  <c r="V530" i="1"/>
  <c r="AL530" i="1"/>
  <c r="I530" i="1"/>
  <c r="T530" i="1" s="1"/>
  <c r="W530" i="1"/>
  <c r="AM530" i="1"/>
  <c r="BH530" i="1"/>
  <c r="J530" i="1"/>
  <c r="AN530" i="1"/>
  <c r="BI530" i="1"/>
  <c r="AO530" i="1"/>
  <c r="AP530" i="1"/>
  <c r="AL518" i="1"/>
  <c r="BF518" i="1"/>
  <c r="U518" i="1"/>
  <c r="AM518" i="1"/>
  <c r="H518" i="1"/>
  <c r="S518" i="1" s="1"/>
  <c r="V518" i="1"/>
  <c r="AN518" i="1"/>
  <c r="BH518" i="1"/>
  <c r="I518" i="1"/>
  <c r="T518" i="1" s="1"/>
  <c r="W518" i="1"/>
  <c r="AO518" i="1"/>
  <c r="BI518" i="1"/>
  <c r="J518" i="1"/>
  <c r="AP518" i="1"/>
  <c r="AN506" i="1"/>
  <c r="AO506" i="1"/>
  <c r="U506" i="1"/>
  <c r="AP506" i="1"/>
  <c r="H506" i="1"/>
  <c r="V506" i="1"/>
  <c r="I506" i="1"/>
  <c r="T506" i="1" s="1"/>
  <c r="W506" i="1"/>
  <c r="J506" i="1"/>
  <c r="BF506" i="1"/>
  <c r="BH506" i="1"/>
  <c r="AL506" i="1"/>
  <c r="BI506" i="1"/>
  <c r="AM506" i="1"/>
  <c r="BI494" i="1"/>
  <c r="AL494" i="1"/>
  <c r="AM494" i="1"/>
  <c r="AN494" i="1"/>
  <c r="AO494" i="1"/>
  <c r="H494" i="1"/>
  <c r="S494" i="1" s="1"/>
  <c r="U494" i="1"/>
  <c r="AP494" i="1"/>
  <c r="I494" i="1"/>
  <c r="T494" i="1" s="1"/>
  <c r="V494" i="1"/>
  <c r="J494" i="1"/>
  <c r="W494" i="1"/>
  <c r="BF494" i="1"/>
  <c r="BH494" i="1"/>
  <c r="H482" i="1"/>
  <c r="U482" i="1"/>
  <c r="I482" i="1"/>
  <c r="T482" i="1" s="1"/>
  <c r="V482" i="1"/>
  <c r="J482" i="1"/>
  <c r="W482" i="1"/>
  <c r="BF482" i="1"/>
  <c r="BH482" i="1"/>
  <c r="AL482" i="1"/>
  <c r="BI482" i="1"/>
  <c r="AM482" i="1"/>
  <c r="AN482" i="1"/>
  <c r="AO482" i="1"/>
  <c r="AP482" i="1"/>
  <c r="BF470" i="1"/>
  <c r="AL470" i="1"/>
  <c r="BH470" i="1"/>
  <c r="AM470" i="1"/>
  <c r="BI470" i="1"/>
  <c r="AN470" i="1"/>
  <c r="AO470" i="1"/>
  <c r="H470" i="1"/>
  <c r="S470" i="1" s="1"/>
  <c r="U470" i="1"/>
  <c r="AP470" i="1"/>
  <c r="I470" i="1"/>
  <c r="T470" i="1" s="1"/>
  <c r="V470" i="1"/>
  <c r="J470" i="1"/>
  <c r="W470" i="1"/>
  <c r="I458" i="1"/>
  <c r="T458" i="1" s="1"/>
  <c r="V458" i="1"/>
  <c r="AP458" i="1"/>
  <c r="J458" i="1"/>
  <c r="W458" i="1"/>
  <c r="BF458" i="1"/>
  <c r="AL458" i="1"/>
  <c r="BH458" i="1"/>
  <c r="AM458" i="1"/>
  <c r="BI458" i="1"/>
  <c r="AN458" i="1"/>
  <c r="H458" i="1"/>
  <c r="S458" i="1" s="1"/>
  <c r="U458" i="1"/>
  <c r="AO458" i="1"/>
  <c r="W446" i="1"/>
  <c r="BF446" i="1"/>
  <c r="BH446" i="1"/>
  <c r="AL446" i="1"/>
  <c r="BI446" i="1"/>
  <c r="AM446" i="1"/>
  <c r="H446" i="1"/>
  <c r="AN446" i="1"/>
  <c r="I446" i="1"/>
  <c r="T446" i="1" s="1"/>
  <c r="U446" i="1"/>
  <c r="AO446" i="1"/>
  <c r="AP446" i="1"/>
  <c r="J446" i="1"/>
  <c r="V446" i="1"/>
  <c r="BF434" i="1"/>
  <c r="BH434" i="1"/>
  <c r="BI434" i="1"/>
  <c r="AL434" i="1"/>
  <c r="AM434" i="1"/>
  <c r="AN434" i="1"/>
  <c r="AO434" i="1"/>
  <c r="H434" i="1"/>
  <c r="S434" i="1" s="1"/>
  <c r="U434" i="1"/>
  <c r="AP434" i="1"/>
  <c r="I434" i="1"/>
  <c r="T434" i="1" s="1"/>
  <c r="V434" i="1"/>
  <c r="J434" i="1"/>
  <c r="W434" i="1"/>
  <c r="AL422" i="1"/>
  <c r="AM422" i="1"/>
  <c r="AN422" i="1"/>
  <c r="AO422" i="1"/>
  <c r="AP422" i="1"/>
  <c r="H422" i="1"/>
  <c r="S422" i="1" s="1"/>
  <c r="U422" i="1"/>
  <c r="I422" i="1"/>
  <c r="T422" i="1" s="1"/>
  <c r="V422" i="1"/>
  <c r="J422" i="1"/>
  <c r="W422" i="1"/>
  <c r="BF422" i="1"/>
  <c r="BH422" i="1"/>
  <c r="BI422" i="1"/>
  <c r="AN410" i="1"/>
  <c r="BI410" i="1"/>
  <c r="AO410" i="1"/>
  <c r="AP410" i="1"/>
  <c r="H410" i="1"/>
  <c r="S410" i="1" s="1"/>
  <c r="U410" i="1"/>
  <c r="I410" i="1"/>
  <c r="T410" i="1" s="1"/>
  <c r="V410" i="1"/>
  <c r="J410" i="1"/>
  <c r="W410" i="1"/>
  <c r="BF410" i="1"/>
  <c r="AL410" i="1"/>
  <c r="AM410" i="1"/>
  <c r="BH410" i="1"/>
  <c r="I398" i="1"/>
  <c r="T398" i="1" s="1"/>
  <c r="V398" i="1"/>
  <c r="J398" i="1"/>
  <c r="W398" i="1"/>
  <c r="BF398" i="1"/>
  <c r="BH398" i="1"/>
  <c r="BI398" i="1"/>
  <c r="AL398" i="1"/>
  <c r="AM398" i="1"/>
  <c r="AN398" i="1"/>
  <c r="AO398" i="1"/>
  <c r="H398" i="1"/>
  <c r="S398" i="1" s="1"/>
  <c r="U398" i="1"/>
  <c r="AP398" i="1"/>
  <c r="AM386" i="1"/>
  <c r="AN386" i="1"/>
  <c r="AO386" i="1"/>
  <c r="H386" i="1"/>
  <c r="S386" i="1" s="1"/>
  <c r="U386" i="1"/>
  <c r="AP386" i="1"/>
  <c r="I386" i="1"/>
  <c r="T386" i="1" s="1"/>
  <c r="V386" i="1"/>
  <c r="J386" i="1"/>
  <c r="W386" i="1"/>
  <c r="BF386" i="1"/>
  <c r="BH386" i="1"/>
  <c r="BI386" i="1"/>
  <c r="AL386" i="1"/>
  <c r="BF374" i="1"/>
  <c r="BH374" i="1"/>
  <c r="AL374" i="1"/>
  <c r="BI374" i="1"/>
  <c r="AM374" i="1"/>
  <c r="H374" i="1"/>
  <c r="S374" i="1" s="1"/>
  <c r="AN374" i="1"/>
  <c r="I374" i="1"/>
  <c r="T374" i="1" s="1"/>
  <c r="U374" i="1"/>
  <c r="AO374" i="1"/>
  <c r="J374" i="1"/>
  <c r="V374" i="1"/>
  <c r="AP374" i="1"/>
  <c r="W374" i="1"/>
  <c r="U362" i="1"/>
  <c r="AO362" i="1"/>
  <c r="H362" i="1"/>
  <c r="S362" i="1" s="1"/>
  <c r="V362" i="1"/>
  <c r="AP362" i="1"/>
  <c r="I362" i="1"/>
  <c r="T362" i="1" s="1"/>
  <c r="W362" i="1"/>
  <c r="J362" i="1"/>
  <c r="BF362" i="1"/>
  <c r="AL362" i="1"/>
  <c r="BH362" i="1"/>
  <c r="AM362" i="1"/>
  <c r="BI362" i="1"/>
  <c r="AN362" i="1"/>
  <c r="AL350" i="1"/>
  <c r="BH350" i="1"/>
  <c r="AM350" i="1"/>
  <c r="BI350" i="1"/>
  <c r="U350" i="1"/>
  <c r="AN350" i="1"/>
  <c r="H350" i="1"/>
  <c r="S350" i="1" s="1"/>
  <c r="V350" i="1"/>
  <c r="AO350" i="1"/>
  <c r="I350" i="1"/>
  <c r="T350" i="1" s="1"/>
  <c r="W350" i="1"/>
  <c r="AP350" i="1"/>
  <c r="J350" i="1"/>
  <c r="BF350" i="1"/>
  <c r="BF338" i="1"/>
  <c r="AL338" i="1"/>
  <c r="AM338" i="1"/>
  <c r="BH338" i="1"/>
  <c r="H338" i="1"/>
  <c r="S338" i="1" s="1"/>
  <c r="U338" i="1"/>
  <c r="AN338" i="1"/>
  <c r="BI338" i="1"/>
  <c r="I338" i="1"/>
  <c r="T338" i="1" s="1"/>
  <c r="V338" i="1"/>
  <c r="AO338" i="1"/>
  <c r="J338" i="1"/>
  <c r="W338" i="1"/>
  <c r="AP338" i="1"/>
  <c r="AN326" i="1"/>
  <c r="AO326" i="1"/>
  <c r="AP326" i="1"/>
  <c r="U326" i="1"/>
  <c r="H326" i="1"/>
  <c r="S326" i="1" s="1"/>
  <c r="V326" i="1"/>
  <c r="I326" i="1"/>
  <c r="T326" i="1" s="1"/>
  <c r="W326" i="1"/>
  <c r="BF326" i="1"/>
  <c r="J326" i="1"/>
  <c r="BH326" i="1"/>
  <c r="BI326" i="1"/>
  <c r="AL326" i="1"/>
  <c r="AM326" i="1"/>
  <c r="AN314" i="1"/>
  <c r="AO314" i="1"/>
  <c r="AP314" i="1"/>
  <c r="U314" i="1"/>
  <c r="H314" i="1"/>
  <c r="S314" i="1" s="1"/>
  <c r="V314" i="1"/>
  <c r="I314" i="1"/>
  <c r="T314" i="1" s="1"/>
  <c r="W314" i="1"/>
  <c r="J314" i="1"/>
  <c r="BF314" i="1"/>
  <c r="BI314" i="1"/>
  <c r="AL314" i="1"/>
  <c r="BH314" i="1"/>
  <c r="AM314" i="1"/>
  <c r="AN302" i="1"/>
  <c r="U302" i="1"/>
  <c r="AO302" i="1"/>
  <c r="H302" i="1"/>
  <c r="S302" i="1" s="1"/>
  <c r="V302" i="1"/>
  <c r="AP302" i="1"/>
  <c r="I302" i="1"/>
  <c r="T302" i="1" s="1"/>
  <c r="W302" i="1"/>
  <c r="J302" i="1"/>
  <c r="BF302" i="1"/>
  <c r="AL302" i="1"/>
  <c r="BH302" i="1"/>
  <c r="AM302" i="1"/>
  <c r="BI302" i="1"/>
  <c r="AN290" i="1"/>
  <c r="AO290" i="1"/>
  <c r="AP290" i="1"/>
  <c r="U290" i="1"/>
  <c r="H290" i="1"/>
  <c r="S290" i="1" s="1"/>
  <c r="V290" i="1"/>
  <c r="I290" i="1"/>
  <c r="T290" i="1" s="1"/>
  <c r="W290" i="1"/>
  <c r="J290" i="1"/>
  <c r="BF290" i="1"/>
  <c r="BH290" i="1"/>
  <c r="AL290" i="1"/>
  <c r="BI290" i="1"/>
  <c r="AM290" i="1"/>
  <c r="U278" i="1"/>
  <c r="H278" i="1"/>
  <c r="S278" i="1" s="1"/>
  <c r="V278" i="1"/>
  <c r="I278" i="1"/>
  <c r="T278" i="1" s="1"/>
  <c r="W278" i="1"/>
  <c r="BF278" i="1"/>
  <c r="J278" i="1"/>
  <c r="BH278" i="1"/>
  <c r="AL278" i="1"/>
  <c r="BI278" i="1"/>
  <c r="AM278" i="1"/>
  <c r="AN278" i="1"/>
  <c r="AO278" i="1"/>
  <c r="AP278" i="1"/>
  <c r="H266" i="1"/>
  <c r="S266" i="1" s="1"/>
  <c r="U266" i="1"/>
  <c r="I266" i="1"/>
  <c r="T266" i="1" s="1"/>
  <c r="V266" i="1"/>
  <c r="BF266" i="1"/>
  <c r="BH266" i="1"/>
  <c r="BI266" i="1"/>
  <c r="AL266" i="1"/>
  <c r="AN266" i="1"/>
  <c r="AP266" i="1"/>
  <c r="W266" i="1"/>
  <c r="AM266" i="1"/>
  <c r="AO266" i="1"/>
  <c r="J266" i="1"/>
  <c r="BH254" i="1"/>
  <c r="BI254" i="1"/>
  <c r="AL254" i="1"/>
  <c r="AM254" i="1"/>
  <c r="AN254" i="1"/>
  <c r="AO254" i="1"/>
  <c r="AP254" i="1"/>
  <c r="H254" i="1"/>
  <c r="S254" i="1" s="1"/>
  <c r="U254" i="1"/>
  <c r="J254" i="1"/>
  <c r="W254" i="1"/>
  <c r="BF254" i="1"/>
  <c r="I254" i="1"/>
  <c r="T254" i="1" s="1"/>
  <c r="V254" i="1"/>
  <c r="BF242" i="1"/>
  <c r="BH242" i="1"/>
  <c r="AL242" i="1"/>
  <c r="BI242" i="1"/>
  <c r="AM242" i="1"/>
  <c r="AN242" i="1"/>
  <c r="AO242" i="1"/>
  <c r="H242" i="1"/>
  <c r="S242" i="1" s="1"/>
  <c r="U242" i="1"/>
  <c r="AP242" i="1"/>
  <c r="J242" i="1"/>
  <c r="W242" i="1"/>
  <c r="I242" i="1"/>
  <c r="T242" i="1" s="1"/>
  <c r="V242" i="1"/>
  <c r="AM230" i="1"/>
  <c r="BH230" i="1"/>
  <c r="H230" i="1"/>
  <c r="U230" i="1"/>
  <c r="AN230" i="1"/>
  <c r="BI230" i="1"/>
  <c r="I230" i="1"/>
  <c r="T230" i="1" s="1"/>
  <c r="V230" i="1"/>
  <c r="AO230" i="1"/>
  <c r="J230" i="1"/>
  <c r="W230" i="1"/>
  <c r="AP230" i="1"/>
  <c r="BF230" i="1"/>
  <c r="AL230" i="1"/>
  <c r="BH218" i="1"/>
  <c r="AL218" i="1"/>
  <c r="BI218" i="1"/>
  <c r="AM218" i="1"/>
  <c r="AN218" i="1"/>
  <c r="AO218" i="1"/>
  <c r="H218" i="1"/>
  <c r="S218" i="1" s="1"/>
  <c r="V218" i="1"/>
  <c r="I218" i="1"/>
  <c r="T218" i="1" s="1"/>
  <c r="W218" i="1"/>
  <c r="J218" i="1"/>
  <c r="BF218" i="1"/>
  <c r="U218" i="1"/>
  <c r="AP218" i="1"/>
  <c r="BI206" i="1"/>
  <c r="AL206" i="1"/>
  <c r="AN206" i="1"/>
  <c r="AO206" i="1"/>
  <c r="H206" i="1"/>
  <c r="U206" i="1"/>
  <c r="AP206" i="1"/>
  <c r="AM206" i="1"/>
  <c r="I206" i="1"/>
  <c r="T206" i="1" s="1"/>
  <c r="J206" i="1"/>
  <c r="BF206" i="1"/>
  <c r="V206" i="1"/>
  <c r="W206" i="1"/>
  <c r="BH206" i="1"/>
  <c r="AL194" i="1"/>
  <c r="BH194" i="1"/>
  <c r="AM194" i="1"/>
  <c r="BI194" i="1"/>
  <c r="AO194" i="1"/>
  <c r="H194" i="1"/>
  <c r="AP194" i="1"/>
  <c r="I194" i="1"/>
  <c r="T194" i="1" s="1"/>
  <c r="U194" i="1"/>
  <c r="W194" i="1"/>
  <c r="BF194" i="1"/>
  <c r="AN194" i="1"/>
  <c r="V194" i="1"/>
  <c r="J194" i="1"/>
  <c r="J182" i="1"/>
  <c r="W182" i="1"/>
  <c r="BF182" i="1"/>
  <c r="BH182" i="1"/>
  <c r="AL182" i="1"/>
  <c r="BI182" i="1"/>
  <c r="AM182" i="1"/>
  <c r="AN182" i="1"/>
  <c r="AO182" i="1"/>
  <c r="H182" i="1"/>
  <c r="S182" i="1" s="1"/>
  <c r="U182" i="1"/>
  <c r="I182" i="1"/>
  <c r="T182" i="1" s="1"/>
  <c r="V182" i="1"/>
  <c r="AP182" i="1"/>
  <c r="BH170" i="1"/>
  <c r="AL170" i="1"/>
  <c r="BI170" i="1"/>
  <c r="AM170" i="1"/>
  <c r="AN170" i="1"/>
  <c r="AO170" i="1"/>
  <c r="AP170" i="1"/>
  <c r="H170" i="1"/>
  <c r="S170" i="1" s="1"/>
  <c r="U170" i="1"/>
  <c r="I170" i="1"/>
  <c r="T170" i="1" s="1"/>
  <c r="V170" i="1"/>
  <c r="BF170" i="1"/>
  <c r="J170" i="1"/>
  <c r="W170" i="1"/>
  <c r="U158" i="1"/>
  <c r="H158" i="1"/>
  <c r="S158" i="1" s="1"/>
  <c r="V158" i="1"/>
  <c r="I158" i="1"/>
  <c r="T158" i="1" s="1"/>
  <c r="W158" i="1"/>
  <c r="J158" i="1"/>
  <c r="BF158" i="1"/>
  <c r="AO158" i="1"/>
  <c r="AL158" i="1"/>
  <c r="AM158" i="1"/>
  <c r="AN158" i="1"/>
  <c r="AP158" i="1"/>
  <c r="BH158" i="1"/>
  <c r="BI158" i="1"/>
  <c r="BF146" i="1"/>
  <c r="BH146" i="1"/>
  <c r="AL146" i="1"/>
  <c r="BI146" i="1"/>
  <c r="AM146" i="1"/>
  <c r="AO146" i="1"/>
  <c r="H146" i="1"/>
  <c r="S146" i="1" s="1"/>
  <c r="U146" i="1"/>
  <c r="AP146" i="1"/>
  <c r="W146" i="1"/>
  <c r="AN146" i="1"/>
  <c r="I146" i="1"/>
  <c r="T146" i="1" s="1"/>
  <c r="J146" i="1"/>
  <c r="V146" i="1"/>
  <c r="H134" i="1"/>
  <c r="U134" i="1"/>
  <c r="I134" i="1"/>
  <c r="T134" i="1" s="1"/>
  <c r="V134" i="1"/>
  <c r="BF134" i="1"/>
  <c r="BH134" i="1"/>
  <c r="AL134" i="1"/>
  <c r="BI134" i="1"/>
  <c r="AO134" i="1"/>
  <c r="W134" i="1"/>
  <c r="AM134" i="1"/>
  <c r="AN134" i="1"/>
  <c r="AP134" i="1"/>
  <c r="J134" i="1"/>
  <c r="BH122" i="1"/>
  <c r="AL122" i="1"/>
  <c r="BI122" i="1"/>
  <c r="AM122" i="1"/>
  <c r="I122" i="1"/>
  <c r="T122" i="1" s="1"/>
  <c r="V122" i="1"/>
  <c r="J122" i="1"/>
  <c r="W122" i="1"/>
  <c r="AN122" i="1"/>
  <c r="AO122" i="1"/>
  <c r="H122" i="1"/>
  <c r="S122" i="1" s="1"/>
  <c r="AP122" i="1"/>
  <c r="BF122" i="1"/>
  <c r="U122" i="1"/>
  <c r="AN110" i="1"/>
  <c r="H110" i="1"/>
  <c r="S110" i="1" s="1"/>
  <c r="U110" i="1"/>
  <c r="I110" i="1"/>
  <c r="T110" i="1" s="1"/>
  <c r="V110" i="1"/>
  <c r="J110" i="1"/>
  <c r="W110" i="1"/>
  <c r="BH110" i="1"/>
  <c r="AL110" i="1"/>
  <c r="BI110" i="1"/>
  <c r="AM110" i="1"/>
  <c r="AO110" i="1"/>
  <c r="AP110" i="1"/>
  <c r="BF110" i="1"/>
  <c r="AL98" i="1"/>
  <c r="AM98" i="1"/>
  <c r="AN98" i="1"/>
  <c r="U98" i="1"/>
  <c r="AP98" i="1"/>
  <c r="H98" i="1"/>
  <c r="V98" i="1"/>
  <c r="I98" i="1"/>
  <c r="T98" i="1" s="1"/>
  <c r="W98" i="1"/>
  <c r="J98" i="1"/>
  <c r="BH98" i="1"/>
  <c r="BI98" i="1"/>
  <c r="AO98" i="1"/>
  <c r="BF98" i="1"/>
  <c r="H86" i="1"/>
  <c r="J86" i="1"/>
  <c r="I86" i="1"/>
  <c r="T86" i="1" s="1"/>
  <c r="AM86" i="1"/>
  <c r="AN86" i="1"/>
  <c r="AO86" i="1"/>
  <c r="U86" i="1"/>
  <c r="V86" i="1"/>
  <c r="W86" i="1"/>
  <c r="BF86" i="1"/>
  <c r="AP86" i="1"/>
  <c r="BI86" i="1"/>
  <c r="AL86" i="1"/>
  <c r="BH86" i="1"/>
  <c r="BH74" i="1"/>
  <c r="AL74" i="1"/>
  <c r="BI74" i="1"/>
  <c r="AN74" i="1"/>
  <c r="AO74" i="1"/>
  <c r="AP74" i="1"/>
  <c r="U74" i="1"/>
  <c r="J74" i="1"/>
  <c r="H74" i="1"/>
  <c r="I74" i="1"/>
  <c r="T74" i="1" s="1"/>
  <c r="V74" i="1"/>
  <c r="W74" i="1"/>
  <c r="AM74" i="1"/>
  <c r="BF74" i="1"/>
  <c r="AL62" i="1"/>
  <c r="BI62" i="1"/>
  <c r="H62" i="1"/>
  <c r="S62" i="1" s="1"/>
  <c r="U62" i="1"/>
  <c r="AO62" i="1"/>
  <c r="I62" i="1"/>
  <c r="T62" i="1" s="1"/>
  <c r="V62" i="1"/>
  <c r="AP62" i="1"/>
  <c r="BF62" i="1"/>
  <c r="W62" i="1"/>
  <c r="AM62" i="1"/>
  <c r="AN62" i="1"/>
  <c r="J62" i="1"/>
  <c r="BH62" i="1"/>
  <c r="AN50" i="1"/>
  <c r="AO50" i="1"/>
  <c r="H50" i="1"/>
  <c r="S50" i="1" s="1"/>
  <c r="V50" i="1"/>
  <c r="W50" i="1"/>
  <c r="BF50" i="1"/>
  <c r="J50" i="1"/>
  <c r="AM50" i="1"/>
  <c r="AP50" i="1"/>
  <c r="U50" i="1"/>
  <c r="I50" i="1"/>
  <c r="T50" i="1" s="1"/>
  <c r="BH50" i="1"/>
  <c r="BI50" i="1"/>
  <c r="AL50" i="1"/>
  <c r="BF38" i="1"/>
  <c r="AL38" i="1"/>
  <c r="BI38" i="1"/>
  <c r="U38" i="1"/>
  <c r="BH38" i="1"/>
  <c r="V38" i="1"/>
  <c r="H38" i="1"/>
  <c r="S38" i="1" s="1"/>
  <c r="AM38" i="1"/>
  <c r="J38" i="1"/>
  <c r="AO38" i="1"/>
  <c r="AP38" i="1"/>
  <c r="W38" i="1"/>
  <c r="I38" i="1"/>
  <c r="T38" i="1" s="1"/>
  <c r="AN38" i="1"/>
  <c r="AN26" i="1"/>
  <c r="H26" i="1"/>
  <c r="S26" i="1" s="1"/>
  <c r="U26" i="1"/>
  <c r="AP26" i="1"/>
  <c r="I26" i="1"/>
  <c r="T26" i="1" s="1"/>
  <c r="BF26" i="1"/>
  <c r="J26" i="1"/>
  <c r="BI26" i="1"/>
  <c r="BH26" i="1"/>
  <c r="V26" i="1"/>
  <c r="AL26" i="1"/>
  <c r="AO26" i="1"/>
  <c r="W26" i="1"/>
  <c r="AM26" i="1"/>
  <c r="BI14" i="1"/>
  <c r="AL14" i="1"/>
  <c r="AM14" i="1"/>
  <c r="AN14" i="1"/>
  <c r="AO14" i="1"/>
  <c r="AP14" i="1"/>
  <c r="U14" i="1"/>
  <c r="H14" i="1"/>
  <c r="S14" i="1" s="1"/>
  <c r="V14" i="1"/>
  <c r="I14" i="1"/>
  <c r="T14" i="1" s="1"/>
  <c r="W14" i="1"/>
  <c r="BF14" i="1"/>
  <c r="J14" i="1"/>
  <c r="BH14" i="1"/>
  <c r="AO622" i="1"/>
  <c r="W621" i="1"/>
  <c r="I621" i="1"/>
  <c r="T621" i="1" s="1"/>
  <c r="V620" i="1"/>
  <c r="H620" i="1"/>
  <c r="AO619" i="1"/>
  <c r="U617" i="1"/>
  <c r="U606" i="1"/>
  <c r="U603" i="1"/>
  <c r="BH595" i="1"/>
  <c r="W583" i="1"/>
  <c r="AN579" i="1"/>
  <c r="BH575" i="1"/>
  <c r="BI567" i="1"/>
  <c r="BH547" i="1"/>
  <c r="AL547" i="1"/>
  <c r="BI547" i="1"/>
  <c r="AM547" i="1"/>
  <c r="AN547" i="1"/>
  <c r="U547" i="1"/>
  <c r="AO547" i="1"/>
  <c r="H547" i="1"/>
  <c r="V547" i="1"/>
  <c r="AP547" i="1"/>
  <c r="I547" i="1"/>
  <c r="T547" i="1" s="1"/>
  <c r="W547" i="1"/>
  <c r="J547" i="1"/>
  <c r="BF547" i="1"/>
  <c r="AN463" i="1"/>
  <c r="AO463" i="1"/>
  <c r="H463" i="1"/>
  <c r="S463" i="1" s="1"/>
  <c r="U463" i="1"/>
  <c r="AP463" i="1"/>
  <c r="I463" i="1"/>
  <c r="T463" i="1" s="1"/>
  <c r="V463" i="1"/>
  <c r="J463" i="1"/>
  <c r="W463" i="1"/>
  <c r="BF463" i="1"/>
  <c r="BH463" i="1"/>
  <c r="BI463" i="1"/>
  <c r="AL463" i="1"/>
  <c r="AM463" i="1"/>
  <c r="H403" i="1"/>
  <c r="U403" i="1"/>
  <c r="I403" i="1"/>
  <c r="T403" i="1" s="1"/>
  <c r="V403" i="1"/>
  <c r="AL403" i="1"/>
  <c r="J403" i="1"/>
  <c r="W403" i="1"/>
  <c r="AM403" i="1"/>
  <c r="BF403" i="1"/>
  <c r="AN403" i="1"/>
  <c r="AO403" i="1"/>
  <c r="BH403" i="1"/>
  <c r="AP403" i="1"/>
  <c r="BI403" i="1"/>
  <c r="AL331" i="1"/>
  <c r="AM331" i="1"/>
  <c r="AN331" i="1"/>
  <c r="AO331" i="1"/>
  <c r="AP331" i="1"/>
  <c r="U331" i="1"/>
  <c r="H331" i="1"/>
  <c r="V331" i="1"/>
  <c r="BF331" i="1"/>
  <c r="I331" i="1"/>
  <c r="T331" i="1" s="1"/>
  <c r="W331" i="1"/>
  <c r="J331" i="1"/>
  <c r="BH331" i="1"/>
  <c r="BI331" i="1"/>
  <c r="J259" i="1"/>
  <c r="W259" i="1"/>
  <c r="BF259" i="1"/>
  <c r="BH259" i="1"/>
  <c r="BI259" i="1"/>
  <c r="AL259" i="1"/>
  <c r="AM259" i="1"/>
  <c r="AN259" i="1"/>
  <c r="AO259" i="1"/>
  <c r="H259" i="1"/>
  <c r="S259" i="1" s="1"/>
  <c r="U259" i="1"/>
  <c r="I259" i="1"/>
  <c r="T259" i="1" s="1"/>
  <c r="V259" i="1"/>
  <c r="AP259" i="1"/>
  <c r="AM199" i="1"/>
  <c r="AN199" i="1"/>
  <c r="AP199" i="1"/>
  <c r="BH199" i="1"/>
  <c r="U199" i="1"/>
  <c r="V199" i="1"/>
  <c r="W199" i="1"/>
  <c r="AO199" i="1"/>
  <c r="H199" i="1"/>
  <c r="I199" i="1"/>
  <c r="T199" i="1" s="1"/>
  <c r="J199" i="1"/>
  <c r="BF199" i="1"/>
  <c r="AL199" i="1"/>
  <c r="BI199" i="1"/>
  <c r="J115" i="1"/>
  <c r="W115" i="1"/>
  <c r="AM115" i="1"/>
  <c r="BH115" i="1"/>
  <c r="AP115" i="1"/>
  <c r="H115" i="1"/>
  <c r="S115" i="1" s="1"/>
  <c r="U115" i="1"/>
  <c r="BF115" i="1"/>
  <c r="V115" i="1"/>
  <c r="BI115" i="1"/>
  <c r="I115" i="1"/>
  <c r="T115" i="1" s="1"/>
  <c r="AL115" i="1"/>
  <c r="AN115" i="1"/>
  <c r="AO115" i="1"/>
  <c r="J67" i="1"/>
  <c r="W67" i="1"/>
  <c r="AM67" i="1"/>
  <c r="BF67" i="1"/>
  <c r="AN67" i="1"/>
  <c r="U67" i="1"/>
  <c r="V67" i="1"/>
  <c r="BH67" i="1"/>
  <c r="H67" i="1"/>
  <c r="AL67" i="1"/>
  <c r="AO67" i="1"/>
  <c r="AP67" i="1"/>
  <c r="BI67" i="1"/>
  <c r="I67" i="1"/>
  <c r="T67" i="1" s="1"/>
  <c r="AP7" i="1"/>
  <c r="H7" i="1"/>
  <c r="S7" i="1" s="1"/>
  <c r="U7" i="1"/>
  <c r="I7" i="1"/>
  <c r="T7" i="1" s="1"/>
  <c r="V7" i="1"/>
  <c r="J7" i="1"/>
  <c r="W7" i="1"/>
  <c r="BF7" i="1"/>
  <c r="AL7" i="1"/>
  <c r="BH7" i="1"/>
  <c r="AM7" i="1"/>
  <c r="BI7" i="1"/>
  <c r="AN7" i="1"/>
  <c r="AO7" i="1"/>
  <c r="BH613" i="1"/>
  <c r="BI613" i="1"/>
  <c r="AL613" i="1"/>
  <c r="AM613" i="1"/>
  <c r="AN613" i="1"/>
  <c r="AO613" i="1"/>
  <c r="AP613" i="1"/>
  <c r="H613" i="1"/>
  <c r="S613" i="1" s="1"/>
  <c r="U613" i="1"/>
  <c r="I613" i="1"/>
  <c r="T613" i="1" s="1"/>
  <c r="V613" i="1"/>
  <c r="J613" i="1"/>
  <c r="W613" i="1"/>
  <c r="BF613" i="1"/>
  <c r="BF601" i="1"/>
  <c r="BH601" i="1"/>
  <c r="AL601" i="1"/>
  <c r="BI601" i="1"/>
  <c r="AM601" i="1"/>
  <c r="AN601" i="1"/>
  <c r="AO601" i="1"/>
  <c r="H601" i="1"/>
  <c r="AP601" i="1"/>
  <c r="I601" i="1"/>
  <c r="T601" i="1" s="1"/>
  <c r="U601" i="1"/>
  <c r="J601" i="1"/>
  <c r="V601" i="1"/>
  <c r="AM589" i="1"/>
  <c r="BI589" i="1"/>
  <c r="AN589" i="1"/>
  <c r="AO589" i="1"/>
  <c r="AP589" i="1"/>
  <c r="H589" i="1"/>
  <c r="U589" i="1"/>
  <c r="I589" i="1"/>
  <c r="T589" i="1" s="1"/>
  <c r="V589" i="1"/>
  <c r="J589" i="1"/>
  <c r="W589" i="1"/>
  <c r="BF589" i="1"/>
  <c r="H577" i="1"/>
  <c r="U577" i="1"/>
  <c r="BF577" i="1"/>
  <c r="I577" i="1"/>
  <c r="T577" i="1" s="1"/>
  <c r="V577" i="1"/>
  <c r="J577" i="1"/>
  <c r="W577" i="1"/>
  <c r="BH577" i="1"/>
  <c r="BI577" i="1"/>
  <c r="AL577" i="1"/>
  <c r="AM577" i="1"/>
  <c r="AN577" i="1"/>
  <c r="AO577" i="1"/>
  <c r="AP577" i="1"/>
  <c r="BH565" i="1"/>
  <c r="AL565" i="1"/>
  <c r="BI565" i="1"/>
  <c r="AM565" i="1"/>
  <c r="AN565" i="1"/>
  <c r="AO565" i="1"/>
  <c r="AP565" i="1"/>
  <c r="H565" i="1"/>
  <c r="U565" i="1"/>
  <c r="I565" i="1"/>
  <c r="T565" i="1" s="1"/>
  <c r="V565" i="1"/>
  <c r="J565" i="1"/>
  <c r="W565" i="1"/>
  <c r="BF565" i="1"/>
  <c r="H553" i="1"/>
  <c r="S553" i="1" s="1"/>
  <c r="U553" i="1"/>
  <c r="I553" i="1"/>
  <c r="T553" i="1" s="1"/>
  <c r="V553" i="1"/>
  <c r="BF553" i="1"/>
  <c r="J553" i="1"/>
  <c r="W553" i="1"/>
  <c r="BH553" i="1"/>
  <c r="AL553" i="1"/>
  <c r="BI553" i="1"/>
  <c r="AM553" i="1"/>
  <c r="AN553" i="1"/>
  <c r="AO553" i="1"/>
  <c r="AP553" i="1"/>
  <c r="AL541" i="1"/>
  <c r="AM541" i="1"/>
  <c r="AN541" i="1"/>
  <c r="AO541" i="1"/>
  <c r="AP541" i="1"/>
  <c r="H541" i="1"/>
  <c r="S541" i="1" s="1"/>
  <c r="U541" i="1"/>
  <c r="I541" i="1"/>
  <c r="T541" i="1" s="1"/>
  <c r="V541" i="1"/>
  <c r="J541" i="1"/>
  <c r="W541" i="1"/>
  <c r="BF541" i="1"/>
  <c r="BH541" i="1"/>
  <c r="BI541" i="1"/>
  <c r="AN529" i="1"/>
  <c r="AO529" i="1"/>
  <c r="AP529" i="1"/>
  <c r="H529" i="1"/>
  <c r="S529" i="1" s="1"/>
  <c r="U529" i="1"/>
  <c r="I529" i="1"/>
  <c r="T529" i="1" s="1"/>
  <c r="V529" i="1"/>
  <c r="J529" i="1"/>
  <c r="W529" i="1"/>
  <c r="BF529" i="1"/>
  <c r="BH529" i="1"/>
  <c r="AL529" i="1"/>
  <c r="BI529" i="1"/>
  <c r="AM529" i="1"/>
  <c r="BF517" i="1"/>
  <c r="AL517" i="1"/>
  <c r="BH517" i="1"/>
  <c r="AM517" i="1"/>
  <c r="BI517" i="1"/>
  <c r="AN517" i="1"/>
  <c r="AO517" i="1"/>
  <c r="H517" i="1"/>
  <c r="S517" i="1" s="1"/>
  <c r="U517" i="1"/>
  <c r="AP517" i="1"/>
  <c r="I517" i="1"/>
  <c r="T517" i="1" s="1"/>
  <c r="V517" i="1"/>
  <c r="J517" i="1"/>
  <c r="W517" i="1"/>
  <c r="AM505" i="1"/>
  <c r="AN505" i="1"/>
  <c r="AO505" i="1"/>
  <c r="AP505" i="1"/>
  <c r="U505" i="1"/>
  <c r="H505" i="1"/>
  <c r="S505" i="1" s="1"/>
  <c r="V505" i="1"/>
  <c r="I505" i="1"/>
  <c r="T505" i="1" s="1"/>
  <c r="W505" i="1"/>
  <c r="J505" i="1"/>
  <c r="BF505" i="1"/>
  <c r="BH505" i="1"/>
  <c r="BI505" i="1"/>
  <c r="AL505" i="1"/>
  <c r="AM493" i="1"/>
  <c r="AN493" i="1"/>
  <c r="AO493" i="1"/>
  <c r="AP493" i="1"/>
  <c r="H493" i="1"/>
  <c r="S493" i="1" s="1"/>
  <c r="U493" i="1"/>
  <c r="I493" i="1"/>
  <c r="T493" i="1" s="1"/>
  <c r="V493" i="1"/>
  <c r="J493" i="1"/>
  <c r="W493" i="1"/>
  <c r="BF493" i="1"/>
  <c r="BH493" i="1"/>
  <c r="AL493" i="1"/>
  <c r="BI493" i="1"/>
  <c r="H481" i="1"/>
  <c r="S481" i="1" s="1"/>
  <c r="U481" i="1"/>
  <c r="I481" i="1"/>
  <c r="T481" i="1" s="1"/>
  <c r="V481" i="1"/>
  <c r="J481" i="1"/>
  <c r="W481" i="1"/>
  <c r="BF481" i="1"/>
  <c r="AL481" i="1"/>
  <c r="BH481" i="1"/>
  <c r="AM481" i="1"/>
  <c r="BI481" i="1"/>
  <c r="AN481" i="1"/>
  <c r="AO481" i="1"/>
  <c r="AP481" i="1"/>
  <c r="BH469" i="1"/>
  <c r="BI469" i="1"/>
  <c r="AL469" i="1"/>
  <c r="AM469" i="1"/>
  <c r="AN469" i="1"/>
  <c r="AO469" i="1"/>
  <c r="H469" i="1"/>
  <c r="S469" i="1" s="1"/>
  <c r="U469" i="1"/>
  <c r="AP469" i="1"/>
  <c r="I469" i="1"/>
  <c r="T469" i="1" s="1"/>
  <c r="V469" i="1"/>
  <c r="J469" i="1"/>
  <c r="W469" i="1"/>
  <c r="BF469" i="1"/>
  <c r="I457" i="1"/>
  <c r="T457" i="1" s="1"/>
  <c r="V457" i="1"/>
  <c r="J457" i="1"/>
  <c r="W457" i="1"/>
  <c r="BF457" i="1"/>
  <c r="BH457" i="1"/>
  <c r="BI457" i="1"/>
  <c r="AL457" i="1"/>
  <c r="AM457" i="1"/>
  <c r="AN457" i="1"/>
  <c r="AO457" i="1"/>
  <c r="AP457" i="1"/>
  <c r="H457" i="1"/>
  <c r="S457" i="1" s="1"/>
  <c r="U457" i="1"/>
  <c r="J445" i="1"/>
  <c r="W445" i="1"/>
  <c r="AO445" i="1"/>
  <c r="AP445" i="1"/>
  <c r="BF445" i="1"/>
  <c r="AL445" i="1"/>
  <c r="H445" i="1"/>
  <c r="S445" i="1" s="1"/>
  <c r="U445" i="1"/>
  <c r="AM445" i="1"/>
  <c r="BH445" i="1"/>
  <c r="I445" i="1"/>
  <c r="T445" i="1" s="1"/>
  <c r="V445" i="1"/>
  <c r="AN445" i="1"/>
  <c r="BI445" i="1"/>
  <c r="BF433" i="1"/>
  <c r="BH433" i="1"/>
  <c r="AL433" i="1"/>
  <c r="BI433" i="1"/>
  <c r="AM433" i="1"/>
  <c r="AN433" i="1"/>
  <c r="AO433" i="1"/>
  <c r="AP433" i="1"/>
  <c r="U433" i="1"/>
  <c r="H433" i="1"/>
  <c r="V433" i="1"/>
  <c r="I433" i="1"/>
  <c r="T433" i="1" s="1"/>
  <c r="W433" i="1"/>
  <c r="J433" i="1"/>
  <c r="BI421" i="1"/>
  <c r="AL421" i="1"/>
  <c r="AM421" i="1"/>
  <c r="AN421" i="1"/>
  <c r="AO421" i="1"/>
  <c r="U421" i="1"/>
  <c r="AP421" i="1"/>
  <c r="H421" i="1"/>
  <c r="V421" i="1"/>
  <c r="I421" i="1"/>
  <c r="T421" i="1" s="1"/>
  <c r="W421" i="1"/>
  <c r="J421" i="1"/>
  <c r="BF421" i="1"/>
  <c r="BH421" i="1"/>
  <c r="AL409" i="1"/>
  <c r="AM409" i="1"/>
  <c r="BF409" i="1"/>
  <c r="H409" i="1"/>
  <c r="U409" i="1"/>
  <c r="AN409" i="1"/>
  <c r="I409" i="1"/>
  <c r="T409" i="1" s="1"/>
  <c r="V409" i="1"/>
  <c r="AO409" i="1"/>
  <c r="BH409" i="1"/>
  <c r="J409" i="1"/>
  <c r="W409" i="1"/>
  <c r="AP409" i="1"/>
  <c r="BI409" i="1"/>
  <c r="H397" i="1"/>
  <c r="S397" i="1" s="1"/>
  <c r="U397" i="1"/>
  <c r="I397" i="1"/>
  <c r="T397" i="1" s="1"/>
  <c r="V397" i="1"/>
  <c r="BF397" i="1"/>
  <c r="J397" i="1"/>
  <c r="W397" i="1"/>
  <c r="BH397" i="1"/>
  <c r="BI397" i="1"/>
  <c r="AL397" i="1"/>
  <c r="AM397" i="1"/>
  <c r="AN397" i="1"/>
  <c r="AO397" i="1"/>
  <c r="AP397" i="1"/>
  <c r="AN385" i="1"/>
  <c r="AO385" i="1"/>
  <c r="AP385" i="1"/>
  <c r="H385" i="1"/>
  <c r="S385" i="1" s="1"/>
  <c r="U385" i="1"/>
  <c r="I385" i="1"/>
  <c r="T385" i="1" s="1"/>
  <c r="V385" i="1"/>
  <c r="BF385" i="1"/>
  <c r="J385" i="1"/>
  <c r="W385" i="1"/>
  <c r="BH385" i="1"/>
  <c r="AL385" i="1"/>
  <c r="BI385" i="1"/>
  <c r="AM385" i="1"/>
  <c r="AL373" i="1"/>
  <c r="BI373" i="1"/>
  <c r="AM373" i="1"/>
  <c r="AN373" i="1"/>
  <c r="AO373" i="1"/>
  <c r="AP373" i="1"/>
  <c r="H373" i="1"/>
  <c r="S373" i="1" s="1"/>
  <c r="U373" i="1"/>
  <c r="I373" i="1"/>
  <c r="T373" i="1" s="1"/>
  <c r="V373" i="1"/>
  <c r="J373" i="1"/>
  <c r="W373" i="1"/>
  <c r="BF373" i="1"/>
  <c r="BH373" i="1"/>
  <c r="BF361" i="1"/>
  <c r="AL361" i="1"/>
  <c r="BH361" i="1"/>
  <c r="AM361" i="1"/>
  <c r="BI361" i="1"/>
  <c r="AN361" i="1"/>
  <c r="AO361" i="1"/>
  <c r="H361" i="1"/>
  <c r="U361" i="1"/>
  <c r="AP361" i="1"/>
  <c r="I361" i="1"/>
  <c r="T361" i="1" s="1"/>
  <c r="V361" i="1"/>
  <c r="J361" i="1"/>
  <c r="W361" i="1"/>
  <c r="BF349" i="1"/>
  <c r="AL349" i="1"/>
  <c r="AM349" i="1"/>
  <c r="BH349" i="1"/>
  <c r="H349" i="1"/>
  <c r="S349" i="1" s="1"/>
  <c r="U349" i="1"/>
  <c r="AN349" i="1"/>
  <c r="BI349" i="1"/>
  <c r="I349" i="1"/>
  <c r="T349" i="1" s="1"/>
  <c r="V349" i="1"/>
  <c r="AO349" i="1"/>
  <c r="J349" i="1"/>
  <c r="W349" i="1"/>
  <c r="AP349" i="1"/>
  <c r="AL337" i="1"/>
  <c r="BF337" i="1"/>
  <c r="AM337" i="1"/>
  <c r="AN337" i="1"/>
  <c r="BH337" i="1"/>
  <c r="H337" i="1"/>
  <c r="S337" i="1" s="1"/>
  <c r="U337" i="1"/>
  <c r="AO337" i="1"/>
  <c r="BI337" i="1"/>
  <c r="I337" i="1"/>
  <c r="T337" i="1" s="1"/>
  <c r="V337" i="1"/>
  <c r="AP337" i="1"/>
  <c r="J337" i="1"/>
  <c r="W337" i="1"/>
  <c r="AM325" i="1"/>
  <c r="AN325" i="1"/>
  <c r="AO325" i="1"/>
  <c r="U325" i="1"/>
  <c r="AP325" i="1"/>
  <c r="H325" i="1"/>
  <c r="S325" i="1" s="1"/>
  <c r="V325" i="1"/>
  <c r="I325" i="1"/>
  <c r="T325" i="1" s="1"/>
  <c r="W325" i="1"/>
  <c r="J325" i="1"/>
  <c r="BF325" i="1"/>
  <c r="BH325" i="1"/>
  <c r="BI325" i="1"/>
  <c r="AL325" i="1"/>
  <c r="AN313" i="1"/>
  <c r="AO313" i="1"/>
  <c r="AP313" i="1"/>
  <c r="H313" i="1"/>
  <c r="S313" i="1" s="1"/>
  <c r="U313" i="1"/>
  <c r="I313" i="1"/>
  <c r="T313" i="1" s="1"/>
  <c r="V313" i="1"/>
  <c r="J313" i="1"/>
  <c r="W313" i="1"/>
  <c r="BF313" i="1"/>
  <c r="BH313" i="1"/>
  <c r="AL313" i="1"/>
  <c r="BI313" i="1"/>
  <c r="AM313" i="1"/>
  <c r="BF301" i="1"/>
  <c r="AL301" i="1"/>
  <c r="BH301" i="1"/>
  <c r="U301" i="1"/>
  <c r="AM301" i="1"/>
  <c r="BI301" i="1"/>
  <c r="H301" i="1"/>
  <c r="S301" i="1" s="1"/>
  <c r="V301" i="1"/>
  <c r="AN301" i="1"/>
  <c r="I301" i="1"/>
  <c r="T301" i="1" s="1"/>
  <c r="W301" i="1"/>
  <c r="AO301" i="1"/>
  <c r="J301" i="1"/>
  <c r="AP301" i="1"/>
  <c r="AN289" i="1"/>
  <c r="BI289" i="1"/>
  <c r="U289" i="1"/>
  <c r="AO289" i="1"/>
  <c r="H289" i="1"/>
  <c r="S289" i="1" s="1"/>
  <c r="V289" i="1"/>
  <c r="AP289" i="1"/>
  <c r="I289" i="1"/>
  <c r="T289" i="1" s="1"/>
  <c r="W289" i="1"/>
  <c r="J289" i="1"/>
  <c r="BF289" i="1"/>
  <c r="AL289" i="1"/>
  <c r="AM289" i="1"/>
  <c r="BH289" i="1"/>
  <c r="H277" i="1"/>
  <c r="S277" i="1" s="1"/>
  <c r="V277" i="1"/>
  <c r="AP277" i="1"/>
  <c r="I277" i="1"/>
  <c r="T277" i="1" s="1"/>
  <c r="W277" i="1"/>
  <c r="J277" i="1"/>
  <c r="BF277" i="1"/>
  <c r="AL277" i="1"/>
  <c r="AM277" i="1"/>
  <c r="BH277" i="1"/>
  <c r="AN277" i="1"/>
  <c r="BI277" i="1"/>
  <c r="U277" i="1"/>
  <c r="AO277" i="1"/>
  <c r="AN265" i="1"/>
  <c r="AO265" i="1"/>
  <c r="H265" i="1"/>
  <c r="U265" i="1"/>
  <c r="I265" i="1"/>
  <c r="T265" i="1" s="1"/>
  <c r="V265" i="1"/>
  <c r="BF265" i="1"/>
  <c r="J265" i="1"/>
  <c r="W265" i="1"/>
  <c r="BI265" i="1"/>
  <c r="AL265" i="1"/>
  <c r="AM265" i="1"/>
  <c r="AP265" i="1"/>
  <c r="BH265" i="1"/>
  <c r="BF253" i="1"/>
  <c r="BH253" i="1"/>
  <c r="BI253" i="1"/>
  <c r="AL253" i="1"/>
  <c r="AM253" i="1"/>
  <c r="AN253" i="1"/>
  <c r="AO253" i="1"/>
  <c r="AP253" i="1"/>
  <c r="I253" i="1"/>
  <c r="T253" i="1" s="1"/>
  <c r="V253" i="1"/>
  <c r="H253" i="1"/>
  <c r="S253" i="1" s="1"/>
  <c r="J253" i="1"/>
  <c r="U253" i="1"/>
  <c r="W253" i="1"/>
  <c r="BF241" i="1"/>
  <c r="BH241" i="1"/>
  <c r="BI241" i="1"/>
  <c r="AL241" i="1"/>
  <c r="AM241" i="1"/>
  <c r="AN241" i="1"/>
  <c r="AO241" i="1"/>
  <c r="H241" i="1"/>
  <c r="U241" i="1"/>
  <c r="AP241" i="1"/>
  <c r="J241" i="1"/>
  <c r="W241" i="1"/>
  <c r="I241" i="1"/>
  <c r="T241" i="1" s="1"/>
  <c r="V241" i="1"/>
  <c r="H229" i="1"/>
  <c r="I229" i="1"/>
  <c r="T229" i="1" s="1"/>
  <c r="U229" i="1"/>
  <c r="J229" i="1"/>
  <c r="V229" i="1"/>
  <c r="W229" i="1"/>
  <c r="BF229" i="1"/>
  <c r="BH229" i="1"/>
  <c r="AL229" i="1"/>
  <c r="BI229" i="1"/>
  <c r="AM229" i="1"/>
  <c r="AN229" i="1"/>
  <c r="AO229" i="1"/>
  <c r="AP229" i="1"/>
  <c r="BI217" i="1"/>
  <c r="AL217" i="1"/>
  <c r="AM217" i="1"/>
  <c r="AN217" i="1"/>
  <c r="AO217" i="1"/>
  <c r="U217" i="1"/>
  <c r="H217" i="1"/>
  <c r="S217" i="1" s="1"/>
  <c r="V217" i="1"/>
  <c r="I217" i="1"/>
  <c r="T217" i="1" s="1"/>
  <c r="W217" i="1"/>
  <c r="J217" i="1"/>
  <c r="BF217" i="1"/>
  <c r="AP217" i="1"/>
  <c r="BH217" i="1"/>
  <c r="AL205" i="1"/>
  <c r="AM205" i="1"/>
  <c r="AO205" i="1"/>
  <c r="AP205" i="1"/>
  <c r="J205" i="1"/>
  <c r="W205" i="1"/>
  <c r="BH205" i="1"/>
  <c r="U205" i="1"/>
  <c r="V205" i="1"/>
  <c r="AN205" i="1"/>
  <c r="H205" i="1"/>
  <c r="BF205" i="1"/>
  <c r="I205" i="1"/>
  <c r="T205" i="1" s="1"/>
  <c r="BI205" i="1"/>
  <c r="AO193" i="1"/>
  <c r="AP193" i="1"/>
  <c r="U193" i="1"/>
  <c r="H193" i="1"/>
  <c r="S193" i="1" s="1"/>
  <c r="V193" i="1"/>
  <c r="I193" i="1"/>
  <c r="T193" i="1" s="1"/>
  <c r="W193" i="1"/>
  <c r="BF193" i="1"/>
  <c r="AM193" i="1"/>
  <c r="BI193" i="1"/>
  <c r="AN193" i="1"/>
  <c r="BH193" i="1"/>
  <c r="J193" i="1"/>
  <c r="AL193" i="1"/>
  <c r="I181" i="1"/>
  <c r="T181" i="1" s="1"/>
  <c r="W181" i="1"/>
  <c r="J181" i="1"/>
  <c r="BF181" i="1"/>
  <c r="BH181" i="1"/>
  <c r="AL181" i="1"/>
  <c r="BI181" i="1"/>
  <c r="AM181" i="1"/>
  <c r="AN181" i="1"/>
  <c r="AO181" i="1"/>
  <c r="U181" i="1"/>
  <c r="H181" i="1"/>
  <c r="V181" i="1"/>
  <c r="AP181" i="1"/>
  <c r="BH169" i="1"/>
  <c r="BI169" i="1"/>
  <c r="AL169" i="1"/>
  <c r="AM169" i="1"/>
  <c r="AN169" i="1"/>
  <c r="AO169" i="1"/>
  <c r="AP169" i="1"/>
  <c r="U169" i="1"/>
  <c r="I169" i="1"/>
  <c r="T169" i="1" s="1"/>
  <c r="W169" i="1"/>
  <c r="H169" i="1"/>
  <c r="S169" i="1" s="1"/>
  <c r="J169" i="1"/>
  <c r="V169" i="1"/>
  <c r="BF169" i="1"/>
  <c r="AP157" i="1"/>
  <c r="U157" i="1"/>
  <c r="H157" i="1"/>
  <c r="S157" i="1" s="1"/>
  <c r="V157" i="1"/>
  <c r="I157" i="1"/>
  <c r="T157" i="1" s="1"/>
  <c r="W157" i="1"/>
  <c r="AN157" i="1"/>
  <c r="BH157" i="1"/>
  <c r="BI157" i="1"/>
  <c r="AL157" i="1"/>
  <c r="AM157" i="1"/>
  <c r="J157" i="1"/>
  <c r="BF157" i="1"/>
  <c r="AO157" i="1"/>
  <c r="BH145" i="1"/>
  <c r="AL145" i="1"/>
  <c r="BI145" i="1"/>
  <c r="AM145" i="1"/>
  <c r="AN145" i="1"/>
  <c r="AO145" i="1"/>
  <c r="U145" i="1"/>
  <c r="J145" i="1"/>
  <c r="BF145" i="1"/>
  <c r="I145" i="1"/>
  <c r="T145" i="1" s="1"/>
  <c r="V145" i="1"/>
  <c r="W145" i="1"/>
  <c r="AP145" i="1"/>
  <c r="H145" i="1"/>
  <c r="S145" i="1" s="1"/>
  <c r="AL133" i="1"/>
  <c r="BF133" i="1"/>
  <c r="H133" i="1"/>
  <c r="S133" i="1" s="1"/>
  <c r="U133" i="1"/>
  <c r="AM133" i="1"/>
  <c r="J133" i="1"/>
  <c r="W133" i="1"/>
  <c r="AO133" i="1"/>
  <c r="BI133" i="1"/>
  <c r="AP133" i="1"/>
  <c r="BH133" i="1"/>
  <c r="V133" i="1"/>
  <c r="I133" i="1"/>
  <c r="T133" i="1" s="1"/>
  <c r="AN133" i="1"/>
  <c r="I121" i="1"/>
  <c r="T121" i="1" s="1"/>
  <c r="W121" i="1"/>
  <c r="BF121" i="1"/>
  <c r="BI121" i="1"/>
  <c r="AL121" i="1"/>
  <c r="AM121" i="1"/>
  <c r="U121" i="1"/>
  <c r="H121" i="1"/>
  <c r="S121" i="1" s="1"/>
  <c r="J121" i="1"/>
  <c r="V121" i="1"/>
  <c r="AN121" i="1"/>
  <c r="AO121" i="1"/>
  <c r="AP121" i="1"/>
  <c r="BH121" i="1"/>
  <c r="J109" i="1"/>
  <c r="W109" i="1"/>
  <c r="AN109" i="1"/>
  <c r="AO109" i="1"/>
  <c r="AP109" i="1"/>
  <c r="BF109" i="1"/>
  <c r="U109" i="1"/>
  <c r="BH109" i="1"/>
  <c r="BI109" i="1"/>
  <c r="V109" i="1"/>
  <c r="AL109" i="1"/>
  <c r="AM109" i="1"/>
  <c r="I109" i="1"/>
  <c r="T109" i="1" s="1"/>
  <c r="H109" i="1"/>
  <c r="S109" i="1" s="1"/>
  <c r="AL97" i="1"/>
  <c r="H97" i="1"/>
  <c r="U97" i="1"/>
  <c r="AM97" i="1"/>
  <c r="BF97" i="1"/>
  <c r="I97" i="1"/>
  <c r="T97" i="1" s="1"/>
  <c r="V97" i="1"/>
  <c r="AN97" i="1"/>
  <c r="J97" i="1"/>
  <c r="W97" i="1"/>
  <c r="AO97" i="1"/>
  <c r="BH97" i="1"/>
  <c r="BI97" i="1"/>
  <c r="AP97" i="1"/>
  <c r="AM85" i="1"/>
  <c r="H85" i="1"/>
  <c r="U85" i="1"/>
  <c r="AN85" i="1"/>
  <c r="I85" i="1"/>
  <c r="T85" i="1" s="1"/>
  <c r="V85" i="1"/>
  <c r="AO85" i="1"/>
  <c r="BF85" i="1"/>
  <c r="BH85" i="1"/>
  <c r="BI85" i="1"/>
  <c r="W85" i="1"/>
  <c r="AP85" i="1"/>
  <c r="J85" i="1"/>
  <c r="AL85" i="1"/>
  <c r="BF73" i="1"/>
  <c r="BH73" i="1"/>
  <c r="AM73" i="1"/>
  <c r="AN73" i="1"/>
  <c r="AO73" i="1"/>
  <c r="AP73" i="1"/>
  <c r="J73" i="1"/>
  <c r="W73" i="1"/>
  <c r="BI73" i="1"/>
  <c r="H73" i="1"/>
  <c r="I73" i="1"/>
  <c r="T73" i="1" s="1"/>
  <c r="U73" i="1"/>
  <c r="V73" i="1"/>
  <c r="AL73" i="1"/>
  <c r="H61" i="1"/>
  <c r="S61" i="1" s="1"/>
  <c r="U61" i="1"/>
  <c r="V61" i="1"/>
  <c r="AP61" i="1"/>
  <c r="J61" i="1"/>
  <c r="BF61" i="1"/>
  <c r="AL61" i="1"/>
  <c r="BH61" i="1"/>
  <c r="AM61" i="1"/>
  <c r="BI61" i="1"/>
  <c r="AO61" i="1"/>
  <c r="I61" i="1"/>
  <c r="T61" i="1" s="1"/>
  <c r="W61" i="1"/>
  <c r="AN61" i="1"/>
  <c r="AO49" i="1"/>
  <c r="AP49" i="1"/>
  <c r="H49" i="1"/>
  <c r="S49" i="1" s="1"/>
  <c r="V49" i="1"/>
  <c r="I49" i="1"/>
  <c r="T49" i="1" s="1"/>
  <c r="AN49" i="1"/>
  <c r="U49" i="1"/>
  <c r="BF49" i="1"/>
  <c r="BH49" i="1"/>
  <c r="AL49" i="1"/>
  <c r="J49" i="1"/>
  <c r="W49" i="1"/>
  <c r="BI49" i="1"/>
  <c r="AM49" i="1"/>
  <c r="BF37" i="1"/>
  <c r="AL37" i="1"/>
  <c r="BH37" i="1"/>
  <c r="H37" i="1"/>
  <c r="I37" i="1"/>
  <c r="T37" i="1" s="1"/>
  <c r="AM37" i="1"/>
  <c r="AO37" i="1"/>
  <c r="BI37" i="1"/>
  <c r="J37" i="1"/>
  <c r="AN37" i="1"/>
  <c r="AP37" i="1"/>
  <c r="U37" i="1"/>
  <c r="V37" i="1"/>
  <c r="W37" i="1"/>
  <c r="AP25" i="1"/>
  <c r="H25" i="1"/>
  <c r="U25" i="1"/>
  <c r="AO25" i="1"/>
  <c r="BF25" i="1"/>
  <c r="BH25" i="1"/>
  <c r="AM25" i="1"/>
  <c r="W25" i="1"/>
  <c r="AL25" i="1"/>
  <c r="AN25" i="1"/>
  <c r="BI25" i="1"/>
  <c r="I25" i="1"/>
  <c r="T25" i="1" s="1"/>
  <c r="J25" i="1"/>
  <c r="V25" i="1"/>
  <c r="BF13" i="1"/>
  <c r="AL13" i="1"/>
  <c r="BH13" i="1"/>
  <c r="AM13" i="1"/>
  <c r="BI13" i="1"/>
  <c r="AN13" i="1"/>
  <c r="AO13" i="1"/>
  <c r="H13" i="1"/>
  <c r="S13" i="1" s="1"/>
  <c r="U13" i="1"/>
  <c r="AP13" i="1"/>
  <c r="I13" i="1"/>
  <c r="T13" i="1" s="1"/>
  <c r="V13" i="1"/>
  <c r="J13" i="1"/>
  <c r="W13" i="1"/>
  <c r="AN622" i="1"/>
  <c r="AP621" i="1"/>
  <c r="V621" i="1"/>
  <c r="H621" i="1"/>
  <c r="S621" i="1" s="1"/>
  <c r="U620" i="1"/>
  <c r="AN619" i="1"/>
  <c r="J618" i="1"/>
  <c r="BI609" i="1"/>
  <c r="I606" i="1"/>
  <c r="T606" i="1" s="1"/>
  <c r="I603" i="1"/>
  <c r="T603" i="1" s="1"/>
  <c r="W591" i="1"/>
  <c r="AM571" i="1"/>
  <c r="V534" i="1"/>
  <c r="BH583" i="1"/>
  <c r="AL583" i="1"/>
  <c r="BI583" i="1"/>
  <c r="AM583" i="1"/>
  <c r="AN583" i="1"/>
  <c r="AO583" i="1"/>
  <c r="AP583" i="1"/>
  <c r="H583" i="1"/>
  <c r="U583" i="1"/>
  <c r="I583" i="1"/>
  <c r="T583" i="1" s="1"/>
  <c r="V583" i="1"/>
  <c r="AM499" i="1"/>
  <c r="AN499" i="1"/>
  <c r="AO499" i="1"/>
  <c r="AP499" i="1"/>
  <c r="U499" i="1"/>
  <c r="H499" i="1"/>
  <c r="S499" i="1" s="1"/>
  <c r="V499" i="1"/>
  <c r="I499" i="1"/>
  <c r="T499" i="1" s="1"/>
  <c r="W499" i="1"/>
  <c r="J499" i="1"/>
  <c r="BF499" i="1"/>
  <c r="BH499" i="1"/>
  <c r="AL499" i="1"/>
  <c r="BI499" i="1"/>
  <c r="BI415" i="1"/>
  <c r="AL415" i="1"/>
  <c r="AM415" i="1"/>
  <c r="AN415" i="1"/>
  <c r="AO415" i="1"/>
  <c r="U415" i="1"/>
  <c r="AP415" i="1"/>
  <c r="H415" i="1"/>
  <c r="V415" i="1"/>
  <c r="I415" i="1"/>
  <c r="T415" i="1" s="1"/>
  <c r="J415" i="1"/>
  <c r="BF415" i="1"/>
  <c r="W415" i="1"/>
  <c r="BH415" i="1"/>
  <c r="J295" i="1"/>
  <c r="BF295" i="1"/>
  <c r="AL295" i="1"/>
  <c r="BH295" i="1"/>
  <c r="AM295" i="1"/>
  <c r="BI295" i="1"/>
  <c r="AN295" i="1"/>
  <c r="AO295" i="1"/>
  <c r="U295" i="1"/>
  <c r="AP295" i="1"/>
  <c r="H295" i="1"/>
  <c r="V295" i="1"/>
  <c r="I295" i="1"/>
  <c r="T295" i="1" s="1"/>
  <c r="W295" i="1"/>
  <c r="I223" i="1"/>
  <c r="T223" i="1" s="1"/>
  <c r="V223" i="1"/>
  <c r="J223" i="1"/>
  <c r="W223" i="1"/>
  <c r="BF223" i="1"/>
  <c r="BH223" i="1"/>
  <c r="AL223" i="1"/>
  <c r="BI223" i="1"/>
  <c r="AN223" i="1"/>
  <c r="AO223" i="1"/>
  <c r="U223" i="1"/>
  <c r="AM223" i="1"/>
  <c r="AP223" i="1"/>
  <c r="H223" i="1"/>
  <c r="S223" i="1" s="1"/>
  <c r="AN151" i="1"/>
  <c r="AO151" i="1"/>
  <c r="AP151" i="1"/>
  <c r="U151" i="1"/>
  <c r="AL151" i="1"/>
  <c r="BI151" i="1"/>
  <c r="AM151" i="1"/>
  <c r="H151" i="1"/>
  <c r="S151" i="1" s="1"/>
  <c r="BF151" i="1"/>
  <c r="I151" i="1"/>
  <c r="T151" i="1" s="1"/>
  <c r="J151" i="1"/>
  <c r="BH151" i="1"/>
  <c r="V151" i="1"/>
  <c r="W151" i="1"/>
  <c r="H43" i="1"/>
  <c r="S43" i="1" s="1"/>
  <c r="V43" i="1"/>
  <c r="I43" i="1"/>
  <c r="T43" i="1" s="1"/>
  <c r="W43" i="1"/>
  <c r="BF43" i="1"/>
  <c r="AO43" i="1"/>
  <c r="AP43" i="1"/>
  <c r="U43" i="1"/>
  <c r="AL43" i="1"/>
  <c r="AN43" i="1"/>
  <c r="AM43" i="1"/>
  <c r="BH43" i="1"/>
  <c r="BI43" i="1"/>
  <c r="J43" i="1"/>
  <c r="AL612" i="1"/>
  <c r="BH612" i="1"/>
  <c r="AM612" i="1"/>
  <c r="BI612" i="1"/>
  <c r="H612" i="1"/>
  <c r="S612" i="1" s="1"/>
  <c r="U612" i="1"/>
  <c r="AN612" i="1"/>
  <c r="I612" i="1"/>
  <c r="T612" i="1" s="1"/>
  <c r="V612" i="1"/>
  <c r="AO612" i="1"/>
  <c r="J612" i="1"/>
  <c r="W612" i="1"/>
  <c r="AP612" i="1"/>
  <c r="J600" i="1"/>
  <c r="W600" i="1"/>
  <c r="BF600" i="1"/>
  <c r="BH600" i="1"/>
  <c r="BI600" i="1"/>
  <c r="AL600" i="1"/>
  <c r="AM600" i="1"/>
  <c r="AN600" i="1"/>
  <c r="AO600" i="1"/>
  <c r="AP600" i="1"/>
  <c r="H600" i="1"/>
  <c r="S600" i="1" s="1"/>
  <c r="U600" i="1"/>
  <c r="J588" i="1"/>
  <c r="W588" i="1"/>
  <c r="BH588" i="1"/>
  <c r="BI588" i="1"/>
  <c r="AL588" i="1"/>
  <c r="AM588" i="1"/>
  <c r="AN588" i="1"/>
  <c r="AO588" i="1"/>
  <c r="AP588" i="1"/>
  <c r="H588" i="1"/>
  <c r="S588" i="1" s="1"/>
  <c r="U588" i="1"/>
  <c r="BF576" i="1"/>
  <c r="AL576" i="1"/>
  <c r="BH576" i="1"/>
  <c r="AM576" i="1"/>
  <c r="BI576" i="1"/>
  <c r="H576" i="1"/>
  <c r="S576" i="1" s="1"/>
  <c r="U576" i="1"/>
  <c r="AN576" i="1"/>
  <c r="I576" i="1"/>
  <c r="T576" i="1" s="1"/>
  <c r="V576" i="1"/>
  <c r="AO576" i="1"/>
  <c r="J576" i="1"/>
  <c r="W576" i="1"/>
  <c r="AP576" i="1"/>
  <c r="H564" i="1"/>
  <c r="S564" i="1" s="1"/>
  <c r="U564" i="1"/>
  <c r="AM564" i="1"/>
  <c r="BH564" i="1"/>
  <c r="I564" i="1"/>
  <c r="T564" i="1" s="1"/>
  <c r="V564" i="1"/>
  <c r="AN564" i="1"/>
  <c r="BI564" i="1"/>
  <c r="J564" i="1"/>
  <c r="W564" i="1"/>
  <c r="AO564" i="1"/>
  <c r="AP564" i="1"/>
  <c r="BF564" i="1"/>
  <c r="AL564" i="1"/>
  <c r="BF552" i="1"/>
  <c r="AL552" i="1"/>
  <c r="BH552" i="1"/>
  <c r="H552" i="1"/>
  <c r="S552" i="1" s="1"/>
  <c r="U552" i="1"/>
  <c r="AM552" i="1"/>
  <c r="BI552" i="1"/>
  <c r="I552" i="1"/>
  <c r="T552" i="1" s="1"/>
  <c r="V552" i="1"/>
  <c r="AN552" i="1"/>
  <c r="J552" i="1"/>
  <c r="W552" i="1"/>
  <c r="AO552" i="1"/>
  <c r="AP552" i="1"/>
  <c r="AL540" i="1"/>
  <c r="BI540" i="1"/>
  <c r="AM540" i="1"/>
  <c r="AN540" i="1"/>
  <c r="AO540" i="1"/>
  <c r="AP540" i="1"/>
  <c r="U540" i="1"/>
  <c r="H540" i="1"/>
  <c r="V540" i="1"/>
  <c r="I540" i="1"/>
  <c r="T540" i="1" s="1"/>
  <c r="W540" i="1"/>
  <c r="J540" i="1"/>
  <c r="BF540" i="1"/>
  <c r="BH540" i="1"/>
  <c r="AN528" i="1"/>
  <c r="AO528" i="1"/>
  <c r="AP528" i="1"/>
  <c r="H528" i="1"/>
  <c r="S528" i="1" s="1"/>
  <c r="U528" i="1"/>
  <c r="I528" i="1"/>
  <c r="T528" i="1" s="1"/>
  <c r="V528" i="1"/>
  <c r="J528" i="1"/>
  <c r="W528" i="1"/>
  <c r="BF528" i="1"/>
  <c r="BH528" i="1"/>
  <c r="AL528" i="1"/>
  <c r="BI528" i="1"/>
  <c r="AM528" i="1"/>
  <c r="I516" i="1"/>
  <c r="T516" i="1" s="1"/>
  <c r="V516" i="1"/>
  <c r="J516" i="1"/>
  <c r="W516" i="1"/>
  <c r="AL516" i="1"/>
  <c r="BF516" i="1"/>
  <c r="U516" i="1"/>
  <c r="BH516" i="1"/>
  <c r="BI516" i="1"/>
  <c r="AM516" i="1"/>
  <c r="AN516" i="1"/>
  <c r="AO516" i="1"/>
  <c r="AP516" i="1"/>
  <c r="H516" i="1"/>
  <c r="S516" i="1" s="1"/>
  <c r="AL504" i="1"/>
  <c r="BI504" i="1"/>
  <c r="AM504" i="1"/>
  <c r="AN504" i="1"/>
  <c r="AO504" i="1"/>
  <c r="U504" i="1"/>
  <c r="AP504" i="1"/>
  <c r="H504" i="1"/>
  <c r="V504" i="1"/>
  <c r="I504" i="1"/>
  <c r="T504" i="1" s="1"/>
  <c r="W504" i="1"/>
  <c r="J504" i="1"/>
  <c r="BF504" i="1"/>
  <c r="BH504" i="1"/>
  <c r="H492" i="1"/>
  <c r="S492" i="1" s="1"/>
  <c r="V492" i="1"/>
  <c r="AO492" i="1"/>
  <c r="I492" i="1"/>
  <c r="T492" i="1" s="1"/>
  <c r="W492" i="1"/>
  <c r="AP492" i="1"/>
  <c r="J492" i="1"/>
  <c r="BF492" i="1"/>
  <c r="AL492" i="1"/>
  <c r="AM492" i="1"/>
  <c r="BH492" i="1"/>
  <c r="U492" i="1"/>
  <c r="AN492" i="1"/>
  <c r="BI492" i="1"/>
  <c r="H480" i="1"/>
  <c r="S480" i="1" s="1"/>
  <c r="V480" i="1"/>
  <c r="AL480" i="1"/>
  <c r="I480" i="1"/>
  <c r="T480" i="1" s="1"/>
  <c r="W480" i="1"/>
  <c r="AM480" i="1"/>
  <c r="BF480" i="1"/>
  <c r="J480" i="1"/>
  <c r="AN480" i="1"/>
  <c r="AO480" i="1"/>
  <c r="BH480" i="1"/>
  <c r="AP480" i="1"/>
  <c r="BI480" i="1"/>
  <c r="U480" i="1"/>
  <c r="BH468" i="1"/>
  <c r="BI468" i="1"/>
  <c r="AL468" i="1"/>
  <c r="AM468" i="1"/>
  <c r="AN468" i="1"/>
  <c r="AO468" i="1"/>
  <c r="AP468" i="1"/>
  <c r="U468" i="1"/>
  <c r="H468" i="1"/>
  <c r="V468" i="1"/>
  <c r="I468" i="1"/>
  <c r="T468" i="1" s="1"/>
  <c r="W468" i="1"/>
  <c r="J468" i="1"/>
  <c r="BF468" i="1"/>
  <c r="AP456" i="1"/>
  <c r="H456" i="1"/>
  <c r="U456" i="1"/>
  <c r="I456" i="1"/>
  <c r="T456" i="1" s="1"/>
  <c r="V456" i="1"/>
  <c r="J456" i="1"/>
  <c r="W456" i="1"/>
  <c r="BF456" i="1"/>
  <c r="BH456" i="1"/>
  <c r="BI456" i="1"/>
  <c r="AL456" i="1"/>
  <c r="AM456" i="1"/>
  <c r="AN456" i="1"/>
  <c r="AO456" i="1"/>
  <c r="BF444" i="1"/>
  <c r="AL444" i="1"/>
  <c r="BH444" i="1"/>
  <c r="H444" i="1"/>
  <c r="U444" i="1"/>
  <c r="AM444" i="1"/>
  <c r="BI444" i="1"/>
  <c r="I444" i="1"/>
  <c r="T444" i="1" s="1"/>
  <c r="V444" i="1"/>
  <c r="AN444" i="1"/>
  <c r="J444" i="1"/>
  <c r="W444" i="1"/>
  <c r="AO444" i="1"/>
  <c r="AP444" i="1"/>
  <c r="BF432" i="1"/>
  <c r="BH432" i="1"/>
  <c r="AL432" i="1"/>
  <c r="BI432" i="1"/>
  <c r="AM432" i="1"/>
  <c r="AN432" i="1"/>
  <c r="U432" i="1"/>
  <c r="AO432" i="1"/>
  <c r="H432" i="1"/>
  <c r="S432" i="1" s="1"/>
  <c r="V432" i="1"/>
  <c r="AP432" i="1"/>
  <c r="I432" i="1"/>
  <c r="T432" i="1" s="1"/>
  <c r="W432" i="1"/>
  <c r="J432" i="1"/>
  <c r="AL420" i="1"/>
  <c r="BH420" i="1"/>
  <c r="AM420" i="1"/>
  <c r="BI420" i="1"/>
  <c r="AN420" i="1"/>
  <c r="U420" i="1"/>
  <c r="AO420" i="1"/>
  <c r="H420" i="1"/>
  <c r="S420" i="1" s="1"/>
  <c r="V420" i="1"/>
  <c r="AP420" i="1"/>
  <c r="I420" i="1"/>
  <c r="T420" i="1" s="1"/>
  <c r="W420" i="1"/>
  <c r="J420" i="1"/>
  <c r="BF420" i="1"/>
  <c r="BF408" i="1"/>
  <c r="BH408" i="1"/>
  <c r="AL408" i="1"/>
  <c r="BI408" i="1"/>
  <c r="AM408" i="1"/>
  <c r="AN408" i="1"/>
  <c r="AO408" i="1"/>
  <c r="AP408" i="1"/>
  <c r="H408" i="1"/>
  <c r="S408" i="1" s="1"/>
  <c r="U408" i="1"/>
  <c r="I408" i="1"/>
  <c r="T408" i="1" s="1"/>
  <c r="V408" i="1"/>
  <c r="J408" i="1"/>
  <c r="W408" i="1"/>
  <c r="AN396" i="1"/>
  <c r="AO396" i="1"/>
  <c r="AP396" i="1"/>
  <c r="H396" i="1"/>
  <c r="U396" i="1"/>
  <c r="I396" i="1"/>
  <c r="T396" i="1" s="1"/>
  <c r="V396" i="1"/>
  <c r="J396" i="1"/>
  <c r="W396" i="1"/>
  <c r="BF396" i="1"/>
  <c r="BH396" i="1"/>
  <c r="AL396" i="1"/>
  <c r="BI396" i="1"/>
  <c r="AM396" i="1"/>
  <c r="AM384" i="1"/>
  <c r="BH384" i="1"/>
  <c r="AN384" i="1"/>
  <c r="BI384" i="1"/>
  <c r="U384" i="1"/>
  <c r="AO384" i="1"/>
  <c r="H384" i="1"/>
  <c r="S384" i="1" s="1"/>
  <c r="V384" i="1"/>
  <c r="AP384" i="1"/>
  <c r="I384" i="1"/>
  <c r="T384" i="1" s="1"/>
  <c r="W384" i="1"/>
  <c r="J384" i="1"/>
  <c r="BF384" i="1"/>
  <c r="AL384" i="1"/>
  <c r="BH372" i="1"/>
  <c r="BI372" i="1"/>
  <c r="AL372" i="1"/>
  <c r="U372" i="1"/>
  <c r="AM372" i="1"/>
  <c r="H372" i="1"/>
  <c r="S372" i="1" s="1"/>
  <c r="V372" i="1"/>
  <c r="AN372" i="1"/>
  <c r="I372" i="1"/>
  <c r="T372" i="1" s="1"/>
  <c r="W372" i="1"/>
  <c r="AO372" i="1"/>
  <c r="BF372" i="1"/>
  <c r="J372" i="1"/>
  <c r="AP372" i="1"/>
  <c r="J360" i="1"/>
  <c r="BF360" i="1"/>
  <c r="BH360" i="1"/>
  <c r="AL360" i="1"/>
  <c r="BI360" i="1"/>
  <c r="AM360" i="1"/>
  <c r="AN360" i="1"/>
  <c r="AO360" i="1"/>
  <c r="AP360" i="1"/>
  <c r="U360" i="1"/>
  <c r="H360" i="1"/>
  <c r="S360" i="1" s="1"/>
  <c r="V360" i="1"/>
  <c r="I360" i="1"/>
  <c r="T360" i="1" s="1"/>
  <c r="W360" i="1"/>
  <c r="BF348" i="1"/>
  <c r="BH348" i="1"/>
  <c r="BI348" i="1"/>
  <c r="AL348" i="1"/>
  <c r="AM348" i="1"/>
  <c r="AN348" i="1"/>
  <c r="AO348" i="1"/>
  <c r="AP348" i="1"/>
  <c r="H348" i="1"/>
  <c r="S348" i="1" s="1"/>
  <c r="U348" i="1"/>
  <c r="I348" i="1"/>
  <c r="T348" i="1" s="1"/>
  <c r="V348" i="1"/>
  <c r="J348" i="1"/>
  <c r="W348" i="1"/>
  <c r="BH336" i="1"/>
  <c r="AL336" i="1"/>
  <c r="BI336" i="1"/>
  <c r="AM336" i="1"/>
  <c r="AN336" i="1"/>
  <c r="AO336" i="1"/>
  <c r="U336" i="1"/>
  <c r="AP336" i="1"/>
  <c r="H336" i="1"/>
  <c r="V336" i="1"/>
  <c r="I336" i="1"/>
  <c r="T336" i="1" s="1"/>
  <c r="W336" i="1"/>
  <c r="J336" i="1"/>
  <c r="BF336" i="1"/>
  <c r="BI324" i="1"/>
  <c r="AL324" i="1"/>
  <c r="AM324" i="1"/>
  <c r="AN324" i="1"/>
  <c r="AO324" i="1"/>
  <c r="AP324" i="1"/>
  <c r="U324" i="1"/>
  <c r="H324" i="1"/>
  <c r="V324" i="1"/>
  <c r="I324" i="1"/>
  <c r="T324" i="1" s="1"/>
  <c r="W324" i="1"/>
  <c r="BF324" i="1"/>
  <c r="J324" i="1"/>
  <c r="BH324" i="1"/>
  <c r="AM312" i="1"/>
  <c r="AN312" i="1"/>
  <c r="AO312" i="1"/>
  <c r="AP312" i="1"/>
  <c r="H312" i="1"/>
  <c r="S312" i="1" s="1"/>
  <c r="U312" i="1"/>
  <c r="I312" i="1"/>
  <c r="T312" i="1" s="1"/>
  <c r="V312" i="1"/>
  <c r="J312" i="1"/>
  <c r="W312" i="1"/>
  <c r="BH312" i="1"/>
  <c r="BF312" i="1"/>
  <c r="BI312" i="1"/>
  <c r="AL312" i="1"/>
  <c r="I300" i="1"/>
  <c r="T300" i="1" s="1"/>
  <c r="V300" i="1"/>
  <c r="J300" i="1"/>
  <c r="W300" i="1"/>
  <c r="BH300" i="1"/>
  <c r="BI300" i="1"/>
  <c r="AL300" i="1"/>
  <c r="AM300" i="1"/>
  <c r="AN300" i="1"/>
  <c r="AO300" i="1"/>
  <c r="AP300" i="1"/>
  <c r="U300" i="1"/>
  <c r="BF300" i="1"/>
  <c r="H300" i="1"/>
  <c r="AP288" i="1"/>
  <c r="H288" i="1"/>
  <c r="U288" i="1"/>
  <c r="I288" i="1"/>
  <c r="T288" i="1" s="1"/>
  <c r="V288" i="1"/>
  <c r="J288" i="1"/>
  <c r="W288" i="1"/>
  <c r="BF288" i="1"/>
  <c r="BH288" i="1"/>
  <c r="AL288" i="1"/>
  <c r="BI288" i="1"/>
  <c r="AM288" i="1"/>
  <c r="AN288" i="1"/>
  <c r="AO288" i="1"/>
  <c r="I276" i="1"/>
  <c r="T276" i="1" s="1"/>
  <c r="V276" i="1"/>
  <c r="J276" i="1"/>
  <c r="W276" i="1"/>
  <c r="BF276" i="1"/>
  <c r="BH276" i="1"/>
  <c r="BI276" i="1"/>
  <c r="AL276" i="1"/>
  <c r="AM276" i="1"/>
  <c r="AN276" i="1"/>
  <c r="AO276" i="1"/>
  <c r="AP276" i="1"/>
  <c r="U276" i="1"/>
  <c r="H276" i="1"/>
  <c r="AM264" i="1"/>
  <c r="AN264" i="1"/>
  <c r="U264" i="1"/>
  <c r="AP264" i="1"/>
  <c r="H264" i="1"/>
  <c r="V264" i="1"/>
  <c r="I264" i="1"/>
  <c r="T264" i="1" s="1"/>
  <c r="W264" i="1"/>
  <c r="J264" i="1"/>
  <c r="BF264" i="1"/>
  <c r="BH264" i="1"/>
  <c r="AL264" i="1"/>
  <c r="AO264" i="1"/>
  <c r="BI264" i="1"/>
  <c r="J252" i="1"/>
  <c r="BF252" i="1"/>
  <c r="BH252" i="1"/>
  <c r="BI252" i="1"/>
  <c r="AL252" i="1"/>
  <c r="AM252" i="1"/>
  <c r="AN252" i="1"/>
  <c r="AO252" i="1"/>
  <c r="H252" i="1"/>
  <c r="S252" i="1" s="1"/>
  <c r="V252" i="1"/>
  <c r="I252" i="1"/>
  <c r="T252" i="1" s="1"/>
  <c r="U252" i="1"/>
  <c r="W252" i="1"/>
  <c r="AP252" i="1"/>
  <c r="BF240" i="1"/>
  <c r="BH240" i="1"/>
  <c r="BI240" i="1"/>
  <c r="AL240" i="1"/>
  <c r="AM240" i="1"/>
  <c r="AN240" i="1"/>
  <c r="AO240" i="1"/>
  <c r="H240" i="1"/>
  <c r="U240" i="1"/>
  <c r="AP240" i="1"/>
  <c r="J240" i="1"/>
  <c r="W240" i="1"/>
  <c r="I240" i="1"/>
  <c r="T240" i="1" s="1"/>
  <c r="V240" i="1"/>
  <c r="H228" i="1"/>
  <c r="S228" i="1" s="1"/>
  <c r="U228" i="1"/>
  <c r="I228" i="1"/>
  <c r="T228" i="1" s="1"/>
  <c r="V228" i="1"/>
  <c r="AL228" i="1"/>
  <c r="BF228" i="1"/>
  <c r="J228" i="1"/>
  <c r="W228" i="1"/>
  <c r="AM228" i="1"/>
  <c r="AN228" i="1"/>
  <c r="BH228" i="1"/>
  <c r="AO228" i="1"/>
  <c r="BI228" i="1"/>
  <c r="AP228" i="1"/>
  <c r="J216" i="1"/>
  <c r="BH216" i="1"/>
  <c r="BI216" i="1"/>
  <c r="AL216" i="1"/>
  <c r="AN216" i="1"/>
  <c r="AO216" i="1"/>
  <c r="AP216" i="1"/>
  <c r="U216" i="1"/>
  <c r="H216" i="1"/>
  <c r="S216" i="1" s="1"/>
  <c r="V216" i="1"/>
  <c r="I216" i="1"/>
  <c r="T216" i="1" s="1"/>
  <c r="W216" i="1"/>
  <c r="AM216" i="1"/>
  <c r="BF216" i="1"/>
  <c r="BF204" i="1"/>
  <c r="AL204" i="1"/>
  <c r="BH204" i="1"/>
  <c r="AM204" i="1"/>
  <c r="BI204" i="1"/>
  <c r="AN204" i="1"/>
  <c r="J204" i="1"/>
  <c r="AO204" i="1"/>
  <c r="AP204" i="1"/>
  <c r="H204" i="1"/>
  <c r="S204" i="1" s="1"/>
  <c r="I204" i="1"/>
  <c r="T204" i="1" s="1"/>
  <c r="U204" i="1"/>
  <c r="V204" i="1"/>
  <c r="W204" i="1"/>
  <c r="AM192" i="1"/>
  <c r="AN192" i="1"/>
  <c r="AO192" i="1"/>
  <c r="AP192" i="1"/>
  <c r="H192" i="1"/>
  <c r="S192" i="1" s="1"/>
  <c r="U192" i="1"/>
  <c r="I192" i="1"/>
  <c r="T192" i="1" s="1"/>
  <c r="V192" i="1"/>
  <c r="BF192" i="1"/>
  <c r="BH192" i="1"/>
  <c r="W192" i="1"/>
  <c r="AL192" i="1"/>
  <c r="J192" i="1"/>
  <c r="BI192" i="1"/>
  <c r="H180" i="1"/>
  <c r="S180" i="1" s="1"/>
  <c r="U180" i="1"/>
  <c r="I180" i="1"/>
  <c r="T180" i="1" s="1"/>
  <c r="V180" i="1"/>
  <c r="J180" i="1"/>
  <c r="W180" i="1"/>
  <c r="BF180" i="1"/>
  <c r="BH180" i="1"/>
  <c r="AL180" i="1"/>
  <c r="BI180" i="1"/>
  <c r="AM180" i="1"/>
  <c r="AN180" i="1"/>
  <c r="AP180" i="1"/>
  <c r="AO180" i="1"/>
  <c r="BF168" i="1"/>
  <c r="AL168" i="1"/>
  <c r="BH168" i="1"/>
  <c r="AM168" i="1"/>
  <c r="BI168" i="1"/>
  <c r="AN168" i="1"/>
  <c r="H168" i="1"/>
  <c r="S168" i="1" s="1"/>
  <c r="U168" i="1"/>
  <c r="AO168" i="1"/>
  <c r="I168" i="1"/>
  <c r="T168" i="1" s="1"/>
  <c r="V168" i="1"/>
  <c r="AP168" i="1"/>
  <c r="J168" i="1"/>
  <c r="W168" i="1"/>
  <c r="U156" i="1"/>
  <c r="H156" i="1"/>
  <c r="S156" i="1" s="1"/>
  <c r="V156" i="1"/>
  <c r="I156" i="1"/>
  <c r="T156" i="1" s="1"/>
  <c r="W156" i="1"/>
  <c r="J156" i="1"/>
  <c r="AO156" i="1"/>
  <c r="BI156" i="1"/>
  <c r="AL156" i="1"/>
  <c r="AM156" i="1"/>
  <c r="AN156" i="1"/>
  <c r="AP156" i="1"/>
  <c r="BF156" i="1"/>
  <c r="BH156" i="1"/>
  <c r="H144" i="1"/>
  <c r="V144" i="1"/>
  <c r="BF144" i="1"/>
  <c r="I144" i="1"/>
  <c r="T144" i="1" s="1"/>
  <c r="W144" i="1"/>
  <c r="J144" i="1"/>
  <c r="BH144" i="1"/>
  <c r="BI144" i="1"/>
  <c r="AL144" i="1"/>
  <c r="AN144" i="1"/>
  <c r="AO144" i="1"/>
  <c r="U144" i="1"/>
  <c r="AM144" i="1"/>
  <c r="AP144" i="1"/>
  <c r="AN132" i="1"/>
  <c r="AO132" i="1"/>
  <c r="H132" i="1"/>
  <c r="S132" i="1" s="1"/>
  <c r="I132" i="1"/>
  <c r="T132" i="1" s="1"/>
  <c r="U132" i="1"/>
  <c r="J132" i="1"/>
  <c r="V132" i="1"/>
  <c r="W132" i="1"/>
  <c r="BF132" i="1"/>
  <c r="BI132" i="1"/>
  <c r="AL132" i="1"/>
  <c r="AM132" i="1"/>
  <c r="AP132" i="1"/>
  <c r="BH132" i="1"/>
  <c r="BF120" i="1"/>
  <c r="AL120" i="1"/>
  <c r="AM120" i="1"/>
  <c r="BH120" i="1"/>
  <c r="H120" i="1"/>
  <c r="S120" i="1" s="1"/>
  <c r="V120" i="1"/>
  <c r="I120" i="1"/>
  <c r="T120" i="1" s="1"/>
  <c r="W120" i="1"/>
  <c r="AN120" i="1"/>
  <c r="AO120" i="1"/>
  <c r="AP120" i="1"/>
  <c r="J120" i="1"/>
  <c r="BI120" i="1"/>
  <c r="U120" i="1"/>
  <c r="AP108" i="1"/>
  <c r="J108" i="1"/>
  <c r="W108" i="1"/>
  <c r="BF108" i="1"/>
  <c r="AM108" i="1"/>
  <c r="AN108" i="1"/>
  <c r="AO108" i="1"/>
  <c r="H108" i="1"/>
  <c r="BH108" i="1"/>
  <c r="BI108" i="1"/>
  <c r="I108" i="1"/>
  <c r="T108" i="1" s="1"/>
  <c r="U108" i="1"/>
  <c r="V108" i="1"/>
  <c r="AL108" i="1"/>
  <c r="AL96" i="1"/>
  <c r="BI96" i="1"/>
  <c r="AM96" i="1"/>
  <c r="AN96" i="1"/>
  <c r="AP96" i="1"/>
  <c r="H96" i="1"/>
  <c r="U96" i="1"/>
  <c r="I96" i="1"/>
  <c r="T96" i="1" s="1"/>
  <c r="V96" i="1"/>
  <c r="J96" i="1"/>
  <c r="W96" i="1"/>
  <c r="BF96" i="1"/>
  <c r="AO96" i="1"/>
  <c r="BH96" i="1"/>
  <c r="AP84" i="1"/>
  <c r="H84" i="1"/>
  <c r="S84" i="1" s="1"/>
  <c r="U84" i="1"/>
  <c r="I84" i="1"/>
  <c r="T84" i="1" s="1"/>
  <c r="V84" i="1"/>
  <c r="BF84" i="1"/>
  <c r="BH84" i="1"/>
  <c r="BI84" i="1"/>
  <c r="AN84" i="1"/>
  <c r="W84" i="1"/>
  <c r="AL84" i="1"/>
  <c r="AM84" i="1"/>
  <c r="J84" i="1"/>
  <c r="AO84" i="1"/>
  <c r="AP72" i="1"/>
  <c r="BI72" i="1"/>
  <c r="J72" i="1"/>
  <c r="W72" i="1"/>
  <c r="AN72" i="1"/>
  <c r="U72" i="1"/>
  <c r="V72" i="1"/>
  <c r="AL72" i="1"/>
  <c r="AM72" i="1"/>
  <c r="AO72" i="1"/>
  <c r="H72" i="1"/>
  <c r="S72" i="1" s="1"/>
  <c r="BH72" i="1"/>
  <c r="I72" i="1"/>
  <c r="T72" i="1" s="1"/>
  <c r="BF72" i="1"/>
  <c r="H60" i="1"/>
  <c r="S60" i="1" s="1"/>
  <c r="U60" i="1"/>
  <c r="AO60" i="1"/>
  <c r="BH60" i="1"/>
  <c r="W60" i="1"/>
  <c r="I60" i="1"/>
  <c r="T60" i="1" s="1"/>
  <c r="J60" i="1"/>
  <c r="AL60" i="1"/>
  <c r="AM60" i="1"/>
  <c r="BI60" i="1"/>
  <c r="AN60" i="1"/>
  <c r="AP60" i="1"/>
  <c r="BF60" i="1"/>
  <c r="V60" i="1"/>
  <c r="J48" i="1"/>
  <c r="BF48" i="1"/>
  <c r="AM48" i="1"/>
  <c r="AN48" i="1"/>
  <c r="AP48" i="1"/>
  <c r="I48" i="1"/>
  <c r="T48" i="1" s="1"/>
  <c r="BH48" i="1"/>
  <c r="U48" i="1"/>
  <c r="BI48" i="1"/>
  <c r="W48" i="1"/>
  <c r="H48" i="1"/>
  <c r="S48" i="1" s="1"/>
  <c r="V48" i="1"/>
  <c r="AL48" i="1"/>
  <c r="AO48" i="1"/>
  <c r="BH36" i="1"/>
  <c r="AM36" i="1"/>
  <c r="AP36" i="1"/>
  <c r="V36" i="1"/>
  <c r="H36" i="1"/>
  <c r="S36" i="1" s="1"/>
  <c r="I36" i="1"/>
  <c r="T36" i="1" s="1"/>
  <c r="AL36" i="1"/>
  <c r="AO36" i="1"/>
  <c r="AN36" i="1"/>
  <c r="BI36" i="1"/>
  <c r="J36" i="1"/>
  <c r="U36" i="1"/>
  <c r="W36" i="1"/>
  <c r="BF36" i="1"/>
  <c r="U24" i="1"/>
  <c r="J24" i="1"/>
  <c r="BH24" i="1"/>
  <c r="AL24" i="1"/>
  <c r="BI24" i="1"/>
  <c r="AN24" i="1"/>
  <c r="I24" i="1"/>
  <c r="T24" i="1" s="1"/>
  <c r="AP24" i="1"/>
  <c r="AO24" i="1"/>
  <c r="H24" i="1"/>
  <c r="W24" i="1"/>
  <c r="AM24" i="1"/>
  <c r="BF24" i="1"/>
  <c r="V24" i="1"/>
  <c r="AM12" i="1"/>
  <c r="AN12" i="1"/>
  <c r="H12" i="1"/>
  <c r="U12" i="1"/>
  <c r="AO12" i="1"/>
  <c r="I12" i="1"/>
  <c r="T12" i="1" s="1"/>
  <c r="V12" i="1"/>
  <c r="AP12" i="1"/>
  <c r="J12" i="1"/>
  <c r="W12" i="1"/>
  <c r="BF12" i="1"/>
  <c r="BH12" i="1"/>
  <c r="BI12" i="1"/>
  <c r="AL12" i="1"/>
  <c r="AM622" i="1"/>
  <c r="AO621" i="1"/>
  <c r="U621" i="1"/>
  <c r="AP620" i="1"/>
  <c r="AM619" i="1"/>
  <c r="H618" i="1"/>
  <c r="S618" i="1" s="1"/>
  <c r="BI598" i="1"/>
  <c r="J591" i="1"/>
  <c r="AN611" i="1"/>
  <c r="AO611" i="1"/>
  <c r="AP611" i="1"/>
  <c r="H611" i="1"/>
  <c r="S611" i="1" s="1"/>
  <c r="U611" i="1"/>
  <c r="I611" i="1"/>
  <c r="T611" i="1" s="1"/>
  <c r="V611" i="1"/>
  <c r="J611" i="1"/>
  <c r="W611" i="1"/>
  <c r="BF611" i="1"/>
  <c r="BH611" i="1"/>
  <c r="AL611" i="1"/>
  <c r="BI611" i="1"/>
  <c r="BF599" i="1"/>
  <c r="AL599" i="1"/>
  <c r="AM599" i="1"/>
  <c r="BH599" i="1"/>
  <c r="H599" i="1"/>
  <c r="U599" i="1"/>
  <c r="AN599" i="1"/>
  <c r="BI599" i="1"/>
  <c r="I599" i="1"/>
  <c r="T599" i="1" s="1"/>
  <c r="V599" i="1"/>
  <c r="AO599" i="1"/>
  <c r="J599" i="1"/>
  <c r="W599" i="1"/>
  <c r="AP599" i="1"/>
  <c r="H587" i="1"/>
  <c r="S587" i="1" s="1"/>
  <c r="V587" i="1"/>
  <c r="I587" i="1"/>
  <c r="T587" i="1" s="1"/>
  <c r="W587" i="1"/>
  <c r="J587" i="1"/>
  <c r="BF587" i="1"/>
  <c r="BH587" i="1"/>
  <c r="BI587" i="1"/>
  <c r="AL587" i="1"/>
  <c r="AM587" i="1"/>
  <c r="AN587" i="1"/>
  <c r="AO587" i="1"/>
  <c r="AP587" i="1"/>
  <c r="AM575" i="1"/>
  <c r="BI575" i="1"/>
  <c r="AN575" i="1"/>
  <c r="AO575" i="1"/>
  <c r="H575" i="1"/>
  <c r="S575" i="1" s="1"/>
  <c r="U575" i="1"/>
  <c r="AP575" i="1"/>
  <c r="I575" i="1"/>
  <c r="T575" i="1" s="1"/>
  <c r="V575" i="1"/>
  <c r="J575" i="1"/>
  <c r="W575" i="1"/>
  <c r="BF575" i="1"/>
  <c r="BF563" i="1"/>
  <c r="BH563" i="1"/>
  <c r="AL563" i="1"/>
  <c r="BI563" i="1"/>
  <c r="AM563" i="1"/>
  <c r="AN563" i="1"/>
  <c r="H563" i="1"/>
  <c r="S563" i="1" s="1"/>
  <c r="U563" i="1"/>
  <c r="AO563" i="1"/>
  <c r="I563" i="1"/>
  <c r="T563" i="1" s="1"/>
  <c r="V563" i="1"/>
  <c r="AP563" i="1"/>
  <c r="J563" i="1"/>
  <c r="W563" i="1"/>
  <c r="BH551" i="1"/>
  <c r="BI551" i="1"/>
  <c r="AL551" i="1"/>
  <c r="AM551" i="1"/>
  <c r="AN551" i="1"/>
  <c r="AO551" i="1"/>
  <c r="AP551" i="1"/>
  <c r="U551" i="1"/>
  <c r="H551" i="1"/>
  <c r="V551" i="1"/>
  <c r="I551" i="1"/>
  <c r="T551" i="1" s="1"/>
  <c r="W551" i="1"/>
  <c r="J551" i="1"/>
  <c r="BF551" i="1"/>
  <c r="AL539" i="1"/>
  <c r="BH539" i="1"/>
  <c r="U539" i="1"/>
  <c r="AM539" i="1"/>
  <c r="BI539" i="1"/>
  <c r="H539" i="1"/>
  <c r="S539" i="1" s="1"/>
  <c r="V539" i="1"/>
  <c r="AN539" i="1"/>
  <c r="I539" i="1"/>
  <c r="T539" i="1" s="1"/>
  <c r="W539" i="1"/>
  <c r="AO539" i="1"/>
  <c r="J539" i="1"/>
  <c r="AP539" i="1"/>
  <c r="BF539" i="1"/>
  <c r="AM527" i="1"/>
  <c r="BI527" i="1"/>
  <c r="AN527" i="1"/>
  <c r="U527" i="1"/>
  <c r="AO527" i="1"/>
  <c r="H527" i="1"/>
  <c r="S527" i="1" s="1"/>
  <c r="V527" i="1"/>
  <c r="AP527" i="1"/>
  <c r="I527" i="1"/>
  <c r="T527" i="1" s="1"/>
  <c r="W527" i="1"/>
  <c r="J527" i="1"/>
  <c r="BF527" i="1"/>
  <c r="AL527" i="1"/>
  <c r="BH527" i="1"/>
  <c r="BF515" i="1"/>
  <c r="AL515" i="1"/>
  <c r="BH515" i="1"/>
  <c r="U515" i="1"/>
  <c r="AM515" i="1"/>
  <c r="BI515" i="1"/>
  <c r="H515" i="1"/>
  <c r="S515" i="1" s="1"/>
  <c r="V515" i="1"/>
  <c r="AN515" i="1"/>
  <c r="AP515" i="1"/>
  <c r="I515" i="1"/>
  <c r="T515" i="1" s="1"/>
  <c r="J515" i="1"/>
  <c r="W515" i="1"/>
  <c r="AO515" i="1"/>
  <c r="AM503" i="1"/>
  <c r="AN503" i="1"/>
  <c r="U503" i="1"/>
  <c r="AO503" i="1"/>
  <c r="H503" i="1"/>
  <c r="S503" i="1" s="1"/>
  <c r="V503" i="1"/>
  <c r="AP503" i="1"/>
  <c r="I503" i="1"/>
  <c r="T503" i="1" s="1"/>
  <c r="W503" i="1"/>
  <c r="J503" i="1"/>
  <c r="BF503" i="1"/>
  <c r="BH503" i="1"/>
  <c r="AL503" i="1"/>
  <c r="BI503" i="1"/>
  <c r="AL491" i="1"/>
  <c r="BF491" i="1"/>
  <c r="H491" i="1"/>
  <c r="S491" i="1" s="1"/>
  <c r="U491" i="1"/>
  <c r="AM491" i="1"/>
  <c r="I491" i="1"/>
  <c r="T491" i="1" s="1"/>
  <c r="V491" i="1"/>
  <c r="AN491" i="1"/>
  <c r="BH491" i="1"/>
  <c r="J491" i="1"/>
  <c r="W491" i="1"/>
  <c r="AO491" i="1"/>
  <c r="BI491" i="1"/>
  <c r="AP491" i="1"/>
  <c r="AO479" i="1"/>
  <c r="AP479" i="1"/>
  <c r="H479" i="1"/>
  <c r="S479" i="1" s="1"/>
  <c r="U479" i="1"/>
  <c r="I479" i="1"/>
  <c r="T479" i="1" s="1"/>
  <c r="V479" i="1"/>
  <c r="J479" i="1"/>
  <c r="W479" i="1"/>
  <c r="BF479" i="1"/>
  <c r="BH479" i="1"/>
  <c r="BI479" i="1"/>
  <c r="AL479" i="1"/>
  <c r="AM479" i="1"/>
  <c r="AN479" i="1"/>
  <c r="BF467" i="1"/>
  <c r="AL467" i="1"/>
  <c r="BH467" i="1"/>
  <c r="AM467" i="1"/>
  <c r="BI467" i="1"/>
  <c r="AN467" i="1"/>
  <c r="H467" i="1"/>
  <c r="S467" i="1" s="1"/>
  <c r="U467" i="1"/>
  <c r="AO467" i="1"/>
  <c r="I467" i="1"/>
  <c r="T467" i="1" s="1"/>
  <c r="V467" i="1"/>
  <c r="AP467" i="1"/>
  <c r="J467" i="1"/>
  <c r="W467" i="1"/>
  <c r="H455" i="1"/>
  <c r="S455" i="1" s="1"/>
  <c r="U455" i="1"/>
  <c r="AP455" i="1"/>
  <c r="I455" i="1"/>
  <c r="T455" i="1" s="1"/>
  <c r="V455" i="1"/>
  <c r="J455" i="1"/>
  <c r="W455" i="1"/>
  <c r="BF455" i="1"/>
  <c r="BH455" i="1"/>
  <c r="AL455" i="1"/>
  <c r="BI455" i="1"/>
  <c r="AM455" i="1"/>
  <c r="AN455" i="1"/>
  <c r="AO455" i="1"/>
  <c r="AN443" i="1"/>
  <c r="H443" i="1"/>
  <c r="AO443" i="1"/>
  <c r="I443" i="1"/>
  <c r="T443" i="1" s="1"/>
  <c r="U443" i="1"/>
  <c r="AP443" i="1"/>
  <c r="J443" i="1"/>
  <c r="V443" i="1"/>
  <c r="W443" i="1"/>
  <c r="BF443" i="1"/>
  <c r="BH443" i="1"/>
  <c r="AL443" i="1"/>
  <c r="BI443" i="1"/>
  <c r="AM443" i="1"/>
  <c r="BF431" i="1"/>
  <c r="BH431" i="1"/>
  <c r="AL431" i="1"/>
  <c r="BI431" i="1"/>
  <c r="AM431" i="1"/>
  <c r="AN431" i="1"/>
  <c r="AO431" i="1"/>
  <c r="AP431" i="1"/>
  <c r="H431" i="1"/>
  <c r="S431" i="1" s="1"/>
  <c r="U431" i="1"/>
  <c r="I431" i="1"/>
  <c r="T431" i="1" s="1"/>
  <c r="V431" i="1"/>
  <c r="J431" i="1"/>
  <c r="W431" i="1"/>
  <c r="AN419" i="1"/>
  <c r="AO419" i="1"/>
  <c r="AP419" i="1"/>
  <c r="H419" i="1"/>
  <c r="S419" i="1" s="1"/>
  <c r="U419" i="1"/>
  <c r="I419" i="1"/>
  <c r="T419" i="1" s="1"/>
  <c r="V419" i="1"/>
  <c r="J419" i="1"/>
  <c r="W419" i="1"/>
  <c r="BF419" i="1"/>
  <c r="BH419" i="1"/>
  <c r="AL419" i="1"/>
  <c r="BI419" i="1"/>
  <c r="AM419" i="1"/>
  <c r="BF407" i="1"/>
  <c r="AL407" i="1"/>
  <c r="BH407" i="1"/>
  <c r="AM407" i="1"/>
  <c r="BI407" i="1"/>
  <c r="AN407" i="1"/>
  <c r="AO407" i="1"/>
  <c r="AP407" i="1"/>
  <c r="H407" i="1"/>
  <c r="S407" i="1" s="1"/>
  <c r="I407" i="1"/>
  <c r="T407" i="1" s="1"/>
  <c r="U407" i="1"/>
  <c r="J407" i="1"/>
  <c r="V407" i="1"/>
  <c r="W407" i="1"/>
  <c r="BI395" i="1"/>
  <c r="AL395" i="1"/>
  <c r="AM395" i="1"/>
  <c r="AN395" i="1"/>
  <c r="AO395" i="1"/>
  <c r="AP395" i="1"/>
  <c r="H395" i="1"/>
  <c r="S395" i="1" s="1"/>
  <c r="U395" i="1"/>
  <c r="I395" i="1"/>
  <c r="T395" i="1" s="1"/>
  <c r="V395" i="1"/>
  <c r="J395" i="1"/>
  <c r="W395" i="1"/>
  <c r="BF395" i="1"/>
  <c r="BH395" i="1"/>
  <c r="AL383" i="1"/>
  <c r="AM383" i="1"/>
  <c r="AN383" i="1"/>
  <c r="AO383" i="1"/>
  <c r="H383" i="1"/>
  <c r="S383" i="1" s="1"/>
  <c r="U383" i="1"/>
  <c r="AP383" i="1"/>
  <c r="I383" i="1"/>
  <c r="T383" i="1" s="1"/>
  <c r="V383" i="1"/>
  <c r="J383" i="1"/>
  <c r="W383" i="1"/>
  <c r="BF383" i="1"/>
  <c r="BH383" i="1"/>
  <c r="BI383" i="1"/>
  <c r="AL371" i="1"/>
  <c r="BH371" i="1"/>
  <c r="AM371" i="1"/>
  <c r="BI371" i="1"/>
  <c r="AN371" i="1"/>
  <c r="AO371" i="1"/>
  <c r="H371" i="1"/>
  <c r="U371" i="1"/>
  <c r="AP371" i="1"/>
  <c r="I371" i="1"/>
  <c r="T371" i="1" s="1"/>
  <c r="V371" i="1"/>
  <c r="J371" i="1"/>
  <c r="W371" i="1"/>
  <c r="BF371" i="1"/>
  <c r="BF359" i="1"/>
  <c r="AL359" i="1"/>
  <c r="BH359" i="1"/>
  <c r="U359" i="1"/>
  <c r="AM359" i="1"/>
  <c r="BI359" i="1"/>
  <c r="H359" i="1"/>
  <c r="S359" i="1" s="1"/>
  <c r="V359" i="1"/>
  <c r="AN359" i="1"/>
  <c r="I359" i="1"/>
  <c r="T359" i="1" s="1"/>
  <c r="W359" i="1"/>
  <c r="AO359" i="1"/>
  <c r="J359" i="1"/>
  <c r="AP359" i="1"/>
  <c r="BF347" i="1"/>
  <c r="AL347" i="1"/>
  <c r="BH347" i="1"/>
  <c r="AM347" i="1"/>
  <c r="BI347" i="1"/>
  <c r="U347" i="1"/>
  <c r="AN347" i="1"/>
  <c r="H347" i="1"/>
  <c r="S347" i="1" s="1"/>
  <c r="V347" i="1"/>
  <c r="AO347" i="1"/>
  <c r="I347" i="1"/>
  <c r="T347" i="1" s="1"/>
  <c r="W347" i="1"/>
  <c r="AP347" i="1"/>
  <c r="J347" i="1"/>
  <c r="AL335" i="1"/>
  <c r="BH335" i="1"/>
  <c r="AM335" i="1"/>
  <c r="BI335" i="1"/>
  <c r="U335" i="1"/>
  <c r="AN335" i="1"/>
  <c r="H335" i="1"/>
  <c r="S335" i="1" s="1"/>
  <c r="V335" i="1"/>
  <c r="AO335" i="1"/>
  <c r="I335" i="1"/>
  <c r="T335" i="1" s="1"/>
  <c r="W335" i="1"/>
  <c r="AP335" i="1"/>
  <c r="J335" i="1"/>
  <c r="BF335" i="1"/>
  <c r="H323" i="1"/>
  <c r="V323" i="1"/>
  <c r="BF323" i="1"/>
  <c r="I323" i="1"/>
  <c r="T323" i="1" s="1"/>
  <c r="W323" i="1"/>
  <c r="J323" i="1"/>
  <c r="BH323" i="1"/>
  <c r="BI323" i="1"/>
  <c r="AL323" i="1"/>
  <c r="AM323" i="1"/>
  <c r="AN323" i="1"/>
  <c r="AO323" i="1"/>
  <c r="AP323" i="1"/>
  <c r="U323" i="1"/>
  <c r="AL311" i="1"/>
  <c r="BI311" i="1"/>
  <c r="AM311" i="1"/>
  <c r="U311" i="1"/>
  <c r="AN311" i="1"/>
  <c r="H311" i="1"/>
  <c r="V311" i="1"/>
  <c r="AO311" i="1"/>
  <c r="I311" i="1"/>
  <c r="T311" i="1" s="1"/>
  <c r="W311" i="1"/>
  <c r="AP311" i="1"/>
  <c r="J311" i="1"/>
  <c r="BF311" i="1"/>
  <c r="BH311" i="1"/>
  <c r="H299" i="1"/>
  <c r="S299" i="1" s="1"/>
  <c r="V299" i="1"/>
  <c r="I299" i="1"/>
  <c r="T299" i="1" s="1"/>
  <c r="W299" i="1"/>
  <c r="J299" i="1"/>
  <c r="BF299" i="1"/>
  <c r="BH299" i="1"/>
  <c r="BI299" i="1"/>
  <c r="AL299" i="1"/>
  <c r="AM299" i="1"/>
  <c r="AN299" i="1"/>
  <c r="AO299" i="1"/>
  <c r="U299" i="1"/>
  <c r="AP299" i="1"/>
  <c r="AP287" i="1"/>
  <c r="U287" i="1"/>
  <c r="H287" i="1"/>
  <c r="S287" i="1" s="1"/>
  <c r="V287" i="1"/>
  <c r="I287" i="1"/>
  <c r="T287" i="1" s="1"/>
  <c r="W287" i="1"/>
  <c r="BF287" i="1"/>
  <c r="J287" i="1"/>
  <c r="BH287" i="1"/>
  <c r="AL287" i="1"/>
  <c r="BI287" i="1"/>
  <c r="AM287" i="1"/>
  <c r="AN287" i="1"/>
  <c r="AO287" i="1"/>
  <c r="U275" i="1"/>
  <c r="V275" i="1"/>
  <c r="W275" i="1"/>
  <c r="BF275" i="1"/>
  <c r="H275" i="1"/>
  <c r="S275" i="1" s="1"/>
  <c r="I275" i="1"/>
  <c r="T275" i="1" s="1"/>
  <c r="BH275" i="1"/>
  <c r="J275" i="1"/>
  <c r="AL275" i="1"/>
  <c r="BI275" i="1"/>
  <c r="AM275" i="1"/>
  <c r="AN275" i="1"/>
  <c r="AO275" i="1"/>
  <c r="AP275" i="1"/>
  <c r="AL263" i="1"/>
  <c r="AM263" i="1"/>
  <c r="AO263" i="1"/>
  <c r="AP263" i="1"/>
  <c r="H263" i="1"/>
  <c r="S263" i="1" s="1"/>
  <c r="U263" i="1"/>
  <c r="I263" i="1"/>
  <c r="T263" i="1" s="1"/>
  <c r="V263" i="1"/>
  <c r="BF263" i="1"/>
  <c r="BH263" i="1"/>
  <c r="J263" i="1"/>
  <c r="W263" i="1"/>
  <c r="AN263" i="1"/>
  <c r="BI263" i="1"/>
  <c r="H251" i="1"/>
  <c r="S251" i="1" s="1"/>
  <c r="U251" i="1"/>
  <c r="I251" i="1"/>
  <c r="T251" i="1" s="1"/>
  <c r="V251" i="1"/>
  <c r="J251" i="1"/>
  <c r="W251" i="1"/>
  <c r="BF251" i="1"/>
  <c r="BH251" i="1"/>
  <c r="BI251" i="1"/>
  <c r="AL251" i="1"/>
  <c r="AM251" i="1"/>
  <c r="AN251" i="1"/>
  <c r="AP251" i="1"/>
  <c r="AO251" i="1"/>
  <c r="AL239" i="1"/>
  <c r="AM239" i="1"/>
  <c r="BH239" i="1"/>
  <c r="U239" i="1"/>
  <c r="AN239" i="1"/>
  <c r="BI239" i="1"/>
  <c r="H239" i="1"/>
  <c r="S239" i="1" s="1"/>
  <c r="V239" i="1"/>
  <c r="AO239" i="1"/>
  <c r="I239" i="1"/>
  <c r="T239" i="1" s="1"/>
  <c r="W239" i="1"/>
  <c r="AP239" i="1"/>
  <c r="J239" i="1"/>
  <c r="BF239" i="1"/>
  <c r="BF227" i="1"/>
  <c r="AL227" i="1"/>
  <c r="BH227" i="1"/>
  <c r="AM227" i="1"/>
  <c r="BI227" i="1"/>
  <c r="AN227" i="1"/>
  <c r="H227" i="1"/>
  <c r="S227" i="1" s="1"/>
  <c r="U227" i="1"/>
  <c r="AO227" i="1"/>
  <c r="I227" i="1"/>
  <c r="T227" i="1" s="1"/>
  <c r="V227" i="1"/>
  <c r="AP227" i="1"/>
  <c r="J227" i="1"/>
  <c r="W227" i="1"/>
  <c r="BF215" i="1"/>
  <c r="AL215" i="1"/>
  <c r="BH215" i="1"/>
  <c r="AN215" i="1"/>
  <c r="AO215" i="1"/>
  <c r="U215" i="1"/>
  <c r="AP215" i="1"/>
  <c r="H215" i="1"/>
  <c r="V215" i="1"/>
  <c r="I215" i="1"/>
  <c r="T215" i="1" s="1"/>
  <c r="W215" i="1"/>
  <c r="J215" i="1"/>
  <c r="AM215" i="1"/>
  <c r="BI215" i="1"/>
  <c r="BF203" i="1"/>
  <c r="BI203" i="1"/>
  <c r="AL203" i="1"/>
  <c r="AM203" i="1"/>
  <c r="J203" i="1"/>
  <c r="W203" i="1"/>
  <c r="BH203" i="1"/>
  <c r="U203" i="1"/>
  <c r="V203" i="1"/>
  <c r="AN203" i="1"/>
  <c r="AO203" i="1"/>
  <c r="H203" i="1"/>
  <c r="AP203" i="1"/>
  <c r="I203" i="1"/>
  <c r="T203" i="1" s="1"/>
  <c r="AM191" i="1"/>
  <c r="AN191" i="1"/>
  <c r="AO191" i="1"/>
  <c r="AP191" i="1"/>
  <c r="H191" i="1"/>
  <c r="S191" i="1" s="1"/>
  <c r="U191" i="1"/>
  <c r="I191" i="1"/>
  <c r="T191" i="1" s="1"/>
  <c r="V191" i="1"/>
  <c r="BF191" i="1"/>
  <c r="BI191" i="1"/>
  <c r="J191" i="1"/>
  <c r="W191" i="1"/>
  <c r="BH191" i="1"/>
  <c r="AL191" i="1"/>
  <c r="I179" i="1"/>
  <c r="T179" i="1" s="1"/>
  <c r="V179" i="1"/>
  <c r="J179" i="1"/>
  <c r="W179" i="1"/>
  <c r="BF179" i="1"/>
  <c r="BH179" i="1"/>
  <c r="AL179" i="1"/>
  <c r="BI179" i="1"/>
  <c r="AM179" i="1"/>
  <c r="AN179" i="1"/>
  <c r="AP179" i="1"/>
  <c r="H179" i="1"/>
  <c r="S179" i="1" s="1"/>
  <c r="U179" i="1"/>
  <c r="AO179" i="1"/>
  <c r="AL167" i="1"/>
  <c r="BI167" i="1"/>
  <c r="AM167" i="1"/>
  <c r="AN167" i="1"/>
  <c r="AO167" i="1"/>
  <c r="AP167" i="1"/>
  <c r="H167" i="1"/>
  <c r="U167" i="1"/>
  <c r="I167" i="1"/>
  <c r="T167" i="1" s="1"/>
  <c r="V167" i="1"/>
  <c r="J167" i="1"/>
  <c r="W167" i="1"/>
  <c r="BF167" i="1"/>
  <c r="BH167" i="1"/>
  <c r="H155" i="1"/>
  <c r="S155" i="1" s="1"/>
  <c r="U155" i="1"/>
  <c r="AP155" i="1"/>
  <c r="I155" i="1"/>
  <c r="T155" i="1" s="1"/>
  <c r="V155" i="1"/>
  <c r="J155" i="1"/>
  <c r="W155" i="1"/>
  <c r="BF155" i="1"/>
  <c r="AN155" i="1"/>
  <c r="AO155" i="1"/>
  <c r="BI155" i="1"/>
  <c r="AL155" i="1"/>
  <c r="AM155" i="1"/>
  <c r="BH155" i="1"/>
  <c r="I143" i="1"/>
  <c r="T143" i="1" s="1"/>
  <c r="V143" i="1"/>
  <c r="J143" i="1"/>
  <c r="W143" i="1"/>
  <c r="BF143" i="1"/>
  <c r="AL143" i="1"/>
  <c r="BI143" i="1"/>
  <c r="AM143" i="1"/>
  <c r="AP143" i="1"/>
  <c r="H143" i="1"/>
  <c r="U143" i="1"/>
  <c r="AO143" i="1"/>
  <c r="BH143" i="1"/>
  <c r="AN143" i="1"/>
  <c r="AO131" i="1"/>
  <c r="AP131" i="1"/>
  <c r="I131" i="1"/>
  <c r="T131" i="1" s="1"/>
  <c r="V131" i="1"/>
  <c r="J131" i="1"/>
  <c r="W131" i="1"/>
  <c r="BF131" i="1"/>
  <c r="AL131" i="1"/>
  <c r="BI131" i="1"/>
  <c r="AM131" i="1"/>
  <c r="AN131" i="1"/>
  <c r="H131" i="1"/>
  <c r="BH131" i="1"/>
  <c r="U131" i="1"/>
  <c r="AM119" i="1"/>
  <c r="AN119" i="1"/>
  <c r="AO119" i="1"/>
  <c r="BF119" i="1"/>
  <c r="BH119" i="1"/>
  <c r="U119" i="1"/>
  <c r="V119" i="1"/>
  <c r="W119" i="1"/>
  <c r="H119" i="1"/>
  <c r="S119" i="1" s="1"/>
  <c r="AP119" i="1"/>
  <c r="BI119" i="1"/>
  <c r="I119" i="1"/>
  <c r="T119" i="1" s="1"/>
  <c r="AL119" i="1"/>
  <c r="J119" i="1"/>
  <c r="AN107" i="1"/>
  <c r="H107" i="1"/>
  <c r="S107" i="1" s="1"/>
  <c r="U107" i="1"/>
  <c r="I107" i="1"/>
  <c r="T107" i="1" s="1"/>
  <c r="V107" i="1"/>
  <c r="BH107" i="1"/>
  <c r="AL107" i="1"/>
  <c r="BI107" i="1"/>
  <c r="W107" i="1"/>
  <c r="AM107" i="1"/>
  <c r="J107" i="1"/>
  <c r="AP107" i="1"/>
  <c r="BF107" i="1"/>
  <c r="AO107" i="1"/>
  <c r="BH95" i="1"/>
  <c r="AL95" i="1"/>
  <c r="BI95" i="1"/>
  <c r="AM95" i="1"/>
  <c r="AO95" i="1"/>
  <c r="AP95" i="1"/>
  <c r="U95" i="1"/>
  <c r="H95" i="1"/>
  <c r="V95" i="1"/>
  <c r="AN95" i="1"/>
  <c r="W95" i="1"/>
  <c r="BF95" i="1"/>
  <c r="J95" i="1"/>
  <c r="I95" i="1"/>
  <c r="T95" i="1" s="1"/>
  <c r="BF83" i="1"/>
  <c r="H83" i="1"/>
  <c r="S83" i="1" s="1"/>
  <c r="U83" i="1"/>
  <c r="AL83" i="1"/>
  <c r="BH83" i="1"/>
  <c r="I83" i="1"/>
  <c r="T83" i="1" s="1"/>
  <c r="V83" i="1"/>
  <c r="AM83" i="1"/>
  <c r="BI83" i="1"/>
  <c r="AP83" i="1"/>
  <c r="AN83" i="1"/>
  <c r="AO83" i="1"/>
  <c r="J83" i="1"/>
  <c r="W83" i="1"/>
  <c r="BH71" i="1"/>
  <c r="AL71" i="1"/>
  <c r="BI71" i="1"/>
  <c r="AM71" i="1"/>
  <c r="AO71" i="1"/>
  <c r="H71" i="1"/>
  <c r="U71" i="1"/>
  <c r="AP71" i="1"/>
  <c r="I71" i="1"/>
  <c r="T71" i="1" s="1"/>
  <c r="V71" i="1"/>
  <c r="J71" i="1"/>
  <c r="W71" i="1"/>
  <c r="BF71" i="1"/>
  <c r="AN71" i="1"/>
  <c r="AN59" i="1"/>
  <c r="J59" i="1"/>
  <c r="W59" i="1"/>
  <c r="AL59" i="1"/>
  <c r="BH59" i="1"/>
  <c r="AM59" i="1"/>
  <c r="AO59" i="1"/>
  <c r="U59" i="1"/>
  <c r="BF59" i="1"/>
  <c r="H59" i="1"/>
  <c r="S59" i="1" s="1"/>
  <c r="V59" i="1"/>
  <c r="I59" i="1"/>
  <c r="T59" i="1" s="1"/>
  <c r="AP59" i="1"/>
  <c r="BI59" i="1"/>
  <c r="I47" i="1"/>
  <c r="T47" i="1" s="1"/>
  <c r="W47" i="1"/>
  <c r="J47" i="1"/>
  <c r="AP47" i="1"/>
  <c r="BF47" i="1"/>
  <c r="U47" i="1"/>
  <c r="AL47" i="1"/>
  <c r="H47" i="1"/>
  <c r="S47" i="1" s="1"/>
  <c r="AO47" i="1"/>
  <c r="BI47" i="1"/>
  <c r="BH47" i="1"/>
  <c r="V47" i="1"/>
  <c r="AM47" i="1"/>
  <c r="AN47" i="1"/>
  <c r="AM35" i="1"/>
  <c r="BI35" i="1"/>
  <c r="AN35" i="1"/>
  <c r="U35" i="1"/>
  <c r="AP35" i="1"/>
  <c r="BF35" i="1"/>
  <c r="H35" i="1"/>
  <c r="J35" i="1"/>
  <c r="W35" i="1"/>
  <c r="AL35" i="1"/>
  <c r="BH35" i="1"/>
  <c r="I35" i="1"/>
  <c r="T35" i="1" s="1"/>
  <c r="V35" i="1"/>
  <c r="AO35" i="1"/>
  <c r="H23" i="1"/>
  <c r="S23" i="1" s="1"/>
  <c r="BF23" i="1"/>
  <c r="BH23" i="1"/>
  <c r="AM23" i="1"/>
  <c r="V23" i="1"/>
  <c r="W23" i="1"/>
  <c r="J23" i="1"/>
  <c r="U23" i="1"/>
  <c r="AN23" i="1"/>
  <c r="AP23" i="1"/>
  <c r="BI23" i="1"/>
  <c r="I23" i="1"/>
  <c r="T23" i="1" s="1"/>
  <c r="AL23" i="1"/>
  <c r="AO23" i="1"/>
  <c r="AN11" i="1"/>
  <c r="AO11" i="1"/>
  <c r="AP11" i="1"/>
  <c r="U11" i="1"/>
  <c r="H11" i="1"/>
  <c r="S11" i="1" s="1"/>
  <c r="V11" i="1"/>
  <c r="I11" i="1"/>
  <c r="T11" i="1" s="1"/>
  <c r="W11" i="1"/>
  <c r="J11" i="1"/>
  <c r="BF11" i="1"/>
  <c r="BH11" i="1"/>
  <c r="BI11" i="1"/>
  <c r="AL11" i="1"/>
  <c r="AM11" i="1"/>
  <c r="BI622" i="1"/>
  <c r="AL622" i="1"/>
  <c r="BI621" i="1"/>
  <c r="AN621" i="1"/>
  <c r="AO620" i="1"/>
  <c r="AL619" i="1"/>
  <c r="J617" i="1"/>
  <c r="AN605" i="1"/>
  <c r="W602" i="1"/>
  <c r="BF590" i="1"/>
  <c r="BI570" i="1"/>
  <c r="BI566" i="1"/>
  <c r="AP559" i="1"/>
  <c r="H559" i="1"/>
  <c r="U559" i="1"/>
  <c r="I559" i="1"/>
  <c r="T559" i="1" s="1"/>
  <c r="V559" i="1"/>
  <c r="J559" i="1"/>
  <c r="W559" i="1"/>
  <c r="BF559" i="1"/>
  <c r="BH559" i="1"/>
  <c r="AL559" i="1"/>
  <c r="BI559" i="1"/>
  <c r="AM559" i="1"/>
  <c r="AN559" i="1"/>
  <c r="AO559" i="1"/>
  <c r="I511" i="1"/>
  <c r="T511" i="1" s="1"/>
  <c r="W511" i="1"/>
  <c r="BF511" i="1"/>
  <c r="J511" i="1"/>
  <c r="BH511" i="1"/>
  <c r="BI511" i="1"/>
  <c r="AL511" i="1"/>
  <c r="AM511" i="1"/>
  <c r="AN511" i="1"/>
  <c r="AO511" i="1"/>
  <c r="AP511" i="1"/>
  <c r="U511" i="1"/>
  <c r="H511" i="1"/>
  <c r="S511" i="1" s="1"/>
  <c r="V511" i="1"/>
  <c r="BF451" i="1"/>
  <c r="AL451" i="1"/>
  <c r="AM451" i="1"/>
  <c r="BH451" i="1"/>
  <c r="H451" i="1"/>
  <c r="S451" i="1" s="1"/>
  <c r="U451" i="1"/>
  <c r="AN451" i="1"/>
  <c r="BI451" i="1"/>
  <c r="I451" i="1"/>
  <c r="T451" i="1" s="1"/>
  <c r="V451" i="1"/>
  <c r="AO451" i="1"/>
  <c r="J451" i="1"/>
  <c r="W451" i="1"/>
  <c r="AP451" i="1"/>
  <c r="J379" i="1"/>
  <c r="W379" i="1"/>
  <c r="BF379" i="1"/>
  <c r="BH379" i="1"/>
  <c r="AL379" i="1"/>
  <c r="BI379" i="1"/>
  <c r="AM379" i="1"/>
  <c r="AN379" i="1"/>
  <c r="AO379" i="1"/>
  <c r="AP379" i="1"/>
  <c r="H379" i="1"/>
  <c r="S379" i="1" s="1"/>
  <c r="U379" i="1"/>
  <c r="I379" i="1"/>
  <c r="T379" i="1" s="1"/>
  <c r="V379" i="1"/>
  <c r="J307" i="1"/>
  <c r="BF307" i="1"/>
  <c r="AL307" i="1"/>
  <c r="BH307" i="1"/>
  <c r="AM307" i="1"/>
  <c r="BI307" i="1"/>
  <c r="AN307" i="1"/>
  <c r="U307" i="1"/>
  <c r="AO307" i="1"/>
  <c r="H307" i="1"/>
  <c r="S307" i="1" s="1"/>
  <c r="V307" i="1"/>
  <c r="AP307" i="1"/>
  <c r="I307" i="1"/>
  <c r="T307" i="1" s="1"/>
  <c r="W307" i="1"/>
  <c r="I235" i="1"/>
  <c r="T235" i="1" s="1"/>
  <c r="V235" i="1"/>
  <c r="J235" i="1"/>
  <c r="W235" i="1"/>
  <c r="BF235" i="1"/>
  <c r="BH235" i="1"/>
  <c r="BI235" i="1"/>
  <c r="AL235" i="1"/>
  <c r="AM235" i="1"/>
  <c r="AN235" i="1"/>
  <c r="AP235" i="1"/>
  <c r="H235" i="1"/>
  <c r="U235" i="1"/>
  <c r="AO235" i="1"/>
  <c r="H163" i="1"/>
  <c r="V163" i="1"/>
  <c r="I163" i="1"/>
  <c r="T163" i="1" s="1"/>
  <c r="W163" i="1"/>
  <c r="J163" i="1"/>
  <c r="BH163" i="1"/>
  <c r="AP163" i="1"/>
  <c r="U163" i="1"/>
  <c r="AL163" i="1"/>
  <c r="AM163" i="1"/>
  <c r="AN163" i="1"/>
  <c r="AO163" i="1"/>
  <c r="BF163" i="1"/>
  <c r="BI163" i="1"/>
  <c r="BH91" i="1"/>
  <c r="BI91" i="1"/>
  <c r="AL91" i="1"/>
  <c r="AM91" i="1"/>
  <c r="H91" i="1"/>
  <c r="U91" i="1"/>
  <c r="AN91" i="1"/>
  <c r="I91" i="1"/>
  <c r="T91" i="1" s="1"/>
  <c r="J91" i="1"/>
  <c r="AO91" i="1"/>
  <c r="V91" i="1"/>
  <c r="W91" i="1"/>
  <c r="AP91" i="1"/>
  <c r="BF91" i="1"/>
  <c r="AO19" i="1"/>
  <c r="AP19" i="1"/>
  <c r="H19" i="1"/>
  <c r="S19" i="1" s="1"/>
  <c r="U19" i="1"/>
  <c r="I19" i="1"/>
  <c r="T19" i="1" s="1"/>
  <c r="V19" i="1"/>
  <c r="J19" i="1"/>
  <c r="W19" i="1"/>
  <c r="BH19" i="1"/>
  <c r="AL19" i="1"/>
  <c r="BI19" i="1"/>
  <c r="AM19" i="1"/>
  <c r="AN19" i="1"/>
  <c r="BF19" i="1"/>
  <c r="AL610" i="1"/>
  <c r="AM610" i="1"/>
  <c r="AN610" i="1"/>
  <c r="AO610" i="1"/>
  <c r="AP610" i="1"/>
  <c r="H610" i="1"/>
  <c r="S610" i="1" s="1"/>
  <c r="U610" i="1"/>
  <c r="I610" i="1"/>
  <c r="T610" i="1" s="1"/>
  <c r="V610" i="1"/>
  <c r="J610" i="1"/>
  <c r="W610" i="1"/>
  <c r="BF610" i="1"/>
  <c r="BH610" i="1"/>
  <c r="AN598" i="1"/>
  <c r="U598" i="1"/>
  <c r="AO598" i="1"/>
  <c r="H598" i="1"/>
  <c r="S598" i="1" s="1"/>
  <c r="V598" i="1"/>
  <c r="AP598" i="1"/>
  <c r="I598" i="1"/>
  <c r="T598" i="1" s="1"/>
  <c r="W598" i="1"/>
  <c r="J598" i="1"/>
  <c r="BF598" i="1"/>
  <c r="AL598" i="1"/>
  <c r="BH598" i="1"/>
  <c r="AO586" i="1"/>
  <c r="AP586" i="1"/>
  <c r="H586" i="1"/>
  <c r="U586" i="1"/>
  <c r="BF586" i="1"/>
  <c r="I586" i="1"/>
  <c r="T586" i="1" s="1"/>
  <c r="V586" i="1"/>
  <c r="J586" i="1"/>
  <c r="W586" i="1"/>
  <c r="BH586" i="1"/>
  <c r="BI586" i="1"/>
  <c r="AL586" i="1"/>
  <c r="AM586" i="1"/>
  <c r="AM574" i="1"/>
  <c r="AN574" i="1"/>
  <c r="AO574" i="1"/>
  <c r="AP574" i="1"/>
  <c r="H574" i="1"/>
  <c r="U574" i="1"/>
  <c r="BF574" i="1"/>
  <c r="I574" i="1"/>
  <c r="T574" i="1" s="1"/>
  <c r="V574" i="1"/>
  <c r="J574" i="1"/>
  <c r="W574" i="1"/>
  <c r="BH574" i="1"/>
  <c r="BI574" i="1"/>
  <c r="I562" i="1"/>
  <c r="T562" i="1" s="1"/>
  <c r="V562" i="1"/>
  <c r="J562" i="1"/>
  <c r="W562" i="1"/>
  <c r="BF562" i="1"/>
  <c r="BH562" i="1"/>
  <c r="AL562" i="1"/>
  <c r="BI562" i="1"/>
  <c r="AM562" i="1"/>
  <c r="AN562" i="1"/>
  <c r="AO562" i="1"/>
  <c r="AP562" i="1"/>
  <c r="H562" i="1"/>
  <c r="U562" i="1"/>
  <c r="BH550" i="1"/>
  <c r="BI550" i="1"/>
  <c r="AL550" i="1"/>
  <c r="AM550" i="1"/>
  <c r="AN550" i="1"/>
  <c r="AO550" i="1"/>
  <c r="AP550" i="1"/>
  <c r="H550" i="1"/>
  <c r="U550" i="1"/>
  <c r="I550" i="1"/>
  <c r="T550" i="1" s="1"/>
  <c r="V550" i="1"/>
  <c r="W550" i="1"/>
  <c r="BF550" i="1"/>
  <c r="AO538" i="1"/>
  <c r="AP538" i="1"/>
  <c r="H538" i="1"/>
  <c r="S538" i="1" s="1"/>
  <c r="U538" i="1"/>
  <c r="I538" i="1"/>
  <c r="T538" i="1" s="1"/>
  <c r="V538" i="1"/>
  <c r="J538" i="1"/>
  <c r="W538" i="1"/>
  <c r="BF538" i="1"/>
  <c r="BH538" i="1"/>
  <c r="BI538" i="1"/>
  <c r="AL538" i="1"/>
  <c r="AM538" i="1"/>
  <c r="I526" i="1"/>
  <c r="T526" i="1" s="1"/>
  <c r="V526" i="1"/>
  <c r="J526" i="1"/>
  <c r="W526" i="1"/>
  <c r="BF526" i="1"/>
  <c r="BH526" i="1"/>
  <c r="AL526" i="1"/>
  <c r="BI526" i="1"/>
  <c r="AM526" i="1"/>
  <c r="AN526" i="1"/>
  <c r="AO526" i="1"/>
  <c r="H526" i="1"/>
  <c r="S526" i="1" s="1"/>
  <c r="U526" i="1"/>
  <c r="AM514" i="1"/>
  <c r="AN514" i="1"/>
  <c r="AO514" i="1"/>
  <c r="AP514" i="1"/>
  <c r="H514" i="1"/>
  <c r="S514" i="1" s="1"/>
  <c r="U514" i="1"/>
  <c r="I514" i="1"/>
  <c r="T514" i="1" s="1"/>
  <c r="V514" i="1"/>
  <c r="BH514" i="1"/>
  <c r="AL514" i="1"/>
  <c r="BF514" i="1"/>
  <c r="BI514" i="1"/>
  <c r="J514" i="1"/>
  <c r="W514" i="1"/>
  <c r="AN502" i="1"/>
  <c r="AO502" i="1"/>
  <c r="AP502" i="1"/>
  <c r="U502" i="1"/>
  <c r="H502" i="1"/>
  <c r="S502" i="1" s="1"/>
  <c r="V502" i="1"/>
  <c r="I502" i="1"/>
  <c r="T502" i="1" s="1"/>
  <c r="W502" i="1"/>
  <c r="J502" i="1"/>
  <c r="BF502" i="1"/>
  <c r="BH502" i="1"/>
  <c r="AL502" i="1"/>
  <c r="BI502" i="1"/>
  <c r="AM502" i="1"/>
  <c r="AP490" i="1"/>
  <c r="H490" i="1"/>
  <c r="S490" i="1" s="1"/>
  <c r="U490" i="1"/>
  <c r="I490" i="1"/>
  <c r="T490" i="1" s="1"/>
  <c r="V490" i="1"/>
  <c r="J490" i="1"/>
  <c r="W490" i="1"/>
  <c r="BF490" i="1"/>
  <c r="BH490" i="1"/>
  <c r="BI490" i="1"/>
  <c r="AL490" i="1"/>
  <c r="AM490" i="1"/>
  <c r="AN490" i="1"/>
  <c r="AO490" i="1"/>
  <c r="AO478" i="1"/>
  <c r="AP478" i="1"/>
  <c r="H478" i="1"/>
  <c r="S478" i="1" s="1"/>
  <c r="U478" i="1"/>
  <c r="I478" i="1"/>
  <c r="T478" i="1" s="1"/>
  <c r="V478" i="1"/>
  <c r="J478" i="1"/>
  <c r="W478" i="1"/>
  <c r="BF478" i="1"/>
  <c r="BH478" i="1"/>
  <c r="AL478" i="1"/>
  <c r="BI478" i="1"/>
  <c r="AM478" i="1"/>
  <c r="AN478" i="1"/>
  <c r="H466" i="1"/>
  <c r="S466" i="1" s="1"/>
  <c r="I466" i="1"/>
  <c r="T466" i="1" s="1"/>
  <c r="J466" i="1"/>
  <c r="AL466" i="1"/>
  <c r="AM466" i="1"/>
  <c r="AN466" i="1"/>
  <c r="AO466" i="1"/>
  <c r="U466" i="1"/>
  <c r="AP466" i="1"/>
  <c r="V466" i="1"/>
  <c r="W466" i="1"/>
  <c r="BF466" i="1"/>
  <c r="BH466" i="1"/>
  <c r="BI466" i="1"/>
  <c r="I454" i="1"/>
  <c r="T454" i="1" s="1"/>
  <c r="V454" i="1"/>
  <c r="AN454" i="1"/>
  <c r="BH454" i="1"/>
  <c r="J454" i="1"/>
  <c r="W454" i="1"/>
  <c r="AO454" i="1"/>
  <c r="BI454" i="1"/>
  <c r="AP454" i="1"/>
  <c r="AL454" i="1"/>
  <c r="BF454" i="1"/>
  <c r="U454" i="1"/>
  <c r="AM454" i="1"/>
  <c r="H454" i="1"/>
  <c r="S454" i="1" s="1"/>
  <c r="J442" i="1"/>
  <c r="W442" i="1"/>
  <c r="AN442" i="1"/>
  <c r="AO442" i="1"/>
  <c r="BH442" i="1"/>
  <c r="AP442" i="1"/>
  <c r="BI442" i="1"/>
  <c r="H442" i="1"/>
  <c r="S442" i="1" s="1"/>
  <c r="U442" i="1"/>
  <c r="AL442" i="1"/>
  <c r="I442" i="1"/>
  <c r="T442" i="1" s="1"/>
  <c r="V442" i="1"/>
  <c r="AM442" i="1"/>
  <c r="BF442" i="1"/>
  <c r="J430" i="1"/>
  <c r="BF430" i="1"/>
  <c r="BH430" i="1"/>
  <c r="BI430" i="1"/>
  <c r="AL430" i="1"/>
  <c r="AM430" i="1"/>
  <c r="AN430" i="1"/>
  <c r="AO430" i="1"/>
  <c r="AP430" i="1"/>
  <c r="U430" i="1"/>
  <c r="H430" i="1"/>
  <c r="V430" i="1"/>
  <c r="I430" i="1"/>
  <c r="T430" i="1" s="1"/>
  <c r="W430" i="1"/>
  <c r="AN418" i="1"/>
  <c r="AO418" i="1"/>
  <c r="U418" i="1"/>
  <c r="AP418" i="1"/>
  <c r="H418" i="1"/>
  <c r="S418" i="1" s="1"/>
  <c r="V418" i="1"/>
  <c r="I418" i="1"/>
  <c r="T418" i="1" s="1"/>
  <c r="W418" i="1"/>
  <c r="J418" i="1"/>
  <c r="BF418" i="1"/>
  <c r="BH418" i="1"/>
  <c r="BI418" i="1"/>
  <c r="AL418" i="1"/>
  <c r="AM418" i="1"/>
  <c r="H406" i="1"/>
  <c r="U406" i="1"/>
  <c r="I406" i="1"/>
  <c r="T406" i="1" s="1"/>
  <c r="V406" i="1"/>
  <c r="AL406" i="1"/>
  <c r="J406" i="1"/>
  <c r="W406" i="1"/>
  <c r="AM406" i="1"/>
  <c r="BF406" i="1"/>
  <c r="AN406" i="1"/>
  <c r="AO406" i="1"/>
  <c r="BH406" i="1"/>
  <c r="AP406" i="1"/>
  <c r="BI406" i="1"/>
  <c r="BH394" i="1"/>
  <c r="AL394" i="1"/>
  <c r="BI394" i="1"/>
  <c r="AM394" i="1"/>
  <c r="AN394" i="1"/>
  <c r="AO394" i="1"/>
  <c r="AP394" i="1"/>
  <c r="H394" i="1"/>
  <c r="S394" i="1" s="1"/>
  <c r="U394" i="1"/>
  <c r="I394" i="1"/>
  <c r="T394" i="1" s="1"/>
  <c r="V394" i="1"/>
  <c r="J394" i="1"/>
  <c r="W394" i="1"/>
  <c r="BF394" i="1"/>
  <c r="AM382" i="1"/>
  <c r="AN382" i="1"/>
  <c r="AO382" i="1"/>
  <c r="AP382" i="1"/>
  <c r="H382" i="1"/>
  <c r="S382" i="1" s="1"/>
  <c r="U382" i="1"/>
  <c r="I382" i="1"/>
  <c r="T382" i="1" s="1"/>
  <c r="V382" i="1"/>
  <c r="BF382" i="1"/>
  <c r="J382" i="1"/>
  <c r="W382" i="1"/>
  <c r="BH382" i="1"/>
  <c r="AL382" i="1"/>
  <c r="BI382" i="1"/>
  <c r="U370" i="1"/>
  <c r="H370" i="1"/>
  <c r="S370" i="1" s="1"/>
  <c r="V370" i="1"/>
  <c r="I370" i="1"/>
  <c r="T370" i="1" s="1"/>
  <c r="W370" i="1"/>
  <c r="J370" i="1"/>
  <c r="BF370" i="1"/>
  <c r="AL370" i="1"/>
  <c r="BH370" i="1"/>
  <c r="AM370" i="1"/>
  <c r="BI370" i="1"/>
  <c r="AN370" i="1"/>
  <c r="AO370" i="1"/>
  <c r="AP370" i="1"/>
  <c r="BI358" i="1"/>
  <c r="AL358" i="1"/>
  <c r="AM358" i="1"/>
  <c r="AN358" i="1"/>
  <c r="AO358" i="1"/>
  <c r="H358" i="1"/>
  <c r="U358" i="1"/>
  <c r="AP358" i="1"/>
  <c r="I358" i="1"/>
  <c r="T358" i="1" s="1"/>
  <c r="V358" i="1"/>
  <c r="J358" i="1"/>
  <c r="W358" i="1"/>
  <c r="BF358" i="1"/>
  <c r="BH358" i="1"/>
  <c r="H346" i="1"/>
  <c r="S346" i="1" s="1"/>
  <c r="U346" i="1"/>
  <c r="AN346" i="1"/>
  <c r="I346" i="1"/>
  <c r="T346" i="1" s="1"/>
  <c r="V346" i="1"/>
  <c r="AO346" i="1"/>
  <c r="J346" i="1"/>
  <c r="W346" i="1"/>
  <c r="AP346" i="1"/>
  <c r="BF346" i="1"/>
  <c r="AL346" i="1"/>
  <c r="BH346" i="1"/>
  <c r="AM346" i="1"/>
  <c r="BI346" i="1"/>
  <c r="I334" i="1"/>
  <c r="T334" i="1" s="1"/>
  <c r="W334" i="1"/>
  <c r="J334" i="1"/>
  <c r="BF334" i="1"/>
  <c r="AL334" i="1"/>
  <c r="BH334" i="1"/>
  <c r="AM334" i="1"/>
  <c r="BI334" i="1"/>
  <c r="AN334" i="1"/>
  <c r="U334" i="1"/>
  <c r="AO334" i="1"/>
  <c r="V334" i="1"/>
  <c r="AP334" i="1"/>
  <c r="H334" i="1"/>
  <c r="J322" i="1"/>
  <c r="BF322" i="1"/>
  <c r="BH322" i="1"/>
  <c r="AL322" i="1"/>
  <c r="BI322" i="1"/>
  <c r="AM322" i="1"/>
  <c r="AN322" i="1"/>
  <c r="AO322" i="1"/>
  <c r="U322" i="1"/>
  <c r="AP322" i="1"/>
  <c r="H322" i="1"/>
  <c r="S322" i="1" s="1"/>
  <c r="V322" i="1"/>
  <c r="I322" i="1"/>
  <c r="T322" i="1" s="1"/>
  <c r="W322" i="1"/>
  <c r="H310" i="1"/>
  <c r="U310" i="1"/>
  <c r="AP310" i="1"/>
  <c r="I310" i="1"/>
  <c r="T310" i="1" s="1"/>
  <c r="V310" i="1"/>
  <c r="J310" i="1"/>
  <c r="W310" i="1"/>
  <c r="BF310" i="1"/>
  <c r="BH310" i="1"/>
  <c r="AM310" i="1"/>
  <c r="AN310" i="1"/>
  <c r="BI310" i="1"/>
  <c r="AL310" i="1"/>
  <c r="AO310" i="1"/>
  <c r="AP298" i="1"/>
  <c r="U298" i="1"/>
  <c r="H298" i="1"/>
  <c r="V298" i="1"/>
  <c r="I298" i="1"/>
  <c r="T298" i="1" s="1"/>
  <c r="W298" i="1"/>
  <c r="J298" i="1"/>
  <c r="BF298" i="1"/>
  <c r="BH298" i="1"/>
  <c r="AL298" i="1"/>
  <c r="BI298" i="1"/>
  <c r="AM298" i="1"/>
  <c r="AN298" i="1"/>
  <c r="AO298" i="1"/>
  <c r="AM286" i="1"/>
  <c r="BI286" i="1"/>
  <c r="AN286" i="1"/>
  <c r="U286" i="1"/>
  <c r="AO286" i="1"/>
  <c r="H286" i="1"/>
  <c r="V286" i="1"/>
  <c r="AP286" i="1"/>
  <c r="I286" i="1"/>
  <c r="T286" i="1" s="1"/>
  <c r="W286" i="1"/>
  <c r="J286" i="1"/>
  <c r="BF286" i="1"/>
  <c r="AL286" i="1"/>
  <c r="BH286" i="1"/>
  <c r="AL274" i="1"/>
  <c r="BF274" i="1"/>
  <c r="AM274" i="1"/>
  <c r="AO274" i="1"/>
  <c r="BI274" i="1"/>
  <c r="U274" i="1"/>
  <c r="AP274" i="1"/>
  <c r="H274" i="1"/>
  <c r="S274" i="1" s="1"/>
  <c r="V274" i="1"/>
  <c r="BH274" i="1"/>
  <c r="W274" i="1"/>
  <c r="AN274" i="1"/>
  <c r="I274" i="1"/>
  <c r="T274" i="1" s="1"/>
  <c r="J274" i="1"/>
  <c r="BI262" i="1"/>
  <c r="AL262" i="1"/>
  <c r="AN262" i="1"/>
  <c r="AO262" i="1"/>
  <c r="AP262" i="1"/>
  <c r="H262" i="1"/>
  <c r="S262" i="1" s="1"/>
  <c r="U262" i="1"/>
  <c r="J262" i="1"/>
  <c r="W262" i="1"/>
  <c r="I262" i="1"/>
  <c r="T262" i="1" s="1"/>
  <c r="V262" i="1"/>
  <c r="AM262" i="1"/>
  <c r="BF262" i="1"/>
  <c r="BH262" i="1"/>
  <c r="AP250" i="1"/>
  <c r="H250" i="1"/>
  <c r="S250" i="1" s="1"/>
  <c r="U250" i="1"/>
  <c r="I250" i="1"/>
  <c r="T250" i="1" s="1"/>
  <c r="V250" i="1"/>
  <c r="J250" i="1"/>
  <c r="W250" i="1"/>
  <c r="BF250" i="1"/>
  <c r="BH250" i="1"/>
  <c r="BI250" i="1"/>
  <c r="AL250" i="1"/>
  <c r="AN250" i="1"/>
  <c r="AO250" i="1"/>
  <c r="AM250" i="1"/>
  <c r="AP238" i="1"/>
  <c r="H238" i="1"/>
  <c r="U238" i="1"/>
  <c r="I238" i="1"/>
  <c r="T238" i="1" s="1"/>
  <c r="V238" i="1"/>
  <c r="J238" i="1"/>
  <c r="W238" i="1"/>
  <c r="BF238" i="1"/>
  <c r="BH238" i="1"/>
  <c r="BI238" i="1"/>
  <c r="AL238" i="1"/>
  <c r="AN238" i="1"/>
  <c r="AO238" i="1"/>
  <c r="AM238" i="1"/>
  <c r="U226" i="1"/>
  <c r="H226" i="1"/>
  <c r="S226" i="1" s="1"/>
  <c r="V226" i="1"/>
  <c r="J226" i="1"/>
  <c r="W226" i="1"/>
  <c r="BH226" i="1"/>
  <c r="BI226" i="1"/>
  <c r="AL226" i="1"/>
  <c r="AM226" i="1"/>
  <c r="I226" i="1"/>
  <c r="T226" i="1" s="1"/>
  <c r="AN226" i="1"/>
  <c r="AO226" i="1"/>
  <c r="AP226" i="1"/>
  <c r="BF226" i="1"/>
  <c r="J214" i="1"/>
  <c r="W214" i="1"/>
  <c r="BF214" i="1"/>
  <c r="BH214" i="1"/>
  <c r="AL214" i="1"/>
  <c r="BI214" i="1"/>
  <c r="AM214" i="1"/>
  <c r="AO214" i="1"/>
  <c r="AP214" i="1"/>
  <c r="H214" i="1"/>
  <c r="S214" i="1" s="1"/>
  <c r="U214" i="1"/>
  <c r="I214" i="1"/>
  <c r="T214" i="1" s="1"/>
  <c r="V214" i="1"/>
  <c r="AN214" i="1"/>
  <c r="J202" i="1"/>
  <c r="W202" i="1"/>
  <c r="BH202" i="1"/>
  <c r="AM202" i="1"/>
  <c r="AN202" i="1"/>
  <c r="AO202" i="1"/>
  <c r="H202" i="1"/>
  <c r="U202" i="1"/>
  <c r="AL202" i="1"/>
  <c r="AP202" i="1"/>
  <c r="BI202" i="1"/>
  <c r="I202" i="1"/>
  <c r="T202" i="1" s="1"/>
  <c r="V202" i="1"/>
  <c r="BF202" i="1"/>
  <c r="AM190" i="1"/>
  <c r="AN190" i="1"/>
  <c r="AO190" i="1"/>
  <c r="AP190" i="1"/>
  <c r="H190" i="1"/>
  <c r="U190" i="1"/>
  <c r="J190" i="1"/>
  <c r="W190" i="1"/>
  <c r="BF190" i="1"/>
  <c r="BI190" i="1"/>
  <c r="I190" i="1"/>
  <c r="T190" i="1" s="1"/>
  <c r="V190" i="1"/>
  <c r="AL190" i="1"/>
  <c r="BH190" i="1"/>
  <c r="I178" i="1"/>
  <c r="T178" i="1" s="1"/>
  <c r="W178" i="1"/>
  <c r="J178" i="1"/>
  <c r="BF178" i="1"/>
  <c r="BH178" i="1"/>
  <c r="AL178" i="1"/>
  <c r="BI178" i="1"/>
  <c r="AM178" i="1"/>
  <c r="AN178" i="1"/>
  <c r="U178" i="1"/>
  <c r="AP178" i="1"/>
  <c r="H178" i="1"/>
  <c r="V178" i="1"/>
  <c r="AO178" i="1"/>
  <c r="BI166" i="1"/>
  <c r="AL166" i="1"/>
  <c r="AM166" i="1"/>
  <c r="AN166" i="1"/>
  <c r="AO166" i="1"/>
  <c r="U166" i="1"/>
  <c r="AP166" i="1"/>
  <c r="H166" i="1"/>
  <c r="V166" i="1"/>
  <c r="I166" i="1"/>
  <c r="T166" i="1" s="1"/>
  <c r="W166" i="1"/>
  <c r="J166" i="1"/>
  <c r="BF166" i="1"/>
  <c r="BH166" i="1"/>
  <c r="AO154" i="1"/>
  <c r="AP154" i="1"/>
  <c r="U154" i="1"/>
  <c r="H154" i="1"/>
  <c r="V154" i="1"/>
  <c r="BF154" i="1"/>
  <c r="AM154" i="1"/>
  <c r="AN154" i="1"/>
  <c r="W154" i="1"/>
  <c r="AL154" i="1"/>
  <c r="BH154" i="1"/>
  <c r="J154" i="1"/>
  <c r="I154" i="1"/>
  <c r="T154" i="1" s="1"/>
  <c r="BI154" i="1"/>
  <c r="H142" i="1"/>
  <c r="S142" i="1" s="1"/>
  <c r="V142" i="1"/>
  <c r="AP142" i="1"/>
  <c r="I142" i="1"/>
  <c r="T142" i="1" s="1"/>
  <c r="W142" i="1"/>
  <c r="J142" i="1"/>
  <c r="BF142" i="1"/>
  <c r="BH142" i="1"/>
  <c r="BI142" i="1"/>
  <c r="AN142" i="1"/>
  <c r="U142" i="1"/>
  <c r="AO142" i="1"/>
  <c r="AL142" i="1"/>
  <c r="AM142" i="1"/>
  <c r="AN130" i="1"/>
  <c r="AO130" i="1"/>
  <c r="H130" i="1"/>
  <c r="S130" i="1" s="1"/>
  <c r="U130" i="1"/>
  <c r="I130" i="1"/>
  <c r="T130" i="1" s="1"/>
  <c r="V130" i="1"/>
  <c r="BF130" i="1"/>
  <c r="BI130" i="1"/>
  <c r="AP130" i="1"/>
  <c r="BH130" i="1"/>
  <c r="J130" i="1"/>
  <c r="AL130" i="1"/>
  <c r="AM130" i="1"/>
  <c r="W130" i="1"/>
  <c r="BH118" i="1"/>
  <c r="AN118" i="1"/>
  <c r="AO118" i="1"/>
  <c r="AP118" i="1"/>
  <c r="I118" i="1"/>
  <c r="T118" i="1" s="1"/>
  <c r="W118" i="1"/>
  <c r="J118" i="1"/>
  <c r="BF118" i="1"/>
  <c r="AL118" i="1"/>
  <c r="H118" i="1"/>
  <c r="S118" i="1" s="1"/>
  <c r="U118" i="1"/>
  <c r="V118" i="1"/>
  <c r="AM118" i="1"/>
  <c r="BI118" i="1"/>
  <c r="H106" i="1"/>
  <c r="S106" i="1" s="1"/>
  <c r="U106" i="1"/>
  <c r="AL106" i="1"/>
  <c r="AP106" i="1"/>
  <c r="BH106" i="1"/>
  <c r="BI106" i="1"/>
  <c r="V106" i="1"/>
  <c r="W106" i="1"/>
  <c r="BF106" i="1"/>
  <c r="I106" i="1"/>
  <c r="T106" i="1" s="1"/>
  <c r="AM106" i="1"/>
  <c r="AN106" i="1"/>
  <c r="AO106" i="1"/>
  <c r="J106" i="1"/>
  <c r="BF94" i="1"/>
  <c r="AL94" i="1"/>
  <c r="BH94" i="1"/>
  <c r="AN94" i="1"/>
  <c r="H94" i="1"/>
  <c r="U94" i="1"/>
  <c r="AO94" i="1"/>
  <c r="I94" i="1"/>
  <c r="T94" i="1" s="1"/>
  <c r="V94" i="1"/>
  <c r="AP94" i="1"/>
  <c r="J94" i="1"/>
  <c r="W94" i="1"/>
  <c r="AM94" i="1"/>
  <c r="BI94" i="1"/>
  <c r="AN82" i="1"/>
  <c r="H82" i="1"/>
  <c r="U82" i="1"/>
  <c r="AO82" i="1"/>
  <c r="I82" i="1"/>
  <c r="T82" i="1" s="1"/>
  <c r="V82" i="1"/>
  <c r="AP82" i="1"/>
  <c r="AL82" i="1"/>
  <c r="BH82" i="1"/>
  <c r="BF82" i="1"/>
  <c r="J82" i="1"/>
  <c r="W82" i="1"/>
  <c r="AM82" i="1"/>
  <c r="BI82" i="1"/>
  <c r="AM70" i="1"/>
  <c r="I70" i="1"/>
  <c r="T70" i="1" s="1"/>
  <c r="V70" i="1"/>
  <c r="J70" i="1"/>
  <c r="AL70" i="1"/>
  <c r="AO70" i="1"/>
  <c r="AP70" i="1"/>
  <c r="U70" i="1"/>
  <c r="H70" i="1"/>
  <c r="S70" i="1" s="1"/>
  <c r="BH70" i="1"/>
  <c r="W70" i="1"/>
  <c r="AN70" i="1"/>
  <c r="BF70" i="1"/>
  <c r="BI70" i="1"/>
  <c r="I58" i="1"/>
  <c r="T58" i="1" s="1"/>
  <c r="U58" i="1"/>
  <c r="BF58" i="1"/>
  <c r="AL58" i="1"/>
  <c r="BI58" i="1"/>
  <c r="AO58" i="1"/>
  <c r="J58" i="1"/>
  <c r="AP58" i="1"/>
  <c r="V58" i="1"/>
  <c r="BH58" i="1"/>
  <c r="W58" i="1"/>
  <c r="AN58" i="1"/>
  <c r="H58" i="1"/>
  <c r="AM58" i="1"/>
  <c r="J46" i="1"/>
  <c r="U46" i="1"/>
  <c r="BF46" i="1"/>
  <c r="V46" i="1"/>
  <c r="BH46" i="1"/>
  <c r="AL46" i="1"/>
  <c r="AM46" i="1"/>
  <c r="I46" i="1"/>
  <c r="T46" i="1" s="1"/>
  <c r="AO46" i="1"/>
  <c r="H46" i="1"/>
  <c r="S46" i="1" s="1"/>
  <c r="W46" i="1"/>
  <c r="AP46" i="1"/>
  <c r="BI46" i="1"/>
  <c r="AN46" i="1"/>
  <c r="I34" i="1"/>
  <c r="T34" i="1" s="1"/>
  <c r="V34" i="1"/>
  <c r="AO34" i="1"/>
  <c r="J34" i="1"/>
  <c r="W34" i="1"/>
  <c r="AP34" i="1"/>
  <c r="AL34" i="1"/>
  <c r="AM34" i="1"/>
  <c r="U34" i="1"/>
  <c r="BH34" i="1"/>
  <c r="H34" i="1"/>
  <c r="S34" i="1" s="1"/>
  <c r="BI34" i="1"/>
  <c r="AN34" i="1"/>
  <c r="BF34" i="1"/>
  <c r="AP22" i="1"/>
  <c r="H22" i="1"/>
  <c r="S22" i="1" s="1"/>
  <c r="J22" i="1"/>
  <c r="V22" i="1"/>
  <c r="W22" i="1"/>
  <c r="AM22" i="1"/>
  <c r="BI22" i="1"/>
  <c r="BH22" i="1"/>
  <c r="AL22" i="1"/>
  <c r="I22" i="1"/>
  <c r="T22" i="1" s="1"/>
  <c r="AO22" i="1"/>
  <c r="BF22" i="1"/>
  <c r="AN22" i="1"/>
  <c r="U22" i="1"/>
  <c r="AM10" i="1"/>
  <c r="BI10" i="1"/>
  <c r="AN10" i="1"/>
  <c r="AO10" i="1"/>
  <c r="AP10" i="1"/>
  <c r="H10" i="1"/>
  <c r="S10" i="1" s="1"/>
  <c r="U10" i="1"/>
  <c r="I10" i="1"/>
  <c r="T10" i="1" s="1"/>
  <c r="V10" i="1"/>
  <c r="J10" i="1"/>
  <c r="W10" i="1"/>
  <c r="BF10" i="1"/>
  <c r="AL10" i="1"/>
  <c r="BH10" i="1"/>
  <c r="BH622" i="1"/>
  <c r="BH621" i="1"/>
  <c r="AM621" i="1"/>
  <c r="AN620" i="1"/>
  <c r="BI619" i="1"/>
  <c r="H617" i="1"/>
  <c r="BF612" i="1"/>
  <c r="V605" i="1"/>
  <c r="I602" i="1"/>
  <c r="T602" i="1" s="1"/>
  <c r="AL574" i="1"/>
  <c r="AN570" i="1"/>
  <c r="BH535" i="1"/>
  <c r="BI535" i="1"/>
  <c r="AL535" i="1"/>
  <c r="AM535" i="1"/>
  <c r="AN535" i="1"/>
  <c r="AO535" i="1"/>
  <c r="AP535" i="1"/>
  <c r="H535" i="1"/>
  <c r="S535" i="1" s="1"/>
  <c r="U535" i="1"/>
  <c r="I535" i="1"/>
  <c r="T535" i="1" s="1"/>
  <c r="V535" i="1"/>
  <c r="J535" i="1"/>
  <c r="W535" i="1"/>
  <c r="BF535" i="1"/>
  <c r="AO475" i="1"/>
  <c r="AP475" i="1"/>
  <c r="H475" i="1"/>
  <c r="S475" i="1" s="1"/>
  <c r="U475" i="1"/>
  <c r="I475" i="1"/>
  <c r="T475" i="1" s="1"/>
  <c r="V475" i="1"/>
  <c r="J475" i="1"/>
  <c r="W475" i="1"/>
  <c r="BF475" i="1"/>
  <c r="BH475" i="1"/>
  <c r="BI475" i="1"/>
  <c r="AL475" i="1"/>
  <c r="AM475" i="1"/>
  <c r="AN475" i="1"/>
  <c r="BH391" i="1"/>
  <c r="AL391" i="1"/>
  <c r="BI391" i="1"/>
  <c r="AM391" i="1"/>
  <c r="AN391" i="1"/>
  <c r="AO391" i="1"/>
  <c r="AP391" i="1"/>
  <c r="H391" i="1"/>
  <c r="S391" i="1" s="1"/>
  <c r="U391" i="1"/>
  <c r="I391" i="1"/>
  <c r="T391" i="1" s="1"/>
  <c r="V391" i="1"/>
  <c r="J391" i="1"/>
  <c r="W391" i="1"/>
  <c r="BF391" i="1"/>
  <c r="BF319" i="1"/>
  <c r="AL319" i="1"/>
  <c r="BI319" i="1"/>
  <c r="AM319" i="1"/>
  <c r="J319" i="1"/>
  <c r="BH319" i="1"/>
  <c r="U319" i="1"/>
  <c r="V319" i="1"/>
  <c r="W319" i="1"/>
  <c r="AN319" i="1"/>
  <c r="H319" i="1"/>
  <c r="AO319" i="1"/>
  <c r="I319" i="1"/>
  <c r="T319" i="1" s="1"/>
  <c r="AP319" i="1"/>
  <c r="AN247" i="1"/>
  <c r="AO247" i="1"/>
  <c r="AP247" i="1"/>
  <c r="H247" i="1"/>
  <c r="U247" i="1"/>
  <c r="I247" i="1"/>
  <c r="T247" i="1" s="1"/>
  <c r="V247" i="1"/>
  <c r="J247" i="1"/>
  <c r="W247" i="1"/>
  <c r="BF247" i="1"/>
  <c r="BH247" i="1"/>
  <c r="AL247" i="1"/>
  <c r="AM247" i="1"/>
  <c r="BI247" i="1"/>
  <c r="BF175" i="1"/>
  <c r="BH175" i="1"/>
  <c r="BI175" i="1"/>
  <c r="AL175" i="1"/>
  <c r="AM175" i="1"/>
  <c r="AN175" i="1"/>
  <c r="AO175" i="1"/>
  <c r="U175" i="1"/>
  <c r="AP175" i="1"/>
  <c r="I175" i="1"/>
  <c r="T175" i="1" s="1"/>
  <c r="W175" i="1"/>
  <c r="H175" i="1"/>
  <c r="J175" i="1"/>
  <c r="V175" i="1"/>
  <c r="AN127" i="1"/>
  <c r="AO127" i="1"/>
  <c r="U127" i="1"/>
  <c r="H127" i="1"/>
  <c r="S127" i="1" s="1"/>
  <c r="V127" i="1"/>
  <c r="I127" i="1"/>
  <c r="T127" i="1" s="1"/>
  <c r="W127" i="1"/>
  <c r="BH127" i="1"/>
  <c r="AL127" i="1"/>
  <c r="AM127" i="1"/>
  <c r="AP127" i="1"/>
  <c r="BF127" i="1"/>
  <c r="J127" i="1"/>
  <c r="BI127" i="1"/>
  <c r="AN79" i="1"/>
  <c r="AO79" i="1"/>
  <c r="AP79" i="1"/>
  <c r="I79" i="1"/>
  <c r="T79" i="1" s="1"/>
  <c r="V79" i="1"/>
  <c r="J79" i="1"/>
  <c r="W79" i="1"/>
  <c r="AL79" i="1"/>
  <c r="BH79" i="1"/>
  <c r="BF79" i="1"/>
  <c r="H79" i="1"/>
  <c r="U79" i="1"/>
  <c r="BI79" i="1"/>
  <c r="AM79" i="1"/>
  <c r="AN31" i="1"/>
  <c r="AO31" i="1"/>
  <c r="H31" i="1"/>
  <c r="S31" i="1" s="1"/>
  <c r="U31" i="1"/>
  <c r="V31" i="1"/>
  <c r="BF31" i="1"/>
  <c r="BH31" i="1"/>
  <c r="BI31" i="1"/>
  <c r="J31" i="1"/>
  <c r="AM31" i="1"/>
  <c r="AP31" i="1"/>
  <c r="I31" i="1"/>
  <c r="T31" i="1" s="1"/>
  <c r="W31" i="1"/>
  <c r="AL31" i="1"/>
  <c r="AN609" i="1"/>
  <c r="H609" i="1"/>
  <c r="S609" i="1" s="1"/>
  <c r="U609" i="1"/>
  <c r="AO609" i="1"/>
  <c r="I609" i="1"/>
  <c r="T609" i="1" s="1"/>
  <c r="V609" i="1"/>
  <c r="AP609" i="1"/>
  <c r="J609" i="1"/>
  <c r="W609" i="1"/>
  <c r="BF609" i="1"/>
  <c r="AL609" i="1"/>
  <c r="BH609" i="1"/>
  <c r="I597" i="1"/>
  <c r="T597" i="1" s="1"/>
  <c r="V597" i="1"/>
  <c r="AO597" i="1"/>
  <c r="J597" i="1"/>
  <c r="W597" i="1"/>
  <c r="AP597" i="1"/>
  <c r="BF597" i="1"/>
  <c r="BH597" i="1"/>
  <c r="AL597" i="1"/>
  <c r="BI597" i="1"/>
  <c r="AM597" i="1"/>
  <c r="BH585" i="1"/>
  <c r="BI585" i="1"/>
  <c r="AL585" i="1"/>
  <c r="AM585" i="1"/>
  <c r="AN585" i="1"/>
  <c r="AO585" i="1"/>
  <c r="AP585" i="1"/>
  <c r="H585" i="1"/>
  <c r="U585" i="1"/>
  <c r="I585" i="1"/>
  <c r="T585" i="1" s="1"/>
  <c r="V585" i="1"/>
  <c r="J585" i="1"/>
  <c r="W585" i="1"/>
  <c r="BF585" i="1"/>
  <c r="AL573" i="1"/>
  <c r="BH573" i="1"/>
  <c r="AM573" i="1"/>
  <c r="BI573" i="1"/>
  <c r="AN573" i="1"/>
  <c r="AO573" i="1"/>
  <c r="H573" i="1"/>
  <c r="S573" i="1" s="1"/>
  <c r="U573" i="1"/>
  <c r="AP573" i="1"/>
  <c r="I573" i="1"/>
  <c r="T573" i="1" s="1"/>
  <c r="V573" i="1"/>
  <c r="J573" i="1"/>
  <c r="W573" i="1"/>
  <c r="BF573" i="1"/>
  <c r="BF561" i="1"/>
  <c r="AL561" i="1"/>
  <c r="H561" i="1"/>
  <c r="S561" i="1" s="1"/>
  <c r="U561" i="1"/>
  <c r="AM561" i="1"/>
  <c r="BH561" i="1"/>
  <c r="I561" i="1"/>
  <c r="T561" i="1" s="1"/>
  <c r="V561" i="1"/>
  <c r="AN561" i="1"/>
  <c r="BI561" i="1"/>
  <c r="J561" i="1"/>
  <c r="W561" i="1"/>
  <c r="AO561" i="1"/>
  <c r="AP561" i="1"/>
  <c r="BI549" i="1"/>
  <c r="AL549" i="1"/>
  <c r="H549" i="1"/>
  <c r="U549" i="1"/>
  <c r="AM549" i="1"/>
  <c r="I549" i="1"/>
  <c r="T549" i="1" s="1"/>
  <c r="V549" i="1"/>
  <c r="AN549" i="1"/>
  <c r="J549" i="1"/>
  <c r="W549" i="1"/>
  <c r="AO549" i="1"/>
  <c r="BF549" i="1"/>
  <c r="AP549" i="1"/>
  <c r="BH549" i="1"/>
  <c r="J537" i="1"/>
  <c r="AL537" i="1"/>
  <c r="AM537" i="1"/>
  <c r="AN537" i="1"/>
  <c r="AO537" i="1"/>
  <c r="AP537" i="1"/>
  <c r="BF537" i="1"/>
  <c r="U537" i="1"/>
  <c r="H537" i="1"/>
  <c r="V537" i="1"/>
  <c r="BH537" i="1"/>
  <c r="I537" i="1"/>
  <c r="T537" i="1" s="1"/>
  <c r="W537" i="1"/>
  <c r="BI537" i="1"/>
  <c r="H525" i="1"/>
  <c r="S525" i="1" s="1"/>
  <c r="U525" i="1"/>
  <c r="I525" i="1"/>
  <c r="T525" i="1" s="1"/>
  <c r="V525" i="1"/>
  <c r="J525" i="1"/>
  <c r="W525" i="1"/>
  <c r="BF525" i="1"/>
  <c r="BH525" i="1"/>
  <c r="AL525" i="1"/>
  <c r="BI525" i="1"/>
  <c r="AM525" i="1"/>
  <c r="AN525" i="1"/>
  <c r="AO525" i="1"/>
  <c r="AP525" i="1"/>
  <c r="AL513" i="1"/>
  <c r="BI513" i="1"/>
  <c r="AM513" i="1"/>
  <c r="AN513" i="1"/>
  <c r="AO513" i="1"/>
  <c r="U513" i="1"/>
  <c r="AP513" i="1"/>
  <c r="H513" i="1"/>
  <c r="S513" i="1" s="1"/>
  <c r="V513" i="1"/>
  <c r="I513" i="1"/>
  <c r="T513" i="1" s="1"/>
  <c r="W513" i="1"/>
  <c r="J513" i="1"/>
  <c r="BF513" i="1"/>
  <c r="BH513" i="1"/>
  <c r="AL501" i="1"/>
  <c r="BI501" i="1"/>
  <c r="AM501" i="1"/>
  <c r="AN501" i="1"/>
  <c r="AO501" i="1"/>
  <c r="U501" i="1"/>
  <c r="AP501" i="1"/>
  <c r="H501" i="1"/>
  <c r="V501" i="1"/>
  <c r="I501" i="1"/>
  <c r="T501" i="1" s="1"/>
  <c r="W501" i="1"/>
  <c r="J501" i="1"/>
  <c r="BF501" i="1"/>
  <c r="BH501" i="1"/>
  <c r="H489" i="1"/>
  <c r="V489" i="1"/>
  <c r="AP489" i="1"/>
  <c r="I489" i="1"/>
  <c r="T489" i="1" s="1"/>
  <c r="W489" i="1"/>
  <c r="J489" i="1"/>
  <c r="BF489" i="1"/>
  <c r="AL489" i="1"/>
  <c r="BH489" i="1"/>
  <c r="AM489" i="1"/>
  <c r="BI489" i="1"/>
  <c r="AN489" i="1"/>
  <c r="U489" i="1"/>
  <c r="AO489" i="1"/>
  <c r="AO477" i="1"/>
  <c r="AP477" i="1"/>
  <c r="H477" i="1"/>
  <c r="S477" i="1" s="1"/>
  <c r="U477" i="1"/>
  <c r="I477" i="1"/>
  <c r="T477" i="1" s="1"/>
  <c r="V477" i="1"/>
  <c r="J477" i="1"/>
  <c r="W477" i="1"/>
  <c r="BF477" i="1"/>
  <c r="BH477" i="1"/>
  <c r="AL477" i="1"/>
  <c r="BI477" i="1"/>
  <c r="AM477" i="1"/>
  <c r="AN477" i="1"/>
  <c r="AL465" i="1"/>
  <c r="AM465" i="1"/>
  <c r="AN465" i="1"/>
  <c r="AO465" i="1"/>
  <c r="AP465" i="1"/>
  <c r="U465" i="1"/>
  <c r="H465" i="1"/>
  <c r="V465" i="1"/>
  <c r="BH465" i="1"/>
  <c r="I465" i="1"/>
  <c r="T465" i="1" s="1"/>
  <c r="J465" i="1"/>
  <c r="W465" i="1"/>
  <c r="BF465" i="1"/>
  <c r="BI465" i="1"/>
  <c r="AP453" i="1"/>
  <c r="H453" i="1"/>
  <c r="S453" i="1" s="1"/>
  <c r="U453" i="1"/>
  <c r="I453" i="1"/>
  <c r="T453" i="1" s="1"/>
  <c r="V453" i="1"/>
  <c r="J453" i="1"/>
  <c r="W453" i="1"/>
  <c r="BF453" i="1"/>
  <c r="BH453" i="1"/>
  <c r="BI453" i="1"/>
  <c r="AL453" i="1"/>
  <c r="AM453" i="1"/>
  <c r="AN453" i="1"/>
  <c r="AO453" i="1"/>
  <c r="BF441" i="1"/>
  <c r="AL441" i="1"/>
  <c r="BH441" i="1"/>
  <c r="H441" i="1"/>
  <c r="U441" i="1"/>
  <c r="AM441" i="1"/>
  <c r="BI441" i="1"/>
  <c r="I441" i="1"/>
  <c r="T441" i="1" s="1"/>
  <c r="V441" i="1"/>
  <c r="AN441" i="1"/>
  <c r="J441" i="1"/>
  <c r="W441" i="1"/>
  <c r="AO441" i="1"/>
  <c r="AP441" i="1"/>
  <c r="H429" i="1"/>
  <c r="S429" i="1" s="1"/>
  <c r="V429" i="1"/>
  <c r="I429" i="1"/>
  <c r="T429" i="1" s="1"/>
  <c r="W429" i="1"/>
  <c r="J429" i="1"/>
  <c r="BF429" i="1"/>
  <c r="BH429" i="1"/>
  <c r="AL429" i="1"/>
  <c r="BI429" i="1"/>
  <c r="AM429" i="1"/>
  <c r="AN429" i="1"/>
  <c r="AO429" i="1"/>
  <c r="AP429" i="1"/>
  <c r="U429" i="1"/>
  <c r="J417" i="1"/>
  <c r="AO417" i="1"/>
  <c r="H417" i="1"/>
  <c r="S417" i="1" s="1"/>
  <c r="AP417" i="1"/>
  <c r="I417" i="1"/>
  <c r="T417" i="1" s="1"/>
  <c r="U417" i="1"/>
  <c r="V417" i="1"/>
  <c r="BF417" i="1"/>
  <c r="W417" i="1"/>
  <c r="AL417" i="1"/>
  <c r="BH417" i="1"/>
  <c r="AM417" i="1"/>
  <c r="BI417" i="1"/>
  <c r="AN417" i="1"/>
  <c r="H405" i="1"/>
  <c r="U405" i="1"/>
  <c r="I405" i="1"/>
  <c r="T405" i="1" s="1"/>
  <c r="V405" i="1"/>
  <c r="AL405" i="1"/>
  <c r="J405" i="1"/>
  <c r="W405" i="1"/>
  <c r="AM405" i="1"/>
  <c r="AN405" i="1"/>
  <c r="AO405" i="1"/>
  <c r="BF405" i="1"/>
  <c r="AP405" i="1"/>
  <c r="BH405" i="1"/>
  <c r="BI405" i="1"/>
  <c r="AL393" i="1"/>
  <c r="BH393" i="1"/>
  <c r="AM393" i="1"/>
  <c r="BI393" i="1"/>
  <c r="AN393" i="1"/>
  <c r="AO393" i="1"/>
  <c r="U393" i="1"/>
  <c r="AP393" i="1"/>
  <c r="H393" i="1"/>
  <c r="V393" i="1"/>
  <c r="I393" i="1"/>
  <c r="T393" i="1" s="1"/>
  <c r="W393" i="1"/>
  <c r="J393" i="1"/>
  <c r="BF393" i="1"/>
  <c r="AL381" i="1"/>
  <c r="BH381" i="1"/>
  <c r="AM381" i="1"/>
  <c r="BI381" i="1"/>
  <c r="AN381" i="1"/>
  <c r="AO381" i="1"/>
  <c r="AP381" i="1"/>
  <c r="U381" i="1"/>
  <c r="H381" i="1"/>
  <c r="V381" i="1"/>
  <c r="I381" i="1"/>
  <c r="T381" i="1" s="1"/>
  <c r="W381" i="1"/>
  <c r="J381" i="1"/>
  <c r="BF381" i="1"/>
  <c r="J369" i="1"/>
  <c r="AO369" i="1"/>
  <c r="AP369" i="1"/>
  <c r="U369" i="1"/>
  <c r="V369" i="1"/>
  <c r="BF369" i="1"/>
  <c r="W369" i="1"/>
  <c r="BH369" i="1"/>
  <c r="BI369" i="1"/>
  <c r="AL369" i="1"/>
  <c r="H369" i="1"/>
  <c r="S369" i="1" s="1"/>
  <c r="AM369" i="1"/>
  <c r="I369" i="1"/>
  <c r="T369" i="1" s="1"/>
  <c r="AN369" i="1"/>
  <c r="BI357" i="1"/>
  <c r="AL357" i="1"/>
  <c r="AM357" i="1"/>
  <c r="AN357" i="1"/>
  <c r="AO357" i="1"/>
  <c r="AP357" i="1"/>
  <c r="U357" i="1"/>
  <c r="H357" i="1"/>
  <c r="S357" i="1" s="1"/>
  <c r="V357" i="1"/>
  <c r="BF357" i="1"/>
  <c r="I357" i="1"/>
  <c r="T357" i="1" s="1"/>
  <c r="W357" i="1"/>
  <c r="J357" i="1"/>
  <c r="BH357" i="1"/>
  <c r="AO345" i="1"/>
  <c r="AP345" i="1"/>
  <c r="H345" i="1"/>
  <c r="U345" i="1"/>
  <c r="I345" i="1"/>
  <c r="T345" i="1" s="1"/>
  <c r="V345" i="1"/>
  <c r="J345" i="1"/>
  <c r="W345" i="1"/>
  <c r="BF345" i="1"/>
  <c r="BH345" i="1"/>
  <c r="BI345" i="1"/>
  <c r="AL345" i="1"/>
  <c r="AM345" i="1"/>
  <c r="AN345" i="1"/>
  <c r="U333" i="1"/>
  <c r="H333" i="1"/>
  <c r="S333" i="1" s="1"/>
  <c r="V333" i="1"/>
  <c r="BF333" i="1"/>
  <c r="I333" i="1"/>
  <c r="T333" i="1" s="1"/>
  <c r="W333" i="1"/>
  <c r="J333" i="1"/>
  <c r="BH333" i="1"/>
  <c r="BI333" i="1"/>
  <c r="AL333" i="1"/>
  <c r="AM333" i="1"/>
  <c r="AN333" i="1"/>
  <c r="AO333" i="1"/>
  <c r="AP333" i="1"/>
  <c r="I321" i="1"/>
  <c r="T321" i="1" s="1"/>
  <c r="W321" i="1"/>
  <c r="J321" i="1"/>
  <c r="BF321" i="1"/>
  <c r="BH321" i="1"/>
  <c r="BI321" i="1"/>
  <c r="AL321" i="1"/>
  <c r="AM321" i="1"/>
  <c r="AN321" i="1"/>
  <c r="AO321" i="1"/>
  <c r="U321" i="1"/>
  <c r="AP321" i="1"/>
  <c r="H321" i="1"/>
  <c r="S321" i="1" s="1"/>
  <c r="V321" i="1"/>
  <c r="I309" i="1"/>
  <c r="T309" i="1" s="1"/>
  <c r="V309" i="1"/>
  <c r="J309" i="1"/>
  <c r="W309" i="1"/>
  <c r="BF309" i="1"/>
  <c r="BH309" i="1"/>
  <c r="AL309" i="1"/>
  <c r="BI309" i="1"/>
  <c r="AM309" i="1"/>
  <c r="AN309" i="1"/>
  <c r="AO309" i="1"/>
  <c r="AP309" i="1"/>
  <c r="H309" i="1"/>
  <c r="S309" i="1" s="1"/>
  <c r="U309" i="1"/>
  <c r="BF297" i="1"/>
  <c r="AL297" i="1"/>
  <c r="BH297" i="1"/>
  <c r="AM297" i="1"/>
  <c r="BI297" i="1"/>
  <c r="AN297" i="1"/>
  <c r="H297" i="1"/>
  <c r="U297" i="1"/>
  <c r="AO297" i="1"/>
  <c r="I297" i="1"/>
  <c r="T297" i="1" s="1"/>
  <c r="V297" i="1"/>
  <c r="AP297" i="1"/>
  <c r="J297" i="1"/>
  <c r="W297" i="1"/>
  <c r="H285" i="1"/>
  <c r="U285" i="1"/>
  <c r="AO285" i="1"/>
  <c r="I285" i="1"/>
  <c r="T285" i="1" s="1"/>
  <c r="V285" i="1"/>
  <c r="AP285" i="1"/>
  <c r="J285" i="1"/>
  <c r="W285" i="1"/>
  <c r="BF285" i="1"/>
  <c r="BH285" i="1"/>
  <c r="AL285" i="1"/>
  <c r="BI285" i="1"/>
  <c r="AM285" i="1"/>
  <c r="AN285" i="1"/>
  <c r="AL273" i="1"/>
  <c r="AN273" i="1"/>
  <c r="AO273" i="1"/>
  <c r="BF273" i="1"/>
  <c r="H273" i="1"/>
  <c r="U273" i="1"/>
  <c r="AP273" i="1"/>
  <c r="I273" i="1"/>
  <c r="T273" i="1" s="1"/>
  <c r="J273" i="1"/>
  <c r="BH273" i="1"/>
  <c r="BI273" i="1"/>
  <c r="V273" i="1"/>
  <c r="W273" i="1"/>
  <c r="AM273" i="1"/>
  <c r="BH261" i="1"/>
  <c r="BI261" i="1"/>
  <c r="AL261" i="1"/>
  <c r="AM261" i="1"/>
  <c r="AN261" i="1"/>
  <c r="AO261" i="1"/>
  <c r="U261" i="1"/>
  <c r="I261" i="1"/>
  <c r="T261" i="1" s="1"/>
  <c r="W261" i="1"/>
  <c r="BF261" i="1"/>
  <c r="H261" i="1"/>
  <c r="J261" i="1"/>
  <c r="V261" i="1"/>
  <c r="AP261" i="1"/>
  <c r="AO249" i="1"/>
  <c r="U249" i="1"/>
  <c r="AP249" i="1"/>
  <c r="H249" i="1"/>
  <c r="S249" i="1" s="1"/>
  <c r="V249" i="1"/>
  <c r="I249" i="1"/>
  <c r="T249" i="1" s="1"/>
  <c r="W249" i="1"/>
  <c r="J249" i="1"/>
  <c r="BF249" i="1"/>
  <c r="BH249" i="1"/>
  <c r="BI249" i="1"/>
  <c r="AM249" i="1"/>
  <c r="AL249" i="1"/>
  <c r="AN249" i="1"/>
  <c r="J237" i="1"/>
  <c r="BF237" i="1"/>
  <c r="BH237" i="1"/>
  <c r="AL237" i="1"/>
  <c r="BI237" i="1"/>
  <c r="AM237" i="1"/>
  <c r="H237" i="1"/>
  <c r="S237" i="1" s="1"/>
  <c r="V237" i="1"/>
  <c r="AO237" i="1"/>
  <c r="I237" i="1"/>
  <c r="T237" i="1" s="1"/>
  <c r="U237" i="1"/>
  <c r="W237" i="1"/>
  <c r="AN237" i="1"/>
  <c r="AP237" i="1"/>
  <c r="H225" i="1"/>
  <c r="S225" i="1" s="1"/>
  <c r="V225" i="1"/>
  <c r="I225" i="1"/>
  <c r="T225" i="1" s="1"/>
  <c r="W225" i="1"/>
  <c r="BF225" i="1"/>
  <c r="AP225" i="1"/>
  <c r="BI225" i="1"/>
  <c r="U225" i="1"/>
  <c r="AL225" i="1"/>
  <c r="AM225" i="1"/>
  <c r="AN225" i="1"/>
  <c r="J225" i="1"/>
  <c r="AO225" i="1"/>
  <c r="BH225" i="1"/>
  <c r="U213" i="1"/>
  <c r="H213" i="1"/>
  <c r="S213" i="1" s="1"/>
  <c r="V213" i="1"/>
  <c r="I213" i="1"/>
  <c r="T213" i="1" s="1"/>
  <c r="W213" i="1"/>
  <c r="BF213" i="1"/>
  <c r="J213" i="1"/>
  <c r="BH213" i="1"/>
  <c r="AL213" i="1"/>
  <c r="AM213" i="1"/>
  <c r="AN213" i="1"/>
  <c r="AO213" i="1"/>
  <c r="AP213" i="1"/>
  <c r="BI213" i="1"/>
  <c r="BF201" i="1"/>
  <c r="AM201" i="1"/>
  <c r="BH201" i="1"/>
  <c r="AN201" i="1"/>
  <c r="BI201" i="1"/>
  <c r="U201" i="1"/>
  <c r="AO201" i="1"/>
  <c r="V201" i="1"/>
  <c r="W201" i="1"/>
  <c r="AL201" i="1"/>
  <c r="H201" i="1"/>
  <c r="S201" i="1" s="1"/>
  <c r="AP201" i="1"/>
  <c r="I201" i="1"/>
  <c r="T201" i="1" s="1"/>
  <c r="J201" i="1"/>
  <c r="AL189" i="1"/>
  <c r="BI189" i="1"/>
  <c r="AM189" i="1"/>
  <c r="AN189" i="1"/>
  <c r="AO189" i="1"/>
  <c r="AP189" i="1"/>
  <c r="H189" i="1"/>
  <c r="S189" i="1" s="1"/>
  <c r="U189" i="1"/>
  <c r="J189" i="1"/>
  <c r="W189" i="1"/>
  <c r="BF189" i="1"/>
  <c r="BH189" i="1"/>
  <c r="I189" i="1"/>
  <c r="T189" i="1" s="1"/>
  <c r="V189" i="1"/>
  <c r="BF177" i="1"/>
  <c r="AL177" i="1"/>
  <c r="BH177" i="1"/>
  <c r="AM177" i="1"/>
  <c r="BI177" i="1"/>
  <c r="AN177" i="1"/>
  <c r="AO177" i="1"/>
  <c r="I177" i="1"/>
  <c r="T177" i="1" s="1"/>
  <c r="V177" i="1"/>
  <c r="H177" i="1"/>
  <c r="S177" i="1" s="1"/>
  <c r="J177" i="1"/>
  <c r="U177" i="1"/>
  <c r="W177" i="1"/>
  <c r="AP177" i="1"/>
  <c r="BH165" i="1"/>
  <c r="BI165" i="1"/>
  <c r="AL165" i="1"/>
  <c r="AM165" i="1"/>
  <c r="AN165" i="1"/>
  <c r="AO165" i="1"/>
  <c r="AP165" i="1"/>
  <c r="H165" i="1"/>
  <c r="U165" i="1"/>
  <c r="I165" i="1"/>
  <c r="T165" i="1" s="1"/>
  <c r="V165" i="1"/>
  <c r="BF165" i="1"/>
  <c r="J165" i="1"/>
  <c r="W165" i="1"/>
  <c r="AO153" i="1"/>
  <c r="AP153" i="1"/>
  <c r="U153" i="1"/>
  <c r="H153" i="1"/>
  <c r="S153" i="1" s="1"/>
  <c r="V153" i="1"/>
  <c r="AM153" i="1"/>
  <c r="BI153" i="1"/>
  <c r="AN153" i="1"/>
  <c r="AL153" i="1"/>
  <c r="I153" i="1"/>
  <c r="T153" i="1" s="1"/>
  <c r="BF153" i="1"/>
  <c r="J153" i="1"/>
  <c r="BH153" i="1"/>
  <c r="W153" i="1"/>
  <c r="AO141" i="1"/>
  <c r="U141" i="1"/>
  <c r="AP141" i="1"/>
  <c r="H141" i="1"/>
  <c r="S141" i="1" s="1"/>
  <c r="V141" i="1"/>
  <c r="I141" i="1"/>
  <c r="T141" i="1" s="1"/>
  <c r="W141" i="1"/>
  <c r="J141" i="1"/>
  <c r="BH141" i="1"/>
  <c r="AM141" i="1"/>
  <c r="AN141" i="1"/>
  <c r="AL141" i="1"/>
  <c r="BF141" i="1"/>
  <c r="BI141" i="1"/>
  <c r="AP129" i="1"/>
  <c r="H129" i="1"/>
  <c r="S129" i="1" s="1"/>
  <c r="V129" i="1"/>
  <c r="I129" i="1"/>
  <c r="T129" i="1" s="1"/>
  <c r="W129" i="1"/>
  <c r="J129" i="1"/>
  <c r="BF129" i="1"/>
  <c r="AM129" i="1"/>
  <c r="BI129" i="1"/>
  <c r="U129" i="1"/>
  <c r="AL129" i="1"/>
  <c r="AN129" i="1"/>
  <c r="BH129" i="1"/>
  <c r="AO129" i="1"/>
  <c r="J117" i="1"/>
  <c r="AL117" i="1"/>
  <c r="BH117" i="1"/>
  <c r="AM117" i="1"/>
  <c r="BI117" i="1"/>
  <c r="AN117" i="1"/>
  <c r="U117" i="1"/>
  <c r="H117" i="1"/>
  <c r="V117" i="1"/>
  <c r="I117" i="1"/>
  <c r="T117" i="1" s="1"/>
  <c r="BF117" i="1"/>
  <c r="W117" i="1"/>
  <c r="AO117" i="1"/>
  <c r="AP117" i="1"/>
  <c r="AM105" i="1"/>
  <c r="AP105" i="1"/>
  <c r="H105" i="1"/>
  <c r="S105" i="1" s="1"/>
  <c r="U105" i="1"/>
  <c r="I105" i="1"/>
  <c r="T105" i="1" s="1"/>
  <c r="V105" i="1"/>
  <c r="BH105" i="1"/>
  <c r="AL105" i="1"/>
  <c r="AN105" i="1"/>
  <c r="J105" i="1"/>
  <c r="BF105" i="1"/>
  <c r="BI105" i="1"/>
  <c r="W105" i="1"/>
  <c r="AO105" i="1"/>
  <c r="AM93" i="1"/>
  <c r="AN93" i="1"/>
  <c r="AO93" i="1"/>
  <c r="H93" i="1"/>
  <c r="S93" i="1" s="1"/>
  <c r="U93" i="1"/>
  <c r="I93" i="1"/>
  <c r="T93" i="1" s="1"/>
  <c r="V93" i="1"/>
  <c r="J93" i="1"/>
  <c r="W93" i="1"/>
  <c r="BF93" i="1"/>
  <c r="BH93" i="1"/>
  <c r="AL93" i="1"/>
  <c r="AP93" i="1"/>
  <c r="BI93" i="1"/>
  <c r="AN81" i="1"/>
  <c r="AO81" i="1"/>
  <c r="AP81" i="1"/>
  <c r="I81" i="1"/>
  <c r="V81" i="1"/>
  <c r="J81" i="1"/>
  <c r="W81" i="1"/>
  <c r="BF81" i="1"/>
  <c r="BH81" i="1"/>
  <c r="AL81" i="1"/>
  <c r="BI81" i="1"/>
  <c r="H81" i="1"/>
  <c r="U81" i="1"/>
  <c r="AM81" i="1"/>
  <c r="AM69" i="1"/>
  <c r="BI69" i="1"/>
  <c r="AN69" i="1"/>
  <c r="AO69" i="1"/>
  <c r="AP69" i="1"/>
  <c r="U69" i="1"/>
  <c r="V69" i="1"/>
  <c r="BF69" i="1"/>
  <c r="W69" i="1"/>
  <c r="BH69" i="1"/>
  <c r="I69" i="1"/>
  <c r="T69" i="1" s="1"/>
  <c r="H69" i="1"/>
  <c r="S69" i="1" s="1"/>
  <c r="AL69" i="1"/>
  <c r="J69" i="1"/>
  <c r="BF57" i="1"/>
  <c r="J57" i="1"/>
  <c r="V57" i="1"/>
  <c r="AO57" i="1"/>
  <c r="W57" i="1"/>
  <c r="I57" i="1"/>
  <c r="T57" i="1" s="1"/>
  <c r="BI57" i="1"/>
  <c r="AL57" i="1"/>
  <c r="AM57" i="1"/>
  <c r="BH57" i="1"/>
  <c r="U57" i="1"/>
  <c r="AP57" i="1"/>
  <c r="H57" i="1"/>
  <c r="AN57" i="1"/>
  <c r="J45" i="1"/>
  <c r="BF45" i="1"/>
  <c r="BH45" i="1"/>
  <c r="H45" i="1"/>
  <c r="S45" i="1" s="1"/>
  <c r="AM45" i="1"/>
  <c r="AN45" i="1"/>
  <c r="U45" i="1"/>
  <c r="W45" i="1"/>
  <c r="I45" i="1"/>
  <c r="T45" i="1" s="1"/>
  <c r="V45" i="1"/>
  <c r="AL45" i="1"/>
  <c r="BI45" i="1"/>
  <c r="AO45" i="1"/>
  <c r="AP45" i="1"/>
  <c r="BF33" i="1"/>
  <c r="BH33" i="1"/>
  <c r="H33" i="1"/>
  <c r="S33" i="1" s="1"/>
  <c r="I33" i="1"/>
  <c r="T33" i="1" s="1"/>
  <c r="BI33" i="1"/>
  <c r="AL33" i="1"/>
  <c r="AP33" i="1"/>
  <c r="U33" i="1"/>
  <c r="W33" i="1"/>
  <c r="AM33" i="1"/>
  <c r="AN33" i="1"/>
  <c r="AO33" i="1"/>
  <c r="V33" i="1"/>
  <c r="J33" i="1"/>
  <c r="H21" i="1"/>
  <c r="I21" i="1"/>
  <c r="T21" i="1" s="1"/>
  <c r="V21" i="1"/>
  <c r="J21" i="1"/>
  <c r="W21" i="1"/>
  <c r="BF21" i="1"/>
  <c r="AL21" i="1"/>
  <c r="AM21" i="1"/>
  <c r="BI21" i="1"/>
  <c r="AO21" i="1"/>
  <c r="U21" i="1"/>
  <c r="AP21" i="1"/>
  <c r="BH21" i="1"/>
  <c r="AN21" i="1"/>
  <c r="H9" i="1"/>
  <c r="U9" i="1"/>
  <c r="AO9" i="1"/>
  <c r="I9" i="1"/>
  <c r="T9" i="1" s="1"/>
  <c r="V9" i="1"/>
  <c r="AP9" i="1"/>
  <c r="J9" i="1"/>
  <c r="W9" i="1"/>
  <c r="BF9" i="1"/>
  <c r="BH9" i="1"/>
  <c r="AL9" i="1"/>
  <c r="BI9" i="1"/>
  <c r="AM9" i="1"/>
  <c r="AN9" i="1"/>
  <c r="AL621" i="1"/>
  <c r="AM620" i="1"/>
  <c r="BH619" i="1"/>
  <c r="BI618" i="1"/>
  <c r="AP618" i="1"/>
  <c r="I605" i="1"/>
  <c r="T605" i="1" s="1"/>
  <c r="BF581" i="1"/>
  <c r="U570" i="1"/>
  <c r="BF619" i="1"/>
  <c r="I608" i="1"/>
  <c r="T608" i="1" s="1"/>
  <c r="V608" i="1"/>
  <c r="J608" i="1"/>
  <c r="W608" i="1"/>
  <c r="BF608" i="1"/>
  <c r="BH608" i="1"/>
  <c r="AL608" i="1"/>
  <c r="BI608" i="1"/>
  <c r="AM608" i="1"/>
  <c r="AN608" i="1"/>
  <c r="AO608" i="1"/>
  <c r="BF596" i="1"/>
  <c r="AL596" i="1"/>
  <c r="AM596" i="1"/>
  <c r="BH596" i="1"/>
  <c r="H596" i="1"/>
  <c r="U596" i="1"/>
  <c r="AN596" i="1"/>
  <c r="BI596" i="1"/>
  <c r="I596" i="1"/>
  <c r="T596" i="1" s="1"/>
  <c r="V596" i="1"/>
  <c r="AO596" i="1"/>
  <c r="J596" i="1"/>
  <c r="W596" i="1"/>
  <c r="AP596" i="1"/>
  <c r="BF584" i="1"/>
  <c r="AL584" i="1"/>
  <c r="BH584" i="1"/>
  <c r="AM584" i="1"/>
  <c r="BI584" i="1"/>
  <c r="AN584" i="1"/>
  <c r="AO584" i="1"/>
  <c r="U584" i="1"/>
  <c r="AP584" i="1"/>
  <c r="H584" i="1"/>
  <c r="S584" i="1" s="1"/>
  <c r="V584" i="1"/>
  <c r="I584" i="1"/>
  <c r="T584" i="1" s="1"/>
  <c r="W584" i="1"/>
  <c r="J584" i="1"/>
  <c r="AN572" i="1"/>
  <c r="AO572" i="1"/>
  <c r="H572" i="1"/>
  <c r="S572" i="1" s="1"/>
  <c r="U572" i="1"/>
  <c r="AP572" i="1"/>
  <c r="I572" i="1"/>
  <c r="T572" i="1" s="1"/>
  <c r="V572" i="1"/>
  <c r="J572" i="1"/>
  <c r="W572" i="1"/>
  <c r="BF572" i="1"/>
  <c r="BH572" i="1"/>
  <c r="AL572" i="1"/>
  <c r="BI572" i="1"/>
  <c r="AO560" i="1"/>
  <c r="H560" i="1"/>
  <c r="S560" i="1" s="1"/>
  <c r="U560" i="1"/>
  <c r="AP560" i="1"/>
  <c r="I560" i="1"/>
  <c r="T560" i="1" s="1"/>
  <c r="V560" i="1"/>
  <c r="J560" i="1"/>
  <c r="W560" i="1"/>
  <c r="BF560" i="1"/>
  <c r="BH560" i="1"/>
  <c r="AL560" i="1"/>
  <c r="BI560" i="1"/>
  <c r="AM560" i="1"/>
  <c r="AN560" i="1"/>
  <c r="BH548" i="1"/>
  <c r="BI548" i="1"/>
  <c r="AL548" i="1"/>
  <c r="AM548" i="1"/>
  <c r="AN548" i="1"/>
  <c r="AO548" i="1"/>
  <c r="H548" i="1"/>
  <c r="U548" i="1"/>
  <c r="AP548" i="1"/>
  <c r="I548" i="1"/>
  <c r="T548" i="1" s="1"/>
  <c r="V548" i="1"/>
  <c r="J548" i="1"/>
  <c r="W548" i="1"/>
  <c r="BF548" i="1"/>
  <c r="BF536" i="1"/>
  <c r="BH536" i="1"/>
  <c r="AL536" i="1"/>
  <c r="BI536" i="1"/>
  <c r="AM536" i="1"/>
  <c r="U536" i="1"/>
  <c r="AN536" i="1"/>
  <c r="H536" i="1"/>
  <c r="V536" i="1"/>
  <c r="AO536" i="1"/>
  <c r="I536" i="1"/>
  <c r="T536" i="1" s="1"/>
  <c r="W536" i="1"/>
  <c r="AP536" i="1"/>
  <c r="J536" i="1"/>
  <c r="U524" i="1"/>
  <c r="AP524" i="1"/>
  <c r="H524" i="1"/>
  <c r="S524" i="1" s="1"/>
  <c r="V524" i="1"/>
  <c r="I524" i="1"/>
  <c r="T524" i="1" s="1"/>
  <c r="W524" i="1"/>
  <c r="J524" i="1"/>
  <c r="BF524" i="1"/>
  <c r="BH524" i="1"/>
  <c r="AL524" i="1"/>
  <c r="BI524" i="1"/>
  <c r="AM524" i="1"/>
  <c r="AN524" i="1"/>
  <c r="AO524" i="1"/>
  <c r="AP512" i="1"/>
  <c r="BF512" i="1"/>
  <c r="AL512" i="1"/>
  <c r="BH512" i="1"/>
  <c r="H512" i="1"/>
  <c r="U512" i="1"/>
  <c r="AM512" i="1"/>
  <c r="BI512" i="1"/>
  <c r="I512" i="1"/>
  <c r="T512" i="1" s="1"/>
  <c r="V512" i="1"/>
  <c r="AN512" i="1"/>
  <c r="J512" i="1"/>
  <c r="W512" i="1"/>
  <c r="AO512" i="1"/>
  <c r="AM500" i="1"/>
  <c r="AN500" i="1"/>
  <c r="AO500" i="1"/>
  <c r="AP500" i="1"/>
  <c r="U500" i="1"/>
  <c r="H500" i="1"/>
  <c r="S500" i="1" s="1"/>
  <c r="V500" i="1"/>
  <c r="I500" i="1"/>
  <c r="T500" i="1" s="1"/>
  <c r="W500" i="1"/>
  <c r="J500" i="1"/>
  <c r="BF500" i="1"/>
  <c r="BH500" i="1"/>
  <c r="BI500" i="1"/>
  <c r="AL500" i="1"/>
  <c r="BH488" i="1"/>
  <c r="BI488" i="1"/>
  <c r="AL488" i="1"/>
  <c r="H488" i="1"/>
  <c r="S488" i="1" s="1"/>
  <c r="U488" i="1"/>
  <c r="AM488" i="1"/>
  <c r="I488" i="1"/>
  <c r="T488" i="1" s="1"/>
  <c r="V488" i="1"/>
  <c r="AN488" i="1"/>
  <c r="J488" i="1"/>
  <c r="W488" i="1"/>
  <c r="AO488" i="1"/>
  <c r="BF488" i="1"/>
  <c r="AP488" i="1"/>
  <c r="AO476" i="1"/>
  <c r="H476" i="1"/>
  <c r="S476" i="1" s="1"/>
  <c r="U476" i="1"/>
  <c r="AP476" i="1"/>
  <c r="I476" i="1"/>
  <c r="T476" i="1" s="1"/>
  <c r="V476" i="1"/>
  <c r="J476" i="1"/>
  <c r="W476" i="1"/>
  <c r="BF476" i="1"/>
  <c r="AL476" i="1"/>
  <c r="BH476" i="1"/>
  <c r="AM476" i="1"/>
  <c r="BI476" i="1"/>
  <c r="AN476" i="1"/>
  <c r="AL464" i="1"/>
  <c r="BH464" i="1"/>
  <c r="AM464" i="1"/>
  <c r="BI464" i="1"/>
  <c r="AN464" i="1"/>
  <c r="H464" i="1"/>
  <c r="S464" i="1" s="1"/>
  <c r="U464" i="1"/>
  <c r="AO464" i="1"/>
  <c r="I464" i="1"/>
  <c r="T464" i="1" s="1"/>
  <c r="V464" i="1"/>
  <c r="AP464" i="1"/>
  <c r="J464" i="1"/>
  <c r="W464" i="1"/>
  <c r="BF464" i="1"/>
  <c r="H452" i="1"/>
  <c r="S452" i="1" s="1"/>
  <c r="U452" i="1"/>
  <c r="AP452" i="1"/>
  <c r="I452" i="1"/>
  <c r="T452" i="1" s="1"/>
  <c r="V452" i="1"/>
  <c r="J452" i="1"/>
  <c r="W452" i="1"/>
  <c r="BF452" i="1"/>
  <c r="BH452" i="1"/>
  <c r="AL452" i="1"/>
  <c r="BI452" i="1"/>
  <c r="AM452" i="1"/>
  <c r="AN452" i="1"/>
  <c r="AO452" i="1"/>
  <c r="I440" i="1"/>
  <c r="T440" i="1" s="1"/>
  <c r="V440" i="1"/>
  <c r="AM440" i="1"/>
  <c r="J440" i="1"/>
  <c r="W440" i="1"/>
  <c r="AN440" i="1"/>
  <c r="AO440" i="1"/>
  <c r="AP440" i="1"/>
  <c r="BF440" i="1"/>
  <c r="BH440" i="1"/>
  <c r="BI440" i="1"/>
  <c r="U440" i="1"/>
  <c r="AL440" i="1"/>
  <c r="H440" i="1"/>
  <c r="H428" i="1"/>
  <c r="S428" i="1" s="1"/>
  <c r="U428" i="1"/>
  <c r="I428" i="1"/>
  <c r="T428" i="1" s="1"/>
  <c r="V428" i="1"/>
  <c r="J428" i="1"/>
  <c r="W428" i="1"/>
  <c r="BF428" i="1"/>
  <c r="BH428" i="1"/>
  <c r="AL428" i="1"/>
  <c r="BI428" i="1"/>
  <c r="AM428" i="1"/>
  <c r="AN428" i="1"/>
  <c r="AO428" i="1"/>
  <c r="AP428" i="1"/>
  <c r="BF416" i="1"/>
  <c r="AL416" i="1"/>
  <c r="AM416" i="1"/>
  <c r="BH416" i="1"/>
  <c r="AN416" i="1"/>
  <c r="BI416" i="1"/>
  <c r="AO416" i="1"/>
  <c r="AP416" i="1"/>
  <c r="H416" i="1"/>
  <c r="S416" i="1" s="1"/>
  <c r="U416" i="1"/>
  <c r="J416" i="1"/>
  <c r="W416" i="1"/>
  <c r="V416" i="1"/>
  <c r="I416" i="1"/>
  <c r="T416" i="1" s="1"/>
  <c r="BF404" i="1"/>
  <c r="AL404" i="1"/>
  <c r="AM404" i="1"/>
  <c r="BH404" i="1"/>
  <c r="AN404" i="1"/>
  <c r="BI404" i="1"/>
  <c r="AO404" i="1"/>
  <c r="H404" i="1"/>
  <c r="S404" i="1" s="1"/>
  <c r="AP404" i="1"/>
  <c r="I404" i="1"/>
  <c r="T404" i="1" s="1"/>
  <c r="U404" i="1"/>
  <c r="J404" i="1"/>
  <c r="V404" i="1"/>
  <c r="W404" i="1"/>
  <c r="BH392" i="1"/>
  <c r="AL392" i="1"/>
  <c r="BI392" i="1"/>
  <c r="AM392" i="1"/>
  <c r="AN392" i="1"/>
  <c r="AO392" i="1"/>
  <c r="AP392" i="1"/>
  <c r="H392" i="1"/>
  <c r="S392" i="1" s="1"/>
  <c r="U392" i="1"/>
  <c r="I392" i="1"/>
  <c r="T392" i="1" s="1"/>
  <c r="V392" i="1"/>
  <c r="J392" i="1"/>
  <c r="W392" i="1"/>
  <c r="BF392" i="1"/>
  <c r="BH380" i="1"/>
  <c r="BI380" i="1"/>
  <c r="AL380" i="1"/>
  <c r="AM380" i="1"/>
  <c r="AN380" i="1"/>
  <c r="AO380" i="1"/>
  <c r="AP380" i="1"/>
  <c r="H380" i="1"/>
  <c r="S380" i="1" s="1"/>
  <c r="U380" i="1"/>
  <c r="I380" i="1"/>
  <c r="T380" i="1" s="1"/>
  <c r="V380" i="1"/>
  <c r="J380" i="1"/>
  <c r="W380" i="1"/>
  <c r="BF380" i="1"/>
  <c r="I368" i="1"/>
  <c r="T368" i="1" s="1"/>
  <c r="W368" i="1"/>
  <c r="BF368" i="1"/>
  <c r="J368" i="1"/>
  <c r="BH368" i="1"/>
  <c r="BI368" i="1"/>
  <c r="AL368" i="1"/>
  <c r="AM368" i="1"/>
  <c r="AN368" i="1"/>
  <c r="U368" i="1"/>
  <c r="H368" i="1"/>
  <c r="S368" i="1" s="1"/>
  <c r="V368" i="1"/>
  <c r="AO368" i="1"/>
  <c r="AP368" i="1"/>
  <c r="BF356" i="1"/>
  <c r="BH356" i="1"/>
  <c r="AL356" i="1"/>
  <c r="BI356" i="1"/>
  <c r="AM356" i="1"/>
  <c r="U356" i="1"/>
  <c r="AN356" i="1"/>
  <c r="H356" i="1"/>
  <c r="S356" i="1" s="1"/>
  <c r="V356" i="1"/>
  <c r="AO356" i="1"/>
  <c r="I356" i="1"/>
  <c r="T356" i="1" s="1"/>
  <c r="W356" i="1"/>
  <c r="AP356" i="1"/>
  <c r="J356" i="1"/>
  <c r="AM344" i="1"/>
  <c r="AN344" i="1"/>
  <c r="U344" i="1"/>
  <c r="AO344" i="1"/>
  <c r="H344" i="1"/>
  <c r="S344" i="1" s="1"/>
  <c r="V344" i="1"/>
  <c r="AP344" i="1"/>
  <c r="I344" i="1"/>
  <c r="T344" i="1" s="1"/>
  <c r="W344" i="1"/>
  <c r="J344" i="1"/>
  <c r="BF344" i="1"/>
  <c r="BH344" i="1"/>
  <c r="BI344" i="1"/>
  <c r="AL344" i="1"/>
  <c r="AL332" i="1"/>
  <c r="AM332" i="1"/>
  <c r="AN332" i="1"/>
  <c r="AO332" i="1"/>
  <c r="U332" i="1"/>
  <c r="AP332" i="1"/>
  <c r="H332" i="1"/>
  <c r="V332" i="1"/>
  <c r="I332" i="1"/>
  <c r="T332" i="1" s="1"/>
  <c r="W332" i="1"/>
  <c r="J332" i="1"/>
  <c r="BF332" i="1"/>
  <c r="BH332" i="1"/>
  <c r="BI332" i="1"/>
  <c r="J320" i="1"/>
  <c r="U320" i="1"/>
  <c r="V320" i="1"/>
  <c r="BF320" i="1"/>
  <c r="W320" i="1"/>
  <c r="BH320" i="1"/>
  <c r="BI320" i="1"/>
  <c r="AL320" i="1"/>
  <c r="H320" i="1"/>
  <c r="S320" i="1" s="1"/>
  <c r="AM320" i="1"/>
  <c r="I320" i="1"/>
  <c r="T320" i="1" s="1"/>
  <c r="AN320" i="1"/>
  <c r="AO320" i="1"/>
  <c r="AP320" i="1"/>
  <c r="AP308" i="1"/>
  <c r="U308" i="1"/>
  <c r="H308" i="1"/>
  <c r="S308" i="1" s="1"/>
  <c r="V308" i="1"/>
  <c r="I308" i="1"/>
  <c r="T308" i="1" s="1"/>
  <c r="W308" i="1"/>
  <c r="J308" i="1"/>
  <c r="BF308" i="1"/>
  <c r="BH308" i="1"/>
  <c r="AL308" i="1"/>
  <c r="BI308" i="1"/>
  <c r="AM308" i="1"/>
  <c r="AN308" i="1"/>
  <c r="AO308" i="1"/>
  <c r="J296" i="1"/>
  <c r="BF296" i="1"/>
  <c r="BH296" i="1"/>
  <c r="AL296" i="1"/>
  <c r="BI296" i="1"/>
  <c r="AM296" i="1"/>
  <c r="AN296" i="1"/>
  <c r="AO296" i="1"/>
  <c r="AP296" i="1"/>
  <c r="U296" i="1"/>
  <c r="H296" i="1"/>
  <c r="S296" i="1" s="1"/>
  <c r="V296" i="1"/>
  <c r="W296" i="1"/>
  <c r="I296" i="1"/>
  <c r="T296" i="1" s="1"/>
  <c r="U284" i="1"/>
  <c r="H284" i="1"/>
  <c r="S284" i="1" s="1"/>
  <c r="V284" i="1"/>
  <c r="I284" i="1"/>
  <c r="T284" i="1" s="1"/>
  <c r="W284" i="1"/>
  <c r="BF284" i="1"/>
  <c r="J284" i="1"/>
  <c r="BH284" i="1"/>
  <c r="AL284" i="1"/>
  <c r="BI284" i="1"/>
  <c r="AM284" i="1"/>
  <c r="AN284" i="1"/>
  <c r="AO284" i="1"/>
  <c r="AP284" i="1"/>
  <c r="AL272" i="1"/>
  <c r="BI272" i="1"/>
  <c r="AM272" i="1"/>
  <c r="AO272" i="1"/>
  <c r="AP272" i="1"/>
  <c r="I272" i="1"/>
  <c r="T272" i="1" s="1"/>
  <c r="V272" i="1"/>
  <c r="H272" i="1"/>
  <c r="S272" i="1" s="1"/>
  <c r="BH272" i="1"/>
  <c r="J272" i="1"/>
  <c r="U272" i="1"/>
  <c r="W272" i="1"/>
  <c r="AN272" i="1"/>
  <c r="BF272" i="1"/>
  <c r="BF260" i="1"/>
  <c r="BH260" i="1"/>
  <c r="BI260" i="1"/>
  <c r="AL260" i="1"/>
  <c r="AM260" i="1"/>
  <c r="AO260" i="1"/>
  <c r="I260" i="1"/>
  <c r="T260" i="1" s="1"/>
  <c r="V260" i="1"/>
  <c r="AP260" i="1"/>
  <c r="H260" i="1"/>
  <c r="S260" i="1" s="1"/>
  <c r="J260" i="1"/>
  <c r="U260" i="1"/>
  <c r="W260" i="1"/>
  <c r="AN260" i="1"/>
  <c r="AO248" i="1"/>
  <c r="AP248" i="1"/>
  <c r="H248" i="1"/>
  <c r="S248" i="1" s="1"/>
  <c r="U248" i="1"/>
  <c r="I248" i="1"/>
  <c r="T248" i="1" s="1"/>
  <c r="V248" i="1"/>
  <c r="J248" i="1"/>
  <c r="W248" i="1"/>
  <c r="BF248" i="1"/>
  <c r="BH248" i="1"/>
  <c r="AM248" i="1"/>
  <c r="AN248" i="1"/>
  <c r="BI248" i="1"/>
  <c r="AL248" i="1"/>
  <c r="I236" i="1"/>
  <c r="T236" i="1" s="1"/>
  <c r="W236" i="1"/>
  <c r="J236" i="1"/>
  <c r="BF236" i="1"/>
  <c r="BH236" i="1"/>
  <c r="AL236" i="1"/>
  <c r="BI236" i="1"/>
  <c r="AM236" i="1"/>
  <c r="AN236" i="1"/>
  <c r="AO236" i="1"/>
  <c r="U236" i="1"/>
  <c r="H236" i="1"/>
  <c r="V236" i="1"/>
  <c r="AP236" i="1"/>
  <c r="J224" i="1"/>
  <c r="W224" i="1"/>
  <c r="BF224" i="1"/>
  <c r="BH224" i="1"/>
  <c r="AL224" i="1"/>
  <c r="BI224" i="1"/>
  <c r="AN224" i="1"/>
  <c r="AO224" i="1"/>
  <c r="H224" i="1"/>
  <c r="S224" i="1" s="1"/>
  <c r="U224" i="1"/>
  <c r="I224" i="1"/>
  <c r="T224" i="1" s="1"/>
  <c r="V224" i="1"/>
  <c r="AM224" i="1"/>
  <c r="AP224" i="1"/>
  <c r="H212" i="1"/>
  <c r="S212" i="1" s="1"/>
  <c r="V212" i="1"/>
  <c r="I212" i="1"/>
  <c r="T212" i="1" s="1"/>
  <c r="W212" i="1"/>
  <c r="J212" i="1"/>
  <c r="BF212" i="1"/>
  <c r="BH212" i="1"/>
  <c r="AL212" i="1"/>
  <c r="BI212" i="1"/>
  <c r="AM212" i="1"/>
  <c r="AN212" i="1"/>
  <c r="AO212" i="1"/>
  <c r="U212" i="1"/>
  <c r="AP212" i="1"/>
  <c r="BI200" i="1"/>
  <c r="AL200" i="1"/>
  <c r="AN200" i="1"/>
  <c r="H200" i="1"/>
  <c r="AO200" i="1"/>
  <c r="I200" i="1"/>
  <c r="T200" i="1" s="1"/>
  <c r="U200" i="1"/>
  <c r="AP200" i="1"/>
  <c r="AM200" i="1"/>
  <c r="J200" i="1"/>
  <c r="BF200" i="1"/>
  <c r="V200" i="1"/>
  <c r="W200" i="1"/>
  <c r="BH200" i="1"/>
  <c r="BI188" i="1"/>
  <c r="AL188" i="1"/>
  <c r="AM188" i="1"/>
  <c r="AN188" i="1"/>
  <c r="AO188" i="1"/>
  <c r="AP188" i="1"/>
  <c r="I188" i="1"/>
  <c r="T188" i="1" s="1"/>
  <c r="V188" i="1"/>
  <c r="J188" i="1"/>
  <c r="W188" i="1"/>
  <c r="U188" i="1"/>
  <c r="BF188" i="1"/>
  <c r="H188" i="1"/>
  <c r="BH188" i="1"/>
  <c r="BF176" i="1"/>
  <c r="BH176" i="1"/>
  <c r="AL176" i="1"/>
  <c r="BI176" i="1"/>
  <c r="AM176" i="1"/>
  <c r="AN176" i="1"/>
  <c r="AO176" i="1"/>
  <c r="AP176" i="1"/>
  <c r="H176" i="1"/>
  <c r="S176" i="1" s="1"/>
  <c r="U176" i="1"/>
  <c r="J176" i="1"/>
  <c r="W176" i="1"/>
  <c r="I176" i="1"/>
  <c r="T176" i="1" s="1"/>
  <c r="V176" i="1"/>
  <c r="J164" i="1"/>
  <c r="W164" i="1"/>
  <c r="AL164" i="1"/>
  <c r="H164" i="1"/>
  <c r="U164" i="1"/>
  <c r="BH164" i="1"/>
  <c r="AM164" i="1"/>
  <c r="BI164" i="1"/>
  <c r="AN164" i="1"/>
  <c r="AO164" i="1"/>
  <c r="I164" i="1"/>
  <c r="T164" i="1" s="1"/>
  <c r="AP164" i="1"/>
  <c r="BF164" i="1"/>
  <c r="V164" i="1"/>
  <c r="AM152" i="1"/>
  <c r="AN152" i="1"/>
  <c r="AO152" i="1"/>
  <c r="U152" i="1"/>
  <c r="AP152" i="1"/>
  <c r="H152" i="1"/>
  <c r="S152" i="1" s="1"/>
  <c r="V152" i="1"/>
  <c r="BH152" i="1"/>
  <c r="AL152" i="1"/>
  <c r="BI152" i="1"/>
  <c r="I152" i="1"/>
  <c r="T152" i="1" s="1"/>
  <c r="J152" i="1"/>
  <c r="BF152" i="1"/>
  <c r="W152" i="1"/>
  <c r="AP140" i="1"/>
  <c r="H140" i="1"/>
  <c r="U140" i="1"/>
  <c r="I140" i="1"/>
  <c r="T140" i="1" s="1"/>
  <c r="V140" i="1"/>
  <c r="J140" i="1"/>
  <c r="W140" i="1"/>
  <c r="BH140" i="1"/>
  <c r="AN140" i="1"/>
  <c r="AO140" i="1"/>
  <c r="AL140" i="1"/>
  <c r="BF140" i="1"/>
  <c r="AM140" i="1"/>
  <c r="BI140" i="1"/>
  <c r="AN128" i="1"/>
  <c r="AO128" i="1"/>
  <c r="H128" i="1"/>
  <c r="S128" i="1" s="1"/>
  <c r="U128" i="1"/>
  <c r="I128" i="1"/>
  <c r="T128" i="1" s="1"/>
  <c r="V128" i="1"/>
  <c r="J128" i="1"/>
  <c r="W128" i="1"/>
  <c r="BF128" i="1"/>
  <c r="BI128" i="1"/>
  <c r="AL128" i="1"/>
  <c r="AM128" i="1"/>
  <c r="AP128" i="1"/>
  <c r="BH128" i="1"/>
  <c r="BF116" i="1"/>
  <c r="AL116" i="1"/>
  <c r="BI116" i="1"/>
  <c r="AM116" i="1"/>
  <c r="AN116" i="1"/>
  <c r="J116" i="1"/>
  <c r="W116" i="1"/>
  <c r="AO116" i="1"/>
  <c r="H116" i="1"/>
  <c r="S116" i="1" s="1"/>
  <c r="AP116" i="1"/>
  <c r="I116" i="1"/>
  <c r="T116" i="1" s="1"/>
  <c r="V116" i="1"/>
  <c r="BH116" i="1"/>
  <c r="U116" i="1"/>
  <c r="I104" i="1"/>
  <c r="T104" i="1" s="1"/>
  <c r="J104" i="1"/>
  <c r="AL104" i="1"/>
  <c r="BI104" i="1"/>
  <c r="AO104" i="1"/>
  <c r="AP104" i="1"/>
  <c r="BF104" i="1"/>
  <c r="BH104" i="1"/>
  <c r="U104" i="1"/>
  <c r="V104" i="1"/>
  <c r="W104" i="1"/>
  <c r="AM104" i="1"/>
  <c r="AN104" i="1"/>
  <c r="H104" i="1"/>
  <c r="S104" i="1" s="1"/>
  <c r="AL92" i="1"/>
  <c r="BI92" i="1"/>
  <c r="AM92" i="1"/>
  <c r="AN92" i="1"/>
  <c r="AP92" i="1"/>
  <c r="U92" i="1"/>
  <c r="H92" i="1"/>
  <c r="S92" i="1" s="1"/>
  <c r="V92" i="1"/>
  <c r="I92" i="1"/>
  <c r="T92" i="1" s="1"/>
  <c r="W92" i="1"/>
  <c r="BF92" i="1"/>
  <c r="J92" i="1"/>
  <c r="AO92" i="1"/>
  <c r="BH92" i="1"/>
  <c r="AL80" i="1"/>
  <c r="AM80" i="1"/>
  <c r="AN80" i="1"/>
  <c r="H80" i="1"/>
  <c r="S80" i="1" s="1"/>
  <c r="U80" i="1"/>
  <c r="AP80" i="1"/>
  <c r="I80" i="1"/>
  <c r="T80" i="1" s="1"/>
  <c r="V80" i="1"/>
  <c r="J80" i="1"/>
  <c r="W80" i="1"/>
  <c r="BH80" i="1"/>
  <c r="AO80" i="1"/>
  <c r="BF80" i="1"/>
  <c r="BI80" i="1"/>
  <c r="H68" i="1"/>
  <c r="S68" i="1" s="1"/>
  <c r="U68" i="1"/>
  <c r="AN68" i="1"/>
  <c r="AO68" i="1"/>
  <c r="BI68" i="1"/>
  <c r="AP68" i="1"/>
  <c r="V68" i="1"/>
  <c r="BF68" i="1"/>
  <c r="BH68" i="1"/>
  <c r="I68" i="1"/>
  <c r="T68" i="1" s="1"/>
  <c r="J68" i="1"/>
  <c r="W68" i="1"/>
  <c r="AL68" i="1"/>
  <c r="AM68" i="1"/>
  <c r="AN56" i="1"/>
  <c r="BI56" i="1"/>
  <c r="I56" i="1"/>
  <c r="T56" i="1" s="1"/>
  <c r="V56" i="1"/>
  <c r="H56" i="1"/>
  <c r="S56" i="1" s="1"/>
  <c r="AO56" i="1"/>
  <c r="AP56" i="1"/>
  <c r="U56" i="1"/>
  <c r="BF56" i="1"/>
  <c r="W56" i="1"/>
  <c r="J56" i="1"/>
  <c r="AL56" i="1"/>
  <c r="AM56" i="1"/>
  <c r="BH56" i="1"/>
  <c r="H44" i="1"/>
  <c r="S44" i="1" s="1"/>
  <c r="V44" i="1"/>
  <c r="I44" i="1"/>
  <c r="T44" i="1" s="1"/>
  <c r="W44" i="1"/>
  <c r="J44" i="1"/>
  <c r="AM44" i="1"/>
  <c r="AN44" i="1"/>
  <c r="AP44" i="1"/>
  <c r="AL44" i="1"/>
  <c r="BF44" i="1"/>
  <c r="BI44" i="1"/>
  <c r="U44" i="1"/>
  <c r="AO44" i="1"/>
  <c r="BH44" i="1"/>
  <c r="AM32" i="1"/>
  <c r="AN32" i="1"/>
  <c r="H32" i="1"/>
  <c r="S32" i="1" s="1"/>
  <c r="U32" i="1"/>
  <c r="AP32" i="1"/>
  <c r="AO32" i="1"/>
  <c r="J32" i="1"/>
  <c r="AL32" i="1"/>
  <c r="BF32" i="1"/>
  <c r="W32" i="1"/>
  <c r="BI32" i="1"/>
  <c r="I32" i="1"/>
  <c r="T32" i="1" s="1"/>
  <c r="V32" i="1"/>
  <c r="BH32" i="1"/>
  <c r="U20" i="1"/>
  <c r="AP20" i="1"/>
  <c r="H20" i="1"/>
  <c r="S20" i="1" s="1"/>
  <c r="V20" i="1"/>
  <c r="I20" i="1"/>
  <c r="T20" i="1" s="1"/>
  <c r="W20" i="1"/>
  <c r="J20" i="1"/>
  <c r="BF20" i="1"/>
  <c r="BI20" i="1"/>
  <c r="AL20" i="1"/>
  <c r="AN20" i="1"/>
  <c r="AM20" i="1"/>
  <c r="AO20" i="1"/>
  <c r="BH20" i="1"/>
  <c r="AP8" i="1"/>
  <c r="H8" i="1"/>
  <c r="S8" i="1" s="1"/>
  <c r="U8" i="1"/>
  <c r="I8" i="1"/>
  <c r="T8" i="1" s="1"/>
  <c r="V8" i="1"/>
  <c r="J8" i="1"/>
  <c r="W8" i="1"/>
  <c r="BF8" i="1"/>
  <c r="BH8" i="1"/>
  <c r="BI8" i="1"/>
  <c r="AL8" i="1"/>
  <c r="AM8" i="1"/>
  <c r="AN8" i="1"/>
  <c r="AO8" i="1"/>
  <c r="BF622" i="1"/>
  <c r="BI620" i="1"/>
  <c r="BH618" i="1"/>
  <c r="AO618" i="1"/>
  <c r="W618" i="1"/>
  <c r="U608" i="1"/>
  <c r="BI604" i="1"/>
  <c r="W601" i="1"/>
  <c r="AN597" i="1"/>
  <c r="BH589" i="1"/>
  <c r="H570" i="1"/>
  <c r="S570" i="1" s="1"/>
  <c r="S596" i="1"/>
  <c r="S599" i="1"/>
  <c r="S620" i="1"/>
  <c r="S617" i="1"/>
  <c r="S608" i="1"/>
  <c r="S605" i="1"/>
  <c r="S589" i="1"/>
  <c r="S544" i="1"/>
  <c r="S583" i="1"/>
  <c r="S580" i="1"/>
  <c r="S577" i="1"/>
  <c r="S574" i="1"/>
  <c r="S571" i="1"/>
  <c r="S568" i="1"/>
  <c r="S565" i="1"/>
  <c r="S562" i="1"/>
  <c r="S559" i="1"/>
  <c r="S547" i="1"/>
  <c r="S506" i="1"/>
  <c r="S521" i="1"/>
  <c r="S543" i="1"/>
  <c r="S540" i="1"/>
  <c r="S537" i="1"/>
  <c r="S534" i="1"/>
  <c r="S485" i="1"/>
  <c r="S504" i="1"/>
  <c r="S501" i="1"/>
  <c r="S498" i="1"/>
  <c r="S495" i="1"/>
  <c r="S489" i="1"/>
  <c r="S486" i="1"/>
  <c r="S436" i="1"/>
  <c r="S474" i="1"/>
  <c r="S471" i="1"/>
  <c r="S468" i="1"/>
  <c r="S465" i="1"/>
  <c r="S459" i="1"/>
  <c r="S456" i="1"/>
  <c r="S450" i="1"/>
  <c r="S447" i="1"/>
  <c r="S444" i="1"/>
  <c r="S441" i="1"/>
  <c r="S399" i="1"/>
  <c r="S433" i="1"/>
  <c r="S430" i="1"/>
  <c r="S427" i="1"/>
  <c r="S424" i="1"/>
  <c r="S421" i="1"/>
  <c r="S415" i="1"/>
  <c r="S401" i="1"/>
  <c r="S396" i="1"/>
  <c r="S393" i="1"/>
  <c r="S390" i="1"/>
  <c r="S387" i="1"/>
  <c r="S381" i="1"/>
  <c r="S375" i="1"/>
  <c r="S358" i="1"/>
  <c r="S367" i="1"/>
  <c r="S361" i="1"/>
  <c r="S364" i="1"/>
  <c r="S345" i="1"/>
  <c r="S342" i="1"/>
  <c r="S339" i="1"/>
  <c r="S336" i="1"/>
  <c r="S334" i="1"/>
  <c r="T330" i="1"/>
  <c r="S355" i="1"/>
  <c r="S352" i="1"/>
  <c r="S340" i="1"/>
  <c r="S341" i="1"/>
  <c r="S271" i="1"/>
  <c r="S331" i="1"/>
  <c r="S319" i="1"/>
  <c r="S316" i="1"/>
  <c r="S310" i="1"/>
  <c r="S306" i="1"/>
  <c r="S298" i="1"/>
  <c r="S295" i="1"/>
  <c r="S286" i="1"/>
  <c r="S283" i="1"/>
  <c r="S280" i="1"/>
  <c r="S267" i="1"/>
  <c r="S264" i="1"/>
  <c r="S261" i="1"/>
  <c r="S255" i="1"/>
  <c r="S246" i="1"/>
  <c r="S243" i="1"/>
  <c r="S240" i="1"/>
  <c r="S236" i="1"/>
  <c r="S233" i="1"/>
  <c r="S230" i="1"/>
  <c r="S196" i="1"/>
  <c r="S202" i="1"/>
  <c r="S208" i="1"/>
  <c r="S220" i="1"/>
  <c r="S205" i="1"/>
  <c r="S199" i="1"/>
  <c r="S190" i="1"/>
  <c r="S221" i="1"/>
  <c r="S215" i="1"/>
  <c r="S162" i="1"/>
  <c r="S147" i="1"/>
  <c r="S187" i="1"/>
  <c r="S184" i="1"/>
  <c r="S181" i="1"/>
  <c r="S178" i="1"/>
  <c r="S175" i="1"/>
  <c r="S166" i="1"/>
  <c r="S163" i="1"/>
  <c r="S159" i="1"/>
  <c r="S144" i="1"/>
  <c r="S114" i="1"/>
  <c r="S126" i="1"/>
  <c r="S123" i="1"/>
  <c r="S117" i="1"/>
  <c r="S111" i="1"/>
  <c r="S108" i="1"/>
  <c r="S96" i="1"/>
  <c r="S100" i="1"/>
  <c r="S98" i="1"/>
  <c r="S95" i="1"/>
  <c r="S89" i="1"/>
  <c r="S86" i="1"/>
  <c r="S82" i="1"/>
  <c r="S79" i="1"/>
  <c r="S74" i="1"/>
  <c r="S76" i="1"/>
  <c r="S71" i="1"/>
  <c r="S52" i="1"/>
  <c r="S40" i="1"/>
  <c r="S37" i="1"/>
  <c r="S35" i="1"/>
  <c r="S195" i="1" l="1"/>
  <c r="S549" i="1"/>
  <c r="S292" i="1"/>
  <c r="S586" i="1"/>
  <c r="T366" i="1"/>
  <c r="S81" i="1"/>
  <c r="T81" i="1"/>
  <c r="S140" i="1"/>
  <c r="S406" i="1"/>
  <c r="S91" i="1"/>
  <c r="S131" i="1"/>
  <c r="S551" i="1"/>
  <c r="S324" i="1"/>
  <c r="S12" i="1"/>
  <c r="S288" i="1"/>
  <c r="S282" i="1"/>
  <c r="S405" i="1"/>
  <c r="S203" i="1"/>
  <c r="S238" i="1"/>
  <c r="S167" i="1"/>
  <c r="S276" i="1"/>
  <c r="S300" i="1"/>
  <c r="S601" i="1"/>
  <c r="S200" i="1"/>
  <c r="S440" i="1"/>
  <c r="S165" i="1"/>
  <c r="S323" i="1"/>
  <c r="S297" i="1"/>
  <c r="S247" i="1"/>
  <c r="S154" i="1"/>
  <c r="S311" i="1"/>
  <c r="S235" i="1"/>
  <c r="S548" i="1"/>
  <c r="S21" i="1"/>
  <c r="S94" i="1"/>
  <c r="S443" i="1"/>
  <c r="S550" i="1"/>
  <c r="S143" i="1"/>
  <c r="S164" i="1"/>
  <c r="S332" i="1"/>
  <c r="S285" i="1"/>
  <c r="S188" i="1"/>
  <c r="S512" i="1"/>
  <c r="S57" i="1"/>
  <c r="S273" i="1"/>
  <c r="S585" i="1"/>
  <c r="S24" i="1"/>
  <c r="S229" i="1"/>
  <c r="S88" i="1"/>
  <c r="S536" i="1"/>
  <c r="S9" i="1"/>
  <c r="S58" i="1"/>
  <c r="S371" i="1"/>
  <c r="S73" i="1"/>
  <c r="S482" i="1"/>
  <c r="S268" i="1"/>
  <c r="S18" i="1"/>
  <c r="S206" i="1"/>
  <c r="S403" i="1"/>
  <c r="S279" i="1"/>
  <c r="S449" i="1"/>
  <c r="S265" i="1"/>
  <c r="S97" i="1"/>
  <c r="S409" i="1"/>
  <c r="S64" i="1"/>
  <c r="S67" i="1"/>
  <c r="S134" i="1"/>
  <c r="S27" i="1"/>
  <c r="S6" i="1"/>
  <c r="S194" i="1"/>
  <c r="S256" i="1"/>
  <c r="S197" i="1"/>
  <c r="S294" i="1"/>
  <c r="S241" i="1"/>
  <c r="S446" i="1"/>
  <c r="S244" i="1"/>
  <c r="S291" i="1"/>
  <c r="S25" i="1"/>
  <c r="S85" i="1"/>
  <c r="S3" i="1"/>
  <c r="S15" i="1"/>
  <c r="S232" i="1"/>
  <c r="S137" i="1"/>
  <c r="S209" i="1"/>
  <c r="G2" i="1" l="1"/>
  <c r="AK27" i="18"/>
  <c r="AK4" i="18"/>
  <c r="AL4" i="18"/>
  <c r="AM4" i="18"/>
  <c r="AN4" i="18"/>
  <c r="AK5" i="18"/>
  <c r="AL5" i="18"/>
  <c r="AM5" i="18"/>
  <c r="AN5" i="18"/>
  <c r="AK6" i="18"/>
  <c r="AL6" i="18"/>
  <c r="AM6" i="18"/>
  <c r="AN6" i="18"/>
  <c r="AK7" i="18"/>
  <c r="AL7" i="18"/>
  <c r="AM7" i="18"/>
  <c r="AN7" i="18"/>
  <c r="AK8" i="18"/>
  <c r="AL8" i="18"/>
  <c r="AM8" i="18"/>
  <c r="AN8" i="18"/>
  <c r="AK9" i="18"/>
  <c r="AL9" i="18"/>
  <c r="AM9" i="18"/>
  <c r="AN9" i="18"/>
  <c r="AK10" i="18"/>
  <c r="AL10" i="18"/>
  <c r="AM10" i="18"/>
  <c r="AN10" i="18"/>
  <c r="AK11" i="18"/>
  <c r="AL11" i="18"/>
  <c r="AM11" i="18"/>
  <c r="AN11" i="18"/>
  <c r="AK12" i="18"/>
  <c r="AL12" i="18"/>
  <c r="AM12" i="18"/>
  <c r="AN12" i="18"/>
  <c r="AK13" i="18"/>
  <c r="AL13" i="18"/>
  <c r="AM13" i="18"/>
  <c r="AN13" i="18"/>
  <c r="AK14" i="18"/>
  <c r="AL14" i="18"/>
  <c r="AM14" i="18"/>
  <c r="AN14" i="18"/>
  <c r="AK15" i="18"/>
  <c r="AL15" i="18"/>
  <c r="AM15" i="18"/>
  <c r="AN15" i="18"/>
  <c r="AK16" i="18"/>
  <c r="AL16" i="18"/>
  <c r="AM16" i="18"/>
  <c r="AN16" i="18"/>
  <c r="AK17" i="18"/>
  <c r="AL17" i="18"/>
  <c r="AM17" i="18"/>
  <c r="AN17" i="18"/>
  <c r="AK18" i="18"/>
  <c r="AL18" i="18"/>
  <c r="AM18" i="18"/>
  <c r="AN18" i="18"/>
  <c r="AK19" i="18"/>
  <c r="AL19" i="18"/>
  <c r="AM19" i="18"/>
  <c r="AN19" i="18"/>
  <c r="AK20" i="18"/>
  <c r="AL20" i="18"/>
  <c r="AM20" i="18"/>
  <c r="AN20" i="18"/>
  <c r="AK21" i="18"/>
  <c r="AL21" i="18"/>
  <c r="AM21" i="18"/>
  <c r="AN21" i="18"/>
  <c r="AK22" i="18"/>
  <c r="AL22" i="18"/>
  <c r="AM22" i="18"/>
  <c r="AN22" i="18"/>
  <c r="AK23" i="18"/>
  <c r="AL23" i="18"/>
  <c r="AM23" i="18"/>
  <c r="AN23" i="18"/>
  <c r="AK24" i="18"/>
  <c r="AL24" i="18"/>
  <c r="AM24" i="18"/>
  <c r="AN24" i="18"/>
  <c r="AK25" i="18"/>
  <c r="AL25" i="18"/>
  <c r="AM25" i="18"/>
  <c r="AN25" i="18"/>
  <c r="AK26" i="18"/>
  <c r="AL26" i="18"/>
  <c r="AM26" i="18"/>
  <c r="AN26" i="18"/>
  <c r="AL3" i="18"/>
  <c r="AM3" i="18"/>
  <c r="AN3" i="18"/>
  <c r="AK3" i="18"/>
  <c r="F26" i="27"/>
  <c r="G26" i="27"/>
  <c r="S13" i="27" s="1"/>
  <c r="M13" i="27" s="1"/>
  <c r="I26" i="27"/>
  <c r="I2" i="27"/>
  <c r="S3" i="27"/>
  <c r="M3" i="27" s="1"/>
  <c r="S5" i="27"/>
  <c r="M5" i="27" s="1"/>
  <c r="S8" i="27"/>
  <c r="M8" i="27" s="1"/>
  <c r="S12" i="27"/>
  <c r="P12" i="27" s="1"/>
  <c r="S14" i="27"/>
  <c r="P14" i="27" s="1"/>
  <c r="S15" i="27"/>
  <c r="M15" i="27" s="1"/>
  <c r="S17" i="27"/>
  <c r="M17" i="27" s="1"/>
  <c r="S20" i="27"/>
  <c r="M20" i="27" s="1"/>
  <c r="S24" i="27"/>
  <c r="M24" i="27" s="1"/>
  <c r="S2" i="27"/>
  <c r="P2" i="27" s="1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AN2" i="2"/>
  <c r="AO2" i="2"/>
  <c r="AM2" i="2"/>
  <c r="AB4" i="2"/>
  <c r="C3" i="1" s="1"/>
  <c r="AB5" i="2"/>
  <c r="C4" i="1" s="1"/>
  <c r="AB6" i="2"/>
  <c r="C5" i="1" s="1"/>
  <c r="AB7" i="2"/>
  <c r="C6" i="1" s="1"/>
  <c r="AB8" i="2"/>
  <c r="C7" i="1" s="1"/>
  <c r="AB9" i="2"/>
  <c r="C8" i="1" s="1"/>
  <c r="AB10" i="2"/>
  <c r="C9" i="1" s="1"/>
  <c r="AB11" i="2"/>
  <c r="C10" i="1" s="1"/>
  <c r="AB12" i="2"/>
  <c r="C11" i="1" s="1"/>
  <c r="AB13" i="2"/>
  <c r="C12" i="1" s="1"/>
  <c r="AB14" i="2"/>
  <c r="C13" i="1" s="1"/>
  <c r="AB15" i="2"/>
  <c r="C14" i="1" s="1"/>
  <c r="AB16" i="2"/>
  <c r="C15" i="1" s="1"/>
  <c r="AB17" i="2"/>
  <c r="C16" i="1" s="1"/>
  <c r="AB18" i="2"/>
  <c r="C17" i="1" s="1"/>
  <c r="AB19" i="2"/>
  <c r="C18" i="1" s="1"/>
  <c r="AB20" i="2"/>
  <c r="C19" i="1" s="1"/>
  <c r="AB21" i="2"/>
  <c r="C20" i="1" s="1"/>
  <c r="AB22" i="2"/>
  <c r="C21" i="1" s="1"/>
  <c r="AB23" i="2"/>
  <c r="C22" i="1" s="1"/>
  <c r="AB24" i="2"/>
  <c r="C23" i="1" s="1"/>
  <c r="AB25" i="2"/>
  <c r="C24" i="1" s="1"/>
  <c r="AB26" i="2"/>
  <c r="C25" i="1" s="1"/>
  <c r="AB27" i="2"/>
  <c r="C26" i="1" s="1"/>
  <c r="AB28" i="2"/>
  <c r="C27" i="1" s="1"/>
  <c r="AB29" i="2"/>
  <c r="C28" i="1" s="1"/>
  <c r="AB30" i="2"/>
  <c r="C29" i="1" s="1"/>
  <c r="AB31" i="2"/>
  <c r="C30" i="1" s="1"/>
  <c r="AB32" i="2"/>
  <c r="C31" i="1" s="1"/>
  <c r="AB33" i="2"/>
  <c r="C32" i="1" s="1"/>
  <c r="AB34" i="2"/>
  <c r="C33" i="1" s="1"/>
  <c r="AB35" i="2"/>
  <c r="C34" i="1" s="1"/>
  <c r="AB36" i="2"/>
  <c r="C35" i="1" s="1"/>
  <c r="AB37" i="2"/>
  <c r="C36" i="1" s="1"/>
  <c r="AB38" i="2"/>
  <c r="C37" i="1" s="1"/>
  <c r="AB39" i="2"/>
  <c r="C38" i="1" s="1"/>
  <c r="AB40" i="2"/>
  <c r="C39" i="1" s="1"/>
  <c r="AB41" i="2"/>
  <c r="C40" i="1" s="1"/>
  <c r="AB42" i="2"/>
  <c r="C41" i="1" s="1"/>
  <c r="AB43" i="2"/>
  <c r="C42" i="1" s="1"/>
  <c r="AB44" i="2"/>
  <c r="C43" i="1" s="1"/>
  <c r="AB45" i="2"/>
  <c r="C44" i="1" s="1"/>
  <c r="AB46" i="2"/>
  <c r="C45" i="1" s="1"/>
  <c r="AB47" i="2"/>
  <c r="C46" i="1" s="1"/>
  <c r="AB48" i="2"/>
  <c r="C47" i="1" s="1"/>
  <c r="AB49" i="2"/>
  <c r="C48" i="1" s="1"/>
  <c r="AB50" i="2"/>
  <c r="C49" i="1" s="1"/>
  <c r="AB51" i="2"/>
  <c r="C50" i="1" s="1"/>
  <c r="AB52" i="2"/>
  <c r="C51" i="1" s="1"/>
  <c r="AB53" i="2"/>
  <c r="C52" i="1" s="1"/>
  <c r="AB54" i="2"/>
  <c r="C53" i="1" s="1"/>
  <c r="AB55" i="2"/>
  <c r="C54" i="1" s="1"/>
  <c r="AB56" i="2"/>
  <c r="C55" i="1" s="1"/>
  <c r="AB57" i="2"/>
  <c r="C56" i="1" s="1"/>
  <c r="AB58" i="2"/>
  <c r="C57" i="1" s="1"/>
  <c r="AB59" i="2"/>
  <c r="C58" i="1" s="1"/>
  <c r="AB60" i="2"/>
  <c r="C59" i="1" s="1"/>
  <c r="AB61" i="2"/>
  <c r="C60" i="1" s="1"/>
  <c r="AB62" i="2"/>
  <c r="C61" i="1" s="1"/>
  <c r="AB63" i="2"/>
  <c r="C62" i="1" s="1"/>
  <c r="AB64" i="2"/>
  <c r="C63" i="1" s="1"/>
  <c r="AB65" i="2"/>
  <c r="C64" i="1" s="1"/>
  <c r="AB66" i="2"/>
  <c r="C65" i="1" s="1"/>
  <c r="AB67" i="2"/>
  <c r="C66" i="1" s="1"/>
  <c r="AB68" i="2"/>
  <c r="C67" i="1" s="1"/>
  <c r="AB69" i="2"/>
  <c r="C68" i="1" s="1"/>
  <c r="AB70" i="2"/>
  <c r="C69" i="1" s="1"/>
  <c r="AB71" i="2"/>
  <c r="C70" i="1" s="1"/>
  <c r="AB72" i="2"/>
  <c r="C71" i="1" s="1"/>
  <c r="AB73" i="2"/>
  <c r="C72" i="1" s="1"/>
  <c r="AB74" i="2"/>
  <c r="C73" i="1" s="1"/>
  <c r="AB75" i="2"/>
  <c r="C74" i="1" s="1"/>
  <c r="AB76" i="2"/>
  <c r="C75" i="1" s="1"/>
  <c r="AB77" i="2"/>
  <c r="C76" i="1" s="1"/>
  <c r="AB78" i="2"/>
  <c r="C77" i="1" s="1"/>
  <c r="AB79" i="2"/>
  <c r="C78" i="1" s="1"/>
  <c r="AB80" i="2"/>
  <c r="C79" i="1" s="1"/>
  <c r="AB81" i="2"/>
  <c r="C80" i="1" s="1"/>
  <c r="AB82" i="2"/>
  <c r="C81" i="1" s="1"/>
  <c r="AB83" i="2"/>
  <c r="C82" i="1" s="1"/>
  <c r="AB84" i="2"/>
  <c r="C83" i="1" s="1"/>
  <c r="AB85" i="2"/>
  <c r="C84" i="1" s="1"/>
  <c r="AB86" i="2"/>
  <c r="C85" i="1" s="1"/>
  <c r="AB87" i="2"/>
  <c r="C86" i="1" s="1"/>
  <c r="AB88" i="2"/>
  <c r="C87" i="1" s="1"/>
  <c r="AB89" i="2"/>
  <c r="C88" i="1" s="1"/>
  <c r="AB90" i="2"/>
  <c r="C89" i="1" s="1"/>
  <c r="AB91" i="2"/>
  <c r="C90" i="1" s="1"/>
  <c r="AB92" i="2"/>
  <c r="C91" i="1" s="1"/>
  <c r="AB93" i="2"/>
  <c r="C92" i="1" s="1"/>
  <c r="AB94" i="2"/>
  <c r="C93" i="1" s="1"/>
  <c r="AB95" i="2"/>
  <c r="C94" i="1" s="1"/>
  <c r="AB96" i="2"/>
  <c r="C95" i="1" s="1"/>
  <c r="AB97" i="2"/>
  <c r="C96" i="1" s="1"/>
  <c r="AB98" i="2"/>
  <c r="C97" i="1" s="1"/>
  <c r="AB99" i="2"/>
  <c r="C98" i="1" s="1"/>
  <c r="AB100" i="2"/>
  <c r="C99" i="1" s="1"/>
  <c r="AB101" i="2"/>
  <c r="C100" i="1" s="1"/>
  <c r="AB102" i="2"/>
  <c r="C101" i="1" s="1"/>
  <c r="AB103" i="2"/>
  <c r="C102" i="1" s="1"/>
  <c r="AB104" i="2"/>
  <c r="C103" i="1" s="1"/>
  <c r="AB105" i="2"/>
  <c r="C104" i="1" s="1"/>
  <c r="AB106" i="2"/>
  <c r="C105" i="1" s="1"/>
  <c r="AB107" i="2"/>
  <c r="C106" i="1" s="1"/>
  <c r="AB108" i="2"/>
  <c r="C107" i="1" s="1"/>
  <c r="AB109" i="2"/>
  <c r="C108" i="1" s="1"/>
  <c r="AB110" i="2"/>
  <c r="C109" i="1" s="1"/>
  <c r="AB111" i="2"/>
  <c r="C110" i="1" s="1"/>
  <c r="AB112" i="2"/>
  <c r="C111" i="1" s="1"/>
  <c r="AB113" i="2"/>
  <c r="C112" i="1" s="1"/>
  <c r="AB114" i="2"/>
  <c r="C113" i="1" s="1"/>
  <c r="AB115" i="2"/>
  <c r="C114" i="1" s="1"/>
  <c r="AB116" i="2"/>
  <c r="C115" i="1" s="1"/>
  <c r="AB117" i="2"/>
  <c r="C116" i="1" s="1"/>
  <c r="AB118" i="2"/>
  <c r="C117" i="1" s="1"/>
  <c r="AB119" i="2"/>
  <c r="C118" i="1" s="1"/>
  <c r="AB120" i="2"/>
  <c r="C119" i="1" s="1"/>
  <c r="AB121" i="2"/>
  <c r="C120" i="1" s="1"/>
  <c r="AB122" i="2"/>
  <c r="C121" i="1" s="1"/>
  <c r="AB123" i="2"/>
  <c r="C122" i="1" s="1"/>
  <c r="AB124" i="2"/>
  <c r="C123" i="1" s="1"/>
  <c r="AB125" i="2"/>
  <c r="C124" i="1" s="1"/>
  <c r="AB126" i="2"/>
  <c r="C125" i="1" s="1"/>
  <c r="AB127" i="2"/>
  <c r="C126" i="1" s="1"/>
  <c r="AB128" i="2"/>
  <c r="C127" i="1" s="1"/>
  <c r="AB129" i="2"/>
  <c r="C128" i="1" s="1"/>
  <c r="AB130" i="2"/>
  <c r="C129" i="1" s="1"/>
  <c r="AB131" i="2"/>
  <c r="C130" i="1" s="1"/>
  <c r="AB132" i="2"/>
  <c r="C131" i="1" s="1"/>
  <c r="AB133" i="2"/>
  <c r="C132" i="1" s="1"/>
  <c r="AB134" i="2"/>
  <c r="C133" i="1" s="1"/>
  <c r="AB135" i="2"/>
  <c r="C134" i="1" s="1"/>
  <c r="AB136" i="2"/>
  <c r="C135" i="1" s="1"/>
  <c r="AB137" i="2"/>
  <c r="C136" i="1" s="1"/>
  <c r="AB138" i="2"/>
  <c r="C137" i="1" s="1"/>
  <c r="AB139" i="2"/>
  <c r="C138" i="1" s="1"/>
  <c r="AB140" i="2"/>
  <c r="C139" i="1" s="1"/>
  <c r="AB141" i="2"/>
  <c r="C140" i="1" s="1"/>
  <c r="AB142" i="2"/>
  <c r="C141" i="1" s="1"/>
  <c r="AB143" i="2"/>
  <c r="C142" i="1" s="1"/>
  <c r="AB144" i="2"/>
  <c r="C143" i="1" s="1"/>
  <c r="AB145" i="2"/>
  <c r="C144" i="1" s="1"/>
  <c r="AB146" i="2"/>
  <c r="C145" i="1" s="1"/>
  <c r="AB147" i="2"/>
  <c r="C146" i="1" s="1"/>
  <c r="AB148" i="2"/>
  <c r="C147" i="1" s="1"/>
  <c r="AB149" i="2"/>
  <c r="C148" i="1" s="1"/>
  <c r="AB150" i="2"/>
  <c r="C149" i="1" s="1"/>
  <c r="AB151" i="2"/>
  <c r="C150" i="1" s="1"/>
  <c r="AB152" i="2"/>
  <c r="C151" i="1" s="1"/>
  <c r="AB153" i="2"/>
  <c r="C152" i="1" s="1"/>
  <c r="AB154" i="2"/>
  <c r="C153" i="1" s="1"/>
  <c r="AB155" i="2"/>
  <c r="C154" i="1" s="1"/>
  <c r="AB156" i="2"/>
  <c r="C155" i="1" s="1"/>
  <c r="AB157" i="2"/>
  <c r="C156" i="1" s="1"/>
  <c r="AB158" i="2"/>
  <c r="C157" i="1" s="1"/>
  <c r="AB159" i="2"/>
  <c r="C158" i="1" s="1"/>
  <c r="AB160" i="2"/>
  <c r="C159" i="1" s="1"/>
  <c r="AB161" i="2"/>
  <c r="C160" i="1" s="1"/>
  <c r="AB162" i="2"/>
  <c r="C161" i="1" s="1"/>
  <c r="AB163" i="2"/>
  <c r="C162" i="1" s="1"/>
  <c r="AB164" i="2"/>
  <c r="C163" i="1" s="1"/>
  <c r="AB165" i="2"/>
  <c r="C164" i="1" s="1"/>
  <c r="AB166" i="2"/>
  <c r="C165" i="1" s="1"/>
  <c r="AB167" i="2"/>
  <c r="C166" i="1" s="1"/>
  <c r="AB168" i="2"/>
  <c r="C167" i="1" s="1"/>
  <c r="AB169" i="2"/>
  <c r="C168" i="1" s="1"/>
  <c r="AB170" i="2"/>
  <c r="C169" i="1" s="1"/>
  <c r="AB171" i="2"/>
  <c r="C170" i="1" s="1"/>
  <c r="AB172" i="2"/>
  <c r="C171" i="1" s="1"/>
  <c r="AB173" i="2"/>
  <c r="C172" i="1" s="1"/>
  <c r="AB174" i="2"/>
  <c r="C173" i="1" s="1"/>
  <c r="AB175" i="2"/>
  <c r="C174" i="1" s="1"/>
  <c r="AB176" i="2"/>
  <c r="C175" i="1" s="1"/>
  <c r="AB177" i="2"/>
  <c r="C176" i="1" s="1"/>
  <c r="AB178" i="2"/>
  <c r="C177" i="1" s="1"/>
  <c r="AB179" i="2"/>
  <c r="C178" i="1" s="1"/>
  <c r="AB180" i="2"/>
  <c r="C179" i="1" s="1"/>
  <c r="AB181" i="2"/>
  <c r="C180" i="1" s="1"/>
  <c r="AB182" i="2"/>
  <c r="C181" i="1" s="1"/>
  <c r="AB183" i="2"/>
  <c r="C182" i="1" s="1"/>
  <c r="AB184" i="2"/>
  <c r="C183" i="1" s="1"/>
  <c r="AB185" i="2"/>
  <c r="C184" i="1" s="1"/>
  <c r="AB186" i="2"/>
  <c r="C185" i="1" s="1"/>
  <c r="AB187" i="2"/>
  <c r="C186" i="1" s="1"/>
  <c r="AB188" i="2"/>
  <c r="C187" i="1" s="1"/>
  <c r="AB189" i="2"/>
  <c r="C188" i="1" s="1"/>
  <c r="AB190" i="2"/>
  <c r="C189" i="1" s="1"/>
  <c r="AB191" i="2"/>
  <c r="C190" i="1" s="1"/>
  <c r="AB192" i="2"/>
  <c r="C191" i="1" s="1"/>
  <c r="AB193" i="2"/>
  <c r="C192" i="1" s="1"/>
  <c r="AB194" i="2"/>
  <c r="C193" i="1" s="1"/>
  <c r="AB195" i="2"/>
  <c r="C194" i="1" s="1"/>
  <c r="AB196" i="2"/>
  <c r="C195" i="1" s="1"/>
  <c r="AB197" i="2"/>
  <c r="C196" i="1" s="1"/>
  <c r="AB198" i="2"/>
  <c r="C197" i="1" s="1"/>
  <c r="AB199" i="2"/>
  <c r="C198" i="1" s="1"/>
  <c r="AB200" i="2"/>
  <c r="C199" i="1" s="1"/>
  <c r="AB201" i="2"/>
  <c r="C200" i="1" s="1"/>
  <c r="AB202" i="2"/>
  <c r="C201" i="1" s="1"/>
  <c r="AB203" i="2"/>
  <c r="C202" i="1" s="1"/>
  <c r="AB204" i="2"/>
  <c r="C203" i="1" s="1"/>
  <c r="AB205" i="2"/>
  <c r="C204" i="1" s="1"/>
  <c r="AB206" i="2"/>
  <c r="C205" i="1" s="1"/>
  <c r="AB207" i="2"/>
  <c r="C206" i="1" s="1"/>
  <c r="AB208" i="2"/>
  <c r="C207" i="1" s="1"/>
  <c r="AB209" i="2"/>
  <c r="C208" i="1" s="1"/>
  <c r="AB210" i="2"/>
  <c r="C209" i="1" s="1"/>
  <c r="AB211" i="2"/>
  <c r="C210" i="1" s="1"/>
  <c r="AB212" i="2"/>
  <c r="C211" i="1" s="1"/>
  <c r="AB213" i="2"/>
  <c r="C212" i="1" s="1"/>
  <c r="AB214" i="2"/>
  <c r="C213" i="1" s="1"/>
  <c r="AB215" i="2"/>
  <c r="C214" i="1" s="1"/>
  <c r="AB216" i="2"/>
  <c r="C215" i="1" s="1"/>
  <c r="AB217" i="2"/>
  <c r="C216" i="1" s="1"/>
  <c r="AB218" i="2"/>
  <c r="C217" i="1" s="1"/>
  <c r="AB219" i="2"/>
  <c r="C218" i="1" s="1"/>
  <c r="AB220" i="2"/>
  <c r="C219" i="1" s="1"/>
  <c r="AB221" i="2"/>
  <c r="C220" i="1" s="1"/>
  <c r="AB222" i="2"/>
  <c r="C221" i="1" s="1"/>
  <c r="AB223" i="2"/>
  <c r="C222" i="1" s="1"/>
  <c r="AB224" i="2"/>
  <c r="C223" i="1" s="1"/>
  <c r="AB225" i="2"/>
  <c r="C224" i="1" s="1"/>
  <c r="AB226" i="2"/>
  <c r="C225" i="1" s="1"/>
  <c r="AB227" i="2"/>
  <c r="C226" i="1" s="1"/>
  <c r="AB228" i="2"/>
  <c r="C227" i="1" s="1"/>
  <c r="AB229" i="2"/>
  <c r="C228" i="1" s="1"/>
  <c r="AB230" i="2"/>
  <c r="C229" i="1" s="1"/>
  <c r="AB231" i="2"/>
  <c r="C230" i="1" s="1"/>
  <c r="AB232" i="2"/>
  <c r="C231" i="1" s="1"/>
  <c r="AB233" i="2"/>
  <c r="C232" i="1" s="1"/>
  <c r="AB234" i="2"/>
  <c r="C233" i="1" s="1"/>
  <c r="AB235" i="2"/>
  <c r="C234" i="1" s="1"/>
  <c r="AB236" i="2"/>
  <c r="C235" i="1" s="1"/>
  <c r="AB237" i="2"/>
  <c r="C236" i="1" s="1"/>
  <c r="AB238" i="2"/>
  <c r="C237" i="1" s="1"/>
  <c r="AB239" i="2"/>
  <c r="C238" i="1" s="1"/>
  <c r="AB240" i="2"/>
  <c r="C239" i="1" s="1"/>
  <c r="AB241" i="2"/>
  <c r="C240" i="1" s="1"/>
  <c r="AB242" i="2"/>
  <c r="C241" i="1" s="1"/>
  <c r="AB243" i="2"/>
  <c r="C242" i="1" s="1"/>
  <c r="AB244" i="2"/>
  <c r="C243" i="1" s="1"/>
  <c r="AB245" i="2"/>
  <c r="C244" i="1" s="1"/>
  <c r="AB246" i="2"/>
  <c r="C245" i="1" s="1"/>
  <c r="AB247" i="2"/>
  <c r="C246" i="1" s="1"/>
  <c r="AB248" i="2"/>
  <c r="C247" i="1" s="1"/>
  <c r="AB249" i="2"/>
  <c r="C248" i="1" s="1"/>
  <c r="AB250" i="2"/>
  <c r="C249" i="1" s="1"/>
  <c r="AB251" i="2"/>
  <c r="C250" i="1" s="1"/>
  <c r="AB252" i="2"/>
  <c r="C251" i="1" s="1"/>
  <c r="AB253" i="2"/>
  <c r="C252" i="1" s="1"/>
  <c r="AB254" i="2"/>
  <c r="C253" i="1" s="1"/>
  <c r="AB255" i="2"/>
  <c r="C254" i="1" s="1"/>
  <c r="AB256" i="2"/>
  <c r="C255" i="1" s="1"/>
  <c r="AB257" i="2"/>
  <c r="C256" i="1" s="1"/>
  <c r="AB258" i="2"/>
  <c r="C257" i="1" s="1"/>
  <c r="AB259" i="2"/>
  <c r="C258" i="1" s="1"/>
  <c r="AB260" i="2"/>
  <c r="C259" i="1" s="1"/>
  <c r="AB261" i="2"/>
  <c r="C260" i="1" s="1"/>
  <c r="AB262" i="2"/>
  <c r="C261" i="1" s="1"/>
  <c r="AB263" i="2"/>
  <c r="C262" i="1" s="1"/>
  <c r="AB264" i="2"/>
  <c r="C263" i="1" s="1"/>
  <c r="AB265" i="2"/>
  <c r="C264" i="1" s="1"/>
  <c r="AB266" i="2"/>
  <c r="C265" i="1" s="1"/>
  <c r="AB267" i="2"/>
  <c r="C266" i="1" s="1"/>
  <c r="AB268" i="2"/>
  <c r="C267" i="1" s="1"/>
  <c r="AB269" i="2"/>
  <c r="C268" i="1" s="1"/>
  <c r="AB270" i="2"/>
  <c r="C269" i="1" s="1"/>
  <c r="AB271" i="2"/>
  <c r="C270" i="1" s="1"/>
  <c r="AB272" i="2"/>
  <c r="C271" i="1" s="1"/>
  <c r="AB273" i="2"/>
  <c r="C272" i="1" s="1"/>
  <c r="AB274" i="2"/>
  <c r="C273" i="1" s="1"/>
  <c r="AB275" i="2"/>
  <c r="C274" i="1" s="1"/>
  <c r="AB276" i="2"/>
  <c r="C275" i="1" s="1"/>
  <c r="AB277" i="2"/>
  <c r="C276" i="1" s="1"/>
  <c r="AB278" i="2"/>
  <c r="C277" i="1" s="1"/>
  <c r="AB279" i="2"/>
  <c r="C278" i="1" s="1"/>
  <c r="AB280" i="2"/>
  <c r="C279" i="1" s="1"/>
  <c r="AB281" i="2"/>
  <c r="C280" i="1" s="1"/>
  <c r="AB282" i="2"/>
  <c r="C281" i="1" s="1"/>
  <c r="AB283" i="2"/>
  <c r="C282" i="1" s="1"/>
  <c r="AB284" i="2"/>
  <c r="C283" i="1" s="1"/>
  <c r="AB285" i="2"/>
  <c r="C284" i="1" s="1"/>
  <c r="AB286" i="2"/>
  <c r="C285" i="1" s="1"/>
  <c r="AB287" i="2"/>
  <c r="C286" i="1" s="1"/>
  <c r="AB288" i="2"/>
  <c r="C287" i="1" s="1"/>
  <c r="AB289" i="2"/>
  <c r="C288" i="1" s="1"/>
  <c r="AB290" i="2"/>
  <c r="C289" i="1" s="1"/>
  <c r="AB291" i="2"/>
  <c r="C290" i="1" s="1"/>
  <c r="AB292" i="2"/>
  <c r="C291" i="1" s="1"/>
  <c r="AB293" i="2"/>
  <c r="C292" i="1" s="1"/>
  <c r="AB294" i="2"/>
  <c r="C293" i="1" s="1"/>
  <c r="AB295" i="2"/>
  <c r="C294" i="1" s="1"/>
  <c r="AB296" i="2"/>
  <c r="C295" i="1" s="1"/>
  <c r="AB297" i="2"/>
  <c r="C296" i="1" s="1"/>
  <c r="AB298" i="2"/>
  <c r="C297" i="1" s="1"/>
  <c r="AB299" i="2"/>
  <c r="C298" i="1" s="1"/>
  <c r="AB300" i="2"/>
  <c r="C299" i="1" s="1"/>
  <c r="AB301" i="2"/>
  <c r="C300" i="1" s="1"/>
  <c r="AB302" i="2"/>
  <c r="C301" i="1" s="1"/>
  <c r="AB303" i="2"/>
  <c r="C302" i="1" s="1"/>
  <c r="AB304" i="2"/>
  <c r="C303" i="1" s="1"/>
  <c r="AB305" i="2"/>
  <c r="C304" i="1" s="1"/>
  <c r="AB306" i="2"/>
  <c r="C305" i="1" s="1"/>
  <c r="AB307" i="2"/>
  <c r="C306" i="1" s="1"/>
  <c r="AB308" i="2"/>
  <c r="C307" i="1" s="1"/>
  <c r="AB309" i="2"/>
  <c r="C308" i="1" s="1"/>
  <c r="AB310" i="2"/>
  <c r="C309" i="1" s="1"/>
  <c r="AB311" i="2"/>
  <c r="C310" i="1" s="1"/>
  <c r="AB312" i="2"/>
  <c r="C311" i="1" s="1"/>
  <c r="AB313" i="2"/>
  <c r="C312" i="1" s="1"/>
  <c r="AB314" i="2"/>
  <c r="C313" i="1" s="1"/>
  <c r="AB315" i="2"/>
  <c r="C314" i="1" s="1"/>
  <c r="AB316" i="2"/>
  <c r="C315" i="1" s="1"/>
  <c r="AB317" i="2"/>
  <c r="C316" i="1" s="1"/>
  <c r="AB318" i="2"/>
  <c r="C317" i="1" s="1"/>
  <c r="AB319" i="2"/>
  <c r="C318" i="1" s="1"/>
  <c r="AB320" i="2"/>
  <c r="C319" i="1" s="1"/>
  <c r="AB321" i="2"/>
  <c r="C320" i="1" s="1"/>
  <c r="AB322" i="2"/>
  <c r="C321" i="1" s="1"/>
  <c r="AB323" i="2"/>
  <c r="C322" i="1" s="1"/>
  <c r="AB324" i="2"/>
  <c r="C323" i="1" s="1"/>
  <c r="AB325" i="2"/>
  <c r="C324" i="1" s="1"/>
  <c r="AB326" i="2"/>
  <c r="C325" i="1" s="1"/>
  <c r="AB327" i="2"/>
  <c r="C326" i="1" s="1"/>
  <c r="AB328" i="2"/>
  <c r="C327" i="1" s="1"/>
  <c r="AB329" i="2"/>
  <c r="C328" i="1" s="1"/>
  <c r="AB330" i="2"/>
  <c r="C329" i="1" s="1"/>
  <c r="AB331" i="2"/>
  <c r="C330" i="1" s="1"/>
  <c r="AB332" i="2"/>
  <c r="C331" i="1" s="1"/>
  <c r="AB333" i="2"/>
  <c r="C332" i="1" s="1"/>
  <c r="AB334" i="2"/>
  <c r="C333" i="1" s="1"/>
  <c r="AB335" i="2"/>
  <c r="C334" i="1" s="1"/>
  <c r="AB336" i="2"/>
  <c r="C335" i="1" s="1"/>
  <c r="AB337" i="2"/>
  <c r="C336" i="1" s="1"/>
  <c r="AB338" i="2"/>
  <c r="C337" i="1" s="1"/>
  <c r="AB339" i="2"/>
  <c r="C338" i="1" s="1"/>
  <c r="AB340" i="2"/>
  <c r="C339" i="1" s="1"/>
  <c r="AB341" i="2"/>
  <c r="C340" i="1" s="1"/>
  <c r="AB342" i="2"/>
  <c r="C341" i="1" s="1"/>
  <c r="AB343" i="2"/>
  <c r="C342" i="1" s="1"/>
  <c r="AB344" i="2"/>
  <c r="C343" i="1" s="1"/>
  <c r="AB345" i="2"/>
  <c r="C344" i="1" s="1"/>
  <c r="AB346" i="2"/>
  <c r="C345" i="1" s="1"/>
  <c r="AB347" i="2"/>
  <c r="C346" i="1" s="1"/>
  <c r="AB348" i="2"/>
  <c r="C347" i="1" s="1"/>
  <c r="AB349" i="2"/>
  <c r="C348" i="1" s="1"/>
  <c r="AB350" i="2"/>
  <c r="C349" i="1" s="1"/>
  <c r="AB351" i="2"/>
  <c r="C350" i="1" s="1"/>
  <c r="AB352" i="2"/>
  <c r="C351" i="1" s="1"/>
  <c r="AB353" i="2"/>
  <c r="C352" i="1" s="1"/>
  <c r="AB354" i="2"/>
  <c r="C353" i="1" s="1"/>
  <c r="AB355" i="2"/>
  <c r="C354" i="1" s="1"/>
  <c r="AB356" i="2"/>
  <c r="C355" i="1" s="1"/>
  <c r="AB357" i="2"/>
  <c r="C356" i="1" s="1"/>
  <c r="AB358" i="2"/>
  <c r="C357" i="1" s="1"/>
  <c r="AB359" i="2"/>
  <c r="C358" i="1" s="1"/>
  <c r="AB360" i="2"/>
  <c r="C359" i="1" s="1"/>
  <c r="AB361" i="2"/>
  <c r="C360" i="1" s="1"/>
  <c r="AB362" i="2"/>
  <c r="C361" i="1" s="1"/>
  <c r="AB363" i="2"/>
  <c r="C362" i="1" s="1"/>
  <c r="AB364" i="2"/>
  <c r="C363" i="1" s="1"/>
  <c r="AB365" i="2"/>
  <c r="C364" i="1" s="1"/>
  <c r="AB366" i="2"/>
  <c r="C365" i="1" s="1"/>
  <c r="AB367" i="2"/>
  <c r="C366" i="1" s="1"/>
  <c r="AB368" i="2"/>
  <c r="C367" i="1" s="1"/>
  <c r="AB369" i="2"/>
  <c r="C368" i="1" s="1"/>
  <c r="AB370" i="2"/>
  <c r="C369" i="1" s="1"/>
  <c r="AB371" i="2"/>
  <c r="C370" i="1" s="1"/>
  <c r="AB372" i="2"/>
  <c r="C371" i="1" s="1"/>
  <c r="AB373" i="2"/>
  <c r="C372" i="1" s="1"/>
  <c r="AB374" i="2"/>
  <c r="C373" i="1" s="1"/>
  <c r="AB375" i="2"/>
  <c r="C374" i="1" s="1"/>
  <c r="AB376" i="2"/>
  <c r="C375" i="1" s="1"/>
  <c r="AB377" i="2"/>
  <c r="C376" i="1" s="1"/>
  <c r="AB378" i="2"/>
  <c r="C377" i="1" s="1"/>
  <c r="AB379" i="2"/>
  <c r="C378" i="1" s="1"/>
  <c r="AB380" i="2"/>
  <c r="C379" i="1" s="1"/>
  <c r="AB381" i="2"/>
  <c r="C380" i="1" s="1"/>
  <c r="AB382" i="2"/>
  <c r="C381" i="1" s="1"/>
  <c r="AB383" i="2"/>
  <c r="C382" i="1" s="1"/>
  <c r="AB384" i="2"/>
  <c r="C383" i="1" s="1"/>
  <c r="AB385" i="2"/>
  <c r="C384" i="1" s="1"/>
  <c r="AB386" i="2"/>
  <c r="C385" i="1" s="1"/>
  <c r="AB387" i="2"/>
  <c r="C386" i="1" s="1"/>
  <c r="AB388" i="2"/>
  <c r="C387" i="1" s="1"/>
  <c r="AB389" i="2"/>
  <c r="C388" i="1" s="1"/>
  <c r="AB390" i="2"/>
  <c r="C389" i="1" s="1"/>
  <c r="AB391" i="2"/>
  <c r="C390" i="1" s="1"/>
  <c r="AB392" i="2"/>
  <c r="C391" i="1" s="1"/>
  <c r="AB393" i="2"/>
  <c r="C392" i="1" s="1"/>
  <c r="AB394" i="2"/>
  <c r="C393" i="1" s="1"/>
  <c r="AB395" i="2"/>
  <c r="C394" i="1" s="1"/>
  <c r="AB396" i="2"/>
  <c r="C395" i="1" s="1"/>
  <c r="AB397" i="2"/>
  <c r="C396" i="1" s="1"/>
  <c r="AB398" i="2"/>
  <c r="C397" i="1" s="1"/>
  <c r="AB399" i="2"/>
  <c r="C398" i="1" s="1"/>
  <c r="AB400" i="2"/>
  <c r="C399" i="1" s="1"/>
  <c r="AB401" i="2"/>
  <c r="C400" i="1" s="1"/>
  <c r="AB402" i="2"/>
  <c r="C401" i="1" s="1"/>
  <c r="AB403" i="2"/>
  <c r="C402" i="1" s="1"/>
  <c r="AB404" i="2"/>
  <c r="C403" i="1" s="1"/>
  <c r="AB405" i="2"/>
  <c r="C404" i="1" s="1"/>
  <c r="AB406" i="2"/>
  <c r="C405" i="1" s="1"/>
  <c r="AB407" i="2"/>
  <c r="C406" i="1" s="1"/>
  <c r="AB408" i="2"/>
  <c r="C407" i="1" s="1"/>
  <c r="AB409" i="2"/>
  <c r="C408" i="1" s="1"/>
  <c r="AB410" i="2"/>
  <c r="C409" i="1" s="1"/>
  <c r="AB411" i="2"/>
  <c r="C410" i="1" s="1"/>
  <c r="AB412" i="2"/>
  <c r="C411" i="1" s="1"/>
  <c r="AB413" i="2"/>
  <c r="C412" i="1" s="1"/>
  <c r="AB414" i="2"/>
  <c r="C413" i="1" s="1"/>
  <c r="AB415" i="2"/>
  <c r="C414" i="1" s="1"/>
  <c r="AB416" i="2"/>
  <c r="C415" i="1" s="1"/>
  <c r="AB417" i="2"/>
  <c r="C416" i="1" s="1"/>
  <c r="AB418" i="2"/>
  <c r="C417" i="1" s="1"/>
  <c r="AB419" i="2"/>
  <c r="C418" i="1" s="1"/>
  <c r="AB420" i="2"/>
  <c r="C419" i="1" s="1"/>
  <c r="AB421" i="2"/>
  <c r="C420" i="1" s="1"/>
  <c r="AB422" i="2"/>
  <c r="C421" i="1" s="1"/>
  <c r="AB423" i="2"/>
  <c r="C422" i="1" s="1"/>
  <c r="AB424" i="2"/>
  <c r="C423" i="1" s="1"/>
  <c r="AB425" i="2"/>
  <c r="C424" i="1" s="1"/>
  <c r="AB426" i="2"/>
  <c r="C425" i="1" s="1"/>
  <c r="AB427" i="2"/>
  <c r="C426" i="1" s="1"/>
  <c r="AB428" i="2"/>
  <c r="C427" i="1" s="1"/>
  <c r="AB429" i="2"/>
  <c r="C428" i="1" s="1"/>
  <c r="AB430" i="2"/>
  <c r="C429" i="1" s="1"/>
  <c r="AB431" i="2"/>
  <c r="C430" i="1" s="1"/>
  <c r="AB432" i="2"/>
  <c r="C431" i="1" s="1"/>
  <c r="AB433" i="2"/>
  <c r="C432" i="1" s="1"/>
  <c r="AB434" i="2"/>
  <c r="C433" i="1" s="1"/>
  <c r="AB435" i="2"/>
  <c r="C434" i="1" s="1"/>
  <c r="AB436" i="2"/>
  <c r="C435" i="1" s="1"/>
  <c r="AB437" i="2"/>
  <c r="C436" i="1" s="1"/>
  <c r="AB438" i="2"/>
  <c r="C437" i="1" s="1"/>
  <c r="AB439" i="2"/>
  <c r="C438" i="1" s="1"/>
  <c r="AB440" i="2"/>
  <c r="C439" i="1" s="1"/>
  <c r="AB441" i="2"/>
  <c r="C440" i="1" s="1"/>
  <c r="AB442" i="2"/>
  <c r="C441" i="1" s="1"/>
  <c r="AB443" i="2"/>
  <c r="C442" i="1" s="1"/>
  <c r="AB444" i="2"/>
  <c r="C443" i="1" s="1"/>
  <c r="AB445" i="2"/>
  <c r="C444" i="1" s="1"/>
  <c r="AB446" i="2"/>
  <c r="C445" i="1" s="1"/>
  <c r="AB447" i="2"/>
  <c r="C446" i="1" s="1"/>
  <c r="AB448" i="2"/>
  <c r="C447" i="1" s="1"/>
  <c r="AB449" i="2"/>
  <c r="C448" i="1" s="1"/>
  <c r="AB450" i="2"/>
  <c r="C449" i="1" s="1"/>
  <c r="AB451" i="2"/>
  <c r="C450" i="1" s="1"/>
  <c r="AB452" i="2"/>
  <c r="C451" i="1" s="1"/>
  <c r="AB453" i="2"/>
  <c r="C452" i="1" s="1"/>
  <c r="AB454" i="2"/>
  <c r="C453" i="1" s="1"/>
  <c r="AB455" i="2"/>
  <c r="C454" i="1" s="1"/>
  <c r="AB456" i="2"/>
  <c r="C455" i="1" s="1"/>
  <c r="AB457" i="2"/>
  <c r="C456" i="1" s="1"/>
  <c r="AB458" i="2"/>
  <c r="C457" i="1" s="1"/>
  <c r="AB459" i="2"/>
  <c r="C458" i="1" s="1"/>
  <c r="AB460" i="2"/>
  <c r="C459" i="1" s="1"/>
  <c r="AB461" i="2"/>
  <c r="C460" i="1" s="1"/>
  <c r="AB462" i="2"/>
  <c r="C461" i="1" s="1"/>
  <c r="AB463" i="2"/>
  <c r="C462" i="1" s="1"/>
  <c r="AB464" i="2"/>
  <c r="C463" i="1" s="1"/>
  <c r="AB465" i="2"/>
  <c r="C464" i="1" s="1"/>
  <c r="AB466" i="2"/>
  <c r="C465" i="1" s="1"/>
  <c r="AB467" i="2"/>
  <c r="C466" i="1" s="1"/>
  <c r="AB468" i="2"/>
  <c r="C467" i="1" s="1"/>
  <c r="AB469" i="2"/>
  <c r="C468" i="1" s="1"/>
  <c r="AB470" i="2"/>
  <c r="C469" i="1" s="1"/>
  <c r="AB471" i="2"/>
  <c r="C470" i="1" s="1"/>
  <c r="AB472" i="2"/>
  <c r="C471" i="1" s="1"/>
  <c r="AB473" i="2"/>
  <c r="C472" i="1" s="1"/>
  <c r="AB474" i="2"/>
  <c r="C473" i="1" s="1"/>
  <c r="AB475" i="2"/>
  <c r="C474" i="1" s="1"/>
  <c r="AB476" i="2"/>
  <c r="C475" i="1" s="1"/>
  <c r="AB477" i="2"/>
  <c r="C476" i="1" s="1"/>
  <c r="AB478" i="2"/>
  <c r="C477" i="1" s="1"/>
  <c r="AB479" i="2"/>
  <c r="C478" i="1" s="1"/>
  <c r="AB480" i="2"/>
  <c r="C479" i="1" s="1"/>
  <c r="AB481" i="2"/>
  <c r="C480" i="1" s="1"/>
  <c r="AB482" i="2"/>
  <c r="C481" i="1" s="1"/>
  <c r="AB483" i="2"/>
  <c r="C482" i="1" s="1"/>
  <c r="AB484" i="2"/>
  <c r="C483" i="1" s="1"/>
  <c r="AB485" i="2"/>
  <c r="C484" i="1" s="1"/>
  <c r="AB486" i="2"/>
  <c r="C485" i="1" s="1"/>
  <c r="AB487" i="2"/>
  <c r="C486" i="1" s="1"/>
  <c r="AB488" i="2"/>
  <c r="C487" i="1" s="1"/>
  <c r="AB489" i="2"/>
  <c r="C488" i="1" s="1"/>
  <c r="AB490" i="2"/>
  <c r="C489" i="1" s="1"/>
  <c r="AB491" i="2"/>
  <c r="C490" i="1" s="1"/>
  <c r="AB492" i="2"/>
  <c r="C491" i="1" s="1"/>
  <c r="AB493" i="2"/>
  <c r="C492" i="1" s="1"/>
  <c r="AB494" i="2"/>
  <c r="C493" i="1" s="1"/>
  <c r="AB495" i="2"/>
  <c r="C494" i="1" s="1"/>
  <c r="AB496" i="2"/>
  <c r="C495" i="1" s="1"/>
  <c r="AB497" i="2"/>
  <c r="C496" i="1" s="1"/>
  <c r="AB498" i="2"/>
  <c r="C497" i="1" s="1"/>
  <c r="AB499" i="2"/>
  <c r="C498" i="1" s="1"/>
  <c r="AB500" i="2"/>
  <c r="C499" i="1" s="1"/>
  <c r="AB501" i="2"/>
  <c r="C500" i="1" s="1"/>
  <c r="AB502" i="2"/>
  <c r="C501" i="1" s="1"/>
  <c r="AB503" i="2"/>
  <c r="C502" i="1" s="1"/>
  <c r="AB504" i="2"/>
  <c r="C503" i="1" s="1"/>
  <c r="AB505" i="2"/>
  <c r="C504" i="1" s="1"/>
  <c r="AB506" i="2"/>
  <c r="C505" i="1" s="1"/>
  <c r="AB507" i="2"/>
  <c r="C506" i="1" s="1"/>
  <c r="AB508" i="2"/>
  <c r="C507" i="1" s="1"/>
  <c r="AB509" i="2"/>
  <c r="C508" i="1" s="1"/>
  <c r="AB510" i="2"/>
  <c r="C509" i="1" s="1"/>
  <c r="AB511" i="2"/>
  <c r="C510" i="1" s="1"/>
  <c r="AB512" i="2"/>
  <c r="C511" i="1" s="1"/>
  <c r="AB513" i="2"/>
  <c r="C512" i="1" s="1"/>
  <c r="AB514" i="2"/>
  <c r="C513" i="1" s="1"/>
  <c r="AB515" i="2"/>
  <c r="C514" i="1" s="1"/>
  <c r="AB516" i="2"/>
  <c r="C515" i="1" s="1"/>
  <c r="AB517" i="2"/>
  <c r="C516" i="1" s="1"/>
  <c r="AB518" i="2"/>
  <c r="C517" i="1" s="1"/>
  <c r="AB519" i="2"/>
  <c r="C518" i="1" s="1"/>
  <c r="AB520" i="2"/>
  <c r="C519" i="1" s="1"/>
  <c r="AB521" i="2"/>
  <c r="C520" i="1" s="1"/>
  <c r="AB522" i="2"/>
  <c r="C521" i="1" s="1"/>
  <c r="AB523" i="2"/>
  <c r="C522" i="1" s="1"/>
  <c r="AB524" i="2"/>
  <c r="C523" i="1" s="1"/>
  <c r="AB525" i="2"/>
  <c r="C524" i="1" s="1"/>
  <c r="AB526" i="2"/>
  <c r="C525" i="1" s="1"/>
  <c r="AB527" i="2"/>
  <c r="C526" i="1" s="1"/>
  <c r="AB528" i="2"/>
  <c r="C527" i="1" s="1"/>
  <c r="AB529" i="2"/>
  <c r="C528" i="1" s="1"/>
  <c r="AB530" i="2"/>
  <c r="C529" i="1" s="1"/>
  <c r="AB531" i="2"/>
  <c r="C530" i="1" s="1"/>
  <c r="AB532" i="2"/>
  <c r="C531" i="1" s="1"/>
  <c r="AB533" i="2"/>
  <c r="C532" i="1" s="1"/>
  <c r="AB534" i="2"/>
  <c r="C533" i="1" s="1"/>
  <c r="AB535" i="2"/>
  <c r="C534" i="1" s="1"/>
  <c r="AB536" i="2"/>
  <c r="C535" i="1" s="1"/>
  <c r="AB537" i="2"/>
  <c r="C536" i="1" s="1"/>
  <c r="AB538" i="2"/>
  <c r="C537" i="1" s="1"/>
  <c r="AB539" i="2"/>
  <c r="C538" i="1" s="1"/>
  <c r="AB540" i="2"/>
  <c r="C539" i="1" s="1"/>
  <c r="AB541" i="2"/>
  <c r="C540" i="1" s="1"/>
  <c r="AB542" i="2"/>
  <c r="C541" i="1" s="1"/>
  <c r="AB543" i="2"/>
  <c r="C542" i="1" s="1"/>
  <c r="AB544" i="2"/>
  <c r="C543" i="1" s="1"/>
  <c r="AB545" i="2"/>
  <c r="C544" i="1" s="1"/>
  <c r="AB546" i="2"/>
  <c r="C545" i="1" s="1"/>
  <c r="AB547" i="2"/>
  <c r="C546" i="1" s="1"/>
  <c r="AB548" i="2"/>
  <c r="C547" i="1" s="1"/>
  <c r="AB549" i="2"/>
  <c r="C548" i="1" s="1"/>
  <c r="AB550" i="2"/>
  <c r="C549" i="1" s="1"/>
  <c r="AB551" i="2"/>
  <c r="C550" i="1" s="1"/>
  <c r="AB552" i="2"/>
  <c r="C551" i="1" s="1"/>
  <c r="AB553" i="2"/>
  <c r="C552" i="1" s="1"/>
  <c r="AB554" i="2"/>
  <c r="C553" i="1" s="1"/>
  <c r="AB555" i="2"/>
  <c r="C554" i="1" s="1"/>
  <c r="AB556" i="2"/>
  <c r="C555" i="1" s="1"/>
  <c r="AB557" i="2"/>
  <c r="C556" i="1" s="1"/>
  <c r="AB558" i="2"/>
  <c r="C557" i="1" s="1"/>
  <c r="AB559" i="2"/>
  <c r="C558" i="1" s="1"/>
  <c r="AB560" i="2"/>
  <c r="C559" i="1" s="1"/>
  <c r="AB561" i="2"/>
  <c r="C560" i="1" s="1"/>
  <c r="AB562" i="2"/>
  <c r="C561" i="1" s="1"/>
  <c r="AB563" i="2"/>
  <c r="C562" i="1" s="1"/>
  <c r="AB564" i="2"/>
  <c r="C563" i="1" s="1"/>
  <c r="AB565" i="2"/>
  <c r="C564" i="1" s="1"/>
  <c r="AB566" i="2"/>
  <c r="C565" i="1" s="1"/>
  <c r="AB567" i="2"/>
  <c r="C566" i="1" s="1"/>
  <c r="AB568" i="2"/>
  <c r="C567" i="1" s="1"/>
  <c r="AB569" i="2"/>
  <c r="C568" i="1" s="1"/>
  <c r="AB570" i="2"/>
  <c r="C569" i="1" s="1"/>
  <c r="AB571" i="2"/>
  <c r="C570" i="1" s="1"/>
  <c r="AB572" i="2"/>
  <c r="C571" i="1" s="1"/>
  <c r="AB573" i="2"/>
  <c r="C572" i="1" s="1"/>
  <c r="AB574" i="2"/>
  <c r="C573" i="1" s="1"/>
  <c r="AB575" i="2"/>
  <c r="C574" i="1" s="1"/>
  <c r="AB576" i="2"/>
  <c r="C575" i="1" s="1"/>
  <c r="AB577" i="2"/>
  <c r="C576" i="1" s="1"/>
  <c r="AB578" i="2"/>
  <c r="C577" i="1" s="1"/>
  <c r="AB579" i="2"/>
  <c r="C578" i="1" s="1"/>
  <c r="AB580" i="2"/>
  <c r="C579" i="1" s="1"/>
  <c r="AB581" i="2"/>
  <c r="C580" i="1" s="1"/>
  <c r="AB582" i="2"/>
  <c r="C581" i="1" s="1"/>
  <c r="AB583" i="2"/>
  <c r="C582" i="1" s="1"/>
  <c r="AB584" i="2"/>
  <c r="C583" i="1" s="1"/>
  <c r="AB585" i="2"/>
  <c r="C584" i="1" s="1"/>
  <c r="AB586" i="2"/>
  <c r="C585" i="1" s="1"/>
  <c r="AB587" i="2"/>
  <c r="C586" i="1" s="1"/>
  <c r="AB588" i="2"/>
  <c r="C587" i="1" s="1"/>
  <c r="AB589" i="2"/>
  <c r="C588" i="1" s="1"/>
  <c r="AB590" i="2"/>
  <c r="C589" i="1" s="1"/>
  <c r="AB591" i="2"/>
  <c r="C590" i="1" s="1"/>
  <c r="AB592" i="2"/>
  <c r="C591" i="1" s="1"/>
  <c r="AB593" i="2"/>
  <c r="C592" i="1" s="1"/>
  <c r="AB594" i="2"/>
  <c r="C593" i="1" s="1"/>
  <c r="AB595" i="2"/>
  <c r="C594" i="1" s="1"/>
  <c r="AB596" i="2"/>
  <c r="C595" i="1" s="1"/>
  <c r="AB597" i="2"/>
  <c r="C596" i="1" s="1"/>
  <c r="AB598" i="2"/>
  <c r="C597" i="1" s="1"/>
  <c r="AB599" i="2"/>
  <c r="C598" i="1" s="1"/>
  <c r="AB600" i="2"/>
  <c r="C599" i="1" s="1"/>
  <c r="AB601" i="2"/>
  <c r="C600" i="1" s="1"/>
  <c r="AB602" i="2"/>
  <c r="C601" i="1" s="1"/>
  <c r="AB603" i="2"/>
  <c r="C602" i="1" s="1"/>
  <c r="AB604" i="2"/>
  <c r="C603" i="1" s="1"/>
  <c r="AB605" i="2"/>
  <c r="C604" i="1" s="1"/>
  <c r="AB606" i="2"/>
  <c r="C605" i="1" s="1"/>
  <c r="AB607" i="2"/>
  <c r="C606" i="1" s="1"/>
  <c r="AB608" i="2"/>
  <c r="C607" i="1" s="1"/>
  <c r="AB609" i="2"/>
  <c r="C608" i="1" s="1"/>
  <c r="AB610" i="2"/>
  <c r="C609" i="1" s="1"/>
  <c r="AB611" i="2"/>
  <c r="C610" i="1" s="1"/>
  <c r="AB612" i="2"/>
  <c r="C611" i="1" s="1"/>
  <c r="AB613" i="2"/>
  <c r="C612" i="1" s="1"/>
  <c r="AB614" i="2"/>
  <c r="C613" i="1" s="1"/>
  <c r="AB615" i="2"/>
  <c r="C614" i="1" s="1"/>
  <c r="AB616" i="2"/>
  <c r="C615" i="1" s="1"/>
  <c r="AB617" i="2"/>
  <c r="C616" i="1" s="1"/>
  <c r="AB618" i="2"/>
  <c r="C617" i="1" s="1"/>
  <c r="AB619" i="2"/>
  <c r="C618" i="1" s="1"/>
  <c r="AB620" i="2"/>
  <c r="C619" i="1" s="1"/>
  <c r="AB621" i="2"/>
  <c r="C620" i="1" s="1"/>
  <c r="AB622" i="2"/>
  <c r="C621" i="1" s="1"/>
  <c r="AB623" i="2"/>
  <c r="C622" i="1" s="1"/>
  <c r="AB3" i="2"/>
  <c r="C2" i="1" s="1"/>
  <c r="AE4" i="2"/>
  <c r="AF4" i="2" s="1"/>
  <c r="AE5" i="2"/>
  <c r="AF5" i="2" s="1"/>
  <c r="AE6" i="2"/>
  <c r="AF6" i="2" s="1"/>
  <c r="AE7" i="2"/>
  <c r="AF7" i="2" s="1"/>
  <c r="AE8" i="2"/>
  <c r="AF8" i="2" s="1"/>
  <c r="AE9" i="2"/>
  <c r="AF9" i="2" s="1"/>
  <c r="AE10" i="2"/>
  <c r="AF10" i="2" s="1"/>
  <c r="AE11" i="2"/>
  <c r="AF11" i="2" s="1"/>
  <c r="AE12" i="2"/>
  <c r="AF12" i="2" s="1"/>
  <c r="AE13" i="2"/>
  <c r="AF13" i="2" s="1"/>
  <c r="AE14" i="2"/>
  <c r="AF14" i="2" s="1"/>
  <c r="AE15" i="2"/>
  <c r="AF15" i="2" s="1"/>
  <c r="AE16" i="2"/>
  <c r="AF16" i="2" s="1"/>
  <c r="AE17" i="2"/>
  <c r="AF17" i="2" s="1"/>
  <c r="AE18" i="2"/>
  <c r="AF18" i="2" s="1"/>
  <c r="AE19" i="2"/>
  <c r="AF19" i="2" s="1"/>
  <c r="AE20" i="2"/>
  <c r="AF20" i="2" s="1"/>
  <c r="AE21" i="2"/>
  <c r="AF21" i="2" s="1"/>
  <c r="AE22" i="2"/>
  <c r="AF22" i="2" s="1"/>
  <c r="AE23" i="2"/>
  <c r="AI23" i="2" s="1"/>
  <c r="BB23" i="2" s="1"/>
  <c r="AE24" i="2"/>
  <c r="AF24" i="2" s="1"/>
  <c r="AE25" i="2"/>
  <c r="AF25" i="2" s="1"/>
  <c r="AE26" i="2"/>
  <c r="AF26" i="2" s="1"/>
  <c r="AE27" i="2"/>
  <c r="AF27" i="2" s="1"/>
  <c r="AE28" i="2"/>
  <c r="AF28" i="2" s="1"/>
  <c r="AE29" i="2"/>
  <c r="AF29" i="2" s="1"/>
  <c r="AE30" i="2"/>
  <c r="AF30" i="2" s="1"/>
  <c r="AE31" i="2"/>
  <c r="AF31" i="2" s="1"/>
  <c r="AE32" i="2"/>
  <c r="AF32" i="2" s="1"/>
  <c r="AE33" i="2"/>
  <c r="AF33" i="2" s="1"/>
  <c r="AE34" i="2"/>
  <c r="AF34" i="2" s="1"/>
  <c r="AE35" i="2"/>
  <c r="AI35" i="2" s="1"/>
  <c r="BB35" i="2" s="1"/>
  <c r="AE36" i="2"/>
  <c r="AF36" i="2" s="1"/>
  <c r="AE37" i="2"/>
  <c r="AF37" i="2" s="1"/>
  <c r="AE38" i="2"/>
  <c r="AF38" i="2" s="1"/>
  <c r="AE39" i="2"/>
  <c r="AF39" i="2" s="1"/>
  <c r="AE40" i="2"/>
  <c r="AF40" i="2" s="1"/>
  <c r="AE41" i="2"/>
  <c r="AF41" i="2" s="1"/>
  <c r="AE42" i="2"/>
  <c r="AF42" i="2" s="1"/>
  <c r="AE43" i="2"/>
  <c r="AF43" i="2" s="1"/>
  <c r="AE44" i="2"/>
  <c r="AF44" i="2" s="1"/>
  <c r="AE45" i="2"/>
  <c r="AF45" i="2" s="1"/>
  <c r="AE46" i="2"/>
  <c r="AF46" i="2" s="1"/>
  <c r="AE47" i="2"/>
  <c r="AF47" i="2" s="1"/>
  <c r="AE48" i="2"/>
  <c r="AF48" i="2" s="1"/>
  <c r="AE49" i="2"/>
  <c r="AF49" i="2" s="1"/>
  <c r="AE50" i="2"/>
  <c r="AF50" i="2" s="1"/>
  <c r="AE51" i="2"/>
  <c r="AI51" i="2" s="1"/>
  <c r="BB51" i="2" s="1"/>
  <c r="AE52" i="2"/>
  <c r="AF52" i="2" s="1"/>
  <c r="AE53" i="2"/>
  <c r="AF53" i="2" s="1"/>
  <c r="AE54" i="2"/>
  <c r="AF54" i="2" s="1"/>
  <c r="AE55" i="2"/>
  <c r="AF55" i="2" s="1"/>
  <c r="AE56" i="2"/>
  <c r="AF56" i="2" s="1"/>
  <c r="AE57" i="2"/>
  <c r="AF57" i="2" s="1"/>
  <c r="AE58" i="2"/>
  <c r="AF58" i="2" s="1"/>
  <c r="AE59" i="2"/>
  <c r="AF59" i="2" s="1"/>
  <c r="AE60" i="2"/>
  <c r="AF60" i="2" s="1"/>
  <c r="AE61" i="2"/>
  <c r="AF61" i="2" s="1"/>
  <c r="AE62" i="2"/>
  <c r="AI62" i="2" s="1"/>
  <c r="BB62" i="2" s="1"/>
  <c r="AE63" i="2"/>
  <c r="AF63" i="2" s="1"/>
  <c r="AE64" i="2"/>
  <c r="AH64" i="2" s="1"/>
  <c r="AE65" i="2"/>
  <c r="AH65" i="2" s="1"/>
  <c r="AE66" i="2"/>
  <c r="AF66" i="2" s="1"/>
  <c r="AE67" i="2"/>
  <c r="AF67" i="2" s="1"/>
  <c r="AE68" i="2"/>
  <c r="AF68" i="2" s="1"/>
  <c r="AE69" i="2"/>
  <c r="AF69" i="2" s="1"/>
  <c r="AE70" i="2"/>
  <c r="AF70" i="2" s="1"/>
  <c r="AE71" i="2"/>
  <c r="AF71" i="2" s="1"/>
  <c r="AE72" i="2"/>
  <c r="AH72" i="2" s="1"/>
  <c r="AE73" i="2"/>
  <c r="AH73" i="2" s="1"/>
  <c r="AE74" i="2"/>
  <c r="AF74" i="2" s="1"/>
  <c r="AE75" i="2"/>
  <c r="AF75" i="2" s="1"/>
  <c r="AE76" i="2"/>
  <c r="AG76" i="2" s="1"/>
  <c r="AE77" i="2"/>
  <c r="AF77" i="2" s="1"/>
  <c r="AE78" i="2"/>
  <c r="AF78" i="2" s="1"/>
  <c r="AE79" i="2"/>
  <c r="AF79" i="2" s="1"/>
  <c r="AE80" i="2"/>
  <c r="AF80" i="2" s="1"/>
  <c r="AE81" i="2"/>
  <c r="AF81" i="2" s="1"/>
  <c r="AE82" i="2"/>
  <c r="AF82" i="2" s="1"/>
  <c r="AE83" i="2"/>
  <c r="AF83" i="2" s="1"/>
  <c r="AE84" i="2"/>
  <c r="AF84" i="2" s="1"/>
  <c r="AE85" i="2"/>
  <c r="AF85" i="2" s="1"/>
  <c r="AE86" i="2"/>
  <c r="AF86" i="2" s="1"/>
  <c r="AE87" i="2"/>
  <c r="AF87" i="2" s="1"/>
  <c r="AE88" i="2"/>
  <c r="AF88" i="2" s="1"/>
  <c r="AE89" i="2"/>
  <c r="AI89" i="2" s="1"/>
  <c r="BB89" i="2" s="1"/>
  <c r="AE90" i="2"/>
  <c r="AF90" i="2" s="1"/>
  <c r="AE91" i="2"/>
  <c r="AF91" i="2" s="1"/>
  <c r="AE92" i="2"/>
  <c r="AF92" i="2" s="1"/>
  <c r="AE93" i="2"/>
  <c r="AF93" i="2" s="1"/>
  <c r="AE94" i="2"/>
  <c r="AF94" i="2" s="1"/>
  <c r="AE95" i="2"/>
  <c r="AI95" i="2" s="1"/>
  <c r="BB95" i="2" s="1"/>
  <c r="AE96" i="2"/>
  <c r="AG96" i="2" s="1"/>
  <c r="AE97" i="2"/>
  <c r="AF97" i="2" s="1"/>
  <c r="AE98" i="2"/>
  <c r="AF98" i="2" s="1"/>
  <c r="AE99" i="2"/>
  <c r="AF99" i="2" s="1"/>
  <c r="AE100" i="2"/>
  <c r="AF100" i="2" s="1"/>
  <c r="AE101" i="2"/>
  <c r="AF101" i="2" s="1"/>
  <c r="AE102" i="2"/>
  <c r="AG102" i="2" s="1"/>
  <c r="AE103" i="2"/>
  <c r="AF103" i="2" s="1"/>
  <c r="AE104" i="2"/>
  <c r="AF104" i="2" s="1"/>
  <c r="AE105" i="2"/>
  <c r="AF105" i="2" s="1"/>
  <c r="AE106" i="2"/>
  <c r="AF106" i="2" s="1"/>
  <c r="AE107" i="2"/>
  <c r="AF107" i="2" s="1"/>
  <c r="AE108" i="2"/>
  <c r="AH108" i="2" s="1"/>
  <c r="AE109" i="2"/>
  <c r="AG109" i="2" s="1"/>
  <c r="AE110" i="2"/>
  <c r="AI110" i="2" s="1"/>
  <c r="BB110" i="2" s="1"/>
  <c r="AE111" i="2"/>
  <c r="AF111" i="2" s="1"/>
  <c r="AE112" i="2"/>
  <c r="AI112" i="2" s="1"/>
  <c r="BB112" i="2" s="1"/>
  <c r="AE113" i="2"/>
  <c r="AH113" i="2" s="1"/>
  <c r="AE114" i="2"/>
  <c r="AF114" i="2" s="1"/>
  <c r="AE115" i="2"/>
  <c r="AF115" i="2" s="1"/>
  <c r="AE116" i="2"/>
  <c r="AG116" i="2" s="1"/>
  <c r="AE117" i="2"/>
  <c r="AF117" i="2" s="1"/>
  <c r="AE118" i="2"/>
  <c r="AF118" i="2" s="1"/>
  <c r="AE119" i="2"/>
  <c r="AI119" i="2" s="1"/>
  <c r="BB119" i="2" s="1"/>
  <c r="AE120" i="2"/>
  <c r="AI120" i="2" s="1"/>
  <c r="BB120" i="2" s="1"/>
  <c r="AE121" i="2"/>
  <c r="AF121" i="2" s="1"/>
  <c r="AE122" i="2"/>
  <c r="AF122" i="2" s="1"/>
  <c r="AE123" i="2"/>
  <c r="AI123" i="2" s="1"/>
  <c r="BB123" i="2" s="1"/>
  <c r="AE124" i="2"/>
  <c r="AG124" i="2" s="1"/>
  <c r="AE125" i="2"/>
  <c r="AF125" i="2" s="1"/>
  <c r="AE126" i="2"/>
  <c r="AH126" i="2" s="1"/>
  <c r="AE127" i="2"/>
  <c r="AI127" i="2" s="1"/>
  <c r="BB127" i="2" s="1"/>
  <c r="AE128" i="2"/>
  <c r="AI128" i="2" s="1"/>
  <c r="BB128" i="2" s="1"/>
  <c r="AE129" i="2"/>
  <c r="AF129" i="2" s="1"/>
  <c r="AE130" i="2"/>
  <c r="AF130" i="2" s="1"/>
  <c r="AE131" i="2"/>
  <c r="AI131" i="2" s="1"/>
  <c r="BB131" i="2" s="1"/>
  <c r="AE132" i="2"/>
  <c r="AF132" i="2" s="1"/>
  <c r="AE133" i="2"/>
  <c r="AF133" i="2" s="1"/>
  <c r="AE134" i="2"/>
  <c r="AF134" i="2" s="1"/>
  <c r="AE135" i="2"/>
  <c r="AF135" i="2" s="1"/>
  <c r="AE136" i="2"/>
  <c r="AF136" i="2" s="1"/>
  <c r="AE137" i="2"/>
  <c r="AI137" i="2" s="1"/>
  <c r="BB137" i="2" s="1"/>
  <c r="AE138" i="2"/>
  <c r="AF138" i="2" s="1"/>
  <c r="AE139" i="2"/>
  <c r="AF139" i="2" s="1"/>
  <c r="AE140" i="2"/>
  <c r="AF140" i="2" s="1"/>
  <c r="AE141" i="2"/>
  <c r="AF141" i="2" s="1"/>
  <c r="AE142" i="2"/>
  <c r="AF142" i="2" s="1"/>
  <c r="AE143" i="2"/>
  <c r="AF143" i="2" s="1"/>
  <c r="AE144" i="2"/>
  <c r="AF144" i="2" s="1"/>
  <c r="AE145" i="2"/>
  <c r="AH145" i="2" s="1"/>
  <c r="AE146" i="2"/>
  <c r="AF146" i="2" s="1"/>
  <c r="AE147" i="2"/>
  <c r="AF147" i="2" s="1"/>
  <c r="AE148" i="2"/>
  <c r="AF148" i="2" s="1"/>
  <c r="AE149" i="2"/>
  <c r="AI149" i="2" s="1"/>
  <c r="BB149" i="2" s="1"/>
  <c r="AE150" i="2"/>
  <c r="AF150" i="2" s="1"/>
  <c r="AE151" i="2"/>
  <c r="AF151" i="2" s="1"/>
  <c r="AE152" i="2"/>
  <c r="AF152" i="2" s="1"/>
  <c r="AE153" i="2"/>
  <c r="AF153" i="2" s="1"/>
  <c r="AE154" i="2"/>
  <c r="AF154" i="2" s="1"/>
  <c r="AE155" i="2"/>
  <c r="AI155" i="2" s="1"/>
  <c r="BB155" i="2" s="1"/>
  <c r="AE156" i="2"/>
  <c r="AH156" i="2" s="1"/>
  <c r="AE157" i="2"/>
  <c r="AH157" i="2" s="1"/>
  <c r="AE158" i="2"/>
  <c r="AH158" i="2" s="1"/>
  <c r="AE159" i="2"/>
  <c r="AF159" i="2" s="1"/>
  <c r="AE160" i="2"/>
  <c r="AF160" i="2" s="1"/>
  <c r="AE161" i="2"/>
  <c r="AF161" i="2" s="1"/>
  <c r="AE162" i="2"/>
  <c r="AF162" i="2" s="1"/>
  <c r="AE163" i="2"/>
  <c r="AF163" i="2" s="1"/>
  <c r="AE164" i="2"/>
  <c r="AF164" i="2" s="1"/>
  <c r="AE165" i="2"/>
  <c r="AF165" i="2" s="1"/>
  <c r="AE166" i="2"/>
  <c r="AF166" i="2" s="1"/>
  <c r="AE167" i="2"/>
  <c r="AI167" i="2" s="1"/>
  <c r="BB167" i="2" s="1"/>
  <c r="AE168" i="2"/>
  <c r="AH168" i="2" s="1"/>
  <c r="AE169" i="2"/>
  <c r="AG169" i="2" s="1"/>
  <c r="AE170" i="2"/>
  <c r="AI170" i="2" s="1"/>
  <c r="BB170" i="2" s="1"/>
  <c r="AE171" i="2"/>
  <c r="AF171" i="2" s="1"/>
  <c r="AE172" i="2"/>
  <c r="AF172" i="2" s="1"/>
  <c r="AE173" i="2"/>
  <c r="AF173" i="2" s="1"/>
  <c r="AE174" i="2"/>
  <c r="AI174" i="2" s="1"/>
  <c r="BB174" i="2" s="1"/>
  <c r="AE175" i="2"/>
  <c r="AF175" i="2" s="1"/>
  <c r="AE176" i="2"/>
  <c r="AG176" i="2" s="1"/>
  <c r="AE177" i="2"/>
  <c r="AF177" i="2" s="1"/>
  <c r="AE178" i="2"/>
  <c r="AF178" i="2" s="1"/>
  <c r="AE179" i="2"/>
  <c r="AF179" i="2" s="1"/>
  <c r="AE180" i="2"/>
  <c r="AI180" i="2" s="1"/>
  <c r="BB180" i="2" s="1"/>
  <c r="AE181" i="2"/>
  <c r="AF181" i="2" s="1"/>
  <c r="AE182" i="2"/>
  <c r="AG182" i="2" s="1"/>
  <c r="AE183" i="2"/>
  <c r="AF183" i="2" s="1"/>
  <c r="AE184" i="2"/>
  <c r="AF184" i="2" s="1"/>
  <c r="AE185" i="2"/>
  <c r="AF185" i="2" s="1"/>
  <c r="AE186" i="2"/>
  <c r="AF186" i="2" s="1"/>
  <c r="AE187" i="2"/>
  <c r="AF187" i="2" s="1"/>
  <c r="AE188" i="2"/>
  <c r="AG188" i="2" s="1"/>
  <c r="AE189" i="2"/>
  <c r="AG189" i="2" s="1"/>
  <c r="AE190" i="2"/>
  <c r="AF190" i="2" s="1"/>
  <c r="AE191" i="2"/>
  <c r="AF191" i="2" s="1"/>
  <c r="AE192" i="2"/>
  <c r="AG192" i="2" s="1"/>
  <c r="AE193" i="2"/>
  <c r="AG193" i="2" s="1"/>
  <c r="AE194" i="2"/>
  <c r="AH194" i="2" s="1"/>
  <c r="AE195" i="2"/>
  <c r="AI195" i="2" s="1"/>
  <c r="BB195" i="2" s="1"/>
  <c r="AE196" i="2"/>
  <c r="AH196" i="2" s="1"/>
  <c r="AE197" i="2"/>
  <c r="AF197" i="2" s="1"/>
  <c r="AE198" i="2"/>
  <c r="AH198" i="2" s="1"/>
  <c r="AE199" i="2"/>
  <c r="AF199" i="2" s="1"/>
  <c r="AE200" i="2"/>
  <c r="AF200" i="2" s="1"/>
  <c r="AE201" i="2"/>
  <c r="AF201" i="2" s="1"/>
  <c r="AE202" i="2"/>
  <c r="AF202" i="2" s="1"/>
  <c r="AE203" i="2"/>
  <c r="AI203" i="2" s="1"/>
  <c r="BB203" i="2" s="1"/>
  <c r="AE204" i="2"/>
  <c r="AF204" i="2" s="1"/>
  <c r="AE205" i="2"/>
  <c r="AF205" i="2" s="1"/>
  <c r="AE206" i="2"/>
  <c r="AI206" i="2" s="1"/>
  <c r="BB206" i="2" s="1"/>
  <c r="AE207" i="2"/>
  <c r="AI207" i="2" s="1"/>
  <c r="BB207" i="2" s="1"/>
  <c r="AE208" i="2"/>
  <c r="AF208" i="2" s="1"/>
  <c r="AE209" i="2"/>
  <c r="AG209" i="2" s="1"/>
  <c r="AE210" i="2"/>
  <c r="AI210" i="2" s="1"/>
  <c r="BB210" i="2" s="1"/>
  <c r="AE211" i="2"/>
  <c r="AF211" i="2" s="1"/>
  <c r="AE212" i="2"/>
  <c r="AF212" i="2" s="1"/>
  <c r="AE213" i="2"/>
  <c r="AF213" i="2" s="1"/>
  <c r="AE214" i="2"/>
  <c r="AF214" i="2" s="1"/>
  <c r="AE215" i="2"/>
  <c r="AF215" i="2" s="1"/>
  <c r="AE216" i="2"/>
  <c r="AF216" i="2" s="1"/>
  <c r="AE217" i="2"/>
  <c r="AG217" i="2" s="1"/>
  <c r="AE218" i="2"/>
  <c r="AH218" i="2" s="1"/>
  <c r="AE219" i="2"/>
  <c r="AF219" i="2" s="1"/>
  <c r="AE220" i="2"/>
  <c r="AF220" i="2" s="1"/>
  <c r="AE221" i="2"/>
  <c r="AF221" i="2" s="1"/>
  <c r="AE222" i="2"/>
  <c r="AF222" i="2" s="1"/>
  <c r="AE223" i="2"/>
  <c r="AF223" i="2" s="1"/>
  <c r="AE224" i="2"/>
  <c r="AG224" i="2" s="1"/>
  <c r="AE225" i="2"/>
  <c r="AI225" i="2" s="1"/>
  <c r="BB225" i="2" s="1"/>
  <c r="AE226" i="2"/>
  <c r="AF226" i="2" s="1"/>
  <c r="AE227" i="2"/>
  <c r="AF227" i="2" s="1"/>
  <c r="AE228" i="2"/>
  <c r="AF228" i="2" s="1"/>
  <c r="AE229" i="2"/>
  <c r="AF229" i="2" s="1"/>
  <c r="AE230" i="2"/>
  <c r="AG230" i="2" s="1"/>
  <c r="AE231" i="2"/>
  <c r="AF231" i="2" s="1"/>
  <c r="AE232" i="2"/>
  <c r="AF232" i="2" s="1"/>
  <c r="AE233" i="2"/>
  <c r="AF233" i="2" s="1"/>
  <c r="AE234" i="2"/>
  <c r="AI234" i="2" s="1"/>
  <c r="BB234" i="2" s="1"/>
  <c r="AE235" i="2"/>
  <c r="AI235" i="2" s="1"/>
  <c r="BB235" i="2" s="1"/>
  <c r="AE236" i="2"/>
  <c r="AF236" i="2" s="1"/>
  <c r="AE237" i="2"/>
  <c r="AF237" i="2" s="1"/>
  <c r="AE238" i="2"/>
  <c r="AF238" i="2" s="1"/>
  <c r="AE239" i="2"/>
  <c r="AI239" i="2" s="1"/>
  <c r="BB239" i="2" s="1"/>
  <c r="AE240" i="2"/>
  <c r="AF240" i="2" s="1"/>
  <c r="AE241" i="2"/>
  <c r="AH241" i="2" s="1"/>
  <c r="AE242" i="2"/>
  <c r="AI242" i="2" s="1"/>
  <c r="BB242" i="2" s="1"/>
  <c r="AE243" i="2"/>
  <c r="AF243" i="2" s="1"/>
  <c r="AE244" i="2"/>
  <c r="AF244" i="2" s="1"/>
  <c r="AE245" i="2"/>
  <c r="AF245" i="2" s="1"/>
  <c r="AE246" i="2"/>
  <c r="AI246" i="2" s="1"/>
  <c r="BB246" i="2" s="1"/>
  <c r="AE247" i="2"/>
  <c r="AF247" i="2" s="1"/>
  <c r="AE248" i="2"/>
  <c r="AF248" i="2" s="1"/>
  <c r="AE249" i="2"/>
  <c r="AF249" i="2" s="1"/>
  <c r="AE250" i="2"/>
  <c r="AF250" i="2" s="1"/>
  <c r="AE251" i="2"/>
  <c r="AF251" i="2" s="1"/>
  <c r="AE252" i="2"/>
  <c r="AF252" i="2" s="1"/>
  <c r="AE253" i="2"/>
  <c r="AG253" i="2" s="1"/>
  <c r="AE254" i="2"/>
  <c r="AF254" i="2" s="1"/>
  <c r="AE255" i="2"/>
  <c r="AF255" i="2" s="1"/>
  <c r="AE256" i="2"/>
  <c r="AH256" i="2" s="1"/>
  <c r="AE257" i="2"/>
  <c r="AF257" i="2" s="1"/>
  <c r="AE258" i="2"/>
  <c r="AF258" i="2" s="1"/>
  <c r="AE259" i="2"/>
  <c r="AF259" i="2" s="1"/>
  <c r="AE260" i="2"/>
  <c r="AF260" i="2" s="1"/>
  <c r="AE261" i="2"/>
  <c r="AF261" i="2" s="1"/>
  <c r="AE262" i="2"/>
  <c r="AF262" i="2" s="1"/>
  <c r="AE263" i="2"/>
  <c r="AI263" i="2" s="1"/>
  <c r="BB263" i="2" s="1"/>
  <c r="AE264" i="2"/>
  <c r="AF264" i="2" s="1"/>
  <c r="AE265" i="2"/>
  <c r="AF265" i="2" s="1"/>
  <c r="AE266" i="2"/>
  <c r="AG266" i="2" s="1"/>
  <c r="AE267" i="2"/>
  <c r="AF267" i="2" s="1"/>
  <c r="AE268" i="2"/>
  <c r="AF268" i="2" s="1"/>
  <c r="AE269" i="2"/>
  <c r="AF269" i="2" s="1"/>
  <c r="AE270" i="2"/>
  <c r="AF270" i="2" s="1"/>
  <c r="AE271" i="2"/>
  <c r="AF271" i="2" s="1"/>
  <c r="AE272" i="2"/>
  <c r="AF272" i="2" s="1"/>
  <c r="AE273" i="2"/>
  <c r="AI273" i="2" s="1"/>
  <c r="BB273" i="2" s="1"/>
  <c r="AE274" i="2"/>
  <c r="AF274" i="2" s="1"/>
  <c r="AE275" i="2"/>
  <c r="AF275" i="2" s="1"/>
  <c r="AE276" i="2"/>
  <c r="AF276" i="2" s="1"/>
  <c r="AE277" i="2"/>
  <c r="AF277" i="2" s="1"/>
  <c r="AE278" i="2"/>
  <c r="AF278" i="2" s="1"/>
  <c r="AE279" i="2"/>
  <c r="AF279" i="2" s="1"/>
  <c r="AE280" i="2"/>
  <c r="AF280" i="2" s="1"/>
  <c r="AE281" i="2"/>
  <c r="AF281" i="2" s="1"/>
  <c r="AE282" i="2"/>
  <c r="AF282" i="2" s="1"/>
  <c r="AE283" i="2"/>
  <c r="AI283" i="2" s="1"/>
  <c r="BB283" i="2" s="1"/>
  <c r="AE284" i="2"/>
  <c r="AF284" i="2" s="1"/>
  <c r="AE285" i="2"/>
  <c r="AF285" i="2" s="1"/>
  <c r="AE286" i="2"/>
  <c r="AF286" i="2" s="1"/>
  <c r="AE287" i="2"/>
  <c r="AI287" i="2" s="1"/>
  <c r="BB287" i="2" s="1"/>
  <c r="AE288" i="2"/>
  <c r="AF288" i="2" s="1"/>
  <c r="AE289" i="2"/>
  <c r="AI289" i="2" s="1"/>
  <c r="AE290" i="2"/>
  <c r="AF290" i="2" s="1"/>
  <c r="AE291" i="2"/>
  <c r="AI291" i="2" s="1"/>
  <c r="BB291" i="2" s="1"/>
  <c r="AE292" i="2"/>
  <c r="AF292" i="2" s="1"/>
  <c r="AE293" i="2"/>
  <c r="AF293" i="2" s="1"/>
  <c r="AE294" i="2"/>
  <c r="AH294" i="2" s="1"/>
  <c r="AE295" i="2"/>
  <c r="AF295" i="2" s="1"/>
  <c r="AE296" i="2"/>
  <c r="AF296" i="2" s="1"/>
  <c r="AE297" i="2"/>
  <c r="AF297" i="2" s="1"/>
  <c r="AE298" i="2"/>
  <c r="AF298" i="2" s="1"/>
  <c r="AE299" i="2"/>
  <c r="AF299" i="2" s="1"/>
  <c r="AE300" i="2"/>
  <c r="AF300" i="2" s="1"/>
  <c r="AE301" i="2"/>
  <c r="AG301" i="2" s="1"/>
  <c r="AE302" i="2"/>
  <c r="AF302" i="2" s="1"/>
  <c r="AE303" i="2"/>
  <c r="AI303" i="2" s="1"/>
  <c r="BB303" i="2" s="1"/>
  <c r="AE304" i="2"/>
  <c r="AF304" i="2" s="1"/>
  <c r="AE305" i="2"/>
  <c r="AF305" i="2" s="1"/>
  <c r="AE306" i="2"/>
  <c r="AF306" i="2" s="1"/>
  <c r="AE307" i="2"/>
  <c r="AF307" i="2" s="1"/>
  <c r="AE308" i="2"/>
  <c r="AF308" i="2" s="1"/>
  <c r="AE309" i="2"/>
  <c r="AF309" i="2" s="1"/>
  <c r="AE310" i="2"/>
  <c r="AF310" i="2" s="1"/>
  <c r="AE311" i="2"/>
  <c r="AF311" i="2" s="1"/>
  <c r="AE312" i="2"/>
  <c r="AF312" i="2" s="1"/>
  <c r="AE313" i="2"/>
  <c r="AF313" i="2" s="1"/>
  <c r="AE314" i="2"/>
  <c r="AF314" i="2" s="1"/>
  <c r="AE315" i="2"/>
  <c r="AF315" i="2" s="1"/>
  <c r="AE316" i="2"/>
  <c r="AF316" i="2" s="1"/>
  <c r="AE317" i="2"/>
  <c r="AF317" i="2" s="1"/>
  <c r="AE318" i="2"/>
  <c r="AF318" i="2" s="1"/>
  <c r="AE319" i="2"/>
  <c r="AF319" i="2" s="1"/>
  <c r="AE320" i="2"/>
  <c r="AF320" i="2" s="1"/>
  <c r="AE321" i="2"/>
  <c r="AF321" i="2" s="1"/>
  <c r="AE322" i="2"/>
  <c r="AH322" i="2" s="1"/>
  <c r="AE323" i="2"/>
  <c r="AF323" i="2" s="1"/>
  <c r="AE324" i="2"/>
  <c r="AF324" i="2" s="1"/>
  <c r="AE325" i="2"/>
  <c r="AF325" i="2" s="1"/>
  <c r="AE326" i="2"/>
  <c r="AF326" i="2" s="1"/>
  <c r="AE327" i="2"/>
  <c r="AF327" i="2" s="1"/>
  <c r="AE328" i="2"/>
  <c r="AF328" i="2" s="1"/>
  <c r="AE329" i="2"/>
  <c r="AF329" i="2" s="1"/>
  <c r="AE330" i="2"/>
  <c r="AF330" i="2" s="1"/>
  <c r="AE331" i="2"/>
  <c r="AF331" i="2" s="1"/>
  <c r="AE332" i="2"/>
  <c r="AG332" i="2" s="1"/>
  <c r="AE333" i="2"/>
  <c r="AF333" i="2" s="1"/>
  <c r="AE334" i="2"/>
  <c r="AF334" i="2" s="1"/>
  <c r="AE335" i="2"/>
  <c r="AF335" i="2" s="1"/>
  <c r="AE336" i="2"/>
  <c r="AF336" i="2" s="1"/>
  <c r="AE337" i="2"/>
  <c r="AF337" i="2" s="1"/>
  <c r="AE338" i="2"/>
  <c r="AF338" i="2" s="1"/>
  <c r="AE339" i="2"/>
  <c r="AF339" i="2" s="1"/>
  <c r="AE340" i="2"/>
  <c r="AF340" i="2" s="1"/>
  <c r="AE341" i="2"/>
  <c r="AF341" i="2" s="1"/>
  <c r="AE342" i="2"/>
  <c r="AF342" i="2" s="1"/>
  <c r="AE343" i="2"/>
  <c r="AF343" i="2" s="1"/>
  <c r="AE344" i="2"/>
  <c r="AF344" i="2" s="1"/>
  <c r="AE345" i="2"/>
  <c r="AF345" i="2" s="1"/>
  <c r="AE346" i="2"/>
  <c r="AF346" i="2" s="1"/>
  <c r="AE347" i="2"/>
  <c r="AF347" i="2" s="1"/>
  <c r="AE348" i="2"/>
  <c r="AF348" i="2" s="1"/>
  <c r="AE349" i="2"/>
  <c r="AF349" i="2" s="1"/>
  <c r="AE350" i="2"/>
  <c r="AF350" i="2" s="1"/>
  <c r="AE351" i="2"/>
  <c r="AF351" i="2" s="1"/>
  <c r="AE352" i="2"/>
  <c r="AF352" i="2" s="1"/>
  <c r="AE353" i="2"/>
  <c r="AF353" i="2" s="1"/>
  <c r="AE354" i="2"/>
  <c r="AF354" i="2" s="1"/>
  <c r="AE355" i="2"/>
  <c r="AF355" i="2" s="1"/>
  <c r="AE356" i="2"/>
  <c r="AF356" i="2" s="1"/>
  <c r="AE357" i="2"/>
  <c r="AF357" i="2" s="1"/>
  <c r="AE358" i="2"/>
  <c r="AF358" i="2" s="1"/>
  <c r="AE359" i="2"/>
  <c r="AF359" i="2" s="1"/>
  <c r="AE360" i="2"/>
  <c r="AF360" i="2" s="1"/>
  <c r="AE361" i="2"/>
  <c r="AF361" i="2" s="1"/>
  <c r="AE362" i="2"/>
  <c r="AH362" i="2" s="1"/>
  <c r="AE363" i="2"/>
  <c r="AF363" i="2" s="1"/>
  <c r="AE364" i="2"/>
  <c r="AF364" i="2" s="1"/>
  <c r="AE365" i="2"/>
  <c r="AF365" i="2" s="1"/>
  <c r="AE366" i="2"/>
  <c r="AF366" i="2" s="1"/>
  <c r="AE367" i="2"/>
  <c r="AF367" i="2" s="1"/>
  <c r="AE368" i="2"/>
  <c r="AF368" i="2" s="1"/>
  <c r="AE369" i="2"/>
  <c r="AF369" i="2" s="1"/>
  <c r="AE370" i="2"/>
  <c r="AF370" i="2" s="1"/>
  <c r="AE371" i="2"/>
  <c r="AF371" i="2" s="1"/>
  <c r="AE372" i="2"/>
  <c r="AF372" i="2" s="1"/>
  <c r="AE373" i="2"/>
  <c r="AF373" i="2" s="1"/>
  <c r="AE374" i="2"/>
  <c r="AF374" i="2" s="1"/>
  <c r="AE375" i="2"/>
  <c r="AF375" i="2" s="1"/>
  <c r="AE376" i="2"/>
  <c r="AI376" i="2" s="1"/>
  <c r="BB376" i="2" s="1"/>
  <c r="AE377" i="2"/>
  <c r="AF377" i="2" s="1"/>
  <c r="AE378" i="2"/>
  <c r="AF378" i="2" s="1"/>
  <c r="AE379" i="2"/>
  <c r="AF379" i="2" s="1"/>
  <c r="AE380" i="2"/>
  <c r="AF380" i="2" s="1"/>
  <c r="AE381" i="2"/>
  <c r="AF381" i="2" s="1"/>
  <c r="AE382" i="2"/>
  <c r="AF382" i="2" s="1"/>
  <c r="AE383" i="2"/>
  <c r="AF383" i="2" s="1"/>
  <c r="AE384" i="2"/>
  <c r="AF384" i="2" s="1"/>
  <c r="AE385" i="2"/>
  <c r="AF385" i="2" s="1"/>
  <c r="AE386" i="2"/>
  <c r="AF386" i="2" s="1"/>
  <c r="AE387" i="2"/>
  <c r="AF387" i="2" s="1"/>
  <c r="AE388" i="2"/>
  <c r="AF388" i="2" s="1"/>
  <c r="AE389" i="2"/>
  <c r="AF389" i="2" s="1"/>
  <c r="AE390" i="2"/>
  <c r="AF390" i="2" s="1"/>
  <c r="AE391" i="2"/>
  <c r="AG391" i="2" s="1"/>
  <c r="AE392" i="2"/>
  <c r="AF392" i="2" s="1"/>
  <c r="AE393" i="2"/>
  <c r="AF393" i="2" s="1"/>
  <c r="AE394" i="2"/>
  <c r="AF394" i="2" s="1"/>
  <c r="AE395" i="2"/>
  <c r="AF395" i="2" s="1"/>
  <c r="AE396" i="2"/>
  <c r="AF396" i="2" s="1"/>
  <c r="AE397" i="2"/>
  <c r="AF397" i="2" s="1"/>
  <c r="AE398" i="2"/>
  <c r="AG398" i="2" s="1"/>
  <c r="AE399" i="2"/>
  <c r="AF399" i="2" s="1"/>
  <c r="AE400" i="2"/>
  <c r="AF400" i="2" s="1"/>
  <c r="AE401" i="2"/>
  <c r="AF401" i="2" s="1"/>
  <c r="AE402" i="2"/>
  <c r="AF402" i="2" s="1"/>
  <c r="AE403" i="2"/>
  <c r="AF403" i="2" s="1"/>
  <c r="AE404" i="2"/>
  <c r="AF404" i="2" s="1"/>
  <c r="AE405" i="2"/>
  <c r="AH405" i="2" s="1"/>
  <c r="AE406" i="2"/>
  <c r="AF406" i="2" s="1"/>
  <c r="AE407" i="2"/>
  <c r="AF407" i="2" s="1"/>
  <c r="AE408" i="2"/>
  <c r="AF408" i="2" s="1"/>
  <c r="AE409" i="2"/>
  <c r="AF409" i="2" s="1"/>
  <c r="AE410" i="2"/>
  <c r="AF410" i="2" s="1"/>
  <c r="AE411" i="2"/>
  <c r="AF411" i="2" s="1"/>
  <c r="AE412" i="2"/>
  <c r="AI412" i="2" s="1"/>
  <c r="BB412" i="2" s="1"/>
  <c r="AE413" i="2"/>
  <c r="AF413" i="2" s="1"/>
  <c r="AE414" i="2"/>
  <c r="AF414" i="2" s="1"/>
  <c r="AE415" i="2"/>
  <c r="AF415" i="2" s="1"/>
  <c r="AE416" i="2"/>
  <c r="AF416" i="2" s="1"/>
  <c r="AE417" i="2"/>
  <c r="AF417" i="2" s="1"/>
  <c r="AE418" i="2"/>
  <c r="AF418" i="2" s="1"/>
  <c r="AE419" i="2"/>
  <c r="AG419" i="2" s="1"/>
  <c r="AE420" i="2"/>
  <c r="AF420" i="2" s="1"/>
  <c r="AE421" i="2"/>
  <c r="AF421" i="2" s="1"/>
  <c r="AE422" i="2"/>
  <c r="AF422" i="2" s="1"/>
  <c r="AE423" i="2"/>
  <c r="AF423" i="2" s="1"/>
  <c r="AE424" i="2"/>
  <c r="AF424" i="2" s="1"/>
  <c r="AE425" i="2"/>
  <c r="AF425" i="2" s="1"/>
  <c r="AE426" i="2"/>
  <c r="AF426" i="2" s="1"/>
  <c r="AE427" i="2"/>
  <c r="AF427" i="2" s="1"/>
  <c r="AE428" i="2"/>
  <c r="AF428" i="2" s="1"/>
  <c r="AE429" i="2"/>
  <c r="AF429" i="2" s="1"/>
  <c r="AE430" i="2"/>
  <c r="AF430" i="2" s="1"/>
  <c r="AE431" i="2"/>
  <c r="AF431" i="2" s="1"/>
  <c r="AE432" i="2"/>
  <c r="AF432" i="2" s="1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F438" i="2" s="1"/>
  <c r="AE439" i="2"/>
  <c r="AF439" i="2" s="1"/>
  <c r="AE440" i="2"/>
  <c r="AF440" i="2" s="1"/>
  <c r="AE441" i="2"/>
  <c r="AF441" i="2" s="1"/>
  <c r="AE442" i="2"/>
  <c r="AF442" i="2" s="1"/>
  <c r="AE443" i="2"/>
  <c r="AF443" i="2" s="1"/>
  <c r="AE444" i="2"/>
  <c r="AF444" i="2" s="1"/>
  <c r="AE445" i="2"/>
  <c r="AF445" i="2" s="1"/>
  <c r="AE446" i="2"/>
  <c r="AF446" i="2" s="1"/>
  <c r="AE447" i="2"/>
  <c r="AI447" i="2" s="1"/>
  <c r="BB447" i="2" s="1"/>
  <c r="AE448" i="2"/>
  <c r="AF448" i="2" s="1"/>
  <c r="AE449" i="2"/>
  <c r="AF449" i="2" s="1"/>
  <c r="AE450" i="2"/>
  <c r="AF450" i="2" s="1"/>
  <c r="AE451" i="2"/>
  <c r="AF451" i="2" s="1"/>
  <c r="AE452" i="2"/>
  <c r="AF452" i="2" s="1"/>
  <c r="AE453" i="2"/>
  <c r="AF453" i="2" s="1"/>
  <c r="AE454" i="2"/>
  <c r="AF454" i="2" s="1"/>
  <c r="AE455" i="2"/>
  <c r="AF455" i="2" s="1"/>
  <c r="AE456" i="2"/>
  <c r="AF456" i="2" s="1"/>
  <c r="AE457" i="2"/>
  <c r="AF457" i="2" s="1"/>
  <c r="AE458" i="2"/>
  <c r="AF458" i="2" s="1"/>
  <c r="AE459" i="2"/>
  <c r="AF459" i="2" s="1"/>
  <c r="AE460" i="2"/>
  <c r="AF460" i="2" s="1"/>
  <c r="AE461" i="2"/>
  <c r="AH461" i="2" s="1"/>
  <c r="AE462" i="2"/>
  <c r="AF462" i="2" s="1"/>
  <c r="AE463" i="2"/>
  <c r="AF463" i="2" s="1"/>
  <c r="AE464" i="2"/>
  <c r="AF464" i="2" s="1"/>
  <c r="AE465" i="2"/>
  <c r="AF465" i="2" s="1"/>
  <c r="AE466" i="2"/>
  <c r="AF466" i="2" s="1"/>
  <c r="AE467" i="2"/>
  <c r="AF467" i="2" s="1"/>
  <c r="AE468" i="2"/>
  <c r="AF468" i="2" s="1"/>
  <c r="AE469" i="2"/>
  <c r="AF469" i="2" s="1"/>
  <c r="AE470" i="2"/>
  <c r="AF470" i="2" s="1"/>
  <c r="AE471" i="2"/>
  <c r="AF471" i="2" s="1"/>
  <c r="AE472" i="2"/>
  <c r="AF472" i="2" s="1"/>
  <c r="AE473" i="2"/>
  <c r="AF473" i="2" s="1"/>
  <c r="AE474" i="2"/>
  <c r="AH474" i="2" s="1"/>
  <c r="AE475" i="2"/>
  <c r="AF475" i="2" s="1"/>
  <c r="AE476" i="2"/>
  <c r="AF476" i="2" s="1"/>
  <c r="AE477" i="2"/>
  <c r="AF477" i="2" s="1"/>
  <c r="AE478" i="2"/>
  <c r="AF478" i="2" s="1"/>
  <c r="AE479" i="2"/>
  <c r="AF479" i="2" s="1"/>
  <c r="AE480" i="2"/>
  <c r="AF480" i="2" s="1"/>
  <c r="AE481" i="2"/>
  <c r="AF481" i="2" s="1"/>
  <c r="AE482" i="2"/>
  <c r="AF482" i="2" s="1"/>
  <c r="AE483" i="2"/>
  <c r="AF483" i="2" s="1"/>
  <c r="AE484" i="2"/>
  <c r="AF484" i="2" s="1"/>
  <c r="AE485" i="2"/>
  <c r="AF485" i="2" s="1"/>
  <c r="AE486" i="2"/>
  <c r="AH486" i="2" s="1"/>
  <c r="AE487" i="2"/>
  <c r="AF487" i="2" s="1"/>
  <c r="AE488" i="2"/>
  <c r="AF488" i="2" s="1"/>
  <c r="AE489" i="2"/>
  <c r="AF489" i="2" s="1"/>
  <c r="AE490" i="2"/>
  <c r="AF490" i="2" s="1"/>
  <c r="AE491" i="2"/>
  <c r="AF491" i="2" s="1"/>
  <c r="AE492" i="2"/>
  <c r="AF492" i="2" s="1"/>
  <c r="AE493" i="2"/>
  <c r="AF493" i="2" s="1"/>
  <c r="AE494" i="2"/>
  <c r="AF494" i="2" s="1"/>
  <c r="AE495" i="2"/>
  <c r="AF495" i="2" s="1"/>
  <c r="AE496" i="2"/>
  <c r="AF496" i="2" s="1"/>
  <c r="AE497" i="2"/>
  <c r="AF497" i="2" s="1"/>
  <c r="AE498" i="2"/>
  <c r="AG498" i="2" s="1"/>
  <c r="AE499" i="2"/>
  <c r="AF499" i="2" s="1"/>
  <c r="AE500" i="2"/>
  <c r="AF500" i="2" s="1"/>
  <c r="AE501" i="2"/>
  <c r="AF501" i="2" s="1"/>
  <c r="AE502" i="2"/>
  <c r="AF502" i="2" s="1"/>
  <c r="AE503" i="2"/>
  <c r="AF503" i="2" s="1"/>
  <c r="AE504" i="2"/>
  <c r="AF504" i="2" s="1"/>
  <c r="AE505" i="2"/>
  <c r="AF505" i="2" s="1"/>
  <c r="AE506" i="2"/>
  <c r="AF506" i="2" s="1"/>
  <c r="AE507" i="2"/>
  <c r="AF507" i="2" s="1"/>
  <c r="AE508" i="2"/>
  <c r="AF508" i="2" s="1"/>
  <c r="AE509" i="2"/>
  <c r="AF509" i="2" s="1"/>
  <c r="AE510" i="2"/>
  <c r="AF510" i="2" s="1"/>
  <c r="AE511" i="2"/>
  <c r="AF511" i="2" s="1"/>
  <c r="AE512" i="2"/>
  <c r="AF512" i="2" s="1"/>
  <c r="AE513" i="2"/>
  <c r="AF513" i="2" s="1"/>
  <c r="AE514" i="2"/>
  <c r="AF514" i="2" s="1"/>
  <c r="AE515" i="2"/>
  <c r="AF515" i="2" s="1"/>
  <c r="AE516" i="2"/>
  <c r="AF516" i="2" s="1"/>
  <c r="AE517" i="2"/>
  <c r="AF517" i="2" s="1"/>
  <c r="AE518" i="2"/>
  <c r="AF518" i="2" s="1"/>
  <c r="AE519" i="2"/>
  <c r="AI519" i="2" s="1"/>
  <c r="AE520" i="2"/>
  <c r="AF520" i="2" s="1"/>
  <c r="AE521" i="2"/>
  <c r="AF521" i="2" s="1"/>
  <c r="AE522" i="2"/>
  <c r="AF522" i="2" s="1"/>
  <c r="AE523" i="2"/>
  <c r="AF523" i="2" s="1"/>
  <c r="AE524" i="2"/>
  <c r="AF524" i="2" s="1"/>
  <c r="AE525" i="2"/>
  <c r="AF525" i="2" s="1"/>
  <c r="AE526" i="2"/>
  <c r="AF526" i="2" s="1"/>
  <c r="AE527" i="2"/>
  <c r="AF527" i="2" s="1"/>
  <c r="AE528" i="2"/>
  <c r="AF528" i="2" s="1"/>
  <c r="AE529" i="2"/>
  <c r="AF529" i="2" s="1"/>
  <c r="AE530" i="2"/>
  <c r="AH530" i="2" s="1"/>
  <c r="AE531" i="2"/>
  <c r="AF531" i="2" s="1"/>
  <c r="AE532" i="2"/>
  <c r="AF532" i="2" s="1"/>
  <c r="AE533" i="2"/>
  <c r="AF533" i="2" s="1"/>
  <c r="AE534" i="2"/>
  <c r="AF534" i="2" s="1"/>
  <c r="AE535" i="2"/>
  <c r="AI535" i="2" s="1"/>
  <c r="BB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F542" i="2" s="1"/>
  <c r="AE543" i="2"/>
  <c r="AF543" i="2" s="1"/>
  <c r="AE544" i="2"/>
  <c r="AF544" i="2" s="1"/>
  <c r="AE545" i="2"/>
  <c r="AF545" i="2" s="1"/>
  <c r="AE546" i="2"/>
  <c r="AH546" i="2" s="1"/>
  <c r="AE547" i="2"/>
  <c r="AF547" i="2" s="1"/>
  <c r="AE548" i="2"/>
  <c r="AF548" i="2" s="1"/>
  <c r="AE549" i="2"/>
  <c r="AF549" i="2" s="1"/>
  <c r="AE550" i="2"/>
  <c r="AF550" i="2" s="1"/>
  <c r="AE551" i="2"/>
  <c r="AI551" i="2" s="1"/>
  <c r="AE552" i="2"/>
  <c r="AF552" i="2" s="1"/>
  <c r="AE553" i="2"/>
  <c r="AF553" i="2" s="1"/>
  <c r="AE554" i="2"/>
  <c r="AF554" i="2" s="1"/>
  <c r="AE555" i="2"/>
  <c r="AF555" i="2" s="1"/>
  <c r="AE556" i="2"/>
  <c r="AF556" i="2" s="1"/>
  <c r="AE557" i="2"/>
  <c r="AH557" i="2" s="1"/>
  <c r="AE558" i="2"/>
  <c r="AF558" i="2" s="1"/>
  <c r="AE559" i="2"/>
  <c r="AF559" i="2" s="1"/>
  <c r="AE560" i="2"/>
  <c r="AF560" i="2" s="1"/>
  <c r="AE561" i="2"/>
  <c r="AF561" i="2" s="1"/>
  <c r="AE562" i="2"/>
  <c r="AH562" i="2" s="1"/>
  <c r="AE563" i="2"/>
  <c r="AF563" i="2" s="1"/>
  <c r="AE564" i="2"/>
  <c r="AF564" i="2" s="1"/>
  <c r="AE565" i="2"/>
  <c r="AF565" i="2" s="1"/>
  <c r="AE566" i="2"/>
  <c r="AF566" i="2" s="1"/>
  <c r="AE567" i="2"/>
  <c r="AF567" i="2" s="1"/>
  <c r="AE568" i="2"/>
  <c r="AF568" i="2" s="1"/>
  <c r="AE569" i="2"/>
  <c r="AF569" i="2" s="1"/>
  <c r="AE570" i="2"/>
  <c r="AF570" i="2" s="1"/>
  <c r="AE571" i="2"/>
  <c r="AF571" i="2" s="1"/>
  <c r="AE572" i="2"/>
  <c r="AF572" i="2" s="1"/>
  <c r="AE573" i="2"/>
  <c r="AF573" i="2" s="1"/>
  <c r="AE574" i="2"/>
  <c r="AF574" i="2" s="1"/>
  <c r="AE575" i="2"/>
  <c r="AF575" i="2" s="1"/>
  <c r="AE576" i="2"/>
  <c r="AF576" i="2" s="1"/>
  <c r="AE577" i="2"/>
  <c r="AF577" i="2" s="1"/>
  <c r="AE578" i="2"/>
  <c r="AH578" i="2" s="1"/>
  <c r="AE579" i="2"/>
  <c r="AF579" i="2" s="1"/>
  <c r="AE580" i="2"/>
  <c r="AF580" i="2" s="1"/>
  <c r="AE581" i="2"/>
  <c r="AF581" i="2" s="1"/>
  <c r="AE582" i="2"/>
  <c r="AF582" i="2" s="1"/>
  <c r="AE583" i="2"/>
  <c r="AF583" i="2" s="1"/>
  <c r="AE584" i="2"/>
  <c r="AF584" i="2" s="1"/>
  <c r="AE585" i="2"/>
  <c r="AF585" i="2" s="1"/>
  <c r="AE586" i="2"/>
  <c r="AF586" i="2" s="1"/>
  <c r="AE587" i="2"/>
  <c r="AF587" i="2" s="1"/>
  <c r="AE588" i="2"/>
  <c r="AF588" i="2" s="1"/>
  <c r="AE589" i="2"/>
  <c r="AF589" i="2" s="1"/>
  <c r="AE590" i="2"/>
  <c r="AF590" i="2" s="1"/>
  <c r="AE591" i="2"/>
  <c r="AG591" i="2" s="1"/>
  <c r="AE592" i="2"/>
  <c r="AF592" i="2" s="1"/>
  <c r="AE593" i="2"/>
  <c r="AF593" i="2" s="1"/>
  <c r="AE594" i="2"/>
  <c r="AF594" i="2" s="1"/>
  <c r="AE595" i="2"/>
  <c r="AG595" i="2" s="1"/>
  <c r="AE596" i="2"/>
  <c r="AF596" i="2" s="1"/>
  <c r="AE597" i="2"/>
  <c r="AF597" i="2" s="1"/>
  <c r="AE598" i="2"/>
  <c r="AF598" i="2" s="1"/>
  <c r="AE599" i="2"/>
  <c r="AG599" i="2" s="1"/>
  <c r="AE600" i="2"/>
  <c r="AF600" i="2" s="1"/>
  <c r="AE601" i="2"/>
  <c r="AF601" i="2" s="1"/>
  <c r="AE602" i="2"/>
  <c r="AF602" i="2" s="1"/>
  <c r="AE603" i="2"/>
  <c r="AG603" i="2" s="1"/>
  <c r="AE604" i="2"/>
  <c r="AF604" i="2" s="1"/>
  <c r="AE605" i="2"/>
  <c r="AF605" i="2" s="1"/>
  <c r="AE606" i="2"/>
  <c r="AF606" i="2" s="1"/>
  <c r="AE607" i="2"/>
  <c r="AG607" i="2" s="1"/>
  <c r="AE608" i="2"/>
  <c r="AF608" i="2" s="1"/>
  <c r="AE609" i="2"/>
  <c r="AF609" i="2" s="1"/>
  <c r="AE610" i="2"/>
  <c r="AF610" i="2" s="1"/>
  <c r="AE611" i="2"/>
  <c r="AG611" i="2" s="1"/>
  <c r="AE612" i="2"/>
  <c r="AF612" i="2" s="1"/>
  <c r="AE613" i="2"/>
  <c r="AF613" i="2" s="1"/>
  <c r="AE614" i="2"/>
  <c r="AF614" i="2" s="1"/>
  <c r="AE615" i="2"/>
  <c r="AG615" i="2" s="1"/>
  <c r="AE616" i="2"/>
  <c r="AF616" i="2" s="1"/>
  <c r="AE617" i="2"/>
  <c r="AF617" i="2" s="1"/>
  <c r="AE618" i="2"/>
  <c r="AF618" i="2" s="1"/>
  <c r="AE619" i="2"/>
  <c r="AF619" i="2" s="1"/>
  <c r="AE620" i="2"/>
  <c r="AF620" i="2" s="1"/>
  <c r="AE621" i="2"/>
  <c r="AF621" i="2" s="1"/>
  <c r="AE622" i="2"/>
  <c r="AF622" i="2" s="1"/>
  <c r="AE623" i="2"/>
  <c r="AF623" i="2" s="1"/>
  <c r="AE3" i="2"/>
  <c r="AF3" i="2" s="1"/>
  <c r="BR620" i="1" l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AE584" i="1"/>
  <c r="AF584" i="1"/>
  <c r="BQ584" i="1"/>
  <c r="BR584" i="1"/>
  <c r="AX584" i="1"/>
  <c r="AY584" i="1"/>
  <c r="BR572" i="1"/>
  <c r="AY572" i="1"/>
  <c r="AF572" i="1"/>
  <c r="AX572" i="1"/>
  <c r="AE572" i="1"/>
  <c r="AX560" i="1"/>
  <c r="AY560" i="1"/>
  <c r="AE560" i="1"/>
  <c r="AF560" i="1"/>
  <c r="BQ560" i="1"/>
  <c r="BR560" i="1"/>
  <c r="AX548" i="1"/>
  <c r="AY548" i="1"/>
  <c r="AE548" i="1"/>
  <c r="AB548" i="1"/>
  <c r="BR548" i="1"/>
  <c r="AU548" i="1"/>
  <c r="BR536" i="1"/>
  <c r="AX536" i="1"/>
  <c r="AU536" i="1"/>
  <c r="AY536" i="1"/>
  <c r="AE536" i="1"/>
  <c r="AB536" i="1"/>
  <c r="AY524" i="1"/>
  <c r="AF524" i="1"/>
  <c r="BR524" i="1"/>
  <c r="AE524" i="1"/>
  <c r="AX524" i="1"/>
  <c r="BR512" i="1"/>
  <c r="AY512" i="1"/>
  <c r="AF512" i="1"/>
  <c r="AX512" i="1"/>
  <c r="AE512" i="1"/>
  <c r="AY500" i="1"/>
  <c r="AF500" i="1"/>
  <c r="BR500" i="1"/>
  <c r="AX500" i="1"/>
  <c r="AE500" i="1"/>
  <c r="AE488" i="1"/>
  <c r="AF488" i="1"/>
  <c r="AX488" i="1"/>
  <c r="AY488" i="1"/>
  <c r="BQ488" i="1"/>
  <c r="BR488" i="1"/>
  <c r="BR476" i="1"/>
  <c r="AY476" i="1"/>
  <c r="AF476" i="1"/>
  <c r="AX476" i="1"/>
  <c r="AE476" i="1"/>
  <c r="BR464" i="1"/>
  <c r="AE464" i="1"/>
  <c r="AF464" i="1"/>
  <c r="AY464" i="1"/>
  <c r="AX464" i="1"/>
  <c r="BQ464" i="1"/>
  <c r="AY452" i="1"/>
  <c r="AF452" i="1"/>
  <c r="BR452" i="1"/>
  <c r="AE452" i="1"/>
  <c r="AX452" i="1"/>
  <c r="AX440" i="1"/>
  <c r="AY440" i="1"/>
  <c r="BQ440" i="1"/>
  <c r="BR440" i="1"/>
  <c r="AE440" i="1"/>
  <c r="AF440" i="1"/>
  <c r="AY428" i="1"/>
  <c r="AF428" i="1"/>
  <c r="BR428" i="1"/>
  <c r="AE428" i="1"/>
  <c r="AX428" i="1"/>
  <c r="AF416" i="1"/>
  <c r="AE416" i="1"/>
  <c r="AY416" i="1"/>
  <c r="BQ416" i="1"/>
  <c r="BR416" i="1"/>
  <c r="AX416" i="1"/>
  <c r="AY404" i="1"/>
  <c r="AE404" i="1"/>
  <c r="AF404" i="1"/>
  <c r="BQ404" i="1"/>
  <c r="BR404" i="1"/>
  <c r="AX404" i="1"/>
  <c r="AF392" i="1"/>
  <c r="BQ392" i="1"/>
  <c r="AX392" i="1"/>
  <c r="AY392" i="1"/>
  <c r="AE392" i="1"/>
  <c r="BR392" i="1"/>
  <c r="AF380" i="1"/>
  <c r="BQ380" i="1"/>
  <c r="BR380" i="1"/>
  <c r="AX380" i="1"/>
  <c r="AY380" i="1"/>
  <c r="AE380" i="1"/>
  <c r="AF368" i="1"/>
  <c r="BR368" i="1"/>
  <c r="AY368" i="1"/>
  <c r="AE368" i="1"/>
  <c r="AX368" i="1"/>
  <c r="AF356" i="1"/>
  <c r="BR356" i="1"/>
  <c r="AY356" i="1"/>
  <c r="AX356" i="1"/>
  <c r="AE356" i="1"/>
  <c r="AY344" i="1"/>
  <c r="AF344" i="1"/>
  <c r="BR344" i="1"/>
  <c r="AX344" i="1"/>
  <c r="AE344" i="1"/>
  <c r="AY332" i="1"/>
  <c r="BR332" i="1"/>
  <c r="AU332" i="1"/>
  <c r="AB332" i="1"/>
  <c r="AX332" i="1"/>
  <c r="AE332" i="1"/>
  <c r="AE320" i="1"/>
  <c r="AX320" i="1"/>
  <c r="AY320" i="1"/>
  <c r="AF320" i="1"/>
  <c r="BQ320" i="1"/>
  <c r="BR320" i="1"/>
  <c r="AY308" i="1"/>
  <c r="AF308" i="1"/>
  <c r="BR308" i="1"/>
  <c r="AX308" i="1"/>
  <c r="AE308" i="1"/>
  <c r="AF296" i="1"/>
  <c r="BQ296" i="1"/>
  <c r="BR296" i="1"/>
  <c r="AX296" i="1"/>
  <c r="AY296" i="1"/>
  <c r="AE296" i="1"/>
  <c r="AY284" i="1"/>
  <c r="AF284" i="1"/>
  <c r="BR284" i="1"/>
  <c r="AE284" i="1"/>
  <c r="AX284" i="1"/>
  <c r="BR272" i="1"/>
  <c r="AF272" i="1"/>
  <c r="AY272" i="1"/>
  <c r="AE272" i="1"/>
  <c r="AX272" i="1"/>
  <c r="AF260" i="1"/>
  <c r="BQ260" i="1"/>
  <c r="AX260" i="1"/>
  <c r="AY260" i="1"/>
  <c r="BR260" i="1"/>
  <c r="AE260" i="1"/>
  <c r="BR248" i="1"/>
  <c r="AX248" i="1"/>
  <c r="AE248" i="1"/>
  <c r="AF248" i="1"/>
  <c r="BQ248" i="1"/>
  <c r="AY248" i="1"/>
  <c r="AE236" i="1"/>
  <c r="AF236" i="1"/>
  <c r="BQ236" i="1"/>
  <c r="BR236" i="1"/>
  <c r="AX236" i="1"/>
  <c r="AY236" i="1"/>
  <c r="AF224" i="1"/>
  <c r="AY224" i="1"/>
  <c r="BR224" i="1"/>
  <c r="AX224" i="1"/>
  <c r="AE224" i="1"/>
  <c r="AY212" i="1"/>
  <c r="AF212" i="1"/>
  <c r="BR212" i="1"/>
  <c r="AE212" i="1"/>
  <c r="AX212" i="1"/>
  <c r="AX200" i="1"/>
  <c r="AY200" i="1"/>
  <c r="AU200" i="1"/>
  <c r="AE200" i="1"/>
  <c r="BR200" i="1"/>
  <c r="AB200" i="1"/>
  <c r="BQ188" i="1"/>
  <c r="BR188" i="1"/>
  <c r="AY188" i="1"/>
  <c r="AE188" i="1"/>
  <c r="AX188" i="1"/>
  <c r="AF188" i="1"/>
  <c r="AE176" i="1"/>
  <c r="AF176" i="1"/>
  <c r="BR176" i="1"/>
  <c r="AY176" i="1"/>
  <c r="AX176" i="1"/>
  <c r="BQ176" i="1"/>
  <c r="AE164" i="1"/>
  <c r="BQ164" i="1"/>
  <c r="BR164" i="1"/>
  <c r="AX164" i="1"/>
  <c r="AY164" i="1"/>
  <c r="AF164" i="1"/>
  <c r="BR152" i="1"/>
  <c r="AY152" i="1"/>
  <c r="AF152" i="1"/>
  <c r="AX152" i="1"/>
  <c r="AE152" i="1"/>
  <c r="BR140" i="1"/>
  <c r="AE140" i="1"/>
  <c r="AX140" i="1"/>
  <c r="AY140" i="1"/>
  <c r="AF140" i="1"/>
  <c r="BQ140" i="1"/>
  <c r="BR128" i="1"/>
  <c r="AX128" i="1"/>
  <c r="AY128" i="1"/>
  <c r="AF128" i="1"/>
  <c r="AE128" i="1"/>
  <c r="BQ128" i="1"/>
  <c r="BQ116" i="1"/>
  <c r="BR116" i="1"/>
  <c r="AE116" i="1"/>
  <c r="AX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BQ80" i="1"/>
  <c r="BR80" i="1"/>
  <c r="AX80" i="1"/>
  <c r="AY80" i="1"/>
  <c r="AE80" i="1"/>
  <c r="AF80" i="1"/>
  <c r="BQ68" i="1"/>
  <c r="BR68" i="1"/>
  <c r="AF68" i="1"/>
  <c r="AX68" i="1"/>
  <c r="AY68" i="1"/>
  <c r="AE68" i="1"/>
  <c r="AE56" i="1"/>
  <c r="AY56" i="1"/>
  <c r="BQ56" i="1"/>
  <c r="AF56" i="1"/>
  <c r="BR56" i="1"/>
  <c r="AX56" i="1"/>
  <c r="AF44" i="1"/>
  <c r="BQ44" i="1"/>
  <c r="AY44" i="1"/>
  <c r="AE44" i="1"/>
  <c r="BR44" i="1"/>
  <c r="AX44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X607" i="1"/>
  <c r="AB607" i="1"/>
  <c r="AY607" i="1"/>
  <c r="AE607" i="1"/>
  <c r="AU607" i="1"/>
  <c r="BR607" i="1"/>
  <c r="AE595" i="1"/>
  <c r="AF595" i="1"/>
  <c r="BQ595" i="1"/>
  <c r="BR595" i="1"/>
  <c r="AX595" i="1"/>
  <c r="AY595" i="1"/>
  <c r="AE583" i="1"/>
  <c r="AF583" i="1"/>
  <c r="BQ583" i="1"/>
  <c r="BR583" i="1"/>
  <c r="AX583" i="1"/>
  <c r="AY583" i="1"/>
  <c r="BR571" i="1"/>
  <c r="AY571" i="1"/>
  <c r="AF571" i="1"/>
  <c r="AX571" i="1"/>
  <c r="AE571" i="1"/>
  <c r="AY559" i="1"/>
  <c r="AE559" i="1"/>
  <c r="AF559" i="1"/>
  <c r="BQ559" i="1"/>
  <c r="BR559" i="1"/>
  <c r="AX559" i="1"/>
  <c r="BQ547" i="1"/>
  <c r="BR547" i="1"/>
  <c r="AY547" i="1"/>
  <c r="AE547" i="1"/>
  <c r="AF547" i="1"/>
  <c r="AX547" i="1"/>
  <c r="AF535" i="1"/>
  <c r="BQ535" i="1"/>
  <c r="BR535" i="1"/>
  <c r="AX535" i="1"/>
  <c r="AY535" i="1"/>
  <c r="AE535" i="1"/>
  <c r="AY523" i="1"/>
  <c r="AF523" i="1"/>
  <c r="BR523" i="1"/>
  <c r="AX523" i="1"/>
  <c r="AE523" i="1"/>
  <c r="AF511" i="1"/>
  <c r="BR511" i="1"/>
  <c r="AY511" i="1"/>
  <c r="AE511" i="1"/>
  <c r="AX511" i="1"/>
  <c r="AY499" i="1"/>
  <c r="AF499" i="1"/>
  <c r="BR499" i="1"/>
  <c r="AX499" i="1"/>
  <c r="AE499" i="1"/>
  <c r="BQ487" i="1"/>
  <c r="BR487" i="1"/>
  <c r="AX487" i="1"/>
  <c r="AY487" i="1"/>
  <c r="AE487" i="1"/>
  <c r="AF487" i="1"/>
  <c r="AY475" i="1"/>
  <c r="AF475" i="1"/>
  <c r="BR475" i="1"/>
  <c r="AE475" i="1"/>
  <c r="AX475" i="1"/>
  <c r="AX463" i="1"/>
  <c r="AY463" i="1"/>
  <c r="AE463" i="1"/>
  <c r="AF463" i="1"/>
  <c r="BQ463" i="1"/>
  <c r="BR463" i="1"/>
  <c r="BR451" i="1"/>
  <c r="AY451" i="1"/>
  <c r="AF451" i="1"/>
  <c r="AE451" i="1"/>
  <c r="AX451" i="1"/>
  <c r="BQ439" i="1"/>
  <c r="BR439" i="1"/>
  <c r="AX439" i="1"/>
  <c r="AY439" i="1"/>
  <c r="AE439" i="1"/>
  <c r="AF439" i="1"/>
  <c r="AY427" i="1"/>
  <c r="AF427" i="1"/>
  <c r="BR427" i="1"/>
  <c r="AE427" i="1"/>
  <c r="AX427" i="1"/>
  <c r="BQ415" i="1"/>
  <c r="BR415" i="1"/>
  <c r="AE415" i="1"/>
  <c r="AF415" i="1"/>
  <c r="AY415" i="1"/>
  <c r="AX415" i="1"/>
  <c r="AF403" i="1"/>
  <c r="AX403" i="1"/>
  <c r="BQ403" i="1"/>
  <c r="AY403" i="1"/>
  <c r="BR403" i="1"/>
  <c r="AE403" i="1"/>
  <c r="AF391" i="1"/>
  <c r="BQ391" i="1"/>
  <c r="AX391" i="1"/>
  <c r="AY391" i="1"/>
  <c r="AE391" i="1"/>
  <c r="BR391" i="1"/>
  <c r="AF379" i="1"/>
  <c r="BQ379" i="1"/>
  <c r="BR379" i="1"/>
  <c r="AX379" i="1"/>
  <c r="AY379" i="1"/>
  <c r="AE379" i="1"/>
  <c r="AB367" i="1"/>
  <c r="AY367" i="1"/>
  <c r="AU367" i="1"/>
  <c r="AX367" i="1"/>
  <c r="AE367" i="1"/>
  <c r="BR367" i="1"/>
  <c r="AF355" i="1"/>
  <c r="BR355" i="1"/>
  <c r="AY355" i="1"/>
  <c r="AX355" i="1"/>
  <c r="AE355" i="1"/>
  <c r="AU343" i="1"/>
  <c r="AX343" i="1"/>
  <c r="AB343" i="1"/>
  <c r="BR343" i="1"/>
  <c r="AY343" i="1"/>
  <c r="AE343" i="1"/>
  <c r="AE331" i="1"/>
  <c r="BR331" i="1"/>
  <c r="AU331" i="1"/>
  <c r="AY331" i="1"/>
  <c r="AB331" i="1"/>
  <c r="AX331" i="1"/>
  <c r="BQ319" i="1"/>
  <c r="BR319" i="1"/>
  <c r="AE319" i="1"/>
  <c r="AF319" i="1"/>
  <c r="AX319" i="1"/>
  <c r="AY319" i="1"/>
  <c r="BR307" i="1"/>
  <c r="AF307" i="1"/>
  <c r="AY307" i="1"/>
  <c r="AE307" i="1"/>
  <c r="AX307" i="1"/>
  <c r="AX295" i="1"/>
  <c r="AE295" i="1"/>
  <c r="AF295" i="1"/>
  <c r="BQ295" i="1"/>
  <c r="BR295" i="1"/>
  <c r="AY295" i="1"/>
  <c r="AF283" i="1"/>
  <c r="AY283" i="1"/>
  <c r="BR283" i="1"/>
  <c r="AE283" i="1"/>
  <c r="AX283" i="1"/>
  <c r="BQ271" i="1"/>
  <c r="AE271" i="1"/>
  <c r="BR271" i="1"/>
  <c r="AF271" i="1"/>
  <c r="AX271" i="1"/>
  <c r="AY271" i="1"/>
  <c r="AF259" i="1"/>
  <c r="BR259" i="1"/>
  <c r="AY259" i="1"/>
  <c r="AX259" i="1"/>
  <c r="AE259" i="1"/>
  <c r="AY247" i="1"/>
  <c r="AF247" i="1"/>
  <c r="BR247" i="1"/>
  <c r="AX247" i="1"/>
  <c r="AE247" i="1"/>
  <c r="BR235" i="1"/>
  <c r="AX235" i="1"/>
  <c r="AY235" i="1"/>
  <c r="AE235" i="1"/>
  <c r="AF235" i="1"/>
  <c r="BQ235" i="1"/>
  <c r="AU223" i="1"/>
  <c r="AX223" i="1"/>
  <c r="BR223" i="1"/>
  <c r="AE223" i="1"/>
  <c r="AY223" i="1"/>
  <c r="AB223" i="1"/>
  <c r="AY211" i="1"/>
  <c r="AF211" i="1"/>
  <c r="BR211" i="1"/>
  <c r="AX211" i="1"/>
  <c r="AE211" i="1"/>
  <c r="AB199" i="1"/>
  <c r="AY199" i="1"/>
  <c r="AX199" i="1"/>
  <c r="AE199" i="1"/>
  <c r="AU199" i="1"/>
  <c r="BR199" i="1"/>
  <c r="AE187" i="1"/>
  <c r="AF187" i="1"/>
  <c r="BQ187" i="1"/>
  <c r="BR187" i="1"/>
  <c r="AX187" i="1"/>
  <c r="AY187" i="1"/>
  <c r="AF175" i="1"/>
  <c r="BQ175" i="1"/>
  <c r="BR175" i="1"/>
  <c r="AY175" i="1"/>
  <c r="AX175" i="1"/>
  <c r="AE175" i="1"/>
  <c r="AY163" i="1"/>
  <c r="AF163" i="1"/>
  <c r="BR163" i="1"/>
  <c r="AE163" i="1"/>
  <c r="AX163" i="1"/>
  <c r="BR151" i="1"/>
  <c r="AY151" i="1"/>
  <c r="AF151" i="1"/>
  <c r="AE151" i="1"/>
  <c r="AX151" i="1"/>
  <c r="AY139" i="1"/>
  <c r="AF139" i="1"/>
  <c r="BQ139" i="1"/>
  <c r="BR139" i="1"/>
  <c r="AE139" i="1"/>
  <c r="AX139" i="1"/>
  <c r="BR127" i="1"/>
  <c r="AY127" i="1"/>
  <c r="AF127" i="1"/>
  <c r="AE127" i="1"/>
  <c r="AX127" i="1"/>
  <c r="AX115" i="1"/>
  <c r="AY115" i="1"/>
  <c r="BQ115" i="1"/>
  <c r="BR115" i="1"/>
  <c r="AE115" i="1"/>
  <c r="AF115" i="1"/>
  <c r="AF103" i="1"/>
  <c r="BR103" i="1"/>
  <c r="AY103" i="1"/>
  <c r="AX103" i="1"/>
  <c r="AE103" i="1"/>
  <c r="AF91" i="1"/>
  <c r="BQ91" i="1"/>
  <c r="AX91" i="1"/>
  <c r="BR91" i="1"/>
  <c r="AY91" i="1"/>
  <c r="AE91" i="1"/>
  <c r="BR79" i="1"/>
  <c r="AX79" i="1"/>
  <c r="AY79" i="1"/>
  <c r="AE79" i="1"/>
  <c r="AF79" i="1"/>
  <c r="BQ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E31" i="1"/>
  <c r="AY31" i="1"/>
  <c r="AF31" i="1"/>
  <c r="AX31" i="1"/>
  <c r="BQ31" i="1"/>
  <c r="AX19" i="1"/>
  <c r="AY19" i="1"/>
  <c r="AF19" i="1"/>
  <c r="BQ19" i="1"/>
  <c r="AE19" i="1"/>
  <c r="BR19" i="1"/>
  <c r="AY7" i="1"/>
  <c r="AE7" i="1"/>
  <c r="AF7" i="1"/>
  <c r="BQ7" i="1"/>
  <c r="BR7" i="1"/>
  <c r="AX7" i="1"/>
  <c r="BQ618" i="1"/>
  <c r="BR618" i="1"/>
  <c r="AE618" i="1"/>
  <c r="AF618" i="1"/>
  <c r="AX618" i="1"/>
  <c r="AY618" i="1"/>
  <c r="AU606" i="1"/>
  <c r="BR606" i="1"/>
  <c r="AX606" i="1"/>
  <c r="AY606" i="1"/>
  <c r="AB606" i="1"/>
  <c r="AE606" i="1"/>
  <c r="BR594" i="1"/>
  <c r="AY594" i="1"/>
  <c r="AF594" i="1"/>
  <c r="AX594" i="1"/>
  <c r="AE594" i="1"/>
  <c r="AE582" i="1"/>
  <c r="AF582" i="1"/>
  <c r="BQ582" i="1"/>
  <c r="BR582" i="1"/>
  <c r="AX582" i="1"/>
  <c r="AY582" i="1"/>
  <c r="BR570" i="1"/>
  <c r="AY570" i="1"/>
  <c r="AF570" i="1"/>
  <c r="AX570" i="1"/>
  <c r="AE570" i="1"/>
  <c r="AX558" i="1"/>
  <c r="AF558" i="1"/>
  <c r="AY558" i="1"/>
  <c r="BQ558" i="1"/>
  <c r="BR558" i="1"/>
  <c r="AE558" i="1"/>
  <c r="BQ546" i="1"/>
  <c r="BR546" i="1"/>
  <c r="AX546" i="1"/>
  <c r="AY546" i="1"/>
  <c r="AE546" i="1"/>
  <c r="AF546" i="1"/>
  <c r="BR534" i="1"/>
  <c r="AY534" i="1"/>
  <c r="AF534" i="1"/>
  <c r="AE534" i="1"/>
  <c r="AX534" i="1"/>
  <c r="AY522" i="1"/>
  <c r="AF522" i="1"/>
  <c r="BR522" i="1"/>
  <c r="AE522" i="1"/>
  <c r="AX522" i="1"/>
  <c r="AY510" i="1"/>
  <c r="AF510" i="1"/>
  <c r="BR510" i="1"/>
  <c r="AE510" i="1"/>
  <c r="AX510" i="1"/>
  <c r="BR498" i="1"/>
  <c r="AY498" i="1"/>
  <c r="AF498" i="1"/>
  <c r="AE498" i="1"/>
  <c r="AX498" i="1"/>
  <c r="AF486" i="1"/>
  <c r="AY486" i="1"/>
  <c r="BR486" i="1"/>
  <c r="AX486" i="1"/>
  <c r="AE486" i="1"/>
  <c r="BR474" i="1"/>
  <c r="AY474" i="1"/>
  <c r="AF474" i="1"/>
  <c r="AX474" i="1"/>
  <c r="AE474" i="1"/>
  <c r="BR462" i="1"/>
  <c r="AX462" i="1"/>
  <c r="AY462" i="1"/>
  <c r="AE462" i="1"/>
  <c r="AF462" i="1"/>
  <c r="BQ462" i="1"/>
  <c r="AU450" i="1"/>
  <c r="AY450" i="1"/>
  <c r="AE450" i="1"/>
  <c r="BR450" i="1"/>
  <c r="AB450" i="1"/>
  <c r="AX450" i="1"/>
  <c r="AX438" i="1"/>
  <c r="BR438" i="1"/>
  <c r="AE438" i="1"/>
  <c r="AY438" i="1"/>
  <c r="AF438" i="1"/>
  <c r="BQ438" i="1"/>
  <c r="AY426" i="1"/>
  <c r="AF426" i="1"/>
  <c r="BR426" i="1"/>
  <c r="AX426" i="1"/>
  <c r="AE426" i="1"/>
  <c r="BR414" i="1"/>
  <c r="AY414" i="1"/>
  <c r="AF414" i="1"/>
  <c r="AE414" i="1"/>
  <c r="AX414" i="1"/>
  <c r="BR402" i="1"/>
  <c r="AE402" i="1"/>
  <c r="AF402" i="1"/>
  <c r="AX402" i="1"/>
  <c r="AY402" i="1"/>
  <c r="BQ402" i="1"/>
  <c r="BQ390" i="1"/>
  <c r="BR390" i="1"/>
  <c r="AX390" i="1"/>
  <c r="AE390" i="1"/>
  <c r="AY390" i="1"/>
  <c r="AF390" i="1"/>
  <c r="AY378" i="1"/>
  <c r="AF378" i="1"/>
  <c r="BQ378" i="1"/>
  <c r="BR378" i="1"/>
  <c r="AX378" i="1"/>
  <c r="AE378" i="1"/>
  <c r="AU366" i="1"/>
  <c r="BR366" i="1"/>
  <c r="AB366" i="1"/>
  <c r="AY366" i="1"/>
  <c r="AE366" i="1"/>
  <c r="AX366" i="1"/>
  <c r="AF354" i="1"/>
  <c r="BR354" i="1"/>
  <c r="AY354" i="1"/>
  <c r="AX354" i="1"/>
  <c r="AE354" i="1"/>
  <c r="AF342" i="1"/>
  <c r="BQ342" i="1"/>
  <c r="BR342" i="1"/>
  <c r="AX342" i="1"/>
  <c r="AY342" i="1"/>
  <c r="AE342" i="1"/>
  <c r="AE330" i="1"/>
  <c r="BR330" i="1"/>
  <c r="AY330" i="1"/>
  <c r="AX330" i="1"/>
  <c r="AB330" i="1"/>
  <c r="AU330" i="1"/>
  <c r="AE318" i="1"/>
  <c r="BQ318" i="1"/>
  <c r="AX318" i="1"/>
  <c r="AY318" i="1"/>
  <c r="BR318" i="1"/>
  <c r="AF318" i="1"/>
  <c r="AF306" i="1"/>
  <c r="BR306" i="1"/>
  <c r="AY306" i="1"/>
  <c r="AE306" i="1"/>
  <c r="AX306" i="1"/>
  <c r="AF294" i="1"/>
  <c r="BQ294" i="1"/>
  <c r="BR294" i="1"/>
  <c r="AX294" i="1"/>
  <c r="AY294" i="1"/>
  <c r="AE294" i="1"/>
  <c r="AY282" i="1"/>
  <c r="AF282" i="1"/>
  <c r="BR282" i="1"/>
  <c r="AE282" i="1"/>
  <c r="AX282" i="1"/>
  <c r="BR270" i="1"/>
  <c r="BQ270" i="1"/>
  <c r="AX270" i="1"/>
  <c r="AY270" i="1"/>
  <c r="AE270" i="1"/>
  <c r="AF270" i="1"/>
  <c r="AB258" i="1"/>
  <c r="AX258" i="1"/>
  <c r="AU258" i="1"/>
  <c r="BR258" i="1"/>
  <c r="AY258" i="1"/>
  <c r="AE258" i="1"/>
  <c r="BR246" i="1"/>
  <c r="AY246" i="1"/>
  <c r="AF246" i="1"/>
  <c r="AX246" i="1"/>
  <c r="AE246" i="1"/>
  <c r="AX234" i="1"/>
  <c r="BQ234" i="1"/>
  <c r="AY234" i="1"/>
  <c r="BR234" i="1"/>
  <c r="AF234" i="1"/>
  <c r="AE234" i="1"/>
  <c r="AU222" i="1"/>
  <c r="AE222" i="1"/>
  <c r="BR222" i="1"/>
  <c r="AX222" i="1"/>
  <c r="AB222" i="1"/>
  <c r="AY222" i="1"/>
  <c r="AY210" i="1"/>
  <c r="AB210" i="1"/>
  <c r="BR210" i="1"/>
  <c r="AX210" i="1"/>
  <c r="AU210" i="1"/>
  <c r="AE210" i="1"/>
  <c r="AE198" i="1"/>
  <c r="AF198" i="1"/>
  <c r="AX198" i="1"/>
  <c r="AY198" i="1"/>
  <c r="BQ198" i="1"/>
  <c r="BR198" i="1"/>
  <c r="AY186" i="1"/>
  <c r="AE186" i="1"/>
  <c r="AF186" i="1"/>
  <c r="BR186" i="1"/>
  <c r="BQ186" i="1"/>
  <c r="AX186" i="1"/>
  <c r="BQ174" i="1"/>
  <c r="BR174" i="1"/>
  <c r="AY174" i="1"/>
  <c r="AE174" i="1"/>
  <c r="AX174" i="1"/>
  <c r="AF174" i="1"/>
  <c r="AY162" i="1"/>
  <c r="BR162" i="1"/>
  <c r="AF162" i="1"/>
  <c r="AX162" i="1"/>
  <c r="AE162" i="1"/>
  <c r="BR150" i="1"/>
  <c r="AF150" i="1"/>
  <c r="AY150" i="1"/>
  <c r="AX150" i="1"/>
  <c r="AE150" i="1"/>
  <c r="AE138" i="1"/>
  <c r="AF138" i="1"/>
  <c r="BQ138" i="1"/>
  <c r="BR138" i="1"/>
  <c r="AX138" i="1"/>
  <c r="AY138" i="1"/>
  <c r="AY126" i="1"/>
  <c r="BR126" i="1"/>
  <c r="AF126" i="1"/>
  <c r="AX126" i="1"/>
  <c r="AE126" i="1"/>
  <c r="AF114" i="1"/>
  <c r="AY114" i="1"/>
  <c r="BR114" i="1"/>
  <c r="AX114" i="1"/>
  <c r="AE114" i="1"/>
  <c r="AY102" i="1"/>
  <c r="AF102" i="1"/>
  <c r="AE102" i="1"/>
  <c r="BQ102" i="1"/>
  <c r="AX102" i="1"/>
  <c r="BR102" i="1"/>
  <c r="AE90" i="1"/>
  <c r="BQ90" i="1"/>
  <c r="BR90" i="1"/>
  <c r="AX90" i="1"/>
  <c r="AF90" i="1"/>
  <c r="AY90" i="1"/>
  <c r="BR78" i="1"/>
  <c r="AX78" i="1"/>
  <c r="AY78" i="1"/>
  <c r="AE78" i="1"/>
  <c r="AF78" i="1"/>
  <c r="BQ78" i="1"/>
  <c r="AY66" i="1"/>
  <c r="AE66" i="1"/>
  <c r="BQ66" i="1"/>
  <c r="BR66" i="1"/>
  <c r="AF66" i="1"/>
  <c r="AX66" i="1"/>
  <c r="AY54" i="1"/>
  <c r="AX54" i="1"/>
  <c r="AF54" i="1"/>
  <c r="BR54" i="1"/>
  <c r="BQ54" i="1"/>
  <c r="AE54" i="1"/>
  <c r="AX42" i="1"/>
  <c r="AY42" i="1"/>
  <c r="BQ42" i="1"/>
  <c r="BR42" i="1"/>
  <c r="AF42" i="1"/>
  <c r="AE42" i="1"/>
  <c r="AF30" i="1"/>
  <c r="BQ30" i="1"/>
  <c r="BR30" i="1"/>
  <c r="AE30" i="1"/>
  <c r="AY30" i="1"/>
  <c r="AX30" i="1"/>
  <c r="AX18" i="1"/>
  <c r="AY18" i="1"/>
  <c r="AE18" i="1"/>
  <c r="AF18" i="1"/>
  <c r="BQ18" i="1"/>
  <c r="BR18" i="1"/>
  <c r="AF6" i="1"/>
  <c r="AX6" i="1"/>
  <c r="AY6" i="1"/>
  <c r="BQ6" i="1"/>
  <c r="BR6" i="1"/>
  <c r="AE6" i="1"/>
  <c r="AE617" i="1"/>
  <c r="AF617" i="1"/>
  <c r="AX617" i="1"/>
  <c r="BQ617" i="1"/>
  <c r="BR617" i="1"/>
  <c r="AY617" i="1"/>
  <c r="AU605" i="1"/>
  <c r="AE605" i="1"/>
  <c r="BR605" i="1"/>
  <c r="AX605" i="1"/>
  <c r="AB605" i="1"/>
  <c r="AY605" i="1"/>
  <c r="AY593" i="1"/>
  <c r="AF593" i="1"/>
  <c r="BR593" i="1"/>
  <c r="AX593" i="1"/>
  <c r="AE593" i="1"/>
  <c r="BQ581" i="1"/>
  <c r="BR581" i="1"/>
  <c r="AX581" i="1"/>
  <c r="AY581" i="1"/>
  <c r="AE581" i="1"/>
  <c r="AF581" i="1"/>
  <c r="AB569" i="1"/>
  <c r="BR569" i="1"/>
  <c r="AX569" i="1"/>
  <c r="AE569" i="1"/>
  <c r="AY569" i="1"/>
  <c r="AU569" i="1"/>
  <c r="AF557" i="1"/>
  <c r="BR557" i="1"/>
  <c r="AY557" i="1"/>
  <c r="AE557" i="1"/>
  <c r="AX557" i="1"/>
  <c r="AB545" i="1"/>
  <c r="AX545" i="1"/>
  <c r="AE545" i="1"/>
  <c r="BR545" i="1"/>
  <c r="AU545" i="1"/>
  <c r="AY545" i="1"/>
  <c r="AX533" i="1"/>
  <c r="AU533" i="1"/>
  <c r="AE533" i="1"/>
  <c r="AY533" i="1"/>
  <c r="BR533" i="1"/>
  <c r="AB533" i="1"/>
  <c r="BR521" i="1"/>
  <c r="AY521" i="1"/>
  <c r="AX521" i="1"/>
  <c r="AU521" i="1"/>
  <c r="AE521" i="1"/>
  <c r="AB521" i="1"/>
  <c r="AU509" i="1"/>
  <c r="AY509" i="1"/>
  <c r="BR509" i="1"/>
  <c r="AX509" i="1"/>
  <c r="AB509" i="1"/>
  <c r="AE509" i="1"/>
  <c r="AY497" i="1"/>
  <c r="AF497" i="1"/>
  <c r="BR497" i="1"/>
  <c r="AE497" i="1"/>
  <c r="AX497" i="1"/>
  <c r="AE485" i="1"/>
  <c r="AX485" i="1"/>
  <c r="AF485" i="1"/>
  <c r="AY485" i="1"/>
  <c r="BQ485" i="1"/>
  <c r="BR485" i="1"/>
  <c r="BR473" i="1"/>
  <c r="AY473" i="1"/>
  <c r="AF473" i="1"/>
  <c r="AX473" i="1"/>
  <c r="AE473" i="1"/>
  <c r="BR461" i="1"/>
  <c r="AX461" i="1"/>
  <c r="AY461" i="1"/>
  <c r="AE461" i="1"/>
  <c r="AF461" i="1"/>
  <c r="BQ461" i="1"/>
  <c r="AY449" i="1"/>
  <c r="AE449" i="1"/>
  <c r="AB449" i="1"/>
  <c r="AU449" i="1"/>
  <c r="BR449" i="1"/>
  <c r="AX449" i="1"/>
  <c r="BQ437" i="1"/>
  <c r="BR437" i="1"/>
  <c r="AX437" i="1"/>
  <c r="AY437" i="1"/>
  <c r="AE437" i="1"/>
  <c r="AF437" i="1"/>
  <c r="AF425" i="1"/>
  <c r="BR425" i="1"/>
  <c r="AY425" i="1"/>
  <c r="AE425" i="1"/>
  <c r="AX425" i="1"/>
  <c r="BR413" i="1"/>
  <c r="AY413" i="1"/>
  <c r="AF413" i="1"/>
  <c r="AE413" i="1"/>
  <c r="AX413" i="1"/>
  <c r="AY401" i="1"/>
  <c r="AF401" i="1"/>
  <c r="BR401" i="1"/>
  <c r="AX401" i="1"/>
  <c r="AE401" i="1"/>
  <c r="AE389" i="1"/>
  <c r="AF389" i="1"/>
  <c r="BQ389" i="1"/>
  <c r="BR389" i="1"/>
  <c r="AX389" i="1"/>
  <c r="AY389" i="1"/>
  <c r="AE377" i="1"/>
  <c r="AF377" i="1"/>
  <c r="BQ377" i="1"/>
  <c r="BR377" i="1"/>
  <c r="AX377" i="1"/>
  <c r="AY377" i="1"/>
  <c r="AE365" i="1"/>
  <c r="AB365" i="1"/>
  <c r="AY365" i="1"/>
  <c r="AX365" i="1"/>
  <c r="AU365" i="1"/>
  <c r="BR365" i="1"/>
  <c r="BR353" i="1"/>
  <c r="AX353" i="1"/>
  <c r="AB353" i="1"/>
  <c r="AY353" i="1"/>
  <c r="AE353" i="1"/>
  <c r="AU353" i="1"/>
  <c r="AY341" i="1"/>
  <c r="AF341" i="1"/>
  <c r="BQ341" i="1"/>
  <c r="BR341" i="1"/>
  <c r="AX341" i="1"/>
  <c r="AE341" i="1"/>
  <c r="AU329" i="1"/>
  <c r="AY329" i="1"/>
  <c r="AB329" i="1"/>
  <c r="AX329" i="1"/>
  <c r="AE329" i="1"/>
  <c r="BR329" i="1"/>
  <c r="AY317" i="1"/>
  <c r="AF317" i="1"/>
  <c r="BQ317" i="1"/>
  <c r="BR317" i="1"/>
  <c r="AE317" i="1"/>
  <c r="AX317" i="1"/>
  <c r="AB305" i="1"/>
  <c r="AX305" i="1"/>
  <c r="AU305" i="1"/>
  <c r="AE305" i="1"/>
  <c r="BR305" i="1"/>
  <c r="AY305" i="1"/>
  <c r="AF293" i="1"/>
  <c r="BR293" i="1"/>
  <c r="AY293" i="1"/>
  <c r="AX293" i="1"/>
  <c r="AE293" i="1"/>
  <c r="AY281" i="1"/>
  <c r="AE281" i="1"/>
  <c r="AF281" i="1"/>
  <c r="BQ281" i="1"/>
  <c r="BR281" i="1"/>
  <c r="AX281" i="1"/>
  <c r="AE269" i="1"/>
  <c r="AY269" i="1"/>
  <c r="AF269" i="1"/>
  <c r="BQ269" i="1"/>
  <c r="AX269" i="1"/>
  <c r="BR269" i="1"/>
  <c r="AF257" i="1"/>
  <c r="BR257" i="1"/>
  <c r="AY257" i="1"/>
  <c r="AX257" i="1"/>
  <c r="AE257" i="1"/>
  <c r="BR245" i="1"/>
  <c r="AY245" i="1"/>
  <c r="AF245" i="1"/>
  <c r="AE245" i="1"/>
  <c r="AX245" i="1"/>
  <c r="BR233" i="1"/>
  <c r="AX233" i="1"/>
  <c r="AY233" i="1"/>
  <c r="AE233" i="1"/>
  <c r="AF233" i="1"/>
  <c r="BQ233" i="1"/>
  <c r="BR221" i="1"/>
  <c r="AY221" i="1"/>
  <c r="AF221" i="1"/>
  <c r="AX221" i="1"/>
  <c r="AE221" i="1"/>
  <c r="AF209" i="1"/>
  <c r="BQ209" i="1"/>
  <c r="BR209" i="1"/>
  <c r="AX209" i="1"/>
  <c r="AY209" i="1"/>
  <c r="AE209" i="1"/>
  <c r="BR197" i="1"/>
  <c r="AX197" i="1"/>
  <c r="AY197" i="1"/>
  <c r="AE197" i="1"/>
  <c r="AF197" i="1"/>
  <c r="BQ197" i="1"/>
  <c r="AY185" i="1"/>
  <c r="AE185" i="1"/>
  <c r="AF185" i="1"/>
  <c r="BQ185" i="1"/>
  <c r="BR185" i="1"/>
  <c r="AX185" i="1"/>
  <c r="BR173" i="1"/>
  <c r="AY173" i="1"/>
  <c r="AF173" i="1"/>
  <c r="AE173" i="1"/>
  <c r="AX173" i="1"/>
  <c r="AY161" i="1"/>
  <c r="AF161" i="1"/>
  <c r="BR161" i="1"/>
  <c r="AX161" i="1"/>
  <c r="AE161" i="1"/>
  <c r="BR149" i="1"/>
  <c r="AY149" i="1"/>
  <c r="AF149" i="1"/>
  <c r="AX149" i="1"/>
  <c r="AE149" i="1"/>
  <c r="AX137" i="1"/>
  <c r="AY137" i="1"/>
  <c r="AE137" i="1"/>
  <c r="AF137" i="1"/>
  <c r="BQ137" i="1"/>
  <c r="BR137" i="1"/>
  <c r="AF125" i="1"/>
  <c r="AY125" i="1"/>
  <c r="BR125" i="1"/>
  <c r="AE125" i="1"/>
  <c r="AX125" i="1"/>
  <c r="BR113" i="1"/>
  <c r="AF113" i="1"/>
  <c r="AY113" i="1"/>
  <c r="AX113" i="1"/>
  <c r="AE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BQ77" i="1"/>
  <c r="BR77" i="1"/>
  <c r="AX77" i="1"/>
  <c r="AE77" i="1"/>
  <c r="AY77" i="1"/>
  <c r="AF77" i="1"/>
  <c r="AX65" i="1"/>
  <c r="BQ65" i="1"/>
  <c r="AF65" i="1"/>
  <c r="AY65" i="1"/>
  <c r="BR65" i="1"/>
  <c r="AE65" i="1"/>
  <c r="BR53" i="1"/>
  <c r="AX53" i="1"/>
  <c r="AE53" i="1"/>
  <c r="AY53" i="1"/>
  <c r="BQ53" i="1"/>
  <c r="AF53" i="1"/>
  <c r="AY41" i="1"/>
  <c r="AE41" i="1"/>
  <c r="BQ41" i="1"/>
  <c r="BR41" i="1"/>
  <c r="AF41" i="1"/>
  <c r="AX41" i="1"/>
  <c r="AF29" i="1"/>
  <c r="AE29" i="1"/>
  <c r="AX29" i="1"/>
  <c r="AY29" i="1"/>
  <c r="BQ29" i="1"/>
  <c r="BR29" i="1"/>
  <c r="AE17" i="1"/>
  <c r="AF17" i="1"/>
  <c r="BQ17" i="1"/>
  <c r="BR17" i="1"/>
  <c r="AX17" i="1"/>
  <c r="AY17" i="1"/>
  <c r="AX5" i="1"/>
  <c r="AY5" i="1"/>
  <c r="AE5" i="1"/>
  <c r="AF5" i="1"/>
  <c r="BR5" i="1"/>
  <c r="BQ5" i="1"/>
  <c r="AF616" i="1"/>
  <c r="BR616" i="1"/>
  <c r="AY616" i="1"/>
  <c r="AX616" i="1"/>
  <c r="AE616" i="1"/>
  <c r="AX604" i="1"/>
  <c r="AY604" i="1"/>
  <c r="AE604" i="1"/>
  <c r="AB604" i="1"/>
  <c r="BR604" i="1"/>
  <c r="AU604" i="1"/>
  <c r="BR592" i="1"/>
  <c r="AY592" i="1"/>
  <c r="AF592" i="1"/>
  <c r="AE592" i="1"/>
  <c r="AX592" i="1"/>
  <c r="BQ580" i="1"/>
  <c r="BR580" i="1"/>
  <c r="AX580" i="1"/>
  <c r="AY580" i="1"/>
  <c r="AF580" i="1"/>
  <c r="AE580" i="1"/>
  <c r="BR568" i="1"/>
  <c r="AB568" i="1"/>
  <c r="AY568" i="1"/>
  <c r="AU568" i="1"/>
  <c r="AE568" i="1"/>
  <c r="AX568" i="1"/>
  <c r="BR556" i="1"/>
  <c r="AY556" i="1"/>
  <c r="AF556" i="1"/>
  <c r="AE556" i="1"/>
  <c r="AX556" i="1"/>
  <c r="AB544" i="1"/>
  <c r="AX544" i="1"/>
  <c r="AE544" i="1"/>
  <c r="AU544" i="1"/>
  <c r="AY544" i="1"/>
  <c r="BR544" i="1"/>
  <c r="AB532" i="1"/>
  <c r="BR532" i="1"/>
  <c r="AU532" i="1"/>
  <c r="AX532" i="1"/>
  <c r="AY532" i="1"/>
  <c r="AE532" i="1"/>
  <c r="AB520" i="1"/>
  <c r="AU520" i="1"/>
  <c r="AX520" i="1"/>
  <c r="AY520" i="1"/>
  <c r="AE520" i="1"/>
  <c r="BR520" i="1"/>
  <c r="AB508" i="1"/>
  <c r="AX508" i="1"/>
  <c r="AY508" i="1"/>
  <c r="AU508" i="1"/>
  <c r="AE508" i="1"/>
  <c r="BR508" i="1"/>
  <c r="AF496" i="1"/>
  <c r="BQ496" i="1"/>
  <c r="BR496" i="1"/>
  <c r="AX496" i="1"/>
  <c r="AY496" i="1"/>
  <c r="AE496" i="1"/>
  <c r="AY484" i="1"/>
  <c r="AE484" i="1"/>
  <c r="AF484" i="1"/>
  <c r="BR484" i="1"/>
  <c r="BQ484" i="1"/>
  <c r="AX484" i="1"/>
  <c r="AY472" i="1"/>
  <c r="AF472" i="1"/>
  <c r="BR472" i="1"/>
  <c r="AE472" i="1"/>
  <c r="AX472" i="1"/>
  <c r="AX460" i="1"/>
  <c r="AY460" i="1"/>
  <c r="AE460" i="1"/>
  <c r="AF460" i="1"/>
  <c r="BR460" i="1"/>
  <c r="BQ460" i="1"/>
  <c r="AX448" i="1"/>
  <c r="BR448" i="1"/>
  <c r="AY448" i="1"/>
  <c r="AE448" i="1"/>
  <c r="AF448" i="1"/>
  <c r="BQ448" i="1"/>
  <c r="AY436" i="1"/>
  <c r="AE436" i="1"/>
  <c r="AF436" i="1"/>
  <c r="BQ436" i="1"/>
  <c r="AX436" i="1"/>
  <c r="BR436" i="1"/>
  <c r="AF424" i="1"/>
  <c r="BR424" i="1"/>
  <c r="AY424" i="1"/>
  <c r="AX424" i="1"/>
  <c r="AE424" i="1"/>
  <c r="AF412" i="1"/>
  <c r="AY412" i="1"/>
  <c r="BR412" i="1"/>
  <c r="AX412" i="1"/>
  <c r="AE412" i="1"/>
  <c r="AY400" i="1"/>
  <c r="AF400" i="1"/>
  <c r="BR400" i="1"/>
  <c r="AX400" i="1"/>
  <c r="AE400" i="1"/>
  <c r="AE388" i="1"/>
  <c r="AF388" i="1"/>
  <c r="BQ388" i="1"/>
  <c r="AX388" i="1"/>
  <c r="BR388" i="1"/>
  <c r="AY388" i="1"/>
  <c r="AE376" i="1"/>
  <c r="AF376" i="1"/>
  <c r="BQ376" i="1"/>
  <c r="BR376" i="1"/>
  <c r="AX376" i="1"/>
  <c r="AY376" i="1"/>
  <c r="AE364" i="1"/>
  <c r="AF364" i="1"/>
  <c r="BQ364" i="1"/>
  <c r="AX364" i="1"/>
  <c r="BR364" i="1"/>
  <c r="AY364" i="1"/>
  <c r="AF352" i="1"/>
  <c r="BQ352" i="1"/>
  <c r="BR352" i="1"/>
  <c r="AX352" i="1"/>
  <c r="AE352" i="1"/>
  <c r="AY352" i="1"/>
  <c r="BQ340" i="1"/>
  <c r="BR340" i="1"/>
  <c r="AX340" i="1"/>
  <c r="AE340" i="1"/>
  <c r="AY340" i="1"/>
  <c r="AF340" i="1"/>
  <c r="BQ328" i="1"/>
  <c r="BR328" i="1"/>
  <c r="AX328" i="1"/>
  <c r="AY328" i="1"/>
  <c r="AE328" i="1"/>
  <c r="AF328" i="1"/>
  <c r="AY316" i="1"/>
  <c r="BR316" i="1"/>
  <c r="AF316" i="1"/>
  <c r="AX316" i="1"/>
  <c r="AE316" i="1"/>
  <c r="AE304" i="1"/>
  <c r="AF304" i="1"/>
  <c r="AX304" i="1"/>
  <c r="AY304" i="1"/>
  <c r="BQ304" i="1"/>
  <c r="BR304" i="1"/>
  <c r="AU292" i="1"/>
  <c r="AB292" i="1"/>
  <c r="BR292" i="1"/>
  <c r="AY292" i="1"/>
  <c r="AX292" i="1"/>
  <c r="AE292" i="1"/>
  <c r="BQ280" i="1"/>
  <c r="BR280" i="1"/>
  <c r="AE280" i="1"/>
  <c r="AX280" i="1"/>
  <c r="AY280" i="1"/>
  <c r="AF280" i="1"/>
  <c r="BQ268" i="1"/>
  <c r="BR268" i="1"/>
  <c r="AX268" i="1"/>
  <c r="AE268" i="1"/>
  <c r="AY268" i="1"/>
  <c r="AF268" i="1"/>
  <c r="AU256" i="1"/>
  <c r="AE256" i="1"/>
  <c r="BR256" i="1"/>
  <c r="AX256" i="1"/>
  <c r="AY256" i="1"/>
  <c r="AB256" i="1"/>
  <c r="AU244" i="1"/>
  <c r="BR244" i="1"/>
  <c r="AB244" i="1"/>
  <c r="AE244" i="1"/>
  <c r="AX244" i="1"/>
  <c r="AY244" i="1"/>
  <c r="AX232" i="1"/>
  <c r="AY232" i="1"/>
  <c r="AE232" i="1"/>
  <c r="AF232" i="1"/>
  <c r="BR232" i="1"/>
  <c r="BQ232" i="1"/>
  <c r="BR220" i="1"/>
  <c r="AF220" i="1"/>
  <c r="AY220" i="1"/>
  <c r="AX220" i="1"/>
  <c r="AE220" i="1"/>
  <c r="BQ208" i="1"/>
  <c r="AX208" i="1"/>
  <c r="AF208" i="1"/>
  <c r="AY208" i="1"/>
  <c r="BR208" i="1"/>
  <c r="AE208" i="1"/>
  <c r="AF196" i="1"/>
  <c r="AY196" i="1"/>
  <c r="BR196" i="1"/>
  <c r="AX196" i="1"/>
  <c r="AE196" i="1"/>
  <c r="AF184" i="1"/>
  <c r="BQ184" i="1"/>
  <c r="BR184" i="1"/>
  <c r="AX184" i="1"/>
  <c r="AY184" i="1"/>
  <c r="AE184" i="1"/>
  <c r="BR172" i="1"/>
  <c r="AY172" i="1"/>
  <c r="AF172" i="1"/>
  <c r="AE172" i="1"/>
  <c r="AX172" i="1"/>
  <c r="BR160" i="1"/>
  <c r="AY160" i="1"/>
  <c r="AF160" i="1"/>
  <c r="AE160" i="1"/>
  <c r="AX160" i="1"/>
  <c r="AY148" i="1"/>
  <c r="AB148" i="1"/>
  <c r="AU148" i="1"/>
  <c r="BR148" i="1"/>
  <c r="AE148" i="1"/>
  <c r="AX148" i="1"/>
  <c r="AE136" i="1"/>
  <c r="AF136" i="1"/>
  <c r="BQ136" i="1"/>
  <c r="BR136" i="1"/>
  <c r="AY136" i="1"/>
  <c r="AX136" i="1"/>
  <c r="BR124" i="1"/>
  <c r="AY124" i="1"/>
  <c r="AB124" i="1"/>
  <c r="AE124" i="1"/>
  <c r="AU124" i="1"/>
  <c r="AX124" i="1"/>
  <c r="BR112" i="1"/>
  <c r="AF112" i="1"/>
  <c r="AY112" i="1"/>
  <c r="AE112" i="1"/>
  <c r="AX112" i="1"/>
  <c r="AE100" i="1"/>
  <c r="AX100" i="1"/>
  <c r="BQ100" i="1"/>
  <c r="AY100" i="1"/>
  <c r="BR100" i="1"/>
  <c r="AF100" i="1"/>
  <c r="AE88" i="1"/>
  <c r="AF88" i="1"/>
  <c r="AX88" i="1"/>
  <c r="AY88" i="1"/>
  <c r="BQ88" i="1"/>
  <c r="BR88" i="1"/>
  <c r="AY76" i="1"/>
  <c r="AX76" i="1"/>
  <c r="AE76" i="1"/>
  <c r="BQ76" i="1"/>
  <c r="AF76" i="1"/>
  <c r="BR76" i="1"/>
  <c r="AY64" i="1"/>
  <c r="AE64" i="1"/>
  <c r="AF64" i="1"/>
  <c r="AX64" i="1"/>
  <c r="BQ64" i="1"/>
  <c r="BR64" i="1"/>
  <c r="AY52" i="1"/>
  <c r="BR52" i="1"/>
  <c r="BQ52" i="1"/>
  <c r="AF52" i="1"/>
  <c r="AE52" i="1"/>
  <c r="AX52" i="1"/>
  <c r="AX40" i="1"/>
  <c r="AF40" i="1"/>
  <c r="BQ40" i="1"/>
  <c r="BR40" i="1"/>
  <c r="AE40" i="1"/>
  <c r="AY40" i="1"/>
  <c r="AF28" i="1"/>
  <c r="BQ28" i="1"/>
  <c r="AY28" i="1"/>
  <c r="BR28" i="1"/>
  <c r="AX28" i="1"/>
  <c r="AE28" i="1"/>
  <c r="AX16" i="1"/>
  <c r="AE16" i="1"/>
  <c r="AY16" i="1"/>
  <c r="AF16" i="1"/>
  <c r="BQ16" i="1"/>
  <c r="BR16" i="1"/>
  <c r="BQ4" i="1"/>
  <c r="BR4" i="1"/>
  <c r="AX4" i="1"/>
  <c r="AE4" i="1"/>
  <c r="AY4" i="1"/>
  <c r="AF4" i="1"/>
  <c r="AF615" i="1"/>
  <c r="AY615" i="1"/>
  <c r="BR615" i="1"/>
  <c r="AE615" i="1"/>
  <c r="AX615" i="1"/>
  <c r="BQ603" i="1"/>
  <c r="BR603" i="1"/>
  <c r="AE603" i="1"/>
  <c r="AX603" i="1"/>
  <c r="AY603" i="1"/>
  <c r="AF603" i="1"/>
  <c r="BR591" i="1"/>
  <c r="AY591" i="1"/>
  <c r="AF591" i="1"/>
  <c r="AX591" i="1"/>
  <c r="AE591" i="1"/>
  <c r="BQ579" i="1"/>
  <c r="BR579" i="1"/>
  <c r="AX579" i="1"/>
  <c r="AY579" i="1"/>
  <c r="AE579" i="1"/>
  <c r="AF579" i="1"/>
  <c r="AY567" i="1"/>
  <c r="BR567" i="1"/>
  <c r="AU567" i="1"/>
  <c r="AE567" i="1"/>
  <c r="AX567" i="1"/>
  <c r="AB567" i="1"/>
  <c r="AY555" i="1"/>
  <c r="BR555" i="1"/>
  <c r="AF555" i="1"/>
  <c r="AE555" i="1"/>
  <c r="AX555" i="1"/>
  <c r="AF543" i="1"/>
  <c r="BQ543" i="1"/>
  <c r="BR543" i="1"/>
  <c r="AX543" i="1"/>
  <c r="AY543" i="1"/>
  <c r="AE543" i="1"/>
  <c r="AX531" i="1"/>
  <c r="AY531" i="1"/>
  <c r="AE531" i="1"/>
  <c r="AF531" i="1"/>
  <c r="BR531" i="1"/>
  <c r="BQ531" i="1"/>
  <c r="AF519" i="1"/>
  <c r="BQ519" i="1"/>
  <c r="BR519" i="1"/>
  <c r="AX519" i="1"/>
  <c r="AY519" i="1"/>
  <c r="AE519" i="1"/>
  <c r="BR507" i="1"/>
  <c r="AY507" i="1"/>
  <c r="AF507" i="1"/>
  <c r="AX507" i="1"/>
  <c r="AE507" i="1"/>
  <c r="AE495" i="1"/>
  <c r="AF495" i="1"/>
  <c r="BQ495" i="1"/>
  <c r="AX495" i="1"/>
  <c r="BR495" i="1"/>
  <c r="AY495" i="1"/>
  <c r="BQ483" i="1"/>
  <c r="BR483" i="1"/>
  <c r="AX483" i="1"/>
  <c r="AY483" i="1"/>
  <c r="AE483" i="1"/>
  <c r="AF483" i="1"/>
  <c r="AX471" i="1"/>
  <c r="AB471" i="1"/>
  <c r="AU471" i="1"/>
  <c r="AE471" i="1"/>
  <c r="AY471" i="1"/>
  <c r="BR471" i="1"/>
  <c r="BQ459" i="1"/>
  <c r="BR459" i="1"/>
  <c r="AX459" i="1"/>
  <c r="AE459" i="1"/>
  <c r="AY459" i="1"/>
  <c r="AF459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AX423" i="1"/>
  <c r="AE423" i="1"/>
  <c r="BR411" i="1"/>
  <c r="AY411" i="1"/>
  <c r="AF411" i="1"/>
  <c r="AE411" i="1"/>
  <c r="AX411" i="1"/>
  <c r="AF399" i="1"/>
  <c r="BR399" i="1"/>
  <c r="AY399" i="1"/>
  <c r="AX399" i="1"/>
  <c r="AE399" i="1"/>
  <c r="BR387" i="1"/>
  <c r="AE387" i="1"/>
  <c r="AX387" i="1"/>
  <c r="AF387" i="1"/>
  <c r="AY387" i="1"/>
  <c r="BQ387" i="1"/>
  <c r="AE375" i="1"/>
  <c r="AY375" i="1"/>
  <c r="AF375" i="1"/>
  <c r="BQ375" i="1"/>
  <c r="AX375" i="1"/>
  <c r="BR375" i="1"/>
  <c r="AY363" i="1"/>
  <c r="AE363" i="1"/>
  <c r="BQ363" i="1"/>
  <c r="BR363" i="1"/>
  <c r="AF363" i="1"/>
  <c r="AX363" i="1"/>
  <c r="AF351" i="1"/>
  <c r="BQ351" i="1"/>
  <c r="BR351" i="1"/>
  <c r="AX351" i="1"/>
  <c r="AE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U315" i="1"/>
  <c r="AB315" i="1"/>
  <c r="AX315" i="1"/>
  <c r="AE315" i="1"/>
  <c r="AY315" i="1"/>
  <c r="BR315" i="1"/>
  <c r="BR303" i="1"/>
  <c r="AX303" i="1"/>
  <c r="AY303" i="1"/>
  <c r="AE303" i="1"/>
  <c r="AF303" i="1"/>
  <c r="BQ303" i="1"/>
  <c r="BR291" i="1"/>
  <c r="AX291" i="1"/>
  <c r="AY291" i="1"/>
  <c r="AE291" i="1"/>
  <c r="BQ291" i="1"/>
  <c r="AF291" i="1"/>
  <c r="AY279" i="1"/>
  <c r="AE279" i="1"/>
  <c r="AF279" i="1"/>
  <c r="BQ279" i="1"/>
  <c r="BR279" i="1"/>
  <c r="AX279" i="1"/>
  <c r="AE267" i="1"/>
  <c r="AF267" i="1"/>
  <c r="BQ267" i="1"/>
  <c r="AY267" i="1"/>
  <c r="BR267" i="1"/>
  <c r="AX267" i="1"/>
  <c r="AY255" i="1"/>
  <c r="AF255" i="1"/>
  <c r="BR255" i="1"/>
  <c r="AE255" i="1"/>
  <c r="AX255" i="1"/>
  <c r="AE243" i="1"/>
  <c r="AF243" i="1"/>
  <c r="BQ243" i="1"/>
  <c r="BR243" i="1"/>
  <c r="AY243" i="1"/>
  <c r="AX243" i="1"/>
  <c r="AY231" i="1"/>
  <c r="BR231" i="1"/>
  <c r="AE231" i="1"/>
  <c r="BQ231" i="1"/>
  <c r="AF231" i="1"/>
  <c r="AX231" i="1"/>
  <c r="AY219" i="1"/>
  <c r="AF219" i="1"/>
  <c r="BR219" i="1"/>
  <c r="AE219" i="1"/>
  <c r="AX219" i="1"/>
  <c r="BQ207" i="1"/>
  <c r="BR207" i="1"/>
  <c r="AF207" i="1"/>
  <c r="AE207" i="1"/>
  <c r="AY207" i="1"/>
  <c r="AX207" i="1"/>
  <c r="AB195" i="1"/>
  <c r="AU195" i="1"/>
  <c r="AX195" i="1"/>
  <c r="BR195" i="1"/>
  <c r="AE195" i="1"/>
  <c r="AY195" i="1"/>
  <c r="AY183" i="1"/>
  <c r="AE183" i="1"/>
  <c r="AF183" i="1"/>
  <c r="BQ183" i="1"/>
  <c r="BR183" i="1"/>
  <c r="AX183" i="1"/>
  <c r="AF171" i="1"/>
  <c r="BR171" i="1"/>
  <c r="AY171" i="1"/>
  <c r="AE171" i="1"/>
  <c r="AX171" i="1"/>
  <c r="AF159" i="1"/>
  <c r="BQ159" i="1"/>
  <c r="AX159" i="1"/>
  <c r="BR159" i="1"/>
  <c r="AE159" i="1"/>
  <c r="AY159" i="1"/>
  <c r="AF147" i="1"/>
  <c r="AY147" i="1"/>
  <c r="BR147" i="1"/>
  <c r="AX147" i="1"/>
  <c r="AE147" i="1"/>
  <c r="AX135" i="1"/>
  <c r="AY135" i="1"/>
  <c r="AF135" i="1"/>
  <c r="BQ135" i="1"/>
  <c r="AE135" i="1"/>
  <c r="BR135" i="1"/>
  <c r="AY123" i="1"/>
  <c r="AE123" i="1"/>
  <c r="AX123" i="1"/>
  <c r="BR123" i="1"/>
  <c r="AF123" i="1"/>
  <c r="BQ123" i="1"/>
  <c r="BR111" i="1"/>
  <c r="AY111" i="1"/>
  <c r="AF111" i="1"/>
  <c r="AX111" i="1"/>
  <c r="AE111" i="1"/>
  <c r="BQ99" i="1"/>
  <c r="BR99" i="1"/>
  <c r="AF99" i="1"/>
  <c r="AY99" i="1"/>
  <c r="AX99" i="1"/>
  <c r="AE99" i="1"/>
  <c r="AB87" i="1"/>
  <c r="BR87" i="1"/>
  <c r="AX87" i="1"/>
  <c r="AU87" i="1"/>
  <c r="AY87" i="1"/>
  <c r="AE87" i="1"/>
  <c r="AX75" i="1"/>
  <c r="AU75" i="1"/>
  <c r="AB75" i="1"/>
  <c r="BR75" i="1"/>
  <c r="AE75" i="1"/>
  <c r="AY75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AE39" i="1"/>
  <c r="AX39" i="1"/>
  <c r="BR39" i="1"/>
  <c r="AF39" i="1"/>
  <c r="BQ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X614" i="1"/>
  <c r="AE614" i="1"/>
  <c r="AE602" i="1"/>
  <c r="AF602" i="1"/>
  <c r="BQ602" i="1"/>
  <c r="BR602" i="1"/>
  <c r="AX602" i="1"/>
  <c r="AY602" i="1"/>
  <c r="BR590" i="1"/>
  <c r="AF590" i="1"/>
  <c r="AY590" i="1"/>
  <c r="AX590" i="1"/>
  <c r="AE590" i="1"/>
  <c r="AY578" i="1"/>
  <c r="AE578" i="1"/>
  <c r="AF578" i="1"/>
  <c r="BQ578" i="1"/>
  <c r="BR578" i="1"/>
  <c r="AX578" i="1"/>
  <c r="AF566" i="1"/>
  <c r="BR566" i="1"/>
  <c r="AY566" i="1"/>
  <c r="AE566" i="1"/>
  <c r="AX566" i="1"/>
  <c r="AE554" i="1"/>
  <c r="AF554" i="1"/>
  <c r="AY554" i="1"/>
  <c r="BR554" i="1"/>
  <c r="AX554" i="1"/>
  <c r="BQ542" i="1"/>
  <c r="BR542" i="1"/>
  <c r="AX542" i="1"/>
  <c r="AY542" i="1"/>
  <c r="AE542" i="1"/>
  <c r="AF542" i="1"/>
  <c r="AY530" i="1"/>
  <c r="BQ530" i="1"/>
  <c r="BR530" i="1"/>
  <c r="AE530" i="1"/>
  <c r="AF530" i="1"/>
  <c r="AX530" i="1"/>
  <c r="BR518" i="1"/>
  <c r="AE518" i="1"/>
  <c r="AF518" i="1"/>
  <c r="AX518" i="1"/>
  <c r="AY518" i="1"/>
  <c r="BQ518" i="1"/>
  <c r="BR506" i="1"/>
  <c r="AY506" i="1"/>
  <c r="AF506" i="1"/>
  <c r="AX506" i="1"/>
  <c r="AE506" i="1"/>
  <c r="AE494" i="1"/>
  <c r="AF494" i="1"/>
  <c r="BQ494" i="1"/>
  <c r="AX494" i="1"/>
  <c r="AY494" i="1"/>
  <c r="BR494" i="1"/>
  <c r="AX482" i="1"/>
  <c r="AY482" i="1"/>
  <c r="AE482" i="1"/>
  <c r="AF482" i="1"/>
  <c r="BQ482" i="1"/>
  <c r="BR482" i="1"/>
  <c r="AX470" i="1"/>
  <c r="AY470" i="1"/>
  <c r="AE470" i="1"/>
  <c r="BQ470" i="1"/>
  <c r="BR470" i="1"/>
  <c r="AF470" i="1"/>
  <c r="BR458" i="1"/>
  <c r="AX458" i="1"/>
  <c r="AY458" i="1"/>
  <c r="AE458" i="1"/>
  <c r="AF458" i="1"/>
  <c r="BQ458" i="1"/>
  <c r="BQ446" i="1"/>
  <c r="BR446" i="1"/>
  <c r="AX446" i="1"/>
  <c r="AE446" i="1"/>
  <c r="AF446" i="1"/>
  <c r="AY446" i="1"/>
  <c r="AE434" i="1"/>
  <c r="AF434" i="1"/>
  <c r="BQ434" i="1"/>
  <c r="BR434" i="1"/>
  <c r="AX434" i="1"/>
  <c r="AY434" i="1"/>
  <c r="BR422" i="1"/>
  <c r="AX422" i="1"/>
  <c r="AB422" i="1"/>
  <c r="AU422" i="1"/>
  <c r="AE422" i="1"/>
  <c r="AY422" i="1"/>
  <c r="BR410" i="1"/>
  <c r="AF410" i="1"/>
  <c r="AY410" i="1"/>
  <c r="AE410" i="1"/>
  <c r="AX410" i="1"/>
  <c r="AF398" i="1"/>
  <c r="BR398" i="1"/>
  <c r="AY398" i="1"/>
  <c r="AX398" i="1"/>
  <c r="AE398" i="1"/>
  <c r="BR386" i="1"/>
  <c r="AY386" i="1"/>
  <c r="AF386" i="1"/>
  <c r="AE386" i="1"/>
  <c r="AX386" i="1"/>
  <c r="AF374" i="1"/>
  <c r="BQ374" i="1"/>
  <c r="BR374" i="1"/>
  <c r="AX374" i="1"/>
  <c r="AE374" i="1"/>
  <c r="AY374" i="1"/>
  <c r="AX362" i="1"/>
  <c r="AY362" i="1"/>
  <c r="AE362" i="1"/>
  <c r="AF362" i="1"/>
  <c r="BQ362" i="1"/>
  <c r="BR362" i="1"/>
  <c r="BQ350" i="1"/>
  <c r="BR350" i="1"/>
  <c r="AX350" i="1"/>
  <c r="AY350" i="1"/>
  <c r="AF350" i="1"/>
  <c r="AE350" i="1"/>
  <c r="AF338" i="1"/>
  <c r="AY338" i="1"/>
  <c r="BR338" i="1"/>
  <c r="AE338" i="1"/>
  <c r="AX338" i="1"/>
  <c r="AY326" i="1"/>
  <c r="AF326" i="1"/>
  <c r="BR326" i="1"/>
  <c r="AE326" i="1"/>
  <c r="AX326" i="1"/>
  <c r="AX314" i="1"/>
  <c r="AY314" i="1"/>
  <c r="AE314" i="1"/>
  <c r="BQ314" i="1"/>
  <c r="AF314" i="1"/>
  <c r="BR314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E278" i="1"/>
  <c r="AF278" i="1"/>
  <c r="BQ278" i="1"/>
  <c r="BR278" i="1"/>
  <c r="AX278" i="1"/>
  <c r="AX266" i="1"/>
  <c r="AY266" i="1"/>
  <c r="AE266" i="1"/>
  <c r="AB266" i="1"/>
  <c r="AU266" i="1"/>
  <c r="BR266" i="1"/>
  <c r="AF254" i="1"/>
  <c r="BR254" i="1"/>
  <c r="AY254" i="1"/>
  <c r="AE254" i="1"/>
  <c r="AX254" i="1"/>
  <c r="AX242" i="1"/>
  <c r="AY242" i="1"/>
  <c r="AE242" i="1"/>
  <c r="BQ242" i="1"/>
  <c r="BR242" i="1"/>
  <c r="AF242" i="1"/>
  <c r="BQ230" i="1"/>
  <c r="BR230" i="1"/>
  <c r="AE230" i="1"/>
  <c r="AX230" i="1"/>
  <c r="AF230" i="1"/>
  <c r="AY230" i="1"/>
  <c r="AE218" i="1"/>
  <c r="AF218" i="1"/>
  <c r="BQ218" i="1"/>
  <c r="AX218" i="1"/>
  <c r="AY218" i="1"/>
  <c r="BR218" i="1"/>
  <c r="AY206" i="1"/>
  <c r="BR206" i="1"/>
  <c r="AF206" i="1"/>
  <c r="AX206" i="1"/>
  <c r="AE206" i="1"/>
  <c r="BQ194" i="1"/>
  <c r="BR194" i="1"/>
  <c r="AX194" i="1"/>
  <c r="AF194" i="1"/>
  <c r="AE194" i="1"/>
  <c r="AY194" i="1"/>
  <c r="AF182" i="1"/>
  <c r="BR182" i="1"/>
  <c r="AY182" i="1"/>
  <c r="AE182" i="1"/>
  <c r="AX182" i="1"/>
  <c r="AF170" i="1"/>
  <c r="BR170" i="1"/>
  <c r="AY170" i="1"/>
  <c r="AX170" i="1"/>
  <c r="AE170" i="1"/>
  <c r="AX158" i="1"/>
  <c r="AY158" i="1"/>
  <c r="AE158" i="1"/>
  <c r="BR158" i="1"/>
  <c r="AF158" i="1"/>
  <c r="BQ158" i="1"/>
  <c r="AY146" i="1"/>
  <c r="BR146" i="1"/>
  <c r="AF146" i="1"/>
  <c r="AE146" i="1"/>
  <c r="AX146" i="1"/>
  <c r="AY134" i="1"/>
  <c r="AF134" i="1"/>
  <c r="BR134" i="1"/>
  <c r="AX134" i="1"/>
  <c r="AE134" i="1"/>
  <c r="AY122" i="1"/>
  <c r="BR122" i="1"/>
  <c r="AF122" i="1"/>
  <c r="AE122" i="1"/>
  <c r="AX122" i="1"/>
  <c r="AY110" i="1"/>
  <c r="BR110" i="1"/>
  <c r="AB110" i="1"/>
  <c r="AX110" i="1"/>
  <c r="AE110" i="1"/>
  <c r="AU110" i="1"/>
  <c r="AF98" i="1"/>
  <c r="AE98" i="1"/>
  <c r="BQ98" i="1"/>
  <c r="AX98" i="1"/>
  <c r="AY98" i="1"/>
  <c r="BR98" i="1"/>
  <c r="BQ86" i="1"/>
  <c r="BR86" i="1"/>
  <c r="AX86" i="1"/>
  <c r="AY86" i="1"/>
  <c r="AE86" i="1"/>
  <c r="AF86" i="1"/>
  <c r="AX74" i="1"/>
  <c r="AY74" i="1"/>
  <c r="AE74" i="1"/>
  <c r="BQ74" i="1"/>
  <c r="BR74" i="1"/>
  <c r="AF74" i="1"/>
  <c r="BR62" i="1"/>
  <c r="AY62" i="1"/>
  <c r="AE62" i="1"/>
  <c r="AF62" i="1"/>
  <c r="AX62" i="1"/>
  <c r="BQ62" i="1"/>
  <c r="AE50" i="1"/>
  <c r="AX50" i="1"/>
  <c r="BR50" i="1"/>
  <c r="BQ50" i="1"/>
  <c r="AY50" i="1"/>
  <c r="AF50" i="1"/>
  <c r="AE38" i="1"/>
  <c r="BQ38" i="1"/>
  <c r="AF38" i="1"/>
  <c r="BR38" i="1"/>
  <c r="AY38" i="1"/>
  <c r="AX38" i="1"/>
  <c r="BR26" i="1"/>
  <c r="AF26" i="1"/>
  <c r="BQ26" i="1"/>
  <c r="AY26" i="1"/>
  <c r="AX26" i="1"/>
  <c r="AE26" i="1"/>
  <c r="AF14" i="1"/>
  <c r="BQ14" i="1"/>
  <c r="BR14" i="1"/>
  <c r="AX14" i="1"/>
  <c r="AY14" i="1"/>
  <c r="AE14" i="1"/>
  <c r="AF613" i="1"/>
  <c r="AY613" i="1"/>
  <c r="BR613" i="1"/>
  <c r="AE613" i="1"/>
  <c r="AX613" i="1"/>
  <c r="AF601" i="1"/>
  <c r="BQ601" i="1"/>
  <c r="BR601" i="1"/>
  <c r="AX601" i="1"/>
  <c r="AY601" i="1"/>
  <c r="AE601" i="1"/>
  <c r="BR589" i="1"/>
  <c r="AY589" i="1"/>
  <c r="AF589" i="1"/>
  <c r="AE589" i="1"/>
  <c r="AX589" i="1"/>
  <c r="AF577" i="1"/>
  <c r="AY577" i="1"/>
  <c r="BR577" i="1"/>
  <c r="AX577" i="1"/>
  <c r="AE577" i="1"/>
  <c r="BQ565" i="1"/>
  <c r="BR565" i="1"/>
  <c r="AY565" i="1"/>
  <c r="AE565" i="1"/>
  <c r="AX565" i="1"/>
  <c r="AF565" i="1"/>
  <c r="AF553" i="1"/>
  <c r="BR553" i="1"/>
  <c r="AY553" i="1"/>
  <c r="AE553" i="1"/>
  <c r="AX553" i="1"/>
  <c r="AE541" i="1"/>
  <c r="AF541" i="1"/>
  <c r="BQ541" i="1"/>
  <c r="AX541" i="1"/>
  <c r="AY541" i="1"/>
  <c r="BR541" i="1"/>
  <c r="BR529" i="1"/>
  <c r="AY529" i="1"/>
  <c r="AF529" i="1"/>
  <c r="AX529" i="1"/>
  <c r="AE529" i="1"/>
  <c r="AX517" i="1"/>
  <c r="AE517" i="1"/>
  <c r="AY517" i="1"/>
  <c r="AF517" i="1"/>
  <c r="BR517" i="1"/>
  <c r="BQ517" i="1"/>
  <c r="AX505" i="1"/>
  <c r="AY505" i="1"/>
  <c r="AE505" i="1"/>
  <c r="AF505" i="1"/>
  <c r="BQ505" i="1"/>
  <c r="BR505" i="1"/>
  <c r="BQ493" i="1"/>
  <c r="BR493" i="1"/>
  <c r="AX493" i="1"/>
  <c r="AY493" i="1"/>
  <c r="AF493" i="1"/>
  <c r="AE493" i="1"/>
  <c r="AY481" i="1"/>
  <c r="AE481" i="1"/>
  <c r="AF481" i="1"/>
  <c r="BQ481" i="1"/>
  <c r="BR481" i="1"/>
  <c r="AX481" i="1"/>
  <c r="AF469" i="1"/>
  <c r="BQ469" i="1"/>
  <c r="BR469" i="1"/>
  <c r="AX469" i="1"/>
  <c r="AE469" i="1"/>
  <c r="AY469" i="1"/>
  <c r="AE457" i="1"/>
  <c r="AF457" i="1"/>
  <c r="BQ457" i="1"/>
  <c r="BR457" i="1"/>
  <c r="AX457" i="1"/>
  <c r="AY457" i="1"/>
  <c r="AX445" i="1"/>
  <c r="AY445" i="1"/>
  <c r="BQ445" i="1"/>
  <c r="AE445" i="1"/>
  <c r="AF445" i="1"/>
  <c r="BR445" i="1"/>
  <c r="AF433" i="1"/>
  <c r="BQ433" i="1"/>
  <c r="BR433" i="1"/>
  <c r="AX433" i="1"/>
  <c r="AY433" i="1"/>
  <c r="AE433" i="1"/>
  <c r="BQ421" i="1"/>
  <c r="BR421" i="1"/>
  <c r="AX421" i="1"/>
  <c r="AY421" i="1"/>
  <c r="AF421" i="1"/>
  <c r="AE421" i="1"/>
  <c r="AF409" i="1"/>
  <c r="AY409" i="1"/>
  <c r="BR409" i="1"/>
  <c r="AE409" i="1"/>
  <c r="AX409" i="1"/>
  <c r="AY397" i="1"/>
  <c r="AF397" i="1"/>
  <c r="BR397" i="1"/>
  <c r="AX397" i="1"/>
  <c r="AE397" i="1"/>
  <c r="BR385" i="1"/>
  <c r="AY385" i="1"/>
  <c r="AF385" i="1"/>
  <c r="AX385" i="1"/>
  <c r="AE385" i="1"/>
  <c r="AE373" i="1"/>
  <c r="AF373" i="1"/>
  <c r="BQ373" i="1"/>
  <c r="AX373" i="1"/>
  <c r="AY373" i="1"/>
  <c r="BR373" i="1"/>
  <c r="AX361" i="1"/>
  <c r="AY361" i="1"/>
  <c r="AE361" i="1"/>
  <c r="AF361" i="1"/>
  <c r="BQ361" i="1"/>
  <c r="BR361" i="1"/>
  <c r="AF349" i="1"/>
  <c r="BQ349" i="1"/>
  <c r="BR349" i="1"/>
  <c r="AE349" i="1"/>
  <c r="AY349" i="1"/>
  <c r="AX349" i="1"/>
  <c r="BR337" i="1"/>
  <c r="AF337" i="1"/>
  <c r="AY337" i="1"/>
  <c r="AE337" i="1"/>
  <c r="AX337" i="1"/>
  <c r="BR325" i="1"/>
  <c r="AY325" i="1"/>
  <c r="AF325" i="1"/>
  <c r="AE325" i="1"/>
  <c r="AX325" i="1"/>
  <c r="BR313" i="1"/>
  <c r="AF313" i="1"/>
  <c r="AY313" i="1"/>
  <c r="AX313" i="1"/>
  <c r="AE313" i="1"/>
  <c r="AE301" i="1"/>
  <c r="AY301" i="1"/>
  <c r="AF301" i="1"/>
  <c r="BQ301" i="1"/>
  <c r="BR301" i="1"/>
  <c r="AX301" i="1"/>
  <c r="BQ289" i="1"/>
  <c r="BR289" i="1"/>
  <c r="AE289" i="1"/>
  <c r="AF289" i="1"/>
  <c r="AY289" i="1"/>
  <c r="AX289" i="1"/>
  <c r="AE277" i="1"/>
  <c r="AF277" i="1"/>
  <c r="AX277" i="1"/>
  <c r="AY277" i="1"/>
  <c r="BQ277" i="1"/>
  <c r="BR277" i="1"/>
  <c r="AU265" i="1"/>
  <c r="BR265" i="1"/>
  <c r="AB265" i="1"/>
  <c r="AX265" i="1"/>
  <c r="AY265" i="1"/>
  <c r="AE265" i="1"/>
  <c r="AF253" i="1"/>
  <c r="BR253" i="1"/>
  <c r="AY253" i="1"/>
  <c r="AE253" i="1"/>
  <c r="AX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E217" i="1"/>
  <c r="AF217" i="1"/>
  <c r="BR217" i="1"/>
  <c r="AX217" i="1"/>
  <c r="BQ217" i="1"/>
  <c r="BR205" i="1"/>
  <c r="AY205" i="1"/>
  <c r="AF205" i="1"/>
  <c r="AE205" i="1"/>
  <c r="AX205" i="1"/>
  <c r="BQ193" i="1"/>
  <c r="BR193" i="1"/>
  <c r="AX193" i="1"/>
  <c r="AY193" i="1"/>
  <c r="AF193" i="1"/>
  <c r="AE193" i="1"/>
  <c r="BR181" i="1"/>
  <c r="AY181" i="1"/>
  <c r="AF181" i="1"/>
  <c r="AX181" i="1"/>
  <c r="AE181" i="1"/>
  <c r="AU169" i="1"/>
  <c r="BR169" i="1"/>
  <c r="AY169" i="1"/>
  <c r="AX169" i="1"/>
  <c r="AB169" i="1"/>
  <c r="AE169" i="1"/>
  <c r="AY157" i="1"/>
  <c r="BR157" i="1"/>
  <c r="AF157" i="1"/>
  <c r="AX157" i="1"/>
  <c r="AE157" i="1"/>
  <c r="AF145" i="1"/>
  <c r="BR145" i="1"/>
  <c r="AY145" i="1"/>
  <c r="AX145" i="1"/>
  <c r="AE145" i="1"/>
  <c r="AF133" i="1"/>
  <c r="AY133" i="1"/>
  <c r="BR133" i="1"/>
  <c r="AX133" i="1"/>
  <c r="AE133" i="1"/>
  <c r="BR121" i="1"/>
  <c r="AX121" i="1"/>
  <c r="AY121" i="1"/>
  <c r="AE121" i="1"/>
  <c r="AF121" i="1"/>
  <c r="BQ121" i="1"/>
  <c r="AY109" i="1"/>
  <c r="AF109" i="1"/>
  <c r="BQ109" i="1"/>
  <c r="AX109" i="1"/>
  <c r="BR109" i="1"/>
  <c r="AE109" i="1"/>
  <c r="AF97" i="1"/>
  <c r="AY97" i="1"/>
  <c r="BR97" i="1"/>
  <c r="AX97" i="1"/>
  <c r="AE97" i="1"/>
  <c r="AE85" i="1"/>
  <c r="AF85" i="1"/>
  <c r="AY85" i="1"/>
  <c r="BQ85" i="1"/>
  <c r="AX85" i="1"/>
  <c r="BR85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BQ49" i="1"/>
  <c r="AF49" i="1"/>
  <c r="BR49" i="1"/>
  <c r="AE49" i="1"/>
  <c r="AY49" i="1"/>
  <c r="AX49" i="1"/>
  <c r="AF37" i="1"/>
  <c r="BR37" i="1"/>
  <c r="AE37" i="1"/>
  <c r="AY37" i="1"/>
  <c r="BQ37" i="1"/>
  <c r="AX37" i="1"/>
  <c r="BQ25" i="1"/>
  <c r="AE25" i="1"/>
  <c r="BR25" i="1"/>
  <c r="AY25" i="1"/>
  <c r="AF25" i="1"/>
  <c r="AX25" i="1"/>
  <c r="BQ13" i="1"/>
  <c r="BR13" i="1"/>
  <c r="AX13" i="1"/>
  <c r="AE13" i="1"/>
  <c r="AY13" i="1"/>
  <c r="AF13" i="1"/>
  <c r="BR612" i="1"/>
  <c r="AY612" i="1"/>
  <c r="AF612" i="1"/>
  <c r="AE612" i="1"/>
  <c r="AX612" i="1"/>
  <c r="AF600" i="1"/>
  <c r="BQ600" i="1"/>
  <c r="BR600" i="1"/>
  <c r="AX600" i="1"/>
  <c r="AY600" i="1"/>
  <c r="AE600" i="1"/>
  <c r="BR588" i="1"/>
  <c r="AX588" i="1"/>
  <c r="AB588" i="1"/>
  <c r="AE588" i="1"/>
  <c r="AU588" i="1"/>
  <c r="AY588" i="1"/>
  <c r="AF576" i="1"/>
  <c r="BR576" i="1"/>
  <c r="AY576" i="1"/>
  <c r="AE576" i="1"/>
  <c r="AX576" i="1"/>
  <c r="AF564" i="1"/>
  <c r="AY564" i="1"/>
  <c r="BQ564" i="1"/>
  <c r="BR564" i="1"/>
  <c r="AE564" i="1"/>
  <c r="AX564" i="1"/>
  <c r="BR552" i="1"/>
  <c r="AF552" i="1"/>
  <c r="AY552" i="1"/>
  <c r="AX552" i="1"/>
  <c r="AE552" i="1"/>
  <c r="BQ540" i="1"/>
  <c r="BR540" i="1"/>
  <c r="AY540" i="1"/>
  <c r="AE540" i="1"/>
  <c r="AF540" i="1"/>
  <c r="AX540" i="1"/>
  <c r="BR528" i="1"/>
  <c r="AY528" i="1"/>
  <c r="AF528" i="1"/>
  <c r="AX528" i="1"/>
  <c r="AE528" i="1"/>
  <c r="BR516" i="1"/>
  <c r="AY516" i="1"/>
  <c r="AF516" i="1"/>
  <c r="AX516" i="1"/>
  <c r="AE516" i="1"/>
  <c r="BR504" i="1"/>
  <c r="AY504" i="1"/>
  <c r="AF504" i="1"/>
  <c r="AX504" i="1"/>
  <c r="AE504" i="1"/>
  <c r="BQ492" i="1"/>
  <c r="BR492" i="1"/>
  <c r="AE492" i="1"/>
  <c r="AX492" i="1"/>
  <c r="AF492" i="1"/>
  <c r="AY492" i="1"/>
  <c r="BR480" i="1"/>
  <c r="AY480" i="1"/>
  <c r="AE480" i="1"/>
  <c r="AF480" i="1"/>
  <c r="BQ480" i="1"/>
  <c r="AX480" i="1"/>
  <c r="AF468" i="1"/>
  <c r="BQ468" i="1"/>
  <c r="BR468" i="1"/>
  <c r="AX468" i="1"/>
  <c r="AY468" i="1"/>
  <c r="AE468" i="1"/>
  <c r="AY456" i="1"/>
  <c r="AF456" i="1"/>
  <c r="BR456" i="1"/>
  <c r="AX456" i="1"/>
  <c r="AE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X420" i="1"/>
  <c r="AY420" i="1"/>
  <c r="AE420" i="1"/>
  <c r="AF420" i="1"/>
  <c r="BQ420" i="1"/>
  <c r="AF408" i="1"/>
  <c r="BR408" i="1"/>
  <c r="AY408" i="1"/>
  <c r="AE408" i="1"/>
  <c r="AX408" i="1"/>
  <c r="BR396" i="1"/>
  <c r="AY396" i="1"/>
  <c r="AF396" i="1"/>
  <c r="AE396" i="1"/>
  <c r="AX396" i="1"/>
  <c r="AF384" i="1"/>
  <c r="AY384" i="1"/>
  <c r="BR384" i="1"/>
  <c r="AE384" i="1"/>
  <c r="AX384" i="1"/>
  <c r="AE372" i="1"/>
  <c r="AF372" i="1"/>
  <c r="BQ372" i="1"/>
  <c r="BR372" i="1"/>
  <c r="AX372" i="1"/>
  <c r="AY372" i="1"/>
  <c r="AX360" i="1"/>
  <c r="AY360" i="1"/>
  <c r="AE360" i="1"/>
  <c r="AF360" i="1"/>
  <c r="BQ360" i="1"/>
  <c r="BR360" i="1"/>
  <c r="AE348" i="1"/>
  <c r="AF348" i="1"/>
  <c r="BQ348" i="1"/>
  <c r="BR348" i="1"/>
  <c r="AX348" i="1"/>
  <c r="AY348" i="1"/>
  <c r="BR336" i="1"/>
  <c r="AY336" i="1"/>
  <c r="AF336" i="1"/>
  <c r="AX336" i="1"/>
  <c r="AE336" i="1"/>
  <c r="AX324" i="1"/>
  <c r="AE324" i="1"/>
  <c r="AB324" i="1"/>
  <c r="BR324" i="1"/>
  <c r="AU324" i="1"/>
  <c r="AY324" i="1"/>
  <c r="AY312" i="1"/>
  <c r="AF312" i="1"/>
  <c r="BR312" i="1"/>
  <c r="AE312" i="1"/>
  <c r="AX312" i="1"/>
  <c r="AU300" i="1"/>
  <c r="AX300" i="1"/>
  <c r="AE300" i="1"/>
  <c r="AB300" i="1"/>
  <c r="AY300" i="1"/>
  <c r="BR300" i="1"/>
  <c r="AX288" i="1"/>
  <c r="AY288" i="1"/>
  <c r="AE288" i="1"/>
  <c r="AF288" i="1"/>
  <c r="BQ288" i="1"/>
  <c r="BR288" i="1"/>
  <c r="AY276" i="1"/>
  <c r="AF276" i="1"/>
  <c r="BR276" i="1"/>
  <c r="AE276" i="1"/>
  <c r="AX276" i="1"/>
  <c r="AF264" i="1"/>
  <c r="BR264" i="1"/>
  <c r="AY264" i="1"/>
  <c r="AE264" i="1"/>
  <c r="AX264" i="1"/>
  <c r="AF252" i="1"/>
  <c r="BR252" i="1"/>
  <c r="AY252" i="1"/>
  <c r="AE252" i="1"/>
  <c r="AX252" i="1"/>
  <c r="AE240" i="1"/>
  <c r="AF240" i="1"/>
  <c r="BR240" i="1"/>
  <c r="AY240" i="1"/>
  <c r="AX240" i="1"/>
  <c r="BQ240" i="1"/>
  <c r="AX228" i="1"/>
  <c r="BQ228" i="1"/>
  <c r="AF228" i="1"/>
  <c r="AY228" i="1"/>
  <c r="BR228" i="1"/>
  <c r="AE228" i="1"/>
  <c r="AF216" i="1"/>
  <c r="BR216" i="1"/>
  <c r="AY216" i="1"/>
  <c r="AE216" i="1"/>
  <c r="AX216" i="1"/>
  <c r="AF204" i="1"/>
  <c r="AY204" i="1"/>
  <c r="BR204" i="1"/>
  <c r="AE204" i="1"/>
  <c r="AX204" i="1"/>
  <c r="BR192" i="1"/>
  <c r="AX192" i="1"/>
  <c r="AF192" i="1"/>
  <c r="AE192" i="1"/>
  <c r="AY192" i="1"/>
  <c r="BQ192" i="1"/>
  <c r="AY180" i="1"/>
  <c r="AF180" i="1"/>
  <c r="BR180" i="1"/>
  <c r="AE180" i="1"/>
  <c r="AX180" i="1"/>
  <c r="AE168" i="1"/>
  <c r="AX168" i="1"/>
  <c r="AF168" i="1"/>
  <c r="BQ168" i="1"/>
  <c r="BR168" i="1"/>
  <c r="AY168" i="1"/>
  <c r="BR156" i="1"/>
  <c r="AY156" i="1"/>
  <c r="AF156" i="1"/>
  <c r="AE156" i="1"/>
  <c r="AX156" i="1"/>
  <c r="AU144" i="1"/>
  <c r="BR144" i="1"/>
  <c r="AE144" i="1"/>
  <c r="AX144" i="1"/>
  <c r="AB144" i="1"/>
  <c r="AY144" i="1"/>
  <c r="AY132" i="1"/>
  <c r="AF132" i="1"/>
  <c r="BR132" i="1"/>
  <c r="AX132" i="1"/>
  <c r="AE132" i="1"/>
  <c r="BQ120" i="1"/>
  <c r="AY120" i="1"/>
  <c r="AE120" i="1"/>
  <c r="AX120" i="1"/>
  <c r="BR120" i="1"/>
  <c r="AF120" i="1"/>
  <c r="BR108" i="1"/>
  <c r="AF108" i="1"/>
  <c r="AY108" i="1"/>
  <c r="AE108" i="1"/>
  <c r="AX108" i="1"/>
  <c r="BR96" i="1"/>
  <c r="AX96" i="1"/>
  <c r="BQ96" i="1"/>
  <c r="AE96" i="1"/>
  <c r="AF96" i="1"/>
  <c r="AY96" i="1"/>
  <c r="AY84" i="1"/>
  <c r="AE84" i="1"/>
  <c r="AF84" i="1"/>
  <c r="BR84" i="1"/>
  <c r="BQ84" i="1"/>
  <c r="AX84" i="1"/>
  <c r="AE72" i="1"/>
  <c r="AX72" i="1"/>
  <c r="AY72" i="1"/>
  <c r="BQ72" i="1"/>
  <c r="AF72" i="1"/>
  <c r="BR72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BQ36" i="1"/>
  <c r="AF36" i="1"/>
  <c r="AX36" i="1"/>
  <c r="BR36" i="1"/>
  <c r="AE36" i="1"/>
  <c r="AY36" i="1"/>
  <c r="AY24" i="1"/>
  <c r="BQ24" i="1"/>
  <c r="AE24" i="1"/>
  <c r="AX24" i="1"/>
  <c r="AF24" i="1"/>
  <c r="BR24" i="1"/>
  <c r="BR12" i="1"/>
  <c r="AX12" i="1"/>
  <c r="AY12" i="1"/>
  <c r="AE12" i="1"/>
  <c r="AF12" i="1"/>
  <c r="BQ12" i="1"/>
  <c r="AY611" i="1"/>
  <c r="BR611" i="1"/>
  <c r="AE611" i="1"/>
  <c r="AF611" i="1"/>
  <c r="AX611" i="1"/>
  <c r="BQ599" i="1"/>
  <c r="BR599" i="1"/>
  <c r="AE599" i="1"/>
  <c r="AF599" i="1"/>
  <c r="AY599" i="1"/>
  <c r="AX599" i="1"/>
  <c r="AB587" i="1"/>
  <c r="AU587" i="1"/>
  <c r="BR587" i="1"/>
  <c r="AY587" i="1"/>
  <c r="AE587" i="1"/>
  <c r="AX587" i="1"/>
  <c r="AF575" i="1"/>
  <c r="BR575" i="1"/>
  <c r="AX575" i="1"/>
  <c r="AY575" i="1"/>
  <c r="AE575" i="1"/>
  <c r="AF563" i="1"/>
  <c r="AX563" i="1"/>
  <c r="AY563" i="1"/>
  <c r="AE563" i="1"/>
  <c r="BQ563" i="1"/>
  <c r="BR563" i="1"/>
  <c r="AU551" i="1"/>
  <c r="AY551" i="1"/>
  <c r="BR551" i="1"/>
  <c r="AX551" i="1"/>
  <c r="AB551" i="1"/>
  <c r="AE551" i="1"/>
  <c r="AY539" i="1"/>
  <c r="AF539" i="1"/>
  <c r="BR539" i="1"/>
  <c r="AE539" i="1"/>
  <c r="AX539" i="1"/>
  <c r="AE527" i="1"/>
  <c r="AF527" i="1"/>
  <c r="BQ527" i="1"/>
  <c r="AX527" i="1"/>
  <c r="AY527" i="1"/>
  <c r="BR527" i="1"/>
  <c r="AY515" i="1"/>
  <c r="BR515" i="1"/>
  <c r="AF515" i="1"/>
  <c r="AX515" i="1"/>
  <c r="AE515" i="1"/>
  <c r="BQ503" i="1"/>
  <c r="BR503" i="1"/>
  <c r="AX503" i="1"/>
  <c r="AY503" i="1"/>
  <c r="AE503" i="1"/>
  <c r="AF503" i="1"/>
  <c r="AE491" i="1"/>
  <c r="AF491" i="1"/>
  <c r="AX491" i="1"/>
  <c r="BQ491" i="1"/>
  <c r="AY491" i="1"/>
  <c r="BR491" i="1"/>
  <c r="AF479" i="1"/>
  <c r="BR479" i="1"/>
  <c r="AY479" i="1"/>
  <c r="AE479" i="1"/>
  <c r="AX479" i="1"/>
  <c r="AF467" i="1"/>
  <c r="BQ467" i="1"/>
  <c r="BR467" i="1"/>
  <c r="AX467" i="1"/>
  <c r="AY467" i="1"/>
  <c r="AE467" i="1"/>
  <c r="AY455" i="1"/>
  <c r="AF455" i="1"/>
  <c r="BR455" i="1"/>
  <c r="AX455" i="1"/>
  <c r="AE455" i="1"/>
  <c r="BR443" i="1"/>
  <c r="AY443" i="1"/>
  <c r="AF443" i="1"/>
  <c r="AX443" i="1"/>
  <c r="AE443" i="1"/>
  <c r="BR431" i="1"/>
  <c r="AY431" i="1"/>
  <c r="AF431" i="1"/>
  <c r="AE431" i="1"/>
  <c r="AX431" i="1"/>
  <c r="BQ419" i="1"/>
  <c r="BR419" i="1"/>
  <c r="AX419" i="1"/>
  <c r="AY419" i="1"/>
  <c r="AE419" i="1"/>
  <c r="AF419" i="1"/>
  <c r="AF407" i="1"/>
  <c r="BR407" i="1"/>
  <c r="AY407" i="1"/>
  <c r="AE407" i="1"/>
  <c r="AX407" i="1"/>
  <c r="BR395" i="1"/>
  <c r="AY395" i="1"/>
  <c r="AF395" i="1"/>
  <c r="AE395" i="1"/>
  <c r="AX395" i="1"/>
  <c r="BR383" i="1"/>
  <c r="AY383" i="1"/>
  <c r="AF383" i="1"/>
  <c r="AX383" i="1"/>
  <c r="AE383" i="1"/>
  <c r="AE371" i="1"/>
  <c r="BQ371" i="1"/>
  <c r="BR371" i="1"/>
  <c r="AX371" i="1"/>
  <c r="AY371" i="1"/>
  <c r="AF371" i="1"/>
  <c r="AE359" i="1"/>
  <c r="AY359" i="1"/>
  <c r="AF359" i="1"/>
  <c r="BQ359" i="1"/>
  <c r="BR359" i="1"/>
  <c r="AX359" i="1"/>
  <c r="AY347" i="1"/>
  <c r="AE347" i="1"/>
  <c r="AF347" i="1"/>
  <c r="BR347" i="1"/>
  <c r="AX347" i="1"/>
  <c r="BQ347" i="1"/>
  <c r="AF335" i="1"/>
  <c r="BR335" i="1"/>
  <c r="AX335" i="1"/>
  <c r="AY335" i="1"/>
  <c r="AE335" i="1"/>
  <c r="AY323" i="1"/>
  <c r="AB323" i="1"/>
  <c r="AX323" i="1"/>
  <c r="AE323" i="1"/>
  <c r="AU323" i="1"/>
  <c r="BR323" i="1"/>
  <c r="AB311" i="1"/>
  <c r="AU311" i="1"/>
  <c r="AX311" i="1"/>
  <c r="AE311" i="1"/>
  <c r="BR311" i="1"/>
  <c r="AY311" i="1"/>
  <c r="AX299" i="1"/>
  <c r="AY299" i="1"/>
  <c r="AE299" i="1"/>
  <c r="AF299" i="1"/>
  <c r="BQ299" i="1"/>
  <c r="BR299" i="1"/>
  <c r="AY287" i="1"/>
  <c r="AF287" i="1"/>
  <c r="BR287" i="1"/>
  <c r="AX287" i="1"/>
  <c r="AE287" i="1"/>
  <c r="BR275" i="1"/>
  <c r="AY275" i="1"/>
  <c r="AE275" i="1"/>
  <c r="AF275" i="1"/>
  <c r="BQ275" i="1"/>
  <c r="AX275" i="1"/>
  <c r="AY263" i="1"/>
  <c r="AF263" i="1"/>
  <c r="BR263" i="1"/>
  <c r="AX263" i="1"/>
  <c r="AE263" i="1"/>
  <c r="BR251" i="1"/>
  <c r="AY251" i="1"/>
  <c r="AF251" i="1"/>
  <c r="AX251" i="1"/>
  <c r="AE251" i="1"/>
  <c r="BQ239" i="1"/>
  <c r="BR239" i="1"/>
  <c r="AE239" i="1"/>
  <c r="AX239" i="1"/>
  <c r="AF239" i="1"/>
  <c r="AY239" i="1"/>
  <c r="BQ227" i="1"/>
  <c r="BR227" i="1"/>
  <c r="AE227" i="1"/>
  <c r="AF227" i="1"/>
  <c r="AX227" i="1"/>
  <c r="AY227" i="1"/>
  <c r="AY215" i="1"/>
  <c r="AF215" i="1"/>
  <c r="BR215" i="1"/>
  <c r="AE215" i="1"/>
  <c r="AX215" i="1"/>
  <c r="BR203" i="1"/>
  <c r="AY203" i="1"/>
  <c r="AF203" i="1"/>
  <c r="AX203" i="1"/>
  <c r="AE203" i="1"/>
  <c r="BQ191" i="1"/>
  <c r="BR191" i="1"/>
  <c r="AX191" i="1"/>
  <c r="AY191" i="1"/>
  <c r="AF191" i="1"/>
  <c r="AE191" i="1"/>
  <c r="AY179" i="1"/>
  <c r="BR179" i="1"/>
  <c r="AF179" i="1"/>
  <c r="AE179" i="1"/>
  <c r="AX179" i="1"/>
  <c r="AX167" i="1"/>
  <c r="AY167" i="1"/>
  <c r="AE167" i="1"/>
  <c r="AF167" i="1"/>
  <c r="BQ167" i="1"/>
  <c r="BR167" i="1"/>
  <c r="AY155" i="1"/>
  <c r="BR155" i="1"/>
  <c r="AF155" i="1"/>
  <c r="AE155" i="1"/>
  <c r="AX155" i="1"/>
  <c r="AX143" i="1"/>
  <c r="AY143" i="1"/>
  <c r="AE143" i="1"/>
  <c r="BR143" i="1"/>
  <c r="AF143" i="1"/>
  <c r="BQ143" i="1"/>
  <c r="BR131" i="1"/>
  <c r="AX131" i="1"/>
  <c r="AY131" i="1"/>
  <c r="AF131" i="1"/>
  <c r="AE131" i="1"/>
  <c r="BQ119" i="1"/>
  <c r="AY119" i="1"/>
  <c r="BR119" i="1"/>
  <c r="AE119" i="1"/>
  <c r="AX119" i="1"/>
  <c r="AF119" i="1"/>
  <c r="AE107" i="1"/>
  <c r="AU107" i="1"/>
  <c r="AB107" i="1"/>
  <c r="AY107" i="1"/>
  <c r="AX107" i="1"/>
  <c r="BR107" i="1"/>
  <c r="BR95" i="1"/>
  <c r="AE95" i="1"/>
  <c r="AF95" i="1"/>
  <c r="AX95" i="1"/>
  <c r="AY95" i="1"/>
  <c r="BQ95" i="1"/>
  <c r="AE83" i="1"/>
  <c r="AF83" i="1"/>
  <c r="AX83" i="1"/>
  <c r="AY83" i="1"/>
  <c r="BQ83" i="1"/>
  <c r="BR83" i="1"/>
  <c r="BQ71" i="1"/>
  <c r="AX71" i="1"/>
  <c r="BR71" i="1"/>
  <c r="AY71" i="1"/>
  <c r="AE71" i="1"/>
  <c r="AF71" i="1"/>
  <c r="BQ59" i="1"/>
  <c r="AX59" i="1"/>
  <c r="AY59" i="1"/>
  <c r="BR59" i="1"/>
  <c r="AF59" i="1"/>
  <c r="AE59" i="1"/>
  <c r="AY47" i="1"/>
  <c r="AE47" i="1"/>
  <c r="BR47" i="1"/>
  <c r="AX47" i="1"/>
  <c r="AF47" i="1"/>
  <c r="BQ47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AE11" i="1"/>
  <c r="BR11" i="1"/>
  <c r="AX11" i="1"/>
  <c r="AY11" i="1"/>
  <c r="AF11" i="1"/>
  <c r="BQ11" i="1"/>
  <c r="AX622" i="1"/>
  <c r="AY622" i="1"/>
  <c r="AE622" i="1"/>
  <c r="AF622" i="1"/>
  <c r="BQ622" i="1"/>
  <c r="BR622" i="1"/>
  <c r="BR610" i="1"/>
  <c r="AY610" i="1"/>
  <c r="AF610" i="1"/>
  <c r="AX610" i="1"/>
  <c r="AE610" i="1"/>
  <c r="BQ598" i="1"/>
  <c r="BR598" i="1"/>
  <c r="AY598" i="1"/>
  <c r="AE598" i="1"/>
  <c r="AF598" i="1"/>
  <c r="AX598" i="1"/>
  <c r="AX586" i="1"/>
  <c r="AB586" i="1"/>
  <c r="AU586" i="1"/>
  <c r="BR586" i="1"/>
  <c r="AE586" i="1"/>
  <c r="AY586" i="1"/>
  <c r="BR574" i="1"/>
  <c r="AY574" i="1"/>
  <c r="AF574" i="1"/>
  <c r="AE574" i="1"/>
  <c r="AX574" i="1"/>
  <c r="AE562" i="1"/>
  <c r="AF562" i="1"/>
  <c r="BQ562" i="1"/>
  <c r="BR562" i="1"/>
  <c r="AY562" i="1"/>
  <c r="AX562" i="1"/>
  <c r="AE550" i="1"/>
  <c r="AU550" i="1"/>
  <c r="AX550" i="1"/>
  <c r="AY550" i="1"/>
  <c r="BR550" i="1"/>
  <c r="AB550" i="1"/>
  <c r="AF538" i="1"/>
  <c r="BR538" i="1"/>
  <c r="AX538" i="1"/>
  <c r="AY538" i="1"/>
  <c r="AE538" i="1"/>
  <c r="BR526" i="1"/>
  <c r="AX526" i="1"/>
  <c r="AY526" i="1"/>
  <c r="AE526" i="1"/>
  <c r="AF526" i="1"/>
  <c r="BQ526" i="1"/>
  <c r="BR514" i="1"/>
  <c r="AY514" i="1"/>
  <c r="AF514" i="1"/>
  <c r="AX514" i="1"/>
  <c r="AE514" i="1"/>
  <c r="AY502" i="1"/>
  <c r="AF502" i="1"/>
  <c r="BR502" i="1"/>
  <c r="AE502" i="1"/>
  <c r="AX502" i="1"/>
  <c r="AY490" i="1"/>
  <c r="AF490" i="1"/>
  <c r="BR490" i="1"/>
  <c r="AX490" i="1"/>
  <c r="AE490" i="1"/>
  <c r="AY478" i="1"/>
  <c r="AF478" i="1"/>
  <c r="BR478" i="1"/>
  <c r="AE478" i="1"/>
  <c r="AX478" i="1"/>
  <c r="AE466" i="1"/>
  <c r="AF466" i="1"/>
  <c r="BQ466" i="1"/>
  <c r="BR466" i="1"/>
  <c r="AX466" i="1"/>
  <c r="AY466" i="1"/>
  <c r="AY454" i="1"/>
  <c r="AF454" i="1"/>
  <c r="BR454" i="1"/>
  <c r="AX454" i="1"/>
  <c r="AE454" i="1"/>
  <c r="AX442" i="1"/>
  <c r="AE442" i="1"/>
  <c r="AF442" i="1"/>
  <c r="BQ442" i="1"/>
  <c r="BR442" i="1"/>
  <c r="AY442" i="1"/>
  <c r="BR430" i="1"/>
  <c r="AY430" i="1"/>
  <c r="AF430" i="1"/>
  <c r="AE430" i="1"/>
  <c r="AX430" i="1"/>
  <c r="BR418" i="1"/>
  <c r="AX418" i="1"/>
  <c r="AY418" i="1"/>
  <c r="AE418" i="1"/>
  <c r="AF418" i="1"/>
  <c r="BQ418" i="1"/>
  <c r="AF406" i="1"/>
  <c r="AY406" i="1"/>
  <c r="BR406" i="1"/>
  <c r="AE406" i="1"/>
  <c r="AX406" i="1"/>
  <c r="BR394" i="1"/>
  <c r="AX394" i="1"/>
  <c r="AU394" i="1"/>
  <c r="AB394" i="1"/>
  <c r="AE394" i="1"/>
  <c r="AY394" i="1"/>
  <c r="AY382" i="1"/>
  <c r="AF382" i="1"/>
  <c r="BR382" i="1"/>
  <c r="AX382" i="1"/>
  <c r="AE382" i="1"/>
  <c r="BR370" i="1"/>
  <c r="AY370" i="1"/>
  <c r="AF370" i="1"/>
  <c r="AE370" i="1"/>
  <c r="AX370" i="1"/>
  <c r="BQ358" i="1"/>
  <c r="BR358" i="1"/>
  <c r="AY358" i="1"/>
  <c r="AE358" i="1"/>
  <c r="AF358" i="1"/>
  <c r="AX358" i="1"/>
  <c r="BR346" i="1"/>
  <c r="AX346" i="1"/>
  <c r="AE346" i="1"/>
  <c r="AY346" i="1"/>
  <c r="AF346" i="1"/>
  <c r="BQ346" i="1"/>
  <c r="BR334" i="1"/>
  <c r="AY334" i="1"/>
  <c r="AF334" i="1"/>
  <c r="AX334" i="1"/>
  <c r="AE334" i="1"/>
  <c r="BR322" i="1"/>
  <c r="AX322" i="1"/>
  <c r="AY322" i="1"/>
  <c r="AE322" i="1"/>
  <c r="AF322" i="1"/>
  <c r="BQ322" i="1"/>
  <c r="BQ310" i="1"/>
  <c r="BR310" i="1"/>
  <c r="AX310" i="1"/>
  <c r="AY310" i="1"/>
  <c r="AE310" i="1"/>
  <c r="AF310" i="1"/>
  <c r="BQ298" i="1"/>
  <c r="BR298" i="1"/>
  <c r="AX298" i="1"/>
  <c r="AY298" i="1"/>
  <c r="AE298" i="1"/>
  <c r="AF298" i="1"/>
  <c r="BQ286" i="1"/>
  <c r="BR286" i="1"/>
  <c r="AE286" i="1"/>
  <c r="AX286" i="1"/>
  <c r="AF286" i="1"/>
  <c r="AY286" i="1"/>
  <c r="AE274" i="1"/>
  <c r="AF274" i="1"/>
  <c r="BQ274" i="1"/>
  <c r="BR274" i="1"/>
  <c r="AY274" i="1"/>
  <c r="AX274" i="1"/>
  <c r="AF262" i="1"/>
  <c r="AY262" i="1"/>
  <c r="BR262" i="1"/>
  <c r="AE262" i="1"/>
  <c r="AX262" i="1"/>
  <c r="AY250" i="1"/>
  <c r="AF250" i="1"/>
  <c r="BR250" i="1"/>
  <c r="AE250" i="1"/>
  <c r="AX250" i="1"/>
  <c r="AF238" i="1"/>
  <c r="BQ238" i="1"/>
  <c r="BR238" i="1"/>
  <c r="AX238" i="1"/>
  <c r="AY238" i="1"/>
  <c r="AE238" i="1"/>
  <c r="AF226" i="1"/>
  <c r="BR226" i="1"/>
  <c r="AY226" i="1"/>
  <c r="AX226" i="1"/>
  <c r="AE226" i="1"/>
  <c r="AE214" i="1"/>
  <c r="AF214" i="1"/>
  <c r="AX214" i="1"/>
  <c r="AY214" i="1"/>
  <c r="BQ214" i="1"/>
  <c r="BR214" i="1"/>
  <c r="BR202" i="1"/>
  <c r="AY202" i="1"/>
  <c r="AF202" i="1"/>
  <c r="AE202" i="1"/>
  <c r="AX202" i="1"/>
  <c r="BR190" i="1"/>
  <c r="AY190" i="1"/>
  <c r="AF190" i="1"/>
  <c r="AE190" i="1"/>
  <c r="AX190" i="1"/>
  <c r="AY178" i="1"/>
  <c r="AE178" i="1"/>
  <c r="BQ178" i="1"/>
  <c r="BR178" i="1"/>
  <c r="AX178" i="1"/>
  <c r="AF178" i="1"/>
  <c r="AY166" i="1"/>
  <c r="AF166" i="1"/>
  <c r="BR166" i="1"/>
  <c r="AX166" i="1"/>
  <c r="AE166" i="1"/>
  <c r="AB154" i="1"/>
  <c r="AU154" i="1"/>
  <c r="BR154" i="1"/>
  <c r="AX154" i="1"/>
  <c r="AE154" i="1"/>
  <c r="AY154" i="1"/>
  <c r="AX142" i="1"/>
  <c r="AY142" i="1"/>
  <c r="AE142" i="1"/>
  <c r="AF142" i="1"/>
  <c r="BQ142" i="1"/>
  <c r="BR142" i="1"/>
  <c r="BR130" i="1"/>
  <c r="AY130" i="1"/>
  <c r="AF130" i="1"/>
  <c r="AE130" i="1"/>
  <c r="AX130" i="1"/>
  <c r="AF118" i="1"/>
  <c r="AY118" i="1"/>
  <c r="BR118" i="1"/>
  <c r="AE118" i="1"/>
  <c r="AX118" i="1"/>
  <c r="AE106" i="1"/>
  <c r="BQ106" i="1"/>
  <c r="AX106" i="1"/>
  <c r="AY106" i="1"/>
  <c r="AF106" i="1"/>
  <c r="BR106" i="1"/>
  <c r="BR94" i="1"/>
  <c r="AY94" i="1"/>
  <c r="AF94" i="1"/>
  <c r="AX94" i="1"/>
  <c r="AE94" i="1"/>
  <c r="AY82" i="1"/>
  <c r="AF82" i="1"/>
  <c r="BR82" i="1"/>
  <c r="AX82" i="1"/>
  <c r="AE82" i="1"/>
  <c r="AX70" i="1"/>
  <c r="AF70" i="1"/>
  <c r="BQ70" i="1"/>
  <c r="AY70" i="1"/>
  <c r="BR70" i="1"/>
  <c r="AE70" i="1"/>
  <c r="AE58" i="1"/>
  <c r="AY58" i="1"/>
  <c r="AF58" i="1"/>
  <c r="BQ58" i="1"/>
  <c r="AX58" i="1"/>
  <c r="BR58" i="1"/>
  <c r="AY46" i="1"/>
  <c r="AE46" i="1"/>
  <c r="AF46" i="1"/>
  <c r="BR46" i="1"/>
  <c r="AX46" i="1"/>
  <c r="BQ46" i="1"/>
  <c r="AE34" i="1"/>
  <c r="AF34" i="1"/>
  <c r="BQ34" i="1"/>
  <c r="AY34" i="1"/>
  <c r="BR34" i="1"/>
  <c r="AX34" i="1"/>
  <c r="BQ22" i="1"/>
  <c r="AX22" i="1"/>
  <c r="AF22" i="1"/>
  <c r="AE22" i="1"/>
  <c r="BR22" i="1"/>
  <c r="AY22" i="1"/>
  <c r="AE10" i="1"/>
  <c r="AF10" i="1"/>
  <c r="BQ10" i="1"/>
  <c r="BR10" i="1"/>
  <c r="AX10" i="1"/>
  <c r="AY10" i="1"/>
  <c r="AY621" i="1"/>
  <c r="AF621" i="1"/>
  <c r="BQ621" i="1"/>
  <c r="BR621" i="1"/>
  <c r="AX621" i="1"/>
  <c r="AE621" i="1"/>
  <c r="BR609" i="1"/>
  <c r="AY609" i="1"/>
  <c r="AF609" i="1"/>
  <c r="AE609" i="1"/>
  <c r="AX609" i="1"/>
  <c r="AX597" i="1"/>
  <c r="AY597" i="1"/>
  <c r="AF597" i="1"/>
  <c r="BQ597" i="1"/>
  <c r="BR597" i="1"/>
  <c r="AE597" i="1"/>
  <c r="AE585" i="1"/>
  <c r="AX585" i="1"/>
  <c r="AB585" i="1"/>
  <c r="AY585" i="1"/>
  <c r="BR585" i="1"/>
  <c r="AU585" i="1"/>
  <c r="AY573" i="1"/>
  <c r="AF573" i="1"/>
  <c r="BR573" i="1"/>
  <c r="AX573" i="1"/>
  <c r="AE573" i="1"/>
  <c r="BQ561" i="1"/>
  <c r="BR561" i="1"/>
  <c r="AE561" i="1"/>
  <c r="AX561" i="1"/>
  <c r="AF561" i="1"/>
  <c r="AY561" i="1"/>
  <c r="AB549" i="1"/>
  <c r="BR549" i="1"/>
  <c r="AU549" i="1"/>
  <c r="AX549" i="1"/>
  <c r="AE549" i="1"/>
  <c r="AY549" i="1"/>
  <c r="AX537" i="1"/>
  <c r="AE537" i="1"/>
  <c r="AB537" i="1"/>
  <c r="AU537" i="1"/>
  <c r="AY537" i="1"/>
  <c r="BR537" i="1"/>
  <c r="AY525" i="1"/>
  <c r="AF525" i="1"/>
  <c r="BR525" i="1"/>
  <c r="AX525" i="1"/>
  <c r="AE525" i="1"/>
  <c r="AY513" i="1"/>
  <c r="AF513" i="1"/>
  <c r="BR513" i="1"/>
  <c r="AX513" i="1"/>
  <c r="AE513" i="1"/>
  <c r="BQ501" i="1"/>
  <c r="BR501" i="1"/>
  <c r="AX501" i="1"/>
  <c r="AY501" i="1"/>
  <c r="AE501" i="1"/>
  <c r="AF501" i="1"/>
  <c r="AY489" i="1"/>
  <c r="AF489" i="1"/>
  <c r="BR489" i="1"/>
  <c r="AE489" i="1"/>
  <c r="AX489" i="1"/>
  <c r="AY477" i="1"/>
  <c r="AF477" i="1"/>
  <c r="BR477" i="1"/>
  <c r="AE477" i="1"/>
  <c r="AX477" i="1"/>
  <c r="BQ465" i="1"/>
  <c r="BR465" i="1"/>
  <c r="AX465" i="1"/>
  <c r="AY465" i="1"/>
  <c r="AE465" i="1"/>
  <c r="AF465" i="1"/>
  <c r="AY453" i="1"/>
  <c r="AF453" i="1"/>
  <c r="BR453" i="1"/>
  <c r="AE453" i="1"/>
  <c r="AX453" i="1"/>
  <c r="BR441" i="1"/>
  <c r="AE441" i="1"/>
  <c r="AX441" i="1"/>
  <c r="AF441" i="1"/>
  <c r="AY441" i="1"/>
  <c r="BQ441" i="1"/>
  <c r="AY429" i="1"/>
  <c r="AF429" i="1"/>
  <c r="BR429" i="1"/>
  <c r="AX429" i="1"/>
  <c r="AE429" i="1"/>
  <c r="AY417" i="1"/>
  <c r="BQ417" i="1"/>
  <c r="AE417" i="1"/>
  <c r="AF417" i="1"/>
  <c r="BR417" i="1"/>
  <c r="AX417" i="1"/>
  <c r="AU405" i="1"/>
  <c r="AY405" i="1"/>
  <c r="BR405" i="1"/>
  <c r="AX405" i="1"/>
  <c r="AB405" i="1"/>
  <c r="AE405" i="1"/>
  <c r="BQ393" i="1"/>
  <c r="BR393" i="1"/>
  <c r="AX393" i="1"/>
  <c r="AY393" i="1"/>
  <c r="AE393" i="1"/>
  <c r="AF393" i="1"/>
  <c r="AE381" i="1"/>
  <c r="AU381" i="1"/>
  <c r="AB381" i="1"/>
  <c r="AY381" i="1"/>
  <c r="AX381" i="1"/>
  <c r="BR381" i="1"/>
  <c r="AF369" i="1"/>
  <c r="AY369" i="1"/>
  <c r="BR369" i="1"/>
  <c r="AE369" i="1"/>
  <c r="AX369" i="1"/>
  <c r="BR357" i="1"/>
  <c r="AY357" i="1"/>
  <c r="AF357" i="1"/>
  <c r="AE357" i="1"/>
  <c r="AX357" i="1"/>
  <c r="AX345" i="1"/>
  <c r="AY345" i="1"/>
  <c r="AE345" i="1"/>
  <c r="AF345" i="1"/>
  <c r="BQ345" i="1"/>
  <c r="BR345" i="1"/>
  <c r="AY333" i="1"/>
  <c r="AF333" i="1"/>
  <c r="BR333" i="1"/>
  <c r="AE333" i="1"/>
  <c r="AX333" i="1"/>
  <c r="AE321" i="1"/>
  <c r="AF321" i="1"/>
  <c r="BQ321" i="1"/>
  <c r="BR321" i="1"/>
  <c r="AX321" i="1"/>
  <c r="AY321" i="1"/>
  <c r="AY309" i="1"/>
  <c r="AE309" i="1"/>
  <c r="BR309" i="1"/>
  <c r="AX309" i="1"/>
  <c r="BQ309" i="1"/>
  <c r="AF309" i="1"/>
  <c r="AY297" i="1"/>
  <c r="AE297" i="1"/>
  <c r="AF297" i="1"/>
  <c r="BQ297" i="1"/>
  <c r="BR297" i="1"/>
  <c r="AX297" i="1"/>
  <c r="BR285" i="1"/>
  <c r="AX285" i="1"/>
  <c r="AE285" i="1"/>
  <c r="AF285" i="1"/>
  <c r="BQ285" i="1"/>
  <c r="AY285" i="1"/>
  <c r="AY273" i="1"/>
  <c r="BR273" i="1"/>
  <c r="AF273" i="1"/>
  <c r="AX273" i="1"/>
  <c r="AE273" i="1"/>
  <c r="AY261" i="1"/>
  <c r="AB261" i="1"/>
  <c r="AE261" i="1"/>
  <c r="AX261" i="1"/>
  <c r="BR261" i="1"/>
  <c r="AU261" i="1"/>
  <c r="AY249" i="1"/>
  <c r="AF249" i="1"/>
  <c r="BR249" i="1"/>
  <c r="AX249" i="1"/>
  <c r="AE249" i="1"/>
  <c r="AX237" i="1"/>
  <c r="AY237" i="1"/>
  <c r="AF237" i="1"/>
  <c r="BQ237" i="1"/>
  <c r="BR237" i="1"/>
  <c r="AE237" i="1"/>
  <c r="AF225" i="1"/>
  <c r="BR225" i="1"/>
  <c r="AY225" i="1"/>
  <c r="AE225" i="1"/>
  <c r="AX225" i="1"/>
  <c r="AY213" i="1"/>
  <c r="BR213" i="1"/>
  <c r="AF213" i="1"/>
  <c r="AX213" i="1"/>
  <c r="AE213" i="1"/>
  <c r="AF201" i="1"/>
  <c r="AY201" i="1"/>
  <c r="BR201" i="1"/>
  <c r="AX201" i="1"/>
  <c r="AE201" i="1"/>
  <c r="AX189" i="1"/>
  <c r="AF189" i="1"/>
  <c r="BQ189" i="1"/>
  <c r="BR189" i="1"/>
  <c r="AY189" i="1"/>
  <c r="AE189" i="1"/>
  <c r="AY177" i="1"/>
  <c r="AE177" i="1"/>
  <c r="AF177" i="1"/>
  <c r="BQ177" i="1"/>
  <c r="BR177" i="1"/>
  <c r="AX177" i="1"/>
  <c r="BR165" i="1"/>
  <c r="AB165" i="1"/>
  <c r="AU165" i="1"/>
  <c r="AX165" i="1"/>
  <c r="AE165" i="1"/>
  <c r="AY165" i="1"/>
  <c r="BR153" i="1"/>
  <c r="AF153" i="1"/>
  <c r="AY153" i="1"/>
  <c r="AX153" i="1"/>
  <c r="AE153" i="1"/>
  <c r="AY141" i="1"/>
  <c r="AE141" i="1"/>
  <c r="AF141" i="1"/>
  <c r="BR141" i="1"/>
  <c r="BQ141" i="1"/>
  <c r="AX141" i="1"/>
  <c r="AU129" i="1"/>
  <c r="AX129" i="1"/>
  <c r="BR129" i="1"/>
  <c r="AB129" i="1"/>
  <c r="AY129" i="1"/>
  <c r="AE129" i="1"/>
  <c r="AY117" i="1"/>
  <c r="BR117" i="1"/>
  <c r="AF117" i="1"/>
  <c r="AE117" i="1"/>
  <c r="AX117" i="1"/>
  <c r="AY105" i="1"/>
  <c r="BQ105" i="1"/>
  <c r="BR105" i="1"/>
  <c r="AX105" i="1"/>
  <c r="AE105" i="1"/>
  <c r="AF105" i="1"/>
  <c r="BQ93" i="1"/>
  <c r="BR93" i="1"/>
  <c r="AX93" i="1"/>
  <c r="AY93" i="1"/>
  <c r="AE93" i="1"/>
  <c r="AF93" i="1"/>
  <c r="AB81" i="1"/>
  <c r="AE81" i="1"/>
  <c r="AX81" i="1"/>
  <c r="AU81" i="1"/>
  <c r="BR81" i="1"/>
  <c r="AY81" i="1"/>
  <c r="AY69" i="1"/>
  <c r="BR69" i="1"/>
  <c r="BQ69" i="1"/>
  <c r="AX69" i="1"/>
  <c r="AE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E33" i="1"/>
  <c r="AF33" i="1"/>
  <c r="BQ33" i="1"/>
  <c r="AY33" i="1"/>
  <c r="BR33" i="1"/>
  <c r="AX33" i="1"/>
  <c r="AF21" i="1"/>
  <c r="BR21" i="1"/>
  <c r="AX21" i="1"/>
  <c r="AY21" i="1"/>
  <c r="AE21" i="1"/>
  <c r="BQ21" i="1"/>
  <c r="BQ9" i="1"/>
  <c r="BR9" i="1"/>
  <c r="AX9" i="1"/>
  <c r="AY9" i="1"/>
  <c r="AE9" i="1"/>
  <c r="AF9" i="1"/>
  <c r="S23" i="27"/>
  <c r="M23" i="27" s="1"/>
  <c r="S11" i="27"/>
  <c r="M11" i="27" s="1"/>
  <c r="S22" i="27"/>
  <c r="M22" i="27" s="1"/>
  <c r="S10" i="27"/>
  <c r="M10" i="27" s="1"/>
  <c r="M14" i="27"/>
  <c r="S21" i="27"/>
  <c r="S9" i="27"/>
  <c r="M12" i="27"/>
  <c r="P24" i="27"/>
  <c r="S19" i="27"/>
  <c r="S7" i="27"/>
  <c r="S18" i="27"/>
  <c r="M18" i="27" s="1"/>
  <c r="S6" i="27"/>
  <c r="M6" i="27" s="1"/>
  <c r="S16" i="27"/>
  <c r="S4" i="27"/>
  <c r="M2" i="27"/>
  <c r="S25" i="27"/>
  <c r="M25" i="27" s="1"/>
  <c r="P13" i="27"/>
  <c r="P22" i="27"/>
  <c r="P20" i="27"/>
  <c r="P8" i="27"/>
  <c r="P18" i="27"/>
  <c r="P17" i="27"/>
  <c r="P5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J266" i="2" s="1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J301" i="2" s="1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BB198" i="2" s="1"/>
  <c r="AF405" i="2"/>
  <c r="AF273" i="2"/>
  <c r="AF225" i="2"/>
  <c r="AF189" i="2"/>
  <c r="AF332" i="2"/>
  <c r="AJ332" i="2" s="1"/>
  <c r="AF224" i="2"/>
  <c r="AJ224" i="2" s="1"/>
  <c r="AF188" i="2"/>
  <c r="AF176" i="2"/>
  <c r="AF128" i="2"/>
  <c r="AF116" i="2"/>
  <c r="AF607" i="2"/>
  <c r="AJ607" i="2" s="1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J76" i="2" s="1"/>
  <c r="AF64" i="2"/>
  <c r="AG577" i="2"/>
  <c r="AH577" i="2"/>
  <c r="AI577" i="2"/>
  <c r="AG565" i="2"/>
  <c r="AH565" i="2"/>
  <c r="AI565" i="2"/>
  <c r="BB565" i="2" s="1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BB337" i="2" s="1"/>
  <c r="AI325" i="2"/>
  <c r="AG325" i="2"/>
  <c r="AH325" i="2"/>
  <c r="AI576" i="2"/>
  <c r="AG576" i="2"/>
  <c r="AH576" i="2"/>
  <c r="AI564" i="2"/>
  <c r="BB564" i="2" s="1"/>
  <c r="AG564" i="2"/>
  <c r="AH564" i="2"/>
  <c r="AI552" i="2"/>
  <c r="BB552" i="2" s="1"/>
  <c r="AG552" i="2"/>
  <c r="AH552" i="2"/>
  <c r="AI540" i="2"/>
  <c r="BB540" i="2" s="1"/>
  <c r="AG540" i="2"/>
  <c r="AH540" i="2"/>
  <c r="AI528" i="2"/>
  <c r="BB528" i="2" s="1"/>
  <c r="AG528" i="2"/>
  <c r="AH528" i="2"/>
  <c r="AI516" i="2"/>
  <c r="BB516" i="2" s="1"/>
  <c r="AG516" i="2"/>
  <c r="AH516" i="2"/>
  <c r="AI504" i="2"/>
  <c r="BB504" i="2" s="1"/>
  <c r="AG504" i="2"/>
  <c r="AH504" i="2"/>
  <c r="AG492" i="2"/>
  <c r="AI492" i="2"/>
  <c r="BB492" i="2" s="1"/>
  <c r="AH480" i="2"/>
  <c r="AI480" i="2"/>
  <c r="BB480" i="2" s="1"/>
  <c r="AH468" i="2"/>
  <c r="AI468" i="2"/>
  <c r="BB468" i="2" s="1"/>
  <c r="AG468" i="2"/>
  <c r="AH456" i="2"/>
  <c r="AG456" i="2"/>
  <c r="AI456" i="2"/>
  <c r="BB456" i="2" s="1"/>
  <c r="AH444" i="2"/>
  <c r="AG444" i="2"/>
  <c r="AI444" i="2"/>
  <c r="BB444" i="2" s="1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BB384" i="2" s="1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G324" i="2"/>
  <c r="AI324" i="2"/>
  <c r="BB324" i="2" s="1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BB252" i="2" s="1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BB371" i="2" s="1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BB312" i="2" s="1"/>
  <c r="AH611" i="2"/>
  <c r="AI611" i="2"/>
  <c r="BB611" i="2" s="1"/>
  <c r="AH551" i="2"/>
  <c r="AL551" i="2" s="1"/>
  <c r="AG551" i="2"/>
  <c r="AH527" i="2"/>
  <c r="AG527" i="2"/>
  <c r="AI527" i="2"/>
  <c r="BB527" i="2" s="1"/>
  <c r="AG550" i="2"/>
  <c r="AH550" i="2"/>
  <c r="AI550" i="2"/>
  <c r="BB550" i="2" s="1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BB466" i="2" s="1"/>
  <c r="AH454" i="2"/>
  <c r="AI454" i="2"/>
  <c r="BB454" i="2" s="1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BB406" i="2" s="1"/>
  <c r="AG406" i="2"/>
  <c r="AG394" i="2"/>
  <c r="AH394" i="2"/>
  <c r="AI394" i="2"/>
  <c r="BB394" i="2" s="1"/>
  <c r="AG382" i="2"/>
  <c r="AH382" i="2"/>
  <c r="AI382" i="2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BB322" i="2" s="1"/>
  <c r="AG322" i="2"/>
  <c r="AG310" i="2"/>
  <c r="AH310" i="2"/>
  <c r="AI310" i="2"/>
  <c r="BB310" i="2" s="1"/>
  <c r="AH298" i="2"/>
  <c r="AG298" i="2"/>
  <c r="AI298" i="2"/>
  <c r="BB298" i="2" s="1"/>
  <c r="AI286" i="2"/>
  <c r="BB286" i="2" s="1"/>
  <c r="AG286" i="2"/>
  <c r="AH286" i="2"/>
  <c r="AI274" i="2"/>
  <c r="BB274" i="2" s="1"/>
  <c r="AG274" i="2"/>
  <c r="AH262" i="2"/>
  <c r="AG262" i="2"/>
  <c r="AI262" i="2"/>
  <c r="BB262" i="2" s="1"/>
  <c r="AH250" i="2"/>
  <c r="AI250" i="2"/>
  <c r="BB250" i="2" s="1"/>
  <c r="AG250" i="2"/>
  <c r="AI238" i="2"/>
  <c r="AG238" i="2"/>
  <c r="AH238" i="2"/>
  <c r="AI226" i="2"/>
  <c r="BB226" i="2" s="1"/>
  <c r="AH226" i="2"/>
  <c r="AG226" i="2"/>
  <c r="AI214" i="2"/>
  <c r="BB214" i="2" s="1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BB166" i="2" s="1"/>
  <c r="AG154" i="2"/>
  <c r="AH154" i="2"/>
  <c r="AI154" i="2"/>
  <c r="AG142" i="2"/>
  <c r="AH142" i="2"/>
  <c r="AI142" i="2"/>
  <c r="BB142" i="2" s="1"/>
  <c r="AG130" i="2"/>
  <c r="AI130" i="2"/>
  <c r="BB130" i="2" s="1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BB82" i="2" s="1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BB602" i="2" s="1"/>
  <c r="AG601" i="2"/>
  <c r="AH601" i="2"/>
  <c r="AI601" i="2"/>
  <c r="BB601" i="2" s="1"/>
  <c r="AH3" i="2"/>
  <c r="AI3" i="2"/>
  <c r="BB3" i="2" s="1"/>
  <c r="AG3" i="2"/>
  <c r="AG588" i="2"/>
  <c r="AH588" i="2"/>
  <c r="AI588" i="2"/>
  <c r="BB588" i="2" s="1"/>
  <c r="AH587" i="2"/>
  <c r="AI587" i="2"/>
  <c r="BB587" i="2" s="1"/>
  <c r="AH575" i="2"/>
  <c r="AG575" i="2"/>
  <c r="AI575" i="2"/>
  <c r="BB575" i="2" s="1"/>
  <c r="AG610" i="2"/>
  <c r="AH610" i="2"/>
  <c r="AI610" i="2"/>
  <c r="AG621" i="2"/>
  <c r="AH621" i="2"/>
  <c r="AI621" i="2"/>
  <c r="BB621" i="2" s="1"/>
  <c r="AG609" i="2"/>
  <c r="AH609" i="2"/>
  <c r="AI609" i="2"/>
  <c r="BB609" i="2" s="1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BB561" i="2" s="1"/>
  <c r="AG549" i="2"/>
  <c r="AH549" i="2"/>
  <c r="AI549" i="2"/>
  <c r="BB549" i="2" s="1"/>
  <c r="AG537" i="2"/>
  <c r="AH537" i="2"/>
  <c r="AI537" i="2"/>
  <c r="BB537" i="2" s="1"/>
  <c r="AG525" i="2"/>
  <c r="AI525" i="2"/>
  <c r="AG513" i="2"/>
  <c r="AH513" i="2"/>
  <c r="AI513" i="2"/>
  <c r="BB513" i="2" s="1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BB441" i="2" s="1"/>
  <c r="AG429" i="2"/>
  <c r="AH429" i="2"/>
  <c r="AI429" i="2"/>
  <c r="BB429" i="2" s="1"/>
  <c r="AG417" i="2"/>
  <c r="AH417" i="2"/>
  <c r="AI417" i="2"/>
  <c r="BB417" i="2" s="1"/>
  <c r="AG405" i="2"/>
  <c r="AI405" i="2"/>
  <c r="AG393" i="2"/>
  <c r="AH393" i="2"/>
  <c r="AI393" i="2"/>
  <c r="AG381" i="2"/>
  <c r="AH381" i="2"/>
  <c r="AI381" i="2"/>
  <c r="BB381" i="2" s="1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G333" i="2"/>
  <c r="AI333" i="2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BB524" i="2" s="1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BB464" i="2" s="1"/>
  <c r="AH452" i="2"/>
  <c r="AI452" i="2"/>
  <c r="BB452" i="2" s="1"/>
  <c r="AG452" i="2"/>
  <c r="AH440" i="2"/>
  <c r="AG440" i="2"/>
  <c r="AH428" i="2"/>
  <c r="AG428" i="2"/>
  <c r="AI428" i="2"/>
  <c r="AH416" i="2"/>
  <c r="AG416" i="2"/>
  <c r="AI416" i="2"/>
  <c r="AH404" i="2"/>
  <c r="AI404" i="2"/>
  <c r="BB404" i="2" s="1"/>
  <c r="AG404" i="2"/>
  <c r="AH392" i="2"/>
  <c r="AG392" i="2"/>
  <c r="AI392" i="2"/>
  <c r="BB392" i="2" s="1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BB236" i="2" s="1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623" i="2"/>
  <c r="AI623" i="2"/>
  <c r="BB623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BB584" i="2" s="1"/>
  <c r="AI572" i="2"/>
  <c r="BB572" i="2" s="1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BB427" i="2" s="1"/>
  <c r="AG427" i="2"/>
  <c r="AH415" i="2"/>
  <c r="AG415" i="2"/>
  <c r="AI415" i="2"/>
  <c r="BB415" i="2" s="1"/>
  <c r="AH403" i="2"/>
  <c r="AG403" i="2"/>
  <c r="AI403" i="2"/>
  <c r="BB403" i="2" s="1"/>
  <c r="AH391" i="2"/>
  <c r="AI391" i="2"/>
  <c r="BB391" i="2" s="1"/>
  <c r="AH379" i="2"/>
  <c r="AI379" i="2"/>
  <c r="BB379" i="2" s="1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BB331" i="2" s="1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BB558" i="2" s="1"/>
  <c r="AI546" i="2"/>
  <c r="AL546" i="2" s="1"/>
  <c r="AG546" i="2"/>
  <c r="AK546" i="2" s="1"/>
  <c r="AG534" i="2"/>
  <c r="AH534" i="2"/>
  <c r="AI534" i="2"/>
  <c r="AG522" i="2"/>
  <c r="AH522" i="2"/>
  <c r="AI522" i="2"/>
  <c r="BB522" i="2" s="1"/>
  <c r="AG510" i="2"/>
  <c r="AH510" i="2"/>
  <c r="AI510" i="2"/>
  <c r="BB510" i="2" s="1"/>
  <c r="AH498" i="2"/>
  <c r="AI498" i="2"/>
  <c r="AG486" i="2"/>
  <c r="AI486" i="2"/>
  <c r="BB486" i="2" s="1"/>
  <c r="AG474" i="2"/>
  <c r="AI474" i="2"/>
  <c r="BB474" i="2" s="1"/>
  <c r="AH462" i="2"/>
  <c r="AG462" i="2"/>
  <c r="AI462" i="2"/>
  <c r="BB462" i="2" s="1"/>
  <c r="AG450" i="2"/>
  <c r="AH450" i="2"/>
  <c r="AI450" i="2"/>
  <c r="BB450" i="2" s="1"/>
  <c r="AH438" i="2"/>
  <c r="AI438" i="2"/>
  <c r="BB438" i="2" s="1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BB366" i="2" s="1"/>
  <c r="AG354" i="2"/>
  <c r="AH354" i="2"/>
  <c r="AI354" i="2"/>
  <c r="BB354" i="2" s="1"/>
  <c r="AI342" i="2"/>
  <c r="BB342" i="2" s="1"/>
  <c r="AG342" i="2"/>
  <c r="AH342" i="2"/>
  <c r="AH330" i="2"/>
  <c r="AG330" i="2"/>
  <c r="AI330" i="2"/>
  <c r="BB330" i="2" s="1"/>
  <c r="AI318" i="2"/>
  <c r="BB318" i="2" s="1"/>
  <c r="AG318" i="2"/>
  <c r="AH318" i="2"/>
  <c r="AI306" i="2"/>
  <c r="BB306" i="2" s="1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BB557" i="2" s="1"/>
  <c r="AG545" i="2"/>
  <c r="AH545" i="2"/>
  <c r="AI545" i="2"/>
  <c r="BB545" i="2" s="1"/>
  <c r="AG533" i="2"/>
  <c r="AH533" i="2"/>
  <c r="AI533" i="2"/>
  <c r="AG521" i="2"/>
  <c r="AH521" i="2"/>
  <c r="AI521" i="2"/>
  <c r="BB521" i="2" s="1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BB389" i="2" s="1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BB293" i="2" s="1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BB245" i="2" s="1"/>
  <c r="AG245" i="2"/>
  <c r="AH245" i="2"/>
  <c r="AI233" i="2"/>
  <c r="BB233" i="2" s="1"/>
  <c r="AH233" i="2"/>
  <c r="AG233" i="2"/>
  <c r="AI221" i="2"/>
  <c r="BB221" i="2" s="1"/>
  <c r="AH221" i="2"/>
  <c r="AG221" i="2"/>
  <c r="AI209" i="2"/>
  <c r="BB209" i="2" s="1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BB586" i="2" s="1"/>
  <c r="AI520" i="2"/>
  <c r="BB520" i="2" s="1"/>
  <c r="AG520" i="2"/>
  <c r="AH520" i="2"/>
  <c r="AI508" i="2"/>
  <c r="AG508" i="2"/>
  <c r="AH508" i="2"/>
  <c r="AG496" i="2"/>
  <c r="AH496" i="2"/>
  <c r="AI496" i="2"/>
  <c r="BB496" i="2" s="1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BB424" i="2" s="1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BB364" i="2" s="1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BB268" i="2" s="1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BB608" i="2" s="1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BB605" i="2" s="1"/>
  <c r="AG593" i="2"/>
  <c r="AH593" i="2"/>
  <c r="AI593" i="2"/>
  <c r="BB593" i="2" s="1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BB580" i="2" s="1"/>
  <c r="AG580" i="2"/>
  <c r="AH580" i="2"/>
  <c r="AI568" i="2"/>
  <c r="BB568" i="2" s="1"/>
  <c r="AG568" i="2"/>
  <c r="AH568" i="2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BB615" i="2" s="1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BB507" i="2" s="1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BB399" i="2" s="1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BB339" i="2" s="1"/>
  <c r="AG327" i="2"/>
  <c r="AH327" i="2"/>
  <c r="AI327" i="2"/>
  <c r="BB327" i="2" s="1"/>
  <c r="AG623" i="2"/>
  <c r="AH573" i="2"/>
  <c r="AH509" i="2"/>
  <c r="AL509" i="2" s="1"/>
  <c r="AI348" i="2"/>
  <c r="BB348" i="2" s="1"/>
  <c r="AG566" i="2"/>
  <c r="AH566" i="2"/>
  <c r="AI566" i="2"/>
  <c r="BB566" i="2" s="1"/>
  <c r="AG554" i="2"/>
  <c r="AH554" i="2"/>
  <c r="AI554" i="2"/>
  <c r="AG542" i="2"/>
  <c r="AH542" i="2"/>
  <c r="AI542" i="2"/>
  <c r="BB542" i="2" s="1"/>
  <c r="AI530" i="2"/>
  <c r="BB530" i="2" s="1"/>
  <c r="AG530" i="2"/>
  <c r="AG518" i="2"/>
  <c r="AH518" i="2"/>
  <c r="AI518" i="2"/>
  <c r="BB518" i="2" s="1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BB470" i="2" s="1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BB201" i="2" s="1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BB153" i="2" s="1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BB200" i="2" s="1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BB271" i="2" s="1"/>
  <c r="AH242" i="2"/>
  <c r="AI224" i="2"/>
  <c r="BB224" i="2" s="1"/>
  <c r="AG196" i="2"/>
  <c r="AK196" i="2" s="1"/>
  <c r="AZ196" i="2" s="1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BB223" i="2" s="1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BB315" i="2" s="1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L149" i="2" s="1"/>
  <c r="AG137" i="2"/>
  <c r="AH104" i="2"/>
  <c r="AH89" i="2"/>
  <c r="AI194" i="2"/>
  <c r="BB194" i="2" s="1"/>
  <c r="AG194" i="2"/>
  <c r="AH170" i="2"/>
  <c r="AL170" i="2" s="1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BB98" i="2" s="1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BB259" i="2" s="1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BB229" i="2" s="1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K145" i="2" s="1"/>
  <c r="AZ145" i="2" s="1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K108" i="2" s="1"/>
  <c r="AZ108" i="2" s="1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BB215" i="2" s="1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L155" i="2" s="1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K55" i="1" l="1"/>
  <c r="K570" i="1"/>
  <c r="K546" i="1"/>
  <c r="K534" i="1"/>
  <c r="K450" i="1"/>
  <c r="K378" i="1"/>
  <c r="K162" i="1"/>
  <c r="K305" i="1"/>
  <c r="K221" i="1"/>
  <c r="K340" i="1"/>
  <c r="K208" i="1"/>
  <c r="K591" i="1"/>
  <c r="K555" i="1"/>
  <c r="K507" i="1"/>
  <c r="K435" i="1"/>
  <c r="K243" i="1"/>
  <c r="K139" i="1"/>
  <c r="K234" i="1"/>
  <c r="K187" i="1"/>
  <c r="K581" i="1"/>
  <c r="K533" i="1"/>
  <c r="K485" i="1"/>
  <c r="K293" i="1"/>
  <c r="K556" i="1"/>
  <c r="K544" i="1"/>
  <c r="K532" i="1"/>
  <c r="K520" i="1"/>
  <c r="K304" i="1"/>
  <c r="K256" i="1"/>
  <c r="K160" i="1"/>
  <c r="K28" i="1"/>
  <c r="K16" i="1"/>
  <c r="K603" i="1"/>
  <c r="K571" i="1"/>
  <c r="K283" i="1"/>
  <c r="K498" i="1"/>
  <c r="K366" i="1"/>
  <c r="K210" i="1"/>
  <c r="K78" i="1"/>
  <c r="K42" i="1"/>
  <c r="K18" i="1"/>
  <c r="K367" i="1"/>
  <c r="K437" i="1"/>
  <c r="K329" i="1"/>
  <c r="K209" i="1"/>
  <c r="K197" i="1"/>
  <c r="K185" i="1"/>
  <c r="K460" i="1"/>
  <c r="K316" i="1"/>
  <c r="K4" i="1"/>
  <c r="K621" i="1"/>
  <c r="K447" i="1"/>
  <c r="K423" i="1"/>
  <c r="K159" i="1"/>
  <c r="K618" i="1"/>
  <c r="K114" i="1"/>
  <c r="K66" i="1"/>
  <c r="K523" i="1"/>
  <c r="K271" i="1"/>
  <c r="K545" i="1"/>
  <c r="K17" i="1"/>
  <c r="K568" i="1"/>
  <c r="K496" i="1"/>
  <c r="K400" i="1"/>
  <c r="K364" i="1"/>
  <c r="K184" i="1"/>
  <c r="K136" i="1"/>
  <c r="K100" i="1"/>
  <c r="K64" i="1"/>
  <c r="K339" i="1"/>
  <c r="K327" i="1"/>
  <c r="K601" i="1"/>
  <c r="K355" i="1"/>
  <c r="K198" i="1"/>
  <c r="K90" i="1"/>
  <c r="K30" i="1"/>
  <c r="K617" i="1"/>
  <c r="K497" i="1"/>
  <c r="K413" i="1"/>
  <c r="K149" i="1"/>
  <c r="K65" i="1"/>
  <c r="K41" i="1"/>
  <c r="K5" i="1"/>
  <c r="K595" i="1"/>
  <c r="K376" i="1"/>
  <c r="K292" i="1"/>
  <c r="K622" i="1"/>
  <c r="K462" i="1"/>
  <c r="K402" i="1"/>
  <c r="K186" i="1"/>
  <c r="K102" i="1"/>
  <c r="K103" i="1"/>
  <c r="K461" i="1"/>
  <c r="K89" i="1"/>
  <c r="K53" i="1"/>
  <c r="K343" i="1"/>
  <c r="K352" i="1"/>
  <c r="K148" i="1"/>
  <c r="K40" i="1"/>
  <c r="K267" i="1"/>
  <c r="K585" i="1"/>
  <c r="K390" i="1"/>
  <c r="K354" i="1"/>
  <c r="K342" i="1"/>
  <c r="K294" i="1"/>
  <c r="K246" i="1"/>
  <c r="K138" i="1"/>
  <c r="K54" i="1"/>
  <c r="K449" i="1"/>
  <c r="K341" i="1"/>
  <c r="K137" i="1"/>
  <c r="K113" i="1"/>
  <c r="K620" i="1"/>
  <c r="K388" i="1"/>
  <c r="K232" i="1"/>
  <c r="K196" i="1"/>
  <c r="K519" i="1"/>
  <c r="K483" i="1"/>
  <c r="K399" i="1"/>
  <c r="K375" i="1"/>
  <c r="K487" i="1"/>
  <c r="K211" i="1"/>
  <c r="K474" i="1"/>
  <c r="K426" i="1"/>
  <c r="K6" i="1"/>
  <c r="K593" i="1"/>
  <c r="K401" i="1"/>
  <c r="K377" i="1"/>
  <c r="K317" i="1"/>
  <c r="K616" i="1"/>
  <c r="K448" i="1"/>
  <c r="K268" i="1"/>
  <c r="K172" i="1"/>
  <c r="K124" i="1"/>
  <c r="K76" i="1"/>
  <c r="K567" i="1"/>
  <c r="K531" i="1"/>
  <c r="K351" i="1"/>
  <c r="K303" i="1"/>
  <c r="K522" i="1"/>
  <c r="K414" i="1"/>
  <c r="K330" i="1"/>
  <c r="K318" i="1"/>
  <c r="K306" i="1"/>
  <c r="K282" i="1"/>
  <c r="K605" i="1"/>
  <c r="K509" i="1"/>
  <c r="K389" i="1"/>
  <c r="K365" i="1"/>
  <c r="K353" i="1"/>
  <c r="K269" i="1"/>
  <c r="K245" i="1"/>
  <c r="K173" i="1"/>
  <c r="K125" i="1"/>
  <c r="K101" i="1"/>
  <c r="K29" i="1"/>
  <c r="K580" i="1"/>
  <c r="K508" i="1"/>
  <c r="K412" i="1"/>
  <c r="K607" i="1"/>
  <c r="K615" i="1"/>
  <c r="K495" i="1"/>
  <c r="K99" i="1"/>
  <c r="K606" i="1"/>
  <c r="K486" i="1"/>
  <c r="K258" i="1"/>
  <c r="K126" i="1"/>
  <c r="K439" i="1"/>
  <c r="K569" i="1"/>
  <c r="K425" i="1"/>
  <c r="K436" i="1"/>
  <c r="K328" i="1"/>
  <c r="K280" i="1"/>
  <c r="K112" i="1"/>
  <c r="K88" i="1"/>
  <c r="K52" i="1"/>
  <c r="K459" i="1"/>
  <c r="K315" i="1"/>
  <c r="K255" i="1"/>
  <c r="K231" i="1"/>
  <c r="K207" i="1"/>
  <c r="K438" i="1"/>
  <c r="K222" i="1"/>
  <c r="K557" i="1"/>
  <c r="K521" i="1"/>
  <c r="K473" i="1"/>
  <c r="K233" i="1"/>
  <c r="K161" i="1"/>
  <c r="K604" i="1"/>
  <c r="K484" i="1"/>
  <c r="K424" i="1"/>
  <c r="K427" i="1"/>
  <c r="K471" i="1"/>
  <c r="K387" i="1"/>
  <c r="K363" i="1"/>
  <c r="K291" i="1"/>
  <c r="K279" i="1"/>
  <c r="K183" i="1"/>
  <c r="K135" i="1"/>
  <c r="K594" i="1"/>
  <c r="K558" i="1"/>
  <c r="K510" i="1"/>
  <c r="K270" i="1"/>
  <c r="K174" i="1"/>
  <c r="K150" i="1"/>
  <c r="K281" i="1"/>
  <c r="K257" i="1"/>
  <c r="K77" i="1"/>
  <c r="K472" i="1"/>
  <c r="K244" i="1"/>
  <c r="K220" i="1"/>
  <c r="K579" i="1"/>
  <c r="K543" i="1"/>
  <c r="K411" i="1"/>
  <c r="K219" i="1"/>
  <c r="K111" i="1"/>
  <c r="K39" i="1"/>
  <c r="K3" i="1"/>
  <c r="K542" i="1"/>
  <c r="K518" i="1"/>
  <c r="K410" i="1"/>
  <c r="K386" i="1"/>
  <c r="K290" i="1"/>
  <c r="K146" i="1"/>
  <c r="K134" i="1"/>
  <c r="K14" i="1"/>
  <c r="K7" i="1"/>
  <c r="K457" i="1"/>
  <c r="K325" i="1"/>
  <c r="K499" i="1"/>
  <c r="K420" i="1"/>
  <c r="K288" i="1"/>
  <c r="K527" i="1"/>
  <c r="K383" i="1"/>
  <c r="K398" i="1"/>
  <c r="K314" i="1"/>
  <c r="K218" i="1"/>
  <c r="K170" i="1"/>
  <c r="K98" i="1"/>
  <c r="K199" i="1"/>
  <c r="K541" i="1"/>
  <c r="K517" i="1"/>
  <c r="K481" i="1"/>
  <c r="K253" i="1"/>
  <c r="K37" i="1"/>
  <c r="K295" i="1"/>
  <c r="K151" i="1"/>
  <c r="K540" i="1"/>
  <c r="K456" i="1"/>
  <c r="K444" i="1"/>
  <c r="K252" i="1"/>
  <c r="K192" i="1"/>
  <c r="K144" i="1"/>
  <c r="K431" i="1"/>
  <c r="K311" i="1"/>
  <c r="K299" i="1"/>
  <c r="K215" i="1"/>
  <c r="K131" i="1"/>
  <c r="K75" i="1"/>
  <c r="K434" i="1"/>
  <c r="K469" i="1"/>
  <c r="K421" i="1"/>
  <c r="K193" i="1"/>
  <c r="K600" i="1"/>
  <c r="K575" i="1"/>
  <c r="K335" i="1"/>
  <c r="K155" i="1"/>
  <c r="K27" i="1"/>
  <c r="K590" i="1"/>
  <c r="K566" i="1"/>
  <c r="K50" i="1"/>
  <c r="K26" i="1"/>
  <c r="K403" i="1"/>
  <c r="K331" i="1"/>
  <c r="K67" i="1"/>
  <c r="K373" i="1"/>
  <c r="K516" i="1"/>
  <c r="K468" i="1"/>
  <c r="K324" i="1"/>
  <c r="K312" i="1"/>
  <c r="K108" i="1"/>
  <c r="K60" i="1"/>
  <c r="K24" i="1"/>
  <c r="K443" i="1"/>
  <c r="K323" i="1"/>
  <c r="K251" i="1"/>
  <c r="K239" i="1"/>
  <c r="K147" i="1"/>
  <c r="K87" i="1"/>
  <c r="K592" i="1"/>
  <c r="K614" i="1"/>
  <c r="K554" i="1"/>
  <c r="K122" i="1"/>
  <c r="K62" i="1"/>
  <c r="K589" i="1"/>
  <c r="K553" i="1"/>
  <c r="K529" i="1"/>
  <c r="K445" i="1"/>
  <c r="K109" i="1"/>
  <c r="K25" i="1"/>
  <c r="K13" i="1"/>
  <c r="K528" i="1"/>
  <c r="K480" i="1"/>
  <c r="K276" i="1"/>
  <c r="K204" i="1"/>
  <c r="K96" i="1"/>
  <c r="K84" i="1"/>
  <c r="K419" i="1"/>
  <c r="K167" i="1"/>
  <c r="K195" i="1"/>
  <c r="K530" i="1"/>
  <c r="K302" i="1"/>
  <c r="K278" i="1"/>
  <c r="K577" i="1"/>
  <c r="K313" i="1"/>
  <c r="K289" i="1"/>
  <c r="K205" i="1"/>
  <c r="K181" i="1"/>
  <c r="K145" i="1"/>
  <c r="K588" i="1"/>
  <c r="K504" i="1"/>
  <c r="K432" i="1"/>
  <c r="K408" i="1"/>
  <c r="K384" i="1"/>
  <c r="K300" i="1"/>
  <c r="K264" i="1"/>
  <c r="K156" i="1"/>
  <c r="K120" i="1"/>
  <c r="K587" i="1"/>
  <c r="K551" i="1"/>
  <c r="K407" i="1"/>
  <c r="K359" i="1"/>
  <c r="K143" i="1"/>
  <c r="K119" i="1"/>
  <c r="K71" i="1"/>
  <c r="K123" i="1"/>
  <c r="K63" i="1"/>
  <c r="K338" i="1"/>
  <c r="K242" i="1"/>
  <c r="K74" i="1"/>
  <c r="K547" i="1"/>
  <c r="K565" i="1"/>
  <c r="K349" i="1"/>
  <c r="K301" i="1"/>
  <c r="K157" i="1"/>
  <c r="K415" i="1"/>
  <c r="K223" i="1"/>
  <c r="K492" i="1"/>
  <c r="K180" i="1"/>
  <c r="K48" i="1"/>
  <c r="K458" i="1"/>
  <c r="K206" i="1"/>
  <c r="K110" i="1"/>
  <c r="K505" i="1"/>
  <c r="K433" i="1"/>
  <c r="K385" i="1"/>
  <c r="K361" i="1"/>
  <c r="K337" i="1"/>
  <c r="K277" i="1"/>
  <c r="K229" i="1"/>
  <c r="K169" i="1"/>
  <c r="K61" i="1"/>
  <c r="K360" i="1"/>
  <c r="K336" i="1"/>
  <c r="K216" i="1"/>
  <c r="K132" i="1"/>
  <c r="K563" i="1"/>
  <c r="K275" i="1"/>
  <c r="K227" i="1"/>
  <c r="K494" i="1"/>
  <c r="K446" i="1"/>
  <c r="K326" i="1"/>
  <c r="K266" i="1"/>
  <c r="K230" i="1"/>
  <c r="K38" i="1"/>
  <c r="K463" i="1"/>
  <c r="K259" i="1"/>
  <c r="K217" i="1"/>
  <c r="K612" i="1"/>
  <c r="K552" i="1"/>
  <c r="K36" i="1"/>
  <c r="K611" i="1"/>
  <c r="K599" i="1"/>
  <c r="K539" i="1"/>
  <c r="K455" i="1"/>
  <c r="K395" i="1"/>
  <c r="K422" i="1"/>
  <c r="K350" i="1"/>
  <c r="K158" i="1"/>
  <c r="K265" i="1"/>
  <c r="K121" i="1"/>
  <c r="K583" i="1"/>
  <c r="K576" i="1"/>
  <c r="K240" i="1"/>
  <c r="K12" i="1"/>
  <c r="K491" i="1"/>
  <c r="K371" i="1"/>
  <c r="K263" i="1"/>
  <c r="K191" i="1"/>
  <c r="K171" i="1"/>
  <c r="K15" i="1"/>
  <c r="K602" i="1"/>
  <c r="K482" i="1"/>
  <c r="K374" i="1"/>
  <c r="K362" i="1"/>
  <c r="K182" i="1"/>
  <c r="K86" i="1"/>
  <c r="K115" i="1"/>
  <c r="K397" i="1"/>
  <c r="K241" i="1"/>
  <c r="K97" i="1"/>
  <c r="K85" i="1"/>
  <c r="K49" i="1"/>
  <c r="K43" i="1"/>
  <c r="K564" i="1"/>
  <c r="K396" i="1"/>
  <c r="K228" i="1"/>
  <c r="K168" i="1"/>
  <c r="K72" i="1"/>
  <c r="K515" i="1"/>
  <c r="K479" i="1"/>
  <c r="K467" i="1"/>
  <c r="K51" i="1"/>
  <c r="K506" i="1"/>
  <c r="K470" i="1"/>
  <c r="K254" i="1"/>
  <c r="K194" i="1"/>
  <c r="K493" i="1"/>
  <c r="K409" i="1"/>
  <c r="K133" i="1"/>
  <c r="K73" i="1"/>
  <c r="K372" i="1"/>
  <c r="K348" i="1"/>
  <c r="K503" i="1"/>
  <c r="K347" i="1"/>
  <c r="K287" i="1"/>
  <c r="K203" i="1"/>
  <c r="K179" i="1"/>
  <c r="K19" i="1"/>
  <c r="K610" i="1"/>
  <c r="K562" i="1"/>
  <c r="K550" i="1"/>
  <c r="K514" i="1"/>
  <c r="K490" i="1"/>
  <c r="K346" i="1"/>
  <c r="K334" i="1"/>
  <c r="K214" i="1"/>
  <c r="K166" i="1"/>
  <c r="K475" i="1"/>
  <c r="K513" i="1"/>
  <c r="K429" i="1"/>
  <c r="K297" i="1"/>
  <c r="K177" i="1"/>
  <c r="K284" i="1"/>
  <c r="K224" i="1"/>
  <c r="K176" i="1"/>
  <c r="K83" i="1"/>
  <c r="K559" i="1"/>
  <c r="K379" i="1"/>
  <c r="K418" i="1"/>
  <c r="K274" i="1"/>
  <c r="K22" i="1"/>
  <c r="K537" i="1"/>
  <c r="K417" i="1"/>
  <c r="K572" i="1"/>
  <c r="K536" i="1"/>
  <c r="K128" i="1"/>
  <c r="K59" i="1"/>
  <c r="K47" i="1"/>
  <c r="K598" i="1"/>
  <c r="K526" i="1"/>
  <c r="K70" i="1"/>
  <c r="K10" i="1"/>
  <c r="K127" i="1"/>
  <c r="K525" i="1"/>
  <c r="K453" i="1"/>
  <c r="K405" i="1"/>
  <c r="K393" i="1"/>
  <c r="K285" i="1"/>
  <c r="K153" i="1"/>
  <c r="K619" i="1"/>
  <c r="K488" i="1"/>
  <c r="K368" i="1"/>
  <c r="K107" i="1"/>
  <c r="K511" i="1"/>
  <c r="K235" i="1"/>
  <c r="K538" i="1"/>
  <c r="K142" i="1"/>
  <c r="K319" i="1"/>
  <c r="K175" i="1"/>
  <c r="K561" i="1"/>
  <c r="K477" i="1"/>
  <c r="K441" i="1"/>
  <c r="K369" i="1"/>
  <c r="K213" i="1"/>
  <c r="K584" i="1"/>
  <c r="K500" i="1"/>
  <c r="K440" i="1"/>
  <c r="K260" i="1"/>
  <c r="K8" i="1"/>
  <c r="K574" i="1"/>
  <c r="K322" i="1"/>
  <c r="K310" i="1"/>
  <c r="K58" i="1"/>
  <c r="K333" i="1"/>
  <c r="K321" i="1"/>
  <c r="K225" i="1"/>
  <c r="K189" i="1"/>
  <c r="K93" i="1"/>
  <c r="K332" i="1"/>
  <c r="K95" i="1"/>
  <c r="K35" i="1"/>
  <c r="K307" i="1"/>
  <c r="K478" i="1"/>
  <c r="K454" i="1"/>
  <c r="K394" i="1"/>
  <c r="K238" i="1"/>
  <c r="K130" i="1"/>
  <c r="K609" i="1"/>
  <c r="K201" i="1"/>
  <c r="K165" i="1"/>
  <c r="K117" i="1"/>
  <c r="K560" i="1"/>
  <c r="K548" i="1"/>
  <c r="K272" i="1"/>
  <c r="K248" i="1"/>
  <c r="K164" i="1"/>
  <c r="K92" i="1"/>
  <c r="K23" i="1"/>
  <c r="K202" i="1"/>
  <c r="K190" i="1"/>
  <c r="K178" i="1"/>
  <c r="K34" i="1"/>
  <c r="K582" i="1"/>
  <c r="K597" i="1"/>
  <c r="K501" i="1"/>
  <c r="K489" i="1"/>
  <c r="K357" i="1"/>
  <c r="K261" i="1"/>
  <c r="K578" i="1"/>
  <c r="K68" i="1"/>
  <c r="K11" i="1"/>
  <c r="K451" i="1"/>
  <c r="K466" i="1"/>
  <c r="K442" i="1"/>
  <c r="K406" i="1"/>
  <c r="K226" i="1"/>
  <c r="K154" i="1"/>
  <c r="K247" i="1"/>
  <c r="K549" i="1"/>
  <c r="K237" i="1"/>
  <c r="K129" i="1"/>
  <c r="K33" i="1"/>
  <c r="K608" i="1"/>
  <c r="K404" i="1"/>
  <c r="K380" i="1"/>
  <c r="K356" i="1"/>
  <c r="K344" i="1"/>
  <c r="K236" i="1"/>
  <c r="K188" i="1"/>
  <c r="K80" i="1"/>
  <c r="K44" i="1"/>
  <c r="K502" i="1"/>
  <c r="K286" i="1"/>
  <c r="K106" i="1"/>
  <c r="K31" i="1"/>
  <c r="K573" i="1"/>
  <c r="K465" i="1"/>
  <c r="K381" i="1"/>
  <c r="K141" i="1"/>
  <c r="K45" i="1"/>
  <c r="K9" i="1"/>
  <c r="K212" i="1"/>
  <c r="K200" i="1"/>
  <c r="K613" i="1"/>
  <c r="K586" i="1"/>
  <c r="K370" i="1"/>
  <c r="K358" i="1"/>
  <c r="K118" i="1"/>
  <c r="K273" i="1"/>
  <c r="K249" i="1"/>
  <c r="K81" i="1"/>
  <c r="K69" i="1"/>
  <c r="K57" i="1"/>
  <c r="K21" i="1"/>
  <c r="K512" i="1"/>
  <c r="K163" i="1"/>
  <c r="K91" i="1"/>
  <c r="K382" i="1"/>
  <c r="K262" i="1"/>
  <c r="K94" i="1"/>
  <c r="K82" i="1"/>
  <c r="K46" i="1"/>
  <c r="K79" i="1"/>
  <c r="K345" i="1"/>
  <c r="K309" i="1"/>
  <c r="K596" i="1"/>
  <c r="K524" i="1"/>
  <c r="K464" i="1"/>
  <c r="K452" i="1"/>
  <c r="K428" i="1"/>
  <c r="K416" i="1"/>
  <c r="K392" i="1"/>
  <c r="K320" i="1"/>
  <c r="K140" i="1"/>
  <c r="K116" i="1"/>
  <c r="K56" i="1"/>
  <c r="K20" i="1"/>
  <c r="K430" i="1"/>
  <c r="K298" i="1"/>
  <c r="K250" i="1"/>
  <c r="K535" i="1"/>
  <c r="K391" i="1"/>
  <c r="K105" i="1"/>
  <c r="K476" i="1"/>
  <c r="K308" i="1"/>
  <c r="K296" i="1"/>
  <c r="K152" i="1"/>
  <c r="K104" i="1"/>
  <c r="K32" i="1"/>
  <c r="L619" i="1"/>
  <c r="L355" i="1"/>
  <c r="L222" i="1"/>
  <c r="AF222" i="1" s="1"/>
  <c r="L198" i="1"/>
  <c r="L90" i="1"/>
  <c r="L557" i="1"/>
  <c r="L521" i="1"/>
  <c r="AF521" i="1" s="1"/>
  <c r="L473" i="1"/>
  <c r="L161" i="1"/>
  <c r="L41" i="1"/>
  <c r="L424" i="1"/>
  <c r="L88" i="1"/>
  <c r="L427" i="1"/>
  <c r="L579" i="1"/>
  <c r="L363" i="1"/>
  <c r="L291" i="1"/>
  <c r="L267" i="1"/>
  <c r="L195" i="1"/>
  <c r="AF195" i="1" s="1"/>
  <c r="L183" i="1"/>
  <c r="L558" i="1"/>
  <c r="L55" i="1"/>
  <c r="L582" i="1"/>
  <c r="L570" i="1"/>
  <c r="L510" i="1"/>
  <c r="L378" i="1"/>
  <c r="L270" i="1"/>
  <c r="L281" i="1"/>
  <c r="L257" i="1"/>
  <c r="L197" i="1"/>
  <c r="L149" i="1"/>
  <c r="L77" i="1"/>
  <c r="L472" i="1"/>
  <c r="L112" i="1"/>
  <c r="L555" i="1"/>
  <c r="L543" i="1"/>
  <c r="L507" i="1"/>
  <c r="L435" i="1"/>
  <c r="L411" i="1"/>
  <c r="L546" i="1"/>
  <c r="L534" i="1"/>
  <c r="L450" i="1"/>
  <c r="AF450" i="1" s="1"/>
  <c r="L234" i="1"/>
  <c r="L162" i="1"/>
  <c r="L581" i="1"/>
  <c r="L485" i="1"/>
  <c r="L449" i="1"/>
  <c r="AF449" i="1" s="1"/>
  <c r="L377" i="1"/>
  <c r="L53" i="1"/>
  <c r="L604" i="1"/>
  <c r="AF604" i="1" s="1"/>
  <c r="L520" i="1"/>
  <c r="AF520" i="1" s="1"/>
  <c r="L304" i="1"/>
  <c r="L220" i="1"/>
  <c r="L160" i="1"/>
  <c r="L16" i="1"/>
  <c r="L591" i="1"/>
  <c r="L243" i="1"/>
  <c r="L123" i="1"/>
  <c r="L584" i="1"/>
  <c r="L283" i="1"/>
  <c r="L150" i="1"/>
  <c r="L126" i="1"/>
  <c r="L42" i="1"/>
  <c r="L30" i="1"/>
  <c r="L18" i="1"/>
  <c r="L620" i="1"/>
  <c r="L187" i="1"/>
  <c r="L317" i="1"/>
  <c r="L305" i="1"/>
  <c r="AF305" i="1" s="1"/>
  <c r="L293" i="1"/>
  <c r="L209" i="1"/>
  <c r="L185" i="1"/>
  <c r="L29" i="1"/>
  <c r="L556" i="1"/>
  <c r="L544" i="1"/>
  <c r="AF544" i="1" s="1"/>
  <c r="L532" i="1"/>
  <c r="AF532" i="1" s="1"/>
  <c r="L571" i="1"/>
  <c r="L618" i="1"/>
  <c r="L498" i="1"/>
  <c r="L366" i="1"/>
  <c r="AF366" i="1" s="1"/>
  <c r="L66" i="1"/>
  <c r="L523" i="1"/>
  <c r="L367" i="1"/>
  <c r="AF367" i="1" s="1"/>
  <c r="L271" i="1"/>
  <c r="L437" i="1"/>
  <c r="L329" i="1"/>
  <c r="AF329" i="1" s="1"/>
  <c r="L621" i="1"/>
  <c r="L568" i="1"/>
  <c r="AF568" i="1" s="1"/>
  <c r="L460" i="1"/>
  <c r="L400" i="1"/>
  <c r="L364" i="1"/>
  <c r="L316" i="1"/>
  <c r="L256" i="1"/>
  <c r="AF256" i="1" s="1"/>
  <c r="L208" i="1"/>
  <c r="L64" i="1"/>
  <c r="L4" i="1"/>
  <c r="L603" i="1"/>
  <c r="L447" i="1"/>
  <c r="L423" i="1"/>
  <c r="L210" i="1"/>
  <c r="AF210" i="1" s="1"/>
  <c r="L545" i="1"/>
  <c r="AF545" i="1" s="1"/>
  <c r="L413" i="1"/>
  <c r="L17" i="1"/>
  <c r="L592" i="1"/>
  <c r="L496" i="1"/>
  <c r="L184" i="1"/>
  <c r="L100" i="1"/>
  <c r="L339" i="1"/>
  <c r="L327" i="1"/>
  <c r="L617" i="1"/>
  <c r="L497" i="1"/>
  <c r="L461" i="1"/>
  <c r="L5" i="1"/>
  <c r="L595" i="1"/>
  <c r="L376" i="1"/>
  <c r="L352" i="1"/>
  <c r="L292" i="1"/>
  <c r="AF292" i="1" s="1"/>
  <c r="L471" i="1"/>
  <c r="AF471" i="1" s="1"/>
  <c r="L462" i="1"/>
  <c r="L390" i="1"/>
  <c r="L186" i="1"/>
  <c r="L138" i="1"/>
  <c r="L114" i="1"/>
  <c r="L341" i="1"/>
  <c r="L343" i="1"/>
  <c r="AF343" i="1" s="1"/>
  <c r="L340" i="1"/>
  <c r="L244" i="1"/>
  <c r="AF244" i="1" s="1"/>
  <c r="L196" i="1"/>
  <c r="L148" i="1"/>
  <c r="AF148" i="1" s="1"/>
  <c r="L483" i="1"/>
  <c r="L399" i="1"/>
  <c r="L375" i="1"/>
  <c r="L255" i="1"/>
  <c r="L487" i="1"/>
  <c r="L402" i="1"/>
  <c r="L354" i="1"/>
  <c r="L342" i="1"/>
  <c r="L294" i="1"/>
  <c r="L78" i="1"/>
  <c r="L103" i="1"/>
  <c r="L593" i="1"/>
  <c r="L533" i="1"/>
  <c r="AF533" i="1" s="1"/>
  <c r="L137" i="1"/>
  <c r="L113" i="1"/>
  <c r="L448" i="1"/>
  <c r="L388" i="1"/>
  <c r="L52" i="1"/>
  <c r="L519" i="1"/>
  <c r="L303" i="1"/>
  <c r="L211" i="1"/>
  <c r="L474" i="1"/>
  <c r="L426" i="1"/>
  <c r="L414" i="1"/>
  <c r="L102" i="1"/>
  <c r="L6" i="1"/>
  <c r="L509" i="1"/>
  <c r="AF509" i="1" s="1"/>
  <c r="L401" i="1"/>
  <c r="L389" i="1"/>
  <c r="L616" i="1"/>
  <c r="L268" i="1"/>
  <c r="L232" i="1"/>
  <c r="L124" i="1"/>
  <c r="AF124" i="1" s="1"/>
  <c r="L76" i="1"/>
  <c r="L40" i="1"/>
  <c r="L28" i="1"/>
  <c r="L615" i="1"/>
  <c r="L567" i="1"/>
  <c r="AF567" i="1" s="1"/>
  <c r="L531" i="1"/>
  <c r="L351" i="1"/>
  <c r="L139" i="1"/>
  <c r="L522" i="1"/>
  <c r="L330" i="1"/>
  <c r="AF330" i="1" s="1"/>
  <c r="L318" i="1"/>
  <c r="L306" i="1"/>
  <c r="L282" i="1"/>
  <c r="L174" i="1"/>
  <c r="L54" i="1"/>
  <c r="L439" i="1"/>
  <c r="L353" i="1"/>
  <c r="AF353" i="1" s="1"/>
  <c r="L269" i="1"/>
  <c r="L125" i="1"/>
  <c r="L101" i="1"/>
  <c r="L89" i="1"/>
  <c r="L580" i="1"/>
  <c r="L508" i="1"/>
  <c r="AF508" i="1" s="1"/>
  <c r="L328" i="1"/>
  <c r="L280" i="1"/>
  <c r="L172" i="1"/>
  <c r="L231" i="1"/>
  <c r="L207" i="1"/>
  <c r="L606" i="1"/>
  <c r="AF606" i="1" s="1"/>
  <c r="L486" i="1"/>
  <c r="L438" i="1"/>
  <c r="L258" i="1"/>
  <c r="AF258" i="1" s="1"/>
  <c r="L246" i="1"/>
  <c r="L605" i="1"/>
  <c r="AF605" i="1" s="1"/>
  <c r="L569" i="1"/>
  <c r="AF569" i="1" s="1"/>
  <c r="L425" i="1"/>
  <c r="L365" i="1"/>
  <c r="AF365" i="1" s="1"/>
  <c r="L245" i="1"/>
  <c r="L233" i="1"/>
  <c r="L221" i="1"/>
  <c r="L173" i="1"/>
  <c r="L65" i="1"/>
  <c r="L484" i="1"/>
  <c r="L436" i="1"/>
  <c r="L412" i="1"/>
  <c r="L136" i="1"/>
  <c r="L607" i="1"/>
  <c r="AF607" i="1" s="1"/>
  <c r="L495" i="1"/>
  <c r="L459" i="1"/>
  <c r="L387" i="1"/>
  <c r="L315" i="1"/>
  <c r="AF315" i="1" s="1"/>
  <c r="L279" i="1"/>
  <c r="L171" i="1"/>
  <c r="L99" i="1"/>
  <c r="L602" i="1"/>
  <c r="L482" i="1"/>
  <c r="L470" i="1"/>
  <c r="L374" i="1"/>
  <c r="L182" i="1"/>
  <c r="L601" i="1"/>
  <c r="L409" i="1"/>
  <c r="L397" i="1"/>
  <c r="L85" i="1"/>
  <c r="L25" i="1"/>
  <c r="L223" i="1"/>
  <c r="AF223" i="1" s="1"/>
  <c r="L564" i="1"/>
  <c r="L396" i="1"/>
  <c r="L156" i="1"/>
  <c r="L503" i="1"/>
  <c r="L479" i="1"/>
  <c r="L347" i="1"/>
  <c r="L111" i="1"/>
  <c r="L518" i="1"/>
  <c r="L506" i="1"/>
  <c r="L146" i="1"/>
  <c r="L110" i="1"/>
  <c r="AF110" i="1" s="1"/>
  <c r="L86" i="1"/>
  <c r="L565" i="1"/>
  <c r="L493" i="1"/>
  <c r="L349" i="1"/>
  <c r="L301" i="1"/>
  <c r="L205" i="1"/>
  <c r="L133" i="1"/>
  <c r="L420" i="1"/>
  <c r="L372" i="1"/>
  <c r="L348" i="1"/>
  <c r="L228" i="1"/>
  <c r="L551" i="1"/>
  <c r="AF551" i="1" s="1"/>
  <c r="L527" i="1"/>
  <c r="L407" i="1"/>
  <c r="L287" i="1"/>
  <c r="L263" i="1"/>
  <c r="L179" i="1"/>
  <c r="L542" i="1"/>
  <c r="L410" i="1"/>
  <c r="L386" i="1"/>
  <c r="L290" i="1"/>
  <c r="L242" i="1"/>
  <c r="L134" i="1"/>
  <c r="L122" i="1"/>
  <c r="L98" i="1"/>
  <c r="L74" i="1"/>
  <c r="L199" i="1"/>
  <c r="AF199" i="1" s="1"/>
  <c r="L7" i="1"/>
  <c r="L517" i="1"/>
  <c r="L481" i="1"/>
  <c r="L457" i="1"/>
  <c r="L325" i="1"/>
  <c r="L499" i="1"/>
  <c r="L295" i="1"/>
  <c r="L151" i="1"/>
  <c r="L288" i="1"/>
  <c r="L264" i="1"/>
  <c r="L383" i="1"/>
  <c r="L311" i="1"/>
  <c r="AF311" i="1" s="1"/>
  <c r="L215" i="1"/>
  <c r="L167" i="1"/>
  <c r="L3" i="1"/>
  <c r="L398" i="1"/>
  <c r="L218" i="1"/>
  <c r="L541" i="1"/>
  <c r="L253" i="1"/>
  <c r="L61" i="1"/>
  <c r="L37" i="1"/>
  <c r="L43" i="1"/>
  <c r="L540" i="1"/>
  <c r="L456" i="1"/>
  <c r="L444" i="1"/>
  <c r="L252" i="1"/>
  <c r="L192" i="1"/>
  <c r="L144" i="1"/>
  <c r="AF144" i="1" s="1"/>
  <c r="L132" i="1"/>
  <c r="L60" i="1"/>
  <c r="L36" i="1"/>
  <c r="L575" i="1"/>
  <c r="L431" i="1"/>
  <c r="L335" i="1"/>
  <c r="L299" i="1"/>
  <c r="L131" i="1"/>
  <c r="L159" i="1"/>
  <c r="L135" i="1"/>
  <c r="L75" i="1"/>
  <c r="AF75" i="1" s="1"/>
  <c r="L27" i="1"/>
  <c r="L590" i="1"/>
  <c r="L566" i="1"/>
  <c r="L434" i="1"/>
  <c r="L194" i="1"/>
  <c r="L170" i="1"/>
  <c r="L67" i="1"/>
  <c r="L469" i="1"/>
  <c r="L421" i="1"/>
  <c r="L193" i="1"/>
  <c r="L600" i="1"/>
  <c r="L516" i="1"/>
  <c r="L239" i="1"/>
  <c r="L155" i="1"/>
  <c r="L51" i="1"/>
  <c r="L62" i="1"/>
  <c r="L373" i="1"/>
  <c r="L13" i="1"/>
  <c r="L240" i="1"/>
  <c r="L108" i="1"/>
  <c r="L72" i="1"/>
  <c r="L24" i="1"/>
  <c r="L443" i="1"/>
  <c r="L323" i="1"/>
  <c r="AF323" i="1" s="1"/>
  <c r="L251" i="1"/>
  <c r="L83" i="1"/>
  <c r="L147" i="1"/>
  <c r="L87" i="1"/>
  <c r="AF87" i="1" s="1"/>
  <c r="L614" i="1"/>
  <c r="L578" i="1"/>
  <c r="L554" i="1"/>
  <c r="L314" i="1"/>
  <c r="L302" i="1"/>
  <c r="L403" i="1"/>
  <c r="L589" i="1"/>
  <c r="L553" i="1"/>
  <c r="L529" i="1"/>
  <c r="L445" i="1"/>
  <c r="L289" i="1"/>
  <c r="L265" i="1"/>
  <c r="AF265" i="1" s="1"/>
  <c r="L528" i="1"/>
  <c r="L432" i="1"/>
  <c r="L384" i="1"/>
  <c r="L276" i="1"/>
  <c r="L96" i="1"/>
  <c r="L84" i="1"/>
  <c r="L515" i="1"/>
  <c r="L419" i="1"/>
  <c r="L359" i="1"/>
  <c r="L219" i="1"/>
  <c r="L63" i="1"/>
  <c r="L530" i="1"/>
  <c r="L338" i="1"/>
  <c r="L278" i="1"/>
  <c r="L50" i="1"/>
  <c r="L547" i="1"/>
  <c r="L115" i="1"/>
  <c r="L577" i="1"/>
  <c r="L241" i="1"/>
  <c r="L181" i="1"/>
  <c r="L145" i="1"/>
  <c r="L109" i="1"/>
  <c r="L73" i="1"/>
  <c r="L588" i="1"/>
  <c r="AF588" i="1" s="1"/>
  <c r="L504" i="1"/>
  <c r="L492" i="1"/>
  <c r="L480" i="1"/>
  <c r="L408" i="1"/>
  <c r="L300" i="1"/>
  <c r="AF300" i="1" s="1"/>
  <c r="L587" i="1"/>
  <c r="AF587" i="1" s="1"/>
  <c r="L203" i="1"/>
  <c r="L143" i="1"/>
  <c r="L39" i="1"/>
  <c r="L458" i="1"/>
  <c r="L254" i="1"/>
  <c r="L14" i="1"/>
  <c r="L613" i="1"/>
  <c r="L361" i="1"/>
  <c r="L337" i="1"/>
  <c r="L277" i="1"/>
  <c r="L49" i="1"/>
  <c r="L415" i="1"/>
  <c r="L180" i="1"/>
  <c r="L120" i="1"/>
  <c r="L48" i="1"/>
  <c r="L563" i="1"/>
  <c r="L275" i="1"/>
  <c r="L227" i="1"/>
  <c r="L230" i="1"/>
  <c r="L206" i="1"/>
  <c r="L505" i="1"/>
  <c r="L433" i="1"/>
  <c r="L385" i="1"/>
  <c r="L169" i="1"/>
  <c r="AF169" i="1" s="1"/>
  <c r="L157" i="1"/>
  <c r="L612" i="1"/>
  <c r="L360" i="1"/>
  <c r="L336" i="1"/>
  <c r="L312" i="1"/>
  <c r="L216" i="1"/>
  <c r="L168" i="1"/>
  <c r="L599" i="1"/>
  <c r="L539" i="1"/>
  <c r="L455" i="1"/>
  <c r="L494" i="1"/>
  <c r="L446" i="1"/>
  <c r="L350" i="1"/>
  <c r="L326" i="1"/>
  <c r="L266" i="1"/>
  <c r="AF266" i="1" s="1"/>
  <c r="L38" i="1"/>
  <c r="L26" i="1"/>
  <c r="L463" i="1"/>
  <c r="L259" i="1"/>
  <c r="L313" i="1"/>
  <c r="L229" i="1"/>
  <c r="L217" i="1"/>
  <c r="L121" i="1"/>
  <c r="L576" i="1"/>
  <c r="L552" i="1"/>
  <c r="L12" i="1"/>
  <c r="L611" i="1"/>
  <c r="L395" i="1"/>
  <c r="L371" i="1"/>
  <c r="L15" i="1"/>
  <c r="L422" i="1"/>
  <c r="AF422" i="1" s="1"/>
  <c r="L362" i="1"/>
  <c r="L158" i="1"/>
  <c r="L331" i="1"/>
  <c r="AF331" i="1" s="1"/>
  <c r="L97" i="1"/>
  <c r="L583" i="1"/>
  <c r="L468" i="1"/>
  <c r="L324" i="1"/>
  <c r="AF324" i="1" s="1"/>
  <c r="L204" i="1"/>
  <c r="L491" i="1"/>
  <c r="L467" i="1"/>
  <c r="L191" i="1"/>
  <c r="L163" i="1"/>
  <c r="L91" i="1"/>
  <c r="L382" i="1"/>
  <c r="L154" i="1"/>
  <c r="AF154" i="1" s="1"/>
  <c r="L22" i="1"/>
  <c r="L369" i="1"/>
  <c r="L345" i="1"/>
  <c r="L309" i="1"/>
  <c r="L273" i="1"/>
  <c r="L45" i="1"/>
  <c r="L33" i="1"/>
  <c r="L524" i="1"/>
  <c r="L476" i="1"/>
  <c r="L428" i="1"/>
  <c r="L392" i="1"/>
  <c r="L128" i="1"/>
  <c r="L44" i="1"/>
  <c r="L80" i="1"/>
  <c r="L430" i="1"/>
  <c r="L346" i="1"/>
  <c r="L334" i="1"/>
  <c r="L298" i="1"/>
  <c r="L250" i="1"/>
  <c r="L70" i="1"/>
  <c r="L535" i="1"/>
  <c r="L513" i="1"/>
  <c r="L297" i="1"/>
  <c r="L177" i="1"/>
  <c r="L105" i="1"/>
  <c r="L308" i="1"/>
  <c r="L296" i="1"/>
  <c r="L152" i="1"/>
  <c r="L19" i="1"/>
  <c r="L610" i="1"/>
  <c r="L562" i="1"/>
  <c r="L550" i="1"/>
  <c r="AF550" i="1" s="1"/>
  <c r="L514" i="1"/>
  <c r="L490" i="1"/>
  <c r="L274" i="1"/>
  <c r="L214" i="1"/>
  <c r="L475" i="1"/>
  <c r="L391" i="1"/>
  <c r="L31" i="1"/>
  <c r="L429" i="1"/>
  <c r="L417" i="1"/>
  <c r="L572" i="1"/>
  <c r="L536" i="1"/>
  <c r="AF536" i="1" s="1"/>
  <c r="L284" i="1"/>
  <c r="L188" i="1"/>
  <c r="L104" i="1"/>
  <c r="L56" i="1"/>
  <c r="L23" i="1"/>
  <c r="L559" i="1"/>
  <c r="L379" i="1"/>
  <c r="L598" i="1"/>
  <c r="L526" i="1"/>
  <c r="L418" i="1"/>
  <c r="L10" i="1"/>
  <c r="L585" i="1"/>
  <c r="AF585" i="1" s="1"/>
  <c r="L537" i="1"/>
  <c r="AF537" i="1" s="1"/>
  <c r="L393" i="1"/>
  <c r="L285" i="1"/>
  <c r="L141" i="1"/>
  <c r="L594" i="1"/>
  <c r="L404" i="1"/>
  <c r="L380" i="1"/>
  <c r="L116" i="1"/>
  <c r="L92" i="1"/>
  <c r="L107" i="1"/>
  <c r="AF107" i="1" s="1"/>
  <c r="L59" i="1"/>
  <c r="L226" i="1"/>
  <c r="L202" i="1"/>
  <c r="L525" i="1"/>
  <c r="L453" i="1"/>
  <c r="L153" i="1"/>
  <c r="L368" i="1"/>
  <c r="L164" i="1"/>
  <c r="L140" i="1"/>
  <c r="L511" i="1"/>
  <c r="L235" i="1"/>
  <c r="L538" i="1"/>
  <c r="L310" i="1"/>
  <c r="L142" i="1"/>
  <c r="L58" i="1"/>
  <c r="L319" i="1"/>
  <c r="L175" i="1"/>
  <c r="L127" i="1"/>
  <c r="L561" i="1"/>
  <c r="L477" i="1"/>
  <c r="L441" i="1"/>
  <c r="L405" i="1"/>
  <c r="AF405" i="1" s="1"/>
  <c r="L500" i="1"/>
  <c r="L440" i="1"/>
  <c r="L260" i="1"/>
  <c r="L47" i="1"/>
  <c r="L307" i="1"/>
  <c r="L466" i="1"/>
  <c r="L322" i="1"/>
  <c r="L106" i="1"/>
  <c r="L609" i="1"/>
  <c r="L333" i="1"/>
  <c r="L321" i="1"/>
  <c r="L225" i="1"/>
  <c r="L93" i="1"/>
  <c r="L560" i="1"/>
  <c r="L332" i="1"/>
  <c r="AF332" i="1" s="1"/>
  <c r="L8" i="1"/>
  <c r="L95" i="1"/>
  <c r="L71" i="1"/>
  <c r="L478" i="1"/>
  <c r="L454" i="1"/>
  <c r="L394" i="1"/>
  <c r="AF394" i="1" s="1"/>
  <c r="L262" i="1"/>
  <c r="L238" i="1"/>
  <c r="L597" i="1"/>
  <c r="L489" i="1"/>
  <c r="L622" i="1"/>
  <c r="L574" i="1"/>
  <c r="L548" i="1"/>
  <c r="AF548" i="1" s="1"/>
  <c r="L248" i="1"/>
  <c r="L451" i="1"/>
  <c r="L178" i="1"/>
  <c r="L501" i="1"/>
  <c r="L357" i="1"/>
  <c r="L261" i="1"/>
  <c r="AF261" i="1" s="1"/>
  <c r="L237" i="1"/>
  <c r="L201" i="1"/>
  <c r="L165" i="1"/>
  <c r="AF165" i="1" s="1"/>
  <c r="L608" i="1"/>
  <c r="L356" i="1"/>
  <c r="L68" i="1"/>
  <c r="L11" i="1"/>
  <c r="L286" i="1"/>
  <c r="L118" i="1"/>
  <c r="L34" i="1"/>
  <c r="L247" i="1"/>
  <c r="L573" i="1"/>
  <c r="L213" i="1"/>
  <c r="L117" i="1"/>
  <c r="L9" i="1"/>
  <c r="L488" i="1"/>
  <c r="L344" i="1"/>
  <c r="L236" i="1"/>
  <c r="L200" i="1"/>
  <c r="AF200" i="1" s="1"/>
  <c r="L176" i="1"/>
  <c r="L502" i="1"/>
  <c r="L442" i="1"/>
  <c r="L406" i="1"/>
  <c r="L190" i="1"/>
  <c r="L166" i="1"/>
  <c r="L46" i="1"/>
  <c r="L549" i="1"/>
  <c r="AF549" i="1" s="1"/>
  <c r="L465" i="1"/>
  <c r="L381" i="1"/>
  <c r="AF381" i="1" s="1"/>
  <c r="L189" i="1"/>
  <c r="L69" i="1"/>
  <c r="L57" i="1"/>
  <c r="L272" i="1"/>
  <c r="L212" i="1"/>
  <c r="L32" i="1"/>
  <c r="L119" i="1"/>
  <c r="L35" i="1"/>
  <c r="L586" i="1"/>
  <c r="AF586" i="1" s="1"/>
  <c r="L370" i="1"/>
  <c r="L358" i="1"/>
  <c r="L130" i="1"/>
  <c r="L94" i="1"/>
  <c r="L82" i="1"/>
  <c r="L79" i="1"/>
  <c r="L249" i="1"/>
  <c r="L129" i="1"/>
  <c r="AF129" i="1" s="1"/>
  <c r="L81" i="1"/>
  <c r="AF81" i="1" s="1"/>
  <c r="L21" i="1"/>
  <c r="L596" i="1"/>
  <c r="L512" i="1"/>
  <c r="L464" i="1"/>
  <c r="L452" i="1"/>
  <c r="L416" i="1"/>
  <c r="L320" i="1"/>
  <c r="L224" i="1"/>
  <c r="L20" i="1"/>
  <c r="AL108" i="2"/>
  <c r="BB108" i="2"/>
  <c r="AL196" i="2"/>
  <c r="BB196" i="2"/>
  <c r="AL145" i="2"/>
  <c r="BB145" i="2"/>
  <c r="BA301" i="2"/>
  <c r="BG301" i="2"/>
  <c r="BL301" i="2" s="1"/>
  <c r="BG76" i="2"/>
  <c r="BL76" i="2" s="1"/>
  <c r="BA76" i="2"/>
  <c r="BA266" i="2"/>
  <c r="BG266" i="2"/>
  <c r="BL266" i="2" s="1"/>
  <c r="BA224" i="2"/>
  <c r="BG224" i="2"/>
  <c r="BL224" i="2" s="1"/>
  <c r="BA607" i="2"/>
  <c r="BG607" i="2"/>
  <c r="BL607" i="2" s="1"/>
  <c r="BV9" i="2"/>
  <c r="AJ194" i="2" s="1"/>
  <c r="AL130" i="2"/>
  <c r="P10" i="27"/>
  <c r="P7" i="27"/>
  <c r="M7" i="27"/>
  <c r="P19" i="27"/>
  <c r="M19" i="27"/>
  <c r="P11" i="27"/>
  <c r="P23" i="27"/>
  <c r="P9" i="27"/>
  <c r="M9" i="27"/>
  <c r="P25" i="27"/>
  <c r="M21" i="27"/>
  <c r="P21" i="27"/>
  <c r="P6" i="27"/>
  <c r="P4" i="27"/>
  <c r="J29" i="27" s="1"/>
  <c r="M4" i="27"/>
  <c r="P16" i="27"/>
  <c r="M16" i="27"/>
  <c r="AK155" i="2"/>
  <c r="AZ155" i="2" s="1"/>
  <c r="AL606" i="2"/>
  <c r="AL166" i="2"/>
  <c r="AL330" i="2"/>
  <c r="AL451" i="2"/>
  <c r="AL262" i="2"/>
  <c r="AK551" i="2"/>
  <c r="AL545" i="2"/>
  <c r="AL354" i="2"/>
  <c r="AK170" i="2"/>
  <c r="AZ170" i="2" s="1"/>
  <c r="AL522" i="2"/>
  <c r="AL331" i="2"/>
  <c r="AL368" i="2"/>
  <c r="AL550" i="2"/>
  <c r="AL589" i="2"/>
  <c r="AL521" i="2"/>
  <c r="AL406" i="2"/>
  <c r="AL533" i="2"/>
  <c r="AL245" i="2"/>
  <c r="AL293" i="2"/>
  <c r="AL344" i="2"/>
  <c r="AL333" i="2"/>
  <c r="AL82" i="2"/>
  <c r="AL367" i="2"/>
  <c r="AK149" i="2"/>
  <c r="AZ149" i="2" s="1"/>
  <c r="BX11" i="2"/>
  <c r="AL113" i="2" s="1"/>
  <c r="AL570" i="2"/>
  <c r="AL587" i="2"/>
  <c r="AL395" i="2"/>
  <c r="AL325" i="2"/>
  <c r="AL88" i="2"/>
  <c r="AK223" i="2"/>
  <c r="AZ223" i="2" s="1"/>
  <c r="AJ223" i="2"/>
  <c r="AL568" i="2"/>
  <c r="BW11" i="2"/>
  <c r="AK206" i="2" s="1"/>
  <c r="AZ206" i="2" s="1"/>
  <c r="AK88" i="2"/>
  <c r="AZ88" i="2" s="1"/>
  <c r="AJ88" i="2"/>
  <c r="AL266" i="2"/>
  <c r="AK266" i="2"/>
  <c r="AZ266" i="2" s="1"/>
  <c r="BV11" i="2"/>
  <c r="AJ535" i="2" s="1"/>
  <c r="AK200" i="2"/>
  <c r="AZ200" i="2" s="1"/>
  <c r="AJ200" i="2"/>
  <c r="AL301" i="2"/>
  <c r="AK301" i="2"/>
  <c r="AZ301" i="2" s="1"/>
  <c r="BX10" i="2"/>
  <c r="AL179" i="2" s="1"/>
  <c r="AL125" i="2"/>
  <c r="BW10" i="2"/>
  <c r="AK186" i="2" s="1"/>
  <c r="AZ186" i="2" s="1"/>
  <c r="AK125" i="2"/>
  <c r="AZ125" i="2" s="1"/>
  <c r="AJ125" i="2"/>
  <c r="BV10" i="2"/>
  <c r="AJ188" i="2" s="1"/>
  <c r="AL259" i="2"/>
  <c r="AK606" i="2"/>
  <c r="AJ606" i="2"/>
  <c r="AL111" i="2"/>
  <c r="AK259" i="2"/>
  <c r="AZ259" i="2" s="1"/>
  <c r="AJ259" i="2"/>
  <c r="AL200" i="2"/>
  <c r="AK201" i="2"/>
  <c r="AZ201" i="2" s="1"/>
  <c r="AJ201" i="2"/>
  <c r="AK111" i="2"/>
  <c r="AZ111" i="2" s="1"/>
  <c r="AJ111" i="2"/>
  <c r="AL201" i="2"/>
  <c r="AK423" i="2"/>
  <c r="AZ423" i="2" s="1"/>
  <c r="AJ423" i="2"/>
  <c r="AL423" i="2"/>
  <c r="AK605" i="2"/>
  <c r="AZ605" i="2" s="1"/>
  <c r="AJ605" i="2"/>
  <c r="AL211" i="2"/>
  <c r="AL267" i="2"/>
  <c r="AL76" i="2"/>
  <c r="AK76" i="2"/>
  <c r="AZ76" i="2" s="1"/>
  <c r="AK211" i="2"/>
  <c r="AJ211" i="2"/>
  <c r="AK267" i="2"/>
  <c r="AZ267" i="2" s="1"/>
  <c r="AJ267" i="2"/>
  <c r="AL224" i="2"/>
  <c r="AK224" i="2"/>
  <c r="AZ224" i="2" s="1"/>
  <c r="AL223" i="2"/>
  <c r="AK608" i="2"/>
  <c r="AZ608" i="2" s="1"/>
  <c r="AJ608" i="2"/>
  <c r="AK568" i="2"/>
  <c r="AZ568" i="2" s="1"/>
  <c r="AJ568" i="2"/>
  <c r="AL569" i="2"/>
  <c r="AL366" i="2"/>
  <c r="AK522" i="2"/>
  <c r="AZ522" i="2" s="1"/>
  <c r="AJ522" i="2"/>
  <c r="AK331" i="2"/>
  <c r="AZ331" i="2" s="1"/>
  <c r="AJ331" i="2"/>
  <c r="AL588" i="2"/>
  <c r="AK550" i="2"/>
  <c r="AZ550" i="2" s="1"/>
  <c r="AJ550" i="2"/>
  <c r="AK569" i="2"/>
  <c r="AJ569" i="2"/>
  <c r="AK366" i="2"/>
  <c r="AZ366" i="2" s="1"/>
  <c r="AJ366" i="2"/>
  <c r="AK588" i="2"/>
  <c r="AZ588" i="2" s="1"/>
  <c r="AJ588" i="2"/>
  <c r="AL552" i="2"/>
  <c r="AK589" i="2"/>
  <c r="AZ589" i="2" s="1"/>
  <c r="AJ589" i="2"/>
  <c r="AL316" i="2"/>
  <c r="AK472" i="2"/>
  <c r="AZ472" i="2" s="1"/>
  <c r="AJ472" i="2"/>
  <c r="AK521" i="2"/>
  <c r="AZ521" i="2" s="1"/>
  <c r="AJ521" i="2"/>
  <c r="AL534" i="2"/>
  <c r="AL332" i="2"/>
  <c r="AK332" i="2"/>
  <c r="AK552" i="2"/>
  <c r="AZ552" i="2" s="1"/>
  <c r="AJ552" i="2"/>
  <c r="AK316" i="2"/>
  <c r="AJ316" i="2"/>
  <c r="AL472" i="2"/>
  <c r="AK330" i="2"/>
  <c r="AZ330" i="2" s="1"/>
  <c r="AJ330" i="2"/>
  <c r="AK534" i="2"/>
  <c r="AJ534" i="2"/>
  <c r="AK451" i="2"/>
  <c r="AJ451" i="2"/>
  <c r="AL607" i="2"/>
  <c r="AK607" i="2"/>
  <c r="AZ607" i="2" s="1"/>
  <c r="BX9" i="2"/>
  <c r="AL287" i="2" s="1"/>
  <c r="AK262" i="2"/>
  <c r="AZ262" i="2" s="1"/>
  <c r="AJ262" i="2"/>
  <c r="AJ149" i="2"/>
  <c r="AK344" i="2"/>
  <c r="AJ344" i="2"/>
  <c r="AK333" i="2"/>
  <c r="AJ333" i="2"/>
  <c r="BW9" i="2"/>
  <c r="AK26" i="2" s="1"/>
  <c r="AZ26" i="2" s="1"/>
  <c r="AK166" i="2"/>
  <c r="AZ166" i="2" s="1"/>
  <c r="AJ166" i="2"/>
  <c r="AJ551" i="2"/>
  <c r="AL586" i="2"/>
  <c r="AK533" i="2"/>
  <c r="AJ533" i="2"/>
  <c r="AL537" i="2"/>
  <c r="AK312" i="2"/>
  <c r="AZ312" i="2" s="1"/>
  <c r="AJ312" i="2"/>
  <c r="AL605" i="2"/>
  <c r="AK586" i="2"/>
  <c r="AZ586" i="2" s="1"/>
  <c r="AJ586" i="2"/>
  <c r="AK245" i="2"/>
  <c r="AZ245" i="2" s="1"/>
  <c r="AJ245" i="2"/>
  <c r="AK293" i="2"/>
  <c r="AZ293" i="2" s="1"/>
  <c r="AJ293" i="2"/>
  <c r="AK537" i="2"/>
  <c r="AZ537" i="2" s="1"/>
  <c r="AJ537" i="2"/>
  <c r="AL382" i="2"/>
  <c r="AL312" i="2"/>
  <c r="AJ546" i="2"/>
  <c r="AK367" i="2"/>
  <c r="AJ367" i="2"/>
  <c r="AK130" i="2"/>
  <c r="AZ130" i="2" s="1"/>
  <c r="AJ130" i="2"/>
  <c r="AK382" i="2"/>
  <c r="AJ382" i="2"/>
  <c r="AJ196" i="2"/>
  <c r="AJ145" i="2"/>
  <c r="AK257" i="2"/>
  <c r="AZ257" i="2" s="1"/>
  <c r="AJ257" i="2"/>
  <c r="AK545" i="2"/>
  <c r="AZ545" i="2" s="1"/>
  <c r="AJ545" i="2"/>
  <c r="AK587" i="2"/>
  <c r="AZ587" i="2" s="1"/>
  <c r="AJ587" i="2"/>
  <c r="AL306" i="2"/>
  <c r="AL450" i="2"/>
  <c r="AL510" i="2"/>
  <c r="AL549" i="2"/>
  <c r="AK82" i="2"/>
  <c r="AZ82" i="2" s="1"/>
  <c r="AJ82" i="2"/>
  <c r="AL538" i="2"/>
  <c r="AK395" i="2"/>
  <c r="AJ395" i="2"/>
  <c r="AK324" i="2"/>
  <c r="AZ324" i="2" s="1"/>
  <c r="AJ324" i="2"/>
  <c r="AL608" i="2"/>
  <c r="AL257" i="2"/>
  <c r="AK306" i="2"/>
  <c r="AZ306" i="2" s="1"/>
  <c r="AJ306" i="2"/>
  <c r="AK450" i="2"/>
  <c r="AZ450" i="2" s="1"/>
  <c r="AJ450" i="2"/>
  <c r="AK510" i="2"/>
  <c r="AZ510" i="2" s="1"/>
  <c r="AJ510" i="2"/>
  <c r="AK549" i="2"/>
  <c r="AZ549" i="2" s="1"/>
  <c r="AJ549" i="2"/>
  <c r="AK538" i="2"/>
  <c r="AJ538" i="2"/>
  <c r="AL324" i="2"/>
  <c r="AJ155" i="2"/>
  <c r="AJ170" i="2"/>
  <c r="AK354" i="2"/>
  <c r="AZ354" i="2" s="1"/>
  <c r="AJ354" i="2"/>
  <c r="AK368" i="2"/>
  <c r="AJ368" i="2"/>
  <c r="AJ108" i="2"/>
  <c r="AK509" i="2"/>
  <c r="AJ509" i="2"/>
  <c r="AK570" i="2"/>
  <c r="AJ570" i="2"/>
  <c r="AK406" i="2"/>
  <c r="AZ406" i="2" s="1"/>
  <c r="AJ406" i="2"/>
  <c r="AK325" i="2"/>
  <c r="AJ325" i="2"/>
  <c r="BO2" i="2"/>
  <c r="BH2" i="2"/>
  <c r="BM2" i="2" s="1"/>
  <c r="BG2" i="2"/>
  <c r="BF2" i="2"/>
  <c r="BJ2" i="2"/>
  <c r="G23" i="28"/>
  <c r="G24" i="28"/>
  <c r="G25" i="28" s="1"/>
  <c r="G2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AH4" i="18"/>
  <c r="AI4" i="18"/>
  <c r="AJ4" i="18"/>
  <c r="AH5" i="18"/>
  <c r="AI5" i="18"/>
  <c r="AJ5" i="18"/>
  <c r="AH6" i="18"/>
  <c r="AI6" i="18"/>
  <c r="AJ6" i="18"/>
  <c r="AH7" i="18"/>
  <c r="AI7" i="18"/>
  <c r="AJ7" i="18"/>
  <c r="AH8" i="18"/>
  <c r="AI8" i="18"/>
  <c r="AJ8" i="18"/>
  <c r="AH9" i="18"/>
  <c r="AI9" i="18"/>
  <c r="AJ9" i="18"/>
  <c r="AH10" i="18"/>
  <c r="AI10" i="18"/>
  <c r="AJ10" i="18"/>
  <c r="AH11" i="18"/>
  <c r="AI11" i="18"/>
  <c r="AJ11" i="18"/>
  <c r="AH12" i="18"/>
  <c r="AI12" i="18"/>
  <c r="AJ12" i="18"/>
  <c r="AH13" i="18"/>
  <c r="AI13" i="18"/>
  <c r="AJ13" i="18"/>
  <c r="AH14" i="18"/>
  <c r="AI14" i="18"/>
  <c r="AJ14" i="18"/>
  <c r="AH15" i="18"/>
  <c r="AI15" i="18"/>
  <c r="AJ15" i="18"/>
  <c r="AH16" i="18"/>
  <c r="AI16" i="18"/>
  <c r="AJ16" i="18"/>
  <c r="AH17" i="18"/>
  <c r="AI17" i="18"/>
  <c r="AJ17" i="18"/>
  <c r="AH18" i="18"/>
  <c r="AI18" i="18"/>
  <c r="AJ18" i="18"/>
  <c r="AH19" i="18"/>
  <c r="AI19" i="18"/>
  <c r="AJ19" i="18"/>
  <c r="AH20" i="18"/>
  <c r="AI20" i="18"/>
  <c r="AJ20" i="18"/>
  <c r="AH21" i="18"/>
  <c r="AI21" i="18"/>
  <c r="AJ21" i="18"/>
  <c r="AH22" i="18"/>
  <c r="AI22" i="18"/>
  <c r="AJ22" i="18"/>
  <c r="AH23" i="18"/>
  <c r="AI23" i="18"/>
  <c r="AJ23" i="18"/>
  <c r="AH24" i="18"/>
  <c r="AI24" i="18"/>
  <c r="AJ24" i="18"/>
  <c r="AH25" i="18"/>
  <c r="AI25" i="18"/>
  <c r="AJ25" i="18"/>
  <c r="AH26" i="18"/>
  <c r="AI26" i="18"/>
  <c r="AJ26" i="18"/>
  <c r="AJ3" i="18"/>
  <c r="AI3" i="18"/>
  <c r="AH3" i="18"/>
  <c r="W4" i="18"/>
  <c r="X4" i="18"/>
  <c r="Y4" i="18"/>
  <c r="W5" i="18"/>
  <c r="X5" i="18"/>
  <c r="Y5" i="18"/>
  <c r="W6" i="18"/>
  <c r="X6" i="18"/>
  <c r="Y6" i="18"/>
  <c r="W7" i="18"/>
  <c r="X7" i="18"/>
  <c r="Y7" i="18"/>
  <c r="W8" i="18"/>
  <c r="X8" i="18"/>
  <c r="Y8" i="18"/>
  <c r="W9" i="18"/>
  <c r="X9" i="18"/>
  <c r="Y9" i="18"/>
  <c r="W10" i="18"/>
  <c r="X10" i="18"/>
  <c r="Y10" i="18"/>
  <c r="W11" i="18"/>
  <c r="X11" i="18"/>
  <c r="Y11" i="18"/>
  <c r="W12" i="18"/>
  <c r="X12" i="18"/>
  <c r="Y12" i="18"/>
  <c r="W13" i="18"/>
  <c r="X13" i="18"/>
  <c r="Y13" i="18"/>
  <c r="W14" i="18"/>
  <c r="X14" i="18"/>
  <c r="Y14" i="18"/>
  <c r="W15" i="18"/>
  <c r="X15" i="18"/>
  <c r="Y15" i="18"/>
  <c r="W16" i="18"/>
  <c r="X16" i="18"/>
  <c r="Y16" i="18"/>
  <c r="W17" i="18"/>
  <c r="X17" i="18"/>
  <c r="Y17" i="18"/>
  <c r="W18" i="18"/>
  <c r="X18" i="18"/>
  <c r="Y18" i="18"/>
  <c r="W19" i="18"/>
  <c r="X19" i="18"/>
  <c r="Y19" i="18"/>
  <c r="W20" i="18"/>
  <c r="X20" i="18"/>
  <c r="Y20" i="18"/>
  <c r="W21" i="18"/>
  <c r="X21" i="18"/>
  <c r="Y21" i="18"/>
  <c r="W22" i="18"/>
  <c r="X22" i="18"/>
  <c r="Y22" i="18"/>
  <c r="W23" i="18"/>
  <c r="X23" i="18"/>
  <c r="Y23" i="18"/>
  <c r="W24" i="18"/>
  <c r="X24" i="18"/>
  <c r="Y24" i="18"/>
  <c r="W25" i="18"/>
  <c r="X25" i="18"/>
  <c r="Y25" i="18"/>
  <c r="W26" i="18"/>
  <c r="X26" i="18"/>
  <c r="Y26" i="18"/>
  <c r="Y3" i="18"/>
  <c r="X3" i="18"/>
  <c r="W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3" i="18"/>
  <c r="BC4" i="2"/>
  <c r="M3" i="1" s="1"/>
  <c r="BC5" i="2"/>
  <c r="M4" i="1" s="1"/>
  <c r="BC6" i="2"/>
  <c r="M5" i="1" s="1"/>
  <c r="BC7" i="2"/>
  <c r="M6" i="1" s="1"/>
  <c r="BC8" i="2"/>
  <c r="M7" i="1" s="1"/>
  <c r="BC9" i="2"/>
  <c r="BC10" i="2"/>
  <c r="M9" i="1" s="1"/>
  <c r="BC11" i="2"/>
  <c r="M10" i="1" s="1"/>
  <c r="BC12" i="2"/>
  <c r="BC13" i="2"/>
  <c r="M12" i="1" s="1"/>
  <c r="BC14" i="2"/>
  <c r="M13" i="1" s="1"/>
  <c r="BC15" i="2"/>
  <c r="M14" i="1" s="1"/>
  <c r="BC16" i="2"/>
  <c r="BC17" i="2"/>
  <c r="BC18" i="2"/>
  <c r="M17" i="1" s="1"/>
  <c r="BC19" i="2"/>
  <c r="BC20" i="2"/>
  <c r="M19" i="1" s="1"/>
  <c r="BC21" i="2"/>
  <c r="M20" i="1" s="1"/>
  <c r="BC22" i="2"/>
  <c r="M21" i="1" s="1"/>
  <c r="BC23" i="2"/>
  <c r="BC24" i="2"/>
  <c r="M23" i="1" s="1"/>
  <c r="BC25" i="2"/>
  <c r="M24" i="1" s="1"/>
  <c r="BC26" i="2"/>
  <c r="BC27" i="2"/>
  <c r="BC28" i="2"/>
  <c r="M27" i="1" s="1"/>
  <c r="BC29" i="2"/>
  <c r="M28" i="1" s="1"/>
  <c r="BC30" i="2"/>
  <c r="BC31" i="2"/>
  <c r="M30" i="1" s="1"/>
  <c r="BC32" i="2"/>
  <c r="BC33" i="2"/>
  <c r="M32" i="1" s="1"/>
  <c r="BC34" i="2"/>
  <c r="M33" i="1" s="1"/>
  <c r="BC35" i="2"/>
  <c r="BC36" i="2"/>
  <c r="BC37" i="2"/>
  <c r="M36" i="1" s="1"/>
  <c r="BC38" i="2"/>
  <c r="M37" i="1" s="1"/>
  <c r="BC39" i="2"/>
  <c r="M38" i="1" s="1"/>
  <c r="BC40" i="2"/>
  <c r="BC41" i="2"/>
  <c r="M40" i="1" s="1"/>
  <c r="BC42" i="2"/>
  <c r="M41" i="1" s="1"/>
  <c r="BC43" i="2"/>
  <c r="BC44" i="2"/>
  <c r="M43" i="1" s="1"/>
  <c r="BC45" i="2"/>
  <c r="M44" i="1" s="1"/>
  <c r="BC46" i="2"/>
  <c r="M45" i="1" s="1"/>
  <c r="BC47" i="2"/>
  <c r="BC48" i="2"/>
  <c r="M47" i="1" s="1"/>
  <c r="BC49" i="2"/>
  <c r="M48" i="1" s="1"/>
  <c r="BC50" i="2"/>
  <c r="M49" i="1" s="1"/>
  <c r="BC51" i="2"/>
  <c r="M50" i="1" s="1"/>
  <c r="BC52" i="2"/>
  <c r="M51" i="1" s="1"/>
  <c r="BC53" i="2"/>
  <c r="BC54" i="2"/>
  <c r="BC55" i="2"/>
  <c r="M54" i="1" s="1"/>
  <c r="BC56" i="2"/>
  <c r="BC57" i="2"/>
  <c r="M56" i="1" s="1"/>
  <c r="BC58" i="2"/>
  <c r="BC59" i="2"/>
  <c r="BC60" i="2"/>
  <c r="BC61" i="2"/>
  <c r="BC62" i="2"/>
  <c r="BC63" i="2"/>
  <c r="M62" i="1" s="1"/>
  <c r="BC64" i="2"/>
  <c r="BC65" i="2"/>
  <c r="M64" i="1" s="1"/>
  <c r="BC66" i="2"/>
  <c r="BC67" i="2"/>
  <c r="M66" i="1" s="1"/>
  <c r="BC68" i="2"/>
  <c r="BC69" i="2"/>
  <c r="BC70" i="2"/>
  <c r="M69" i="1" s="1"/>
  <c r="BC71" i="2"/>
  <c r="M70" i="1" s="1"/>
  <c r="BC72" i="2"/>
  <c r="M71" i="1" s="1"/>
  <c r="BC73" i="2"/>
  <c r="BC74" i="2"/>
  <c r="M73" i="1" s="1"/>
  <c r="BC75" i="2"/>
  <c r="M74" i="1" s="1"/>
  <c r="BC76" i="2"/>
  <c r="M75" i="1" s="1"/>
  <c r="BC77" i="2"/>
  <c r="BC78" i="2"/>
  <c r="M77" i="1" s="1"/>
  <c r="BC79" i="2"/>
  <c r="M78" i="1" s="1"/>
  <c r="BC80" i="2"/>
  <c r="BC81" i="2"/>
  <c r="BC82" i="2"/>
  <c r="BC83" i="2"/>
  <c r="M82" i="1" s="1"/>
  <c r="BC84" i="2"/>
  <c r="BC85" i="2"/>
  <c r="M84" i="1" s="1"/>
  <c r="BC86" i="2"/>
  <c r="BC87" i="2"/>
  <c r="M86" i="1" s="1"/>
  <c r="BC88" i="2"/>
  <c r="M87" i="1" s="1"/>
  <c r="BC89" i="2"/>
  <c r="BC90" i="2"/>
  <c r="BC91" i="2"/>
  <c r="M90" i="1" s="1"/>
  <c r="BC92" i="2"/>
  <c r="M91" i="1" s="1"/>
  <c r="BC93" i="2"/>
  <c r="M92" i="1" s="1"/>
  <c r="BC94" i="2"/>
  <c r="BC95" i="2"/>
  <c r="M94" i="1" s="1"/>
  <c r="BC96" i="2"/>
  <c r="BC97" i="2"/>
  <c r="BC98" i="2"/>
  <c r="M97" i="1" s="1"/>
  <c r="BC99" i="2"/>
  <c r="BC100" i="2"/>
  <c r="BC101" i="2"/>
  <c r="BC102" i="2"/>
  <c r="M101" i="1" s="1"/>
  <c r="BC103" i="2"/>
  <c r="BC104" i="2"/>
  <c r="BC105" i="2"/>
  <c r="M104" i="1" s="1"/>
  <c r="BC106" i="2"/>
  <c r="M105" i="1" s="1"/>
  <c r="BC107" i="2"/>
  <c r="BC108" i="2"/>
  <c r="M107" i="1" s="1"/>
  <c r="BC109" i="2"/>
  <c r="BC110" i="2"/>
  <c r="BC111" i="2"/>
  <c r="M110" i="1" s="1"/>
  <c r="BC112" i="2"/>
  <c r="BC113" i="2"/>
  <c r="BC114" i="2"/>
  <c r="M113" i="1" s="1"/>
  <c r="BC115" i="2"/>
  <c r="BC116" i="2"/>
  <c r="BC117" i="2"/>
  <c r="M116" i="1" s="1"/>
  <c r="BC118" i="2"/>
  <c r="M117" i="1" s="1"/>
  <c r="BC119" i="2"/>
  <c r="BC120" i="2"/>
  <c r="BC121" i="2"/>
  <c r="BC122" i="2"/>
  <c r="BC123" i="2"/>
  <c r="BC124" i="2"/>
  <c r="BC125" i="2"/>
  <c r="M124" i="1" s="1"/>
  <c r="BC126" i="2"/>
  <c r="BC127" i="2"/>
  <c r="M126" i="1" s="1"/>
  <c r="BC128" i="2"/>
  <c r="M127" i="1" s="1"/>
  <c r="BC129" i="2"/>
  <c r="BC130" i="2"/>
  <c r="BC131" i="2"/>
  <c r="M130" i="1" s="1"/>
  <c r="BC132" i="2"/>
  <c r="BC133" i="2"/>
  <c r="BC134" i="2"/>
  <c r="M133" i="1" s="1"/>
  <c r="BC135" i="2"/>
  <c r="M134" i="1" s="1"/>
  <c r="BC136" i="2"/>
  <c r="BC137" i="2"/>
  <c r="BC138" i="2"/>
  <c r="M137" i="1" s="1"/>
  <c r="BC139" i="2"/>
  <c r="M138" i="1" s="1"/>
  <c r="BC140" i="2"/>
  <c r="M139" i="1" s="1"/>
  <c r="BC141" i="2"/>
  <c r="BC142" i="2"/>
  <c r="M141" i="1" s="1"/>
  <c r="BC143" i="2"/>
  <c r="BC144" i="2"/>
  <c r="BC145" i="2"/>
  <c r="M144" i="1" s="1"/>
  <c r="BC146" i="2"/>
  <c r="BC147" i="2"/>
  <c r="BC148" i="2"/>
  <c r="BC149" i="2"/>
  <c r="M148" i="1" s="1"/>
  <c r="BC150" i="2"/>
  <c r="BC151" i="2"/>
  <c r="M150" i="1" s="1"/>
  <c r="BC152" i="2"/>
  <c r="BC153" i="2"/>
  <c r="BC154" i="2"/>
  <c r="M153" i="1" s="1"/>
  <c r="BC155" i="2"/>
  <c r="BC156" i="2"/>
  <c r="BC157" i="2"/>
  <c r="M156" i="1" s="1"/>
  <c r="BC158" i="2"/>
  <c r="M157" i="1" s="1"/>
  <c r="BC159" i="2"/>
  <c r="BC160" i="2"/>
  <c r="BC161" i="2"/>
  <c r="BC162" i="2"/>
  <c r="BC163" i="2"/>
  <c r="M162" i="1" s="1"/>
  <c r="BC164" i="2"/>
  <c r="M163" i="1" s="1"/>
  <c r="BC165" i="2"/>
  <c r="M164" i="1" s="1"/>
  <c r="BC166" i="2"/>
  <c r="BC167" i="2"/>
  <c r="M166" i="1" s="1"/>
  <c r="BC168" i="2"/>
  <c r="BC169" i="2"/>
  <c r="BC170" i="2"/>
  <c r="BC171" i="2"/>
  <c r="BC172" i="2"/>
  <c r="BC173" i="2"/>
  <c r="BC174" i="2"/>
  <c r="M173" i="1" s="1"/>
  <c r="BC175" i="2"/>
  <c r="BC176" i="2"/>
  <c r="BC177" i="2"/>
  <c r="M176" i="1" s="1"/>
  <c r="BC178" i="2"/>
  <c r="BC179" i="2"/>
  <c r="M178" i="1" s="1"/>
  <c r="BC180" i="2"/>
  <c r="BC181" i="2"/>
  <c r="BC182" i="2"/>
  <c r="BC183" i="2"/>
  <c r="M182" i="1" s="1"/>
  <c r="BC184" i="2"/>
  <c r="M183" i="1" s="1"/>
  <c r="BC185" i="2"/>
  <c r="M184" i="1" s="1"/>
  <c r="BC186" i="2"/>
  <c r="M185" i="1" s="1"/>
  <c r="BC187" i="2"/>
  <c r="M186" i="1" s="1"/>
  <c r="BC188" i="2"/>
  <c r="M187" i="1" s="1"/>
  <c r="BC189" i="2"/>
  <c r="M188" i="1" s="1"/>
  <c r="BC190" i="2"/>
  <c r="M189" i="1" s="1"/>
  <c r="BC191" i="2"/>
  <c r="M190" i="1" s="1"/>
  <c r="BC192" i="2"/>
  <c r="BC193" i="2"/>
  <c r="BC194" i="2"/>
  <c r="BC195" i="2"/>
  <c r="M194" i="1" s="1"/>
  <c r="BC196" i="2"/>
  <c r="M195" i="1" s="1"/>
  <c r="BC197" i="2"/>
  <c r="BC198" i="2"/>
  <c r="M197" i="1" s="1"/>
  <c r="BC199" i="2"/>
  <c r="BC200" i="2"/>
  <c r="BC201" i="2"/>
  <c r="BC202" i="2"/>
  <c r="M201" i="1" s="1"/>
  <c r="BC203" i="2"/>
  <c r="BC204" i="2"/>
  <c r="M203" i="1" s="1"/>
  <c r="BC205" i="2"/>
  <c r="M204" i="1" s="1"/>
  <c r="BC206" i="2"/>
  <c r="BC207" i="2"/>
  <c r="BC208" i="2"/>
  <c r="BC209" i="2"/>
  <c r="BC210" i="2"/>
  <c r="BC211" i="2"/>
  <c r="BC212" i="2"/>
  <c r="BC213" i="2"/>
  <c r="M212" i="1" s="1"/>
  <c r="BC214" i="2"/>
  <c r="M213" i="1" s="1"/>
  <c r="BC215" i="2"/>
  <c r="BC216" i="2"/>
  <c r="M215" i="1" s="1"/>
  <c r="BC217" i="2"/>
  <c r="M216" i="1" s="1"/>
  <c r="BC218" i="2"/>
  <c r="BC219" i="2"/>
  <c r="BC220" i="2"/>
  <c r="M219" i="1" s="1"/>
  <c r="BC221" i="2"/>
  <c r="BC222" i="2"/>
  <c r="BC223" i="2"/>
  <c r="BC224" i="2"/>
  <c r="M223" i="1" s="1"/>
  <c r="BC225" i="2"/>
  <c r="M224" i="1" s="1"/>
  <c r="BC226" i="2"/>
  <c r="M225" i="1" s="1"/>
  <c r="BC227" i="2"/>
  <c r="BC228" i="2"/>
  <c r="BC229" i="2"/>
  <c r="BC230" i="2"/>
  <c r="BC231" i="2"/>
  <c r="BC232" i="2"/>
  <c r="M231" i="1" s="1"/>
  <c r="BC233" i="2"/>
  <c r="M232" i="1" s="1"/>
  <c r="BC234" i="2"/>
  <c r="M233" i="1" s="1"/>
  <c r="BC235" i="2"/>
  <c r="M234" i="1" s="1"/>
  <c r="BC236" i="2"/>
  <c r="BC237" i="2"/>
  <c r="M236" i="1" s="1"/>
  <c r="BC238" i="2"/>
  <c r="BC239" i="2"/>
  <c r="M238" i="1" s="1"/>
  <c r="BC240" i="2"/>
  <c r="BC241" i="2"/>
  <c r="M240" i="1" s="1"/>
  <c r="BC242" i="2"/>
  <c r="M241" i="1" s="1"/>
  <c r="BC243" i="2"/>
  <c r="BC244" i="2"/>
  <c r="M243" i="1" s="1"/>
  <c r="BC245" i="2"/>
  <c r="M244" i="1" s="1"/>
  <c r="BC246" i="2"/>
  <c r="BC247" i="2"/>
  <c r="M246" i="1" s="1"/>
  <c r="BC248" i="2"/>
  <c r="BC249" i="2"/>
  <c r="BC250" i="2"/>
  <c r="M249" i="1" s="1"/>
  <c r="BC251" i="2"/>
  <c r="BC252" i="2"/>
  <c r="M251" i="1" s="1"/>
  <c r="BC253" i="2"/>
  <c r="M252" i="1" s="1"/>
  <c r="BC254" i="2"/>
  <c r="BC255" i="2"/>
  <c r="BC256" i="2"/>
  <c r="BC257" i="2"/>
  <c r="BC258" i="2"/>
  <c r="M257" i="1" s="1"/>
  <c r="BC259" i="2"/>
  <c r="BC260" i="2"/>
  <c r="BC261" i="2"/>
  <c r="BC262" i="2"/>
  <c r="BC263" i="2"/>
  <c r="BC264" i="2"/>
  <c r="BC265" i="2"/>
  <c r="M264" i="1" s="1"/>
  <c r="BC266" i="2"/>
  <c r="BC267" i="2"/>
  <c r="BC268" i="2"/>
  <c r="BC269" i="2"/>
  <c r="BC270" i="2"/>
  <c r="M269" i="1" s="1"/>
  <c r="BC271" i="2"/>
  <c r="BC272" i="2"/>
  <c r="BC273" i="2"/>
  <c r="M272" i="1" s="1"/>
  <c r="BC274" i="2"/>
  <c r="M273" i="1" s="1"/>
  <c r="BC275" i="2"/>
  <c r="BC276" i="2"/>
  <c r="M275" i="1" s="1"/>
  <c r="BC277" i="2"/>
  <c r="M276" i="1" s="1"/>
  <c r="BC278" i="2"/>
  <c r="BC279" i="2"/>
  <c r="M278" i="1" s="1"/>
  <c r="BC280" i="2"/>
  <c r="M279" i="1" s="1"/>
  <c r="BC281" i="2"/>
  <c r="M280" i="1" s="1"/>
  <c r="BC282" i="2"/>
  <c r="BC283" i="2"/>
  <c r="M282" i="1" s="1"/>
  <c r="BC284" i="2"/>
  <c r="BC285" i="2"/>
  <c r="BC286" i="2"/>
  <c r="BC287" i="2"/>
  <c r="BC288" i="2"/>
  <c r="BC289" i="2"/>
  <c r="M288" i="1" s="1"/>
  <c r="BC290" i="2"/>
  <c r="BC291" i="2"/>
  <c r="M290" i="1" s="1"/>
  <c r="BC292" i="2"/>
  <c r="M291" i="1" s="1"/>
  <c r="BC293" i="2"/>
  <c r="BC294" i="2"/>
  <c r="M293" i="1" s="1"/>
  <c r="BC295" i="2"/>
  <c r="BC296" i="2"/>
  <c r="M295" i="1" s="1"/>
  <c r="BC297" i="2"/>
  <c r="M296" i="1" s="1"/>
  <c r="BC298" i="2"/>
  <c r="BC299" i="2"/>
  <c r="M298" i="1" s="1"/>
  <c r="BC300" i="2"/>
  <c r="M299" i="1" s="1"/>
  <c r="BC301" i="2"/>
  <c r="M300" i="1" s="1"/>
  <c r="BC302" i="2"/>
  <c r="M301" i="1" s="1"/>
  <c r="BC303" i="2"/>
  <c r="M302" i="1" s="1"/>
  <c r="BC304" i="2"/>
  <c r="M303" i="1" s="1"/>
  <c r="BC305" i="2"/>
  <c r="BC306" i="2"/>
  <c r="M305" i="1" s="1"/>
  <c r="BC307" i="2"/>
  <c r="M306" i="1" s="1"/>
  <c r="BC308" i="2"/>
  <c r="BC309" i="2"/>
  <c r="M308" i="1" s="1"/>
  <c r="BC310" i="2"/>
  <c r="BC311" i="2"/>
  <c r="BC312" i="2"/>
  <c r="BC313" i="2"/>
  <c r="M312" i="1" s="1"/>
  <c r="BC314" i="2"/>
  <c r="M313" i="1" s="1"/>
  <c r="BC315" i="2"/>
  <c r="M314" i="1" s="1"/>
  <c r="BC316" i="2"/>
  <c r="BC317" i="2"/>
  <c r="M316" i="1" s="1"/>
  <c r="BC318" i="2"/>
  <c r="BC319" i="2"/>
  <c r="BC320" i="2"/>
  <c r="BC321" i="2"/>
  <c r="BC322" i="2"/>
  <c r="M321" i="1" s="1"/>
  <c r="BC323" i="2"/>
  <c r="M322" i="1" s="1"/>
  <c r="BC324" i="2"/>
  <c r="BC325" i="2"/>
  <c r="BC326" i="2"/>
  <c r="BC327" i="2"/>
  <c r="M326" i="1" s="1"/>
  <c r="BC328" i="2"/>
  <c r="BC329" i="2"/>
  <c r="BC330" i="2"/>
  <c r="BC331" i="2"/>
  <c r="BC332" i="2"/>
  <c r="BC333" i="2"/>
  <c r="M332" i="1" s="1"/>
  <c r="BC334" i="2"/>
  <c r="BC335" i="2"/>
  <c r="BC336" i="2"/>
  <c r="M335" i="1" s="1"/>
  <c r="BC337" i="2"/>
  <c r="BC338" i="2"/>
  <c r="M337" i="1" s="1"/>
  <c r="BC339" i="2"/>
  <c r="M338" i="1" s="1"/>
  <c r="BC340" i="2"/>
  <c r="BC341" i="2"/>
  <c r="BC342" i="2"/>
  <c r="BC343" i="2"/>
  <c r="M342" i="1" s="1"/>
  <c r="BC344" i="2"/>
  <c r="M343" i="1" s="1"/>
  <c r="BC345" i="2"/>
  <c r="M344" i="1" s="1"/>
  <c r="BC346" i="2"/>
  <c r="BC347" i="2"/>
  <c r="BC348" i="2"/>
  <c r="M347" i="1" s="1"/>
  <c r="BC349" i="2"/>
  <c r="M348" i="1" s="1"/>
  <c r="BC350" i="2"/>
  <c r="BC351" i="2"/>
  <c r="M350" i="1" s="1"/>
  <c r="BC352" i="2"/>
  <c r="M351" i="1" s="1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M362" i="1" s="1"/>
  <c r="BC364" i="2"/>
  <c r="BC365" i="2"/>
  <c r="BC366" i="2"/>
  <c r="BC367" i="2"/>
  <c r="BC368" i="2"/>
  <c r="M367" i="1" s="1"/>
  <c r="BC369" i="2"/>
  <c r="BC370" i="2"/>
  <c r="M369" i="1" s="1"/>
  <c r="BC371" i="2"/>
  <c r="M370" i="1" s="1"/>
  <c r="BC372" i="2"/>
  <c r="BC373" i="2"/>
  <c r="BC374" i="2"/>
  <c r="BC375" i="2"/>
  <c r="BC376" i="2"/>
  <c r="M375" i="1" s="1"/>
  <c r="BC377" i="2"/>
  <c r="M376" i="1" s="1"/>
  <c r="BC378" i="2"/>
  <c r="BC379" i="2"/>
  <c r="M378" i="1" s="1"/>
  <c r="BC380" i="2"/>
  <c r="BC381" i="2"/>
  <c r="M380" i="1" s="1"/>
  <c r="BC382" i="2"/>
  <c r="BC383" i="2"/>
  <c r="M382" i="1" s="1"/>
  <c r="BC384" i="2"/>
  <c r="BC385" i="2"/>
  <c r="BC386" i="2"/>
  <c r="M385" i="1" s="1"/>
  <c r="BC387" i="2"/>
  <c r="BC388" i="2"/>
  <c r="BC389" i="2"/>
  <c r="BC390" i="2"/>
  <c r="BC391" i="2"/>
  <c r="M390" i="1" s="1"/>
  <c r="BC392" i="2"/>
  <c r="BC393" i="2"/>
  <c r="M392" i="1" s="1"/>
  <c r="BC394" i="2"/>
  <c r="BC395" i="2"/>
  <c r="M394" i="1" s="1"/>
  <c r="BC396" i="2"/>
  <c r="BC397" i="2"/>
  <c r="M396" i="1" s="1"/>
  <c r="BC398" i="2"/>
  <c r="M397" i="1" s="1"/>
  <c r="BC399" i="2"/>
  <c r="M398" i="1" s="1"/>
  <c r="BC400" i="2"/>
  <c r="BC401" i="2"/>
  <c r="M400" i="1" s="1"/>
  <c r="BC402" i="2"/>
  <c r="M401" i="1" s="1"/>
  <c r="BC403" i="2"/>
  <c r="BC404" i="2"/>
  <c r="BC405" i="2"/>
  <c r="BC406" i="2"/>
  <c r="BC407" i="2"/>
  <c r="BC408" i="2"/>
  <c r="BC409" i="2"/>
  <c r="M408" i="1" s="1"/>
  <c r="BC410" i="2"/>
  <c r="M409" i="1" s="1"/>
  <c r="BC411" i="2"/>
  <c r="BC412" i="2"/>
  <c r="M411" i="1" s="1"/>
  <c r="BC413" i="2"/>
  <c r="BC414" i="2"/>
  <c r="M413" i="1" s="1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M425" i="1" s="1"/>
  <c r="BC427" i="2"/>
  <c r="BC428" i="2"/>
  <c r="BC429" i="2"/>
  <c r="BC430" i="2"/>
  <c r="M429" i="1" s="1"/>
  <c r="BC431" i="2"/>
  <c r="M430" i="1" s="1"/>
  <c r="BC432" i="2"/>
  <c r="M431" i="1" s="1"/>
  <c r="BC433" i="2"/>
  <c r="BC434" i="2"/>
  <c r="BC435" i="2"/>
  <c r="BC436" i="2"/>
  <c r="BC437" i="2"/>
  <c r="M436" i="1" s="1"/>
  <c r="BC438" i="2"/>
  <c r="M437" i="1" s="1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M448" i="1" s="1"/>
  <c r="BC450" i="2"/>
  <c r="BC451" i="2"/>
  <c r="BC452" i="2"/>
  <c r="M451" i="1" s="1"/>
  <c r="BC453" i="2"/>
  <c r="BC454" i="2"/>
  <c r="BC455" i="2"/>
  <c r="BC456" i="2"/>
  <c r="M455" i="1" s="1"/>
  <c r="BC457" i="2"/>
  <c r="BC458" i="2"/>
  <c r="BC459" i="2"/>
  <c r="BC460" i="2"/>
  <c r="BC461" i="2"/>
  <c r="BC462" i="2"/>
  <c r="M461" i="1" s="1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M472" i="1" s="1"/>
  <c r="BC474" i="2"/>
  <c r="BC475" i="2"/>
  <c r="BC476" i="2"/>
  <c r="BC477" i="2"/>
  <c r="BC478" i="2"/>
  <c r="M477" i="1" s="1"/>
  <c r="BC479" i="2"/>
  <c r="BC480" i="2"/>
  <c r="M479" i="1" s="1"/>
  <c r="BC481" i="2"/>
  <c r="BC482" i="2"/>
  <c r="BC483" i="2"/>
  <c r="BC484" i="2"/>
  <c r="M483" i="1" s="1"/>
  <c r="BC485" i="2"/>
  <c r="BC486" i="2"/>
  <c r="M485" i="1" s="1"/>
  <c r="BC487" i="2"/>
  <c r="BC488" i="2"/>
  <c r="BC489" i="2"/>
  <c r="BC490" i="2"/>
  <c r="M489" i="1" s="1"/>
  <c r="BC491" i="2"/>
  <c r="M490" i="1" s="1"/>
  <c r="BC492" i="2"/>
  <c r="BC493" i="2"/>
  <c r="M492" i="1" s="1"/>
  <c r="BC494" i="2"/>
  <c r="M493" i="1" s="1"/>
  <c r="BC495" i="2"/>
  <c r="M494" i="1" s="1"/>
  <c r="BC496" i="2"/>
  <c r="BC497" i="2"/>
  <c r="M496" i="1" s="1"/>
  <c r="BC498" i="2"/>
  <c r="BC499" i="2"/>
  <c r="BC500" i="2"/>
  <c r="BC501" i="2"/>
  <c r="M500" i="1" s="1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M513" i="1" s="1"/>
  <c r="BC515" i="2"/>
  <c r="BC516" i="2"/>
  <c r="BC517" i="2"/>
  <c r="BC518" i="2"/>
  <c r="BC519" i="2"/>
  <c r="BC520" i="2"/>
  <c r="BC521" i="2"/>
  <c r="BC522" i="2"/>
  <c r="M521" i="1" s="1"/>
  <c r="BC523" i="2"/>
  <c r="BC524" i="2"/>
  <c r="M523" i="1" s="1"/>
  <c r="BC525" i="2"/>
  <c r="M524" i="1" s="1"/>
  <c r="BC526" i="2"/>
  <c r="M525" i="1" s="1"/>
  <c r="BC527" i="2"/>
  <c r="BC528" i="2"/>
  <c r="M527" i="1" s="1"/>
  <c r="BC529" i="2"/>
  <c r="BC530" i="2"/>
  <c r="M529" i="1" s="1"/>
  <c r="BC531" i="2"/>
  <c r="BC532" i="2"/>
  <c r="M531" i="1" s="1"/>
  <c r="BC533" i="2"/>
  <c r="M532" i="1" s="1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M545" i="1" s="1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M556" i="1" s="1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M572" i="1" s="1"/>
  <c r="BC574" i="2"/>
  <c r="M573" i="1" s="1"/>
  <c r="BC575" i="2"/>
  <c r="BC576" i="2"/>
  <c r="M575" i="1" s="1"/>
  <c r="BC577" i="2"/>
  <c r="BC578" i="2"/>
  <c r="M577" i="1" s="1"/>
  <c r="BC579" i="2"/>
  <c r="BC580" i="2"/>
  <c r="M579" i="1" s="1"/>
  <c r="BC581" i="2"/>
  <c r="M580" i="1" s="1"/>
  <c r="BC582" i="2"/>
  <c r="BC583" i="2"/>
  <c r="BC584" i="2"/>
  <c r="M583" i="1" s="1"/>
  <c r="BC585" i="2"/>
  <c r="M584" i="1" s="1"/>
  <c r="BC586" i="2"/>
  <c r="BC587" i="2"/>
  <c r="BC588" i="2"/>
  <c r="M587" i="1" s="1"/>
  <c r="BC589" i="2"/>
  <c r="BC590" i="2"/>
  <c r="BC591" i="2"/>
  <c r="BC592" i="2"/>
  <c r="BC593" i="2"/>
  <c r="M592" i="1" s="1"/>
  <c r="BC594" i="2"/>
  <c r="M593" i="1" s="1"/>
  <c r="BC595" i="2"/>
  <c r="BC596" i="2"/>
  <c r="BC597" i="2"/>
  <c r="BC598" i="2"/>
  <c r="BC599" i="2"/>
  <c r="BC600" i="2"/>
  <c r="BC601" i="2"/>
  <c r="BC602" i="2"/>
  <c r="M601" i="1" s="1"/>
  <c r="BC603" i="2"/>
  <c r="BC604" i="2"/>
  <c r="M603" i="1" s="1"/>
  <c r="BC605" i="2"/>
  <c r="BC606" i="2"/>
  <c r="BC607" i="2"/>
  <c r="BC608" i="2"/>
  <c r="M607" i="1" s="1"/>
  <c r="BC609" i="2"/>
  <c r="BC610" i="2"/>
  <c r="M609" i="1" s="1"/>
  <c r="BC611" i="2"/>
  <c r="BC612" i="2"/>
  <c r="BC613" i="2"/>
  <c r="BC614" i="2"/>
  <c r="M613" i="1" s="1"/>
  <c r="BC615" i="2"/>
  <c r="M614" i="1" s="1"/>
  <c r="BC616" i="2"/>
  <c r="BC617" i="2"/>
  <c r="M616" i="1" s="1"/>
  <c r="BC618" i="2"/>
  <c r="BC619" i="2"/>
  <c r="BC620" i="2"/>
  <c r="M619" i="1" s="1"/>
  <c r="BC621" i="2"/>
  <c r="M620" i="1" s="1"/>
  <c r="BC622" i="2"/>
  <c r="M621" i="1" s="1"/>
  <c r="BC623" i="2"/>
  <c r="M622" i="1" s="1"/>
  <c r="BC3" i="2"/>
  <c r="CH2" i="1"/>
  <c r="CI2" i="1" s="1"/>
  <c r="B2" i="1"/>
  <c r="A2" i="1"/>
  <c r="AR2" i="2"/>
  <c r="AS2" i="2"/>
  <c r="AX2" i="2" s="1"/>
  <c r="AT2" i="2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F8" i="18"/>
  <c r="I8" i="18" s="1"/>
  <c r="Z8" i="18"/>
  <c r="AC8" i="18" s="1"/>
  <c r="AA9" i="18"/>
  <c r="AD9" i="18" s="1"/>
  <c r="F11" i="18"/>
  <c r="I11" i="18" s="1"/>
  <c r="Z11" i="18"/>
  <c r="AC11" i="18" s="1"/>
  <c r="Z12" i="18"/>
  <c r="AC12" i="18" s="1"/>
  <c r="P16" i="18"/>
  <c r="S16" i="18" s="1"/>
  <c r="Q17" i="18"/>
  <c r="T17" i="18" s="1"/>
  <c r="E19" i="18"/>
  <c r="H19" i="18" s="1"/>
  <c r="E20" i="18"/>
  <c r="H20" i="18" s="1"/>
  <c r="Z24" i="18"/>
  <c r="AC24" i="18" s="1"/>
  <c r="F25" i="18"/>
  <c r="I25" i="18" s="1"/>
  <c r="Z25" i="18"/>
  <c r="AC25" i="18" s="1"/>
  <c r="AA25" i="18"/>
  <c r="AD25" i="18" s="1"/>
  <c r="Q26" i="18"/>
  <c r="T26" i="18" s="1"/>
  <c r="N3" i="17"/>
  <c r="O3" i="17" s="1"/>
  <c r="AA11" i="18" s="1"/>
  <c r="AD11" i="18" s="1"/>
  <c r="N4" i="17"/>
  <c r="O4" i="17" s="1"/>
  <c r="N5" i="17"/>
  <c r="O5" i="17" s="1"/>
  <c r="F20" i="18" s="1"/>
  <c r="I20" i="18" s="1"/>
  <c r="N6" i="17"/>
  <c r="O6" i="17" s="1"/>
  <c r="N7" i="17"/>
  <c r="O7" i="17" s="1"/>
  <c r="N8" i="17"/>
  <c r="O8" i="17" s="1"/>
  <c r="N9" i="17"/>
  <c r="O9" i="17" s="1"/>
  <c r="AA23" i="18" s="1"/>
  <c r="AD23" i="18" s="1"/>
  <c r="N10" i="17"/>
  <c r="O10" i="17" s="1"/>
  <c r="N11" i="17"/>
  <c r="O11" i="17" s="1"/>
  <c r="N12" i="17"/>
  <c r="O12" i="17" s="1"/>
  <c r="E7" i="18" s="1"/>
  <c r="H7" i="18" s="1"/>
  <c r="N13" i="17"/>
  <c r="O13" i="17" s="1"/>
  <c r="N14" i="17"/>
  <c r="O14" i="17" s="1"/>
  <c r="D5" i="18" s="1"/>
  <c r="N15" i="17"/>
  <c r="O15" i="17" s="1"/>
  <c r="N16" i="17"/>
  <c r="O16" i="17" s="1"/>
  <c r="D26" i="18" s="1"/>
  <c r="G26" i="18" s="1"/>
  <c r="N17" i="17"/>
  <c r="O17" i="17" s="1"/>
  <c r="D17" i="18" s="1"/>
  <c r="N18" i="17"/>
  <c r="O18" i="17" s="1"/>
  <c r="AB25" i="18" s="1"/>
  <c r="AE25" i="18" s="1"/>
  <c r="N19" i="17"/>
  <c r="O19" i="17" s="1"/>
  <c r="F19" i="18" s="1"/>
  <c r="I19" i="18" s="1"/>
  <c r="N20" i="17"/>
  <c r="O20" i="17" s="1"/>
  <c r="N21" i="17"/>
  <c r="O21" i="17" s="1"/>
  <c r="N22" i="17"/>
  <c r="O22" i="17" s="1"/>
  <c r="N23" i="17"/>
  <c r="O23" i="17" s="1"/>
  <c r="O14" i="18" s="1"/>
  <c r="R14" i="18" s="1"/>
  <c r="N24" i="17"/>
  <c r="O24" i="17" s="1"/>
  <c r="N25" i="17"/>
  <c r="O25" i="17" s="1"/>
  <c r="N26" i="17"/>
  <c r="O26" i="17" s="1"/>
  <c r="N27" i="17"/>
  <c r="O27" i="17" s="1"/>
  <c r="O26" i="18" s="1"/>
  <c r="R26" i="18" s="1"/>
  <c r="N28" i="17"/>
  <c r="O28" i="17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N35" i="17"/>
  <c r="O35" i="17" s="1"/>
  <c r="Q16" i="18" s="1"/>
  <c r="T16" i="18" s="1"/>
  <c r="N36" i="17"/>
  <c r="O36" i="17" s="1"/>
  <c r="N37" i="17"/>
  <c r="O37" i="17" s="1"/>
  <c r="AA8" i="18" s="1"/>
  <c r="AD8" i="18" s="1"/>
  <c r="N2" i="17"/>
  <c r="O2" i="17" s="1"/>
  <c r="J3" i="17"/>
  <c r="K3" i="17"/>
  <c r="L3" i="17"/>
  <c r="M3" i="17"/>
  <c r="J4" i="17"/>
  <c r="K4" i="17"/>
  <c r="L4" i="17"/>
  <c r="Q18" i="18" s="1"/>
  <c r="T18" i="18" s="1"/>
  <c r="M4" i="17"/>
  <c r="J5" i="17"/>
  <c r="K5" i="17"/>
  <c r="L5" i="17"/>
  <c r="M5" i="17"/>
  <c r="J6" i="17"/>
  <c r="K6" i="17"/>
  <c r="L6" i="17"/>
  <c r="M6" i="17"/>
  <c r="J7" i="17"/>
  <c r="K7" i="17"/>
  <c r="L7" i="17"/>
  <c r="M7" i="17"/>
  <c r="J8" i="17"/>
  <c r="K8" i="17"/>
  <c r="L8" i="17"/>
  <c r="M8" i="17"/>
  <c r="J9" i="17"/>
  <c r="K9" i="17"/>
  <c r="L9" i="17"/>
  <c r="M9" i="17"/>
  <c r="J10" i="17"/>
  <c r="K10" i="17"/>
  <c r="L10" i="17"/>
  <c r="M10" i="17"/>
  <c r="J11" i="17"/>
  <c r="K11" i="17"/>
  <c r="L11" i="17"/>
  <c r="M11" i="17"/>
  <c r="J12" i="17"/>
  <c r="K12" i="17"/>
  <c r="L12" i="17"/>
  <c r="M12" i="17"/>
  <c r="J13" i="17"/>
  <c r="K13" i="17"/>
  <c r="L13" i="17"/>
  <c r="M13" i="17"/>
  <c r="J14" i="17"/>
  <c r="K14" i="17"/>
  <c r="L14" i="17"/>
  <c r="M14" i="17"/>
  <c r="J15" i="17"/>
  <c r="K15" i="17"/>
  <c r="L15" i="17"/>
  <c r="M15" i="17"/>
  <c r="J16" i="17"/>
  <c r="Z26" i="18" s="1"/>
  <c r="AC26" i="18" s="1"/>
  <c r="K16" i="17"/>
  <c r="AA26" i="18" s="1"/>
  <c r="AD26" i="18" s="1"/>
  <c r="L16" i="17"/>
  <c r="AB26" i="18" s="1"/>
  <c r="AE26" i="18" s="1"/>
  <c r="M16" i="17"/>
  <c r="J17" i="17"/>
  <c r="K17" i="17"/>
  <c r="L17" i="17"/>
  <c r="M17" i="17"/>
  <c r="J18" i="17"/>
  <c r="K18" i="17"/>
  <c r="L18" i="17"/>
  <c r="M18" i="17"/>
  <c r="J19" i="17"/>
  <c r="K19" i="17"/>
  <c r="L19" i="17"/>
  <c r="M19" i="17"/>
  <c r="J20" i="17"/>
  <c r="K20" i="17"/>
  <c r="L20" i="17"/>
  <c r="M20" i="17"/>
  <c r="J21" i="17"/>
  <c r="K21" i="17"/>
  <c r="L21" i="17"/>
  <c r="M21" i="17"/>
  <c r="J22" i="17"/>
  <c r="K22" i="17"/>
  <c r="L22" i="17"/>
  <c r="M22" i="17"/>
  <c r="J23" i="17"/>
  <c r="K23" i="17"/>
  <c r="L23" i="17"/>
  <c r="M23" i="17"/>
  <c r="J24" i="17"/>
  <c r="K24" i="17"/>
  <c r="L24" i="17"/>
  <c r="M24" i="17"/>
  <c r="J25" i="17"/>
  <c r="K25" i="17"/>
  <c r="L25" i="17"/>
  <c r="M25" i="17"/>
  <c r="J26" i="17"/>
  <c r="K26" i="17"/>
  <c r="L26" i="17"/>
  <c r="M26" i="17"/>
  <c r="J27" i="17"/>
  <c r="K27" i="17"/>
  <c r="L27" i="17"/>
  <c r="M27" i="17"/>
  <c r="J28" i="17"/>
  <c r="K28" i="17"/>
  <c r="L28" i="17"/>
  <c r="AB13" i="18" s="1"/>
  <c r="AE13" i="18" s="1"/>
  <c r="M28" i="17"/>
  <c r="J29" i="17"/>
  <c r="K29" i="17"/>
  <c r="D19" i="18" s="1"/>
  <c r="G19" i="18" s="1"/>
  <c r="L29" i="17"/>
  <c r="M29" i="17"/>
  <c r="J30" i="17"/>
  <c r="K30" i="17"/>
  <c r="L30" i="17"/>
  <c r="M30" i="17"/>
  <c r="J31" i="17"/>
  <c r="K31" i="17"/>
  <c r="L31" i="17"/>
  <c r="M31" i="17"/>
  <c r="J32" i="17"/>
  <c r="K32" i="17"/>
  <c r="L32" i="17"/>
  <c r="M32" i="17"/>
  <c r="J33" i="17"/>
  <c r="K33" i="17"/>
  <c r="L33" i="17"/>
  <c r="M33" i="17"/>
  <c r="J34" i="17"/>
  <c r="K34" i="17"/>
  <c r="L34" i="17"/>
  <c r="AB15" i="18" s="1"/>
  <c r="AE15" i="18" s="1"/>
  <c r="M34" i="17"/>
  <c r="J35" i="17"/>
  <c r="K35" i="17"/>
  <c r="L35" i="17"/>
  <c r="M35" i="17"/>
  <c r="J36" i="17"/>
  <c r="K36" i="17"/>
  <c r="L36" i="17"/>
  <c r="M36" i="17"/>
  <c r="J37" i="17"/>
  <c r="K37" i="17"/>
  <c r="L37" i="17"/>
  <c r="M37" i="17"/>
  <c r="M2" i="17"/>
  <c r="L2" i="17"/>
  <c r="K2" i="17"/>
  <c r="D20" i="18" s="1"/>
  <c r="J2" i="17"/>
  <c r="X603" i="1" l="1"/>
  <c r="AI603" i="1"/>
  <c r="AJ603" i="1"/>
  <c r="AI579" i="1"/>
  <c r="X579" i="1"/>
  <c r="AJ579" i="1"/>
  <c r="AI567" i="1"/>
  <c r="X567" i="1"/>
  <c r="AJ567" i="1"/>
  <c r="AI555" i="1"/>
  <c r="X555" i="1"/>
  <c r="AJ555" i="1"/>
  <c r="BF544" i="2"/>
  <c r="BK544" i="2" s="1"/>
  <c r="M543" i="1"/>
  <c r="AJ531" i="1"/>
  <c r="X531" i="1"/>
  <c r="AI531" i="1"/>
  <c r="BF520" i="2"/>
  <c r="BK520" i="2" s="1"/>
  <c r="M519" i="1"/>
  <c r="AJ507" i="1"/>
  <c r="X507" i="1"/>
  <c r="AI507" i="1"/>
  <c r="BF496" i="2"/>
  <c r="BK496" i="2" s="1"/>
  <c r="M495" i="1"/>
  <c r="AI483" i="1"/>
  <c r="X483" i="1"/>
  <c r="AJ483" i="1"/>
  <c r="X471" i="1"/>
  <c r="AJ471" i="1"/>
  <c r="AI471" i="1"/>
  <c r="BF460" i="2"/>
  <c r="BK460" i="2" s="1"/>
  <c r="M459" i="1"/>
  <c r="X447" i="1"/>
  <c r="AJ447" i="1"/>
  <c r="AI447" i="1"/>
  <c r="BF436" i="2"/>
  <c r="BK436" i="2" s="1"/>
  <c r="M435" i="1"/>
  <c r="BF424" i="2"/>
  <c r="BK424" i="2" s="1"/>
  <c r="M423" i="1"/>
  <c r="X411" i="1"/>
  <c r="AJ411" i="1"/>
  <c r="AI411" i="1"/>
  <c r="BF400" i="2"/>
  <c r="BK400" i="2" s="1"/>
  <c r="M399" i="1"/>
  <c r="BF388" i="2"/>
  <c r="BK388" i="2" s="1"/>
  <c r="M387" i="1"/>
  <c r="X375" i="1"/>
  <c r="AJ375" i="1"/>
  <c r="AI375" i="1"/>
  <c r="BF364" i="2"/>
  <c r="BK364" i="2" s="1"/>
  <c r="M363" i="1"/>
  <c r="X351" i="1"/>
  <c r="AI351" i="1"/>
  <c r="AJ351" i="1"/>
  <c r="BF340" i="2"/>
  <c r="BK340" i="2" s="1"/>
  <c r="M339" i="1"/>
  <c r="BF328" i="2"/>
  <c r="BK328" i="2" s="1"/>
  <c r="M327" i="1"/>
  <c r="BF316" i="2"/>
  <c r="BK316" i="2" s="1"/>
  <c r="M315" i="1"/>
  <c r="X303" i="1"/>
  <c r="AI303" i="1"/>
  <c r="AJ303" i="1"/>
  <c r="AI291" i="1"/>
  <c r="AJ291" i="1"/>
  <c r="X291" i="1"/>
  <c r="AI279" i="1"/>
  <c r="AJ279" i="1"/>
  <c r="X279" i="1"/>
  <c r="BF268" i="2"/>
  <c r="BK268" i="2" s="1"/>
  <c r="M267" i="1"/>
  <c r="BF256" i="2"/>
  <c r="BK256" i="2" s="1"/>
  <c r="M255" i="1"/>
  <c r="AJ243" i="1"/>
  <c r="X243" i="1"/>
  <c r="AI243" i="1"/>
  <c r="X231" i="1"/>
  <c r="AI231" i="1"/>
  <c r="AJ231" i="1"/>
  <c r="AI219" i="1"/>
  <c r="X219" i="1"/>
  <c r="AJ219" i="1"/>
  <c r="BF208" i="2"/>
  <c r="BK208" i="2" s="1"/>
  <c r="M207" i="1"/>
  <c r="X195" i="1"/>
  <c r="AJ195" i="1"/>
  <c r="AI195" i="1"/>
  <c r="X183" i="1"/>
  <c r="AI183" i="1"/>
  <c r="AJ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AI87" i="1"/>
  <c r="AJ87" i="1"/>
  <c r="X87" i="1"/>
  <c r="AJ75" i="1"/>
  <c r="X75" i="1"/>
  <c r="AI75" i="1"/>
  <c r="BF64" i="2"/>
  <c r="BK64" i="2" s="1"/>
  <c r="M63" i="1"/>
  <c r="AI51" i="1"/>
  <c r="X51" i="1"/>
  <c r="AJ51" i="1"/>
  <c r="BF40" i="2"/>
  <c r="BK40" i="2" s="1"/>
  <c r="M39" i="1"/>
  <c r="AI27" i="1"/>
  <c r="X27" i="1"/>
  <c r="AJ27" i="1"/>
  <c r="BF16" i="2"/>
  <c r="BK16" i="2" s="1"/>
  <c r="M15" i="1"/>
  <c r="X3" i="1"/>
  <c r="AJ3" i="1"/>
  <c r="AI3" i="1"/>
  <c r="BF616" i="2"/>
  <c r="BK616" i="2" s="1"/>
  <c r="M615" i="1"/>
  <c r="BF592" i="2"/>
  <c r="BK592" i="2" s="1"/>
  <c r="M591" i="1"/>
  <c r="X614" i="1"/>
  <c r="AJ614" i="1"/>
  <c r="AI614" i="1"/>
  <c r="BF603" i="2"/>
  <c r="BK603" i="2" s="1"/>
  <c r="M602" i="1"/>
  <c r="BF591" i="2"/>
  <c r="BK591" i="2" s="1"/>
  <c r="M590" i="1"/>
  <c r="BF579" i="2"/>
  <c r="BK579" i="2" s="1"/>
  <c r="M578" i="1"/>
  <c r="BF567" i="2"/>
  <c r="BK567" i="2" s="1"/>
  <c r="M566" i="1"/>
  <c r="X554" i="1"/>
  <c r="AJ554" i="1"/>
  <c r="AI554" i="1"/>
  <c r="BF543" i="2"/>
  <c r="BK543" i="2" s="1"/>
  <c r="M542" i="1"/>
  <c r="BF531" i="2"/>
  <c r="BK531" i="2" s="1"/>
  <c r="M530" i="1"/>
  <c r="BF519" i="2"/>
  <c r="BK519" i="2" s="1"/>
  <c r="M518" i="1"/>
  <c r="BF507" i="2"/>
  <c r="BK507" i="2" s="1"/>
  <c r="M506" i="1"/>
  <c r="AJ494" i="1"/>
  <c r="X494" i="1"/>
  <c r="AI494" i="1"/>
  <c r="BF483" i="2"/>
  <c r="BK483" i="2" s="1"/>
  <c r="M482" i="1"/>
  <c r="BF471" i="2"/>
  <c r="BK471" i="2" s="1"/>
  <c r="M470" i="1"/>
  <c r="BF459" i="2"/>
  <c r="BK459" i="2" s="1"/>
  <c r="M458" i="1"/>
  <c r="BF447" i="2"/>
  <c r="BK447" i="2" s="1"/>
  <c r="M446" i="1"/>
  <c r="BF435" i="2"/>
  <c r="BK435" i="2" s="1"/>
  <c r="M434" i="1"/>
  <c r="BF423" i="2"/>
  <c r="BK423" i="2" s="1"/>
  <c r="M422" i="1"/>
  <c r="BF411" i="2"/>
  <c r="BK411" i="2" s="1"/>
  <c r="M410" i="1"/>
  <c r="AI398" i="1"/>
  <c r="X398" i="1"/>
  <c r="AJ398" i="1"/>
  <c r="BF387" i="2"/>
  <c r="BK387" i="2" s="1"/>
  <c r="M386" i="1"/>
  <c r="BF375" i="2"/>
  <c r="BK375" i="2" s="1"/>
  <c r="M374" i="1"/>
  <c r="AJ362" i="1"/>
  <c r="X362" i="1"/>
  <c r="AI362" i="1"/>
  <c r="X350" i="1"/>
  <c r="AI350" i="1"/>
  <c r="AJ350" i="1"/>
  <c r="AJ338" i="1"/>
  <c r="X338" i="1"/>
  <c r="AI338" i="1"/>
  <c r="AJ326" i="1"/>
  <c r="X326" i="1"/>
  <c r="AI326" i="1"/>
  <c r="AI314" i="1"/>
  <c r="AJ314" i="1"/>
  <c r="X314" i="1"/>
  <c r="AJ302" i="1"/>
  <c r="AI302" i="1"/>
  <c r="X302" i="1"/>
  <c r="AI290" i="1"/>
  <c r="X290" i="1"/>
  <c r="AJ290" i="1"/>
  <c r="AI278" i="1"/>
  <c r="X278" i="1"/>
  <c r="AJ278" i="1"/>
  <c r="BF267" i="2"/>
  <c r="BK267" i="2" s="1"/>
  <c r="M266" i="1"/>
  <c r="BF255" i="2"/>
  <c r="BK255" i="2" s="1"/>
  <c r="M254" i="1"/>
  <c r="BF243" i="2"/>
  <c r="BK243" i="2" s="1"/>
  <c r="M242" i="1"/>
  <c r="BF231" i="2"/>
  <c r="BK231" i="2" s="1"/>
  <c r="M230" i="1"/>
  <c r="BF219" i="2"/>
  <c r="BK219" i="2" s="1"/>
  <c r="M218" i="1"/>
  <c r="BF207" i="2"/>
  <c r="BK207" i="2" s="1"/>
  <c r="M206" i="1"/>
  <c r="AJ194" i="1"/>
  <c r="X194" i="1"/>
  <c r="AI194" i="1"/>
  <c r="AI182" i="1"/>
  <c r="X182" i="1"/>
  <c r="AJ182" i="1"/>
  <c r="BF171" i="2"/>
  <c r="BK171" i="2" s="1"/>
  <c r="M170" i="1"/>
  <c r="BF159" i="2"/>
  <c r="BK159" i="2" s="1"/>
  <c r="M158" i="1"/>
  <c r="BF147" i="2"/>
  <c r="BK147" i="2" s="1"/>
  <c r="M146" i="1"/>
  <c r="AI134" i="1"/>
  <c r="AJ134" i="1"/>
  <c r="X134" i="1"/>
  <c r="BF123" i="2"/>
  <c r="BK123" i="2" s="1"/>
  <c r="M122" i="1"/>
  <c r="AI110" i="1"/>
  <c r="X110" i="1"/>
  <c r="AJ110" i="1"/>
  <c r="BF99" i="2"/>
  <c r="BK99" i="2" s="1"/>
  <c r="M98" i="1"/>
  <c r="X86" i="1"/>
  <c r="AJ86" i="1"/>
  <c r="AI86" i="1"/>
  <c r="X74" i="1"/>
  <c r="AI74" i="1"/>
  <c r="AJ74" i="1"/>
  <c r="AI62" i="1"/>
  <c r="AJ62" i="1"/>
  <c r="X62" i="1"/>
  <c r="AI50" i="1"/>
  <c r="X50" i="1"/>
  <c r="AJ50" i="1"/>
  <c r="AI38" i="1"/>
  <c r="AJ38" i="1"/>
  <c r="X38" i="1"/>
  <c r="BF27" i="2"/>
  <c r="BK27" i="2" s="1"/>
  <c r="M26" i="1"/>
  <c r="AJ14" i="1"/>
  <c r="X14" i="1"/>
  <c r="AI14" i="1"/>
  <c r="X592" i="1"/>
  <c r="AJ592" i="1"/>
  <c r="AI592" i="1"/>
  <c r="BF509" i="2"/>
  <c r="BK509" i="2" s="1"/>
  <c r="M508" i="1"/>
  <c r="AI400" i="1"/>
  <c r="X400" i="1"/>
  <c r="AJ400" i="1"/>
  <c r="BF353" i="2"/>
  <c r="BK353" i="2" s="1"/>
  <c r="M352" i="1"/>
  <c r="BF305" i="2"/>
  <c r="BK305" i="2" s="1"/>
  <c r="M304" i="1"/>
  <c r="BF257" i="2"/>
  <c r="BK257" i="2" s="1"/>
  <c r="M256" i="1"/>
  <c r="BF197" i="2"/>
  <c r="BK197" i="2" s="1"/>
  <c r="M196" i="1"/>
  <c r="BF137" i="2"/>
  <c r="BK137" i="2" s="1"/>
  <c r="M136" i="1"/>
  <c r="BF89" i="2"/>
  <c r="BK89" i="2" s="1"/>
  <c r="M88" i="1"/>
  <c r="BF53" i="2"/>
  <c r="BK53" i="2" s="1"/>
  <c r="M52" i="1"/>
  <c r="BF613" i="2"/>
  <c r="BK613" i="2" s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BF481" i="2"/>
  <c r="BK481" i="2" s="1"/>
  <c r="M480" i="1"/>
  <c r="BF457" i="2"/>
  <c r="BK457" i="2" s="1"/>
  <c r="M456" i="1"/>
  <c r="BF433" i="2"/>
  <c r="BK433" i="2" s="1"/>
  <c r="M432" i="1"/>
  <c r="X408" i="1"/>
  <c r="AJ408" i="1"/>
  <c r="AI408" i="1"/>
  <c r="BF385" i="2"/>
  <c r="BK385" i="2" s="1"/>
  <c r="M384" i="1"/>
  <c r="AJ348" i="1"/>
  <c r="X348" i="1"/>
  <c r="AI348" i="1"/>
  <c r="BF325" i="2"/>
  <c r="BK325" i="2" s="1"/>
  <c r="M324" i="1"/>
  <c r="AI300" i="1"/>
  <c r="X300" i="1"/>
  <c r="AJ300" i="1"/>
  <c r="AI276" i="1"/>
  <c r="X276" i="1"/>
  <c r="AJ276" i="1"/>
  <c r="AJ252" i="1"/>
  <c r="X252" i="1"/>
  <c r="AI252" i="1"/>
  <c r="BF229" i="2"/>
  <c r="BK229" i="2" s="1"/>
  <c r="M228" i="1"/>
  <c r="AJ204" i="1"/>
  <c r="X204" i="1"/>
  <c r="AI204" i="1"/>
  <c r="BF181" i="2"/>
  <c r="BK181" i="2" s="1"/>
  <c r="M180" i="1"/>
  <c r="X144" i="1"/>
  <c r="AJ144" i="1"/>
  <c r="AI144" i="1"/>
  <c r="BF121" i="2"/>
  <c r="BK121" i="2" s="1"/>
  <c r="M120" i="1"/>
  <c r="AJ84" i="1"/>
  <c r="AI84" i="1"/>
  <c r="X84" i="1"/>
  <c r="BF61" i="2"/>
  <c r="BK61" i="2" s="1"/>
  <c r="M60" i="1"/>
  <c r="AI36" i="1"/>
  <c r="AJ36" i="1"/>
  <c r="X36" i="1"/>
  <c r="AJ12" i="1"/>
  <c r="X12" i="1"/>
  <c r="AI12" i="1"/>
  <c r="BF612" i="2"/>
  <c r="BK612" i="2" s="1"/>
  <c r="M611" i="1"/>
  <c r="BF600" i="2"/>
  <c r="BK600" i="2" s="1"/>
  <c r="M599" i="1"/>
  <c r="X575" i="1"/>
  <c r="AJ575" i="1"/>
  <c r="AI575" i="1"/>
  <c r="BF552" i="2"/>
  <c r="BK552" i="2" s="1"/>
  <c r="M551" i="1"/>
  <c r="BF540" i="2"/>
  <c r="BK540" i="2" s="1"/>
  <c r="M539" i="1"/>
  <c r="BF516" i="2"/>
  <c r="BK516" i="2" s="1"/>
  <c r="M515" i="1"/>
  <c r="X479" i="1"/>
  <c r="AI479" i="1"/>
  <c r="AJ479" i="1"/>
  <c r="AI455" i="1"/>
  <c r="AJ455" i="1"/>
  <c r="X455" i="1"/>
  <c r="AI431" i="1"/>
  <c r="X431" i="1"/>
  <c r="AJ431" i="1"/>
  <c r="BF408" i="2"/>
  <c r="BK408" i="2" s="1"/>
  <c r="M407" i="1"/>
  <c r="BF384" i="2"/>
  <c r="BK384" i="2" s="1"/>
  <c r="M383" i="1"/>
  <c r="X347" i="1"/>
  <c r="AI347" i="1"/>
  <c r="AJ347" i="1"/>
  <c r="BF324" i="2"/>
  <c r="BK324" i="2" s="1"/>
  <c r="M323" i="1"/>
  <c r="AJ299" i="1"/>
  <c r="AI299" i="1"/>
  <c r="X299" i="1"/>
  <c r="BF288" i="2"/>
  <c r="BK288" i="2" s="1"/>
  <c r="M287" i="1"/>
  <c r="BF264" i="2"/>
  <c r="BK264" i="2" s="1"/>
  <c r="M263" i="1"/>
  <c r="BF240" i="2"/>
  <c r="BK240" i="2" s="1"/>
  <c r="M239" i="1"/>
  <c r="AJ215" i="1"/>
  <c r="X215" i="1"/>
  <c r="AI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AI47" i="1"/>
  <c r="X47" i="1"/>
  <c r="AJ47" i="1"/>
  <c r="BF36" i="2"/>
  <c r="BK36" i="2" s="1"/>
  <c r="M35" i="1"/>
  <c r="BF12" i="2"/>
  <c r="BK12" i="2" s="1"/>
  <c r="M11" i="1"/>
  <c r="AI622" i="1"/>
  <c r="AJ622" i="1"/>
  <c r="X622" i="1"/>
  <c r="BF611" i="2"/>
  <c r="BK611" i="2" s="1"/>
  <c r="M610" i="1"/>
  <c r="BF599" i="2"/>
  <c r="BK599" i="2" s="1"/>
  <c r="M598" i="1"/>
  <c r="BF587" i="2"/>
  <c r="BK587" i="2" s="1"/>
  <c r="M586" i="1"/>
  <c r="BF575" i="2"/>
  <c r="BK575" i="2" s="1"/>
  <c r="M574" i="1"/>
  <c r="BF563" i="2"/>
  <c r="BK563" i="2" s="1"/>
  <c r="M562" i="1"/>
  <c r="AI550" i="1"/>
  <c r="X550" i="1"/>
  <c r="AJ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AI490" i="1"/>
  <c r="AJ490" i="1"/>
  <c r="X490" i="1"/>
  <c r="BF479" i="2"/>
  <c r="BK479" i="2" s="1"/>
  <c r="M478" i="1"/>
  <c r="BF467" i="2"/>
  <c r="BK467" i="2" s="1"/>
  <c r="M466" i="1"/>
  <c r="BF455" i="2"/>
  <c r="BK455" i="2" s="1"/>
  <c r="M454" i="1"/>
  <c r="BF443" i="2"/>
  <c r="BK443" i="2" s="1"/>
  <c r="M442" i="1"/>
  <c r="AJ430" i="1"/>
  <c r="X430" i="1"/>
  <c r="AI430" i="1"/>
  <c r="BF419" i="2"/>
  <c r="BK419" i="2" s="1"/>
  <c r="M418" i="1"/>
  <c r="BF407" i="2"/>
  <c r="BK407" i="2" s="1"/>
  <c r="M406" i="1"/>
  <c r="AI394" i="1"/>
  <c r="X394" i="1"/>
  <c r="AJ394" i="1"/>
  <c r="AI382" i="1"/>
  <c r="AJ382" i="1"/>
  <c r="X382" i="1"/>
  <c r="X370" i="1"/>
  <c r="AI370" i="1"/>
  <c r="AJ370" i="1"/>
  <c r="BF359" i="2"/>
  <c r="BK359" i="2" s="1"/>
  <c r="M358" i="1"/>
  <c r="BF347" i="2"/>
  <c r="BK347" i="2" s="1"/>
  <c r="M346" i="1"/>
  <c r="BF335" i="2"/>
  <c r="BK335" i="2" s="1"/>
  <c r="M334" i="1"/>
  <c r="X322" i="1"/>
  <c r="AI322" i="1"/>
  <c r="AJ322" i="1"/>
  <c r="BF311" i="2"/>
  <c r="BK311" i="2" s="1"/>
  <c r="M310" i="1"/>
  <c r="X298" i="1"/>
  <c r="AJ298" i="1"/>
  <c r="AI298" i="1"/>
  <c r="BF287" i="2"/>
  <c r="BK287" i="2" s="1"/>
  <c r="M286" i="1"/>
  <c r="BF275" i="2"/>
  <c r="BK275" i="2" s="1"/>
  <c r="M274" i="1"/>
  <c r="BF263" i="2"/>
  <c r="BK263" i="2" s="1"/>
  <c r="M262" i="1"/>
  <c r="BF251" i="2"/>
  <c r="BK251" i="2" s="1"/>
  <c r="M250" i="1"/>
  <c r="AI238" i="1"/>
  <c r="AJ238" i="1"/>
  <c r="X238" i="1"/>
  <c r="BF227" i="2"/>
  <c r="BK227" i="2" s="1"/>
  <c r="M226" i="1"/>
  <c r="BF215" i="2"/>
  <c r="BK215" i="2" s="1"/>
  <c r="M214" i="1"/>
  <c r="BF203" i="2"/>
  <c r="BK203" i="2" s="1"/>
  <c r="M202" i="1"/>
  <c r="X190" i="1"/>
  <c r="AJ190" i="1"/>
  <c r="AI190" i="1"/>
  <c r="AJ178" i="1"/>
  <c r="X178" i="1"/>
  <c r="AI178" i="1"/>
  <c r="X166" i="1"/>
  <c r="AJ166" i="1"/>
  <c r="AI166" i="1"/>
  <c r="BF155" i="2"/>
  <c r="BK155" i="2" s="1"/>
  <c r="M154" i="1"/>
  <c r="BF143" i="2"/>
  <c r="BK143" i="2" s="1"/>
  <c r="M142" i="1"/>
  <c r="AJ130" i="1"/>
  <c r="X130" i="1"/>
  <c r="AI130" i="1"/>
  <c r="BF119" i="2"/>
  <c r="BK119" i="2" s="1"/>
  <c r="M118" i="1"/>
  <c r="BF107" i="2"/>
  <c r="BK107" i="2" s="1"/>
  <c r="M106" i="1"/>
  <c r="AI94" i="1"/>
  <c r="X94" i="1"/>
  <c r="AJ94" i="1"/>
  <c r="X82" i="1"/>
  <c r="AJ82" i="1"/>
  <c r="AI82" i="1"/>
  <c r="AI70" i="1"/>
  <c r="X70" i="1"/>
  <c r="AJ70" i="1"/>
  <c r="BF59" i="2"/>
  <c r="BK59" i="2" s="1"/>
  <c r="M58" i="1"/>
  <c r="BF47" i="2"/>
  <c r="BK47" i="2" s="1"/>
  <c r="M46" i="1"/>
  <c r="BF35" i="2"/>
  <c r="BK35" i="2" s="1"/>
  <c r="M34" i="1"/>
  <c r="BF23" i="2"/>
  <c r="BK23" i="2" s="1"/>
  <c r="M22" i="1"/>
  <c r="X10" i="1"/>
  <c r="AI10" i="1"/>
  <c r="AJ10" i="1"/>
  <c r="X556" i="1"/>
  <c r="AJ556" i="1"/>
  <c r="AI556" i="1"/>
  <c r="BF521" i="2"/>
  <c r="BK521" i="2" s="1"/>
  <c r="M520" i="1"/>
  <c r="X436" i="1"/>
  <c r="AJ436" i="1"/>
  <c r="AI436" i="1"/>
  <c r="BF389" i="2"/>
  <c r="BK389" i="2" s="1"/>
  <c r="M388" i="1"/>
  <c r="AJ316" i="1"/>
  <c r="X316" i="1"/>
  <c r="AI316" i="1"/>
  <c r="BF293" i="2"/>
  <c r="BK293" i="2" s="1"/>
  <c r="M292" i="1"/>
  <c r="BF269" i="2"/>
  <c r="BK269" i="2" s="1"/>
  <c r="M268" i="1"/>
  <c r="BF209" i="2"/>
  <c r="BK209" i="2" s="1"/>
  <c r="M208" i="1"/>
  <c r="BF161" i="2"/>
  <c r="BK161" i="2" s="1"/>
  <c r="M160" i="1"/>
  <c r="BF101" i="2"/>
  <c r="BK101" i="2" s="1"/>
  <c r="M100" i="1"/>
  <c r="BF77" i="2"/>
  <c r="BK77" i="2" s="1"/>
  <c r="M76" i="1"/>
  <c r="AJ40" i="1"/>
  <c r="X40" i="1"/>
  <c r="AI40" i="1"/>
  <c r="BF17" i="2"/>
  <c r="BK17" i="2" s="1"/>
  <c r="M16" i="1"/>
  <c r="AI613" i="1"/>
  <c r="X613" i="1"/>
  <c r="AJ613" i="1"/>
  <c r="BF590" i="2"/>
  <c r="BK590" i="2" s="1"/>
  <c r="M589" i="1"/>
  <c r="BF554" i="2"/>
  <c r="BK554" i="2" s="1"/>
  <c r="M553" i="1"/>
  <c r="X493" i="1"/>
  <c r="AI493" i="1"/>
  <c r="AJ493" i="1"/>
  <c r="BF458" i="2"/>
  <c r="BK458" i="2" s="1"/>
  <c r="M457" i="1"/>
  <c r="X409" i="1"/>
  <c r="AJ409" i="1"/>
  <c r="AI409" i="1"/>
  <c r="X361" i="1"/>
  <c r="AJ361" i="1"/>
  <c r="AI361" i="1"/>
  <c r="AJ301" i="1"/>
  <c r="X301" i="1"/>
  <c r="AI301" i="1"/>
  <c r="AI241" i="1"/>
  <c r="AJ241" i="1"/>
  <c r="X241" i="1"/>
  <c r="BF206" i="2"/>
  <c r="BK206" i="2" s="1"/>
  <c r="M205" i="1"/>
  <c r="AJ157" i="1"/>
  <c r="X157" i="1"/>
  <c r="AI157" i="1"/>
  <c r="BF122" i="2"/>
  <c r="BK122" i="2" s="1"/>
  <c r="M121" i="1"/>
  <c r="AI73" i="1"/>
  <c r="X73" i="1"/>
  <c r="AJ73" i="1"/>
  <c r="AI37" i="1"/>
  <c r="AJ37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AI492" i="1"/>
  <c r="AJ492" i="1"/>
  <c r="AJ468" i="1"/>
  <c r="X468" i="1"/>
  <c r="AI468" i="1"/>
  <c r="BF445" i="2"/>
  <c r="BK445" i="2" s="1"/>
  <c r="M444" i="1"/>
  <c r="BF421" i="2"/>
  <c r="BK421" i="2" s="1"/>
  <c r="M420" i="1"/>
  <c r="X396" i="1"/>
  <c r="AJ396" i="1"/>
  <c r="AI396" i="1"/>
  <c r="BF373" i="2"/>
  <c r="BK373" i="2" s="1"/>
  <c r="M372" i="1"/>
  <c r="BF361" i="2"/>
  <c r="BK361" i="2" s="1"/>
  <c r="M360" i="1"/>
  <c r="BF337" i="2"/>
  <c r="BK337" i="2" s="1"/>
  <c r="M336" i="1"/>
  <c r="AJ312" i="1"/>
  <c r="X312" i="1"/>
  <c r="AI312" i="1"/>
  <c r="AI288" i="1"/>
  <c r="AJ288" i="1"/>
  <c r="X288" i="1"/>
  <c r="AI264" i="1"/>
  <c r="X264" i="1"/>
  <c r="AJ264" i="1"/>
  <c r="AJ240" i="1"/>
  <c r="X240" i="1"/>
  <c r="AI240" i="1"/>
  <c r="AJ216" i="1"/>
  <c r="X216" i="1"/>
  <c r="AI216" i="1"/>
  <c r="BF193" i="2"/>
  <c r="BK193" i="2" s="1"/>
  <c r="M192" i="1"/>
  <c r="BF169" i="2"/>
  <c r="BK169" i="2" s="1"/>
  <c r="M168" i="1"/>
  <c r="X156" i="1"/>
  <c r="AI156" i="1"/>
  <c r="AJ156" i="1"/>
  <c r="BF133" i="2"/>
  <c r="BK133" i="2" s="1"/>
  <c r="M132" i="1"/>
  <c r="BF109" i="2"/>
  <c r="BK109" i="2" s="1"/>
  <c r="M108" i="1"/>
  <c r="BF97" i="2"/>
  <c r="BK97" i="2" s="1"/>
  <c r="M96" i="1"/>
  <c r="BF73" i="2"/>
  <c r="BK73" i="2" s="1"/>
  <c r="M72" i="1"/>
  <c r="X48" i="1"/>
  <c r="AJ48" i="1"/>
  <c r="AI48" i="1"/>
  <c r="X24" i="1"/>
  <c r="AJ24" i="1"/>
  <c r="AI24" i="1"/>
  <c r="X587" i="1"/>
  <c r="AJ587" i="1"/>
  <c r="AI587" i="1"/>
  <c r="BF564" i="2"/>
  <c r="BK564" i="2" s="1"/>
  <c r="M563" i="1"/>
  <c r="X527" i="1"/>
  <c r="AI527" i="1"/>
  <c r="AJ527" i="1"/>
  <c r="BF504" i="2"/>
  <c r="BK504" i="2" s="1"/>
  <c r="M503" i="1"/>
  <c r="BF492" i="2"/>
  <c r="BK492" i="2" s="1"/>
  <c r="M491" i="1"/>
  <c r="BF468" i="2"/>
  <c r="BK468" i="2" s="1"/>
  <c r="M467" i="1"/>
  <c r="X443" i="1"/>
  <c r="AI443" i="1"/>
  <c r="AJ443" i="1"/>
  <c r="AJ419" i="1"/>
  <c r="AI419" i="1"/>
  <c r="X419" i="1"/>
  <c r="BF396" i="2"/>
  <c r="BK396" i="2" s="1"/>
  <c r="M395" i="1"/>
  <c r="BF372" i="2"/>
  <c r="BK372" i="2" s="1"/>
  <c r="M371" i="1"/>
  <c r="BF360" i="2"/>
  <c r="BK360" i="2" s="1"/>
  <c r="M359" i="1"/>
  <c r="X335" i="1"/>
  <c r="AI335" i="1"/>
  <c r="AJ335" i="1"/>
  <c r="BF312" i="2"/>
  <c r="BK312" i="2" s="1"/>
  <c r="M311" i="1"/>
  <c r="AI275" i="1"/>
  <c r="X275" i="1"/>
  <c r="AJ275" i="1"/>
  <c r="AI251" i="1"/>
  <c r="AJ251" i="1"/>
  <c r="X251" i="1"/>
  <c r="BF228" i="2"/>
  <c r="BK228" i="2" s="1"/>
  <c r="M227" i="1"/>
  <c r="AJ203" i="1"/>
  <c r="X203" i="1"/>
  <c r="AI203" i="1"/>
  <c r="BF180" i="2"/>
  <c r="BK180" i="2" s="1"/>
  <c r="M179" i="1"/>
  <c r="BF156" i="2"/>
  <c r="BK156" i="2" s="1"/>
  <c r="M155" i="1"/>
  <c r="AI107" i="1"/>
  <c r="X107" i="1"/>
  <c r="AJ107" i="1"/>
  <c r="X71" i="1"/>
  <c r="AJ71" i="1"/>
  <c r="AI71" i="1"/>
  <c r="X23" i="1"/>
  <c r="AJ23" i="1"/>
  <c r="AI23" i="1"/>
  <c r="AI621" i="1"/>
  <c r="AJ621" i="1"/>
  <c r="X621" i="1"/>
  <c r="X609" i="1"/>
  <c r="AI609" i="1"/>
  <c r="AJ609" i="1"/>
  <c r="BF598" i="2"/>
  <c r="BK598" i="2" s="1"/>
  <c r="M597" i="1"/>
  <c r="BF586" i="2"/>
  <c r="BK586" i="2" s="1"/>
  <c r="M585" i="1"/>
  <c r="AI573" i="1"/>
  <c r="X573" i="1"/>
  <c r="AJ573" i="1"/>
  <c r="BF562" i="2"/>
  <c r="BK562" i="2" s="1"/>
  <c r="M561" i="1"/>
  <c r="BF550" i="2"/>
  <c r="BK550" i="2" s="1"/>
  <c r="M549" i="1"/>
  <c r="BF538" i="2"/>
  <c r="BK538" i="2" s="1"/>
  <c r="M537" i="1"/>
  <c r="AJ525" i="1"/>
  <c r="X525" i="1"/>
  <c r="AI525" i="1"/>
  <c r="X513" i="1"/>
  <c r="AI513" i="1"/>
  <c r="AJ513" i="1"/>
  <c r="BF502" i="2"/>
  <c r="BK502" i="2" s="1"/>
  <c r="M501" i="1"/>
  <c r="X489" i="1"/>
  <c r="AI489" i="1"/>
  <c r="AJ489" i="1"/>
  <c r="X477" i="1"/>
  <c r="AJ477" i="1"/>
  <c r="AI477" i="1"/>
  <c r="BF466" i="2"/>
  <c r="BK466" i="2" s="1"/>
  <c r="M465" i="1"/>
  <c r="BF454" i="2"/>
  <c r="BK454" i="2" s="1"/>
  <c r="M453" i="1"/>
  <c r="BF442" i="2"/>
  <c r="BK442" i="2" s="1"/>
  <c r="M441" i="1"/>
  <c r="AJ429" i="1"/>
  <c r="X429" i="1"/>
  <c r="AI429" i="1"/>
  <c r="BF418" i="2"/>
  <c r="BK418" i="2" s="1"/>
  <c r="M417" i="1"/>
  <c r="BF406" i="2"/>
  <c r="BK406" i="2" s="1"/>
  <c r="M405" i="1"/>
  <c r="BF394" i="2"/>
  <c r="BK394" i="2" s="1"/>
  <c r="M393" i="1"/>
  <c r="BF382" i="2"/>
  <c r="BK382" i="2" s="1"/>
  <c r="M381" i="1"/>
  <c r="X369" i="1"/>
  <c r="AI369" i="1"/>
  <c r="AJ369" i="1"/>
  <c r="BF358" i="2"/>
  <c r="BK358" i="2" s="1"/>
  <c r="M357" i="1"/>
  <c r="BF346" i="2"/>
  <c r="BK346" i="2" s="1"/>
  <c r="M345" i="1"/>
  <c r="BF334" i="2"/>
  <c r="BK334" i="2" s="1"/>
  <c r="M333" i="1"/>
  <c r="AI321" i="1"/>
  <c r="AJ321" i="1"/>
  <c r="X321" i="1"/>
  <c r="BF310" i="2"/>
  <c r="BK310" i="2" s="1"/>
  <c r="M309" i="1"/>
  <c r="BF298" i="2"/>
  <c r="BK298" i="2" s="1"/>
  <c r="M297" i="1"/>
  <c r="BF286" i="2"/>
  <c r="BK286" i="2" s="1"/>
  <c r="M285" i="1"/>
  <c r="AI273" i="1"/>
  <c r="X273" i="1"/>
  <c r="AJ273" i="1"/>
  <c r="BF262" i="2"/>
  <c r="BK262" i="2" s="1"/>
  <c r="M261" i="1"/>
  <c r="AI249" i="1"/>
  <c r="AJ249" i="1"/>
  <c r="X249" i="1"/>
  <c r="BF238" i="2"/>
  <c r="BK238" i="2" s="1"/>
  <c r="M237" i="1"/>
  <c r="X225" i="1"/>
  <c r="AI225" i="1"/>
  <c r="AJ225" i="1"/>
  <c r="AI213" i="1"/>
  <c r="AJ213" i="1"/>
  <c r="X213" i="1"/>
  <c r="X201" i="1"/>
  <c r="AJ201" i="1"/>
  <c r="AI201" i="1"/>
  <c r="AI189" i="1"/>
  <c r="X189" i="1"/>
  <c r="AJ189" i="1"/>
  <c r="BF178" i="2"/>
  <c r="BK178" i="2" s="1"/>
  <c r="M177" i="1"/>
  <c r="BF166" i="2"/>
  <c r="BK166" i="2" s="1"/>
  <c r="M165" i="1"/>
  <c r="AJ153" i="1"/>
  <c r="X153" i="1"/>
  <c r="AI153" i="1"/>
  <c r="AI141" i="1"/>
  <c r="X141" i="1"/>
  <c r="AJ141" i="1"/>
  <c r="BF130" i="2"/>
  <c r="BK130" i="2" s="1"/>
  <c r="M129" i="1"/>
  <c r="X117" i="1"/>
  <c r="AJ117" i="1"/>
  <c r="AI117" i="1"/>
  <c r="X105" i="1"/>
  <c r="AJ105" i="1"/>
  <c r="AI105" i="1"/>
  <c r="BF94" i="2"/>
  <c r="BK94" i="2" s="1"/>
  <c r="M93" i="1"/>
  <c r="BF82" i="2"/>
  <c r="BK82" i="2" s="1"/>
  <c r="M81" i="1"/>
  <c r="AI69" i="1"/>
  <c r="X69" i="1"/>
  <c r="AJ69" i="1"/>
  <c r="BF58" i="2"/>
  <c r="BK58" i="2" s="1"/>
  <c r="M57" i="1"/>
  <c r="X45" i="1"/>
  <c r="AI45" i="1"/>
  <c r="AJ45" i="1"/>
  <c r="AI33" i="1"/>
  <c r="X33" i="1"/>
  <c r="AJ33" i="1"/>
  <c r="X21" i="1"/>
  <c r="AI21" i="1"/>
  <c r="AJ21" i="1"/>
  <c r="AJ9" i="1"/>
  <c r="AI9" i="1"/>
  <c r="X9" i="1"/>
  <c r="X580" i="1"/>
  <c r="AJ580" i="1"/>
  <c r="AI580" i="1"/>
  <c r="X448" i="1"/>
  <c r="AI448" i="1"/>
  <c r="AJ448" i="1"/>
  <c r="X148" i="1"/>
  <c r="AI148" i="1"/>
  <c r="AJ148" i="1"/>
  <c r="BF569" i="2"/>
  <c r="BK569" i="2" s="1"/>
  <c r="M568" i="1"/>
  <c r="AJ472" i="1"/>
  <c r="AI472" i="1"/>
  <c r="X472" i="1"/>
  <c r="AJ376" i="1"/>
  <c r="AI376" i="1"/>
  <c r="X376" i="1"/>
  <c r="BF341" i="2"/>
  <c r="BK341" i="2" s="1"/>
  <c r="M340" i="1"/>
  <c r="AI232" i="1"/>
  <c r="X232" i="1"/>
  <c r="AJ232" i="1"/>
  <c r="AI124" i="1"/>
  <c r="AJ124" i="1"/>
  <c r="X124" i="1"/>
  <c r="X28" i="1"/>
  <c r="AJ28" i="1"/>
  <c r="AI28" i="1"/>
  <c r="AJ601" i="1"/>
  <c r="X601" i="1"/>
  <c r="AI601" i="1"/>
  <c r="BF566" i="2"/>
  <c r="BK566" i="2" s="1"/>
  <c r="M565" i="1"/>
  <c r="BF542" i="2"/>
  <c r="BK542" i="2" s="1"/>
  <c r="M541" i="1"/>
  <c r="BF506" i="2"/>
  <c r="BK506" i="2" s="1"/>
  <c r="M505" i="1"/>
  <c r="BF470" i="2"/>
  <c r="BK470" i="2" s="1"/>
  <c r="M469" i="1"/>
  <c r="BF434" i="2"/>
  <c r="BK434" i="2" s="1"/>
  <c r="M433" i="1"/>
  <c r="AI397" i="1"/>
  <c r="X397" i="1"/>
  <c r="AJ397" i="1"/>
  <c r="BF374" i="2"/>
  <c r="BK374" i="2" s="1"/>
  <c r="M373" i="1"/>
  <c r="BF350" i="2"/>
  <c r="BK350" i="2" s="1"/>
  <c r="M349" i="1"/>
  <c r="BF326" i="2"/>
  <c r="BK326" i="2" s="1"/>
  <c r="M325" i="1"/>
  <c r="BF290" i="2"/>
  <c r="BK290" i="2" s="1"/>
  <c r="M289" i="1"/>
  <c r="BF266" i="2"/>
  <c r="BK266" i="2" s="1"/>
  <c r="M265" i="1"/>
  <c r="BF230" i="2"/>
  <c r="BK230" i="2" s="1"/>
  <c r="M229" i="1"/>
  <c r="BF194" i="2"/>
  <c r="BK194" i="2" s="1"/>
  <c r="M193" i="1"/>
  <c r="BF170" i="2"/>
  <c r="BK170" i="2" s="1"/>
  <c r="M169" i="1"/>
  <c r="BF146" i="2"/>
  <c r="BK146" i="2" s="1"/>
  <c r="M145" i="1"/>
  <c r="BF110" i="2"/>
  <c r="BK110" i="2" s="1"/>
  <c r="M109" i="1"/>
  <c r="BF86" i="2"/>
  <c r="BK86" i="2" s="1"/>
  <c r="M85" i="1"/>
  <c r="BF62" i="2"/>
  <c r="BK62" i="2" s="1"/>
  <c r="M61" i="1"/>
  <c r="X13" i="1"/>
  <c r="AI13" i="1"/>
  <c r="AJ13" i="1"/>
  <c r="BF609" i="2"/>
  <c r="BK609" i="2" s="1"/>
  <c r="M608" i="1"/>
  <c r="X584" i="1"/>
  <c r="AI584" i="1"/>
  <c r="AJ584" i="1"/>
  <c r="BF561" i="2"/>
  <c r="BK561" i="2" s="1"/>
  <c r="M560" i="1"/>
  <c r="X524" i="1"/>
  <c r="AI524" i="1"/>
  <c r="AJ524" i="1"/>
  <c r="BF513" i="2"/>
  <c r="BK513" i="2" s="1"/>
  <c r="M512" i="1"/>
  <c r="BF477" i="2"/>
  <c r="BK477" i="2" s="1"/>
  <c r="M476" i="1"/>
  <c r="BF453" i="2"/>
  <c r="BK453" i="2" s="1"/>
  <c r="M452" i="1"/>
  <c r="BF441" i="2"/>
  <c r="BK441" i="2" s="1"/>
  <c r="M440" i="1"/>
  <c r="BF429" i="2"/>
  <c r="BK429" i="2" s="1"/>
  <c r="M428" i="1"/>
  <c r="BF405" i="2"/>
  <c r="BK405" i="2" s="1"/>
  <c r="M404" i="1"/>
  <c r="AJ392" i="1"/>
  <c r="X392" i="1"/>
  <c r="AI392" i="1"/>
  <c r="AJ380" i="1"/>
  <c r="AI380" i="1"/>
  <c r="X380" i="1"/>
  <c r="BF369" i="2"/>
  <c r="BK369" i="2" s="1"/>
  <c r="M368" i="1"/>
  <c r="BF357" i="2"/>
  <c r="BK357" i="2" s="1"/>
  <c r="M356" i="1"/>
  <c r="X344" i="1"/>
  <c r="AI344" i="1"/>
  <c r="AJ344" i="1"/>
  <c r="AJ332" i="1"/>
  <c r="AI332" i="1"/>
  <c r="X332" i="1"/>
  <c r="BF321" i="2"/>
  <c r="BK321" i="2" s="1"/>
  <c r="M320" i="1"/>
  <c r="X308" i="1"/>
  <c r="AJ308" i="1"/>
  <c r="AI308" i="1"/>
  <c r="AI296" i="1"/>
  <c r="X296" i="1"/>
  <c r="AJ296" i="1"/>
  <c r="BF285" i="2"/>
  <c r="BK285" i="2" s="1"/>
  <c r="M284" i="1"/>
  <c r="AI272" i="1"/>
  <c r="X272" i="1"/>
  <c r="AJ272" i="1"/>
  <c r="BF261" i="2"/>
  <c r="BK261" i="2" s="1"/>
  <c r="M260" i="1"/>
  <c r="BF249" i="2"/>
  <c r="BK249" i="2" s="1"/>
  <c r="M248" i="1"/>
  <c r="X236" i="1"/>
  <c r="AJ236" i="1"/>
  <c r="AI236" i="1"/>
  <c r="AI224" i="1"/>
  <c r="AJ224" i="1"/>
  <c r="X224" i="1"/>
  <c r="X212" i="1"/>
  <c r="AI212" i="1"/>
  <c r="AJ212" i="1"/>
  <c r="BF201" i="2"/>
  <c r="BK201" i="2" s="1"/>
  <c r="M200" i="1"/>
  <c r="AI188" i="1"/>
  <c r="AJ188" i="1"/>
  <c r="X188" i="1"/>
  <c r="AI176" i="1"/>
  <c r="AJ176" i="1"/>
  <c r="X176" i="1"/>
  <c r="AJ164" i="1"/>
  <c r="X164" i="1"/>
  <c r="AI164" i="1"/>
  <c r="BF153" i="2"/>
  <c r="BK153" i="2" s="1"/>
  <c r="M152" i="1"/>
  <c r="BF141" i="2"/>
  <c r="BK141" i="2" s="1"/>
  <c r="M140" i="1"/>
  <c r="BF129" i="2"/>
  <c r="BK129" i="2" s="1"/>
  <c r="M128" i="1"/>
  <c r="AJ116" i="1"/>
  <c r="X116" i="1"/>
  <c r="AI116" i="1"/>
  <c r="AI104" i="1"/>
  <c r="X104" i="1"/>
  <c r="AJ104" i="1"/>
  <c r="AI92" i="1"/>
  <c r="X92" i="1"/>
  <c r="AJ92" i="1"/>
  <c r="BF81" i="2"/>
  <c r="BK81" i="2" s="1"/>
  <c r="M80" i="1"/>
  <c r="BF69" i="2"/>
  <c r="BK69" i="2" s="1"/>
  <c r="M68" i="1"/>
  <c r="X56" i="1"/>
  <c r="AI56" i="1"/>
  <c r="AJ56" i="1"/>
  <c r="AI44" i="1"/>
  <c r="X44" i="1"/>
  <c r="AJ44" i="1"/>
  <c r="X32" i="1"/>
  <c r="AJ32" i="1"/>
  <c r="AI32" i="1"/>
  <c r="X20" i="1"/>
  <c r="AI20" i="1"/>
  <c r="AJ20" i="1"/>
  <c r="BF9" i="2"/>
  <c r="BK9" i="2" s="1"/>
  <c r="M8" i="1"/>
  <c r="AI619" i="1"/>
  <c r="AJ619" i="1"/>
  <c r="X619" i="1"/>
  <c r="X607" i="1"/>
  <c r="AJ607" i="1"/>
  <c r="AI607" i="1"/>
  <c r="BF596" i="2"/>
  <c r="BK596" i="2" s="1"/>
  <c r="M595" i="1"/>
  <c r="X583" i="1"/>
  <c r="AJ583" i="1"/>
  <c r="AI583" i="1"/>
  <c r="X571" i="1"/>
  <c r="AJ571" i="1"/>
  <c r="AI571" i="1"/>
  <c r="BF560" i="2"/>
  <c r="BK560" i="2" s="1"/>
  <c r="M559" i="1"/>
  <c r="BF548" i="2"/>
  <c r="BK548" i="2" s="1"/>
  <c r="M547" i="1"/>
  <c r="BF536" i="2"/>
  <c r="BK536" i="2" s="1"/>
  <c r="M535" i="1"/>
  <c r="X523" i="1"/>
  <c r="AI523" i="1"/>
  <c r="AJ523" i="1"/>
  <c r="BF512" i="2"/>
  <c r="BK512" i="2" s="1"/>
  <c r="M511" i="1"/>
  <c r="BF500" i="2"/>
  <c r="BK500" i="2" s="1"/>
  <c r="M499" i="1"/>
  <c r="BF488" i="2"/>
  <c r="BK488" i="2" s="1"/>
  <c r="M487" i="1"/>
  <c r="BF476" i="2"/>
  <c r="BK476" i="2" s="1"/>
  <c r="M475" i="1"/>
  <c r="BF464" i="2"/>
  <c r="BK464" i="2" s="1"/>
  <c r="M463" i="1"/>
  <c r="X451" i="1"/>
  <c r="AI451" i="1"/>
  <c r="AJ451" i="1"/>
  <c r="BF440" i="2"/>
  <c r="BK440" i="2" s="1"/>
  <c r="M439" i="1"/>
  <c r="BF428" i="2"/>
  <c r="BK428" i="2" s="1"/>
  <c r="M427" i="1"/>
  <c r="BF416" i="2"/>
  <c r="BK416" i="2" s="1"/>
  <c r="M415" i="1"/>
  <c r="BF404" i="2"/>
  <c r="BK404" i="2" s="1"/>
  <c r="M403" i="1"/>
  <c r="BF392" i="2"/>
  <c r="BK392" i="2" s="1"/>
  <c r="M391" i="1"/>
  <c r="BF380" i="2"/>
  <c r="BK380" i="2" s="1"/>
  <c r="M379" i="1"/>
  <c r="X367" i="1"/>
  <c r="AI367" i="1"/>
  <c r="AJ367" i="1"/>
  <c r="BF356" i="2"/>
  <c r="BK356" i="2" s="1"/>
  <c r="M355" i="1"/>
  <c r="X343" i="1"/>
  <c r="AJ343" i="1"/>
  <c r="AI343" i="1"/>
  <c r="BF332" i="2"/>
  <c r="BK332" i="2" s="1"/>
  <c r="M331" i="1"/>
  <c r="BF320" i="2"/>
  <c r="BK320" i="2" s="1"/>
  <c r="M319" i="1"/>
  <c r="BF308" i="2"/>
  <c r="BK308" i="2" s="1"/>
  <c r="M307" i="1"/>
  <c r="AJ295" i="1"/>
  <c r="X295" i="1"/>
  <c r="AI295" i="1"/>
  <c r="BF284" i="2"/>
  <c r="BK284" i="2" s="1"/>
  <c r="M283" i="1"/>
  <c r="BF272" i="2"/>
  <c r="BK272" i="2" s="1"/>
  <c r="M271" i="1"/>
  <c r="BF260" i="2"/>
  <c r="BK260" i="2" s="1"/>
  <c r="M259" i="1"/>
  <c r="BF248" i="2"/>
  <c r="BK248" i="2" s="1"/>
  <c r="M247" i="1"/>
  <c r="BF236" i="2"/>
  <c r="BK236" i="2" s="1"/>
  <c r="M235" i="1"/>
  <c r="AI223" i="1"/>
  <c r="X223" i="1"/>
  <c r="AJ223" i="1"/>
  <c r="BF212" i="2"/>
  <c r="BK212" i="2" s="1"/>
  <c r="M211" i="1"/>
  <c r="BF200" i="2"/>
  <c r="BK200" i="2" s="1"/>
  <c r="M199" i="1"/>
  <c r="AI187" i="1"/>
  <c r="X187" i="1"/>
  <c r="AJ187" i="1"/>
  <c r="BF176" i="2"/>
  <c r="BK176" i="2" s="1"/>
  <c r="M175" i="1"/>
  <c r="X163" i="1"/>
  <c r="AJ163" i="1"/>
  <c r="AI163" i="1"/>
  <c r="BF152" i="2"/>
  <c r="BK152" i="2" s="1"/>
  <c r="M151" i="1"/>
  <c r="AI139" i="1"/>
  <c r="AJ139" i="1"/>
  <c r="X139" i="1"/>
  <c r="AI127" i="1"/>
  <c r="X127" i="1"/>
  <c r="AJ127" i="1"/>
  <c r="BF116" i="2"/>
  <c r="BK116" i="2" s="1"/>
  <c r="M115" i="1"/>
  <c r="BF104" i="2"/>
  <c r="BK104" i="2" s="1"/>
  <c r="M103" i="1"/>
  <c r="AI91" i="1"/>
  <c r="X91" i="1"/>
  <c r="AJ91" i="1"/>
  <c r="BF80" i="2"/>
  <c r="BK80" i="2" s="1"/>
  <c r="M79" i="1"/>
  <c r="BF68" i="2"/>
  <c r="BK68" i="2" s="1"/>
  <c r="M67" i="1"/>
  <c r="BF56" i="2"/>
  <c r="BK56" i="2" s="1"/>
  <c r="M55" i="1"/>
  <c r="X43" i="1"/>
  <c r="AJ43" i="1"/>
  <c r="AI43" i="1"/>
  <c r="BF32" i="2"/>
  <c r="BK32" i="2" s="1"/>
  <c r="M31" i="1"/>
  <c r="AJ19" i="1"/>
  <c r="X19" i="1"/>
  <c r="AI19" i="1"/>
  <c r="X7" i="1"/>
  <c r="AI7" i="1"/>
  <c r="AJ7" i="1"/>
  <c r="AI616" i="1"/>
  <c r="AJ616" i="1"/>
  <c r="X616" i="1"/>
  <c r="X532" i="1"/>
  <c r="AI532" i="1"/>
  <c r="AJ532" i="1"/>
  <c r="BF485" i="2"/>
  <c r="BK485" i="2" s="1"/>
  <c r="M484" i="1"/>
  <c r="BF413" i="2"/>
  <c r="BK413" i="2" s="1"/>
  <c r="M412" i="1"/>
  <c r="AI184" i="1"/>
  <c r="AJ184" i="1"/>
  <c r="X184" i="1"/>
  <c r="BF605" i="2"/>
  <c r="BK605" i="2" s="1"/>
  <c r="M604" i="1"/>
  <c r="X496" i="1"/>
  <c r="AJ496" i="1"/>
  <c r="AI496" i="1"/>
  <c r="BF461" i="2"/>
  <c r="BK461" i="2" s="1"/>
  <c r="M460" i="1"/>
  <c r="BF425" i="2"/>
  <c r="BK425" i="2" s="1"/>
  <c r="M424" i="1"/>
  <c r="BF365" i="2"/>
  <c r="BK365" i="2" s="1"/>
  <c r="M364" i="1"/>
  <c r="BF329" i="2"/>
  <c r="BK329" i="2" s="1"/>
  <c r="M328" i="1"/>
  <c r="X280" i="1"/>
  <c r="AJ280" i="1"/>
  <c r="AI280" i="1"/>
  <c r="BF221" i="2"/>
  <c r="BK221" i="2" s="1"/>
  <c r="M220" i="1"/>
  <c r="BF173" i="2"/>
  <c r="BK173" i="2" s="1"/>
  <c r="M172" i="1"/>
  <c r="BF113" i="2"/>
  <c r="BK113" i="2" s="1"/>
  <c r="M112" i="1"/>
  <c r="X64" i="1"/>
  <c r="AI64" i="1"/>
  <c r="AJ64" i="1"/>
  <c r="X4" i="1"/>
  <c r="AI4" i="1"/>
  <c r="AJ4" i="1"/>
  <c r="X577" i="1"/>
  <c r="AJ577" i="1"/>
  <c r="AI577" i="1"/>
  <c r="X529" i="1"/>
  <c r="AI529" i="1"/>
  <c r="AJ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AI385" i="1"/>
  <c r="X385" i="1"/>
  <c r="AJ385" i="1"/>
  <c r="X337" i="1"/>
  <c r="AJ337" i="1"/>
  <c r="AI337" i="1"/>
  <c r="AJ313" i="1"/>
  <c r="X313" i="1"/>
  <c r="AI313" i="1"/>
  <c r="BF278" i="2"/>
  <c r="BK278" i="2" s="1"/>
  <c r="M277" i="1"/>
  <c r="BF254" i="2"/>
  <c r="BK254" i="2" s="1"/>
  <c r="M253" i="1"/>
  <c r="BF218" i="2"/>
  <c r="BK218" i="2" s="1"/>
  <c r="M217" i="1"/>
  <c r="BF182" i="2"/>
  <c r="BK182" i="2" s="1"/>
  <c r="M181" i="1"/>
  <c r="X133" i="1"/>
  <c r="AI133" i="1"/>
  <c r="AJ133" i="1"/>
  <c r="AJ97" i="1"/>
  <c r="X97" i="1"/>
  <c r="AI97" i="1"/>
  <c r="AJ49" i="1"/>
  <c r="X49" i="1"/>
  <c r="AI49" i="1"/>
  <c r="BF26" i="2"/>
  <c r="BK26" i="2" s="1"/>
  <c r="M25" i="1"/>
  <c r="X620" i="1"/>
  <c r="AJ620" i="1"/>
  <c r="AI620" i="1"/>
  <c r="BF597" i="2"/>
  <c r="BK597" i="2" s="1"/>
  <c r="M596" i="1"/>
  <c r="X572" i="1"/>
  <c r="AJ572" i="1"/>
  <c r="AI572" i="1"/>
  <c r="BF549" i="2"/>
  <c r="BK549" i="2" s="1"/>
  <c r="M548" i="1"/>
  <c r="BF537" i="2"/>
  <c r="BK537" i="2" s="1"/>
  <c r="M536" i="1"/>
  <c r="AJ500" i="1"/>
  <c r="X500" i="1"/>
  <c r="AI500" i="1"/>
  <c r="BF489" i="2"/>
  <c r="BK489" i="2" s="1"/>
  <c r="M488" i="1"/>
  <c r="BF465" i="2"/>
  <c r="BK465" i="2" s="1"/>
  <c r="M464" i="1"/>
  <c r="BF417" i="2"/>
  <c r="BK417" i="2" s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BF571" i="2"/>
  <c r="BK571" i="2" s="1"/>
  <c r="M570" i="1"/>
  <c r="BF559" i="2"/>
  <c r="BK559" i="2" s="1"/>
  <c r="M558" i="1"/>
  <c r="BF547" i="2"/>
  <c r="BK547" i="2" s="1"/>
  <c r="M546" i="1"/>
  <c r="AJ534" i="1"/>
  <c r="X534" i="1"/>
  <c r="AI534" i="1"/>
  <c r="BF523" i="2"/>
  <c r="BK523" i="2" s="1"/>
  <c r="M522" i="1"/>
  <c r="AI510" i="1"/>
  <c r="AJ510" i="1"/>
  <c r="X510" i="1"/>
  <c r="BF499" i="2"/>
  <c r="BK499" i="2" s="1"/>
  <c r="M498" i="1"/>
  <c r="BF487" i="2"/>
  <c r="BK487" i="2" s="1"/>
  <c r="M486" i="1"/>
  <c r="BF475" i="2"/>
  <c r="BK475" i="2" s="1"/>
  <c r="M474" i="1"/>
  <c r="BF463" i="2"/>
  <c r="BK463" i="2" s="1"/>
  <c r="M462" i="1"/>
  <c r="BF451" i="2"/>
  <c r="BK451" i="2" s="1"/>
  <c r="M450" i="1"/>
  <c r="AI438" i="1"/>
  <c r="X438" i="1"/>
  <c r="AJ438" i="1"/>
  <c r="BF427" i="2"/>
  <c r="BK427" i="2" s="1"/>
  <c r="M426" i="1"/>
  <c r="BF415" i="2"/>
  <c r="BK415" i="2" s="1"/>
  <c r="M414" i="1"/>
  <c r="BF403" i="2"/>
  <c r="BK403" i="2" s="1"/>
  <c r="M402" i="1"/>
  <c r="AJ390" i="1"/>
  <c r="X390" i="1"/>
  <c r="AI390" i="1"/>
  <c r="X378" i="1"/>
  <c r="AJ378" i="1"/>
  <c r="AI378" i="1"/>
  <c r="BF367" i="2"/>
  <c r="BK367" i="2" s="1"/>
  <c r="M366" i="1"/>
  <c r="BF355" i="2"/>
  <c r="BK355" i="2" s="1"/>
  <c r="M354" i="1"/>
  <c r="X342" i="1"/>
  <c r="AI342" i="1"/>
  <c r="AJ342" i="1"/>
  <c r="BF331" i="2"/>
  <c r="BK331" i="2" s="1"/>
  <c r="M330" i="1"/>
  <c r="BF319" i="2"/>
  <c r="BK319" i="2" s="1"/>
  <c r="M318" i="1"/>
  <c r="AI306" i="1"/>
  <c r="AJ306" i="1"/>
  <c r="X306" i="1"/>
  <c r="BF295" i="2"/>
  <c r="BK295" i="2" s="1"/>
  <c r="M294" i="1"/>
  <c r="AI282" i="1"/>
  <c r="AJ282" i="1"/>
  <c r="X282" i="1"/>
  <c r="BF271" i="2"/>
  <c r="BK271" i="2" s="1"/>
  <c r="M270" i="1"/>
  <c r="BF259" i="2"/>
  <c r="BK259" i="2" s="1"/>
  <c r="M258" i="1"/>
  <c r="AI246" i="1"/>
  <c r="AJ246" i="1"/>
  <c r="X246" i="1"/>
  <c r="AI234" i="1"/>
  <c r="X234" i="1"/>
  <c r="AJ234" i="1"/>
  <c r="BF223" i="2"/>
  <c r="BK223" i="2" s="1"/>
  <c r="M222" i="1"/>
  <c r="BF211" i="2"/>
  <c r="BK211" i="2" s="1"/>
  <c r="M210" i="1"/>
  <c r="BF199" i="2"/>
  <c r="BK199" i="2" s="1"/>
  <c r="M198" i="1"/>
  <c r="AI186" i="1"/>
  <c r="X186" i="1"/>
  <c r="AJ186" i="1"/>
  <c r="BF175" i="2"/>
  <c r="BK175" i="2" s="1"/>
  <c r="M174" i="1"/>
  <c r="AI162" i="1"/>
  <c r="AJ162" i="1"/>
  <c r="X162" i="1"/>
  <c r="AI150" i="1"/>
  <c r="AJ150" i="1"/>
  <c r="X150" i="1"/>
  <c r="AI138" i="1"/>
  <c r="AJ138" i="1"/>
  <c r="X138" i="1"/>
  <c r="X126" i="1"/>
  <c r="AJ126" i="1"/>
  <c r="AI126" i="1"/>
  <c r="BF115" i="2"/>
  <c r="BK115" i="2" s="1"/>
  <c r="M114" i="1"/>
  <c r="BF103" i="2"/>
  <c r="BK103" i="2" s="1"/>
  <c r="M102" i="1"/>
  <c r="AJ90" i="1"/>
  <c r="X90" i="1"/>
  <c r="AI90" i="1"/>
  <c r="AI78" i="1"/>
  <c r="AJ78" i="1"/>
  <c r="X78" i="1"/>
  <c r="AI66" i="1"/>
  <c r="AJ66" i="1"/>
  <c r="X66" i="1"/>
  <c r="X54" i="1"/>
  <c r="AJ54" i="1"/>
  <c r="AI54" i="1"/>
  <c r="BF43" i="2"/>
  <c r="BK43" i="2" s="1"/>
  <c r="M42" i="1"/>
  <c r="AI30" i="1"/>
  <c r="X30" i="1"/>
  <c r="AJ30" i="1"/>
  <c r="BF19" i="2"/>
  <c r="BK19" i="2" s="1"/>
  <c r="M18" i="1"/>
  <c r="X6" i="1"/>
  <c r="AJ6" i="1"/>
  <c r="AI6" i="1"/>
  <c r="BF618" i="2"/>
  <c r="BK618" i="2" s="1"/>
  <c r="M617" i="1"/>
  <c r="BF606" i="2"/>
  <c r="BK606" i="2" s="1"/>
  <c r="M605" i="1"/>
  <c r="AJ593" i="1"/>
  <c r="X593" i="1"/>
  <c r="AI593" i="1"/>
  <c r="BF582" i="2"/>
  <c r="BK582" i="2" s="1"/>
  <c r="M581" i="1"/>
  <c r="BF570" i="2"/>
  <c r="BK570" i="2" s="1"/>
  <c r="M569" i="1"/>
  <c r="AJ557" i="1"/>
  <c r="X557" i="1"/>
  <c r="AI557" i="1"/>
  <c r="AI545" i="1"/>
  <c r="AJ545" i="1"/>
  <c r="X545" i="1"/>
  <c r="BF534" i="2"/>
  <c r="BK534" i="2" s="1"/>
  <c r="M533" i="1"/>
  <c r="X521" i="1"/>
  <c r="AI521" i="1"/>
  <c r="AJ521" i="1"/>
  <c r="BF510" i="2"/>
  <c r="BK510" i="2" s="1"/>
  <c r="M509" i="1"/>
  <c r="BF498" i="2"/>
  <c r="BK498" i="2" s="1"/>
  <c r="M497" i="1"/>
  <c r="X485" i="1"/>
  <c r="AI485" i="1"/>
  <c r="AJ485" i="1"/>
  <c r="BF474" i="2"/>
  <c r="BK474" i="2" s="1"/>
  <c r="M473" i="1"/>
  <c r="AI461" i="1"/>
  <c r="AJ461" i="1"/>
  <c r="X461" i="1"/>
  <c r="BF450" i="2"/>
  <c r="BK450" i="2" s="1"/>
  <c r="M449" i="1"/>
  <c r="X437" i="1"/>
  <c r="AI437" i="1"/>
  <c r="AJ437" i="1"/>
  <c r="X425" i="1"/>
  <c r="AI425" i="1"/>
  <c r="AJ425" i="1"/>
  <c r="AJ413" i="1"/>
  <c r="AI413" i="1"/>
  <c r="X413" i="1"/>
  <c r="AJ401" i="1"/>
  <c r="X401" i="1"/>
  <c r="AI401" i="1"/>
  <c r="BF390" i="2"/>
  <c r="BK390" i="2" s="1"/>
  <c r="M389" i="1"/>
  <c r="BF378" i="2"/>
  <c r="BK378" i="2" s="1"/>
  <c r="M377" i="1"/>
  <c r="BF366" i="2"/>
  <c r="BK366" i="2" s="1"/>
  <c r="M365" i="1"/>
  <c r="BF354" i="2"/>
  <c r="BK354" i="2" s="1"/>
  <c r="M353" i="1"/>
  <c r="BF342" i="2"/>
  <c r="BK342" i="2" s="1"/>
  <c r="M341" i="1"/>
  <c r="BF330" i="2"/>
  <c r="BK330" i="2" s="1"/>
  <c r="M329" i="1"/>
  <c r="BF318" i="2"/>
  <c r="BK318" i="2" s="1"/>
  <c r="M317" i="1"/>
  <c r="X305" i="1"/>
  <c r="AI305" i="1"/>
  <c r="AJ305" i="1"/>
  <c r="AI293" i="1"/>
  <c r="X293" i="1"/>
  <c r="AJ293" i="1"/>
  <c r="BF282" i="2"/>
  <c r="BK282" i="2" s="1"/>
  <c r="M281" i="1"/>
  <c r="AI269" i="1"/>
  <c r="X269" i="1"/>
  <c r="AJ269" i="1"/>
  <c r="AJ257" i="1"/>
  <c r="X257" i="1"/>
  <c r="AI257" i="1"/>
  <c r="BF246" i="2"/>
  <c r="BK246" i="2" s="1"/>
  <c r="M245" i="1"/>
  <c r="X233" i="1"/>
  <c r="AJ233" i="1"/>
  <c r="AI233" i="1"/>
  <c r="BF222" i="2"/>
  <c r="BK222" i="2" s="1"/>
  <c r="M221" i="1"/>
  <c r="BF210" i="2"/>
  <c r="BK210" i="2" s="1"/>
  <c r="M209" i="1"/>
  <c r="AJ197" i="1"/>
  <c r="X197" i="1"/>
  <c r="AI197" i="1"/>
  <c r="AI185" i="1"/>
  <c r="X185" i="1"/>
  <c r="AJ185" i="1"/>
  <c r="AI173" i="1"/>
  <c r="AJ173" i="1"/>
  <c r="X173" i="1"/>
  <c r="BF162" i="2"/>
  <c r="BK162" i="2" s="1"/>
  <c r="M161" i="1"/>
  <c r="BF150" i="2"/>
  <c r="BK150" i="2" s="1"/>
  <c r="M149" i="1"/>
  <c r="AI137" i="1"/>
  <c r="AJ137" i="1"/>
  <c r="X137" i="1"/>
  <c r="BF126" i="2"/>
  <c r="BK126" i="2" s="1"/>
  <c r="M125" i="1"/>
  <c r="AI113" i="1"/>
  <c r="X113" i="1"/>
  <c r="AJ113" i="1"/>
  <c r="AJ101" i="1"/>
  <c r="AI101" i="1"/>
  <c r="X101" i="1"/>
  <c r="BF90" i="2"/>
  <c r="BK90" i="2" s="1"/>
  <c r="M89" i="1"/>
  <c r="X77" i="1"/>
  <c r="AJ77" i="1"/>
  <c r="AI77" i="1"/>
  <c r="BF66" i="2"/>
  <c r="BK66" i="2" s="1"/>
  <c r="M65" i="1"/>
  <c r="BF54" i="2"/>
  <c r="BK54" i="2" s="1"/>
  <c r="M53" i="1"/>
  <c r="AJ41" i="1"/>
  <c r="X41" i="1"/>
  <c r="AI41" i="1"/>
  <c r="BF30" i="2"/>
  <c r="BK30" i="2" s="1"/>
  <c r="M29" i="1"/>
  <c r="X17" i="1"/>
  <c r="AI17" i="1"/>
  <c r="AJ17" i="1"/>
  <c r="AI5" i="1"/>
  <c r="AJ5" i="1"/>
  <c r="X5" i="1"/>
  <c r="BF545" i="2"/>
  <c r="BK545" i="2" s="1"/>
  <c r="M544" i="1"/>
  <c r="AI244" i="1"/>
  <c r="AJ244" i="1"/>
  <c r="X244" i="1"/>
  <c r="BF473" i="2"/>
  <c r="BK473" i="2" s="1"/>
  <c r="BF158" i="2"/>
  <c r="BK158" i="2" s="1"/>
  <c r="BF3" i="2"/>
  <c r="BK3" i="2" s="1"/>
  <c r="BF480" i="2"/>
  <c r="BK480" i="2" s="1"/>
  <c r="BF204" i="2"/>
  <c r="BK204" i="2" s="1"/>
  <c r="BF72" i="2"/>
  <c r="BK72" i="2" s="1"/>
  <c r="BF478" i="2"/>
  <c r="BK478" i="2" s="1"/>
  <c r="BF250" i="2"/>
  <c r="BK250" i="2" s="1"/>
  <c r="BF226" i="2"/>
  <c r="BK226" i="2" s="1"/>
  <c r="BF214" i="2"/>
  <c r="BK214" i="2" s="1"/>
  <c r="BF202" i="2"/>
  <c r="BK202" i="2" s="1"/>
  <c r="BF190" i="2"/>
  <c r="BK190" i="2" s="1"/>
  <c r="BF142" i="2"/>
  <c r="BK142" i="2" s="1"/>
  <c r="BF118" i="2"/>
  <c r="BK118" i="2" s="1"/>
  <c r="BF70" i="2"/>
  <c r="BK70" i="2" s="1"/>
  <c r="BF46" i="2"/>
  <c r="BK46" i="2" s="1"/>
  <c r="BF34" i="2"/>
  <c r="BK34" i="2" s="1"/>
  <c r="BF22" i="2"/>
  <c r="BK22" i="2" s="1"/>
  <c r="BF10" i="2"/>
  <c r="BK10" i="2" s="1"/>
  <c r="BF14" i="2"/>
  <c r="BK14" i="2" s="1"/>
  <c r="BF309" i="2"/>
  <c r="BK309" i="2" s="1"/>
  <c r="BF225" i="2"/>
  <c r="BK225" i="2" s="1"/>
  <c r="BF213" i="2"/>
  <c r="BK213" i="2" s="1"/>
  <c r="BF189" i="2"/>
  <c r="BK189" i="2" s="1"/>
  <c r="BF165" i="2"/>
  <c r="BK165" i="2" s="1"/>
  <c r="BF117" i="2"/>
  <c r="BK117" i="2" s="1"/>
  <c r="BF93" i="2"/>
  <c r="BK93" i="2" s="1"/>
  <c r="BF57" i="2"/>
  <c r="BK57" i="2" s="1"/>
  <c r="BF45" i="2"/>
  <c r="BK45" i="2" s="1"/>
  <c r="BF33" i="2"/>
  <c r="BK33" i="2" s="1"/>
  <c r="BF21" i="2"/>
  <c r="BK21" i="2" s="1"/>
  <c r="BF50" i="2"/>
  <c r="BK50" i="2" s="1"/>
  <c r="BF501" i="2"/>
  <c r="BK501" i="2" s="1"/>
  <c r="BF452" i="2"/>
  <c r="BK452" i="2" s="1"/>
  <c r="BF224" i="2"/>
  <c r="BK224" i="2" s="1"/>
  <c r="BF188" i="2"/>
  <c r="BK188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20" i="2"/>
  <c r="BK20" i="2" s="1"/>
  <c r="BF8" i="2"/>
  <c r="BK8" i="2" s="1"/>
  <c r="BF74" i="2"/>
  <c r="BK74" i="2" s="1"/>
  <c r="BF163" i="2"/>
  <c r="BK163" i="2" s="1"/>
  <c r="BF139" i="2"/>
  <c r="BK139" i="2" s="1"/>
  <c r="BF127" i="2"/>
  <c r="BK127" i="2" s="1"/>
  <c r="BF67" i="2"/>
  <c r="BK67" i="2" s="1"/>
  <c r="BF55" i="2"/>
  <c r="BK55" i="2" s="1"/>
  <c r="BF31" i="2"/>
  <c r="BK31" i="2" s="1"/>
  <c r="BF7" i="2"/>
  <c r="BK7" i="2" s="1"/>
  <c r="BF134" i="2"/>
  <c r="BK134" i="2" s="1"/>
  <c r="BF307" i="2"/>
  <c r="BK307" i="2" s="1"/>
  <c r="BF247" i="2"/>
  <c r="BK247" i="2" s="1"/>
  <c r="BF91" i="2"/>
  <c r="BK91" i="2" s="1"/>
  <c r="BF486" i="2"/>
  <c r="BK486" i="2" s="1"/>
  <c r="BF462" i="2"/>
  <c r="BK462" i="2" s="1"/>
  <c r="BF306" i="2"/>
  <c r="BK306" i="2" s="1"/>
  <c r="BF258" i="2"/>
  <c r="BK258" i="2" s="1"/>
  <c r="BF198" i="2"/>
  <c r="BK198" i="2" s="1"/>
  <c r="BF174" i="2"/>
  <c r="BK174" i="2" s="1"/>
  <c r="BF138" i="2"/>
  <c r="BK138" i="2" s="1"/>
  <c r="BF114" i="2"/>
  <c r="BK114" i="2" s="1"/>
  <c r="BF102" i="2"/>
  <c r="BK102" i="2" s="1"/>
  <c r="BF78" i="2"/>
  <c r="BK78" i="2" s="1"/>
  <c r="BF18" i="2"/>
  <c r="BK18" i="2" s="1"/>
  <c r="BF6" i="2"/>
  <c r="BK6" i="2" s="1"/>
  <c r="BF317" i="2"/>
  <c r="BK317" i="2" s="1"/>
  <c r="BF245" i="2"/>
  <c r="BK245" i="2" s="1"/>
  <c r="BF125" i="2"/>
  <c r="BK125" i="2" s="1"/>
  <c r="BF65" i="2"/>
  <c r="BK65" i="2" s="1"/>
  <c r="BF29" i="2"/>
  <c r="BK29" i="2" s="1"/>
  <c r="BF5" i="2"/>
  <c r="BK5" i="2" s="1"/>
  <c r="BF484" i="2"/>
  <c r="BK484" i="2" s="1"/>
  <c r="BF472" i="2"/>
  <c r="BK472" i="2" s="1"/>
  <c r="BF244" i="2"/>
  <c r="BK244" i="2" s="1"/>
  <c r="BF220" i="2"/>
  <c r="BK220" i="2" s="1"/>
  <c r="BF196" i="2"/>
  <c r="BK196" i="2" s="1"/>
  <c r="BF184" i="2"/>
  <c r="BK184" i="2" s="1"/>
  <c r="BF88" i="2"/>
  <c r="BK88" i="2" s="1"/>
  <c r="BF76" i="2"/>
  <c r="BK76" i="2" s="1"/>
  <c r="BF52" i="2"/>
  <c r="BK52" i="2" s="1"/>
  <c r="BF4" i="2"/>
  <c r="BK4" i="2" s="1"/>
  <c r="BF327" i="2"/>
  <c r="BK327" i="2" s="1"/>
  <c r="BF315" i="2"/>
  <c r="BK315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75" i="2"/>
  <c r="BK75" i="2" s="1"/>
  <c r="BF63" i="2"/>
  <c r="BK63" i="2" s="1"/>
  <c r="BF51" i="2"/>
  <c r="BK51" i="2" s="1"/>
  <c r="BF39" i="2"/>
  <c r="BK39" i="2" s="1"/>
  <c r="BF15" i="2"/>
  <c r="BK15" i="2" s="1"/>
  <c r="BF314" i="2"/>
  <c r="BK314" i="2" s="1"/>
  <c r="BF98" i="2"/>
  <c r="BK98" i="2" s="1"/>
  <c r="BF313" i="2"/>
  <c r="BK313" i="2" s="1"/>
  <c r="BF265" i="2"/>
  <c r="BK265" i="2" s="1"/>
  <c r="BF253" i="2"/>
  <c r="BK253" i="2" s="1"/>
  <c r="BF205" i="2"/>
  <c r="BK205" i="2" s="1"/>
  <c r="BF157" i="2"/>
  <c r="BK157" i="2" s="1"/>
  <c r="BF145" i="2"/>
  <c r="BK145" i="2" s="1"/>
  <c r="BF85" i="2"/>
  <c r="BK85" i="2" s="1"/>
  <c r="BF49" i="2"/>
  <c r="BK49" i="2" s="1"/>
  <c r="BF37" i="2"/>
  <c r="BK37" i="2" s="1"/>
  <c r="BF13" i="2"/>
  <c r="BK13" i="2" s="1"/>
  <c r="BF242" i="2"/>
  <c r="BK242" i="2" s="1"/>
  <c r="BF252" i="2"/>
  <c r="BK252" i="2" s="1"/>
  <c r="BF24" i="2"/>
  <c r="BK24" i="2" s="1"/>
  <c r="BF38" i="2"/>
  <c r="BK38" i="2" s="1"/>
  <c r="BF456" i="2"/>
  <c r="BK456" i="2" s="1"/>
  <c r="BF108" i="2"/>
  <c r="BK108" i="2" s="1"/>
  <c r="BF48" i="2"/>
  <c r="BK48" i="2" s="1"/>
  <c r="BF191" i="2"/>
  <c r="BK191" i="2" s="1"/>
  <c r="BF167" i="2"/>
  <c r="BK167" i="2" s="1"/>
  <c r="BF131" i="2"/>
  <c r="BK131" i="2" s="1"/>
  <c r="BF95" i="2"/>
  <c r="BK95" i="2" s="1"/>
  <c r="BF83" i="2"/>
  <c r="BK83" i="2" s="1"/>
  <c r="BF71" i="2"/>
  <c r="BK71" i="2" s="1"/>
  <c r="BF11" i="2"/>
  <c r="BK11" i="2" s="1"/>
  <c r="BG545" i="2"/>
  <c r="BL545" i="2" s="1"/>
  <c r="BA545" i="2"/>
  <c r="BG472" i="2"/>
  <c r="BL472" i="2" s="1"/>
  <c r="BA472" i="2"/>
  <c r="BA605" i="2"/>
  <c r="BG605" i="2"/>
  <c r="BL605" i="2" s="1"/>
  <c r="BG549" i="2"/>
  <c r="BL549" i="2" s="1"/>
  <c r="BA549" i="2"/>
  <c r="BA200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550" i="2"/>
  <c r="BL550" i="2" s="1"/>
  <c r="BA550" i="2"/>
  <c r="BG257" i="2"/>
  <c r="BL257" i="2" s="1"/>
  <c r="BA257" i="2"/>
  <c r="BG149" i="2"/>
  <c r="BL149" i="2" s="1"/>
  <c r="BA149" i="2"/>
  <c r="BG108" i="2"/>
  <c r="BL108" i="2" s="1"/>
  <c r="BA108" i="2"/>
  <c r="BG510" i="2"/>
  <c r="BL510" i="2" s="1"/>
  <c r="BA510" i="2"/>
  <c r="BA537" i="2"/>
  <c r="BG537" i="2"/>
  <c r="BL537" i="2" s="1"/>
  <c r="BG262" i="2"/>
  <c r="BL262" i="2" s="1"/>
  <c r="BA262" i="2"/>
  <c r="BG589" i="2"/>
  <c r="BL589" i="2" s="1"/>
  <c r="BA589" i="2"/>
  <c r="BG331" i="2"/>
  <c r="BL331" i="2" s="1"/>
  <c r="BA331" i="2"/>
  <c r="BG535" i="2"/>
  <c r="BL535" i="2" s="1"/>
  <c r="BA535" i="2"/>
  <c r="BG423" i="2"/>
  <c r="BL423" i="2" s="1"/>
  <c r="BA423" i="2"/>
  <c r="BA82" i="2"/>
  <c r="BG82" i="2"/>
  <c r="BL82" i="2" s="1"/>
  <c r="BG145" i="2"/>
  <c r="BL145" i="2" s="1"/>
  <c r="BA145" i="2"/>
  <c r="BG267" i="2"/>
  <c r="BL267" i="2" s="1"/>
  <c r="BA267" i="2"/>
  <c r="BG552" i="2"/>
  <c r="BL552" i="2" s="1"/>
  <c r="BA552" i="2"/>
  <c r="BA522" i="2"/>
  <c r="BG522" i="2"/>
  <c r="BL522" i="2" s="1"/>
  <c r="BA450" i="2"/>
  <c r="BG450" i="2"/>
  <c r="BL450" i="2" s="1"/>
  <c r="BG196" i="2"/>
  <c r="BL196" i="2" s="1"/>
  <c r="BA196" i="2"/>
  <c r="BA293" i="2"/>
  <c r="BG293" i="2"/>
  <c r="BL293" i="2" s="1"/>
  <c r="BA354" i="2"/>
  <c r="BG354" i="2"/>
  <c r="BL354" i="2" s="1"/>
  <c r="BA588" i="2"/>
  <c r="BG588" i="2"/>
  <c r="BL588" i="2" s="1"/>
  <c r="BG111" i="2"/>
  <c r="BL111" i="2" s="1"/>
  <c r="BA111" i="2"/>
  <c r="BG125" i="2"/>
  <c r="BL125" i="2" s="1"/>
  <c r="BA125" i="2"/>
  <c r="BA88" i="2"/>
  <c r="BG88" i="2"/>
  <c r="BL88" i="2" s="1"/>
  <c r="BG188" i="2"/>
  <c r="BL188" i="2" s="1"/>
  <c r="BA188" i="2"/>
  <c r="BG306" i="2"/>
  <c r="BL306" i="2" s="1"/>
  <c r="BA306" i="2"/>
  <c r="BA245" i="2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A586" i="2"/>
  <c r="BG586" i="2"/>
  <c r="BL586" i="2" s="1"/>
  <c r="BA568" i="2"/>
  <c r="BG568" i="2"/>
  <c r="BL568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A130" i="2"/>
  <c r="BG130" i="2"/>
  <c r="BL130" i="2" s="1"/>
  <c r="BG366" i="2"/>
  <c r="BL366" i="2" s="1"/>
  <c r="BA366" i="2"/>
  <c r="BA201" i="2"/>
  <c r="BG201" i="2"/>
  <c r="BL201" i="2" s="1"/>
  <c r="BA324" i="2"/>
  <c r="BG324" i="2"/>
  <c r="BL324" i="2" s="1"/>
  <c r="BG608" i="2"/>
  <c r="BL608" i="2" s="1"/>
  <c r="BA608" i="2"/>
  <c r="BG259" i="2"/>
  <c r="BL259" i="2" s="1"/>
  <c r="BA259" i="2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E562" i="2"/>
  <c r="BJ562" i="2" s="1"/>
  <c r="BD562" i="2"/>
  <c r="BI562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46" i="2"/>
  <c r="BJ346" i="2" s="1"/>
  <c r="BD346" i="2"/>
  <c r="BI346" i="2" s="1"/>
  <c r="BE310" i="2"/>
  <c r="BJ310" i="2" s="1"/>
  <c r="BD310" i="2"/>
  <c r="BI310" i="2" s="1"/>
  <c r="BE298" i="2"/>
  <c r="BJ298" i="2" s="1"/>
  <c r="BD298" i="2"/>
  <c r="BI298" i="2" s="1"/>
  <c r="BE286" i="2"/>
  <c r="BJ286" i="2" s="1"/>
  <c r="BD286" i="2"/>
  <c r="BI286" i="2" s="1"/>
  <c r="BE262" i="2"/>
  <c r="BJ262" i="2" s="1"/>
  <c r="BD262" i="2"/>
  <c r="BI262" i="2" s="1"/>
  <c r="BE238" i="2"/>
  <c r="BJ238" i="2" s="1"/>
  <c r="BD238" i="2"/>
  <c r="BI238" i="2" s="1"/>
  <c r="BE178" i="2"/>
  <c r="BJ178" i="2" s="1"/>
  <c r="BD178" i="2"/>
  <c r="BI178" i="2" s="1"/>
  <c r="BD166" i="2"/>
  <c r="BI166" i="2" s="1"/>
  <c r="BE166" i="2"/>
  <c r="BJ166" i="2" s="1"/>
  <c r="BE130" i="2"/>
  <c r="BJ130" i="2" s="1"/>
  <c r="BD130" i="2"/>
  <c r="BI130" i="2" s="1"/>
  <c r="BE94" i="2"/>
  <c r="BJ94" i="2" s="1"/>
  <c r="BD94" i="2"/>
  <c r="BI94" i="2" s="1"/>
  <c r="BE82" i="2"/>
  <c r="BJ82" i="2" s="1"/>
  <c r="BD82" i="2"/>
  <c r="BI82" i="2" s="1"/>
  <c r="BE58" i="2"/>
  <c r="BJ58" i="2" s="1"/>
  <c r="BD58" i="2"/>
  <c r="BI58" i="2" s="1"/>
  <c r="BE598" i="2"/>
  <c r="BJ598" i="2" s="1"/>
  <c r="BD598" i="2"/>
  <c r="BI598" i="2" s="1"/>
  <c r="BE550" i="2"/>
  <c r="BJ550" i="2" s="1"/>
  <c r="BD550" i="2"/>
  <c r="BI550" i="2" s="1"/>
  <c r="BE418" i="2"/>
  <c r="BJ418" i="2" s="1"/>
  <c r="BD418" i="2"/>
  <c r="BI418" i="2" s="1"/>
  <c r="BE394" i="2"/>
  <c r="BJ394" i="2" s="1"/>
  <c r="BD394" i="2"/>
  <c r="BI394" i="2" s="1"/>
  <c r="BD334" i="2"/>
  <c r="BI334" i="2" s="1"/>
  <c r="BE334" i="2"/>
  <c r="BJ334" i="2" s="1"/>
  <c r="BE502" i="2"/>
  <c r="BJ502" i="2" s="1"/>
  <c r="BD502" i="2"/>
  <c r="BI502" i="2" s="1"/>
  <c r="BD603" i="2"/>
  <c r="BI603" i="2" s="1"/>
  <c r="BE603" i="2"/>
  <c r="BJ603" i="2" s="1"/>
  <c r="BE591" i="2"/>
  <c r="BJ591" i="2" s="1"/>
  <c r="BD591" i="2"/>
  <c r="BI591" i="2" s="1"/>
  <c r="BD579" i="2"/>
  <c r="BI579" i="2" s="1"/>
  <c r="BE579" i="2"/>
  <c r="BJ579" i="2" s="1"/>
  <c r="BD567" i="2"/>
  <c r="BI567" i="2" s="1"/>
  <c r="BE567" i="2"/>
  <c r="BJ567" i="2" s="1"/>
  <c r="BE543" i="2"/>
  <c r="BJ543" i="2" s="1"/>
  <c r="BD543" i="2"/>
  <c r="BI543" i="2" s="1"/>
  <c r="BD531" i="2"/>
  <c r="BI531" i="2" s="1"/>
  <c r="BE531" i="2"/>
  <c r="BJ531" i="2" s="1"/>
  <c r="BD519" i="2"/>
  <c r="BI519" i="2" s="1"/>
  <c r="BE519" i="2"/>
  <c r="BJ519" i="2" s="1"/>
  <c r="BD507" i="2"/>
  <c r="BI507" i="2" s="1"/>
  <c r="BE507" i="2"/>
  <c r="BJ507" i="2" s="1"/>
  <c r="BD483" i="2"/>
  <c r="BI483" i="2" s="1"/>
  <c r="BE483" i="2"/>
  <c r="BJ483" i="2" s="1"/>
  <c r="BD471" i="2"/>
  <c r="BI471" i="2" s="1"/>
  <c r="BE471" i="2"/>
  <c r="BJ471" i="2" s="1"/>
  <c r="BE459" i="2"/>
  <c r="BJ459" i="2" s="1"/>
  <c r="BD459" i="2"/>
  <c r="BI459" i="2" s="1"/>
  <c r="BD447" i="2"/>
  <c r="BI447" i="2" s="1"/>
  <c r="BE447" i="2"/>
  <c r="BJ447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375" i="2"/>
  <c r="BJ375" i="2" s="1"/>
  <c r="BD375" i="2"/>
  <c r="BI375" i="2" s="1"/>
  <c r="BE267" i="2"/>
  <c r="BJ267" i="2" s="1"/>
  <c r="BD267" i="2"/>
  <c r="BI267" i="2" s="1"/>
  <c r="BE255" i="2"/>
  <c r="BJ255" i="2" s="1"/>
  <c r="BD255" i="2"/>
  <c r="BI255" i="2" s="1"/>
  <c r="BE243" i="2"/>
  <c r="BJ243" i="2" s="1"/>
  <c r="BD243" i="2"/>
  <c r="BI243" i="2" s="1"/>
  <c r="BE231" i="2"/>
  <c r="BJ231" i="2" s="1"/>
  <c r="BD231" i="2"/>
  <c r="BI231" i="2" s="1"/>
  <c r="BE219" i="2"/>
  <c r="BJ219" i="2" s="1"/>
  <c r="BD219" i="2"/>
  <c r="BI219" i="2" s="1"/>
  <c r="BE207" i="2"/>
  <c r="BJ207" i="2" s="1"/>
  <c r="BD207" i="2"/>
  <c r="BI207" i="2" s="1"/>
  <c r="BE171" i="2"/>
  <c r="BJ171" i="2" s="1"/>
  <c r="BD171" i="2"/>
  <c r="BI171" i="2" s="1"/>
  <c r="BE159" i="2"/>
  <c r="BJ159" i="2" s="1"/>
  <c r="BD159" i="2"/>
  <c r="BI159" i="2" s="1"/>
  <c r="BE147" i="2"/>
  <c r="BJ147" i="2" s="1"/>
  <c r="BD147" i="2"/>
  <c r="BI147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13" i="2"/>
  <c r="BJ613" i="2" s="1"/>
  <c r="BD613" i="2"/>
  <c r="BI613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81" i="2"/>
  <c r="BJ481" i="2" s="1"/>
  <c r="BD481" i="2"/>
  <c r="BI481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85" i="2"/>
  <c r="BJ385" i="2" s="1"/>
  <c r="BD385" i="2"/>
  <c r="BI385" i="2" s="1"/>
  <c r="BE373" i="2"/>
  <c r="BJ373" i="2" s="1"/>
  <c r="BD373" i="2"/>
  <c r="BI373" i="2" s="1"/>
  <c r="BE361" i="2"/>
  <c r="BJ361" i="2" s="1"/>
  <c r="BD361" i="2"/>
  <c r="BI361" i="2" s="1"/>
  <c r="BE337" i="2"/>
  <c r="BJ337" i="2" s="1"/>
  <c r="BD337" i="2"/>
  <c r="BI337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33" i="2"/>
  <c r="BJ133" i="2" s="1"/>
  <c r="BD133" i="2"/>
  <c r="BI133" i="2" s="1"/>
  <c r="BD121" i="2"/>
  <c r="BI121" i="2" s="1"/>
  <c r="BE121" i="2"/>
  <c r="BJ121" i="2" s="1"/>
  <c r="BE109" i="2"/>
  <c r="BJ109" i="2" s="1"/>
  <c r="BD109" i="2"/>
  <c r="BI109" i="2" s="1"/>
  <c r="BE97" i="2"/>
  <c r="BJ97" i="2" s="1"/>
  <c r="BD97" i="2"/>
  <c r="BI97" i="2" s="1"/>
  <c r="BE73" i="2"/>
  <c r="BJ73" i="2" s="1"/>
  <c r="BD73" i="2"/>
  <c r="BI73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52" i="2"/>
  <c r="BJ552" i="2" s="1"/>
  <c r="BD552" i="2"/>
  <c r="BI552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492" i="2"/>
  <c r="BJ492" i="2" s="1"/>
  <c r="BD492" i="2"/>
  <c r="BI492" i="2" s="1"/>
  <c r="BE468" i="2"/>
  <c r="BJ468" i="2" s="1"/>
  <c r="BD468" i="2"/>
  <c r="BI468" i="2" s="1"/>
  <c r="BE408" i="2"/>
  <c r="BJ408" i="2" s="1"/>
  <c r="BD408" i="2"/>
  <c r="BI408" i="2" s="1"/>
  <c r="BE396" i="2"/>
  <c r="BJ396" i="2" s="1"/>
  <c r="BD396" i="2"/>
  <c r="BI396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312" i="2"/>
  <c r="BJ312" i="2" s="1"/>
  <c r="BD312" i="2"/>
  <c r="BI312" i="2" s="1"/>
  <c r="BE288" i="2"/>
  <c r="BJ288" i="2" s="1"/>
  <c r="BD288" i="2"/>
  <c r="BI288" i="2" s="1"/>
  <c r="BE264" i="2"/>
  <c r="BJ264" i="2" s="1"/>
  <c r="BD264" i="2"/>
  <c r="BI264" i="2" s="1"/>
  <c r="BE240" i="2"/>
  <c r="BJ240" i="2" s="1"/>
  <c r="BD240" i="2"/>
  <c r="BI240" i="2" s="1"/>
  <c r="BE228" i="2"/>
  <c r="BJ228" i="2" s="1"/>
  <c r="BD228" i="2"/>
  <c r="BI228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500" i="2"/>
  <c r="BJ500" i="2" s="1"/>
  <c r="BD500" i="2"/>
  <c r="BI500" i="2" s="1"/>
  <c r="BE488" i="2"/>
  <c r="BJ488" i="2" s="1"/>
  <c r="BD488" i="2"/>
  <c r="BI488" i="2" s="1"/>
  <c r="BE476" i="2"/>
  <c r="BJ476" i="2" s="1"/>
  <c r="BD476" i="2"/>
  <c r="BI476" i="2" s="1"/>
  <c r="BE464" i="2"/>
  <c r="BJ464" i="2" s="1"/>
  <c r="BD464" i="2"/>
  <c r="BI464" i="2" s="1"/>
  <c r="BE440" i="2"/>
  <c r="BJ440" i="2" s="1"/>
  <c r="BD440" i="2"/>
  <c r="BI440" i="2" s="1"/>
  <c r="BE428" i="2"/>
  <c r="BJ428" i="2" s="1"/>
  <c r="BD428" i="2"/>
  <c r="BI428" i="2" s="1"/>
  <c r="BE416" i="2"/>
  <c r="BJ416" i="2" s="1"/>
  <c r="BD416" i="2"/>
  <c r="BI416" i="2" s="1"/>
  <c r="BE404" i="2"/>
  <c r="BJ404" i="2" s="1"/>
  <c r="BD404" i="2"/>
  <c r="BI404" i="2" s="1"/>
  <c r="BE392" i="2"/>
  <c r="BJ392" i="2" s="1"/>
  <c r="BD392" i="2"/>
  <c r="BI392" i="2" s="1"/>
  <c r="BE380" i="2"/>
  <c r="BJ380" i="2" s="1"/>
  <c r="BD380" i="2"/>
  <c r="BI380" i="2" s="1"/>
  <c r="BD356" i="2"/>
  <c r="BI356" i="2" s="1"/>
  <c r="BE356" i="2"/>
  <c r="BJ356" i="2" s="1"/>
  <c r="BE332" i="2"/>
  <c r="BJ332" i="2" s="1"/>
  <c r="BD332" i="2"/>
  <c r="BI332" i="2" s="1"/>
  <c r="BE320" i="2"/>
  <c r="BJ320" i="2" s="1"/>
  <c r="BD320" i="2"/>
  <c r="BI320" i="2" s="1"/>
  <c r="BE308" i="2"/>
  <c r="BJ308" i="2" s="1"/>
  <c r="BD308" i="2"/>
  <c r="BI308" i="2" s="1"/>
  <c r="BD284" i="2"/>
  <c r="BI284" i="2" s="1"/>
  <c r="BE284" i="2"/>
  <c r="BJ284" i="2" s="1"/>
  <c r="BD272" i="2"/>
  <c r="BI272" i="2" s="1"/>
  <c r="BE272" i="2"/>
  <c r="BJ272" i="2" s="1"/>
  <c r="BE260" i="2"/>
  <c r="BJ260" i="2" s="1"/>
  <c r="BD260" i="2"/>
  <c r="BI260" i="2" s="1"/>
  <c r="BD248" i="2"/>
  <c r="BI248" i="2" s="1"/>
  <c r="BE248" i="2"/>
  <c r="BJ248" i="2" s="1"/>
  <c r="BE236" i="2"/>
  <c r="BJ236" i="2" s="1"/>
  <c r="BD236" i="2"/>
  <c r="BI236" i="2" s="1"/>
  <c r="BD212" i="2"/>
  <c r="BI212" i="2" s="1"/>
  <c r="BE212" i="2"/>
  <c r="BJ212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E116" i="2"/>
  <c r="BJ116" i="2" s="1"/>
  <c r="BD116" i="2"/>
  <c r="BI116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E56" i="2"/>
  <c r="BJ56" i="2" s="1"/>
  <c r="BD56" i="2"/>
  <c r="BI56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413" i="2"/>
  <c r="BJ413" i="2" s="1"/>
  <c r="BD413" i="2"/>
  <c r="BI413" i="2" s="1"/>
  <c r="BE389" i="2"/>
  <c r="BJ389" i="2" s="1"/>
  <c r="BD389" i="2"/>
  <c r="BI389" i="2" s="1"/>
  <c r="BE365" i="2"/>
  <c r="BJ365" i="2" s="1"/>
  <c r="BD365" i="2"/>
  <c r="BI365" i="2" s="1"/>
  <c r="BE353" i="2"/>
  <c r="BJ353" i="2" s="1"/>
  <c r="BD353" i="2"/>
  <c r="BI353" i="2" s="1"/>
  <c r="BE341" i="2"/>
  <c r="BJ341" i="2" s="1"/>
  <c r="BD341" i="2"/>
  <c r="BI341" i="2" s="1"/>
  <c r="BE329" i="2"/>
  <c r="BJ329" i="2" s="1"/>
  <c r="BD329" i="2"/>
  <c r="BI329" i="2" s="1"/>
  <c r="BE305" i="2"/>
  <c r="BJ305" i="2" s="1"/>
  <c r="BD305" i="2"/>
  <c r="BI305" i="2" s="1"/>
  <c r="BE293" i="2"/>
  <c r="BJ293" i="2" s="1"/>
  <c r="BD293" i="2"/>
  <c r="BI293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97" i="2"/>
  <c r="BJ197" i="2" s="1"/>
  <c r="BD197" i="2"/>
  <c r="BI197" i="2" s="1"/>
  <c r="BE173" i="2"/>
  <c r="BJ173" i="2" s="1"/>
  <c r="BD173" i="2"/>
  <c r="BI173" i="2" s="1"/>
  <c r="BD161" i="2"/>
  <c r="BI161" i="2" s="1"/>
  <c r="BE161" i="2"/>
  <c r="BJ161" i="2" s="1"/>
  <c r="BE137" i="2"/>
  <c r="BJ137" i="2" s="1"/>
  <c r="BD137" i="2"/>
  <c r="BI137" i="2" s="1"/>
  <c r="BE113" i="2"/>
  <c r="BJ113" i="2" s="1"/>
  <c r="BD113" i="2"/>
  <c r="BI113" i="2" s="1"/>
  <c r="BE101" i="2"/>
  <c r="BJ101" i="2" s="1"/>
  <c r="BD101" i="2"/>
  <c r="BI101" i="2" s="1"/>
  <c r="BE89" i="2"/>
  <c r="BJ89" i="2" s="1"/>
  <c r="BD89" i="2"/>
  <c r="BI89" i="2" s="1"/>
  <c r="BE77" i="2"/>
  <c r="BJ77" i="2" s="1"/>
  <c r="BD77" i="2"/>
  <c r="BI77" i="2" s="1"/>
  <c r="BE53" i="2"/>
  <c r="BJ53" i="2" s="1"/>
  <c r="BD53" i="2"/>
  <c r="BI53" i="2" s="1"/>
  <c r="BD17" i="2"/>
  <c r="BI17" i="2" s="1"/>
  <c r="BE17" i="2"/>
  <c r="BJ17" i="2" s="1"/>
  <c r="BE616" i="2"/>
  <c r="BJ616" i="2" s="1"/>
  <c r="BD616" i="2"/>
  <c r="BI616" i="2" s="1"/>
  <c r="BE592" i="2"/>
  <c r="BJ592" i="2" s="1"/>
  <c r="BD592" i="2"/>
  <c r="BI592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400" i="2"/>
  <c r="BJ400" i="2" s="1"/>
  <c r="BD400" i="2"/>
  <c r="BI400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D554" i="2"/>
  <c r="BI554" i="2" s="1"/>
  <c r="BE554" i="2"/>
  <c r="BJ554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70" i="2"/>
  <c r="BI470" i="2" s="1"/>
  <c r="BE470" i="2"/>
  <c r="BJ470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D350" i="2"/>
  <c r="BI350" i="2" s="1"/>
  <c r="BE350" i="2"/>
  <c r="BJ350" i="2" s="1"/>
  <c r="BE326" i="2"/>
  <c r="BJ326" i="2" s="1"/>
  <c r="BD326" i="2"/>
  <c r="BI326" i="2" s="1"/>
  <c r="BE290" i="2"/>
  <c r="BJ290" i="2" s="1"/>
  <c r="BD290" i="2"/>
  <c r="BI290" i="2" s="1"/>
  <c r="BE278" i="2"/>
  <c r="BJ278" i="2" s="1"/>
  <c r="BD278" i="2"/>
  <c r="BI278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18" i="2"/>
  <c r="BJ218" i="2" s="1"/>
  <c r="BD218" i="2"/>
  <c r="BI218" i="2" s="1"/>
  <c r="BE206" i="2"/>
  <c r="BJ206" i="2" s="1"/>
  <c r="BD206" i="2"/>
  <c r="BI206" i="2" s="1"/>
  <c r="BE194" i="2"/>
  <c r="BJ194" i="2" s="1"/>
  <c r="BD194" i="2"/>
  <c r="BI194" i="2" s="1"/>
  <c r="BE182" i="2"/>
  <c r="BJ182" i="2" s="1"/>
  <c r="BD182" i="2"/>
  <c r="BI182" i="2" s="1"/>
  <c r="BE170" i="2"/>
  <c r="BJ170" i="2" s="1"/>
  <c r="BD170" i="2"/>
  <c r="BI170" i="2" s="1"/>
  <c r="BE146" i="2"/>
  <c r="BJ146" i="2" s="1"/>
  <c r="BD146" i="2"/>
  <c r="BI146" i="2" s="1"/>
  <c r="BE122" i="2"/>
  <c r="BJ122" i="2" s="1"/>
  <c r="BD122" i="2"/>
  <c r="BI122" i="2" s="1"/>
  <c r="BE110" i="2"/>
  <c r="BJ110" i="2" s="1"/>
  <c r="BD110" i="2"/>
  <c r="BI110" i="2" s="1"/>
  <c r="BE86" i="2"/>
  <c r="BJ86" i="2" s="1"/>
  <c r="BD86" i="2"/>
  <c r="BI86" i="2" s="1"/>
  <c r="BE62" i="2"/>
  <c r="BJ62" i="2" s="1"/>
  <c r="BD62" i="2"/>
  <c r="BI62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56" i="2"/>
  <c r="BJ156" i="2" s="1"/>
  <c r="BD156" i="2"/>
  <c r="BI156" i="2" s="1"/>
  <c r="BE144" i="2"/>
  <c r="BJ144" i="2" s="1"/>
  <c r="BD144" i="2"/>
  <c r="BI144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99" i="2"/>
  <c r="BJ599" i="2" s="1"/>
  <c r="BD599" i="2"/>
  <c r="BI599" i="2" s="1"/>
  <c r="BE587" i="2"/>
  <c r="BJ587" i="2" s="1"/>
  <c r="BD587" i="2"/>
  <c r="BI587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27" i="2"/>
  <c r="BJ527" i="2" s="1"/>
  <c r="BD527" i="2"/>
  <c r="BI527" i="2" s="1"/>
  <c r="BE515" i="2"/>
  <c r="BJ515" i="2" s="1"/>
  <c r="BD515" i="2"/>
  <c r="BI515" i="2" s="1"/>
  <c r="BE503" i="2"/>
  <c r="BJ503" i="2" s="1"/>
  <c r="BD503" i="2"/>
  <c r="BI503" i="2" s="1"/>
  <c r="BE479" i="2"/>
  <c r="BJ479" i="2" s="1"/>
  <c r="BD479" i="2"/>
  <c r="BI479" i="2" s="1"/>
  <c r="BE467" i="2"/>
  <c r="BJ467" i="2" s="1"/>
  <c r="BD467" i="2"/>
  <c r="BI467" i="2" s="1"/>
  <c r="BE455" i="2"/>
  <c r="BJ455" i="2" s="1"/>
  <c r="BD455" i="2"/>
  <c r="BI455" i="2" s="1"/>
  <c r="BE443" i="2"/>
  <c r="BJ443" i="2" s="1"/>
  <c r="BD443" i="2"/>
  <c r="BI443" i="2" s="1"/>
  <c r="BE419" i="2"/>
  <c r="BJ419" i="2" s="1"/>
  <c r="BD419" i="2"/>
  <c r="BI419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D606" i="2"/>
  <c r="BI606" i="2" s="1"/>
  <c r="BE606" i="2"/>
  <c r="BJ606" i="2" s="1"/>
  <c r="BE582" i="2"/>
  <c r="BJ582" i="2" s="1"/>
  <c r="BD582" i="2"/>
  <c r="BI582" i="2" s="1"/>
  <c r="BE570" i="2"/>
  <c r="BJ570" i="2" s="1"/>
  <c r="BD570" i="2"/>
  <c r="BI570" i="2" s="1"/>
  <c r="BE534" i="2"/>
  <c r="BJ534" i="2" s="1"/>
  <c r="BD534" i="2"/>
  <c r="BI534" i="2" s="1"/>
  <c r="BE510" i="2"/>
  <c r="BJ510" i="2" s="1"/>
  <c r="BD510" i="2"/>
  <c r="BI51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78" i="2"/>
  <c r="BJ378" i="2" s="1"/>
  <c r="BD378" i="2"/>
  <c r="BI378" i="2" s="1"/>
  <c r="BE366" i="2"/>
  <c r="BJ366" i="2" s="1"/>
  <c r="BD366" i="2"/>
  <c r="BI366" i="2" s="1"/>
  <c r="BE354" i="2"/>
  <c r="BJ354" i="2" s="1"/>
  <c r="BD354" i="2"/>
  <c r="BI354" i="2" s="1"/>
  <c r="BE342" i="2"/>
  <c r="BJ342" i="2" s="1"/>
  <c r="BD342" i="2"/>
  <c r="BI342" i="2" s="1"/>
  <c r="BE330" i="2"/>
  <c r="BJ330" i="2" s="1"/>
  <c r="BD330" i="2"/>
  <c r="BI330" i="2" s="1"/>
  <c r="BE318" i="2"/>
  <c r="BJ318" i="2" s="1"/>
  <c r="BD318" i="2"/>
  <c r="BI318" i="2" s="1"/>
  <c r="BE282" i="2"/>
  <c r="BJ282" i="2" s="1"/>
  <c r="BD282" i="2"/>
  <c r="BI282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150" i="2"/>
  <c r="BJ150" i="2" s="1"/>
  <c r="BD150" i="2"/>
  <c r="BI150" i="2" s="1"/>
  <c r="BE126" i="2"/>
  <c r="BJ126" i="2" s="1"/>
  <c r="BD126" i="2"/>
  <c r="BI126" i="2" s="1"/>
  <c r="BE90" i="2"/>
  <c r="BJ90" i="2" s="1"/>
  <c r="BD90" i="2"/>
  <c r="BI90" i="2" s="1"/>
  <c r="BE66" i="2"/>
  <c r="BJ66" i="2" s="1"/>
  <c r="BD66" i="2"/>
  <c r="BI66" i="2" s="1"/>
  <c r="BE54" i="2"/>
  <c r="BJ54" i="2" s="1"/>
  <c r="BD54" i="2"/>
  <c r="BI54" i="2" s="1"/>
  <c r="BE340" i="2"/>
  <c r="BJ340" i="2" s="1"/>
  <c r="BD340" i="2"/>
  <c r="BI340" i="2" s="1"/>
  <c r="BE328" i="2"/>
  <c r="BJ328" i="2" s="1"/>
  <c r="BD328" i="2"/>
  <c r="BI328" i="2" s="1"/>
  <c r="BE316" i="2"/>
  <c r="BJ316" i="2" s="1"/>
  <c r="BD316" i="2"/>
  <c r="BI316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47" i="2"/>
  <c r="BJ347" i="2" s="1"/>
  <c r="BD347" i="2"/>
  <c r="BI347" i="2" s="1"/>
  <c r="BE335" i="2"/>
  <c r="BJ335" i="2" s="1"/>
  <c r="BD335" i="2"/>
  <c r="BI335" i="2" s="1"/>
  <c r="BE311" i="2"/>
  <c r="BJ311" i="2" s="1"/>
  <c r="BD311" i="2"/>
  <c r="BI311" i="2" s="1"/>
  <c r="BE287" i="2"/>
  <c r="BJ287" i="2" s="1"/>
  <c r="BD287" i="2"/>
  <c r="BI287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15" i="2"/>
  <c r="BJ215" i="2" s="1"/>
  <c r="BD215" i="2"/>
  <c r="BI215" i="2" s="1"/>
  <c r="BE203" i="2"/>
  <c r="BJ203" i="2" s="1"/>
  <c r="BD203" i="2"/>
  <c r="BI203" i="2" s="1"/>
  <c r="BE155" i="2"/>
  <c r="BJ155" i="2" s="1"/>
  <c r="BD155" i="2"/>
  <c r="BI155" i="2" s="1"/>
  <c r="BE143" i="2"/>
  <c r="BJ143" i="2" s="1"/>
  <c r="BD143" i="2"/>
  <c r="BI143" i="2" s="1"/>
  <c r="BE119" i="2"/>
  <c r="BJ119" i="2" s="1"/>
  <c r="BD119" i="2"/>
  <c r="BI119" i="2" s="1"/>
  <c r="BE107" i="2"/>
  <c r="BJ107" i="2" s="1"/>
  <c r="BD107" i="2"/>
  <c r="BI107" i="2" s="1"/>
  <c r="BE59" i="2"/>
  <c r="BJ59" i="2" s="1"/>
  <c r="BD59" i="2"/>
  <c r="BI59" i="2" s="1"/>
  <c r="BD47" i="2"/>
  <c r="BI47" i="2" s="1"/>
  <c r="BE47" i="2"/>
  <c r="BJ47" i="2" s="1"/>
  <c r="BE35" i="2"/>
  <c r="BJ35" i="2" s="1"/>
  <c r="BD35" i="2"/>
  <c r="BI35" i="2" s="1"/>
  <c r="BE23" i="2"/>
  <c r="BJ23" i="2" s="1"/>
  <c r="BD23" i="2"/>
  <c r="BI23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513" i="2"/>
  <c r="BJ513" i="2" s="1"/>
  <c r="BD513" i="2"/>
  <c r="BI513" i="2" s="1"/>
  <c r="BE489" i="2"/>
  <c r="BJ489" i="2" s="1"/>
  <c r="BD489" i="2"/>
  <c r="BI489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429" i="2"/>
  <c r="BJ429" i="2" s="1"/>
  <c r="BD429" i="2"/>
  <c r="BI429" i="2" s="1"/>
  <c r="BE417" i="2"/>
  <c r="BJ417" i="2" s="1"/>
  <c r="BD417" i="2"/>
  <c r="BI417" i="2" s="1"/>
  <c r="BE405" i="2"/>
  <c r="BJ405" i="2" s="1"/>
  <c r="BD405" i="2"/>
  <c r="BI405" i="2" s="1"/>
  <c r="BE369" i="2"/>
  <c r="BJ369" i="2" s="1"/>
  <c r="BD369" i="2"/>
  <c r="BI369" i="2" s="1"/>
  <c r="BE357" i="2"/>
  <c r="BJ357" i="2" s="1"/>
  <c r="BD357" i="2"/>
  <c r="BI357" i="2" s="1"/>
  <c r="BE321" i="2"/>
  <c r="BJ321" i="2" s="1"/>
  <c r="BD321" i="2"/>
  <c r="BI321" i="2" s="1"/>
  <c r="BE285" i="2"/>
  <c r="BJ285" i="2" s="1"/>
  <c r="BD285" i="2"/>
  <c r="BI285" i="2" s="1"/>
  <c r="BE261" i="2"/>
  <c r="BJ261" i="2" s="1"/>
  <c r="BD261" i="2"/>
  <c r="BI261" i="2" s="1"/>
  <c r="BE249" i="2"/>
  <c r="BJ249" i="2" s="1"/>
  <c r="BD249" i="2"/>
  <c r="BI249" i="2" s="1"/>
  <c r="BE201" i="2"/>
  <c r="BJ201" i="2" s="1"/>
  <c r="BD201" i="2"/>
  <c r="BI201" i="2" s="1"/>
  <c r="BE153" i="2"/>
  <c r="BJ153" i="2" s="1"/>
  <c r="BD153" i="2"/>
  <c r="BI153" i="2" s="1"/>
  <c r="BE141" i="2"/>
  <c r="BJ141" i="2" s="1"/>
  <c r="BD141" i="2"/>
  <c r="BI141" i="2" s="1"/>
  <c r="BE129" i="2"/>
  <c r="BJ129" i="2" s="1"/>
  <c r="BD129" i="2"/>
  <c r="BI129" i="2" s="1"/>
  <c r="BE81" i="2"/>
  <c r="BJ81" i="2" s="1"/>
  <c r="BD81" i="2"/>
  <c r="BI81" i="2" s="1"/>
  <c r="BE69" i="2"/>
  <c r="BJ69" i="2" s="1"/>
  <c r="BD69" i="2"/>
  <c r="BI6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E571" i="2"/>
  <c r="BJ571" i="2" s="1"/>
  <c r="BD571" i="2"/>
  <c r="BI571" i="2" s="1"/>
  <c r="BD559" i="2"/>
  <c r="BI559" i="2" s="1"/>
  <c r="BE559" i="2"/>
  <c r="BJ559" i="2" s="1"/>
  <c r="BE547" i="2"/>
  <c r="BJ547" i="2" s="1"/>
  <c r="BD547" i="2"/>
  <c r="BI547" i="2" s="1"/>
  <c r="BE523" i="2"/>
  <c r="BJ523" i="2" s="1"/>
  <c r="BD523" i="2"/>
  <c r="BI523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63" i="2"/>
  <c r="BJ463" i="2" s="1"/>
  <c r="BD463" i="2"/>
  <c r="BI463" i="2" s="1"/>
  <c r="BE451" i="2"/>
  <c r="BJ451" i="2" s="1"/>
  <c r="BD451" i="2"/>
  <c r="BI451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D367" i="2"/>
  <c r="BI367" i="2" s="1"/>
  <c r="BE367" i="2"/>
  <c r="BJ367" i="2" s="1"/>
  <c r="BE355" i="2"/>
  <c r="BJ355" i="2" s="1"/>
  <c r="BD355" i="2"/>
  <c r="BI355" i="2" s="1"/>
  <c r="BE331" i="2"/>
  <c r="BJ331" i="2" s="1"/>
  <c r="BD331" i="2"/>
  <c r="BI331" i="2" s="1"/>
  <c r="BD319" i="2"/>
  <c r="BI319" i="2" s="1"/>
  <c r="BE319" i="2"/>
  <c r="BJ319" i="2" s="1"/>
  <c r="BE295" i="2"/>
  <c r="BJ295" i="2" s="1"/>
  <c r="BD295" i="2"/>
  <c r="BI295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211" i="2"/>
  <c r="BJ211" i="2" s="1"/>
  <c r="BD211" i="2"/>
  <c r="BI211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30" i="2"/>
  <c r="BJ30" i="2" s="1"/>
  <c r="BD30" i="2"/>
  <c r="BI30" i="2" s="1"/>
  <c r="BE43" i="2"/>
  <c r="BJ43" i="2" s="1"/>
  <c r="BD43" i="2"/>
  <c r="BI43" i="2" s="1"/>
  <c r="BE19" i="2"/>
  <c r="BJ19" i="2" s="1"/>
  <c r="BD19" i="2"/>
  <c r="BI19" i="2" s="1"/>
  <c r="AL273" i="2"/>
  <c r="AL556" i="2"/>
  <c r="AL171" i="2"/>
  <c r="AL539" i="2"/>
  <c r="AL553" i="2"/>
  <c r="AK420" i="2"/>
  <c r="AZ420" i="2" s="1"/>
  <c r="AL579" i="2"/>
  <c r="AL526" i="2"/>
  <c r="AJ615" i="2"/>
  <c r="AK299" i="2"/>
  <c r="AL216" i="2"/>
  <c r="AL513" i="2"/>
  <c r="AL480" i="2"/>
  <c r="AL358" i="2"/>
  <c r="AL90" i="2"/>
  <c r="AK511" i="2"/>
  <c r="AZ511" i="2" s="1"/>
  <c r="AL178" i="2"/>
  <c r="AK425" i="2"/>
  <c r="AJ273" i="2"/>
  <c r="AL46" i="2"/>
  <c r="AK535" i="2"/>
  <c r="AZ535" i="2" s="1"/>
  <c r="AK437" i="2"/>
  <c r="AZ437" i="2" s="1"/>
  <c r="AL204" i="2"/>
  <c r="AL594" i="2"/>
  <c r="AL181" i="2"/>
  <c r="AL575" i="2"/>
  <c r="AK468" i="2"/>
  <c r="AZ468" i="2" s="1"/>
  <c r="AL504" i="2"/>
  <c r="AL132" i="2"/>
  <c r="AK454" i="2"/>
  <c r="AZ454" i="2" s="1"/>
  <c r="AL475" i="2"/>
  <c r="AK22" i="2"/>
  <c r="AZ22" i="2" s="1"/>
  <c r="AK77" i="2"/>
  <c r="AZ77" i="2" s="1"/>
  <c r="AL427" i="2"/>
  <c r="AL525" i="2"/>
  <c r="AL413" i="2"/>
  <c r="AK162" i="2"/>
  <c r="AZ162" i="2" s="1"/>
  <c r="AO543" i="2"/>
  <c r="AM543" i="2"/>
  <c r="AN543" i="2"/>
  <c r="AO611" i="2"/>
  <c r="AM611" i="2"/>
  <c r="AN611" i="2"/>
  <c r="AO599" i="2"/>
  <c r="AM599" i="2"/>
  <c r="AN599" i="2"/>
  <c r="AO587" i="2"/>
  <c r="AM587" i="2"/>
  <c r="AN587" i="2"/>
  <c r="AO575" i="2"/>
  <c r="AM575" i="2"/>
  <c r="AN575" i="2"/>
  <c r="AO563" i="2"/>
  <c r="AM563" i="2"/>
  <c r="AN563" i="2"/>
  <c r="AO539" i="2"/>
  <c r="AM539" i="2"/>
  <c r="AN539" i="2"/>
  <c r="AO527" i="2"/>
  <c r="AM527" i="2"/>
  <c r="AN527" i="2"/>
  <c r="AO515" i="2"/>
  <c r="AM515" i="2"/>
  <c r="AN515" i="2"/>
  <c r="AO503" i="2"/>
  <c r="AM503" i="2"/>
  <c r="AN503" i="2"/>
  <c r="AO479" i="2"/>
  <c r="AM479" i="2"/>
  <c r="AN479" i="2"/>
  <c r="AO467" i="2"/>
  <c r="AM467" i="2"/>
  <c r="AN467" i="2"/>
  <c r="AO455" i="2"/>
  <c r="AM455" i="2"/>
  <c r="AN455" i="2"/>
  <c r="AO443" i="2"/>
  <c r="AM443" i="2"/>
  <c r="AN443" i="2"/>
  <c r="AO419" i="2"/>
  <c r="AM419" i="2"/>
  <c r="AN419" i="2"/>
  <c r="AO407" i="2"/>
  <c r="AM407" i="2"/>
  <c r="AN407" i="2"/>
  <c r="AO359" i="2"/>
  <c r="AM359" i="2"/>
  <c r="AN359" i="2"/>
  <c r="AO347" i="2"/>
  <c r="AM347" i="2"/>
  <c r="AN347" i="2"/>
  <c r="AM335" i="2"/>
  <c r="AN335" i="2"/>
  <c r="AO335" i="2"/>
  <c r="AM311" i="2"/>
  <c r="AN311" i="2"/>
  <c r="AO311" i="2"/>
  <c r="AM287" i="2"/>
  <c r="AN287" i="2"/>
  <c r="AO287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15" i="2"/>
  <c r="AN215" i="2"/>
  <c r="AO215" i="2"/>
  <c r="AM203" i="2"/>
  <c r="AN203" i="2"/>
  <c r="AO203" i="2"/>
  <c r="AM155" i="2"/>
  <c r="AN155" i="2"/>
  <c r="AO155" i="2"/>
  <c r="AM143" i="2"/>
  <c r="AN143" i="2"/>
  <c r="AO143" i="2"/>
  <c r="AM119" i="2"/>
  <c r="AN119" i="2"/>
  <c r="AO119" i="2"/>
  <c r="AM107" i="2"/>
  <c r="AN107" i="2"/>
  <c r="AO107" i="2"/>
  <c r="AM59" i="2"/>
  <c r="AN59" i="2"/>
  <c r="AO59" i="2"/>
  <c r="AM47" i="2"/>
  <c r="AN47" i="2"/>
  <c r="AO47" i="2"/>
  <c r="AM35" i="2"/>
  <c r="AN35" i="2"/>
  <c r="AO35" i="2"/>
  <c r="AM23" i="2"/>
  <c r="AN23" i="2"/>
  <c r="AO23" i="2"/>
  <c r="AK557" i="2"/>
  <c r="AZ557" i="2" s="1"/>
  <c r="AK541" i="2"/>
  <c r="AK371" i="2"/>
  <c r="AZ371" i="2" s="1"/>
  <c r="AK310" i="2"/>
  <c r="AZ310" i="2" s="1"/>
  <c r="AL476" i="2"/>
  <c r="AL150" i="2"/>
  <c r="AL253" i="2"/>
  <c r="AM598" i="2"/>
  <c r="AN598" i="2"/>
  <c r="AO598" i="2"/>
  <c r="AM586" i="2"/>
  <c r="AN586" i="2"/>
  <c r="AO586" i="2"/>
  <c r="AM562" i="2"/>
  <c r="AN562" i="2"/>
  <c r="AO562" i="2"/>
  <c r="AM550" i="2"/>
  <c r="AN550" i="2"/>
  <c r="AO550" i="2"/>
  <c r="AM538" i="2"/>
  <c r="AN538" i="2"/>
  <c r="AO538" i="2"/>
  <c r="AM502" i="2"/>
  <c r="AN502" i="2"/>
  <c r="AO502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94" i="2"/>
  <c r="AN394" i="2"/>
  <c r="AO394" i="2"/>
  <c r="AM382" i="2"/>
  <c r="AN382" i="2"/>
  <c r="AO382" i="2"/>
  <c r="AM358" i="2"/>
  <c r="AN358" i="2"/>
  <c r="AO358" i="2"/>
  <c r="AM346" i="2"/>
  <c r="AN346" i="2"/>
  <c r="AO346" i="2"/>
  <c r="AM334" i="2"/>
  <c r="AN334" i="2"/>
  <c r="AO334" i="2"/>
  <c r="AM310" i="2"/>
  <c r="AN310" i="2"/>
  <c r="AO310" i="2"/>
  <c r="AM298" i="2"/>
  <c r="AN298" i="2"/>
  <c r="AO298" i="2"/>
  <c r="AM286" i="2"/>
  <c r="AN286" i="2"/>
  <c r="AO286" i="2"/>
  <c r="AM262" i="2"/>
  <c r="AN262" i="2"/>
  <c r="AO262" i="2"/>
  <c r="AM238" i="2"/>
  <c r="AN238" i="2"/>
  <c r="AO238" i="2"/>
  <c r="AM178" i="2"/>
  <c r="AN178" i="2"/>
  <c r="AO178" i="2"/>
  <c r="AM166" i="2"/>
  <c r="AN166" i="2"/>
  <c r="AO166" i="2"/>
  <c r="AM130" i="2"/>
  <c r="AN130" i="2"/>
  <c r="AO130" i="2"/>
  <c r="AM94" i="2"/>
  <c r="AN94" i="2"/>
  <c r="AO94" i="2"/>
  <c r="AM82" i="2"/>
  <c r="AN82" i="2"/>
  <c r="AO82" i="2"/>
  <c r="AM58" i="2"/>
  <c r="AN58" i="2"/>
  <c r="AO58" i="2"/>
  <c r="AL352" i="2"/>
  <c r="AK161" i="2"/>
  <c r="AZ161" i="2" s="1"/>
  <c r="AK601" i="2"/>
  <c r="AZ601" i="2" s="1"/>
  <c r="AL493" i="2"/>
  <c r="AL370" i="2"/>
  <c r="AK560" i="2"/>
  <c r="AZ560" i="2" s="1"/>
  <c r="AL165" i="2"/>
  <c r="AL180" i="2"/>
  <c r="AO483" i="2"/>
  <c r="AM483" i="2"/>
  <c r="AN483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513" i="2"/>
  <c r="AN513" i="2"/>
  <c r="AO513" i="2"/>
  <c r="AM489" i="2"/>
  <c r="AN489" i="2"/>
  <c r="AO489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429" i="2"/>
  <c r="AN429" i="2"/>
  <c r="AO429" i="2"/>
  <c r="AM417" i="2"/>
  <c r="AN417" i="2"/>
  <c r="AO417" i="2"/>
  <c r="AM405" i="2"/>
  <c r="AN405" i="2"/>
  <c r="AO405" i="2"/>
  <c r="AM369" i="2"/>
  <c r="AN369" i="2"/>
  <c r="AO369" i="2"/>
  <c r="AM357" i="2"/>
  <c r="AN357" i="2"/>
  <c r="AO357" i="2"/>
  <c r="AM321" i="2"/>
  <c r="AN321" i="2"/>
  <c r="AO321" i="2"/>
  <c r="AM285" i="2"/>
  <c r="AN285" i="2"/>
  <c r="AO285" i="2"/>
  <c r="AM261" i="2"/>
  <c r="AN261" i="2"/>
  <c r="AO261" i="2"/>
  <c r="AM249" i="2"/>
  <c r="AN249" i="2"/>
  <c r="AO249" i="2"/>
  <c r="AM201" i="2"/>
  <c r="AN201" i="2"/>
  <c r="AO201" i="2"/>
  <c r="AM153" i="2"/>
  <c r="AN153" i="2"/>
  <c r="AO153" i="2"/>
  <c r="AM141" i="2"/>
  <c r="AN141" i="2"/>
  <c r="AO141" i="2"/>
  <c r="AM129" i="2"/>
  <c r="AN129" i="2"/>
  <c r="AO129" i="2"/>
  <c r="AM81" i="2"/>
  <c r="AN81" i="2"/>
  <c r="AO81" i="2"/>
  <c r="AM69" i="2"/>
  <c r="AN69" i="2"/>
  <c r="AO69" i="2"/>
  <c r="AM9" i="2"/>
  <c r="AN9" i="2"/>
  <c r="AO9" i="2"/>
  <c r="AL336" i="2"/>
  <c r="AL304" i="2"/>
  <c r="AL508" i="2"/>
  <c r="AL500" i="2"/>
  <c r="AL559" i="2"/>
  <c r="AL391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500" i="2"/>
  <c r="AN500" i="2"/>
  <c r="AO500" i="2"/>
  <c r="AM488" i="2"/>
  <c r="AN488" i="2"/>
  <c r="AO488" i="2"/>
  <c r="AM476" i="2"/>
  <c r="AN476" i="2"/>
  <c r="AO476" i="2"/>
  <c r="AM464" i="2"/>
  <c r="AN464" i="2"/>
  <c r="AO464" i="2"/>
  <c r="AM440" i="2"/>
  <c r="AN440" i="2"/>
  <c r="AO440" i="2"/>
  <c r="AM428" i="2"/>
  <c r="AN428" i="2"/>
  <c r="AO428" i="2"/>
  <c r="AM416" i="2"/>
  <c r="AN416" i="2"/>
  <c r="AO416" i="2"/>
  <c r="AM404" i="2"/>
  <c r="AN404" i="2"/>
  <c r="AO404" i="2"/>
  <c r="AM392" i="2"/>
  <c r="AN392" i="2"/>
  <c r="AO392" i="2"/>
  <c r="AM380" i="2"/>
  <c r="AN380" i="2"/>
  <c r="AO380" i="2"/>
  <c r="AM356" i="2"/>
  <c r="AN356" i="2"/>
  <c r="AO356" i="2"/>
  <c r="AM332" i="2"/>
  <c r="AN332" i="2"/>
  <c r="AO332" i="2"/>
  <c r="AM320" i="2"/>
  <c r="AN320" i="2"/>
  <c r="AO320" i="2"/>
  <c r="AM308" i="2"/>
  <c r="AN308" i="2"/>
  <c r="AO308" i="2"/>
  <c r="AM284" i="2"/>
  <c r="AN284" i="2"/>
  <c r="AO284" i="2"/>
  <c r="AM272" i="2"/>
  <c r="AN272" i="2"/>
  <c r="AO272" i="2"/>
  <c r="AM260" i="2"/>
  <c r="AN260" i="2"/>
  <c r="AO260" i="2"/>
  <c r="AM248" i="2"/>
  <c r="AN248" i="2"/>
  <c r="AO248" i="2"/>
  <c r="AM236" i="2"/>
  <c r="AN236" i="2"/>
  <c r="AO236" i="2"/>
  <c r="AM212" i="2"/>
  <c r="AN212" i="2"/>
  <c r="AO212" i="2"/>
  <c r="AM200" i="2"/>
  <c r="AN200" i="2"/>
  <c r="AO200" i="2"/>
  <c r="AM176" i="2"/>
  <c r="AN176" i="2"/>
  <c r="AO176" i="2"/>
  <c r="AM152" i="2"/>
  <c r="AN152" i="2"/>
  <c r="AO152" i="2"/>
  <c r="AM116" i="2"/>
  <c r="AN116" i="2"/>
  <c r="AO116" i="2"/>
  <c r="AM104" i="2"/>
  <c r="AN104" i="2"/>
  <c r="AO104" i="2"/>
  <c r="AM80" i="2"/>
  <c r="AN80" i="2"/>
  <c r="AO80" i="2"/>
  <c r="AM68" i="2"/>
  <c r="AN68" i="2"/>
  <c r="AO68" i="2"/>
  <c r="AM56" i="2"/>
  <c r="AN56" i="2"/>
  <c r="AO56" i="2"/>
  <c r="AM32" i="2"/>
  <c r="AN32" i="2"/>
  <c r="AO32" i="2"/>
  <c r="AL529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71" i="2"/>
  <c r="AM571" i="2"/>
  <c r="AN571" i="2"/>
  <c r="AO559" i="2"/>
  <c r="AM559" i="2"/>
  <c r="AN559" i="2"/>
  <c r="AO547" i="2"/>
  <c r="AM547" i="2"/>
  <c r="AN547" i="2"/>
  <c r="AO523" i="2"/>
  <c r="AM523" i="2"/>
  <c r="AN523" i="2"/>
  <c r="AO499" i="2"/>
  <c r="AM499" i="2"/>
  <c r="AN499" i="2"/>
  <c r="AO487" i="2"/>
  <c r="AM487" i="2"/>
  <c r="AN487" i="2"/>
  <c r="AO475" i="2"/>
  <c r="AM475" i="2"/>
  <c r="AN475" i="2"/>
  <c r="AO463" i="2"/>
  <c r="AM463" i="2"/>
  <c r="AN463" i="2"/>
  <c r="AO451" i="2"/>
  <c r="AM451" i="2"/>
  <c r="AN451" i="2"/>
  <c r="AO427" i="2"/>
  <c r="AM427" i="2"/>
  <c r="AN427" i="2"/>
  <c r="AO415" i="2"/>
  <c r="AM415" i="2"/>
  <c r="AN415" i="2"/>
  <c r="AO403" i="2"/>
  <c r="AM403" i="2"/>
  <c r="AN403" i="2"/>
  <c r="AO367" i="2"/>
  <c r="AM367" i="2"/>
  <c r="AN367" i="2"/>
  <c r="AO355" i="2"/>
  <c r="AM355" i="2"/>
  <c r="AN355" i="2"/>
  <c r="AM331" i="2"/>
  <c r="AN331" i="2"/>
  <c r="AO331" i="2"/>
  <c r="AM319" i="2"/>
  <c r="AN319" i="2"/>
  <c r="AO319" i="2"/>
  <c r="AM295" i="2"/>
  <c r="AN295" i="2"/>
  <c r="AO295" i="2"/>
  <c r="AM271" i="2"/>
  <c r="AN271" i="2"/>
  <c r="AO271" i="2"/>
  <c r="AM259" i="2"/>
  <c r="AN259" i="2"/>
  <c r="AO259" i="2"/>
  <c r="AM223" i="2"/>
  <c r="AN223" i="2"/>
  <c r="AO223" i="2"/>
  <c r="AM211" i="2"/>
  <c r="AN211" i="2"/>
  <c r="AO211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19" i="2"/>
  <c r="AN19" i="2"/>
  <c r="AO19" i="2"/>
  <c r="AM618" i="2"/>
  <c r="AN618" i="2"/>
  <c r="AO618" i="2"/>
  <c r="AM606" i="2"/>
  <c r="AN606" i="2"/>
  <c r="AO606" i="2"/>
  <c r="AM582" i="2"/>
  <c r="AN582" i="2"/>
  <c r="AO582" i="2"/>
  <c r="AM570" i="2"/>
  <c r="AN570" i="2"/>
  <c r="AO570" i="2"/>
  <c r="AM534" i="2"/>
  <c r="AN534" i="2"/>
  <c r="AO534" i="2"/>
  <c r="AM510" i="2"/>
  <c r="AN510" i="2"/>
  <c r="AO51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78" i="2"/>
  <c r="AN378" i="2"/>
  <c r="AO378" i="2"/>
  <c r="AM366" i="2"/>
  <c r="AN366" i="2"/>
  <c r="AO366" i="2"/>
  <c r="AM354" i="2"/>
  <c r="AN354" i="2"/>
  <c r="AO354" i="2"/>
  <c r="AM342" i="2"/>
  <c r="AN342" i="2"/>
  <c r="AO342" i="2"/>
  <c r="AM330" i="2"/>
  <c r="AN330" i="2"/>
  <c r="AO330" i="2"/>
  <c r="AM318" i="2"/>
  <c r="AN318" i="2"/>
  <c r="AO318" i="2"/>
  <c r="AM282" i="2"/>
  <c r="AN282" i="2"/>
  <c r="AO282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150" i="2"/>
  <c r="AN150" i="2"/>
  <c r="AO150" i="2"/>
  <c r="AM126" i="2"/>
  <c r="AN126" i="2"/>
  <c r="AO126" i="2"/>
  <c r="AM90" i="2"/>
  <c r="AN90" i="2"/>
  <c r="AO90" i="2"/>
  <c r="AM66" i="2"/>
  <c r="AN66" i="2"/>
  <c r="AO66" i="2"/>
  <c r="AM54" i="2"/>
  <c r="AN54" i="2"/>
  <c r="AO54" i="2"/>
  <c r="AM30" i="2"/>
  <c r="AN30" i="2"/>
  <c r="AO30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413" i="2"/>
  <c r="AN413" i="2"/>
  <c r="AO413" i="2"/>
  <c r="AM389" i="2"/>
  <c r="AN389" i="2"/>
  <c r="AO389" i="2"/>
  <c r="AM365" i="2"/>
  <c r="AN365" i="2"/>
  <c r="AO365" i="2"/>
  <c r="AM353" i="2"/>
  <c r="AN353" i="2"/>
  <c r="AO353" i="2"/>
  <c r="AM341" i="2"/>
  <c r="AN341" i="2"/>
  <c r="AO341" i="2"/>
  <c r="AM329" i="2"/>
  <c r="AN329" i="2"/>
  <c r="AO329" i="2"/>
  <c r="AM305" i="2"/>
  <c r="AN305" i="2"/>
  <c r="AO305" i="2"/>
  <c r="AM293" i="2"/>
  <c r="AN293" i="2"/>
  <c r="AO293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97" i="2"/>
  <c r="AN197" i="2"/>
  <c r="AO197" i="2"/>
  <c r="AM173" i="2"/>
  <c r="AN173" i="2"/>
  <c r="AO173" i="2"/>
  <c r="AM161" i="2"/>
  <c r="AN161" i="2"/>
  <c r="AO161" i="2"/>
  <c r="AM137" i="2"/>
  <c r="AN137" i="2"/>
  <c r="AO137" i="2"/>
  <c r="AM113" i="2"/>
  <c r="AN113" i="2"/>
  <c r="AO113" i="2"/>
  <c r="AM101" i="2"/>
  <c r="AN101" i="2"/>
  <c r="AO101" i="2"/>
  <c r="AM89" i="2"/>
  <c r="AN89" i="2"/>
  <c r="AO89" i="2"/>
  <c r="AM77" i="2"/>
  <c r="AN77" i="2"/>
  <c r="AO77" i="2"/>
  <c r="AM53" i="2"/>
  <c r="AN53" i="2"/>
  <c r="AO53" i="2"/>
  <c r="AM17" i="2"/>
  <c r="AN17" i="2"/>
  <c r="AO17" i="2"/>
  <c r="AM616" i="2"/>
  <c r="AN616" i="2"/>
  <c r="AO616" i="2"/>
  <c r="AM592" i="2"/>
  <c r="AN592" i="2"/>
  <c r="AO592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400" i="2"/>
  <c r="AN400" i="2"/>
  <c r="AO400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316" i="2"/>
  <c r="AN316" i="2"/>
  <c r="AO316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L284" i="2"/>
  <c r="AL209" i="2"/>
  <c r="AL264" i="2"/>
  <c r="AL310" i="2"/>
  <c r="AL481" i="2"/>
  <c r="AL515" i="2"/>
  <c r="AL412" i="2"/>
  <c r="AK66" i="2"/>
  <c r="AZ66" i="2" s="1"/>
  <c r="AO603" i="2"/>
  <c r="AM603" i="2"/>
  <c r="AN603" i="2"/>
  <c r="AO591" i="2"/>
  <c r="AM591" i="2"/>
  <c r="AN591" i="2"/>
  <c r="AO579" i="2"/>
  <c r="AM579" i="2"/>
  <c r="AN579" i="2"/>
  <c r="AO519" i="2"/>
  <c r="AM519" i="2"/>
  <c r="AN519" i="2"/>
  <c r="AO471" i="2"/>
  <c r="AM471" i="2"/>
  <c r="AN471" i="2"/>
  <c r="AO459" i="2"/>
  <c r="AM459" i="2"/>
  <c r="AN459" i="2"/>
  <c r="AO447" i="2"/>
  <c r="AM447" i="2"/>
  <c r="AN447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O375" i="2"/>
  <c r="AM375" i="2"/>
  <c r="AN375" i="2"/>
  <c r="AM267" i="2"/>
  <c r="AN267" i="2"/>
  <c r="AO267" i="2"/>
  <c r="AM255" i="2"/>
  <c r="AN255" i="2"/>
  <c r="AO255" i="2"/>
  <c r="AM243" i="2"/>
  <c r="AN243" i="2"/>
  <c r="AO243" i="2"/>
  <c r="AM231" i="2"/>
  <c r="AN231" i="2"/>
  <c r="AO231" i="2"/>
  <c r="AM219" i="2"/>
  <c r="AN219" i="2"/>
  <c r="AO219" i="2"/>
  <c r="AM207" i="2"/>
  <c r="AN207" i="2"/>
  <c r="AO207" i="2"/>
  <c r="AM171" i="2"/>
  <c r="AN171" i="2"/>
  <c r="AO171" i="2"/>
  <c r="AM159" i="2"/>
  <c r="AN159" i="2"/>
  <c r="AO159" i="2"/>
  <c r="AM147" i="2"/>
  <c r="AN147" i="2"/>
  <c r="AO147" i="2"/>
  <c r="AM123" i="2"/>
  <c r="AN123" i="2"/>
  <c r="AO123" i="2"/>
  <c r="AM99" i="2"/>
  <c r="AN99" i="2"/>
  <c r="AO99" i="2"/>
  <c r="AM27" i="2"/>
  <c r="AN27" i="2"/>
  <c r="AO27" i="2"/>
  <c r="AO567" i="2"/>
  <c r="AM567" i="2"/>
  <c r="AN567" i="2"/>
  <c r="AM590" i="2"/>
  <c r="AN590" i="2"/>
  <c r="AO590" i="2"/>
  <c r="AM566" i="2"/>
  <c r="AN566" i="2"/>
  <c r="AO566" i="2"/>
  <c r="AM554" i="2"/>
  <c r="AN554" i="2"/>
  <c r="AO554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70" i="2"/>
  <c r="AN470" i="2"/>
  <c r="AO470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350" i="2"/>
  <c r="AN350" i="2"/>
  <c r="AO350" i="2"/>
  <c r="AM326" i="2"/>
  <c r="AN326" i="2"/>
  <c r="AO326" i="2"/>
  <c r="AM290" i="2"/>
  <c r="AN290" i="2"/>
  <c r="AO290" i="2"/>
  <c r="AM278" i="2"/>
  <c r="AN278" i="2"/>
  <c r="AO278" i="2"/>
  <c r="AM266" i="2"/>
  <c r="AN266" i="2"/>
  <c r="AO266" i="2"/>
  <c r="AM254" i="2"/>
  <c r="AN254" i="2"/>
  <c r="AO254" i="2"/>
  <c r="AM230" i="2"/>
  <c r="AN230" i="2"/>
  <c r="AO230" i="2"/>
  <c r="AM218" i="2"/>
  <c r="AN218" i="2"/>
  <c r="AO218" i="2"/>
  <c r="AM206" i="2"/>
  <c r="AN206" i="2"/>
  <c r="AO206" i="2"/>
  <c r="AM194" i="2"/>
  <c r="AN194" i="2"/>
  <c r="AO194" i="2"/>
  <c r="AM182" i="2"/>
  <c r="AN182" i="2"/>
  <c r="AO182" i="2"/>
  <c r="AM170" i="2"/>
  <c r="AN170" i="2"/>
  <c r="AO170" i="2"/>
  <c r="AM146" i="2"/>
  <c r="AN146" i="2"/>
  <c r="AO146" i="2"/>
  <c r="AM122" i="2"/>
  <c r="AN122" i="2"/>
  <c r="AO122" i="2"/>
  <c r="AM110" i="2"/>
  <c r="AN110" i="2"/>
  <c r="AO110" i="2"/>
  <c r="AM86" i="2"/>
  <c r="AN86" i="2"/>
  <c r="AO86" i="2"/>
  <c r="AM62" i="2"/>
  <c r="AN62" i="2"/>
  <c r="AO62" i="2"/>
  <c r="AM26" i="2"/>
  <c r="AN26" i="2"/>
  <c r="AO26" i="2"/>
  <c r="AO507" i="2"/>
  <c r="AM507" i="2"/>
  <c r="AN507" i="2"/>
  <c r="AM613" i="2"/>
  <c r="AN613" i="2"/>
  <c r="AO613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81" i="2"/>
  <c r="AN481" i="2"/>
  <c r="AO481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85" i="2"/>
  <c r="AN385" i="2"/>
  <c r="AO385" i="2"/>
  <c r="AM373" i="2"/>
  <c r="AN373" i="2"/>
  <c r="AO373" i="2"/>
  <c r="AM361" i="2"/>
  <c r="AN361" i="2"/>
  <c r="AO361" i="2"/>
  <c r="AM337" i="2"/>
  <c r="AN337" i="2"/>
  <c r="AO337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33" i="2"/>
  <c r="AN133" i="2"/>
  <c r="AO133" i="2"/>
  <c r="AM121" i="2"/>
  <c r="AN121" i="2"/>
  <c r="AO121" i="2"/>
  <c r="AM109" i="2"/>
  <c r="AN109" i="2"/>
  <c r="AO109" i="2"/>
  <c r="AM97" i="2"/>
  <c r="AN97" i="2"/>
  <c r="AO97" i="2"/>
  <c r="AM73" i="2"/>
  <c r="AN73" i="2"/>
  <c r="AO73" i="2"/>
  <c r="AM61" i="2"/>
  <c r="AN61" i="2"/>
  <c r="AO61" i="2"/>
  <c r="AK512" i="2"/>
  <c r="AZ512" i="2" s="1"/>
  <c r="AO531" i="2"/>
  <c r="AM531" i="2"/>
  <c r="AN531" i="2"/>
  <c r="AM612" i="2"/>
  <c r="AN612" i="2"/>
  <c r="AO612" i="2"/>
  <c r="AM600" i="2"/>
  <c r="AN600" i="2"/>
  <c r="AO600" i="2"/>
  <c r="AM564" i="2"/>
  <c r="AN564" i="2"/>
  <c r="AO564" i="2"/>
  <c r="AM552" i="2"/>
  <c r="AN552" i="2"/>
  <c r="AO552" i="2"/>
  <c r="AM540" i="2"/>
  <c r="AN540" i="2"/>
  <c r="AO540" i="2"/>
  <c r="AM516" i="2"/>
  <c r="AN516" i="2"/>
  <c r="AO516" i="2"/>
  <c r="AM504" i="2"/>
  <c r="AN504" i="2"/>
  <c r="AO504" i="2"/>
  <c r="AM492" i="2"/>
  <c r="AN492" i="2"/>
  <c r="AO492" i="2"/>
  <c r="AM468" i="2"/>
  <c r="AN468" i="2"/>
  <c r="AO468" i="2"/>
  <c r="AM408" i="2"/>
  <c r="AN408" i="2"/>
  <c r="AO408" i="2"/>
  <c r="AM396" i="2"/>
  <c r="AN396" i="2"/>
  <c r="AO396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312" i="2"/>
  <c r="AN312" i="2"/>
  <c r="AO312" i="2"/>
  <c r="AM288" i="2"/>
  <c r="AN288" i="2"/>
  <c r="AO288" i="2"/>
  <c r="AM264" i="2"/>
  <c r="AN264" i="2"/>
  <c r="AO264" i="2"/>
  <c r="AM240" i="2"/>
  <c r="AN240" i="2"/>
  <c r="AO240" i="2"/>
  <c r="AM228" i="2"/>
  <c r="AN228" i="2"/>
  <c r="AO228" i="2"/>
  <c r="AM192" i="2"/>
  <c r="AN192" i="2"/>
  <c r="AO192" i="2"/>
  <c r="AM180" i="2"/>
  <c r="AN180" i="2"/>
  <c r="AO180" i="2"/>
  <c r="AM168" i="2"/>
  <c r="AN168" i="2"/>
  <c r="AO168" i="2"/>
  <c r="AM156" i="2"/>
  <c r="AN156" i="2"/>
  <c r="AO156" i="2"/>
  <c r="AM144" i="2"/>
  <c r="AN144" i="2"/>
  <c r="AO144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L432" i="2"/>
  <c r="AK453" i="2"/>
  <c r="AL571" i="2"/>
  <c r="AL505" i="2"/>
  <c r="AK308" i="2"/>
  <c r="AZ308" i="2" s="1"/>
  <c r="AL345" i="2"/>
  <c r="AL431" i="2"/>
  <c r="AJ137" i="2"/>
  <c r="AK329" i="2"/>
  <c r="AZ329" i="2" s="1"/>
  <c r="AL250" i="2"/>
  <c r="AK492" i="2"/>
  <c r="AZ492" i="2" s="1"/>
  <c r="AL410" i="2"/>
  <c r="AL591" i="2"/>
  <c r="AL277" i="2"/>
  <c r="AL123" i="2"/>
  <c r="AK115" i="2"/>
  <c r="AZ115" i="2" s="1"/>
  <c r="AK457" i="2"/>
  <c r="AZ457" i="2" s="1"/>
  <c r="AK526" i="2"/>
  <c r="AZ526" i="2" s="1"/>
  <c r="AK237" i="2"/>
  <c r="AK387" i="2"/>
  <c r="AK515" i="2"/>
  <c r="AZ515" i="2" s="1"/>
  <c r="AL457" i="2"/>
  <c r="AL511" i="2"/>
  <c r="AL430" i="2"/>
  <c r="AK264" i="2"/>
  <c r="AZ264" i="2" s="1"/>
  <c r="AL403" i="2"/>
  <c r="AL547" i="2"/>
  <c r="AL269" i="2"/>
  <c r="AL339" i="2"/>
  <c r="AL554" i="2"/>
  <c r="AL239" i="2"/>
  <c r="AL593" i="2"/>
  <c r="AL156" i="2"/>
  <c r="AL347" i="2"/>
  <c r="AK508" i="2"/>
  <c r="AL260" i="2"/>
  <c r="AL503" i="2"/>
  <c r="AK503" i="2"/>
  <c r="AZ503" i="2" s="1"/>
  <c r="AL528" i="2"/>
  <c r="AL197" i="2"/>
  <c r="AL371" i="2"/>
  <c r="AK252" i="2"/>
  <c r="AZ252" i="2" s="1"/>
  <c r="AK282" i="2"/>
  <c r="AZ282" i="2" s="1"/>
  <c r="AK424" i="2"/>
  <c r="AZ424" i="2" s="1"/>
  <c r="AL369" i="2"/>
  <c r="AL221" i="2"/>
  <c r="AK180" i="2"/>
  <c r="AZ180" i="2" s="1"/>
  <c r="AL225" i="2"/>
  <c r="AK294" i="2"/>
  <c r="AZ294" i="2" s="1"/>
  <c r="AK356" i="2"/>
  <c r="AZ356" i="2" s="1"/>
  <c r="AL487" i="2"/>
  <c r="AL535" i="2"/>
  <c r="AL153" i="2"/>
  <c r="AL112" i="2"/>
  <c r="AK248" i="2"/>
  <c r="AZ248" i="2" s="1"/>
  <c r="AL524" i="2"/>
  <c r="AL540" i="2"/>
  <c r="AK353" i="2"/>
  <c r="AZ353" i="2" s="1"/>
  <c r="AL453" i="2"/>
  <c r="AL401" i="2"/>
  <c r="AL536" i="2"/>
  <c r="AL246" i="2"/>
  <c r="AL307" i="2"/>
  <c r="AL118" i="2"/>
  <c r="AL104" i="2"/>
  <c r="AK579" i="2"/>
  <c r="AZ579" i="2" s="1"/>
  <c r="AK67" i="2"/>
  <c r="AZ67" i="2" s="1"/>
  <c r="AK220" i="2"/>
  <c r="AZ220" i="2" s="1"/>
  <c r="AL98" i="2"/>
  <c r="AK464" i="2"/>
  <c r="AZ464" i="2" s="1"/>
  <c r="AK396" i="2"/>
  <c r="AZ396" i="2" s="1"/>
  <c r="AK617" i="2"/>
  <c r="AK338" i="2"/>
  <c r="AK501" i="2"/>
  <c r="AZ501" i="2" s="1"/>
  <c r="AL590" i="2"/>
  <c r="AL356" i="2"/>
  <c r="AL597" i="2"/>
  <c r="AL397" i="2"/>
  <c r="AL341" i="2"/>
  <c r="AL477" i="2"/>
  <c r="AL454" i="2"/>
  <c r="AK543" i="2"/>
  <c r="AZ543" i="2" s="1"/>
  <c r="AK556" i="2"/>
  <c r="AK249" i="2"/>
  <c r="AZ249" i="2" s="1"/>
  <c r="AL212" i="2"/>
  <c r="AL426" i="2"/>
  <c r="AL174" i="2"/>
  <c r="AK94" i="2"/>
  <c r="AZ94" i="2" s="1"/>
  <c r="AL490" i="2"/>
  <c r="AK548" i="2"/>
  <c r="AZ548" i="2" s="1"/>
  <c r="AJ235" i="2"/>
  <c r="AK286" i="2"/>
  <c r="AZ286" i="2" s="1"/>
  <c r="AK427" i="2"/>
  <c r="AZ427" i="2" s="1"/>
  <c r="AL599" i="2"/>
  <c r="AL611" i="2"/>
  <c r="AL584" i="2"/>
  <c r="AJ291" i="2"/>
  <c r="AK178" i="2"/>
  <c r="AZ178" i="2" s="1"/>
  <c r="AK485" i="2"/>
  <c r="AZ485" i="2" s="1"/>
  <c r="AK232" i="2"/>
  <c r="AZ232" i="2" s="1"/>
  <c r="AL392" i="2"/>
  <c r="AL516" i="2"/>
  <c r="AK337" i="2"/>
  <c r="AZ337" i="2" s="1"/>
  <c r="AL425" i="2"/>
  <c r="AL574" i="2"/>
  <c r="AK513" i="2"/>
  <c r="AZ513" i="2" s="1"/>
  <c r="AJ603" i="2"/>
  <c r="AK131" i="2"/>
  <c r="AZ131" i="2" s="1"/>
  <c r="AK283" i="2"/>
  <c r="AZ283" i="2" s="1"/>
  <c r="AK205" i="2"/>
  <c r="AZ205" i="2" s="1"/>
  <c r="AL93" i="2"/>
  <c r="AK539" i="2"/>
  <c r="AZ539" i="2" s="1"/>
  <c r="AL148" i="2"/>
  <c r="AL446" i="2"/>
  <c r="AJ461" i="2"/>
  <c r="AL67" i="2"/>
  <c r="AL411" i="2"/>
  <c r="AK92" i="2"/>
  <c r="AZ92" i="2" s="1"/>
  <c r="AL555" i="2"/>
  <c r="AL163" i="2"/>
  <c r="AL158" i="2"/>
  <c r="AK480" i="2"/>
  <c r="AZ480" i="2" s="1"/>
  <c r="AK269" i="2"/>
  <c r="AL346" i="2"/>
  <c r="AL523" i="2"/>
  <c r="AK505" i="2"/>
  <c r="AL501" i="2"/>
  <c r="AK553" i="2"/>
  <c r="AJ434" i="2"/>
  <c r="AK536" i="2"/>
  <c r="AL601" i="2"/>
  <c r="AL389" i="2"/>
  <c r="AL614" i="2"/>
  <c r="AK598" i="2"/>
  <c r="AZ598" i="2" s="1"/>
  <c r="AK360" i="2"/>
  <c r="AZ360" i="2" s="1"/>
  <c r="AL285" i="2"/>
  <c r="AL252" i="2"/>
  <c r="AK185" i="2"/>
  <c r="AZ185" i="2" s="1"/>
  <c r="AL396" i="2"/>
  <c r="AL343" i="2"/>
  <c r="AL577" i="2"/>
  <c r="AK417" i="2"/>
  <c r="AZ417" i="2" s="1"/>
  <c r="AL473" i="2"/>
  <c r="AK561" i="2"/>
  <c r="AZ561" i="2" s="1"/>
  <c r="AK461" i="2"/>
  <c r="AZ461" i="2" s="1"/>
  <c r="AL514" i="2"/>
  <c r="AL313" i="2"/>
  <c r="AL133" i="2"/>
  <c r="AL283" i="2"/>
  <c r="AL232" i="2"/>
  <c r="AL255" i="2"/>
  <c r="AL338" i="2"/>
  <c r="AK390" i="2"/>
  <c r="AK234" i="2"/>
  <c r="AZ234" i="2" s="1"/>
  <c r="AL326" i="2"/>
  <c r="AL115" i="2"/>
  <c r="AL164" i="2"/>
  <c r="AL95" i="2"/>
  <c r="AK134" i="2"/>
  <c r="AZ134" i="2" s="1"/>
  <c r="AL162" i="2"/>
  <c r="AL294" i="2"/>
  <c r="AL561" i="2"/>
  <c r="AK493" i="2"/>
  <c r="AZ493" i="2" s="1"/>
  <c r="AK341" i="2"/>
  <c r="AK559" i="2"/>
  <c r="AZ559" i="2" s="1"/>
  <c r="AK392" i="2"/>
  <c r="AZ392" i="2" s="1"/>
  <c r="AK300" i="2"/>
  <c r="AZ300" i="2" s="1"/>
  <c r="AK365" i="2"/>
  <c r="AK388" i="2"/>
  <c r="AZ388" i="2" s="1"/>
  <c r="AK289" i="2"/>
  <c r="AL206" i="2"/>
  <c r="AL247" i="2"/>
  <c r="AL217" i="2"/>
  <c r="AL474" i="2"/>
  <c r="AL384" i="2"/>
  <c r="AK357" i="2"/>
  <c r="AZ357" i="2" s="1"/>
  <c r="AK412" i="2"/>
  <c r="AZ412" i="2" s="1"/>
  <c r="AL609" i="2"/>
  <c r="AK409" i="2"/>
  <c r="AZ409" i="2" s="1"/>
  <c r="AL309" i="2"/>
  <c r="AL402" i="2"/>
  <c r="AL409" i="2"/>
  <c r="AK34" i="2"/>
  <c r="AZ34" i="2" s="1"/>
  <c r="AL415" i="2"/>
  <c r="AK397" i="2"/>
  <c r="AZ397" i="2" s="1"/>
  <c r="AL592" i="2"/>
  <c r="AL491" i="2"/>
  <c r="AL355" i="2"/>
  <c r="AK479" i="2"/>
  <c r="AZ479" i="2" s="1"/>
  <c r="AL479" i="2"/>
  <c r="AL499" i="2"/>
  <c r="AL424" i="2"/>
  <c r="AK514" i="2"/>
  <c r="AL321" i="2"/>
  <c r="AL173" i="2"/>
  <c r="AL417" i="2"/>
  <c r="AL317" i="2"/>
  <c r="AL617" i="2"/>
  <c r="AL151" i="2"/>
  <c r="AL131" i="2"/>
  <c r="AK79" i="2"/>
  <c r="AZ79" i="2" s="1"/>
  <c r="AK62" i="2"/>
  <c r="AZ62" i="2" s="1"/>
  <c r="AL128" i="2"/>
  <c r="AL386" i="2"/>
  <c r="AL183" i="2"/>
  <c r="AL222" i="2"/>
  <c r="AL146" i="2"/>
  <c r="AL182" i="2"/>
  <c r="AL147" i="2"/>
  <c r="AL135" i="2"/>
  <c r="AJ51" i="2"/>
  <c r="AL615" i="2"/>
  <c r="AL263" i="2"/>
  <c r="AL157" i="2"/>
  <c r="AL399" i="2"/>
  <c r="AL203" i="2"/>
  <c r="AL557" i="2"/>
  <c r="AL455" i="2"/>
  <c r="AK596" i="2"/>
  <c r="AZ596" i="2" s="1"/>
  <c r="AL357" i="2"/>
  <c r="AK401" i="2"/>
  <c r="AZ401" i="2" s="1"/>
  <c r="AK347" i="2"/>
  <c r="AZ347" i="2" s="1"/>
  <c r="AL308" i="2"/>
  <c r="AL258" i="2"/>
  <c r="AK276" i="2"/>
  <c r="AZ276" i="2" s="1"/>
  <c r="AL512" i="2"/>
  <c r="AL576" i="2"/>
  <c r="AK575" i="2"/>
  <c r="AZ575" i="2" s="1"/>
  <c r="AL558" i="2"/>
  <c r="AL613" i="2"/>
  <c r="AJ35" i="2"/>
  <c r="AK274" i="2"/>
  <c r="AZ274" i="2" s="1"/>
  <c r="AK438" i="2"/>
  <c r="AZ438" i="2" s="1"/>
  <c r="AL274" i="2"/>
  <c r="AK268" i="2"/>
  <c r="AZ268" i="2" s="1"/>
  <c r="AL214" i="2"/>
  <c r="AL407" i="2"/>
  <c r="AL595" i="2"/>
  <c r="AL288" i="2"/>
  <c r="AK173" i="2"/>
  <c r="AZ173" i="2" s="1"/>
  <c r="AL387" i="2"/>
  <c r="AL134" i="2"/>
  <c r="AK483" i="2"/>
  <c r="AZ483" i="2" s="1"/>
  <c r="AL176" i="2"/>
  <c r="AJ72" i="2"/>
  <c r="AL75" i="2"/>
  <c r="AK327" i="2"/>
  <c r="AZ327" i="2" s="1"/>
  <c r="AL119" i="2"/>
  <c r="AK183" i="2"/>
  <c r="AZ183" i="2" s="1"/>
  <c r="AK167" i="2"/>
  <c r="AZ167" i="2" s="1"/>
  <c r="AL220" i="2"/>
  <c r="AL213" i="2"/>
  <c r="AK100" i="2"/>
  <c r="AZ100" i="2" s="1"/>
  <c r="AL83" i="2"/>
  <c r="AL578" i="2"/>
  <c r="AK74" i="2"/>
  <c r="AZ74" i="2" s="1"/>
  <c r="AK73" i="2"/>
  <c r="AZ73" i="2" s="1"/>
  <c r="AK215" i="2"/>
  <c r="AZ215" i="2" s="1"/>
  <c r="AL530" i="2"/>
  <c r="AL379" i="2"/>
  <c r="AL497" i="2"/>
  <c r="AK70" i="2"/>
  <c r="AZ70" i="2" s="1"/>
  <c r="AK573" i="2"/>
  <c r="AK85" i="2"/>
  <c r="AZ85" i="2" s="1"/>
  <c r="AK532" i="2"/>
  <c r="AK235" i="2"/>
  <c r="AZ235" i="2" s="1"/>
  <c r="AL442" i="2"/>
  <c r="AL429" i="2"/>
  <c r="AL385" i="2"/>
  <c r="AL541" i="2"/>
  <c r="AL202" i="2"/>
  <c r="AL462" i="2"/>
  <c r="AL616" i="2"/>
  <c r="AK140" i="2"/>
  <c r="AZ140" i="2" s="1"/>
  <c r="AL265" i="2"/>
  <c r="AK554" i="2"/>
  <c r="AL398" i="2"/>
  <c r="AK212" i="2"/>
  <c r="AZ212" i="2" s="1"/>
  <c r="AL79" i="2"/>
  <c r="AL48" i="2"/>
  <c r="AL507" i="2"/>
  <c r="AL109" i="2"/>
  <c r="AL114" i="2"/>
  <c r="AL152" i="2"/>
  <c r="AL256" i="2"/>
  <c r="AJ65" i="2"/>
  <c r="AK432" i="2"/>
  <c r="AZ432" i="2" s="1"/>
  <c r="AK563" i="2"/>
  <c r="AZ563" i="2" s="1"/>
  <c r="AL400" i="2"/>
  <c r="AK238" i="2"/>
  <c r="AK319" i="2"/>
  <c r="AZ319" i="2" s="1"/>
  <c r="AL161" i="2"/>
  <c r="AK584" i="2"/>
  <c r="AZ584" i="2" s="1"/>
  <c r="AL383" i="2"/>
  <c r="AL452" i="2"/>
  <c r="AK197" i="2"/>
  <c r="AZ197" i="2" s="1"/>
  <c r="AL498" i="2"/>
  <c r="AL436" i="2"/>
  <c r="AL456" i="2"/>
  <c r="AK610" i="2"/>
  <c r="AL610" i="2"/>
  <c r="AK529" i="2"/>
  <c r="AZ529" i="2" s="1"/>
  <c r="AL612" i="2"/>
  <c r="AL337" i="2"/>
  <c r="AL428" i="2"/>
  <c r="AL298" i="2"/>
  <c r="AL414" i="2"/>
  <c r="AL205" i="2"/>
  <c r="AL254" i="2"/>
  <c r="AL207" i="2"/>
  <c r="AL302" i="2"/>
  <c r="AL167" i="2"/>
  <c r="AK150" i="2"/>
  <c r="AZ150" i="2" s="1"/>
  <c r="AL327" i="2"/>
  <c r="AK107" i="2"/>
  <c r="AZ107" i="2" s="1"/>
  <c r="AL129" i="2"/>
  <c r="AK95" i="2"/>
  <c r="AZ95" i="2" s="1"/>
  <c r="AL229" i="2"/>
  <c r="AL172" i="2"/>
  <c r="AL126" i="2"/>
  <c r="AL517" i="2"/>
  <c r="AK384" i="2"/>
  <c r="AZ384" i="2" s="1"/>
  <c r="AL596" i="2"/>
  <c r="AL334" i="2"/>
  <c r="AK571" i="2"/>
  <c r="AK292" i="2"/>
  <c r="AL335" i="2"/>
  <c r="AL248" i="2"/>
  <c r="AL388" i="2"/>
  <c r="AL226" i="2"/>
  <c r="AK342" i="2"/>
  <c r="AZ342" i="2" s="1"/>
  <c r="AL280" i="2"/>
  <c r="AL408" i="2"/>
  <c r="AJ176" i="2"/>
  <c r="AK433" i="2"/>
  <c r="AZ433" i="2" s="1"/>
  <c r="AL572" i="2"/>
  <c r="AK473" i="2"/>
  <c r="AZ473" i="2" s="1"/>
  <c r="AL154" i="2"/>
  <c r="AL91" i="2"/>
  <c r="AL251" i="2"/>
  <c r="AK56" i="2"/>
  <c r="AZ56" i="2" s="1"/>
  <c r="AL74" i="2"/>
  <c r="AK213" i="2"/>
  <c r="AZ213" i="2" s="1"/>
  <c r="AJ110" i="2"/>
  <c r="AL77" i="2"/>
  <c r="AK542" i="2"/>
  <c r="AZ542" i="2" s="1"/>
  <c r="AL227" i="2"/>
  <c r="AL127" i="2"/>
  <c r="AL567" i="2"/>
  <c r="AK9" i="2"/>
  <c r="AZ9" i="2" s="1"/>
  <c r="AJ116" i="2"/>
  <c r="AK540" i="2"/>
  <c r="AZ540" i="2" s="1"/>
  <c r="AK298" i="2"/>
  <c r="AZ298" i="2" s="1"/>
  <c r="AK442" i="2"/>
  <c r="AL464" i="2"/>
  <c r="AK402" i="2"/>
  <c r="AZ402" i="2" s="1"/>
  <c r="AL244" i="2"/>
  <c r="AL602" i="2"/>
  <c r="AL292" i="2"/>
  <c r="AK576" i="2"/>
  <c r="AK345" i="2"/>
  <c r="AZ345" i="2" s="1"/>
  <c r="AK448" i="2"/>
  <c r="AZ448" i="2" s="1"/>
  <c r="AJ95" i="2"/>
  <c r="AK297" i="2"/>
  <c r="AZ297" i="2" s="1"/>
  <c r="AK564" i="2"/>
  <c r="AZ564" i="2" s="1"/>
  <c r="AK500" i="2"/>
  <c r="AZ500" i="2" s="1"/>
  <c r="AK370" i="2"/>
  <c r="AZ370" i="2" s="1"/>
  <c r="AK456" i="2"/>
  <c r="AZ456" i="2" s="1"/>
  <c r="AK322" i="2"/>
  <c r="AZ322" i="2" s="1"/>
  <c r="AL381" i="2"/>
  <c r="AK572" i="2"/>
  <c r="AZ572" i="2" s="1"/>
  <c r="AJ474" i="2"/>
  <c r="AL466" i="2"/>
  <c r="AK440" i="2"/>
  <c r="AZ440" i="2" s="1"/>
  <c r="AL281" i="2"/>
  <c r="AJ562" i="2"/>
  <c r="AK10" i="2"/>
  <c r="AZ10" i="2" s="1"/>
  <c r="AK620" i="2"/>
  <c r="AZ620" i="2" s="1"/>
  <c r="AJ263" i="2"/>
  <c r="AL492" i="2"/>
  <c r="AL10" i="2"/>
  <c r="AK272" i="2"/>
  <c r="AK517" i="2"/>
  <c r="AZ517" i="2" s="1"/>
  <c r="AL502" i="2"/>
  <c r="AL272" i="2"/>
  <c r="AL270" i="2"/>
  <c r="AK256" i="2"/>
  <c r="AZ256" i="2" s="1"/>
  <c r="AK254" i="2"/>
  <c r="AK29" i="2"/>
  <c r="AZ29" i="2" s="1"/>
  <c r="AK302" i="2"/>
  <c r="AZ302" i="2" s="1"/>
  <c r="AL89" i="2"/>
  <c r="AL59" i="2"/>
  <c r="AK195" i="2"/>
  <c r="AZ195" i="2" s="1"/>
  <c r="AK59" i="2"/>
  <c r="AZ59" i="2" s="1"/>
  <c r="AK199" i="2"/>
  <c r="AL315" i="2"/>
  <c r="AK48" i="2"/>
  <c r="AZ48" i="2" s="1"/>
  <c r="AK375" i="2"/>
  <c r="AK93" i="2"/>
  <c r="AZ93" i="2" s="1"/>
  <c r="AK121" i="2"/>
  <c r="AZ121" i="2" s="1"/>
  <c r="AL542" i="2"/>
  <c r="AL136" i="2"/>
  <c r="AL121" i="2"/>
  <c r="AL376" i="2"/>
  <c r="AK482" i="2"/>
  <c r="AZ482" i="2" s="1"/>
  <c r="AK53" i="2"/>
  <c r="AZ53" i="2" s="1"/>
  <c r="AJ64" i="2"/>
  <c r="AL374" i="2"/>
  <c r="AK291" i="2"/>
  <c r="AZ291" i="2" s="1"/>
  <c r="AL36" i="2"/>
  <c r="AK530" i="2"/>
  <c r="AZ530" i="2" s="1"/>
  <c r="AK114" i="2"/>
  <c r="AZ114" i="2" s="1"/>
  <c r="AL51" i="2"/>
  <c r="AK364" i="2"/>
  <c r="AZ364" i="2" s="1"/>
  <c r="AK41" i="2"/>
  <c r="AZ41" i="2" s="1"/>
  <c r="AK37" i="2"/>
  <c r="AZ37" i="2" s="1"/>
  <c r="AK399" i="2"/>
  <c r="AZ399" i="2" s="1"/>
  <c r="AK20" i="2"/>
  <c r="AZ20" i="2" s="1"/>
  <c r="AK72" i="2"/>
  <c r="AZ72" i="2" s="1"/>
  <c r="AL47" i="2"/>
  <c r="AL495" i="2"/>
  <c r="AK295" i="2"/>
  <c r="AZ295" i="2" s="1"/>
  <c r="AL219" i="2"/>
  <c r="AK250" i="2"/>
  <c r="AZ250" i="2" s="1"/>
  <c r="AL563" i="2"/>
  <c r="AK317" i="2"/>
  <c r="AZ317" i="2" s="1"/>
  <c r="AJ167" i="2"/>
  <c r="AK394" i="2"/>
  <c r="AZ394" i="2" s="1"/>
  <c r="AK416" i="2"/>
  <c r="AJ578" i="2"/>
  <c r="AL443" i="2"/>
  <c r="AK523" i="2"/>
  <c r="AZ523" i="2" s="1"/>
  <c r="AK497" i="2"/>
  <c r="AK244" i="2"/>
  <c r="AZ244" i="2" s="1"/>
  <c r="AK528" i="2"/>
  <c r="AZ528" i="2" s="1"/>
  <c r="AL340" i="2"/>
  <c r="AK334" i="2"/>
  <c r="AZ334" i="2" s="1"/>
  <c r="AL297" i="2"/>
  <c r="AL390" i="2"/>
  <c r="AK383" i="2"/>
  <c r="AK404" i="2"/>
  <c r="AZ404" i="2" s="1"/>
  <c r="AL438" i="2"/>
  <c r="AK544" i="2"/>
  <c r="AZ544" i="2" s="1"/>
  <c r="AK516" i="2"/>
  <c r="AZ516" i="2" s="1"/>
  <c r="AK478" i="2"/>
  <c r="AZ478" i="2" s="1"/>
  <c r="AK452" i="2"/>
  <c r="AZ452" i="2" s="1"/>
  <c r="AK408" i="2"/>
  <c r="AZ408" i="2" s="1"/>
  <c r="AK499" i="2"/>
  <c r="AZ499" i="2" s="1"/>
  <c r="AL418" i="2"/>
  <c r="AK284" i="2"/>
  <c r="AZ284" i="2" s="1"/>
  <c r="AL233" i="2"/>
  <c r="AJ294" i="2"/>
  <c r="AL348" i="2"/>
  <c r="AK3" i="2"/>
  <c r="AZ3" i="2" s="1"/>
  <c r="AK547" i="2"/>
  <c r="AZ547" i="2" s="1"/>
  <c r="AJ246" i="2"/>
  <c r="AK467" i="2"/>
  <c r="AL467" i="2"/>
  <c r="AK270" i="2"/>
  <c r="AZ270" i="2" s="1"/>
  <c r="AK469" i="2"/>
  <c r="AZ469" i="2" s="1"/>
  <c r="AK358" i="2"/>
  <c r="AZ358" i="2" s="1"/>
  <c r="AL560" i="2"/>
  <c r="AL208" i="2"/>
  <c r="AL237" i="2"/>
  <c r="AL191" i="2"/>
  <c r="AL604" i="2"/>
  <c r="AK18" i="2"/>
  <c r="AZ18" i="2" s="1"/>
  <c r="AK122" i="2"/>
  <c r="AZ122" i="2" s="1"/>
  <c r="AK171" i="2"/>
  <c r="AZ171" i="2" s="1"/>
  <c r="AK139" i="2"/>
  <c r="AZ139" i="2" s="1"/>
  <c r="AK123" i="2"/>
  <c r="AZ123" i="2" s="1"/>
  <c r="AK313" i="2"/>
  <c r="AZ313" i="2" s="1"/>
  <c r="AK592" i="2"/>
  <c r="AZ592" i="2" s="1"/>
  <c r="AL139" i="2"/>
  <c r="AL68" i="2"/>
  <c r="AK44" i="2"/>
  <c r="AZ44" i="2" s="1"/>
  <c r="AL17" i="2"/>
  <c r="AK61" i="2"/>
  <c r="AZ61" i="2" s="1"/>
  <c r="AJ498" i="2"/>
  <c r="AL494" i="2"/>
  <c r="AK40" i="2"/>
  <c r="AZ40" i="2" s="1"/>
  <c r="AL61" i="2"/>
  <c r="AK328" i="2"/>
  <c r="AZ328" i="2" s="1"/>
  <c r="AL434" i="2"/>
  <c r="AK5" i="2"/>
  <c r="AZ5" i="2" s="1"/>
  <c r="AK326" i="2"/>
  <c r="AZ326" i="2" s="1"/>
  <c r="AL55" i="2"/>
  <c r="AK210" i="2"/>
  <c r="AZ210" i="2" s="1"/>
  <c r="AL422" i="2"/>
  <c r="AL42" i="2"/>
  <c r="AK35" i="2"/>
  <c r="AZ35" i="2" s="1"/>
  <c r="AK208" i="2"/>
  <c r="AZ208" i="2" s="1"/>
  <c r="AL289" i="2"/>
  <c r="AK144" i="2"/>
  <c r="AZ144" i="2" s="1"/>
  <c r="AK351" i="2"/>
  <c r="AZ351" i="2" s="1"/>
  <c r="AL235" i="2"/>
  <c r="AL279" i="2"/>
  <c r="AL24" i="2"/>
  <c r="AK447" i="2"/>
  <c r="AZ447" i="2" s="1"/>
  <c r="AL449" i="2"/>
  <c r="AL468" i="2"/>
  <c r="AL404" i="2"/>
  <c r="AL286" i="2"/>
  <c r="AJ4" i="2"/>
  <c r="AJ496" i="2"/>
  <c r="AJ27" i="2"/>
  <c r="AJ215" i="2"/>
  <c r="AJ70" i="2"/>
  <c r="AJ378" i="2"/>
  <c r="AJ604" i="2"/>
  <c r="AJ464" i="2"/>
  <c r="AJ15" i="2"/>
  <c r="AJ19" i="2"/>
  <c r="AJ54" i="2"/>
  <c r="AJ276" i="2"/>
  <c r="AJ347" i="2"/>
  <c r="AJ286" i="2"/>
  <c r="AJ26" i="2"/>
  <c r="AJ282" i="2"/>
  <c r="AJ244" i="2"/>
  <c r="AJ187" i="2"/>
  <c r="AJ323" i="2"/>
  <c r="AJ238" i="2"/>
  <c r="AJ18" i="2"/>
  <c r="AJ57" i="2"/>
  <c r="AJ421" i="2"/>
  <c r="AJ11" i="2"/>
  <c r="AJ443" i="2"/>
  <c r="AJ58" i="2"/>
  <c r="AJ506" i="2"/>
  <c r="AJ53" i="2"/>
  <c r="AJ241" i="2"/>
  <c r="AJ281" i="2"/>
  <c r="AJ136" i="2"/>
  <c r="AJ8" i="2"/>
  <c r="AJ379" i="2"/>
  <c r="AJ311" i="2"/>
  <c r="AJ50" i="2"/>
  <c r="AJ470" i="2"/>
  <c r="AJ49" i="2"/>
  <c r="AJ261" i="2"/>
  <c r="AJ271" i="2"/>
  <c r="AJ42" i="2"/>
  <c r="AJ37" i="2"/>
  <c r="AJ141" i="2"/>
  <c r="AJ237" i="2"/>
  <c r="AJ68" i="2"/>
  <c r="AJ275" i="2"/>
  <c r="AJ243" i="2"/>
  <c r="AJ38" i="2"/>
  <c r="AJ106" i="2"/>
  <c r="AJ33" i="2"/>
  <c r="AJ121" i="2"/>
  <c r="AJ488" i="2"/>
  <c r="AJ219" i="2"/>
  <c r="AJ143" i="2"/>
  <c r="AJ30" i="2"/>
  <c r="AJ94" i="2"/>
  <c r="AJ29" i="2"/>
  <c r="AJ3" i="2"/>
  <c r="AJ468" i="2"/>
  <c r="AJ52" i="2"/>
  <c r="AJ448" i="2"/>
  <c r="AJ103" i="2"/>
  <c r="AJ566" i="2"/>
  <c r="AJ14" i="2"/>
  <c r="AJ561" i="2"/>
  <c r="AJ25" i="2"/>
  <c r="AJ565" i="2"/>
  <c r="AJ404" i="2"/>
  <c r="AJ40" i="2"/>
  <c r="AJ380" i="2"/>
  <c r="AJ47" i="2"/>
  <c r="AJ466" i="2"/>
  <c r="AJ6" i="2"/>
  <c r="AJ489" i="2"/>
  <c r="AJ21" i="2"/>
  <c r="AJ469" i="2"/>
  <c r="AJ32" i="2"/>
  <c r="AJ372" i="2"/>
  <c r="AJ43" i="2"/>
  <c r="AJ442" i="2"/>
  <c r="AJ502" i="2"/>
  <c r="AJ441" i="2"/>
  <c r="AJ17" i="2"/>
  <c r="AJ449" i="2"/>
  <c r="AJ360" i="2"/>
  <c r="AJ28" i="2"/>
  <c r="AJ364" i="2"/>
  <c r="AJ394" i="2"/>
  <c r="AJ190" i="2"/>
  <c r="AJ185" i="2"/>
  <c r="AJ13" i="2"/>
  <c r="AJ300" i="2"/>
  <c r="AJ24" i="2"/>
  <c r="AJ7" i="2"/>
  <c r="AJ138" i="2"/>
  <c r="AJ81" i="2"/>
  <c r="AJ9" i="2"/>
  <c r="AJ381" i="2"/>
  <c r="AJ272" i="2"/>
  <c r="AJ20" i="2"/>
  <c r="AJ463" i="2"/>
  <c r="AJ623" i="2"/>
  <c r="AJ580" i="2"/>
  <c r="AJ69" i="2"/>
  <c r="AJ497" i="2"/>
  <c r="AJ353" i="2"/>
  <c r="AJ16" i="2"/>
  <c r="AJ199" i="2"/>
  <c r="AJ467" i="2"/>
  <c r="AJ142" i="2"/>
  <c r="AJ518" i="2"/>
  <c r="AJ61" i="2"/>
  <c r="AJ365" i="2"/>
  <c r="AJ305" i="2"/>
  <c r="AJ144" i="2"/>
  <c r="AJ12" i="2"/>
  <c r="AJ113" i="2"/>
  <c r="AL623" i="2"/>
  <c r="AK421" i="2"/>
  <c r="AZ421" i="2" s="1"/>
  <c r="AK33" i="2"/>
  <c r="AZ33" i="2" s="1"/>
  <c r="AL195" i="2"/>
  <c r="AL124" i="2"/>
  <c r="AL13" i="2"/>
  <c r="AK187" i="2"/>
  <c r="AZ187" i="2" s="1"/>
  <c r="AJ87" i="2"/>
  <c r="AJ504" i="2"/>
  <c r="AJ573" i="2"/>
  <c r="AJ417" i="2"/>
  <c r="AJ178" i="2"/>
  <c r="AJ459" i="2"/>
  <c r="AJ465" i="2"/>
  <c r="AJ296" i="2"/>
  <c r="AJ560" i="2"/>
  <c r="AJ375" i="2"/>
  <c r="AJ328" i="2"/>
  <c r="AJ329" i="2"/>
  <c r="AJ446" i="2"/>
  <c r="AJ352" i="2"/>
  <c r="AJ175" i="2"/>
  <c r="AJ543" i="2"/>
  <c r="AJ548" i="2"/>
  <c r="AJ392" i="2"/>
  <c r="AJ74" i="2"/>
  <c r="AJ437" i="2"/>
  <c r="AJ268" i="2"/>
  <c r="AJ231" i="2"/>
  <c r="AJ621" i="2"/>
  <c r="AJ348" i="2"/>
  <c r="AJ233" i="2"/>
  <c r="AJ44" i="2"/>
  <c r="AJ440" i="2"/>
  <c r="AJ302" i="2"/>
  <c r="AJ160" i="2"/>
  <c r="AJ5" i="2"/>
  <c r="AJ390" i="2"/>
  <c r="AJ482" i="2"/>
  <c r="AJ292" i="2"/>
  <c r="AJ544" i="2"/>
  <c r="AJ388" i="2"/>
  <c r="AJ55" i="2"/>
  <c r="AJ433" i="2"/>
  <c r="AJ179" i="2"/>
  <c r="AJ618" i="2"/>
  <c r="AJ45" i="2"/>
  <c r="AJ597" i="2"/>
  <c r="AJ602" i="2"/>
  <c r="AJ93" i="2"/>
  <c r="AJ36" i="2"/>
  <c r="AJ531" i="2"/>
  <c r="AJ34" i="2"/>
  <c r="AJ600" i="2"/>
  <c r="AJ249" i="2"/>
  <c r="AJ484" i="2"/>
  <c r="AJ359" i="2"/>
  <c r="AJ228" i="2"/>
  <c r="AJ439" i="2"/>
  <c r="AJ478" i="2"/>
  <c r="AJ536" i="2"/>
  <c r="AJ585" i="2"/>
  <c r="AJ191" i="2"/>
  <c r="AJ495" i="2"/>
  <c r="AJ609" i="2"/>
  <c r="AJ278" i="2"/>
  <c r="AJ527" i="2"/>
  <c r="AJ532" i="2"/>
  <c r="AJ541" i="2"/>
  <c r="AJ581" i="2"/>
  <c r="AJ186" i="2"/>
  <c r="AJ165" i="2"/>
  <c r="AJ90" i="2"/>
  <c r="AJ528" i="2"/>
  <c r="AJ320" i="2"/>
  <c r="AJ418" i="2"/>
  <c r="AJ564" i="2"/>
  <c r="AJ140" i="2"/>
  <c r="AJ341" i="2"/>
  <c r="AJ60" i="2"/>
  <c r="AJ520" i="2"/>
  <c r="AJ295" i="2"/>
  <c r="AJ240" i="2"/>
  <c r="AJ494" i="2"/>
  <c r="AJ361" i="2"/>
  <c r="AJ77" i="2"/>
  <c r="AJ485" i="2"/>
  <c r="AJ420" i="2"/>
  <c r="AJ177" i="2"/>
  <c r="AJ493" i="2"/>
  <c r="AJ373" i="2"/>
  <c r="AJ105" i="2"/>
  <c r="AJ310" i="2"/>
  <c r="AJ610" i="2"/>
  <c r="AJ297" i="2"/>
  <c r="AJ438" i="2"/>
  <c r="AJ75" i="2"/>
  <c r="AJ99" i="2"/>
  <c r="AJ340" i="2"/>
  <c r="AJ481" i="2"/>
  <c r="AJ559" i="2"/>
  <c r="AJ416" i="2"/>
  <c r="AJ290" i="2"/>
  <c r="AJ462" i="2"/>
  <c r="AJ343" i="2"/>
  <c r="AJ80" i="2"/>
  <c r="AJ280" i="2"/>
  <c r="AJ363" i="2"/>
  <c r="AJ71" i="2"/>
  <c r="AJ349" i="2"/>
  <c r="AJ471" i="2"/>
  <c r="AJ129" i="2"/>
  <c r="AJ107" i="2"/>
  <c r="AJ351" i="2"/>
  <c r="AJ232" i="2"/>
  <c r="AJ444" i="2"/>
  <c r="AJ79" i="2"/>
  <c r="AJ374" i="2"/>
  <c r="AJ101" i="2"/>
  <c r="AJ596" i="2"/>
  <c r="AJ46" i="2"/>
  <c r="AJ582" i="2"/>
  <c r="AJ304" i="2"/>
  <c r="AJ435" i="2"/>
  <c r="AJ66" i="2"/>
  <c r="AJ422" i="2"/>
  <c r="AJ97" i="2"/>
  <c r="AJ598" i="2"/>
  <c r="AJ31" i="2"/>
  <c r="AJ319" i="2"/>
  <c r="AJ63" i="2"/>
  <c r="AJ584" i="2"/>
  <c r="AJ460" i="2"/>
  <c r="AJ622" i="2"/>
  <c r="AJ483" i="2"/>
  <c r="AJ91" i="2"/>
  <c r="AJ601" i="2"/>
  <c r="AJ315" i="2"/>
  <c r="AJ39" i="2"/>
  <c r="AJ563" i="2"/>
  <c r="AJ41" i="2"/>
  <c r="AJ184" i="2"/>
  <c r="AJ218" i="2"/>
  <c r="AJ298" i="2"/>
  <c r="AJ458" i="2"/>
  <c r="AJ346" i="2"/>
  <c r="AJ350" i="2"/>
  <c r="AJ389" i="2"/>
  <c r="AJ547" i="2"/>
  <c r="AJ620" i="2"/>
  <c r="AJ579" i="2"/>
  <c r="AJ100" i="2"/>
  <c r="AJ342" i="2"/>
  <c r="AJ86" i="2"/>
  <c r="AJ393" i="2"/>
  <c r="AJ445" i="2"/>
  <c r="AJ139" i="2"/>
  <c r="AJ318" i="2"/>
  <c r="AJ279" i="2"/>
  <c r="AJ321" i="2"/>
  <c r="AJ436" i="2"/>
  <c r="AJ122" i="2"/>
  <c r="AJ117" i="2"/>
  <c r="AJ314" i="2"/>
  <c r="AJ10" i="2"/>
  <c r="AJ583" i="2"/>
  <c r="AJ78" i="2"/>
  <c r="AJ299" i="2"/>
  <c r="AJ229" i="2"/>
  <c r="AJ92" i="2"/>
  <c r="AJ492" i="2"/>
  <c r="AJ270" i="2"/>
  <c r="AJ85" i="2"/>
  <c r="AJ208" i="2"/>
  <c r="AJ269" i="2"/>
  <c r="AJ67" i="2"/>
  <c r="AJ84" i="2"/>
  <c r="AJ542" i="2"/>
  <c r="AJ236" i="2"/>
  <c r="AJ159" i="2"/>
  <c r="AJ59" i="2"/>
  <c r="AJ403" i="2"/>
  <c r="AJ48" i="2"/>
  <c r="AJ377" i="2"/>
  <c r="AJ22" i="2"/>
  <c r="AJ56" i="2"/>
  <c r="AJ619" i="2"/>
  <c r="AK578" i="2"/>
  <c r="AZ578" i="2" s="1"/>
  <c r="AK278" i="2"/>
  <c r="AZ278" i="2" s="1"/>
  <c r="AK222" i="2"/>
  <c r="AZ222" i="2" s="1"/>
  <c r="AK99" i="2"/>
  <c r="AK275" i="2"/>
  <c r="AZ275" i="2" s="1"/>
  <c r="AL278" i="2"/>
  <c r="AL242" i="2"/>
  <c r="AK146" i="2"/>
  <c r="AZ146" i="2" s="1"/>
  <c r="AL192" i="2"/>
  <c r="AK594" i="2"/>
  <c r="AK177" i="2"/>
  <c r="AZ177" i="2" s="1"/>
  <c r="AK184" i="2"/>
  <c r="AZ184" i="2" s="1"/>
  <c r="AK263" i="2"/>
  <c r="AZ263" i="2" s="1"/>
  <c r="AK566" i="2"/>
  <c r="AZ566" i="2" s="1"/>
  <c r="AK163" i="2"/>
  <c r="AZ163" i="2" s="1"/>
  <c r="AK219" i="2"/>
  <c r="AZ219" i="2" s="1"/>
  <c r="AJ120" i="2"/>
  <c r="AL566" i="2"/>
  <c r="AL87" i="2"/>
  <c r="AJ217" i="2"/>
  <c r="AK46" i="2"/>
  <c r="AZ46" i="2" s="1"/>
  <c r="AL583" i="2"/>
  <c r="AK221" i="2"/>
  <c r="AZ221" i="2" s="1"/>
  <c r="AL565" i="2"/>
  <c r="AK142" i="2"/>
  <c r="AZ142" i="2" s="1"/>
  <c r="AK258" i="2"/>
  <c r="AZ258" i="2" s="1"/>
  <c r="AK379" i="2"/>
  <c r="AZ379" i="2" s="1"/>
  <c r="AJ447" i="2"/>
  <c r="AL420" i="2"/>
  <c r="AL238" i="2"/>
  <c r="AK355" i="2"/>
  <c r="AZ355" i="2" s="1"/>
  <c r="AK445" i="2"/>
  <c r="AL296" i="2"/>
  <c r="AK455" i="2"/>
  <c r="AK484" i="2"/>
  <c r="AZ484" i="2" s="1"/>
  <c r="AJ362" i="2"/>
  <c r="AK226" i="2"/>
  <c r="AZ226" i="2" s="1"/>
  <c r="AK296" i="2"/>
  <c r="AZ296" i="2" s="1"/>
  <c r="AL485" i="2"/>
  <c r="AL300" i="2"/>
  <c r="AK486" i="2"/>
  <c r="AZ486" i="2" s="1"/>
  <c r="AK481" i="2"/>
  <c r="AK426" i="2"/>
  <c r="AZ426" i="2" s="1"/>
  <c r="AK577" i="2"/>
  <c r="AL359" i="2"/>
  <c r="AK621" i="2"/>
  <c r="AZ621" i="2" s="1"/>
  <c r="AK582" i="2"/>
  <c r="AL364" i="2"/>
  <c r="AK359" i="2"/>
  <c r="AZ359" i="2" s="1"/>
  <c r="AL621" i="2"/>
  <c r="AL620" i="2"/>
  <c r="AK373" i="2"/>
  <c r="AK202" i="2"/>
  <c r="AZ202" i="2" s="1"/>
  <c r="AK439" i="2"/>
  <c r="AK604" i="2"/>
  <c r="AZ604" i="2" s="1"/>
  <c r="AL105" i="2"/>
  <c r="AK160" i="2"/>
  <c r="AZ160" i="2" s="1"/>
  <c r="AL26" i="2"/>
  <c r="AL71" i="2"/>
  <c r="AL140" i="2"/>
  <c r="AL29" i="2"/>
  <c r="AK265" i="2"/>
  <c r="AZ265" i="2" s="1"/>
  <c r="AK619" i="2"/>
  <c r="AZ619" i="2" s="1"/>
  <c r="AL141" i="2"/>
  <c r="AL122" i="2"/>
  <c r="AK531" i="2"/>
  <c r="AK19" i="2"/>
  <c r="AZ19" i="2" s="1"/>
  <c r="AK494" i="2"/>
  <c r="AZ494" i="2" s="1"/>
  <c r="AL271" i="2"/>
  <c r="AK136" i="2"/>
  <c r="AZ136" i="2" s="1"/>
  <c r="AL120" i="2"/>
  <c r="AJ112" i="2"/>
  <c r="AK290" i="2"/>
  <c r="AZ290" i="2" s="1"/>
  <c r="AK303" i="2"/>
  <c r="AZ303" i="2" s="1"/>
  <c r="AK287" i="2"/>
  <c r="AZ287" i="2" s="1"/>
  <c r="AK129" i="2"/>
  <c r="AZ129" i="2" s="1"/>
  <c r="AK112" i="2"/>
  <c r="AZ112" i="2" s="1"/>
  <c r="AK574" i="2"/>
  <c r="AZ574" i="2" s="1"/>
  <c r="AL189" i="2"/>
  <c r="AK42" i="2"/>
  <c r="AZ42" i="2" s="1"/>
  <c r="AK51" i="2"/>
  <c r="AZ51" i="2" s="1"/>
  <c r="AL215" i="2"/>
  <c r="AK261" i="2"/>
  <c r="AK38" i="2"/>
  <c r="AZ38" i="2" s="1"/>
  <c r="AK24" i="2"/>
  <c r="AZ24" i="2" s="1"/>
  <c r="AK616" i="2"/>
  <c r="AK117" i="2"/>
  <c r="AZ117" i="2" s="1"/>
  <c r="AL28" i="2"/>
  <c r="AK143" i="2"/>
  <c r="AZ143" i="2" s="1"/>
  <c r="AL518" i="2"/>
  <c r="AL103" i="2"/>
  <c r="AK147" i="2"/>
  <c r="AZ147" i="2" s="1"/>
  <c r="AJ203" i="2"/>
  <c r="AK410" i="2"/>
  <c r="AZ410" i="2" s="1"/>
  <c r="AK137" i="2"/>
  <c r="AZ137" i="2" s="1"/>
  <c r="AJ225" i="2"/>
  <c r="AL353" i="2"/>
  <c r="AJ158" i="2"/>
  <c r="AL372" i="2"/>
  <c r="AL190" i="2"/>
  <c r="AL360" i="2"/>
  <c r="AL70" i="2"/>
  <c r="AK488" i="2"/>
  <c r="AZ488" i="2" s="1"/>
  <c r="AL378" i="2"/>
  <c r="AK311" i="2"/>
  <c r="AZ311" i="2" s="1"/>
  <c r="AL311" i="2"/>
  <c r="AL365" i="2"/>
  <c r="AK64" i="2"/>
  <c r="AZ64" i="2" s="1"/>
  <c r="AK11" i="2"/>
  <c r="AZ11" i="2" s="1"/>
  <c r="AJ530" i="2"/>
  <c r="AK14" i="2"/>
  <c r="AZ14" i="2" s="1"/>
  <c r="AK15" i="2"/>
  <c r="AZ15" i="2" s="1"/>
  <c r="AL199" i="2"/>
  <c r="AK243" i="2"/>
  <c r="AZ243" i="2" s="1"/>
  <c r="AL69" i="2"/>
  <c r="AL40" i="2"/>
  <c r="AK57" i="2"/>
  <c r="AZ57" i="2" s="1"/>
  <c r="AL41" i="2"/>
  <c r="AL65" i="2"/>
  <c r="AL168" i="2"/>
  <c r="AL322" i="2"/>
  <c r="AL486" i="2"/>
  <c r="AL72" i="2"/>
  <c r="AL461" i="2"/>
  <c r="AL562" i="2"/>
  <c r="AL218" i="2"/>
  <c r="AL73" i="2"/>
  <c r="AL362" i="2"/>
  <c r="AK172" i="2"/>
  <c r="AZ172" i="2" s="1"/>
  <c r="AK80" i="2"/>
  <c r="AZ80" i="2" s="1"/>
  <c r="AK279" i="2"/>
  <c r="AZ279" i="2" s="1"/>
  <c r="AL35" i="2"/>
  <c r="AL470" i="2"/>
  <c r="AL43" i="2"/>
  <c r="AK87" i="2"/>
  <c r="AZ87" i="2" s="1"/>
  <c r="AL143" i="2"/>
  <c r="AJ405" i="2"/>
  <c r="AK314" i="2"/>
  <c r="AZ314" i="2" s="1"/>
  <c r="AK91" i="2"/>
  <c r="AZ91" i="2" s="1"/>
  <c r="AL86" i="2"/>
  <c r="AK565" i="2"/>
  <c r="AZ565" i="2" s="1"/>
  <c r="AK609" i="2"/>
  <c r="AZ609" i="2" s="1"/>
  <c r="AK487" i="2"/>
  <c r="AZ487" i="2" s="1"/>
  <c r="AK460" i="2"/>
  <c r="AZ460" i="2" s="1"/>
  <c r="AK602" i="2"/>
  <c r="AZ602" i="2" s="1"/>
  <c r="AK590" i="2"/>
  <c r="AZ590" i="2" s="1"/>
  <c r="AK449" i="2"/>
  <c r="AZ449" i="2" s="1"/>
  <c r="AJ174" i="2"/>
  <c r="AK490" i="2"/>
  <c r="AZ490" i="2" s="1"/>
  <c r="AK305" i="2"/>
  <c r="AZ305" i="2" s="1"/>
  <c r="AJ131" i="2"/>
  <c r="AJ303" i="2"/>
  <c r="AK443" i="2"/>
  <c r="AZ443" i="2" s="1"/>
  <c r="AL34" i="2"/>
  <c r="AK613" i="2"/>
  <c r="AK389" i="2"/>
  <c r="AZ389" i="2" s="1"/>
  <c r="AK349" i="2"/>
  <c r="AL437" i="2"/>
  <c r="AL328" i="2"/>
  <c r="AJ73" i="2"/>
  <c r="AK118" i="2"/>
  <c r="AZ118" i="2" s="1"/>
  <c r="AL619" i="2"/>
  <c r="AK204" i="2"/>
  <c r="AZ204" i="2" s="1"/>
  <c r="AL22" i="2"/>
  <c r="AL440" i="2"/>
  <c r="AK378" i="2"/>
  <c r="AK385" i="2"/>
  <c r="AK214" i="2"/>
  <c r="AZ214" i="2" s="1"/>
  <c r="AK376" i="2"/>
  <c r="AZ376" i="2" s="1"/>
  <c r="AL433" i="2"/>
  <c r="AK527" i="2"/>
  <c r="AZ527" i="2" s="1"/>
  <c r="AK369" i="2"/>
  <c r="AK474" i="2"/>
  <c r="AZ474" i="2" s="1"/>
  <c r="AL268" i="2"/>
  <c r="AK502" i="2"/>
  <c r="AZ502" i="2" s="1"/>
  <c r="AK465" i="2"/>
  <c r="AK413" i="2"/>
  <c r="AZ413" i="2" s="1"/>
  <c r="AK336" i="2"/>
  <c r="AZ336" i="2" s="1"/>
  <c r="AL435" i="2"/>
  <c r="AL295" i="2"/>
  <c r="AL16" i="2"/>
  <c r="AK435" i="2"/>
  <c r="AZ435" i="2" s="1"/>
  <c r="AK8" i="2"/>
  <c r="AZ8" i="2" s="1"/>
  <c r="AL160" i="2"/>
  <c r="AJ157" i="2"/>
  <c r="AK153" i="2"/>
  <c r="AZ153" i="2" s="1"/>
  <c r="AL18" i="2"/>
  <c r="AK133" i="2"/>
  <c r="AZ133" i="2" s="1"/>
  <c r="AJ127" i="2"/>
  <c r="AL375" i="2"/>
  <c r="AL66" i="2"/>
  <c r="AK194" i="2"/>
  <c r="AZ194" i="2" s="1"/>
  <c r="AL50" i="2"/>
  <c r="AK386" i="2"/>
  <c r="AK127" i="2"/>
  <c r="AZ127" i="2" s="1"/>
  <c r="AK227" i="2"/>
  <c r="AZ227" i="2" s="1"/>
  <c r="AL484" i="2"/>
  <c r="AK7" i="2"/>
  <c r="AZ7" i="2" s="1"/>
  <c r="AK47" i="2"/>
  <c r="AZ47" i="2" s="1"/>
  <c r="AK593" i="2"/>
  <c r="AZ593" i="2" s="1"/>
  <c r="AL303" i="2"/>
  <c r="AK580" i="2"/>
  <c r="AZ580" i="2" s="1"/>
  <c r="AK69" i="2"/>
  <c r="AZ69" i="2" s="1"/>
  <c r="AK229" i="2"/>
  <c r="AZ229" i="2" s="1"/>
  <c r="AJ287" i="2"/>
  <c r="AL9" i="2"/>
  <c r="AL184" i="2"/>
  <c r="AK203" i="2"/>
  <c r="AZ203" i="2" s="1"/>
  <c r="AK555" i="2"/>
  <c r="AL96" i="2"/>
  <c r="AL231" i="2"/>
  <c r="AK422" i="2"/>
  <c r="AZ422" i="2" s="1"/>
  <c r="AL39" i="2"/>
  <c r="AK165" i="2"/>
  <c r="AZ165" i="2" s="1"/>
  <c r="AL11" i="2"/>
  <c r="AL405" i="2"/>
  <c r="AL198" i="2"/>
  <c r="AL241" i="2"/>
  <c r="AL194" i="2"/>
  <c r="AL64" i="2"/>
  <c r="AL25" i="2"/>
  <c r="AL243" i="2"/>
  <c r="AL53" i="2"/>
  <c r="AL169" i="2"/>
  <c r="AJ83" i="2"/>
  <c r="AJ452" i="2"/>
  <c r="AJ336" i="2"/>
  <c r="AJ162" i="2"/>
  <c r="AJ477" i="2"/>
  <c r="AJ555" i="2"/>
  <c r="AJ413" i="2"/>
  <c r="AJ260" i="2"/>
  <c r="AJ455" i="2"/>
  <c r="AJ358" i="2"/>
  <c r="AJ115" i="2"/>
  <c r="AJ473" i="2"/>
  <c r="AJ345" i="2"/>
  <c r="AJ556" i="2"/>
  <c r="AJ409" i="2"/>
  <c r="AJ288" i="2"/>
  <c r="AJ593" i="2"/>
  <c r="AJ118" i="2"/>
  <c r="AJ252" i="2"/>
  <c r="AJ98" i="2"/>
  <c r="AJ114" i="2"/>
  <c r="AJ456" i="2"/>
  <c r="AJ539" i="2"/>
  <c r="AJ387" i="2"/>
  <c r="AJ410" i="2"/>
  <c r="AJ612" i="2"/>
  <c r="AJ571" i="2"/>
  <c r="AJ453" i="2"/>
  <c r="AJ334" i="2"/>
  <c r="AJ248" i="2"/>
  <c r="AJ264" i="2"/>
  <c r="AJ540" i="2"/>
  <c r="AJ384" i="2"/>
  <c r="AJ429" i="2"/>
  <c r="AJ213" i="2"/>
  <c r="AJ613" i="2"/>
  <c r="AJ277" i="2"/>
  <c r="AJ369" i="2"/>
  <c r="AJ432" i="2"/>
  <c r="AJ152" i="2"/>
  <c r="AJ558" i="2"/>
  <c r="AJ525" i="2"/>
  <c r="AJ284" i="2"/>
  <c r="AJ171" i="2"/>
  <c r="AJ517" i="2"/>
  <c r="AJ370" i="2"/>
  <c r="AJ425" i="2"/>
  <c r="AJ356" i="2"/>
  <c r="AJ221" i="2"/>
  <c r="AJ154" i="2"/>
  <c r="AJ357" i="2"/>
  <c r="AJ226" i="2"/>
  <c r="AJ400" i="2"/>
  <c r="AJ401" i="2"/>
  <c r="AJ515" i="2"/>
  <c r="AJ414" i="2"/>
  <c r="AJ222" i="2"/>
  <c r="AJ396" i="2"/>
  <c r="AJ511" i="2"/>
  <c r="AJ161" i="2"/>
  <c r="AJ202" i="2"/>
  <c r="AJ205" i="2"/>
  <c r="AJ614" i="2"/>
  <c r="AJ153" i="2"/>
  <c r="AJ500" i="2"/>
  <c r="AJ572" i="2"/>
  <c r="AJ197" i="2"/>
  <c r="AJ501" i="2"/>
  <c r="AJ508" i="2"/>
  <c r="AJ475" i="2"/>
  <c r="AJ133" i="2"/>
  <c r="AJ577" i="2"/>
  <c r="AJ499" i="2"/>
  <c r="AJ490" i="2"/>
  <c r="AJ308" i="2"/>
  <c r="AJ135" i="2"/>
  <c r="AJ385" i="2"/>
  <c r="AJ173" i="2"/>
  <c r="AJ594" i="2"/>
  <c r="AJ512" i="2"/>
  <c r="AJ505" i="2"/>
  <c r="AJ503" i="2"/>
  <c r="AJ553" i="2"/>
  <c r="AJ408" i="2"/>
  <c r="AJ181" i="2"/>
  <c r="AJ399" i="2"/>
  <c r="AJ317" i="2"/>
  <c r="AJ313" i="2"/>
  <c r="AJ526" i="2"/>
  <c r="AJ590" i="2"/>
  <c r="AJ147" i="2"/>
  <c r="AJ339" i="2"/>
  <c r="AJ216" i="2"/>
  <c r="AJ415" i="2"/>
  <c r="AJ220" i="2"/>
  <c r="AJ513" i="2"/>
  <c r="AJ383" i="2"/>
  <c r="AJ592" i="2"/>
  <c r="AJ335" i="2"/>
  <c r="AJ426" i="2"/>
  <c r="AJ411" i="2"/>
  <c r="AJ431" i="2"/>
  <c r="AJ487" i="2"/>
  <c r="AJ214" i="2"/>
  <c r="AJ132" i="2"/>
  <c r="AJ327" i="2"/>
  <c r="AJ164" i="2"/>
  <c r="AJ265" i="2"/>
  <c r="AJ407" i="2"/>
  <c r="AJ427" i="2"/>
  <c r="AJ371" i="2"/>
  <c r="AJ617" i="2"/>
  <c r="AJ285" i="2"/>
  <c r="AJ337" i="2"/>
  <c r="AJ386" i="2"/>
  <c r="AJ402" i="2"/>
  <c r="AJ227" i="2"/>
  <c r="AJ479" i="2"/>
  <c r="AJ507" i="2"/>
  <c r="AJ576" i="2"/>
  <c r="AJ574" i="2"/>
  <c r="AJ146" i="2"/>
  <c r="AJ148" i="2"/>
  <c r="AJ355" i="2"/>
  <c r="AJ172" i="2"/>
  <c r="AJ491" i="2"/>
  <c r="AJ307" i="2"/>
  <c r="AJ255" i="2"/>
  <c r="AJ529" i="2"/>
  <c r="AJ454" i="2"/>
  <c r="AJ212" i="2"/>
  <c r="AJ134" i="2"/>
  <c r="AJ397" i="2"/>
  <c r="AJ309" i="2"/>
  <c r="AJ251" i="2"/>
  <c r="AJ616" i="2"/>
  <c r="AJ575" i="2"/>
  <c r="AJ338" i="2"/>
  <c r="AJ524" i="2"/>
  <c r="AJ523" i="2"/>
  <c r="AJ247" i="2"/>
  <c r="AJ514" i="2"/>
  <c r="AJ567" i="2"/>
  <c r="AJ326" i="2"/>
  <c r="AJ430" i="2"/>
  <c r="AJ428" i="2"/>
  <c r="AJ480" i="2"/>
  <c r="AJ554" i="2"/>
  <c r="AJ258" i="2"/>
  <c r="AJ253" i="2"/>
  <c r="AJ150" i="2"/>
  <c r="AJ163" i="2"/>
  <c r="AJ424" i="2"/>
  <c r="AJ476" i="2"/>
  <c r="AJ254" i="2"/>
  <c r="AJ183" i="2"/>
  <c r="AJ274" i="2"/>
  <c r="AJ204" i="2"/>
  <c r="AJ516" i="2"/>
  <c r="AJ250" i="2"/>
  <c r="AJ457" i="2"/>
  <c r="AJ104" i="2"/>
  <c r="AJ151" i="2"/>
  <c r="AL159" i="2"/>
  <c r="AJ206" i="2"/>
  <c r="AK362" i="2"/>
  <c r="AZ362" i="2" s="1"/>
  <c r="AK90" i="2"/>
  <c r="AZ90" i="2" s="1"/>
  <c r="AK182" i="2"/>
  <c r="AZ182" i="2" s="1"/>
  <c r="AK595" i="2"/>
  <c r="AZ595" i="2" s="1"/>
  <c r="AK611" i="2"/>
  <c r="AZ611" i="2" s="1"/>
  <c r="AK615" i="2"/>
  <c r="AZ615" i="2" s="1"/>
  <c r="AK498" i="2"/>
  <c r="AK398" i="2"/>
  <c r="AK591" i="2"/>
  <c r="AZ591" i="2" s="1"/>
  <c r="AK109" i="2"/>
  <c r="AZ109" i="2" s="1"/>
  <c r="AK253" i="2"/>
  <c r="AZ253" i="2" s="1"/>
  <c r="AK217" i="2"/>
  <c r="AJ210" i="2"/>
  <c r="AK105" i="2"/>
  <c r="AZ105" i="2" s="1"/>
  <c r="AL30" i="2"/>
  <c r="AK174" i="2"/>
  <c r="AZ174" i="2" s="1"/>
  <c r="AL469" i="2"/>
  <c r="AL394" i="2"/>
  <c r="AJ256" i="2"/>
  <c r="AL305" i="2"/>
  <c r="AL463" i="2"/>
  <c r="AK103" i="2"/>
  <c r="AZ103" i="2" s="1"/>
  <c r="AK169" i="2"/>
  <c r="AZ169" i="2" s="1"/>
  <c r="AK189" i="2"/>
  <c r="AZ189" i="2" s="1"/>
  <c r="AK192" i="2"/>
  <c r="AZ192" i="2" s="1"/>
  <c r="AK124" i="2"/>
  <c r="AZ124" i="2" s="1"/>
  <c r="AK581" i="2"/>
  <c r="AK525" i="2"/>
  <c r="AL581" i="2"/>
  <c r="AK444" i="2"/>
  <c r="AZ444" i="2" s="1"/>
  <c r="AL439" i="2"/>
  <c r="AL240" i="2"/>
  <c r="AJ391" i="2"/>
  <c r="AK339" i="2"/>
  <c r="AZ339" i="2" s="1"/>
  <c r="AK151" i="2"/>
  <c r="AZ151" i="2" s="1"/>
  <c r="AL85" i="2"/>
  <c r="AJ591" i="2"/>
  <c r="AL117" i="2"/>
  <c r="AJ189" i="2"/>
  <c r="AL33" i="2"/>
  <c r="AK148" i="2"/>
  <c r="AZ148" i="2" s="1"/>
  <c r="AL60" i="2"/>
  <c r="AK340" i="2"/>
  <c r="AK446" i="2"/>
  <c r="AK17" i="2"/>
  <c r="AZ17" i="2" s="1"/>
  <c r="AL14" i="2"/>
  <c r="AJ611" i="2"/>
  <c r="AL290" i="2"/>
  <c r="AL19" i="2"/>
  <c r="AK63" i="2"/>
  <c r="AZ63" i="2" s="1"/>
  <c r="AK280" i="2"/>
  <c r="AZ280" i="2" s="1"/>
  <c r="AL21" i="2"/>
  <c r="AL54" i="2"/>
  <c r="AL63" i="2"/>
  <c r="AJ519" i="2"/>
  <c r="AK519" i="2"/>
  <c r="AL187" i="2"/>
  <c r="AK98" i="2"/>
  <c r="AZ98" i="2" s="1"/>
  <c r="AK567" i="2"/>
  <c r="AK164" i="2"/>
  <c r="AZ164" i="2" s="1"/>
  <c r="AL5" i="2"/>
  <c r="AL32" i="2"/>
  <c r="AK28" i="2"/>
  <c r="AZ28" i="2" s="1"/>
  <c r="AL210" i="2"/>
  <c r="AK83" i="2"/>
  <c r="AZ83" i="2" s="1"/>
  <c r="AL351" i="2"/>
  <c r="AL175" i="2"/>
  <c r="AK39" i="2"/>
  <c r="AZ39" i="2" s="1"/>
  <c r="AJ156" i="2"/>
  <c r="AL249" i="2"/>
  <c r="AK30" i="2"/>
  <c r="AZ30" i="2" s="1"/>
  <c r="AK277" i="2"/>
  <c r="AZ277" i="2" s="1"/>
  <c r="AK23" i="2"/>
  <c r="AZ23" i="2" s="1"/>
  <c r="AK600" i="2"/>
  <c r="AZ600" i="2" s="1"/>
  <c r="AL45" i="2"/>
  <c r="AL144" i="2"/>
  <c r="AL421" i="2"/>
  <c r="AL276" i="2"/>
  <c r="AJ119" i="2"/>
  <c r="AK372" i="2"/>
  <c r="AL323" i="2"/>
  <c r="AL380" i="2"/>
  <c r="AJ198" i="2"/>
  <c r="AK506" i="2"/>
  <c r="AZ506" i="2" s="1"/>
  <c r="AK25" i="2"/>
  <c r="AZ25" i="2" s="1"/>
  <c r="AJ169" i="2"/>
  <c r="AJ126" i="2"/>
  <c r="AL81" i="2"/>
  <c r="AK52" i="2"/>
  <c r="AZ52" i="2" s="1"/>
  <c r="AK138" i="2"/>
  <c r="AZ138" i="2" s="1"/>
  <c r="AJ557" i="2"/>
  <c r="AL234" i="2"/>
  <c r="AL15" i="2"/>
  <c r="AL107" i="2"/>
  <c r="AL622" i="2"/>
  <c r="AL6" i="2"/>
  <c r="AL110" i="2"/>
  <c r="AJ23" i="2"/>
  <c r="AL471" i="2"/>
  <c r="AJ207" i="2"/>
  <c r="AK31" i="2"/>
  <c r="AZ31" i="2" s="1"/>
  <c r="AK209" i="2"/>
  <c r="AZ209" i="2" s="1"/>
  <c r="AK96" i="2"/>
  <c r="AZ96" i="2" s="1"/>
  <c r="AK176" i="2"/>
  <c r="AZ176" i="2" s="1"/>
  <c r="AK102" i="2"/>
  <c r="AZ102" i="2" s="1"/>
  <c r="AK193" i="2"/>
  <c r="AZ193" i="2" s="1"/>
  <c r="AK434" i="2"/>
  <c r="AZ434" i="2" s="1"/>
  <c r="AK603" i="2"/>
  <c r="AK599" i="2"/>
  <c r="AZ599" i="2" s="1"/>
  <c r="AK391" i="2"/>
  <c r="AZ391" i="2" s="1"/>
  <c r="AK230" i="2"/>
  <c r="AK188" i="2"/>
  <c r="AZ188" i="2" s="1"/>
  <c r="AK116" i="2"/>
  <c r="AZ116" i="2" s="1"/>
  <c r="AK419" i="2"/>
  <c r="AZ419" i="2" s="1"/>
  <c r="AL49" i="2"/>
  <c r="AK507" i="2"/>
  <c r="AZ507" i="2" s="1"/>
  <c r="AL291" i="2"/>
  <c r="AL84" i="2"/>
  <c r="AK518" i="2"/>
  <c r="AZ518" i="2" s="1"/>
  <c r="AK43" i="2"/>
  <c r="AK86" i="2"/>
  <c r="AZ86" i="2" s="1"/>
  <c r="AJ595" i="2"/>
  <c r="AK45" i="2"/>
  <c r="AZ45" i="2" s="1"/>
  <c r="AK113" i="2"/>
  <c r="AZ113" i="2" s="1"/>
  <c r="AL116" i="2"/>
  <c r="AK562" i="2"/>
  <c r="AK198" i="2"/>
  <c r="AZ198" i="2" s="1"/>
  <c r="AK242" i="2"/>
  <c r="AZ242" i="2" s="1"/>
  <c r="AK251" i="2"/>
  <c r="AZ251" i="2" s="1"/>
  <c r="AL373" i="2"/>
  <c r="AK476" i="2"/>
  <c r="AZ476" i="2" s="1"/>
  <c r="AK462" i="2"/>
  <c r="AZ462" i="2" s="1"/>
  <c r="AL100" i="2"/>
  <c r="AL228" i="2"/>
  <c r="AK405" i="2"/>
  <c r="AK361" i="2"/>
  <c r="AZ361" i="2" s="1"/>
  <c r="AK190" i="2"/>
  <c r="AZ190" i="2" s="1"/>
  <c r="AK260" i="2"/>
  <c r="AK496" i="2"/>
  <c r="AZ496" i="2" s="1"/>
  <c r="AK597" i="2"/>
  <c r="AZ597" i="2" s="1"/>
  <c r="AL319" i="2"/>
  <c r="AJ102" i="2"/>
  <c r="AL478" i="2"/>
  <c r="AK489" i="2"/>
  <c r="AZ489" i="2" s="1"/>
  <c r="AJ398" i="2"/>
  <c r="AK463" i="2"/>
  <c r="AK622" i="2"/>
  <c r="AZ622" i="2" s="1"/>
  <c r="AL445" i="2"/>
  <c r="AK431" i="2"/>
  <c r="AZ431" i="2" s="1"/>
  <c r="AK585" i="2"/>
  <c r="AJ486" i="2"/>
  <c r="AK466" i="2"/>
  <c r="AZ466" i="2" s="1"/>
  <c r="AL585" i="2"/>
  <c r="AL236" i="2"/>
  <c r="AK377" i="2"/>
  <c r="AJ230" i="2"/>
  <c r="AK281" i="2"/>
  <c r="AZ281" i="2" s="1"/>
  <c r="AL580" i="2"/>
  <c r="AK348" i="2"/>
  <c r="AZ348" i="2" s="1"/>
  <c r="AK154" i="2"/>
  <c r="AL582" i="2"/>
  <c r="AJ239" i="2"/>
  <c r="AK407" i="2"/>
  <c r="AZ407" i="2" s="1"/>
  <c r="AK321" i="2"/>
  <c r="AZ321" i="2" s="1"/>
  <c r="AL460" i="2"/>
  <c r="AJ412" i="2"/>
  <c r="AK458" i="2"/>
  <c r="AZ458" i="2" s="1"/>
  <c r="AL177" i="2"/>
  <c r="AK207" i="2"/>
  <c r="AZ207" i="2" s="1"/>
  <c r="AK132" i="2"/>
  <c r="AZ132" i="2" s="1"/>
  <c r="AJ96" i="2"/>
  <c r="AL506" i="2"/>
  <c r="AL12" i="2"/>
  <c r="AL56" i="2"/>
  <c r="AK4" i="2"/>
  <c r="AZ4" i="2" s="1"/>
  <c r="AK239" i="2"/>
  <c r="AZ239" i="2" s="1"/>
  <c r="AK614" i="2"/>
  <c r="AZ614" i="2" s="1"/>
  <c r="AL193" i="2"/>
  <c r="AJ124" i="2"/>
  <c r="AK141" i="2"/>
  <c r="AZ141" i="2" s="1"/>
  <c r="AL138" i="2"/>
  <c r="AK110" i="2"/>
  <c r="AZ110" i="2" s="1"/>
  <c r="AK36" i="2"/>
  <c r="AZ36" i="2" s="1"/>
  <c r="AL544" i="2"/>
  <c r="AK104" i="2"/>
  <c r="AZ104" i="2" s="1"/>
  <c r="AL78" i="2"/>
  <c r="AK50" i="2"/>
  <c r="AZ50" i="2" s="1"/>
  <c r="AJ209" i="2"/>
  <c r="AK55" i="2"/>
  <c r="AZ55" i="2" s="1"/>
  <c r="AJ242" i="2"/>
  <c r="AK459" i="2"/>
  <c r="AZ459" i="2" s="1"/>
  <c r="AK32" i="2"/>
  <c r="AZ32" i="2" s="1"/>
  <c r="AL57" i="2"/>
  <c r="AL230" i="2"/>
  <c r="AL459" i="2"/>
  <c r="AK175" i="2"/>
  <c r="AZ175" i="2" s="1"/>
  <c r="AK231" i="2"/>
  <c r="AJ168" i="2"/>
  <c r="AK470" i="2"/>
  <c r="AZ470" i="2" s="1"/>
  <c r="AK225" i="2"/>
  <c r="AZ225" i="2" s="1"/>
  <c r="AL38" i="2"/>
  <c r="AL465" i="2"/>
  <c r="AK246" i="2"/>
  <c r="AZ246" i="2" s="1"/>
  <c r="AL261" i="2"/>
  <c r="AK97" i="2"/>
  <c r="AZ97" i="2" s="1"/>
  <c r="AK101" i="2"/>
  <c r="AZ101" i="2" s="1"/>
  <c r="AK191" i="2"/>
  <c r="AZ191" i="2" s="1"/>
  <c r="AL416" i="2"/>
  <c r="AL318" i="2"/>
  <c r="AJ182" i="2"/>
  <c r="AL299" i="2"/>
  <c r="AK475" i="2"/>
  <c r="AZ475" i="2" s="1"/>
  <c r="AL142" i="2"/>
  <c r="AL448" i="2"/>
  <c r="AK558" i="2"/>
  <c r="AZ558" i="2" s="1"/>
  <c r="AK583" i="2"/>
  <c r="AZ583" i="2" s="1"/>
  <c r="AK430" i="2"/>
  <c r="AZ430" i="2" s="1"/>
  <c r="AK441" i="2"/>
  <c r="AZ441" i="2" s="1"/>
  <c r="AJ62" i="2"/>
  <c r="AK216" i="2"/>
  <c r="AL489" i="2"/>
  <c r="AK415" i="2"/>
  <c r="AZ415" i="2" s="1"/>
  <c r="AL618" i="2"/>
  <c r="AL342" i="2"/>
  <c r="AL564" i="2"/>
  <c r="AK418" i="2"/>
  <c r="AZ418" i="2" s="1"/>
  <c r="AK477" i="2"/>
  <c r="AZ477" i="2" s="1"/>
  <c r="AK612" i="2"/>
  <c r="AZ612" i="2" s="1"/>
  <c r="AJ419" i="2"/>
  <c r="AL419" i="2"/>
  <c r="AK285" i="2"/>
  <c r="AZ285" i="2" s="1"/>
  <c r="AK403" i="2"/>
  <c r="AZ403" i="2" s="1"/>
  <c r="AL377" i="2"/>
  <c r="AJ289" i="2"/>
  <c r="AK504" i="2"/>
  <c r="AZ504" i="2" s="1"/>
  <c r="AK106" i="2"/>
  <c r="AZ106" i="2" s="1"/>
  <c r="AK233" i="2"/>
  <c r="AZ233" i="2" s="1"/>
  <c r="AL532" i="2"/>
  <c r="AK288" i="2"/>
  <c r="AL106" i="2"/>
  <c r="AK428" i="2"/>
  <c r="AK414" i="2"/>
  <c r="AZ414" i="2" s="1"/>
  <c r="AJ234" i="2"/>
  <c r="AK524" i="2"/>
  <c r="AZ524" i="2" s="1"/>
  <c r="AK78" i="2"/>
  <c r="AZ78" i="2" s="1"/>
  <c r="AK135" i="2"/>
  <c r="AZ135" i="2" s="1"/>
  <c r="AK60" i="2"/>
  <c r="AZ60" i="2" s="1"/>
  <c r="AJ283" i="2"/>
  <c r="AL458" i="2"/>
  <c r="AL31" i="2"/>
  <c r="AK75" i="2"/>
  <c r="AZ75" i="2" s="1"/>
  <c r="AL102" i="2"/>
  <c r="AL531" i="2"/>
  <c r="AL8" i="2"/>
  <c r="AK315" i="2"/>
  <c r="AZ315" i="2" s="1"/>
  <c r="AK179" i="2"/>
  <c r="AZ179" i="2" s="1"/>
  <c r="AK618" i="2"/>
  <c r="AK128" i="2"/>
  <c r="AZ128" i="2" s="1"/>
  <c r="AL52" i="2"/>
  <c r="AK13" i="2"/>
  <c r="AZ13" i="2" s="1"/>
  <c r="AK81" i="2"/>
  <c r="AZ81" i="2" s="1"/>
  <c r="AK54" i="2"/>
  <c r="AZ54" i="2" s="1"/>
  <c r="AL62" i="2"/>
  <c r="AJ123" i="2"/>
  <c r="AL519" i="2"/>
  <c r="AL44" i="2"/>
  <c r="AK65" i="2"/>
  <c r="AZ65" i="2" s="1"/>
  <c r="AK241" i="2"/>
  <c r="AZ241" i="2" s="1"/>
  <c r="AL185" i="2"/>
  <c r="AL363" i="2"/>
  <c r="AL7" i="2"/>
  <c r="AJ192" i="2"/>
  <c r="AL573" i="2"/>
  <c r="AL188" i="2"/>
  <c r="AK156" i="2"/>
  <c r="AZ156" i="2" s="1"/>
  <c r="AK411" i="2"/>
  <c r="AZ411" i="2" s="1"/>
  <c r="AK273" i="2"/>
  <c r="AZ273" i="2" s="1"/>
  <c r="AK159" i="2"/>
  <c r="AZ159" i="2" s="1"/>
  <c r="AJ322" i="2"/>
  <c r="AK374" i="2"/>
  <c r="AL186" i="2"/>
  <c r="AK157" i="2"/>
  <c r="AZ157" i="2" s="1"/>
  <c r="AK495" i="2"/>
  <c r="AZ495" i="2" s="1"/>
  <c r="AK152" i="2"/>
  <c r="AZ152" i="2" s="1"/>
  <c r="AL37" i="2"/>
  <c r="AK158" i="2"/>
  <c r="AZ158" i="2" s="1"/>
  <c r="AL603" i="2"/>
  <c r="AK68" i="2"/>
  <c r="AZ68" i="2" s="1"/>
  <c r="AK16" i="2"/>
  <c r="AZ16" i="2" s="1"/>
  <c r="AK71" i="2"/>
  <c r="AZ71" i="2" s="1"/>
  <c r="AL3" i="2"/>
  <c r="AK346" i="2"/>
  <c r="AZ346" i="2" s="1"/>
  <c r="AL320" i="2"/>
  <c r="AJ193" i="2"/>
  <c r="AK309" i="2"/>
  <c r="AZ309" i="2" s="1"/>
  <c r="AK352" i="2"/>
  <c r="AZ352" i="2" s="1"/>
  <c r="AK228" i="2"/>
  <c r="AL94" i="2"/>
  <c r="AL548" i="2"/>
  <c r="AK400" i="2"/>
  <c r="AL361" i="2"/>
  <c r="AK335" i="2"/>
  <c r="AZ335" i="2" s="1"/>
  <c r="AK393" i="2"/>
  <c r="AL496" i="2"/>
  <c r="AL393" i="2"/>
  <c r="AJ109" i="2"/>
  <c r="AK491" i="2"/>
  <c r="AZ491" i="2" s="1"/>
  <c r="AL441" i="2"/>
  <c r="AK307" i="2"/>
  <c r="AZ307" i="2" s="1"/>
  <c r="AL349" i="2"/>
  <c r="AK323" i="2"/>
  <c r="AK381" i="2"/>
  <c r="AZ381" i="2" s="1"/>
  <c r="AL282" i="2"/>
  <c r="AK429" i="2"/>
  <c r="AZ429" i="2" s="1"/>
  <c r="AL598" i="2"/>
  <c r="AK218" i="2"/>
  <c r="AL527" i="2"/>
  <c r="AL488" i="2"/>
  <c r="AK343" i="2"/>
  <c r="AL329" i="2"/>
  <c r="AJ180" i="2"/>
  <c r="AL444" i="2"/>
  <c r="AK58" i="2"/>
  <c r="AZ58" i="2" s="1"/>
  <c r="AK236" i="2"/>
  <c r="AZ236" i="2" s="1"/>
  <c r="AK520" i="2"/>
  <c r="AZ520" i="2" s="1"/>
  <c r="AJ195" i="2"/>
  <c r="AK240" i="2"/>
  <c r="AZ240" i="2" s="1"/>
  <c r="AL58" i="2"/>
  <c r="AK380" i="2"/>
  <c r="AJ89" i="2"/>
  <c r="AK320" i="2"/>
  <c r="AZ320" i="2" s="1"/>
  <c r="AK318" i="2"/>
  <c r="AZ318" i="2" s="1"/>
  <c r="AK304" i="2"/>
  <c r="AZ304" i="2" s="1"/>
  <c r="AL600" i="2"/>
  <c r="AK350" i="2"/>
  <c r="AL101" i="2"/>
  <c r="AK27" i="2"/>
  <c r="AZ27" i="2" s="1"/>
  <c r="AK12" i="2"/>
  <c r="AZ12" i="2" s="1"/>
  <c r="AJ376" i="2"/>
  <c r="AL350" i="2"/>
  <c r="AK168" i="2"/>
  <c r="AZ168" i="2" s="1"/>
  <c r="AL27" i="2"/>
  <c r="AL483" i="2"/>
  <c r="AK255" i="2"/>
  <c r="AZ255" i="2" s="1"/>
  <c r="AK119" i="2"/>
  <c r="AZ119" i="2" s="1"/>
  <c r="AK271" i="2"/>
  <c r="AZ271" i="2" s="1"/>
  <c r="AL4" i="2"/>
  <c r="AK120" i="2"/>
  <c r="AZ120" i="2" s="1"/>
  <c r="AK21" i="2"/>
  <c r="AZ21" i="2" s="1"/>
  <c r="AK6" i="2"/>
  <c r="AZ6" i="2" s="1"/>
  <c r="AK89" i="2"/>
  <c r="AZ89" i="2" s="1"/>
  <c r="AJ599" i="2"/>
  <c r="AK471" i="2"/>
  <c r="AL92" i="2"/>
  <c r="AK181" i="2"/>
  <c r="AZ181" i="2" s="1"/>
  <c r="AK436" i="2"/>
  <c r="AZ436" i="2" s="1"/>
  <c r="AK623" i="2"/>
  <c r="AZ623" i="2" s="1"/>
  <c r="AK126" i="2"/>
  <c r="AZ126" i="2" s="1"/>
  <c r="AJ128" i="2"/>
  <c r="AL482" i="2"/>
  <c r="AK247" i="2"/>
  <c r="AZ247" i="2" s="1"/>
  <c r="AK84" i="2"/>
  <c r="AZ84" i="2" s="1"/>
  <c r="AK363" i="2"/>
  <c r="AZ363" i="2" s="1"/>
  <c r="AL99" i="2"/>
  <c r="AL275" i="2"/>
  <c r="AL520" i="2"/>
  <c r="AL314" i="2"/>
  <c r="AL97" i="2"/>
  <c r="AL447" i="2"/>
  <c r="AL80" i="2"/>
  <c r="AK49" i="2"/>
  <c r="AZ49" i="2" s="1"/>
  <c r="AL543" i="2"/>
  <c r="AL20" i="2"/>
  <c r="AL137" i="2"/>
  <c r="AL23" i="2"/>
  <c r="M2" i="1"/>
  <c r="BR3" i="2"/>
  <c r="R2" i="1" s="1"/>
  <c r="K22" i="28"/>
  <c r="AO27" i="18"/>
  <c r="AP26" i="18"/>
  <c r="G17" i="18"/>
  <c r="G5" i="18"/>
  <c r="G20" i="18"/>
  <c r="O16" i="18"/>
  <c r="R16" i="18" s="1"/>
  <c r="AA15" i="18"/>
  <c r="AD15" i="18" s="1"/>
  <c r="AB14" i="18"/>
  <c r="AE14" i="18" s="1"/>
  <c r="AA13" i="18"/>
  <c r="AD13" i="18" s="1"/>
  <c r="F13" i="18"/>
  <c r="I13" i="18" s="1"/>
  <c r="E11" i="18"/>
  <c r="Z9" i="18"/>
  <c r="AC9" i="18" s="1"/>
  <c r="F9" i="18"/>
  <c r="I9" i="18" s="1"/>
  <c r="E8" i="18"/>
  <c r="Q6" i="18"/>
  <c r="T6" i="18" s="1"/>
  <c r="Q5" i="18"/>
  <c r="T5" i="18" s="1"/>
  <c r="Q4" i="18"/>
  <c r="T4" i="18" s="1"/>
  <c r="AB21" i="18"/>
  <c r="AE21" i="18" s="1"/>
  <c r="F21" i="18"/>
  <c r="I21" i="18" s="1"/>
  <c r="F24" i="18"/>
  <c r="I24" i="18" s="1"/>
  <c r="D23" i="18"/>
  <c r="F22" i="18"/>
  <c r="I22" i="18" s="1"/>
  <c r="Z21" i="18"/>
  <c r="AC21" i="18" s="1"/>
  <c r="E21" i="18"/>
  <c r="P18" i="18"/>
  <c r="S18" i="18" s="1"/>
  <c r="P17" i="18"/>
  <c r="S17" i="18" s="1"/>
  <c r="Z15" i="18"/>
  <c r="AC15" i="18" s="1"/>
  <c r="F15" i="18"/>
  <c r="I15" i="18" s="1"/>
  <c r="AA14" i="18"/>
  <c r="AD14" i="18" s="1"/>
  <c r="Z13" i="18"/>
  <c r="AC13" i="18" s="1"/>
  <c r="E13" i="18"/>
  <c r="F12" i="18"/>
  <c r="I12" i="18" s="1"/>
  <c r="D11" i="18"/>
  <c r="F10" i="18"/>
  <c r="I10" i="18" s="1"/>
  <c r="E9" i="18"/>
  <c r="D8" i="18"/>
  <c r="P6" i="18"/>
  <c r="S6" i="18" s="1"/>
  <c r="AR5" i="18"/>
  <c r="P5" i="18"/>
  <c r="S5" i="18" s="1"/>
  <c r="P4" i="18"/>
  <c r="S4" i="18" s="1"/>
  <c r="E25" i="18"/>
  <c r="F26" i="18"/>
  <c r="I26" i="18" s="1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I14" i="18" s="1"/>
  <c r="D13" i="18"/>
  <c r="E12" i="18"/>
  <c r="E10" i="18"/>
  <c r="D9" i="18"/>
  <c r="G9" i="18" s="1"/>
  <c r="AR6" i="18"/>
  <c r="O6" i="18"/>
  <c r="R6" i="18" s="1"/>
  <c r="O5" i="18"/>
  <c r="R5" i="18" s="1"/>
  <c r="AR4" i="18"/>
  <c r="O4" i="18"/>
  <c r="R4" i="18" s="1"/>
  <c r="F23" i="18"/>
  <c r="I23" i="18" s="1"/>
  <c r="D7" i="18"/>
  <c r="G7" i="18" s="1"/>
  <c r="D24" i="18"/>
  <c r="D22" i="18"/>
  <c r="P20" i="18"/>
  <c r="Q19" i="18"/>
  <c r="T19" i="18" s="1"/>
  <c r="AR18" i="18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R17" i="18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I16" i="18" s="1"/>
  <c r="D14" i="18"/>
  <c r="Q11" i="18"/>
  <c r="T11" i="18" s="1"/>
  <c r="P8" i="18"/>
  <c r="S8" i="18" s="1"/>
  <c r="AR7" i="18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I4" i="18" s="1"/>
  <c r="AR24" i="18"/>
  <c r="O24" i="18"/>
  <c r="R24" i="18" s="1"/>
  <c r="AR23" i="18"/>
  <c r="AR22" i="18"/>
  <c r="O22" i="18"/>
  <c r="R22" i="18" s="1"/>
  <c r="P21" i="18"/>
  <c r="S21" i="18" s="1"/>
  <c r="AB19" i="18"/>
  <c r="AE19" i="18" s="1"/>
  <c r="AA18" i="18"/>
  <c r="AD18" i="18" s="1"/>
  <c r="F18" i="18"/>
  <c r="I18" i="18" s="1"/>
  <c r="F17" i="18"/>
  <c r="I17" i="18" s="1"/>
  <c r="O15" i="18"/>
  <c r="R15" i="18" s="1"/>
  <c r="O13" i="18"/>
  <c r="R13" i="18" s="1"/>
  <c r="O12" i="18"/>
  <c r="R12" i="18" s="1"/>
  <c r="AR11" i="18"/>
  <c r="AR10" i="18"/>
  <c r="O10" i="18"/>
  <c r="R10" i="18" s="1"/>
  <c r="AR9" i="18"/>
  <c r="O9" i="18"/>
  <c r="R9" i="18" s="1"/>
  <c r="AR8" i="18"/>
  <c r="AB7" i="18"/>
  <c r="AE7" i="18" s="1"/>
  <c r="Z6" i="18"/>
  <c r="AC6" i="18" s="1"/>
  <c r="F6" i="18"/>
  <c r="I6" i="18" s="1"/>
  <c r="F5" i="18"/>
  <c r="I5" i="18" s="1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AR26" i="18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AR14" i="18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I7" i="18" s="1"/>
  <c r="D6" i="18"/>
  <c r="G6" i="18" s="1"/>
  <c r="AQ20" i="18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S26" i="18"/>
  <c r="T4" i="17"/>
  <c r="T3" i="17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I3" i="18" s="1"/>
  <c r="D3" i="18"/>
  <c r="T2" i="17"/>
  <c r="AS233" i="1" l="1"/>
  <c r="AT233" i="1"/>
  <c r="Y233" i="1"/>
  <c r="Z233" i="1"/>
  <c r="AA233" i="1"/>
  <c r="BB233" i="1"/>
  <c r="AQ233" i="1"/>
  <c r="BC233" i="1"/>
  <c r="AR233" i="1"/>
  <c r="AH377" i="1"/>
  <c r="AG377" i="1"/>
  <c r="AJ377" i="1"/>
  <c r="X377" i="1"/>
  <c r="AI377" i="1"/>
  <c r="AI497" i="1"/>
  <c r="AG497" i="1"/>
  <c r="AH497" i="1"/>
  <c r="X497" i="1"/>
  <c r="AJ497" i="1"/>
  <c r="AQ162" i="1"/>
  <c r="BC162" i="1"/>
  <c r="AR162" i="1"/>
  <c r="AT162" i="1"/>
  <c r="Y162" i="1"/>
  <c r="AA162" i="1"/>
  <c r="AS162" i="1"/>
  <c r="BB162" i="1"/>
  <c r="Z162" i="1"/>
  <c r="AH198" i="1"/>
  <c r="X198" i="1"/>
  <c r="AG198" i="1"/>
  <c r="AI198" i="1"/>
  <c r="AJ198" i="1"/>
  <c r="AG450" i="1"/>
  <c r="AH450" i="1"/>
  <c r="AI450" i="1"/>
  <c r="X450" i="1"/>
  <c r="AJ450" i="1"/>
  <c r="AI558" i="1"/>
  <c r="AG558" i="1"/>
  <c r="AH558" i="1"/>
  <c r="AJ558" i="1"/>
  <c r="X558" i="1"/>
  <c r="AG416" i="1"/>
  <c r="AH416" i="1"/>
  <c r="AI416" i="1"/>
  <c r="AJ416" i="1"/>
  <c r="X416" i="1"/>
  <c r="AI548" i="1"/>
  <c r="AH548" i="1"/>
  <c r="AG548" i="1"/>
  <c r="AJ548" i="1"/>
  <c r="X548" i="1"/>
  <c r="X277" i="1"/>
  <c r="AG277" i="1"/>
  <c r="AH277" i="1"/>
  <c r="AI277" i="1"/>
  <c r="AJ277" i="1"/>
  <c r="AR385" i="1"/>
  <c r="AS385" i="1"/>
  <c r="AT385" i="1"/>
  <c r="Y385" i="1"/>
  <c r="Z385" i="1"/>
  <c r="AA385" i="1"/>
  <c r="BB385" i="1"/>
  <c r="AQ385" i="1"/>
  <c r="BC385" i="1"/>
  <c r="AG220" i="1"/>
  <c r="AH220" i="1"/>
  <c r="AI220" i="1"/>
  <c r="X220" i="1"/>
  <c r="AJ220" i="1"/>
  <c r="AQ616" i="1"/>
  <c r="AR616" i="1"/>
  <c r="BC616" i="1"/>
  <c r="AS616" i="1"/>
  <c r="AT616" i="1"/>
  <c r="Y616" i="1"/>
  <c r="Z616" i="1"/>
  <c r="AA616" i="1"/>
  <c r="BB616" i="1"/>
  <c r="X271" i="1"/>
  <c r="AG271" i="1"/>
  <c r="AI271" i="1"/>
  <c r="AH271" i="1"/>
  <c r="AJ271" i="1"/>
  <c r="AG439" i="1"/>
  <c r="X439" i="1"/>
  <c r="AI439" i="1"/>
  <c r="AH439" i="1"/>
  <c r="AJ439" i="1"/>
  <c r="AI547" i="1"/>
  <c r="AJ547" i="1"/>
  <c r="X547" i="1"/>
  <c r="AG547" i="1"/>
  <c r="AH547" i="1"/>
  <c r="AG8" i="1"/>
  <c r="AJ8" i="1"/>
  <c r="X8" i="1"/>
  <c r="AI8" i="1"/>
  <c r="AH8" i="1"/>
  <c r="AQ116" i="1"/>
  <c r="BC116" i="1"/>
  <c r="AR116" i="1"/>
  <c r="AS116" i="1"/>
  <c r="AT116" i="1"/>
  <c r="Y116" i="1"/>
  <c r="Z116" i="1"/>
  <c r="AA116" i="1"/>
  <c r="BB116" i="1"/>
  <c r="Z164" i="1"/>
  <c r="AA164" i="1"/>
  <c r="BB164" i="1"/>
  <c r="AQ164" i="1"/>
  <c r="BC164" i="1"/>
  <c r="AR164" i="1"/>
  <c r="AS164" i="1"/>
  <c r="AT164" i="1"/>
  <c r="Y164" i="1"/>
  <c r="Y272" i="1"/>
  <c r="Z272" i="1"/>
  <c r="AA272" i="1"/>
  <c r="BB272" i="1"/>
  <c r="AQ272" i="1"/>
  <c r="BC272" i="1"/>
  <c r="AR272" i="1"/>
  <c r="AS272" i="1"/>
  <c r="AT272" i="1"/>
  <c r="AA308" i="1"/>
  <c r="AT308" i="1"/>
  <c r="AS308" i="1"/>
  <c r="AR308" i="1"/>
  <c r="BC308" i="1"/>
  <c r="AQ308" i="1"/>
  <c r="BB308" i="1"/>
  <c r="Y308" i="1"/>
  <c r="Z308" i="1"/>
  <c r="AT344" i="1"/>
  <c r="Y344" i="1"/>
  <c r="Z344" i="1"/>
  <c r="AA344" i="1"/>
  <c r="AR344" i="1"/>
  <c r="AS344" i="1"/>
  <c r="BC344" i="1"/>
  <c r="AQ344" i="1"/>
  <c r="BB344" i="1"/>
  <c r="AI512" i="1"/>
  <c r="X512" i="1"/>
  <c r="AG512" i="1"/>
  <c r="AH512" i="1"/>
  <c r="AJ512" i="1"/>
  <c r="X608" i="1"/>
  <c r="AG608" i="1"/>
  <c r="AI608" i="1"/>
  <c r="AJ608" i="1"/>
  <c r="AH608" i="1"/>
  <c r="AJ433" i="1"/>
  <c r="AH433" i="1"/>
  <c r="AG433" i="1"/>
  <c r="AI433" i="1"/>
  <c r="X433" i="1"/>
  <c r="AQ601" i="1"/>
  <c r="BC601" i="1"/>
  <c r="AR601" i="1"/>
  <c r="AS601" i="1"/>
  <c r="AT601" i="1"/>
  <c r="AA601" i="1"/>
  <c r="Y601" i="1"/>
  <c r="Z601" i="1"/>
  <c r="BB601" i="1"/>
  <c r="AR45" i="1"/>
  <c r="AS45" i="1"/>
  <c r="AT45" i="1"/>
  <c r="Y45" i="1"/>
  <c r="Z45" i="1"/>
  <c r="AA45" i="1"/>
  <c r="BB45" i="1"/>
  <c r="AQ45" i="1"/>
  <c r="BC45" i="1"/>
  <c r="X177" i="1"/>
  <c r="AH177" i="1"/>
  <c r="AI177" i="1"/>
  <c r="AJ177" i="1"/>
  <c r="AG177" i="1"/>
  <c r="AT213" i="1"/>
  <c r="AA213" i="1"/>
  <c r="AS213" i="1"/>
  <c r="BB213" i="1"/>
  <c r="AQ213" i="1"/>
  <c r="BC213" i="1"/>
  <c r="AR213" i="1"/>
  <c r="Y213" i="1"/>
  <c r="Z213" i="1"/>
  <c r="Z249" i="1"/>
  <c r="AA249" i="1"/>
  <c r="AQ249" i="1"/>
  <c r="AS249" i="1"/>
  <c r="Y249" i="1"/>
  <c r="BB249" i="1"/>
  <c r="BC249" i="1"/>
  <c r="AR249" i="1"/>
  <c r="AT249" i="1"/>
  <c r="AG297" i="1"/>
  <c r="AH297" i="1"/>
  <c r="AJ297" i="1"/>
  <c r="AI297" i="1"/>
  <c r="X297" i="1"/>
  <c r="AJ405" i="1"/>
  <c r="X405" i="1"/>
  <c r="AG405" i="1"/>
  <c r="AH405" i="1"/>
  <c r="AI405" i="1"/>
  <c r="AG465" i="1"/>
  <c r="AH465" i="1"/>
  <c r="X465" i="1"/>
  <c r="AJ465" i="1"/>
  <c r="AI465" i="1"/>
  <c r="AI501" i="1"/>
  <c r="AG501" i="1"/>
  <c r="AH501" i="1"/>
  <c r="AJ501" i="1"/>
  <c r="X501" i="1"/>
  <c r="AH537" i="1"/>
  <c r="X537" i="1"/>
  <c r="AJ537" i="1"/>
  <c r="AI537" i="1"/>
  <c r="AG537" i="1"/>
  <c r="AI597" i="1"/>
  <c r="AG597" i="1"/>
  <c r="AJ597" i="1"/>
  <c r="AH597" i="1"/>
  <c r="X597" i="1"/>
  <c r="AA419" i="1"/>
  <c r="BB419" i="1"/>
  <c r="AQ419" i="1"/>
  <c r="BC419" i="1"/>
  <c r="AR419" i="1"/>
  <c r="AS419" i="1"/>
  <c r="AT419" i="1"/>
  <c r="Y419" i="1"/>
  <c r="Z419" i="1"/>
  <c r="AI491" i="1"/>
  <c r="X491" i="1"/>
  <c r="AG491" i="1"/>
  <c r="AH491" i="1"/>
  <c r="AJ491" i="1"/>
  <c r="Z587" i="1"/>
  <c r="AA587" i="1"/>
  <c r="BB587" i="1"/>
  <c r="AQ587" i="1"/>
  <c r="AR587" i="1"/>
  <c r="AS587" i="1"/>
  <c r="AT587" i="1"/>
  <c r="BC587" i="1"/>
  <c r="Y587" i="1"/>
  <c r="AG96" i="1"/>
  <c r="AH96" i="1"/>
  <c r="AI96" i="1"/>
  <c r="X96" i="1"/>
  <c r="AJ96" i="1"/>
  <c r="AA492" i="1"/>
  <c r="Z492" i="1"/>
  <c r="AT492" i="1"/>
  <c r="BB492" i="1"/>
  <c r="BC492" i="1"/>
  <c r="AS492" i="1"/>
  <c r="AR492" i="1"/>
  <c r="Y492" i="1"/>
  <c r="AQ492" i="1"/>
  <c r="AI160" i="1"/>
  <c r="AH160" i="1"/>
  <c r="AG160" i="1"/>
  <c r="AJ160" i="1"/>
  <c r="X160" i="1"/>
  <c r="AG388" i="1"/>
  <c r="AH388" i="1"/>
  <c r="X388" i="1"/>
  <c r="AJ388" i="1"/>
  <c r="AI388" i="1"/>
  <c r="BB130" i="1"/>
  <c r="AQ130" i="1"/>
  <c r="BC130" i="1"/>
  <c r="AR130" i="1"/>
  <c r="AS130" i="1"/>
  <c r="AT130" i="1"/>
  <c r="Y130" i="1"/>
  <c r="Z130" i="1"/>
  <c r="AA130" i="1"/>
  <c r="AH214" i="1"/>
  <c r="AI214" i="1"/>
  <c r="X214" i="1"/>
  <c r="AJ214" i="1"/>
  <c r="AG214" i="1"/>
  <c r="AG406" i="1"/>
  <c r="AH406" i="1"/>
  <c r="AI406" i="1"/>
  <c r="AJ406" i="1"/>
  <c r="X406" i="1"/>
  <c r="AG514" i="1"/>
  <c r="AH514" i="1"/>
  <c r="X514" i="1"/>
  <c r="AI514" i="1"/>
  <c r="AJ514" i="1"/>
  <c r="AG83" i="1"/>
  <c r="AI83" i="1"/>
  <c r="AJ83" i="1"/>
  <c r="AH83" i="1"/>
  <c r="X83" i="1"/>
  <c r="AI191" i="1"/>
  <c r="X191" i="1"/>
  <c r="AG191" i="1"/>
  <c r="AH191" i="1"/>
  <c r="AJ191" i="1"/>
  <c r="AG551" i="1"/>
  <c r="AI551" i="1"/>
  <c r="AJ551" i="1"/>
  <c r="AH551" i="1"/>
  <c r="X551" i="1"/>
  <c r="AI146" i="1"/>
  <c r="AG146" i="1"/>
  <c r="AH146" i="1"/>
  <c r="AJ146" i="1"/>
  <c r="X146" i="1"/>
  <c r="BB194" i="1"/>
  <c r="AQ194" i="1"/>
  <c r="BC194" i="1"/>
  <c r="AR194" i="1"/>
  <c r="AS194" i="1"/>
  <c r="AT194" i="1"/>
  <c r="Y194" i="1"/>
  <c r="Z194" i="1"/>
  <c r="AA194" i="1"/>
  <c r="BB326" i="1"/>
  <c r="AQ326" i="1"/>
  <c r="BC326" i="1"/>
  <c r="AR326" i="1"/>
  <c r="AS326" i="1"/>
  <c r="AT326" i="1"/>
  <c r="Y326" i="1"/>
  <c r="Z326" i="1"/>
  <c r="AA326" i="1"/>
  <c r="AA350" i="1"/>
  <c r="AQ350" i="1"/>
  <c r="BC350" i="1"/>
  <c r="Z350" i="1"/>
  <c r="AR350" i="1"/>
  <c r="AT350" i="1"/>
  <c r="Y350" i="1"/>
  <c r="AS350" i="1"/>
  <c r="BB350" i="1"/>
  <c r="AI458" i="1"/>
  <c r="AH458" i="1"/>
  <c r="X458" i="1"/>
  <c r="AG458" i="1"/>
  <c r="AJ458" i="1"/>
  <c r="X518" i="1"/>
  <c r="AG518" i="1"/>
  <c r="AH518" i="1"/>
  <c r="AI518" i="1"/>
  <c r="AJ518" i="1"/>
  <c r="AG591" i="1"/>
  <c r="AI591" i="1"/>
  <c r="AJ591" i="1"/>
  <c r="X591" i="1"/>
  <c r="AH591" i="1"/>
  <c r="BB27" i="1"/>
  <c r="Z27" i="1"/>
  <c r="AA27" i="1"/>
  <c r="AT27" i="1"/>
  <c r="AS27" i="1"/>
  <c r="AR27" i="1"/>
  <c r="Y27" i="1"/>
  <c r="BC27" i="1"/>
  <c r="AQ27" i="1"/>
  <c r="AG111" i="1"/>
  <c r="AH111" i="1"/>
  <c r="AI111" i="1"/>
  <c r="X111" i="1"/>
  <c r="AJ111" i="1"/>
  <c r="X399" i="1"/>
  <c r="AG399" i="1"/>
  <c r="AH399" i="1"/>
  <c r="AJ399" i="1"/>
  <c r="AI399" i="1"/>
  <c r="Z447" i="1"/>
  <c r="AA447" i="1"/>
  <c r="BB447" i="1"/>
  <c r="AQ447" i="1"/>
  <c r="BC447" i="1"/>
  <c r="AR447" i="1"/>
  <c r="AS447" i="1"/>
  <c r="AT447" i="1"/>
  <c r="Y447" i="1"/>
  <c r="AQ113" i="1"/>
  <c r="AA113" i="1"/>
  <c r="AR113" i="1"/>
  <c r="AS113" i="1"/>
  <c r="AT113" i="1"/>
  <c r="Y113" i="1"/>
  <c r="BC113" i="1"/>
  <c r="BB113" i="1"/>
  <c r="Z113" i="1"/>
  <c r="AH161" i="1"/>
  <c r="AG161" i="1"/>
  <c r="X161" i="1"/>
  <c r="AJ161" i="1"/>
  <c r="AI161" i="1"/>
  <c r="AR461" i="1"/>
  <c r="AS461" i="1"/>
  <c r="AT461" i="1"/>
  <c r="Y461" i="1"/>
  <c r="Z461" i="1"/>
  <c r="AA461" i="1"/>
  <c r="BB461" i="1"/>
  <c r="AQ461" i="1"/>
  <c r="BC461" i="1"/>
  <c r="Y593" i="1"/>
  <c r="AQ593" i="1"/>
  <c r="AA593" i="1"/>
  <c r="AS593" i="1"/>
  <c r="AT593" i="1"/>
  <c r="BB593" i="1"/>
  <c r="BC593" i="1"/>
  <c r="Z593" i="1"/>
  <c r="AR593" i="1"/>
  <c r="Y6" i="1"/>
  <c r="BC6" i="1"/>
  <c r="AQ6" i="1"/>
  <c r="BB6" i="1"/>
  <c r="AT6" i="1"/>
  <c r="AR6" i="1"/>
  <c r="AS6" i="1"/>
  <c r="AA6" i="1"/>
  <c r="Z6" i="1"/>
  <c r="AG354" i="1"/>
  <c r="X354" i="1"/>
  <c r="AI354" i="1"/>
  <c r="AJ354" i="1"/>
  <c r="AH354" i="1"/>
  <c r="AJ402" i="1"/>
  <c r="X402" i="1"/>
  <c r="AG402" i="1"/>
  <c r="AH402" i="1"/>
  <c r="AI402" i="1"/>
  <c r="BC620" i="1"/>
  <c r="AR620" i="1"/>
  <c r="AS620" i="1"/>
  <c r="Y620" i="1"/>
  <c r="Z620" i="1"/>
  <c r="AA620" i="1"/>
  <c r="BB620" i="1"/>
  <c r="AT620" i="1"/>
  <c r="AQ620" i="1"/>
  <c r="AH460" i="1"/>
  <c r="AG460" i="1"/>
  <c r="AJ460" i="1"/>
  <c r="X460" i="1"/>
  <c r="AI460" i="1"/>
  <c r="AI79" i="1"/>
  <c r="AG79" i="1"/>
  <c r="AH79" i="1"/>
  <c r="X79" i="1"/>
  <c r="AJ79" i="1"/>
  <c r="Z127" i="1"/>
  <c r="AS127" i="1"/>
  <c r="AA127" i="1"/>
  <c r="AT127" i="1"/>
  <c r="BB127" i="1"/>
  <c r="AQ127" i="1"/>
  <c r="BC127" i="1"/>
  <c r="AR127" i="1"/>
  <c r="Y127" i="1"/>
  <c r="AG211" i="1"/>
  <c r="AI211" i="1"/>
  <c r="AH211" i="1"/>
  <c r="AJ211" i="1"/>
  <c r="X211" i="1"/>
  <c r="AH331" i="1"/>
  <c r="AG331" i="1"/>
  <c r="AI331" i="1"/>
  <c r="X331" i="1"/>
  <c r="AJ331" i="1"/>
  <c r="Y367" i="1"/>
  <c r="AS367" i="1"/>
  <c r="AR367" i="1"/>
  <c r="BC367" i="1"/>
  <c r="BB367" i="1"/>
  <c r="Z367" i="1"/>
  <c r="AA367" i="1"/>
  <c r="AQ367" i="1"/>
  <c r="AT367" i="1"/>
  <c r="AG499" i="1"/>
  <c r="AH499" i="1"/>
  <c r="AJ499" i="1"/>
  <c r="X499" i="1"/>
  <c r="AI499" i="1"/>
  <c r="AT44" i="1"/>
  <c r="Z44" i="1"/>
  <c r="Y44" i="1"/>
  <c r="AA44" i="1"/>
  <c r="BB44" i="1"/>
  <c r="AQ44" i="1"/>
  <c r="BC44" i="1"/>
  <c r="AR44" i="1"/>
  <c r="AS44" i="1"/>
  <c r="AH200" i="1"/>
  <c r="AJ200" i="1"/>
  <c r="X200" i="1"/>
  <c r="AG200" i="1"/>
  <c r="AI200" i="1"/>
  <c r="X145" i="1"/>
  <c r="AJ145" i="1"/>
  <c r="AG145" i="1"/>
  <c r="AH145" i="1"/>
  <c r="AI145" i="1"/>
  <c r="AI325" i="1"/>
  <c r="AG325" i="1"/>
  <c r="AH325" i="1"/>
  <c r="AJ325" i="1"/>
  <c r="X325" i="1"/>
  <c r="Y472" i="1"/>
  <c r="AA472" i="1"/>
  <c r="AS472" i="1"/>
  <c r="Z472" i="1"/>
  <c r="BB472" i="1"/>
  <c r="AQ472" i="1"/>
  <c r="BC472" i="1"/>
  <c r="AR472" i="1"/>
  <c r="AT472" i="1"/>
  <c r="BB141" i="1"/>
  <c r="AQ141" i="1"/>
  <c r="BC141" i="1"/>
  <c r="AR141" i="1"/>
  <c r="AS141" i="1"/>
  <c r="Y141" i="1"/>
  <c r="Z141" i="1"/>
  <c r="AT141" i="1"/>
  <c r="AA141" i="1"/>
  <c r="AG357" i="1"/>
  <c r="AI357" i="1"/>
  <c r="X357" i="1"/>
  <c r="AH357" i="1"/>
  <c r="AJ357" i="1"/>
  <c r="AQ251" i="1"/>
  <c r="BB251" i="1"/>
  <c r="AS251" i="1"/>
  <c r="Y251" i="1"/>
  <c r="AA251" i="1"/>
  <c r="AR251" i="1"/>
  <c r="AT251" i="1"/>
  <c r="Z251" i="1"/>
  <c r="BC251" i="1"/>
  <c r="AG192" i="1"/>
  <c r="X192" i="1"/>
  <c r="AJ192" i="1"/>
  <c r="AH192" i="1"/>
  <c r="AI192" i="1"/>
  <c r="AS264" i="1"/>
  <c r="AT264" i="1"/>
  <c r="AA264" i="1"/>
  <c r="BB264" i="1"/>
  <c r="AQ264" i="1"/>
  <c r="BC264" i="1"/>
  <c r="AR264" i="1"/>
  <c r="Y264" i="1"/>
  <c r="Z264" i="1"/>
  <c r="AG336" i="1"/>
  <c r="AH336" i="1"/>
  <c r="AI336" i="1"/>
  <c r="X336" i="1"/>
  <c r="AJ336" i="1"/>
  <c r="AG444" i="1"/>
  <c r="AI444" i="1"/>
  <c r="AJ444" i="1"/>
  <c r="X444" i="1"/>
  <c r="AH444" i="1"/>
  <c r="AG528" i="1"/>
  <c r="AH528" i="1"/>
  <c r="AJ528" i="1"/>
  <c r="X528" i="1"/>
  <c r="AI528" i="1"/>
  <c r="AG205" i="1"/>
  <c r="AJ205" i="1"/>
  <c r="X205" i="1"/>
  <c r="AI205" i="1"/>
  <c r="AH205" i="1"/>
  <c r="AG16" i="1"/>
  <c r="AI16" i="1"/>
  <c r="X16" i="1"/>
  <c r="AJ16" i="1"/>
  <c r="AH16" i="1"/>
  <c r="AJ58" i="1"/>
  <c r="AI58" i="1"/>
  <c r="AG58" i="1"/>
  <c r="AH58" i="1"/>
  <c r="X58" i="1"/>
  <c r="AQ178" i="1"/>
  <c r="BC178" i="1"/>
  <c r="AR178" i="1"/>
  <c r="AS178" i="1"/>
  <c r="AT178" i="1"/>
  <c r="Y178" i="1"/>
  <c r="Z178" i="1"/>
  <c r="AA178" i="1"/>
  <c r="BB178" i="1"/>
  <c r="X274" i="1"/>
  <c r="AH274" i="1"/>
  <c r="AG274" i="1"/>
  <c r="AI274" i="1"/>
  <c r="AJ274" i="1"/>
  <c r="Y370" i="1"/>
  <c r="AT370" i="1"/>
  <c r="BC370" i="1"/>
  <c r="AA370" i="1"/>
  <c r="AQ370" i="1"/>
  <c r="BB370" i="1"/>
  <c r="AS370" i="1"/>
  <c r="AR370" i="1"/>
  <c r="Z370" i="1"/>
  <c r="AH466" i="1"/>
  <c r="AG466" i="1"/>
  <c r="AI466" i="1"/>
  <c r="AJ466" i="1"/>
  <c r="X466" i="1"/>
  <c r="AH574" i="1"/>
  <c r="AI574" i="1"/>
  <c r="AJ574" i="1"/>
  <c r="AG574" i="1"/>
  <c r="X574" i="1"/>
  <c r="AG11" i="1"/>
  <c r="X11" i="1"/>
  <c r="AH11" i="1"/>
  <c r="AJ11" i="1"/>
  <c r="AI11" i="1"/>
  <c r="BB299" i="1"/>
  <c r="AQ299" i="1"/>
  <c r="BC299" i="1"/>
  <c r="AR299" i="1"/>
  <c r="AT299" i="1"/>
  <c r="Y299" i="1"/>
  <c r="Z299" i="1"/>
  <c r="AA299" i="1"/>
  <c r="AS299" i="1"/>
  <c r="AH383" i="1"/>
  <c r="AG383" i="1"/>
  <c r="AJ383" i="1"/>
  <c r="AI383" i="1"/>
  <c r="X383" i="1"/>
  <c r="Z204" i="1"/>
  <c r="AA204" i="1"/>
  <c r="BB204" i="1"/>
  <c r="AQ204" i="1"/>
  <c r="BC204" i="1"/>
  <c r="AR204" i="1"/>
  <c r="AS204" i="1"/>
  <c r="AT204" i="1"/>
  <c r="Y204" i="1"/>
  <c r="BC276" i="1"/>
  <c r="AR276" i="1"/>
  <c r="AS276" i="1"/>
  <c r="AT276" i="1"/>
  <c r="Y276" i="1"/>
  <c r="Z276" i="1"/>
  <c r="AA276" i="1"/>
  <c r="BB276" i="1"/>
  <c r="AQ276" i="1"/>
  <c r="X480" i="1"/>
  <c r="AG480" i="1"/>
  <c r="AH480" i="1"/>
  <c r="AI480" i="1"/>
  <c r="AJ480" i="1"/>
  <c r="AG612" i="1"/>
  <c r="AJ612" i="1"/>
  <c r="X612" i="1"/>
  <c r="AH612" i="1"/>
  <c r="AI612" i="1"/>
  <c r="X304" i="1"/>
  <c r="AG304" i="1"/>
  <c r="AH304" i="1"/>
  <c r="AI304" i="1"/>
  <c r="AJ304" i="1"/>
  <c r="Z38" i="1"/>
  <c r="AA38" i="1"/>
  <c r="Y38" i="1"/>
  <c r="BB38" i="1"/>
  <c r="AQ38" i="1"/>
  <c r="BC38" i="1"/>
  <c r="AR38" i="1"/>
  <c r="AS38" i="1"/>
  <c r="AT38" i="1"/>
  <c r="AG266" i="1"/>
  <c r="AH266" i="1"/>
  <c r="AI266" i="1"/>
  <c r="X266" i="1"/>
  <c r="AJ266" i="1"/>
  <c r="BB302" i="1"/>
  <c r="AS302" i="1"/>
  <c r="AA302" i="1"/>
  <c r="AT302" i="1"/>
  <c r="Y302" i="1"/>
  <c r="AR302" i="1"/>
  <c r="AQ302" i="1"/>
  <c r="BC302" i="1"/>
  <c r="Z302" i="1"/>
  <c r="AH578" i="1"/>
  <c r="AG578" i="1"/>
  <c r="AJ578" i="1"/>
  <c r="X578" i="1"/>
  <c r="AI578" i="1"/>
  <c r="AI255" i="1"/>
  <c r="AH255" i="1"/>
  <c r="AG255" i="1"/>
  <c r="AJ255" i="1"/>
  <c r="X255" i="1"/>
  <c r="Y483" i="1"/>
  <c r="BB483" i="1"/>
  <c r="AS483" i="1"/>
  <c r="BC483" i="1"/>
  <c r="AT483" i="1"/>
  <c r="Z483" i="1"/>
  <c r="AQ483" i="1"/>
  <c r="AR483" i="1"/>
  <c r="AA483" i="1"/>
  <c r="AT567" i="1"/>
  <c r="AS567" i="1"/>
  <c r="BC567" i="1"/>
  <c r="Y567" i="1"/>
  <c r="AQ567" i="1"/>
  <c r="AA567" i="1"/>
  <c r="AR567" i="1"/>
  <c r="Z567" i="1"/>
  <c r="BB567" i="1"/>
  <c r="AI544" i="1"/>
  <c r="AJ544" i="1"/>
  <c r="X544" i="1"/>
  <c r="AG544" i="1"/>
  <c r="AH544" i="1"/>
  <c r="AG29" i="1"/>
  <c r="AI29" i="1"/>
  <c r="AH29" i="1"/>
  <c r="AJ29" i="1"/>
  <c r="X29" i="1"/>
  <c r="Y197" i="1"/>
  <c r="Z197" i="1"/>
  <c r="AA197" i="1"/>
  <c r="BB197" i="1"/>
  <c r="AQ197" i="1"/>
  <c r="BC197" i="1"/>
  <c r="AR197" i="1"/>
  <c r="AS197" i="1"/>
  <c r="AT197" i="1"/>
  <c r="AG245" i="1"/>
  <c r="AI245" i="1"/>
  <c r="AJ245" i="1"/>
  <c r="X245" i="1"/>
  <c r="AH245" i="1"/>
  <c r="AH281" i="1"/>
  <c r="X281" i="1"/>
  <c r="AG281" i="1"/>
  <c r="AI281" i="1"/>
  <c r="AJ281" i="1"/>
  <c r="AG317" i="1"/>
  <c r="AH317" i="1"/>
  <c r="AJ317" i="1"/>
  <c r="X317" i="1"/>
  <c r="AI317" i="1"/>
  <c r="AH389" i="1"/>
  <c r="AG389" i="1"/>
  <c r="AI389" i="1"/>
  <c r="X389" i="1"/>
  <c r="AJ389" i="1"/>
  <c r="AG509" i="1"/>
  <c r="AH509" i="1"/>
  <c r="X509" i="1"/>
  <c r="AI509" i="1"/>
  <c r="AJ509" i="1"/>
  <c r="AG18" i="1"/>
  <c r="AH18" i="1"/>
  <c r="AI18" i="1"/>
  <c r="X18" i="1"/>
  <c r="AJ18" i="1"/>
  <c r="AQ54" i="1"/>
  <c r="AT54" i="1"/>
  <c r="AR54" i="1"/>
  <c r="AS54" i="1"/>
  <c r="Z54" i="1"/>
  <c r="Y54" i="1"/>
  <c r="BB54" i="1"/>
  <c r="AA54" i="1"/>
  <c r="BC54" i="1"/>
  <c r="Z90" i="1"/>
  <c r="AA90" i="1"/>
  <c r="BB90" i="1"/>
  <c r="AQ90" i="1"/>
  <c r="BC90" i="1"/>
  <c r="AR90" i="1"/>
  <c r="AS90" i="1"/>
  <c r="AT90" i="1"/>
  <c r="Y90" i="1"/>
  <c r="AR138" i="1"/>
  <c r="AS138" i="1"/>
  <c r="AT138" i="1"/>
  <c r="Y138" i="1"/>
  <c r="Z138" i="1"/>
  <c r="BB138" i="1"/>
  <c r="AA138" i="1"/>
  <c r="AQ138" i="1"/>
  <c r="BC138" i="1"/>
  <c r="AH210" i="1"/>
  <c r="AG210" i="1"/>
  <c r="AI210" i="1"/>
  <c r="AJ210" i="1"/>
  <c r="X210" i="1"/>
  <c r="AI258" i="1"/>
  <c r="AG258" i="1"/>
  <c r="AH258" i="1"/>
  <c r="AJ258" i="1"/>
  <c r="X258" i="1"/>
  <c r="AG462" i="1"/>
  <c r="AH462" i="1"/>
  <c r="AI462" i="1"/>
  <c r="X462" i="1"/>
  <c r="AJ462" i="1"/>
  <c r="AI570" i="1"/>
  <c r="X570" i="1"/>
  <c r="AG570" i="1"/>
  <c r="AH570" i="1"/>
  <c r="AJ570" i="1"/>
  <c r="AI464" i="1"/>
  <c r="AH464" i="1"/>
  <c r="AJ464" i="1"/>
  <c r="AG464" i="1"/>
  <c r="X464" i="1"/>
  <c r="AG25" i="1"/>
  <c r="AH25" i="1"/>
  <c r="AI25" i="1"/>
  <c r="X25" i="1"/>
  <c r="AJ25" i="1"/>
  <c r="Y4" i="1"/>
  <c r="Z4" i="1"/>
  <c r="BC4" i="1"/>
  <c r="AA4" i="1"/>
  <c r="AQ4" i="1"/>
  <c r="BB4" i="1"/>
  <c r="AR4" i="1"/>
  <c r="AS4" i="1"/>
  <c r="AT4" i="1"/>
  <c r="AI31" i="1"/>
  <c r="X31" i="1"/>
  <c r="AG31" i="1"/>
  <c r="AH31" i="1"/>
  <c r="AJ31" i="1"/>
  <c r="X283" i="1"/>
  <c r="AG283" i="1"/>
  <c r="AH283" i="1"/>
  <c r="AI283" i="1"/>
  <c r="AJ283" i="1"/>
  <c r="AG379" i="1"/>
  <c r="X379" i="1"/>
  <c r="AH379" i="1"/>
  <c r="AJ379" i="1"/>
  <c r="AI379" i="1"/>
  <c r="AG559" i="1"/>
  <c r="AH559" i="1"/>
  <c r="X559" i="1"/>
  <c r="AJ559" i="1"/>
  <c r="AI559" i="1"/>
  <c r="AG595" i="1"/>
  <c r="AI595" i="1"/>
  <c r="AJ595" i="1"/>
  <c r="X595" i="1"/>
  <c r="AH595" i="1"/>
  <c r="AR92" i="1"/>
  <c r="AS92" i="1"/>
  <c r="AT92" i="1"/>
  <c r="Y92" i="1"/>
  <c r="Z92" i="1"/>
  <c r="AA92" i="1"/>
  <c r="BB92" i="1"/>
  <c r="AQ92" i="1"/>
  <c r="BC92" i="1"/>
  <c r="AG284" i="1"/>
  <c r="AH284" i="1"/>
  <c r="AI284" i="1"/>
  <c r="X284" i="1"/>
  <c r="AJ284" i="1"/>
  <c r="AG320" i="1"/>
  <c r="AH320" i="1"/>
  <c r="X320" i="1"/>
  <c r="AJ320" i="1"/>
  <c r="AI320" i="1"/>
  <c r="AH356" i="1"/>
  <c r="AG356" i="1"/>
  <c r="AJ356" i="1"/>
  <c r="X356" i="1"/>
  <c r="AI356" i="1"/>
  <c r="AG404" i="1"/>
  <c r="AH404" i="1"/>
  <c r="AJ404" i="1"/>
  <c r="X404" i="1"/>
  <c r="AI404" i="1"/>
  <c r="AH469" i="1"/>
  <c r="AG469" i="1"/>
  <c r="AJ469" i="1"/>
  <c r="X469" i="1"/>
  <c r="AI469" i="1"/>
  <c r="AS232" i="1"/>
  <c r="AT232" i="1"/>
  <c r="Z232" i="1"/>
  <c r="AA232" i="1"/>
  <c r="AQ232" i="1"/>
  <c r="Y232" i="1"/>
  <c r="BC232" i="1"/>
  <c r="BB232" i="1"/>
  <c r="AR232" i="1"/>
  <c r="X57" i="1"/>
  <c r="AI57" i="1"/>
  <c r="AG57" i="1"/>
  <c r="AH57" i="1"/>
  <c r="AJ57" i="1"/>
  <c r="Y105" i="1"/>
  <c r="AT105" i="1"/>
  <c r="Z105" i="1"/>
  <c r="AA105" i="1"/>
  <c r="AQ105" i="1"/>
  <c r="BC105" i="1"/>
  <c r="AR105" i="1"/>
  <c r="AS105" i="1"/>
  <c r="BB105" i="1"/>
  <c r="AH309" i="1"/>
  <c r="AG309" i="1"/>
  <c r="AI309" i="1"/>
  <c r="AJ309" i="1"/>
  <c r="X309" i="1"/>
  <c r="X417" i="1"/>
  <c r="AG417" i="1"/>
  <c r="AH417" i="1"/>
  <c r="AI417" i="1"/>
  <c r="AJ417" i="1"/>
  <c r="AI549" i="1"/>
  <c r="AG549" i="1"/>
  <c r="AH549" i="1"/>
  <c r="AJ549" i="1"/>
  <c r="X549" i="1"/>
  <c r="BB23" i="1"/>
  <c r="AS23" i="1"/>
  <c r="AT23" i="1"/>
  <c r="Y23" i="1"/>
  <c r="Z23" i="1"/>
  <c r="AA23" i="1"/>
  <c r="AQ23" i="1"/>
  <c r="BC23" i="1"/>
  <c r="AR23" i="1"/>
  <c r="AI155" i="1"/>
  <c r="AG155" i="1"/>
  <c r="AH155" i="1"/>
  <c r="AJ155" i="1"/>
  <c r="X155" i="1"/>
  <c r="AI503" i="1"/>
  <c r="AG503" i="1"/>
  <c r="AH503" i="1"/>
  <c r="AJ503" i="1"/>
  <c r="X503" i="1"/>
  <c r="X108" i="1"/>
  <c r="AJ108" i="1"/>
  <c r="AG108" i="1"/>
  <c r="AH108" i="1"/>
  <c r="AI108" i="1"/>
  <c r="AG208" i="1"/>
  <c r="X208" i="1"/>
  <c r="AI208" i="1"/>
  <c r="AH208" i="1"/>
  <c r="AJ208" i="1"/>
  <c r="AS94" i="1"/>
  <c r="AT94" i="1"/>
  <c r="BC94" i="1"/>
  <c r="AQ94" i="1"/>
  <c r="AA94" i="1"/>
  <c r="BB94" i="1"/>
  <c r="Y94" i="1"/>
  <c r="AR94" i="1"/>
  <c r="Z94" i="1"/>
  <c r="AI226" i="1"/>
  <c r="X226" i="1"/>
  <c r="AJ226" i="1"/>
  <c r="AH226" i="1"/>
  <c r="AG226" i="1"/>
  <c r="BC322" i="1"/>
  <c r="AR322" i="1"/>
  <c r="AS322" i="1"/>
  <c r="AT322" i="1"/>
  <c r="Y322" i="1"/>
  <c r="Z322" i="1"/>
  <c r="AA322" i="1"/>
  <c r="BB322" i="1"/>
  <c r="AQ322" i="1"/>
  <c r="BB382" i="1"/>
  <c r="AQ382" i="1"/>
  <c r="BC382" i="1"/>
  <c r="AR382" i="1"/>
  <c r="AS382" i="1"/>
  <c r="AT382" i="1"/>
  <c r="Y382" i="1"/>
  <c r="Z382" i="1"/>
  <c r="AA382" i="1"/>
  <c r="AI418" i="1"/>
  <c r="AG418" i="1"/>
  <c r="AH418" i="1"/>
  <c r="AJ418" i="1"/>
  <c r="X418" i="1"/>
  <c r="AG526" i="1"/>
  <c r="X526" i="1"/>
  <c r="AJ526" i="1"/>
  <c r="AH526" i="1"/>
  <c r="AI526" i="1"/>
  <c r="AG95" i="1"/>
  <c r="AH95" i="1"/>
  <c r="AI95" i="1"/>
  <c r="X95" i="1"/>
  <c r="AJ95" i="1"/>
  <c r="BB110" i="1"/>
  <c r="AQ110" i="1"/>
  <c r="BC110" i="1"/>
  <c r="AR110" i="1"/>
  <c r="AA110" i="1"/>
  <c r="Y110" i="1"/>
  <c r="Z110" i="1"/>
  <c r="AS110" i="1"/>
  <c r="AT110" i="1"/>
  <c r="AH158" i="1"/>
  <c r="AJ158" i="1"/>
  <c r="AI158" i="1"/>
  <c r="AG158" i="1"/>
  <c r="X158" i="1"/>
  <c r="AA398" i="1"/>
  <c r="AR398" i="1"/>
  <c r="AS398" i="1"/>
  <c r="AT398" i="1"/>
  <c r="Y398" i="1"/>
  <c r="BB398" i="1"/>
  <c r="Z398" i="1"/>
  <c r="BC398" i="1"/>
  <c r="AQ398" i="1"/>
  <c r="AH470" i="1"/>
  <c r="X470" i="1"/>
  <c r="AI470" i="1"/>
  <c r="AG470" i="1"/>
  <c r="AJ470" i="1"/>
  <c r="AG530" i="1"/>
  <c r="AH530" i="1"/>
  <c r="AI530" i="1"/>
  <c r="AJ530" i="1"/>
  <c r="X530" i="1"/>
  <c r="AG615" i="1"/>
  <c r="AH615" i="1"/>
  <c r="AJ615" i="1"/>
  <c r="X615" i="1"/>
  <c r="AI615" i="1"/>
  <c r="Y75" i="1"/>
  <c r="Z75" i="1"/>
  <c r="BB75" i="1"/>
  <c r="BC75" i="1"/>
  <c r="AQ75" i="1"/>
  <c r="AR75" i="1"/>
  <c r="AA75" i="1"/>
  <c r="AS75" i="1"/>
  <c r="AT75" i="1"/>
  <c r="X123" i="1"/>
  <c r="AH123" i="1"/>
  <c r="AI123" i="1"/>
  <c r="AG123" i="1"/>
  <c r="AJ123" i="1"/>
  <c r="AS219" i="1"/>
  <c r="Y219" i="1"/>
  <c r="BB219" i="1"/>
  <c r="AQ219" i="1"/>
  <c r="BC219" i="1"/>
  <c r="AR219" i="1"/>
  <c r="AT219" i="1"/>
  <c r="Z219" i="1"/>
  <c r="AA219" i="1"/>
  <c r="BB351" i="1"/>
  <c r="AQ351" i="1"/>
  <c r="AR351" i="1"/>
  <c r="BC351" i="1"/>
  <c r="AS351" i="1"/>
  <c r="AT351" i="1"/>
  <c r="Y351" i="1"/>
  <c r="Z351" i="1"/>
  <c r="AA351" i="1"/>
  <c r="AS531" i="1"/>
  <c r="AT531" i="1"/>
  <c r="Y531" i="1"/>
  <c r="Z531" i="1"/>
  <c r="BB531" i="1"/>
  <c r="AQ531" i="1"/>
  <c r="BC531" i="1"/>
  <c r="AA531" i="1"/>
  <c r="AR531" i="1"/>
  <c r="BC66" i="1"/>
  <c r="Y66" i="1"/>
  <c r="Z66" i="1"/>
  <c r="BB66" i="1"/>
  <c r="AR66" i="1"/>
  <c r="AA66" i="1"/>
  <c r="AQ66" i="1"/>
  <c r="AS66" i="1"/>
  <c r="AT66" i="1"/>
  <c r="AG366" i="1"/>
  <c r="AH366" i="1"/>
  <c r="AI366" i="1"/>
  <c r="X366" i="1"/>
  <c r="AJ366" i="1"/>
  <c r="X414" i="1"/>
  <c r="AI414" i="1"/>
  <c r="AG414" i="1"/>
  <c r="AH414" i="1"/>
  <c r="AJ414" i="1"/>
  <c r="AG522" i="1"/>
  <c r="AI522" i="1"/>
  <c r="AJ522" i="1"/>
  <c r="AH522" i="1"/>
  <c r="X522" i="1"/>
  <c r="BB313" i="1"/>
  <c r="AT313" i="1"/>
  <c r="Y313" i="1"/>
  <c r="Z313" i="1"/>
  <c r="AA313" i="1"/>
  <c r="AQ313" i="1"/>
  <c r="BC313" i="1"/>
  <c r="AR313" i="1"/>
  <c r="AS313" i="1"/>
  <c r="BB529" i="1"/>
  <c r="Z529" i="1"/>
  <c r="AR529" i="1"/>
  <c r="AA529" i="1"/>
  <c r="AS529" i="1"/>
  <c r="AT529" i="1"/>
  <c r="Y529" i="1"/>
  <c r="BC529" i="1"/>
  <c r="AQ529" i="1"/>
  <c r="AI412" i="1"/>
  <c r="AJ412" i="1"/>
  <c r="X412" i="1"/>
  <c r="AG412" i="1"/>
  <c r="AH412" i="1"/>
  <c r="AR163" i="1"/>
  <c r="AS163" i="1"/>
  <c r="AT163" i="1"/>
  <c r="Y163" i="1"/>
  <c r="Z163" i="1"/>
  <c r="AA163" i="1"/>
  <c r="BB163" i="1"/>
  <c r="AQ163" i="1"/>
  <c r="BC163" i="1"/>
  <c r="AI511" i="1"/>
  <c r="X511" i="1"/>
  <c r="AJ511" i="1"/>
  <c r="AG511" i="1"/>
  <c r="AH511" i="1"/>
  <c r="X169" i="1"/>
  <c r="AG169" i="1"/>
  <c r="AH169" i="1"/>
  <c r="AI169" i="1"/>
  <c r="AJ169" i="1"/>
  <c r="AH349" i="1"/>
  <c r="AG349" i="1"/>
  <c r="AJ349" i="1"/>
  <c r="X349" i="1"/>
  <c r="AI349" i="1"/>
  <c r="AR448" i="1"/>
  <c r="AQ448" i="1"/>
  <c r="Z448" i="1"/>
  <c r="AA448" i="1"/>
  <c r="BB448" i="1"/>
  <c r="AS448" i="1"/>
  <c r="AT448" i="1"/>
  <c r="Y448" i="1"/>
  <c r="BC448" i="1"/>
  <c r="AI360" i="1"/>
  <c r="AJ360" i="1"/>
  <c r="AG360" i="1"/>
  <c r="AH360" i="1"/>
  <c r="X360" i="1"/>
  <c r="AG552" i="1"/>
  <c r="AH552" i="1"/>
  <c r="AI552" i="1"/>
  <c r="AJ552" i="1"/>
  <c r="X552" i="1"/>
  <c r="Y73" i="1"/>
  <c r="Z73" i="1"/>
  <c r="AA73" i="1"/>
  <c r="BB73" i="1"/>
  <c r="BC73" i="1"/>
  <c r="AQ73" i="1"/>
  <c r="AR73" i="1"/>
  <c r="AS73" i="1"/>
  <c r="AT73" i="1"/>
  <c r="AT241" i="1"/>
  <c r="Y241" i="1"/>
  <c r="AA241" i="1"/>
  <c r="Z241" i="1"/>
  <c r="BB241" i="1"/>
  <c r="AQ241" i="1"/>
  <c r="BC241" i="1"/>
  <c r="AR241" i="1"/>
  <c r="AS241" i="1"/>
  <c r="BB493" i="1"/>
  <c r="AQ493" i="1"/>
  <c r="BC493" i="1"/>
  <c r="AR493" i="1"/>
  <c r="AS493" i="1"/>
  <c r="AT493" i="1"/>
  <c r="Y493" i="1"/>
  <c r="Z493" i="1"/>
  <c r="AA493" i="1"/>
  <c r="AI142" i="1"/>
  <c r="AG142" i="1"/>
  <c r="AH142" i="1"/>
  <c r="AJ142" i="1"/>
  <c r="X142" i="1"/>
  <c r="X286" i="1"/>
  <c r="AG286" i="1"/>
  <c r="AH286" i="1"/>
  <c r="AI286" i="1"/>
  <c r="AJ286" i="1"/>
  <c r="AJ478" i="1"/>
  <c r="AH478" i="1"/>
  <c r="AI478" i="1"/>
  <c r="X478" i="1"/>
  <c r="AG478" i="1"/>
  <c r="AG586" i="1"/>
  <c r="AH586" i="1"/>
  <c r="X586" i="1"/>
  <c r="AJ586" i="1"/>
  <c r="AI586" i="1"/>
  <c r="AG35" i="1"/>
  <c r="AH35" i="1"/>
  <c r="AJ35" i="1"/>
  <c r="X35" i="1"/>
  <c r="AI35" i="1"/>
  <c r="AG407" i="1"/>
  <c r="AJ407" i="1"/>
  <c r="AI407" i="1"/>
  <c r="AH407" i="1"/>
  <c r="X407" i="1"/>
  <c r="X120" i="1"/>
  <c r="AI120" i="1"/>
  <c r="AH120" i="1"/>
  <c r="AG120" i="1"/>
  <c r="AJ120" i="1"/>
  <c r="X384" i="1"/>
  <c r="AG384" i="1"/>
  <c r="AH384" i="1"/>
  <c r="AI384" i="1"/>
  <c r="AJ384" i="1"/>
  <c r="AG504" i="1"/>
  <c r="AH504" i="1"/>
  <c r="AI504" i="1"/>
  <c r="X504" i="1"/>
  <c r="AJ504" i="1"/>
  <c r="AJ52" i="1"/>
  <c r="AG52" i="1"/>
  <c r="AH52" i="1"/>
  <c r="AI52" i="1"/>
  <c r="X52" i="1"/>
  <c r="AH352" i="1"/>
  <c r="AG352" i="1"/>
  <c r="AJ352" i="1"/>
  <c r="X352" i="1"/>
  <c r="AI352" i="1"/>
  <c r="BB592" i="1"/>
  <c r="AQ592" i="1"/>
  <c r="BC592" i="1"/>
  <c r="Y592" i="1"/>
  <c r="AR592" i="1"/>
  <c r="Z592" i="1"/>
  <c r="AS592" i="1"/>
  <c r="AT592" i="1"/>
  <c r="AA592" i="1"/>
  <c r="AG206" i="1"/>
  <c r="AJ206" i="1"/>
  <c r="X206" i="1"/>
  <c r="AH206" i="1"/>
  <c r="AI206" i="1"/>
  <c r="AH590" i="1"/>
  <c r="AJ590" i="1"/>
  <c r="X590" i="1"/>
  <c r="AG590" i="1"/>
  <c r="AI590" i="1"/>
  <c r="AI39" i="1"/>
  <c r="AG39" i="1"/>
  <c r="AH39" i="1"/>
  <c r="AJ39" i="1"/>
  <c r="X39" i="1"/>
  <c r="AH267" i="1"/>
  <c r="AG267" i="1"/>
  <c r="AI267" i="1"/>
  <c r="X267" i="1"/>
  <c r="AJ267" i="1"/>
  <c r="AT303" i="1"/>
  <c r="AR303" i="1"/>
  <c r="AA303" i="1"/>
  <c r="AS303" i="1"/>
  <c r="AQ303" i="1"/>
  <c r="BC303" i="1"/>
  <c r="Z303" i="1"/>
  <c r="Y303" i="1"/>
  <c r="BB303" i="1"/>
  <c r="AG459" i="1"/>
  <c r="AH459" i="1"/>
  <c r="AI459" i="1"/>
  <c r="AJ459" i="1"/>
  <c r="X459" i="1"/>
  <c r="AI495" i="1"/>
  <c r="AG495" i="1"/>
  <c r="AH495" i="1"/>
  <c r="AJ495" i="1"/>
  <c r="X495" i="1"/>
  <c r="Z77" i="1"/>
  <c r="AT77" i="1"/>
  <c r="BB77" i="1"/>
  <c r="AQ77" i="1"/>
  <c r="BC77" i="1"/>
  <c r="AR77" i="1"/>
  <c r="AS77" i="1"/>
  <c r="Y77" i="1"/>
  <c r="AA77" i="1"/>
  <c r="BB173" i="1"/>
  <c r="AQ173" i="1"/>
  <c r="BC173" i="1"/>
  <c r="AR173" i="1"/>
  <c r="AS173" i="1"/>
  <c r="AT173" i="1"/>
  <c r="Y173" i="1"/>
  <c r="Z173" i="1"/>
  <c r="AA173" i="1"/>
  <c r="AH329" i="1"/>
  <c r="AI329" i="1"/>
  <c r="AG329" i="1"/>
  <c r="X329" i="1"/>
  <c r="AJ329" i="1"/>
  <c r="AG222" i="1"/>
  <c r="AH222" i="1"/>
  <c r="AI222" i="1"/>
  <c r="X222" i="1"/>
  <c r="AJ222" i="1"/>
  <c r="AG270" i="1"/>
  <c r="AH270" i="1"/>
  <c r="X270" i="1"/>
  <c r="AJ270" i="1"/>
  <c r="AI270" i="1"/>
  <c r="AH318" i="1"/>
  <c r="AG318" i="1"/>
  <c r="AJ318" i="1"/>
  <c r="X318" i="1"/>
  <c r="AI318" i="1"/>
  <c r="AG474" i="1"/>
  <c r="AH474" i="1"/>
  <c r="X474" i="1"/>
  <c r="AI474" i="1"/>
  <c r="AJ474" i="1"/>
  <c r="AH582" i="1"/>
  <c r="AG582" i="1"/>
  <c r="AJ582" i="1"/>
  <c r="X582" i="1"/>
  <c r="AI582" i="1"/>
  <c r="AI488" i="1"/>
  <c r="AG488" i="1"/>
  <c r="AH488" i="1"/>
  <c r="AJ488" i="1"/>
  <c r="X488" i="1"/>
  <c r="AI421" i="1"/>
  <c r="AH421" i="1"/>
  <c r="AG421" i="1"/>
  <c r="AJ421" i="1"/>
  <c r="X421" i="1"/>
  <c r="AI175" i="1"/>
  <c r="AG175" i="1"/>
  <c r="AH175" i="1"/>
  <c r="AJ175" i="1"/>
  <c r="X175" i="1"/>
  <c r="Y223" i="1"/>
  <c r="Z223" i="1"/>
  <c r="AA223" i="1"/>
  <c r="AQ223" i="1"/>
  <c r="BC223" i="1"/>
  <c r="AR223" i="1"/>
  <c r="AS223" i="1"/>
  <c r="AT223" i="1"/>
  <c r="BB223" i="1"/>
  <c r="AH391" i="1"/>
  <c r="AG391" i="1"/>
  <c r="AI391" i="1"/>
  <c r="X391" i="1"/>
  <c r="AJ391" i="1"/>
  <c r="AR451" i="1"/>
  <c r="AQ451" i="1"/>
  <c r="Z451" i="1"/>
  <c r="AA451" i="1"/>
  <c r="BB451" i="1"/>
  <c r="AS451" i="1"/>
  <c r="Y451" i="1"/>
  <c r="AT451" i="1"/>
  <c r="BC451" i="1"/>
  <c r="AG128" i="1"/>
  <c r="AH128" i="1"/>
  <c r="AI128" i="1"/>
  <c r="X128" i="1"/>
  <c r="AJ128" i="1"/>
  <c r="Z176" i="1"/>
  <c r="AA176" i="1"/>
  <c r="BB176" i="1"/>
  <c r="AQ176" i="1"/>
  <c r="BC176" i="1"/>
  <c r="AR176" i="1"/>
  <c r="AS176" i="1"/>
  <c r="AT176" i="1"/>
  <c r="Y176" i="1"/>
  <c r="Y236" i="1"/>
  <c r="Z236" i="1"/>
  <c r="BB236" i="1"/>
  <c r="AR236" i="1"/>
  <c r="AS236" i="1"/>
  <c r="AT236" i="1"/>
  <c r="AA236" i="1"/>
  <c r="AQ236" i="1"/>
  <c r="BC236" i="1"/>
  <c r="AT332" i="1"/>
  <c r="AA332" i="1"/>
  <c r="BB332" i="1"/>
  <c r="AQ332" i="1"/>
  <c r="BC332" i="1"/>
  <c r="AR332" i="1"/>
  <c r="Y332" i="1"/>
  <c r="Z332" i="1"/>
  <c r="AS332" i="1"/>
  <c r="AI368" i="1"/>
  <c r="AG368" i="1"/>
  <c r="X368" i="1"/>
  <c r="AH368" i="1"/>
  <c r="AJ368" i="1"/>
  <c r="AI428" i="1"/>
  <c r="X428" i="1"/>
  <c r="AJ428" i="1"/>
  <c r="AG428" i="1"/>
  <c r="AH428" i="1"/>
  <c r="AG505" i="1"/>
  <c r="AI505" i="1"/>
  <c r="X505" i="1"/>
  <c r="AJ505" i="1"/>
  <c r="AH505" i="1"/>
  <c r="Y189" i="1"/>
  <c r="BB189" i="1"/>
  <c r="Z189" i="1"/>
  <c r="AA189" i="1"/>
  <c r="AQ189" i="1"/>
  <c r="BC189" i="1"/>
  <c r="AR189" i="1"/>
  <c r="AS189" i="1"/>
  <c r="AT189" i="1"/>
  <c r="BB321" i="1"/>
  <c r="AQ321" i="1"/>
  <c r="BC321" i="1"/>
  <c r="AR321" i="1"/>
  <c r="AS321" i="1"/>
  <c r="AT321" i="1"/>
  <c r="Y321" i="1"/>
  <c r="Z321" i="1"/>
  <c r="AA321" i="1"/>
  <c r="BC477" i="1"/>
  <c r="AT477" i="1"/>
  <c r="Y477" i="1"/>
  <c r="AR477" i="1"/>
  <c r="BB477" i="1"/>
  <c r="AS477" i="1"/>
  <c r="AA477" i="1"/>
  <c r="Z477" i="1"/>
  <c r="AQ477" i="1"/>
  <c r="AI561" i="1"/>
  <c r="AH561" i="1"/>
  <c r="AJ561" i="1"/>
  <c r="X561" i="1"/>
  <c r="AG561" i="1"/>
  <c r="AG179" i="1"/>
  <c r="AJ179" i="1"/>
  <c r="AI179" i="1"/>
  <c r="X179" i="1"/>
  <c r="AH179" i="1"/>
  <c r="Y335" i="1"/>
  <c r="Z335" i="1"/>
  <c r="AQ335" i="1"/>
  <c r="AS335" i="1"/>
  <c r="BB335" i="1"/>
  <c r="AT335" i="1"/>
  <c r="AA335" i="1"/>
  <c r="BC335" i="1"/>
  <c r="AR335" i="1"/>
  <c r="Y24" i="1"/>
  <c r="Z24" i="1"/>
  <c r="AA24" i="1"/>
  <c r="BB24" i="1"/>
  <c r="AT24" i="1"/>
  <c r="AS24" i="1"/>
  <c r="BC24" i="1"/>
  <c r="AR24" i="1"/>
  <c r="AQ24" i="1"/>
  <c r="AI132" i="1"/>
  <c r="AH132" i="1"/>
  <c r="AJ132" i="1"/>
  <c r="AG132" i="1"/>
  <c r="X132" i="1"/>
  <c r="AQ216" i="1"/>
  <c r="BC216" i="1"/>
  <c r="AR216" i="1"/>
  <c r="AT216" i="1"/>
  <c r="Y216" i="1"/>
  <c r="Z216" i="1"/>
  <c r="AA216" i="1"/>
  <c r="AS216" i="1"/>
  <c r="BB216" i="1"/>
  <c r="AR468" i="1"/>
  <c r="Y468" i="1"/>
  <c r="AS468" i="1"/>
  <c r="BB468" i="1"/>
  <c r="AT468" i="1"/>
  <c r="Z468" i="1"/>
  <c r="AA468" i="1"/>
  <c r="BC468" i="1"/>
  <c r="AQ468" i="1"/>
  <c r="AT40" i="1"/>
  <c r="Y40" i="1"/>
  <c r="Z40" i="1"/>
  <c r="AA40" i="1"/>
  <c r="BB40" i="1"/>
  <c r="AQ40" i="1"/>
  <c r="BC40" i="1"/>
  <c r="AR40" i="1"/>
  <c r="AS40" i="1"/>
  <c r="AI268" i="1"/>
  <c r="AJ268" i="1"/>
  <c r="AG268" i="1"/>
  <c r="AH268" i="1"/>
  <c r="X268" i="1"/>
  <c r="Z436" i="1"/>
  <c r="AR436" i="1"/>
  <c r="AS436" i="1"/>
  <c r="AA436" i="1"/>
  <c r="AQ436" i="1"/>
  <c r="BC436" i="1"/>
  <c r="AT436" i="1"/>
  <c r="BB436" i="1"/>
  <c r="Y436" i="1"/>
  <c r="AG334" i="1"/>
  <c r="AH334" i="1"/>
  <c r="X334" i="1"/>
  <c r="AI334" i="1"/>
  <c r="AJ334" i="1"/>
  <c r="AG538" i="1"/>
  <c r="AH538" i="1"/>
  <c r="AJ538" i="1"/>
  <c r="X538" i="1"/>
  <c r="AI538" i="1"/>
  <c r="AH119" i="1"/>
  <c r="AG119" i="1"/>
  <c r="AI119" i="1"/>
  <c r="AJ119" i="1"/>
  <c r="X119" i="1"/>
  <c r="BB575" i="1"/>
  <c r="Y575" i="1"/>
  <c r="AR575" i="1"/>
  <c r="AT575" i="1"/>
  <c r="Z575" i="1"/>
  <c r="BC575" i="1"/>
  <c r="AS575" i="1"/>
  <c r="AA575" i="1"/>
  <c r="AQ575" i="1"/>
  <c r="AR36" i="1"/>
  <c r="BC36" i="1"/>
  <c r="AQ36" i="1"/>
  <c r="Y36" i="1"/>
  <c r="Z36" i="1"/>
  <c r="AA36" i="1"/>
  <c r="BB36" i="1"/>
  <c r="AS36" i="1"/>
  <c r="AT36" i="1"/>
  <c r="AG170" i="1"/>
  <c r="AI170" i="1"/>
  <c r="AH170" i="1"/>
  <c r="AJ170" i="1"/>
  <c r="X170" i="1"/>
  <c r="Z362" i="1"/>
  <c r="AA362" i="1"/>
  <c r="Y362" i="1"/>
  <c r="AS362" i="1"/>
  <c r="BB362" i="1"/>
  <c r="AQ362" i="1"/>
  <c r="BC362" i="1"/>
  <c r="AR362" i="1"/>
  <c r="AT362" i="1"/>
  <c r="AG410" i="1"/>
  <c r="AJ410" i="1"/>
  <c r="AH410" i="1"/>
  <c r="X410" i="1"/>
  <c r="AI410" i="1"/>
  <c r="AG482" i="1"/>
  <c r="AI482" i="1"/>
  <c r="AJ482" i="1"/>
  <c r="AH482" i="1"/>
  <c r="X482" i="1"/>
  <c r="AI542" i="1"/>
  <c r="AG542" i="1"/>
  <c r="AH542" i="1"/>
  <c r="AJ542" i="1"/>
  <c r="X542" i="1"/>
  <c r="AI135" i="1"/>
  <c r="AH135" i="1"/>
  <c r="X135" i="1"/>
  <c r="AG135" i="1"/>
  <c r="AJ135" i="1"/>
  <c r="BC183" i="1"/>
  <c r="AR183" i="1"/>
  <c r="AS183" i="1"/>
  <c r="AT183" i="1"/>
  <c r="Y183" i="1"/>
  <c r="Z183" i="1"/>
  <c r="AA183" i="1"/>
  <c r="BB183" i="1"/>
  <c r="AQ183" i="1"/>
  <c r="AH363" i="1"/>
  <c r="AI363" i="1"/>
  <c r="X363" i="1"/>
  <c r="AG363" i="1"/>
  <c r="AJ363" i="1"/>
  <c r="BC5" i="1"/>
  <c r="AR5" i="1"/>
  <c r="AS5" i="1"/>
  <c r="AT5" i="1"/>
  <c r="Y5" i="1"/>
  <c r="Z5" i="1"/>
  <c r="AA5" i="1"/>
  <c r="BB5" i="1"/>
  <c r="AQ5" i="1"/>
  <c r="AG125" i="1"/>
  <c r="AH125" i="1"/>
  <c r="AI125" i="1"/>
  <c r="X125" i="1"/>
  <c r="AJ125" i="1"/>
  <c r="AG209" i="1"/>
  <c r="AJ209" i="1"/>
  <c r="X209" i="1"/>
  <c r="AH209" i="1"/>
  <c r="AI209" i="1"/>
  <c r="Y257" i="1"/>
  <c r="Z257" i="1"/>
  <c r="AA257" i="1"/>
  <c r="BB257" i="1"/>
  <c r="AQ257" i="1"/>
  <c r="BC257" i="1"/>
  <c r="AR257" i="1"/>
  <c r="AS257" i="1"/>
  <c r="AT257" i="1"/>
  <c r="AQ293" i="1"/>
  <c r="BC293" i="1"/>
  <c r="AT293" i="1"/>
  <c r="Z293" i="1"/>
  <c r="Y293" i="1"/>
  <c r="BB293" i="1"/>
  <c r="AR293" i="1"/>
  <c r="AS293" i="1"/>
  <c r="AA293" i="1"/>
  <c r="AQ401" i="1"/>
  <c r="AR401" i="1"/>
  <c r="AS401" i="1"/>
  <c r="AT401" i="1"/>
  <c r="Y401" i="1"/>
  <c r="Z401" i="1"/>
  <c r="AA401" i="1"/>
  <c r="BB401" i="1"/>
  <c r="BC401" i="1"/>
  <c r="AS425" i="1"/>
  <c r="AT425" i="1"/>
  <c r="Y425" i="1"/>
  <c r="Z425" i="1"/>
  <c r="AA425" i="1"/>
  <c r="BB425" i="1"/>
  <c r="AQ425" i="1"/>
  <c r="BC425" i="1"/>
  <c r="AR425" i="1"/>
  <c r="AH605" i="1"/>
  <c r="X605" i="1"/>
  <c r="AG605" i="1"/>
  <c r="AI605" i="1"/>
  <c r="AJ605" i="1"/>
  <c r="AI102" i="1"/>
  <c r="X102" i="1"/>
  <c r="AJ102" i="1"/>
  <c r="AG102" i="1"/>
  <c r="AH102" i="1"/>
  <c r="X174" i="1"/>
  <c r="AH174" i="1"/>
  <c r="AI174" i="1"/>
  <c r="AJ174" i="1"/>
  <c r="AG174" i="1"/>
  <c r="AI426" i="1"/>
  <c r="AG426" i="1"/>
  <c r="AH426" i="1"/>
  <c r="X426" i="1"/>
  <c r="AJ426" i="1"/>
  <c r="BB49" i="1"/>
  <c r="AQ49" i="1"/>
  <c r="BC49" i="1"/>
  <c r="AR49" i="1"/>
  <c r="AT49" i="1"/>
  <c r="Y49" i="1"/>
  <c r="AS49" i="1"/>
  <c r="Z49" i="1"/>
  <c r="AA49" i="1"/>
  <c r="Y133" i="1"/>
  <c r="Z133" i="1"/>
  <c r="AQ133" i="1"/>
  <c r="AA133" i="1"/>
  <c r="AR133" i="1"/>
  <c r="AS133" i="1"/>
  <c r="AT133" i="1"/>
  <c r="BB133" i="1"/>
  <c r="BC133" i="1"/>
  <c r="AG484" i="1"/>
  <c r="AH484" i="1"/>
  <c r="AJ484" i="1"/>
  <c r="X484" i="1"/>
  <c r="AI484" i="1"/>
  <c r="Y139" i="1"/>
  <c r="AS139" i="1"/>
  <c r="Z139" i="1"/>
  <c r="BB139" i="1"/>
  <c r="AA139" i="1"/>
  <c r="AQ139" i="1"/>
  <c r="BC139" i="1"/>
  <c r="AR139" i="1"/>
  <c r="AT139" i="1"/>
  <c r="AR295" i="1"/>
  <c r="AS295" i="1"/>
  <c r="Z295" i="1"/>
  <c r="BB295" i="1"/>
  <c r="AT295" i="1"/>
  <c r="Y295" i="1"/>
  <c r="AA295" i="1"/>
  <c r="AQ295" i="1"/>
  <c r="BC295" i="1"/>
  <c r="Y343" i="1"/>
  <c r="Z343" i="1"/>
  <c r="AR343" i="1"/>
  <c r="BB343" i="1"/>
  <c r="AS343" i="1"/>
  <c r="AA343" i="1"/>
  <c r="AT343" i="1"/>
  <c r="BC343" i="1"/>
  <c r="AQ343" i="1"/>
  <c r="AS20" i="1"/>
  <c r="AT20" i="1"/>
  <c r="Y20" i="1"/>
  <c r="BB20" i="1"/>
  <c r="Z20" i="1"/>
  <c r="AQ20" i="1"/>
  <c r="AA20" i="1"/>
  <c r="BC20" i="1"/>
  <c r="AR20" i="1"/>
  <c r="AG248" i="1"/>
  <c r="AJ248" i="1"/>
  <c r="X248" i="1"/>
  <c r="AH248" i="1"/>
  <c r="AI248" i="1"/>
  <c r="AT524" i="1"/>
  <c r="AS524" i="1"/>
  <c r="AR524" i="1"/>
  <c r="BB524" i="1"/>
  <c r="AA524" i="1"/>
  <c r="Y524" i="1"/>
  <c r="BC524" i="1"/>
  <c r="AQ524" i="1"/>
  <c r="Z524" i="1"/>
  <c r="X193" i="1"/>
  <c r="AJ193" i="1"/>
  <c r="AG193" i="1"/>
  <c r="AH193" i="1"/>
  <c r="AI193" i="1"/>
  <c r="AG373" i="1"/>
  <c r="AI373" i="1"/>
  <c r="AH373" i="1"/>
  <c r="X373" i="1"/>
  <c r="AJ373" i="1"/>
  <c r="AH568" i="1"/>
  <c r="AI568" i="1"/>
  <c r="X568" i="1"/>
  <c r="AJ568" i="1"/>
  <c r="AG568" i="1"/>
  <c r="AS21" i="1"/>
  <c r="BB21" i="1"/>
  <c r="AR21" i="1"/>
  <c r="AA21" i="1"/>
  <c r="Y21" i="1"/>
  <c r="AQ21" i="1"/>
  <c r="Z21" i="1"/>
  <c r="AT21" i="1"/>
  <c r="BC21" i="1"/>
  <c r="AR69" i="1"/>
  <c r="Y69" i="1"/>
  <c r="Z69" i="1"/>
  <c r="BB69" i="1"/>
  <c r="AA69" i="1"/>
  <c r="AS69" i="1"/>
  <c r="AT69" i="1"/>
  <c r="AQ69" i="1"/>
  <c r="BC69" i="1"/>
  <c r="AI261" i="1"/>
  <c r="AG261" i="1"/>
  <c r="AH261" i="1"/>
  <c r="AJ261" i="1"/>
  <c r="X261" i="1"/>
  <c r="AT429" i="1"/>
  <c r="Y429" i="1"/>
  <c r="Z429" i="1"/>
  <c r="AA429" i="1"/>
  <c r="BB429" i="1"/>
  <c r="AQ429" i="1"/>
  <c r="BC429" i="1"/>
  <c r="AR429" i="1"/>
  <c r="AS429" i="1"/>
  <c r="BB513" i="1"/>
  <c r="AS513" i="1"/>
  <c r="Z513" i="1"/>
  <c r="AT513" i="1"/>
  <c r="AA513" i="1"/>
  <c r="AQ513" i="1"/>
  <c r="BC513" i="1"/>
  <c r="Y513" i="1"/>
  <c r="AR513" i="1"/>
  <c r="BB609" i="1"/>
  <c r="AR609" i="1"/>
  <c r="Z609" i="1"/>
  <c r="AT609" i="1"/>
  <c r="BC609" i="1"/>
  <c r="AA609" i="1"/>
  <c r="AQ609" i="1"/>
  <c r="AS609" i="1"/>
  <c r="Y609" i="1"/>
  <c r="Y288" i="1"/>
  <c r="Z288" i="1"/>
  <c r="AA288" i="1"/>
  <c r="BB288" i="1"/>
  <c r="AQ288" i="1"/>
  <c r="BC288" i="1"/>
  <c r="AR288" i="1"/>
  <c r="AS288" i="1"/>
  <c r="AT288" i="1"/>
  <c r="AG372" i="1"/>
  <c r="AH372" i="1"/>
  <c r="AI372" i="1"/>
  <c r="AJ372" i="1"/>
  <c r="X372" i="1"/>
  <c r="AI576" i="1"/>
  <c r="AG576" i="1"/>
  <c r="AH576" i="1"/>
  <c r="AJ576" i="1"/>
  <c r="X576" i="1"/>
  <c r="AS361" i="1"/>
  <c r="AR361" i="1"/>
  <c r="Z361" i="1"/>
  <c r="BB361" i="1"/>
  <c r="BC361" i="1"/>
  <c r="AA361" i="1"/>
  <c r="AQ361" i="1"/>
  <c r="AT361" i="1"/>
  <c r="Y361" i="1"/>
  <c r="AH553" i="1"/>
  <c r="AI553" i="1"/>
  <c r="AJ553" i="1"/>
  <c r="X553" i="1"/>
  <c r="AG553" i="1"/>
  <c r="BB70" i="1"/>
  <c r="Z70" i="1"/>
  <c r="BC70" i="1"/>
  <c r="AA70" i="1"/>
  <c r="AQ70" i="1"/>
  <c r="AR70" i="1"/>
  <c r="AS70" i="1"/>
  <c r="AT70" i="1"/>
  <c r="Y70" i="1"/>
  <c r="AJ154" i="1"/>
  <c r="AG154" i="1"/>
  <c r="AH154" i="1"/>
  <c r="AI154" i="1"/>
  <c r="X154" i="1"/>
  <c r="AA238" i="1"/>
  <c r="AT238" i="1"/>
  <c r="Y238" i="1"/>
  <c r="Z238" i="1"/>
  <c r="BB238" i="1"/>
  <c r="AQ238" i="1"/>
  <c r="BC238" i="1"/>
  <c r="AR238" i="1"/>
  <c r="AS238" i="1"/>
  <c r="BC430" i="1"/>
  <c r="AR430" i="1"/>
  <c r="AS430" i="1"/>
  <c r="AT430" i="1"/>
  <c r="Y430" i="1"/>
  <c r="Z430" i="1"/>
  <c r="AA430" i="1"/>
  <c r="BB430" i="1"/>
  <c r="AQ430" i="1"/>
  <c r="AQ490" i="1"/>
  <c r="BB490" i="1"/>
  <c r="BC490" i="1"/>
  <c r="AR490" i="1"/>
  <c r="AS490" i="1"/>
  <c r="AT490" i="1"/>
  <c r="Y490" i="1"/>
  <c r="Z490" i="1"/>
  <c r="AA490" i="1"/>
  <c r="AG598" i="1"/>
  <c r="AH598" i="1"/>
  <c r="AI598" i="1"/>
  <c r="X598" i="1"/>
  <c r="AJ598" i="1"/>
  <c r="Y215" i="1"/>
  <c r="BB215" i="1"/>
  <c r="AQ215" i="1"/>
  <c r="BC215" i="1"/>
  <c r="AR215" i="1"/>
  <c r="AS215" i="1"/>
  <c r="AT215" i="1"/>
  <c r="Z215" i="1"/>
  <c r="AA215" i="1"/>
  <c r="AJ228" i="1"/>
  <c r="X228" i="1"/>
  <c r="AG228" i="1"/>
  <c r="AH228" i="1"/>
  <c r="AI228" i="1"/>
  <c r="AG516" i="1"/>
  <c r="AI516" i="1"/>
  <c r="AH516" i="1"/>
  <c r="AJ516" i="1"/>
  <c r="X516" i="1"/>
  <c r="AI88" i="1"/>
  <c r="X88" i="1"/>
  <c r="AG88" i="1"/>
  <c r="AH88" i="1"/>
  <c r="AJ88" i="1"/>
  <c r="AQ74" i="1"/>
  <c r="AT74" i="1"/>
  <c r="AA74" i="1"/>
  <c r="BB74" i="1"/>
  <c r="BC74" i="1"/>
  <c r="AR74" i="1"/>
  <c r="AS74" i="1"/>
  <c r="Y74" i="1"/>
  <c r="Z74" i="1"/>
  <c r="AG218" i="1"/>
  <c r="AJ218" i="1"/>
  <c r="X218" i="1"/>
  <c r="AH218" i="1"/>
  <c r="AI218" i="1"/>
  <c r="AG602" i="1"/>
  <c r="AH602" i="1"/>
  <c r="AI602" i="1"/>
  <c r="AJ602" i="1"/>
  <c r="X602" i="1"/>
  <c r="AS279" i="1"/>
  <c r="AT279" i="1"/>
  <c r="Y279" i="1"/>
  <c r="Z279" i="1"/>
  <c r="AA279" i="1"/>
  <c r="BB279" i="1"/>
  <c r="AQ279" i="1"/>
  <c r="BC279" i="1"/>
  <c r="AR279" i="1"/>
  <c r="AH315" i="1"/>
  <c r="AG315" i="1"/>
  <c r="AJ315" i="1"/>
  <c r="X315" i="1"/>
  <c r="AI315" i="1"/>
  <c r="BC411" i="1"/>
  <c r="AT411" i="1"/>
  <c r="AA411" i="1"/>
  <c r="BB411" i="1"/>
  <c r="Y411" i="1"/>
  <c r="Z411" i="1"/>
  <c r="AQ411" i="1"/>
  <c r="AR411" i="1"/>
  <c r="AS411" i="1"/>
  <c r="AG543" i="1"/>
  <c r="AH543" i="1"/>
  <c r="AI543" i="1"/>
  <c r="X543" i="1"/>
  <c r="AJ543" i="1"/>
  <c r="AT579" i="1"/>
  <c r="BB579" i="1"/>
  <c r="AS579" i="1"/>
  <c r="AQ579" i="1"/>
  <c r="BC579" i="1"/>
  <c r="AR579" i="1"/>
  <c r="AA579" i="1"/>
  <c r="Z579" i="1"/>
  <c r="Y579" i="1"/>
  <c r="AQ41" i="1"/>
  <c r="BC41" i="1"/>
  <c r="AR41" i="1"/>
  <c r="AS41" i="1"/>
  <c r="AT41" i="1"/>
  <c r="Y41" i="1"/>
  <c r="Z41" i="1"/>
  <c r="AA41" i="1"/>
  <c r="BB41" i="1"/>
  <c r="AH89" i="1"/>
  <c r="AI89" i="1"/>
  <c r="X89" i="1"/>
  <c r="AJ89" i="1"/>
  <c r="AG89" i="1"/>
  <c r="AI341" i="1"/>
  <c r="X341" i="1"/>
  <c r="AG341" i="1"/>
  <c r="AH341" i="1"/>
  <c r="AJ341" i="1"/>
  <c r="AG473" i="1"/>
  <c r="AI473" i="1"/>
  <c r="X473" i="1"/>
  <c r="AJ473" i="1"/>
  <c r="AH473" i="1"/>
  <c r="BB557" i="1"/>
  <c r="Y557" i="1"/>
  <c r="BC557" i="1"/>
  <c r="Z557" i="1"/>
  <c r="AT557" i="1"/>
  <c r="AS557" i="1"/>
  <c r="AR557" i="1"/>
  <c r="AA557" i="1"/>
  <c r="AQ557" i="1"/>
  <c r="AA30" i="1"/>
  <c r="Z30" i="1"/>
  <c r="AT30" i="1"/>
  <c r="AS30" i="1"/>
  <c r="BB30" i="1"/>
  <c r="BC30" i="1"/>
  <c r="AQ30" i="1"/>
  <c r="Y30" i="1"/>
  <c r="AR30" i="1"/>
  <c r="AR282" i="1"/>
  <c r="AS282" i="1"/>
  <c r="AT282" i="1"/>
  <c r="Y282" i="1"/>
  <c r="Z282" i="1"/>
  <c r="AA282" i="1"/>
  <c r="BB282" i="1"/>
  <c r="AQ282" i="1"/>
  <c r="BC282" i="1"/>
  <c r="AG330" i="1"/>
  <c r="X330" i="1"/>
  <c r="AH330" i="1"/>
  <c r="AI330" i="1"/>
  <c r="AJ330" i="1"/>
  <c r="AI486" i="1"/>
  <c r="X486" i="1"/>
  <c r="AG486" i="1"/>
  <c r="AH486" i="1"/>
  <c r="AJ486" i="1"/>
  <c r="AS534" i="1"/>
  <c r="AT534" i="1"/>
  <c r="Y534" i="1"/>
  <c r="Z534" i="1"/>
  <c r="AA534" i="1"/>
  <c r="BB534" i="1"/>
  <c r="AQ534" i="1"/>
  <c r="BC534" i="1"/>
  <c r="AR534" i="1"/>
  <c r="AI594" i="1"/>
  <c r="AJ594" i="1"/>
  <c r="AH594" i="1"/>
  <c r="X594" i="1"/>
  <c r="AG594" i="1"/>
  <c r="BB572" i="1"/>
  <c r="AR572" i="1"/>
  <c r="AT572" i="1"/>
  <c r="BC572" i="1"/>
  <c r="AQ572" i="1"/>
  <c r="AS572" i="1"/>
  <c r="AA572" i="1"/>
  <c r="Y572" i="1"/>
  <c r="Z572" i="1"/>
  <c r="AI181" i="1"/>
  <c r="AG181" i="1"/>
  <c r="AH181" i="1"/>
  <c r="AJ181" i="1"/>
  <c r="X181" i="1"/>
  <c r="AH445" i="1"/>
  <c r="X445" i="1"/>
  <c r="AG445" i="1"/>
  <c r="AJ445" i="1"/>
  <c r="AI445" i="1"/>
  <c r="AR64" i="1"/>
  <c r="AS64" i="1"/>
  <c r="BB64" i="1"/>
  <c r="AA64" i="1"/>
  <c r="BC64" i="1"/>
  <c r="Y64" i="1"/>
  <c r="AQ64" i="1"/>
  <c r="Z64" i="1"/>
  <c r="AT64" i="1"/>
  <c r="AS280" i="1"/>
  <c r="AR280" i="1"/>
  <c r="BC280" i="1"/>
  <c r="AA280" i="1"/>
  <c r="AT280" i="1"/>
  <c r="Y280" i="1"/>
  <c r="Z280" i="1"/>
  <c r="BB280" i="1"/>
  <c r="AQ280" i="1"/>
  <c r="BB496" i="1"/>
  <c r="AQ496" i="1"/>
  <c r="BC496" i="1"/>
  <c r="AR496" i="1"/>
  <c r="AS496" i="1"/>
  <c r="AT496" i="1"/>
  <c r="Y496" i="1"/>
  <c r="Z496" i="1"/>
  <c r="AA496" i="1"/>
  <c r="AA43" i="1"/>
  <c r="BB43" i="1"/>
  <c r="AQ43" i="1"/>
  <c r="BC43" i="1"/>
  <c r="AR43" i="1"/>
  <c r="AT43" i="1"/>
  <c r="AS43" i="1"/>
  <c r="Y43" i="1"/>
  <c r="Z43" i="1"/>
  <c r="AQ91" i="1"/>
  <c r="BB91" i="1"/>
  <c r="BC91" i="1"/>
  <c r="AT91" i="1"/>
  <c r="AR91" i="1"/>
  <c r="AS91" i="1"/>
  <c r="Z91" i="1"/>
  <c r="Y91" i="1"/>
  <c r="AA91" i="1"/>
  <c r="AG235" i="1"/>
  <c r="AH235" i="1"/>
  <c r="AI235" i="1"/>
  <c r="X235" i="1"/>
  <c r="AJ235" i="1"/>
  <c r="AG403" i="1"/>
  <c r="AH403" i="1"/>
  <c r="AI403" i="1"/>
  <c r="AJ403" i="1"/>
  <c r="X403" i="1"/>
  <c r="AH140" i="1"/>
  <c r="AG140" i="1"/>
  <c r="AI140" i="1"/>
  <c r="X140" i="1"/>
  <c r="AJ140" i="1"/>
  <c r="AQ212" i="1"/>
  <c r="BC212" i="1"/>
  <c r="AR212" i="1"/>
  <c r="AS212" i="1"/>
  <c r="AT212" i="1"/>
  <c r="Y212" i="1"/>
  <c r="Z212" i="1"/>
  <c r="AA212" i="1"/>
  <c r="BB212" i="1"/>
  <c r="AA296" i="1"/>
  <c r="AS296" i="1"/>
  <c r="BB296" i="1"/>
  <c r="AQ296" i="1"/>
  <c r="BC296" i="1"/>
  <c r="AR296" i="1"/>
  <c r="AT296" i="1"/>
  <c r="Y296" i="1"/>
  <c r="Z296" i="1"/>
  <c r="BC380" i="1"/>
  <c r="AR380" i="1"/>
  <c r="AS380" i="1"/>
  <c r="AT380" i="1"/>
  <c r="Y380" i="1"/>
  <c r="Z380" i="1"/>
  <c r="AA380" i="1"/>
  <c r="BB380" i="1"/>
  <c r="AQ380" i="1"/>
  <c r="X440" i="1"/>
  <c r="AG440" i="1"/>
  <c r="AH440" i="1"/>
  <c r="AI440" i="1"/>
  <c r="AJ440" i="1"/>
  <c r="AG560" i="1"/>
  <c r="X560" i="1"/>
  <c r="AJ560" i="1"/>
  <c r="AH560" i="1"/>
  <c r="AI560" i="1"/>
  <c r="BB13" i="1"/>
  <c r="Z13" i="1"/>
  <c r="AQ13" i="1"/>
  <c r="AR13" i="1"/>
  <c r="BC13" i="1"/>
  <c r="AS13" i="1"/>
  <c r="AT13" i="1"/>
  <c r="Y13" i="1"/>
  <c r="AA13" i="1"/>
  <c r="X541" i="1"/>
  <c r="AG541" i="1"/>
  <c r="AH541" i="1"/>
  <c r="AI541" i="1"/>
  <c r="AJ541" i="1"/>
  <c r="AH340" i="1"/>
  <c r="AG340" i="1"/>
  <c r="AJ340" i="1"/>
  <c r="X340" i="1"/>
  <c r="AI340" i="1"/>
  <c r="Z153" i="1"/>
  <c r="AA153" i="1"/>
  <c r="BB153" i="1"/>
  <c r="AQ153" i="1"/>
  <c r="BC153" i="1"/>
  <c r="AR153" i="1"/>
  <c r="AS153" i="1"/>
  <c r="AT153" i="1"/>
  <c r="Y153" i="1"/>
  <c r="AQ369" i="1"/>
  <c r="BC369" i="1"/>
  <c r="AR369" i="1"/>
  <c r="AS369" i="1"/>
  <c r="AT369" i="1"/>
  <c r="BB369" i="1"/>
  <c r="Y369" i="1"/>
  <c r="Z369" i="1"/>
  <c r="AA369" i="1"/>
  <c r="AH359" i="1"/>
  <c r="AG359" i="1"/>
  <c r="AJ359" i="1"/>
  <c r="X359" i="1"/>
  <c r="AI359" i="1"/>
  <c r="AH121" i="1"/>
  <c r="AG121" i="1"/>
  <c r="AI121" i="1"/>
  <c r="AJ121" i="1"/>
  <c r="X121" i="1"/>
  <c r="AI292" i="1"/>
  <c r="AG292" i="1"/>
  <c r="AH292" i="1"/>
  <c r="AJ292" i="1"/>
  <c r="X292" i="1"/>
  <c r="BB10" i="1"/>
  <c r="BC10" i="1"/>
  <c r="AQ10" i="1"/>
  <c r="AT10" i="1"/>
  <c r="AR10" i="1"/>
  <c r="AS10" i="1"/>
  <c r="Z10" i="1"/>
  <c r="AA10" i="1"/>
  <c r="Y10" i="1"/>
  <c r="AI106" i="1"/>
  <c r="AH106" i="1"/>
  <c r="AJ106" i="1"/>
  <c r="X106" i="1"/>
  <c r="AG106" i="1"/>
  <c r="AH346" i="1"/>
  <c r="X346" i="1"/>
  <c r="AG346" i="1"/>
  <c r="AJ346" i="1"/>
  <c r="AI346" i="1"/>
  <c r="AR47" i="1"/>
  <c r="AS47" i="1"/>
  <c r="AT47" i="1"/>
  <c r="Y47" i="1"/>
  <c r="Z47" i="1"/>
  <c r="AA47" i="1"/>
  <c r="BB47" i="1"/>
  <c r="AQ47" i="1"/>
  <c r="BC47" i="1"/>
  <c r="AI131" i="1"/>
  <c r="AH131" i="1"/>
  <c r="AG131" i="1"/>
  <c r="AJ131" i="1"/>
  <c r="X131" i="1"/>
  <c r="AG323" i="1"/>
  <c r="AH323" i="1"/>
  <c r="AI323" i="1"/>
  <c r="AJ323" i="1"/>
  <c r="X323" i="1"/>
  <c r="BB479" i="1"/>
  <c r="Y479" i="1"/>
  <c r="BC479" i="1"/>
  <c r="AQ479" i="1"/>
  <c r="AS479" i="1"/>
  <c r="AT479" i="1"/>
  <c r="Z479" i="1"/>
  <c r="AA479" i="1"/>
  <c r="AR479" i="1"/>
  <c r="AI599" i="1"/>
  <c r="AH599" i="1"/>
  <c r="AJ599" i="1"/>
  <c r="X599" i="1"/>
  <c r="AG599" i="1"/>
  <c r="AT300" i="1"/>
  <c r="BB300" i="1"/>
  <c r="BC300" i="1"/>
  <c r="Y300" i="1"/>
  <c r="AQ300" i="1"/>
  <c r="Z300" i="1"/>
  <c r="AA300" i="1"/>
  <c r="AR300" i="1"/>
  <c r="AS300" i="1"/>
  <c r="AA50" i="1"/>
  <c r="BB50" i="1"/>
  <c r="AQ50" i="1"/>
  <c r="BC50" i="1"/>
  <c r="AR50" i="1"/>
  <c r="AT50" i="1"/>
  <c r="Y50" i="1"/>
  <c r="AS50" i="1"/>
  <c r="Z50" i="1"/>
  <c r="AH122" i="1"/>
  <c r="AG122" i="1"/>
  <c r="AI122" i="1"/>
  <c r="AJ122" i="1"/>
  <c r="X122" i="1"/>
  <c r="BC278" i="1"/>
  <c r="AR278" i="1"/>
  <c r="AS278" i="1"/>
  <c r="AT278" i="1"/>
  <c r="Z278" i="1"/>
  <c r="Y278" i="1"/>
  <c r="AA278" i="1"/>
  <c r="BB278" i="1"/>
  <c r="AQ278" i="1"/>
  <c r="AS314" i="1"/>
  <c r="AA314" i="1"/>
  <c r="BB314" i="1"/>
  <c r="AQ314" i="1"/>
  <c r="BC314" i="1"/>
  <c r="AR314" i="1"/>
  <c r="AT314" i="1"/>
  <c r="Y314" i="1"/>
  <c r="Z314" i="1"/>
  <c r="Y338" i="1"/>
  <c r="AQ338" i="1"/>
  <c r="AS338" i="1"/>
  <c r="AA338" i="1"/>
  <c r="BB338" i="1"/>
  <c r="AR338" i="1"/>
  <c r="AT338" i="1"/>
  <c r="BC338" i="1"/>
  <c r="Z338" i="1"/>
  <c r="AG422" i="1"/>
  <c r="AI422" i="1"/>
  <c r="AH422" i="1"/>
  <c r="AJ422" i="1"/>
  <c r="X422" i="1"/>
  <c r="BB51" i="1"/>
  <c r="Z51" i="1"/>
  <c r="AS51" i="1"/>
  <c r="Y51" i="1"/>
  <c r="AQ51" i="1"/>
  <c r="AT51" i="1"/>
  <c r="BC51" i="1"/>
  <c r="AR51" i="1"/>
  <c r="AA51" i="1"/>
  <c r="Y87" i="1"/>
  <c r="Z87" i="1"/>
  <c r="AA87" i="1"/>
  <c r="BB87" i="1"/>
  <c r="AQ87" i="1"/>
  <c r="BC87" i="1"/>
  <c r="AR87" i="1"/>
  <c r="AS87" i="1"/>
  <c r="AT87" i="1"/>
  <c r="AH147" i="1"/>
  <c r="AG147" i="1"/>
  <c r="AI147" i="1"/>
  <c r="AJ147" i="1"/>
  <c r="X147" i="1"/>
  <c r="AI423" i="1"/>
  <c r="AG423" i="1"/>
  <c r="AH423" i="1"/>
  <c r="AJ423" i="1"/>
  <c r="X423" i="1"/>
  <c r="AQ507" i="1"/>
  <c r="BC507" i="1"/>
  <c r="AR507" i="1"/>
  <c r="AS507" i="1"/>
  <c r="AT507" i="1"/>
  <c r="BB507" i="1"/>
  <c r="Y507" i="1"/>
  <c r="Z507" i="1"/>
  <c r="AA507" i="1"/>
  <c r="AT137" i="1"/>
  <c r="AQ137" i="1"/>
  <c r="BC137" i="1"/>
  <c r="AR137" i="1"/>
  <c r="AS137" i="1"/>
  <c r="Y137" i="1"/>
  <c r="Z137" i="1"/>
  <c r="AA137" i="1"/>
  <c r="BB137" i="1"/>
  <c r="AG221" i="1"/>
  <c r="X221" i="1"/>
  <c r="AJ221" i="1"/>
  <c r="AH221" i="1"/>
  <c r="AI221" i="1"/>
  <c r="AT521" i="1"/>
  <c r="AS521" i="1"/>
  <c r="AR521" i="1"/>
  <c r="BB521" i="1"/>
  <c r="AA521" i="1"/>
  <c r="Y521" i="1"/>
  <c r="BC521" i="1"/>
  <c r="AQ521" i="1"/>
  <c r="Z521" i="1"/>
  <c r="X617" i="1"/>
  <c r="AG617" i="1"/>
  <c r="AH617" i="1"/>
  <c r="AJ617" i="1"/>
  <c r="AI617" i="1"/>
  <c r="AH114" i="1"/>
  <c r="AI114" i="1"/>
  <c r="AG114" i="1"/>
  <c r="AJ114" i="1"/>
  <c r="X114" i="1"/>
  <c r="BB150" i="1"/>
  <c r="AQ150" i="1"/>
  <c r="BC150" i="1"/>
  <c r="AR150" i="1"/>
  <c r="AS150" i="1"/>
  <c r="AT150" i="1"/>
  <c r="Y150" i="1"/>
  <c r="Z150" i="1"/>
  <c r="AA150" i="1"/>
  <c r="AS500" i="1"/>
  <c r="AT500" i="1"/>
  <c r="Y500" i="1"/>
  <c r="Z500" i="1"/>
  <c r="AA500" i="1"/>
  <c r="BB500" i="1"/>
  <c r="AQ500" i="1"/>
  <c r="BC500" i="1"/>
  <c r="AR500" i="1"/>
  <c r="AI596" i="1"/>
  <c r="AG596" i="1"/>
  <c r="AH596" i="1"/>
  <c r="X596" i="1"/>
  <c r="AJ596" i="1"/>
  <c r="AI328" i="1"/>
  <c r="AG328" i="1"/>
  <c r="AH328" i="1"/>
  <c r="AJ328" i="1"/>
  <c r="X328" i="1"/>
  <c r="AT187" i="1"/>
  <c r="Z187" i="1"/>
  <c r="AA187" i="1"/>
  <c r="AR187" i="1"/>
  <c r="AS187" i="1"/>
  <c r="AQ187" i="1"/>
  <c r="BC187" i="1"/>
  <c r="BB187" i="1"/>
  <c r="Y187" i="1"/>
  <c r="X355" i="1"/>
  <c r="AG355" i="1"/>
  <c r="AH355" i="1"/>
  <c r="AI355" i="1"/>
  <c r="AJ355" i="1"/>
  <c r="AH463" i="1"/>
  <c r="AG463" i="1"/>
  <c r="AI463" i="1"/>
  <c r="X463" i="1"/>
  <c r="AJ463" i="1"/>
  <c r="AQ571" i="1"/>
  <c r="BC571" i="1"/>
  <c r="AR571" i="1"/>
  <c r="AS571" i="1"/>
  <c r="AT571" i="1"/>
  <c r="Y571" i="1"/>
  <c r="Z571" i="1"/>
  <c r="AA571" i="1"/>
  <c r="BB571" i="1"/>
  <c r="AA607" i="1"/>
  <c r="BB607" i="1"/>
  <c r="AQ607" i="1"/>
  <c r="BC607" i="1"/>
  <c r="AR607" i="1"/>
  <c r="AS607" i="1"/>
  <c r="AT607" i="1"/>
  <c r="Y607" i="1"/>
  <c r="Z607" i="1"/>
  <c r="AR56" i="1"/>
  <c r="AQ56" i="1"/>
  <c r="BC56" i="1"/>
  <c r="AT56" i="1"/>
  <c r="Y56" i="1"/>
  <c r="AS56" i="1"/>
  <c r="BB56" i="1"/>
  <c r="AA56" i="1"/>
  <c r="Z56" i="1"/>
  <c r="Y104" i="1"/>
  <c r="BB104" i="1"/>
  <c r="AQ104" i="1"/>
  <c r="BC104" i="1"/>
  <c r="AR104" i="1"/>
  <c r="AT104" i="1"/>
  <c r="AA104" i="1"/>
  <c r="AS104" i="1"/>
  <c r="Z104" i="1"/>
  <c r="AH260" i="1"/>
  <c r="AG260" i="1"/>
  <c r="AI260" i="1"/>
  <c r="AJ260" i="1"/>
  <c r="X260" i="1"/>
  <c r="AI61" i="1"/>
  <c r="AJ61" i="1"/>
  <c r="X61" i="1"/>
  <c r="AG61" i="1"/>
  <c r="AH61" i="1"/>
  <c r="AG229" i="1"/>
  <c r="AJ229" i="1"/>
  <c r="X229" i="1"/>
  <c r="AI229" i="1"/>
  <c r="AH229" i="1"/>
  <c r="BB28" i="1"/>
  <c r="AQ28" i="1"/>
  <c r="BC28" i="1"/>
  <c r="AR28" i="1"/>
  <c r="AS28" i="1"/>
  <c r="AT28" i="1"/>
  <c r="Y28" i="1"/>
  <c r="Z28" i="1"/>
  <c r="AA28" i="1"/>
  <c r="AT580" i="1"/>
  <c r="Y580" i="1"/>
  <c r="Z580" i="1"/>
  <c r="AA580" i="1"/>
  <c r="BB580" i="1"/>
  <c r="AQ580" i="1"/>
  <c r="BC580" i="1"/>
  <c r="AR580" i="1"/>
  <c r="AS580" i="1"/>
  <c r="Z33" i="1"/>
  <c r="AA33" i="1"/>
  <c r="Y33" i="1"/>
  <c r="BB33" i="1"/>
  <c r="AT33" i="1"/>
  <c r="AQ33" i="1"/>
  <c r="BC33" i="1"/>
  <c r="AS33" i="1"/>
  <c r="AR33" i="1"/>
  <c r="Z621" i="1"/>
  <c r="AT621" i="1"/>
  <c r="AA621" i="1"/>
  <c r="BB621" i="1"/>
  <c r="AQ621" i="1"/>
  <c r="BC621" i="1"/>
  <c r="AR621" i="1"/>
  <c r="AS621" i="1"/>
  <c r="Y621" i="1"/>
  <c r="Y71" i="1"/>
  <c r="BB71" i="1"/>
  <c r="AA71" i="1"/>
  <c r="AS71" i="1"/>
  <c r="BC71" i="1"/>
  <c r="AT71" i="1"/>
  <c r="AQ71" i="1"/>
  <c r="AR71" i="1"/>
  <c r="Z71" i="1"/>
  <c r="AQ275" i="1"/>
  <c r="BC275" i="1"/>
  <c r="AR275" i="1"/>
  <c r="AT275" i="1"/>
  <c r="Y275" i="1"/>
  <c r="Z275" i="1"/>
  <c r="AA275" i="1"/>
  <c r="BB275" i="1"/>
  <c r="AS275" i="1"/>
  <c r="AT527" i="1"/>
  <c r="AS527" i="1"/>
  <c r="AR527" i="1"/>
  <c r="BC527" i="1"/>
  <c r="AQ527" i="1"/>
  <c r="BB527" i="1"/>
  <c r="Y527" i="1"/>
  <c r="Z527" i="1"/>
  <c r="AA527" i="1"/>
  <c r="AI600" i="1"/>
  <c r="AH600" i="1"/>
  <c r="AJ600" i="1"/>
  <c r="X600" i="1"/>
  <c r="AG600" i="1"/>
  <c r="AH589" i="1"/>
  <c r="AG589" i="1"/>
  <c r="AI589" i="1"/>
  <c r="X589" i="1"/>
  <c r="AJ589" i="1"/>
  <c r="AG520" i="1"/>
  <c r="X520" i="1"/>
  <c r="AI520" i="1"/>
  <c r="AJ520" i="1"/>
  <c r="AH520" i="1"/>
  <c r="AG22" i="1"/>
  <c r="AI22" i="1"/>
  <c r="AH22" i="1"/>
  <c r="X22" i="1"/>
  <c r="AJ22" i="1"/>
  <c r="Z190" i="1"/>
  <c r="AA190" i="1"/>
  <c r="AR190" i="1"/>
  <c r="AS190" i="1"/>
  <c r="AT190" i="1"/>
  <c r="BB190" i="1"/>
  <c r="Y190" i="1"/>
  <c r="AQ190" i="1"/>
  <c r="BC190" i="1"/>
  <c r="BB550" i="1"/>
  <c r="BC550" i="1"/>
  <c r="AQ550" i="1"/>
  <c r="AA550" i="1"/>
  <c r="AR550" i="1"/>
  <c r="AS550" i="1"/>
  <c r="AT550" i="1"/>
  <c r="Y550" i="1"/>
  <c r="Z550" i="1"/>
  <c r="AI610" i="1"/>
  <c r="AG610" i="1"/>
  <c r="AH610" i="1"/>
  <c r="X610" i="1"/>
  <c r="AJ610" i="1"/>
  <c r="X239" i="1"/>
  <c r="AH239" i="1"/>
  <c r="AG239" i="1"/>
  <c r="AI239" i="1"/>
  <c r="AJ239" i="1"/>
  <c r="X540" i="1"/>
  <c r="AJ540" i="1"/>
  <c r="AG540" i="1"/>
  <c r="AH540" i="1"/>
  <c r="AI540" i="1"/>
  <c r="X136" i="1"/>
  <c r="AG136" i="1"/>
  <c r="AH136" i="1"/>
  <c r="AI136" i="1"/>
  <c r="AJ136" i="1"/>
  <c r="BC14" i="1"/>
  <c r="AR14" i="1"/>
  <c r="AS14" i="1"/>
  <c r="AT14" i="1"/>
  <c r="Y14" i="1"/>
  <c r="Z14" i="1"/>
  <c r="AA14" i="1"/>
  <c r="BB14" i="1"/>
  <c r="AQ14" i="1"/>
  <c r="AS182" i="1"/>
  <c r="AT182" i="1"/>
  <c r="Z182" i="1"/>
  <c r="AA182" i="1"/>
  <c r="BB182" i="1"/>
  <c r="AQ182" i="1"/>
  <c r="Y182" i="1"/>
  <c r="BC182" i="1"/>
  <c r="AR182" i="1"/>
  <c r="AG230" i="1"/>
  <c r="X230" i="1"/>
  <c r="AH230" i="1"/>
  <c r="AI230" i="1"/>
  <c r="AJ230" i="1"/>
  <c r="AH374" i="1"/>
  <c r="AG374" i="1"/>
  <c r="AI374" i="1"/>
  <c r="AJ374" i="1"/>
  <c r="X374" i="1"/>
  <c r="AS494" i="1"/>
  <c r="Y494" i="1"/>
  <c r="AT494" i="1"/>
  <c r="Z494" i="1"/>
  <c r="AA494" i="1"/>
  <c r="BB494" i="1"/>
  <c r="AQ494" i="1"/>
  <c r="BC494" i="1"/>
  <c r="AR494" i="1"/>
  <c r="AS195" i="1"/>
  <c r="AT195" i="1"/>
  <c r="BB195" i="1"/>
  <c r="Y195" i="1"/>
  <c r="BC195" i="1"/>
  <c r="AQ195" i="1"/>
  <c r="AA195" i="1"/>
  <c r="Z195" i="1"/>
  <c r="AR195" i="1"/>
  <c r="Y231" i="1"/>
  <c r="Z231" i="1"/>
  <c r="AA231" i="1"/>
  <c r="AS231" i="1"/>
  <c r="AT231" i="1"/>
  <c r="AR231" i="1"/>
  <c r="BC231" i="1"/>
  <c r="AQ231" i="1"/>
  <c r="BB231" i="1"/>
  <c r="AH327" i="1"/>
  <c r="AG327" i="1"/>
  <c r="X327" i="1"/>
  <c r="AJ327" i="1"/>
  <c r="AI327" i="1"/>
  <c r="BB471" i="1"/>
  <c r="AQ471" i="1"/>
  <c r="BC471" i="1"/>
  <c r="AR471" i="1"/>
  <c r="AS471" i="1"/>
  <c r="Y471" i="1"/>
  <c r="AT471" i="1"/>
  <c r="Z471" i="1"/>
  <c r="AA471" i="1"/>
  <c r="Y101" i="1"/>
  <c r="AA101" i="1"/>
  <c r="AQ101" i="1"/>
  <c r="BC101" i="1"/>
  <c r="BB101" i="1"/>
  <c r="AR101" i="1"/>
  <c r="AS101" i="1"/>
  <c r="AT101" i="1"/>
  <c r="Z101" i="1"/>
  <c r="AH353" i="1"/>
  <c r="X353" i="1"/>
  <c r="AG353" i="1"/>
  <c r="AJ353" i="1"/>
  <c r="AI353" i="1"/>
  <c r="AI533" i="1"/>
  <c r="AG533" i="1"/>
  <c r="AH533" i="1"/>
  <c r="AJ533" i="1"/>
  <c r="X533" i="1"/>
  <c r="AG569" i="1"/>
  <c r="X569" i="1"/>
  <c r="AJ569" i="1"/>
  <c r="AI569" i="1"/>
  <c r="AH569" i="1"/>
  <c r="AA78" i="1"/>
  <c r="AQ78" i="1"/>
  <c r="BC78" i="1"/>
  <c r="AR78" i="1"/>
  <c r="AS78" i="1"/>
  <c r="AT78" i="1"/>
  <c r="BB78" i="1"/>
  <c r="Y78" i="1"/>
  <c r="Z78" i="1"/>
  <c r="AS186" i="1"/>
  <c r="AT186" i="1"/>
  <c r="AA186" i="1"/>
  <c r="AQ186" i="1"/>
  <c r="BC186" i="1"/>
  <c r="AR186" i="1"/>
  <c r="BB186" i="1"/>
  <c r="Y186" i="1"/>
  <c r="Z186" i="1"/>
  <c r="Z234" i="1"/>
  <c r="AA234" i="1"/>
  <c r="AS234" i="1"/>
  <c r="Y234" i="1"/>
  <c r="AT234" i="1"/>
  <c r="AR234" i="1"/>
  <c r="BC234" i="1"/>
  <c r="AQ234" i="1"/>
  <c r="BB234" i="1"/>
  <c r="AT378" i="1"/>
  <c r="Y378" i="1"/>
  <c r="Z378" i="1"/>
  <c r="AA378" i="1"/>
  <c r="AQ378" i="1"/>
  <c r="BC378" i="1"/>
  <c r="AR378" i="1"/>
  <c r="AS378" i="1"/>
  <c r="BB378" i="1"/>
  <c r="AS438" i="1"/>
  <c r="AT438" i="1"/>
  <c r="Y438" i="1"/>
  <c r="AQ438" i="1"/>
  <c r="BC438" i="1"/>
  <c r="Z438" i="1"/>
  <c r="AA438" i="1"/>
  <c r="BB438" i="1"/>
  <c r="AR438" i="1"/>
  <c r="AI498" i="1"/>
  <c r="AH498" i="1"/>
  <c r="AG498" i="1"/>
  <c r="AJ498" i="1"/>
  <c r="X498" i="1"/>
  <c r="AG606" i="1"/>
  <c r="X606" i="1"/>
  <c r="AH606" i="1"/>
  <c r="AI606" i="1"/>
  <c r="AJ606" i="1"/>
  <c r="AG217" i="1"/>
  <c r="X217" i="1"/>
  <c r="AJ217" i="1"/>
  <c r="AH217" i="1"/>
  <c r="AI217" i="1"/>
  <c r="AI481" i="1"/>
  <c r="AG481" i="1"/>
  <c r="AH481" i="1"/>
  <c r="AJ481" i="1"/>
  <c r="X481" i="1"/>
  <c r="AI112" i="1"/>
  <c r="AG112" i="1"/>
  <c r="AH112" i="1"/>
  <c r="AJ112" i="1"/>
  <c r="X112" i="1"/>
  <c r="AG604" i="1"/>
  <c r="AH604" i="1"/>
  <c r="AI604" i="1"/>
  <c r="AJ604" i="1"/>
  <c r="X604" i="1"/>
  <c r="Z7" i="1"/>
  <c r="AA7" i="1"/>
  <c r="BB7" i="1"/>
  <c r="AQ7" i="1"/>
  <c r="BC7" i="1"/>
  <c r="AS7" i="1"/>
  <c r="Y7" i="1"/>
  <c r="AT7" i="1"/>
  <c r="AR7" i="1"/>
  <c r="AI103" i="1"/>
  <c r="AJ103" i="1"/>
  <c r="X103" i="1"/>
  <c r="AG103" i="1"/>
  <c r="AH103" i="1"/>
  <c r="AH247" i="1"/>
  <c r="AG247" i="1"/>
  <c r="AJ247" i="1"/>
  <c r="X247" i="1"/>
  <c r="AI247" i="1"/>
  <c r="AI415" i="1"/>
  <c r="AH415" i="1"/>
  <c r="AG415" i="1"/>
  <c r="AJ415" i="1"/>
  <c r="X415" i="1"/>
  <c r="BB523" i="1"/>
  <c r="AR523" i="1"/>
  <c r="AT523" i="1"/>
  <c r="Z523" i="1"/>
  <c r="AS523" i="1"/>
  <c r="AA523" i="1"/>
  <c r="Y523" i="1"/>
  <c r="BC523" i="1"/>
  <c r="AQ523" i="1"/>
  <c r="AS619" i="1"/>
  <c r="AT619" i="1"/>
  <c r="Y619" i="1"/>
  <c r="Z619" i="1"/>
  <c r="AA619" i="1"/>
  <c r="BB619" i="1"/>
  <c r="AQ619" i="1"/>
  <c r="BC619" i="1"/>
  <c r="AR619" i="1"/>
  <c r="AI152" i="1"/>
  <c r="AH152" i="1"/>
  <c r="AG152" i="1"/>
  <c r="AJ152" i="1"/>
  <c r="X152" i="1"/>
  <c r="BB224" i="1"/>
  <c r="BC224" i="1"/>
  <c r="AQ224" i="1"/>
  <c r="AR224" i="1"/>
  <c r="AS224" i="1"/>
  <c r="AA224" i="1"/>
  <c r="AT224" i="1"/>
  <c r="Y224" i="1"/>
  <c r="Z224" i="1"/>
  <c r="AI452" i="1"/>
  <c r="AH452" i="1"/>
  <c r="AJ452" i="1"/>
  <c r="AG452" i="1"/>
  <c r="X452" i="1"/>
  <c r="AH565" i="1"/>
  <c r="AI565" i="1"/>
  <c r="X565" i="1"/>
  <c r="AG565" i="1"/>
  <c r="AJ565" i="1"/>
  <c r="BB124" i="1"/>
  <c r="AQ124" i="1"/>
  <c r="BC124" i="1"/>
  <c r="AR124" i="1"/>
  <c r="AT124" i="1"/>
  <c r="Y124" i="1"/>
  <c r="Z124" i="1"/>
  <c r="AA124" i="1"/>
  <c r="AS124" i="1"/>
  <c r="AG81" i="1"/>
  <c r="X81" i="1"/>
  <c r="AJ81" i="1"/>
  <c r="AI81" i="1"/>
  <c r="AH81" i="1"/>
  <c r="Y225" i="1"/>
  <c r="AR225" i="1"/>
  <c r="Z225" i="1"/>
  <c r="AQ225" i="1"/>
  <c r="BB225" i="1"/>
  <c r="BC225" i="1"/>
  <c r="AA225" i="1"/>
  <c r="AT225" i="1"/>
  <c r="AS225" i="1"/>
  <c r="Y273" i="1"/>
  <c r="BB273" i="1"/>
  <c r="AQ273" i="1"/>
  <c r="BC273" i="1"/>
  <c r="AS273" i="1"/>
  <c r="AR273" i="1"/>
  <c r="AT273" i="1"/>
  <c r="Z273" i="1"/>
  <c r="AA273" i="1"/>
  <c r="X381" i="1"/>
  <c r="AI381" i="1"/>
  <c r="AG381" i="1"/>
  <c r="AH381" i="1"/>
  <c r="AJ381" i="1"/>
  <c r="AG441" i="1"/>
  <c r="AH441" i="1"/>
  <c r="AI441" i="1"/>
  <c r="AJ441" i="1"/>
  <c r="X441" i="1"/>
  <c r="AT573" i="1"/>
  <c r="BB573" i="1"/>
  <c r="BC573" i="1"/>
  <c r="AS573" i="1"/>
  <c r="AQ573" i="1"/>
  <c r="AA573" i="1"/>
  <c r="Y573" i="1"/>
  <c r="AR573" i="1"/>
  <c r="Z573" i="1"/>
  <c r="BB203" i="1"/>
  <c r="AQ203" i="1"/>
  <c r="BC203" i="1"/>
  <c r="AR203" i="1"/>
  <c r="AS203" i="1"/>
  <c r="AT203" i="1"/>
  <c r="Y203" i="1"/>
  <c r="Z203" i="1"/>
  <c r="AA203" i="1"/>
  <c r="AI371" i="1"/>
  <c r="AJ371" i="1"/>
  <c r="X371" i="1"/>
  <c r="AH371" i="1"/>
  <c r="AG371" i="1"/>
  <c r="AG563" i="1"/>
  <c r="X563" i="1"/>
  <c r="AJ563" i="1"/>
  <c r="AI563" i="1"/>
  <c r="AH563" i="1"/>
  <c r="Y409" i="1"/>
  <c r="BC409" i="1"/>
  <c r="AQ409" i="1"/>
  <c r="Z409" i="1"/>
  <c r="AA409" i="1"/>
  <c r="AT409" i="1"/>
  <c r="AR409" i="1"/>
  <c r="AS409" i="1"/>
  <c r="BB409" i="1"/>
  <c r="AH76" i="1"/>
  <c r="AG76" i="1"/>
  <c r="AI76" i="1"/>
  <c r="X76" i="1"/>
  <c r="AJ76" i="1"/>
  <c r="AI118" i="1"/>
  <c r="AH118" i="1"/>
  <c r="AG118" i="1"/>
  <c r="AJ118" i="1"/>
  <c r="X118" i="1"/>
  <c r="Y298" i="1"/>
  <c r="BB298" i="1"/>
  <c r="AQ298" i="1"/>
  <c r="BC298" i="1"/>
  <c r="AR298" i="1"/>
  <c r="Z298" i="1"/>
  <c r="AS298" i="1"/>
  <c r="AT298" i="1"/>
  <c r="AA298" i="1"/>
  <c r="X358" i="1"/>
  <c r="AG358" i="1"/>
  <c r="AJ358" i="1"/>
  <c r="AH358" i="1"/>
  <c r="AI358" i="1"/>
  <c r="Y394" i="1"/>
  <c r="AS394" i="1"/>
  <c r="Z394" i="1"/>
  <c r="AT394" i="1"/>
  <c r="AA394" i="1"/>
  <c r="BB394" i="1"/>
  <c r="AQ394" i="1"/>
  <c r="BC394" i="1"/>
  <c r="AR394" i="1"/>
  <c r="AH143" i="1"/>
  <c r="AI143" i="1"/>
  <c r="X143" i="1"/>
  <c r="AJ143" i="1"/>
  <c r="AG143" i="1"/>
  <c r="AA431" i="1"/>
  <c r="AQ431" i="1"/>
  <c r="BC431" i="1"/>
  <c r="AR431" i="1"/>
  <c r="AS431" i="1"/>
  <c r="AT431" i="1"/>
  <c r="Y431" i="1"/>
  <c r="BB431" i="1"/>
  <c r="Z431" i="1"/>
  <c r="AG515" i="1"/>
  <c r="AH515" i="1"/>
  <c r="AI515" i="1"/>
  <c r="AJ515" i="1"/>
  <c r="X515" i="1"/>
  <c r="X611" i="1"/>
  <c r="AG611" i="1"/>
  <c r="AH611" i="1"/>
  <c r="AJ611" i="1"/>
  <c r="AI611" i="1"/>
  <c r="X60" i="1"/>
  <c r="AI60" i="1"/>
  <c r="AG60" i="1"/>
  <c r="AH60" i="1"/>
  <c r="AJ60" i="1"/>
  <c r="BC252" i="1"/>
  <c r="AR252" i="1"/>
  <c r="AS252" i="1"/>
  <c r="AT252" i="1"/>
  <c r="Y252" i="1"/>
  <c r="Z252" i="1"/>
  <c r="AA252" i="1"/>
  <c r="BB252" i="1"/>
  <c r="AQ252" i="1"/>
  <c r="AH324" i="1"/>
  <c r="AG324" i="1"/>
  <c r="AJ324" i="1"/>
  <c r="AI324" i="1"/>
  <c r="X324" i="1"/>
  <c r="BB408" i="1"/>
  <c r="AR408" i="1"/>
  <c r="AS408" i="1"/>
  <c r="AQ408" i="1"/>
  <c r="BC408" i="1"/>
  <c r="AA408" i="1"/>
  <c r="AT408" i="1"/>
  <c r="Y408" i="1"/>
  <c r="Z408" i="1"/>
  <c r="AR400" i="1"/>
  <c r="AT400" i="1"/>
  <c r="AQ400" i="1"/>
  <c r="Y400" i="1"/>
  <c r="BC400" i="1"/>
  <c r="BB400" i="1"/>
  <c r="AA400" i="1"/>
  <c r="AS400" i="1"/>
  <c r="Z400" i="1"/>
  <c r="Z134" i="1"/>
  <c r="AA134" i="1"/>
  <c r="BB134" i="1"/>
  <c r="AQ134" i="1"/>
  <c r="BC134" i="1"/>
  <c r="AR134" i="1"/>
  <c r="AS134" i="1"/>
  <c r="AT134" i="1"/>
  <c r="Y134" i="1"/>
  <c r="AH434" i="1"/>
  <c r="AG434" i="1"/>
  <c r="AJ434" i="1"/>
  <c r="AI434" i="1"/>
  <c r="X434" i="1"/>
  <c r="Y3" i="1"/>
  <c r="BC3" i="1"/>
  <c r="AQ3" i="1"/>
  <c r="BB3" i="1"/>
  <c r="AR3" i="1"/>
  <c r="AS3" i="1"/>
  <c r="AT3" i="1"/>
  <c r="Z3" i="1"/>
  <c r="AA3" i="1"/>
  <c r="AI159" i="1"/>
  <c r="AH159" i="1"/>
  <c r="X159" i="1"/>
  <c r="AG159" i="1"/>
  <c r="AJ159" i="1"/>
  <c r="AQ291" i="1"/>
  <c r="BC291" i="1"/>
  <c r="AR291" i="1"/>
  <c r="AS291" i="1"/>
  <c r="AT291" i="1"/>
  <c r="Y291" i="1"/>
  <c r="Z291" i="1"/>
  <c r="AA291" i="1"/>
  <c r="BB291" i="1"/>
  <c r="AG435" i="1"/>
  <c r="AH435" i="1"/>
  <c r="AJ435" i="1"/>
  <c r="X435" i="1"/>
  <c r="AI435" i="1"/>
  <c r="BB244" i="1"/>
  <c r="AQ244" i="1"/>
  <c r="BC244" i="1"/>
  <c r="AR244" i="1"/>
  <c r="AS244" i="1"/>
  <c r="AT244" i="1"/>
  <c r="Y244" i="1"/>
  <c r="AA244" i="1"/>
  <c r="Z244" i="1"/>
  <c r="AI53" i="1"/>
  <c r="X53" i="1"/>
  <c r="AJ53" i="1"/>
  <c r="AG53" i="1"/>
  <c r="AH53" i="1"/>
  <c r="AH42" i="1"/>
  <c r="AG42" i="1"/>
  <c r="AI42" i="1"/>
  <c r="X42" i="1"/>
  <c r="AJ42" i="1"/>
  <c r="AH294" i="1"/>
  <c r="AG294" i="1"/>
  <c r="AI294" i="1"/>
  <c r="AJ294" i="1"/>
  <c r="X294" i="1"/>
  <c r="Y337" i="1"/>
  <c r="AT337" i="1"/>
  <c r="AR337" i="1"/>
  <c r="AS337" i="1"/>
  <c r="AQ337" i="1"/>
  <c r="Z337" i="1"/>
  <c r="AA337" i="1"/>
  <c r="BC337" i="1"/>
  <c r="BB337" i="1"/>
  <c r="BB577" i="1"/>
  <c r="AQ577" i="1"/>
  <c r="BC577" i="1"/>
  <c r="AR577" i="1"/>
  <c r="AS577" i="1"/>
  <c r="AT577" i="1"/>
  <c r="Y577" i="1"/>
  <c r="Z577" i="1"/>
  <c r="AA577" i="1"/>
  <c r="X364" i="1"/>
  <c r="AG364" i="1"/>
  <c r="AH364" i="1"/>
  <c r="AJ364" i="1"/>
  <c r="AI364" i="1"/>
  <c r="AG55" i="1"/>
  <c r="AI55" i="1"/>
  <c r="X55" i="1"/>
  <c r="AJ55" i="1"/>
  <c r="AH55" i="1"/>
  <c r="AJ151" i="1"/>
  <c r="AI151" i="1"/>
  <c r="X151" i="1"/>
  <c r="AG151" i="1"/>
  <c r="AH151" i="1"/>
  <c r="X307" i="1"/>
  <c r="AG307" i="1"/>
  <c r="AH307" i="1"/>
  <c r="AI307" i="1"/>
  <c r="AJ307" i="1"/>
  <c r="AG475" i="1"/>
  <c r="AJ475" i="1"/>
  <c r="AH475" i="1"/>
  <c r="AI475" i="1"/>
  <c r="X475" i="1"/>
  <c r="AQ32" i="1"/>
  <c r="AT32" i="1"/>
  <c r="Y32" i="1"/>
  <c r="Z32" i="1"/>
  <c r="BC32" i="1"/>
  <c r="AR32" i="1"/>
  <c r="AS32" i="1"/>
  <c r="AA32" i="1"/>
  <c r="BB32" i="1"/>
  <c r="AI68" i="1"/>
  <c r="AJ68" i="1"/>
  <c r="X68" i="1"/>
  <c r="AG68" i="1"/>
  <c r="AH68" i="1"/>
  <c r="AI85" i="1"/>
  <c r="X85" i="1"/>
  <c r="AJ85" i="1"/>
  <c r="AG85" i="1"/>
  <c r="AH85" i="1"/>
  <c r="AG265" i="1"/>
  <c r="AH265" i="1"/>
  <c r="AI265" i="1"/>
  <c r="X265" i="1"/>
  <c r="AJ265" i="1"/>
  <c r="AS397" i="1"/>
  <c r="BB397" i="1"/>
  <c r="AT397" i="1"/>
  <c r="Y397" i="1"/>
  <c r="AQ397" i="1"/>
  <c r="BC397" i="1"/>
  <c r="Z397" i="1"/>
  <c r="AR397" i="1"/>
  <c r="AA397" i="1"/>
  <c r="Y376" i="1"/>
  <c r="Z376" i="1"/>
  <c r="AA376" i="1"/>
  <c r="BB376" i="1"/>
  <c r="AQ376" i="1"/>
  <c r="BC376" i="1"/>
  <c r="AR376" i="1"/>
  <c r="AS376" i="1"/>
  <c r="AT376" i="1"/>
  <c r="AT117" i="1"/>
  <c r="AS117" i="1"/>
  <c r="Y117" i="1"/>
  <c r="Z117" i="1"/>
  <c r="AA117" i="1"/>
  <c r="BB117" i="1"/>
  <c r="AQ117" i="1"/>
  <c r="BC117" i="1"/>
  <c r="AR117" i="1"/>
  <c r="BB201" i="1"/>
  <c r="AS201" i="1"/>
  <c r="AA201" i="1"/>
  <c r="Y201" i="1"/>
  <c r="AR201" i="1"/>
  <c r="Z201" i="1"/>
  <c r="BC201" i="1"/>
  <c r="AQ201" i="1"/>
  <c r="AT201" i="1"/>
  <c r="AG333" i="1"/>
  <c r="AJ333" i="1"/>
  <c r="X333" i="1"/>
  <c r="AH333" i="1"/>
  <c r="AI333" i="1"/>
  <c r="AT525" i="1"/>
  <c r="Y525" i="1"/>
  <c r="Z525" i="1"/>
  <c r="AA525" i="1"/>
  <c r="BB525" i="1"/>
  <c r="AQ525" i="1"/>
  <c r="BC525" i="1"/>
  <c r="AR525" i="1"/>
  <c r="AS525" i="1"/>
  <c r="Y443" i="1"/>
  <c r="BB443" i="1"/>
  <c r="AQ443" i="1"/>
  <c r="AT443" i="1"/>
  <c r="Z443" i="1"/>
  <c r="BC443" i="1"/>
  <c r="AR443" i="1"/>
  <c r="AS443" i="1"/>
  <c r="AA443" i="1"/>
  <c r="BB48" i="1"/>
  <c r="AQ48" i="1"/>
  <c r="BC48" i="1"/>
  <c r="AS48" i="1"/>
  <c r="AR48" i="1"/>
  <c r="AT48" i="1"/>
  <c r="Y48" i="1"/>
  <c r="Z48" i="1"/>
  <c r="AA48" i="1"/>
  <c r="AQ240" i="1"/>
  <c r="BC240" i="1"/>
  <c r="AR240" i="1"/>
  <c r="AS240" i="1"/>
  <c r="AT240" i="1"/>
  <c r="Y240" i="1"/>
  <c r="Z240" i="1"/>
  <c r="AA240" i="1"/>
  <c r="BB240" i="1"/>
  <c r="BB312" i="1"/>
  <c r="AQ312" i="1"/>
  <c r="BC312" i="1"/>
  <c r="AR312" i="1"/>
  <c r="AS312" i="1"/>
  <c r="AT312" i="1"/>
  <c r="Y312" i="1"/>
  <c r="Z312" i="1"/>
  <c r="AA312" i="1"/>
  <c r="BB396" i="1"/>
  <c r="Y396" i="1"/>
  <c r="AR396" i="1"/>
  <c r="Z396" i="1"/>
  <c r="AA396" i="1"/>
  <c r="AQ396" i="1"/>
  <c r="BC396" i="1"/>
  <c r="AS396" i="1"/>
  <c r="AT396" i="1"/>
  <c r="BB37" i="1"/>
  <c r="AQ37" i="1"/>
  <c r="BC37" i="1"/>
  <c r="AR37" i="1"/>
  <c r="AS37" i="1"/>
  <c r="Y37" i="1"/>
  <c r="AT37" i="1"/>
  <c r="AA37" i="1"/>
  <c r="Z37" i="1"/>
  <c r="Y301" i="1"/>
  <c r="AR301" i="1"/>
  <c r="BC301" i="1"/>
  <c r="AT301" i="1"/>
  <c r="Z301" i="1"/>
  <c r="AA301" i="1"/>
  <c r="AS301" i="1"/>
  <c r="AQ301" i="1"/>
  <c r="BB301" i="1"/>
  <c r="BC316" i="1"/>
  <c r="AR316" i="1"/>
  <c r="AS316" i="1"/>
  <c r="BB316" i="1"/>
  <c r="AQ316" i="1"/>
  <c r="AT316" i="1"/>
  <c r="Y316" i="1"/>
  <c r="Z316" i="1"/>
  <c r="AA316" i="1"/>
  <c r="AG34" i="1"/>
  <c r="AH34" i="1"/>
  <c r="AI34" i="1"/>
  <c r="X34" i="1"/>
  <c r="AJ34" i="1"/>
  <c r="AH250" i="1"/>
  <c r="AG250" i="1"/>
  <c r="AJ250" i="1"/>
  <c r="X250" i="1"/>
  <c r="AI250" i="1"/>
  <c r="AI442" i="1"/>
  <c r="X442" i="1"/>
  <c r="AG442" i="1"/>
  <c r="AH442" i="1"/>
  <c r="AJ442" i="1"/>
  <c r="AQ622" i="1"/>
  <c r="BC622" i="1"/>
  <c r="AR622" i="1"/>
  <c r="AS622" i="1"/>
  <c r="AT622" i="1"/>
  <c r="Y622" i="1"/>
  <c r="Z622" i="1"/>
  <c r="AA622" i="1"/>
  <c r="BB622" i="1"/>
  <c r="AG263" i="1"/>
  <c r="AJ263" i="1"/>
  <c r="AH263" i="1"/>
  <c r="AI263" i="1"/>
  <c r="X263" i="1"/>
  <c r="AA144" i="1"/>
  <c r="AQ144" i="1"/>
  <c r="BC144" i="1"/>
  <c r="AR144" i="1"/>
  <c r="BB144" i="1"/>
  <c r="Y144" i="1"/>
  <c r="Z144" i="1"/>
  <c r="AS144" i="1"/>
  <c r="AT144" i="1"/>
  <c r="AI432" i="1"/>
  <c r="AG432" i="1"/>
  <c r="AH432" i="1"/>
  <c r="AJ432" i="1"/>
  <c r="X432" i="1"/>
  <c r="AI564" i="1"/>
  <c r="X564" i="1"/>
  <c r="AG564" i="1"/>
  <c r="AH564" i="1"/>
  <c r="AJ564" i="1"/>
  <c r="AG196" i="1"/>
  <c r="AH196" i="1"/>
  <c r="AI196" i="1"/>
  <c r="AJ196" i="1"/>
  <c r="X196" i="1"/>
  <c r="AQ86" i="1"/>
  <c r="BC86" i="1"/>
  <c r="AR86" i="1"/>
  <c r="AS86" i="1"/>
  <c r="AT86" i="1"/>
  <c r="Z86" i="1"/>
  <c r="Y86" i="1"/>
  <c r="AA86" i="1"/>
  <c r="BB86" i="1"/>
  <c r="AG242" i="1"/>
  <c r="AI242" i="1"/>
  <c r="AJ242" i="1"/>
  <c r="X242" i="1"/>
  <c r="AH242" i="1"/>
  <c r="AA290" i="1"/>
  <c r="BB290" i="1"/>
  <c r="AQ290" i="1"/>
  <c r="BC290" i="1"/>
  <c r="AR290" i="1"/>
  <c r="AS290" i="1"/>
  <c r="AT290" i="1"/>
  <c r="Y290" i="1"/>
  <c r="Z290" i="1"/>
  <c r="AH386" i="1"/>
  <c r="AG386" i="1"/>
  <c r="X386" i="1"/>
  <c r="AJ386" i="1"/>
  <c r="AI386" i="1"/>
  <c r="AI15" i="1"/>
  <c r="AG15" i="1"/>
  <c r="AH15" i="1"/>
  <c r="AJ15" i="1"/>
  <c r="X15" i="1"/>
  <c r="AG339" i="1"/>
  <c r="AH339" i="1"/>
  <c r="X339" i="1"/>
  <c r="AJ339" i="1"/>
  <c r="AI339" i="1"/>
  <c r="AT375" i="1"/>
  <c r="Y375" i="1"/>
  <c r="AR375" i="1"/>
  <c r="AS375" i="1"/>
  <c r="Z375" i="1"/>
  <c r="AA375" i="1"/>
  <c r="BB375" i="1"/>
  <c r="AQ375" i="1"/>
  <c r="BC375" i="1"/>
  <c r="AT555" i="1"/>
  <c r="AS555" i="1"/>
  <c r="AR555" i="1"/>
  <c r="Y555" i="1"/>
  <c r="BC555" i="1"/>
  <c r="Z555" i="1"/>
  <c r="AQ555" i="1"/>
  <c r="BB555" i="1"/>
  <c r="AA555" i="1"/>
  <c r="AQ185" i="1"/>
  <c r="AS185" i="1"/>
  <c r="AR185" i="1"/>
  <c r="AT185" i="1"/>
  <c r="AA185" i="1"/>
  <c r="BB185" i="1"/>
  <c r="BC185" i="1"/>
  <c r="Y185" i="1"/>
  <c r="Z185" i="1"/>
  <c r="Y269" i="1"/>
  <c r="Z269" i="1"/>
  <c r="BB269" i="1"/>
  <c r="AA269" i="1"/>
  <c r="AS269" i="1"/>
  <c r="AT269" i="1"/>
  <c r="AQ269" i="1"/>
  <c r="BC269" i="1"/>
  <c r="AR269" i="1"/>
  <c r="AI365" i="1"/>
  <c r="X365" i="1"/>
  <c r="AG365" i="1"/>
  <c r="AH365" i="1"/>
  <c r="AJ365" i="1"/>
  <c r="Y413" i="1"/>
  <c r="Z413" i="1"/>
  <c r="AA413" i="1"/>
  <c r="BB413" i="1"/>
  <c r="AQ413" i="1"/>
  <c r="BC413" i="1"/>
  <c r="AR413" i="1"/>
  <c r="AS413" i="1"/>
  <c r="AT413" i="1"/>
  <c r="Z437" i="1"/>
  <c r="Y437" i="1"/>
  <c r="BB437" i="1"/>
  <c r="AA437" i="1"/>
  <c r="AQ437" i="1"/>
  <c r="AT437" i="1"/>
  <c r="AR437" i="1"/>
  <c r="AS437" i="1"/>
  <c r="BC437" i="1"/>
  <c r="Z545" i="1"/>
  <c r="AS545" i="1"/>
  <c r="AT545" i="1"/>
  <c r="AA545" i="1"/>
  <c r="BB545" i="1"/>
  <c r="AR545" i="1"/>
  <c r="AQ545" i="1"/>
  <c r="BC545" i="1"/>
  <c r="Y545" i="1"/>
  <c r="AH581" i="1"/>
  <c r="AJ581" i="1"/>
  <c r="X581" i="1"/>
  <c r="AG581" i="1"/>
  <c r="AI581" i="1"/>
  <c r="AR246" i="1"/>
  <c r="AS246" i="1"/>
  <c r="AT246" i="1"/>
  <c r="Y246" i="1"/>
  <c r="AQ246" i="1"/>
  <c r="Z246" i="1"/>
  <c r="AA246" i="1"/>
  <c r="BB246" i="1"/>
  <c r="BC246" i="1"/>
  <c r="BB390" i="1"/>
  <c r="AT390" i="1"/>
  <c r="Y390" i="1"/>
  <c r="Z390" i="1"/>
  <c r="AA390" i="1"/>
  <c r="AQ390" i="1"/>
  <c r="BC390" i="1"/>
  <c r="AR390" i="1"/>
  <c r="AS390" i="1"/>
  <c r="Y510" i="1"/>
  <c r="BB510" i="1"/>
  <c r="Z510" i="1"/>
  <c r="AR510" i="1"/>
  <c r="AS510" i="1"/>
  <c r="AT510" i="1"/>
  <c r="AA510" i="1"/>
  <c r="AQ510" i="1"/>
  <c r="BC510" i="1"/>
  <c r="AG546" i="1"/>
  <c r="AI546" i="1"/>
  <c r="X546" i="1"/>
  <c r="AH546" i="1"/>
  <c r="AJ546" i="1"/>
  <c r="AG618" i="1"/>
  <c r="X618" i="1"/>
  <c r="AH618" i="1"/>
  <c r="AJ618" i="1"/>
  <c r="AI618" i="1"/>
  <c r="AI536" i="1"/>
  <c r="AG536" i="1"/>
  <c r="AH536" i="1"/>
  <c r="AJ536" i="1"/>
  <c r="X536" i="1"/>
  <c r="AH253" i="1"/>
  <c r="AG253" i="1"/>
  <c r="AJ253" i="1"/>
  <c r="X253" i="1"/>
  <c r="AI253" i="1"/>
  <c r="AG517" i="1"/>
  <c r="X517" i="1"/>
  <c r="AI517" i="1"/>
  <c r="AJ517" i="1"/>
  <c r="AH517" i="1"/>
  <c r="AI172" i="1"/>
  <c r="AH172" i="1"/>
  <c r="AG172" i="1"/>
  <c r="X172" i="1"/>
  <c r="AJ172" i="1"/>
  <c r="AQ184" i="1"/>
  <c r="BC184" i="1"/>
  <c r="AR184" i="1"/>
  <c r="Y184" i="1"/>
  <c r="Z184" i="1"/>
  <c r="AA184" i="1"/>
  <c r="AS184" i="1"/>
  <c r="AT184" i="1"/>
  <c r="BB184" i="1"/>
  <c r="AQ532" i="1"/>
  <c r="BC532" i="1"/>
  <c r="AR532" i="1"/>
  <c r="AS532" i="1"/>
  <c r="AT532" i="1"/>
  <c r="Y532" i="1"/>
  <c r="Z532" i="1"/>
  <c r="AA532" i="1"/>
  <c r="BB532" i="1"/>
  <c r="AH115" i="1"/>
  <c r="AI115" i="1"/>
  <c r="AJ115" i="1"/>
  <c r="X115" i="1"/>
  <c r="AG115" i="1"/>
  <c r="AH259" i="1"/>
  <c r="AG259" i="1"/>
  <c r="AI259" i="1"/>
  <c r="AJ259" i="1"/>
  <c r="X259" i="1"/>
  <c r="AI427" i="1"/>
  <c r="AG427" i="1"/>
  <c r="AH427" i="1"/>
  <c r="X427" i="1"/>
  <c r="AJ427" i="1"/>
  <c r="AG535" i="1"/>
  <c r="AJ535" i="1"/>
  <c r="AI535" i="1"/>
  <c r="AH535" i="1"/>
  <c r="X535" i="1"/>
  <c r="AA188" i="1"/>
  <c r="BB188" i="1"/>
  <c r="Y188" i="1"/>
  <c r="BC188" i="1"/>
  <c r="Z188" i="1"/>
  <c r="AQ188" i="1"/>
  <c r="AS188" i="1"/>
  <c r="AT188" i="1"/>
  <c r="AR188" i="1"/>
  <c r="AH476" i="1"/>
  <c r="X476" i="1"/>
  <c r="AJ476" i="1"/>
  <c r="AG476" i="1"/>
  <c r="AI476" i="1"/>
  <c r="AQ584" i="1"/>
  <c r="BC584" i="1"/>
  <c r="AR584" i="1"/>
  <c r="AS584" i="1"/>
  <c r="AT584" i="1"/>
  <c r="Y584" i="1"/>
  <c r="Z584" i="1"/>
  <c r="BB584" i="1"/>
  <c r="AA584" i="1"/>
  <c r="BC148" i="1"/>
  <c r="AR148" i="1"/>
  <c r="AS148" i="1"/>
  <c r="AT148" i="1"/>
  <c r="Y148" i="1"/>
  <c r="Z148" i="1"/>
  <c r="AA148" i="1"/>
  <c r="BB148" i="1"/>
  <c r="AQ148" i="1"/>
  <c r="AA9" i="1"/>
  <c r="BB9" i="1"/>
  <c r="AQ9" i="1"/>
  <c r="BC9" i="1"/>
  <c r="AR9" i="1"/>
  <c r="AS9" i="1"/>
  <c r="AT9" i="1"/>
  <c r="Y9" i="1"/>
  <c r="Z9" i="1"/>
  <c r="AG93" i="1"/>
  <c r="AI93" i="1"/>
  <c r="AJ93" i="1"/>
  <c r="X93" i="1"/>
  <c r="AH93" i="1"/>
  <c r="X129" i="1"/>
  <c r="AI129" i="1"/>
  <c r="AJ129" i="1"/>
  <c r="AH129" i="1"/>
  <c r="AG129" i="1"/>
  <c r="X165" i="1"/>
  <c r="AH165" i="1"/>
  <c r="AI165" i="1"/>
  <c r="AJ165" i="1"/>
  <c r="AG165" i="1"/>
  <c r="AI237" i="1"/>
  <c r="AH237" i="1"/>
  <c r="AJ237" i="1"/>
  <c r="X237" i="1"/>
  <c r="AG237" i="1"/>
  <c r="AI285" i="1"/>
  <c r="AG285" i="1"/>
  <c r="AH285" i="1"/>
  <c r="AJ285" i="1"/>
  <c r="X285" i="1"/>
  <c r="AG393" i="1"/>
  <c r="AH393" i="1"/>
  <c r="AI393" i="1"/>
  <c r="X393" i="1"/>
  <c r="AJ393" i="1"/>
  <c r="AG453" i="1"/>
  <c r="AH453" i="1"/>
  <c r="AI453" i="1"/>
  <c r="X453" i="1"/>
  <c r="AJ453" i="1"/>
  <c r="AH585" i="1"/>
  <c r="AG585" i="1"/>
  <c r="X585" i="1"/>
  <c r="AI585" i="1"/>
  <c r="AJ585" i="1"/>
  <c r="AA107" i="1"/>
  <c r="Y107" i="1"/>
  <c r="Z107" i="1"/>
  <c r="AS107" i="1"/>
  <c r="BB107" i="1"/>
  <c r="AQ107" i="1"/>
  <c r="BC107" i="1"/>
  <c r="AR107" i="1"/>
  <c r="AT107" i="1"/>
  <c r="AG395" i="1"/>
  <c r="AJ395" i="1"/>
  <c r="AH395" i="1"/>
  <c r="AI395" i="1"/>
  <c r="X395" i="1"/>
  <c r="AI467" i="1"/>
  <c r="AH467" i="1"/>
  <c r="X467" i="1"/>
  <c r="AG467" i="1"/>
  <c r="AJ467" i="1"/>
  <c r="AG72" i="1"/>
  <c r="AH72" i="1"/>
  <c r="AI72" i="1"/>
  <c r="AJ72" i="1"/>
  <c r="X72" i="1"/>
  <c r="AR156" i="1"/>
  <c r="AS156" i="1"/>
  <c r="BB156" i="1"/>
  <c r="AQ156" i="1"/>
  <c r="BC156" i="1"/>
  <c r="AT156" i="1"/>
  <c r="Z156" i="1"/>
  <c r="AA156" i="1"/>
  <c r="Y156" i="1"/>
  <c r="AQ157" i="1"/>
  <c r="BC157" i="1"/>
  <c r="AR157" i="1"/>
  <c r="AT157" i="1"/>
  <c r="Y157" i="1"/>
  <c r="AS157" i="1"/>
  <c r="BB157" i="1"/>
  <c r="Z157" i="1"/>
  <c r="AA157" i="1"/>
  <c r="AH457" i="1"/>
  <c r="AG457" i="1"/>
  <c r="AI457" i="1"/>
  <c r="AJ457" i="1"/>
  <c r="X457" i="1"/>
  <c r="AS613" i="1"/>
  <c r="AT613" i="1"/>
  <c r="Y613" i="1"/>
  <c r="Z613" i="1"/>
  <c r="AQ613" i="1"/>
  <c r="BC613" i="1"/>
  <c r="BB613" i="1"/>
  <c r="AR613" i="1"/>
  <c r="AA613" i="1"/>
  <c r="X100" i="1"/>
  <c r="AH100" i="1"/>
  <c r="AJ100" i="1"/>
  <c r="AI100" i="1"/>
  <c r="AG100" i="1"/>
  <c r="AG202" i="1"/>
  <c r="AJ202" i="1"/>
  <c r="X202" i="1"/>
  <c r="AI202" i="1"/>
  <c r="AH202" i="1"/>
  <c r="AI310" i="1"/>
  <c r="AG310" i="1"/>
  <c r="AH310" i="1"/>
  <c r="AJ310" i="1"/>
  <c r="X310" i="1"/>
  <c r="AH502" i="1"/>
  <c r="AI502" i="1"/>
  <c r="X502" i="1"/>
  <c r="AJ502" i="1"/>
  <c r="AG502" i="1"/>
  <c r="AG59" i="1"/>
  <c r="AH59" i="1"/>
  <c r="AI59" i="1"/>
  <c r="AJ59" i="1"/>
  <c r="X59" i="1"/>
  <c r="AG167" i="1"/>
  <c r="AJ167" i="1"/>
  <c r="X167" i="1"/>
  <c r="AI167" i="1"/>
  <c r="AH167" i="1"/>
  <c r="AA347" i="1"/>
  <c r="Y347" i="1"/>
  <c r="AT347" i="1"/>
  <c r="AQ347" i="1"/>
  <c r="AS347" i="1"/>
  <c r="AR347" i="1"/>
  <c r="Z347" i="1"/>
  <c r="BC347" i="1"/>
  <c r="BB347" i="1"/>
  <c r="BB455" i="1"/>
  <c r="AQ455" i="1"/>
  <c r="BC455" i="1"/>
  <c r="AR455" i="1"/>
  <c r="AS455" i="1"/>
  <c r="AT455" i="1"/>
  <c r="Y455" i="1"/>
  <c r="Z455" i="1"/>
  <c r="AA455" i="1"/>
  <c r="AI539" i="1"/>
  <c r="X539" i="1"/>
  <c r="AG539" i="1"/>
  <c r="AH539" i="1"/>
  <c r="AJ539" i="1"/>
  <c r="X180" i="1"/>
  <c r="AI180" i="1"/>
  <c r="AJ180" i="1"/>
  <c r="AG180" i="1"/>
  <c r="AH180" i="1"/>
  <c r="AI508" i="1"/>
  <c r="X508" i="1"/>
  <c r="AG508" i="1"/>
  <c r="AH508" i="1"/>
  <c r="AJ508" i="1"/>
  <c r="AG26" i="1"/>
  <c r="AH26" i="1"/>
  <c r="AI26" i="1"/>
  <c r="AJ26" i="1"/>
  <c r="X26" i="1"/>
  <c r="AR62" i="1"/>
  <c r="AS62" i="1"/>
  <c r="Y62" i="1"/>
  <c r="AQ62" i="1"/>
  <c r="AT62" i="1"/>
  <c r="Z62" i="1"/>
  <c r="BB62" i="1"/>
  <c r="BC62" i="1"/>
  <c r="AA62" i="1"/>
  <c r="X446" i="1"/>
  <c r="AH446" i="1"/>
  <c r="AI446" i="1"/>
  <c r="AJ446" i="1"/>
  <c r="AG446" i="1"/>
  <c r="AI506" i="1"/>
  <c r="AG506" i="1"/>
  <c r="AH506" i="1"/>
  <c r="AJ506" i="1"/>
  <c r="X506" i="1"/>
  <c r="BB554" i="1"/>
  <c r="AS554" i="1"/>
  <c r="AR554" i="1"/>
  <c r="BC554" i="1"/>
  <c r="AQ554" i="1"/>
  <c r="AT554" i="1"/>
  <c r="AA554" i="1"/>
  <c r="Y554" i="1"/>
  <c r="Z554" i="1"/>
  <c r="X63" i="1"/>
  <c r="AH63" i="1"/>
  <c r="AG63" i="1"/>
  <c r="AI63" i="1"/>
  <c r="AJ63" i="1"/>
  <c r="AH99" i="1"/>
  <c r="AI99" i="1"/>
  <c r="AG99" i="1"/>
  <c r="X99" i="1"/>
  <c r="AJ99" i="1"/>
  <c r="X171" i="1"/>
  <c r="AH171" i="1"/>
  <c r="AI171" i="1"/>
  <c r="AJ171" i="1"/>
  <c r="AG171" i="1"/>
  <c r="AH207" i="1"/>
  <c r="AG207" i="1"/>
  <c r="X207" i="1"/>
  <c r="AI207" i="1"/>
  <c r="AJ207" i="1"/>
  <c r="AQ243" i="1"/>
  <c r="BC243" i="1"/>
  <c r="AR243" i="1"/>
  <c r="AS243" i="1"/>
  <c r="AT243" i="1"/>
  <c r="Y243" i="1"/>
  <c r="Z243" i="1"/>
  <c r="AA243" i="1"/>
  <c r="BB243" i="1"/>
  <c r="AI387" i="1"/>
  <c r="AG387" i="1"/>
  <c r="AH387" i="1"/>
  <c r="AJ387" i="1"/>
  <c r="X387" i="1"/>
  <c r="AG519" i="1"/>
  <c r="AJ519" i="1"/>
  <c r="X519" i="1"/>
  <c r="AI519" i="1"/>
  <c r="AH519" i="1"/>
  <c r="Z603" i="1"/>
  <c r="BB603" i="1"/>
  <c r="AT603" i="1"/>
  <c r="AS603" i="1"/>
  <c r="BC603" i="1"/>
  <c r="AA603" i="1"/>
  <c r="Y603" i="1"/>
  <c r="AR603" i="1"/>
  <c r="AQ603" i="1"/>
  <c r="Y17" i="1"/>
  <c r="AA17" i="1"/>
  <c r="AS17" i="1"/>
  <c r="BB17" i="1"/>
  <c r="AQ17" i="1"/>
  <c r="BC17" i="1"/>
  <c r="AR17" i="1"/>
  <c r="AT17" i="1"/>
  <c r="Z17" i="1"/>
  <c r="X65" i="1"/>
  <c r="AI65" i="1"/>
  <c r="AG65" i="1"/>
  <c r="AH65" i="1"/>
  <c r="AJ65" i="1"/>
  <c r="AI149" i="1"/>
  <c r="AH149" i="1"/>
  <c r="AG149" i="1"/>
  <c r="X149" i="1"/>
  <c r="AJ149" i="1"/>
  <c r="Y305" i="1"/>
  <c r="AQ305" i="1"/>
  <c r="BC305" i="1"/>
  <c r="Z305" i="1"/>
  <c r="BB305" i="1"/>
  <c r="AA305" i="1"/>
  <c r="AR305" i="1"/>
  <c r="AS305" i="1"/>
  <c r="AT305" i="1"/>
  <c r="AI449" i="1"/>
  <c r="AH449" i="1"/>
  <c r="X449" i="1"/>
  <c r="AG449" i="1"/>
  <c r="AJ449" i="1"/>
  <c r="Y485" i="1"/>
  <c r="AQ485" i="1"/>
  <c r="BB485" i="1"/>
  <c r="BC485" i="1"/>
  <c r="AR485" i="1"/>
  <c r="AS485" i="1"/>
  <c r="AT485" i="1"/>
  <c r="AA485" i="1"/>
  <c r="Z485" i="1"/>
  <c r="AA126" i="1"/>
  <c r="AQ126" i="1"/>
  <c r="BC126" i="1"/>
  <c r="AR126" i="1"/>
  <c r="Y126" i="1"/>
  <c r="AS126" i="1"/>
  <c r="AT126" i="1"/>
  <c r="BB126" i="1"/>
  <c r="Z126" i="1"/>
  <c r="BB306" i="1"/>
  <c r="AQ306" i="1"/>
  <c r="BC306" i="1"/>
  <c r="AR306" i="1"/>
  <c r="AS306" i="1"/>
  <c r="AT306" i="1"/>
  <c r="Y306" i="1"/>
  <c r="AA306" i="1"/>
  <c r="Z306" i="1"/>
  <c r="AS342" i="1"/>
  <c r="BB342" i="1"/>
  <c r="AQ342" i="1"/>
  <c r="BC342" i="1"/>
  <c r="AR342" i="1"/>
  <c r="AT342" i="1"/>
  <c r="Y342" i="1"/>
  <c r="Z342" i="1"/>
  <c r="AA342" i="1"/>
  <c r="BC97" i="1"/>
  <c r="AQ97" i="1"/>
  <c r="AS97" i="1"/>
  <c r="AT97" i="1"/>
  <c r="Y97" i="1"/>
  <c r="Z97" i="1"/>
  <c r="AA97" i="1"/>
  <c r="BB97" i="1"/>
  <c r="AR97" i="1"/>
  <c r="AI424" i="1"/>
  <c r="AG424" i="1"/>
  <c r="AH424" i="1"/>
  <c r="X424" i="1"/>
  <c r="AJ424" i="1"/>
  <c r="AQ19" i="1"/>
  <c r="BC19" i="1"/>
  <c r="AR19" i="1"/>
  <c r="AT19" i="1"/>
  <c r="Y19" i="1"/>
  <c r="BB19" i="1"/>
  <c r="Z19" i="1"/>
  <c r="AS19" i="1"/>
  <c r="AA19" i="1"/>
  <c r="AI67" i="1"/>
  <c r="X67" i="1"/>
  <c r="AG67" i="1"/>
  <c r="AH67" i="1"/>
  <c r="AJ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BB583" i="1"/>
  <c r="AQ583" i="1"/>
  <c r="BC583" i="1"/>
  <c r="AR583" i="1"/>
  <c r="AS583" i="1"/>
  <c r="AT583" i="1"/>
  <c r="Y583" i="1"/>
  <c r="Z583" i="1"/>
  <c r="AA583" i="1"/>
  <c r="AI80" i="1"/>
  <c r="AG80" i="1"/>
  <c r="AH80" i="1"/>
  <c r="AJ80" i="1"/>
  <c r="X80" i="1"/>
  <c r="Y392" i="1"/>
  <c r="AA392" i="1"/>
  <c r="Z392" i="1"/>
  <c r="BB392" i="1"/>
  <c r="AS392" i="1"/>
  <c r="AQ392" i="1"/>
  <c r="BC392" i="1"/>
  <c r="AR392" i="1"/>
  <c r="AT392" i="1"/>
  <c r="AI109" i="1"/>
  <c r="AJ109" i="1"/>
  <c r="X109" i="1"/>
  <c r="AG109" i="1"/>
  <c r="AH109" i="1"/>
  <c r="X289" i="1"/>
  <c r="AG289" i="1"/>
  <c r="AH289" i="1"/>
  <c r="AI289" i="1"/>
  <c r="AJ289" i="1"/>
  <c r="AG345" i="1"/>
  <c r="AJ345" i="1"/>
  <c r="AH345" i="1"/>
  <c r="AI345" i="1"/>
  <c r="X345" i="1"/>
  <c r="AA489" i="1"/>
  <c r="Z489" i="1"/>
  <c r="AS489" i="1"/>
  <c r="AT489" i="1"/>
  <c r="AQ489" i="1"/>
  <c r="Y489" i="1"/>
  <c r="BC489" i="1"/>
  <c r="BB489" i="1"/>
  <c r="AR489" i="1"/>
  <c r="AI227" i="1"/>
  <c r="AG227" i="1"/>
  <c r="AH227" i="1"/>
  <c r="AJ227" i="1"/>
  <c r="X227" i="1"/>
  <c r="AG311" i="1"/>
  <c r="X311" i="1"/>
  <c r="AH311" i="1"/>
  <c r="AI311" i="1"/>
  <c r="AJ311" i="1"/>
  <c r="X168" i="1"/>
  <c r="AH168" i="1"/>
  <c r="AI168" i="1"/>
  <c r="AJ168" i="1"/>
  <c r="AG168" i="1"/>
  <c r="X420" i="1"/>
  <c r="AG420" i="1"/>
  <c r="AH420" i="1"/>
  <c r="AI420" i="1"/>
  <c r="AJ420" i="1"/>
  <c r="AQ556" i="1"/>
  <c r="BC556" i="1"/>
  <c r="AR556" i="1"/>
  <c r="AS556" i="1"/>
  <c r="AT556" i="1"/>
  <c r="Z556" i="1"/>
  <c r="AA556" i="1"/>
  <c r="BB556" i="1"/>
  <c r="Y556" i="1"/>
  <c r="AI46" i="1"/>
  <c r="AG46" i="1"/>
  <c r="AH46" i="1"/>
  <c r="X46" i="1"/>
  <c r="AJ46" i="1"/>
  <c r="Z82" i="1"/>
  <c r="AA82" i="1"/>
  <c r="AR82" i="1"/>
  <c r="Y82" i="1"/>
  <c r="BB82" i="1"/>
  <c r="AT82" i="1"/>
  <c r="AS82" i="1"/>
  <c r="BC82" i="1"/>
  <c r="AQ82" i="1"/>
  <c r="AA166" i="1"/>
  <c r="BB166" i="1"/>
  <c r="AQ166" i="1"/>
  <c r="BC166" i="1"/>
  <c r="AR166" i="1"/>
  <c r="AS166" i="1"/>
  <c r="AT166" i="1"/>
  <c r="Y166" i="1"/>
  <c r="Z166" i="1"/>
  <c r="AG262" i="1"/>
  <c r="AH262" i="1"/>
  <c r="AI262" i="1"/>
  <c r="X262" i="1"/>
  <c r="AJ262" i="1"/>
  <c r="AH454" i="1"/>
  <c r="X454" i="1"/>
  <c r="AG454" i="1"/>
  <c r="AJ454" i="1"/>
  <c r="AI454" i="1"/>
  <c r="AG562" i="1"/>
  <c r="AH562" i="1"/>
  <c r="AI562" i="1"/>
  <c r="X562" i="1"/>
  <c r="AJ562" i="1"/>
  <c r="AG287" i="1"/>
  <c r="AH287" i="1"/>
  <c r="AI287" i="1"/>
  <c r="X287" i="1"/>
  <c r="AJ287" i="1"/>
  <c r="AQ12" i="1"/>
  <c r="BC12" i="1"/>
  <c r="AR12" i="1"/>
  <c r="AS12" i="1"/>
  <c r="AT12" i="1"/>
  <c r="Y12" i="1"/>
  <c r="Z12" i="1"/>
  <c r="AA12" i="1"/>
  <c r="BB12" i="1"/>
  <c r="Z84" i="1"/>
  <c r="AA84" i="1"/>
  <c r="BB84" i="1"/>
  <c r="AQ84" i="1"/>
  <c r="BC84" i="1"/>
  <c r="AR84" i="1"/>
  <c r="AS84" i="1"/>
  <c r="AT84" i="1"/>
  <c r="Y84" i="1"/>
  <c r="AS348" i="1"/>
  <c r="AT348" i="1"/>
  <c r="Y348" i="1"/>
  <c r="Z348" i="1"/>
  <c r="AA348" i="1"/>
  <c r="BC348" i="1"/>
  <c r="AQ348" i="1"/>
  <c r="BB348" i="1"/>
  <c r="AR348" i="1"/>
  <c r="AG456" i="1"/>
  <c r="AH456" i="1"/>
  <c r="AI456" i="1"/>
  <c r="X456" i="1"/>
  <c r="AJ456" i="1"/>
  <c r="AH588" i="1"/>
  <c r="AG588" i="1"/>
  <c r="AJ588" i="1"/>
  <c r="X588" i="1"/>
  <c r="AI588" i="1"/>
  <c r="AH256" i="1"/>
  <c r="AG256" i="1"/>
  <c r="X256" i="1"/>
  <c r="AI256" i="1"/>
  <c r="AJ256" i="1"/>
  <c r="AG98" i="1"/>
  <c r="AI98" i="1"/>
  <c r="AH98" i="1"/>
  <c r="X98" i="1"/>
  <c r="AJ98" i="1"/>
  <c r="AG254" i="1"/>
  <c r="AJ254" i="1"/>
  <c r="X254" i="1"/>
  <c r="AI254" i="1"/>
  <c r="AH254" i="1"/>
  <c r="AG566" i="1"/>
  <c r="AJ566" i="1"/>
  <c r="X566" i="1"/>
  <c r="AI566" i="1"/>
  <c r="AH566" i="1"/>
  <c r="BB614" i="1"/>
  <c r="AQ614" i="1"/>
  <c r="BC614" i="1"/>
  <c r="AS614" i="1"/>
  <c r="AT614" i="1"/>
  <c r="Y614" i="1"/>
  <c r="Z614" i="1"/>
  <c r="AA614" i="1"/>
  <c r="AR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BF556" i="2" s="1"/>
  <c r="BK556" i="2" s="1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BF216" i="2" s="1"/>
  <c r="BK216" i="2" s="1"/>
  <c r="AW398" i="2"/>
  <c r="AW254" i="2"/>
  <c r="AW573" i="2"/>
  <c r="AW555" i="2"/>
  <c r="AW383" i="2"/>
  <c r="AW386" i="2"/>
  <c r="AW369" i="2"/>
  <c r="AX332" i="2"/>
  <c r="BB332" i="2" s="1"/>
  <c r="AX551" i="2"/>
  <c r="BB551" i="2" s="1"/>
  <c r="AX509" i="2"/>
  <c r="BB509" i="2" s="1"/>
  <c r="BG509" i="2" s="1"/>
  <c r="BL509" i="2" s="1"/>
  <c r="AX606" i="2"/>
  <c r="BB606" i="2" s="1"/>
  <c r="AX367" i="2"/>
  <c r="BB367" i="2" s="1"/>
  <c r="BG367" i="2" s="1"/>
  <c r="BL367" i="2" s="1"/>
  <c r="AX316" i="2"/>
  <c r="BB316" i="2" s="1"/>
  <c r="AX538" i="2"/>
  <c r="BB538" i="2" s="1"/>
  <c r="AX451" i="2"/>
  <c r="BB451" i="2" s="1"/>
  <c r="BG451" i="2" s="1"/>
  <c r="BL451" i="2" s="1"/>
  <c r="AX333" i="2"/>
  <c r="BB333" i="2" s="1"/>
  <c r="AX533" i="2"/>
  <c r="BB533" i="2" s="1"/>
  <c r="AX395" i="2"/>
  <c r="BB395" i="2" s="1"/>
  <c r="AX570" i="2"/>
  <c r="BB570" i="2" s="1"/>
  <c r="AX382" i="2"/>
  <c r="BB382" i="2" s="1"/>
  <c r="AX534" i="2"/>
  <c r="BB534" i="2" s="1"/>
  <c r="AX569" i="2"/>
  <c r="BB569" i="2" s="1"/>
  <c r="AX344" i="2"/>
  <c r="BB344" i="2" s="1"/>
  <c r="AX211" i="2"/>
  <c r="BB211" i="2" s="1"/>
  <c r="BG211" i="2" s="1"/>
  <c r="BL211" i="2" s="1"/>
  <c r="AX546" i="2"/>
  <c r="BB546" i="2" s="1"/>
  <c r="AX325" i="2"/>
  <c r="BB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BF292" i="2" s="1"/>
  <c r="BK292" i="2" s="1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BF377" i="2" s="1"/>
  <c r="BK377" i="2" s="1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AX218" i="2"/>
  <c r="AX340" i="2"/>
  <c r="BB340" i="2" s="1"/>
  <c r="AX618" i="2"/>
  <c r="AX532" i="2"/>
  <c r="BB532" i="2" s="1"/>
  <c r="AX343" i="2"/>
  <c r="BB343" i="2" s="1"/>
  <c r="AX536" i="2"/>
  <c r="BB536" i="2" s="1"/>
  <c r="AX99" i="2"/>
  <c r="BB99" i="2" s="1"/>
  <c r="BG99" i="2" s="1"/>
  <c r="BL99" i="2" s="1"/>
  <c r="AX350" i="2"/>
  <c r="BB350" i="2" s="1"/>
  <c r="AX231" i="2"/>
  <c r="BB231" i="2" s="1"/>
  <c r="AX531" i="2"/>
  <c r="BB531" i="2" s="1"/>
  <c r="BG531" i="2" s="1"/>
  <c r="BL531" i="2" s="1"/>
  <c r="AX465" i="2"/>
  <c r="AX519" i="2"/>
  <c r="BB519" i="2" s="1"/>
  <c r="AX541" i="2"/>
  <c r="BB541" i="2" s="1"/>
  <c r="AX374" i="2"/>
  <c r="BB374" i="2" s="1"/>
  <c r="AX582" i="2"/>
  <c r="BB582" i="2" s="1"/>
  <c r="BG582" i="2" s="1"/>
  <c r="BL582" i="2" s="1"/>
  <c r="AX505" i="2"/>
  <c r="BB505" i="2" s="1"/>
  <c r="AX292" i="2"/>
  <c r="BB292" i="2" s="1"/>
  <c r="AX481" i="2"/>
  <c r="BB481" i="2" s="1"/>
  <c r="AX439" i="2"/>
  <c r="AX416" i="2"/>
  <c r="AX581" i="2"/>
  <c r="BB581" i="2" s="1"/>
  <c r="AX377" i="2"/>
  <c r="AX230" i="2"/>
  <c r="BB230" i="2" s="1"/>
  <c r="BG230" i="2" s="1"/>
  <c r="BL230" i="2" s="1"/>
  <c r="AX445" i="2"/>
  <c r="BB445" i="2" s="1"/>
  <c r="AX261" i="2"/>
  <c r="BB261" i="2" s="1"/>
  <c r="AX390" i="2"/>
  <c r="BB390" i="2" s="1"/>
  <c r="AX585" i="2"/>
  <c r="BB585" i="2" s="1"/>
  <c r="BG585" i="2" s="1"/>
  <c r="BL585" i="2" s="1"/>
  <c r="AX446" i="2"/>
  <c r="BB446" i="2" s="1"/>
  <c r="AX373" i="2"/>
  <c r="BB373" i="2" s="1"/>
  <c r="BG373" i="2" s="1"/>
  <c r="BL373" i="2" s="1"/>
  <c r="AX393" i="2"/>
  <c r="BB393" i="2" s="1"/>
  <c r="AX228" i="2"/>
  <c r="BB228" i="2" s="1"/>
  <c r="BG228" i="2" s="1"/>
  <c r="BL228" i="2" s="1"/>
  <c r="AX603" i="2"/>
  <c r="AX375" i="2"/>
  <c r="BB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AX299" i="2"/>
  <c r="AX269" i="2"/>
  <c r="BB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AX463" i="2"/>
  <c r="BB463" i="2" s="1"/>
  <c r="AX442" i="2"/>
  <c r="BB442" i="2" s="1"/>
  <c r="AX238" i="2"/>
  <c r="BB238" i="2" s="1"/>
  <c r="BG238" i="2" s="1"/>
  <c r="BL238" i="2" s="1"/>
  <c r="AX471" i="2"/>
  <c r="BB471" i="2" s="1"/>
  <c r="AX43" i="2"/>
  <c r="BB43" i="2" s="1"/>
  <c r="AX405" i="2"/>
  <c r="BB405" i="2" s="1"/>
  <c r="AX380" i="2"/>
  <c r="AX365" i="2"/>
  <c r="BB365" i="2" s="1"/>
  <c r="AX323" i="2"/>
  <c r="BB323" i="2" s="1"/>
  <c r="AX237" i="2"/>
  <c r="AX199" i="2"/>
  <c r="AX378" i="2"/>
  <c r="BB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AX571" i="2"/>
  <c r="AX288" i="2"/>
  <c r="BB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AX613" i="2"/>
  <c r="BB613" i="2" s="1"/>
  <c r="BG613" i="2" s="1"/>
  <c r="BL613" i="2" s="1"/>
  <c r="AX386" i="2"/>
  <c r="BB386" i="2" s="1"/>
  <c r="AX594" i="2"/>
  <c r="AX455" i="2"/>
  <c r="BB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AX387" i="2"/>
  <c r="AX610" i="2"/>
  <c r="BB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R3" i="1" s="1"/>
  <c r="AH3" i="1" s="1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G214" i="2"/>
  <c r="BL214" i="2" s="1"/>
  <c r="BA214" i="2"/>
  <c r="BA512" i="2"/>
  <c r="BG512" i="2"/>
  <c r="BL512" i="2" s="1"/>
  <c r="BA414" i="2"/>
  <c r="BG414" i="2"/>
  <c r="BL414" i="2" s="1"/>
  <c r="BG540" i="2"/>
  <c r="BL540" i="2" s="1"/>
  <c r="BA540" i="2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417" i="2"/>
  <c r="BL417" i="2" s="1"/>
  <c r="BA417" i="2"/>
  <c r="BG12" i="2"/>
  <c r="BL12" i="2" s="1"/>
  <c r="BA12" i="2"/>
  <c r="BG300" i="2"/>
  <c r="BL300" i="2" s="1"/>
  <c r="BA300" i="2"/>
  <c r="BA404" i="2"/>
  <c r="BG404" i="2"/>
  <c r="BL404" i="2" s="1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A524" i="2"/>
  <c r="BG524" i="2"/>
  <c r="BL524" i="2" s="1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252" i="2"/>
  <c r="BL252" i="2" s="1"/>
  <c r="BA252" i="2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G580" i="2"/>
  <c r="BL580" i="2" s="1"/>
  <c r="BA580" i="2"/>
  <c r="BA13" i="2"/>
  <c r="BG13" i="2"/>
  <c r="BL13" i="2" s="1"/>
  <c r="BG565" i="2"/>
  <c r="BL565" i="2" s="1"/>
  <c r="BA565" i="2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576" i="2"/>
  <c r="BL576" i="2" s="1"/>
  <c r="BG386" i="2"/>
  <c r="BL386" i="2" s="1"/>
  <c r="BG577" i="2"/>
  <c r="BL577" i="2" s="1"/>
  <c r="BG455" i="2"/>
  <c r="BL455" i="2" s="1"/>
  <c r="BG400" i="2"/>
  <c r="BL400" i="2" s="1"/>
  <c r="BG610" i="2"/>
  <c r="BL610" i="2" s="1"/>
  <c r="BG288" i="2"/>
  <c r="BL28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E593" i="2" s="1"/>
  <c r="BJ593" i="2" s="1"/>
  <c r="BG491" i="2"/>
  <c r="BL491" i="2" s="1"/>
  <c r="BG337" i="2"/>
  <c r="BL337" i="2" s="1"/>
  <c r="BA337" i="2"/>
  <c r="BG431" i="2"/>
  <c r="BL431" i="2" s="1"/>
  <c r="BA431" i="2"/>
  <c r="BA590" i="2"/>
  <c r="BG590" i="2"/>
  <c r="BL590" i="2" s="1"/>
  <c r="BG173" i="2"/>
  <c r="BL173" i="2" s="1"/>
  <c r="BA173" i="2"/>
  <c r="BA572" i="2"/>
  <c r="BG572" i="2"/>
  <c r="BL572" i="2" s="1"/>
  <c r="BA401" i="2"/>
  <c r="BG401" i="2"/>
  <c r="BL401" i="2" s="1"/>
  <c r="BA248" i="2"/>
  <c r="BG248" i="2"/>
  <c r="BL248" i="2" s="1"/>
  <c r="BG118" i="2"/>
  <c r="BL118" i="2" s="1"/>
  <c r="BA118" i="2"/>
  <c r="BA530" i="2"/>
  <c r="BG530" i="2"/>
  <c r="BL530" i="2" s="1"/>
  <c r="BG158" i="2"/>
  <c r="BL158" i="2" s="1"/>
  <c r="BA158" i="2"/>
  <c r="BA84" i="2"/>
  <c r="BG84" i="2"/>
  <c r="BL84" i="2" s="1"/>
  <c r="BG10" i="2"/>
  <c r="BL10" i="2" s="1"/>
  <c r="BA10" i="2"/>
  <c r="BG342" i="2"/>
  <c r="BL342" i="2" s="1"/>
  <c r="BA342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504" i="2"/>
  <c r="BL504" i="2" s="1"/>
  <c r="BA504" i="2"/>
  <c r="BG305" i="2"/>
  <c r="BL305" i="2" s="1"/>
  <c r="BA305" i="2"/>
  <c r="BA623" i="2"/>
  <c r="BG623" i="2"/>
  <c r="BL623" i="2" s="1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615" i="2"/>
  <c r="BL615" i="2" s="1"/>
  <c r="BA615" i="2"/>
  <c r="BG128" i="2"/>
  <c r="BL128" i="2" s="1"/>
  <c r="BA128" i="2"/>
  <c r="BG124" i="2"/>
  <c r="BL124" i="2" s="1"/>
  <c r="BA124" i="2"/>
  <c r="BG198" i="2"/>
  <c r="BL198" i="2" s="1"/>
  <c r="BA198" i="2"/>
  <c r="BG611" i="2"/>
  <c r="BL611" i="2" s="1"/>
  <c r="BA611" i="2"/>
  <c r="BG163" i="2"/>
  <c r="BL163" i="2" s="1"/>
  <c r="BA163" i="2"/>
  <c r="BA402" i="2"/>
  <c r="BG402" i="2"/>
  <c r="BL402" i="2" s="1"/>
  <c r="BA339" i="2"/>
  <c r="BG339" i="2"/>
  <c r="BL339" i="2" s="1"/>
  <c r="BA501" i="2"/>
  <c r="BG501" i="2"/>
  <c r="BL501" i="2" s="1"/>
  <c r="BG171" i="2"/>
  <c r="BL171" i="2" s="1"/>
  <c r="BA171" i="2"/>
  <c r="BA98" i="2"/>
  <c r="BG98" i="2"/>
  <c r="BL98" i="2" s="1"/>
  <c r="BG73" i="2"/>
  <c r="BL73" i="2" s="1"/>
  <c r="BA73" i="2"/>
  <c r="BA236" i="2"/>
  <c r="BG236" i="2"/>
  <c r="BL236" i="2" s="1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209" i="2"/>
  <c r="BL209" i="2" s="1"/>
  <c r="BA209" i="2"/>
  <c r="BG457" i="2"/>
  <c r="BL457" i="2" s="1"/>
  <c r="BA457" i="2"/>
  <c r="BG258" i="2"/>
  <c r="BL258" i="2" s="1"/>
  <c r="BA258" i="2"/>
  <c r="BG575" i="2"/>
  <c r="BL575" i="2" s="1"/>
  <c r="BA575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G593" i="2"/>
  <c r="BL593" i="2" s="1"/>
  <c r="BA593" i="2"/>
  <c r="BA477" i="2"/>
  <c r="BG477" i="2"/>
  <c r="BL477" i="2" s="1"/>
  <c r="BA287" i="2"/>
  <c r="BG287" i="2"/>
  <c r="BL28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444" i="2"/>
  <c r="BG444" i="2"/>
  <c r="BL444" i="2" s="1"/>
  <c r="BA462" i="2"/>
  <c r="BG462" i="2"/>
  <c r="BL462" i="2" s="1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561" i="2"/>
  <c r="BL561" i="2" s="1"/>
  <c r="BA561" i="2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215" i="2"/>
  <c r="BG215" i="2"/>
  <c r="BL215" i="2" s="1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A557" i="2"/>
  <c r="BG557" i="2"/>
  <c r="BL557" i="2" s="1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A153" i="2"/>
  <c r="BG153" i="2"/>
  <c r="BL153" i="2" s="1"/>
  <c r="BG226" i="2"/>
  <c r="BL226" i="2" s="1"/>
  <c r="BA226" i="2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A348" i="2"/>
  <c r="BG348" i="2"/>
  <c r="BL348" i="2" s="1"/>
  <c r="BG329" i="2"/>
  <c r="BL329" i="2" s="1"/>
  <c r="BA329" i="2"/>
  <c r="BA61" i="2"/>
  <c r="BG61" i="2"/>
  <c r="BL61" i="2" s="1"/>
  <c r="BA20" i="2"/>
  <c r="BG20" i="2"/>
  <c r="BL20" i="2" s="1"/>
  <c r="BG394" i="2"/>
  <c r="BL394" i="2" s="1"/>
  <c r="BA394" i="2"/>
  <c r="BG469" i="2"/>
  <c r="BL469" i="2" s="1"/>
  <c r="BA469" i="2"/>
  <c r="BG14" i="2"/>
  <c r="BL14" i="2" s="1"/>
  <c r="BA14" i="2"/>
  <c r="BA488" i="2"/>
  <c r="BG488" i="2"/>
  <c r="BL488" i="2" s="1"/>
  <c r="BG271" i="2"/>
  <c r="BL271" i="2" s="1"/>
  <c r="BA271" i="2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E276" i="2" s="1"/>
  <c r="BJ276" i="2" s="1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E395" i="2" s="1"/>
  <c r="BJ395" i="2" s="1"/>
  <c r="BA516" i="2"/>
  <c r="BG516" i="2"/>
  <c r="BL516" i="2" s="1"/>
  <c r="BA480" i="2"/>
  <c r="BG480" i="2"/>
  <c r="BL480" i="2" s="1"/>
  <c r="BA251" i="2"/>
  <c r="BG251" i="2"/>
  <c r="BL251" i="2" s="1"/>
  <c r="BG148" i="2"/>
  <c r="BL148" i="2" s="1"/>
  <c r="BA148" i="2"/>
  <c r="BA371" i="2"/>
  <c r="BG371" i="2"/>
  <c r="BL371" i="2" s="1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E299" i="2" s="1"/>
  <c r="BJ299" i="2" s="1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A315" i="2"/>
  <c r="BG315" i="2"/>
  <c r="BL315" i="2" s="1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518" i="2"/>
  <c r="BL518" i="2" s="1"/>
  <c r="BA518" i="2"/>
  <c r="BG364" i="2"/>
  <c r="BL364" i="2" s="1"/>
  <c r="BA364" i="2"/>
  <c r="BG21" i="2"/>
  <c r="BL21" i="2" s="1"/>
  <c r="BA21" i="2"/>
  <c r="BG566" i="2"/>
  <c r="BL566" i="2" s="1"/>
  <c r="BA566" i="2"/>
  <c r="BG121" i="2"/>
  <c r="BL121" i="2" s="1"/>
  <c r="BA121" i="2"/>
  <c r="BA58" i="2"/>
  <c r="BG58" i="2"/>
  <c r="BL58" i="2" s="1"/>
  <c r="BG286" i="2"/>
  <c r="BL286" i="2" s="1"/>
  <c r="BA286" i="2"/>
  <c r="BG496" i="2"/>
  <c r="BL496" i="2" s="1"/>
  <c r="BA496" i="2"/>
  <c r="BA291" i="2"/>
  <c r="BG291" i="2"/>
  <c r="BL291" i="2" s="1"/>
  <c r="BG204" i="2"/>
  <c r="BL204" i="2" s="1"/>
  <c r="BA204" i="2"/>
  <c r="BG309" i="2"/>
  <c r="BL309" i="2" s="1"/>
  <c r="BA309" i="2"/>
  <c r="BG146" i="2"/>
  <c r="BL146" i="2" s="1"/>
  <c r="BA146" i="2"/>
  <c r="BG427" i="2"/>
  <c r="BL427" i="2" s="1"/>
  <c r="BA427" i="2"/>
  <c r="BG592" i="2"/>
  <c r="BL592" i="2" s="1"/>
  <c r="BA592" i="2"/>
  <c r="BG399" i="2"/>
  <c r="BL399" i="2" s="1"/>
  <c r="BA399" i="2"/>
  <c r="BG490" i="2"/>
  <c r="BL490" i="2" s="1"/>
  <c r="BA490" i="2"/>
  <c r="BA205" i="2"/>
  <c r="BG205" i="2"/>
  <c r="BL205" i="2" s="1"/>
  <c r="BA612" i="2"/>
  <c r="BG612" i="2"/>
  <c r="BL612" i="2" s="1"/>
  <c r="BA452" i="2"/>
  <c r="BG452" i="2"/>
  <c r="BL45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564" i="2"/>
  <c r="BG564" i="2"/>
  <c r="BL564" i="2" s="1"/>
  <c r="BG609" i="2"/>
  <c r="BL609" i="2" s="1"/>
  <c r="BA609" i="2"/>
  <c r="BA34" i="2"/>
  <c r="BG34" i="2"/>
  <c r="BL34" i="2" s="1"/>
  <c r="BG544" i="2"/>
  <c r="BL544" i="2" s="1"/>
  <c r="BA544" i="2"/>
  <c r="BG142" i="2"/>
  <c r="BL142" i="2" s="1"/>
  <c r="BA142" i="2"/>
  <c r="BA381" i="2"/>
  <c r="BG381" i="2"/>
  <c r="BL381" i="2" s="1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344" i="2"/>
  <c r="BL344" i="2" s="1"/>
  <c r="BG395" i="2"/>
  <c r="BL395" i="2" s="1"/>
  <c r="BG316" i="2"/>
  <c r="BL316" i="2" s="1"/>
  <c r="BG570" i="2"/>
  <c r="BL570" i="2" s="1"/>
  <c r="BG546" i="2"/>
  <c r="BL546" i="2" s="1"/>
  <c r="BG534" i="2"/>
  <c r="BL534" i="2" s="1"/>
  <c r="BG569" i="2"/>
  <c r="BL569" i="2" s="1"/>
  <c r="BG538" i="2"/>
  <c r="BL538" i="2" s="1"/>
  <c r="BG606" i="2"/>
  <c r="BL606" i="2" s="1"/>
  <c r="BG551" i="2"/>
  <c r="BL551" i="2" s="1"/>
  <c r="BG333" i="2"/>
  <c r="BL333" i="2" s="1"/>
  <c r="BG382" i="2"/>
  <c r="BL382" i="2" s="1"/>
  <c r="BG533" i="2"/>
  <c r="BL533" i="2" s="1"/>
  <c r="BG332" i="2"/>
  <c r="BL332" i="2" s="1"/>
  <c r="BG325" i="2"/>
  <c r="BL325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G389" i="2"/>
  <c r="BL389" i="2" s="1"/>
  <c r="BA389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268" i="2"/>
  <c r="BG268" i="2"/>
  <c r="BL268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470" i="2"/>
  <c r="BG470" i="2"/>
  <c r="BL470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BD377" i="2" s="1"/>
  <c r="BI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AU289" i="2"/>
  <c r="AZ289" i="2" s="1"/>
  <c r="BG376" i="2"/>
  <c r="BL376" i="2" s="1"/>
  <c r="BA376" i="2"/>
  <c r="BA322" i="2"/>
  <c r="BG322" i="2"/>
  <c r="BL322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G513" i="2"/>
  <c r="BL513" i="2" s="1"/>
  <c r="BA513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466" i="2"/>
  <c r="BL466" i="2" s="1"/>
  <c r="BA466" i="2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G372" i="2"/>
  <c r="BL372" i="2" s="1"/>
  <c r="BG340" i="2"/>
  <c r="BL340" i="2" s="1"/>
  <c r="BG292" i="2"/>
  <c r="BL292" i="2" s="1"/>
  <c r="BG393" i="2"/>
  <c r="BL393" i="2" s="1"/>
  <c r="BG581" i="2"/>
  <c r="BL581" i="2" s="1"/>
  <c r="BG519" i="2"/>
  <c r="BL519" i="2" s="1"/>
  <c r="BG269" i="2"/>
  <c r="BL269" i="2" s="1"/>
  <c r="BG445" i="2"/>
  <c r="BL445" i="2" s="1"/>
  <c r="BG261" i="2"/>
  <c r="BL261" i="2" s="1"/>
  <c r="BG505" i="2"/>
  <c r="BL505" i="2" s="1"/>
  <c r="BG532" i="2"/>
  <c r="BL532" i="2" s="1"/>
  <c r="BG231" i="2"/>
  <c r="BL231" i="2" s="1"/>
  <c r="BG390" i="2"/>
  <c r="BL390" i="2" s="1"/>
  <c r="BG562" i="2"/>
  <c r="BL562" i="2" s="1"/>
  <c r="BG343" i="2"/>
  <c r="BL343" i="2" s="1"/>
  <c r="BG536" i="2"/>
  <c r="BL536" i="2" s="1"/>
  <c r="BG446" i="2"/>
  <c r="BL446" i="2" s="1"/>
  <c r="BG481" i="2"/>
  <c r="BL481" i="2" s="1"/>
  <c r="BG541" i="2"/>
  <c r="BL541" i="2" s="1"/>
  <c r="BG375" i="2"/>
  <c r="BL375" i="2" s="1"/>
  <c r="BG350" i="2"/>
  <c r="BL350" i="2" s="1"/>
  <c r="BG374" i="2"/>
  <c r="BL374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507" i="2"/>
  <c r="BL507" i="2" s="1"/>
  <c r="BA507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E196" i="2" s="1"/>
  <c r="BJ196" i="2" s="1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BD386" i="2" s="1"/>
  <c r="BI386" i="2" s="1"/>
  <c r="AU344" i="2"/>
  <c r="AZ344" i="2" s="1"/>
  <c r="BD348" i="2" s="1"/>
  <c r="BI348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A454" i="2"/>
  <c r="BG454" i="2"/>
  <c r="BL454" i="2" s="1"/>
  <c r="BG479" i="2"/>
  <c r="BL479" i="2" s="1"/>
  <c r="BA479" i="2"/>
  <c r="BG327" i="2"/>
  <c r="BL327" i="2" s="1"/>
  <c r="BA327" i="2"/>
  <c r="BG415" i="2"/>
  <c r="BL415" i="2" s="1"/>
  <c r="BA415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229" i="2"/>
  <c r="BG229" i="2"/>
  <c r="BL229" i="2" s="1"/>
  <c r="BA139" i="2"/>
  <c r="BG139" i="2"/>
  <c r="BL139" i="2" s="1"/>
  <c r="BG458" i="2"/>
  <c r="BL458" i="2" s="1"/>
  <c r="BA458" i="2"/>
  <c r="BA460" i="2"/>
  <c r="BG460" i="2"/>
  <c r="BL460" i="2" s="1"/>
  <c r="BA46" i="2"/>
  <c r="BE45" i="2" s="1"/>
  <c r="BJ45" i="2" s="1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602" i="2"/>
  <c r="BL602" i="2" s="1"/>
  <c r="BA602" i="2"/>
  <c r="BG5" i="2"/>
  <c r="BL5" i="2" s="1"/>
  <c r="BA5" i="2"/>
  <c r="BA392" i="2"/>
  <c r="BG392" i="2"/>
  <c r="BL392" i="2" s="1"/>
  <c r="BG459" i="2"/>
  <c r="BL459" i="2" s="1"/>
  <c r="BA459" i="2"/>
  <c r="BG353" i="2"/>
  <c r="BL353" i="2" s="1"/>
  <c r="BA353" i="2"/>
  <c r="BG7" i="2"/>
  <c r="BL7" i="2" s="1"/>
  <c r="BA7" i="2"/>
  <c r="BG441" i="2"/>
  <c r="BL441" i="2" s="1"/>
  <c r="BA441" i="2"/>
  <c r="BA3" i="2"/>
  <c r="BG3" i="2"/>
  <c r="BL3" i="2" s="1"/>
  <c r="BG275" i="2"/>
  <c r="BL275" i="2" s="1"/>
  <c r="BA275" i="2"/>
  <c r="BG379" i="2"/>
  <c r="BL379" i="2" s="1"/>
  <c r="BA379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BD491" i="2" s="1"/>
  <c r="BI491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G424" i="2"/>
  <c r="BL424" i="2" s="1"/>
  <c r="BA424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A384" i="2"/>
  <c r="BG384" i="2"/>
  <c r="BL384" i="2" s="1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A298" i="2"/>
  <c r="BG298" i="2"/>
  <c r="BL298" i="2" s="1"/>
  <c r="BA584" i="2"/>
  <c r="BG584" i="2"/>
  <c r="BL584" i="2" s="1"/>
  <c r="BG596" i="2"/>
  <c r="BL596" i="2" s="1"/>
  <c r="BA596" i="2"/>
  <c r="BG363" i="2"/>
  <c r="BL363" i="2" s="1"/>
  <c r="BA363" i="2"/>
  <c r="BA438" i="2"/>
  <c r="BG438" i="2"/>
  <c r="BL438" i="2" s="1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464" i="2"/>
  <c r="BL464" i="2" s="1"/>
  <c r="BA464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BG235" i="2"/>
  <c r="BL235" i="2" s="1"/>
  <c r="BA235" i="2"/>
  <c r="BE379" i="2" s="1"/>
  <c r="BJ379" i="2" s="1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BG463" i="2"/>
  <c r="BL463" i="2" s="1"/>
  <c r="BG365" i="2"/>
  <c r="BL365" i="2" s="1"/>
  <c r="BG378" i="2"/>
  <c r="BL378" i="2" s="1"/>
  <c r="BG323" i="2"/>
  <c r="BL323" i="2" s="1"/>
  <c r="BG497" i="2"/>
  <c r="BL497" i="2" s="1"/>
  <c r="BG405" i="2"/>
  <c r="BL405" i="2" s="1"/>
  <c r="BG442" i="2"/>
  <c r="BL442" i="2" s="1"/>
  <c r="BG471" i="2"/>
  <c r="BL471" i="2" s="1"/>
  <c r="BG43" i="2"/>
  <c r="BL43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55" i="2"/>
  <c r="BI55" i="2" s="1"/>
  <c r="BD157" i="2"/>
  <c r="BI157" i="2" s="1"/>
  <c r="BD128" i="2"/>
  <c r="BI128" i="2" s="1"/>
  <c r="BD3" i="2"/>
  <c r="BI3" i="2" s="1"/>
  <c r="BD307" i="2"/>
  <c r="BI307" i="2" s="1"/>
  <c r="BD239" i="2"/>
  <c r="BI239" i="2" s="1"/>
  <c r="BD135" i="2"/>
  <c r="BI135" i="2" s="1"/>
  <c r="BD524" i="2"/>
  <c r="BI524" i="2" s="1"/>
  <c r="BD216" i="2"/>
  <c r="BI216" i="2" s="1"/>
  <c r="BD65" i="2"/>
  <c r="BI65" i="2" s="1"/>
  <c r="BD315" i="2"/>
  <c r="BI315" i="2" s="1"/>
  <c r="BD6" i="2"/>
  <c r="BI6" i="2" s="1"/>
  <c r="BD363" i="2"/>
  <c r="BI363" i="2" s="1"/>
  <c r="BD75" i="2"/>
  <c r="BI75" i="2" s="1"/>
  <c r="AN247" i="2"/>
  <c r="BD247" i="2"/>
  <c r="BI247" i="2" s="1"/>
  <c r="BD21" i="2"/>
  <c r="BI21" i="2" s="1"/>
  <c r="BD273" i="2"/>
  <c r="BI273" i="2" s="1"/>
  <c r="AN430" i="2"/>
  <c r="BD430" i="2"/>
  <c r="BI430" i="2" s="1"/>
  <c r="BD281" i="2"/>
  <c r="BI281" i="2" s="1"/>
  <c r="BD362" i="2"/>
  <c r="BI362" i="2" s="1"/>
  <c r="BD314" i="2"/>
  <c r="BI314" i="2" s="1"/>
  <c r="AN574" i="2"/>
  <c r="BE437" i="2"/>
  <c r="BJ437" i="2" s="1"/>
  <c r="BD33" i="2"/>
  <c r="BI33" i="2" s="1"/>
  <c r="BD167" i="2"/>
  <c r="BI167" i="2" s="1"/>
  <c r="BD131" i="2"/>
  <c r="BI131" i="2" s="1"/>
  <c r="AO106" i="2"/>
  <c r="BD462" i="2"/>
  <c r="BI462" i="2" s="1"/>
  <c r="BD277" i="2"/>
  <c r="BI277" i="2" s="1"/>
  <c r="BD522" i="2"/>
  <c r="BI522" i="2" s="1"/>
  <c r="BD164" i="2"/>
  <c r="BI164" i="2" s="1"/>
  <c r="BD189" i="2"/>
  <c r="BI189" i="2" s="1"/>
  <c r="BD217" i="2"/>
  <c r="BI217" i="2" s="1"/>
  <c r="BD118" i="2"/>
  <c r="BI118" i="2" s="1"/>
  <c r="BD202" i="2"/>
  <c r="BI202" i="2" s="1"/>
  <c r="BD486" i="2"/>
  <c r="BI486" i="2" s="1"/>
  <c r="BE622" i="2"/>
  <c r="BJ622" i="2" s="1"/>
  <c r="BE528" i="2"/>
  <c r="BJ528" i="2" s="1"/>
  <c r="BD183" i="2"/>
  <c r="BI183" i="2" s="1"/>
  <c r="BD49" i="2"/>
  <c r="BI49" i="2" s="1"/>
  <c r="BD151" i="2"/>
  <c r="BI151" i="2" s="1"/>
  <c r="BD253" i="2"/>
  <c r="BI253" i="2" s="1"/>
  <c r="BD15" i="2"/>
  <c r="BI15" i="2" s="1"/>
  <c r="BD37" i="2"/>
  <c r="BI37" i="2" s="1"/>
  <c r="BD196" i="2"/>
  <c r="BI196" i="2" s="1"/>
  <c r="AO276" i="2"/>
  <c r="BD158" i="2"/>
  <c r="BI158" i="2" s="1"/>
  <c r="AO532" i="2"/>
  <c r="AM242" i="2"/>
  <c r="AM102" i="2"/>
  <c r="AM151" i="2"/>
  <c r="BE151" i="2"/>
  <c r="BJ151" i="2" s="1"/>
  <c r="BE524" i="2"/>
  <c r="BJ524" i="2" s="1"/>
  <c r="BE386" i="2"/>
  <c r="BJ386" i="2" s="1"/>
  <c r="BD127" i="2"/>
  <c r="BI127" i="2" s="1"/>
  <c r="BD87" i="2"/>
  <c r="BI87" i="2" s="1"/>
  <c r="BD125" i="2"/>
  <c r="BI125" i="2" s="1"/>
  <c r="BD14" i="2"/>
  <c r="BI14" i="2" s="1"/>
  <c r="BD117" i="2"/>
  <c r="BI117" i="2" s="1"/>
  <c r="BD379" i="2"/>
  <c r="BI379" i="2" s="1"/>
  <c r="BE363" i="2"/>
  <c r="BJ363" i="2" s="1"/>
  <c r="BE438" i="2"/>
  <c r="BJ438" i="2" s="1"/>
  <c r="BE478" i="2"/>
  <c r="BJ478" i="2" s="1"/>
  <c r="BD41" i="2"/>
  <c r="BI41" i="2" s="1"/>
  <c r="BD327" i="2"/>
  <c r="BI327" i="2" s="1"/>
  <c r="BD79" i="2"/>
  <c r="BI79" i="2" s="1"/>
  <c r="AN623" i="2"/>
  <c r="BD623" i="2"/>
  <c r="BI623" i="2" s="1"/>
  <c r="AN304" i="2"/>
  <c r="BD304" i="2"/>
  <c r="BI304" i="2" s="1"/>
  <c r="AO573" i="2"/>
  <c r="AO142" i="2"/>
  <c r="AN102" i="2"/>
  <c r="BD102" i="2"/>
  <c r="BI102" i="2" s="1"/>
  <c r="AO15" i="2"/>
  <c r="AO187" i="2"/>
  <c r="BE391" i="2"/>
  <c r="BJ391" i="2" s="1"/>
  <c r="AM253" i="2"/>
  <c r="AM338" i="2"/>
  <c r="BE338" i="2"/>
  <c r="BJ338" i="2" s="1"/>
  <c r="BE431" i="2"/>
  <c r="BJ431" i="2" s="1"/>
  <c r="BE525" i="2"/>
  <c r="BJ525" i="2" s="1"/>
  <c r="AM118" i="2"/>
  <c r="AM555" i="2"/>
  <c r="BD265" i="2"/>
  <c r="BI265" i="2" s="1"/>
  <c r="BE393" i="2"/>
  <c r="BJ393" i="2" s="1"/>
  <c r="BE280" i="2"/>
  <c r="BJ280" i="2" s="1"/>
  <c r="BE186" i="2"/>
  <c r="BJ186" i="2" s="1"/>
  <c r="BE439" i="2"/>
  <c r="BJ439" i="2" s="1"/>
  <c r="BE302" i="2"/>
  <c r="BJ302" i="2" s="1"/>
  <c r="BE237" i="2"/>
  <c r="BJ237" i="2" s="1"/>
  <c r="BE323" i="2"/>
  <c r="BJ323" i="2" s="1"/>
  <c r="BD317" i="2"/>
  <c r="BI317" i="2" s="1"/>
  <c r="BD13" i="2"/>
  <c r="BI13" i="2" s="1"/>
  <c r="BD224" i="2"/>
  <c r="BI224" i="2" s="1"/>
  <c r="BD106" i="2"/>
  <c r="BI106" i="2" s="1"/>
  <c r="BD225" i="2"/>
  <c r="BI225" i="2" s="1"/>
  <c r="BD242" i="2"/>
  <c r="BI242" i="2" s="1"/>
  <c r="BD39" i="2"/>
  <c r="BI39" i="2" s="1"/>
  <c r="BD349" i="2"/>
  <c r="BI349" i="2" s="1"/>
  <c r="BD11" i="2"/>
  <c r="BI11" i="2" s="1"/>
  <c r="BD24" i="2"/>
  <c r="BI24" i="2" s="1"/>
  <c r="BD226" i="2"/>
  <c r="BI226" i="2" s="1"/>
  <c r="BD142" i="2"/>
  <c r="BI142" i="2" s="1"/>
  <c r="BD163" i="2"/>
  <c r="BI163" i="2" s="1"/>
  <c r="BE610" i="2"/>
  <c r="BJ610" i="2" s="1"/>
  <c r="BE281" i="2"/>
  <c r="BJ281" i="2" s="1"/>
  <c r="BE187" i="2"/>
  <c r="BJ187" i="2" s="1"/>
  <c r="BD5" i="2"/>
  <c r="BI5" i="2" s="1"/>
  <c r="BD76" i="2"/>
  <c r="BI76" i="2" s="1"/>
  <c r="BD29" i="2"/>
  <c r="BI29" i="2" s="1"/>
  <c r="BD95" i="2"/>
  <c r="BI95" i="2" s="1"/>
  <c r="BD67" i="2"/>
  <c r="BI67" i="2" s="1"/>
  <c r="BD309" i="2"/>
  <c r="BI309" i="2" s="1"/>
  <c r="BD50" i="2"/>
  <c r="BI50" i="2" s="1"/>
  <c r="BD88" i="2"/>
  <c r="BI88" i="2" s="1"/>
  <c r="BD4" i="2"/>
  <c r="BI4" i="2" s="1"/>
  <c r="BE486" i="2"/>
  <c r="BJ486" i="2" s="1"/>
  <c r="BD198" i="2"/>
  <c r="BI198" i="2" s="1"/>
  <c r="BE617" i="2"/>
  <c r="BJ617" i="2" s="1"/>
  <c r="BE426" i="2"/>
  <c r="BJ426" i="2" s="1"/>
  <c r="BE362" i="2"/>
  <c r="BJ362" i="2" s="1"/>
  <c r="BE41" i="2"/>
  <c r="BJ41" i="2" s="1"/>
  <c r="BE79" i="2"/>
  <c r="BJ79" i="2" s="1"/>
  <c r="BE343" i="2"/>
  <c r="BJ343" i="2" s="1"/>
  <c r="BE533" i="2"/>
  <c r="BJ533" i="2" s="1"/>
  <c r="BE179" i="2"/>
  <c r="BJ179" i="2" s="1"/>
  <c r="BE535" i="2"/>
  <c r="BJ535" i="2" s="1"/>
  <c r="BE44" i="2"/>
  <c r="BJ44" i="2" s="1"/>
  <c r="BE623" i="2"/>
  <c r="BJ623" i="2" s="1"/>
  <c r="BE25" i="2"/>
  <c r="BJ25" i="2" s="1"/>
  <c r="BE301" i="2"/>
  <c r="BJ301" i="2" s="1"/>
  <c r="BE244" i="2"/>
  <c r="BJ244" i="2" s="1"/>
  <c r="BD313" i="2"/>
  <c r="BI313" i="2" s="1"/>
  <c r="BD114" i="2"/>
  <c r="BI114" i="2" s="1"/>
  <c r="BD395" i="2"/>
  <c r="BI395" i="2" s="1"/>
  <c r="BD138" i="2"/>
  <c r="BI138" i="2" s="1"/>
  <c r="BD615" i="2"/>
  <c r="BI615" i="2" s="1"/>
  <c r="BE371" i="2"/>
  <c r="BJ371" i="2" s="1"/>
  <c r="BE614" i="2"/>
  <c r="BJ614" i="2" s="1"/>
  <c r="BE432" i="2"/>
  <c r="BJ432" i="2" s="1"/>
  <c r="BE336" i="2"/>
  <c r="BJ336" i="2" s="1"/>
  <c r="BD279" i="2"/>
  <c r="BI279" i="2" s="1"/>
  <c r="BD484" i="2"/>
  <c r="BI484" i="2" s="1"/>
  <c r="BE314" i="2"/>
  <c r="BJ314" i="2" s="1"/>
  <c r="BE105" i="2"/>
  <c r="BJ105" i="2" s="1"/>
  <c r="BE484" i="2"/>
  <c r="BJ484" i="2" s="1"/>
  <c r="BE233" i="2"/>
  <c r="BJ233" i="2" s="1"/>
  <c r="BE190" i="2"/>
  <c r="BJ190" i="2" s="1"/>
  <c r="BE472" i="2"/>
  <c r="BJ472" i="2" s="1"/>
  <c r="BE42" i="2"/>
  <c r="BJ42" i="2" s="1"/>
  <c r="BD351" i="2"/>
  <c r="BI351" i="2" s="1"/>
  <c r="BD528" i="2"/>
  <c r="BI528" i="2" s="1"/>
  <c r="BD93" i="2"/>
  <c r="BI93" i="2" s="1"/>
  <c r="BD78" i="2"/>
  <c r="BI78" i="2" s="1"/>
  <c r="BD190" i="2"/>
  <c r="BI190" i="2" s="1"/>
  <c r="BD472" i="2"/>
  <c r="BI472" i="2" s="1"/>
  <c r="BD31" i="2"/>
  <c r="BI31" i="2" s="1"/>
  <c r="BD52" i="2"/>
  <c r="BI52" i="2" s="1"/>
  <c r="BD83" i="2"/>
  <c r="BI83" i="2" s="1"/>
  <c r="BE154" i="2"/>
  <c r="BJ154" i="2" s="1"/>
  <c r="BD165" i="2"/>
  <c r="BI165" i="2" s="1"/>
  <c r="BD621" i="2"/>
  <c r="BI621" i="2" s="1"/>
  <c r="BD184" i="2"/>
  <c r="BI184" i="2" s="1"/>
  <c r="BE232" i="2"/>
  <c r="BJ232" i="2" s="1"/>
  <c r="BD139" i="2"/>
  <c r="BI139" i="2" s="1"/>
  <c r="BD244" i="2"/>
  <c r="BI244" i="2" s="1"/>
  <c r="BD179" i="2"/>
  <c r="BI179" i="2" s="1"/>
  <c r="BD154" i="2"/>
  <c r="BI154" i="2" s="1"/>
  <c r="BD188" i="2"/>
  <c r="BI188" i="2" s="1"/>
  <c r="BD525" i="2"/>
  <c r="BI525" i="2" s="1"/>
  <c r="BD174" i="2"/>
  <c r="BI174" i="2" s="1"/>
  <c r="BE383" i="2"/>
  <c r="BJ383" i="2" s="1"/>
  <c r="BD57" i="2"/>
  <c r="BI57" i="2" s="1"/>
  <c r="BD51" i="2"/>
  <c r="BI51" i="2" s="1"/>
  <c r="BD46" i="2"/>
  <c r="BI46" i="2" s="1"/>
  <c r="BE620" i="2"/>
  <c r="BJ620" i="2" s="1"/>
  <c r="BE315" i="2"/>
  <c r="BJ315" i="2" s="1"/>
  <c r="BE493" i="2"/>
  <c r="BJ493" i="2" s="1"/>
  <c r="BE621" i="2"/>
  <c r="BJ621" i="2" s="1"/>
  <c r="BD478" i="2"/>
  <c r="BI478" i="2" s="1"/>
  <c r="BD345" i="2"/>
  <c r="BI345" i="2" s="1"/>
  <c r="BD473" i="2"/>
  <c r="BI473" i="2" s="1"/>
  <c r="BE322" i="2"/>
  <c r="BJ322" i="2" s="1"/>
  <c r="BE608" i="2"/>
  <c r="BJ608" i="2" s="1"/>
  <c r="BE234" i="2"/>
  <c r="BJ234" i="2" s="1"/>
  <c r="BD191" i="2"/>
  <c r="BI191" i="2" s="1"/>
  <c r="BD622" i="2"/>
  <c r="BI622" i="2" s="1"/>
  <c r="BD45" i="2"/>
  <c r="BI45" i="2" s="1"/>
  <c r="BD149" i="2"/>
  <c r="BI149" i="2" s="1"/>
  <c r="BD28" i="2"/>
  <c r="BI28" i="2" s="1"/>
  <c r="BD280" i="2"/>
  <c r="BI280" i="2" s="1"/>
  <c r="BE473" i="2"/>
  <c r="BJ473" i="2" s="1"/>
  <c r="BE551" i="2"/>
  <c r="BJ551" i="2" s="1"/>
  <c r="BD42" i="2"/>
  <c r="BI42" i="2" s="1"/>
  <c r="BE217" i="2"/>
  <c r="BJ217" i="2" s="1"/>
  <c r="BE177" i="2"/>
  <c r="BJ177" i="2" s="1"/>
  <c r="BE333" i="2"/>
  <c r="BJ333" i="2" s="1"/>
  <c r="BE34" i="2"/>
  <c r="BJ34" i="2" s="1"/>
  <c r="BE149" i="2"/>
  <c r="BJ149" i="2" s="1"/>
  <c r="BE28" i="2"/>
  <c r="BJ28" i="2" s="1"/>
  <c r="BD85" i="2"/>
  <c r="BI85" i="2" s="1"/>
  <c r="BD205" i="2"/>
  <c r="BI205" i="2" s="1"/>
  <c r="BD501" i="2"/>
  <c r="BI501" i="2" s="1"/>
  <c r="BD71" i="2"/>
  <c r="BI71" i="2" s="1"/>
  <c r="BD63" i="2"/>
  <c r="BI63" i="2" s="1"/>
  <c r="BD105" i="2"/>
  <c r="BI105" i="2" s="1"/>
  <c r="BD204" i="2"/>
  <c r="BI204" i="2" s="1"/>
  <c r="BD306" i="2"/>
  <c r="BI306" i="2" s="1"/>
  <c r="BD91" i="2"/>
  <c r="BI91" i="2" s="1"/>
  <c r="BD604" i="2"/>
  <c r="BI604" i="2" s="1"/>
  <c r="BE377" i="2"/>
  <c r="BJ377" i="2" s="1"/>
  <c r="BE270" i="2"/>
  <c r="BJ270" i="2" s="1"/>
  <c r="BE292" i="2"/>
  <c r="BJ292" i="2" s="1"/>
  <c r="BE106" i="2"/>
  <c r="BJ106" i="2" s="1"/>
  <c r="BD145" i="2"/>
  <c r="BI145" i="2" s="1"/>
  <c r="BD18" i="2"/>
  <c r="BI18" i="2" s="1"/>
  <c r="BD72" i="2"/>
  <c r="BI72" i="2" s="1"/>
  <c r="BE291" i="2"/>
  <c r="BJ291" i="2" s="1"/>
  <c r="BD276" i="2"/>
  <c r="BI276" i="2" s="1"/>
  <c r="BD300" i="2"/>
  <c r="BI300" i="2" s="1"/>
  <c r="BD556" i="2"/>
  <c r="BI556" i="2" s="1"/>
  <c r="BD44" i="2"/>
  <c r="BI44" i="2" s="1"/>
  <c r="BD456" i="2"/>
  <c r="BI456" i="2" s="1"/>
  <c r="BD92" i="2"/>
  <c r="BI92" i="2" s="1"/>
  <c r="BD620" i="2"/>
  <c r="BI620" i="2" s="1"/>
  <c r="BD220" i="2"/>
  <c r="BI220" i="2" s="1"/>
  <c r="BE615" i="2"/>
  <c r="BJ615" i="2" s="1"/>
  <c r="BD10" i="2"/>
  <c r="BI10" i="2" s="1"/>
  <c r="BD22" i="2"/>
  <c r="BI22" i="2" s="1"/>
  <c r="BE522" i="2"/>
  <c r="BJ522" i="2" s="1"/>
  <c r="BE313" i="2"/>
  <c r="BJ313" i="2" s="1"/>
  <c r="BD214" i="2"/>
  <c r="BI214" i="2" s="1"/>
  <c r="BD38" i="2"/>
  <c r="BI38" i="2" s="1"/>
  <c r="BD250" i="2"/>
  <c r="BI250" i="2" s="1"/>
  <c r="BD74" i="2"/>
  <c r="BI74" i="2" s="1"/>
  <c r="BD274" i="2"/>
  <c r="BI274" i="2" s="1"/>
  <c r="BD252" i="2"/>
  <c r="BI252" i="2" s="1"/>
  <c r="BD526" i="2"/>
  <c r="BI526" i="2" s="1"/>
  <c r="BD336" i="2"/>
  <c r="BI336" i="2" s="1"/>
  <c r="BD452" i="2"/>
  <c r="BI452" i="2" s="1"/>
  <c r="BD448" i="2"/>
  <c r="BI448" i="2" s="1"/>
  <c r="BD48" i="2"/>
  <c r="BI48" i="2" s="1"/>
  <c r="BD34" i="2"/>
  <c r="BI34" i="2" s="1"/>
  <c r="BD134" i="2"/>
  <c r="BI134" i="2" s="1"/>
  <c r="BD557" i="2"/>
  <c r="BI557" i="2" s="1"/>
  <c r="BD511" i="2"/>
  <c r="BI511" i="2" s="1"/>
  <c r="BD610" i="2"/>
  <c r="BI610" i="2" s="1"/>
  <c r="BD480" i="2"/>
  <c r="BI480" i="2" s="1"/>
  <c r="BD514" i="2"/>
  <c r="BI514" i="2" s="1"/>
  <c r="BD111" i="2"/>
  <c r="BI111" i="2" s="1"/>
  <c r="BD108" i="2"/>
  <c r="BI108" i="2" s="1"/>
  <c r="BD20" i="2"/>
  <c r="BI20" i="2" s="1"/>
  <c r="BD140" i="2"/>
  <c r="BI140" i="2" s="1"/>
  <c r="BD70" i="2"/>
  <c r="BI70" i="2" s="1"/>
  <c r="BD245" i="2"/>
  <c r="BI245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623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O623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Q2" i="1"/>
  <c r="BR2" i="1"/>
  <c r="AE2" i="1"/>
  <c r="AY2" i="1"/>
  <c r="AX2" i="1"/>
  <c r="AF2" i="1"/>
  <c r="AH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D235" i="2" l="1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BT254" i="1"/>
  <c r="BA254" i="1"/>
  <c r="AR256" i="1"/>
  <c r="AS256" i="1"/>
  <c r="AT256" i="1"/>
  <c r="Y256" i="1"/>
  <c r="AA256" i="1"/>
  <c r="Z256" i="1"/>
  <c r="BB256" i="1"/>
  <c r="AQ256" i="1"/>
  <c r="BC256" i="1"/>
  <c r="BS456" i="1"/>
  <c r="AZ456" i="1"/>
  <c r="BV82" i="1"/>
  <c r="BJ82" i="1"/>
  <c r="AZ227" i="1"/>
  <c r="BS227" i="1"/>
  <c r="AS289" i="1"/>
  <c r="BB289" i="1"/>
  <c r="BC289" i="1"/>
  <c r="Z289" i="1"/>
  <c r="Y289" i="1"/>
  <c r="AA289" i="1"/>
  <c r="AQ289" i="1"/>
  <c r="AR289" i="1"/>
  <c r="AT289" i="1"/>
  <c r="BS65" i="1"/>
  <c r="AZ65" i="1"/>
  <c r="BT387" i="1"/>
  <c r="BA387" i="1"/>
  <c r="BB171" i="1"/>
  <c r="AQ171" i="1"/>
  <c r="BC171" i="1"/>
  <c r="AR171" i="1"/>
  <c r="AS171" i="1"/>
  <c r="Y171" i="1"/>
  <c r="AT171" i="1"/>
  <c r="Z171" i="1"/>
  <c r="AA171" i="1"/>
  <c r="AS180" i="1"/>
  <c r="AT180" i="1"/>
  <c r="Y180" i="1"/>
  <c r="Z180" i="1"/>
  <c r="AA180" i="1"/>
  <c r="BB180" i="1"/>
  <c r="AQ180" i="1"/>
  <c r="BC180" i="1"/>
  <c r="AR180" i="1"/>
  <c r="BJ347" i="1"/>
  <c r="BV347" i="1"/>
  <c r="BS310" i="1"/>
  <c r="AZ310" i="1"/>
  <c r="AT457" i="1"/>
  <c r="Y457" i="1"/>
  <c r="Z457" i="1"/>
  <c r="AA457" i="1"/>
  <c r="BB457" i="1"/>
  <c r="AQ457" i="1"/>
  <c r="BC457" i="1"/>
  <c r="AR457" i="1"/>
  <c r="AS457" i="1"/>
  <c r="BV156" i="1"/>
  <c r="BJ156" i="1"/>
  <c r="BS467" i="1"/>
  <c r="AZ467" i="1"/>
  <c r="BV107" i="1"/>
  <c r="BJ107" i="1"/>
  <c r="BS585" i="1"/>
  <c r="AZ585" i="1"/>
  <c r="AA285" i="1"/>
  <c r="BB285" i="1"/>
  <c r="AQ285" i="1"/>
  <c r="Y285" i="1"/>
  <c r="BC285" i="1"/>
  <c r="AR285" i="1"/>
  <c r="AS285" i="1"/>
  <c r="AT285" i="1"/>
  <c r="Z285" i="1"/>
  <c r="BS93" i="1"/>
  <c r="AZ93" i="1"/>
  <c r="AR427" i="1"/>
  <c r="AT427" i="1"/>
  <c r="AS427" i="1"/>
  <c r="Y427" i="1"/>
  <c r="Z427" i="1"/>
  <c r="AA427" i="1"/>
  <c r="AQ427" i="1"/>
  <c r="BB427" i="1"/>
  <c r="BC427" i="1"/>
  <c r="BA618" i="1"/>
  <c r="BT618" i="1"/>
  <c r="BT581" i="1"/>
  <c r="BA581" i="1"/>
  <c r="BS339" i="1"/>
  <c r="AZ339" i="1"/>
  <c r="BA242" i="1"/>
  <c r="BT242" i="1"/>
  <c r="BS564" i="1"/>
  <c r="AZ564" i="1"/>
  <c r="BS333" i="1"/>
  <c r="AZ333" i="1"/>
  <c r="Y55" i="1"/>
  <c r="BB55" i="1"/>
  <c r="AQ55" i="1"/>
  <c r="BC55" i="1"/>
  <c r="Z55" i="1"/>
  <c r="AA55" i="1"/>
  <c r="AT55" i="1"/>
  <c r="AR55" i="1"/>
  <c r="AS55" i="1"/>
  <c r="BJ337" i="1"/>
  <c r="BV337" i="1"/>
  <c r="BT294" i="1"/>
  <c r="BA294" i="1"/>
  <c r="BV400" i="1"/>
  <c r="BJ400" i="1"/>
  <c r="BJ408" i="1"/>
  <c r="BV408" i="1"/>
  <c r="AZ60" i="1"/>
  <c r="BS60" i="1"/>
  <c r="BS515" i="1"/>
  <c r="AZ515" i="1"/>
  <c r="AA118" i="1"/>
  <c r="BB118" i="1"/>
  <c r="AQ118" i="1"/>
  <c r="BC118" i="1"/>
  <c r="AR118" i="1"/>
  <c r="AS118" i="1"/>
  <c r="AT118" i="1"/>
  <c r="Y118" i="1"/>
  <c r="Z118" i="1"/>
  <c r="BS441" i="1"/>
  <c r="AZ441" i="1"/>
  <c r="BS152" i="1"/>
  <c r="AZ152" i="1"/>
  <c r="BA247" i="1"/>
  <c r="BT247" i="1"/>
  <c r="AS217" i="1"/>
  <c r="AT217" i="1"/>
  <c r="Z217" i="1"/>
  <c r="AA217" i="1"/>
  <c r="BB217" i="1"/>
  <c r="AQ217" i="1"/>
  <c r="BC217" i="1"/>
  <c r="Y217" i="1"/>
  <c r="AR217" i="1"/>
  <c r="BV101" i="1"/>
  <c r="BJ101" i="1"/>
  <c r="BT239" i="1"/>
  <c r="BA239" i="1"/>
  <c r="BT520" i="1"/>
  <c r="BA520" i="1"/>
  <c r="BJ28" i="1"/>
  <c r="BV28" i="1"/>
  <c r="Z61" i="1"/>
  <c r="Y61" i="1"/>
  <c r="AA61" i="1"/>
  <c r="BC61" i="1"/>
  <c r="AR61" i="1"/>
  <c r="AT61" i="1"/>
  <c r="AS61" i="1"/>
  <c r="BB61" i="1"/>
  <c r="AQ61" i="1"/>
  <c r="BS463" i="1"/>
  <c r="AZ463" i="1"/>
  <c r="BT617" i="1"/>
  <c r="BA617" i="1"/>
  <c r="BV47" i="1"/>
  <c r="BJ47" i="1"/>
  <c r="BS292" i="1"/>
  <c r="AZ292" i="1"/>
  <c r="BS140" i="1"/>
  <c r="AZ140" i="1"/>
  <c r="BJ280" i="1"/>
  <c r="BV280" i="1"/>
  <c r="BA594" i="1"/>
  <c r="BT594" i="1"/>
  <c r="AZ330" i="1"/>
  <c r="BS330" i="1"/>
  <c r="BS315" i="1"/>
  <c r="AZ315" i="1"/>
  <c r="BS228" i="1"/>
  <c r="AZ228" i="1"/>
  <c r="BV238" i="1"/>
  <c r="BJ238" i="1"/>
  <c r="BT154" i="1"/>
  <c r="BA154" i="1"/>
  <c r="BS568" i="1"/>
  <c r="AZ568" i="1"/>
  <c r="BS193" i="1"/>
  <c r="AZ193" i="1"/>
  <c r="BJ139" i="1"/>
  <c r="BV139" i="1"/>
  <c r="BA484" i="1"/>
  <c r="BT484" i="1"/>
  <c r="BJ133" i="1"/>
  <c r="BV133" i="1"/>
  <c r="AQ174" i="1"/>
  <c r="BC174" i="1"/>
  <c r="AR174" i="1"/>
  <c r="AS174" i="1"/>
  <c r="AT174" i="1"/>
  <c r="Y174" i="1"/>
  <c r="Z174" i="1"/>
  <c r="AA174" i="1"/>
  <c r="BB174" i="1"/>
  <c r="BJ293" i="1"/>
  <c r="BV293" i="1"/>
  <c r="AZ363" i="1"/>
  <c r="BS363" i="1"/>
  <c r="BA542" i="1"/>
  <c r="BT542" i="1"/>
  <c r="AZ410" i="1"/>
  <c r="BS410" i="1"/>
  <c r="AZ268" i="1"/>
  <c r="BS268" i="1"/>
  <c r="BS488" i="1"/>
  <c r="AZ488" i="1"/>
  <c r="AZ495" i="1"/>
  <c r="BS495" i="1"/>
  <c r="BV303" i="1"/>
  <c r="BJ303" i="1"/>
  <c r="BB39" i="1"/>
  <c r="AQ39" i="1"/>
  <c r="BC39" i="1"/>
  <c r="AT39" i="1"/>
  <c r="Y39" i="1"/>
  <c r="Z39" i="1"/>
  <c r="AA39" i="1"/>
  <c r="AR39" i="1"/>
  <c r="AS39" i="1"/>
  <c r="AA206" i="1"/>
  <c r="BB206" i="1"/>
  <c r="AQ206" i="1"/>
  <c r="BC206" i="1"/>
  <c r="AR206" i="1"/>
  <c r="AS206" i="1"/>
  <c r="AT206" i="1"/>
  <c r="Y206" i="1"/>
  <c r="Z206" i="1"/>
  <c r="AZ120" i="1"/>
  <c r="BS120" i="1"/>
  <c r="BA35" i="1"/>
  <c r="BT35" i="1"/>
  <c r="Y349" i="1"/>
  <c r="Z349" i="1"/>
  <c r="BB349" i="1"/>
  <c r="AS349" i="1"/>
  <c r="AR349" i="1"/>
  <c r="AQ349" i="1"/>
  <c r="BC349" i="1"/>
  <c r="AT349" i="1"/>
  <c r="AA349" i="1"/>
  <c r="AA511" i="1"/>
  <c r="AQ511" i="1"/>
  <c r="BC511" i="1"/>
  <c r="AR511" i="1"/>
  <c r="AT511" i="1"/>
  <c r="Z511" i="1"/>
  <c r="Y511" i="1"/>
  <c r="BB511" i="1"/>
  <c r="AS511" i="1"/>
  <c r="AZ522" i="1"/>
  <c r="BS522" i="1"/>
  <c r="AT530" i="1"/>
  <c r="AS530" i="1"/>
  <c r="AR530" i="1"/>
  <c r="AQ530" i="1"/>
  <c r="Y530" i="1"/>
  <c r="AA530" i="1"/>
  <c r="BB530" i="1"/>
  <c r="BC530" i="1"/>
  <c r="Z530" i="1"/>
  <c r="BS158" i="1"/>
  <c r="AZ158" i="1"/>
  <c r="BB526" i="1"/>
  <c r="AT526" i="1"/>
  <c r="AR526" i="1"/>
  <c r="AA526" i="1"/>
  <c r="BC526" i="1"/>
  <c r="Y526" i="1"/>
  <c r="AQ526" i="1"/>
  <c r="Z526" i="1"/>
  <c r="AS526" i="1"/>
  <c r="BT503" i="1"/>
  <c r="BA503" i="1"/>
  <c r="BT57" i="1"/>
  <c r="BA57" i="1"/>
  <c r="BA404" i="1"/>
  <c r="BT404" i="1"/>
  <c r="BS283" i="1"/>
  <c r="AZ283" i="1"/>
  <c r="BJ4" i="1"/>
  <c r="BV4" i="1"/>
  <c r="BB464" i="1"/>
  <c r="AQ464" i="1"/>
  <c r="BC464" i="1"/>
  <c r="AR464" i="1"/>
  <c r="AS464" i="1"/>
  <c r="AT464" i="1"/>
  <c r="Y464" i="1"/>
  <c r="Z464" i="1"/>
  <c r="AA464" i="1"/>
  <c r="BA210" i="1"/>
  <c r="BT210" i="1"/>
  <c r="AZ281" i="1"/>
  <c r="BS281" i="1"/>
  <c r="BJ197" i="1"/>
  <c r="BV197" i="1"/>
  <c r="BS29" i="1"/>
  <c r="AZ29" i="1"/>
  <c r="BJ567" i="1"/>
  <c r="BV567" i="1"/>
  <c r="BA304" i="1"/>
  <c r="BT304" i="1"/>
  <c r="Y480" i="1"/>
  <c r="AA480" i="1"/>
  <c r="BB480" i="1"/>
  <c r="AR480" i="1"/>
  <c r="AS480" i="1"/>
  <c r="AT480" i="1"/>
  <c r="AQ480" i="1"/>
  <c r="Z480" i="1"/>
  <c r="BC480" i="1"/>
  <c r="AZ574" i="1"/>
  <c r="BS574" i="1"/>
  <c r="BT274" i="1"/>
  <c r="BA274" i="1"/>
  <c r="BT205" i="1"/>
  <c r="BA205" i="1"/>
  <c r="BC192" i="1"/>
  <c r="AR192" i="1"/>
  <c r="Y192" i="1"/>
  <c r="BB192" i="1"/>
  <c r="Z192" i="1"/>
  <c r="AS192" i="1"/>
  <c r="AA192" i="1"/>
  <c r="AT192" i="1"/>
  <c r="AQ192" i="1"/>
  <c r="BJ472" i="1"/>
  <c r="BV472" i="1"/>
  <c r="BS325" i="1"/>
  <c r="AZ325" i="1"/>
  <c r="BT211" i="1"/>
  <c r="BA211" i="1"/>
  <c r="BA460" i="1"/>
  <c r="BT460" i="1"/>
  <c r="AT518" i="1"/>
  <c r="AS518" i="1"/>
  <c r="AA518" i="1"/>
  <c r="AR518" i="1"/>
  <c r="BB518" i="1"/>
  <c r="BC518" i="1"/>
  <c r="AQ518" i="1"/>
  <c r="Y518" i="1"/>
  <c r="Z518" i="1"/>
  <c r="BT551" i="1"/>
  <c r="BA551" i="1"/>
  <c r="BS214" i="1"/>
  <c r="AZ214" i="1"/>
  <c r="BS160" i="1"/>
  <c r="AZ160" i="1"/>
  <c r="Y491" i="1"/>
  <c r="Z491" i="1"/>
  <c r="BB491" i="1"/>
  <c r="AR491" i="1"/>
  <c r="BC491" i="1"/>
  <c r="AS491" i="1"/>
  <c r="AT491" i="1"/>
  <c r="AA491" i="1"/>
  <c r="AQ491" i="1"/>
  <c r="BA537" i="1"/>
  <c r="BT537" i="1"/>
  <c r="BT405" i="1"/>
  <c r="BA405" i="1"/>
  <c r="AT608" i="1"/>
  <c r="Y608" i="1"/>
  <c r="Z608" i="1"/>
  <c r="BB608" i="1"/>
  <c r="AQ608" i="1"/>
  <c r="BC608" i="1"/>
  <c r="AR608" i="1"/>
  <c r="AA608" i="1"/>
  <c r="AS608" i="1"/>
  <c r="BJ308" i="1"/>
  <c r="BV308" i="1"/>
  <c r="AZ547" i="1"/>
  <c r="BS547" i="1"/>
  <c r="BS271" i="1"/>
  <c r="AZ271" i="1"/>
  <c r="AS277" i="1"/>
  <c r="Z277" i="1"/>
  <c r="AQ277" i="1"/>
  <c r="AT277" i="1"/>
  <c r="Y277" i="1"/>
  <c r="AA277" i="1"/>
  <c r="BB277" i="1"/>
  <c r="BC277" i="1"/>
  <c r="AR277" i="1"/>
  <c r="AS198" i="1"/>
  <c r="AT198" i="1"/>
  <c r="BB198" i="1"/>
  <c r="BC198" i="1"/>
  <c r="Y198" i="1"/>
  <c r="AQ198" i="1"/>
  <c r="AA198" i="1"/>
  <c r="Z198" i="1"/>
  <c r="AR198" i="1"/>
  <c r="AZ256" i="1"/>
  <c r="BS256" i="1"/>
  <c r="BJ12" i="1"/>
  <c r="BV12" i="1"/>
  <c r="AT46" i="1"/>
  <c r="Y46" i="1"/>
  <c r="Z46" i="1"/>
  <c r="AA46" i="1"/>
  <c r="BB46" i="1"/>
  <c r="AQ46" i="1"/>
  <c r="BC46" i="1"/>
  <c r="AR46" i="1"/>
  <c r="AS46" i="1"/>
  <c r="BT109" i="1"/>
  <c r="BA109" i="1"/>
  <c r="AQ487" i="1"/>
  <c r="Z487" i="1"/>
  <c r="BB487" i="1"/>
  <c r="AS487" i="1"/>
  <c r="Y487" i="1"/>
  <c r="AT487" i="1"/>
  <c r="AR487" i="1"/>
  <c r="AA487" i="1"/>
  <c r="BC487" i="1"/>
  <c r="BS199" i="1"/>
  <c r="AZ199" i="1"/>
  <c r="BS449" i="1"/>
  <c r="AZ449" i="1"/>
  <c r="BS387" i="1"/>
  <c r="AZ387" i="1"/>
  <c r="BT506" i="1"/>
  <c r="BA506" i="1"/>
  <c r="BT26" i="1"/>
  <c r="BA26" i="1"/>
  <c r="BB467" i="1"/>
  <c r="AQ467" i="1"/>
  <c r="BC467" i="1"/>
  <c r="AR467" i="1"/>
  <c r="AS467" i="1"/>
  <c r="AT467" i="1"/>
  <c r="Y467" i="1"/>
  <c r="Z467" i="1"/>
  <c r="AA467" i="1"/>
  <c r="BT585" i="1"/>
  <c r="BA585" i="1"/>
  <c r="BT165" i="1"/>
  <c r="BA165" i="1"/>
  <c r="BV148" i="1"/>
  <c r="BJ148" i="1"/>
  <c r="BT427" i="1"/>
  <c r="BA427" i="1"/>
  <c r="BA115" i="1"/>
  <c r="BT115" i="1"/>
  <c r="BV532" i="1"/>
  <c r="BJ532" i="1"/>
  <c r="BV184" i="1"/>
  <c r="BJ184" i="1"/>
  <c r="BB253" i="1"/>
  <c r="AQ253" i="1"/>
  <c r="BC253" i="1"/>
  <c r="AR253" i="1"/>
  <c r="AS253" i="1"/>
  <c r="AT253" i="1"/>
  <c r="Y253" i="1"/>
  <c r="Z253" i="1"/>
  <c r="AA253" i="1"/>
  <c r="BB618" i="1"/>
  <c r="AS618" i="1"/>
  <c r="BC618" i="1"/>
  <c r="Y618" i="1"/>
  <c r="AQ618" i="1"/>
  <c r="AT618" i="1"/>
  <c r="AA618" i="1"/>
  <c r="AR618" i="1"/>
  <c r="Z618" i="1"/>
  <c r="Z15" i="1"/>
  <c r="AA15" i="1"/>
  <c r="BB15" i="1"/>
  <c r="BC15" i="1"/>
  <c r="AQ15" i="1"/>
  <c r="AR15" i="1"/>
  <c r="AS15" i="1"/>
  <c r="AT15" i="1"/>
  <c r="Y15" i="1"/>
  <c r="AT242" i="1"/>
  <c r="Y242" i="1"/>
  <c r="Z242" i="1"/>
  <c r="AA242" i="1"/>
  <c r="BB242" i="1"/>
  <c r="AQ242" i="1"/>
  <c r="BC242" i="1"/>
  <c r="AR242" i="1"/>
  <c r="AS242" i="1"/>
  <c r="AT564" i="1"/>
  <c r="AS564" i="1"/>
  <c r="BB564" i="1"/>
  <c r="AA564" i="1"/>
  <c r="AR564" i="1"/>
  <c r="BC564" i="1"/>
  <c r="AQ564" i="1"/>
  <c r="Y564" i="1"/>
  <c r="Z564" i="1"/>
  <c r="BS263" i="1"/>
  <c r="AZ263" i="1"/>
  <c r="AA34" i="1"/>
  <c r="AR34" i="1"/>
  <c r="BB34" i="1"/>
  <c r="Y34" i="1"/>
  <c r="BC34" i="1"/>
  <c r="Z34" i="1"/>
  <c r="AQ34" i="1"/>
  <c r="AS34" i="1"/>
  <c r="AT34" i="1"/>
  <c r="BJ37" i="1"/>
  <c r="BV37" i="1"/>
  <c r="BA68" i="1"/>
  <c r="BT68" i="1"/>
  <c r="AT435" i="1"/>
  <c r="BB435" i="1"/>
  <c r="Y435" i="1"/>
  <c r="Z435" i="1"/>
  <c r="AQ435" i="1"/>
  <c r="BC435" i="1"/>
  <c r="AR435" i="1"/>
  <c r="AA435" i="1"/>
  <c r="AS435" i="1"/>
  <c r="BS143" i="1"/>
  <c r="AZ143" i="1"/>
  <c r="BB563" i="1"/>
  <c r="AT563" i="1"/>
  <c r="BC563" i="1"/>
  <c r="AR563" i="1"/>
  <c r="AS563" i="1"/>
  <c r="Y563" i="1"/>
  <c r="AA563" i="1"/>
  <c r="AQ563" i="1"/>
  <c r="Z563" i="1"/>
  <c r="BJ573" i="1"/>
  <c r="BV573" i="1"/>
  <c r="BJ225" i="1"/>
  <c r="BV225" i="1"/>
  <c r="AZ565" i="1"/>
  <c r="BS565" i="1"/>
  <c r="BT152" i="1"/>
  <c r="BA152" i="1"/>
  <c r="BA103" i="1"/>
  <c r="BT103" i="1"/>
  <c r="BA112" i="1"/>
  <c r="BT112" i="1"/>
  <c r="BS217" i="1"/>
  <c r="AZ217" i="1"/>
  <c r="BJ234" i="1"/>
  <c r="BV234" i="1"/>
  <c r="BT569" i="1"/>
  <c r="BA569" i="1"/>
  <c r="AZ353" i="1"/>
  <c r="BS353" i="1"/>
  <c r="BB374" i="1"/>
  <c r="AQ374" i="1"/>
  <c r="BC374" i="1"/>
  <c r="AR374" i="1"/>
  <c r="AS374" i="1"/>
  <c r="AT374" i="1"/>
  <c r="Y374" i="1"/>
  <c r="Z374" i="1"/>
  <c r="AA374" i="1"/>
  <c r="BT136" i="1"/>
  <c r="BA136" i="1"/>
  <c r="AT239" i="1"/>
  <c r="AA239" i="1"/>
  <c r="BB239" i="1"/>
  <c r="AQ239" i="1"/>
  <c r="BC239" i="1"/>
  <c r="AR239" i="1"/>
  <c r="AS239" i="1"/>
  <c r="Y239" i="1"/>
  <c r="Z239" i="1"/>
  <c r="BA600" i="1"/>
  <c r="BT600" i="1"/>
  <c r="BT463" i="1"/>
  <c r="BA463" i="1"/>
  <c r="Y596" i="1"/>
  <c r="BB596" i="1"/>
  <c r="AQ596" i="1"/>
  <c r="BC596" i="1"/>
  <c r="AR596" i="1"/>
  <c r="AT596" i="1"/>
  <c r="AS596" i="1"/>
  <c r="AA596" i="1"/>
  <c r="Z596" i="1"/>
  <c r="AZ617" i="1"/>
  <c r="BS617" i="1"/>
  <c r="AR147" i="1"/>
  <c r="AT147" i="1"/>
  <c r="AS147" i="1"/>
  <c r="Y147" i="1"/>
  <c r="Z147" i="1"/>
  <c r="AA147" i="1"/>
  <c r="BB147" i="1"/>
  <c r="AQ147" i="1"/>
  <c r="BC147" i="1"/>
  <c r="BV51" i="1"/>
  <c r="BJ51" i="1"/>
  <c r="AS323" i="1"/>
  <c r="AT323" i="1"/>
  <c r="Y323" i="1"/>
  <c r="AA323" i="1"/>
  <c r="Z323" i="1"/>
  <c r="BB323" i="1"/>
  <c r="AQ323" i="1"/>
  <c r="BC323" i="1"/>
  <c r="AR323" i="1"/>
  <c r="AZ346" i="1"/>
  <c r="BS346" i="1"/>
  <c r="Y340" i="1"/>
  <c r="Z340" i="1"/>
  <c r="AR340" i="1"/>
  <c r="AT340" i="1"/>
  <c r="AS340" i="1"/>
  <c r="AQ340" i="1"/>
  <c r="BC340" i="1"/>
  <c r="BB340" i="1"/>
  <c r="AA340" i="1"/>
  <c r="BB560" i="1"/>
  <c r="AT560" i="1"/>
  <c r="BC560" i="1"/>
  <c r="AQ560" i="1"/>
  <c r="Z560" i="1"/>
  <c r="AR560" i="1"/>
  <c r="AS560" i="1"/>
  <c r="Y560" i="1"/>
  <c r="AA560" i="1"/>
  <c r="BT140" i="1"/>
  <c r="BA140" i="1"/>
  <c r="BV557" i="1"/>
  <c r="BJ557" i="1"/>
  <c r="BT473" i="1"/>
  <c r="BA473" i="1"/>
  <c r="BB89" i="1"/>
  <c r="AQ89" i="1"/>
  <c r="BC89" i="1"/>
  <c r="AR89" i="1"/>
  <c r="AS89" i="1"/>
  <c r="AT89" i="1"/>
  <c r="Y89" i="1"/>
  <c r="Z89" i="1"/>
  <c r="AA89" i="1"/>
  <c r="BT315" i="1"/>
  <c r="BA315" i="1"/>
  <c r="BT88" i="1"/>
  <c r="BA88" i="1"/>
  <c r="Y228" i="1"/>
  <c r="Z228" i="1"/>
  <c r="AA228" i="1"/>
  <c r="BB228" i="1"/>
  <c r="AS228" i="1"/>
  <c r="AR228" i="1"/>
  <c r="BC228" i="1"/>
  <c r="AQ228" i="1"/>
  <c r="AT228" i="1"/>
  <c r="AZ154" i="1"/>
  <c r="BS154" i="1"/>
  <c r="Y372" i="1"/>
  <c r="BB372" i="1"/>
  <c r="AR372" i="1"/>
  <c r="AS372" i="1"/>
  <c r="AT372" i="1"/>
  <c r="Z372" i="1"/>
  <c r="AA372" i="1"/>
  <c r="BC372" i="1"/>
  <c r="AQ372" i="1"/>
  <c r="BV69" i="1"/>
  <c r="BJ69" i="1"/>
  <c r="AZ484" i="1"/>
  <c r="BS484" i="1"/>
  <c r="BT102" i="1"/>
  <c r="BA102" i="1"/>
  <c r="BJ425" i="1"/>
  <c r="BV425" i="1"/>
  <c r="Z363" i="1"/>
  <c r="AA363" i="1"/>
  <c r="BB363" i="1"/>
  <c r="AQ363" i="1"/>
  <c r="BC363" i="1"/>
  <c r="Y363" i="1"/>
  <c r="AT363" i="1"/>
  <c r="AR363" i="1"/>
  <c r="AS363" i="1"/>
  <c r="AZ542" i="1"/>
  <c r="BS542" i="1"/>
  <c r="Y170" i="1"/>
  <c r="Z170" i="1"/>
  <c r="AA170" i="1"/>
  <c r="BB170" i="1"/>
  <c r="AQ170" i="1"/>
  <c r="BC170" i="1"/>
  <c r="AR170" i="1"/>
  <c r="AS170" i="1"/>
  <c r="AT170" i="1"/>
  <c r="BC538" i="1"/>
  <c r="AR538" i="1"/>
  <c r="AS538" i="1"/>
  <c r="AT538" i="1"/>
  <c r="Y538" i="1"/>
  <c r="Z538" i="1"/>
  <c r="AA538" i="1"/>
  <c r="BB538" i="1"/>
  <c r="AQ538" i="1"/>
  <c r="BS505" i="1"/>
  <c r="AZ505" i="1"/>
  <c r="BV236" i="1"/>
  <c r="BJ236" i="1"/>
  <c r="BA175" i="1"/>
  <c r="BT175" i="1"/>
  <c r="BB318" i="1"/>
  <c r="AQ318" i="1"/>
  <c r="BC318" i="1"/>
  <c r="AR318" i="1"/>
  <c r="AS318" i="1"/>
  <c r="AT318" i="1"/>
  <c r="Y318" i="1"/>
  <c r="Z318" i="1"/>
  <c r="AA318" i="1"/>
  <c r="BT222" i="1"/>
  <c r="BA222" i="1"/>
  <c r="BT120" i="1"/>
  <c r="BA120" i="1"/>
  <c r="AZ35" i="1"/>
  <c r="BS35" i="1"/>
  <c r="AT552" i="1"/>
  <c r="AS552" i="1"/>
  <c r="BB552" i="1"/>
  <c r="BC552" i="1"/>
  <c r="AA552" i="1"/>
  <c r="Y552" i="1"/>
  <c r="AR552" i="1"/>
  <c r="Z552" i="1"/>
  <c r="AQ552" i="1"/>
  <c r="BJ66" i="1"/>
  <c r="BV66" i="1"/>
  <c r="BS526" i="1"/>
  <c r="AZ526" i="1"/>
  <c r="BT208" i="1"/>
  <c r="BA208" i="1"/>
  <c r="BS503" i="1"/>
  <c r="AZ503" i="1"/>
  <c r="AZ57" i="1"/>
  <c r="BS57" i="1"/>
  <c r="BS404" i="1"/>
  <c r="AZ404" i="1"/>
  <c r="AR284" i="1"/>
  <c r="AS284" i="1"/>
  <c r="AT284" i="1"/>
  <c r="Y284" i="1"/>
  <c r="Z284" i="1"/>
  <c r="AA284" i="1"/>
  <c r="BB284" i="1"/>
  <c r="AQ284" i="1"/>
  <c r="BC284" i="1"/>
  <c r="AA559" i="1"/>
  <c r="BB559" i="1"/>
  <c r="AQ559" i="1"/>
  <c r="BC559" i="1"/>
  <c r="AR559" i="1"/>
  <c r="AS559" i="1"/>
  <c r="AT559" i="1"/>
  <c r="Y559" i="1"/>
  <c r="Z559" i="1"/>
  <c r="AS283" i="1"/>
  <c r="AT283" i="1"/>
  <c r="Y283" i="1"/>
  <c r="Z283" i="1"/>
  <c r="AA283" i="1"/>
  <c r="BB283" i="1"/>
  <c r="AQ283" i="1"/>
  <c r="BC283" i="1"/>
  <c r="AR283" i="1"/>
  <c r="BS464" i="1"/>
  <c r="AZ464" i="1"/>
  <c r="BA462" i="1"/>
  <c r="BT462" i="1"/>
  <c r="BJ54" i="1"/>
  <c r="BV54" i="1"/>
  <c r="AT389" i="1"/>
  <c r="Y389" i="1"/>
  <c r="AA389" i="1"/>
  <c r="Z389" i="1"/>
  <c r="BB389" i="1"/>
  <c r="AQ389" i="1"/>
  <c r="BC389" i="1"/>
  <c r="AR389" i="1"/>
  <c r="AS389" i="1"/>
  <c r="BC281" i="1"/>
  <c r="AR281" i="1"/>
  <c r="AS281" i="1"/>
  <c r="AT281" i="1"/>
  <c r="Y281" i="1"/>
  <c r="Z281" i="1"/>
  <c r="AA281" i="1"/>
  <c r="BB281" i="1"/>
  <c r="AQ281" i="1"/>
  <c r="BT544" i="1"/>
  <c r="BA544" i="1"/>
  <c r="BB578" i="1"/>
  <c r="AS578" i="1"/>
  <c r="BC578" i="1"/>
  <c r="AQ578" i="1"/>
  <c r="Y578" i="1"/>
  <c r="AR578" i="1"/>
  <c r="Z578" i="1"/>
  <c r="AT578" i="1"/>
  <c r="AA578" i="1"/>
  <c r="AZ304" i="1"/>
  <c r="BS304" i="1"/>
  <c r="BJ276" i="1"/>
  <c r="BV276" i="1"/>
  <c r="BB383" i="1"/>
  <c r="AQ383" i="1"/>
  <c r="BC383" i="1"/>
  <c r="AR383" i="1"/>
  <c r="AS383" i="1"/>
  <c r="AT383" i="1"/>
  <c r="Y383" i="1"/>
  <c r="Z383" i="1"/>
  <c r="AA383" i="1"/>
  <c r="BV370" i="1"/>
  <c r="BJ370" i="1"/>
  <c r="AS274" i="1"/>
  <c r="BC274" i="1"/>
  <c r="AR274" i="1"/>
  <c r="AT274" i="1"/>
  <c r="Y274" i="1"/>
  <c r="Z274" i="1"/>
  <c r="AA274" i="1"/>
  <c r="BB274" i="1"/>
  <c r="AQ274" i="1"/>
  <c r="BJ178" i="1"/>
  <c r="BV178" i="1"/>
  <c r="BJ264" i="1"/>
  <c r="BV264" i="1"/>
  <c r="BS192" i="1"/>
  <c r="AZ192" i="1"/>
  <c r="BJ251" i="1"/>
  <c r="BV251" i="1"/>
  <c r="BB499" i="1"/>
  <c r="AQ499" i="1"/>
  <c r="BC499" i="1"/>
  <c r="AR499" i="1"/>
  <c r="AS499" i="1"/>
  <c r="AT499" i="1"/>
  <c r="Y499" i="1"/>
  <c r="Z499" i="1"/>
  <c r="AA499" i="1"/>
  <c r="BJ461" i="1"/>
  <c r="BV461" i="1"/>
  <c r="BT111" i="1"/>
  <c r="BA111" i="1"/>
  <c r="AZ83" i="1"/>
  <c r="BS83" i="1"/>
  <c r="BA160" i="1"/>
  <c r="BT160" i="1"/>
  <c r="AQ501" i="1"/>
  <c r="BC501" i="1"/>
  <c r="AR501" i="1"/>
  <c r="AS501" i="1"/>
  <c r="Y501" i="1"/>
  <c r="AT501" i="1"/>
  <c r="Z501" i="1"/>
  <c r="AA501" i="1"/>
  <c r="BB501" i="1"/>
  <c r="BS405" i="1"/>
  <c r="AZ405" i="1"/>
  <c r="BT177" i="1"/>
  <c r="BA177" i="1"/>
  <c r="Y547" i="1"/>
  <c r="AT547" i="1"/>
  <c r="Z547" i="1"/>
  <c r="BB547" i="1"/>
  <c r="BC547" i="1"/>
  <c r="AA547" i="1"/>
  <c r="AR547" i="1"/>
  <c r="AS547" i="1"/>
  <c r="AQ547" i="1"/>
  <c r="Y271" i="1"/>
  <c r="AT271" i="1"/>
  <c r="AS271" i="1"/>
  <c r="BB271" i="1"/>
  <c r="AA271" i="1"/>
  <c r="AR271" i="1"/>
  <c r="BC271" i="1"/>
  <c r="Z271" i="1"/>
  <c r="AQ271" i="1"/>
  <c r="AS548" i="1"/>
  <c r="AT548" i="1"/>
  <c r="AA548" i="1"/>
  <c r="AQ548" i="1"/>
  <c r="BC548" i="1"/>
  <c r="BB548" i="1"/>
  <c r="Y548" i="1"/>
  <c r="Z548" i="1"/>
  <c r="AR548" i="1"/>
  <c r="BT558" i="1"/>
  <c r="BA558" i="1"/>
  <c r="BA198" i="1"/>
  <c r="BT198" i="1"/>
  <c r="BJ162" i="1"/>
  <c r="BV162" i="1"/>
  <c r="Z254" i="1"/>
  <c r="AA254" i="1"/>
  <c r="AQ254" i="1"/>
  <c r="BB254" i="1"/>
  <c r="BC254" i="1"/>
  <c r="AR254" i="1"/>
  <c r="AS254" i="1"/>
  <c r="AT254" i="1"/>
  <c r="Y254" i="1"/>
  <c r="BA256" i="1"/>
  <c r="BT256" i="1"/>
  <c r="BS454" i="1"/>
  <c r="AZ454" i="1"/>
  <c r="BT46" i="1"/>
  <c r="BA46" i="1"/>
  <c r="BT168" i="1"/>
  <c r="BA168" i="1"/>
  <c r="AZ109" i="1"/>
  <c r="BS109" i="1"/>
  <c r="BB449" i="1"/>
  <c r="AQ449" i="1"/>
  <c r="BC449" i="1"/>
  <c r="AR449" i="1"/>
  <c r="AS449" i="1"/>
  <c r="AT449" i="1"/>
  <c r="Y449" i="1"/>
  <c r="Z449" i="1"/>
  <c r="AA449" i="1"/>
  <c r="AQ65" i="1"/>
  <c r="Z65" i="1"/>
  <c r="BC65" i="1"/>
  <c r="AT65" i="1"/>
  <c r="BB65" i="1"/>
  <c r="AR65" i="1"/>
  <c r="AS65" i="1"/>
  <c r="Y65" i="1"/>
  <c r="AA65" i="1"/>
  <c r="BJ243" i="1"/>
  <c r="BV243" i="1"/>
  <c r="BB99" i="1"/>
  <c r="AA99" i="1"/>
  <c r="Y99" i="1"/>
  <c r="AQ99" i="1"/>
  <c r="BC99" i="1"/>
  <c r="AR99" i="1"/>
  <c r="AS99" i="1"/>
  <c r="AT99" i="1"/>
  <c r="Z99" i="1"/>
  <c r="BS506" i="1"/>
  <c r="AZ506" i="1"/>
  <c r="BS26" i="1"/>
  <c r="AZ26" i="1"/>
  <c r="BT539" i="1"/>
  <c r="BA539" i="1"/>
  <c r="BT59" i="1"/>
  <c r="BA59" i="1"/>
  <c r="BT202" i="1"/>
  <c r="BA202" i="1"/>
  <c r="BT467" i="1"/>
  <c r="BA467" i="1"/>
  <c r="BT285" i="1"/>
  <c r="BA285" i="1"/>
  <c r="AA165" i="1"/>
  <c r="BB165" i="1"/>
  <c r="AQ165" i="1"/>
  <c r="BC165" i="1"/>
  <c r="AR165" i="1"/>
  <c r="AS165" i="1"/>
  <c r="AT165" i="1"/>
  <c r="Y165" i="1"/>
  <c r="Z165" i="1"/>
  <c r="BS476" i="1"/>
  <c r="AZ476" i="1"/>
  <c r="BS427" i="1"/>
  <c r="AZ427" i="1"/>
  <c r="AZ618" i="1"/>
  <c r="BS618" i="1"/>
  <c r="BJ312" i="1"/>
  <c r="BV312" i="1"/>
  <c r="BS68" i="1"/>
  <c r="AZ68" i="1"/>
  <c r="BT307" i="1"/>
  <c r="BA307" i="1"/>
  <c r="AZ55" i="1"/>
  <c r="BS55" i="1"/>
  <c r="AS42" i="1"/>
  <c r="AT42" i="1"/>
  <c r="Y42" i="1"/>
  <c r="Z42" i="1"/>
  <c r="AA42" i="1"/>
  <c r="BB42" i="1"/>
  <c r="AQ42" i="1"/>
  <c r="AR42" i="1"/>
  <c r="BC42" i="1"/>
  <c r="AZ434" i="1"/>
  <c r="BS434" i="1"/>
  <c r="BC60" i="1"/>
  <c r="AA60" i="1"/>
  <c r="AQ60" i="1"/>
  <c r="AS60" i="1"/>
  <c r="AT60" i="1"/>
  <c r="AR60" i="1"/>
  <c r="BB60" i="1"/>
  <c r="Z60" i="1"/>
  <c r="Y60" i="1"/>
  <c r="AZ118" i="1"/>
  <c r="BS118" i="1"/>
  <c r="AZ563" i="1"/>
  <c r="BS563" i="1"/>
  <c r="BT381" i="1"/>
  <c r="BA381" i="1"/>
  <c r="Z565" i="1"/>
  <c r="Y565" i="1"/>
  <c r="AA565" i="1"/>
  <c r="BB565" i="1"/>
  <c r="AQ565" i="1"/>
  <c r="BC565" i="1"/>
  <c r="AR565" i="1"/>
  <c r="AS565" i="1"/>
  <c r="AT565" i="1"/>
  <c r="AZ103" i="1"/>
  <c r="BS103" i="1"/>
  <c r="AZ112" i="1"/>
  <c r="BS112" i="1"/>
  <c r="AR353" i="1"/>
  <c r="Z353" i="1"/>
  <c r="BC353" i="1"/>
  <c r="AA353" i="1"/>
  <c r="AQ353" i="1"/>
  <c r="AT353" i="1"/>
  <c r="Y353" i="1"/>
  <c r="AS353" i="1"/>
  <c r="BB353" i="1"/>
  <c r="BJ471" i="1"/>
  <c r="BV471" i="1"/>
  <c r="BV494" i="1"/>
  <c r="BJ494" i="1"/>
  <c r="BV182" i="1"/>
  <c r="BJ182" i="1"/>
  <c r="AZ136" i="1"/>
  <c r="BS136" i="1"/>
  <c r="BV104" i="1"/>
  <c r="BJ104" i="1"/>
  <c r="BT596" i="1"/>
  <c r="BA596" i="1"/>
  <c r="Z617" i="1"/>
  <c r="AA617" i="1"/>
  <c r="BB617" i="1"/>
  <c r="AQ617" i="1"/>
  <c r="BC617" i="1"/>
  <c r="AR617" i="1"/>
  <c r="AS617" i="1"/>
  <c r="AT617" i="1"/>
  <c r="Y617" i="1"/>
  <c r="BJ278" i="1"/>
  <c r="BV278" i="1"/>
  <c r="BJ300" i="1"/>
  <c r="BV300" i="1"/>
  <c r="Y346" i="1"/>
  <c r="Z346" i="1"/>
  <c r="AR346" i="1"/>
  <c r="AS346" i="1"/>
  <c r="AT346" i="1"/>
  <c r="AQ346" i="1"/>
  <c r="BC346" i="1"/>
  <c r="BB346" i="1"/>
  <c r="AA346" i="1"/>
  <c r="Y121" i="1"/>
  <c r="AS121" i="1"/>
  <c r="AT121" i="1"/>
  <c r="Z121" i="1"/>
  <c r="AA121" i="1"/>
  <c r="BB121" i="1"/>
  <c r="AQ121" i="1"/>
  <c r="BC121" i="1"/>
  <c r="AR121" i="1"/>
  <c r="BS560" i="1"/>
  <c r="AZ560" i="1"/>
  <c r="AT403" i="1"/>
  <c r="BB403" i="1"/>
  <c r="BC403" i="1"/>
  <c r="Z403" i="1"/>
  <c r="AA403" i="1"/>
  <c r="AQ403" i="1"/>
  <c r="AR403" i="1"/>
  <c r="AS403" i="1"/>
  <c r="Y403" i="1"/>
  <c r="BS445" i="1"/>
  <c r="AZ445" i="1"/>
  <c r="BJ282" i="1"/>
  <c r="BV282" i="1"/>
  <c r="AA602" i="1"/>
  <c r="BB602" i="1"/>
  <c r="AR602" i="1"/>
  <c r="AQ602" i="1"/>
  <c r="BC602" i="1"/>
  <c r="AS602" i="1"/>
  <c r="AT602" i="1"/>
  <c r="Y602" i="1"/>
  <c r="Z602" i="1"/>
  <c r="BS88" i="1"/>
  <c r="AZ88" i="1"/>
  <c r="BB568" i="1"/>
  <c r="AQ568" i="1"/>
  <c r="BC568" i="1"/>
  <c r="AR568" i="1"/>
  <c r="AS568" i="1"/>
  <c r="AT568" i="1"/>
  <c r="Y568" i="1"/>
  <c r="Z568" i="1"/>
  <c r="AA568" i="1"/>
  <c r="Z193" i="1"/>
  <c r="AA193" i="1"/>
  <c r="AQ193" i="1"/>
  <c r="BC193" i="1"/>
  <c r="BB193" i="1"/>
  <c r="AR193" i="1"/>
  <c r="AS193" i="1"/>
  <c r="AT193" i="1"/>
  <c r="Y193" i="1"/>
  <c r="BS102" i="1"/>
  <c r="AZ102" i="1"/>
  <c r="BA209" i="1"/>
  <c r="BT209" i="1"/>
  <c r="BJ216" i="1"/>
  <c r="BV216" i="1"/>
  <c r="BS179" i="1"/>
  <c r="AZ179" i="1"/>
  <c r="BA428" i="1"/>
  <c r="BT428" i="1"/>
  <c r="AT128" i="1"/>
  <c r="AA128" i="1"/>
  <c r="BB128" i="1"/>
  <c r="BC128" i="1"/>
  <c r="Y128" i="1"/>
  <c r="Z128" i="1"/>
  <c r="AQ128" i="1"/>
  <c r="AR128" i="1"/>
  <c r="AS128" i="1"/>
  <c r="AZ175" i="1"/>
  <c r="BS175" i="1"/>
  <c r="BS222" i="1"/>
  <c r="AZ222" i="1"/>
  <c r="BV77" i="1"/>
  <c r="BJ77" i="1"/>
  <c r="Z459" i="1"/>
  <c r="AA459" i="1"/>
  <c r="BB459" i="1"/>
  <c r="AQ459" i="1"/>
  <c r="BC459" i="1"/>
  <c r="AR459" i="1"/>
  <c r="AS459" i="1"/>
  <c r="AT459" i="1"/>
  <c r="Y459" i="1"/>
  <c r="BA39" i="1"/>
  <c r="BT39" i="1"/>
  <c r="AZ206" i="1"/>
  <c r="BS206" i="1"/>
  <c r="AS504" i="1"/>
  <c r="AA504" i="1"/>
  <c r="AT504" i="1"/>
  <c r="BB504" i="1"/>
  <c r="AQ504" i="1"/>
  <c r="BC504" i="1"/>
  <c r="AR504" i="1"/>
  <c r="Y504" i="1"/>
  <c r="Z504" i="1"/>
  <c r="BT286" i="1"/>
  <c r="BA286" i="1"/>
  <c r="BJ241" i="1"/>
  <c r="BV241" i="1"/>
  <c r="AZ349" i="1"/>
  <c r="BS349" i="1"/>
  <c r="BT412" i="1"/>
  <c r="BA412" i="1"/>
  <c r="BT414" i="1"/>
  <c r="BA414" i="1"/>
  <c r="AZ123" i="1"/>
  <c r="BS123" i="1"/>
  <c r="BV110" i="1"/>
  <c r="BJ110" i="1"/>
  <c r="BB418" i="1"/>
  <c r="AQ418" i="1"/>
  <c r="BC418" i="1"/>
  <c r="AR418" i="1"/>
  <c r="AT418" i="1"/>
  <c r="AS418" i="1"/>
  <c r="Y418" i="1"/>
  <c r="Z418" i="1"/>
  <c r="AA418" i="1"/>
  <c r="BA559" i="1"/>
  <c r="BT559" i="1"/>
  <c r="BS462" i="1"/>
  <c r="AZ462" i="1"/>
  <c r="BJ138" i="1"/>
  <c r="BV138" i="1"/>
  <c r="BA281" i="1"/>
  <c r="BT281" i="1"/>
  <c r="BS544" i="1"/>
  <c r="AZ544" i="1"/>
  <c r="BV38" i="1"/>
  <c r="BJ38" i="1"/>
  <c r="AS304" i="1"/>
  <c r="AA304" i="1"/>
  <c r="BB304" i="1"/>
  <c r="AR304" i="1"/>
  <c r="Z304" i="1"/>
  <c r="AQ304" i="1"/>
  <c r="AT304" i="1"/>
  <c r="Y304" i="1"/>
  <c r="BC304" i="1"/>
  <c r="AR58" i="1"/>
  <c r="AS58" i="1"/>
  <c r="Z58" i="1"/>
  <c r="AA58" i="1"/>
  <c r="BC58" i="1"/>
  <c r="Y58" i="1"/>
  <c r="AQ58" i="1"/>
  <c r="AT58" i="1"/>
  <c r="BB58" i="1"/>
  <c r="AT205" i="1"/>
  <c r="Y205" i="1"/>
  <c r="Z205" i="1"/>
  <c r="AA205" i="1"/>
  <c r="BB205" i="1"/>
  <c r="AQ205" i="1"/>
  <c r="BC205" i="1"/>
  <c r="AS205" i="1"/>
  <c r="AR205" i="1"/>
  <c r="BS444" i="1"/>
  <c r="AZ444" i="1"/>
  <c r="BS211" i="1"/>
  <c r="AZ211" i="1"/>
  <c r="BJ620" i="1"/>
  <c r="BV620" i="1"/>
  <c r="AA161" i="1"/>
  <c r="BB161" i="1"/>
  <c r="Y161" i="1"/>
  <c r="Z161" i="1"/>
  <c r="AR161" i="1"/>
  <c r="AS161" i="1"/>
  <c r="AQ161" i="1"/>
  <c r="AT161" i="1"/>
  <c r="BC161" i="1"/>
  <c r="AZ111" i="1"/>
  <c r="BS111" i="1"/>
  <c r="BS458" i="1"/>
  <c r="AZ458" i="1"/>
  <c r="BB214" i="1"/>
  <c r="AQ214" i="1"/>
  <c r="BC214" i="1"/>
  <c r="AR214" i="1"/>
  <c r="Y214" i="1"/>
  <c r="AS214" i="1"/>
  <c r="AT214" i="1"/>
  <c r="Z214" i="1"/>
  <c r="AA214" i="1"/>
  <c r="BJ130" i="1"/>
  <c r="BV130" i="1"/>
  <c r="AS405" i="1"/>
  <c r="BB405" i="1"/>
  <c r="BC405" i="1"/>
  <c r="Z405" i="1"/>
  <c r="AA405" i="1"/>
  <c r="AQ405" i="1"/>
  <c r="AR405" i="1"/>
  <c r="AT405" i="1"/>
  <c r="Y405" i="1"/>
  <c r="AT177" i="1"/>
  <c r="Y177" i="1"/>
  <c r="Z177" i="1"/>
  <c r="AA177" i="1"/>
  <c r="BB177" i="1"/>
  <c r="AQ177" i="1"/>
  <c r="BC177" i="1"/>
  <c r="AR177" i="1"/>
  <c r="AS177" i="1"/>
  <c r="BV601" i="1"/>
  <c r="BJ601" i="1"/>
  <c r="BT512" i="1"/>
  <c r="BA512" i="1"/>
  <c r="BJ616" i="1"/>
  <c r="BV616" i="1"/>
  <c r="AZ558" i="1"/>
  <c r="BS558" i="1"/>
  <c r="BJ233" i="1"/>
  <c r="BV233" i="1"/>
  <c r="BD574" i="2"/>
  <c r="BI574" i="2" s="1"/>
  <c r="BJ348" i="1"/>
  <c r="BV348" i="1"/>
  <c r="BB287" i="1"/>
  <c r="AQ287" i="1"/>
  <c r="BC287" i="1"/>
  <c r="AR287" i="1"/>
  <c r="AS287" i="1"/>
  <c r="AT287" i="1"/>
  <c r="Y287" i="1"/>
  <c r="Z287" i="1"/>
  <c r="AA287" i="1"/>
  <c r="AR454" i="1"/>
  <c r="Z454" i="1"/>
  <c r="AQ454" i="1"/>
  <c r="AA454" i="1"/>
  <c r="BB454" i="1"/>
  <c r="BC454" i="1"/>
  <c r="AS454" i="1"/>
  <c r="AT454" i="1"/>
  <c r="Y454" i="1"/>
  <c r="BS46" i="1"/>
  <c r="AZ46" i="1"/>
  <c r="BJ556" i="1"/>
  <c r="BV556" i="1"/>
  <c r="BB168" i="1"/>
  <c r="AQ168" i="1"/>
  <c r="BC168" i="1"/>
  <c r="AR168" i="1"/>
  <c r="AS168" i="1"/>
  <c r="AT168" i="1"/>
  <c r="Y168" i="1"/>
  <c r="Z168" i="1"/>
  <c r="AA168" i="1"/>
  <c r="AA345" i="1"/>
  <c r="BB345" i="1"/>
  <c r="AQ345" i="1"/>
  <c r="AR345" i="1"/>
  <c r="BC345" i="1"/>
  <c r="AS345" i="1"/>
  <c r="AT345" i="1"/>
  <c r="Y345" i="1"/>
  <c r="Z345" i="1"/>
  <c r="Y109" i="1"/>
  <c r="BC109" i="1"/>
  <c r="AQ109" i="1"/>
  <c r="BB109" i="1"/>
  <c r="AS109" i="1"/>
  <c r="AT109" i="1"/>
  <c r="Z109" i="1"/>
  <c r="AR109" i="1"/>
  <c r="AA109" i="1"/>
  <c r="AZ487" i="1"/>
  <c r="BS487" i="1"/>
  <c r="BA67" i="1"/>
  <c r="BT67" i="1"/>
  <c r="BT449" i="1"/>
  <c r="BA449" i="1"/>
  <c r="BV305" i="1"/>
  <c r="BJ305" i="1"/>
  <c r="BS99" i="1"/>
  <c r="AZ99" i="1"/>
  <c r="BS539" i="1"/>
  <c r="AZ539" i="1"/>
  <c r="BS59" i="1"/>
  <c r="AZ59" i="1"/>
  <c r="BS457" i="1"/>
  <c r="AZ457" i="1"/>
  <c r="BJ157" i="1"/>
  <c r="BV157" i="1"/>
  <c r="BB453" i="1"/>
  <c r="AQ453" i="1"/>
  <c r="BC453" i="1"/>
  <c r="AR453" i="1"/>
  <c r="AS453" i="1"/>
  <c r="AT453" i="1"/>
  <c r="Y453" i="1"/>
  <c r="AA453" i="1"/>
  <c r="Z453" i="1"/>
  <c r="BS285" i="1"/>
  <c r="AZ285" i="1"/>
  <c r="AZ129" i="1"/>
  <c r="BS129" i="1"/>
  <c r="BB172" i="1"/>
  <c r="AQ172" i="1"/>
  <c r="BC172" i="1"/>
  <c r="AR172" i="1"/>
  <c r="AS172" i="1"/>
  <c r="AT172" i="1"/>
  <c r="Y172" i="1"/>
  <c r="Z172" i="1"/>
  <c r="AA172" i="1"/>
  <c r="AZ253" i="1"/>
  <c r="BS253" i="1"/>
  <c r="BJ246" i="1"/>
  <c r="BV246" i="1"/>
  <c r="BV545" i="1"/>
  <c r="BJ545" i="1"/>
  <c r="BT15" i="1"/>
  <c r="BA15" i="1"/>
  <c r="BB432" i="1"/>
  <c r="AQ432" i="1"/>
  <c r="BC432" i="1"/>
  <c r="AR432" i="1"/>
  <c r="AS432" i="1"/>
  <c r="Y432" i="1"/>
  <c r="AA432" i="1"/>
  <c r="Z432" i="1"/>
  <c r="AT432" i="1"/>
  <c r="BA442" i="1"/>
  <c r="BT442" i="1"/>
  <c r="BT34" i="1"/>
  <c r="BA34" i="1"/>
  <c r="BJ443" i="1"/>
  <c r="BV443" i="1"/>
  <c r="BJ201" i="1"/>
  <c r="BV201" i="1"/>
  <c r="BB68" i="1"/>
  <c r="AA68" i="1"/>
  <c r="AQ68" i="1"/>
  <c r="AT68" i="1"/>
  <c r="AR68" i="1"/>
  <c r="Y68" i="1"/>
  <c r="Z68" i="1"/>
  <c r="AS68" i="1"/>
  <c r="BC68" i="1"/>
  <c r="BS307" i="1"/>
  <c r="AZ307" i="1"/>
  <c r="BT435" i="1"/>
  <c r="BA435" i="1"/>
  <c r="BA434" i="1"/>
  <c r="BT434" i="1"/>
  <c r="AS143" i="1"/>
  <c r="AT143" i="1"/>
  <c r="AQ143" i="1"/>
  <c r="BC143" i="1"/>
  <c r="AR143" i="1"/>
  <c r="AA143" i="1"/>
  <c r="BB143" i="1"/>
  <c r="Y143" i="1"/>
  <c r="Z143" i="1"/>
  <c r="BT118" i="1"/>
  <c r="BA118" i="1"/>
  <c r="AZ371" i="1"/>
  <c r="BS371" i="1"/>
  <c r="BJ203" i="1"/>
  <c r="BV203" i="1"/>
  <c r="BS381" i="1"/>
  <c r="AZ381" i="1"/>
  <c r="BJ523" i="1"/>
  <c r="BV523" i="1"/>
  <c r="AQ415" i="1"/>
  <c r="BC415" i="1"/>
  <c r="AR415" i="1"/>
  <c r="AT415" i="1"/>
  <c r="AS415" i="1"/>
  <c r="Y415" i="1"/>
  <c r="Z415" i="1"/>
  <c r="AA415" i="1"/>
  <c r="BB415" i="1"/>
  <c r="Y103" i="1"/>
  <c r="BC103" i="1"/>
  <c r="AQ103" i="1"/>
  <c r="AS103" i="1"/>
  <c r="AT103" i="1"/>
  <c r="Z103" i="1"/>
  <c r="AA103" i="1"/>
  <c r="BB103" i="1"/>
  <c r="AR103" i="1"/>
  <c r="BA353" i="1"/>
  <c r="BT353" i="1"/>
  <c r="BJ195" i="1"/>
  <c r="BV195" i="1"/>
  <c r="Z136" i="1"/>
  <c r="BB136" i="1"/>
  <c r="AQ136" i="1"/>
  <c r="BC136" i="1"/>
  <c r="AR136" i="1"/>
  <c r="AS136" i="1"/>
  <c r="AT136" i="1"/>
  <c r="Y136" i="1"/>
  <c r="AA136" i="1"/>
  <c r="BB610" i="1"/>
  <c r="AQ610" i="1"/>
  <c r="BC610" i="1"/>
  <c r="AR610" i="1"/>
  <c r="AS610" i="1"/>
  <c r="AT610" i="1"/>
  <c r="Y610" i="1"/>
  <c r="Z610" i="1"/>
  <c r="AA610" i="1"/>
  <c r="BB520" i="1"/>
  <c r="AR520" i="1"/>
  <c r="Y520" i="1"/>
  <c r="AS520" i="1"/>
  <c r="AT520" i="1"/>
  <c r="BC520" i="1"/>
  <c r="AQ520" i="1"/>
  <c r="Z520" i="1"/>
  <c r="AA520" i="1"/>
  <c r="BB260" i="1"/>
  <c r="AR260" i="1"/>
  <c r="AT260" i="1"/>
  <c r="AA260" i="1"/>
  <c r="AQ260" i="1"/>
  <c r="BC260" i="1"/>
  <c r="AS260" i="1"/>
  <c r="Y260" i="1"/>
  <c r="Z260" i="1"/>
  <c r="AZ596" i="1"/>
  <c r="BS596" i="1"/>
  <c r="BJ150" i="1"/>
  <c r="BV150" i="1"/>
  <c r="AA122" i="1"/>
  <c r="AQ122" i="1"/>
  <c r="BB122" i="1"/>
  <c r="BC122" i="1"/>
  <c r="AR122" i="1"/>
  <c r="Y122" i="1"/>
  <c r="Z122" i="1"/>
  <c r="AS122" i="1"/>
  <c r="AT122" i="1"/>
  <c r="BJ50" i="1"/>
  <c r="BV50" i="1"/>
  <c r="BA346" i="1"/>
  <c r="BT346" i="1"/>
  <c r="AZ340" i="1"/>
  <c r="BS340" i="1"/>
  <c r="BV296" i="1"/>
  <c r="BJ296" i="1"/>
  <c r="AR445" i="1"/>
  <c r="Z445" i="1"/>
  <c r="AQ445" i="1"/>
  <c r="AA445" i="1"/>
  <c r="BB445" i="1"/>
  <c r="BC445" i="1"/>
  <c r="AS445" i="1"/>
  <c r="Y445" i="1"/>
  <c r="AT445" i="1"/>
  <c r="BJ30" i="1"/>
  <c r="BV30" i="1"/>
  <c r="AT473" i="1"/>
  <c r="Z473" i="1"/>
  <c r="AA473" i="1"/>
  <c r="AQ473" i="1"/>
  <c r="BC473" i="1"/>
  <c r="AR473" i="1"/>
  <c r="BB473" i="1"/>
  <c r="Y473" i="1"/>
  <c r="AS473" i="1"/>
  <c r="BA89" i="1"/>
  <c r="BT89" i="1"/>
  <c r="BV41" i="1"/>
  <c r="BJ41" i="1"/>
  <c r="Y88" i="1"/>
  <c r="BB88" i="1"/>
  <c r="AQ88" i="1"/>
  <c r="BC88" i="1"/>
  <c r="AS88" i="1"/>
  <c r="AT88" i="1"/>
  <c r="AR88" i="1"/>
  <c r="AA88" i="1"/>
  <c r="Z88" i="1"/>
  <c r="AZ553" i="1"/>
  <c r="BS553" i="1"/>
  <c r="BJ21" i="1"/>
  <c r="BV21" i="1"/>
  <c r="AQ209" i="1"/>
  <c r="BC209" i="1"/>
  <c r="AR209" i="1"/>
  <c r="AS209" i="1"/>
  <c r="AT209" i="1"/>
  <c r="Y209" i="1"/>
  <c r="Z209" i="1"/>
  <c r="AA209" i="1"/>
  <c r="BB209" i="1"/>
  <c r="BA363" i="1"/>
  <c r="BT363" i="1"/>
  <c r="Z482" i="1"/>
  <c r="BB482" i="1"/>
  <c r="AQ482" i="1"/>
  <c r="BC482" i="1"/>
  <c r="AR482" i="1"/>
  <c r="AS482" i="1"/>
  <c r="AT482" i="1"/>
  <c r="Y482" i="1"/>
  <c r="AA482" i="1"/>
  <c r="BT170" i="1"/>
  <c r="BA170" i="1"/>
  <c r="BV36" i="1"/>
  <c r="BJ36" i="1"/>
  <c r="BT538" i="1"/>
  <c r="BA538" i="1"/>
  <c r="BJ436" i="1"/>
  <c r="BV436" i="1"/>
  <c r="BJ468" i="1"/>
  <c r="BV468" i="1"/>
  <c r="AS132" i="1"/>
  <c r="AT132" i="1"/>
  <c r="Y132" i="1"/>
  <c r="Z132" i="1"/>
  <c r="AA132" i="1"/>
  <c r="BB132" i="1"/>
  <c r="AQ132" i="1"/>
  <c r="BC132" i="1"/>
  <c r="AR132" i="1"/>
  <c r="BS561" i="1"/>
  <c r="AZ561" i="1"/>
  <c r="BV189" i="1"/>
  <c r="BJ189" i="1"/>
  <c r="AZ428" i="1"/>
  <c r="BS428" i="1"/>
  <c r="BB582" i="1"/>
  <c r="AQ582" i="1"/>
  <c r="BC582" i="1"/>
  <c r="AR582" i="1"/>
  <c r="AS582" i="1"/>
  <c r="AT582" i="1"/>
  <c r="Y582" i="1"/>
  <c r="Z582" i="1"/>
  <c r="AA582" i="1"/>
  <c r="BS318" i="1"/>
  <c r="AZ318" i="1"/>
  <c r="BS39" i="1"/>
  <c r="AZ39" i="1"/>
  <c r="AT120" i="1"/>
  <c r="BB120" i="1"/>
  <c r="AQ120" i="1"/>
  <c r="BC120" i="1"/>
  <c r="AR120" i="1"/>
  <c r="AS120" i="1"/>
  <c r="Y120" i="1"/>
  <c r="Z120" i="1"/>
  <c r="AA120" i="1"/>
  <c r="BS286" i="1"/>
  <c r="AZ286" i="1"/>
  <c r="BV73" i="1"/>
  <c r="BJ73" i="1"/>
  <c r="BT349" i="1"/>
  <c r="BA349" i="1"/>
  <c r="BJ163" i="1"/>
  <c r="BV163" i="1"/>
  <c r="BS412" i="1"/>
  <c r="AZ412" i="1"/>
  <c r="BS414" i="1"/>
  <c r="AZ414" i="1"/>
  <c r="BJ531" i="1"/>
  <c r="BV531" i="1"/>
  <c r="BA530" i="1"/>
  <c r="BT530" i="1"/>
  <c r="BT158" i="1"/>
  <c r="BA158" i="1"/>
  <c r="BB208" i="1"/>
  <c r="AQ208" i="1"/>
  <c r="BC208" i="1"/>
  <c r="AR208" i="1"/>
  <c r="AS208" i="1"/>
  <c r="AT208" i="1"/>
  <c r="Y208" i="1"/>
  <c r="Z208" i="1"/>
  <c r="AA208" i="1"/>
  <c r="Z155" i="1"/>
  <c r="AA155" i="1"/>
  <c r="AQ155" i="1"/>
  <c r="BC155" i="1"/>
  <c r="AT155" i="1"/>
  <c r="Y155" i="1"/>
  <c r="AR155" i="1"/>
  <c r="AS155" i="1"/>
  <c r="BB155" i="1"/>
  <c r="BT417" i="1"/>
  <c r="BA417" i="1"/>
  <c r="AA57" i="1"/>
  <c r="BB57" i="1"/>
  <c r="AQ57" i="1"/>
  <c r="Z57" i="1"/>
  <c r="AS57" i="1"/>
  <c r="BC57" i="1"/>
  <c r="AR57" i="1"/>
  <c r="Y57" i="1"/>
  <c r="AT57" i="1"/>
  <c r="AS356" i="1"/>
  <c r="BB356" i="1"/>
  <c r="Z356" i="1"/>
  <c r="AA356" i="1"/>
  <c r="AT356" i="1"/>
  <c r="Y356" i="1"/>
  <c r="BC356" i="1"/>
  <c r="AQ356" i="1"/>
  <c r="AR356" i="1"/>
  <c r="BA284" i="1"/>
  <c r="BT284" i="1"/>
  <c r="AZ559" i="1"/>
  <c r="BS559" i="1"/>
  <c r="BA31" i="1"/>
  <c r="BT31" i="1"/>
  <c r="BT464" i="1"/>
  <c r="BA464" i="1"/>
  <c r="AQ258" i="1"/>
  <c r="BC258" i="1"/>
  <c r="AR258" i="1"/>
  <c r="AS258" i="1"/>
  <c r="AT258" i="1"/>
  <c r="Y258" i="1"/>
  <c r="Z258" i="1"/>
  <c r="AA258" i="1"/>
  <c r="BB258" i="1"/>
  <c r="BB18" i="1"/>
  <c r="BC18" i="1"/>
  <c r="Y18" i="1"/>
  <c r="AQ18" i="1"/>
  <c r="AS18" i="1"/>
  <c r="AT18" i="1"/>
  <c r="AR18" i="1"/>
  <c r="Z18" i="1"/>
  <c r="AA18" i="1"/>
  <c r="BS389" i="1"/>
  <c r="AZ389" i="1"/>
  <c r="BT245" i="1"/>
  <c r="BA245" i="1"/>
  <c r="Y544" i="1"/>
  <c r="Z544" i="1"/>
  <c r="BB544" i="1"/>
  <c r="AR544" i="1"/>
  <c r="AQ544" i="1"/>
  <c r="BC544" i="1"/>
  <c r="AT544" i="1"/>
  <c r="AS544" i="1"/>
  <c r="AA544" i="1"/>
  <c r="BS578" i="1"/>
  <c r="AZ578" i="1"/>
  <c r="BJ299" i="1"/>
  <c r="BV299" i="1"/>
  <c r="BA574" i="1"/>
  <c r="BT574" i="1"/>
  <c r="BA58" i="1"/>
  <c r="BT58" i="1"/>
  <c r="BA145" i="1"/>
  <c r="BT145" i="1"/>
  <c r="BJ44" i="1"/>
  <c r="BV44" i="1"/>
  <c r="BT499" i="1"/>
  <c r="BA499" i="1"/>
  <c r="BT402" i="1"/>
  <c r="BA402" i="1"/>
  <c r="BS161" i="1"/>
  <c r="AZ161" i="1"/>
  <c r="BJ27" i="1"/>
  <c r="BV27" i="1"/>
  <c r="BT591" i="1"/>
  <c r="BA591" i="1"/>
  <c r="BB458" i="1"/>
  <c r="AQ458" i="1"/>
  <c r="BC458" i="1"/>
  <c r="AR458" i="1"/>
  <c r="AS458" i="1"/>
  <c r="AT458" i="1"/>
  <c r="Y458" i="1"/>
  <c r="Z458" i="1"/>
  <c r="AA458" i="1"/>
  <c r="BJ350" i="1"/>
  <c r="BV350" i="1"/>
  <c r="BJ326" i="1"/>
  <c r="BV326" i="1"/>
  <c r="BS551" i="1"/>
  <c r="AZ551" i="1"/>
  <c r="BJ492" i="1"/>
  <c r="BV492" i="1"/>
  <c r="BJ587" i="1"/>
  <c r="BV587" i="1"/>
  <c r="Y597" i="1"/>
  <c r="BB597" i="1"/>
  <c r="Z597" i="1"/>
  <c r="AS597" i="1"/>
  <c r="AT597" i="1"/>
  <c r="AA597" i="1"/>
  <c r="AQ597" i="1"/>
  <c r="BC597" i="1"/>
  <c r="AR597" i="1"/>
  <c r="BA501" i="1"/>
  <c r="BT501" i="1"/>
  <c r="BJ213" i="1"/>
  <c r="BV213" i="1"/>
  <c r="BB433" i="1"/>
  <c r="Y433" i="1"/>
  <c r="Z433" i="1"/>
  <c r="AS433" i="1"/>
  <c r="AT433" i="1"/>
  <c r="AA433" i="1"/>
  <c r="AQ433" i="1"/>
  <c r="BC433" i="1"/>
  <c r="AR433" i="1"/>
  <c r="BS512" i="1"/>
  <c r="AZ512" i="1"/>
  <c r="AZ548" i="1"/>
  <c r="BS548" i="1"/>
  <c r="Y497" i="1"/>
  <c r="AR497" i="1"/>
  <c r="Z497" i="1"/>
  <c r="AA497" i="1"/>
  <c r="BB497" i="1"/>
  <c r="AQ497" i="1"/>
  <c r="BC497" i="1"/>
  <c r="AT497" i="1"/>
  <c r="AS497" i="1"/>
  <c r="BS254" i="1"/>
  <c r="AZ254" i="1"/>
  <c r="AS588" i="1"/>
  <c r="AT588" i="1"/>
  <c r="Y588" i="1"/>
  <c r="Z588" i="1"/>
  <c r="AA588" i="1"/>
  <c r="BB588" i="1"/>
  <c r="AQ588" i="1"/>
  <c r="BC588" i="1"/>
  <c r="AR588" i="1"/>
  <c r="BA454" i="1"/>
  <c r="BT454" i="1"/>
  <c r="AA319" i="1"/>
  <c r="BB319" i="1"/>
  <c r="AQ319" i="1"/>
  <c r="BC319" i="1"/>
  <c r="AR319" i="1"/>
  <c r="AS319" i="1"/>
  <c r="AT319" i="1"/>
  <c r="Y319" i="1"/>
  <c r="Z319" i="1"/>
  <c r="AZ67" i="1"/>
  <c r="BS67" i="1"/>
  <c r="BJ603" i="1"/>
  <c r="BV603" i="1"/>
  <c r="BJ554" i="1"/>
  <c r="BV554" i="1"/>
  <c r="BS446" i="1"/>
  <c r="AZ446" i="1"/>
  <c r="BV62" i="1"/>
  <c r="BJ62" i="1"/>
  <c r="BA508" i="1"/>
  <c r="BT508" i="1"/>
  <c r="AT539" i="1"/>
  <c r="BC539" i="1"/>
  <c r="AR539" i="1"/>
  <c r="AQ539" i="1"/>
  <c r="AA539" i="1"/>
  <c r="AS539" i="1"/>
  <c r="BB539" i="1"/>
  <c r="Y539" i="1"/>
  <c r="Z539" i="1"/>
  <c r="BJ455" i="1"/>
  <c r="BV455" i="1"/>
  <c r="AZ502" i="1"/>
  <c r="BS502" i="1"/>
  <c r="AS202" i="1"/>
  <c r="AT202" i="1"/>
  <c r="Y202" i="1"/>
  <c r="Z202" i="1"/>
  <c r="AA202" i="1"/>
  <c r="BB202" i="1"/>
  <c r="AQ202" i="1"/>
  <c r="BC202" i="1"/>
  <c r="AR202" i="1"/>
  <c r="BT457" i="1"/>
  <c r="BA457" i="1"/>
  <c r="AQ395" i="1"/>
  <c r="AS395" i="1"/>
  <c r="BB395" i="1"/>
  <c r="AR395" i="1"/>
  <c r="BC395" i="1"/>
  <c r="AT395" i="1"/>
  <c r="AA395" i="1"/>
  <c r="Y395" i="1"/>
  <c r="Z395" i="1"/>
  <c r="BA129" i="1"/>
  <c r="BT129" i="1"/>
  <c r="AT476" i="1"/>
  <c r="AA476" i="1"/>
  <c r="Z476" i="1"/>
  <c r="Y476" i="1"/>
  <c r="AQ476" i="1"/>
  <c r="BB476" i="1"/>
  <c r="BC476" i="1"/>
  <c r="AR476" i="1"/>
  <c r="AS476" i="1"/>
  <c r="BB259" i="1"/>
  <c r="AQ259" i="1"/>
  <c r="BC259" i="1"/>
  <c r="AR259" i="1"/>
  <c r="AS259" i="1"/>
  <c r="AT259" i="1"/>
  <c r="Y259" i="1"/>
  <c r="Z259" i="1"/>
  <c r="AA259" i="1"/>
  <c r="AZ172" i="1"/>
  <c r="BS172" i="1"/>
  <c r="BT253" i="1"/>
  <c r="BA253" i="1"/>
  <c r="BT546" i="1"/>
  <c r="BA546" i="1"/>
  <c r="BT365" i="1"/>
  <c r="BA365" i="1"/>
  <c r="BS15" i="1"/>
  <c r="AZ15" i="1"/>
  <c r="BS242" i="1"/>
  <c r="AZ242" i="1"/>
  <c r="BJ86" i="1"/>
  <c r="BV86" i="1"/>
  <c r="BS442" i="1"/>
  <c r="AZ442" i="1"/>
  <c r="BS34" i="1"/>
  <c r="AZ34" i="1"/>
  <c r="BJ117" i="1"/>
  <c r="BV117" i="1"/>
  <c r="Z265" i="1"/>
  <c r="BB265" i="1"/>
  <c r="AT265" i="1"/>
  <c r="AA265" i="1"/>
  <c r="AR265" i="1"/>
  <c r="AQ265" i="1"/>
  <c r="BC265" i="1"/>
  <c r="Y265" i="1"/>
  <c r="AS265" i="1"/>
  <c r="AS307" i="1"/>
  <c r="Z307" i="1"/>
  <c r="AQ307" i="1"/>
  <c r="AR307" i="1"/>
  <c r="AA307" i="1"/>
  <c r="BB307" i="1"/>
  <c r="BC307" i="1"/>
  <c r="AT307" i="1"/>
  <c r="Y307" i="1"/>
  <c r="BJ577" i="1"/>
  <c r="BV577" i="1"/>
  <c r="BS42" i="1"/>
  <c r="AZ42" i="1"/>
  <c r="BS435" i="1"/>
  <c r="AZ435" i="1"/>
  <c r="BA371" i="1"/>
  <c r="BT371" i="1"/>
  <c r="BV273" i="1"/>
  <c r="BJ273" i="1"/>
  <c r="BA565" i="1"/>
  <c r="BT565" i="1"/>
  <c r="Y481" i="1"/>
  <c r="Z481" i="1"/>
  <c r="AR481" i="1"/>
  <c r="AA481" i="1"/>
  <c r="BB481" i="1"/>
  <c r="BC481" i="1"/>
  <c r="AQ481" i="1"/>
  <c r="AS481" i="1"/>
  <c r="AT481" i="1"/>
  <c r="BA606" i="1"/>
  <c r="BT606" i="1"/>
  <c r="BB569" i="1"/>
  <c r="AS569" i="1"/>
  <c r="Y569" i="1"/>
  <c r="Z569" i="1"/>
  <c r="BC569" i="1"/>
  <c r="AT569" i="1"/>
  <c r="AA569" i="1"/>
  <c r="AR569" i="1"/>
  <c r="AQ569" i="1"/>
  <c r="BS374" i="1"/>
  <c r="AZ374" i="1"/>
  <c r="BT610" i="1"/>
  <c r="BA610" i="1"/>
  <c r="BV550" i="1"/>
  <c r="BJ550" i="1"/>
  <c r="BS520" i="1"/>
  <c r="AZ520" i="1"/>
  <c r="BJ275" i="1"/>
  <c r="BV275" i="1"/>
  <c r="BJ607" i="1"/>
  <c r="BV607" i="1"/>
  <c r="BA355" i="1"/>
  <c r="BT355" i="1"/>
  <c r="BA221" i="1"/>
  <c r="BT221" i="1"/>
  <c r="BS147" i="1"/>
  <c r="AZ147" i="1"/>
  <c r="BA323" i="1"/>
  <c r="BT323" i="1"/>
  <c r="AZ106" i="1"/>
  <c r="BS106" i="1"/>
  <c r="BJ10" i="1"/>
  <c r="BV10" i="1"/>
  <c r="BT340" i="1"/>
  <c r="BA340" i="1"/>
  <c r="BJ64" i="1"/>
  <c r="BV64" i="1"/>
  <c r="BT445" i="1"/>
  <c r="BA445" i="1"/>
  <c r="BJ572" i="1"/>
  <c r="BV572" i="1"/>
  <c r="BA486" i="1"/>
  <c r="BT486" i="1"/>
  <c r="BJ279" i="1"/>
  <c r="BV279" i="1"/>
  <c r="AT598" i="1"/>
  <c r="BB598" i="1"/>
  <c r="Y598" i="1"/>
  <c r="Z598" i="1"/>
  <c r="AR598" i="1"/>
  <c r="AA598" i="1"/>
  <c r="AQ598" i="1"/>
  <c r="BC598" i="1"/>
  <c r="AS598" i="1"/>
  <c r="Y553" i="1"/>
  <c r="Z553" i="1"/>
  <c r="AA553" i="1"/>
  <c r="BB553" i="1"/>
  <c r="AQ553" i="1"/>
  <c r="BC553" i="1"/>
  <c r="AR553" i="1"/>
  <c r="AS553" i="1"/>
  <c r="AT553" i="1"/>
  <c r="BT372" i="1"/>
  <c r="BA372" i="1"/>
  <c r="BA568" i="1"/>
  <c r="BT568" i="1"/>
  <c r="BT248" i="1"/>
  <c r="BA248" i="1"/>
  <c r="BB426" i="1"/>
  <c r="AQ426" i="1"/>
  <c r="BC426" i="1"/>
  <c r="AR426" i="1"/>
  <c r="AS426" i="1"/>
  <c r="AT426" i="1"/>
  <c r="Y426" i="1"/>
  <c r="Z426" i="1"/>
  <c r="AA426" i="1"/>
  <c r="AQ102" i="1"/>
  <c r="Y102" i="1"/>
  <c r="BC102" i="1"/>
  <c r="BB102" i="1"/>
  <c r="AR102" i="1"/>
  <c r="AS102" i="1"/>
  <c r="AT102" i="1"/>
  <c r="AA102" i="1"/>
  <c r="Z102" i="1"/>
  <c r="BJ183" i="1"/>
  <c r="BV183" i="1"/>
  <c r="BT482" i="1"/>
  <c r="BA482" i="1"/>
  <c r="BJ362" i="1"/>
  <c r="BV362" i="1"/>
  <c r="BS538" i="1"/>
  <c r="AZ538" i="1"/>
  <c r="BS132" i="1"/>
  <c r="AZ132" i="1"/>
  <c r="AT561" i="1"/>
  <c r="AQ561" i="1"/>
  <c r="BB561" i="1"/>
  <c r="AA561" i="1"/>
  <c r="Y561" i="1"/>
  <c r="AS561" i="1"/>
  <c r="AR561" i="1"/>
  <c r="Z561" i="1"/>
  <c r="BC561" i="1"/>
  <c r="BJ321" i="1"/>
  <c r="BV321" i="1"/>
  <c r="BT128" i="1"/>
  <c r="BA128" i="1"/>
  <c r="BJ451" i="1"/>
  <c r="BV451" i="1"/>
  <c r="AQ421" i="1"/>
  <c r="BC421" i="1"/>
  <c r="AR421" i="1"/>
  <c r="AS421" i="1"/>
  <c r="AT421" i="1"/>
  <c r="Y421" i="1"/>
  <c r="Z421" i="1"/>
  <c r="AA421" i="1"/>
  <c r="BB421" i="1"/>
  <c r="BT318" i="1"/>
  <c r="BA318" i="1"/>
  <c r="BC329" i="1"/>
  <c r="AR329" i="1"/>
  <c r="AS329" i="1"/>
  <c r="Y329" i="1"/>
  <c r="AT329" i="1"/>
  <c r="Z329" i="1"/>
  <c r="AA329" i="1"/>
  <c r="BB329" i="1"/>
  <c r="AQ329" i="1"/>
  <c r="Y352" i="1"/>
  <c r="BB352" i="1"/>
  <c r="Z352" i="1"/>
  <c r="AS352" i="1"/>
  <c r="AT352" i="1"/>
  <c r="AR352" i="1"/>
  <c r="BC352" i="1"/>
  <c r="AA352" i="1"/>
  <c r="AQ352" i="1"/>
  <c r="BA504" i="1"/>
  <c r="BT504" i="1"/>
  <c r="AA407" i="1"/>
  <c r="BB407" i="1"/>
  <c r="AQ407" i="1"/>
  <c r="BC407" i="1"/>
  <c r="AR407" i="1"/>
  <c r="AS407" i="1"/>
  <c r="AT407" i="1"/>
  <c r="Y407" i="1"/>
  <c r="Z407" i="1"/>
  <c r="Z586" i="1"/>
  <c r="AA586" i="1"/>
  <c r="BB586" i="1"/>
  <c r="AQ586" i="1"/>
  <c r="BC586" i="1"/>
  <c r="AS586" i="1"/>
  <c r="AT586" i="1"/>
  <c r="AR586" i="1"/>
  <c r="Y586" i="1"/>
  <c r="Y286" i="1"/>
  <c r="BB286" i="1"/>
  <c r="BC286" i="1"/>
  <c r="AR286" i="1"/>
  <c r="AS286" i="1"/>
  <c r="AT286" i="1"/>
  <c r="Z286" i="1"/>
  <c r="AA286" i="1"/>
  <c r="AQ286" i="1"/>
  <c r="BA552" i="1"/>
  <c r="BT552" i="1"/>
  <c r="Y412" i="1"/>
  <c r="BB412" i="1"/>
  <c r="BC412" i="1"/>
  <c r="Z412" i="1"/>
  <c r="AA412" i="1"/>
  <c r="AQ412" i="1"/>
  <c r="AT412" i="1"/>
  <c r="AR412" i="1"/>
  <c r="AS412" i="1"/>
  <c r="BT123" i="1"/>
  <c r="BA123" i="1"/>
  <c r="BS530" i="1"/>
  <c r="AZ530" i="1"/>
  <c r="BT418" i="1"/>
  <c r="BA418" i="1"/>
  <c r="BS208" i="1"/>
  <c r="AZ208" i="1"/>
  <c r="BS417" i="1"/>
  <c r="AZ417" i="1"/>
  <c r="BV105" i="1"/>
  <c r="BJ105" i="1"/>
  <c r="AZ284" i="1"/>
  <c r="BS284" i="1"/>
  <c r="BS31" i="1"/>
  <c r="AZ31" i="1"/>
  <c r="BT389" i="1"/>
  <c r="BA389" i="1"/>
  <c r="AT245" i="1"/>
  <c r="Y245" i="1"/>
  <c r="Z245" i="1"/>
  <c r="AA245" i="1"/>
  <c r="BB245" i="1"/>
  <c r="AQ245" i="1"/>
  <c r="BC245" i="1"/>
  <c r="AR245" i="1"/>
  <c r="AS245" i="1"/>
  <c r="BT578" i="1"/>
  <c r="BA578" i="1"/>
  <c r="BA612" i="1"/>
  <c r="BT612" i="1"/>
  <c r="BS383" i="1"/>
  <c r="AZ383" i="1"/>
  <c r="BB466" i="1"/>
  <c r="AQ466" i="1"/>
  <c r="BC466" i="1"/>
  <c r="AR466" i="1"/>
  <c r="AS466" i="1"/>
  <c r="AT466" i="1"/>
  <c r="Y466" i="1"/>
  <c r="Z466" i="1"/>
  <c r="AA466" i="1"/>
  <c r="AZ58" i="1"/>
  <c r="BS58" i="1"/>
  <c r="BS205" i="1"/>
  <c r="AZ205" i="1"/>
  <c r="AA336" i="1"/>
  <c r="BC336" i="1"/>
  <c r="AQ336" i="1"/>
  <c r="AR336" i="1"/>
  <c r="AS336" i="1"/>
  <c r="AT336" i="1"/>
  <c r="Y336" i="1"/>
  <c r="Z336" i="1"/>
  <c r="BB336" i="1"/>
  <c r="BT357" i="1"/>
  <c r="BA357" i="1"/>
  <c r="BS145" i="1"/>
  <c r="AZ145" i="1"/>
  <c r="BS499" i="1"/>
  <c r="AZ499" i="1"/>
  <c r="AS79" i="1"/>
  <c r="AT79" i="1"/>
  <c r="AA79" i="1"/>
  <c r="AQ79" i="1"/>
  <c r="BC79" i="1"/>
  <c r="BB79" i="1"/>
  <c r="Y79" i="1"/>
  <c r="Z79" i="1"/>
  <c r="AR79" i="1"/>
  <c r="BS402" i="1"/>
  <c r="AZ402" i="1"/>
  <c r="BT161" i="1"/>
  <c r="BA161" i="1"/>
  <c r="BV113" i="1"/>
  <c r="BJ113" i="1"/>
  <c r="AR591" i="1"/>
  <c r="Y591" i="1"/>
  <c r="AS591" i="1"/>
  <c r="AT591" i="1"/>
  <c r="BB591" i="1"/>
  <c r="Z591" i="1"/>
  <c r="AA591" i="1"/>
  <c r="AQ591" i="1"/>
  <c r="BC591" i="1"/>
  <c r="BT458" i="1"/>
  <c r="BA458" i="1"/>
  <c r="BJ194" i="1"/>
  <c r="BV194" i="1"/>
  <c r="Z514" i="1"/>
  <c r="AQ514" i="1"/>
  <c r="BC514" i="1"/>
  <c r="AA514" i="1"/>
  <c r="BB514" i="1"/>
  <c r="AR514" i="1"/>
  <c r="AS514" i="1"/>
  <c r="AT514" i="1"/>
  <c r="Y514" i="1"/>
  <c r="BT214" i="1"/>
  <c r="BA214" i="1"/>
  <c r="AQ96" i="1"/>
  <c r="BC96" i="1"/>
  <c r="AS96" i="1"/>
  <c r="AT96" i="1"/>
  <c r="Z96" i="1"/>
  <c r="AA96" i="1"/>
  <c r="BB96" i="1"/>
  <c r="AR96" i="1"/>
  <c r="Y96" i="1"/>
  <c r="BA597" i="1"/>
  <c r="BT597" i="1"/>
  <c r="AZ501" i="1"/>
  <c r="BS501" i="1"/>
  <c r="AR297" i="1"/>
  <c r="Y297" i="1"/>
  <c r="Z297" i="1"/>
  <c r="AA297" i="1"/>
  <c r="AQ297" i="1"/>
  <c r="AS297" i="1"/>
  <c r="AT297" i="1"/>
  <c r="BB297" i="1"/>
  <c r="BC297" i="1"/>
  <c r="BJ45" i="1"/>
  <c r="BV45" i="1"/>
  <c r="BB512" i="1"/>
  <c r="AT512" i="1"/>
  <c r="BC512" i="1"/>
  <c r="AA512" i="1"/>
  <c r="AQ512" i="1"/>
  <c r="Y512" i="1"/>
  <c r="Z512" i="1"/>
  <c r="AR512" i="1"/>
  <c r="AS512" i="1"/>
  <c r="BB220" i="1"/>
  <c r="AQ220" i="1"/>
  <c r="BC220" i="1"/>
  <c r="AS220" i="1"/>
  <c r="AA220" i="1"/>
  <c r="AT220" i="1"/>
  <c r="Z220" i="1"/>
  <c r="AR220" i="1"/>
  <c r="Y220" i="1"/>
  <c r="BA548" i="1"/>
  <c r="BT548" i="1"/>
  <c r="BA497" i="1"/>
  <c r="BT497" i="1"/>
  <c r="BV614" i="1"/>
  <c r="BJ614" i="1"/>
  <c r="BA287" i="1"/>
  <c r="BT287" i="1"/>
  <c r="BT345" i="1"/>
  <c r="BA345" i="1"/>
  <c r="AQ67" i="1"/>
  <c r="BC67" i="1"/>
  <c r="Y67" i="1"/>
  <c r="AT67" i="1"/>
  <c r="Z67" i="1"/>
  <c r="AS67" i="1"/>
  <c r="AR67" i="1"/>
  <c r="BB67" i="1"/>
  <c r="AA67" i="1"/>
  <c r="BA519" i="1"/>
  <c r="BT519" i="1"/>
  <c r="AA207" i="1"/>
  <c r="Y207" i="1"/>
  <c r="Z207" i="1"/>
  <c r="BB207" i="1"/>
  <c r="AQ207" i="1"/>
  <c r="BC207" i="1"/>
  <c r="AR207" i="1"/>
  <c r="AS207" i="1"/>
  <c r="AT207" i="1"/>
  <c r="BT99" i="1"/>
  <c r="BA99" i="1"/>
  <c r="BS508" i="1"/>
  <c r="AZ508" i="1"/>
  <c r="BA453" i="1"/>
  <c r="BT453" i="1"/>
  <c r="BS237" i="1"/>
  <c r="AZ237" i="1"/>
  <c r="BT476" i="1"/>
  <c r="BA476" i="1"/>
  <c r="BA172" i="1"/>
  <c r="BT172" i="1"/>
  <c r="AT536" i="1"/>
  <c r="AA536" i="1"/>
  <c r="AS536" i="1"/>
  <c r="AQ536" i="1"/>
  <c r="AR536" i="1"/>
  <c r="Z536" i="1"/>
  <c r="BB536" i="1"/>
  <c r="BC536" i="1"/>
  <c r="Y536" i="1"/>
  <c r="AR546" i="1"/>
  <c r="AS546" i="1"/>
  <c r="AT546" i="1"/>
  <c r="AA546" i="1"/>
  <c r="AQ546" i="1"/>
  <c r="BC546" i="1"/>
  <c r="BB546" i="1"/>
  <c r="Y546" i="1"/>
  <c r="Z546" i="1"/>
  <c r="AZ365" i="1"/>
  <c r="BS365" i="1"/>
  <c r="AQ196" i="1"/>
  <c r="BC196" i="1"/>
  <c r="AT196" i="1"/>
  <c r="Y196" i="1"/>
  <c r="Z196" i="1"/>
  <c r="AA196" i="1"/>
  <c r="BB196" i="1"/>
  <c r="AR196" i="1"/>
  <c r="AS196" i="1"/>
  <c r="BT432" i="1"/>
  <c r="BA432" i="1"/>
  <c r="AR442" i="1"/>
  <c r="Z442" i="1"/>
  <c r="AA442" i="1"/>
  <c r="AQ442" i="1"/>
  <c r="BB442" i="1"/>
  <c r="BC442" i="1"/>
  <c r="AT442" i="1"/>
  <c r="AS442" i="1"/>
  <c r="Y442" i="1"/>
  <c r="BJ48" i="1"/>
  <c r="BV48" i="1"/>
  <c r="BA151" i="1"/>
  <c r="BT151" i="1"/>
  <c r="BT364" i="1"/>
  <c r="BA364" i="1"/>
  <c r="BT42" i="1"/>
  <c r="BA42" i="1"/>
  <c r="BJ291" i="1"/>
  <c r="BV291" i="1"/>
  <c r="Z324" i="1"/>
  <c r="AA324" i="1"/>
  <c r="BB324" i="1"/>
  <c r="AQ324" i="1"/>
  <c r="BC324" i="1"/>
  <c r="AR324" i="1"/>
  <c r="AS324" i="1"/>
  <c r="AT324" i="1"/>
  <c r="Y324" i="1"/>
  <c r="BT611" i="1"/>
  <c r="BA611" i="1"/>
  <c r="BA143" i="1"/>
  <c r="BT143" i="1"/>
  <c r="Y371" i="1"/>
  <c r="AS371" i="1"/>
  <c r="BB371" i="1"/>
  <c r="AR371" i="1"/>
  <c r="AA371" i="1"/>
  <c r="AQ371" i="1"/>
  <c r="Z371" i="1"/>
  <c r="AT371" i="1"/>
  <c r="BC371" i="1"/>
  <c r="AS381" i="1"/>
  <c r="AT381" i="1"/>
  <c r="AR381" i="1"/>
  <c r="AA381" i="1"/>
  <c r="BB381" i="1"/>
  <c r="AQ381" i="1"/>
  <c r="BC381" i="1"/>
  <c r="Y381" i="1"/>
  <c r="Z381" i="1"/>
  <c r="AQ452" i="1"/>
  <c r="AS452" i="1"/>
  <c r="BC452" i="1"/>
  <c r="AR452" i="1"/>
  <c r="AT452" i="1"/>
  <c r="Y452" i="1"/>
  <c r="Z452" i="1"/>
  <c r="AA452" i="1"/>
  <c r="BB452" i="1"/>
  <c r="BJ619" i="1"/>
  <c r="BV619" i="1"/>
  <c r="BS415" i="1"/>
  <c r="AZ415" i="1"/>
  <c r="AS606" i="1"/>
  <c r="BC606" i="1"/>
  <c r="AA606" i="1"/>
  <c r="AT606" i="1"/>
  <c r="Y606" i="1"/>
  <c r="AR606" i="1"/>
  <c r="BB606" i="1"/>
  <c r="Z606" i="1"/>
  <c r="AQ606" i="1"/>
  <c r="BV438" i="1"/>
  <c r="BJ438" i="1"/>
  <c r="BS569" i="1"/>
  <c r="AZ569" i="1"/>
  <c r="BT374" i="1"/>
  <c r="BA374" i="1"/>
  <c r="BA540" i="1"/>
  <c r="BT540" i="1"/>
  <c r="BS610" i="1"/>
  <c r="AZ610" i="1"/>
  <c r="BA229" i="1"/>
  <c r="BT229" i="1"/>
  <c r="AZ355" i="1"/>
  <c r="BS355" i="1"/>
  <c r="AR114" i="1"/>
  <c r="AS114" i="1"/>
  <c r="AT114" i="1"/>
  <c r="AQ114" i="1"/>
  <c r="BC114" i="1"/>
  <c r="Y114" i="1"/>
  <c r="BB114" i="1"/>
  <c r="Z114" i="1"/>
  <c r="AA114" i="1"/>
  <c r="BJ521" i="1"/>
  <c r="BV521" i="1"/>
  <c r="BT147" i="1"/>
  <c r="BA147" i="1"/>
  <c r="BS323" i="1"/>
  <c r="AZ323" i="1"/>
  <c r="Y106" i="1"/>
  <c r="BC106" i="1"/>
  <c r="AQ106" i="1"/>
  <c r="AT106" i="1"/>
  <c r="AS106" i="1"/>
  <c r="AA106" i="1"/>
  <c r="BB106" i="1"/>
  <c r="AR106" i="1"/>
  <c r="Z106" i="1"/>
  <c r="AZ121" i="1"/>
  <c r="BS121" i="1"/>
  <c r="BJ153" i="1"/>
  <c r="BV153" i="1"/>
  <c r="BT440" i="1"/>
  <c r="BA440" i="1"/>
  <c r="BA403" i="1"/>
  <c r="BT403" i="1"/>
  <c r="Y181" i="1"/>
  <c r="Z181" i="1"/>
  <c r="AS181" i="1"/>
  <c r="AA181" i="1"/>
  <c r="BB181" i="1"/>
  <c r="AQ181" i="1"/>
  <c r="BC181" i="1"/>
  <c r="AR181" i="1"/>
  <c r="AT181" i="1"/>
  <c r="BJ534" i="1"/>
  <c r="BV534" i="1"/>
  <c r="AZ486" i="1"/>
  <c r="BS486" i="1"/>
  <c r="BS473" i="1"/>
  <c r="AZ473" i="1"/>
  <c r="BB543" i="1"/>
  <c r="AQ543" i="1"/>
  <c r="BC543" i="1"/>
  <c r="AR543" i="1"/>
  <c r="Y543" i="1"/>
  <c r="AS543" i="1"/>
  <c r="AT543" i="1"/>
  <c r="Z543" i="1"/>
  <c r="AA543" i="1"/>
  <c r="BT602" i="1"/>
  <c r="BA602" i="1"/>
  <c r="BC516" i="1"/>
  <c r="AR516" i="1"/>
  <c r="AS516" i="1"/>
  <c r="AT516" i="1"/>
  <c r="Y516" i="1"/>
  <c r="Z516" i="1"/>
  <c r="AA516" i="1"/>
  <c r="BB516" i="1"/>
  <c r="AQ516" i="1"/>
  <c r="BS372" i="1"/>
  <c r="AZ372" i="1"/>
  <c r="BJ524" i="1"/>
  <c r="BV524" i="1"/>
  <c r="Y248" i="1"/>
  <c r="Z248" i="1"/>
  <c r="AA248" i="1"/>
  <c r="BB248" i="1"/>
  <c r="AQ248" i="1"/>
  <c r="BC248" i="1"/>
  <c r="AR248" i="1"/>
  <c r="AS248" i="1"/>
  <c r="AT248" i="1"/>
  <c r="BT426" i="1"/>
  <c r="BA426" i="1"/>
  <c r="BJ257" i="1"/>
  <c r="BV257" i="1"/>
  <c r="AZ209" i="1"/>
  <c r="BS209" i="1"/>
  <c r="AZ170" i="1"/>
  <c r="BS170" i="1"/>
  <c r="AS428" i="1"/>
  <c r="AT428" i="1"/>
  <c r="Y428" i="1"/>
  <c r="Z428" i="1"/>
  <c r="AA428" i="1"/>
  <c r="BB428" i="1"/>
  <c r="AQ428" i="1"/>
  <c r="BC428" i="1"/>
  <c r="AR428" i="1"/>
  <c r="BS128" i="1"/>
  <c r="AZ128" i="1"/>
  <c r="BS582" i="1"/>
  <c r="AZ582" i="1"/>
  <c r="AZ329" i="1"/>
  <c r="BS329" i="1"/>
  <c r="BJ173" i="1"/>
  <c r="BV173" i="1"/>
  <c r="BA459" i="1"/>
  <c r="BT459" i="1"/>
  <c r="BS504" i="1"/>
  <c r="AZ504" i="1"/>
  <c r="BA407" i="1"/>
  <c r="BT407" i="1"/>
  <c r="BA586" i="1"/>
  <c r="BT586" i="1"/>
  <c r="Y142" i="1"/>
  <c r="Z142" i="1"/>
  <c r="AA142" i="1"/>
  <c r="AQ142" i="1"/>
  <c r="BC142" i="1"/>
  <c r="AR142" i="1"/>
  <c r="AS142" i="1"/>
  <c r="AT142" i="1"/>
  <c r="BB142" i="1"/>
  <c r="BS552" i="1"/>
  <c r="AZ552" i="1"/>
  <c r="BC414" i="1"/>
  <c r="AT414" i="1"/>
  <c r="AA414" i="1"/>
  <c r="BB414" i="1"/>
  <c r="AQ414" i="1"/>
  <c r="AR414" i="1"/>
  <c r="AS414" i="1"/>
  <c r="Y414" i="1"/>
  <c r="Z414" i="1"/>
  <c r="AT123" i="1"/>
  <c r="Y123" i="1"/>
  <c r="Z123" i="1"/>
  <c r="AA123" i="1"/>
  <c r="BB123" i="1"/>
  <c r="AQ123" i="1"/>
  <c r="BC123" i="1"/>
  <c r="AR123" i="1"/>
  <c r="AS123" i="1"/>
  <c r="BC95" i="1"/>
  <c r="AR95" i="1"/>
  <c r="AS95" i="1"/>
  <c r="AT95" i="1"/>
  <c r="Y95" i="1"/>
  <c r="Z95" i="1"/>
  <c r="AA95" i="1"/>
  <c r="BB95" i="1"/>
  <c r="AQ95" i="1"/>
  <c r="BS418" i="1"/>
  <c r="AZ418" i="1"/>
  <c r="BJ382" i="1"/>
  <c r="BV382" i="1"/>
  <c r="BT155" i="1"/>
  <c r="BA155" i="1"/>
  <c r="AS417" i="1"/>
  <c r="Z417" i="1"/>
  <c r="BC417" i="1"/>
  <c r="AR417" i="1"/>
  <c r="BB417" i="1"/>
  <c r="AQ417" i="1"/>
  <c r="AT417" i="1"/>
  <c r="Y417" i="1"/>
  <c r="AA417" i="1"/>
  <c r="Y469" i="1"/>
  <c r="AA469" i="1"/>
  <c r="AS469" i="1"/>
  <c r="Z469" i="1"/>
  <c r="BB469" i="1"/>
  <c r="AQ469" i="1"/>
  <c r="BC469" i="1"/>
  <c r="AR469" i="1"/>
  <c r="AT469" i="1"/>
  <c r="AZ356" i="1"/>
  <c r="BS356" i="1"/>
  <c r="AR31" i="1"/>
  <c r="AS31" i="1"/>
  <c r="AT31" i="1"/>
  <c r="Y31" i="1"/>
  <c r="BB31" i="1"/>
  <c r="Z31" i="1"/>
  <c r="AA31" i="1"/>
  <c r="AQ31" i="1"/>
  <c r="BC31" i="1"/>
  <c r="BT258" i="1"/>
  <c r="BA258" i="1"/>
  <c r="BT18" i="1"/>
  <c r="BA18" i="1"/>
  <c r="BB612" i="1"/>
  <c r="AT612" i="1"/>
  <c r="AR612" i="1"/>
  <c r="AA612" i="1"/>
  <c r="Z612" i="1"/>
  <c r="AS612" i="1"/>
  <c r="BC612" i="1"/>
  <c r="Y612" i="1"/>
  <c r="AQ612" i="1"/>
  <c r="BT383" i="1"/>
  <c r="BA383" i="1"/>
  <c r="AS357" i="1"/>
  <c r="BC357" i="1"/>
  <c r="AR357" i="1"/>
  <c r="AT357" i="1"/>
  <c r="Y357" i="1"/>
  <c r="Z357" i="1"/>
  <c r="AA357" i="1"/>
  <c r="BB357" i="1"/>
  <c r="AQ357" i="1"/>
  <c r="BA79" i="1"/>
  <c r="BT79" i="1"/>
  <c r="AS402" i="1"/>
  <c r="BB402" i="1"/>
  <c r="BC402" i="1"/>
  <c r="Z402" i="1"/>
  <c r="AA402" i="1"/>
  <c r="AQ402" i="1"/>
  <c r="AR402" i="1"/>
  <c r="AT402" i="1"/>
  <c r="Y402" i="1"/>
  <c r="BT191" i="1"/>
  <c r="BA191" i="1"/>
  <c r="BA514" i="1"/>
  <c r="BT514" i="1"/>
  <c r="BJ249" i="1"/>
  <c r="BV249" i="1"/>
  <c r="BS433" i="1"/>
  <c r="AZ433" i="1"/>
  <c r="BJ116" i="1"/>
  <c r="BV116" i="1"/>
  <c r="BA439" i="1"/>
  <c r="BT439" i="1"/>
  <c r="BB450" i="1"/>
  <c r="AQ450" i="1"/>
  <c r="BC450" i="1"/>
  <c r="AR450" i="1"/>
  <c r="AS450" i="1"/>
  <c r="AT450" i="1"/>
  <c r="Y450" i="1"/>
  <c r="Z450" i="1"/>
  <c r="AA450" i="1"/>
  <c r="BS497" i="1"/>
  <c r="AZ497" i="1"/>
  <c r="BF585" i="2"/>
  <c r="BK585" i="2" s="1"/>
  <c r="BF555" i="2"/>
  <c r="BK555" i="2" s="1"/>
  <c r="BB98" i="1"/>
  <c r="AQ98" i="1"/>
  <c r="BC98" i="1"/>
  <c r="AR98" i="1"/>
  <c r="AT98" i="1"/>
  <c r="Y98" i="1"/>
  <c r="Z98" i="1"/>
  <c r="AS98" i="1"/>
  <c r="AA98" i="1"/>
  <c r="BS588" i="1"/>
  <c r="AZ588" i="1"/>
  <c r="AZ287" i="1"/>
  <c r="BS287" i="1"/>
  <c r="AT262" i="1"/>
  <c r="Y262" i="1"/>
  <c r="AS262" i="1"/>
  <c r="Z262" i="1"/>
  <c r="AA262" i="1"/>
  <c r="BB262" i="1"/>
  <c r="AQ262" i="1"/>
  <c r="BC262" i="1"/>
  <c r="AR262" i="1"/>
  <c r="BJ166" i="1"/>
  <c r="BV166" i="1"/>
  <c r="BA311" i="1"/>
  <c r="BT311" i="1"/>
  <c r="Y80" i="1"/>
  <c r="BB80" i="1"/>
  <c r="AQ80" i="1"/>
  <c r="Z80" i="1"/>
  <c r="BC80" i="1"/>
  <c r="AR80" i="1"/>
  <c r="AA80" i="1"/>
  <c r="AS80" i="1"/>
  <c r="AT80" i="1"/>
  <c r="BT319" i="1"/>
  <c r="BA319" i="1"/>
  <c r="BJ19" i="1"/>
  <c r="BV19" i="1"/>
  <c r="AT149" i="1"/>
  <c r="BB149" i="1"/>
  <c r="AQ149" i="1"/>
  <c r="BC149" i="1"/>
  <c r="AR149" i="1"/>
  <c r="AS149" i="1"/>
  <c r="Y149" i="1"/>
  <c r="Z149" i="1"/>
  <c r="AA149" i="1"/>
  <c r="BS207" i="1"/>
  <c r="AZ207" i="1"/>
  <c r="AQ508" i="1"/>
  <c r="BB508" i="1"/>
  <c r="BC508" i="1"/>
  <c r="AR508" i="1"/>
  <c r="AA508" i="1"/>
  <c r="Y508" i="1"/>
  <c r="Z508" i="1"/>
  <c r="AS508" i="1"/>
  <c r="AT508" i="1"/>
  <c r="BT167" i="1"/>
  <c r="BA167" i="1"/>
  <c r="Y502" i="1"/>
  <c r="Z502" i="1"/>
  <c r="BB502" i="1"/>
  <c r="AQ502" i="1"/>
  <c r="BC502" i="1"/>
  <c r="AR502" i="1"/>
  <c r="AS502" i="1"/>
  <c r="AT502" i="1"/>
  <c r="AA502" i="1"/>
  <c r="BS202" i="1"/>
  <c r="AZ202" i="1"/>
  <c r="AR72" i="1"/>
  <c r="Y72" i="1"/>
  <c r="BB72" i="1"/>
  <c r="AT72" i="1"/>
  <c r="AS72" i="1"/>
  <c r="Z72" i="1"/>
  <c r="BC72" i="1"/>
  <c r="AA72" i="1"/>
  <c r="AQ72" i="1"/>
  <c r="BT395" i="1"/>
  <c r="BA395" i="1"/>
  <c r="AZ453" i="1"/>
  <c r="BS453" i="1"/>
  <c r="AQ237" i="1"/>
  <c r="BC237" i="1"/>
  <c r="AR237" i="1"/>
  <c r="AT237" i="1"/>
  <c r="Y237" i="1"/>
  <c r="Z237" i="1"/>
  <c r="BB237" i="1"/>
  <c r="AA237" i="1"/>
  <c r="AS237" i="1"/>
  <c r="AA535" i="1"/>
  <c r="AT535" i="1"/>
  <c r="BB535" i="1"/>
  <c r="AQ535" i="1"/>
  <c r="AS535" i="1"/>
  <c r="BC535" i="1"/>
  <c r="AR535" i="1"/>
  <c r="Y535" i="1"/>
  <c r="Z535" i="1"/>
  <c r="BJ413" i="1"/>
  <c r="BV413" i="1"/>
  <c r="Z365" i="1"/>
  <c r="AA365" i="1"/>
  <c r="BC365" i="1"/>
  <c r="AQ365" i="1"/>
  <c r="AR365" i="1"/>
  <c r="BB365" i="1"/>
  <c r="AT365" i="1"/>
  <c r="Y365" i="1"/>
  <c r="AS365" i="1"/>
  <c r="BJ290" i="1"/>
  <c r="BV290" i="1"/>
  <c r="BS432" i="1"/>
  <c r="AZ432" i="1"/>
  <c r="BV144" i="1"/>
  <c r="BJ144" i="1"/>
  <c r="BJ301" i="1"/>
  <c r="BV301" i="1"/>
  <c r="BV240" i="1"/>
  <c r="BJ240" i="1"/>
  <c r="BJ376" i="1"/>
  <c r="BV376" i="1"/>
  <c r="BT265" i="1"/>
  <c r="BA265" i="1"/>
  <c r="BV32" i="1"/>
  <c r="BJ32" i="1"/>
  <c r="AZ151" i="1"/>
  <c r="BS151" i="1"/>
  <c r="AZ364" i="1"/>
  <c r="BS364" i="1"/>
  <c r="BT53" i="1"/>
  <c r="BA53" i="1"/>
  <c r="AZ611" i="1"/>
  <c r="BS611" i="1"/>
  <c r="AQ76" i="1"/>
  <c r="BC76" i="1"/>
  <c r="AR76" i="1"/>
  <c r="AS76" i="1"/>
  <c r="BB76" i="1"/>
  <c r="AT76" i="1"/>
  <c r="Z76" i="1"/>
  <c r="Y76" i="1"/>
  <c r="AA76" i="1"/>
  <c r="BS452" i="1"/>
  <c r="AZ452" i="1"/>
  <c r="BT415" i="1"/>
  <c r="BA415" i="1"/>
  <c r="Y604" i="1"/>
  <c r="AA604" i="1"/>
  <c r="AQ604" i="1"/>
  <c r="BC604" i="1"/>
  <c r="Z604" i="1"/>
  <c r="AS604" i="1"/>
  <c r="AT604" i="1"/>
  <c r="BB604" i="1"/>
  <c r="AR604" i="1"/>
  <c r="BT481" i="1"/>
  <c r="BA481" i="1"/>
  <c r="AZ606" i="1"/>
  <c r="BS606" i="1"/>
  <c r="BJ378" i="1"/>
  <c r="BV378" i="1"/>
  <c r="BV186" i="1"/>
  <c r="BJ186" i="1"/>
  <c r="AT533" i="1"/>
  <c r="AS533" i="1"/>
  <c r="AR533" i="1"/>
  <c r="BB533" i="1"/>
  <c r="Y533" i="1"/>
  <c r="Z533" i="1"/>
  <c r="BC533" i="1"/>
  <c r="AA533" i="1"/>
  <c r="AQ533" i="1"/>
  <c r="BS540" i="1"/>
  <c r="AZ540" i="1"/>
  <c r="BB589" i="1"/>
  <c r="AQ589" i="1"/>
  <c r="BC589" i="1"/>
  <c r="AS589" i="1"/>
  <c r="AR589" i="1"/>
  <c r="AT589" i="1"/>
  <c r="Y589" i="1"/>
  <c r="Z589" i="1"/>
  <c r="AA589" i="1"/>
  <c r="BS260" i="1"/>
  <c r="AZ260" i="1"/>
  <c r="Y355" i="1"/>
  <c r="Z355" i="1"/>
  <c r="AA355" i="1"/>
  <c r="BB355" i="1"/>
  <c r="BC355" i="1"/>
  <c r="AR355" i="1"/>
  <c r="AS355" i="1"/>
  <c r="AQ355" i="1"/>
  <c r="AT355" i="1"/>
  <c r="Y221" i="1"/>
  <c r="AQ221" i="1"/>
  <c r="BC221" i="1"/>
  <c r="AR221" i="1"/>
  <c r="AT221" i="1"/>
  <c r="Z221" i="1"/>
  <c r="AA221" i="1"/>
  <c r="AS221" i="1"/>
  <c r="BB221" i="1"/>
  <c r="BJ137" i="1"/>
  <c r="BV137" i="1"/>
  <c r="BV314" i="1"/>
  <c r="BJ314" i="1"/>
  <c r="BS122" i="1"/>
  <c r="AZ122" i="1"/>
  <c r="Z131" i="1"/>
  <c r="AA131" i="1"/>
  <c r="AQ131" i="1"/>
  <c r="BB131" i="1"/>
  <c r="BC131" i="1"/>
  <c r="AR131" i="1"/>
  <c r="AS131" i="1"/>
  <c r="AT131" i="1"/>
  <c r="Y131" i="1"/>
  <c r="BA121" i="1"/>
  <c r="BT121" i="1"/>
  <c r="BV13" i="1"/>
  <c r="BJ13" i="1"/>
  <c r="AZ440" i="1"/>
  <c r="BS440" i="1"/>
  <c r="BS403" i="1"/>
  <c r="AZ403" i="1"/>
  <c r="BJ43" i="1"/>
  <c r="BV43" i="1"/>
  <c r="AA486" i="1"/>
  <c r="Z486" i="1"/>
  <c r="AT486" i="1"/>
  <c r="Y486" i="1"/>
  <c r="AR486" i="1"/>
  <c r="AQ486" i="1"/>
  <c r="BB486" i="1"/>
  <c r="AS486" i="1"/>
  <c r="BC486" i="1"/>
  <c r="BS602" i="1"/>
  <c r="AZ602" i="1"/>
  <c r="BT598" i="1"/>
  <c r="BA598" i="1"/>
  <c r="AQ261" i="1"/>
  <c r="BC261" i="1"/>
  <c r="AR261" i="1"/>
  <c r="AS261" i="1"/>
  <c r="AT261" i="1"/>
  <c r="Y261" i="1"/>
  <c r="Z261" i="1"/>
  <c r="AA261" i="1"/>
  <c r="BB261" i="1"/>
  <c r="Z373" i="1"/>
  <c r="AA373" i="1"/>
  <c r="BB373" i="1"/>
  <c r="AQ373" i="1"/>
  <c r="BC373" i="1"/>
  <c r="AR373" i="1"/>
  <c r="AS373" i="1"/>
  <c r="AT373" i="1"/>
  <c r="Y373" i="1"/>
  <c r="BS426" i="1"/>
  <c r="AZ426" i="1"/>
  <c r="BS135" i="1"/>
  <c r="AZ135" i="1"/>
  <c r="BJ40" i="1"/>
  <c r="BV40" i="1"/>
  <c r="BT132" i="1"/>
  <c r="BA132" i="1"/>
  <c r="BJ335" i="1"/>
  <c r="BV335" i="1"/>
  <c r="BT561" i="1"/>
  <c r="BA561" i="1"/>
  <c r="BV332" i="1"/>
  <c r="BJ332" i="1"/>
  <c r="BJ176" i="1"/>
  <c r="BV176" i="1"/>
  <c r="BS421" i="1"/>
  <c r="AZ421" i="1"/>
  <c r="BT582" i="1"/>
  <c r="BA582" i="1"/>
  <c r="BS459" i="1"/>
  <c r="AZ459" i="1"/>
  <c r="BS590" i="1"/>
  <c r="AZ590" i="1"/>
  <c r="AZ352" i="1"/>
  <c r="BS352" i="1"/>
  <c r="AZ586" i="1"/>
  <c r="BS586" i="1"/>
  <c r="AT360" i="1"/>
  <c r="Z360" i="1"/>
  <c r="AA360" i="1"/>
  <c r="BB360" i="1"/>
  <c r="AQ360" i="1"/>
  <c r="BC360" i="1"/>
  <c r="Y360" i="1"/>
  <c r="AR360" i="1"/>
  <c r="AS360" i="1"/>
  <c r="BA169" i="1"/>
  <c r="BT169" i="1"/>
  <c r="BS470" i="1"/>
  <c r="AZ470" i="1"/>
  <c r="BT108" i="1"/>
  <c r="BA108" i="1"/>
  <c r="BS155" i="1"/>
  <c r="AZ155" i="1"/>
  <c r="AR309" i="1"/>
  <c r="BB309" i="1"/>
  <c r="AQ309" i="1"/>
  <c r="BC309" i="1"/>
  <c r="AS309" i="1"/>
  <c r="AT309" i="1"/>
  <c r="Y309" i="1"/>
  <c r="Z309" i="1"/>
  <c r="AA309" i="1"/>
  <c r="BA356" i="1"/>
  <c r="BT356" i="1"/>
  <c r="BV92" i="1"/>
  <c r="BJ92" i="1"/>
  <c r="BT595" i="1"/>
  <c r="BA595" i="1"/>
  <c r="BA379" i="1"/>
  <c r="BT379" i="1"/>
  <c r="BT570" i="1"/>
  <c r="BA570" i="1"/>
  <c r="BS258" i="1"/>
  <c r="AZ258" i="1"/>
  <c r="AZ18" i="1"/>
  <c r="BS18" i="1"/>
  <c r="BB317" i="1"/>
  <c r="AQ317" i="1"/>
  <c r="BC317" i="1"/>
  <c r="AR317" i="1"/>
  <c r="AS317" i="1"/>
  <c r="AT317" i="1"/>
  <c r="Y317" i="1"/>
  <c r="Z317" i="1"/>
  <c r="AA317" i="1"/>
  <c r="AA266" i="1"/>
  <c r="Z266" i="1"/>
  <c r="AS266" i="1"/>
  <c r="AT266" i="1"/>
  <c r="BB266" i="1"/>
  <c r="AQ266" i="1"/>
  <c r="Y266" i="1"/>
  <c r="BC266" i="1"/>
  <c r="AR266" i="1"/>
  <c r="BJ204" i="1"/>
  <c r="BV204" i="1"/>
  <c r="BC528" i="1"/>
  <c r="AR528" i="1"/>
  <c r="AS528" i="1"/>
  <c r="AT528" i="1"/>
  <c r="Y528" i="1"/>
  <c r="Z528" i="1"/>
  <c r="AA528" i="1"/>
  <c r="BB528" i="1"/>
  <c r="AQ528" i="1"/>
  <c r="BA336" i="1"/>
  <c r="BT336" i="1"/>
  <c r="BJ141" i="1"/>
  <c r="BV141" i="1"/>
  <c r="BB145" i="1"/>
  <c r="AQ145" i="1"/>
  <c r="BC145" i="1"/>
  <c r="AR145" i="1"/>
  <c r="AS145" i="1"/>
  <c r="AT145" i="1"/>
  <c r="Z145" i="1"/>
  <c r="Y145" i="1"/>
  <c r="AA145" i="1"/>
  <c r="BV367" i="1"/>
  <c r="BJ367" i="1"/>
  <c r="BC331" i="1"/>
  <c r="AR331" i="1"/>
  <c r="BB331" i="1"/>
  <c r="AS331" i="1"/>
  <c r="Y331" i="1"/>
  <c r="AT331" i="1"/>
  <c r="Z331" i="1"/>
  <c r="AA331" i="1"/>
  <c r="AQ331" i="1"/>
  <c r="BV127" i="1"/>
  <c r="BJ127" i="1"/>
  <c r="AZ79" i="1"/>
  <c r="BS79" i="1"/>
  <c r="Y146" i="1"/>
  <c r="BB146" i="1"/>
  <c r="AQ146" i="1"/>
  <c r="BC146" i="1"/>
  <c r="AR146" i="1"/>
  <c r="AS146" i="1"/>
  <c r="AT146" i="1"/>
  <c r="Z146" i="1"/>
  <c r="AA146" i="1"/>
  <c r="AZ191" i="1"/>
  <c r="BS191" i="1"/>
  <c r="BS514" i="1"/>
  <c r="AZ514" i="1"/>
  <c r="BT96" i="1"/>
  <c r="BA96" i="1"/>
  <c r="BS597" i="1"/>
  <c r="AZ597" i="1"/>
  <c r="BT433" i="1"/>
  <c r="BA433" i="1"/>
  <c r="BA8" i="1"/>
  <c r="BT8" i="1"/>
  <c r="BT220" i="1"/>
  <c r="BA220" i="1"/>
  <c r="BB416" i="1"/>
  <c r="AQ416" i="1"/>
  <c r="BC416" i="1"/>
  <c r="AR416" i="1"/>
  <c r="AS416" i="1"/>
  <c r="AT416" i="1"/>
  <c r="Y416" i="1"/>
  <c r="Z416" i="1"/>
  <c r="AA416" i="1"/>
  <c r="BT566" i="1"/>
  <c r="BA566" i="1"/>
  <c r="BA98" i="1"/>
  <c r="BT98" i="1"/>
  <c r="BT588" i="1"/>
  <c r="BA588" i="1"/>
  <c r="BV84" i="1"/>
  <c r="BJ84" i="1"/>
  <c r="AA311" i="1"/>
  <c r="Z311" i="1"/>
  <c r="AT311" i="1"/>
  <c r="AR311" i="1"/>
  <c r="AQ311" i="1"/>
  <c r="BB311" i="1"/>
  <c r="Y311" i="1"/>
  <c r="AS311" i="1"/>
  <c r="BC311" i="1"/>
  <c r="BS345" i="1"/>
  <c r="AZ345" i="1"/>
  <c r="BJ583" i="1"/>
  <c r="BV583" i="1"/>
  <c r="BS319" i="1"/>
  <c r="AZ319" i="1"/>
  <c r="BS149" i="1"/>
  <c r="AZ149" i="1"/>
  <c r="BJ17" i="1"/>
  <c r="BV17" i="1"/>
  <c r="AT519" i="1"/>
  <c r="Y519" i="1"/>
  <c r="Z519" i="1"/>
  <c r="AA519" i="1"/>
  <c r="BB519" i="1"/>
  <c r="AQ519" i="1"/>
  <c r="BC519" i="1"/>
  <c r="AR519" i="1"/>
  <c r="AS519" i="1"/>
  <c r="BA207" i="1"/>
  <c r="BT207" i="1"/>
  <c r="BT446" i="1"/>
  <c r="BA446" i="1"/>
  <c r="BS100" i="1"/>
  <c r="AZ100" i="1"/>
  <c r="BJ613" i="1"/>
  <c r="BV613" i="1"/>
  <c r="Y129" i="1"/>
  <c r="AR129" i="1"/>
  <c r="AS129" i="1"/>
  <c r="AT129" i="1"/>
  <c r="Z129" i="1"/>
  <c r="AA129" i="1"/>
  <c r="AQ129" i="1"/>
  <c r="BC129" i="1"/>
  <c r="BB129" i="1"/>
  <c r="BJ9" i="1"/>
  <c r="BV9" i="1"/>
  <c r="BT535" i="1"/>
  <c r="BA535" i="1"/>
  <c r="AZ259" i="1"/>
  <c r="BS259" i="1"/>
  <c r="BT517" i="1"/>
  <c r="BA517" i="1"/>
  <c r="BT536" i="1"/>
  <c r="BA536" i="1"/>
  <c r="AZ546" i="1"/>
  <c r="BS546" i="1"/>
  <c r="BV185" i="1"/>
  <c r="BJ185" i="1"/>
  <c r="AZ265" i="1"/>
  <c r="BS265" i="1"/>
  <c r="AA475" i="1"/>
  <c r="Y475" i="1"/>
  <c r="Z475" i="1"/>
  <c r="AS475" i="1"/>
  <c r="BB475" i="1"/>
  <c r="AQ475" i="1"/>
  <c r="BC475" i="1"/>
  <c r="AR475" i="1"/>
  <c r="AT475" i="1"/>
  <c r="BB151" i="1"/>
  <c r="AQ151" i="1"/>
  <c r="BC151" i="1"/>
  <c r="AR151" i="1"/>
  <c r="AS151" i="1"/>
  <c r="AT151" i="1"/>
  <c r="Y151" i="1"/>
  <c r="Z151" i="1"/>
  <c r="AA151" i="1"/>
  <c r="AS364" i="1"/>
  <c r="AQ364" i="1"/>
  <c r="BC364" i="1"/>
  <c r="AT364" i="1"/>
  <c r="AR364" i="1"/>
  <c r="BB364" i="1"/>
  <c r="Z364" i="1"/>
  <c r="Y364" i="1"/>
  <c r="AA364" i="1"/>
  <c r="AZ53" i="1"/>
  <c r="BS53" i="1"/>
  <c r="BS159" i="1"/>
  <c r="AZ159" i="1"/>
  <c r="AS611" i="1"/>
  <c r="AT611" i="1"/>
  <c r="Y611" i="1"/>
  <c r="AA611" i="1"/>
  <c r="BB611" i="1"/>
  <c r="AQ611" i="1"/>
  <c r="BC611" i="1"/>
  <c r="Z611" i="1"/>
  <c r="AR611" i="1"/>
  <c r="BV298" i="1"/>
  <c r="BJ298" i="1"/>
  <c r="BV409" i="1"/>
  <c r="BJ409" i="1"/>
  <c r="BT81" i="1"/>
  <c r="BA81" i="1"/>
  <c r="BV224" i="1"/>
  <c r="BJ224" i="1"/>
  <c r="BS481" i="1"/>
  <c r="AZ481" i="1"/>
  <c r="Z498" i="1"/>
  <c r="AA498" i="1"/>
  <c r="BB498" i="1"/>
  <c r="AQ498" i="1"/>
  <c r="BC498" i="1"/>
  <c r="AR498" i="1"/>
  <c r="AS498" i="1"/>
  <c r="AT498" i="1"/>
  <c r="Y498" i="1"/>
  <c r="AQ327" i="1"/>
  <c r="BB327" i="1"/>
  <c r="BC327" i="1"/>
  <c r="AR327" i="1"/>
  <c r="AS327" i="1"/>
  <c r="AT327" i="1"/>
  <c r="Y327" i="1"/>
  <c r="Z327" i="1"/>
  <c r="AA327" i="1"/>
  <c r="BV71" i="1"/>
  <c r="BJ71" i="1"/>
  <c r="AT229" i="1"/>
  <c r="Y229" i="1"/>
  <c r="Z229" i="1"/>
  <c r="AA229" i="1"/>
  <c r="BB229" i="1"/>
  <c r="AQ229" i="1"/>
  <c r="BC229" i="1"/>
  <c r="AR229" i="1"/>
  <c r="AS229" i="1"/>
  <c r="BT260" i="1"/>
  <c r="BA260" i="1"/>
  <c r="BV56" i="1"/>
  <c r="BJ56" i="1"/>
  <c r="AT328" i="1"/>
  <c r="Z328" i="1"/>
  <c r="AR328" i="1"/>
  <c r="AS328" i="1"/>
  <c r="BB328" i="1"/>
  <c r="Y328" i="1"/>
  <c r="AA328" i="1"/>
  <c r="AQ328" i="1"/>
  <c r="BC328" i="1"/>
  <c r="BV500" i="1"/>
  <c r="BJ500" i="1"/>
  <c r="AZ114" i="1"/>
  <c r="BS114" i="1"/>
  <c r="AZ221" i="1"/>
  <c r="BS221" i="1"/>
  <c r="BV507" i="1"/>
  <c r="BJ507" i="1"/>
  <c r="BB422" i="1"/>
  <c r="AQ422" i="1"/>
  <c r="BC422" i="1"/>
  <c r="AR422" i="1"/>
  <c r="AS422" i="1"/>
  <c r="AT422" i="1"/>
  <c r="Y422" i="1"/>
  <c r="Z422" i="1"/>
  <c r="AA422" i="1"/>
  <c r="BT122" i="1"/>
  <c r="BA122" i="1"/>
  <c r="BJ479" i="1"/>
  <c r="BV479" i="1"/>
  <c r="BT106" i="1"/>
  <c r="BA106" i="1"/>
  <c r="BA541" i="1"/>
  <c r="BT541" i="1"/>
  <c r="AA440" i="1"/>
  <c r="BB440" i="1"/>
  <c r="BC440" i="1"/>
  <c r="AQ440" i="1"/>
  <c r="AT440" i="1"/>
  <c r="AS440" i="1"/>
  <c r="Y440" i="1"/>
  <c r="AR440" i="1"/>
  <c r="Z440" i="1"/>
  <c r="BJ212" i="1"/>
  <c r="BV212" i="1"/>
  <c r="BT181" i="1"/>
  <c r="BA181" i="1"/>
  <c r="BA341" i="1"/>
  <c r="BT341" i="1"/>
  <c r="BA543" i="1"/>
  <c r="BT543" i="1"/>
  <c r="BA516" i="1"/>
  <c r="BT516" i="1"/>
  <c r="BS598" i="1"/>
  <c r="AZ598" i="1"/>
  <c r="BA553" i="1"/>
  <c r="BT553" i="1"/>
  <c r="BA373" i="1"/>
  <c r="BT373" i="1"/>
  <c r="BS248" i="1"/>
  <c r="AZ248" i="1"/>
  <c r="AA125" i="1"/>
  <c r="AS125" i="1"/>
  <c r="BB125" i="1"/>
  <c r="BC125" i="1"/>
  <c r="AQ125" i="1"/>
  <c r="Y125" i="1"/>
  <c r="AR125" i="1"/>
  <c r="AT125" i="1"/>
  <c r="Z125" i="1"/>
  <c r="BB135" i="1"/>
  <c r="AQ135" i="1"/>
  <c r="BC135" i="1"/>
  <c r="AR135" i="1"/>
  <c r="AS135" i="1"/>
  <c r="AT135" i="1"/>
  <c r="Y135" i="1"/>
  <c r="Z135" i="1"/>
  <c r="AA135" i="1"/>
  <c r="AZ482" i="1"/>
  <c r="BS482" i="1"/>
  <c r="BJ575" i="1"/>
  <c r="BV575" i="1"/>
  <c r="BB119" i="1"/>
  <c r="Y119" i="1"/>
  <c r="Z119" i="1"/>
  <c r="AA119" i="1"/>
  <c r="BC119" i="1"/>
  <c r="AQ119" i="1"/>
  <c r="AR119" i="1"/>
  <c r="AS119" i="1"/>
  <c r="AT119" i="1"/>
  <c r="AT334" i="1"/>
  <c r="AA334" i="1"/>
  <c r="BB334" i="1"/>
  <c r="BC334" i="1"/>
  <c r="Y334" i="1"/>
  <c r="Z334" i="1"/>
  <c r="AQ334" i="1"/>
  <c r="AR334" i="1"/>
  <c r="AS334" i="1"/>
  <c r="BB391" i="1"/>
  <c r="AQ391" i="1"/>
  <c r="BC391" i="1"/>
  <c r="AR391" i="1"/>
  <c r="AS391" i="1"/>
  <c r="AT391" i="1"/>
  <c r="Y391" i="1"/>
  <c r="Z391" i="1"/>
  <c r="AA391" i="1"/>
  <c r="BV223" i="1"/>
  <c r="BJ223" i="1"/>
  <c r="BT421" i="1"/>
  <c r="BA421" i="1"/>
  <c r="BB270" i="1"/>
  <c r="BC270" i="1"/>
  <c r="AQ270" i="1"/>
  <c r="AR270" i="1"/>
  <c r="AS270" i="1"/>
  <c r="AT270" i="1"/>
  <c r="Y270" i="1"/>
  <c r="Z270" i="1"/>
  <c r="AA270" i="1"/>
  <c r="BT329" i="1"/>
  <c r="BA329" i="1"/>
  <c r="Z590" i="1"/>
  <c r="AS590" i="1"/>
  <c r="AA590" i="1"/>
  <c r="AQ590" i="1"/>
  <c r="BC590" i="1"/>
  <c r="AR590" i="1"/>
  <c r="AT590" i="1"/>
  <c r="Y590" i="1"/>
  <c r="BB590" i="1"/>
  <c r="BT352" i="1"/>
  <c r="BA352" i="1"/>
  <c r="BS478" i="1"/>
  <c r="AZ478" i="1"/>
  <c r="BA142" i="1"/>
  <c r="BT142" i="1"/>
  <c r="BT360" i="1"/>
  <c r="BA360" i="1"/>
  <c r="AZ169" i="1"/>
  <c r="BS169" i="1"/>
  <c r="BJ529" i="1"/>
  <c r="BV529" i="1"/>
  <c r="AR366" i="1"/>
  <c r="AA366" i="1"/>
  <c r="BB366" i="1"/>
  <c r="AQ366" i="1"/>
  <c r="BC366" i="1"/>
  <c r="Y366" i="1"/>
  <c r="AS366" i="1"/>
  <c r="Z366" i="1"/>
  <c r="AT366" i="1"/>
  <c r="BA95" i="1"/>
  <c r="BT95" i="1"/>
  <c r="BJ322" i="1"/>
  <c r="BV322" i="1"/>
  <c r="AZ226" i="1"/>
  <c r="BS226" i="1"/>
  <c r="BS108" i="1"/>
  <c r="AZ108" i="1"/>
  <c r="BS469" i="1"/>
  <c r="AZ469" i="1"/>
  <c r="AS595" i="1"/>
  <c r="AT595" i="1"/>
  <c r="BB595" i="1"/>
  <c r="Y595" i="1"/>
  <c r="Z595" i="1"/>
  <c r="AA595" i="1"/>
  <c r="AQ595" i="1"/>
  <c r="BC595" i="1"/>
  <c r="AR595" i="1"/>
  <c r="Z379" i="1"/>
  <c r="AA379" i="1"/>
  <c r="BB379" i="1"/>
  <c r="AQ379" i="1"/>
  <c r="BC379" i="1"/>
  <c r="AR379" i="1"/>
  <c r="AS379" i="1"/>
  <c r="AT379" i="1"/>
  <c r="Y379" i="1"/>
  <c r="BS570" i="1"/>
  <c r="AZ570" i="1"/>
  <c r="BJ90" i="1"/>
  <c r="BV90" i="1"/>
  <c r="BS245" i="1"/>
  <c r="AZ245" i="1"/>
  <c r="BC255" i="1"/>
  <c r="AR255" i="1"/>
  <c r="AS255" i="1"/>
  <c r="AT255" i="1"/>
  <c r="Y255" i="1"/>
  <c r="Z255" i="1"/>
  <c r="AA255" i="1"/>
  <c r="BB255" i="1"/>
  <c r="AQ255" i="1"/>
  <c r="BV302" i="1"/>
  <c r="BJ302" i="1"/>
  <c r="AZ612" i="1"/>
  <c r="BS612" i="1"/>
  <c r="BS466" i="1"/>
  <c r="AZ466" i="1"/>
  <c r="BT16" i="1"/>
  <c r="BA16" i="1"/>
  <c r="BS336" i="1"/>
  <c r="AZ336" i="1"/>
  <c r="BS357" i="1"/>
  <c r="AZ357" i="1"/>
  <c r="BT354" i="1"/>
  <c r="BA354" i="1"/>
  <c r="BA399" i="1"/>
  <c r="BT399" i="1"/>
  <c r="AZ591" i="1"/>
  <c r="BS591" i="1"/>
  <c r="AR191" i="1"/>
  <c r="AA191" i="1"/>
  <c r="BB191" i="1"/>
  <c r="Y191" i="1"/>
  <c r="BC191" i="1"/>
  <c r="Z191" i="1"/>
  <c r="AQ191" i="1"/>
  <c r="AS191" i="1"/>
  <c r="AT191" i="1"/>
  <c r="AT406" i="1"/>
  <c r="BB406" i="1"/>
  <c r="BC406" i="1"/>
  <c r="Z406" i="1"/>
  <c r="AA406" i="1"/>
  <c r="AQ406" i="1"/>
  <c r="AR406" i="1"/>
  <c r="Y406" i="1"/>
  <c r="AS406" i="1"/>
  <c r="AS388" i="1"/>
  <c r="AT388" i="1"/>
  <c r="Y388" i="1"/>
  <c r="Z388" i="1"/>
  <c r="AA388" i="1"/>
  <c r="BB388" i="1"/>
  <c r="AQ388" i="1"/>
  <c r="BC388" i="1"/>
  <c r="AR388" i="1"/>
  <c r="BS96" i="1"/>
  <c r="AZ96" i="1"/>
  <c r="BT297" i="1"/>
  <c r="BA297" i="1"/>
  <c r="BJ344" i="1"/>
  <c r="BV344" i="1"/>
  <c r="Z439" i="1"/>
  <c r="Y439" i="1"/>
  <c r="AA439" i="1"/>
  <c r="BB439" i="1"/>
  <c r="BC439" i="1"/>
  <c r="AQ439" i="1"/>
  <c r="AR439" i="1"/>
  <c r="AS439" i="1"/>
  <c r="AT439" i="1"/>
  <c r="AZ220" i="1"/>
  <c r="BS220" i="1"/>
  <c r="BA450" i="1"/>
  <c r="BT450" i="1"/>
  <c r="BA3" i="1"/>
  <c r="BT3" i="1"/>
  <c r="Z562" i="1"/>
  <c r="AA562" i="1"/>
  <c r="BB562" i="1"/>
  <c r="AQ562" i="1"/>
  <c r="BC562" i="1"/>
  <c r="AR562" i="1"/>
  <c r="AS562" i="1"/>
  <c r="AT562" i="1"/>
  <c r="Y562" i="1"/>
  <c r="BT262" i="1"/>
  <c r="BA262" i="1"/>
  <c r="BT420" i="1"/>
  <c r="BA420" i="1"/>
  <c r="AZ311" i="1"/>
  <c r="BS311" i="1"/>
  <c r="BA80" i="1"/>
  <c r="BT80" i="1"/>
  <c r="AT424" i="1"/>
  <c r="AS424" i="1"/>
  <c r="Y424" i="1"/>
  <c r="Z424" i="1"/>
  <c r="AA424" i="1"/>
  <c r="BB424" i="1"/>
  <c r="AQ424" i="1"/>
  <c r="BC424" i="1"/>
  <c r="AR424" i="1"/>
  <c r="BJ126" i="1"/>
  <c r="BV126" i="1"/>
  <c r="BT149" i="1"/>
  <c r="BA149" i="1"/>
  <c r="AZ171" i="1"/>
  <c r="BS171" i="1"/>
  <c r="AZ63" i="1"/>
  <c r="BS63" i="1"/>
  <c r="BB446" i="1"/>
  <c r="AR446" i="1"/>
  <c r="AS446" i="1"/>
  <c r="AA446" i="1"/>
  <c r="AQ446" i="1"/>
  <c r="AT446" i="1"/>
  <c r="BC446" i="1"/>
  <c r="Y446" i="1"/>
  <c r="Z446" i="1"/>
  <c r="BT180" i="1"/>
  <c r="BA180" i="1"/>
  <c r="BB167" i="1"/>
  <c r="BC167" i="1"/>
  <c r="AR167" i="1"/>
  <c r="AQ167" i="1"/>
  <c r="AS167" i="1"/>
  <c r="AT167" i="1"/>
  <c r="AA167" i="1"/>
  <c r="Y167" i="1"/>
  <c r="Z167" i="1"/>
  <c r="BT502" i="1"/>
  <c r="BA502" i="1"/>
  <c r="BS395" i="1"/>
  <c r="AZ395" i="1"/>
  <c r="BC393" i="1"/>
  <c r="AR393" i="1"/>
  <c r="Y393" i="1"/>
  <c r="AS393" i="1"/>
  <c r="AT393" i="1"/>
  <c r="BB393" i="1"/>
  <c r="Z393" i="1"/>
  <c r="AA393" i="1"/>
  <c r="AQ393" i="1"/>
  <c r="BA237" i="1"/>
  <c r="BT237" i="1"/>
  <c r="BT93" i="1"/>
  <c r="BA93" i="1"/>
  <c r="BA259" i="1"/>
  <c r="BT259" i="1"/>
  <c r="BS536" i="1"/>
  <c r="AZ536" i="1"/>
  <c r="AR386" i="1"/>
  <c r="AS386" i="1"/>
  <c r="AT386" i="1"/>
  <c r="Y386" i="1"/>
  <c r="Z386" i="1"/>
  <c r="AQ386" i="1"/>
  <c r="AA386" i="1"/>
  <c r="BB386" i="1"/>
  <c r="BC386" i="1"/>
  <c r="BT196" i="1"/>
  <c r="BA196" i="1"/>
  <c r="AT250" i="1"/>
  <c r="Y250" i="1"/>
  <c r="Z250" i="1"/>
  <c r="AA250" i="1"/>
  <c r="BB250" i="1"/>
  <c r="AQ250" i="1"/>
  <c r="BC250" i="1"/>
  <c r="AR250" i="1"/>
  <c r="AS250" i="1"/>
  <c r="BV397" i="1"/>
  <c r="BJ397" i="1"/>
  <c r="BT85" i="1"/>
  <c r="BA85" i="1"/>
  <c r="AA294" i="1"/>
  <c r="BB294" i="1"/>
  <c r="AQ294" i="1"/>
  <c r="BC294" i="1"/>
  <c r="AR294" i="1"/>
  <c r="AS294" i="1"/>
  <c r="AT294" i="1"/>
  <c r="Y294" i="1"/>
  <c r="Z294" i="1"/>
  <c r="BB159" i="1"/>
  <c r="AQ159" i="1"/>
  <c r="BC159" i="1"/>
  <c r="Y159" i="1"/>
  <c r="Z159" i="1"/>
  <c r="AR159" i="1"/>
  <c r="AS159" i="1"/>
  <c r="AT159" i="1"/>
  <c r="AA159" i="1"/>
  <c r="BJ3" i="1"/>
  <c r="BV3" i="1"/>
  <c r="BS324" i="1"/>
  <c r="AZ324" i="1"/>
  <c r="AT515" i="1"/>
  <c r="AR515" i="1"/>
  <c r="AQ515" i="1"/>
  <c r="AS515" i="1"/>
  <c r="Z515" i="1"/>
  <c r="BC515" i="1"/>
  <c r="BB515" i="1"/>
  <c r="AA515" i="1"/>
  <c r="Y515" i="1"/>
  <c r="BJ431" i="1"/>
  <c r="BV431" i="1"/>
  <c r="BT358" i="1"/>
  <c r="BA358" i="1"/>
  <c r="AZ76" i="1"/>
  <c r="BS76" i="1"/>
  <c r="Z441" i="1"/>
  <c r="AA441" i="1"/>
  <c r="AR441" i="1"/>
  <c r="AT441" i="1"/>
  <c r="AQ441" i="1"/>
  <c r="BB441" i="1"/>
  <c r="AS441" i="1"/>
  <c r="Y441" i="1"/>
  <c r="BC441" i="1"/>
  <c r="BT452" i="1"/>
  <c r="BA452" i="1"/>
  <c r="BA533" i="1"/>
  <c r="BT533" i="1"/>
  <c r="BS327" i="1"/>
  <c r="AZ327" i="1"/>
  <c r="BT230" i="1"/>
  <c r="BA230" i="1"/>
  <c r="BB540" i="1"/>
  <c r="AQ540" i="1"/>
  <c r="BC540" i="1"/>
  <c r="AR540" i="1"/>
  <c r="AS540" i="1"/>
  <c r="AT540" i="1"/>
  <c r="Y540" i="1"/>
  <c r="Z540" i="1"/>
  <c r="AA540" i="1"/>
  <c r="BV190" i="1"/>
  <c r="BJ190" i="1"/>
  <c r="BB22" i="1"/>
  <c r="AQ22" i="1"/>
  <c r="BC22" i="1"/>
  <c r="AR22" i="1"/>
  <c r="AS22" i="1"/>
  <c r="AT22" i="1"/>
  <c r="Y22" i="1"/>
  <c r="Z22" i="1"/>
  <c r="AA22" i="1"/>
  <c r="AZ589" i="1"/>
  <c r="BS589" i="1"/>
  <c r="BJ33" i="1"/>
  <c r="BV33" i="1"/>
  <c r="BJ580" i="1"/>
  <c r="BV580" i="1"/>
  <c r="BJ571" i="1"/>
  <c r="BV571" i="1"/>
  <c r="BB423" i="1"/>
  <c r="AQ423" i="1"/>
  <c r="BC423" i="1"/>
  <c r="AR423" i="1"/>
  <c r="AS423" i="1"/>
  <c r="AT423" i="1"/>
  <c r="Y423" i="1"/>
  <c r="Z423" i="1"/>
  <c r="AA423" i="1"/>
  <c r="AZ599" i="1"/>
  <c r="BS599" i="1"/>
  <c r="BS131" i="1"/>
  <c r="AZ131" i="1"/>
  <c r="AS359" i="1"/>
  <c r="AQ359" i="1"/>
  <c r="BB359" i="1"/>
  <c r="Y359" i="1"/>
  <c r="AA359" i="1"/>
  <c r="BC359" i="1"/>
  <c r="AR359" i="1"/>
  <c r="AT359" i="1"/>
  <c r="Z359" i="1"/>
  <c r="BS541" i="1"/>
  <c r="AZ541" i="1"/>
  <c r="BJ380" i="1"/>
  <c r="BV380" i="1"/>
  <c r="BB235" i="1"/>
  <c r="BC235" i="1"/>
  <c r="Y235" i="1"/>
  <c r="AQ235" i="1"/>
  <c r="AR235" i="1"/>
  <c r="AS235" i="1"/>
  <c r="AT235" i="1"/>
  <c r="Z235" i="1"/>
  <c r="AA235" i="1"/>
  <c r="AZ181" i="1"/>
  <c r="BS181" i="1"/>
  <c r="AZ341" i="1"/>
  <c r="BS341" i="1"/>
  <c r="BS543" i="1"/>
  <c r="AZ543" i="1"/>
  <c r="BA218" i="1"/>
  <c r="BT218" i="1"/>
  <c r="BJ490" i="1"/>
  <c r="BV490" i="1"/>
  <c r="AT576" i="1"/>
  <c r="BB576" i="1"/>
  <c r="AS576" i="1"/>
  <c r="Z576" i="1"/>
  <c r="BC576" i="1"/>
  <c r="AQ576" i="1"/>
  <c r="AA576" i="1"/>
  <c r="AR576" i="1"/>
  <c r="Y576" i="1"/>
  <c r="BT261" i="1"/>
  <c r="BA261" i="1"/>
  <c r="AZ174" i="1"/>
  <c r="BS174" i="1"/>
  <c r="AZ605" i="1"/>
  <c r="BS605" i="1"/>
  <c r="BT135" i="1"/>
  <c r="BA135" i="1"/>
  <c r="BT334" i="1"/>
  <c r="BA334" i="1"/>
  <c r="BT368" i="1"/>
  <c r="BA368" i="1"/>
  <c r="BT270" i="1"/>
  <c r="BA270" i="1"/>
  <c r="AQ267" i="1"/>
  <c r="BC267" i="1"/>
  <c r="BB267" i="1"/>
  <c r="Y267" i="1"/>
  <c r="Z267" i="1"/>
  <c r="AR267" i="1"/>
  <c r="AS267" i="1"/>
  <c r="AT267" i="1"/>
  <c r="AA267" i="1"/>
  <c r="Z52" i="1"/>
  <c r="AR52" i="1"/>
  <c r="AS52" i="1"/>
  <c r="Y52" i="1"/>
  <c r="AT52" i="1"/>
  <c r="AA52" i="1"/>
  <c r="AQ52" i="1"/>
  <c r="BC52" i="1"/>
  <c r="BB52" i="1"/>
  <c r="BT384" i="1"/>
  <c r="BA384" i="1"/>
  <c r="AZ407" i="1"/>
  <c r="BS407" i="1"/>
  <c r="AA478" i="1"/>
  <c r="AS478" i="1"/>
  <c r="AQ478" i="1"/>
  <c r="BC478" i="1"/>
  <c r="AR478" i="1"/>
  <c r="AT478" i="1"/>
  <c r="BB478" i="1"/>
  <c r="Y478" i="1"/>
  <c r="Z478" i="1"/>
  <c r="AZ142" i="1"/>
  <c r="BS142" i="1"/>
  <c r="BS360" i="1"/>
  <c r="AZ360" i="1"/>
  <c r="AT169" i="1"/>
  <c r="Y169" i="1"/>
  <c r="Z169" i="1"/>
  <c r="AA169" i="1"/>
  <c r="BB169" i="1"/>
  <c r="AQ169" i="1"/>
  <c r="BC169" i="1"/>
  <c r="AR169" i="1"/>
  <c r="AS169" i="1"/>
  <c r="BC522" i="1"/>
  <c r="AR522" i="1"/>
  <c r="AS522" i="1"/>
  <c r="AT522" i="1"/>
  <c r="Y522" i="1"/>
  <c r="Z522" i="1"/>
  <c r="AA522" i="1"/>
  <c r="BB522" i="1"/>
  <c r="AQ522" i="1"/>
  <c r="BJ219" i="1"/>
  <c r="BV219" i="1"/>
  <c r="BB615" i="1"/>
  <c r="AA615" i="1"/>
  <c r="AT615" i="1"/>
  <c r="AS615" i="1"/>
  <c r="BC615" i="1"/>
  <c r="Y615" i="1"/>
  <c r="Z615" i="1"/>
  <c r="AR615" i="1"/>
  <c r="AQ615" i="1"/>
  <c r="BC470" i="1"/>
  <c r="AR470" i="1"/>
  <c r="AS470" i="1"/>
  <c r="Y470" i="1"/>
  <c r="AT470" i="1"/>
  <c r="BB470" i="1"/>
  <c r="Z470" i="1"/>
  <c r="AA470" i="1"/>
  <c r="AQ470" i="1"/>
  <c r="BS95" i="1"/>
  <c r="AZ95" i="1"/>
  <c r="BA226" i="1"/>
  <c r="BT226" i="1"/>
  <c r="BJ94" i="1"/>
  <c r="BV94" i="1"/>
  <c r="Y549" i="1"/>
  <c r="BC549" i="1"/>
  <c r="Z549" i="1"/>
  <c r="AQ549" i="1"/>
  <c r="AR549" i="1"/>
  <c r="AS549" i="1"/>
  <c r="AT549" i="1"/>
  <c r="BB549" i="1"/>
  <c r="AA549" i="1"/>
  <c r="BT469" i="1"/>
  <c r="BA469" i="1"/>
  <c r="AZ379" i="1"/>
  <c r="BS379" i="1"/>
  <c r="Y25" i="1"/>
  <c r="Z25" i="1"/>
  <c r="AA25" i="1"/>
  <c r="BB25" i="1"/>
  <c r="AQ25" i="1"/>
  <c r="BC25" i="1"/>
  <c r="AR25" i="1"/>
  <c r="AS25" i="1"/>
  <c r="AT25" i="1"/>
  <c r="AT570" i="1"/>
  <c r="BB570" i="1"/>
  <c r="AS570" i="1"/>
  <c r="AQ570" i="1"/>
  <c r="Y570" i="1"/>
  <c r="AR570" i="1"/>
  <c r="Z570" i="1"/>
  <c r="AA570" i="1"/>
  <c r="BC570" i="1"/>
  <c r="AA210" i="1"/>
  <c r="BB210" i="1"/>
  <c r="AQ210" i="1"/>
  <c r="BC210" i="1"/>
  <c r="AR210" i="1"/>
  <c r="AS210" i="1"/>
  <c r="AT210" i="1"/>
  <c r="Y210" i="1"/>
  <c r="Z210" i="1"/>
  <c r="BA317" i="1"/>
  <c r="BT317" i="1"/>
  <c r="AT29" i="1"/>
  <c r="BB29" i="1"/>
  <c r="AQ29" i="1"/>
  <c r="BC29" i="1"/>
  <c r="AR29" i="1"/>
  <c r="AS29" i="1"/>
  <c r="Y29" i="1"/>
  <c r="Z29" i="1"/>
  <c r="AA29" i="1"/>
  <c r="BT266" i="1"/>
  <c r="BA266" i="1"/>
  <c r="BA11" i="1"/>
  <c r="BT11" i="1"/>
  <c r="BA466" i="1"/>
  <c r="BT466" i="1"/>
  <c r="BA528" i="1"/>
  <c r="BT528" i="1"/>
  <c r="AZ200" i="1"/>
  <c r="BS200" i="1"/>
  <c r="AZ331" i="1"/>
  <c r="BS331" i="1"/>
  <c r="AZ399" i="1"/>
  <c r="BS399" i="1"/>
  <c r="BT146" i="1"/>
  <c r="BA146" i="1"/>
  <c r="BA388" i="1"/>
  <c r="BT388" i="1"/>
  <c r="AZ537" i="1"/>
  <c r="BS537" i="1"/>
  <c r="BC465" i="1"/>
  <c r="AR465" i="1"/>
  <c r="AS465" i="1"/>
  <c r="AT465" i="1"/>
  <c r="Y465" i="1"/>
  <c r="AA465" i="1"/>
  <c r="Z465" i="1"/>
  <c r="BB465" i="1"/>
  <c r="AQ465" i="1"/>
  <c r="BS297" i="1"/>
  <c r="AZ297" i="1"/>
  <c r="BT608" i="1"/>
  <c r="BA608" i="1"/>
  <c r="BB8" i="1"/>
  <c r="AQ8" i="1"/>
  <c r="BC8" i="1"/>
  <c r="AR8" i="1"/>
  <c r="AS8" i="1"/>
  <c r="AT8" i="1"/>
  <c r="Y8" i="1"/>
  <c r="Z8" i="1"/>
  <c r="AA8" i="1"/>
  <c r="BS439" i="1"/>
  <c r="AZ439" i="1"/>
  <c r="BS450" i="1"/>
  <c r="AZ450" i="1"/>
  <c r="BB377" i="1"/>
  <c r="AQ377" i="1"/>
  <c r="BC377" i="1"/>
  <c r="AR377" i="1"/>
  <c r="AS377" i="1"/>
  <c r="AT377" i="1"/>
  <c r="Y377" i="1"/>
  <c r="Z377" i="1"/>
  <c r="AA377" i="1"/>
  <c r="BB566" i="1"/>
  <c r="AR566" i="1"/>
  <c r="AS566" i="1"/>
  <c r="AT566" i="1"/>
  <c r="AA566" i="1"/>
  <c r="Y566" i="1"/>
  <c r="BC566" i="1"/>
  <c r="AQ566" i="1"/>
  <c r="Z566" i="1"/>
  <c r="BS98" i="1"/>
  <c r="AZ98" i="1"/>
  <c r="BB456" i="1"/>
  <c r="AQ456" i="1"/>
  <c r="BC456" i="1"/>
  <c r="AR456" i="1"/>
  <c r="AS456" i="1"/>
  <c r="AT456" i="1"/>
  <c r="Y456" i="1"/>
  <c r="Z456" i="1"/>
  <c r="AA456" i="1"/>
  <c r="BS262" i="1"/>
  <c r="AZ262" i="1"/>
  <c r="BS420" i="1"/>
  <c r="AZ420" i="1"/>
  <c r="BC227" i="1"/>
  <c r="AR227" i="1"/>
  <c r="AS227" i="1"/>
  <c r="AT227" i="1"/>
  <c r="Y227" i="1"/>
  <c r="Z227" i="1"/>
  <c r="AA227" i="1"/>
  <c r="BB227" i="1"/>
  <c r="AQ227" i="1"/>
  <c r="BV392" i="1"/>
  <c r="BJ392" i="1"/>
  <c r="BS80" i="1"/>
  <c r="AZ80" i="1"/>
  <c r="BT199" i="1"/>
  <c r="BA199" i="1"/>
  <c r="BT424" i="1"/>
  <c r="BA424" i="1"/>
  <c r="BJ342" i="1"/>
  <c r="BV342" i="1"/>
  <c r="BV306" i="1"/>
  <c r="BJ306" i="1"/>
  <c r="AZ519" i="1"/>
  <c r="BS519" i="1"/>
  <c r="BT63" i="1"/>
  <c r="BA63" i="1"/>
  <c r="AZ180" i="1"/>
  <c r="BS180" i="1"/>
  <c r="AR310" i="1"/>
  <c r="AS310" i="1"/>
  <c r="AT310" i="1"/>
  <c r="Y310" i="1"/>
  <c r="Z310" i="1"/>
  <c r="AA310" i="1"/>
  <c r="BB310" i="1"/>
  <c r="AQ310" i="1"/>
  <c r="BC310" i="1"/>
  <c r="BT72" i="1"/>
  <c r="BA72" i="1"/>
  <c r="Z93" i="1"/>
  <c r="AA93" i="1"/>
  <c r="AQ93" i="1"/>
  <c r="BB93" i="1"/>
  <c r="BC93" i="1"/>
  <c r="AR93" i="1"/>
  <c r="AS93" i="1"/>
  <c r="AT93" i="1"/>
  <c r="Y93" i="1"/>
  <c r="BV188" i="1"/>
  <c r="BJ188" i="1"/>
  <c r="AZ115" i="1"/>
  <c r="BS115" i="1"/>
  <c r="BS581" i="1"/>
  <c r="AZ581" i="1"/>
  <c r="BJ437" i="1"/>
  <c r="BV437" i="1"/>
  <c r="BJ375" i="1"/>
  <c r="BV375" i="1"/>
  <c r="BS386" i="1"/>
  <c r="AZ386" i="1"/>
  <c r="BS196" i="1"/>
  <c r="AZ196" i="1"/>
  <c r="BC263" i="1"/>
  <c r="AR263" i="1"/>
  <c r="AT263" i="1"/>
  <c r="Z263" i="1"/>
  <c r="AA263" i="1"/>
  <c r="AS263" i="1"/>
  <c r="Y263" i="1"/>
  <c r="BB263" i="1"/>
  <c r="AQ263" i="1"/>
  <c r="BJ316" i="1"/>
  <c r="BV316" i="1"/>
  <c r="BT333" i="1"/>
  <c r="BA333" i="1"/>
  <c r="BS85" i="1"/>
  <c r="AZ85" i="1"/>
  <c r="BA475" i="1"/>
  <c r="BT475" i="1"/>
  <c r="Y53" i="1"/>
  <c r="Z53" i="1"/>
  <c r="AR53" i="1"/>
  <c r="AA53" i="1"/>
  <c r="AQ53" i="1"/>
  <c r="BC53" i="1"/>
  <c r="BB53" i="1"/>
  <c r="AT53" i="1"/>
  <c r="AS53" i="1"/>
  <c r="BA159" i="1"/>
  <c r="BT159" i="1"/>
  <c r="BT324" i="1"/>
  <c r="BA324" i="1"/>
  <c r="BJ394" i="1"/>
  <c r="BV394" i="1"/>
  <c r="BA76" i="1"/>
  <c r="BT76" i="1"/>
  <c r="BV124" i="1"/>
  <c r="BJ124" i="1"/>
  <c r="AT247" i="1"/>
  <c r="AA247" i="1"/>
  <c r="BB247" i="1"/>
  <c r="AQ247" i="1"/>
  <c r="BC247" i="1"/>
  <c r="AR247" i="1"/>
  <c r="AS247" i="1"/>
  <c r="Y247" i="1"/>
  <c r="Z247" i="1"/>
  <c r="BT604" i="1"/>
  <c r="BA604" i="1"/>
  <c r="AZ498" i="1"/>
  <c r="BS498" i="1"/>
  <c r="AZ533" i="1"/>
  <c r="BS533" i="1"/>
  <c r="BA327" i="1"/>
  <c r="BT327" i="1"/>
  <c r="AR230" i="1"/>
  <c r="AA230" i="1"/>
  <c r="Z230" i="1"/>
  <c r="BC230" i="1"/>
  <c r="AQ230" i="1"/>
  <c r="AT230" i="1"/>
  <c r="AS230" i="1"/>
  <c r="Y230" i="1"/>
  <c r="BB230" i="1"/>
  <c r="BA22" i="1"/>
  <c r="BT22" i="1"/>
  <c r="BT589" i="1"/>
  <c r="BA589" i="1"/>
  <c r="BJ527" i="1"/>
  <c r="BV527" i="1"/>
  <c r="AZ229" i="1"/>
  <c r="BS229" i="1"/>
  <c r="BT328" i="1"/>
  <c r="BA328" i="1"/>
  <c r="BA114" i="1"/>
  <c r="BT114" i="1"/>
  <c r="BT422" i="1"/>
  <c r="BA422" i="1"/>
  <c r="BB599" i="1"/>
  <c r="AS599" i="1"/>
  <c r="AQ599" i="1"/>
  <c r="Z599" i="1"/>
  <c r="BC599" i="1"/>
  <c r="AA599" i="1"/>
  <c r="Y599" i="1"/>
  <c r="AR599" i="1"/>
  <c r="AT599" i="1"/>
  <c r="BT131" i="1"/>
  <c r="BA131" i="1"/>
  <c r="BC292" i="1"/>
  <c r="AR292" i="1"/>
  <c r="AS292" i="1"/>
  <c r="AT292" i="1"/>
  <c r="Y292" i="1"/>
  <c r="Z292" i="1"/>
  <c r="BB292" i="1"/>
  <c r="AA292" i="1"/>
  <c r="AQ292" i="1"/>
  <c r="AR541" i="1"/>
  <c r="BB541" i="1"/>
  <c r="Y541" i="1"/>
  <c r="AQ541" i="1"/>
  <c r="BC541" i="1"/>
  <c r="AS541" i="1"/>
  <c r="AT541" i="1"/>
  <c r="Z541" i="1"/>
  <c r="AA541" i="1"/>
  <c r="BJ496" i="1"/>
  <c r="BV496" i="1"/>
  <c r="AA341" i="1"/>
  <c r="BC341" i="1"/>
  <c r="AT341" i="1"/>
  <c r="AS341" i="1"/>
  <c r="AR341" i="1"/>
  <c r="BB341" i="1"/>
  <c r="AQ341" i="1"/>
  <c r="Z341" i="1"/>
  <c r="Y341" i="1"/>
  <c r="AT218" i="1"/>
  <c r="Y218" i="1"/>
  <c r="AS218" i="1"/>
  <c r="Z218" i="1"/>
  <c r="AA218" i="1"/>
  <c r="BB218" i="1"/>
  <c r="AQ218" i="1"/>
  <c r="BC218" i="1"/>
  <c r="AR218" i="1"/>
  <c r="AZ516" i="1"/>
  <c r="BS516" i="1"/>
  <c r="BJ430" i="1"/>
  <c r="BV430" i="1"/>
  <c r="BJ609" i="1"/>
  <c r="BV609" i="1"/>
  <c r="BJ429" i="1"/>
  <c r="BV429" i="1"/>
  <c r="BS261" i="1"/>
  <c r="AZ261" i="1"/>
  <c r="AZ373" i="1"/>
  <c r="BS373" i="1"/>
  <c r="Y605" i="1"/>
  <c r="Z605" i="1"/>
  <c r="AQ605" i="1"/>
  <c r="BB605" i="1"/>
  <c r="BC605" i="1"/>
  <c r="AR605" i="1"/>
  <c r="AS605" i="1"/>
  <c r="AT605" i="1"/>
  <c r="AA605" i="1"/>
  <c r="BT125" i="1"/>
  <c r="BA125" i="1"/>
  <c r="BC410" i="1"/>
  <c r="AR410" i="1"/>
  <c r="AS410" i="1"/>
  <c r="AT410" i="1"/>
  <c r="Y410" i="1"/>
  <c r="Z410" i="1"/>
  <c r="AA410" i="1"/>
  <c r="BB410" i="1"/>
  <c r="AQ410" i="1"/>
  <c r="AZ334" i="1"/>
  <c r="BS334" i="1"/>
  <c r="BJ24" i="1"/>
  <c r="BV24" i="1"/>
  <c r="BJ477" i="1"/>
  <c r="BV477" i="1"/>
  <c r="BT505" i="1"/>
  <c r="BA505" i="1"/>
  <c r="Y368" i="1"/>
  <c r="Z368" i="1"/>
  <c r="AS368" i="1"/>
  <c r="AQ368" i="1"/>
  <c r="BC368" i="1"/>
  <c r="AR368" i="1"/>
  <c r="AA368" i="1"/>
  <c r="AT368" i="1"/>
  <c r="BB368" i="1"/>
  <c r="AZ391" i="1"/>
  <c r="BS391" i="1"/>
  <c r="Y488" i="1"/>
  <c r="Z488" i="1"/>
  <c r="AQ488" i="1"/>
  <c r="BB488" i="1"/>
  <c r="BC488" i="1"/>
  <c r="AR488" i="1"/>
  <c r="AA488" i="1"/>
  <c r="AS488" i="1"/>
  <c r="AT488" i="1"/>
  <c r="AR474" i="1"/>
  <c r="Z474" i="1"/>
  <c r="AT474" i="1"/>
  <c r="AS474" i="1"/>
  <c r="Y474" i="1"/>
  <c r="AA474" i="1"/>
  <c r="BB474" i="1"/>
  <c r="AQ474" i="1"/>
  <c r="BC474" i="1"/>
  <c r="AZ270" i="1"/>
  <c r="BS270" i="1"/>
  <c r="AA495" i="1"/>
  <c r="BB495" i="1"/>
  <c r="AQ495" i="1"/>
  <c r="BC495" i="1"/>
  <c r="AR495" i="1"/>
  <c r="AS495" i="1"/>
  <c r="AT495" i="1"/>
  <c r="Y495" i="1"/>
  <c r="Z495" i="1"/>
  <c r="BT590" i="1"/>
  <c r="BA590" i="1"/>
  <c r="BS384" i="1"/>
  <c r="AZ384" i="1"/>
  <c r="BV493" i="1"/>
  <c r="BJ493" i="1"/>
  <c r="BJ448" i="1"/>
  <c r="BV448" i="1"/>
  <c r="BA511" i="1"/>
  <c r="BT511" i="1"/>
  <c r="BA522" i="1"/>
  <c r="BT522" i="1"/>
  <c r="BT366" i="1"/>
  <c r="BA366" i="1"/>
  <c r="BT470" i="1"/>
  <c r="BA470" i="1"/>
  <c r="AR108" i="1"/>
  <c r="Y108" i="1"/>
  <c r="BB108" i="1"/>
  <c r="AS108" i="1"/>
  <c r="AT108" i="1"/>
  <c r="Z108" i="1"/>
  <c r="AA108" i="1"/>
  <c r="AQ108" i="1"/>
  <c r="BC108" i="1"/>
  <c r="BS309" i="1"/>
  <c r="AZ309" i="1"/>
  <c r="BB320" i="1"/>
  <c r="AQ320" i="1"/>
  <c r="BC320" i="1"/>
  <c r="AR320" i="1"/>
  <c r="AS320" i="1"/>
  <c r="AT320" i="1"/>
  <c r="Y320" i="1"/>
  <c r="AA320" i="1"/>
  <c r="Z320" i="1"/>
  <c r="BB509" i="1"/>
  <c r="AA509" i="1"/>
  <c r="AQ509" i="1"/>
  <c r="BC509" i="1"/>
  <c r="Y509" i="1"/>
  <c r="Z509" i="1"/>
  <c r="AR509" i="1"/>
  <c r="AS509" i="1"/>
  <c r="AT509" i="1"/>
  <c r="BS317" i="1"/>
  <c r="AZ317" i="1"/>
  <c r="BS255" i="1"/>
  <c r="AZ255" i="1"/>
  <c r="BS266" i="1"/>
  <c r="AZ266" i="1"/>
  <c r="Y11" i="1"/>
  <c r="Z11" i="1"/>
  <c r="AA11" i="1"/>
  <c r="BB11" i="1"/>
  <c r="AQ11" i="1"/>
  <c r="BC11" i="1"/>
  <c r="AR11" i="1"/>
  <c r="AS11" i="1"/>
  <c r="AT11" i="1"/>
  <c r="BB16" i="1"/>
  <c r="Z16" i="1"/>
  <c r="AA16" i="1"/>
  <c r="AQ16" i="1"/>
  <c r="BC16" i="1"/>
  <c r="AR16" i="1"/>
  <c r="AT16" i="1"/>
  <c r="Y16" i="1"/>
  <c r="AS16" i="1"/>
  <c r="AZ528" i="1"/>
  <c r="BS528" i="1"/>
  <c r="BC325" i="1"/>
  <c r="AR325" i="1"/>
  <c r="AS325" i="1"/>
  <c r="Y325" i="1"/>
  <c r="AT325" i="1"/>
  <c r="Z325" i="1"/>
  <c r="AA325" i="1"/>
  <c r="BB325" i="1"/>
  <c r="AQ325" i="1"/>
  <c r="AS200" i="1"/>
  <c r="AT200" i="1"/>
  <c r="Y200" i="1"/>
  <c r="Z200" i="1"/>
  <c r="AA200" i="1"/>
  <c r="BB200" i="1"/>
  <c r="AQ200" i="1"/>
  <c r="BC200" i="1"/>
  <c r="AR200" i="1"/>
  <c r="BT331" i="1"/>
  <c r="BA331" i="1"/>
  <c r="Z460" i="1"/>
  <c r="AA460" i="1"/>
  <c r="BB460" i="1"/>
  <c r="AQ460" i="1"/>
  <c r="BC460" i="1"/>
  <c r="AR460" i="1"/>
  <c r="AS460" i="1"/>
  <c r="AT460" i="1"/>
  <c r="Y460" i="1"/>
  <c r="BJ6" i="1"/>
  <c r="BV6" i="1"/>
  <c r="BV593" i="1"/>
  <c r="BJ593" i="1"/>
  <c r="AR399" i="1"/>
  <c r="AA399" i="1"/>
  <c r="BC399" i="1"/>
  <c r="BB399" i="1"/>
  <c r="Z399" i="1"/>
  <c r="AQ399" i="1"/>
  <c r="Y399" i="1"/>
  <c r="AS399" i="1"/>
  <c r="AT399" i="1"/>
  <c r="BS146" i="1"/>
  <c r="AZ146" i="1"/>
  <c r="BB83" i="1"/>
  <c r="BC83" i="1"/>
  <c r="AQ83" i="1"/>
  <c r="AS83" i="1"/>
  <c r="AT83" i="1"/>
  <c r="AR83" i="1"/>
  <c r="Y83" i="1"/>
  <c r="Z83" i="1"/>
  <c r="AA83" i="1"/>
  <c r="AZ388" i="1"/>
  <c r="BS388" i="1"/>
  <c r="BJ419" i="1"/>
  <c r="BV419" i="1"/>
  <c r="BA465" i="1"/>
  <c r="BT465" i="1"/>
  <c r="BJ385" i="1"/>
  <c r="BV385" i="1"/>
  <c r="BA416" i="1"/>
  <c r="BT416" i="1"/>
  <c r="BT562" i="1"/>
  <c r="BA562" i="1"/>
  <c r="Y420" i="1"/>
  <c r="BB420" i="1"/>
  <c r="AQ420" i="1"/>
  <c r="AR420" i="1"/>
  <c r="AT420" i="1"/>
  <c r="Z420" i="1"/>
  <c r="AA420" i="1"/>
  <c r="BC420" i="1"/>
  <c r="AS420" i="1"/>
  <c r="BJ489" i="1"/>
  <c r="BV489" i="1"/>
  <c r="BT289" i="1"/>
  <c r="BA289" i="1"/>
  <c r="BB199" i="1"/>
  <c r="AQ199" i="1"/>
  <c r="BC199" i="1"/>
  <c r="AS199" i="1"/>
  <c r="AR199" i="1"/>
  <c r="AT199" i="1"/>
  <c r="AA199" i="1"/>
  <c r="Y199" i="1"/>
  <c r="Z199" i="1"/>
  <c r="BS424" i="1"/>
  <c r="AZ424" i="1"/>
  <c r="BJ97" i="1"/>
  <c r="BV97" i="1"/>
  <c r="BJ485" i="1"/>
  <c r="BV485" i="1"/>
  <c r="BB387" i="1"/>
  <c r="AQ387" i="1"/>
  <c r="BC387" i="1"/>
  <c r="AR387" i="1"/>
  <c r="AS387" i="1"/>
  <c r="AT387" i="1"/>
  <c r="Y387" i="1"/>
  <c r="Z387" i="1"/>
  <c r="AA387" i="1"/>
  <c r="BB63" i="1"/>
  <c r="AR63" i="1"/>
  <c r="AS63" i="1"/>
  <c r="Y63" i="1"/>
  <c r="AQ63" i="1"/>
  <c r="BC63" i="1"/>
  <c r="Z63" i="1"/>
  <c r="AA63" i="1"/>
  <c r="AT63" i="1"/>
  <c r="BB26" i="1"/>
  <c r="AQ26" i="1"/>
  <c r="BC26" i="1"/>
  <c r="AR26" i="1"/>
  <c r="AS26" i="1"/>
  <c r="AT26" i="1"/>
  <c r="Y26" i="1"/>
  <c r="Z26" i="1"/>
  <c r="AA26" i="1"/>
  <c r="BS167" i="1"/>
  <c r="AZ167" i="1"/>
  <c r="BT100" i="1"/>
  <c r="BA100" i="1"/>
  <c r="BS72" i="1"/>
  <c r="AZ72" i="1"/>
  <c r="BT393" i="1"/>
  <c r="BA393" i="1"/>
  <c r="AZ165" i="1"/>
  <c r="BS165" i="1"/>
  <c r="AZ535" i="1"/>
  <c r="BS535" i="1"/>
  <c r="Y115" i="1"/>
  <c r="BB115" i="1"/>
  <c r="AA115" i="1"/>
  <c r="AQ115" i="1"/>
  <c r="BC115" i="1"/>
  <c r="AS115" i="1"/>
  <c r="Z115" i="1"/>
  <c r="AR115" i="1"/>
  <c r="AT115" i="1"/>
  <c r="BB517" i="1"/>
  <c r="AR517" i="1"/>
  <c r="BC517" i="1"/>
  <c r="Y517" i="1"/>
  <c r="AA517" i="1"/>
  <c r="Z517" i="1"/>
  <c r="AS517" i="1"/>
  <c r="AT517" i="1"/>
  <c r="AQ517" i="1"/>
  <c r="BV510" i="1"/>
  <c r="BJ510" i="1"/>
  <c r="BB581" i="1"/>
  <c r="Z581" i="1"/>
  <c r="AS581" i="1"/>
  <c r="BC581" i="1"/>
  <c r="Y581" i="1"/>
  <c r="AT581" i="1"/>
  <c r="AA581" i="1"/>
  <c r="AR581" i="1"/>
  <c r="AQ581" i="1"/>
  <c r="BJ555" i="1"/>
  <c r="BV555" i="1"/>
  <c r="Y339" i="1"/>
  <c r="Z339" i="1"/>
  <c r="AA339" i="1"/>
  <c r="BB339" i="1"/>
  <c r="AQ339" i="1"/>
  <c r="BC339" i="1"/>
  <c r="AR339" i="1"/>
  <c r="AS339" i="1"/>
  <c r="AT339" i="1"/>
  <c r="BT386" i="1"/>
  <c r="BA386" i="1"/>
  <c r="AZ250" i="1"/>
  <c r="BS250" i="1"/>
  <c r="AA333" i="1"/>
  <c r="BB333" i="1"/>
  <c r="Y333" i="1"/>
  <c r="Z333" i="1"/>
  <c r="AS333" i="1"/>
  <c r="AT333" i="1"/>
  <c r="AQ333" i="1"/>
  <c r="BC333" i="1"/>
  <c r="AR333" i="1"/>
  <c r="BT55" i="1"/>
  <c r="BA55" i="1"/>
  <c r="BJ244" i="1"/>
  <c r="BV244" i="1"/>
  <c r="BJ252" i="1"/>
  <c r="BV252" i="1"/>
  <c r="AZ358" i="1"/>
  <c r="BS358" i="1"/>
  <c r="BT563" i="1"/>
  <c r="BA563" i="1"/>
  <c r="AA81" i="1"/>
  <c r="BB81" i="1"/>
  <c r="BC81" i="1"/>
  <c r="AQ81" i="1"/>
  <c r="AR81" i="1"/>
  <c r="AS81" i="1"/>
  <c r="AT81" i="1"/>
  <c r="Y81" i="1"/>
  <c r="Z81" i="1"/>
  <c r="Z152" i="1"/>
  <c r="AA152" i="1"/>
  <c r="BB152" i="1"/>
  <c r="AQ152" i="1"/>
  <c r="BC152" i="1"/>
  <c r="AR152" i="1"/>
  <c r="AS152" i="1"/>
  <c r="AT152" i="1"/>
  <c r="Y152" i="1"/>
  <c r="AZ604" i="1"/>
  <c r="BS604" i="1"/>
  <c r="BT217" i="1"/>
  <c r="BA217" i="1"/>
  <c r="BA498" i="1"/>
  <c r="BT498" i="1"/>
  <c r="BJ78" i="1"/>
  <c r="BV78" i="1"/>
  <c r="BS230" i="1"/>
  <c r="AZ230" i="1"/>
  <c r="BS600" i="1"/>
  <c r="AZ600" i="1"/>
  <c r="BJ621" i="1"/>
  <c r="BV621" i="1"/>
  <c r="BA61" i="1"/>
  <c r="BT61" i="1"/>
  <c r="BC463" i="1"/>
  <c r="AR463" i="1"/>
  <c r="AS463" i="1"/>
  <c r="AT463" i="1"/>
  <c r="Y463" i="1"/>
  <c r="Z463" i="1"/>
  <c r="AA463" i="1"/>
  <c r="BB463" i="1"/>
  <c r="AQ463" i="1"/>
  <c r="BV187" i="1"/>
  <c r="BJ187" i="1"/>
  <c r="BS328" i="1"/>
  <c r="AZ328" i="1"/>
  <c r="BT423" i="1"/>
  <c r="BA423" i="1"/>
  <c r="BJ87" i="1"/>
  <c r="BV87" i="1"/>
  <c r="BJ338" i="1"/>
  <c r="BV338" i="1"/>
  <c r="AZ359" i="1"/>
  <c r="BS359" i="1"/>
  <c r="Y140" i="1"/>
  <c r="AS140" i="1"/>
  <c r="AT140" i="1"/>
  <c r="BB140" i="1"/>
  <c r="AQ140" i="1"/>
  <c r="BC140" i="1"/>
  <c r="AR140" i="1"/>
  <c r="Z140" i="1"/>
  <c r="AA140" i="1"/>
  <c r="BA235" i="1"/>
  <c r="BT235" i="1"/>
  <c r="BS594" i="1"/>
  <c r="AZ594" i="1"/>
  <c r="BT330" i="1"/>
  <c r="BA330" i="1"/>
  <c r="Z315" i="1"/>
  <c r="AA315" i="1"/>
  <c r="BB315" i="1"/>
  <c r="AQ315" i="1"/>
  <c r="BC315" i="1"/>
  <c r="AR315" i="1"/>
  <c r="AS315" i="1"/>
  <c r="AT315" i="1"/>
  <c r="Y315" i="1"/>
  <c r="AS154" i="1"/>
  <c r="AT154" i="1"/>
  <c r="Y154" i="1"/>
  <c r="Z154" i="1"/>
  <c r="AA154" i="1"/>
  <c r="BB154" i="1"/>
  <c r="AQ154" i="1"/>
  <c r="BC154" i="1"/>
  <c r="AR154" i="1"/>
  <c r="BV70" i="1"/>
  <c r="BJ70" i="1"/>
  <c r="BJ361" i="1"/>
  <c r="BV361" i="1"/>
  <c r="BA576" i="1"/>
  <c r="BT576" i="1"/>
  <c r="BJ288" i="1"/>
  <c r="BV288" i="1"/>
  <c r="BV513" i="1"/>
  <c r="BJ513" i="1"/>
  <c r="BJ343" i="1"/>
  <c r="BV343" i="1"/>
  <c r="BJ295" i="1"/>
  <c r="BV295" i="1"/>
  <c r="AQ484" i="1"/>
  <c r="Z484" i="1"/>
  <c r="BB484" i="1"/>
  <c r="AS484" i="1"/>
  <c r="Y484" i="1"/>
  <c r="AR484" i="1"/>
  <c r="BC484" i="1"/>
  <c r="AA484" i="1"/>
  <c r="AT484" i="1"/>
  <c r="BA605" i="1"/>
  <c r="BT605" i="1"/>
  <c r="BS125" i="1"/>
  <c r="AZ125" i="1"/>
  <c r="Y542" i="1"/>
  <c r="AA542" i="1"/>
  <c r="AQ542" i="1"/>
  <c r="BC542" i="1"/>
  <c r="AR542" i="1"/>
  <c r="AT542" i="1"/>
  <c r="Z542" i="1"/>
  <c r="AS542" i="1"/>
  <c r="BB542" i="1"/>
  <c r="BA410" i="1"/>
  <c r="BT410" i="1"/>
  <c r="BS119" i="1"/>
  <c r="AZ119" i="1"/>
  <c r="AQ268" i="1"/>
  <c r="BC268" i="1"/>
  <c r="AR268" i="1"/>
  <c r="BB268" i="1"/>
  <c r="Y268" i="1"/>
  <c r="Z268" i="1"/>
  <c r="AS268" i="1"/>
  <c r="AT268" i="1"/>
  <c r="AA268" i="1"/>
  <c r="BT179" i="1"/>
  <c r="BA179" i="1"/>
  <c r="BS368" i="1"/>
  <c r="AZ368" i="1"/>
  <c r="BT391" i="1"/>
  <c r="BA391" i="1"/>
  <c r="BT474" i="1"/>
  <c r="BA474" i="1"/>
  <c r="BS267" i="1"/>
  <c r="AZ267" i="1"/>
  <c r="BT52" i="1"/>
  <c r="BA52" i="1"/>
  <c r="Y384" i="1"/>
  <c r="AS384" i="1"/>
  <c r="BB384" i="1"/>
  <c r="AQ384" i="1"/>
  <c r="BC384" i="1"/>
  <c r="AR384" i="1"/>
  <c r="AT384" i="1"/>
  <c r="Z384" i="1"/>
  <c r="AA384" i="1"/>
  <c r="Z35" i="1"/>
  <c r="AR35" i="1"/>
  <c r="AS35" i="1"/>
  <c r="AT35" i="1"/>
  <c r="AQ35" i="1"/>
  <c r="BC35" i="1"/>
  <c r="AA35" i="1"/>
  <c r="BB35" i="1"/>
  <c r="Y35" i="1"/>
  <c r="BA478" i="1"/>
  <c r="BT478" i="1"/>
  <c r="BS511" i="1"/>
  <c r="AZ511" i="1"/>
  <c r="BS366" i="1"/>
  <c r="AZ366" i="1"/>
  <c r="BJ351" i="1"/>
  <c r="BV351" i="1"/>
  <c r="BA615" i="1"/>
  <c r="BT615" i="1"/>
  <c r="BV398" i="1"/>
  <c r="BJ398" i="1"/>
  <c r="BA526" i="1"/>
  <c r="BT526" i="1"/>
  <c r="Z226" i="1"/>
  <c r="AA226" i="1"/>
  <c r="BB226" i="1"/>
  <c r="AR226" i="1"/>
  <c r="AS226" i="1"/>
  <c r="AT226" i="1"/>
  <c r="AQ226" i="1"/>
  <c r="BC226" i="1"/>
  <c r="Y226" i="1"/>
  <c r="AS503" i="1"/>
  <c r="AT503" i="1"/>
  <c r="Y503" i="1"/>
  <c r="Z503" i="1"/>
  <c r="AA503" i="1"/>
  <c r="AQ503" i="1"/>
  <c r="BC503" i="1"/>
  <c r="AR503" i="1"/>
  <c r="BB503" i="1"/>
  <c r="BJ23" i="1"/>
  <c r="BV23" i="1"/>
  <c r="BA549" i="1"/>
  <c r="BT549" i="1"/>
  <c r="BT309" i="1"/>
  <c r="BA309" i="1"/>
  <c r="BJ232" i="1"/>
  <c r="BV232" i="1"/>
  <c r="BB404" i="1"/>
  <c r="AQ404" i="1"/>
  <c r="BC404" i="1"/>
  <c r="AR404" i="1"/>
  <c r="AS404" i="1"/>
  <c r="AT404" i="1"/>
  <c r="Y404" i="1"/>
  <c r="Z404" i="1"/>
  <c r="AA404" i="1"/>
  <c r="BA320" i="1"/>
  <c r="BT320" i="1"/>
  <c r="BS595" i="1"/>
  <c r="AZ595" i="1"/>
  <c r="BA25" i="1"/>
  <c r="BT25" i="1"/>
  <c r="BA509" i="1"/>
  <c r="BT509" i="1"/>
  <c r="BT29" i="1"/>
  <c r="BA29" i="1"/>
  <c r="BJ483" i="1"/>
  <c r="BV483" i="1"/>
  <c r="BT255" i="1"/>
  <c r="BA255" i="1"/>
  <c r="BA480" i="1"/>
  <c r="BT480" i="1"/>
  <c r="AZ11" i="1"/>
  <c r="BS11" i="1"/>
  <c r="BA444" i="1"/>
  <c r="BT444" i="1"/>
  <c r="BA192" i="1"/>
  <c r="BT192" i="1"/>
  <c r="AQ211" i="1"/>
  <c r="BC211" i="1"/>
  <c r="Z211" i="1"/>
  <c r="AA211" i="1"/>
  <c r="BB211" i="1"/>
  <c r="AR211" i="1"/>
  <c r="AS211" i="1"/>
  <c r="AT211" i="1"/>
  <c r="Y211" i="1"/>
  <c r="Y354" i="1"/>
  <c r="Z354" i="1"/>
  <c r="AA354" i="1"/>
  <c r="BB354" i="1"/>
  <c r="AQ354" i="1"/>
  <c r="BC354" i="1"/>
  <c r="AR354" i="1"/>
  <c r="AS354" i="1"/>
  <c r="AT354" i="1"/>
  <c r="BJ447" i="1"/>
  <c r="BV447" i="1"/>
  <c r="BT518" i="1"/>
  <c r="BA518" i="1"/>
  <c r="BA83" i="1"/>
  <c r="BT83" i="1"/>
  <c r="BA406" i="1"/>
  <c r="BT406" i="1"/>
  <c r="AR160" i="1"/>
  <c r="BB160" i="1"/>
  <c r="Y160" i="1"/>
  <c r="Z160" i="1"/>
  <c r="AS160" i="1"/>
  <c r="AT160" i="1"/>
  <c r="AA160" i="1"/>
  <c r="AQ160" i="1"/>
  <c r="BC160" i="1"/>
  <c r="BT491" i="1"/>
  <c r="BA491" i="1"/>
  <c r="AZ465" i="1"/>
  <c r="BS465" i="1"/>
  <c r="AZ177" i="1"/>
  <c r="BS177" i="1"/>
  <c r="BJ272" i="1"/>
  <c r="BV272" i="1"/>
  <c r="AZ8" i="1"/>
  <c r="BS8" i="1"/>
  <c r="BA271" i="1"/>
  <c r="BT271" i="1"/>
  <c r="BT277" i="1"/>
  <c r="BA277" i="1"/>
  <c r="AZ416" i="1"/>
  <c r="BS416" i="1"/>
  <c r="BS377" i="1"/>
  <c r="AZ377" i="1"/>
  <c r="AZ566" i="1"/>
  <c r="BS566" i="1"/>
  <c r="BA456" i="1"/>
  <c r="BT456" i="1"/>
  <c r="AZ562" i="1"/>
  <c r="BS562" i="1"/>
  <c r="AZ168" i="1"/>
  <c r="BS168" i="1"/>
  <c r="BT227" i="1"/>
  <c r="BA227" i="1"/>
  <c r="BS289" i="1"/>
  <c r="AZ289" i="1"/>
  <c r="BT487" i="1"/>
  <c r="BA487" i="1"/>
  <c r="BT65" i="1"/>
  <c r="BA65" i="1"/>
  <c r="BT171" i="1"/>
  <c r="BA171" i="1"/>
  <c r="BB506" i="1"/>
  <c r="Y506" i="1"/>
  <c r="AA506" i="1"/>
  <c r="AQ506" i="1"/>
  <c r="BC506" i="1"/>
  <c r="AR506" i="1"/>
  <c r="Z506" i="1"/>
  <c r="AS506" i="1"/>
  <c r="AT506" i="1"/>
  <c r="AQ59" i="1"/>
  <c r="AR59" i="1"/>
  <c r="BB59" i="1"/>
  <c r="AS59" i="1"/>
  <c r="Y59" i="1"/>
  <c r="BC59" i="1"/>
  <c r="AT59" i="1"/>
  <c r="Z59" i="1"/>
  <c r="AA59" i="1"/>
  <c r="BT310" i="1"/>
  <c r="BA310" i="1"/>
  <c r="Y100" i="1"/>
  <c r="Z100" i="1"/>
  <c r="BB100" i="1"/>
  <c r="AA100" i="1"/>
  <c r="BC100" i="1"/>
  <c r="AQ100" i="1"/>
  <c r="AR100" i="1"/>
  <c r="AS100" i="1"/>
  <c r="AT100" i="1"/>
  <c r="AS585" i="1"/>
  <c r="AT585" i="1"/>
  <c r="Y585" i="1"/>
  <c r="Z585" i="1"/>
  <c r="AA585" i="1"/>
  <c r="BB585" i="1"/>
  <c r="AQ585" i="1"/>
  <c r="BC585" i="1"/>
  <c r="AR585" i="1"/>
  <c r="BS393" i="1"/>
  <c r="AZ393" i="1"/>
  <c r="BJ584" i="1"/>
  <c r="BV584" i="1"/>
  <c r="BS517" i="1"/>
  <c r="AZ517" i="1"/>
  <c r="BJ390" i="1"/>
  <c r="BV390" i="1"/>
  <c r="BV269" i="1"/>
  <c r="BJ269" i="1"/>
  <c r="BT339" i="1"/>
  <c r="BA339" i="1"/>
  <c r="BT564" i="1"/>
  <c r="BA564" i="1"/>
  <c r="BT263" i="1"/>
  <c r="BA263" i="1"/>
  <c r="BJ622" i="1"/>
  <c r="BV622" i="1"/>
  <c r="BA250" i="1"/>
  <c r="BT250" i="1"/>
  <c r="BJ396" i="1"/>
  <c r="BV396" i="1"/>
  <c r="BJ525" i="1"/>
  <c r="BV525" i="1"/>
  <c r="Y85" i="1"/>
  <c r="BC85" i="1"/>
  <c r="AQ85" i="1"/>
  <c r="BB85" i="1"/>
  <c r="AS85" i="1"/>
  <c r="AT85" i="1"/>
  <c r="AR85" i="1"/>
  <c r="AA85" i="1"/>
  <c r="Z85" i="1"/>
  <c r="BS475" i="1"/>
  <c r="AZ475" i="1"/>
  <c r="BS294" i="1"/>
  <c r="AZ294" i="1"/>
  <c r="Y434" i="1"/>
  <c r="Z434" i="1"/>
  <c r="AS434" i="1"/>
  <c r="AT434" i="1"/>
  <c r="BB434" i="1"/>
  <c r="AA434" i="1"/>
  <c r="AQ434" i="1"/>
  <c r="BC434" i="1"/>
  <c r="AR434" i="1"/>
  <c r="BV134" i="1"/>
  <c r="BJ134" i="1"/>
  <c r="BT60" i="1"/>
  <c r="BA60" i="1"/>
  <c r="BA515" i="1"/>
  <c r="BT515" i="1"/>
  <c r="AR358" i="1"/>
  <c r="AT358" i="1"/>
  <c r="AA358" i="1"/>
  <c r="AQ358" i="1"/>
  <c r="AS358" i="1"/>
  <c r="Y358" i="1"/>
  <c r="Z358" i="1"/>
  <c r="BB358" i="1"/>
  <c r="BC358" i="1"/>
  <c r="BA441" i="1"/>
  <c r="BT441" i="1"/>
  <c r="AZ81" i="1"/>
  <c r="BS81" i="1"/>
  <c r="AZ247" i="1"/>
  <c r="BS247" i="1"/>
  <c r="BJ7" i="1"/>
  <c r="BV7" i="1"/>
  <c r="AR112" i="1"/>
  <c r="BB112" i="1"/>
  <c r="Y112" i="1"/>
  <c r="BC112" i="1"/>
  <c r="AQ112" i="1"/>
  <c r="AS112" i="1"/>
  <c r="AT112" i="1"/>
  <c r="Z112" i="1"/>
  <c r="AA112" i="1"/>
  <c r="BJ231" i="1"/>
  <c r="BV231" i="1"/>
  <c r="BJ14" i="1"/>
  <c r="BV14" i="1"/>
  <c r="BS239" i="1"/>
  <c r="AZ239" i="1"/>
  <c r="AZ22" i="1"/>
  <c r="BS22" i="1"/>
  <c r="Y600" i="1"/>
  <c r="Z600" i="1"/>
  <c r="BB600" i="1"/>
  <c r="AA600" i="1"/>
  <c r="AS600" i="1"/>
  <c r="AQ600" i="1"/>
  <c r="AT600" i="1"/>
  <c r="BC600" i="1"/>
  <c r="AR600" i="1"/>
  <c r="AZ61" i="1"/>
  <c r="BS61" i="1"/>
  <c r="BS423" i="1"/>
  <c r="AZ423" i="1"/>
  <c r="AZ422" i="1"/>
  <c r="BS422" i="1"/>
  <c r="BT599" i="1"/>
  <c r="BA599" i="1"/>
  <c r="BT292" i="1"/>
  <c r="BA292" i="1"/>
  <c r="BA359" i="1"/>
  <c r="BT359" i="1"/>
  <c r="BV369" i="1"/>
  <c r="BJ369" i="1"/>
  <c r="BT560" i="1"/>
  <c r="BA560" i="1"/>
  <c r="BS235" i="1"/>
  <c r="AZ235" i="1"/>
  <c r="BV91" i="1"/>
  <c r="BJ91" i="1"/>
  <c r="Y594" i="1"/>
  <c r="Z594" i="1"/>
  <c r="AS594" i="1"/>
  <c r="AT594" i="1"/>
  <c r="AA594" i="1"/>
  <c r="AQ594" i="1"/>
  <c r="BC594" i="1"/>
  <c r="AR594" i="1"/>
  <c r="BB594" i="1"/>
  <c r="BB330" i="1"/>
  <c r="Y330" i="1"/>
  <c r="AS330" i="1"/>
  <c r="AQ330" i="1"/>
  <c r="Z330" i="1"/>
  <c r="BC330" i="1"/>
  <c r="AR330" i="1"/>
  <c r="AT330" i="1"/>
  <c r="AA330" i="1"/>
  <c r="AZ89" i="1"/>
  <c r="BS89" i="1"/>
  <c r="BJ579" i="1"/>
  <c r="BV579" i="1"/>
  <c r="BJ411" i="1"/>
  <c r="BV411" i="1"/>
  <c r="AZ218" i="1"/>
  <c r="BS218" i="1"/>
  <c r="BV74" i="1"/>
  <c r="BJ74" i="1"/>
  <c r="BT228" i="1"/>
  <c r="BA228" i="1"/>
  <c r="BJ215" i="1"/>
  <c r="BV215" i="1"/>
  <c r="BS576" i="1"/>
  <c r="AZ576" i="1"/>
  <c r="BT193" i="1"/>
  <c r="BA193" i="1"/>
  <c r="BV20" i="1"/>
  <c r="BJ20" i="1"/>
  <c r="BJ49" i="1"/>
  <c r="BV49" i="1"/>
  <c r="BT174" i="1"/>
  <c r="BA174" i="1"/>
  <c r="BJ401" i="1"/>
  <c r="BV401" i="1"/>
  <c r="BJ5" i="1"/>
  <c r="BV5" i="1"/>
  <c r="BT119" i="1"/>
  <c r="BA119" i="1"/>
  <c r="BA268" i="1"/>
  <c r="BT268" i="1"/>
  <c r="BC179" i="1"/>
  <c r="AR179" i="1"/>
  <c r="AQ179" i="1"/>
  <c r="AS179" i="1"/>
  <c r="AT179" i="1"/>
  <c r="Y179" i="1"/>
  <c r="Z179" i="1"/>
  <c r="AA179" i="1"/>
  <c r="BB179" i="1"/>
  <c r="AA505" i="1"/>
  <c r="BB505" i="1"/>
  <c r="Y505" i="1"/>
  <c r="Z505" i="1"/>
  <c r="AQ505" i="1"/>
  <c r="BC505" i="1"/>
  <c r="AR505" i="1"/>
  <c r="AS505" i="1"/>
  <c r="AT505" i="1"/>
  <c r="AR175" i="1"/>
  <c r="AS175" i="1"/>
  <c r="AT175" i="1"/>
  <c r="Y175" i="1"/>
  <c r="Z175" i="1"/>
  <c r="AA175" i="1"/>
  <c r="BB175" i="1"/>
  <c r="AQ175" i="1"/>
  <c r="BC175" i="1"/>
  <c r="BA488" i="1"/>
  <c r="BT488" i="1"/>
  <c r="AZ474" i="1"/>
  <c r="BS474" i="1"/>
  <c r="AT222" i="1"/>
  <c r="BB222" i="1"/>
  <c r="Y222" i="1"/>
  <c r="Z222" i="1"/>
  <c r="AS222" i="1"/>
  <c r="AQ222" i="1"/>
  <c r="BC222" i="1"/>
  <c r="AR222" i="1"/>
  <c r="AA222" i="1"/>
  <c r="BA495" i="1"/>
  <c r="BT495" i="1"/>
  <c r="BT267" i="1"/>
  <c r="BA267" i="1"/>
  <c r="BA206" i="1"/>
  <c r="BT206" i="1"/>
  <c r="BV592" i="1"/>
  <c r="BJ592" i="1"/>
  <c r="BS52" i="1"/>
  <c r="AZ52" i="1"/>
  <c r="BJ313" i="1"/>
  <c r="BV313" i="1"/>
  <c r="BJ75" i="1"/>
  <c r="BV75" i="1"/>
  <c r="AZ615" i="1"/>
  <c r="BS615" i="1"/>
  <c r="AQ158" i="1"/>
  <c r="BC158" i="1"/>
  <c r="Z158" i="1"/>
  <c r="AA158" i="1"/>
  <c r="Y158" i="1"/>
  <c r="AR158" i="1"/>
  <c r="AS158" i="1"/>
  <c r="AT158" i="1"/>
  <c r="BB158" i="1"/>
  <c r="BS549" i="1"/>
  <c r="AZ549" i="1"/>
  <c r="AZ320" i="1"/>
  <c r="BS320" i="1"/>
  <c r="BT283" i="1"/>
  <c r="BA283" i="1"/>
  <c r="AZ25" i="1"/>
  <c r="BS25" i="1"/>
  <c r="AT462" i="1"/>
  <c r="Y462" i="1"/>
  <c r="Z462" i="1"/>
  <c r="AA462" i="1"/>
  <c r="BB462" i="1"/>
  <c r="AQ462" i="1"/>
  <c r="BC462" i="1"/>
  <c r="AR462" i="1"/>
  <c r="AS462" i="1"/>
  <c r="BS210" i="1"/>
  <c r="AZ210" i="1"/>
  <c r="BS509" i="1"/>
  <c r="AZ509" i="1"/>
  <c r="AZ480" i="1"/>
  <c r="BS480" i="1"/>
  <c r="Y574" i="1"/>
  <c r="Z574" i="1"/>
  <c r="AA574" i="1"/>
  <c r="BB574" i="1"/>
  <c r="AQ574" i="1"/>
  <c r="BC574" i="1"/>
  <c r="AR574" i="1"/>
  <c r="AS574" i="1"/>
  <c r="AT574" i="1"/>
  <c r="BS274" i="1"/>
  <c r="AZ274" i="1"/>
  <c r="AZ16" i="1"/>
  <c r="BS16" i="1"/>
  <c r="Z444" i="1"/>
  <c r="AA444" i="1"/>
  <c r="AR444" i="1"/>
  <c r="AT444" i="1"/>
  <c r="AQ444" i="1"/>
  <c r="BC444" i="1"/>
  <c r="Y444" i="1"/>
  <c r="AS444" i="1"/>
  <c r="BB444" i="1"/>
  <c r="BT325" i="1"/>
  <c r="BA325" i="1"/>
  <c r="BA200" i="1"/>
  <c r="BT200" i="1"/>
  <c r="BS460" i="1"/>
  <c r="AZ460" i="1"/>
  <c r="AZ354" i="1"/>
  <c r="BS354" i="1"/>
  <c r="AA111" i="1"/>
  <c r="AR111" i="1"/>
  <c r="AS111" i="1"/>
  <c r="BB111" i="1"/>
  <c r="AT111" i="1"/>
  <c r="AQ111" i="1"/>
  <c r="BC111" i="1"/>
  <c r="Y111" i="1"/>
  <c r="Z111" i="1"/>
  <c r="BS518" i="1"/>
  <c r="AZ518" i="1"/>
  <c r="AQ551" i="1"/>
  <c r="BC551" i="1"/>
  <c r="AR551" i="1"/>
  <c r="AS551" i="1"/>
  <c r="AT551" i="1"/>
  <c r="Y551" i="1"/>
  <c r="Z551" i="1"/>
  <c r="AA551" i="1"/>
  <c r="BB551" i="1"/>
  <c r="BS406" i="1"/>
  <c r="AZ406" i="1"/>
  <c r="BS491" i="1"/>
  <c r="AZ491" i="1"/>
  <c r="Z537" i="1"/>
  <c r="Y537" i="1"/>
  <c r="AA537" i="1"/>
  <c r="BB537" i="1"/>
  <c r="AQ537" i="1"/>
  <c r="BC537" i="1"/>
  <c r="AR537" i="1"/>
  <c r="AS537" i="1"/>
  <c r="AT537" i="1"/>
  <c r="AZ608" i="1"/>
  <c r="BS608" i="1"/>
  <c r="BJ164" i="1"/>
  <c r="BV164" i="1"/>
  <c r="BA547" i="1"/>
  <c r="BT547" i="1"/>
  <c r="AZ277" i="1"/>
  <c r="BS277" i="1"/>
  <c r="AT558" i="1"/>
  <c r="AS558" i="1"/>
  <c r="Y558" i="1"/>
  <c r="BC558" i="1"/>
  <c r="AQ558" i="1"/>
  <c r="Z558" i="1"/>
  <c r="BB558" i="1"/>
  <c r="AR558" i="1"/>
  <c r="AA558" i="1"/>
  <c r="BS198" i="1"/>
  <c r="AZ198" i="1"/>
  <c r="BT377" i="1"/>
  <c r="BA377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G383" i="2"/>
  <c r="BL383" i="2" s="1"/>
  <c r="BB383" i="2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3" i="2"/>
  <c r="BK623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Q5" i="1" s="1"/>
  <c r="AG5" i="1" s="1"/>
  <c r="BR6" i="2"/>
  <c r="R5" i="1" s="1"/>
  <c r="AH5" i="1" s="1"/>
  <c r="BQ5" i="2"/>
  <c r="Q4" i="1" s="1"/>
  <c r="AG4" i="1" s="1"/>
  <c r="BR5" i="2"/>
  <c r="R4" i="1" s="1"/>
  <c r="AH4" i="1" s="1"/>
  <c r="BQ3" i="2"/>
  <c r="Q2" i="1" s="1"/>
  <c r="AG2" i="1" s="1"/>
  <c r="AZ2" i="1" s="1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BA2" i="1"/>
  <c r="BT2" i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BJ112" i="1" l="1"/>
  <c r="BV112" i="1"/>
  <c r="BU112" i="1"/>
  <c r="BU358" i="1"/>
  <c r="BJ358" i="1"/>
  <c r="BV358" i="1"/>
  <c r="BU115" i="1"/>
  <c r="BJ115" i="1"/>
  <c r="BV115" i="1"/>
  <c r="BU399" i="1"/>
  <c r="BV399" i="1"/>
  <c r="BJ399" i="1"/>
  <c r="BU541" i="1"/>
  <c r="BV541" i="1"/>
  <c r="BJ541" i="1"/>
  <c r="BV388" i="1"/>
  <c r="BU388" i="1"/>
  <c r="BJ388" i="1"/>
  <c r="BJ366" i="1"/>
  <c r="BU366" i="1"/>
  <c r="BV366" i="1"/>
  <c r="BJ364" i="1"/>
  <c r="BU364" i="1"/>
  <c r="BV364" i="1"/>
  <c r="BJ261" i="1"/>
  <c r="BV261" i="1"/>
  <c r="BU261" i="1"/>
  <c r="BJ604" i="1"/>
  <c r="BV604" i="1"/>
  <c r="BU604" i="1"/>
  <c r="BU149" i="1"/>
  <c r="BJ149" i="1"/>
  <c r="BV149" i="1"/>
  <c r="BU414" i="1"/>
  <c r="BJ414" i="1"/>
  <c r="BV414" i="1"/>
  <c r="BU606" i="1"/>
  <c r="BJ606" i="1"/>
  <c r="BV606" i="1"/>
  <c r="BU546" i="1"/>
  <c r="BV546" i="1"/>
  <c r="BJ546" i="1"/>
  <c r="BU207" i="1"/>
  <c r="BJ207" i="1"/>
  <c r="BV207" i="1"/>
  <c r="BU407" i="1"/>
  <c r="BJ407" i="1"/>
  <c r="BV407" i="1"/>
  <c r="BV132" i="1"/>
  <c r="BJ132" i="1"/>
  <c r="BU132" i="1"/>
  <c r="BJ473" i="1"/>
  <c r="BV473" i="1"/>
  <c r="BU473" i="1"/>
  <c r="BU520" i="1"/>
  <c r="BJ520" i="1"/>
  <c r="BV520" i="1"/>
  <c r="BU103" i="1"/>
  <c r="BJ103" i="1"/>
  <c r="BV103" i="1"/>
  <c r="BV68" i="1"/>
  <c r="BJ68" i="1"/>
  <c r="BU68" i="1"/>
  <c r="BU432" i="1"/>
  <c r="BJ432" i="1"/>
  <c r="BV432" i="1"/>
  <c r="BU58" i="1"/>
  <c r="BV58" i="1"/>
  <c r="BJ58" i="1"/>
  <c r="BU304" i="1"/>
  <c r="BV304" i="1"/>
  <c r="BJ304" i="1"/>
  <c r="BU418" i="1"/>
  <c r="BJ418" i="1"/>
  <c r="BV418" i="1"/>
  <c r="BJ65" i="1"/>
  <c r="BU65" i="1"/>
  <c r="BV65" i="1"/>
  <c r="BJ283" i="1"/>
  <c r="BV283" i="1"/>
  <c r="BU283" i="1"/>
  <c r="BU284" i="1"/>
  <c r="BJ284" i="1"/>
  <c r="BV284" i="1"/>
  <c r="BU15" i="1"/>
  <c r="BJ15" i="1"/>
  <c r="BV15" i="1"/>
  <c r="BU179" i="1"/>
  <c r="BJ179" i="1"/>
  <c r="BV179" i="1"/>
  <c r="BU585" i="1"/>
  <c r="BJ585" i="1"/>
  <c r="BV585" i="1"/>
  <c r="BU339" i="1"/>
  <c r="BJ339" i="1"/>
  <c r="BV339" i="1"/>
  <c r="BJ83" i="1"/>
  <c r="BV83" i="1"/>
  <c r="BU83" i="1"/>
  <c r="BJ495" i="1"/>
  <c r="BV495" i="1"/>
  <c r="BU495" i="1"/>
  <c r="BJ8" i="1"/>
  <c r="BV8" i="1"/>
  <c r="BU8" i="1"/>
  <c r="BJ549" i="1"/>
  <c r="BV549" i="1"/>
  <c r="BU549" i="1"/>
  <c r="BU191" i="1"/>
  <c r="BV191" i="1"/>
  <c r="BJ191" i="1"/>
  <c r="BU391" i="1"/>
  <c r="BV391" i="1"/>
  <c r="BJ391" i="1"/>
  <c r="BU498" i="1"/>
  <c r="BJ498" i="1"/>
  <c r="BV498" i="1"/>
  <c r="BJ528" i="1"/>
  <c r="BU528" i="1"/>
  <c r="BV528" i="1"/>
  <c r="BU469" i="1"/>
  <c r="BJ469" i="1"/>
  <c r="BV469" i="1"/>
  <c r="BU417" i="1"/>
  <c r="BJ417" i="1"/>
  <c r="BV417" i="1"/>
  <c r="BV259" i="1"/>
  <c r="BJ259" i="1"/>
  <c r="BU259" i="1"/>
  <c r="BU18" i="1"/>
  <c r="BV18" i="1"/>
  <c r="BJ18" i="1"/>
  <c r="BU57" i="1"/>
  <c r="BV57" i="1"/>
  <c r="BJ57" i="1"/>
  <c r="BU260" i="1"/>
  <c r="BJ260" i="1"/>
  <c r="BV260" i="1"/>
  <c r="BU172" i="1"/>
  <c r="BJ172" i="1"/>
  <c r="BV172" i="1"/>
  <c r="BJ454" i="1"/>
  <c r="BU454" i="1"/>
  <c r="BV454" i="1"/>
  <c r="BJ287" i="1"/>
  <c r="BV287" i="1"/>
  <c r="BU287" i="1"/>
  <c r="BU128" i="1"/>
  <c r="BV128" i="1"/>
  <c r="BJ128" i="1"/>
  <c r="BU165" i="1"/>
  <c r="BJ165" i="1"/>
  <c r="BV165" i="1"/>
  <c r="BU501" i="1"/>
  <c r="BV501" i="1"/>
  <c r="BJ501" i="1"/>
  <c r="BJ89" i="1"/>
  <c r="BU89" i="1"/>
  <c r="BV89" i="1"/>
  <c r="BU256" i="1"/>
  <c r="BV256" i="1"/>
  <c r="BJ256" i="1"/>
  <c r="BU551" i="1"/>
  <c r="BJ551" i="1"/>
  <c r="BV551" i="1"/>
  <c r="BV222" i="1"/>
  <c r="BJ222" i="1"/>
  <c r="BU222" i="1"/>
  <c r="BU59" i="1"/>
  <c r="BV59" i="1"/>
  <c r="BJ59" i="1"/>
  <c r="BV484" i="1"/>
  <c r="BU484" i="1"/>
  <c r="BJ484" i="1"/>
  <c r="BV581" i="1"/>
  <c r="BU581" i="1"/>
  <c r="BJ581" i="1"/>
  <c r="BJ218" i="1"/>
  <c r="BV218" i="1"/>
  <c r="BU218" i="1"/>
  <c r="BJ470" i="1"/>
  <c r="BV470" i="1"/>
  <c r="BU470" i="1"/>
  <c r="BJ519" i="1"/>
  <c r="BV519" i="1"/>
  <c r="BU519" i="1"/>
  <c r="BJ331" i="1"/>
  <c r="BV331" i="1"/>
  <c r="BU331" i="1"/>
  <c r="BU533" i="1"/>
  <c r="BJ533" i="1"/>
  <c r="BV533" i="1"/>
  <c r="BJ508" i="1"/>
  <c r="BU508" i="1"/>
  <c r="BV508" i="1"/>
  <c r="BV357" i="1"/>
  <c r="BU357" i="1"/>
  <c r="BJ357" i="1"/>
  <c r="BU481" i="1"/>
  <c r="BV481" i="1"/>
  <c r="BJ481" i="1"/>
  <c r="BU588" i="1"/>
  <c r="BJ588" i="1"/>
  <c r="BV588" i="1"/>
  <c r="BJ209" i="1"/>
  <c r="BV209" i="1"/>
  <c r="BU209" i="1"/>
  <c r="BJ504" i="1"/>
  <c r="BU504" i="1"/>
  <c r="BV504" i="1"/>
  <c r="BU353" i="1"/>
  <c r="BJ353" i="1"/>
  <c r="BV353" i="1"/>
  <c r="BU552" i="1"/>
  <c r="BJ552" i="1"/>
  <c r="BV552" i="1"/>
  <c r="BJ363" i="1"/>
  <c r="BV363" i="1"/>
  <c r="BU363" i="1"/>
  <c r="BU228" i="1"/>
  <c r="BJ228" i="1"/>
  <c r="BV228" i="1"/>
  <c r="BJ39" i="1"/>
  <c r="BU39" i="1"/>
  <c r="BV39" i="1"/>
  <c r="BU537" i="1"/>
  <c r="BJ537" i="1"/>
  <c r="BV537" i="1"/>
  <c r="BU175" i="1"/>
  <c r="BJ175" i="1"/>
  <c r="BV175" i="1"/>
  <c r="BV434" i="1"/>
  <c r="BJ434" i="1"/>
  <c r="BU434" i="1"/>
  <c r="BU100" i="1"/>
  <c r="BV100" i="1"/>
  <c r="BJ100" i="1"/>
  <c r="BU268" i="1"/>
  <c r="BV268" i="1"/>
  <c r="BJ268" i="1"/>
  <c r="BU152" i="1"/>
  <c r="BJ152" i="1"/>
  <c r="BV152" i="1"/>
  <c r="BU63" i="1"/>
  <c r="BV63" i="1"/>
  <c r="BJ63" i="1"/>
  <c r="BJ199" i="1"/>
  <c r="BU199" i="1"/>
  <c r="BV199" i="1"/>
  <c r="BJ16" i="1"/>
  <c r="BV16" i="1"/>
  <c r="BU16" i="1"/>
  <c r="BU11" i="1"/>
  <c r="BJ11" i="1"/>
  <c r="BV11" i="1"/>
  <c r="BU410" i="1"/>
  <c r="BJ410" i="1"/>
  <c r="BV410" i="1"/>
  <c r="BU605" i="1"/>
  <c r="BJ605" i="1"/>
  <c r="BV605" i="1"/>
  <c r="BV341" i="1"/>
  <c r="BU341" i="1"/>
  <c r="BJ341" i="1"/>
  <c r="BV263" i="1"/>
  <c r="BU263" i="1"/>
  <c r="BJ263" i="1"/>
  <c r="BU310" i="1"/>
  <c r="BV310" i="1"/>
  <c r="BJ310" i="1"/>
  <c r="BV615" i="1"/>
  <c r="BU615" i="1"/>
  <c r="BJ615" i="1"/>
  <c r="BU267" i="1"/>
  <c r="BV267" i="1"/>
  <c r="BJ267" i="1"/>
  <c r="BU576" i="1"/>
  <c r="BJ576" i="1"/>
  <c r="BV576" i="1"/>
  <c r="BJ393" i="1"/>
  <c r="BV393" i="1"/>
  <c r="BU393" i="1"/>
  <c r="BU590" i="1"/>
  <c r="BJ590" i="1"/>
  <c r="BV590" i="1"/>
  <c r="BJ611" i="1"/>
  <c r="BV611" i="1"/>
  <c r="BU611" i="1"/>
  <c r="BU129" i="1"/>
  <c r="BV129" i="1"/>
  <c r="BJ129" i="1"/>
  <c r="BU146" i="1"/>
  <c r="BJ146" i="1"/>
  <c r="BV146" i="1"/>
  <c r="BU145" i="1"/>
  <c r="BJ145" i="1"/>
  <c r="BV145" i="1"/>
  <c r="BU450" i="1"/>
  <c r="BJ450" i="1"/>
  <c r="BV450" i="1"/>
  <c r="BU536" i="1"/>
  <c r="BJ536" i="1"/>
  <c r="BV536" i="1"/>
  <c r="BU155" i="1"/>
  <c r="BJ155" i="1"/>
  <c r="BV155" i="1"/>
  <c r="BU120" i="1"/>
  <c r="BJ120" i="1"/>
  <c r="BV120" i="1"/>
  <c r="BU415" i="1"/>
  <c r="BJ415" i="1"/>
  <c r="BV415" i="1"/>
  <c r="BU345" i="1"/>
  <c r="BJ345" i="1"/>
  <c r="BV345" i="1"/>
  <c r="BJ214" i="1"/>
  <c r="BV214" i="1"/>
  <c r="BU214" i="1"/>
  <c r="BU274" i="1"/>
  <c r="BJ274" i="1"/>
  <c r="BV274" i="1"/>
  <c r="BJ281" i="1"/>
  <c r="BV281" i="1"/>
  <c r="BU281" i="1"/>
  <c r="BU608" i="1"/>
  <c r="BJ608" i="1"/>
  <c r="BV608" i="1"/>
  <c r="BU518" i="1"/>
  <c r="BJ518" i="1"/>
  <c r="BV518" i="1"/>
  <c r="BV464" i="1"/>
  <c r="BJ464" i="1"/>
  <c r="BU464" i="1"/>
  <c r="BU174" i="1"/>
  <c r="BJ174" i="1"/>
  <c r="BV174" i="1"/>
  <c r="BU427" i="1"/>
  <c r="BJ427" i="1"/>
  <c r="BV427" i="1"/>
  <c r="BT4" i="1"/>
  <c r="BA4" i="1"/>
  <c r="BU558" i="1"/>
  <c r="BJ558" i="1"/>
  <c r="BV558" i="1"/>
  <c r="BJ81" i="1"/>
  <c r="BU81" i="1"/>
  <c r="BV81" i="1"/>
  <c r="BJ387" i="1"/>
  <c r="BV387" i="1"/>
  <c r="BU387" i="1"/>
  <c r="BU227" i="1"/>
  <c r="BJ227" i="1"/>
  <c r="BV227" i="1"/>
  <c r="BU456" i="1"/>
  <c r="BJ456" i="1"/>
  <c r="BV456" i="1"/>
  <c r="BU359" i="1"/>
  <c r="BJ359" i="1"/>
  <c r="BV359" i="1"/>
  <c r="BU167" i="1"/>
  <c r="BJ167" i="1"/>
  <c r="BV167" i="1"/>
  <c r="BU446" i="1"/>
  <c r="BJ446" i="1"/>
  <c r="BV446" i="1"/>
  <c r="BU406" i="1"/>
  <c r="BV406" i="1"/>
  <c r="BJ406" i="1"/>
  <c r="BJ360" i="1"/>
  <c r="BV360" i="1"/>
  <c r="BU360" i="1"/>
  <c r="BU612" i="1"/>
  <c r="BJ612" i="1"/>
  <c r="BV612" i="1"/>
  <c r="BU142" i="1"/>
  <c r="BJ142" i="1"/>
  <c r="BV142" i="1"/>
  <c r="BU106" i="1"/>
  <c r="BV106" i="1"/>
  <c r="BJ106" i="1"/>
  <c r="BU196" i="1"/>
  <c r="BJ196" i="1"/>
  <c r="BV196" i="1"/>
  <c r="BV426" i="1"/>
  <c r="BU426" i="1"/>
  <c r="BJ426" i="1"/>
  <c r="BU319" i="1"/>
  <c r="BJ319" i="1"/>
  <c r="BV319" i="1"/>
  <c r="BJ356" i="1"/>
  <c r="BV356" i="1"/>
  <c r="BU356" i="1"/>
  <c r="BV208" i="1"/>
  <c r="BU208" i="1"/>
  <c r="BJ208" i="1"/>
  <c r="BU610" i="1"/>
  <c r="BJ610" i="1"/>
  <c r="BV610" i="1"/>
  <c r="BU143" i="1"/>
  <c r="BV143" i="1"/>
  <c r="BJ143" i="1"/>
  <c r="BV453" i="1"/>
  <c r="BU453" i="1"/>
  <c r="BJ453" i="1"/>
  <c r="BU177" i="1"/>
  <c r="BJ177" i="1"/>
  <c r="BV177" i="1"/>
  <c r="BU42" i="1"/>
  <c r="BJ42" i="1"/>
  <c r="BV42" i="1"/>
  <c r="BU548" i="1"/>
  <c r="BV548" i="1"/>
  <c r="BJ548" i="1"/>
  <c r="BU383" i="1"/>
  <c r="BJ383" i="1"/>
  <c r="BV383" i="1"/>
  <c r="BU374" i="1"/>
  <c r="BJ374" i="1"/>
  <c r="BV374" i="1"/>
  <c r="BJ435" i="1"/>
  <c r="BU435" i="1"/>
  <c r="BV435" i="1"/>
  <c r="BU467" i="1"/>
  <c r="BJ467" i="1"/>
  <c r="BV467" i="1"/>
  <c r="BU491" i="1"/>
  <c r="BJ491" i="1"/>
  <c r="BV491" i="1"/>
  <c r="BU530" i="1"/>
  <c r="BJ530" i="1"/>
  <c r="BV530" i="1"/>
  <c r="BJ349" i="1"/>
  <c r="BV349" i="1"/>
  <c r="BU349" i="1"/>
  <c r="BU457" i="1"/>
  <c r="BJ457" i="1"/>
  <c r="BV457" i="1"/>
  <c r="BU171" i="1"/>
  <c r="BJ171" i="1"/>
  <c r="BV171" i="1"/>
  <c r="AZ4" i="1"/>
  <c r="BS4" i="1"/>
  <c r="BU85" i="1"/>
  <c r="BV85" i="1"/>
  <c r="BJ85" i="1"/>
  <c r="BU211" i="1"/>
  <c r="BJ211" i="1"/>
  <c r="BV211" i="1"/>
  <c r="BJ404" i="1"/>
  <c r="BV404" i="1"/>
  <c r="BU404" i="1"/>
  <c r="BV542" i="1"/>
  <c r="BU542" i="1"/>
  <c r="BJ542" i="1"/>
  <c r="BU320" i="1"/>
  <c r="BJ320" i="1"/>
  <c r="BV320" i="1"/>
  <c r="BU599" i="1"/>
  <c r="BV599" i="1"/>
  <c r="BJ599" i="1"/>
  <c r="BU247" i="1"/>
  <c r="BV247" i="1"/>
  <c r="BJ247" i="1"/>
  <c r="BU93" i="1"/>
  <c r="BJ93" i="1"/>
  <c r="BV93" i="1"/>
  <c r="BJ25" i="1"/>
  <c r="BV25" i="1"/>
  <c r="BU25" i="1"/>
  <c r="BJ540" i="1"/>
  <c r="BV540" i="1"/>
  <c r="BU540" i="1"/>
  <c r="BV159" i="1"/>
  <c r="BJ159" i="1"/>
  <c r="BU159" i="1"/>
  <c r="BV294" i="1"/>
  <c r="BU294" i="1"/>
  <c r="BJ294" i="1"/>
  <c r="BU250" i="1"/>
  <c r="BJ250" i="1"/>
  <c r="BV250" i="1"/>
  <c r="BV125" i="1"/>
  <c r="BU125" i="1"/>
  <c r="BJ125" i="1"/>
  <c r="BV327" i="1"/>
  <c r="BU327" i="1"/>
  <c r="BJ327" i="1"/>
  <c r="BU131" i="1"/>
  <c r="BJ131" i="1"/>
  <c r="BV131" i="1"/>
  <c r="BJ76" i="1"/>
  <c r="BV76" i="1"/>
  <c r="BU76" i="1"/>
  <c r="BJ237" i="1"/>
  <c r="BU237" i="1"/>
  <c r="BV237" i="1"/>
  <c r="BU324" i="1"/>
  <c r="BJ324" i="1"/>
  <c r="BV324" i="1"/>
  <c r="BU512" i="1"/>
  <c r="BV512" i="1"/>
  <c r="BJ512" i="1"/>
  <c r="BU336" i="1"/>
  <c r="BV336" i="1"/>
  <c r="BJ336" i="1"/>
  <c r="BU286" i="1"/>
  <c r="BJ286" i="1"/>
  <c r="BV286" i="1"/>
  <c r="BU561" i="1"/>
  <c r="BJ561" i="1"/>
  <c r="BV561" i="1"/>
  <c r="BJ597" i="1"/>
  <c r="BU597" i="1"/>
  <c r="BV597" i="1"/>
  <c r="BV136" i="1"/>
  <c r="BU136" i="1"/>
  <c r="BJ136" i="1"/>
  <c r="BJ109" i="1"/>
  <c r="BV109" i="1"/>
  <c r="BU109" i="1"/>
  <c r="BU168" i="1"/>
  <c r="BJ168" i="1"/>
  <c r="BV168" i="1"/>
  <c r="BJ568" i="1"/>
  <c r="BV568" i="1"/>
  <c r="BU568" i="1"/>
  <c r="BV99" i="1"/>
  <c r="BU99" i="1"/>
  <c r="BJ99" i="1"/>
  <c r="BJ559" i="1"/>
  <c r="BV559" i="1"/>
  <c r="BU559" i="1"/>
  <c r="BU538" i="1"/>
  <c r="BJ538" i="1"/>
  <c r="BV538" i="1"/>
  <c r="BU323" i="1"/>
  <c r="BJ323" i="1"/>
  <c r="BV323" i="1"/>
  <c r="BU618" i="1"/>
  <c r="BJ618" i="1"/>
  <c r="BV618" i="1"/>
  <c r="BV487" i="1"/>
  <c r="BJ487" i="1"/>
  <c r="BU487" i="1"/>
  <c r="BV61" i="1"/>
  <c r="BU61" i="1"/>
  <c r="BJ61" i="1"/>
  <c r="BU289" i="1"/>
  <c r="BJ289" i="1"/>
  <c r="BV289" i="1"/>
  <c r="BT5" i="1"/>
  <c r="BA5" i="1"/>
  <c r="BU462" i="1"/>
  <c r="BV462" i="1"/>
  <c r="BJ462" i="1"/>
  <c r="BV154" i="1"/>
  <c r="BU154" i="1"/>
  <c r="BJ154" i="1"/>
  <c r="BV333" i="1"/>
  <c r="BJ333" i="1"/>
  <c r="BU333" i="1"/>
  <c r="BJ26" i="1"/>
  <c r="BV26" i="1"/>
  <c r="BU26" i="1"/>
  <c r="BU292" i="1"/>
  <c r="BJ292" i="1"/>
  <c r="BV292" i="1"/>
  <c r="BJ377" i="1"/>
  <c r="BV377" i="1"/>
  <c r="BU377" i="1"/>
  <c r="BU29" i="1"/>
  <c r="BJ29" i="1"/>
  <c r="BV29" i="1"/>
  <c r="BU439" i="1"/>
  <c r="BV439" i="1"/>
  <c r="BJ439" i="1"/>
  <c r="BJ422" i="1"/>
  <c r="BV422" i="1"/>
  <c r="BU422" i="1"/>
  <c r="BJ229" i="1"/>
  <c r="BV229" i="1"/>
  <c r="BU229" i="1"/>
  <c r="BU317" i="1"/>
  <c r="BJ317" i="1"/>
  <c r="BV317" i="1"/>
  <c r="BU373" i="1"/>
  <c r="BJ373" i="1"/>
  <c r="BV373" i="1"/>
  <c r="BU402" i="1"/>
  <c r="BV402" i="1"/>
  <c r="BJ402" i="1"/>
  <c r="BJ95" i="1"/>
  <c r="BU95" i="1"/>
  <c r="BV95" i="1"/>
  <c r="BJ428" i="1"/>
  <c r="BV428" i="1"/>
  <c r="BU428" i="1"/>
  <c r="BU452" i="1"/>
  <c r="BJ452" i="1"/>
  <c r="BV452" i="1"/>
  <c r="BU265" i="1"/>
  <c r="BV265" i="1"/>
  <c r="BJ265" i="1"/>
  <c r="BU395" i="1"/>
  <c r="BV395" i="1"/>
  <c r="BJ395" i="1"/>
  <c r="BU497" i="1"/>
  <c r="BJ497" i="1"/>
  <c r="BV497" i="1"/>
  <c r="BU258" i="1"/>
  <c r="BJ258" i="1"/>
  <c r="BV258" i="1"/>
  <c r="BU193" i="1"/>
  <c r="BV193" i="1"/>
  <c r="BJ193" i="1"/>
  <c r="BU578" i="1"/>
  <c r="BJ578" i="1"/>
  <c r="BV578" i="1"/>
  <c r="BU389" i="1"/>
  <c r="BV389" i="1"/>
  <c r="BJ389" i="1"/>
  <c r="BU318" i="1"/>
  <c r="BJ318" i="1"/>
  <c r="BV318" i="1"/>
  <c r="BU340" i="1"/>
  <c r="BJ340" i="1"/>
  <c r="BV340" i="1"/>
  <c r="BU198" i="1"/>
  <c r="BJ198" i="1"/>
  <c r="BV198" i="1"/>
  <c r="BU480" i="1"/>
  <c r="BV480" i="1"/>
  <c r="BJ480" i="1"/>
  <c r="BV55" i="1"/>
  <c r="BJ55" i="1"/>
  <c r="BU55" i="1"/>
  <c r="AZ5" i="1"/>
  <c r="BS5" i="1"/>
  <c r="BU505" i="1"/>
  <c r="BV505" i="1"/>
  <c r="BJ505" i="1"/>
  <c r="BU517" i="1"/>
  <c r="BJ517" i="1"/>
  <c r="BV517" i="1"/>
  <c r="BU325" i="1"/>
  <c r="BJ325" i="1"/>
  <c r="BV325" i="1"/>
  <c r="BU488" i="1"/>
  <c r="BJ488" i="1"/>
  <c r="BV488" i="1"/>
  <c r="BV230" i="1"/>
  <c r="BU230" i="1"/>
  <c r="BJ230" i="1"/>
  <c r="BU210" i="1"/>
  <c r="BJ210" i="1"/>
  <c r="BV210" i="1"/>
  <c r="BJ522" i="1"/>
  <c r="BV522" i="1"/>
  <c r="BU522" i="1"/>
  <c r="BU52" i="1"/>
  <c r="BV52" i="1"/>
  <c r="BJ52" i="1"/>
  <c r="BJ595" i="1"/>
  <c r="BU595" i="1"/>
  <c r="BV595" i="1"/>
  <c r="BU270" i="1"/>
  <c r="BV270" i="1"/>
  <c r="BJ270" i="1"/>
  <c r="BU440" i="1"/>
  <c r="BJ440" i="1"/>
  <c r="BV440" i="1"/>
  <c r="BJ475" i="1"/>
  <c r="BU475" i="1"/>
  <c r="BV475" i="1"/>
  <c r="BJ221" i="1"/>
  <c r="BU221" i="1"/>
  <c r="BV221" i="1"/>
  <c r="BJ365" i="1"/>
  <c r="BV365" i="1"/>
  <c r="BU365" i="1"/>
  <c r="BU80" i="1"/>
  <c r="BV80" i="1"/>
  <c r="BJ80" i="1"/>
  <c r="BU248" i="1"/>
  <c r="BJ248" i="1"/>
  <c r="BV248" i="1"/>
  <c r="BJ591" i="1"/>
  <c r="BV591" i="1"/>
  <c r="BU591" i="1"/>
  <c r="BU102" i="1"/>
  <c r="BV102" i="1"/>
  <c r="BJ102" i="1"/>
  <c r="BV458" i="1"/>
  <c r="BU458" i="1"/>
  <c r="BJ458" i="1"/>
  <c r="BJ445" i="1"/>
  <c r="BV445" i="1"/>
  <c r="BU445" i="1"/>
  <c r="BU405" i="1"/>
  <c r="BV405" i="1"/>
  <c r="BJ405" i="1"/>
  <c r="BU459" i="1"/>
  <c r="BV459" i="1"/>
  <c r="BJ459" i="1"/>
  <c r="BU403" i="1"/>
  <c r="BV403" i="1"/>
  <c r="BJ403" i="1"/>
  <c r="BJ121" i="1"/>
  <c r="BV121" i="1"/>
  <c r="BU121" i="1"/>
  <c r="BU254" i="1"/>
  <c r="BJ254" i="1"/>
  <c r="BV254" i="1"/>
  <c r="BU560" i="1"/>
  <c r="BJ560" i="1"/>
  <c r="BV560" i="1"/>
  <c r="BU118" i="1"/>
  <c r="BV118" i="1"/>
  <c r="BJ118" i="1"/>
  <c r="BV285" i="1"/>
  <c r="BU285" i="1"/>
  <c r="BJ285" i="1"/>
  <c r="BU444" i="1"/>
  <c r="BJ444" i="1"/>
  <c r="BV444" i="1"/>
  <c r="BJ594" i="1"/>
  <c r="BU594" i="1"/>
  <c r="BV594" i="1"/>
  <c r="BU160" i="1"/>
  <c r="BV160" i="1"/>
  <c r="BJ160" i="1"/>
  <c r="BU420" i="1"/>
  <c r="BJ420" i="1"/>
  <c r="BV420" i="1"/>
  <c r="BJ368" i="1"/>
  <c r="BU368" i="1"/>
  <c r="BV368" i="1"/>
  <c r="BU570" i="1"/>
  <c r="BJ570" i="1"/>
  <c r="BV570" i="1"/>
  <c r="BV478" i="1"/>
  <c r="BJ478" i="1"/>
  <c r="BU478" i="1"/>
  <c r="BU235" i="1"/>
  <c r="BV235" i="1"/>
  <c r="BJ235" i="1"/>
  <c r="BU423" i="1"/>
  <c r="BJ423" i="1"/>
  <c r="BV423" i="1"/>
  <c r="BU441" i="1"/>
  <c r="BJ441" i="1"/>
  <c r="BV441" i="1"/>
  <c r="BU255" i="1"/>
  <c r="BJ255" i="1"/>
  <c r="BV255" i="1"/>
  <c r="BU311" i="1"/>
  <c r="BJ311" i="1"/>
  <c r="BV311" i="1"/>
  <c r="BU502" i="1"/>
  <c r="BV502" i="1"/>
  <c r="BJ502" i="1"/>
  <c r="BU514" i="1"/>
  <c r="BJ514" i="1"/>
  <c r="BV514" i="1"/>
  <c r="BU79" i="1"/>
  <c r="BV79" i="1"/>
  <c r="BJ79" i="1"/>
  <c r="BV329" i="1"/>
  <c r="BJ329" i="1"/>
  <c r="BU329" i="1"/>
  <c r="BV598" i="1"/>
  <c r="BJ598" i="1"/>
  <c r="BU598" i="1"/>
  <c r="BJ476" i="1"/>
  <c r="BV476" i="1"/>
  <c r="BU476" i="1"/>
  <c r="BJ544" i="1"/>
  <c r="BU544" i="1"/>
  <c r="BV544" i="1"/>
  <c r="BU482" i="1"/>
  <c r="BV482" i="1"/>
  <c r="BJ482" i="1"/>
  <c r="BU88" i="1"/>
  <c r="BV88" i="1"/>
  <c r="BJ88" i="1"/>
  <c r="BU602" i="1"/>
  <c r="BV602" i="1"/>
  <c r="BJ602" i="1"/>
  <c r="BV617" i="1"/>
  <c r="BU617" i="1"/>
  <c r="BJ617" i="1"/>
  <c r="BU596" i="1"/>
  <c r="BV596" i="1"/>
  <c r="BJ596" i="1"/>
  <c r="BU192" i="1"/>
  <c r="BV192" i="1"/>
  <c r="BJ192" i="1"/>
  <c r="BJ217" i="1"/>
  <c r="BV217" i="1"/>
  <c r="BU217" i="1"/>
  <c r="BU111" i="1"/>
  <c r="BV111" i="1"/>
  <c r="BJ111" i="1"/>
  <c r="BU330" i="1"/>
  <c r="BV330" i="1"/>
  <c r="BJ330" i="1"/>
  <c r="BJ600" i="1"/>
  <c r="BU600" i="1"/>
  <c r="BV600" i="1"/>
  <c r="BJ506" i="1"/>
  <c r="BU506" i="1"/>
  <c r="BV506" i="1"/>
  <c r="BU35" i="1"/>
  <c r="BV35" i="1"/>
  <c r="BJ35" i="1"/>
  <c r="BJ140" i="1"/>
  <c r="BV140" i="1"/>
  <c r="BU140" i="1"/>
  <c r="BU460" i="1"/>
  <c r="BJ460" i="1"/>
  <c r="BV460" i="1"/>
  <c r="BU200" i="1"/>
  <c r="BJ200" i="1"/>
  <c r="BV200" i="1"/>
  <c r="BJ53" i="1"/>
  <c r="BV53" i="1"/>
  <c r="BU53" i="1"/>
  <c r="BU465" i="1"/>
  <c r="BJ465" i="1"/>
  <c r="BV465" i="1"/>
  <c r="BV334" i="1"/>
  <c r="BJ334" i="1"/>
  <c r="BU334" i="1"/>
  <c r="BU309" i="1"/>
  <c r="BJ309" i="1"/>
  <c r="BV309" i="1"/>
  <c r="BJ589" i="1"/>
  <c r="BV589" i="1"/>
  <c r="BU589" i="1"/>
  <c r="BJ31" i="1"/>
  <c r="BV31" i="1"/>
  <c r="BU31" i="1"/>
  <c r="BJ123" i="1"/>
  <c r="BV123" i="1"/>
  <c r="BU123" i="1"/>
  <c r="BV96" i="1"/>
  <c r="BU96" i="1"/>
  <c r="BJ96" i="1"/>
  <c r="BJ466" i="1"/>
  <c r="BV466" i="1"/>
  <c r="BU466" i="1"/>
  <c r="BU245" i="1"/>
  <c r="BJ245" i="1"/>
  <c r="BV245" i="1"/>
  <c r="BU412" i="1"/>
  <c r="BV412" i="1"/>
  <c r="BJ412" i="1"/>
  <c r="BU352" i="1"/>
  <c r="BJ352" i="1"/>
  <c r="BV352" i="1"/>
  <c r="BU421" i="1"/>
  <c r="BJ421" i="1"/>
  <c r="BV421" i="1"/>
  <c r="BJ553" i="1"/>
  <c r="BV553" i="1"/>
  <c r="BU553" i="1"/>
  <c r="BU582" i="1"/>
  <c r="BJ582" i="1"/>
  <c r="BV582" i="1"/>
  <c r="BJ122" i="1"/>
  <c r="BV122" i="1"/>
  <c r="BU122" i="1"/>
  <c r="BU346" i="1"/>
  <c r="BJ346" i="1"/>
  <c r="BV346" i="1"/>
  <c r="BU565" i="1"/>
  <c r="BJ565" i="1"/>
  <c r="BV565" i="1"/>
  <c r="BJ60" i="1"/>
  <c r="BU60" i="1"/>
  <c r="BV60" i="1"/>
  <c r="BV170" i="1"/>
  <c r="BU170" i="1"/>
  <c r="BJ170" i="1"/>
  <c r="BU147" i="1"/>
  <c r="BJ147" i="1"/>
  <c r="BV147" i="1"/>
  <c r="BJ239" i="1"/>
  <c r="BV239" i="1"/>
  <c r="BU239" i="1"/>
  <c r="BJ34" i="1"/>
  <c r="BU34" i="1"/>
  <c r="BV34" i="1"/>
  <c r="BU253" i="1"/>
  <c r="BJ253" i="1"/>
  <c r="BV253" i="1"/>
  <c r="BU511" i="1"/>
  <c r="BV511" i="1"/>
  <c r="BJ511" i="1"/>
  <c r="BU180" i="1"/>
  <c r="BJ180" i="1"/>
  <c r="BV180" i="1"/>
  <c r="BJ158" i="1"/>
  <c r="BV158" i="1"/>
  <c r="BU158" i="1"/>
  <c r="BU354" i="1"/>
  <c r="BJ354" i="1"/>
  <c r="BV354" i="1"/>
  <c r="BU384" i="1"/>
  <c r="BJ384" i="1"/>
  <c r="BV384" i="1"/>
  <c r="BJ315" i="1"/>
  <c r="BV315" i="1"/>
  <c r="BU315" i="1"/>
  <c r="BV463" i="1"/>
  <c r="BU463" i="1"/>
  <c r="BJ463" i="1"/>
  <c r="BU474" i="1"/>
  <c r="BV474" i="1"/>
  <c r="BJ474" i="1"/>
  <c r="BJ169" i="1"/>
  <c r="BV169" i="1"/>
  <c r="BU169" i="1"/>
  <c r="BU22" i="1"/>
  <c r="BJ22" i="1"/>
  <c r="BV22" i="1"/>
  <c r="BU515" i="1"/>
  <c r="BJ515" i="1"/>
  <c r="BV515" i="1"/>
  <c r="BU386" i="1"/>
  <c r="BJ386" i="1"/>
  <c r="BV386" i="1"/>
  <c r="BJ379" i="1"/>
  <c r="BV379" i="1"/>
  <c r="BU379" i="1"/>
  <c r="BV119" i="1"/>
  <c r="BU119" i="1"/>
  <c r="BJ119" i="1"/>
  <c r="BJ328" i="1"/>
  <c r="BV328" i="1"/>
  <c r="BU328" i="1"/>
  <c r="BJ416" i="1"/>
  <c r="BV416" i="1"/>
  <c r="BU416" i="1"/>
  <c r="BU266" i="1"/>
  <c r="BV266" i="1"/>
  <c r="BJ266" i="1"/>
  <c r="BJ262" i="1"/>
  <c r="BU262" i="1"/>
  <c r="BV262" i="1"/>
  <c r="BJ516" i="1"/>
  <c r="BV516" i="1"/>
  <c r="BU516" i="1"/>
  <c r="BJ543" i="1"/>
  <c r="BV543" i="1"/>
  <c r="BU543" i="1"/>
  <c r="BU114" i="1"/>
  <c r="BV114" i="1"/>
  <c r="BJ114" i="1"/>
  <c r="BU381" i="1"/>
  <c r="BJ381" i="1"/>
  <c r="BV381" i="1"/>
  <c r="BV371" i="1"/>
  <c r="BJ371" i="1"/>
  <c r="BU371" i="1"/>
  <c r="BJ569" i="1"/>
  <c r="BV569" i="1"/>
  <c r="BU569" i="1"/>
  <c r="BU539" i="1"/>
  <c r="BJ539" i="1"/>
  <c r="BV539" i="1"/>
  <c r="BU433" i="1"/>
  <c r="BV433" i="1"/>
  <c r="BJ433" i="1"/>
  <c r="BU271" i="1"/>
  <c r="BJ271" i="1"/>
  <c r="BV271" i="1"/>
  <c r="BU547" i="1"/>
  <c r="BV547" i="1"/>
  <c r="BJ547" i="1"/>
  <c r="BU372" i="1"/>
  <c r="BJ372" i="1"/>
  <c r="BV372" i="1"/>
  <c r="BJ206" i="1"/>
  <c r="BU206" i="1"/>
  <c r="BV206" i="1"/>
  <c r="BV574" i="1"/>
  <c r="BU574" i="1"/>
  <c r="BJ574" i="1"/>
  <c r="BU503" i="1"/>
  <c r="BJ503" i="1"/>
  <c r="BV503" i="1"/>
  <c r="BV226" i="1"/>
  <c r="BJ226" i="1"/>
  <c r="BU226" i="1"/>
  <c r="BV509" i="1"/>
  <c r="BJ509" i="1"/>
  <c r="BU509" i="1"/>
  <c r="BJ108" i="1"/>
  <c r="BV108" i="1"/>
  <c r="BU108" i="1"/>
  <c r="BU566" i="1"/>
  <c r="BJ566" i="1"/>
  <c r="BV566" i="1"/>
  <c r="BU424" i="1"/>
  <c r="BJ424" i="1"/>
  <c r="BV424" i="1"/>
  <c r="BJ562" i="1"/>
  <c r="BV562" i="1"/>
  <c r="BU562" i="1"/>
  <c r="BU135" i="1"/>
  <c r="BJ135" i="1"/>
  <c r="BV135" i="1"/>
  <c r="BU151" i="1"/>
  <c r="BJ151" i="1"/>
  <c r="BV151" i="1"/>
  <c r="BU486" i="1"/>
  <c r="BJ486" i="1"/>
  <c r="BV486" i="1"/>
  <c r="BU355" i="1"/>
  <c r="BJ355" i="1"/>
  <c r="BV355" i="1"/>
  <c r="BU535" i="1"/>
  <c r="BJ535" i="1"/>
  <c r="BV535" i="1"/>
  <c r="BU72" i="1"/>
  <c r="BV72" i="1"/>
  <c r="BJ72" i="1"/>
  <c r="BJ98" i="1"/>
  <c r="BV98" i="1"/>
  <c r="BU98" i="1"/>
  <c r="BU181" i="1"/>
  <c r="BJ181" i="1"/>
  <c r="BV181" i="1"/>
  <c r="BJ442" i="1"/>
  <c r="BV442" i="1"/>
  <c r="BU442" i="1"/>
  <c r="BU67" i="1"/>
  <c r="BJ67" i="1"/>
  <c r="BV67" i="1"/>
  <c r="BJ220" i="1"/>
  <c r="BV220" i="1"/>
  <c r="BU220" i="1"/>
  <c r="BJ297" i="1"/>
  <c r="BV297" i="1"/>
  <c r="BU297" i="1"/>
  <c r="BJ586" i="1"/>
  <c r="BV586" i="1"/>
  <c r="BU586" i="1"/>
  <c r="BU307" i="1"/>
  <c r="BJ307" i="1"/>
  <c r="BV307" i="1"/>
  <c r="BU202" i="1"/>
  <c r="BJ202" i="1"/>
  <c r="BV202" i="1"/>
  <c r="BU161" i="1"/>
  <c r="BV161" i="1"/>
  <c r="BJ161" i="1"/>
  <c r="BV205" i="1"/>
  <c r="BU205" i="1"/>
  <c r="BJ205" i="1"/>
  <c r="BU449" i="1"/>
  <c r="BJ449" i="1"/>
  <c r="BV449" i="1"/>
  <c r="BU499" i="1"/>
  <c r="BJ499" i="1"/>
  <c r="BV499" i="1"/>
  <c r="BU563" i="1"/>
  <c r="BJ563" i="1"/>
  <c r="BV563" i="1"/>
  <c r="BU564" i="1"/>
  <c r="BJ564" i="1"/>
  <c r="BV564" i="1"/>
  <c r="BJ242" i="1"/>
  <c r="BV242" i="1"/>
  <c r="BU242" i="1"/>
  <c r="BU46" i="1"/>
  <c r="BJ46" i="1"/>
  <c r="BV46" i="1"/>
  <c r="BJ277" i="1"/>
  <c r="BV277" i="1"/>
  <c r="BU277" i="1"/>
  <c r="BU526" i="1"/>
  <c r="BJ526" i="1"/>
  <c r="BV526" i="1"/>
  <c r="BR7" i="2"/>
  <c r="R6" i="1" s="1"/>
  <c r="AH6" i="1" s="1"/>
  <c r="BQ7" i="2"/>
  <c r="Q6" i="1" s="1"/>
  <c r="AG6" i="1" s="1"/>
  <c r="BR8" i="2"/>
  <c r="R7" i="1" s="1"/>
  <c r="AH7" i="1" s="1"/>
  <c r="BQ8" i="2"/>
  <c r="Q7" i="1" s="1"/>
  <c r="AG7" i="1" s="1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S2" i="1"/>
  <c r="BQ4" i="2"/>
  <c r="Q3" i="1" s="1"/>
  <c r="AG3" i="1" s="1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BS6" i="1" l="1"/>
  <c r="AZ6" i="1"/>
  <c r="BT7" i="1"/>
  <c r="BA7" i="1"/>
  <c r="AZ7" i="1"/>
  <c r="BS7" i="1"/>
  <c r="BT6" i="1"/>
  <c r="BA6" i="1"/>
  <c r="AZ3" i="1"/>
  <c r="BS3" i="1"/>
  <c r="BR10" i="2"/>
  <c r="R9" i="1" s="1"/>
  <c r="AH9" i="1" s="1"/>
  <c r="BQ10" i="2"/>
  <c r="Q9" i="1" s="1"/>
  <c r="AG9" i="1" s="1"/>
  <c r="BR9" i="2"/>
  <c r="R8" i="1" s="1"/>
  <c r="BQ9" i="2"/>
  <c r="Q8" i="1" s="1"/>
  <c r="U2" i="1"/>
  <c r="J2" i="1"/>
  <c r="W2" i="1"/>
  <c r="I2" i="1"/>
  <c r="T2" i="1" s="1"/>
  <c r="AJ2" i="1" s="1"/>
  <c r="H2" i="1"/>
  <c r="S2" i="1" s="1"/>
  <c r="AI2" i="1" s="1"/>
  <c r="V2" i="1"/>
  <c r="L2" i="1"/>
  <c r="K2" i="1"/>
  <c r="BT9" i="1" l="1"/>
  <c r="BA9" i="1"/>
  <c r="BS9" i="1"/>
  <c r="AZ9" i="1"/>
  <c r="BR11" i="2"/>
  <c r="R10" i="1" s="1"/>
  <c r="AH10" i="1" s="1"/>
  <c r="BQ11" i="2"/>
  <c r="Q10" i="1" s="1"/>
  <c r="AG10" i="1" s="1"/>
  <c r="BR12" i="2"/>
  <c r="R11" i="1" s="1"/>
  <c r="BQ12" i="2"/>
  <c r="Q11" i="1" s="1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AZ10" i="1" l="1"/>
  <c r="BS10" i="1"/>
  <c r="BT10" i="1"/>
  <c r="BA10" i="1"/>
  <c r="BR14" i="2"/>
  <c r="R13" i="1" s="1"/>
  <c r="AH13" i="1" s="1"/>
  <c r="BQ14" i="2"/>
  <c r="Q13" i="1" s="1"/>
  <c r="AG13" i="1" s="1"/>
  <c r="BR13" i="2"/>
  <c r="R12" i="1" s="1"/>
  <c r="AH12" i="1" s="1"/>
  <c r="BQ13" i="2"/>
  <c r="Q12" i="1" s="1"/>
  <c r="AG12" i="1" s="1"/>
  <c r="X2" i="18"/>
  <c r="Z1" i="18"/>
  <c r="T2" i="18"/>
  <c r="Y2" i="18"/>
  <c r="R2" i="18"/>
  <c r="W2" i="18"/>
  <c r="BS12" i="1" l="1"/>
  <c r="AZ12" i="1"/>
  <c r="BT12" i="1"/>
  <c r="BA12" i="1"/>
  <c r="AZ13" i="1"/>
  <c r="BS13" i="1"/>
  <c r="BT13" i="1"/>
  <c r="BA13" i="1"/>
  <c r="BR15" i="2"/>
  <c r="R14" i="1" s="1"/>
  <c r="AH14" i="1" s="1"/>
  <c r="BQ15" i="2"/>
  <c r="Q14" i="1" s="1"/>
  <c r="AG14" i="1" s="1"/>
  <c r="BR16" i="2"/>
  <c r="R15" i="1" s="1"/>
  <c r="BQ16" i="2"/>
  <c r="Q15" i="1" s="1"/>
  <c r="AN2" i="1"/>
  <c r="AM2" i="1"/>
  <c r="AL2" i="1"/>
  <c r="AP2" i="1"/>
  <c r="AO2" i="1"/>
  <c r="AJ2" i="18"/>
  <c r="AE2" i="18"/>
  <c r="AK1" i="18"/>
  <c r="AI2" i="18"/>
  <c r="AH2" i="18"/>
  <c r="BA14" i="1" l="1"/>
  <c r="BT14" i="1"/>
  <c r="BS14" i="1"/>
  <c r="AZ14" i="1"/>
  <c r="BQ18" i="2"/>
  <c r="Q17" i="1" s="1"/>
  <c r="AG17" i="1" s="1"/>
  <c r="BR18" i="2"/>
  <c r="R17" i="1" s="1"/>
  <c r="AH17" i="1" s="1"/>
  <c r="BR17" i="2"/>
  <c r="R16" i="1" s="1"/>
  <c r="BQ17" i="2"/>
  <c r="Q16" i="1" s="1"/>
  <c r="BF2" i="1"/>
  <c r="BI2" i="1"/>
  <c r="BH2" i="1"/>
  <c r="AU1" i="18"/>
  <c r="BT17" i="1" l="1"/>
  <c r="BA17" i="1"/>
  <c r="AZ17" i="1"/>
  <c r="BS17" i="1"/>
  <c r="BQ20" i="2"/>
  <c r="Q19" i="1" s="1"/>
  <c r="AG19" i="1" s="1"/>
  <c r="BR20" i="2"/>
  <c r="R19" i="1" s="1"/>
  <c r="AH19" i="1" s="1"/>
  <c r="BR19" i="2"/>
  <c r="R18" i="1" s="1"/>
  <c r="BQ19" i="2"/>
  <c r="Q18" i="1" s="1"/>
  <c r="BB1" i="18"/>
  <c r="BA19" i="1" l="1"/>
  <c r="BT19" i="1"/>
  <c r="BS19" i="1"/>
  <c r="AZ19" i="1"/>
  <c r="BR21" i="2"/>
  <c r="R20" i="1" s="1"/>
  <c r="AH20" i="1" s="1"/>
  <c r="BQ21" i="2"/>
  <c r="Q20" i="1" s="1"/>
  <c r="AG20" i="1" s="1"/>
  <c r="BQ22" i="2"/>
  <c r="Q21" i="1" s="1"/>
  <c r="AG21" i="1" s="1"/>
  <c r="BR22" i="2"/>
  <c r="R21" i="1" s="1"/>
  <c r="AH21" i="1" s="1"/>
  <c r="BT21" i="1" l="1"/>
  <c r="BA21" i="1"/>
  <c r="BS21" i="1"/>
  <c r="AZ21" i="1"/>
  <c r="AZ20" i="1"/>
  <c r="BS20" i="1"/>
  <c r="BT20" i="1"/>
  <c r="BA20" i="1"/>
  <c r="BQ24" i="2"/>
  <c r="Q23" i="1" s="1"/>
  <c r="AG23" i="1" s="1"/>
  <c r="BR24" i="2"/>
  <c r="R23" i="1" s="1"/>
  <c r="AH23" i="1" s="1"/>
  <c r="BR23" i="2"/>
  <c r="R22" i="1" s="1"/>
  <c r="BQ23" i="2"/>
  <c r="Q22" i="1" s="1"/>
  <c r="BT23" i="1" l="1"/>
  <c r="BA23" i="1"/>
  <c r="BS23" i="1"/>
  <c r="AZ23" i="1"/>
  <c r="BQ26" i="2"/>
  <c r="Q25" i="1" s="1"/>
  <c r="BR26" i="2"/>
  <c r="R25" i="1" s="1"/>
  <c r="BR25" i="2"/>
  <c r="R24" i="1" s="1"/>
  <c r="AH24" i="1" s="1"/>
  <c r="BQ25" i="2"/>
  <c r="Q24" i="1" s="1"/>
  <c r="AG24" i="1" s="1"/>
  <c r="BS24" i="1" l="1"/>
  <c r="AZ24" i="1"/>
  <c r="BT24" i="1"/>
  <c r="BA24" i="1"/>
  <c r="BR27" i="2"/>
  <c r="R26" i="1" s="1"/>
  <c r="BQ27" i="2"/>
  <c r="Q26" i="1" s="1"/>
  <c r="BQ28" i="2"/>
  <c r="Q27" i="1" s="1"/>
  <c r="AG27" i="1" s="1"/>
  <c r="BR28" i="2"/>
  <c r="R27" i="1" s="1"/>
  <c r="AH27" i="1" s="1"/>
  <c r="BT27" i="1" l="1"/>
  <c r="BA27" i="1"/>
  <c r="BS27" i="1"/>
  <c r="AZ27" i="1"/>
  <c r="BR29" i="2"/>
  <c r="R28" i="1" s="1"/>
  <c r="AH28" i="1" s="1"/>
  <c r="BQ29" i="2"/>
  <c r="Q28" i="1" s="1"/>
  <c r="AG28" i="1" s="1"/>
  <c r="BQ30" i="2"/>
  <c r="Q29" i="1" s="1"/>
  <c r="BR30" i="2"/>
  <c r="R29" i="1" s="1"/>
  <c r="AZ28" i="1" l="1"/>
  <c r="BS28" i="1"/>
  <c r="BA28" i="1"/>
  <c r="BT28" i="1"/>
  <c r="BR32" i="2"/>
  <c r="R31" i="1" s="1"/>
  <c r="BQ32" i="2"/>
  <c r="Q31" i="1" s="1"/>
  <c r="BR31" i="2"/>
  <c r="R30" i="1" s="1"/>
  <c r="AH30" i="1" s="1"/>
  <c r="BQ31" i="2"/>
  <c r="Q30" i="1" s="1"/>
  <c r="AG30" i="1" s="1"/>
  <c r="BS30" i="1" l="1"/>
  <c r="AZ30" i="1"/>
  <c r="BA30" i="1"/>
  <c r="BT30" i="1"/>
  <c r="BR33" i="2"/>
  <c r="R32" i="1" s="1"/>
  <c r="AH32" i="1" s="1"/>
  <c r="BQ33" i="2"/>
  <c r="Q32" i="1" s="1"/>
  <c r="AG32" i="1" s="1"/>
  <c r="BR34" i="2"/>
  <c r="R33" i="1" s="1"/>
  <c r="AH33" i="1" s="1"/>
  <c r="BQ34" i="2"/>
  <c r="Q33" i="1" s="1"/>
  <c r="AG33" i="1" s="1"/>
  <c r="BA33" i="1" l="1"/>
  <c r="BT33" i="1"/>
  <c r="AZ32" i="1"/>
  <c r="BS32" i="1"/>
  <c r="BS33" i="1"/>
  <c r="AZ33" i="1"/>
  <c r="BT32" i="1"/>
  <c r="BA32" i="1"/>
  <c r="BR36" i="2"/>
  <c r="R35" i="1" s="1"/>
  <c r="BQ36" i="2"/>
  <c r="Q35" i="1" s="1"/>
  <c r="BR35" i="2"/>
  <c r="R34" i="1" s="1"/>
  <c r="BQ35" i="2"/>
  <c r="Q34" i="1" s="1"/>
  <c r="BR37" i="2" l="1"/>
  <c r="R36" i="1" s="1"/>
  <c r="AH36" i="1" s="1"/>
  <c r="BQ37" i="2"/>
  <c r="Q36" i="1" s="1"/>
  <c r="AG36" i="1" s="1"/>
  <c r="BR38" i="2"/>
  <c r="R37" i="1" s="1"/>
  <c r="AH37" i="1" s="1"/>
  <c r="BQ38" i="2"/>
  <c r="Q37" i="1" s="1"/>
  <c r="AG37" i="1" s="1"/>
  <c r="BS37" i="1" l="1"/>
  <c r="AZ37" i="1"/>
  <c r="AZ36" i="1"/>
  <c r="BS36" i="1"/>
  <c r="BT37" i="1"/>
  <c r="BA37" i="1"/>
  <c r="BA36" i="1"/>
  <c r="BT36" i="1"/>
  <c r="BQ40" i="2"/>
  <c r="Q39" i="1" s="1"/>
  <c r="BR40" i="2"/>
  <c r="R39" i="1" s="1"/>
  <c r="BR39" i="2"/>
  <c r="R38" i="1" s="1"/>
  <c r="AH38" i="1" s="1"/>
  <c r="BQ39" i="2"/>
  <c r="Q38" i="1" s="1"/>
  <c r="AG38" i="1" s="1"/>
  <c r="BA38" i="1" l="1"/>
  <c r="BT38" i="1"/>
  <c r="AZ38" i="1"/>
  <c r="BS38" i="1"/>
  <c r="BQ42" i="2"/>
  <c r="Q41" i="1" s="1"/>
  <c r="AG41" i="1" s="1"/>
  <c r="BR42" i="2"/>
  <c r="R41" i="1" s="1"/>
  <c r="AH41" i="1" s="1"/>
  <c r="BR41" i="2"/>
  <c r="R40" i="1" s="1"/>
  <c r="AH40" i="1" s="1"/>
  <c r="BQ41" i="2"/>
  <c r="Q40" i="1" s="1"/>
  <c r="AG40" i="1" s="1"/>
  <c r="BS40" i="1" l="1"/>
  <c r="AZ40" i="1"/>
  <c r="BT40" i="1"/>
  <c r="BA40" i="1"/>
  <c r="AZ41" i="1"/>
  <c r="BS41" i="1"/>
  <c r="BA41" i="1"/>
  <c r="BT41" i="1"/>
  <c r="BR43" i="2"/>
  <c r="R42" i="1" s="1"/>
  <c r="BQ43" i="2"/>
  <c r="Q42" i="1" s="1"/>
  <c r="BQ44" i="2"/>
  <c r="Q43" i="1" s="1"/>
  <c r="AG43" i="1" s="1"/>
  <c r="BR44" i="2"/>
  <c r="R43" i="1" s="1"/>
  <c r="AH43" i="1" s="1"/>
  <c r="BT43" i="1" l="1"/>
  <c r="BA43" i="1"/>
  <c r="BS43" i="1"/>
  <c r="AZ43" i="1"/>
  <c r="BQ46" i="2"/>
  <c r="Q45" i="1" s="1"/>
  <c r="AG45" i="1" s="1"/>
  <c r="BR46" i="2"/>
  <c r="R45" i="1" s="1"/>
  <c r="AH45" i="1" s="1"/>
  <c r="BQ45" i="2"/>
  <c r="Q44" i="1" s="1"/>
  <c r="AG44" i="1" s="1"/>
  <c r="BR45" i="2"/>
  <c r="R44" i="1" s="1"/>
  <c r="AH44" i="1" s="1"/>
  <c r="BA44" i="1" l="1"/>
  <c r="BT44" i="1"/>
  <c r="BT45" i="1"/>
  <c r="BA45" i="1"/>
  <c r="AZ44" i="1"/>
  <c r="BS44" i="1"/>
  <c r="BS45" i="1"/>
  <c r="AZ45" i="1"/>
  <c r="BQ47" i="2"/>
  <c r="Q46" i="1" s="1"/>
  <c r="BR47" i="2"/>
  <c r="R46" i="1" s="1"/>
  <c r="BQ48" i="2"/>
  <c r="Q47" i="1" s="1"/>
  <c r="AG47" i="1" s="1"/>
  <c r="BR48" i="2"/>
  <c r="R47" i="1" s="1"/>
  <c r="AH47" i="1" s="1"/>
  <c r="AZ47" i="1" l="1"/>
  <c r="BS47" i="1"/>
  <c r="BA47" i="1"/>
  <c r="BT47" i="1"/>
  <c r="BR50" i="2"/>
  <c r="R49" i="1" s="1"/>
  <c r="AH49" i="1" s="1"/>
  <c r="BQ50" i="2"/>
  <c r="Q49" i="1" s="1"/>
  <c r="AG49" i="1" s="1"/>
  <c r="BQ49" i="2"/>
  <c r="Q48" i="1" s="1"/>
  <c r="AG48" i="1" s="1"/>
  <c r="BR49" i="2"/>
  <c r="R48" i="1" s="1"/>
  <c r="AH48" i="1" s="1"/>
  <c r="BS48" i="1" l="1"/>
  <c r="AZ48" i="1"/>
  <c r="BS49" i="1"/>
  <c r="AZ49" i="1"/>
  <c r="BT48" i="1"/>
  <c r="BA48" i="1"/>
  <c r="BT49" i="1"/>
  <c r="BA49" i="1"/>
  <c r="BQ52" i="2"/>
  <c r="Q51" i="1" s="1"/>
  <c r="AG51" i="1" s="1"/>
  <c r="BR52" i="2"/>
  <c r="R51" i="1" s="1"/>
  <c r="AH51" i="1" s="1"/>
  <c r="BQ51" i="2"/>
  <c r="Q50" i="1" s="1"/>
  <c r="AG50" i="1" s="1"/>
  <c r="BR51" i="2"/>
  <c r="R50" i="1" s="1"/>
  <c r="AH50" i="1" s="1"/>
  <c r="BA50" i="1" l="1"/>
  <c r="BT50" i="1"/>
  <c r="AZ50" i="1"/>
  <c r="BS50" i="1"/>
  <c r="BT51" i="1"/>
  <c r="BA51" i="1"/>
  <c r="BS51" i="1"/>
  <c r="AZ51" i="1"/>
  <c r="BR54" i="2"/>
  <c r="R53" i="1" s="1"/>
  <c r="BQ54" i="2"/>
  <c r="Q53" i="1" s="1"/>
  <c r="BR53" i="2"/>
  <c r="R52" i="1" s="1"/>
  <c r="BQ53" i="2"/>
  <c r="Q52" i="1" s="1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55" i="1" s="1"/>
  <c r="BR56" i="2"/>
  <c r="R55" i="1" s="1"/>
  <c r="BQ55" i="2"/>
  <c r="Q54" i="1" s="1"/>
  <c r="AG54" i="1" s="1"/>
  <c r="BR55" i="2"/>
  <c r="R54" i="1" s="1"/>
  <c r="AH54" i="1" s="1"/>
  <c r="I598" i="6"/>
  <c r="J598" i="6"/>
  <c r="I599" i="6"/>
  <c r="J599" i="6"/>
  <c r="I600" i="6"/>
  <c r="J600" i="6"/>
  <c r="BT54" i="1" l="1"/>
  <c r="BA54" i="1"/>
  <c r="AZ54" i="1"/>
  <c r="BS54" i="1"/>
  <c r="BQ58" i="2"/>
  <c r="Q57" i="1" s="1"/>
  <c r="BR58" i="2"/>
  <c r="R57" i="1" s="1"/>
  <c r="BQ57" i="2"/>
  <c r="Q56" i="1" s="1"/>
  <c r="AG56" i="1" s="1"/>
  <c r="BR57" i="2"/>
  <c r="R56" i="1" s="1"/>
  <c r="AH56" i="1" s="1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T56" i="1" l="1"/>
  <c r="BA56" i="1"/>
  <c r="AZ56" i="1"/>
  <c r="BS56" i="1"/>
  <c r="BQ60" i="2"/>
  <c r="Q59" i="1" s="1"/>
  <c r="BR60" i="2"/>
  <c r="R59" i="1" s="1"/>
  <c r="BQ59" i="2"/>
  <c r="Q58" i="1" s="1"/>
  <c r="BR59" i="2"/>
  <c r="R58" i="1" s="1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Q60" i="1" s="1"/>
  <c r="BR61" i="2"/>
  <c r="R60" i="1" s="1"/>
  <c r="BQ62" i="2"/>
  <c r="Q61" i="1" s="1"/>
  <c r="BR62" i="2"/>
  <c r="R61" i="1" s="1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Q63" i="1" s="1"/>
  <c r="BR64" i="2"/>
  <c r="R63" i="1" s="1"/>
  <c r="BQ63" i="2"/>
  <c r="Q62" i="1" s="1"/>
  <c r="AG62" i="1" s="1"/>
  <c r="BR63" i="2"/>
  <c r="R62" i="1" s="1"/>
  <c r="AH62" i="1" s="1"/>
  <c r="J3" i="15"/>
  <c r="K2" i="15"/>
  <c r="F565" i="1"/>
  <c r="F551" i="1"/>
  <c r="F539" i="1"/>
  <c r="BT62" i="1" l="1"/>
  <c r="BA62" i="1"/>
  <c r="AZ62" i="1"/>
  <c r="BS62" i="1"/>
  <c r="BR65" i="2"/>
  <c r="R64" i="1" s="1"/>
  <c r="AH64" i="1" s="1"/>
  <c r="BQ65" i="2"/>
  <c r="Q64" i="1" s="1"/>
  <c r="AG64" i="1" s="1"/>
  <c r="BR66" i="2"/>
  <c r="R65" i="1" s="1"/>
  <c r="BQ66" i="2"/>
  <c r="Q65" i="1" s="1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AZ64" i="1" l="1"/>
  <c r="BS64" i="1"/>
  <c r="BA64" i="1"/>
  <c r="BT64" i="1"/>
  <c r="BR68" i="2"/>
  <c r="R67" i="1" s="1"/>
  <c r="BQ68" i="2"/>
  <c r="Q67" i="1" s="1"/>
  <c r="BQ67" i="2"/>
  <c r="Q66" i="1" s="1"/>
  <c r="AG66" i="1" s="1"/>
  <c r="BR67" i="2"/>
  <c r="R66" i="1" s="1"/>
  <c r="AH66" i="1" s="1"/>
  <c r="L3" i="15"/>
  <c r="M2" i="15"/>
  <c r="M3" i="15" s="1"/>
  <c r="AZ66" i="1" l="1"/>
  <c r="BS66" i="1"/>
  <c r="BA66" i="1"/>
  <c r="BT66" i="1"/>
  <c r="BQ69" i="2"/>
  <c r="Q68" i="1" s="1"/>
  <c r="BR69" i="2"/>
  <c r="R68" i="1" s="1"/>
  <c r="BR70" i="2"/>
  <c r="R69" i="1" s="1"/>
  <c r="AH69" i="1" s="1"/>
  <c r="BQ70" i="2"/>
  <c r="Q69" i="1" s="1"/>
  <c r="AG69" i="1" s="1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AZ69" i="1" l="1"/>
  <c r="BS69" i="1"/>
  <c r="BT69" i="1"/>
  <c r="BA69" i="1"/>
  <c r="BQ71" i="2"/>
  <c r="Q70" i="1" s="1"/>
  <c r="AG70" i="1" s="1"/>
  <c r="BR71" i="2"/>
  <c r="R70" i="1" s="1"/>
  <c r="AH70" i="1" s="1"/>
  <c r="BR72" i="2"/>
  <c r="R71" i="1" s="1"/>
  <c r="AH71" i="1" s="1"/>
  <c r="BQ72" i="2"/>
  <c r="Q71" i="1" s="1"/>
  <c r="AG71" i="1" s="1"/>
  <c r="A2" i="14"/>
  <c r="BG1" i="1"/>
  <c r="BK1" i="1"/>
  <c r="BL1" i="1"/>
  <c r="BM1" i="1"/>
  <c r="BN1" i="1"/>
  <c r="BO1" i="1"/>
  <c r="BW1" i="1"/>
  <c r="BE1" i="1"/>
  <c r="BG270" i="1" l="1"/>
  <c r="BG569" i="1"/>
  <c r="BQ569" i="1" s="1"/>
  <c r="BG425" i="1"/>
  <c r="BQ425" i="1" s="1"/>
  <c r="BG389" i="1"/>
  <c r="BG353" i="1"/>
  <c r="BQ353" i="1" s="1"/>
  <c r="BG281" i="1"/>
  <c r="BG101" i="1"/>
  <c r="BG65" i="1"/>
  <c r="BG29" i="1"/>
  <c r="BG448" i="1"/>
  <c r="BG148" i="1"/>
  <c r="BQ148" i="1" s="1"/>
  <c r="BG124" i="1"/>
  <c r="BQ124" i="1" s="1"/>
  <c r="BG543" i="1"/>
  <c r="BG315" i="1"/>
  <c r="BQ315" i="1" s="1"/>
  <c r="BG222" i="1"/>
  <c r="BQ222" i="1" s="1"/>
  <c r="BG162" i="1"/>
  <c r="BQ162" i="1" s="1"/>
  <c r="BG439" i="1"/>
  <c r="BG329" i="1"/>
  <c r="BQ329" i="1" s="1"/>
  <c r="BG317" i="1"/>
  <c r="BG269" i="1"/>
  <c r="BG604" i="1"/>
  <c r="BQ604" i="1" s="1"/>
  <c r="BG436" i="1"/>
  <c r="BG328" i="1"/>
  <c r="BG208" i="1"/>
  <c r="BG427" i="1"/>
  <c r="BQ427" i="1" s="1"/>
  <c r="BG291" i="1"/>
  <c r="BG606" i="1"/>
  <c r="BQ606" i="1" s="1"/>
  <c r="BG510" i="1"/>
  <c r="BQ510" i="1" s="1"/>
  <c r="BG486" i="1"/>
  <c r="BQ486" i="1" s="1"/>
  <c r="BG402" i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G113" i="1"/>
  <c r="BQ113" i="1" s="1"/>
  <c r="BG472" i="1"/>
  <c r="BQ472" i="1" s="1"/>
  <c r="BG280" i="1"/>
  <c r="BG256" i="1"/>
  <c r="BQ256" i="1" s="1"/>
  <c r="BG411" i="1"/>
  <c r="BQ411" i="1" s="1"/>
  <c r="BG279" i="1"/>
  <c r="BG183" i="1"/>
  <c r="BG139" i="1"/>
  <c r="BG450" i="1"/>
  <c r="BQ450" i="1" s="1"/>
  <c r="BG366" i="1"/>
  <c r="BQ366" i="1" s="1"/>
  <c r="BG210" i="1"/>
  <c r="BQ210" i="1" s="1"/>
  <c r="BG198" i="1"/>
  <c r="BG138" i="1"/>
  <c r="BG209" i="1"/>
  <c r="BG53" i="1"/>
  <c r="BG316" i="1"/>
  <c r="BQ316" i="1" s="1"/>
  <c r="BG28" i="1"/>
  <c r="BG591" i="1"/>
  <c r="BQ591" i="1" s="1"/>
  <c r="BG447" i="1"/>
  <c r="BG387" i="1"/>
  <c r="BG267" i="1"/>
  <c r="BG243" i="1"/>
  <c r="BG195" i="1"/>
  <c r="BQ195" i="1" s="1"/>
  <c r="BG582" i="1"/>
  <c r="BG546" i="1"/>
  <c r="BG234" i="1"/>
  <c r="BG102" i="1"/>
  <c r="BG352" i="1"/>
  <c r="BG579" i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G354" i="1"/>
  <c r="BQ354" i="1" s="1"/>
  <c r="BG497" i="1"/>
  <c r="BQ497" i="1" s="1"/>
  <c r="BG377" i="1"/>
  <c r="BG520" i="1"/>
  <c r="BQ520" i="1" s="1"/>
  <c r="BG376" i="1"/>
  <c r="BG292" i="1"/>
  <c r="BQ292" i="1" s="1"/>
  <c r="BG16" i="1"/>
  <c r="BG211" i="1"/>
  <c r="BQ211" i="1" s="1"/>
  <c r="BG462" i="1"/>
  <c r="BG414" i="1"/>
  <c r="BQ414" i="1" s="1"/>
  <c r="BG66" i="1"/>
  <c r="BG18" i="1"/>
  <c r="BG6" i="1"/>
  <c r="BG367" i="1"/>
  <c r="BQ367" i="1" s="1"/>
  <c r="BG187" i="1"/>
  <c r="BG545" i="1"/>
  <c r="BQ545" i="1" s="1"/>
  <c r="BG185" i="1"/>
  <c r="BG41" i="1"/>
  <c r="BG544" i="1"/>
  <c r="BQ544" i="1" s="1"/>
  <c r="BG496" i="1"/>
  <c r="BG460" i="1"/>
  <c r="BG304" i="1"/>
  <c r="BG184" i="1"/>
  <c r="BG136" i="1"/>
  <c r="BG100" i="1"/>
  <c r="BG52" i="1"/>
  <c r="BG40" i="1"/>
  <c r="BG4" i="1"/>
  <c r="BG495" i="1"/>
  <c r="BG423" i="1"/>
  <c r="BQ423" i="1" s="1"/>
  <c r="BG339" i="1"/>
  <c r="BG327" i="1"/>
  <c r="BG159" i="1"/>
  <c r="BG283" i="1"/>
  <c r="BQ283" i="1" s="1"/>
  <c r="BG342" i="1"/>
  <c r="BG330" i="1"/>
  <c r="BQ330" i="1" s="1"/>
  <c r="BG306" i="1"/>
  <c r="BQ306" i="1" s="1"/>
  <c r="BG246" i="1"/>
  <c r="BQ246" i="1" s="1"/>
  <c r="BG78" i="1"/>
  <c r="BG42" i="1"/>
  <c r="BG30" i="1"/>
  <c r="BG523" i="1"/>
  <c r="BQ523" i="1" s="1"/>
  <c r="BG449" i="1"/>
  <c r="BQ449" i="1" s="1"/>
  <c r="BG365" i="1"/>
  <c r="BQ365" i="1" s="1"/>
  <c r="BG17" i="1"/>
  <c r="BG5" i="1"/>
  <c r="BG595" i="1"/>
  <c r="BG508" i="1"/>
  <c r="BQ508" i="1" s="1"/>
  <c r="BG412" i="1"/>
  <c r="BQ412" i="1" s="1"/>
  <c r="BG400" i="1"/>
  <c r="BQ400" i="1" s="1"/>
  <c r="BG364" i="1"/>
  <c r="BG64" i="1"/>
  <c r="BG615" i="1"/>
  <c r="BQ615" i="1" s="1"/>
  <c r="BG471" i="1"/>
  <c r="BQ471" i="1" s="1"/>
  <c r="BG618" i="1"/>
  <c r="BG258" i="1"/>
  <c r="BQ258" i="1" s="1"/>
  <c r="BG186" i="1"/>
  <c r="BG174" i="1"/>
  <c r="BG126" i="1"/>
  <c r="BQ126" i="1" s="1"/>
  <c r="BG54" i="1"/>
  <c r="BG617" i="1"/>
  <c r="BG557" i="1"/>
  <c r="BQ557" i="1" s="1"/>
  <c r="BG437" i="1"/>
  <c r="BG77" i="1"/>
  <c r="BG616" i="1"/>
  <c r="BQ616" i="1" s="1"/>
  <c r="BG592" i="1"/>
  <c r="BQ592" i="1" s="1"/>
  <c r="BG568" i="1"/>
  <c r="BQ568" i="1" s="1"/>
  <c r="BG484" i="1"/>
  <c r="BG172" i="1"/>
  <c r="BQ172" i="1" s="1"/>
  <c r="BG88" i="1"/>
  <c r="BG603" i="1"/>
  <c r="BG255" i="1"/>
  <c r="BQ255" i="1" s="1"/>
  <c r="BG231" i="1"/>
  <c r="BG219" i="1"/>
  <c r="BQ219" i="1" s="1"/>
  <c r="BG534" i="1"/>
  <c r="BQ534" i="1" s="1"/>
  <c r="BG522" i="1"/>
  <c r="BQ522" i="1" s="1"/>
  <c r="BG438" i="1"/>
  <c r="BG114" i="1"/>
  <c r="BQ114" i="1" s="1"/>
  <c r="BG485" i="1"/>
  <c r="BG461" i="1"/>
  <c r="BG413" i="1"/>
  <c r="BQ413" i="1" s="1"/>
  <c r="BG305" i="1"/>
  <c r="BQ305" i="1" s="1"/>
  <c r="BG197" i="1"/>
  <c r="BG137" i="1"/>
  <c r="BG125" i="1"/>
  <c r="BQ125" i="1" s="1"/>
  <c r="BG89" i="1"/>
  <c r="BG343" i="1"/>
  <c r="BQ343" i="1" s="1"/>
  <c r="BG580" i="1"/>
  <c r="BG556" i="1"/>
  <c r="BQ556" i="1" s="1"/>
  <c r="BG532" i="1"/>
  <c r="BQ532" i="1" s="1"/>
  <c r="BG388" i="1"/>
  <c r="BG244" i="1"/>
  <c r="BQ244" i="1" s="1"/>
  <c r="BG571" i="1"/>
  <c r="BQ571" i="1" s="1"/>
  <c r="BG294" i="1"/>
  <c r="BG150" i="1"/>
  <c r="BQ150" i="1" s="1"/>
  <c r="BG271" i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G268" i="1"/>
  <c r="BG160" i="1"/>
  <c r="BQ160" i="1" s="1"/>
  <c r="BG76" i="1"/>
  <c r="BG607" i="1"/>
  <c r="BQ607" i="1" s="1"/>
  <c r="BG567" i="1"/>
  <c r="BQ567" i="1" s="1"/>
  <c r="BG531" i="1"/>
  <c r="BG519" i="1"/>
  <c r="BG459" i="1"/>
  <c r="BG399" i="1"/>
  <c r="BQ399" i="1" s="1"/>
  <c r="BG351" i="1"/>
  <c r="BG487" i="1"/>
  <c r="BG558" i="1"/>
  <c r="BG474" i="1"/>
  <c r="BQ474" i="1" s="1"/>
  <c r="BG426" i="1"/>
  <c r="BQ426" i="1" s="1"/>
  <c r="BG390" i="1"/>
  <c r="BG318" i="1"/>
  <c r="BG282" i="1"/>
  <c r="BQ282" i="1" s="1"/>
  <c r="BG581" i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G220" i="1"/>
  <c r="BQ220" i="1" s="1"/>
  <c r="BG196" i="1"/>
  <c r="BQ196" i="1" s="1"/>
  <c r="BG112" i="1"/>
  <c r="BQ112" i="1" s="1"/>
  <c r="BG483" i="1"/>
  <c r="BG375" i="1"/>
  <c r="BG363" i="1"/>
  <c r="BG303" i="1"/>
  <c r="BG27" i="1"/>
  <c r="BG494" i="1"/>
  <c r="BG110" i="1"/>
  <c r="BQ110" i="1" s="1"/>
  <c r="BG463" i="1"/>
  <c r="BG331" i="1"/>
  <c r="BQ331" i="1" s="1"/>
  <c r="BG313" i="1"/>
  <c r="BQ313" i="1" s="1"/>
  <c r="BG277" i="1"/>
  <c r="BG25" i="1"/>
  <c r="BG444" i="1"/>
  <c r="BG204" i="1"/>
  <c r="BQ204" i="1" s="1"/>
  <c r="BG611" i="1"/>
  <c r="BQ611" i="1" s="1"/>
  <c r="BG539" i="1"/>
  <c r="BQ539" i="1" s="1"/>
  <c r="BG491" i="1"/>
  <c r="BG455" i="1"/>
  <c r="BQ455" i="1" s="1"/>
  <c r="BG323" i="1"/>
  <c r="BQ323" i="1" s="1"/>
  <c r="BG191" i="1"/>
  <c r="BG207" i="1"/>
  <c r="BG123" i="1"/>
  <c r="BG99" i="1"/>
  <c r="BG590" i="1"/>
  <c r="BQ590" i="1" s="1"/>
  <c r="BG566" i="1"/>
  <c r="BQ566" i="1" s="1"/>
  <c r="BG518" i="1"/>
  <c r="BG446" i="1"/>
  <c r="BG350" i="1"/>
  <c r="BG230" i="1"/>
  <c r="BG577" i="1"/>
  <c r="BQ577" i="1" s="1"/>
  <c r="BG337" i="1"/>
  <c r="BQ337" i="1" s="1"/>
  <c r="BG499" i="1"/>
  <c r="BQ499" i="1" s="1"/>
  <c r="BG300" i="1"/>
  <c r="BQ300" i="1" s="1"/>
  <c r="BG12" i="1"/>
  <c r="BG479" i="1"/>
  <c r="BQ479" i="1" s="1"/>
  <c r="BG119" i="1"/>
  <c r="BG3" i="1"/>
  <c r="BG602" i="1"/>
  <c r="BG362" i="1"/>
  <c r="BG314" i="1"/>
  <c r="BG182" i="1"/>
  <c r="BQ182" i="1" s="1"/>
  <c r="BG50" i="1"/>
  <c r="BG199" i="1"/>
  <c r="BQ199" i="1" s="1"/>
  <c r="BG409" i="1"/>
  <c r="BQ409" i="1" s="1"/>
  <c r="BG13" i="1"/>
  <c r="BG613" i="1"/>
  <c r="BQ613" i="1" s="1"/>
  <c r="BG540" i="1"/>
  <c r="BG348" i="1"/>
  <c r="BG324" i="1"/>
  <c r="BQ324" i="1" s="1"/>
  <c r="BG132" i="1"/>
  <c r="BQ132" i="1" s="1"/>
  <c r="BG275" i="1"/>
  <c r="BG239" i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G115" i="1"/>
  <c r="BG601" i="1"/>
  <c r="BG553" i="1"/>
  <c r="BQ553" i="1" s="1"/>
  <c r="BG493" i="1"/>
  <c r="BG457" i="1"/>
  <c r="BG325" i="1"/>
  <c r="BQ325" i="1" s="1"/>
  <c r="BG37" i="1"/>
  <c r="BG600" i="1"/>
  <c r="BG480" i="1"/>
  <c r="BG156" i="1"/>
  <c r="BQ156" i="1" s="1"/>
  <c r="BG503" i="1"/>
  <c r="BG359" i="1"/>
  <c r="BG179" i="1"/>
  <c r="BQ179" i="1" s="1"/>
  <c r="BG167" i="1"/>
  <c r="BG398" i="1"/>
  <c r="BQ398" i="1" s="1"/>
  <c r="BG386" i="1"/>
  <c r="BQ386" i="1" s="1"/>
  <c r="BG278" i="1"/>
  <c r="BG7" i="1"/>
  <c r="BG541" i="1"/>
  <c r="BG373" i="1"/>
  <c r="BG301" i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G456" i="1"/>
  <c r="BQ456" i="1" s="1"/>
  <c r="BG420" i="1"/>
  <c r="BG372" i="1"/>
  <c r="BG288" i="1"/>
  <c r="BG252" i="1"/>
  <c r="BQ252" i="1" s="1"/>
  <c r="BG527" i="1"/>
  <c r="BG431" i="1"/>
  <c r="BQ431" i="1" s="1"/>
  <c r="BG407" i="1"/>
  <c r="BQ407" i="1" s="1"/>
  <c r="BG383" i="1"/>
  <c r="BQ383" i="1" s="1"/>
  <c r="BG311" i="1"/>
  <c r="BQ311" i="1" s="1"/>
  <c r="BG299" i="1"/>
  <c r="BG251" i="1"/>
  <c r="BQ251" i="1" s="1"/>
  <c r="BG135" i="1"/>
  <c r="BG75" i="1"/>
  <c r="BQ75" i="1" s="1"/>
  <c r="BG410" i="1"/>
  <c r="BQ410" i="1" s="1"/>
  <c r="BG338" i="1"/>
  <c r="BQ338" i="1" s="1"/>
  <c r="BG242" i="1"/>
  <c r="BG122" i="1"/>
  <c r="BQ122" i="1" s="1"/>
  <c r="BG403" i="1"/>
  <c r="BG67" i="1"/>
  <c r="BG565" i="1"/>
  <c r="BG517" i="1"/>
  <c r="BG481" i="1"/>
  <c r="BG421" i="1"/>
  <c r="BG349" i="1"/>
  <c r="BG265" i="1"/>
  <c r="BQ265" i="1" s="1"/>
  <c r="BG157" i="1"/>
  <c r="BQ157" i="1" s="1"/>
  <c r="BG85" i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G434" i="1"/>
  <c r="BG266" i="1"/>
  <c r="BQ266" i="1" s="1"/>
  <c r="BG469" i="1"/>
  <c r="BG385" i="1"/>
  <c r="BQ385" i="1" s="1"/>
  <c r="BG145" i="1"/>
  <c r="BQ145" i="1" s="1"/>
  <c r="BG133" i="1"/>
  <c r="BQ133" i="1" s="1"/>
  <c r="BG121" i="1"/>
  <c r="BG612" i="1"/>
  <c r="BQ612" i="1" s="1"/>
  <c r="BG216" i="1"/>
  <c r="BQ216" i="1" s="1"/>
  <c r="BG108" i="1"/>
  <c r="BQ108" i="1" s="1"/>
  <c r="BG24" i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G194" i="1"/>
  <c r="BG170" i="1"/>
  <c r="BQ170" i="1" s="1"/>
  <c r="BG589" i="1"/>
  <c r="BQ589" i="1" s="1"/>
  <c r="BG49" i="1"/>
  <c r="BG576" i="1"/>
  <c r="BQ576" i="1" s="1"/>
  <c r="BG552" i="1"/>
  <c r="BQ552" i="1" s="1"/>
  <c r="BG516" i="1"/>
  <c r="BQ516" i="1" s="1"/>
  <c r="BG276" i="1"/>
  <c r="BQ276" i="1" s="1"/>
  <c r="BG240" i="1"/>
  <c r="BG168" i="1"/>
  <c r="BG84" i="1"/>
  <c r="BG599" i="1"/>
  <c r="BG371" i="1"/>
  <c r="BG15" i="1"/>
  <c r="BG614" i="1"/>
  <c r="BQ614" i="1" s="1"/>
  <c r="BG554" i="1"/>
  <c r="BQ554" i="1" s="1"/>
  <c r="BG529" i="1"/>
  <c r="BQ529" i="1" s="1"/>
  <c r="BG505" i="1"/>
  <c r="BG181" i="1"/>
  <c r="BQ181" i="1" s="1"/>
  <c r="BG169" i="1"/>
  <c r="BQ169" i="1" s="1"/>
  <c r="BG408" i="1"/>
  <c r="BQ408" i="1" s="1"/>
  <c r="BG192" i="1"/>
  <c r="BG120" i="1"/>
  <c r="BG467" i="1"/>
  <c r="BG443" i="1"/>
  <c r="BQ443" i="1" s="1"/>
  <c r="BG419" i="1"/>
  <c r="BG63" i="1"/>
  <c r="BG578" i="1"/>
  <c r="BG530" i="1"/>
  <c r="BG470" i="1"/>
  <c r="BG374" i="1"/>
  <c r="BG302" i="1"/>
  <c r="BG254" i="1"/>
  <c r="BQ254" i="1" s="1"/>
  <c r="BG86" i="1"/>
  <c r="BG26" i="1"/>
  <c r="BG397" i="1"/>
  <c r="BQ397" i="1" s="1"/>
  <c r="BG241" i="1"/>
  <c r="BG217" i="1"/>
  <c r="BG193" i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G60" i="1"/>
  <c r="BG515" i="1"/>
  <c r="BQ515" i="1" s="1"/>
  <c r="BG347" i="1"/>
  <c r="BG203" i="1"/>
  <c r="BQ203" i="1" s="1"/>
  <c r="BG171" i="1"/>
  <c r="BQ171" i="1" s="1"/>
  <c r="BG111" i="1"/>
  <c r="BQ111" i="1" s="1"/>
  <c r="BG39" i="1"/>
  <c r="BG422" i="1"/>
  <c r="BQ422" i="1" s="1"/>
  <c r="BG158" i="1"/>
  <c r="BG547" i="1"/>
  <c r="BG445" i="1"/>
  <c r="BG433" i="1"/>
  <c r="BG289" i="1"/>
  <c r="BG583" i="1"/>
  <c r="BG223" i="1"/>
  <c r="BQ223" i="1" s="1"/>
  <c r="BG151" i="1"/>
  <c r="BQ151" i="1" s="1"/>
  <c r="BG384" i="1"/>
  <c r="BQ384" i="1" s="1"/>
  <c r="BG360" i="1"/>
  <c r="BG144" i="1"/>
  <c r="BQ144" i="1" s="1"/>
  <c r="BG48" i="1"/>
  <c r="BG287" i="1"/>
  <c r="BQ287" i="1" s="1"/>
  <c r="BG155" i="1"/>
  <c r="BQ155" i="1" s="1"/>
  <c r="BG542" i="1"/>
  <c r="BG482" i="1"/>
  <c r="BG458" i="1"/>
  <c r="BG62" i="1"/>
  <c r="BG38" i="1"/>
  <c r="BG14" i="1"/>
  <c r="BG259" i="1"/>
  <c r="BQ259" i="1" s="1"/>
  <c r="BG361" i="1"/>
  <c r="BG229" i="1"/>
  <c r="BG109" i="1"/>
  <c r="BG492" i="1"/>
  <c r="BG396" i="1"/>
  <c r="BQ396" i="1" s="1"/>
  <c r="BG72" i="1"/>
  <c r="BG36" i="1"/>
  <c r="BG605" i="1"/>
  <c r="BQ605" i="1" s="1"/>
  <c r="BG563" i="1"/>
  <c r="BG395" i="1"/>
  <c r="BQ395" i="1" s="1"/>
  <c r="BG227" i="1"/>
  <c r="BG594" i="1"/>
  <c r="BQ594" i="1" s="1"/>
  <c r="BG574" i="1"/>
  <c r="BQ574" i="1" s="1"/>
  <c r="BG430" i="1"/>
  <c r="BQ430" i="1" s="1"/>
  <c r="BG286" i="1"/>
  <c r="BG70" i="1"/>
  <c r="BG58" i="1"/>
  <c r="BG46" i="1"/>
  <c r="BG417" i="1"/>
  <c r="BG393" i="1"/>
  <c r="BG249" i="1"/>
  <c r="BQ249" i="1" s="1"/>
  <c r="BG9" i="1"/>
  <c r="BG152" i="1"/>
  <c r="BQ152" i="1" s="1"/>
  <c r="BG140" i="1"/>
  <c r="BG80" i="1"/>
  <c r="BG20" i="1"/>
  <c r="BG107" i="1"/>
  <c r="BQ107" i="1" s="1"/>
  <c r="BG562" i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G214" i="1"/>
  <c r="BG34" i="1"/>
  <c r="BG391" i="1"/>
  <c r="BG31" i="1"/>
  <c r="BG333" i="1"/>
  <c r="BQ333" i="1" s="1"/>
  <c r="BG153" i="1"/>
  <c r="BQ153" i="1" s="1"/>
  <c r="BG584" i="1"/>
  <c r="BG488" i="1"/>
  <c r="BG428" i="1"/>
  <c r="BQ428" i="1" s="1"/>
  <c r="BG368" i="1"/>
  <c r="BQ368" i="1" s="1"/>
  <c r="BG593" i="1"/>
  <c r="BQ593" i="1" s="1"/>
  <c r="BG619" i="1"/>
  <c r="BG559" i="1"/>
  <c r="BG511" i="1"/>
  <c r="BQ511" i="1" s="1"/>
  <c r="BG379" i="1"/>
  <c r="BG298" i="1"/>
  <c r="BG250" i="1"/>
  <c r="BQ250" i="1" s="1"/>
  <c r="BG142" i="1"/>
  <c r="BG130" i="1"/>
  <c r="BQ130" i="1" s="1"/>
  <c r="BG106" i="1"/>
  <c r="BG535" i="1"/>
  <c r="BG441" i="1"/>
  <c r="BG309" i="1"/>
  <c r="BG213" i="1"/>
  <c r="BQ213" i="1" s="1"/>
  <c r="BG524" i="1"/>
  <c r="BQ524" i="1" s="1"/>
  <c r="BG512" i="1"/>
  <c r="BQ512" i="1" s="1"/>
  <c r="BG464" i="1"/>
  <c r="BG452" i="1"/>
  <c r="BQ452" i="1" s="1"/>
  <c r="BG392" i="1"/>
  <c r="BG308" i="1"/>
  <c r="BQ308" i="1" s="1"/>
  <c r="BG296" i="1"/>
  <c r="BG35" i="1"/>
  <c r="BG91" i="1"/>
  <c r="BG19" i="1"/>
  <c r="BG610" i="1"/>
  <c r="BQ610" i="1" s="1"/>
  <c r="BG394" i="1"/>
  <c r="BQ394" i="1" s="1"/>
  <c r="BG154" i="1"/>
  <c r="BQ154" i="1" s="1"/>
  <c r="BG22" i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G68" i="1"/>
  <c r="BG131" i="1"/>
  <c r="BQ131" i="1" s="1"/>
  <c r="BG538" i="1"/>
  <c r="BQ538" i="1" s="1"/>
  <c r="BG418" i="1"/>
  <c r="BG346" i="1"/>
  <c r="BG334" i="1"/>
  <c r="BQ334" i="1" s="1"/>
  <c r="BG82" i="1"/>
  <c r="BQ82" i="1" s="1"/>
  <c r="BG79" i="1"/>
  <c r="BG297" i="1"/>
  <c r="BG177" i="1"/>
  <c r="BG141" i="1"/>
  <c r="BG33" i="1"/>
  <c r="BG585" i="1"/>
  <c r="BQ585" i="1" s="1"/>
  <c r="BG500" i="1"/>
  <c r="BQ500" i="1" s="1"/>
  <c r="BG380" i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G200" i="1"/>
  <c r="BQ200" i="1" s="1"/>
  <c r="BG71" i="1"/>
  <c r="BG451" i="1"/>
  <c r="BQ451" i="1" s="1"/>
  <c r="BG235" i="1"/>
  <c r="BG598" i="1"/>
  <c r="BG526" i="1"/>
  <c r="BG442" i="1"/>
  <c r="BG274" i="1"/>
  <c r="BG10" i="1"/>
  <c r="BG175" i="1"/>
  <c r="BG477" i="1"/>
  <c r="BQ477" i="1" s="1"/>
  <c r="BG381" i="1"/>
  <c r="BQ381" i="1" s="1"/>
  <c r="BG285" i="1"/>
  <c r="BG189" i="1"/>
  <c r="BG105" i="1"/>
  <c r="BG69" i="1"/>
  <c r="BG57" i="1"/>
  <c r="BG622" i="1"/>
  <c r="BG272" i="1"/>
  <c r="BQ272" i="1" s="1"/>
  <c r="BG212" i="1"/>
  <c r="BQ212" i="1" s="1"/>
  <c r="BG116" i="1"/>
  <c r="BG104" i="1"/>
  <c r="BG32" i="1"/>
  <c r="BG8" i="1"/>
  <c r="BG143" i="1"/>
  <c r="BG47" i="1"/>
  <c r="BG190" i="1"/>
  <c r="BQ190" i="1" s="1"/>
  <c r="BG319" i="1"/>
  <c r="BG321" i="1"/>
  <c r="BG225" i="1"/>
  <c r="BQ225" i="1" s="1"/>
  <c r="BG93" i="1"/>
  <c r="BG404" i="1"/>
  <c r="BG260" i="1"/>
  <c r="BG92" i="1"/>
  <c r="BG11" i="1"/>
  <c r="BG322" i="1"/>
  <c r="BG310" i="1"/>
  <c r="BG262" i="1"/>
  <c r="BQ262" i="1" s="1"/>
  <c r="BG238" i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G405" i="1"/>
  <c r="BQ405" i="1" s="1"/>
  <c r="BG357" i="1"/>
  <c r="BQ357" i="1" s="1"/>
  <c r="BG201" i="1"/>
  <c r="BQ201" i="1" s="1"/>
  <c r="BG596" i="1"/>
  <c r="BG560" i="1"/>
  <c r="BG440" i="1"/>
  <c r="BG248" i="1"/>
  <c r="BG224" i="1"/>
  <c r="BQ224" i="1" s="1"/>
  <c r="BG56" i="1"/>
  <c r="BG44" i="1"/>
  <c r="BG59" i="1"/>
  <c r="BG23" i="1"/>
  <c r="BG178" i="1"/>
  <c r="BG118" i="1"/>
  <c r="BQ118" i="1" s="1"/>
  <c r="BG94" i="1"/>
  <c r="BQ94" i="1" s="1"/>
  <c r="BG247" i="1"/>
  <c r="BQ247" i="1" s="1"/>
  <c r="BG597" i="1"/>
  <c r="BG501" i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G163" i="1"/>
  <c r="BQ163" i="1" s="1"/>
  <c r="BG166" i="1"/>
  <c r="BQ166" i="1" s="1"/>
  <c r="BG127" i="1"/>
  <c r="BQ127" i="1" s="1"/>
  <c r="BG537" i="1"/>
  <c r="BQ537" i="1" s="1"/>
  <c r="BG345" i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G344" i="1"/>
  <c r="BQ344" i="1" s="1"/>
  <c r="BG284" i="1"/>
  <c r="BQ284" i="1" s="1"/>
  <c r="BG176" i="1"/>
  <c r="BG128" i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622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622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E606" i="1"/>
  <c r="BN606" i="1" s="1"/>
  <c r="BE486" i="1"/>
  <c r="BE584" i="1"/>
  <c r="BU584" i="1" s="1"/>
  <c r="BE317" i="1"/>
  <c r="BE233" i="1"/>
  <c r="BU233" i="1" s="1"/>
  <c r="BE221" i="1"/>
  <c r="BE125" i="1"/>
  <c r="BE29" i="1"/>
  <c r="BE544" i="1"/>
  <c r="BN544" i="1" s="1"/>
  <c r="BE484" i="1"/>
  <c r="BE412" i="1"/>
  <c r="BE316" i="1"/>
  <c r="BU316" i="1" s="1"/>
  <c r="BE76" i="1"/>
  <c r="BE52" i="1"/>
  <c r="BE387" i="1"/>
  <c r="BE279" i="1"/>
  <c r="BU279" i="1" s="1"/>
  <c r="BE622" i="1"/>
  <c r="BU622" i="1" s="1"/>
  <c r="BE546" i="1"/>
  <c r="BE498" i="1"/>
  <c r="BE54" i="1"/>
  <c r="BU54" i="1" s="1"/>
  <c r="BE605" i="1"/>
  <c r="BN605" i="1" s="1"/>
  <c r="BE497" i="1"/>
  <c r="BE41" i="1"/>
  <c r="BU41" i="1" s="1"/>
  <c r="BE352" i="1"/>
  <c r="BE292" i="1"/>
  <c r="BN292" i="1" s="1"/>
  <c r="BE579" i="1"/>
  <c r="BU579" i="1" s="1"/>
  <c r="BE471" i="1"/>
  <c r="BE267" i="1"/>
  <c r="BE139" i="1"/>
  <c r="BU139" i="1" s="1"/>
  <c r="BE582" i="1"/>
  <c r="BE570" i="1"/>
  <c r="BE462" i="1"/>
  <c r="BE378" i="1"/>
  <c r="BU378" i="1" s="1"/>
  <c r="BE342" i="1"/>
  <c r="BU342" i="1" s="1"/>
  <c r="BE330" i="1"/>
  <c r="BN330" i="1" s="1"/>
  <c r="BE306" i="1"/>
  <c r="BU306" i="1" s="1"/>
  <c r="BE545" i="1"/>
  <c r="BE449" i="1"/>
  <c r="BN449" i="1" s="1"/>
  <c r="BE365" i="1"/>
  <c r="BN365" i="1" s="1"/>
  <c r="BE77" i="1"/>
  <c r="BU77" i="1" s="1"/>
  <c r="BE65" i="1"/>
  <c r="BE508" i="1"/>
  <c r="BN508" i="1" s="1"/>
  <c r="BE496" i="1"/>
  <c r="BU496" i="1" s="1"/>
  <c r="BE184" i="1"/>
  <c r="BU184" i="1" s="1"/>
  <c r="BE148" i="1"/>
  <c r="BE100" i="1"/>
  <c r="BE555" i="1"/>
  <c r="BU555" i="1" s="1"/>
  <c r="BE507" i="1"/>
  <c r="BU507" i="1" s="1"/>
  <c r="BE435" i="1"/>
  <c r="BE339" i="1"/>
  <c r="BE327" i="1"/>
  <c r="BE621" i="1"/>
  <c r="BU621" i="1" s="1"/>
  <c r="BE258" i="1"/>
  <c r="BN258" i="1" s="1"/>
  <c r="BE246" i="1"/>
  <c r="BU246" i="1" s="1"/>
  <c r="BE78" i="1"/>
  <c r="BU78" i="1" s="1"/>
  <c r="BE367" i="1"/>
  <c r="BE581" i="1"/>
  <c r="BE377" i="1"/>
  <c r="BE305" i="1"/>
  <c r="BE137" i="1"/>
  <c r="BU137" i="1" s="1"/>
  <c r="BE5" i="1"/>
  <c r="BU5" i="1" s="1"/>
  <c r="BE595" i="1"/>
  <c r="BE616" i="1"/>
  <c r="BU616" i="1" s="1"/>
  <c r="BE592" i="1"/>
  <c r="BU592" i="1" s="1"/>
  <c r="BE520" i="1"/>
  <c r="BN520" i="1" s="1"/>
  <c r="BE460" i="1"/>
  <c r="BE304" i="1"/>
  <c r="BE160" i="1"/>
  <c r="BE16" i="1"/>
  <c r="BE4" i="1"/>
  <c r="BU4" i="1" s="1"/>
  <c r="BE620" i="1"/>
  <c r="BU620" i="1" s="1"/>
  <c r="BE423" i="1"/>
  <c r="BE207" i="1"/>
  <c r="BE571" i="1"/>
  <c r="BU571" i="1" s="1"/>
  <c r="BE283" i="1"/>
  <c r="BE522" i="1"/>
  <c r="BE186" i="1"/>
  <c r="BU186" i="1" s="1"/>
  <c r="BE18" i="1"/>
  <c r="BE619" i="1"/>
  <c r="BU619" i="1" s="1"/>
  <c r="BE209" i="1"/>
  <c r="BE185" i="1"/>
  <c r="BU185" i="1" s="1"/>
  <c r="BE89" i="1"/>
  <c r="BE17" i="1"/>
  <c r="BU17" i="1" s="1"/>
  <c r="BE580" i="1"/>
  <c r="BU580" i="1" s="1"/>
  <c r="BE568" i="1"/>
  <c r="BN568" i="1" s="1"/>
  <c r="BE136" i="1"/>
  <c r="BE88" i="1"/>
  <c r="BE607" i="1"/>
  <c r="BE615" i="1"/>
  <c r="BE354" i="1"/>
  <c r="BE234" i="1"/>
  <c r="BU234" i="1" s="1"/>
  <c r="BE198" i="1"/>
  <c r="BE162" i="1"/>
  <c r="BU162" i="1" s="1"/>
  <c r="BE90" i="1"/>
  <c r="BU90" i="1" s="1"/>
  <c r="BE66" i="1"/>
  <c r="BU66" i="1" s="1"/>
  <c r="BE42" i="1"/>
  <c r="BE523" i="1"/>
  <c r="BU523" i="1" s="1"/>
  <c r="BE187" i="1"/>
  <c r="BU187" i="1" s="1"/>
  <c r="BE617" i="1"/>
  <c r="BE485" i="1"/>
  <c r="BU485" i="1" s="1"/>
  <c r="BE604" i="1"/>
  <c r="BN604" i="1" s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E437" i="1"/>
  <c r="BU437" i="1" s="1"/>
  <c r="BE413" i="1"/>
  <c r="BU413" i="1" s="1"/>
  <c r="BE401" i="1"/>
  <c r="BU401" i="1" s="1"/>
  <c r="BE161" i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E351" i="1"/>
  <c r="BU351" i="1" s="1"/>
  <c r="BE255" i="1"/>
  <c r="BE231" i="1"/>
  <c r="BU231" i="1" s="1"/>
  <c r="BE318" i="1"/>
  <c r="BE294" i="1"/>
  <c r="BE282" i="1"/>
  <c r="BU282" i="1" s="1"/>
  <c r="BE521" i="1"/>
  <c r="BE461" i="1"/>
  <c r="BU461" i="1" s="1"/>
  <c r="BE113" i="1"/>
  <c r="BU113" i="1" s="1"/>
  <c r="BE424" i="1"/>
  <c r="BE519" i="1"/>
  <c r="BE363" i="1"/>
  <c r="BE558" i="1"/>
  <c r="BE474" i="1"/>
  <c r="BE426" i="1"/>
  <c r="BE390" i="1"/>
  <c r="BU390" i="1" s="1"/>
  <c r="BE138" i="1"/>
  <c r="BU138" i="1" s="1"/>
  <c r="BE114" i="1"/>
  <c r="BE103" i="1"/>
  <c r="BE569" i="1"/>
  <c r="BN569" i="1" s="1"/>
  <c r="BE425" i="1"/>
  <c r="BU425" i="1" s="1"/>
  <c r="BE341" i="1"/>
  <c r="BE329" i="1"/>
  <c r="BN329" i="1" s="1"/>
  <c r="BE281" i="1"/>
  <c r="BE197" i="1"/>
  <c r="BU197" i="1" s="1"/>
  <c r="BE53" i="1"/>
  <c r="BE340" i="1"/>
  <c r="BE268" i="1"/>
  <c r="BE244" i="1"/>
  <c r="BE232" i="1"/>
  <c r="BU232" i="1" s="1"/>
  <c r="BE220" i="1"/>
  <c r="BE543" i="1"/>
  <c r="BE483" i="1"/>
  <c r="BU483" i="1" s="1"/>
  <c r="BE399" i="1"/>
  <c r="BE375" i="1"/>
  <c r="BU375" i="1" s="1"/>
  <c r="BE315" i="1"/>
  <c r="BN315" i="1" s="1"/>
  <c r="BE487" i="1"/>
  <c r="BE55" i="1"/>
  <c r="BE534" i="1"/>
  <c r="BU534" i="1" s="1"/>
  <c r="BE150" i="1"/>
  <c r="BU150" i="1" s="1"/>
  <c r="BE593" i="1"/>
  <c r="BU593" i="1" s="1"/>
  <c r="BE533" i="1"/>
  <c r="BN533" i="1" s="1"/>
  <c r="BE509" i="1"/>
  <c r="BN509" i="1" s="1"/>
  <c r="BE353" i="1"/>
  <c r="BN353" i="1" s="1"/>
  <c r="BE245" i="1"/>
  <c r="BE173" i="1"/>
  <c r="BU173" i="1" s="1"/>
  <c r="BE149" i="1"/>
  <c r="BE101" i="1"/>
  <c r="BU101" i="1" s="1"/>
  <c r="BE618" i="1"/>
  <c r="BE556" i="1"/>
  <c r="BU556" i="1" s="1"/>
  <c r="BE532" i="1"/>
  <c r="BE448" i="1"/>
  <c r="BU448" i="1" s="1"/>
  <c r="BE256" i="1"/>
  <c r="BN256" i="1" s="1"/>
  <c r="BE208" i="1"/>
  <c r="BE196" i="1"/>
  <c r="BE427" i="1"/>
  <c r="BE495" i="1"/>
  <c r="BE303" i="1"/>
  <c r="BU303" i="1" s="1"/>
  <c r="BE291" i="1"/>
  <c r="BU291" i="1" s="1"/>
  <c r="BE594" i="1"/>
  <c r="BE510" i="1"/>
  <c r="BU510" i="1" s="1"/>
  <c r="BE414" i="1"/>
  <c r="BE402" i="1"/>
  <c r="BE270" i="1"/>
  <c r="BE222" i="1"/>
  <c r="BN222" i="1" s="1"/>
  <c r="BE102" i="1"/>
  <c r="BE6" i="1"/>
  <c r="BU6" i="1" s="1"/>
  <c r="BE389" i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N450" i="1" s="1"/>
  <c r="BE366" i="1"/>
  <c r="BN366" i="1" s="1"/>
  <c r="BE210" i="1"/>
  <c r="BN210" i="1" s="1"/>
  <c r="BE600" i="1"/>
  <c r="BE439" i="1"/>
  <c r="BE557" i="1"/>
  <c r="BU557" i="1" s="1"/>
  <c r="BE473" i="1"/>
  <c r="BE269" i="1"/>
  <c r="BU269" i="1" s="1"/>
  <c r="BE328" i="1"/>
  <c r="BE280" i="1"/>
  <c r="BU280" i="1" s="1"/>
  <c r="BE124" i="1"/>
  <c r="BE183" i="1"/>
  <c r="BU183" i="1" s="1"/>
  <c r="BE159" i="1"/>
  <c r="BE15" i="1"/>
  <c r="BE506" i="1"/>
  <c r="BE398" i="1"/>
  <c r="BU398" i="1" s="1"/>
  <c r="BE362" i="1"/>
  <c r="BU362" i="1" s="1"/>
  <c r="BE98" i="1"/>
  <c r="BE74" i="1"/>
  <c r="BU74" i="1" s="1"/>
  <c r="BE50" i="1"/>
  <c r="BU50" i="1" s="1"/>
  <c r="BE591" i="1"/>
  <c r="BE541" i="1"/>
  <c r="BE493" i="1"/>
  <c r="BU493" i="1" s="1"/>
  <c r="BE433" i="1"/>
  <c r="BE385" i="1"/>
  <c r="BU385" i="1" s="1"/>
  <c r="BE241" i="1"/>
  <c r="BU241" i="1" s="1"/>
  <c r="BE205" i="1"/>
  <c r="BE73" i="1"/>
  <c r="BU73" i="1" s="1"/>
  <c r="BE528" i="1"/>
  <c r="BE468" i="1"/>
  <c r="BU468" i="1" s="1"/>
  <c r="BE456" i="1"/>
  <c r="BE252" i="1"/>
  <c r="BU252" i="1" s="1"/>
  <c r="BE204" i="1"/>
  <c r="BU204" i="1" s="1"/>
  <c r="BE491" i="1"/>
  <c r="BE467" i="1"/>
  <c r="BE323" i="1"/>
  <c r="BN323" i="1" s="1"/>
  <c r="BE299" i="1"/>
  <c r="BU299" i="1" s="1"/>
  <c r="BE203" i="1"/>
  <c r="BU203" i="1" s="1"/>
  <c r="BE179" i="1"/>
  <c r="BE51" i="1"/>
  <c r="BU51" i="1" s="1"/>
  <c r="BE27" i="1"/>
  <c r="BU27" i="1" s="1"/>
  <c r="BE470" i="1"/>
  <c r="BE410" i="1"/>
  <c r="BE386" i="1"/>
  <c r="BE374" i="1"/>
  <c r="BE254" i="1"/>
  <c r="BE158" i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E156" i="1"/>
  <c r="BU156" i="1" s="1"/>
  <c r="BE503" i="1"/>
  <c r="BE383" i="1"/>
  <c r="BE359" i="1"/>
  <c r="BE167" i="1"/>
  <c r="BE171" i="1"/>
  <c r="BE111" i="1"/>
  <c r="BE338" i="1"/>
  <c r="BU338" i="1" s="1"/>
  <c r="BE326" i="1"/>
  <c r="BU326" i="1" s="1"/>
  <c r="BE218" i="1"/>
  <c r="BE146" i="1"/>
  <c r="BE349" i="1"/>
  <c r="BE301" i="1"/>
  <c r="BU301" i="1" s="1"/>
  <c r="BE133" i="1"/>
  <c r="BU133" i="1" s="1"/>
  <c r="BE37" i="1"/>
  <c r="BU37" i="1" s="1"/>
  <c r="BE43" i="1"/>
  <c r="BU43" i="1" s="1"/>
  <c r="BE420" i="1"/>
  <c r="BE192" i="1"/>
  <c r="BE108" i="1"/>
  <c r="BE84" i="1"/>
  <c r="BU84" i="1" s="1"/>
  <c r="BE587" i="1"/>
  <c r="BE551" i="1"/>
  <c r="BN551" i="1" s="1"/>
  <c r="BE527" i="1"/>
  <c r="BU527" i="1" s="1"/>
  <c r="BE407" i="1"/>
  <c r="BE131" i="1"/>
  <c r="BE195" i="1"/>
  <c r="BE135" i="1"/>
  <c r="BE530" i="1"/>
  <c r="BE434" i="1"/>
  <c r="BE242" i="1"/>
  <c r="BE194" i="1"/>
  <c r="BU194" i="1" s="1"/>
  <c r="BE122" i="1"/>
  <c r="BE589" i="1"/>
  <c r="BE517" i="1"/>
  <c r="BE481" i="1"/>
  <c r="BE469" i="1"/>
  <c r="BE397" i="1"/>
  <c r="BU397" i="1" s="1"/>
  <c r="BE295" i="1"/>
  <c r="BU295" i="1" s="1"/>
  <c r="BE276" i="1"/>
  <c r="BU276" i="1" s="1"/>
  <c r="BE215" i="1"/>
  <c r="BU215" i="1" s="1"/>
  <c r="BE155" i="1"/>
  <c r="BE266" i="1"/>
  <c r="BN266" i="1" s="1"/>
  <c r="BE26" i="1"/>
  <c r="BE505" i="1"/>
  <c r="BE313" i="1"/>
  <c r="BU313" i="1" s="1"/>
  <c r="BE181" i="1"/>
  <c r="BE121" i="1"/>
  <c r="BE588" i="1"/>
  <c r="BN588" i="1" s="1"/>
  <c r="BE516" i="1"/>
  <c r="BE444" i="1"/>
  <c r="BE348" i="1"/>
  <c r="BU348" i="1" s="1"/>
  <c r="BE312" i="1"/>
  <c r="BU312" i="1" s="1"/>
  <c r="BE36" i="1"/>
  <c r="BU36" i="1" s="1"/>
  <c r="BE599" i="1"/>
  <c r="BE575" i="1"/>
  <c r="BU575" i="1" s="1"/>
  <c r="BE335" i="1"/>
  <c r="BU335" i="1" s="1"/>
  <c r="BE263" i="1"/>
  <c r="BE191" i="1"/>
  <c r="BE243" i="1"/>
  <c r="BU243" i="1" s="1"/>
  <c r="BE614" i="1"/>
  <c r="BU614" i="1" s="1"/>
  <c r="BE590" i="1"/>
  <c r="BE554" i="1"/>
  <c r="BU554" i="1" s="1"/>
  <c r="BE422" i="1"/>
  <c r="BN422" i="1" s="1"/>
  <c r="BE529" i="1"/>
  <c r="BU529" i="1" s="1"/>
  <c r="BE217" i="1"/>
  <c r="BE85" i="1"/>
  <c r="BE61" i="1"/>
  <c r="BE415" i="1"/>
  <c r="BE151" i="1"/>
  <c r="BE576" i="1"/>
  <c r="BE552" i="1"/>
  <c r="BE180" i="1"/>
  <c r="BE168" i="1"/>
  <c r="BE96" i="1"/>
  <c r="BE48" i="1"/>
  <c r="BU48" i="1" s="1"/>
  <c r="BE419" i="1"/>
  <c r="BU419" i="1" s="1"/>
  <c r="BE311" i="1"/>
  <c r="BN311" i="1" s="1"/>
  <c r="BE287" i="1"/>
  <c r="BE239" i="1"/>
  <c r="BE123" i="1"/>
  <c r="BE482" i="1"/>
  <c r="BE170" i="1"/>
  <c r="BE86" i="1"/>
  <c r="BU86" i="1" s="1"/>
  <c r="BE62" i="1"/>
  <c r="BU62" i="1" s="1"/>
  <c r="BE14" i="1"/>
  <c r="BU14" i="1" s="1"/>
  <c r="BE331" i="1"/>
  <c r="BN331" i="1" s="1"/>
  <c r="BE253" i="1"/>
  <c r="BE229" i="1"/>
  <c r="BE109" i="1"/>
  <c r="BE13" i="1"/>
  <c r="BU13" i="1" s="1"/>
  <c r="BE504" i="1"/>
  <c r="BE396" i="1"/>
  <c r="BU396" i="1" s="1"/>
  <c r="BE360" i="1"/>
  <c r="BE216" i="1"/>
  <c r="BU216" i="1" s="1"/>
  <c r="BE132" i="1"/>
  <c r="BE72" i="1"/>
  <c r="BE443" i="1"/>
  <c r="BU443" i="1" s="1"/>
  <c r="BE431" i="1"/>
  <c r="BU431" i="1" s="1"/>
  <c r="BE75" i="1"/>
  <c r="BE3" i="1"/>
  <c r="BU3" i="1" s="1"/>
  <c r="BE578" i="1"/>
  <c r="BE302" i="1"/>
  <c r="BU302" i="1" s="1"/>
  <c r="BE259" i="1"/>
  <c r="BE445" i="1"/>
  <c r="BE289" i="1"/>
  <c r="BE157" i="1"/>
  <c r="BU157" i="1" s="1"/>
  <c r="BE432" i="1"/>
  <c r="BE384" i="1"/>
  <c r="BE240" i="1"/>
  <c r="BU240" i="1" s="1"/>
  <c r="BE60" i="1"/>
  <c r="BE515" i="1"/>
  <c r="BE395" i="1"/>
  <c r="BE347" i="1"/>
  <c r="BU347" i="1" s="1"/>
  <c r="BE119" i="1"/>
  <c r="BE63" i="1"/>
  <c r="BE206" i="1"/>
  <c r="BE110" i="1"/>
  <c r="BE38" i="1"/>
  <c r="BU38" i="1" s="1"/>
  <c r="BE547" i="1"/>
  <c r="BE67" i="1"/>
  <c r="BE613" i="1"/>
  <c r="BU613" i="1" s="1"/>
  <c r="BE409" i="1"/>
  <c r="BU409" i="1" s="1"/>
  <c r="BE193" i="1"/>
  <c r="BE169" i="1"/>
  <c r="BN169" i="1" s="1"/>
  <c r="BE97" i="1"/>
  <c r="BU97" i="1" s="1"/>
  <c r="BE223" i="1"/>
  <c r="BE492" i="1"/>
  <c r="BU492" i="1" s="1"/>
  <c r="BE480" i="1"/>
  <c r="BE336" i="1"/>
  <c r="BE264" i="1"/>
  <c r="BU264" i="1" s="1"/>
  <c r="BE144" i="1"/>
  <c r="BE24" i="1"/>
  <c r="BU24" i="1" s="1"/>
  <c r="BE39" i="1"/>
  <c r="BE566" i="1"/>
  <c r="BE542" i="1"/>
  <c r="BE494" i="1"/>
  <c r="BU494" i="1" s="1"/>
  <c r="BE458" i="1"/>
  <c r="BE463" i="1"/>
  <c r="BE553" i="1"/>
  <c r="BE361" i="1"/>
  <c r="BU361" i="1" s="1"/>
  <c r="BE337" i="1"/>
  <c r="BU337" i="1" s="1"/>
  <c r="BE277" i="1"/>
  <c r="BE499" i="1"/>
  <c r="BE372" i="1"/>
  <c r="BE324" i="1"/>
  <c r="BN324" i="1" s="1"/>
  <c r="BE611" i="1"/>
  <c r="BE563" i="1"/>
  <c r="BE479" i="1"/>
  <c r="BU479" i="1" s="1"/>
  <c r="BE227" i="1"/>
  <c r="BE99" i="1"/>
  <c r="BE314" i="1"/>
  <c r="BU314" i="1" s="1"/>
  <c r="BE230" i="1"/>
  <c r="BE403" i="1"/>
  <c r="BE199" i="1"/>
  <c r="BN199" i="1" s="1"/>
  <c r="BE115" i="1"/>
  <c r="BE612" i="1"/>
  <c r="BE540" i="1"/>
  <c r="BE408" i="1"/>
  <c r="BU408" i="1" s="1"/>
  <c r="BE120" i="1"/>
  <c r="BE539" i="1"/>
  <c r="BE455" i="1"/>
  <c r="BU455" i="1" s="1"/>
  <c r="BE275" i="1"/>
  <c r="BU275" i="1" s="1"/>
  <c r="BE219" i="1"/>
  <c r="BU219" i="1" s="1"/>
  <c r="BE87" i="1"/>
  <c r="BE602" i="1"/>
  <c r="BE446" i="1"/>
  <c r="BE350" i="1"/>
  <c r="BU350" i="1" s="1"/>
  <c r="BE290" i="1"/>
  <c r="BU290" i="1" s="1"/>
  <c r="BE278" i="1"/>
  <c r="BU278" i="1" s="1"/>
  <c r="BE182" i="1"/>
  <c r="BU182" i="1" s="1"/>
  <c r="BE457" i="1"/>
  <c r="BE373" i="1"/>
  <c r="BE325" i="1"/>
  <c r="BE265" i="1"/>
  <c r="BN265" i="1" s="1"/>
  <c r="BE145" i="1"/>
  <c r="BE25" i="1"/>
  <c r="BE583" i="1"/>
  <c r="BU583" i="1" s="1"/>
  <c r="BE12" i="1"/>
  <c r="BU12" i="1" s="1"/>
  <c r="BE371" i="1"/>
  <c r="BE251" i="1"/>
  <c r="BU251" i="1" s="1"/>
  <c r="BE418" i="1"/>
  <c r="BE82" i="1"/>
  <c r="BU82" i="1" s="1"/>
  <c r="BE79" i="1"/>
  <c r="BE561" i="1"/>
  <c r="BE441" i="1"/>
  <c r="BE201" i="1"/>
  <c r="BU201" i="1" s="1"/>
  <c r="BE105" i="1"/>
  <c r="BU105" i="1" s="1"/>
  <c r="BE33" i="1"/>
  <c r="BU33" i="1" s="1"/>
  <c r="BE21" i="1"/>
  <c r="BU21" i="1" s="1"/>
  <c r="BE512" i="1"/>
  <c r="BE500" i="1"/>
  <c r="BU500" i="1" s="1"/>
  <c r="BE464" i="1"/>
  <c r="BE452" i="1"/>
  <c r="BE92" i="1"/>
  <c r="BU92" i="1" s="1"/>
  <c r="BE32" i="1"/>
  <c r="BU32" i="1" s="1"/>
  <c r="BE511" i="1"/>
  <c r="BE379" i="1"/>
  <c r="BE19" i="1"/>
  <c r="BU19" i="1" s="1"/>
  <c r="BE202" i="1"/>
  <c r="BE190" i="1"/>
  <c r="BU190" i="1" s="1"/>
  <c r="BE94" i="1"/>
  <c r="BU94" i="1" s="1"/>
  <c r="BE22" i="1"/>
  <c r="BE31" i="1"/>
  <c r="BE453" i="1"/>
  <c r="BE476" i="1"/>
  <c r="BE416" i="1"/>
  <c r="BE332" i="1"/>
  <c r="BE320" i="1"/>
  <c r="BE188" i="1"/>
  <c r="BU188" i="1" s="1"/>
  <c r="BE235" i="1"/>
  <c r="BE550" i="1"/>
  <c r="BE430" i="1"/>
  <c r="BU430" i="1" s="1"/>
  <c r="BE406" i="1"/>
  <c r="BE346" i="1"/>
  <c r="BE334" i="1"/>
  <c r="BE214" i="1"/>
  <c r="BE549" i="1"/>
  <c r="BN549" i="1" s="1"/>
  <c r="BE477" i="1"/>
  <c r="BU477" i="1" s="1"/>
  <c r="BE297" i="1"/>
  <c r="BE273" i="1"/>
  <c r="BU273" i="1" s="1"/>
  <c r="BE177" i="1"/>
  <c r="BE141" i="1"/>
  <c r="BU141" i="1" s="1"/>
  <c r="BE69" i="1"/>
  <c r="BU69" i="1" s="1"/>
  <c r="BE368" i="1"/>
  <c r="BE176" i="1"/>
  <c r="BU176" i="1" s="1"/>
  <c r="BE466" i="1"/>
  <c r="BE382" i="1"/>
  <c r="BU382" i="1" s="1"/>
  <c r="BE274" i="1"/>
  <c r="BE34" i="1"/>
  <c r="BE585" i="1"/>
  <c r="BN585" i="1" s="1"/>
  <c r="BE465" i="1"/>
  <c r="BE357" i="1"/>
  <c r="BE321" i="1"/>
  <c r="BU321" i="1" s="1"/>
  <c r="BE93" i="1"/>
  <c r="BE572" i="1"/>
  <c r="BU572" i="1" s="1"/>
  <c r="BE356" i="1"/>
  <c r="BE128" i="1"/>
  <c r="BE577" i="1"/>
  <c r="BU577" i="1" s="1"/>
  <c r="BE95" i="1"/>
  <c r="BE11" i="1"/>
  <c r="BE598" i="1"/>
  <c r="BE526" i="1"/>
  <c r="BE442" i="1"/>
  <c r="BE238" i="1"/>
  <c r="BU238" i="1" s="1"/>
  <c r="BE142" i="1"/>
  <c r="BE118" i="1"/>
  <c r="BE10" i="1"/>
  <c r="BU10" i="1" s="1"/>
  <c r="BE319" i="1"/>
  <c r="BE127" i="1"/>
  <c r="BU127" i="1" s="1"/>
  <c r="BE513" i="1"/>
  <c r="BU513" i="1" s="1"/>
  <c r="BE405" i="1"/>
  <c r="BN405" i="1" s="1"/>
  <c r="BE393" i="1"/>
  <c r="BE285" i="1"/>
  <c r="BE225" i="1"/>
  <c r="BU225" i="1" s="1"/>
  <c r="BE404" i="1"/>
  <c r="BE272" i="1"/>
  <c r="BU272" i="1" s="1"/>
  <c r="BE260" i="1"/>
  <c r="BE116" i="1"/>
  <c r="BU116" i="1" s="1"/>
  <c r="BE8" i="1"/>
  <c r="BE143" i="1"/>
  <c r="BE71" i="1"/>
  <c r="BU71" i="1" s="1"/>
  <c r="BE47" i="1"/>
  <c r="BU47" i="1" s="1"/>
  <c r="BE502" i="1"/>
  <c r="BE322" i="1"/>
  <c r="BU322" i="1" s="1"/>
  <c r="BE189" i="1"/>
  <c r="BU189" i="1" s="1"/>
  <c r="BE81" i="1"/>
  <c r="BN81" i="1" s="1"/>
  <c r="BE57" i="1"/>
  <c r="BE68" i="1"/>
  <c r="BE35" i="1"/>
  <c r="BE574" i="1"/>
  <c r="BE478" i="1"/>
  <c r="BE394" i="1"/>
  <c r="BE310" i="1"/>
  <c r="BE262" i="1"/>
  <c r="BE154" i="1"/>
  <c r="BN154" i="1" s="1"/>
  <c r="BE70" i="1"/>
  <c r="BU70" i="1" s="1"/>
  <c r="BE247" i="1"/>
  <c r="BE369" i="1"/>
  <c r="BU369" i="1" s="1"/>
  <c r="BE345" i="1"/>
  <c r="BE129" i="1"/>
  <c r="BN129" i="1" s="1"/>
  <c r="BE596" i="1"/>
  <c r="BE548" i="1"/>
  <c r="BN548" i="1" s="1"/>
  <c r="BE380" i="1"/>
  <c r="BU380" i="1" s="1"/>
  <c r="BE284" i="1"/>
  <c r="BE248" i="1"/>
  <c r="BE236" i="1"/>
  <c r="BU236" i="1" s="1"/>
  <c r="BE44" i="1"/>
  <c r="BU44" i="1" s="1"/>
  <c r="BE152" i="1"/>
  <c r="BE307" i="1"/>
  <c r="BE91" i="1"/>
  <c r="BU91" i="1" s="1"/>
  <c r="BE226" i="1"/>
  <c r="BE178" i="1"/>
  <c r="BU178" i="1" s="1"/>
  <c r="BE130" i="1"/>
  <c r="BU130" i="1" s="1"/>
  <c r="BE609" i="1"/>
  <c r="BU609" i="1" s="1"/>
  <c r="BE501" i="1"/>
  <c r="BE333" i="1"/>
  <c r="BE117" i="1"/>
  <c r="BU117" i="1" s="1"/>
  <c r="BE45" i="1"/>
  <c r="BU45" i="1" s="1"/>
  <c r="BE560" i="1"/>
  <c r="BE488" i="1"/>
  <c r="BE440" i="1"/>
  <c r="BE164" i="1"/>
  <c r="BU164" i="1" s="1"/>
  <c r="BE23" i="1"/>
  <c r="BU23" i="1" s="1"/>
  <c r="BE163" i="1"/>
  <c r="BU163" i="1" s="1"/>
  <c r="BE562" i="1"/>
  <c r="BE490" i="1"/>
  <c r="BU490" i="1" s="1"/>
  <c r="BE454" i="1"/>
  <c r="BE175" i="1"/>
  <c r="BE597" i="1"/>
  <c r="BE537" i="1"/>
  <c r="BN537" i="1" s="1"/>
  <c r="BE489" i="1"/>
  <c r="BU489" i="1" s="1"/>
  <c r="BE417" i="1"/>
  <c r="BE249" i="1"/>
  <c r="BU249" i="1" s="1"/>
  <c r="BE344" i="1"/>
  <c r="BU344" i="1" s="1"/>
  <c r="BE80" i="1"/>
  <c r="BE20" i="1"/>
  <c r="BU20" i="1" s="1"/>
  <c r="BE559" i="1"/>
  <c r="BE451" i="1"/>
  <c r="BU451" i="1" s="1"/>
  <c r="BE166" i="1"/>
  <c r="BU166" i="1" s="1"/>
  <c r="BE381" i="1"/>
  <c r="BN381" i="1" s="1"/>
  <c r="BE237" i="1"/>
  <c r="BE213" i="1"/>
  <c r="BU213" i="1" s="1"/>
  <c r="BE153" i="1"/>
  <c r="BU153" i="1" s="1"/>
  <c r="BE518" i="1"/>
  <c r="BE608" i="1"/>
  <c r="BE536" i="1"/>
  <c r="BN536" i="1" s="1"/>
  <c r="BE428" i="1"/>
  <c r="BE212" i="1"/>
  <c r="BU212" i="1" s="1"/>
  <c r="BE56" i="1"/>
  <c r="BU56" i="1" s="1"/>
  <c r="BE107" i="1"/>
  <c r="BE370" i="1"/>
  <c r="BU370" i="1" s="1"/>
  <c r="BE358" i="1"/>
  <c r="BE298" i="1"/>
  <c r="BU298" i="1" s="1"/>
  <c r="BE286" i="1"/>
  <c r="BE250" i="1"/>
  <c r="BE535" i="1"/>
  <c r="BE391" i="1"/>
  <c r="BE573" i="1"/>
  <c r="BU573" i="1" s="1"/>
  <c r="BE525" i="1"/>
  <c r="BU525" i="1" s="1"/>
  <c r="BE261" i="1"/>
  <c r="BN261" i="1" s="1"/>
  <c r="BE165" i="1"/>
  <c r="BN165" i="1" s="1"/>
  <c r="BE9" i="1"/>
  <c r="BU9" i="1" s="1"/>
  <c r="BE308" i="1"/>
  <c r="BU308" i="1" s="1"/>
  <c r="BE296" i="1"/>
  <c r="BU296" i="1" s="1"/>
  <c r="BE200" i="1"/>
  <c r="BN200" i="1" s="1"/>
  <c r="BE83" i="1"/>
  <c r="BE59" i="1"/>
  <c r="BE610" i="1"/>
  <c r="BE586" i="1"/>
  <c r="BN586" i="1" s="1"/>
  <c r="BE538" i="1"/>
  <c r="BE514" i="1"/>
  <c r="BE106" i="1"/>
  <c r="BE58" i="1"/>
  <c r="BE46" i="1"/>
  <c r="BE475" i="1"/>
  <c r="BE429" i="1"/>
  <c r="BU429" i="1" s="1"/>
  <c r="BE309" i="1"/>
  <c r="BE524" i="1"/>
  <c r="BU524" i="1" s="1"/>
  <c r="BE392" i="1"/>
  <c r="BU392" i="1" s="1"/>
  <c r="BE224" i="1"/>
  <c r="BU224" i="1" s="1"/>
  <c r="BE140" i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622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T71" i="1"/>
  <c r="BA71" i="1"/>
  <c r="BS70" i="1"/>
  <c r="AZ70" i="1"/>
  <c r="AZ71" i="1"/>
  <c r="BS71" i="1"/>
  <c r="BT70" i="1"/>
  <c r="BA70" i="1"/>
  <c r="BR74" i="2"/>
  <c r="R73" i="1" s="1"/>
  <c r="AH73" i="1" s="1"/>
  <c r="BQ74" i="2"/>
  <c r="Q73" i="1" s="1"/>
  <c r="AG73" i="1" s="1"/>
  <c r="BQ73" i="2"/>
  <c r="Q72" i="1" s="1"/>
  <c r="BR73" i="2"/>
  <c r="R72" i="1" s="1"/>
  <c r="BE2" i="1"/>
  <c r="BG2" i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A600" i="14" s="1"/>
  <c r="B601" i="14"/>
  <c r="A601" i="14" s="1"/>
  <c r="B602" i="14"/>
  <c r="A602" i="14" s="1"/>
  <c r="B603" i="14"/>
  <c r="A603" i="14" s="1"/>
  <c r="B604" i="14"/>
  <c r="A604" i="14" s="1"/>
  <c r="B605" i="14"/>
  <c r="A605" i="14" s="1"/>
  <c r="B606" i="14"/>
  <c r="A606" i="14" s="1"/>
  <c r="B607" i="14"/>
  <c r="A607" i="14" s="1"/>
  <c r="B608" i="14"/>
  <c r="A608" i="14" s="1"/>
  <c r="B609" i="14"/>
  <c r="A609" i="14" s="1"/>
  <c r="B610" i="14"/>
  <c r="A610" i="14" s="1"/>
  <c r="B611" i="14"/>
  <c r="A611" i="14" s="1"/>
  <c r="B612" i="14"/>
  <c r="A612" i="14" s="1"/>
  <c r="B613" i="14"/>
  <c r="A613" i="14" s="1"/>
  <c r="B614" i="14"/>
  <c r="A614" i="14" s="1"/>
  <c r="B615" i="14"/>
  <c r="A615" i="14" s="1"/>
  <c r="B616" i="14"/>
  <c r="A616" i="14" s="1"/>
  <c r="B617" i="14"/>
  <c r="A617" i="14" s="1"/>
  <c r="B618" i="14"/>
  <c r="A618" i="14" s="1"/>
  <c r="B619" i="14"/>
  <c r="A619" i="14" s="1"/>
  <c r="B620" i="14"/>
  <c r="A620" i="14" s="1"/>
  <c r="B621" i="14"/>
  <c r="A621" i="14" s="1"/>
  <c r="B622" i="14"/>
  <c r="A622" i="14" s="1"/>
  <c r="B623" i="14"/>
  <c r="A623" i="14" s="1"/>
  <c r="B624" i="14"/>
  <c r="A624" i="14" s="1"/>
  <c r="B625" i="14"/>
  <c r="A625" i="14" s="1"/>
  <c r="B626" i="14"/>
  <c r="A626" i="14" s="1"/>
  <c r="B627" i="14"/>
  <c r="A627" i="14" s="1"/>
  <c r="B628" i="14"/>
  <c r="A628" i="14" s="1"/>
  <c r="B629" i="14"/>
  <c r="A629" i="14" s="1"/>
  <c r="B630" i="14"/>
  <c r="A630" i="14" s="1"/>
  <c r="B631" i="14"/>
  <c r="A631" i="14" s="1"/>
  <c r="B632" i="14"/>
  <c r="A632" i="14" s="1"/>
  <c r="B633" i="14"/>
  <c r="A633" i="14" s="1"/>
  <c r="B634" i="14"/>
  <c r="A634" i="14" s="1"/>
  <c r="B635" i="14"/>
  <c r="A635" i="14" s="1"/>
  <c r="B636" i="14"/>
  <c r="A636" i="14" s="1"/>
  <c r="B637" i="14"/>
  <c r="A637" i="14" s="1"/>
  <c r="B638" i="14"/>
  <c r="A638" i="14" s="1"/>
  <c r="B639" i="14"/>
  <c r="A639" i="14" s="1"/>
  <c r="B640" i="14"/>
  <c r="A640" i="14" s="1"/>
  <c r="B641" i="14"/>
  <c r="A641" i="14" s="1"/>
  <c r="B642" i="14"/>
  <c r="A642" i="14" s="1"/>
  <c r="B643" i="14"/>
  <c r="A643" i="14" s="1"/>
  <c r="B644" i="14"/>
  <c r="A644" i="14" s="1"/>
  <c r="B645" i="14"/>
  <c r="A645" i="14" s="1"/>
  <c r="B646" i="14"/>
  <c r="A646" i="14" s="1"/>
  <c r="B647" i="14"/>
  <c r="A647" i="14" s="1"/>
  <c r="B648" i="14"/>
  <c r="A648" i="14" s="1"/>
  <c r="B649" i="14"/>
  <c r="A649" i="14" s="1"/>
  <c r="B650" i="14"/>
  <c r="A650" i="14" s="1"/>
  <c r="B651" i="14"/>
  <c r="A651" i="14" s="1"/>
  <c r="B652" i="14"/>
  <c r="A652" i="14" s="1"/>
  <c r="B653" i="14"/>
  <c r="A653" i="14" s="1"/>
  <c r="B654" i="14"/>
  <c r="A654" i="14" s="1"/>
  <c r="B655" i="14"/>
  <c r="A655" i="14" s="1"/>
  <c r="B656" i="14"/>
  <c r="A656" i="14" s="1"/>
  <c r="B657" i="14"/>
  <c r="A657" i="14" s="1"/>
  <c r="B658" i="14"/>
  <c r="A658" i="14" s="1"/>
  <c r="B659" i="14"/>
  <c r="A659" i="14" s="1"/>
  <c r="B660" i="14"/>
  <c r="A660" i="14" s="1"/>
  <c r="B661" i="14"/>
  <c r="A661" i="14" s="1"/>
  <c r="B662" i="14"/>
  <c r="A662" i="14" s="1"/>
  <c r="B663" i="14"/>
  <c r="A663" i="14" s="1"/>
  <c r="B664" i="14"/>
  <c r="A664" i="14" s="1"/>
  <c r="B665" i="14"/>
  <c r="A665" i="14" s="1"/>
  <c r="B666" i="14"/>
  <c r="A666" i="14" s="1"/>
  <c r="B667" i="14"/>
  <c r="A667" i="14" s="1"/>
  <c r="B668" i="14"/>
  <c r="A668" i="14" s="1"/>
  <c r="B669" i="14"/>
  <c r="A669" i="14" s="1"/>
  <c r="B670" i="14"/>
  <c r="A670" i="14" s="1"/>
  <c r="B671" i="14"/>
  <c r="A671" i="14" s="1"/>
  <c r="B672" i="14"/>
  <c r="A672" i="14" s="1"/>
  <c r="B673" i="14"/>
  <c r="A673" i="14" s="1"/>
  <c r="B674" i="14"/>
  <c r="A674" i="14" s="1"/>
  <c r="B675" i="14"/>
  <c r="A675" i="14" s="1"/>
  <c r="B676" i="14"/>
  <c r="A676" i="14" s="1"/>
  <c r="B677" i="14"/>
  <c r="A677" i="14" s="1"/>
  <c r="B678" i="14"/>
  <c r="A678" i="14" s="1"/>
  <c r="B679" i="14"/>
  <c r="A679" i="14" s="1"/>
  <c r="B680" i="14"/>
  <c r="A680" i="14" s="1"/>
  <c r="B681" i="14"/>
  <c r="A681" i="14" s="1"/>
  <c r="B682" i="14"/>
  <c r="A682" i="14" s="1"/>
  <c r="B683" i="14"/>
  <c r="A683" i="14" s="1"/>
  <c r="B684" i="14"/>
  <c r="A684" i="14" s="1"/>
  <c r="B685" i="14"/>
  <c r="A685" i="14" s="1"/>
  <c r="B686" i="14"/>
  <c r="A686" i="14" s="1"/>
  <c r="B687" i="14"/>
  <c r="A687" i="14" s="1"/>
  <c r="B688" i="14"/>
  <c r="A688" i="14" s="1"/>
  <c r="B689" i="14"/>
  <c r="A689" i="14" s="1"/>
  <c r="B690" i="14"/>
  <c r="A690" i="14" s="1"/>
  <c r="B691" i="14"/>
  <c r="A691" i="14" s="1"/>
  <c r="B692" i="14"/>
  <c r="A692" i="14" s="1"/>
  <c r="B693" i="14"/>
  <c r="A693" i="14" s="1"/>
  <c r="B694" i="14"/>
  <c r="A694" i="14" s="1"/>
  <c r="B695" i="14"/>
  <c r="A695" i="14" s="1"/>
  <c r="B696" i="14"/>
  <c r="A696" i="14" s="1"/>
  <c r="B697" i="14"/>
  <c r="A697" i="14" s="1"/>
  <c r="B698" i="14"/>
  <c r="A698" i="14" s="1"/>
  <c r="B699" i="14"/>
  <c r="A699" i="14" s="1"/>
  <c r="B700" i="14"/>
  <c r="A700" i="14" s="1"/>
  <c r="B701" i="14"/>
  <c r="A701" i="14" s="1"/>
  <c r="B702" i="14"/>
  <c r="A702" i="14" s="1"/>
  <c r="B703" i="14"/>
  <c r="A703" i="14" s="1"/>
  <c r="B704" i="14"/>
  <c r="A704" i="14" s="1"/>
  <c r="B705" i="14"/>
  <c r="A705" i="14" s="1"/>
  <c r="B706" i="14"/>
  <c r="A706" i="14" s="1"/>
  <c r="B707" i="14"/>
  <c r="A707" i="14" s="1"/>
  <c r="B708" i="14"/>
  <c r="A708" i="14" s="1"/>
  <c r="B709" i="14"/>
  <c r="A709" i="14" s="1"/>
  <c r="B710" i="14"/>
  <c r="A710" i="14" s="1"/>
  <c r="B711" i="14"/>
  <c r="A711" i="14" s="1"/>
  <c r="B712" i="14"/>
  <c r="A712" i="14" s="1"/>
  <c r="B713" i="14"/>
  <c r="A713" i="14" s="1"/>
  <c r="B714" i="14"/>
  <c r="A714" i="14" s="1"/>
  <c r="B715" i="14"/>
  <c r="A715" i="14" s="1"/>
  <c r="B716" i="14"/>
  <c r="A716" i="14" s="1"/>
  <c r="B717" i="14"/>
  <c r="A717" i="14" s="1"/>
  <c r="B718" i="14"/>
  <c r="A718" i="14" s="1"/>
  <c r="B719" i="14"/>
  <c r="A719" i="14" s="1"/>
  <c r="B720" i="14"/>
  <c r="A720" i="14" s="1"/>
  <c r="B721" i="14"/>
  <c r="A721" i="14" s="1"/>
  <c r="B722" i="14"/>
  <c r="A722" i="14" s="1"/>
  <c r="B723" i="14"/>
  <c r="A723" i="14" s="1"/>
  <c r="B724" i="14"/>
  <c r="A724" i="14" s="1"/>
  <c r="B725" i="14"/>
  <c r="A725" i="14" s="1"/>
  <c r="B726" i="14"/>
  <c r="A726" i="14" s="1"/>
  <c r="B727" i="14"/>
  <c r="A727" i="14" s="1"/>
  <c r="B728" i="14"/>
  <c r="A728" i="14" s="1"/>
  <c r="B729" i="14"/>
  <c r="A729" i="14" s="1"/>
  <c r="B730" i="14"/>
  <c r="A730" i="14" s="1"/>
  <c r="B731" i="14"/>
  <c r="A731" i="14" s="1"/>
  <c r="B732" i="14"/>
  <c r="A732" i="14" s="1"/>
  <c r="B733" i="14"/>
  <c r="A733" i="14" s="1"/>
  <c r="B734" i="14"/>
  <c r="A734" i="14" s="1"/>
  <c r="B735" i="14"/>
  <c r="A735" i="14" s="1"/>
  <c r="B736" i="14"/>
  <c r="A736" i="14" s="1"/>
  <c r="B737" i="14"/>
  <c r="A737" i="14" s="1"/>
  <c r="B738" i="14"/>
  <c r="A738" i="14" s="1"/>
  <c r="B739" i="14"/>
  <c r="A739" i="14" s="1"/>
  <c r="B740" i="14"/>
  <c r="A740" i="14" s="1"/>
  <c r="B741" i="14"/>
  <c r="A741" i="14" s="1"/>
  <c r="B742" i="14"/>
  <c r="A742" i="14" s="1"/>
  <c r="B743" i="14"/>
  <c r="A743" i="14" s="1"/>
  <c r="B744" i="14"/>
  <c r="A744" i="14" s="1"/>
  <c r="B745" i="14"/>
  <c r="A745" i="14" s="1"/>
  <c r="B746" i="14"/>
  <c r="A746" i="14" s="1"/>
  <c r="B747" i="14"/>
  <c r="A747" i="14" s="1"/>
  <c r="B748" i="14"/>
  <c r="A748" i="14" s="1"/>
  <c r="B749" i="14"/>
  <c r="A749" i="14" s="1"/>
  <c r="B750" i="14"/>
  <c r="A750" i="14" s="1"/>
  <c r="B751" i="14"/>
  <c r="A751" i="14" s="1"/>
  <c r="B752" i="14"/>
  <c r="A752" i="14" s="1"/>
  <c r="B753" i="14"/>
  <c r="A753" i="14" s="1"/>
  <c r="B754" i="14"/>
  <c r="A754" i="14" s="1"/>
  <c r="B755" i="14"/>
  <c r="A755" i="14" s="1"/>
  <c r="B756" i="14"/>
  <c r="A756" i="14" s="1"/>
  <c r="B757" i="14"/>
  <c r="A757" i="14" s="1"/>
  <c r="B758" i="14"/>
  <c r="A758" i="14" s="1"/>
  <c r="B759" i="14"/>
  <c r="A759" i="14" s="1"/>
  <c r="B760" i="14"/>
  <c r="A760" i="14" s="1"/>
  <c r="B761" i="14"/>
  <c r="A761" i="14" s="1"/>
  <c r="B762" i="14"/>
  <c r="A762" i="14" s="1"/>
  <c r="B763" i="14"/>
  <c r="A763" i="14" s="1"/>
  <c r="B764" i="14"/>
  <c r="A764" i="14" s="1"/>
  <c r="B765" i="14"/>
  <c r="A765" i="14" s="1"/>
  <c r="B766" i="14"/>
  <c r="A766" i="14" s="1"/>
  <c r="B767" i="14"/>
  <c r="A767" i="14" s="1"/>
  <c r="B768" i="14"/>
  <c r="A768" i="14" s="1"/>
  <c r="B769" i="14"/>
  <c r="A769" i="14" s="1"/>
  <c r="B770" i="14"/>
  <c r="A770" i="14" s="1"/>
  <c r="B771" i="14"/>
  <c r="A771" i="14" s="1"/>
  <c r="B772" i="14"/>
  <c r="A772" i="14" s="1"/>
  <c r="B773" i="14"/>
  <c r="A773" i="14" s="1"/>
  <c r="B774" i="14"/>
  <c r="A774" i="14" s="1"/>
  <c r="B775" i="14"/>
  <c r="A775" i="14" s="1"/>
  <c r="B776" i="14"/>
  <c r="A776" i="14" s="1"/>
  <c r="B777" i="14"/>
  <c r="A777" i="14" s="1"/>
  <c r="B778" i="14"/>
  <c r="A778" i="14" s="1"/>
  <c r="B779" i="14"/>
  <c r="A779" i="14" s="1"/>
  <c r="B780" i="14"/>
  <c r="A780" i="14" s="1"/>
  <c r="B781" i="14"/>
  <c r="A781" i="14" s="1"/>
  <c r="B782" i="14"/>
  <c r="A782" i="14" s="1"/>
  <c r="B783" i="14"/>
  <c r="A783" i="14" s="1"/>
  <c r="B784" i="14"/>
  <c r="A784" i="14" s="1"/>
  <c r="B785" i="14"/>
  <c r="A785" i="14" s="1"/>
  <c r="B786" i="14"/>
  <c r="A786" i="14" s="1"/>
  <c r="B787" i="14"/>
  <c r="A787" i="14" s="1"/>
  <c r="B788" i="14"/>
  <c r="A788" i="14" s="1"/>
  <c r="B789" i="14"/>
  <c r="A789" i="14" s="1"/>
  <c r="B790" i="14"/>
  <c r="A790" i="14" s="1"/>
  <c r="B791" i="14"/>
  <c r="A791" i="14" s="1"/>
  <c r="B792" i="14"/>
  <c r="A792" i="14" s="1"/>
  <c r="B793" i="14"/>
  <c r="A793" i="14" s="1"/>
  <c r="B794" i="14"/>
  <c r="A794" i="14" s="1"/>
  <c r="B795" i="14"/>
  <c r="A795" i="14" s="1"/>
  <c r="B796" i="14"/>
  <c r="A796" i="14" s="1"/>
  <c r="B797" i="14"/>
  <c r="A797" i="14" s="1"/>
  <c r="B798" i="14"/>
  <c r="A798" i="14" s="1"/>
  <c r="B799" i="14"/>
  <c r="A799" i="14" s="1"/>
  <c r="B800" i="14"/>
  <c r="A800" i="14" s="1"/>
  <c r="B801" i="14"/>
  <c r="A801" i="14" s="1"/>
  <c r="B802" i="14"/>
  <c r="A802" i="14" s="1"/>
  <c r="B803" i="14"/>
  <c r="A803" i="14" s="1"/>
  <c r="B804" i="14"/>
  <c r="A804" i="14" s="1"/>
  <c r="B805" i="14"/>
  <c r="A805" i="14" s="1"/>
  <c r="B806" i="14"/>
  <c r="A806" i="14" s="1"/>
  <c r="B807" i="14"/>
  <c r="A807" i="14" s="1"/>
  <c r="B808" i="14"/>
  <c r="A808" i="14" s="1"/>
  <c r="B809" i="14"/>
  <c r="A809" i="14" s="1"/>
  <c r="B810" i="14"/>
  <c r="A810" i="14" s="1"/>
  <c r="B811" i="14"/>
  <c r="A811" i="14" s="1"/>
  <c r="B812" i="14"/>
  <c r="A812" i="14" s="1"/>
  <c r="B813" i="14"/>
  <c r="A813" i="14" s="1"/>
  <c r="B814" i="14"/>
  <c r="A814" i="14" s="1"/>
  <c r="B815" i="14"/>
  <c r="A815" i="14" s="1"/>
  <c r="B816" i="14"/>
  <c r="A816" i="14" s="1"/>
  <c r="B817" i="14"/>
  <c r="A817" i="14" s="1"/>
  <c r="B818" i="14"/>
  <c r="A818" i="14" s="1"/>
  <c r="B819" i="14"/>
  <c r="A819" i="14" s="1"/>
  <c r="B820" i="14"/>
  <c r="A820" i="14" s="1"/>
  <c r="B821" i="14"/>
  <c r="A821" i="14" s="1"/>
  <c r="B822" i="14"/>
  <c r="A822" i="14" s="1"/>
  <c r="B823" i="14"/>
  <c r="A823" i="14" s="1"/>
  <c r="B824" i="14"/>
  <c r="A824" i="14" s="1"/>
  <c r="B825" i="14"/>
  <c r="A825" i="14" s="1"/>
  <c r="B826" i="14"/>
  <c r="A826" i="14" s="1"/>
  <c r="B827" i="14"/>
  <c r="A827" i="14" s="1"/>
  <c r="B828" i="14"/>
  <c r="A828" i="14" s="1"/>
  <c r="B829" i="14"/>
  <c r="A829" i="14" s="1"/>
  <c r="B830" i="14"/>
  <c r="A830" i="14" s="1"/>
  <c r="B831" i="14"/>
  <c r="A831" i="14" s="1"/>
  <c r="B832" i="14"/>
  <c r="A832" i="14" s="1"/>
  <c r="B833" i="14"/>
  <c r="A833" i="14" s="1"/>
  <c r="B834" i="14"/>
  <c r="A834" i="14" s="1"/>
  <c r="B835" i="14"/>
  <c r="A835" i="14" s="1"/>
  <c r="B836" i="14"/>
  <c r="A836" i="14" s="1"/>
  <c r="B837" i="14"/>
  <c r="A837" i="14" s="1"/>
  <c r="B838" i="14"/>
  <c r="A838" i="14" s="1"/>
  <c r="B839" i="14"/>
  <c r="A839" i="14" s="1"/>
  <c r="B840" i="14"/>
  <c r="A840" i="14" s="1"/>
  <c r="B841" i="14"/>
  <c r="A841" i="14" s="1"/>
  <c r="B842" i="14"/>
  <c r="A842" i="14" s="1"/>
  <c r="B843" i="14"/>
  <c r="A843" i="14" s="1"/>
  <c r="B844" i="14"/>
  <c r="A844" i="14" s="1"/>
  <c r="B845" i="14"/>
  <c r="A845" i="14" s="1"/>
  <c r="B846" i="14"/>
  <c r="A846" i="14" s="1"/>
  <c r="B847" i="14"/>
  <c r="A847" i="14" s="1"/>
  <c r="B848" i="14"/>
  <c r="A848" i="14" s="1"/>
  <c r="B849" i="14"/>
  <c r="A849" i="14" s="1"/>
  <c r="B850" i="14"/>
  <c r="A850" i="14" s="1"/>
  <c r="B851" i="14"/>
  <c r="A851" i="14" s="1"/>
  <c r="B852" i="14"/>
  <c r="A852" i="14" s="1"/>
  <c r="B853" i="14"/>
  <c r="A853" i="14" s="1"/>
  <c r="B854" i="14"/>
  <c r="A854" i="14" s="1"/>
  <c r="B855" i="14"/>
  <c r="A855" i="14" s="1"/>
  <c r="B856" i="14"/>
  <c r="A856" i="14" s="1"/>
  <c r="B857" i="14"/>
  <c r="A857" i="14" s="1"/>
  <c r="B858" i="14"/>
  <c r="A858" i="14" s="1"/>
  <c r="B859" i="14"/>
  <c r="A859" i="14" s="1"/>
  <c r="B860" i="14"/>
  <c r="A860" i="14" s="1"/>
  <c r="B861" i="14"/>
  <c r="A861" i="14" s="1"/>
  <c r="B862" i="14"/>
  <c r="A862" i="14" s="1"/>
  <c r="B863" i="14"/>
  <c r="A863" i="14" s="1"/>
  <c r="B864" i="14"/>
  <c r="A864" i="14" s="1"/>
  <c r="B865" i="14"/>
  <c r="A865" i="14" s="1"/>
  <c r="B866" i="14"/>
  <c r="A866" i="14" s="1"/>
  <c r="B867" i="14"/>
  <c r="A867" i="14" s="1"/>
  <c r="B868" i="14"/>
  <c r="A868" i="14" s="1"/>
  <c r="B869" i="14"/>
  <c r="A869" i="14" s="1"/>
  <c r="B870" i="14"/>
  <c r="A870" i="14" s="1"/>
  <c r="B871" i="14"/>
  <c r="A871" i="14" s="1"/>
  <c r="B872" i="14"/>
  <c r="A872" i="14" s="1"/>
  <c r="B873" i="14"/>
  <c r="A873" i="14" s="1"/>
  <c r="B874" i="14"/>
  <c r="A874" i="14" s="1"/>
  <c r="B875" i="14"/>
  <c r="A875" i="14" s="1"/>
  <c r="B876" i="14"/>
  <c r="A876" i="14" s="1"/>
  <c r="B877" i="14"/>
  <c r="A877" i="14" s="1"/>
  <c r="B878" i="14"/>
  <c r="A878" i="14" s="1"/>
  <c r="B879" i="14"/>
  <c r="A879" i="14" s="1"/>
  <c r="B880" i="14"/>
  <c r="A880" i="14" s="1"/>
  <c r="B881" i="14"/>
  <c r="A881" i="14" s="1"/>
  <c r="B882" i="14"/>
  <c r="A882" i="14" s="1"/>
  <c r="B883" i="14"/>
  <c r="A883" i="14" s="1"/>
  <c r="B884" i="14"/>
  <c r="A884" i="14" s="1"/>
  <c r="B885" i="14"/>
  <c r="A885" i="14" s="1"/>
  <c r="B886" i="14"/>
  <c r="A886" i="14" s="1"/>
  <c r="B887" i="14"/>
  <c r="A887" i="14" s="1"/>
  <c r="B888" i="14"/>
  <c r="A888" i="14" s="1"/>
  <c r="B889" i="14"/>
  <c r="A889" i="14" s="1"/>
  <c r="B890" i="14"/>
  <c r="A890" i="14" s="1"/>
  <c r="B891" i="14"/>
  <c r="A891" i="14" s="1"/>
  <c r="B892" i="14"/>
  <c r="A892" i="14" s="1"/>
  <c r="B893" i="14"/>
  <c r="A893" i="14" s="1"/>
  <c r="B894" i="14"/>
  <c r="A894" i="14" s="1"/>
  <c r="B895" i="14"/>
  <c r="A895" i="14" s="1"/>
  <c r="B896" i="14"/>
  <c r="A896" i="14" s="1"/>
  <c r="B897" i="14"/>
  <c r="A897" i="14" s="1"/>
  <c r="B898" i="14"/>
  <c r="A898" i="14" s="1"/>
  <c r="B899" i="14"/>
  <c r="A899" i="14" s="1"/>
  <c r="B900" i="14"/>
  <c r="A900" i="14" s="1"/>
  <c r="B901" i="14"/>
  <c r="A901" i="14" s="1"/>
  <c r="B902" i="14"/>
  <c r="A902" i="14" s="1"/>
  <c r="B903" i="14"/>
  <c r="A903" i="14" s="1"/>
  <c r="B904" i="14"/>
  <c r="A904" i="14" s="1"/>
  <c r="B905" i="14"/>
  <c r="A905" i="14" s="1"/>
  <c r="B906" i="14"/>
  <c r="A906" i="14" s="1"/>
  <c r="B907" i="14"/>
  <c r="A907" i="14" s="1"/>
  <c r="B908" i="14"/>
  <c r="A908" i="14" s="1"/>
  <c r="B909" i="14"/>
  <c r="A909" i="14" s="1"/>
  <c r="B910" i="14"/>
  <c r="A910" i="14" s="1"/>
  <c r="B911" i="14"/>
  <c r="A911" i="14" s="1"/>
  <c r="B912" i="14"/>
  <c r="A912" i="14" s="1"/>
  <c r="B913" i="14"/>
  <c r="A913" i="14" s="1"/>
  <c r="B914" i="14"/>
  <c r="A914" i="14" s="1"/>
  <c r="B915" i="14"/>
  <c r="A915" i="14" s="1"/>
  <c r="B916" i="14"/>
  <c r="A916" i="14" s="1"/>
  <c r="B917" i="14"/>
  <c r="A917" i="14" s="1"/>
  <c r="B918" i="14"/>
  <c r="A918" i="14" s="1"/>
  <c r="B919" i="14"/>
  <c r="A919" i="14" s="1"/>
  <c r="B920" i="14"/>
  <c r="A920" i="14" s="1"/>
  <c r="B921" i="14"/>
  <c r="A921" i="14" s="1"/>
  <c r="B922" i="14"/>
  <c r="A922" i="14" s="1"/>
  <c r="B923" i="14"/>
  <c r="A923" i="14" s="1"/>
  <c r="B924" i="14"/>
  <c r="A924" i="14" s="1"/>
  <c r="B925" i="14"/>
  <c r="A925" i="14" s="1"/>
  <c r="B926" i="14"/>
  <c r="A926" i="14" s="1"/>
  <c r="B927" i="14"/>
  <c r="A927" i="14" s="1"/>
  <c r="B928" i="14"/>
  <c r="A928" i="14" s="1"/>
  <c r="B929" i="14"/>
  <c r="A929" i="14" s="1"/>
  <c r="B930" i="14"/>
  <c r="A930" i="14" s="1"/>
  <c r="B931" i="14"/>
  <c r="A931" i="14" s="1"/>
  <c r="B932" i="14"/>
  <c r="A932" i="14" s="1"/>
  <c r="B933" i="14"/>
  <c r="A933" i="14" s="1"/>
  <c r="B934" i="14"/>
  <c r="A934" i="14" s="1"/>
  <c r="B935" i="14"/>
  <c r="A935" i="14" s="1"/>
  <c r="B936" i="14"/>
  <c r="A936" i="14" s="1"/>
  <c r="B937" i="14"/>
  <c r="A937" i="14" s="1"/>
  <c r="B938" i="14"/>
  <c r="A938" i="14" s="1"/>
  <c r="B939" i="14"/>
  <c r="A939" i="14" s="1"/>
  <c r="B940" i="14"/>
  <c r="A940" i="14" s="1"/>
  <c r="B941" i="14"/>
  <c r="A941" i="14" s="1"/>
  <c r="B942" i="14"/>
  <c r="A942" i="14" s="1"/>
  <c r="B943" i="14"/>
  <c r="A943" i="14" s="1"/>
  <c r="B944" i="14"/>
  <c r="A944" i="14" s="1"/>
  <c r="B945" i="14"/>
  <c r="A945" i="14" s="1"/>
  <c r="B946" i="14"/>
  <c r="A946" i="14" s="1"/>
  <c r="B947" i="14"/>
  <c r="A947" i="14" s="1"/>
  <c r="B948" i="14"/>
  <c r="A948" i="14" s="1"/>
  <c r="B949" i="14"/>
  <c r="A949" i="14" s="1"/>
  <c r="B950" i="14"/>
  <c r="A950" i="14" s="1"/>
  <c r="B951" i="14"/>
  <c r="A951" i="14" s="1"/>
  <c r="B952" i="14"/>
  <c r="A952" i="14" s="1"/>
  <c r="B953" i="14"/>
  <c r="A953" i="14" s="1"/>
  <c r="B954" i="14"/>
  <c r="A954" i="14" s="1"/>
  <c r="B955" i="14"/>
  <c r="A955" i="14" s="1"/>
  <c r="B956" i="14"/>
  <c r="A956" i="14" s="1"/>
  <c r="B957" i="14"/>
  <c r="A957" i="14" s="1"/>
  <c r="B958" i="14"/>
  <c r="A958" i="14" s="1"/>
  <c r="B959" i="14"/>
  <c r="A959" i="14" s="1"/>
  <c r="B960" i="14"/>
  <c r="A960" i="14" s="1"/>
  <c r="B961" i="14"/>
  <c r="A961" i="14" s="1"/>
  <c r="B962" i="14"/>
  <c r="A962" i="14" s="1"/>
  <c r="B963" i="14"/>
  <c r="A963" i="14" s="1"/>
  <c r="B964" i="14"/>
  <c r="A964" i="14" s="1"/>
  <c r="B965" i="14"/>
  <c r="A965" i="14" s="1"/>
  <c r="B966" i="14"/>
  <c r="A966" i="14" s="1"/>
  <c r="B967" i="14"/>
  <c r="A967" i="14" s="1"/>
  <c r="B968" i="14"/>
  <c r="A968" i="14" s="1"/>
  <c r="B969" i="14"/>
  <c r="A969" i="14" s="1"/>
  <c r="B970" i="14"/>
  <c r="A970" i="14" s="1"/>
  <c r="B971" i="14"/>
  <c r="A971" i="14" s="1"/>
  <c r="B972" i="14"/>
  <c r="A972" i="14" s="1"/>
  <c r="B973" i="14"/>
  <c r="A973" i="14" s="1"/>
  <c r="B974" i="14"/>
  <c r="A974" i="14" s="1"/>
  <c r="B975" i="14"/>
  <c r="A975" i="14" s="1"/>
  <c r="B976" i="14"/>
  <c r="A976" i="14" s="1"/>
  <c r="B977" i="14"/>
  <c r="A977" i="14" s="1"/>
  <c r="B978" i="14"/>
  <c r="A978" i="14" s="1"/>
  <c r="B979" i="14"/>
  <c r="A979" i="14" s="1"/>
  <c r="B980" i="14"/>
  <c r="A980" i="14" s="1"/>
  <c r="B981" i="14"/>
  <c r="A981" i="14" s="1"/>
  <c r="B982" i="14"/>
  <c r="A982" i="14" s="1"/>
  <c r="B983" i="14"/>
  <c r="A983" i="14" s="1"/>
  <c r="B984" i="14"/>
  <c r="A984" i="14" s="1"/>
  <c r="B985" i="14"/>
  <c r="A985" i="14" s="1"/>
  <c r="B986" i="14"/>
  <c r="A986" i="14" s="1"/>
  <c r="B987" i="14"/>
  <c r="A987" i="14" s="1"/>
  <c r="B988" i="14"/>
  <c r="A988" i="14" s="1"/>
  <c r="B989" i="14"/>
  <c r="A989" i="14" s="1"/>
  <c r="B990" i="14"/>
  <c r="A990" i="14" s="1"/>
  <c r="B991" i="14"/>
  <c r="A991" i="14" s="1"/>
  <c r="B992" i="14"/>
  <c r="A992" i="14" s="1"/>
  <c r="B993" i="14"/>
  <c r="A993" i="14" s="1"/>
  <c r="B994" i="14"/>
  <c r="A994" i="14" s="1"/>
  <c r="B995" i="14"/>
  <c r="A995" i="14" s="1"/>
  <c r="B996" i="14"/>
  <c r="A996" i="14" s="1"/>
  <c r="B997" i="14"/>
  <c r="A997" i="14" s="1"/>
  <c r="B998" i="14"/>
  <c r="A998" i="14" s="1"/>
  <c r="B999" i="14"/>
  <c r="A999" i="14" s="1"/>
  <c r="B1000" i="14"/>
  <c r="A1000" i="14" s="1"/>
  <c r="BN107" i="1" l="1"/>
  <c r="BU107" i="1"/>
  <c r="BN223" i="1"/>
  <c r="BU223" i="1"/>
  <c r="BN244" i="1"/>
  <c r="BU244" i="1"/>
  <c r="BN343" i="1"/>
  <c r="BU343" i="1"/>
  <c r="BN148" i="1"/>
  <c r="BU148" i="1"/>
  <c r="BN367" i="1"/>
  <c r="BU367" i="1"/>
  <c r="BN332" i="1"/>
  <c r="BU332" i="1"/>
  <c r="BN75" i="1"/>
  <c r="BU75" i="1"/>
  <c r="BN532" i="1"/>
  <c r="BU532" i="1"/>
  <c r="BN195" i="1"/>
  <c r="BU195" i="1"/>
  <c r="BN124" i="1"/>
  <c r="BU124" i="1"/>
  <c r="BN607" i="1"/>
  <c r="BU607" i="1"/>
  <c r="BN144" i="1"/>
  <c r="BU144" i="1"/>
  <c r="BN471" i="1"/>
  <c r="BU471" i="1"/>
  <c r="BN300" i="1"/>
  <c r="BU300" i="1"/>
  <c r="BN567" i="1"/>
  <c r="BU567" i="1"/>
  <c r="BN110" i="1"/>
  <c r="BU110" i="1"/>
  <c r="BN587" i="1"/>
  <c r="BU587" i="1"/>
  <c r="BN545" i="1"/>
  <c r="BU545" i="1"/>
  <c r="BN394" i="1"/>
  <c r="BU394" i="1"/>
  <c r="BN87" i="1"/>
  <c r="BU87" i="1"/>
  <c r="BN550" i="1"/>
  <c r="BU550" i="1"/>
  <c r="BN521" i="1"/>
  <c r="BU521" i="1"/>
  <c r="BN305" i="1"/>
  <c r="BU305" i="1"/>
  <c r="AZ73" i="1"/>
  <c r="BS73" i="1"/>
  <c r="BT73" i="1"/>
  <c r="BA73" i="1"/>
  <c r="BR76" i="2"/>
  <c r="R75" i="1" s="1"/>
  <c r="AH75" i="1" s="1"/>
  <c r="BQ76" i="2"/>
  <c r="Q75" i="1" s="1"/>
  <c r="AG75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AZ74" i="1" l="1"/>
  <c r="BS74" i="1"/>
  <c r="BA74" i="1"/>
  <c r="BT74" i="1"/>
  <c r="BS75" i="1"/>
  <c r="AZ75" i="1"/>
  <c r="BT75" i="1"/>
  <c r="BA75" i="1"/>
  <c r="BR77" i="2"/>
  <c r="R76" i="1" s="1"/>
  <c r="BQ77" i="2"/>
  <c r="Q76" i="1" s="1"/>
  <c r="BR78" i="2"/>
  <c r="R77" i="1" s="1"/>
  <c r="AH77" i="1" s="1"/>
  <c r="BQ78" i="2"/>
  <c r="Q77" i="1" s="1"/>
  <c r="AG77" i="1" s="1"/>
  <c r="BS77" i="1" l="1"/>
  <c r="AZ77" i="1"/>
  <c r="BT77" i="1"/>
  <c r="BA77" i="1"/>
  <c r="BQ79" i="2"/>
  <c r="Q78" i="1" s="1"/>
  <c r="AG78" i="1" s="1"/>
  <c r="BR79" i="2"/>
  <c r="R78" i="1" s="1"/>
  <c r="AH78" i="1" s="1"/>
  <c r="BR80" i="2"/>
  <c r="R79" i="1" s="1"/>
  <c r="BQ80" i="2"/>
  <c r="Q79" i="1" s="1"/>
  <c r="BT78" i="1" l="1"/>
  <c r="BA78" i="1"/>
  <c r="BS78" i="1"/>
  <c r="AZ78" i="1"/>
  <c r="BR81" i="2"/>
  <c r="R80" i="1" s="1"/>
  <c r="BQ81" i="2"/>
  <c r="Q80" i="1" s="1"/>
  <c r="BQ82" i="2"/>
  <c r="Q81" i="1" s="1"/>
  <c r="BR82" i="2"/>
  <c r="R81" i="1" s="1"/>
  <c r="BR84" i="2" l="1"/>
  <c r="R83" i="1" s="1"/>
  <c r="BQ84" i="2"/>
  <c r="Q83" i="1" s="1"/>
  <c r="BQ83" i="2"/>
  <c r="Q82" i="1" s="1"/>
  <c r="AG82" i="1" s="1"/>
  <c r="BR83" i="2"/>
  <c r="R82" i="1" s="1"/>
  <c r="AH82" i="1" s="1"/>
  <c r="D549" i="14"/>
  <c r="BA82" i="1" l="1"/>
  <c r="BT82" i="1"/>
  <c r="AZ82" i="1"/>
  <c r="BS82" i="1"/>
  <c r="BR86" i="2"/>
  <c r="R85" i="1" s="1"/>
  <c r="BQ86" i="2"/>
  <c r="Q85" i="1" s="1"/>
  <c r="BQ85" i="2"/>
  <c r="Q84" i="1" s="1"/>
  <c r="AG84" i="1" s="1"/>
  <c r="BR85" i="2"/>
  <c r="R84" i="1" s="1"/>
  <c r="AH84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84" i="1" l="1"/>
  <c r="BA84" i="1"/>
  <c r="BS84" i="1"/>
  <c r="AZ84" i="1"/>
  <c r="BR87" i="2"/>
  <c r="R86" i="1" s="1"/>
  <c r="AH86" i="1" s="1"/>
  <c r="BQ87" i="2"/>
  <c r="Q86" i="1" s="1"/>
  <c r="AG86" i="1" s="1"/>
  <c r="BR88" i="2"/>
  <c r="R87" i="1" s="1"/>
  <c r="AH87" i="1" s="1"/>
  <c r="BQ88" i="2"/>
  <c r="Q87" i="1" s="1"/>
  <c r="AG87" i="1" s="1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87" i="1" l="1"/>
  <c r="AZ87" i="1"/>
  <c r="BT87" i="1"/>
  <c r="BA87" i="1"/>
  <c r="AZ86" i="1"/>
  <c r="BS86" i="1"/>
  <c r="BT86" i="1"/>
  <c r="BA86" i="1"/>
  <c r="BR89" i="2"/>
  <c r="R88" i="1" s="1"/>
  <c r="BQ89" i="2"/>
  <c r="Q88" i="1" s="1"/>
  <c r="BQ90" i="2"/>
  <c r="Q89" i="1" s="1"/>
  <c r="BR90" i="2"/>
  <c r="R89" i="1" s="1"/>
  <c r="C7" i="16"/>
  <c r="C8" i="16"/>
  <c r="C4" i="16"/>
  <c r="C5" i="16"/>
  <c r="C6" i="16"/>
  <c r="X2" i="1"/>
  <c r="BK2" i="1" s="1"/>
  <c r="BR91" i="2" l="1"/>
  <c r="R90" i="1" s="1"/>
  <c r="AH90" i="1" s="1"/>
  <c r="BQ91" i="2"/>
  <c r="Q90" i="1" s="1"/>
  <c r="AG90" i="1" s="1"/>
  <c r="BQ92" i="2"/>
  <c r="Q91" i="1" s="1"/>
  <c r="AG91" i="1" s="1"/>
  <c r="BR92" i="2"/>
  <c r="R91" i="1" s="1"/>
  <c r="AH91" i="1" s="1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T91" i="1" l="1"/>
  <c r="BA91" i="1"/>
  <c r="AZ91" i="1"/>
  <c r="BS91" i="1"/>
  <c r="BS90" i="1"/>
  <c r="AZ90" i="1"/>
  <c r="BA90" i="1"/>
  <c r="BT90" i="1"/>
  <c r="BR94" i="2"/>
  <c r="R93" i="1" s="1"/>
  <c r="BQ94" i="2"/>
  <c r="Q93" i="1" s="1"/>
  <c r="BQ93" i="2"/>
  <c r="Q92" i="1" s="1"/>
  <c r="AG92" i="1" s="1"/>
  <c r="BR93" i="2"/>
  <c r="R92" i="1" s="1"/>
  <c r="AH92" i="1" s="1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A92" i="1" l="1"/>
  <c r="BT92" i="1"/>
  <c r="AZ92" i="1"/>
  <c r="BS92" i="1"/>
  <c r="BQ96" i="2"/>
  <c r="Q95" i="1" s="1"/>
  <c r="BR96" i="2"/>
  <c r="R95" i="1" s="1"/>
  <c r="BR95" i="2"/>
  <c r="R94" i="1" s="1"/>
  <c r="AH94" i="1" s="1"/>
  <c r="BQ95" i="2"/>
  <c r="Q94" i="1" s="1"/>
  <c r="AG94" i="1" s="1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S94" i="1" l="1"/>
  <c r="AZ94" i="1"/>
  <c r="BA94" i="1"/>
  <c r="BT94" i="1"/>
  <c r="BR97" i="2"/>
  <c r="R96" i="1" s="1"/>
  <c r="BQ97" i="2"/>
  <c r="Q96" i="1" s="1"/>
  <c r="BQ98" i="2"/>
  <c r="Q97" i="1" s="1"/>
  <c r="AG97" i="1" s="1"/>
  <c r="BR98" i="2"/>
  <c r="R97" i="1" s="1"/>
  <c r="AH97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T97" i="1" l="1"/>
  <c r="BA97" i="1"/>
  <c r="BS97" i="1"/>
  <c r="AZ97" i="1"/>
  <c r="BR100" i="2"/>
  <c r="R99" i="1" s="1"/>
  <c r="BQ100" i="2"/>
  <c r="Q99" i="1" s="1"/>
  <c r="BQ99" i="2"/>
  <c r="Q98" i="1" s="1"/>
  <c r="BR99" i="2"/>
  <c r="R98" i="1" s="1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R101" i="1" s="1"/>
  <c r="AH101" i="1" s="1"/>
  <c r="BQ102" i="2"/>
  <c r="Q101" i="1" s="1"/>
  <c r="AG101" i="1" s="1"/>
  <c r="BQ101" i="2"/>
  <c r="Q100" i="1" s="1"/>
  <c r="BR101" i="2"/>
  <c r="R100" i="1" s="1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S101" i="1" l="1"/>
  <c r="AZ101" i="1"/>
  <c r="BT101" i="1"/>
  <c r="BA101" i="1"/>
  <c r="BQ104" i="2"/>
  <c r="Q103" i="1" s="1"/>
  <c r="BR104" i="2"/>
  <c r="R103" i="1" s="1"/>
  <c r="BQ103" i="2"/>
  <c r="Q102" i="1" s="1"/>
  <c r="BR103" i="2"/>
  <c r="R102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Q106" i="2" l="1"/>
  <c r="Q105" i="1" s="1"/>
  <c r="AG105" i="1" s="1"/>
  <c r="BR106" i="2"/>
  <c r="R105" i="1" s="1"/>
  <c r="AH105" i="1" s="1"/>
  <c r="BR105" i="2"/>
  <c r="R104" i="1" s="1"/>
  <c r="AH104" i="1" s="1"/>
  <c r="BQ105" i="2"/>
  <c r="Q104" i="1" s="1"/>
  <c r="AG104" i="1" s="1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S104" i="1" l="1"/>
  <c r="AZ104" i="1"/>
  <c r="BT104" i="1"/>
  <c r="BA104" i="1"/>
  <c r="BT105" i="1"/>
  <c r="BA105" i="1"/>
  <c r="AZ105" i="1"/>
  <c r="BS105" i="1"/>
  <c r="BQ108" i="2"/>
  <c r="Q107" i="1" s="1"/>
  <c r="AG107" i="1" s="1"/>
  <c r="BR108" i="2"/>
  <c r="R107" i="1" s="1"/>
  <c r="AH107" i="1" s="1"/>
  <c r="BR107" i="2"/>
  <c r="R106" i="1" s="1"/>
  <c r="BQ107" i="2"/>
  <c r="Q106" i="1" s="1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A107" i="1" l="1"/>
  <c r="BT107" i="1"/>
  <c r="BS107" i="1"/>
  <c r="AZ107" i="1"/>
  <c r="BQ110" i="2"/>
  <c r="Q109" i="1" s="1"/>
  <c r="BR110" i="2"/>
  <c r="R109" i="1" s="1"/>
  <c r="BQ109" i="2"/>
  <c r="Q108" i="1" s="1"/>
  <c r="BR109" i="2"/>
  <c r="R108" i="1" s="1"/>
  <c r="Q34" i="14"/>
  <c r="BQ111" i="2" l="1"/>
  <c r="Q110" i="1" s="1"/>
  <c r="AG110" i="1" s="1"/>
  <c r="BR111" i="2"/>
  <c r="R110" i="1" s="1"/>
  <c r="AH110" i="1" s="1"/>
  <c r="BQ112" i="2"/>
  <c r="Q111" i="1" s="1"/>
  <c r="BR112" i="2"/>
  <c r="R111" i="1" s="1"/>
  <c r="BT110" i="1" l="1"/>
  <c r="BA110" i="1"/>
  <c r="AZ110" i="1"/>
  <c r="BS110" i="1"/>
  <c r="BQ114" i="2"/>
  <c r="Q113" i="1" s="1"/>
  <c r="AG113" i="1" s="1"/>
  <c r="BR114" i="2"/>
  <c r="R113" i="1" s="1"/>
  <c r="AH113" i="1" s="1"/>
  <c r="BR113" i="2"/>
  <c r="R112" i="1" s="1"/>
  <c r="BQ113" i="2"/>
  <c r="Q112" i="1" s="1"/>
  <c r="BT113" i="1" l="1"/>
  <c r="BA113" i="1"/>
  <c r="AZ113" i="1"/>
  <c r="BS113" i="1"/>
  <c r="BQ115" i="2"/>
  <c r="Q114" i="1" s="1"/>
  <c r="BR115" i="2"/>
  <c r="R114" i="1" s="1"/>
  <c r="BQ116" i="2"/>
  <c r="Q115" i="1" s="1"/>
  <c r="BR116" i="2"/>
  <c r="R115" i="1" s="1"/>
  <c r="A4" i="4"/>
  <c r="M4" i="4"/>
  <c r="M5" i="4" s="1"/>
  <c r="BQ117" i="2" l="1"/>
  <c r="Q116" i="1" s="1"/>
  <c r="AG116" i="1" s="1"/>
  <c r="BR117" i="2"/>
  <c r="R116" i="1" s="1"/>
  <c r="AH116" i="1" s="1"/>
  <c r="BR118" i="2"/>
  <c r="R117" i="1" s="1"/>
  <c r="AH117" i="1" s="1"/>
  <c r="BQ118" i="2"/>
  <c r="Q117" i="1" s="1"/>
  <c r="AG117" i="1" s="1"/>
  <c r="A5" i="4"/>
  <c r="A6" i="4" s="1"/>
  <c r="M6" i="4"/>
  <c r="BT116" i="1" l="1"/>
  <c r="BA116" i="1"/>
  <c r="BT117" i="1"/>
  <c r="BA117" i="1"/>
  <c r="BS116" i="1"/>
  <c r="AZ116" i="1"/>
  <c r="AZ117" i="1"/>
  <c r="BS117" i="1"/>
  <c r="BQ120" i="2"/>
  <c r="Q119" i="1" s="1"/>
  <c r="BR120" i="2"/>
  <c r="R119" i="1" s="1"/>
  <c r="BQ119" i="2"/>
  <c r="Q118" i="1" s="1"/>
  <c r="BR119" i="2"/>
  <c r="R118" i="1" s="1"/>
  <c r="A7" i="4"/>
  <c r="M7" i="4"/>
  <c r="BQ121" i="2" l="1"/>
  <c r="Q120" i="1" s="1"/>
  <c r="BR121" i="2"/>
  <c r="R120" i="1" s="1"/>
  <c r="BR122" i="2"/>
  <c r="R121" i="1" s="1"/>
  <c r="BQ122" i="2"/>
  <c r="Q121" i="1" s="1"/>
  <c r="M8" i="4"/>
  <c r="A8" i="4"/>
  <c r="BR124" i="2" l="1"/>
  <c r="R123" i="1" s="1"/>
  <c r="BQ124" i="2"/>
  <c r="Q123" i="1" s="1"/>
  <c r="BQ123" i="2"/>
  <c r="Q122" i="1" s="1"/>
  <c r="BR123" i="2"/>
  <c r="R122" i="1" s="1"/>
  <c r="M9" i="4"/>
  <c r="M10" i="4" s="1"/>
  <c r="M11" i="4" s="1"/>
  <c r="M12" i="4" s="1"/>
  <c r="M13" i="4" s="1"/>
  <c r="M14" i="4" s="1"/>
  <c r="A9" i="4"/>
  <c r="A10" i="4" s="1"/>
  <c r="S26" i="27"/>
  <c r="P27" i="27" s="1"/>
  <c r="BR125" i="2" l="1"/>
  <c r="R124" i="1" s="1"/>
  <c r="AH124" i="1" s="1"/>
  <c r="BQ125" i="2"/>
  <c r="Q124" i="1" s="1"/>
  <c r="AG124" i="1" s="1"/>
  <c r="BR126" i="2"/>
  <c r="R125" i="1" s="1"/>
  <c r="BQ126" i="2"/>
  <c r="Q125" i="1" s="1"/>
  <c r="A11" i="4"/>
  <c r="A12" i="4" s="1"/>
  <c r="M15" i="4"/>
  <c r="R27" i="27"/>
  <c r="Q27" i="27"/>
  <c r="Q2" i="27"/>
  <c r="Q15" i="27"/>
  <c r="Q3" i="27"/>
  <c r="Q6" i="27"/>
  <c r="R6" i="27" s="1"/>
  <c r="Q8" i="27"/>
  <c r="R14" i="27"/>
  <c r="Q11" i="27"/>
  <c r="R11" i="27" s="1"/>
  <c r="Q4" i="27"/>
  <c r="R4" i="27" s="1"/>
  <c r="Q13" i="27"/>
  <c r="Q5" i="27"/>
  <c r="Q9" i="27"/>
  <c r="R9" i="27"/>
  <c r="Q14" i="27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/>
  <c r="BT124" i="1" l="1"/>
  <c r="BA124" i="1"/>
  <c r="AZ124" i="1"/>
  <c r="BS124" i="1"/>
  <c r="BQ127" i="2"/>
  <c r="Q126" i="1" s="1"/>
  <c r="AG126" i="1" s="1"/>
  <c r="BR127" i="2"/>
  <c r="R126" i="1" s="1"/>
  <c r="AH126" i="1" s="1"/>
  <c r="BR128" i="2"/>
  <c r="R127" i="1" s="1"/>
  <c r="AH127" i="1" s="1"/>
  <c r="BQ128" i="2"/>
  <c r="Q127" i="1" s="1"/>
  <c r="AG127" i="1" s="1"/>
  <c r="M16" i="4"/>
  <c r="A13" i="4"/>
  <c r="R8" i="27"/>
  <c r="J16" i="27"/>
  <c r="J4" i="27"/>
  <c r="J2" i="27"/>
  <c r="J14" i="27"/>
  <c r="J7" i="27"/>
  <c r="J24" i="27"/>
  <c r="J21" i="27"/>
  <c r="J19" i="27"/>
  <c r="J12" i="27"/>
  <c r="J9" i="27"/>
  <c r="J10" i="27"/>
  <c r="J8" i="27"/>
  <c r="J22" i="27"/>
  <c r="J20" i="27"/>
  <c r="J11" i="27"/>
  <c r="J23" i="27"/>
  <c r="J3" i="27"/>
  <c r="J13" i="27"/>
  <c r="J15" i="27"/>
  <c r="J25" i="27"/>
  <c r="J5" i="27"/>
  <c r="J17" i="27"/>
  <c r="J6" i="27"/>
  <c r="J18" i="27"/>
  <c r="R23" i="27"/>
  <c r="R18" i="27"/>
  <c r="R5" i="27"/>
  <c r="R15" i="27"/>
  <c r="R10" i="27"/>
  <c r="R12" i="27"/>
  <c r="R13" i="27"/>
  <c r="R2" i="27"/>
  <c r="L28" i="27" s="1"/>
  <c r="R17" i="27"/>
  <c r="R16" i="27"/>
  <c r="R21" i="27"/>
  <c r="R7" i="27"/>
  <c r="R24" i="27"/>
  <c r="R25" i="27"/>
  <c r="Q26" i="27"/>
  <c r="K3" i="27" s="1"/>
  <c r="R3" i="27"/>
  <c r="AZ127" i="1" l="1"/>
  <c r="BS127" i="1"/>
  <c r="BT127" i="1"/>
  <c r="BA127" i="1"/>
  <c r="AZ126" i="1"/>
  <c r="BS126" i="1"/>
  <c r="BT126" i="1"/>
  <c r="BA126" i="1"/>
  <c r="BR130" i="2"/>
  <c r="R129" i="1" s="1"/>
  <c r="BQ130" i="2"/>
  <c r="Q129" i="1" s="1"/>
  <c r="BR129" i="2"/>
  <c r="R128" i="1" s="1"/>
  <c r="BQ129" i="2"/>
  <c r="Q128" i="1" s="1"/>
  <c r="A14" i="4"/>
  <c r="M17" i="4"/>
  <c r="K6" i="27"/>
  <c r="K12" i="27"/>
  <c r="K24" i="27"/>
  <c r="K20" i="27"/>
  <c r="K23" i="27"/>
  <c r="K8" i="27"/>
  <c r="K4" i="27"/>
  <c r="K11" i="27"/>
  <c r="K10" i="27"/>
  <c r="K16" i="27"/>
  <c r="K7" i="27"/>
  <c r="K15" i="27"/>
  <c r="K17" i="27"/>
  <c r="K5" i="27"/>
  <c r="K18" i="27"/>
  <c r="K19" i="27"/>
  <c r="K14" i="27"/>
  <c r="K25" i="27"/>
  <c r="K2" i="27"/>
  <c r="K21" i="27"/>
  <c r="K13" i="27"/>
  <c r="K9" i="27"/>
  <c r="K22" i="27"/>
  <c r="R26" i="27"/>
  <c r="L16" i="27" s="1"/>
  <c r="BQ131" i="2" l="1"/>
  <c r="Q130" i="1" s="1"/>
  <c r="AG130" i="1" s="1"/>
  <c r="BR131" i="2"/>
  <c r="R130" i="1" s="1"/>
  <c r="AH130" i="1" s="1"/>
  <c r="BR132" i="2"/>
  <c r="R131" i="1" s="1"/>
  <c r="BQ132" i="2"/>
  <c r="Q131" i="1" s="1"/>
  <c r="A15" i="4"/>
  <c r="M18" i="4"/>
  <c r="L5" i="27"/>
  <c r="L23" i="27"/>
  <c r="L2" i="27"/>
  <c r="L10" i="27"/>
  <c r="L15" i="27"/>
  <c r="L18" i="27"/>
  <c r="L25" i="27"/>
  <c r="L17" i="27"/>
  <c r="L6" i="27"/>
  <c r="L19" i="27"/>
  <c r="L20" i="27"/>
  <c r="L9" i="27"/>
  <c r="L4" i="27"/>
  <c r="L11" i="27"/>
  <c r="L22" i="27"/>
  <c r="L14" i="27"/>
  <c r="L7" i="27"/>
  <c r="L8" i="27"/>
  <c r="L13" i="27"/>
  <c r="L21" i="27"/>
  <c r="L3" i="27"/>
  <c r="L12" i="27"/>
  <c r="L24" i="27"/>
  <c r="BA130" i="1" l="1"/>
  <c r="BT130" i="1"/>
  <c r="AZ130" i="1"/>
  <c r="BS130" i="1"/>
  <c r="BQ134" i="2"/>
  <c r="Q133" i="1" s="1"/>
  <c r="AG133" i="1" s="1"/>
  <c r="BR134" i="2"/>
  <c r="R133" i="1" s="1"/>
  <c r="AH133" i="1" s="1"/>
  <c r="BQ133" i="2"/>
  <c r="Q132" i="1" s="1"/>
  <c r="BR133" i="2"/>
  <c r="R132" i="1" s="1"/>
  <c r="A16" i="4"/>
  <c r="M19" i="4"/>
  <c r="BA133" i="1" l="1"/>
  <c r="BT133" i="1"/>
  <c r="AZ133" i="1"/>
  <c r="BS133" i="1"/>
  <c r="BQ136" i="2"/>
  <c r="Q135" i="1" s="1"/>
  <c r="BR136" i="2"/>
  <c r="R135" i="1" s="1"/>
  <c r="BR135" i="2"/>
  <c r="R134" i="1" s="1"/>
  <c r="AH134" i="1" s="1"/>
  <c r="BQ135" i="2"/>
  <c r="Q134" i="1" s="1"/>
  <c r="AG134" i="1" s="1"/>
  <c r="A17" i="4"/>
  <c r="M20" i="4"/>
  <c r="BS134" i="1" l="1"/>
  <c r="AZ134" i="1"/>
  <c r="BT134" i="1"/>
  <c r="BA134" i="1"/>
  <c r="BR138" i="2"/>
  <c r="R137" i="1" s="1"/>
  <c r="AH137" i="1" s="1"/>
  <c r="BQ138" i="2"/>
  <c r="Q137" i="1" s="1"/>
  <c r="AG137" i="1" s="1"/>
  <c r="BQ137" i="2"/>
  <c r="Q136" i="1" s="1"/>
  <c r="BR137" i="2"/>
  <c r="R136" i="1" s="1"/>
  <c r="A18" i="4"/>
  <c r="M21" i="4"/>
  <c r="AZ137" i="1" l="1"/>
  <c r="BS137" i="1"/>
  <c r="BT137" i="1"/>
  <c r="BA137" i="1"/>
  <c r="BQ139" i="2"/>
  <c r="Q138" i="1" s="1"/>
  <c r="AG138" i="1" s="1"/>
  <c r="BR139" i="2"/>
  <c r="R138" i="1" s="1"/>
  <c r="AH138" i="1" s="1"/>
  <c r="BQ140" i="2"/>
  <c r="Q139" i="1" s="1"/>
  <c r="AG139" i="1" s="1"/>
  <c r="BR140" i="2"/>
  <c r="R139" i="1" s="1"/>
  <c r="AH139" i="1" s="1"/>
  <c r="A19" i="4"/>
  <c r="M22" i="4"/>
  <c r="BT139" i="1" l="1"/>
  <c r="BA139" i="1"/>
  <c r="AZ139" i="1"/>
  <c r="BS139" i="1"/>
  <c r="BT138" i="1"/>
  <c r="BA138" i="1"/>
  <c r="AZ138" i="1"/>
  <c r="BS138" i="1"/>
  <c r="BR142" i="2"/>
  <c r="R141" i="1" s="1"/>
  <c r="AH141" i="1" s="1"/>
  <c r="BQ142" i="2"/>
  <c r="Q141" i="1" s="1"/>
  <c r="AG141" i="1" s="1"/>
  <c r="BQ141" i="2"/>
  <c r="Q140" i="1" s="1"/>
  <c r="BR141" i="2"/>
  <c r="R140" i="1" s="1"/>
  <c r="A20" i="4"/>
  <c r="M23" i="4"/>
  <c r="BT141" i="1" l="1"/>
  <c r="BA141" i="1"/>
  <c r="BS141" i="1"/>
  <c r="AZ141" i="1"/>
  <c r="BQ143" i="2"/>
  <c r="Q142" i="1" s="1"/>
  <c r="BR143" i="2"/>
  <c r="R142" i="1" s="1"/>
  <c r="BQ144" i="2"/>
  <c r="Q143" i="1" s="1"/>
  <c r="BR144" i="2"/>
  <c r="R143" i="1" s="1"/>
  <c r="A21" i="4"/>
  <c r="M24" i="4"/>
  <c r="BR146" i="2" l="1"/>
  <c r="R145" i="1" s="1"/>
  <c r="BQ146" i="2"/>
  <c r="Q145" i="1" s="1"/>
  <c r="BQ145" i="2"/>
  <c r="Q144" i="1" s="1"/>
  <c r="AG144" i="1" s="1"/>
  <c r="BR145" i="2"/>
  <c r="R144" i="1" s="1"/>
  <c r="AH144" i="1" s="1"/>
  <c r="A22" i="4"/>
  <c r="M25" i="4"/>
  <c r="BA144" i="1" l="1"/>
  <c r="BT144" i="1"/>
  <c r="BS144" i="1"/>
  <c r="AZ144" i="1"/>
  <c r="BQ147" i="2"/>
  <c r="Q146" i="1" s="1"/>
  <c r="BR147" i="2"/>
  <c r="R146" i="1" s="1"/>
  <c r="BQ148" i="2"/>
  <c r="Q147" i="1" s="1"/>
  <c r="BR148" i="2"/>
  <c r="R147" i="1" s="1"/>
  <c r="A23" i="4"/>
  <c r="M26" i="4"/>
  <c r="BQ149" i="2" l="1"/>
  <c r="Q148" i="1" s="1"/>
  <c r="AG148" i="1" s="1"/>
  <c r="BR149" i="2"/>
  <c r="R148" i="1" s="1"/>
  <c r="AH148" i="1" s="1"/>
  <c r="BQ150" i="2"/>
  <c r="Q149" i="1" s="1"/>
  <c r="BR150" i="2"/>
  <c r="R149" i="1" s="1"/>
  <c r="A24" i="4"/>
  <c r="M27" i="4"/>
  <c r="BA148" i="1" l="1"/>
  <c r="BT148" i="1"/>
  <c r="AZ148" i="1"/>
  <c r="BS148" i="1"/>
  <c r="BQ152" i="2"/>
  <c r="Q151" i="1" s="1"/>
  <c r="BR152" i="2"/>
  <c r="R151" i="1" s="1"/>
  <c r="BQ151" i="2"/>
  <c r="Q150" i="1" s="1"/>
  <c r="AG150" i="1" s="1"/>
  <c r="BR151" i="2"/>
  <c r="R150" i="1" s="1"/>
  <c r="AH150" i="1" s="1"/>
  <c r="A25" i="4"/>
  <c r="M28" i="4"/>
  <c r="BT150" i="1" l="1"/>
  <c r="BA150" i="1"/>
  <c r="BS150" i="1"/>
  <c r="AZ150" i="1"/>
  <c r="BR154" i="2"/>
  <c r="R153" i="1" s="1"/>
  <c r="AH153" i="1" s="1"/>
  <c r="BQ154" i="2"/>
  <c r="Q153" i="1" s="1"/>
  <c r="AG153" i="1" s="1"/>
  <c r="BQ153" i="2"/>
  <c r="Q152" i="1" s="1"/>
  <c r="BR153" i="2"/>
  <c r="R152" i="1" s="1"/>
  <c r="A26" i="4"/>
  <c r="M29" i="4"/>
  <c r="BT153" i="1" l="1"/>
  <c r="BA153" i="1"/>
  <c r="BS153" i="1"/>
  <c r="AZ153" i="1"/>
  <c r="BR156" i="2"/>
  <c r="R155" i="1" s="1"/>
  <c r="BQ156" i="2"/>
  <c r="Q155" i="1" s="1"/>
  <c r="BQ155" i="2"/>
  <c r="Q154" i="1" s="1"/>
  <c r="BR155" i="2"/>
  <c r="R154" i="1" s="1"/>
  <c r="A27" i="4"/>
  <c r="M30" i="4"/>
  <c r="BR157" i="2" l="1"/>
  <c r="R156" i="1" s="1"/>
  <c r="AH156" i="1" s="1"/>
  <c r="BQ157" i="2"/>
  <c r="Q156" i="1" s="1"/>
  <c r="AG156" i="1" s="1"/>
  <c r="BR158" i="2"/>
  <c r="R157" i="1" s="1"/>
  <c r="AH157" i="1" s="1"/>
  <c r="BQ158" i="2"/>
  <c r="Q157" i="1" s="1"/>
  <c r="AG157" i="1" s="1"/>
  <c r="A28" i="4"/>
  <c r="M31" i="4"/>
  <c r="BS157" i="1" l="1"/>
  <c r="AZ157" i="1"/>
  <c r="BA157" i="1"/>
  <c r="BT157" i="1"/>
  <c r="BS156" i="1"/>
  <c r="AZ156" i="1"/>
  <c r="BA156" i="1"/>
  <c r="BT156" i="1"/>
  <c r="BQ159" i="2"/>
  <c r="Q158" i="1" s="1"/>
  <c r="BR159" i="2"/>
  <c r="R158" i="1" s="1"/>
  <c r="BQ160" i="2"/>
  <c r="Q159" i="1" s="1"/>
  <c r="BR160" i="2"/>
  <c r="R159" i="1" s="1"/>
  <c r="A29" i="4"/>
  <c r="M32" i="4"/>
  <c r="BR162" i="2" l="1"/>
  <c r="R161" i="1" s="1"/>
  <c r="BQ162" i="2"/>
  <c r="Q161" i="1" s="1"/>
  <c r="BQ161" i="2"/>
  <c r="Q160" i="1" s="1"/>
  <c r="BR161" i="2"/>
  <c r="R160" i="1" s="1"/>
  <c r="A30" i="4"/>
  <c r="M33" i="4"/>
  <c r="BQ163" i="2" l="1"/>
  <c r="Q162" i="1" s="1"/>
  <c r="AG162" i="1" s="1"/>
  <c r="BR163" i="2"/>
  <c r="R162" i="1" s="1"/>
  <c r="AH162" i="1" s="1"/>
  <c r="BR164" i="2"/>
  <c r="R163" i="1" s="1"/>
  <c r="AH163" i="1" s="1"/>
  <c r="BQ164" i="2"/>
  <c r="Q163" i="1" s="1"/>
  <c r="AG163" i="1" s="1"/>
  <c r="A31" i="4"/>
  <c r="M34" i="4"/>
  <c r="AZ163" i="1" l="1"/>
  <c r="BS163" i="1"/>
  <c r="BA163" i="1"/>
  <c r="BT163" i="1"/>
  <c r="BT162" i="1"/>
  <c r="BA162" i="1"/>
  <c r="BS162" i="1"/>
  <c r="AZ162" i="1"/>
  <c r="BQ166" i="2"/>
  <c r="Q165" i="1" s="1"/>
  <c r="BR166" i="2"/>
  <c r="R165" i="1" s="1"/>
  <c r="BO82" i="2"/>
  <c r="O81" i="1" s="1"/>
  <c r="BO113" i="2"/>
  <c r="O112" i="1" s="1"/>
  <c r="BO31" i="2"/>
  <c r="O30" i="1" s="1"/>
  <c r="BQ165" i="2"/>
  <c r="Q164" i="1" s="1"/>
  <c r="AG164" i="1" s="1"/>
  <c r="BO116" i="2"/>
  <c r="O115" i="1" s="1"/>
  <c r="BR165" i="2"/>
  <c r="R164" i="1" s="1"/>
  <c r="AH164" i="1" s="1"/>
  <c r="BN164" i="2"/>
  <c r="N163" i="1" s="1"/>
  <c r="BN163" i="2"/>
  <c r="N162" i="1" s="1"/>
  <c r="BN116" i="2"/>
  <c r="N115" i="1" s="1"/>
  <c r="BN115" i="2"/>
  <c r="N114" i="1" s="1"/>
  <c r="BN117" i="2"/>
  <c r="N116" i="1" s="1"/>
  <c r="BN47" i="2"/>
  <c r="N46" i="1" s="1"/>
  <c r="BN111" i="2"/>
  <c r="N110" i="1" s="1"/>
  <c r="BN113" i="2"/>
  <c r="N112" i="1" s="1"/>
  <c r="BN64" i="2"/>
  <c r="N63" i="1" s="1"/>
  <c r="BN114" i="2"/>
  <c r="N113" i="1" s="1"/>
  <c r="BN83" i="2"/>
  <c r="N82" i="1" s="1"/>
  <c r="BN31" i="2"/>
  <c r="N30" i="1" s="1"/>
  <c r="BN112" i="2"/>
  <c r="N111" i="1" s="1"/>
  <c r="BN84" i="2"/>
  <c r="N83" i="1" s="1"/>
  <c r="BP163" i="2"/>
  <c r="P162" i="1" s="1"/>
  <c r="BP116" i="2"/>
  <c r="P115" i="1" s="1"/>
  <c r="BP115" i="2"/>
  <c r="P114" i="1" s="1"/>
  <c r="BP112" i="2"/>
  <c r="P111" i="1" s="1"/>
  <c r="BP84" i="2"/>
  <c r="P83" i="1" s="1"/>
  <c r="BP111" i="2"/>
  <c r="P110" i="1" s="1"/>
  <c r="BP82" i="2"/>
  <c r="P81" i="1" s="1"/>
  <c r="BP117" i="2"/>
  <c r="P116" i="1" s="1"/>
  <c r="BP113" i="2"/>
  <c r="P112" i="1" s="1"/>
  <c r="BP83" i="2"/>
  <c r="P82" i="1" s="1"/>
  <c r="BP114" i="2"/>
  <c r="P113" i="1" s="1"/>
  <c r="BP31" i="2"/>
  <c r="P30" i="1" s="1"/>
  <c r="BO164" i="2"/>
  <c r="O163" i="1" s="1"/>
  <c r="BO161" i="2"/>
  <c r="O160" i="1" s="1"/>
  <c r="A32" i="4"/>
  <c r="M35" i="4"/>
  <c r="AW110" i="1" l="1"/>
  <c r="AD110" i="1"/>
  <c r="BP110" i="1"/>
  <c r="AU112" i="1"/>
  <c r="AB112" i="1"/>
  <c r="BN112" i="1"/>
  <c r="BO112" i="1"/>
  <c r="AC112" i="1"/>
  <c r="AV112" i="1"/>
  <c r="AW83" i="1"/>
  <c r="BP83" i="1"/>
  <c r="AD83" i="1"/>
  <c r="AV81" i="1"/>
  <c r="BO81" i="1"/>
  <c r="AC81" i="1"/>
  <c r="AD111" i="1"/>
  <c r="BP111" i="1"/>
  <c r="AW111" i="1"/>
  <c r="BN46" i="1"/>
  <c r="AB46" i="1"/>
  <c r="AU46" i="1"/>
  <c r="AD114" i="1"/>
  <c r="AW114" i="1"/>
  <c r="BP114" i="1"/>
  <c r="AB116" i="1"/>
  <c r="BN116" i="1"/>
  <c r="AU116" i="1"/>
  <c r="AC160" i="1"/>
  <c r="AV160" i="1"/>
  <c r="BO160" i="1"/>
  <c r="AD115" i="1"/>
  <c r="AW115" i="1"/>
  <c r="BP115" i="1"/>
  <c r="AU114" i="1"/>
  <c r="BN114" i="1"/>
  <c r="AB114" i="1"/>
  <c r="AC163" i="1"/>
  <c r="BO163" i="1"/>
  <c r="AV163" i="1"/>
  <c r="AW162" i="1"/>
  <c r="AD162" i="1"/>
  <c r="BP162" i="1"/>
  <c r="AB115" i="1"/>
  <c r="AK115" i="1" s="1"/>
  <c r="AU115" i="1"/>
  <c r="BN115" i="1"/>
  <c r="AB83" i="1"/>
  <c r="AU83" i="1"/>
  <c r="BN83" i="1"/>
  <c r="AB162" i="1"/>
  <c r="BN162" i="1"/>
  <c r="AU162" i="1"/>
  <c r="AD113" i="1"/>
  <c r="AW113" i="1"/>
  <c r="BP113" i="1"/>
  <c r="AB111" i="1"/>
  <c r="BN111" i="1"/>
  <c r="AU111" i="1"/>
  <c r="AU163" i="1"/>
  <c r="AB163" i="1"/>
  <c r="BN163" i="1"/>
  <c r="AD30" i="1"/>
  <c r="BP30" i="1"/>
  <c r="AW30" i="1"/>
  <c r="AW82" i="1"/>
  <c r="BP82" i="1"/>
  <c r="AD82" i="1"/>
  <c r="AU30" i="1"/>
  <c r="BD30" i="1" s="1"/>
  <c r="AB30" i="1"/>
  <c r="BN30" i="1"/>
  <c r="BT164" i="1"/>
  <c r="BA164" i="1"/>
  <c r="AD112" i="1"/>
  <c r="BP112" i="1"/>
  <c r="AW112" i="1"/>
  <c r="AU82" i="1"/>
  <c r="BN82" i="1"/>
  <c r="AB82" i="1"/>
  <c r="AC115" i="1"/>
  <c r="AV115" i="1"/>
  <c r="BO115" i="1"/>
  <c r="BP116" i="1"/>
  <c r="AD116" i="1"/>
  <c r="AW116" i="1"/>
  <c r="AB113" i="1"/>
  <c r="BN113" i="1"/>
  <c r="AU113" i="1"/>
  <c r="BS164" i="1"/>
  <c r="AZ164" i="1"/>
  <c r="AW81" i="1"/>
  <c r="AD81" i="1"/>
  <c r="BP81" i="1"/>
  <c r="BN63" i="1"/>
  <c r="AB63" i="1"/>
  <c r="AU63" i="1"/>
  <c r="AC30" i="1"/>
  <c r="BO30" i="1"/>
  <c r="AV30" i="1"/>
  <c r="BO163" i="2"/>
  <c r="O162" i="1" s="1"/>
  <c r="BO112" i="2"/>
  <c r="O111" i="1" s="1"/>
  <c r="BO114" i="2"/>
  <c r="O113" i="1" s="1"/>
  <c r="BO83" i="2"/>
  <c r="O82" i="1" s="1"/>
  <c r="BO111" i="2"/>
  <c r="O110" i="1" s="1"/>
  <c r="BQ168" i="2"/>
  <c r="Q167" i="1" s="1"/>
  <c r="BR168" i="2"/>
  <c r="R167" i="1" s="1"/>
  <c r="BQ167" i="2"/>
  <c r="Q166" i="1" s="1"/>
  <c r="AG166" i="1" s="1"/>
  <c r="BR167" i="2"/>
  <c r="R166" i="1" s="1"/>
  <c r="AH166" i="1" s="1"/>
  <c r="BN165" i="2"/>
  <c r="N164" i="1" s="1"/>
  <c r="BN162" i="2"/>
  <c r="N161" i="1" s="1"/>
  <c r="BN161" i="2"/>
  <c r="N160" i="1" s="1"/>
  <c r="BO117" i="2"/>
  <c r="O116" i="1" s="1"/>
  <c r="BP165" i="2"/>
  <c r="P164" i="1" s="1"/>
  <c r="BP161" i="2"/>
  <c r="P160" i="1" s="1"/>
  <c r="BP162" i="2"/>
  <c r="P161" i="1" s="1"/>
  <c r="BO165" i="2"/>
  <c r="O164" i="1" s="1"/>
  <c r="BO162" i="2"/>
  <c r="O161" i="1" s="1"/>
  <c r="BO115" i="2"/>
  <c r="O114" i="1" s="1"/>
  <c r="BP164" i="2"/>
  <c r="P163" i="1" s="1"/>
  <c r="A33" i="4"/>
  <c r="M36" i="4"/>
  <c r="AB161" i="1" l="1"/>
  <c r="AU161" i="1"/>
  <c r="BN161" i="1"/>
  <c r="BN164" i="1"/>
  <c r="AU164" i="1"/>
  <c r="AB164" i="1"/>
  <c r="BP161" i="1"/>
  <c r="AD161" i="1"/>
  <c r="AW161" i="1"/>
  <c r="BO116" i="1"/>
  <c r="BW116" i="1" s="1"/>
  <c r="AC116" i="1"/>
  <c r="AK116" i="1" s="1"/>
  <c r="AV116" i="1"/>
  <c r="BD116" i="1" s="1"/>
  <c r="G116" i="14" s="1"/>
  <c r="BA166" i="1"/>
  <c r="BT166" i="1"/>
  <c r="AW163" i="1"/>
  <c r="BD163" i="1" s="1"/>
  <c r="G163" i="14" s="1"/>
  <c r="AD163" i="1"/>
  <c r="AK163" i="1" s="1"/>
  <c r="BP163" i="1"/>
  <c r="BW163" i="1" s="1"/>
  <c r="H163" i="14" s="1"/>
  <c r="AZ166" i="1"/>
  <c r="BS166" i="1"/>
  <c r="BW30" i="1"/>
  <c r="BW115" i="1"/>
  <c r="AV114" i="1"/>
  <c r="BD114" i="1" s="1"/>
  <c r="G114" i="14" s="1"/>
  <c r="BO114" i="1"/>
  <c r="BW114" i="1" s="1"/>
  <c r="H114" i="14" s="1"/>
  <c r="AC114" i="1"/>
  <c r="AK114" i="1" s="1"/>
  <c r="AK30" i="1"/>
  <c r="BD115" i="1"/>
  <c r="AC161" i="1"/>
  <c r="AV161" i="1"/>
  <c r="BO161" i="1"/>
  <c r="AC164" i="1"/>
  <c r="BO164" i="1"/>
  <c r="AV164" i="1"/>
  <c r="AV110" i="1"/>
  <c r="BD110" i="1" s="1"/>
  <c r="AC110" i="1"/>
  <c r="AK110" i="1" s="1"/>
  <c r="BO110" i="1"/>
  <c r="BW110" i="1" s="1"/>
  <c r="BX110" i="1" s="1"/>
  <c r="BW112" i="1"/>
  <c r="AC82" i="1"/>
  <c r="AK82" i="1" s="1"/>
  <c r="BO82" i="1"/>
  <c r="BW82" i="1" s="1"/>
  <c r="AV82" i="1"/>
  <c r="BD82" i="1" s="1"/>
  <c r="G82" i="14" s="1"/>
  <c r="AK112" i="1"/>
  <c r="BP160" i="1"/>
  <c r="AD160" i="1"/>
  <c r="AW160" i="1"/>
  <c r="AV113" i="1"/>
  <c r="AC113" i="1"/>
  <c r="AK113" i="1" s="1"/>
  <c r="BO113" i="1"/>
  <c r="BW113" i="1" s="1"/>
  <c r="H113" i="14" s="1"/>
  <c r="BD112" i="1"/>
  <c r="G112" i="14" s="1"/>
  <c r="AC111" i="1"/>
  <c r="AK111" i="1" s="1"/>
  <c r="AV111" i="1"/>
  <c r="BD111" i="1" s="1"/>
  <c r="G111" i="14" s="1"/>
  <c r="BO111" i="1"/>
  <c r="BW111" i="1" s="1"/>
  <c r="AK81" i="1"/>
  <c r="AD164" i="1"/>
  <c r="AW164" i="1"/>
  <c r="BP164" i="1"/>
  <c r="AV162" i="1"/>
  <c r="BD162" i="1" s="1"/>
  <c r="G162" i="14" s="1"/>
  <c r="AC162" i="1"/>
  <c r="AK162" i="1" s="1"/>
  <c r="BO162" i="1"/>
  <c r="BW162" i="1" s="1"/>
  <c r="BX162" i="1" s="1"/>
  <c r="BD113" i="1"/>
  <c r="G113" i="14" s="1"/>
  <c r="BW81" i="1"/>
  <c r="AB160" i="1"/>
  <c r="AK160" i="1" s="1"/>
  <c r="BN160" i="1"/>
  <c r="AU160" i="1"/>
  <c r="BD160" i="1" s="1"/>
  <c r="G160" i="14" s="1"/>
  <c r="BD81" i="1"/>
  <c r="H30" i="14"/>
  <c r="G115" i="14"/>
  <c r="G30" i="14"/>
  <c r="BQ170" i="2"/>
  <c r="Q169" i="1" s="1"/>
  <c r="BR170" i="2"/>
  <c r="R169" i="1" s="1"/>
  <c r="BR169" i="2"/>
  <c r="R168" i="1" s="1"/>
  <c r="BQ169" i="2"/>
  <c r="Q168" i="1" s="1"/>
  <c r="H81" i="14"/>
  <c r="G110" i="14"/>
  <c r="G81" i="14"/>
  <c r="H115" i="14"/>
  <c r="A34" i="4"/>
  <c r="M37" i="4"/>
  <c r="BW160" i="1" l="1"/>
  <c r="BX81" i="1"/>
  <c r="AK164" i="1"/>
  <c r="BX115" i="1"/>
  <c r="BX82" i="1"/>
  <c r="H82" i="14"/>
  <c r="J162" i="14"/>
  <c r="BY162" i="1"/>
  <c r="I162" i="14"/>
  <c r="K162" i="14"/>
  <c r="L162" i="14"/>
  <c r="BX111" i="1"/>
  <c r="BX113" i="1"/>
  <c r="I115" i="14"/>
  <c r="J115" i="14"/>
  <c r="K115" i="14"/>
  <c r="L115" i="14"/>
  <c r="BY115" i="1"/>
  <c r="BY81" i="1"/>
  <c r="I81" i="14"/>
  <c r="J81" i="14"/>
  <c r="K81" i="14"/>
  <c r="L81" i="14"/>
  <c r="BX116" i="1"/>
  <c r="BD164" i="1"/>
  <c r="I110" i="14"/>
  <c r="J110" i="14"/>
  <c r="K110" i="14"/>
  <c r="BY110" i="1"/>
  <c r="L110" i="14"/>
  <c r="BW164" i="1"/>
  <c r="BX114" i="1"/>
  <c r="BX160" i="1"/>
  <c r="BX163" i="1"/>
  <c r="BX30" i="1"/>
  <c r="BW161" i="1"/>
  <c r="H161" i="14" s="1"/>
  <c r="BX112" i="1"/>
  <c r="BD161" i="1"/>
  <c r="AK161" i="1"/>
  <c r="F161" i="14" s="1"/>
  <c r="H160" i="14"/>
  <c r="F111" i="14"/>
  <c r="F110" i="14"/>
  <c r="F112" i="14"/>
  <c r="F30" i="14"/>
  <c r="F115" i="14"/>
  <c r="F116" i="14"/>
  <c r="F162" i="14"/>
  <c r="G161" i="14"/>
  <c r="H162" i="14"/>
  <c r="H111" i="14"/>
  <c r="H116" i="14"/>
  <c r="F113" i="14"/>
  <c r="F114" i="14"/>
  <c r="F82" i="14"/>
  <c r="H110" i="14"/>
  <c r="H112" i="14"/>
  <c r="F81" i="14"/>
  <c r="BQ172" i="2"/>
  <c r="Q171" i="1" s="1"/>
  <c r="BR172" i="2"/>
  <c r="R171" i="1" s="1"/>
  <c r="G164" i="14"/>
  <c r="F163" i="14"/>
  <c r="BR171" i="2"/>
  <c r="R170" i="1" s="1"/>
  <c r="BQ171" i="2"/>
  <c r="Q170" i="1" s="1"/>
  <c r="A35" i="4"/>
  <c r="M38" i="4"/>
  <c r="CD115" i="1" l="1"/>
  <c r="BX164" i="1"/>
  <c r="CD81" i="1"/>
  <c r="CD162" i="1"/>
  <c r="CD110" i="1"/>
  <c r="K164" i="14"/>
  <c r="L164" i="14"/>
  <c r="BY164" i="1"/>
  <c r="I164" i="14"/>
  <c r="J164" i="14"/>
  <c r="BX161" i="1"/>
  <c r="CJ110" i="1"/>
  <c r="J111" i="14"/>
  <c r="BY111" i="1"/>
  <c r="I111" i="14"/>
  <c r="K111" i="14"/>
  <c r="L111" i="14"/>
  <c r="K112" i="14"/>
  <c r="BY112" i="1"/>
  <c r="I112" i="14"/>
  <c r="J112" i="14"/>
  <c r="L112" i="14"/>
  <c r="CJ81" i="1"/>
  <c r="CJ115" i="1"/>
  <c r="BY30" i="1"/>
  <c r="I30" i="14"/>
  <c r="J30" i="14"/>
  <c r="K30" i="14"/>
  <c r="L30" i="14"/>
  <c r="BY163" i="1"/>
  <c r="I163" i="14"/>
  <c r="J163" i="14"/>
  <c r="K163" i="14"/>
  <c r="L163" i="14"/>
  <c r="CJ162" i="1"/>
  <c r="J160" i="14"/>
  <c r="K160" i="14"/>
  <c r="BY160" i="1"/>
  <c r="I160" i="14"/>
  <c r="L160" i="14"/>
  <c r="K116" i="14"/>
  <c r="L116" i="14"/>
  <c r="BY116" i="1"/>
  <c r="I116" i="14"/>
  <c r="J116" i="14"/>
  <c r="CD164" i="1"/>
  <c r="J114" i="14"/>
  <c r="K114" i="14"/>
  <c r="L114" i="14"/>
  <c r="BY114" i="1"/>
  <c r="I114" i="14"/>
  <c r="L113" i="14"/>
  <c r="I113" i="14"/>
  <c r="BY113" i="1"/>
  <c r="J113" i="14"/>
  <c r="K113" i="14"/>
  <c r="BY82" i="1"/>
  <c r="J82" i="14"/>
  <c r="I82" i="14"/>
  <c r="K82" i="14"/>
  <c r="L82" i="14"/>
  <c r="F160" i="14"/>
  <c r="F164" i="14"/>
  <c r="BQ173" i="2"/>
  <c r="Q172" i="1" s="1"/>
  <c r="BO173" i="2"/>
  <c r="O172" i="1" s="1"/>
  <c r="BR173" i="2"/>
  <c r="R172" i="1" s="1"/>
  <c r="BN171" i="2"/>
  <c r="N170" i="1" s="1"/>
  <c r="N115" i="14"/>
  <c r="BO171" i="2"/>
  <c r="O170" i="1" s="1"/>
  <c r="BQ174" i="2"/>
  <c r="Q173" i="1" s="1"/>
  <c r="AG173" i="1" s="1"/>
  <c r="BR174" i="2"/>
  <c r="R173" i="1" s="1"/>
  <c r="AH173" i="1" s="1"/>
  <c r="BN172" i="2"/>
  <c r="N171" i="1" s="1"/>
  <c r="BO172" i="2"/>
  <c r="O171" i="1" s="1"/>
  <c r="H164" i="14"/>
  <c r="A36" i="4"/>
  <c r="M39" i="4"/>
  <c r="CD114" i="1" l="1"/>
  <c r="CD163" i="1"/>
  <c r="CD113" i="1"/>
  <c r="CD111" i="1"/>
  <c r="CD30" i="1"/>
  <c r="BT173" i="1"/>
  <c r="BA173" i="1"/>
  <c r="CD160" i="1"/>
  <c r="CJ30" i="1"/>
  <c r="BS173" i="1"/>
  <c r="AZ173" i="1"/>
  <c r="CD82" i="1"/>
  <c r="CJ111" i="1"/>
  <c r="AC170" i="1"/>
  <c r="BO170" i="1"/>
  <c r="AV170" i="1"/>
  <c r="CJ82" i="1"/>
  <c r="CD116" i="1"/>
  <c r="AB170" i="1"/>
  <c r="BN170" i="1"/>
  <c r="AU170" i="1"/>
  <c r="CJ116" i="1"/>
  <c r="J161" i="14"/>
  <c r="L161" i="14"/>
  <c r="BY161" i="1"/>
  <c r="I161" i="14"/>
  <c r="K161" i="14"/>
  <c r="BN171" i="1"/>
  <c r="AU171" i="1"/>
  <c r="AB171" i="1"/>
  <c r="CJ113" i="1"/>
  <c r="CJ163" i="1"/>
  <c r="CD112" i="1"/>
  <c r="AC172" i="1"/>
  <c r="BO172" i="1"/>
  <c r="AV172" i="1"/>
  <c r="CJ112" i="1"/>
  <c r="CJ164" i="1"/>
  <c r="AC171" i="1"/>
  <c r="BO171" i="1"/>
  <c r="AV171" i="1"/>
  <c r="CJ114" i="1"/>
  <c r="CJ160" i="1"/>
  <c r="N112" i="14"/>
  <c r="N116" i="14"/>
  <c r="N162" i="14"/>
  <c r="N82" i="14"/>
  <c r="BP175" i="2"/>
  <c r="P174" i="1" s="1"/>
  <c r="BO175" i="2"/>
  <c r="O174" i="1" s="1"/>
  <c r="BR175" i="2"/>
  <c r="R174" i="1" s="1"/>
  <c r="BQ175" i="2"/>
  <c r="Q174" i="1" s="1"/>
  <c r="BN173" i="2"/>
  <c r="N172" i="1" s="1"/>
  <c r="BP174" i="2"/>
  <c r="P173" i="1" s="1"/>
  <c r="BP86" i="2"/>
  <c r="P85" i="1" s="1"/>
  <c r="BP68" i="2"/>
  <c r="P67" i="1" s="1"/>
  <c r="BP87" i="2"/>
  <c r="P86" i="1" s="1"/>
  <c r="BP66" i="2"/>
  <c r="P65" i="1" s="1"/>
  <c r="BP126" i="2"/>
  <c r="P125" i="1" s="1"/>
  <c r="BP127" i="2"/>
  <c r="P126" i="1" s="1"/>
  <c r="BP67" i="2"/>
  <c r="P66" i="1" s="1"/>
  <c r="BP128" i="2"/>
  <c r="P127" i="1" s="1"/>
  <c r="BP125" i="2"/>
  <c r="P124" i="1" s="1"/>
  <c r="BP129" i="2"/>
  <c r="P128" i="1" s="1"/>
  <c r="BP170" i="2"/>
  <c r="P169" i="1" s="1"/>
  <c r="BP173" i="2"/>
  <c r="P172" i="1" s="1"/>
  <c r="N81" i="14"/>
  <c r="N30" i="14"/>
  <c r="BO174" i="2"/>
  <c r="O173" i="1" s="1"/>
  <c r="BO86" i="2"/>
  <c r="O85" i="1" s="1"/>
  <c r="BO87" i="2"/>
  <c r="O86" i="1" s="1"/>
  <c r="BO127" i="2"/>
  <c r="O126" i="1" s="1"/>
  <c r="BO125" i="2"/>
  <c r="O124" i="1" s="1"/>
  <c r="BO128" i="2"/>
  <c r="O127" i="1" s="1"/>
  <c r="BO126" i="2"/>
  <c r="O125" i="1" s="1"/>
  <c r="BO129" i="2"/>
  <c r="O128" i="1" s="1"/>
  <c r="BO170" i="2"/>
  <c r="O169" i="1" s="1"/>
  <c r="BQ176" i="2"/>
  <c r="Q175" i="1" s="1"/>
  <c r="BR176" i="2"/>
  <c r="R175" i="1" s="1"/>
  <c r="BP176" i="2"/>
  <c r="P175" i="1" s="1"/>
  <c r="BO176" i="2"/>
  <c r="O175" i="1" s="1"/>
  <c r="BN174" i="2"/>
  <c r="N173" i="1" s="1"/>
  <c r="BN50" i="2"/>
  <c r="N49" i="1" s="1"/>
  <c r="BN52" i="2"/>
  <c r="N51" i="1" s="1"/>
  <c r="BN68" i="2"/>
  <c r="N67" i="1" s="1"/>
  <c r="BN87" i="2"/>
  <c r="N86" i="1" s="1"/>
  <c r="BN126" i="2"/>
  <c r="N125" i="1" s="1"/>
  <c r="BN66" i="2"/>
  <c r="N65" i="1" s="1"/>
  <c r="BN67" i="2"/>
  <c r="N66" i="1" s="1"/>
  <c r="BN86" i="2"/>
  <c r="N85" i="1" s="1"/>
  <c r="BN128" i="2"/>
  <c r="N127" i="1" s="1"/>
  <c r="BN125" i="2"/>
  <c r="N124" i="1" s="1"/>
  <c r="BN127" i="2"/>
  <c r="N126" i="1" s="1"/>
  <c r="BN129" i="2"/>
  <c r="N128" i="1" s="1"/>
  <c r="BN170" i="2"/>
  <c r="N169" i="1" s="1"/>
  <c r="N111" i="14"/>
  <c r="N114" i="14"/>
  <c r="N160" i="14"/>
  <c r="N113" i="14"/>
  <c r="BP171" i="2"/>
  <c r="P170" i="1" s="1"/>
  <c r="N110" i="14"/>
  <c r="N163" i="14"/>
  <c r="BP172" i="2"/>
  <c r="P171" i="1" s="1"/>
  <c r="M40" i="4"/>
  <c r="A37" i="4"/>
  <c r="CD161" i="1" l="1"/>
  <c r="AU126" i="1"/>
  <c r="BN126" i="1"/>
  <c r="AB126" i="1"/>
  <c r="AB127" i="1"/>
  <c r="AU127" i="1"/>
  <c r="BN127" i="1"/>
  <c r="AD86" i="1"/>
  <c r="AW86" i="1"/>
  <c r="BP86" i="1"/>
  <c r="AW170" i="1"/>
  <c r="BD170" i="1" s="1"/>
  <c r="AD170" i="1"/>
  <c r="AK170" i="1" s="1"/>
  <c r="BP170" i="1"/>
  <c r="BN85" i="1"/>
  <c r="AU85" i="1"/>
  <c r="AB85" i="1"/>
  <c r="AD67" i="1"/>
  <c r="AW67" i="1"/>
  <c r="BP67" i="1"/>
  <c r="BW170" i="1"/>
  <c r="AB66" i="1"/>
  <c r="BN66" i="1"/>
  <c r="AU66" i="1"/>
  <c r="AC169" i="1"/>
  <c r="BO169" i="1"/>
  <c r="AV169" i="1"/>
  <c r="AW85" i="1"/>
  <c r="AD85" i="1"/>
  <c r="BP85" i="1"/>
  <c r="AB65" i="1"/>
  <c r="BN65" i="1"/>
  <c r="AU65" i="1"/>
  <c r="AC128" i="1"/>
  <c r="BO128" i="1"/>
  <c r="AV128" i="1"/>
  <c r="BP172" i="1"/>
  <c r="AD172" i="1"/>
  <c r="AW172" i="1"/>
  <c r="BP173" i="1"/>
  <c r="AW173" i="1"/>
  <c r="AD173" i="1"/>
  <c r="AB125" i="1"/>
  <c r="BN125" i="1"/>
  <c r="AU125" i="1"/>
  <c r="AC125" i="1"/>
  <c r="BO125" i="1"/>
  <c r="AV125" i="1"/>
  <c r="BP169" i="1"/>
  <c r="AD169" i="1"/>
  <c r="AW169" i="1"/>
  <c r="AU172" i="1"/>
  <c r="BD172" i="1" s="1"/>
  <c r="AB172" i="1"/>
  <c r="AK172" i="1" s="1"/>
  <c r="BN172" i="1"/>
  <c r="AU86" i="1"/>
  <c r="BN86" i="1"/>
  <c r="AB86" i="1"/>
  <c r="AC127" i="1"/>
  <c r="BO127" i="1"/>
  <c r="AV127" i="1"/>
  <c r="BP128" i="1"/>
  <c r="AW128" i="1"/>
  <c r="AD128" i="1"/>
  <c r="AW171" i="1"/>
  <c r="BD171" i="1" s="1"/>
  <c r="G171" i="14" s="1"/>
  <c r="BP171" i="1"/>
  <c r="BW171" i="1" s="1"/>
  <c r="AD171" i="1"/>
  <c r="AK171" i="1" s="1"/>
  <c r="AU67" i="1"/>
  <c r="AB67" i="1"/>
  <c r="BN67" i="1"/>
  <c r="AC124" i="1"/>
  <c r="BO124" i="1"/>
  <c r="AV124" i="1"/>
  <c r="AD124" i="1"/>
  <c r="BP124" i="1"/>
  <c r="AW124" i="1"/>
  <c r="AB51" i="1"/>
  <c r="AU51" i="1"/>
  <c r="BN51" i="1"/>
  <c r="AV126" i="1"/>
  <c r="AC126" i="1"/>
  <c r="BO126" i="1"/>
  <c r="AD127" i="1"/>
  <c r="BP127" i="1"/>
  <c r="AW127" i="1"/>
  <c r="AC174" i="1"/>
  <c r="AV174" i="1"/>
  <c r="BO174" i="1"/>
  <c r="CJ161" i="1"/>
  <c r="BN49" i="1"/>
  <c r="AU49" i="1"/>
  <c r="AB49" i="1"/>
  <c r="BO86" i="1"/>
  <c r="AV86" i="1"/>
  <c r="AC86" i="1"/>
  <c r="AD66" i="1"/>
  <c r="BP66" i="1"/>
  <c r="AW66" i="1"/>
  <c r="BP174" i="1"/>
  <c r="AW174" i="1"/>
  <c r="AD174" i="1"/>
  <c r="AB128" i="1"/>
  <c r="AK128" i="1" s="1"/>
  <c r="AU128" i="1"/>
  <c r="BN128" i="1"/>
  <c r="AB173" i="1"/>
  <c r="BN173" i="1"/>
  <c r="AU173" i="1"/>
  <c r="AV85" i="1"/>
  <c r="BO85" i="1"/>
  <c r="AC85" i="1"/>
  <c r="BP126" i="1"/>
  <c r="AW126" i="1"/>
  <c r="AD126" i="1"/>
  <c r="AC175" i="1"/>
  <c r="BO175" i="1"/>
  <c r="AV175" i="1"/>
  <c r="BO173" i="1"/>
  <c r="AC173" i="1"/>
  <c r="AV173" i="1"/>
  <c r="BP125" i="1"/>
  <c r="AW125" i="1"/>
  <c r="AD125" i="1"/>
  <c r="BP175" i="1"/>
  <c r="AD175" i="1"/>
  <c r="AW175" i="1"/>
  <c r="AD65" i="1"/>
  <c r="BP65" i="1"/>
  <c r="AW65" i="1"/>
  <c r="BR178" i="2"/>
  <c r="R177" i="1" s="1"/>
  <c r="BQ178" i="2"/>
  <c r="Q177" i="1" s="1"/>
  <c r="BN176" i="2"/>
  <c r="N175" i="1" s="1"/>
  <c r="H170" i="14"/>
  <c r="BQ177" i="2"/>
  <c r="Q176" i="1" s="1"/>
  <c r="AG176" i="1" s="1"/>
  <c r="BR177" i="2"/>
  <c r="R176" i="1" s="1"/>
  <c r="AH176" i="1" s="1"/>
  <c r="BN175" i="2"/>
  <c r="N174" i="1" s="1"/>
  <c r="N164" i="14"/>
  <c r="A38" i="4"/>
  <c r="M41" i="4"/>
  <c r="BW128" i="1" l="1"/>
  <c r="BD128" i="1"/>
  <c r="BW86" i="1"/>
  <c r="BW172" i="1"/>
  <c r="BX172" i="1" s="1"/>
  <c r="BX170" i="1"/>
  <c r="G170" i="14"/>
  <c r="BX171" i="1"/>
  <c r="H171" i="14"/>
  <c r="AU175" i="1"/>
  <c r="BD175" i="1" s="1"/>
  <c r="BN175" i="1"/>
  <c r="BW175" i="1" s="1"/>
  <c r="AB175" i="1"/>
  <c r="AK175" i="1" s="1"/>
  <c r="AK125" i="1"/>
  <c r="N161" i="14"/>
  <c r="BD173" i="1"/>
  <c r="BW173" i="1"/>
  <c r="BN174" i="1"/>
  <c r="BW174" i="1" s="1"/>
  <c r="AU174" i="1"/>
  <c r="BD174" i="1" s="1"/>
  <c r="AB174" i="1"/>
  <c r="AK174" i="1" s="1"/>
  <c r="AK173" i="1"/>
  <c r="BD124" i="1"/>
  <c r="G124" i="14" s="1"/>
  <c r="BT176" i="1"/>
  <c r="BA176" i="1"/>
  <c r="BX128" i="1"/>
  <c r="BW124" i="1"/>
  <c r="BW127" i="1"/>
  <c r="BS176" i="1"/>
  <c r="AZ176" i="1"/>
  <c r="AK124" i="1"/>
  <c r="BD127" i="1"/>
  <c r="AK85" i="1"/>
  <c r="AK127" i="1"/>
  <c r="AK86" i="1"/>
  <c r="BD169" i="1"/>
  <c r="BD85" i="1"/>
  <c r="AK126" i="1"/>
  <c r="BD125" i="1"/>
  <c r="G125" i="14" s="1"/>
  <c r="BW169" i="1"/>
  <c r="H169" i="14" s="1"/>
  <c r="BW85" i="1"/>
  <c r="BW126" i="1"/>
  <c r="BD86" i="1"/>
  <c r="G86" i="14" s="1"/>
  <c r="BW125" i="1"/>
  <c r="AK169" i="1"/>
  <c r="BD126" i="1"/>
  <c r="G128" i="14"/>
  <c r="H128" i="14"/>
  <c r="H172" i="14"/>
  <c r="G172" i="14"/>
  <c r="F171" i="14"/>
  <c r="F170" i="14"/>
  <c r="G169" i="14"/>
  <c r="G127" i="14"/>
  <c r="G173" i="14"/>
  <c r="G85" i="14"/>
  <c r="G126" i="14"/>
  <c r="H127" i="14"/>
  <c r="BR179" i="2"/>
  <c r="R178" i="1" s="1"/>
  <c r="AH178" i="1" s="1"/>
  <c r="BQ179" i="2"/>
  <c r="Q178" i="1" s="1"/>
  <c r="AG178" i="1" s="1"/>
  <c r="F128" i="14"/>
  <c r="H124" i="14"/>
  <c r="H86" i="14"/>
  <c r="H126" i="14"/>
  <c r="H173" i="14"/>
  <c r="G175" i="14"/>
  <c r="H175" i="14"/>
  <c r="G174" i="14"/>
  <c r="H174" i="14"/>
  <c r="F169" i="14"/>
  <c r="H85" i="14"/>
  <c r="F172" i="14"/>
  <c r="H125" i="14"/>
  <c r="BR180" i="2"/>
  <c r="R179" i="1" s="1"/>
  <c r="BQ180" i="2"/>
  <c r="Q179" i="1" s="1"/>
  <c r="A39" i="4"/>
  <c r="M42" i="4"/>
  <c r="BX127" i="1" l="1"/>
  <c r="BX174" i="1"/>
  <c r="I127" i="14"/>
  <c r="J127" i="14"/>
  <c r="K127" i="14"/>
  <c r="BY127" i="1"/>
  <c r="L127" i="14"/>
  <c r="BX125" i="1"/>
  <c r="K128" i="14"/>
  <c r="BY128" i="1"/>
  <c r="I128" i="14"/>
  <c r="J128" i="14"/>
  <c r="L128" i="14"/>
  <c r="AZ178" i="1"/>
  <c r="BS178" i="1"/>
  <c r="BX85" i="1"/>
  <c r="BX175" i="1"/>
  <c r="BT178" i="1"/>
  <c r="BA178" i="1"/>
  <c r="BX86" i="1"/>
  <c r="BX173" i="1"/>
  <c r="BY171" i="1"/>
  <c r="I171" i="14"/>
  <c r="J171" i="14"/>
  <c r="K171" i="14"/>
  <c r="L171" i="14"/>
  <c r="BX126" i="1"/>
  <c r="BX124" i="1"/>
  <c r="BY172" i="1"/>
  <c r="I172" i="14"/>
  <c r="J172" i="14"/>
  <c r="K172" i="14"/>
  <c r="L172" i="14"/>
  <c r="BY174" i="1"/>
  <c r="I174" i="14"/>
  <c r="J174" i="14"/>
  <c r="K174" i="14"/>
  <c r="L174" i="14"/>
  <c r="BX169" i="1"/>
  <c r="J170" i="14"/>
  <c r="K170" i="14"/>
  <c r="L170" i="14"/>
  <c r="BY170" i="1"/>
  <c r="F127" i="14"/>
  <c r="F173" i="14"/>
  <c r="F86" i="14"/>
  <c r="F124" i="14"/>
  <c r="F126" i="14"/>
  <c r="F125" i="14"/>
  <c r="F85" i="14"/>
  <c r="F175" i="14"/>
  <c r="BQ181" i="2"/>
  <c r="Q180" i="1" s="1"/>
  <c r="BR181" i="2"/>
  <c r="R180" i="1" s="1"/>
  <c r="F174" i="14"/>
  <c r="BQ182" i="2"/>
  <c r="Q181" i="1" s="1"/>
  <c r="BR182" i="2"/>
  <c r="R181" i="1" s="1"/>
  <c r="A40" i="4"/>
  <c r="M43" i="4"/>
  <c r="CD170" i="1" l="1"/>
  <c r="I170" i="14"/>
  <c r="CD171" i="1"/>
  <c r="CD128" i="1"/>
  <c r="CD174" i="1"/>
  <c r="CJ171" i="1"/>
  <c r="K173" i="14"/>
  <c r="L173" i="14"/>
  <c r="BY173" i="1"/>
  <c r="I173" i="14"/>
  <c r="J173" i="14"/>
  <c r="CJ170" i="1"/>
  <c r="J86" i="14"/>
  <c r="K86" i="14"/>
  <c r="L86" i="14"/>
  <c r="BY86" i="1"/>
  <c r="I86" i="14"/>
  <c r="CJ128" i="1"/>
  <c r="CD172" i="1"/>
  <c r="CJ172" i="1"/>
  <c r="I124" i="14"/>
  <c r="J124" i="14"/>
  <c r="BY124" i="1"/>
  <c r="L124" i="14"/>
  <c r="K124" i="14"/>
  <c r="I175" i="14"/>
  <c r="J175" i="14"/>
  <c r="K175" i="14"/>
  <c r="L175" i="14"/>
  <c r="BY175" i="1"/>
  <c r="L125" i="14"/>
  <c r="K125" i="14"/>
  <c r="BY125" i="1"/>
  <c r="J125" i="14"/>
  <c r="BY169" i="1"/>
  <c r="J169" i="14"/>
  <c r="K169" i="14"/>
  <c r="L169" i="14"/>
  <c r="J126" i="14"/>
  <c r="K126" i="14"/>
  <c r="I126" i="14"/>
  <c r="L126" i="14"/>
  <c r="BY126" i="1"/>
  <c r="BY85" i="1"/>
  <c r="I85" i="14"/>
  <c r="J85" i="14"/>
  <c r="K85" i="14"/>
  <c r="L85" i="14"/>
  <c r="CJ127" i="1"/>
  <c r="N127" i="14" s="1"/>
  <c r="CD127" i="1"/>
  <c r="CJ174" i="1"/>
  <c r="N128" i="14"/>
  <c r="BQ184" i="2"/>
  <c r="Q183" i="1" s="1"/>
  <c r="AG183" i="1" s="1"/>
  <c r="BR184" i="2"/>
  <c r="R183" i="1" s="1"/>
  <c r="AH183" i="1" s="1"/>
  <c r="BP181" i="2"/>
  <c r="P180" i="1" s="1"/>
  <c r="BQ183" i="2"/>
  <c r="Q182" i="1" s="1"/>
  <c r="AG182" i="1" s="1"/>
  <c r="BP182" i="2"/>
  <c r="P181" i="1" s="1"/>
  <c r="BN182" i="2"/>
  <c r="N181" i="1" s="1"/>
  <c r="BR183" i="2"/>
  <c r="R182" i="1" s="1"/>
  <c r="AH182" i="1" s="1"/>
  <c r="BN181" i="2"/>
  <c r="N180" i="1" s="1"/>
  <c r="N172" i="14"/>
  <c r="A41" i="4"/>
  <c r="M44" i="4"/>
  <c r="CD125" i="1" l="1"/>
  <c r="I125" i="14"/>
  <c r="CD169" i="1"/>
  <c r="I169" i="14"/>
  <c r="CD173" i="1"/>
  <c r="CD126" i="1"/>
  <c r="BP180" i="1"/>
  <c r="AD180" i="1"/>
  <c r="AW180" i="1"/>
  <c r="CJ169" i="1"/>
  <c r="BT183" i="1"/>
  <c r="BA183" i="1"/>
  <c r="CD85" i="1"/>
  <c r="CJ124" i="1"/>
  <c r="AZ183" i="1"/>
  <c r="BS183" i="1"/>
  <c r="CJ85" i="1"/>
  <c r="CJ126" i="1"/>
  <c r="CJ125" i="1"/>
  <c r="CD124" i="1"/>
  <c r="N170" i="14"/>
  <c r="AB180" i="1"/>
  <c r="BN180" i="1"/>
  <c r="AU180" i="1"/>
  <c r="BT182" i="1"/>
  <c r="BA182" i="1"/>
  <c r="AD181" i="1"/>
  <c r="BP181" i="1"/>
  <c r="AW181" i="1"/>
  <c r="CJ175" i="1"/>
  <c r="CJ173" i="1"/>
  <c r="AB181" i="1"/>
  <c r="BN181" i="1"/>
  <c r="AU181" i="1"/>
  <c r="BS182" i="1"/>
  <c r="AZ182" i="1"/>
  <c r="CD86" i="1"/>
  <c r="CD175" i="1"/>
  <c r="CJ86" i="1"/>
  <c r="N171" i="14"/>
  <c r="BO184" i="2"/>
  <c r="O183" i="1" s="1"/>
  <c r="BP184" i="2"/>
  <c r="P183" i="1" s="1"/>
  <c r="BR185" i="2"/>
  <c r="R184" i="1" s="1"/>
  <c r="AH184" i="1" s="1"/>
  <c r="BQ185" i="2"/>
  <c r="Q184" i="1" s="1"/>
  <c r="AG184" i="1" s="1"/>
  <c r="BN183" i="2"/>
  <c r="N182" i="1" s="1"/>
  <c r="BN133" i="2"/>
  <c r="N132" i="1" s="1"/>
  <c r="BN135" i="2"/>
  <c r="N134" i="1" s="1"/>
  <c r="BN35" i="2"/>
  <c r="N34" i="1" s="1"/>
  <c r="BN53" i="2"/>
  <c r="N52" i="1" s="1"/>
  <c r="BN54" i="2"/>
  <c r="N53" i="1" s="1"/>
  <c r="BN69" i="2"/>
  <c r="N68" i="1" s="1"/>
  <c r="BN90" i="2"/>
  <c r="N89" i="1" s="1"/>
  <c r="BN136" i="2"/>
  <c r="N135" i="1" s="1"/>
  <c r="BN131" i="2"/>
  <c r="N130" i="1" s="1"/>
  <c r="BN89" i="2"/>
  <c r="N88" i="1" s="1"/>
  <c r="BN88" i="2"/>
  <c r="N87" i="1" s="1"/>
  <c r="BN130" i="2"/>
  <c r="N129" i="1" s="1"/>
  <c r="BN34" i="2"/>
  <c r="N33" i="1" s="1"/>
  <c r="BN134" i="2"/>
  <c r="N133" i="1" s="1"/>
  <c r="BN132" i="2"/>
  <c r="N131" i="1" s="1"/>
  <c r="BN137" i="2"/>
  <c r="N136" i="1" s="1"/>
  <c r="BN180" i="2"/>
  <c r="N179" i="1" s="1"/>
  <c r="BO183" i="2"/>
  <c r="O182" i="1" s="1"/>
  <c r="BO134" i="2"/>
  <c r="O133" i="1" s="1"/>
  <c r="BO130" i="2"/>
  <c r="O129" i="1" s="1"/>
  <c r="BO88" i="2"/>
  <c r="O87" i="1" s="1"/>
  <c r="BO131" i="2"/>
  <c r="O130" i="1" s="1"/>
  <c r="BO133" i="2"/>
  <c r="O132" i="1" s="1"/>
  <c r="BO132" i="2"/>
  <c r="O131" i="1" s="1"/>
  <c r="BO89" i="2"/>
  <c r="O88" i="1" s="1"/>
  <c r="BO135" i="2"/>
  <c r="O134" i="1" s="1"/>
  <c r="BO90" i="2"/>
  <c r="O89" i="1" s="1"/>
  <c r="BO34" i="2"/>
  <c r="O33" i="1" s="1"/>
  <c r="BO136" i="2"/>
  <c r="O135" i="1" s="1"/>
  <c r="BO137" i="2"/>
  <c r="O136" i="1" s="1"/>
  <c r="BO180" i="2"/>
  <c r="O179" i="1" s="1"/>
  <c r="BQ186" i="2"/>
  <c r="Q185" i="1" s="1"/>
  <c r="AG185" i="1" s="1"/>
  <c r="BR186" i="2"/>
  <c r="R185" i="1" s="1"/>
  <c r="AH185" i="1" s="1"/>
  <c r="BN184" i="2"/>
  <c r="N183" i="1" s="1"/>
  <c r="BP183" i="2"/>
  <c r="P182" i="1" s="1"/>
  <c r="BP134" i="2"/>
  <c r="P133" i="1" s="1"/>
  <c r="BP130" i="2"/>
  <c r="P129" i="1" s="1"/>
  <c r="BP133" i="2"/>
  <c r="P132" i="1" s="1"/>
  <c r="BP136" i="2"/>
  <c r="P135" i="1" s="1"/>
  <c r="BP88" i="2"/>
  <c r="P87" i="1" s="1"/>
  <c r="BP90" i="2"/>
  <c r="P89" i="1" s="1"/>
  <c r="BP89" i="2"/>
  <c r="P88" i="1" s="1"/>
  <c r="BP132" i="2"/>
  <c r="P131" i="1" s="1"/>
  <c r="BP131" i="2"/>
  <c r="P130" i="1" s="1"/>
  <c r="BP34" i="2"/>
  <c r="P33" i="1" s="1"/>
  <c r="BP135" i="2"/>
  <c r="P134" i="1" s="1"/>
  <c r="BP137" i="2"/>
  <c r="P136" i="1" s="1"/>
  <c r="BP180" i="2"/>
  <c r="P179" i="1" s="1"/>
  <c r="BO182" i="2"/>
  <c r="O181" i="1" s="1"/>
  <c r="N174" i="14"/>
  <c r="BO181" i="2"/>
  <c r="O180" i="1" s="1"/>
  <c r="A42" i="4"/>
  <c r="M45" i="4"/>
  <c r="AV180" i="1" l="1"/>
  <c r="AC180" i="1"/>
  <c r="BO180" i="1"/>
  <c r="AD132" i="1"/>
  <c r="AW132" i="1"/>
  <c r="BP132" i="1"/>
  <c r="AV134" i="1"/>
  <c r="AC134" i="1"/>
  <c r="BO134" i="1"/>
  <c r="AB133" i="1"/>
  <c r="BN133" i="1"/>
  <c r="AU133" i="1"/>
  <c r="BN134" i="1"/>
  <c r="AU134" i="1"/>
  <c r="AB134" i="1"/>
  <c r="N173" i="14"/>
  <c r="AK180" i="1"/>
  <c r="BP129" i="1"/>
  <c r="AW129" i="1"/>
  <c r="AD129" i="1"/>
  <c r="AC88" i="1"/>
  <c r="AV88" i="1"/>
  <c r="BO88" i="1"/>
  <c r="AB33" i="1"/>
  <c r="AU33" i="1"/>
  <c r="BN33" i="1"/>
  <c r="AB132" i="1"/>
  <c r="BN132" i="1"/>
  <c r="BW132" i="1" s="1"/>
  <c r="AU132" i="1"/>
  <c r="N86" i="14"/>
  <c r="BP133" i="1"/>
  <c r="AD133" i="1"/>
  <c r="AW133" i="1"/>
  <c r="AV131" i="1"/>
  <c r="AC131" i="1"/>
  <c r="BO131" i="1"/>
  <c r="AB182" i="1"/>
  <c r="AU182" i="1"/>
  <c r="BN182" i="1"/>
  <c r="N124" i="14"/>
  <c r="BP136" i="1"/>
  <c r="AD136" i="1"/>
  <c r="AW136" i="1"/>
  <c r="BP182" i="1"/>
  <c r="AD182" i="1"/>
  <c r="AW182" i="1"/>
  <c r="AC132" i="1"/>
  <c r="BO132" i="1"/>
  <c r="AV132" i="1"/>
  <c r="AZ184" i="1"/>
  <c r="BS184" i="1"/>
  <c r="AC181" i="1"/>
  <c r="AK181" i="1" s="1"/>
  <c r="BO181" i="1"/>
  <c r="AV181" i="1"/>
  <c r="AD134" i="1"/>
  <c r="AW134" i="1"/>
  <c r="BP134" i="1"/>
  <c r="AB183" i="1"/>
  <c r="AU183" i="1"/>
  <c r="BN183" i="1"/>
  <c r="BO130" i="1"/>
  <c r="AC130" i="1"/>
  <c r="AV130" i="1"/>
  <c r="BN88" i="1"/>
  <c r="BW88" i="1" s="1"/>
  <c r="AB88" i="1"/>
  <c r="AU88" i="1"/>
  <c r="BT184" i="1"/>
  <c r="BA184" i="1"/>
  <c r="AD33" i="1"/>
  <c r="BP33" i="1"/>
  <c r="AW33" i="1"/>
  <c r="BT185" i="1"/>
  <c r="BA185" i="1"/>
  <c r="BO87" i="1"/>
  <c r="AC87" i="1"/>
  <c r="AV87" i="1"/>
  <c r="BN130" i="1"/>
  <c r="AB130" i="1"/>
  <c r="AU130" i="1"/>
  <c r="BP183" i="1"/>
  <c r="AW183" i="1"/>
  <c r="AD183" i="1"/>
  <c r="BP179" i="1"/>
  <c r="AD179" i="1"/>
  <c r="AW179" i="1"/>
  <c r="AD130" i="1"/>
  <c r="BP130" i="1"/>
  <c r="AW130" i="1"/>
  <c r="BS185" i="1"/>
  <c r="AZ185" i="1"/>
  <c r="AC129" i="1"/>
  <c r="AK129" i="1" s="1"/>
  <c r="AV129" i="1"/>
  <c r="BD129" i="1" s="1"/>
  <c r="BO129" i="1"/>
  <c r="BW129" i="1" s="1"/>
  <c r="AB135" i="1"/>
  <c r="BN135" i="1"/>
  <c r="AU135" i="1"/>
  <c r="N125" i="14"/>
  <c r="AD131" i="1"/>
  <c r="AW131" i="1"/>
  <c r="BP131" i="1"/>
  <c r="AC179" i="1"/>
  <c r="BO179" i="1"/>
  <c r="AV179" i="1"/>
  <c r="BO133" i="1"/>
  <c r="AC133" i="1"/>
  <c r="AV133" i="1"/>
  <c r="AU89" i="1"/>
  <c r="AB89" i="1"/>
  <c r="BN89" i="1"/>
  <c r="N175" i="14"/>
  <c r="AW88" i="1"/>
  <c r="AD88" i="1"/>
  <c r="BP88" i="1"/>
  <c r="BO136" i="1"/>
  <c r="AC136" i="1"/>
  <c r="AV136" i="1"/>
  <c r="AC182" i="1"/>
  <c r="BO182" i="1"/>
  <c r="AV182" i="1"/>
  <c r="AU68" i="1"/>
  <c r="AB68" i="1"/>
  <c r="BN68" i="1"/>
  <c r="AC183" i="1"/>
  <c r="BO183" i="1"/>
  <c r="AV183" i="1"/>
  <c r="BD183" i="1" s="1"/>
  <c r="G183" i="14" s="1"/>
  <c r="BD181" i="1"/>
  <c r="N126" i="14"/>
  <c r="N169" i="14"/>
  <c r="AD89" i="1"/>
  <c r="AW89" i="1"/>
  <c r="BP89" i="1"/>
  <c r="AC135" i="1"/>
  <c r="AV135" i="1"/>
  <c r="BO135" i="1"/>
  <c r="AB179" i="1"/>
  <c r="BN179" i="1"/>
  <c r="AU179" i="1"/>
  <c r="AB53" i="1"/>
  <c r="BN53" i="1"/>
  <c r="AU53" i="1"/>
  <c r="BW181" i="1"/>
  <c r="H181" i="14" s="1"/>
  <c r="BP87" i="1"/>
  <c r="AD87" i="1"/>
  <c r="AW87" i="1"/>
  <c r="AC33" i="1"/>
  <c r="AV33" i="1"/>
  <c r="BO33" i="1"/>
  <c r="BN136" i="1"/>
  <c r="AU136" i="1"/>
  <c r="BD136" i="1" s="1"/>
  <c r="AB136" i="1"/>
  <c r="AK136" i="1" s="1"/>
  <c r="AU52" i="1"/>
  <c r="AB52" i="1"/>
  <c r="BN52" i="1"/>
  <c r="BD180" i="1"/>
  <c r="G180" i="14" s="1"/>
  <c r="N85" i="14"/>
  <c r="BP135" i="1"/>
  <c r="AW135" i="1"/>
  <c r="AD135" i="1"/>
  <c r="AV89" i="1"/>
  <c r="AC89" i="1"/>
  <c r="BO89" i="1"/>
  <c r="BN131" i="1"/>
  <c r="BW131" i="1" s="1"/>
  <c r="AU131" i="1"/>
  <c r="AB131" i="1"/>
  <c r="AB34" i="1"/>
  <c r="BN34" i="1"/>
  <c r="AU34" i="1"/>
  <c r="BW180" i="1"/>
  <c r="BQ187" i="2"/>
  <c r="Q186" i="1" s="1"/>
  <c r="AG186" i="1" s="1"/>
  <c r="BR187" i="2"/>
  <c r="R186" i="1" s="1"/>
  <c r="AH186" i="1" s="1"/>
  <c r="BR188" i="2"/>
  <c r="R187" i="1" s="1"/>
  <c r="AH187" i="1" s="1"/>
  <c r="BQ188" i="2"/>
  <c r="Q187" i="1" s="1"/>
  <c r="AG187" i="1" s="1"/>
  <c r="H180" i="14"/>
  <c r="G181" i="14"/>
  <c r="M46" i="4"/>
  <c r="A43" i="4"/>
  <c r="BW179" i="1" l="1"/>
  <c r="AK89" i="1"/>
  <c r="AK88" i="1"/>
  <c r="BD131" i="1"/>
  <c r="AK131" i="1"/>
  <c r="BW136" i="1"/>
  <c r="BX136" i="1" s="1"/>
  <c r="AK179" i="1"/>
  <c r="AK87" i="1"/>
  <c r="BD132" i="1"/>
  <c r="BD89" i="1"/>
  <c r="BD87" i="1"/>
  <c r="BW183" i="1"/>
  <c r="AK182" i="1"/>
  <c r="AZ187" i="1"/>
  <c r="BS187" i="1"/>
  <c r="BW89" i="1"/>
  <c r="BW130" i="1"/>
  <c r="BD133" i="1"/>
  <c r="BW133" i="1"/>
  <c r="AK133" i="1"/>
  <c r="BX133" i="1" s="1"/>
  <c r="BW87" i="1"/>
  <c r="BT187" i="1"/>
  <c r="BA187" i="1"/>
  <c r="BT186" i="1"/>
  <c r="BA186" i="1"/>
  <c r="BD179" i="1"/>
  <c r="BD135" i="1"/>
  <c r="BW135" i="1"/>
  <c r="BW182" i="1"/>
  <c r="BX180" i="1"/>
  <c r="AK135" i="1"/>
  <c r="BD182" i="1"/>
  <c r="G182" i="14" s="1"/>
  <c r="AZ186" i="1"/>
  <c r="BS186" i="1"/>
  <c r="AK183" i="1"/>
  <c r="AK132" i="1"/>
  <c r="BW33" i="1"/>
  <c r="BX129" i="1"/>
  <c r="BD33" i="1"/>
  <c r="AK134" i="1"/>
  <c r="BX131" i="1"/>
  <c r="BD130" i="1"/>
  <c r="AK33" i="1"/>
  <c r="BD134" i="1"/>
  <c r="G134" i="14" s="1"/>
  <c r="BX181" i="1"/>
  <c r="AK130" i="1"/>
  <c r="BD88" i="1"/>
  <c r="BW134" i="1"/>
  <c r="F183" i="14"/>
  <c r="F129" i="14"/>
  <c r="G129" i="14"/>
  <c r="G130" i="14"/>
  <c r="G88" i="14"/>
  <c r="F87" i="14"/>
  <c r="H179" i="14"/>
  <c r="H132" i="14"/>
  <c r="F180" i="14"/>
  <c r="G136" i="14"/>
  <c r="BQ189" i="2"/>
  <c r="Q188" i="1" s="1"/>
  <c r="AG188" i="1" s="1"/>
  <c r="BR189" i="2"/>
  <c r="R188" i="1" s="1"/>
  <c r="AH188" i="1" s="1"/>
  <c r="G87" i="14"/>
  <c r="F182" i="14"/>
  <c r="H33" i="14"/>
  <c r="G33" i="14"/>
  <c r="H183" i="14"/>
  <c r="H129" i="14"/>
  <c r="H134" i="14"/>
  <c r="G179" i="14"/>
  <c r="G135" i="14"/>
  <c r="F181" i="14"/>
  <c r="G133" i="14"/>
  <c r="H131" i="14"/>
  <c r="G89" i="14"/>
  <c r="G131" i="14"/>
  <c r="G132" i="14"/>
  <c r="H87" i="14"/>
  <c r="BR190" i="2"/>
  <c r="R189" i="1" s="1"/>
  <c r="AH189" i="1" s="1"/>
  <c r="BQ190" i="2"/>
  <c r="Q189" i="1" s="1"/>
  <c r="AG189" i="1" s="1"/>
  <c r="H136" i="14"/>
  <c r="A44" i="4"/>
  <c r="M47" i="4"/>
  <c r="BX179" i="1" l="1"/>
  <c r="BX132" i="1"/>
  <c r="BX89" i="1"/>
  <c r="BX135" i="1"/>
  <c r="BX87" i="1"/>
  <c r="J87" i="14"/>
  <c r="K87" i="14"/>
  <c r="L87" i="14"/>
  <c r="BY87" i="1"/>
  <c r="I179" i="14"/>
  <c r="J179" i="14"/>
  <c r="K179" i="14"/>
  <c r="L179" i="14"/>
  <c r="BY179" i="1"/>
  <c r="BA188" i="1"/>
  <c r="BT188" i="1"/>
  <c r="BS188" i="1"/>
  <c r="AZ188" i="1"/>
  <c r="BY136" i="1"/>
  <c r="I136" i="14"/>
  <c r="J136" i="14"/>
  <c r="K136" i="14"/>
  <c r="L136" i="14"/>
  <c r="BY133" i="1"/>
  <c r="J133" i="14"/>
  <c r="K133" i="14"/>
  <c r="L133" i="14"/>
  <c r="AZ189" i="1"/>
  <c r="BS189" i="1"/>
  <c r="BT189" i="1"/>
  <c r="BA189" i="1"/>
  <c r="L132" i="14"/>
  <c r="BY132" i="1"/>
  <c r="I132" i="14"/>
  <c r="J132" i="14"/>
  <c r="K132" i="14"/>
  <c r="BY135" i="1"/>
  <c r="I135" i="14"/>
  <c r="J135" i="14"/>
  <c r="K135" i="14"/>
  <c r="L135" i="14"/>
  <c r="BX88" i="1"/>
  <c r="J129" i="14"/>
  <c r="BY129" i="1"/>
  <c r="I129" i="14"/>
  <c r="K129" i="14"/>
  <c r="L129" i="14"/>
  <c r="J181" i="14"/>
  <c r="K181" i="14"/>
  <c r="L181" i="14"/>
  <c r="BY181" i="1"/>
  <c r="I181" i="14"/>
  <c r="BX134" i="1"/>
  <c r="BX130" i="1"/>
  <c r="BX33" i="1"/>
  <c r="BY89" i="1"/>
  <c r="I89" i="14"/>
  <c r="J89" i="14"/>
  <c r="K89" i="14"/>
  <c r="L89" i="14"/>
  <c r="I180" i="14"/>
  <c r="J180" i="14"/>
  <c r="K180" i="14"/>
  <c r="L180" i="14"/>
  <c r="BY180" i="1"/>
  <c r="J131" i="14"/>
  <c r="K131" i="14"/>
  <c r="L131" i="14"/>
  <c r="BY131" i="1"/>
  <c r="BX182" i="1"/>
  <c r="H182" i="14"/>
  <c r="BX183" i="1"/>
  <c r="F89" i="14"/>
  <c r="F130" i="14"/>
  <c r="F135" i="14"/>
  <c r="F133" i="14"/>
  <c r="F136" i="14"/>
  <c r="F131" i="14"/>
  <c r="F88" i="14"/>
  <c r="F134" i="14"/>
  <c r="F33" i="14"/>
  <c r="H135" i="14"/>
  <c r="H133" i="14"/>
  <c r="H130" i="14"/>
  <c r="BQ191" i="2"/>
  <c r="Q190" i="1" s="1"/>
  <c r="AG190" i="1" s="1"/>
  <c r="BR191" i="2"/>
  <c r="R190" i="1" s="1"/>
  <c r="AH190" i="1" s="1"/>
  <c r="BQ192" i="2"/>
  <c r="Q191" i="1" s="1"/>
  <c r="BR192" i="2"/>
  <c r="R191" i="1" s="1"/>
  <c r="F132" i="14"/>
  <c r="F179" i="14"/>
  <c r="H88" i="14"/>
  <c r="H89" i="14"/>
  <c r="M48" i="4"/>
  <c r="A45" i="4"/>
  <c r="CD131" i="1" l="1"/>
  <c r="I131" i="14"/>
  <c r="CD87" i="1"/>
  <c r="I87" i="14"/>
  <c r="CD133" i="1"/>
  <c r="I133" i="14"/>
  <c r="CD132" i="1"/>
  <c r="CD180" i="1"/>
  <c r="CD89" i="1"/>
  <c r="K182" i="14"/>
  <c r="L182" i="14"/>
  <c r="BY182" i="1"/>
  <c r="I182" i="14"/>
  <c r="J182" i="14"/>
  <c r="CJ135" i="1"/>
  <c r="CJ179" i="1"/>
  <c r="CJ131" i="1"/>
  <c r="CJ133" i="1"/>
  <c r="CJ89" i="1"/>
  <c r="CD129" i="1"/>
  <c r="CJ132" i="1"/>
  <c r="CD179" i="1"/>
  <c r="CJ129" i="1"/>
  <c r="J33" i="14"/>
  <c r="K33" i="14"/>
  <c r="BY33" i="1"/>
  <c r="I33" i="14"/>
  <c r="L33" i="14"/>
  <c r="CD136" i="1"/>
  <c r="BT190" i="1"/>
  <c r="BA190" i="1"/>
  <c r="CJ180" i="1"/>
  <c r="I130" i="14"/>
  <c r="J130" i="14"/>
  <c r="K130" i="14"/>
  <c r="L130" i="14"/>
  <c r="BY130" i="1"/>
  <c r="J88" i="14"/>
  <c r="K88" i="14"/>
  <c r="L88" i="14"/>
  <c r="BY88" i="1"/>
  <c r="I88" i="14"/>
  <c r="CJ136" i="1"/>
  <c r="CJ87" i="1"/>
  <c r="AZ190" i="1"/>
  <c r="BS190" i="1"/>
  <c r="I134" i="14"/>
  <c r="J134" i="14"/>
  <c r="K134" i="14"/>
  <c r="L134" i="14"/>
  <c r="BY134" i="1"/>
  <c r="L183" i="14"/>
  <c r="BY183" i="1"/>
  <c r="I183" i="14"/>
  <c r="J183" i="14"/>
  <c r="K183" i="14"/>
  <c r="CD181" i="1"/>
  <c r="CD135" i="1"/>
  <c r="CJ181" i="1"/>
  <c r="N181" i="14" s="1"/>
  <c r="N180" i="14"/>
  <c r="N131" i="14"/>
  <c r="N129" i="14"/>
  <c r="BQ193" i="2"/>
  <c r="Q192" i="1" s="1"/>
  <c r="BR193" i="2"/>
  <c r="R192" i="1" s="1"/>
  <c r="BQ194" i="2"/>
  <c r="Q193" i="1" s="1"/>
  <c r="BR194" i="2"/>
  <c r="R193" i="1" s="1"/>
  <c r="A46" i="4"/>
  <c r="M49" i="4"/>
  <c r="CD130" i="1" l="1"/>
  <c r="CD134" i="1"/>
  <c r="CJ130" i="1"/>
  <c r="CJ33" i="1"/>
  <c r="CD183" i="1"/>
  <c r="CJ183" i="1"/>
  <c r="CD88" i="1"/>
  <c r="CJ134" i="1"/>
  <c r="CJ88" i="1"/>
  <c r="CD182" i="1"/>
  <c r="CJ182" i="1"/>
  <c r="CD33" i="1"/>
  <c r="N130" i="14"/>
  <c r="N179" i="14"/>
  <c r="N89" i="14"/>
  <c r="N33" i="14"/>
  <c r="N136" i="14"/>
  <c r="BQ196" i="2"/>
  <c r="Q195" i="1" s="1"/>
  <c r="AG195" i="1" s="1"/>
  <c r="BR196" i="2"/>
  <c r="R195" i="1" s="1"/>
  <c r="AH195" i="1" s="1"/>
  <c r="N133" i="14"/>
  <c r="N88" i="14"/>
  <c r="N132" i="14"/>
  <c r="N87" i="14"/>
  <c r="N135" i="14"/>
  <c r="BR195" i="2"/>
  <c r="R194" i="1" s="1"/>
  <c r="AH194" i="1" s="1"/>
  <c r="BQ195" i="2"/>
  <c r="Q194" i="1" s="1"/>
  <c r="AG194" i="1" s="1"/>
  <c r="A47" i="4"/>
  <c r="M50" i="4"/>
  <c r="N134" i="14" l="1"/>
  <c r="AZ194" i="1"/>
  <c r="BS194" i="1"/>
  <c r="BA195" i="1"/>
  <c r="BT195" i="1"/>
  <c r="BA194" i="1"/>
  <c r="BT194" i="1"/>
  <c r="AZ195" i="1"/>
  <c r="BS195" i="1"/>
  <c r="N182" i="14"/>
  <c r="N183" i="14"/>
  <c r="BR197" i="2"/>
  <c r="R196" i="1" s="1"/>
  <c r="BQ197" i="2"/>
  <c r="Q196" i="1" s="1"/>
  <c r="BQ198" i="2"/>
  <c r="Q197" i="1" s="1"/>
  <c r="AG197" i="1" s="1"/>
  <c r="BR198" i="2"/>
  <c r="R197" i="1" s="1"/>
  <c r="AH197" i="1" s="1"/>
  <c r="A48" i="4"/>
  <c r="M51" i="4"/>
  <c r="BA197" i="1" l="1"/>
  <c r="BT197" i="1"/>
  <c r="AZ197" i="1"/>
  <c r="BS197" i="1"/>
  <c r="BQ200" i="2"/>
  <c r="Q199" i="1" s="1"/>
  <c r="BR200" i="2"/>
  <c r="R199" i="1" s="1"/>
  <c r="BQ199" i="2"/>
  <c r="Q198" i="1" s="1"/>
  <c r="BR199" i="2"/>
  <c r="R198" i="1" s="1"/>
  <c r="A49" i="4"/>
  <c r="M52" i="4"/>
  <c r="BQ201" i="2" l="1"/>
  <c r="Q200" i="1" s="1"/>
  <c r="BR201" i="2"/>
  <c r="R200" i="1" s="1"/>
  <c r="BR202" i="2"/>
  <c r="R201" i="1" s="1"/>
  <c r="AH201" i="1" s="1"/>
  <c r="BQ202" i="2"/>
  <c r="Q201" i="1" s="1"/>
  <c r="AG201" i="1" s="1"/>
  <c r="A50" i="4"/>
  <c r="M53" i="4"/>
  <c r="BS201" i="1" l="1"/>
  <c r="AZ201" i="1"/>
  <c r="BA201" i="1"/>
  <c r="BT201" i="1"/>
  <c r="BR204" i="2"/>
  <c r="R203" i="1" s="1"/>
  <c r="AH203" i="1" s="1"/>
  <c r="BQ204" i="2"/>
  <c r="Q203" i="1" s="1"/>
  <c r="AG203" i="1" s="1"/>
  <c r="BR203" i="2"/>
  <c r="R202" i="1" s="1"/>
  <c r="BQ203" i="2"/>
  <c r="Q202" i="1" s="1"/>
  <c r="A51" i="4"/>
  <c r="M54" i="4"/>
  <c r="AZ203" i="1" l="1"/>
  <c r="BS203" i="1"/>
  <c r="BA203" i="1"/>
  <c r="BT203" i="1"/>
  <c r="BO95" i="2"/>
  <c r="O94" i="1" s="1"/>
  <c r="BO96" i="2"/>
  <c r="O95" i="1" s="1"/>
  <c r="BO203" i="2"/>
  <c r="O202" i="1" s="1"/>
  <c r="BO75" i="2"/>
  <c r="O74" i="1" s="1"/>
  <c r="BO204" i="2"/>
  <c r="O203" i="1" s="1"/>
  <c r="BO200" i="2"/>
  <c r="O199" i="1" s="1"/>
  <c r="BP203" i="2"/>
  <c r="P202" i="1" s="1"/>
  <c r="BQ205" i="2"/>
  <c r="Q204" i="1" s="1"/>
  <c r="AG204" i="1" s="1"/>
  <c r="BN204" i="2"/>
  <c r="N203" i="1" s="1"/>
  <c r="BR205" i="2"/>
  <c r="R204" i="1" s="1"/>
  <c r="AH204" i="1" s="1"/>
  <c r="BO145" i="2"/>
  <c r="O144" i="1" s="1"/>
  <c r="BR206" i="2"/>
  <c r="R205" i="1" s="1"/>
  <c r="BO206" i="2"/>
  <c r="O205" i="1" s="1"/>
  <c r="BQ206" i="2"/>
  <c r="Q205" i="1" s="1"/>
  <c r="BN200" i="2"/>
  <c r="N199" i="1" s="1"/>
  <c r="BO202" i="2"/>
  <c r="O201" i="1" s="1"/>
  <c r="A52" i="4"/>
  <c r="M55" i="4"/>
  <c r="AC201" i="1" l="1"/>
  <c r="AV201" i="1"/>
  <c r="BO201" i="1"/>
  <c r="BS204" i="1"/>
  <c r="AZ204" i="1"/>
  <c r="AD202" i="1"/>
  <c r="BP202" i="1"/>
  <c r="AW202" i="1"/>
  <c r="AV199" i="1"/>
  <c r="AC199" i="1"/>
  <c r="BO199" i="1"/>
  <c r="AC203" i="1"/>
  <c r="AV203" i="1"/>
  <c r="BO203" i="1"/>
  <c r="AV74" i="1"/>
  <c r="AC74" i="1"/>
  <c r="BO74" i="1"/>
  <c r="AV202" i="1"/>
  <c r="BO202" i="1"/>
  <c r="AC202" i="1"/>
  <c r="AC94" i="1"/>
  <c r="AV94" i="1"/>
  <c r="BO94" i="1"/>
  <c r="AV95" i="1"/>
  <c r="BO95" i="1"/>
  <c r="AC95" i="1"/>
  <c r="AC144" i="1"/>
  <c r="AV144" i="1"/>
  <c r="BO144" i="1"/>
  <c r="AV205" i="1"/>
  <c r="AC205" i="1"/>
  <c r="BO205" i="1"/>
  <c r="BA204" i="1"/>
  <c r="BT204" i="1"/>
  <c r="AU203" i="1"/>
  <c r="BN203" i="1"/>
  <c r="AB203" i="1"/>
  <c r="BP206" i="2"/>
  <c r="P205" i="1" s="1"/>
  <c r="BP205" i="2"/>
  <c r="P204" i="1" s="1"/>
  <c r="BP97" i="2"/>
  <c r="P96" i="1" s="1"/>
  <c r="BP202" i="2"/>
  <c r="P201" i="1" s="1"/>
  <c r="BP146" i="2"/>
  <c r="P145" i="1" s="1"/>
  <c r="BP145" i="2"/>
  <c r="P144" i="1" s="1"/>
  <c r="BP95" i="2"/>
  <c r="P94" i="1" s="1"/>
  <c r="BP75" i="2"/>
  <c r="P74" i="1" s="1"/>
  <c r="BP201" i="2"/>
  <c r="P200" i="1" s="1"/>
  <c r="BP96" i="2"/>
  <c r="P95" i="1" s="1"/>
  <c r="BQ208" i="2"/>
  <c r="Q207" i="1" s="1"/>
  <c r="BR208" i="2"/>
  <c r="R207" i="1" s="1"/>
  <c r="BP208" i="2"/>
  <c r="P207" i="1" s="1"/>
  <c r="BO208" i="2"/>
  <c r="O207" i="1" s="1"/>
  <c r="BN206" i="2"/>
  <c r="N205" i="1" s="1"/>
  <c r="BP207" i="2"/>
  <c r="P206" i="1" s="1"/>
  <c r="BQ207" i="2"/>
  <c r="Q206" i="1" s="1"/>
  <c r="BR207" i="2"/>
  <c r="R206" i="1" s="1"/>
  <c r="BO207" i="2"/>
  <c r="O206" i="1" s="1"/>
  <c r="BN205" i="2"/>
  <c r="N204" i="1" s="1"/>
  <c r="BN95" i="2"/>
  <c r="N94" i="1" s="1"/>
  <c r="BN73" i="2"/>
  <c r="N72" i="1" s="1"/>
  <c r="BN74" i="2"/>
  <c r="N73" i="1" s="1"/>
  <c r="BN202" i="2"/>
  <c r="N201" i="1" s="1"/>
  <c r="BN201" i="2"/>
  <c r="N200" i="1" s="1"/>
  <c r="BN97" i="2"/>
  <c r="N96" i="1" s="1"/>
  <c r="BN145" i="2"/>
  <c r="N144" i="1" s="1"/>
  <c r="BN75" i="2"/>
  <c r="N74" i="1" s="1"/>
  <c r="BN146" i="2"/>
  <c r="N145" i="1" s="1"/>
  <c r="BN96" i="2"/>
  <c r="N95" i="1" s="1"/>
  <c r="BP200" i="2"/>
  <c r="P199" i="1" s="1"/>
  <c r="BN203" i="2"/>
  <c r="N202" i="1" s="1"/>
  <c r="BP204" i="2"/>
  <c r="P203" i="1" s="1"/>
  <c r="BO205" i="2"/>
  <c r="O204" i="1" s="1"/>
  <c r="BO201" i="2"/>
  <c r="O200" i="1" s="1"/>
  <c r="BO97" i="2"/>
  <c r="O96" i="1" s="1"/>
  <c r="A53" i="4"/>
  <c r="M56" i="4"/>
  <c r="BO200" i="1" l="1"/>
  <c r="AV200" i="1"/>
  <c r="AC200" i="1"/>
  <c r="AU73" i="1"/>
  <c r="AB73" i="1"/>
  <c r="BN73" i="1"/>
  <c r="BN72" i="1"/>
  <c r="AB72" i="1"/>
  <c r="AU72" i="1"/>
  <c r="AW95" i="1"/>
  <c r="AD95" i="1"/>
  <c r="BP95" i="1"/>
  <c r="AD203" i="1"/>
  <c r="AW203" i="1"/>
  <c r="BD203" i="1" s="1"/>
  <c r="BP203" i="1"/>
  <c r="BW203" i="1" s="1"/>
  <c r="H203" i="14" s="1"/>
  <c r="BN94" i="1"/>
  <c r="AU94" i="1"/>
  <c r="BD94" i="1" s="1"/>
  <c r="AB94" i="1"/>
  <c r="AD200" i="1"/>
  <c r="AW200" i="1"/>
  <c r="BP200" i="1"/>
  <c r="AU202" i="1"/>
  <c r="BD202" i="1" s="1"/>
  <c r="AB202" i="1"/>
  <c r="AK202" i="1" s="1"/>
  <c r="BN202" i="1"/>
  <c r="BW202" i="1" s="1"/>
  <c r="AB204" i="1"/>
  <c r="AU204" i="1"/>
  <c r="BN204" i="1"/>
  <c r="AD74" i="1"/>
  <c r="AW74" i="1"/>
  <c r="BP74" i="1"/>
  <c r="BD199" i="1"/>
  <c r="AV204" i="1"/>
  <c r="AC204" i="1"/>
  <c r="BO204" i="1"/>
  <c r="AV206" i="1"/>
  <c r="AC206" i="1"/>
  <c r="BO206" i="1"/>
  <c r="AW94" i="1"/>
  <c r="AD94" i="1"/>
  <c r="BP94" i="1"/>
  <c r="AB95" i="1"/>
  <c r="AU95" i="1"/>
  <c r="BN95" i="1"/>
  <c r="AD144" i="1"/>
  <c r="AK144" i="1" s="1"/>
  <c r="AW144" i="1"/>
  <c r="BD144" i="1" s="1"/>
  <c r="G144" i="14" s="1"/>
  <c r="BP144" i="1"/>
  <c r="BW144" i="1" s="1"/>
  <c r="H144" i="14" s="1"/>
  <c r="AD199" i="1"/>
  <c r="AK199" i="1" s="1"/>
  <c r="BP199" i="1"/>
  <c r="BW199" i="1" s="1"/>
  <c r="H199" i="14" s="1"/>
  <c r="AW199" i="1"/>
  <c r="AB145" i="1"/>
  <c r="BN145" i="1"/>
  <c r="AU145" i="1"/>
  <c r="AD145" i="1"/>
  <c r="AW145" i="1"/>
  <c r="BP145" i="1"/>
  <c r="AD206" i="1"/>
  <c r="BP206" i="1"/>
  <c r="AW206" i="1"/>
  <c r="AD201" i="1"/>
  <c r="BP201" i="1"/>
  <c r="AW201" i="1"/>
  <c r="AB205" i="1"/>
  <c r="BN205" i="1"/>
  <c r="AU205" i="1"/>
  <c r="BP96" i="1"/>
  <c r="AW96" i="1"/>
  <c r="AD96" i="1"/>
  <c r="BN96" i="1"/>
  <c r="AB96" i="1"/>
  <c r="AU96" i="1"/>
  <c r="AC207" i="1"/>
  <c r="AV207" i="1"/>
  <c r="BO207" i="1"/>
  <c r="AD204" i="1"/>
  <c r="BP204" i="1"/>
  <c r="AW204" i="1"/>
  <c r="AD207" i="1"/>
  <c r="BP207" i="1"/>
  <c r="AW207" i="1"/>
  <c r="AD205" i="1"/>
  <c r="BP205" i="1"/>
  <c r="AW205" i="1"/>
  <c r="AU74" i="1"/>
  <c r="BD74" i="1" s="1"/>
  <c r="AB74" i="1"/>
  <c r="BN74" i="1"/>
  <c r="BO96" i="1"/>
  <c r="AC96" i="1"/>
  <c r="AV96" i="1"/>
  <c r="AB201" i="1"/>
  <c r="AU201" i="1"/>
  <c r="BN201" i="1"/>
  <c r="AK203" i="1"/>
  <c r="BR209" i="2"/>
  <c r="R208" i="1" s="1"/>
  <c r="BO209" i="2"/>
  <c r="O208" i="1" s="1"/>
  <c r="BQ209" i="2"/>
  <c r="Q208" i="1" s="1"/>
  <c r="BP209" i="2"/>
  <c r="P208" i="1" s="1"/>
  <c r="BN207" i="2"/>
  <c r="N206" i="1" s="1"/>
  <c r="G202" i="14"/>
  <c r="H202" i="14"/>
  <c r="G199" i="14"/>
  <c r="BR210" i="2"/>
  <c r="R209" i="1" s="1"/>
  <c r="BP210" i="2"/>
  <c r="P209" i="1" s="1"/>
  <c r="BQ210" i="2"/>
  <c r="Q209" i="1" s="1"/>
  <c r="BO210" i="2"/>
  <c r="O209" i="1" s="1"/>
  <c r="BN208" i="2"/>
  <c r="N207" i="1" s="1"/>
  <c r="A54" i="4"/>
  <c r="M57" i="4"/>
  <c r="BD95" i="1" l="1"/>
  <c r="G95" i="14" s="1"/>
  <c r="BX199" i="1"/>
  <c r="BW95" i="1"/>
  <c r="H95" i="14" s="1"/>
  <c r="BW74" i="1"/>
  <c r="AK74" i="1"/>
  <c r="AK95" i="1"/>
  <c r="BD205" i="1"/>
  <c r="AK205" i="1"/>
  <c r="BW201" i="1"/>
  <c r="AK201" i="1"/>
  <c r="BX144" i="1"/>
  <c r="AK94" i="1"/>
  <c r="BX74" i="1"/>
  <c r="BY74" i="1" s="1"/>
  <c r="BW205" i="1"/>
  <c r="L199" i="14"/>
  <c r="BY199" i="1"/>
  <c r="I199" i="14"/>
  <c r="J199" i="14"/>
  <c r="K199" i="14"/>
  <c r="BX203" i="1"/>
  <c r="G203" i="14"/>
  <c r="J144" i="14"/>
  <c r="BY144" i="1"/>
  <c r="I144" i="14"/>
  <c r="K144" i="14"/>
  <c r="L144" i="14"/>
  <c r="BX95" i="1"/>
  <c r="AB206" i="1"/>
  <c r="AK206" i="1" s="1"/>
  <c r="AU206" i="1"/>
  <c r="BD206" i="1" s="1"/>
  <c r="BN206" i="1"/>
  <c r="BW206" i="1" s="1"/>
  <c r="AD208" i="1"/>
  <c r="BP208" i="1"/>
  <c r="AW208" i="1"/>
  <c r="BX205" i="1"/>
  <c r="BW204" i="1"/>
  <c r="BW94" i="1"/>
  <c r="AD209" i="1"/>
  <c r="AW209" i="1"/>
  <c r="BP209" i="1"/>
  <c r="BD204" i="1"/>
  <c r="AV208" i="1"/>
  <c r="AC208" i="1"/>
  <c r="BO208" i="1"/>
  <c r="AK204" i="1"/>
  <c r="BD96" i="1"/>
  <c r="AB207" i="1"/>
  <c r="AK207" i="1" s="1"/>
  <c r="AU207" i="1"/>
  <c r="BD207" i="1" s="1"/>
  <c r="BN207" i="1"/>
  <c r="BW207" i="1" s="1"/>
  <c r="AK96" i="1"/>
  <c r="BX202" i="1"/>
  <c r="AK200" i="1"/>
  <c r="F200" i="14" s="1"/>
  <c r="BW96" i="1"/>
  <c r="BD200" i="1"/>
  <c r="G200" i="14" s="1"/>
  <c r="AV209" i="1"/>
  <c r="AC209" i="1"/>
  <c r="BO209" i="1"/>
  <c r="BD201" i="1"/>
  <c r="BX201" i="1" s="1"/>
  <c r="BW200" i="1"/>
  <c r="G74" i="14"/>
  <c r="F144" i="14"/>
  <c r="F199" i="14"/>
  <c r="F203" i="14"/>
  <c r="G205" i="14"/>
  <c r="G94" i="14"/>
  <c r="G204" i="14"/>
  <c r="H96" i="14"/>
  <c r="G96" i="14"/>
  <c r="H204" i="14"/>
  <c r="G207" i="14"/>
  <c r="H207" i="14"/>
  <c r="H205" i="14"/>
  <c r="G206" i="14"/>
  <c r="H206" i="14"/>
  <c r="F95" i="14"/>
  <c r="BQ212" i="2"/>
  <c r="Q211" i="1" s="1"/>
  <c r="BR212" i="2"/>
  <c r="R211" i="1" s="1"/>
  <c r="BN210" i="2"/>
  <c r="N209" i="1" s="1"/>
  <c r="F96" i="14"/>
  <c r="BQ211" i="2"/>
  <c r="Q210" i="1" s="1"/>
  <c r="BR211" i="2"/>
  <c r="R210" i="1" s="1"/>
  <c r="BN209" i="2"/>
  <c r="N208" i="1" s="1"/>
  <c r="H200" i="14"/>
  <c r="H94" i="14"/>
  <c r="F202" i="14"/>
  <c r="H201" i="14"/>
  <c r="F204" i="14"/>
  <c r="M58" i="4"/>
  <c r="A55" i="4"/>
  <c r="L74" i="14" l="1"/>
  <c r="K74" i="14"/>
  <c r="G201" i="14"/>
  <c r="J74" i="14"/>
  <c r="BX96" i="1"/>
  <c r="BX94" i="1"/>
  <c r="BX206" i="1"/>
  <c r="K201" i="14"/>
  <c r="L201" i="14"/>
  <c r="BY201" i="1"/>
  <c r="I201" i="14"/>
  <c r="J201" i="14"/>
  <c r="J96" i="14"/>
  <c r="L96" i="14"/>
  <c r="BY96" i="1"/>
  <c r="I96" i="14"/>
  <c r="K96" i="14"/>
  <c r="BX204" i="1"/>
  <c r="CD144" i="1"/>
  <c r="BX200" i="1"/>
  <c r="CJ74" i="1"/>
  <c r="CJ144" i="1"/>
  <c r="L205" i="14"/>
  <c r="BY205" i="1"/>
  <c r="I205" i="14"/>
  <c r="J205" i="14"/>
  <c r="K205" i="14"/>
  <c r="L206" i="14"/>
  <c r="BY206" i="1"/>
  <c r="I206" i="14"/>
  <c r="J206" i="14"/>
  <c r="K206" i="14"/>
  <c r="L202" i="14"/>
  <c r="BY202" i="1"/>
  <c r="I202" i="14"/>
  <c r="J202" i="14"/>
  <c r="K202" i="14"/>
  <c r="CD201" i="1"/>
  <c r="BY203" i="1"/>
  <c r="I203" i="14"/>
  <c r="J203" i="14"/>
  <c r="K203" i="14"/>
  <c r="L203" i="14"/>
  <c r="AB208" i="1"/>
  <c r="AK208" i="1" s="1"/>
  <c r="BN208" i="1"/>
  <c r="BW208" i="1" s="1"/>
  <c r="AU208" i="1"/>
  <c r="BD208" i="1" s="1"/>
  <c r="BX207" i="1"/>
  <c r="BY95" i="1"/>
  <c r="I95" i="14"/>
  <c r="J95" i="14"/>
  <c r="K95" i="14"/>
  <c r="L95" i="14"/>
  <c r="AU209" i="1"/>
  <c r="BD209" i="1" s="1"/>
  <c r="BN209" i="1"/>
  <c r="BW209" i="1" s="1"/>
  <c r="AB209" i="1"/>
  <c r="AK209" i="1" s="1"/>
  <c r="CD199" i="1"/>
  <c r="BY94" i="1"/>
  <c r="I94" i="14"/>
  <c r="J94" i="14"/>
  <c r="K94" i="14"/>
  <c r="L94" i="14"/>
  <c r="CJ199" i="1"/>
  <c r="H74" i="14"/>
  <c r="F74" i="14"/>
  <c r="F201" i="14"/>
  <c r="F94" i="14"/>
  <c r="F205" i="14"/>
  <c r="BQ213" i="2"/>
  <c r="Q212" i="1" s="1"/>
  <c r="AG212" i="1" s="1"/>
  <c r="BR213" i="2"/>
  <c r="R212" i="1" s="1"/>
  <c r="AH212" i="1" s="1"/>
  <c r="BR214" i="2"/>
  <c r="R213" i="1" s="1"/>
  <c r="AH213" i="1" s="1"/>
  <c r="BQ214" i="2"/>
  <c r="Q213" i="1" s="1"/>
  <c r="AG213" i="1" s="1"/>
  <c r="N199" i="14"/>
  <c r="N144" i="14"/>
  <c r="G209" i="14"/>
  <c r="H209" i="14"/>
  <c r="F206" i="14"/>
  <c r="G208" i="14"/>
  <c r="H208" i="14"/>
  <c r="F207" i="14"/>
  <c r="A56" i="4"/>
  <c r="M59" i="4"/>
  <c r="CD74" i="1" l="1"/>
  <c r="I74" i="14"/>
  <c r="CD96" i="1"/>
  <c r="BX209" i="1"/>
  <c r="CD205" i="1"/>
  <c r="CD94" i="1"/>
  <c r="CD206" i="1"/>
  <c r="BA213" i="1"/>
  <c r="BT213" i="1"/>
  <c r="BA212" i="1"/>
  <c r="BT212" i="1"/>
  <c r="BY207" i="1"/>
  <c r="L207" i="14"/>
  <c r="K207" i="14"/>
  <c r="J207" i="14"/>
  <c r="I207" i="14"/>
  <c r="BY204" i="1"/>
  <c r="I204" i="14"/>
  <c r="J204" i="14"/>
  <c r="K204" i="14"/>
  <c r="L204" i="14"/>
  <c r="AZ212" i="1"/>
  <c r="BS212" i="1"/>
  <c r="CJ94" i="1"/>
  <c r="CJ205" i="1"/>
  <c r="BX208" i="1"/>
  <c r="CD202" i="1"/>
  <c r="CJ96" i="1"/>
  <c r="CJ202" i="1"/>
  <c r="I209" i="14"/>
  <c r="J209" i="14"/>
  <c r="K209" i="14"/>
  <c r="BY209" i="1"/>
  <c r="CD203" i="1"/>
  <c r="CJ203" i="1"/>
  <c r="CJ201" i="1"/>
  <c r="CD95" i="1"/>
  <c r="CJ206" i="1"/>
  <c r="J200" i="14"/>
  <c r="K200" i="14"/>
  <c r="L200" i="14"/>
  <c r="BY200" i="1"/>
  <c r="I200" i="14"/>
  <c r="BS213" i="1"/>
  <c r="AZ213" i="1"/>
  <c r="CJ95" i="1"/>
  <c r="F209" i="14"/>
  <c r="N96" i="14"/>
  <c r="N95" i="14"/>
  <c r="N94" i="14"/>
  <c r="N74" i="14"/>
  <c r="N205" i="14"/>
  <c r="BR216" i="2"/>
  <c r="R215" i="1" s="1"/>
  <c r="AH215" i="1" s="1"/>
  <c r="BQ216" i="2"/>
  <c r="Q215" i="1" s="1"/>
  <c r="AG215" i="1" s="1"/>
  <c r="F208" i="14"/>
  <c r="BQ215" i="2"/>
  <c r="Q214" i="1" s="1"/>
  <c r="BR215" i="2"/>
  <c r="R214" i="1" s="1"/>
  <c r="N202" i="14"/>
  <c r="N201" i="14"/>
  <c r="A57" i="4"/>
  <c r="M60" i="4"/>
  <c r="CD209" i="1" l="1"/>
  <c r="L209" i="14"/>
  <c r="CD200" i="1"/>
  <c r="CD204" i="1"/>
  <c r="CD207" i="1"/>
  <c r="CJ200" i="1"/>
  <c r="CJ204" i="1"/>
  <c r="L208" i="14"/>
  <c r="BY208" i="1"/>
  <c r="I208" i="14"/>
  <c r="J208" i="14"/>
  <c r="K208" i="14"/>
  <c r="CJ209" i="1"/>
  <c r="AZ215" i="1"/>
  <c r="BS215" i="1"/>
  <c r="BT215" i="1"/>
  <c r="BA215" i="1"/>
  <c r="CJ207" i="1"/>
  <c r="N203" i="14"/>
  <c r="BR218" i="2"/>
  <c r="R217" i="1" s="1"/>
  <c r="BP218" i="2"/>
  <c r="P217" i="1" s="1"/>
  <c r="BQ218" i="2"/>
  <c r="Q217" i="1" s="1"/>
  <c r="BN106" i="2"/>
  <c r="N105" i="1" s="1"/>
  <c r="BN107" i="2"/>
  <c r="N106" i="1" s="1"/>
  <c r="BN105" i="2"/>
  <c r="N104" i="1" s="1"/>
  <c r="BO217" i="2"/>
  <c r="O216" i="1" s="1"/>
  <c r="BR217" i="2"/>
  <c r="R216" i="1" s="1"/>
  <c r="AH216" i="1" s="1"/>
  <c r="BN154" i="2"/>
  <c r="N153" i="1" s="1"/>
  <c r="BQ217" i="2"/>
  <c r="Q216" i="1" s="1"/>
  <c r="AG216" i="1" s="1"/>
  <c r="BP217" i="2"/>
  <c r="P216" i="1" s="1"/>
  <c r="N207" i="14"/>
  <c r="N206" i="14"/>
  <c r="BO216" i="2"/>
  <c r="O215" i="1" s="1"/>
  <c r="BO150" i="2"/>
  <c r="O149" i="1" s="1"/>
  <c r="BO149" i="2"/>
  <c r="O148" i="1" s="1"/>
  <c r="BO152" i="2"/>
  <c r="O151" i="1" s="1"/>
  <c r="BO151" i="2"/>
  <c r="O150" i="1" s="1"/>
  <c r="BO105" i="2"/>
  <c r="O104" i="1" s="1"/>
  <c r="BO153" i="2"/>
  <c r="O152" i="1" s="1"/>
  <c r="BO154" i="2"/>
  <c r="O153" i="1" s="1"/>
  <c r="BO106" i="2"/>
  <c r="O105" i="1" s="1"/>
  <c r="BO79" i="2"/>
  <c r="O78" i="1" s="1"/>
  <c r="BO107" i="2"/>
  <c r="O106" i="1" s="1"/>
  <c r="M61" i="4"/>
  <c r="A58" i="4"/>
  <c r="AC106" i="1" l="1"/>
  <c r="AV106" i="1"/>
  <c r="BO106" i="1"/>
  <c r="AB153" i="1"/>
  <c r="BN153" i="1"/>
  <c r="AU153" i="1"/>
  <c r="AC104" i="1"/>
  <c r="BO104" i="1"/>
  <c r="AV104" i="1"/>
  <c r="AV150" i="1"/>
  <c r="BO150" i="1"/>
  <c r="AC150" i="1"/>
  <c r="BT216" i="1"/>
  <c r="BA216" i="1"/>
  <c r="AC216" i="1"/>
  <c r="AV216" i="1"/>
  <c r="BO216" i="1"/>
  <c r="AC148" i="1"/>
  <c r="AV148" i="1"/>
  <c r="BO148" i="1"/>
  <c r="AB104" i="1"/>
  <c r="BN104" i="1"/>
  <c r="AU104" i="1"/>
  <c r="AV151" i="1"/>
  <c r="AC151" i="1"/>
  <c r="BO151" i="1"/>
  <c r="AB106" i="1"/>
  <c r="AU106" i="1"/>
  <c r="BN106" i="1"/>
  <c r="CD208" i="1"/>
  <c r="AC149" i="1"/>
  <c r="BO149" i="1"/>
  <c r="AV149" i="1"/>
  <c r="BN105" i="1"/>
  <c r="AB105" i="1"/>
  <c r="AU105" i="1"/>
  <c r="CJ208" i="1"/>
  <c r="AC215" i="1"/>
  <c r="AV215" i="1"/>
  <c r="BO215" i="1"/>
  <c r="BP217" i="1"/>
  <c r="AD217" i="1"/>
  <c r="AW217" i="1"/>
  <c r="AV78" i="1"/>
  <c r="AC78" i="1"/>
  <c r="BO78" i="1"/>
  <c r="N204" i="14"/>
  <c r="AV105" i="1"/>
  <c r="AC105" i="1"/>
  <c r="BO105" i="1"/>
  <c r="AD216" i="1"/>
  <c r="BP216" i="1"/>
  <c r="AW216" i="1"/>
  <c r="N200" i="14"/>
  <c r="AV153" i="1"/>
  <c r="BO153" i="1"/>
  <c r="AC153" i="1"/>
  <c r="AC152" i="1"/>
  <c r="BO152" i="1"/>
  <c r="AV152" i="1"/>
  <c r="BS216" i="1"/>
  <c r="AZ216" i="1"/>
  <c r="BP149" i="2"/>
  <c r="P148" i="1" s="1"/>
  <c r="BP79" i="2"/>
  <c r="P78" i="1" s="1"/>
  <c r="BP152" i="2"/>
  <c r="P151" i="1" s="1"/>
  <c r="BP107" i="2"/>
  <c r="P106" i="1" s="1"/>
  <c r="BP151" i="2"/>
  <c r="P150" i="1" s="1"/>
  <c r="BP153" i="2"/>
  <c r="P152" i="1" s="1"/>
  <c r="BP105" i="2"/>
  <c r="P104" i="1" s="1"/>
  <c r="BP106" i="2"/>
  <c r="P105" i="1" s="1"/>
  <c r="BP154" i="2"/>
  <c r="P153" i="1" s="1"/>
  <c r="BP150" i="2"/>
  <c r="P149" i="1" s="1"/>
  <c r="BP80" i="2"/>
  <c r="P79" i="1" s="1"/>
  <c r="BP216" i="2"/>
  <c r="P215" i="1" s="1"/>
  <c r="BQ219" i="2"/>
  <c r="Q218" i="1" s="1"/>
  <c r="BO219" i="2"/>
  <c r="O218" i="1" s="1"/>
  <c r="BP219" i="2"/>
  <c r="P218" i="1" s="1"/>
  <c r="BR219" i="2"/>
  <c r="R218" i="1" s="1"/>
  <c r="BN217" i="2"/>
  <c r="N216" i="1" s="1"/>
  <c r="BN151" i="2"/>
  <c r="N150" i="1" s="1"/>
  <c r="BN152" i="2"/>
  <c r="N151" i="1" s="1"/>
  <c r="N208" i="14"/>
  <c r="BN150" i="2"/>
  <c r="N149" i="1" s="1"/>
  <c r="BN216" i="2"/>
  <c r="N215" i="1" s="1"/>
  <c r="N209" i="14"/>
  <c r="BN104" i="2"/>
  <c r="N103" i="1" s="1"/>
  <c r="BN149" i="2"/>
  <c r="N148" i="1" s="1"/>
  <c r="BN153" i="2"/>
  <c r="N152" i="1" s="1"/>
  <c r="BR220" i="2"/>
  <c r="R219" i="1" s="1"/>
  <c r="AH219" i="1" s="1"/>
  <c r="BQ220" i="2"/>
  <c r="Q219" i="1" s="1"/>
  <c r="AG219" i="1" s="1"/>
  <c r="BN218" i="2"/>
  <c r="N217" i="1" s="1"/>
  <c r="BO218" i="2"/>
  <c r="O217" i="1" s="1"/>
  <c r="A59" i="4"/>
  <c r="M62" i="4"/>
  <c r="AV218" i="1" l="1"/>
  <c r="AC218" i="1"/>
  <c r="BO218" i="1"/>
  <c r="AD78" i="1"/>
  <c r="AW78" i="1"/>
  <c r="BP78" i="1"/>
  <c r="AD148" i="1"/>
  <c r="AK148" i="1" s="1"/>
  <c r="F148" i="14" s="1"/>
  <c r="AW148" i="1"/>
  <c r="BD148" i="1" s="1"/>
  <c r="G148" i="14" s="1"/>
  <c r="BP148" i="1"/>
  <c r="BW148" i="1" s="1"/>
  <c r="AB217" i="1"/>
  <c r="AU217" i="1"/>
  <c r="BN217" i="1"/>
  <c r="BS219" i="1"/>
  <c r="AZ219" i="1"/>
  <c r="BT219" i="1"/>
  <c r="BA219" i="1"/>
  <c r="AD215" i="1"/>
  <c r="AW215" i="1"/>
  <c r="BP215" i="1"/>
  <c r="BN215" i="1"/>
  <c r="BW215" i="1" s="1"/>
  <c r="AU215" i="1"/>
  <c r="AB215" i="1"/>
  <c r="AW79" i="1"/>
  <c r="AD79" i="1"/>
  <c r="BP79" i="1"/>
  <c r="AB149" i="1"/>
  <c r="BN149" i="1"/>
  <c r="AU149" i="1"/>
  <c r="AD149" i="1"/>
  <c r="BP149" i="1"/>
  <c r="AW149" i="1"/>
  <c r="AU103" i="1"/>
  <c r="AB103" i="1"/>
  <c r="BN103" i="1"/>
  <c r="AW153" i="1"/>
  <c r="BP153" i="1"/>
  <c r="BW153" i="1" s="1"/>
  <c r="H153" i="14" s="1"/>
  <c r="AD153" i="1"/>
  <c r="AV217" i="1"/>
  <c r="AC217" i="1"/>
  <c r="BO217" i="1"/>
  <c r="AW105" i="1"/>
  <c r="AD105" i="1"/>
  <c r="BP105" i="1"/>
  <c r="BW105" i="1" s="1"/>
  <c r="BD153" i="1"/>
  <c r="BN151" i="1"/>
  <c r="AB151" i="1"/>
  <c r="AU151" i="1"/>
  <c r="AD104" i="1"/>
  <c r="AK104" i="1" s="1"/>
  <c r="AW104" i="1"/>
  <c r="BD104" i="1" s="1"/>
  <c r="G104" i="14" s="1"/>
  <c r="BP104" i="1"/>
  <c r="BW104" i="1" s="1"/>
  <c r="H104" i="14" s="1"/>
  <c r="AB150" i="1"/>
  <c r="BN150" i="1"/>
  <c r="AU150" i="1"/>
  <c r="AD152" i="1"/>
  <c r="BP152" i="1"/>
  <c r="AW152" i="1"/>
  <c r="AK153" i="1"/>
  <c r="AB216" i="1"/>
  <c r="AK216" i="1" s="1"/>
  <c r="BN216" i="1"/>
  <c r="BW216" i="1" s="1"/>
  <c r="AU216" i="1"/>
  <c r="BD216" i="1" s="1"/>
  <c r="BP150" i="1"/>
  <c r="AW150" i="1"/>
  <c r="AD150" i="1"/>
  <c r="AB152" i="1"/>
  <c r="AU152" i="1"/>
  <c r="BN152" i="1"/>
  <c r="BP106" i="1"/>
  <c r="BW106" i="1" s="1"/>
  <c r="H106" i="14" s="1"/>
  <c r="AD106" i="1"/>
  <c r="AK106" i="1" s="1"/>
  <c r="AW106" i="1"/>
  <c r="BD106" i="1" s="1"/>
  <c r="G106" i="14" s="1"/>
  <c r="BD105" i="1"/>
  <c r="AD218" i="1"/>
  <c r="BP218" i="1"/>
  <c r="AW218" i="1"/>
  <c r="AD151" i="1"/>
  <c r="AW151" i="1"/>
  <c r="BP151" i="1"/>
  <c r="AK105" i="1"/>
  <c r="G105" i="14"/>
  <c r="G153" i="14"/>
  <c r="BR222" i="2"/>
  <c r="R221" i="1" s="1"/>
  <c r="BQ222" i="2"/>
  <c r="Q221" i="1" s="1"/>
  <c r="G216" i="14"/>
  <c r="BR221" i="2"/>
  <c r="R220" i="1" s="1"/>
  <c r="BQ221" i="2"/>
  <c r="Q220" i="1" s="1"/>
  <c r="BN219" i="2"/>
  <c r="N218" i="1" s="1"/>
  <c r="A60" i="4"/>
  <c r="M63" i="4"/>
  <c r="BW152" i="1" l="1"/>
  <c r="H152" i="14" s="1"/>
  <c r="BD150" i="1"/>
  <c r="BX148" i="1"/>
  <c r="BD152" i="1"/>
  <c r="G152" i="14" s="1"/>
  <c r="AK152" i="1"/>
  <c r="BX152" i="1" s="1"/>
  <c r="BX106" i="1"/>
  <c r="BX105" i="1"/>
  <c r="H105" i="14"/>
  <c r="BY148" i="1"/>
  <c r="I148" i="14"/>
  <c r="J148" i="14"/>
  <c r="K148" i="14"/>
  <c r="BX104" i="1"/>
  <c r="BN218" i="1"/>
  <c r="BW218" i="1" s="1"/>
  <c r="AU218" i="1"/>
  <c r="BD218" i="1" s="1"/>
  <c r="AB218" i="1"/>
  <c r="AK218" i="1" s="1"/>
  <c r="BX216" i="1"/>
  <c r="BD149" i="1"/>
  <c r="BX153" i="1"/>
  <c r="BW149" i="1"/>
  <c r="BD151" i="1"/>
  <c r="G151" i="14" s="1"/>
  <c r="AK149" i="1"/>
  <c r="F149" i="14" s="1"/>
  <c r="AK151" i="1"/>
  <c r="F151" i="14" s="1"/>
  <c r="BW151" i="1"/>
  <c r="BW217" i="1"/>
  <c r="BW150" i="1"/>
  <c r="AK215" i="1"/>
  <c r="BD217" i="1"/>
  <c r="AK150" i="1"/>
  <c r="BD215" i="1"/>
  <c r="AK217" i="1"/>
  <c r="F150" i="14"/>
  <c r="F216" i="14"/>
  <c r="F105" i="14"/>
  <c r="F106" i="14"/>
  <c r="F153" i="14"/>
  <c r="F104" i="14"/>
  <c r="H148" i="14"/>
  <c r="H215" i="14"/>
  <c r="G150" i="14"/>
  <c r="G215" i="14"/>
  <c r="H149" i="14"/>
  <c r="G149" i="14"/>
  <c r="G217" i="14"/>
  <c r="H217" i="14"/>
  <c r="F152" i="14"/>
  <c r="BR224" i="2"/>
  <c r="R223" i="1" s="1"/>
  <c r="AH223" i="1" s="1"/>
  <c r="BQ224" i="2"/>
  <c r="Q223" i="1" s="1"/>
  <c r="AG223" i="1" s="1"/>
  <c r="BO223" i="2"/>
  <c r="O222" i="1" s="1"/>
  <c r="BP223" i="2"/>
  <c r="P222" i="1" s="1"/>
  <c r="BR223" i="2"/>
  <c r="R222" i="1" s="1"/>
  <c r="BQ223" i="2"/>
  <c r="Q222" i="1" s="1"/>
  <c r="H151" i="14"/>
  <c r="F215" i="14"/>
  <c r="H216" i="14"/>
  <c r="H150" i="14"/>
  <c r="G218" i="14"/>
  <c r="F217" i="14"/>
  <c r="A61" i="4"/>
  <c r="M64" i="4"/>
  <c r="CD148" i="1" l="1"/>
  <c r="L148" i="14"/>
  <c r="BX150" i="1"/>
  <c r="BP222" i="1"/>
  <c r="AW222" i="1"/>
  <c r="AD222" i="1"/>
  <c r="BY104" i="1"/>
  <c r="I104" i="14"/>
  <c r="J104" i="14"/>
  <c r="K104" i="14"/>
  <c r="L104" i="14"/>
  <c r="AC222" i="1"/>
  <c r="AK222" i="1" s="1"/>
  <c r="AV222" i="1"/>
  <c r="BO222" i="1"/>
  <c r="BW222" i="1" s="1"/>
  <c r="BX149" i="1"/>
  <c r="BS223" i="1"/>
  <c r="AZ223" i="1"/>
  <c r="BT223" i="1"/>
  <c r="BA223" i="1"/>
  <c r="BY153" i="1"/>
  <c r="I153" i="14"/>
  <c r="J153" i="14"/>
  <c r="K153" i="14"/>
  <c r="L153" i="14"/>
  <c r="CJ148" i="1"/>
  <c r="L216" i="14"/>
  <c r="I216" i="14"/>
  <c r="J216" i="14"/>
  <c r="K216" i="14"/>
  <c r="BY216" i="1"/>
  <c r="K105" i="14"/>
  <c r="BY105" i="1"/>
  <c r="I105" i="14"/>
  <c r="L105" i="14"/>
  <c r="J105" i="14"/>
  <c r="I152" i="14"/>
  <c r="J152" i="14"/>
  <c r="K152" i="14"/>
  <c r="L152" i="14"/>
  <c r="BY152" i="1"/>
  <c r="BX215" i="1"/>
  <c r="BX217" i="1"/>
  <c r="BX151" i="1"/>
  <c r="BX218" i="1"/>
  <c r="J106" i="14"/>
  <c r="K106" i="14"/>
  <c r="BY106" i="1"/>
  <c r="L106" i="14"/>
  <c r="I106" i="14"/>
  <c r="F218" i="14"/>
  <c r="BR226" i="2"/>
  <c r="R225" i="1" s="1"/>
  <c r="AH225" i="1" s="1"/>
  <c r="BQ226" i="2"/>
  <c r="Q225" i="1" s="1"/>
  <c r="AG225" i="1" s="1"/>
  <c r="H218" i="14"/>
  <c r="BP225" i="2"/>
  <c r="P224" i="1" s="1"/>
  <c r="BQ225" i="2"/>
  <c r="Q224" i="1" s="1"/>
  <c r="AG224" i="1" s="1"/>
  <c r="BN166" i="2"/>
  <c r="N165" i="1" s="1"/>
  <c r="BR225" i="2"/>
  <c r="R224" i="1" s="1"/>
  <c r="AH224" i="1" s="1"/>
  <c r="BO225" i="2"/>
  <c r="O224" i="1" s="1"/>
  <c r="BN223" i="2"/>
  <c r="N222" i="1" s="1"/>
  <c r="N148" i="14"/>
  <c r="A62" i="4"/>
  <c r="M65" i="4"/>
  <c r="CD106" i="1" l="1"/>
  <c r="CD105" i="1"/>
  <c r="CD216" i="1"/>
  <c r="AZ225" i="1"/>
  <c r="BS225" i="1"/>
  <c r="BA225" i="1"/>
  <c r="BT225" i="1"/>
  <c r="I218" i="14"/>
  <c r="J218" i="14"/>
  <c r="K218" i="14"/>
  <c r="BY218" i="1"/>
  <c r="L218" i="14"/>
  <c r="BY151" i="1"/>
  <c r="I151" i="14"/>
  <c r="J151" i="14"/>
  <c r="K151" i="14"/>
  <c r="L151" i="14"/>
  <c r="CJ105" i="1"/>
  <c r="CD153" i="1"/>
  <c r="CJ153" i="1"/>
  <c r="J217" i="14"/>
  <c r="L217" i="14"/>
  <c r="BY217" i="1"/>
  <c r="K217" i="14"/>
  <c r="I217" i="14"/>
  <c r="CJ216" i="1"/>
  <c r="CD104" i="1"/>
  <c r="K215" i="14"/>
  <c r="L215" i="14"/>
  <c r="BY215" i="1"/>
  <c r="I215" i="14"/>
  <c r="J215" i="14"/>
  <c r="CJ104" i="1"/>
  <c r="CJ152" i="1"/>
  <c r="AC224" i="1"/>
  <c r="BO224" i="1"/>
  <c r="AV224" i="1"/>
  <c r="BA224" i="1"/>
  <c r="BT224" i="1"/>
  <c r="BS224" i="1"/>
  <c r="AZ224" i="1"/>
  <c r="BP224" i="1"/>
  <c r="AD224" i="1"/>
  <c r="AW224" i="1"/>
  <c r="CJ106" i="1"/>
  <c r="J149" i="14"/>
  <c r="K149" i="14"/>
  <c r="L149" i="14"/>
  <c r="BY149" i="1"/>
  <c r="I149" i="14"/>
  <c r="CD152" i="1"/>
  <c r="BD222" i="1"/>
  <c r="BX222" i="1" s="1"/>
  <c r="BY150" i="1"/>
  <c r="J150" i="14"/>
  <c r="I150" i="14"/>
  <c r="K150" i="14"/>
  <c r="L150" i="14"/>
  <c r="H222" i="14"/>
  <c r="BN124" i="2"/>
  <c r="N123" i="1" s="1"/>
  <c r="BP167" i="2"/>
  <c r="P166" i="1" s="1"/>
  <c r="BP224" i="2"/>
  <c r="P223" i="1" s="1"/>
  <c r="BO124" i="2"/>
  <c r="O123" i="1" s="1"/>
  <c r="BN121" i="2"/>
  <c r="N120" i="1" s="1"/>
  <c r="BP123" i="2"/>
  <c r="P122" i="1" s="1"/>
  <c r="BO123" i="2"/>
  <c r="O122" i="1" s="1"/>
  <c r="BN122" i="2"/>
  <c r="N121" i="1" s="1"/>
  <c r="BP168" i="2"/>
  <c r="P167" i="1" s="1"/>
  <c r="BO121" i="2"/>
  <c r="O120" i="1" s="1"/>
  <c r="BN119" i="2"/>
  <c r="N118" i="1" s="1"/>
  <c r="BP124" i="2"/>
  <c r="P123" i="1" s="1"/>
  <c r="BO122" i="2"/>
  <c r="O121" i="1" s="1"/>
  <c r="BN169" i="2"/>
  <c r="N168" i="1" s="1"/>
  <c r="BP121" i="2"/>
  <c r="P120" i="1" s="1"/>
  <c r="BO168" i="2"/>
  <c r="O167" i="1" s="1"/>
  <c r="BO227" i="2"/>
  <c r="O226" i="1" s="1"/>
  <c r="BQ227" i="2"/>
  <c r="Q226" i="1" s="1"/>
  <c r="BP227" i="2"/>
  <c r="P226" i="1" s="1"/>
  <c r="BR227" i="2"/>
  <c r="R226" i="1" s="1"/>
  <c r="BN225" i="2"/>
  <c r="N224" i="1" s="1"/>
  <c r="BN120" i="2"/>
  <c r="N119" i="1" s="1"/>
  <c r="BN224" i="2"/>
  <c r="N223" i="1" s="1"/>
  <c r="BP122" i="2"/>
  <c r="P121" i="1" s="1"/>
  <c r="BO169" i="2"/>
  <c r="O168" i="1" s="1"/>
  <c r="BO166" i="2"/>
  <c r="O165" i="1" s="1"/>
  <c r="BP120" i="2"/>
  <c r="P119" i="1" s="1"/>
  <c r="BO119" i="2"/>
  <c r="O118" i="1" s="1"/>
  <c r="BO224" i="2"/>
  <c r="O223" i="1" s="1"/>
  <c r="BN85" i="2"/>
  <c r="N84" i="1" s="1"/>
  <c r="BP226" i="2"/>
  <c r="P225" i="1" s="1"/>
  <c r="BP119" i="2"/>
  <c r="P118" i="1" s="1"/>
  <c r="BO120" i="2"/>
  <c r="O119" i="1" s="1"/>
  <c r="BN168" i="2"/>
  <c r="N167" i="1" s="1"/>
  <c r="BP85" i="2"/>
  <c r="P84" i="1" s="1"/>
  <c r="BO118" i="2"/>
  <c r="O117" i="1" s="1"/>
  <c r="BN118" i="2"/>
  <c r="N117" i="1" s="1"/>
  <c r="BQ228" i="2"/>
  <c r="Q227" i="1" s="1"/>
  <c r="BR228" i="2"/>
  <c r="R227" i="1" s="1"/>
  <c r="BP228" i="2"/>
  <c r="P227" i="1" s="1"/>
  <c r="BO228" i="2"/>
  <c r="O227" i="1" s="1"/>
  <c r="BN226" i="2"/>
  <c r="N225" i="1" s="1"/>
  <c r="N152" i="14"/>
  <c r="BN167" i="2"/>
  <c r="N166" i="1" s="1"/>
  <c r="BO226" i="2"/>
  <c r="O225" i="1" s="1"/>
  <c r="N216" i="14"/>
  <c r="BP118" i="2"/>
  <c r="P117" i="1" s="1"/>
  <c r="BO85" i="2"/>
  <c r="O84" i="1" s="1"/>
  <c r="G222" i="14"/>
  <c r="BN123" i="2"/>
  <c r="N122" i="1" s="1"/>
  <c r="BP169" i="2"/>
  <c r="P168" i="1" s="1"/>
  <c r="BP166" i="2"/>
  <c r="P165" i="1" s="1"/>
  <c r="BO167" i="2"/>
  <c r="O166" i="1" s="1"/>
  <c r="A63" i="4"/>
  <c r="M66" i="4"/>
  <c r="CD150" i="1" l="1"/>
  <c r="CD215" i="1"/>
  <c r="CD149" i="1"/>
  <c r="CD151" i="1"/>
  <c r="J222" i="14"/>
  <c r="K222" i="14"/>
  <c r="L222" i="14"/>
  <c r="BY222" i="1"/>
  <c r="I222" i="14"/>
  <c r="AC227" i="1"/>
  <c r="AV227" i="1"/>
  <c r="BO227" i="1"/>
  <c r="AC223" i="1"/>
  <c r="AV223" i="1"/>
  <c r="BO223" i="1"/>
  <c r="AW226" i="1"/>
  <c r="BP226" i="1"/>
  <c r="AD226" i="1"/>
  <c r="AW167" i="1"/>
  <c r="AD167" i="1"/>
  <c r="BP167" i="1"/>
  <c r="N106" i="14"/>
  <c r="BO84" i="1"/>
  <c r="AC84" i="1"/>
  <c r="AV84" i="1"/>
  <c r="AW227" i="1"/>
  <c r="AD227" i="1"/>
  <c r="BP227" i="1"/>
  <c r="AC118" i="1"/>
  <c r="BO118" i="1"/>
  <c r="AV118" i="1"/>
  <c r="AB121" i="1"/>
  <c r="BN121" i="1"/>
  <c r="AU121" i="1"/>
  <c r="CJ217" i="1"/>
  <c r="CJ151" i="1"/>
  <c r="BP117" i="1"/>
  <c r="AD117" i="1"/>
  <c r="AW117" i="1"/>
  <c r="BP119" i="1"/>
  <c r="AD119" i="1"/>
  <c r="AW119" i="1"/>
  <c r="BO226" i="1"/>
  <c r="AC226" i="1"/>
  <c r="AV226" i="1"/>
  <c r="AC122" i="1"/>
  <c r="BO122" i="1"/>
  <c r="AV122" i="1"/>
  <c r="CJ150" i="1"/>
  <c r="N104" i="14"/>
  <c r="AC225" i="1"/>
  <c r="AV225" i="1"/>
  <c r="BO225" i="1"/>
  <c r="BO165" i="1"/>
  <c r="AC165" i="1"/>
  <c r="AV165" i="1"/>
  <c r="AC167" i="1"/>
  <c r="BO167" i="1"/>
  <c r="AV167" i="1"/>
  <c r="BP122" i="1"/>
  <c r="AD122" i="1"/>
  <c r="AW122" i="1"/>
  <c r="CJ218" i="1"/>
  <c r="AU117" i="1"/>
  <c r="BN117" i="1"/>
  <c r="AB117" i="1"/>
  <c r="AC168" i="1"/>
  <c r="AV168" i="1"/>
  <c r="BO168" i="1"/>
  <c r="BP120" i="1"/>
  <c r="AD120" i="1"/>
  <c r="AW120" i="1"/>
  <c r="AU120" i="1"/>
  <c r="BN120" i="1"/>
  <c r="AB120" i="1"/>
  <c r="BO117" i="1"/>
  <c r="AC117" i="1"/>
  <c r="AV117" i="1"/>
  <c r="AD121" i="1"/>
  <c r="BP121" i="1"/>
  <c r="AW121" i="1"/>
  <c r="AU168" i="1"/>
  <c r="AB168" i="1"/>
  <c r="BN168" i="1"/>
  <c r="BO123" i="1"/>
  <c r="AV123" i="1"/>
  <c r="AC123" i="1"/>
  <c r="CJ215" i="1"/>
  <c r="N153" i="14"/>
  <c r="BN166" i="1"/>
  <c r="AU166" i="1"/>
  <c r="AB166" i="1"/>
  <c r="BP84" i="1"/>
  <c r="AD84" i="1"/>
  <c r="AW84" i="1"/>
  <c r="AC121" i="1"/>
  <c r="BO121" i="1"/>
  <c r="AV121" i="1"/>
  <c r="BP223" i="1"/>
  <c r="AD223" i="1"/>
  <c r="AW223" i="1"/>
  <c r="CD218" i="1"/>
  <c r="BO166" i="1"/>
  <c r="AV166" i="1"/>
  <c r="AC166" i="1"/>
  <c r="BN167" i="1"/>
  <c r="AU167" i="1"/>
  <c r="AB167" i="1"/>
  <c r="BP123" i="1"/>
  <c r="AW123" i="1"/>
  <c r="AD123" i="1"/>
  <c r="BP166" i="1"/>
  <c r="AD166" i="1"/>
  <c r="AW166" i="1"/>
  <c r="CJ149" i="1"/>
  <c r="AW165" i="1"/>
  <c r="AD165" i="1"/>
  <c r="BP165" i="1"/>
  <c r="AB118" i="1"/>
  <c r="AU118" i="1"/>
  <c r="BN118" i="1"/>
  <c r="AU123" i="1"/>
  <c r="AB123" i="1"/>
  <c r="BN123" i="1"/>
  <c r="N105" i="14"/>
  <c r="AW168" i="1"/>
  <c r="AD168" i="1"/>
  <c r="BP168" i="1"/>
  <c r="AD118" i="1"/>
  <c r="BP118" i="1"/>
  <c r="AW118" i="1"/>
  <c r="AB119" i="1"/>
  <c r="BN119" i="1"/>
  <c r="AU119" i="1"/>
  <c r="BO120" i="1"/>
  <c r="AC120" i="1"/>
  <c r="AV120" i="1"/>
  <c r="BO119" i="1"/>
  <c r="AC119" i="1"/>
  <c r="AV119" i="1"/>
  <c r="BP225" i="1"/>
  <c r="AW225" i="1"/>
  <c r="AD225" i="1"/>
  <c r="BN224" i="1"/>
  <c r="BW224" i="1" s="1"/>
  <c r="AB224" i="1"/>
  <c r="AK224" i="1" s="1"/>
  <c r="AU224" i="1"/>
  <c r="BD224" i="1" s="1"/>
  <c r="AB122" i="1"/>
  <c r="BN122" i="1"/>
  <c r="BW122" i="1" s="1"/>
  <c r="AU122" i="1"/>
  <c r="BD122" i="1" s="1"/>
  <c r="AB225" i="1"/>
  <c r="AK225" i="1" s="1"/>
  <c r="BN225" i="1"/>
  <c r="AU225" i="1"/>
  <c r="AB84" i="1"/>
  <c r="BN84" i="1"/>
  <c r="AU84" i="1"/>
  <c r="CD217" i="1"/>
  <c r="N218" i="14"/>
  <c r="G224" i="14"/>
  <c r="BQ229" i="2"/>
  <c r="Q228" i="1" s="1"/>
  <c r="BO229" i="2"/>
  <c r="O228" i="1" s="1"/>
  <c r="BR229" i="2"/>
  <c r="R228" i="1" s="1"/>
  <c r="BP229" i="2"/>
  <c r="P228" i="1" s="1"/>
  <c r="BN227" i="2"/>
  <c r="N226" i="1" s="1"/>
  <c r="BR230" i="2"/>
  <c r="R229" i="1" s="1"/>
  <c r="BO230" i="2"/>
  <c r="O229" i="1" s="1"/>
  <c r="BQ230" i="2"/>
  <c r="Q229" i="1" s="1"/>
  <c r="BP230" i="2"/>
  <c r="P229" i="1" s="1"/>
  <c r="BN228" i="2"/>
  <c r="N227" i="1" s="1"/>
  <c r="F222" i="14"/>
  <c r="A64" i="4"/>
  <c r="M67" i="4"/>
  <c r="BD225" i="1" l="1"/>
  <c r="CD222" i="1"/>
  <c r="BD166" i="1"/>
  <c r="AK122" i="1"/>
  <c r="BW121" i="1"/>
  <c r="BD167" i="1"/>
  <c r="BW168" i="1"/>
  <c r="BW120" i="1"/>
  <c r="AK167" i="1"/>
  <c r="BW167" i="1"/>
  <c r="BN227" i="1"/>
  <c r="BW227" i="1" s="1"/>
  <c r="AU227" i="1"/>
  <c r="BD227" i="1" s="1"/>
  <c r="AB227" i="1"/>
  <c r="AK227" i="1" s="1"/>
  <c r="BD165" i="1"/>
  <c r="N151" i="14"/>
  <c r="BD119" i="1"/>
  <c r="BW123" i="1"/>
  <c r="BW119" i="1"/>
  <c r="AK123" i="1"/>
  <c r="BX224" i="1"/>
  <c r="AK119" i="1"/>
  <c r="BD123" i="1"/>
  <c r="G123" i="14" s="1"/>
  <c r="AK117" i="1"/>
  <c r="AK165" i="1"/>
  <c r="N217" i="14"/>
  <c r="BW223" i="1"/>
  <c r="BO229" i="1"/>
  <c r="AV229" i="1"/>
  <c r="AC229" i="1"/>
  <c r="BD84" i="1"/>
  <c r="BW84" i="1"/>
  <c r="BW118" i="1"/>
  <c r="BW117" i="1"/>
  <c r="BW165" i="1"/>
  <c r="BD223" i="1"/>
  <c r="AB226" i="1"/>
  <c r="AK226" i="1" s="1"/>
  <c r="BN226" i="1"/>
  <c r="BW226" i="1" s="1"/>
  <c r="AU226" i="1"/>
  <c r="BD226" i="1" s="1"/>
  <c r="AK84" i="1"/>
  <c r="BD118" i="1"/>
  <c r="G118" i="14" s="1"/>
  <c r="N215" i="14"/>
  <c r="BD117" i="1"/>
  <c r="BD121" i="1"/>
  <c r="AK223" i="1"/>
  <c r="AK118" i="1"/>
  <c r="BX167" i="1"/>
  <c r="AK120" i="1"/>
  <c r="AW228" i="1"/>
  <c r="BP228" i="1"/>
  <c r="AD228" i="1"/>
  <c r="BW225" i="1"/>
  <c r="BX225" i="1" s="1"/>
  <c r="AK121" i="1"/>
  <c r="BX121" i="1" s="1"/>
  <c r="AV228" i="1"/>
  <c r="BO228" i="1"/>
  <c r="AC228" i="1"/>
  <c r="BD120" i="1"/>
  <c r="BX122" i="1"/>
  <c r="AK166" i="1"/>
  <c r="AK168" i="1"/>
  <c r="CJ222" i="1"/>
  <c r="N149" i="14"/>
  <c r="BD168" i="1"/>
  <c r="BW166" i="1"/>
  <c r="N150" i="14"/>
  <c r="AD229" i="1"/>
  <c r="BP229" i="1"/>
  <c r="AW229" i="1"/>
  <c r="G117" i="14"/>
  <c r="F224" i="14"/>
  <c r="F117" i="14"/>
  <c r="F165" i="14"/>
  <c r="G166" i="14"/>
  <c r="G121" i="14"/>
  <c r="G223" i="14"/>
  <c r="G167" i="14"/>
  <c r="G165" i="14"/>
  <c r="G120" i="14"/>
  <c r="H122" i="14"/>
  <c r="G122" i="14"/>
  <c r="G84" i="14"/>
  <c r="G225" i="14"/>
  <c r="H119" i="14"/>
  <c r="G168" i="14"/>
  <c r="H120" i="14"/>
  <c r="G119" i="14"/>
  <c r="G227" i="14"/>
  <c r="G226" i="14"/>
  <c r="H118" i="14"/>
  <c r="H224" i="14"/>
  <c r="H166" i="14"/>
  <c r="H121" i="14"/>
  <c r="H223" i="14"/>
  <c r="BQ231" i="2"/>
  <c r="Q230" i="1" s="1"/>
  <c r="BR231" i="2"/>
  <c r="R230" i="1" s="1"/>
  <c r="BN229" i="2"/>
  <c r="N228" i="1" s="1"/>
  <c r="H84" i="14"/>
  <c r="H225" i="14"/>
  <c r="H167" i="14"/>
  <c r="H165" i="14"/>
  <c r="H123" i="14"/>
  <c r="BR232" i="2"/>
  <c r="R231" i="1" s="1"/>
  <c r="AH231" i="1" s="1"/>
  <c r="BQ232" i="2"/>
  <c r="Q231" i="1" s="1"/>
  <c r="AG231" i="1" s="1"/>
  <c r="BN230" i="2"/>
  <c r="N229" i="1" s="1"/>
  <c r="H168" i="14"/>
  <c r="A65" i="4"/>
  <c r="M68" i="4"/>
  <c r="BX168" i="1" l="1"/>
  <c r="BX119" i="1"/>
  <c r="L168" i="14"/>
  <c r="BY168" i="1"/>
  <c r="I168" i="14"/>
  <c r="J168" i="14"/>
  <c r="K168" i="14"/>
  <c r="K225" i="14"/>
  <c r="L225" i="14"/>
  <c r="J225" i="14"/>
  <c r="BY225" i="1"/>
  <c r="BX166" i="1"/>
  <c r="L224" i="14"/>
  <c r="BY224" i="1"/>
  <c r="I224" i="14"/>
  <c r="J224" i="14"/>
  <c r="K224" i="14"/>
  <c r="K122" i="14"/>
  <c r="L122" i="14"/>
  <c r="BY122" i="1"/>
  <c r="I122" i="14"/>
  <c r="J122" i="14"/>
  <c r="BY121" i="1"/>
  <c r="I121" i="14"/>
  <c r="J121" i="14"/>
  <c r="K121" i="14"/>
  <c r="L121" i="14"/>
  <c r="BX123" i="1"/>
  <c r="BY119" i="1"/>
  <c r="J119" i="14"/>
  <c r="I119" i="14"/>
  <c r="K119" i="14"/>
  <c r="L119" i="14"/>
  <c r="BX120" i="1"/>
  <c r="BX84" i="1"/>
  <c r="BX226" i="1"/>
  <c r="K167" i="14"/>
  <c r="L167" i="14"/>
  <c r="BY167" i="1"/>
  <c r="I167" i="14"/>
  <c r="J167" i="14"/>
  <c r="BX223" i="1"/>
  <c r="BX165" i="1"/>
  <c r="BN229" i="1"/>
  <c r="BW229" i="1" s="1"/>
  <c r="AU229" i="1"/>
  <c r="BD229" i="1" s="1"/>
  <c r="G229" i="14" s="1"/>
  <c r="AB229" i="1"/>
  <c r="AK229" i="1" s="1"/>
  <c r="BX117" i="1"/>
  <c r="BX227" i="1"/>
  <c r="AZ231" i="1"/>
  <c r="BS231" i="1"/>
  <c r="BX118" i="1"/>
  <c r="AB228" i="1"/>
  <c r="AK228" i="1" s="1"/>
  <c r="AU228" i="1"/>
  <c r="BD228" i="1" s="1"/>
  <c r="G228" i="14" s="1"/>
  <c r="BN228" i="1"/>
  <c r="BW228" i="1" s="1"/>
  <c r="BT231" i="1"/>
  <c r="BA231" i="1"/>
  <c r="F167" i="14"/>
  <c r="F226" i="14"/>
  <c r="F225" i="14"/>
  <c r="F122" i="14"/>
  <c r="F84" i="14"/>
  <c r="F123" i="14"/>
  <c r="F223" i="14"/>
  <c r="F227" i="14"/>
  <c r="F121" i="14"/>
  <c r="F118" i="14"/>
  <c r="F168" i="14"/>
  <c r="F166" i="14"/>
  <c r="F120" i="14"/>
  <c r="F119" i="14"/>
  <c r="H117" i="14"/>
  <c r="H226" i="14"/>
  <c r="BQ234" i="2"/>
  <c r="Q233" i="1" s="1"/>
  <c r="AG233" i="1" s="1"/>
  <c r="BR234" i="2"/>
  <c r="R233" i="1" s="1"/>
  <c r="AH233" i="1" s="1"/>
  <c r="BR233" i="2"/>
  <c r="R232" i="1" s="1"/>
  <c r="AH232" i="1" s="1"/>
  <c r="BQ233" i="2"/>
  <c r="Q232" i="1" s="1"/>
  <c r="AG232" i="1" s="1"/>
  <c r="H227" i="14"/>
  <c r="A66" i="4"/>
  <c r="M69" i="4"/>
  <c r="CD225" i="1" l="1"/>
  <c r="I225" i="14"/>
  <c r="CD119" i="1"/>
  <c r="CD121" i="1"/>
  <c r="CD168" i="1"/>
  <c r="CD224" i="1"/>
  <c r="K120" i="14"/>
  <c r="L120" i="14"/>
  <c r="BY120" i="1"/>
  <c r="I120" i="14"/>
  <c r="J120" i="14"/>
  <c r="CJ121" i="1"/>
  <c r="BY166" i="1"/>
  <c r="I166" i="14"/>
  <c r="J166" i="14"/>
  <c r="K166" i="14"/>
  <c r="L166" i="14"/>
  <c r="J223" i="14"/>
  <c r="BY223" i="1"/>
  <c r="I223" i="14"/>
  <c r="K223" i="14"/>
  <c r="L223" i="14"/>
  <c r="CD122" i="1"/>
  <c r="CJ225" i="1"/>
  <c r="K227" i="14"/>
  <c r="L227" i="14"/>
  <c r="BY227" i="1"/>
  <c r="I227" i="14"/>
  <c r="J227" i="14"/>
  <c r="CJ122" i="1"/>
  <c r="BY117" i="1"/>
  <c r="I117" i="14"/>
  <c r="J117" i="14"/>
  <c r="K117" i="14"/>
  <c r="L117" i="14"/>
  <c r="CD167" i="1"/>
  <c r="CJ119" i="1"/>
  <c r="AZ232" i="1"/>
  <c r="BS232" i="1"/>
  <c r="BX229" i="1"/>
  <c r="CJ167" i="1"/>
  <c r="I123" i="14"/>
  <c r="J123" i="14"/>
  <c r="K123" i="14"/>
  <c r="L123" i="14"/>
  <c r="BY123" i="1"/>
  <c r="BT232" i="1"/>
  <c r="BA232" i="1"/>
  <c r="BA233" i="1"/>
  <c r="BT233" i="1"/>
  <c r="AZ233" i="1"/>
  <c r="BS233" i="1"/>
  <c r="BX228" i="1"/>
  <c r="J226" i="14"/>
  <c r="BY226" i="1"/>
  <c r="I226" i="14"/>
  <c r="K226" i="14"/>
  <c r="L226" i="14"/>
  <c r="CJ224" i="1"/>
  <c r="CJ168" i="1"/>
  <c r="BY118" i="1"/>
  <c r="I118" i="14"/>
  <c r="J118" i="14"/>
  <c r="K118" i="14"/>
  <c r="L118" i="14"/>
  <c r="BY165" i="1"/>
  <c r="I165" i="14"/>
  <c r="J165" i="14"/>
  <c r="K165" i="14"/>
  <c r="L165" i="14"/>
  <c r="J84" i="14"/>
  <c r="K84" i="14"/>
  <c r="L84" i="14"/>
  <c r="BY84" i="1"/>
  <c r="I84" i="14"/>
  <c r="F229" i="14"/>
  <c r="F228" i="14"/>
  <c r="H228" i="14"/>
  <c r="BQ235" i="2"/>
  <c r="Q234" i="1" s="1"/>
  <c r="AG234" i="1" s="1"/>
  <c r="BR235" i="2"/>
  <c r="R234" i="1" s="1"/>
  <c r="AH234" i="1" s="1"/>
  <c r="N222" i="14"/>
  <c r="BR236" i="2"/>
  <c r="R235" i="1" s="1"/>
  <c r="BQ236" i="2"/>
  <c r="Q235" i="1" s="1"/>
  <c r="H229" i="14"/>
  <c r="A67" i="4"/>
  <c r="M70" i="4"/>
  <c r="CD84" i="1" l="1"/>
  <c r="CD226" i="1"/>
  <c r="CD117" i="1"/>
  <c r="CD165" i="1"/>
  <c r="CD123" i="1"/>
  <c r="CD227" i="1"/>
  <c r="CJ227" i="1"/>
  <c r="CJ123" i="1"/>
  <c r="CD166" i="1"/>
  <c r="BS234" i="1"/>
  <c r="AZ234" i="1"/>
  <c r="CJ166" i="1"/>
  <c r="CJ226" i="1"/>
  <c r="BA234" i="1"/>
  <c r="BT234" i="1"/>
  <c r="CD118" i="1"/>
  <c r="K228" i="14"/>
  <c r="L228" i="14"/>
  <c r="BY228" i="1"/>
  <c r="I228" i="14"/>
  <c r="J228" i="14"/>
  <c r="CJ117" i="1"/>
  <c r="CD120" i="1"/>
  <c r="CJ165" i="1"/>
  <c r="CJ84" i="1"/>
  <c r="CJ118" i="1"/>
  <c r="CD223" i="1"/>
  <c r="CJ120" i="1"/>
  <c r="I229" i="14"/>
  <c r="J229" i="14"/>
  <c r="K229" i="14"/>
  <c r="L229" i="14"/>
  <c r="BY229" i="1"/>
  <c r="CJ223" i="1"/>
  <c r="N167" i="14"/>
  <c r="N168" i="14"/>
  <c r="N123" i="14"/>
  <c r="N121" i="14"/>
  <c r="N117" i="14"/>
  <c r="N224" i="14"/>
  <c r="BR237" i="2"/>
  <c r="R236" i="1" s="1"/>
  <c r="AH236" i="1" s="1"/>
  <c r="BQ237" i="2"/>
  <c r="Q236" i="1" s="1"/>
  <c r="AG236" i="1" s="1"/>
  <c r="BR238" i="2"/>
  <c r="R237" i="1" s="1"/>
  <c r="BQ238" i="2"/>
  <c r="Q237" i="1" s="1"/>
  <c r="N166" i="14"/>
  <c r="N118" i="14"/>
  <c r="N119" i="14"/>
  <c r="N225" i="14"/>
  <c r="N84" i="14"/>
  <c r="N122" i="14"/>
  <c r="N223" i="14"/>
  <c r="N120" i="14"/>
  <c r="N165" i="14"/>
  <c r="A68" i="4"/>
  <c r="M71" i="4"/>
  <c r="AZ236" i="1" l="1"/>
  <c r="BS236" i="1"/>
  <c r="BA236" i="1"/>
  <c r="BT236" i="1"/>
  <c r="CD228" i="1"/>
  <c r="CJ228" i="1"/>
  <c r="CJ229" i="1"/>
  <c r="CD229" i="1"/>
  <c r="N227" i="14"/>
  <c r="BQ239" i="2"/>
  <c r="Q238" i="1" s="1"/>
  <c r="AG238" i="1" s="1"/>
  <c r="BR239" i="2"/>
  <c r="R238" i="1" s="1"/>
  <c r="AH238" i="1" s="1"/>
  <c r="N226" i="14"/>
  <c r="BQ240" i="2"/>
  <c r="Q239" i="1" s="1"/>
  <c r="BR240" i="2"/>
  <c r="R239" i="1" s="1"/>
  <c r="A69" i="4"/>
  <c r="M72" i="4"/>
  <c r="AZ238" i="1" l="1"/>
  <c r="BS238" i="1"/>
  <c r="BA238" i="1"/>
  <c r="BT238" i="1"/>
  <c r="BQ241" i="2"/>
  <c r="Q240" i="1" s="1"/>
  <c r="AG240" i="1" s="1"/>
  <c r="BR241" i="2"/>
  <c r="R240" i="1" s="1"/>
  <c r="AH240" i="1" s="1"/>
  <c r="N228" i="14"/>
  <c r="BQ242" i="2"/>
  <c r="Q241" i="1" s="1"/>
  <c r="AG241" i="1" s="1"/>
  <c r="BR242" i="2"/>
  <c r="R241" i="1" s="1"/>
  <c r="AH241" i="1" s="1"/>
  <c r="N229" i="14"/>
  <c r="A70" i="4"/>
  <c r="M73" i="4"/>
  <c r="AZ241" i="1" l="1"/>
  <c r="BS241" i="1"/>
  <c r="BS240" i="1"/>
  <c r="AZ240" i="1"/>
  <c r="BA241" i="1"/>
  <c r="BT241" i="1"/>
  <c r="BT240" i="1"/>
  <c r="BA240" i="1"/>
  <c r="BQ243" i="2"/>
  <c r="Q242" i="1" s="1"/>
  <c r="BR243" i="2"/>
  <c r="R242" i="1" s="1"/>
  <c r="BR244" i="2"/>
  <c r="R243" i="1" s="1"/>
  <c r="AH243" i="1" s="1"/>
  <c r="BQ244" i="2"/>
  <c r="Q243" i="1" s="1"/>
  <c r="AG243" i="1" s="1"/>
  <c r="A71" i="4"/>
  <c r="M74" i="4"/>
  <c r="BS243" i="1" l="1"/>
  <c r="AZ243" i="1"/>
  <c r="BT243" i="1"/>
  <c r="BA243" i="1"/>
  <c r="BR246" i="2"/>
  <c r="R245" i="1" s="1"/>
  <c r="BQ246" i="2"/>
  <c r="Q245" i="1" s="1"/>
  <c r="BQ245" i="2"/>
  <c r="Q244" i="1" s="1"/>
  <c r="AG244" i="1" s="1"/>
  <c r="BR245" i="2"/>
  <c r="R244" i="1" s="1"/>
  <c r="AH244" i="1" s="1"/>
  <c r="M75" i="4"/>
  <c r="A72" i="4"/>
  <c r="BA244" i="1" l="1"/>
  <c r="BT244" i="1"/>
  <c r="AZ244" i="1"/>
  <c r="BS244" i="1"/>
  <c r="BR247" i="2"/>
  <c r="R246" i="1" s="1"/>
  <c r="AH246" i="1" s="1"/>
  <c r="BQ247" i="2"/>
  <c r="Q246" i="1" s="1"/>
  <c r="AG246" i="1" s="1"/>
  <c r="BR248" i="2"/>
  <c r="R247" i="1" s="1"/>
  <c r="BQ248" i="2"/>
  <c r="Q247" i="1" s="1"/>
  <c r="A73" i="4"/>
  <c r="M76" i="4"/>
  <c r="BS246" i="1" l="1"/>
  <c r="AZ246" i="1"/>
  <c r="BT246" i="1"/>
  <c r="BA246" i="1"/>
  <c r="BR250" i="2"/>
  <c r="R249" i="1" s="1"/>
  <c r="AH249" i="1" s="1"/>
  <c r="BQ250" i="2"/>
  <c r="Q249" i="1" s="1"/>
  <c r="AG249" i="1" s="1"/>
  <c r="BQ249" i="2"/>
  <c r="Q248" i="1" s="1"/>
  <c r="BR249" i="2"/>
  <c r="R248" i="1" s="1"/>
  <c r="A74" i="4"/>
  <c r="M77" i="4"/>
  <c r="BS249" i="1" l="1"/>
  <c r="AZ249" i="1"/>
  <c r="BT249" i="1"/>
  <c r="BA249" i="1"/>
  <c r="BQ252" i="2"/>
  <c r="Q251" i="1" s="1"/>
  <c r="AG251" i="1" s="1"/>
  <c r="BR252" i="2"/>
  <c r="R251" i="1" s="1"/>
  <c r="AH251" i="1" s="1"/>
  <c r="BQ251" i="2"/>
  <c r="Q250" i="1" s="1"/>
  <c r="BR251" i="2"/>
  <c r="R250" i="1" s="1"/>
  <c r="A75" i="4"/>
  <c r="M78" i="4"/>
  <c r="BT251" i="1" l="1"/>
  <c r="BA251" i="1"/>
  <c r="AZ251" i="1"/>
  <c r="BS251" i="1"/>
  <c r="BR254" i="2"/>
  <c r="R253" i="1" s="1"/>
  <c r="BQ254" i="2"/>
  <c r="Q253" i="1" s="1"/>
  <c r="BR253" i="2"/>
  <c r="R252" i="1" s="1"/>
  <c r="AH252" i="1" s="1"/>
  <c r="BQ253" i="2"/>
  <c r="Q252" i="1" s="1"/>
  <c r="AG252" i="1" s="1"/>
  <c r="A76" i="4"/>
  <c r="M79" i="4"/>
  <c r="BS252" i="1" l="1"/>
  <c r="AZ252" i="1"/>
  <c r="BT252" i="1"/>
  <c r="BA252" i="1"/>
  <c r="BR255" i="2"/>
  <c r="R254" i="1" s="1"/>
  <c r="BQ255" i="2"/>
  <c r="Q254" i="1" s="1"/>
  <c r="BO256" i="2"/>
  <c r="O255" i="1" s="1"/>
  <c r="BP256" i="2"/>
  <c r="P255" i="1" s="1"/>
  <c r="BR256" i="2"/>
  <c r="R255" i="1" s="1"/>
  <c r="BQ256" i="2"/>
  <c r="Q255" i="1" s="1"/>
  <c r="A77" i="4"/>
  <c r="M80" i="4"/>
  <c r="BP255" i="1" l="1"/>
  <c r="AD255" i="1"/>
  <c r="AW255" i="1"/>
  <c r="AV255" i="1"/>
  <c r="AC255" i="1"/>
  <c r="BO255" i="1"/>
  <c r="BR258" i="2"/>
  <c r="R257" i="1" s="1"/>
  <c r="AH257" i="1" s="1"/>
  <c r="BQ258" i="2"/>
  <c r="Q257" i="1" s="1"/>
  <c r="AG257" i="1" s="1"/>
  <c r="BN256" i="2"/>
  <c r="N255" i="1" s="1"/>
  <c r="BO257" i="2"/>
  <c r="O256" i="1" s="1"/>
  <c r="BQ257" i="2"/>
  <c r="Q256" i="1" s="1"/>
  <c r="BR257" i="2"/>
  <c r="R256" i="1" s="1"/>
  <c r="BP257" i="2"/>
  <c r="P256" i="1" s="1"/>
  <c r="A78" i="4"/>
  <c r="M81" i="4"/>
  <c r="AC256" i="1" l="1"/>
  <c r="BO256" i="1"/>
  <c r="AV256" i="1"/>
  <c r="AU255" i="1"/>
  <c r="BD255" i="1" s="1"/>
  <c r="AB255" i="1"/>
  <c r="AK255" i="1" s="1"/>
  <c r="BN255" i="1"/>
  <c r="BW255" i="1" s="1"/>
  <c r="BS257" i="1"/>
  <c r="AZ257" i="1"/>
  <c r="BT257" i="1"/>
  <c r="BA257" i="1"/>
  <c r="AW256" i="1"/>
  <c r="AD256" i="1"/>
  <c r="BP256" i="1"/>
  <c r="G255" i="14"/>
  <c r="H255" i="14"/>
  <c r="BO259" i="2"/>
  <c r="O258" i="1" s="1"/>
  <c r="BR259" i="2"/>
  <c r="R258" i="1" s="1"/>
  <c r="BP259" i="2"/>
  <c r="P258" i="1" s="1"/>
  <c r="BQ259" i="2"/>
  <c r="Q258" i="1" s="1"/>
  <c r="BN257" i="2"/>
  <c r="N256" i="1" s="1"/>
  <c r="BO260" i="2"/>
  <c r="O259" i="1" s="1"/>
  <c r="BR260" i="2"/>
  <c r="R259" i="1" s="1"/>
  <c r="BP260" i="2"/>
  <c r="P259" i="1" s="1"/>
  <c r="BQ260" i="2"/>
  <c r="Q259" i="1" s="1"/>
  <c r="BN258" i="2"/>
  <c r="N257" i="1" s="1"/>
  <c r="BN211" i="2"/>
  <c r="N210" i="1" s="1"/>
  <c r="BN212" i="2"/>
  <c r="N211" i="1" s="1"/>
  <c r="BN213" i="2"/>
  <c r="N212" i="1" s="1"/>
  <c r="BN102" i="2"/>
  <c r="N101" i="1" s="1"/>
  <c r="BN99" i="2"/>
  <c r="N98" i="1" s="1"/>
  <c r="BN7" i="2"/>
  <c r="N6" i="1" s="1"/>
  <c r="BN100" i="2"/>
  <c r="N99" i="1" s="1"/>
  <c r="BN103" i="2"/>
  <c r="N102" i="1" s="1"/>
  <c r="BN214" i="2"/>
  <c r="N213" i="1" s="1"/>
  <c r="BN148" i="2"/>
  <c r="N147" i="1" s="1"/>
  <c r="BN78" i="2"/>
  <c r="N77" i="1" s="1"/>
  <c r="BN147" i="2"/>
  <c r="N146" i="1" s="1"/>
  <c r="BN77" i="2"/>
  <c r="N76" i="1" s="1"/>
  <c r="BN101" i="2"/>
  <c r="N100" i="1" s="1"/>
  <c r="BN98" i="2"/>
  <c r="N97" i="1" s="1"/>
  <c r="BN76" i="2"/>
  <c r="N75" i="1" s="1"/>
  <c r="BN5" i="2"/>
  <c r="N4" i="1" s="1"/>
  <c r="BN8" i="2"/>
  <c r="N7" i="1" s="1"/>
  <c r="BN215" i="2"/>
  <c r="N214" i="1" s="1"/>
  <c r="BP258" i="2"/>
  <c r="P257" i="1" s="1"/>
  <c r="BP211" i="2"/>
  <c r="P210" i="1" s="1"/>
  <c r="BP212" i="2"/>
  <c r="P211" i="1" s="1"/>
  <c r="BP103" i="2"/>
  <c r="P102" i="1" s="1"/>
  <c r="BP213" i="2"/>
  <c r="P212" i="1" s="1"/>
  <c r="BP99" i="2"/>
  <c r="P98" i="1" s="1"/>
  <c r="BP147" i="2"/>
  <c r="P146" i="1" s="1"/>
  <c r="BP102" i="2"/>
  <c r="P101" i="1" s="1"/>
  <c r="BP100" i="2"/>
  <c r="P99" i="1" s="1"/>
  <c r="BP214" i="2"/>
  <c r="P213" i="1" s="1"/>
  <c r="BP101" i="2"/>
  <c r="P100" i="1" s="1"/>
  <c r="BP98" i="2"/>
  <c r="P97" i="1" s="1"/>
  <c r="BP76" i="2"/>
  <c r="P75" i="1" s="1"/>
  <c r="BP148" i="2"/>
  <c r="P147" i="1" s="1"/>
  <c r="BP215" i="2"/>
  <c r="P214" i="1" s="1"/>
  <c r="BO258" i="2"/>
  <c r="O257" i="1" s="1"/>
  <c r="BO212" i="2"/>
  <c r="O211" i="1" s="1"/>
  <c r="BO211" i="2"/>
  <c r="O210" i="1" s="1"/>
  <c r="BO76" i="2"/>
  <c r="O75" i="1" s="1"/>
  <c r="BO10" i="2"/>
  <c r="O9" i="1" s="1"/>
  <c r="BO7" i="2"/>
  <c r="O6" i="1" s="1"/>
  <c r="BO8" i="2"/>
  <c r="O7" i="1" s="1"/>
  <c r="BO5" i="2"/>
  <c r="O4" i="1" s="1"/>
  <c r="BO214" i="2"/>
  <c r="O213" i="1" s="1"/>
  <c r="BO98" i="2"/>
  <c r="O97" i="1" s="1"/>
  <c r="BO213" i="2"/>
  <c r="O212" i="1" s="1"/>
  <c r="BO101" i="2"/>
  <c r="O100" i="1" s="1"/>
  <c r="BO100" i="2"/>
  <c r="O99" i="1" s="1"/>
  <c r="BO103" i="2"/>
  <c r="O102" i="1" s="1"/>
  <c r="BO99" i="2"/>
  <c r="O98" i="1" s="1"/>
  <c r="BO148" i="2"/>
  <c r="O147" i="1" s="1"/>
  <c r="BO102" i="2"/>
  <c r="O101" i="1" s="1"/>
  <c r="BO147" i="2"/>
  <c r="O146" i="1" s="1"/>
  <c r="BO215" i="2"/>
  <c r="O214" i="1" s="1"/>
  <c r="M82" i="4"/>
  <c r="A79" i="4"/>
  <c r="AC99" i="1" l="1"/>
  <c r="BO99" i="1"/>
  <c r="AV99" i="1"/>
  <c r="BO100" i="1"/>
  <c r="AV100" i="1"/>
  <c r="AC100" i="1"/>
  <c r="AD102" i="1"/>
  <c r="AW102" i="1"/>
  <c r="BP102" i="1"/>
  <c r="BN77" i="1"/>
  <c r="AB77" i="1"/>
  <c r="AU77" i="1"/>
  <c r="BO98" i="1"/>
  <c r="AC98" i="1"/>
  <c r="AV98" i="1"/>
  <c r="AD214" i="1"/>
  <c r="BP214" i="1"/>
  <c r="AW214" i="1"/>
  <c r="AD211" i="1"/>
  <c r="AW211" i="1"/>
  <c r="BP211" i="1"/>
  <c r="AB147" i="1"/>
  <c r="AU147" i="1"/>
  <c r="BN147" i="1"/>
  <c r="AD259" i="1"/>
  <c r="AW259" i="1"/>
  <c r="BP259" i="1"/>
  <c r="AV212" i="1"/>
  <c r="AC212" i="1"/>
  <c r="BO212" i="1"/>
  <c r="AV97" i="1"/>
  <c r="AC97" i="1"/>
  <c r="BO97" i="1"/>
  <c r="BP147" i="1"/>
  <c r="AW147" i="1"/>
  <c r="AD147" i="1"/>
  <c r="AD210" i="1"/>
  <c r="BP210" i="1"/>
  <c r="AW210" i="1"/>
  <c r="AB213" i="1"/>
  <c r="BN213" i="1"/>
  <c r="AU213" i="1"/>
  <c r="AC213" i="1"/>
  <c r="BO213" i="1"/>
  <c r="AV213" i="1"/>
  <c r="AD75" i="1"/>
  <c r="BP75" i="1"/>
  <c r="AW75" i="1"/>
  <c r="BP257" i="1"/>
  <c r="AD257" i="1"/>
  <c r="AW257" i="1"/>
  <c r="BN102" i="1"/>
  <c r="AU102" i="1"/>
  <c r="AB102" i="1"/>
  <c r="AC259" i="1"/>
  <c r="AV259" i="1"/>
  <c r="BO259" i="1"/>
  <c r="AC4" i="1"/>
  <c r="BO4" i="1"/>
  <c r="AV4" i="1"/>
  <c r="AW97" i="1"/>
  <c r="AD97" i="1"/>
  <c r="BP97" i="1"/>
  <c r="AB214" i="1"/>
  <c r="AU214" i="1"/>
  <c r="BN214" i="1"/>
  <c r="AB99" i="1"/>
  <c r="BN99" i="1"/>
  <c r="AU99" i="1"/>
  <c r="AV214" i="1"/>
  <c r="BO214" i="1"/>
  <c r="AC214" i="1"/>
  <c r="AC7" i="1"/>
  <c r="BO7" i="1"/>
  <c r="AV7" i="1"/>
  <c r="AD100" i="1"/>
  <c r="BP100" i="1"/>
  <c r="AW100" i="1"/>
  <c r="AB7" i="1"/>
  <c r="AU7" i="1"/>
  <c r="BN7" i="1"/>
  <c r="BN6" i="1"/>
  <c r="AB6" i="1"/>
  <c r="AU6" i="1"/>
  <c r="AC6" i="1"/>
  <c r="BO6" i="1"/>
  <c r="AV6" i="1"/>
  <c r="AD213" i="1"/>
  <c r="BP213" i="1"/>
  <c r="AW213" i="1"/>
  <c r="AB4" i="1"/>
  <c r="AU4" i="1"/>
  <c r="BN4" i="1"/>
  <c r="AB98" i="1"/>
  <c r="BN98" i="1"/>
  <c r="AU98" i="1"/>
  <c r="BD98" i="1" s="1"/>
  <c r="AD258" i="1"/>
  <c r="BP258" i="1"/>
  <c r="AW258" i="1"/>
  <c r="AC101" i="1"/>
  <c r="AV101" i="1"/>
  <c r="BO101" i="1"/>
  <c r="AC9" i="1"/>
  <c r="BO9" i="1"/>
  <c r="AV9" i="1"/>
  <c r="AW99" i="1"/>
  <c r="AD99" i="1"/>
  <c r="BP99" i="1"/>
  <c r="AB101" i="1"/>
  <c r="BN101" i="1"/>
  <c r="AU101" i="1"/>
  <c r="AC75" i="1"/>
  <c r="AV75" i="1"/>
  <c r="BO75" i="1"/>
  <c r="BP101" i="1"/>
  <c r="AD101" i="1"/>
  <c r="AW101" i="1"/>
  <c r="BN97" i="1"/>
  <c r="BW97" i="1" s="1"/>
  <c r="AB97" i="1"/>
  <c r="AK97" i="1" s="1"/>
  <c r="AU97" i="1"/>
  <c r="BD97" i="1" s="1"/>
  <c r="AB212" i="1"/>
  <c r="AU212" i="1"/>
  <c r="BN212" i="1"/>
  <c r="AV258" i="1"/>
  <c r="BD258" i="1" s="1"/>
  <c r="AC258" i="1"/>
  <c r="AK258" i="1" s="1"/>
  <c r="BO258" i="1"/>
  <c r="BW258" i="1" s="1"/>
  <c r="BX255" i="1"/>
  <c r="BO147" i="1"/>
  <c r="AV147" i="1"/>
  <c r="AC147" i="1"/>
  <c r="AV210" i="1"/>
  <c r="BD210" i="1" s="1"/>
  <c r="AC210" i="1"/>
  <c r="AK210" i="1" s="1"/>
  <c r="BO210" i="1"/>
  <c r="BW210" i="1" s="1"/>
  <c r="AD146" i="1"/>
  <c r="BP146" i="1"/>
  <c r="AW146" i="1"/>
  <c r="AU100" i="1"/>
  <c r="BD100" i="1" s="1"/>
  <c r="AB100" i="1"/>
  <c r="AK100" i="1" s="1"/>
  <c r="BN100" i="1"/>
  <c r="BW100" i="1" s="1"/>
  <c r="AB211" i="1"/>
  <c r="BN211" i="1"/>
  <c r="BW211" i="1" s="1"/>
  <c r="AU211" i="1"/>
  <c r="BD211" i="1" s="1"/>
  <c r="BD256" i="1"/>
  <c r="G256" i="14" s="1"/>
  <c r="BO146" i="1"/>
  <c r="AC146" i="1"/>
  <c r="AV146" i="1"/>
  <c r="AV211" i="1"/>
  <c r="BO211" i="1"/>
  <c r="AC211" i="1"/>
  <c r="AD98" i="1"/>
  <c r="BP98" i="1"/>
  <c r="AW98" i="1"/>
  <c r="BN76" i="1"/>
  <c r="AU76" i="1"/>
  <c r="AB76" i="1"/>
  <c r="BW256" i="1"/>
  <c r="BX256" i="1" s="1"/>
  <c r="BO102" i="1"/>
  <c r="AC102" i="1"/>
  <c r="AV102" i="1"/>
  <c r="BO257" i="1"/>
  <c r="AC257" i="1"/>
  <c r="AV257" i="1"/>
  <c r="AD212" i="1"/>
  <c r="AW212" i="1"/>
  <c r="BP212" i="1"/>
  <c r="AB146" i="1"/>
  <c r="AK146" i="1" s="1"/>
  <c r="AU146" i="1"/>
  <c r="BD146" i="1" s="1"/>
  <c r="BN146" i="1"/>
  <c r="BW146" i="1" s="1"/>
  <c r="AB257" i="1"/>
  <c r="BN257" i="1"/>
  <c r="AU257" i="1"/>
  <c r="AK256" i="1"/>
  <c r="F256" i="14"/>
  <c r="H256" i="14"/>
  <c r="BR262" i="2"/>
  <c r="R261" i="1" s="1"/>
  <c r="BQ262" i="2"/>
  <c r="Q261" i="1" s="1"/>
  <c r="BN260" i="2"/>
  <c r="N259" i="1" s="1"/>
  <c r="BO261" i="2"/>
  <c r="O260" i="1" s="1"/>
  <c r="BP261" i="2"/>
  <c r="P260" i="1" s="1"/>
  <c r="BQ261" i="2"/>
  <c r="Q260" i="1" s="1"/>
  <c r="BR261" i="2"/>
  <c r="R260" i="1" s="1"/>
  <c r="BN259" i="2"/>
  <c r="N258" i="1" s="1"/>
  <c r="F255" i="14"/>
  <c r="M83" i="4"/>
  <c r="A80" i="4"/>
  <c r="BX97" i="1" l="1"/>
  <c r="BX258" i="1"/>
  <c r="BW75" i="1"/>
  <c r="BY256" i="1"/>
  <c r="I256" i="14"/>
  <c r="J256" i="14"/>
  <c r="K256" i="14"/>
  <c r="L256" i="14"/>
  <c r="BX210" i="1"/>
  <c r="BW147" i="1"/>
  <c r="I97" i="14"/>
  <c r="K97" i="14"/>
  <c r="BY97" i="1"/>
  <c r="J97" i="14"/>
  <c r="L97" i="14"/>
  <c r="BW98" i="1"/>
  <c r="BD147" i="1"/>
  <c r="AK98" i="1"/>
  <c r="AK147" i="1"/>
  <c r="BD99" i="1"/>
  <c r="BN259" i="1"/>
  <c r="BW259" i="1" s="1"/>
  <c r="AU259" i="1"/>
  <c r="BD259" i="1" s="1"/>
  <c r="AB259" i="1"/>
  <c r="AK259" i="1" s="1"/>
  <c r="AK211" i="1"/>
  <c r="BW99" i="1"/>
  <c r="BX146" i="1"/>
  <c r="BX100" i="1"/>
  <c r="BY255" i="1"/>
  <c r="I255" i="14"/>
  <c r="J255" i="14"/>
  <c r="K255" i="14"/>
  <c r="L255" i="14"/>
  <c r="AK99" i="1"/>
  <c r="BO260" i="1"/>
  <c r="AC260" i="1"/>
  <c r="AV260" i="1"/>
  <c r="J258" i="14"/>
  <c r="K258" i="14"/>
  <c r="L258" i="14"/>
  <c r="BY258" i="1"/>
  <c r="I258" i="14"/>
  <c r="BW214" i="1"/>
  <c r="AK102" i="1"/>
  <c r="BD213" i="1"/>
  <c r="BP260" i="1"/>
  <c r="AD260" i="1"/>
  <c r="AW260" i="1"/>
  <c r="BD75" i="1"/>
  <c r="G75" i="14" s="1"/>
  <c r="BD214" i="1"/>
  <c r="BD102" i="1"/>
  <c r="G102" i="14" s="1"/>
  <c r="BW213" i="1"/>
  <c r="AK75" i="1"/>
  <c r="AK214" i="1"/>
  <c r="BW102" i="1"/>
  <c r="AK213" i="1"/>
  <c r="BD257" i="1"/>
  <c r="BW212" i="1"/>
  <c r="BD101" i="1"/>
  <c r="BW257" i="1"/>
  <c r="BD212" i="1"/>
  <c r="BW101" i="1"/>
  <c r="AK257" i="1"/>
  <c r="AK212" i="1"/>
  <c r="AK101" i="1"/>
  <c r="F210" i="14"/>
  <c r="F146" i="14"/>
  <c r="G212" i="14"/>
  <c r="H258" i="14"/>
  <c r="G258" i="14"/>
  <c r="H100" i="14"/>
  <c r="G100" i="14"/>
  <c r="BR264" i="2"/>
  <c r="R263" i="1" s="1"/>
  <c r="BQ264" i="2"/>
  <c r="Q263" i="1" s="1"/>
  <c r="H257" i="14"/>
  <c r="G97" i="14"/>
  <c r="G101" i="14"/>
  <c r="G213" i="14"/>
  <c r="G257" i="14"/>
  <c r="H212" i="14"/>
  <c r="BR263" i="2"/>
  <c r="R262" i="1" s="1"/>
  <c r="BQ263" i="2"/>
  <c r="Q262" i="1" s="1"/>
  <c r="BN261" i="2"/>
  <c r="N260" i="1" s="1"/>
  <c r="H75" i="14"/>
  <c r="G99" i="14"/>
  <c r="F258" i="14"/>
  <c r="G259" i="14"/>
  <c r="G211" i="14"/>
  <c r="G210" i="14"/>
  <c r="G98" i="14"/>
  <c r="G214" i="14"/>
  <c r="G147" i="14"/>
  <c r="G146" i="14"/>
  <c r="M84" i="4"/>
  <c r="A81" i="4"/>
  <c r="BX101" i="1" l="1"/>
  <c r="CD258" i="1"/>
  <c r="BX257" i="1"/>
  <c r="CD97" i="1"/>
  <c r="CD256" i="1"/>
  <c r="BX212" i="1"/>
  <c r="K100" i="14"/>
  <c r="L100" i="14"/>
  <c r="I100" i="14"/>
  <c r="J100" i="14"/>
  <c r="BY100" i="1"/>
  <c r="CJ97" i="1"/>
  <c r="BX213" i="1"/>
  <c r="I146" i="14"/>
  <c r="J146" i="14"/>
  <c r="K146" i="14"/>
  <c r="L146" i="14"/>
  <c r="BY146" i="1"/>
  <c r="BX147" i="1"/>
  <c r="AB260" i="1"/>
  <c r="AK260" i="1" s="1"/>
  <c r="BN260" i="1"/>
  <c r="BW260" i="1" s="1"/>
  <c r="AU260" i="1"/>
  <c r="BD260" i="1" s="1"/>
  <c r="BX75" i="1"/>
  <c r="BX102" i="1"/>
  <c r="BX214" i="1"/>
  <c r="BX211" i="1"/>
  <c r="BX98" i="1"/>
  <c r="BY210" i="1"/>
  <c r="I210" i="14"/>
  <c r="J210" i="14"/>
  <c r="K210" i="14"/>
  <c r="L210" i="14"/>
  <c r="L101" i="14"/>
  <c r="I101" i="14"/>
  <c r="K101" i="14"/>
  <c r="J101" i="14"/>
  <c r="BY101" i="1"/>
  <c r="CJ258" i="1"/>
  <c r="I257" i="14"/>
  <c r="J257" i="14"/>
  <c r="K257" i="14"/>
  <c r="L257" i="14"/>
  <c r="BY257" i="1"/>
  <c r="BX259" i="1"/>
  <c r="CD255" i="1"/>
  <c r="BX99" i="1"/>
  <c r="CJ255" i="1"/>
  <c r="CJ256" i="1"/>
  <c r="F101" i="14"/>
  <c r="F259" i="14"/>
  <c r="F147" i="14"/>
  <c r="F214" i="14"/>
  <c r="F98" i="14"/>
  <c r="F211" i="14"/>
  <c r="F212" i="14"/>
  <c r="F102" i="14"/>
  <c r="F99" i="14"/>
  <c r="F100" i="14"/>
  <c r="F257" i="14"/>
  <c r="F213" i="14"/>
  <c r="F97" i="14"/>
  <c r="BP263" i="2"/>
  <c r="P262" i="1" s="1"/>
  <c r="H98" i="14"/>
  <c r="H146" i="14"/>
  <c r="H210" i="14"/>
  <c r="H147" i="14"/>
  <c r="H101" i="14"/>
  <c r="H259" i="14"/>
  <c r="H97" i="14"/>
  <c r="BO263" i="2"/>
  <c r="O262" i="1" s="1"/>
  <c r="H102" i="14"/>
  <c r="F75" i="14"/>
  <c r="H214" i="14"/>
  <c r="H213" i="14"/>
  <c r="H211" i="14"/>
  <c r="H99" i="14"/>
  <c r="G260" i="14"/>
  <c r="BO266" i="2"/>
  <c r="O265" i="1" s="1"/>
  <c r="BR266" i="2"/>
  <c r="R265" i="1" s="1"/>
  <c r="BQ266" i="2"/>
  <c r="Q265" i="1" s="1"/>
  <c r="BP266" i="2"/>
  <c r="P265" i="1" s="1"/>
  <c r="BN264" i="2"/>
  <c r="N263" i="1" s="1"/>
  <c r="BR265" i="2"/>
  <c r="R264" i="1" s="1"/>
  <c r="AH264" i="1" s="1"/>
  <c r="BO264" i="2"/>
  <c r="O263" i="1" s="1"/>
  <c r="BQ265" i="2"/>
  <c r="Q264" i="1" s="1"/>
  <c r="AG264" i="1" s="1"/>
  <c r="BN263" i="2"/>
  <c r="N262" i="1" s="1"/>
  <c r="BP264" i="2"/>
  <c r="P263" i="1" s="1"/>
  <c r="M85" i="4"/>
  <c r="A82" i="4"/>
  <c r="CD101" i="1" l="1"/>
  <c r="CJ257" i="1"/>
  <c r="I102" i="14"/>
  <c r="K102" i="14"/>
  <c r="BY102" i="1"/>
  <c r="J102" i="14"/>
  <c r="L102" i="14"/>
  <c r="BP263" i="1"/>
  <c r="AD263" i="1"/>
  <c r="AW263" i="1"/>
  <c r="K75" i="14"/>
  <c r="I75" i="14"/>
  <c r="L75" i="14"/>
  <c r="J75" i="14"/>
  <c r="BY75" i="1"/>
  <c r="CD146" i="1"/>
  <c r="AD262" i="1"/>
  <c r="BP262" i="1"/>
  <c r="AW262" i="1"/>
  <c r="K213" i="14"/>
  <c r="L213" i="14"/>
  <c r="BY213" i="1"/>
  <c r="I213" i="14"/>
  <c r="J213" i="14"/>
  <c r="BS264" i="1"/>
  <c r="AZ264" i="1"/>
  <c r="CD257" i="1"/>
  <c r="CD210" i="1"/>
  <c r="BO263" i="1"/>
  <c r="AC263" i="1"/>
  <c r="AV263" i="1"/>
  <c r="CJ210" i="1"/>
  <c r="BT264" i="1"/>
  <c r="BA264" i="1"/>
  <c r="BX260" i="1"/>
  <c r="CJ100" i="1"/>
  <c r="AC262" i="1"/>
  <c r="AV262" i="1"/>
  <c r="BO262" i="1"/>
  <c r="BY98" i="1"/>
  <c r="I98" i="14"/>
  <c r="J98" i="14"/>
  <c r="K98" i="14"/>
  <c r="L98" i="14"/>
  <c r="AD265" i="1"/>
  <c r="AW265" i="1"/>
  <c r="BP265" i="1"/>
  <c r="CJ101" i="1"/>
  <c r="BY147" i="1"/>
  <c r="I147" i="14"/>
  <c r="J147" i="14"/>
  <c r="K147" i="14"/>
  <c r="L147" i="14"/>
  <c r="CD100" i="1"/>
  <c r="AB262" i="1"/>
  <c r="AK262" i="1" s="1"/>
  <c r="BN262" i="1"/>
  <c r="BW262" i="1" s="1"/>
  <c r="AU262" i="1"/>
  <c r="BD262" i="1" s="1"/>
  <c r="J99" i="14"/>
  <c r="BY99" i="1"/>
  <c r="I99" i="14"/>
  <c r="K99" i="14"/>
  <c r="L99" i="14"/>
  <c r="L211" i="14"/>
  <c r="BY211" i="1"/>
  <c r="I211" i="14"/>
  <c r="J211" i="14"/>
  <c r="K211" i="14"/>
  <c r="AB263" i="1"/>
  <c r="AK263" i="1" s="1"/>
  <c r="BN263" i="1"/>
  <c r="BW263" i="1" s="1"/>
  <c r="AU263" i="1"/>
  <c r="BY214" i="1"/>
  <c r="I214" i="14"/>
  <c r="J214" i="14"/>
  <c r="K214" i="14"/>
  <c r="L214" i="14"/>
  <c r="CJ146" i="1"/>
  <c r="AC265" i="1"/>
  <c r="AK265" i="1" s="1"/>
  <c r="AV265" i="1"/>
  <c r="BD265" i="1" s="1"/>
  <c r="BO265" i="1"/>
  <c r="BW265" i="1" s="1"/>
  <c r="BY259" i="1"/>
  <c r="I259" i="14"/>
  <c r="J259" i="14"/>
  <c r="K259" i="14"/>
  <c r="L259" i="14"/>
  <c r="BY212" i="1"/>
  <c r="I212" i="14"/>
  <c r="J212" i="14"/>
  <c r="K212" i="14"/>
  <c r="L212" i="14"/>
  <c r="F260" i="14"/>
  <c r="BO265" i="2"/>
  <c r="O264" i="1" s="1"/>
  <c r="BO108" i="2"/>
  <c r="O107" i="1" s="1"/>
  <c r="BO155" i="2"/>
  <c r="O154" i="1" s="1"/>
  <c r="BO63" i="2"/>
  <c r="O62" i="1" s="1"/>
  <c r="BO110" i="2"/>
  <c r="O109" i="1" s="1"/>
  <c r="BO109" i="2"/>
  <c r="O108" i="1" s="1"/>
  <c r="BO220" i="2"/>
  <c r="O219" i="1" s="1"/>
  <c r="BO160" i="2"/>
  <c r="O159" i="1" s="1"/>
  <c r="BO157" i="2"/>
  <c r="O156" i="1" s="1"/>
  <c r="BO159" i="2"/>
  <c r="O158" i="1" s="1"/>
  <c r="BO158" i="2"/>
  <c r="O157" i="1" s="1"/>
  <c r="BO156" i="2"/>
  <c r="O155" i="1" s="1"/>
  <c r="BO222" i="2"/>
  <c r="O221" i="1" s="1"/>
  <c r="BO221" i="2"/>
  <c r="O220" i="1" s="1"/>
  <c r="BO262" i="2"/>
  <c r="O261" i="1" s="1"/>
  <c r="BR268" i="2"/>
  <c r="R267" i="1" s="1"/>
  <c r="BQ268" i="2"/>
  <c r="Q267" i="1" s="1"/>
  <c r="BN266" i="2"/>
  <c r="N265" i="1" s="1"/>
  <c r="H260" i="14"/>
  <c r="BP265" i="2"/>
  <c r="P264" i="1" s="1"/>
  <c r="BP110" i="2"/>
  <c r="P109" i="1" s="1"/>
  <c r="BP109" i="2"/>
  <c r="P108" i="1" s="1"/>
  <c r="BP220" i="2"/>
  <c r="P219" i="1" s="1"/>
  <c r="BP160" i="2"/>
  <c r="P159" i="1" s="1"/>
  <c r="BP156" i="2"/>
  <c r="P155" i="1" s="1"/>
  <c r="BP159" i="2"/>
  <c r="P158" i="1" s="1"/>
  <c r="BP157" i="2"/>
  <c r="P156" i="1" s="1"/>
  <c r="BP108" i="2"/>
  <c r="P107" i="1" s="1"/>
  <c r="BP158" i="2"/>
  <c r="P157" i="1" s="1"/>
  <c r="BP63" i="2"/>
  <c r="P62" i="1" s="1"/>
  <c r="BP155" i="2"/>
  <c r="P154" i="1" s="1"/>
  <c r="BP222" i="2"/>
  <c r="P221" i="1" s="1"/>
  <c r="BP221" i="2"/>
  <c r="P220" i="1" s="1"/>
  <c r="BP262" i="2"/>
  <c r="P261" i="1" s="1"/>
  <c r="BQ267" i="2"/>
  <c r="Q266" i="1" s="1"/>
  <c r="BR267" i="2"/>
  <c r="R266" i="1" s="1"/>
  <c r="BN265" i="2"/>
  <c r="N264" i="1" s="1"/>
  <c r="BN108" i="2"/>
  <c r="N107" i="1" s="1"/>
  <c r="BN62" i="2"/>
  <c r="N61" i="1" s="1"/>
  <c r="BN158" i="2"/>
  <c r="N157" i="1" s="1"/>
  <c r="BN220" i="2"/>
  <c r="N219" i="1" s="1"/>
  <c r="BN63" i="2"/>
  <c r="N62" i="1" s="1"/>
  <c r="BN156" i="2"/>
  <c r="N155" i="1" s="1"/>
  <c r="BN159" i="2"/>
  <c r="N158" i="1" s="1"/>
  <c r="BN155" i="2"/>
  <c r="N154" i="1" s="1"/>
  <c r="BN160" i="2"/>
  <c r="N159" i="1" s="1"/>
  <c r="BN110" i="2"/>
  <c r="N109" i="1" s="1"/>
  <c r="BN109" i="2"/>
  <c r="N108" i="1" s="1"/>
  <c r="BN157" i="2"/>
  <c r="N156" i="1" s="1"/>
  <c r="BN81" i="2"/>
  <c r="N80" i="1" s="1"/>
  <c r="BN222" i="2"/>
  <c r="N221" i="1" s="1"/>
  <c r="BN221" i="2"/>
  <c r="N220" i="1" s="1"/>
  <c r="BN262" i="2"/>
  <c r="N261" i="1" s="1"/>
  <c r="N256" i="14"/>
  <c r="N255" i="14"/>
  <c r="A83" i="4"/>
  <c r="M86" i="4"/>
  <c r="BD263" i="1" l="1"/>
  <c r="BX263" i="1"/>
  <c r="CD75" i="1"/>
  <c r="CD211" i="1"/>
  <c r="AU159" i="1"/>
  <c r="BN159" i="1"/>
  <c r="AB159" i="1"/>
  <c r="AD261" i="1"/>
  <c r="BP261" i="1"/>
  <c r="AW261" i="1"/>
  <c r="AD108" i="1"/>
  <c r="BP108" i="1"/>
  <c r="AW108" i="1"/>
  <c r="BO158" i="1"/>
  <c r="AV158" i="1"/>
  <c r="AC158" i="1"/>
  <c r="AD220" i="1"/>
  <c r="BP220" i="1"/>
  <c r="AW220" i="1"/>
  <c r="BP109" i="1"/>
  <c r="AD109" i="1"/>
  <c r="AW109" i="1"/>
  <c r="AV156" i="1"/>
  <c r="BO156" i="1"/>
  <c r="AC156" i="1"/>
  <c r="CJ211" i="1"/>
  <c r="CD213" i="1"/>
  <c r="AB158" i="1"/>
  <c r="BN158" i="1"/>
  <c r="AU158" i="1"/>
  <c r="AW221" i="1"/>
  <c r="AD221" i="1"/>
  <c r="BP221" i="1"/>
  <c r="BP264" i="1"/>
  <c r="AD264" i="1"/>
  <c r="AW264" i="1"/>
  <c r="AV159" i="1"/>
  <c r="AC159" i="1"/>
  <c r="BO159" i="1"/>
  <c r="CD212" i="1"/>
  <c r="CD214" i="1"/>
  <c r="CD98" i="1"/>
  <c r="CJ213" i="1"/>
  <c r="AB155" i="1"/>
  <c r="AU155" i="1"/>
  <c r="BN155" i="1"/>
  <c r="AD154" i="1"/>
  <c r="BP154" i="1"/>
  <c r="AW154" i="1"/>
  <c r="AC219" i="1"/>
  <c r="AV219" i="1"/>
  <c r="BO219" i="1"/>
  <c r="CJ212" i="1"/>
  <c r="CD147" i="1"/>
  <c r="CJ98" i="1"/>
  <c r="AB62" i="1"/>
  <c r="BN62" i="1"/>
  <c r="AU62" i="1"/>
  <c r="AD62" i="1"/>
  <c r="AW62" i="1"/>
  <c r="BP62" i="1"/>
  <c r="AV108" i="1"/>
  <c r="AC108" i="1"/>
  <c r="BO108" i="1"/>
  <c r="CJ147" i="1"/>
  <c r="AB219" i="1"/>
  <c r="BN219" i="1"/>
  <c r="AU219" i="1"/>
  <c r="AW157" i="1"/>
  <c r="AD157" i="1"/>
  <c r="BP157" i="1"/>
  <c r="AV109" i="1"/>
  <c r="AC109" i="1"/>
  <c r="BO109" i="1"/>
  <c r="CD99" i="1"/>
  <c r="AB220" i="1"/>
  <c r="BN220" i="1"/>
  <c r="AU220" i="1"/>
  <c r="BN157" i="1"/>
  <c r="AB157" i="1"/>
  <c r="AU157" i="1"/>
  <c r="AD107" i="1"/>
  <c r="AW107" i="1"/>
  <c r="BP107" i="1"/>
  <c r="AC62" i="1"/>
  <c r="BO62" i="1"/>
  <c r="AV62" i="1"/>
  <c r="CJ214" i="1"/>
  <c r="CJ99" i="1"/>
  <c r="BN61" i="1"/>
  <c r="AU61" i="1"/>
  <c r="AB61" i="1"/>
  <c r="AW156" i="1"/>
  <c r="AD156" i="1"/>
  <c r="BP156" i="1"/>
  <c r="AV261" i="1"/>
  <c r="BD261" i="1" s="1"/>
  <c r="AC261" i="1"/>
  <c r="AK261" i="1" s="1"/>
  <c r="BO261" i="1"/>
  <c r="BW261" i="1" s="1"/>
  <c r="AV154" i="1"/>
  <c r="AC154" i="1"/>
  <c r="BO154" i="1"/>
  <c r="CD259" i="1"/>
  <c r="CJ102" i="1"/>
  <c r="AD158" i="1"/>
  <c r="AW158" i="1"/>
  <c r="BP158" i="1"/>
  <c r="AV220" i="1"/>
  <c r="BO220" i="1"/>
  <c r="AC220" i="1"/>
  <c r="AV107" i="1"/>
  <c r="AC107" i="1"/>
  <c r="BO107" i="1"/>
  <c r="CJ259" i="1"/>
  <c r="BN221" i="1"/>
  <c r="AB221" i="1"/>
  <c r="AU221" i="1"/>
  <c r="AU264" i="1"/>
  <c r="AB264" i="1"/>
  <c r="AK264" i="1" s="1"/>
  <c r="BN264" i="1"/>
  <c r="BP155" i="1"/>
  <c r="AD155" i="1"/>
  <c r="AW155" i="1"/>
  <c r="AC221" i="1"/>
  <c r="AV221" i="1"/>
  <c r="BO221" i="1"/>
  <c r="AV264" i="1"/>
  <c r="AC264" i="1"/>
  <c r="BO264" i="1"/>
  <c r="J263" i="14"/>
  <c r="K263" i="14"/>
  <c r="BY263" i="1"/>
  <c r="I263" i="14"/>
  <c r="L263" i="14"/>
  <c r="CJ75" i="1"/>
  <c r="CD102" i="1"/>
  <c r="BN156" i="1"/>
  <c r="AB156" i="1"/>
  <c r="AU156" i="1"/>
  <c r="BD156" i="1" s="1"/>
  <c r="BN108" i="1"/>
  <c r="BW108" i="1" s="1"/>
  <c r="AB108" i="1"/>
  <c r="AK108" i="1" s="1"/>
  <c r="AU108" i="1"/>
  <c r="BD108" i="1" s="1"/>
  <c r="AW159" i="1"/>
  <c r="BP159" i="1"/>
  <c r="AD159" i="1"/>
  <c r="AC155" i="1"/>
  <c r="AV155" i="1"/>
  <c r="BO155" i="1"/>
  <c r="BX265" i="1"/>
  <c r="BX262" i="1"/>
  <c r="J260" i="14"/>
  <c r="K260" i="14"/>
  <c r="L260" i="14"/>
  <c r="BY260" i="1"/>
  <c r="AB80" i="1"/>
  <c r="AU80" i="1"/>
  <c r="BN80" i="1"/>
  <c r="AB109" i="1"/>
  <c r="AK109" i="1" s="1"/>
  <c r="AU109" i="1"/>
  <c r="BD109" i="1" s="1"/>
  <c r="BN109" i="1"/>
  <c r="BW109" i="1" s="1"/>
  <c r="BP219" i="1"/>
  <c r="AD219" i="1"/>
  <c r="AW219" i="1"/>
  <c r="AV157" i="1"/>
  <c r="AC157" i="1"/>
  <c r="BO157" i="1"/>
  <c r="G263" i="14"/>
  <c r="G262" i="14"/>
  <c r="H265" i="14"/>
  <c r="G265" i="14"/>
  <c r="N100" i="14"/>
  <c r="N258" i="14"/>
  <c r="N257" i="14"/>
  <c r="H109" i="14"/>
  <c r="BQ270" i="2"/>
  <c r="Q269" i="1" s="1"/>
  <c r="AG269" i="1" s="1"/>
  <c r="BR270" i="2"/>
  <c r="R269" i="1" s="1"/>
  <c r="AH269" i="1" s="1"/>
  <c r="H262" i="14"/>
  <c r="F265" i="14"/>
  <c r="BQ269" i="2"/>
  <c r="Q268" i="1" s="1"/>
  <c r="BR269" i="2"/>
  <c r="R268" i="1" s="1"/>
  <c r="N212" i="14"/>
  <c r="G261" i="14"/>
  <c r="H263" i="14"/>
  <c r="A84" i="4"/>
  <c r="M87" i="4"/>
  <c r="CD260" i="1" l="1"/>
  <c r="I260" i="14"/>
  <c r="BD107" i="1"/>
  <c r="BD62" i="1"/>
  <c r="AK156" i="1"/>
  <c r="BW154" i="1"/>
  <c r="BW156" i="1"/>
  <c r="BW107" i="1"/>
  <c r="AK154" i="1"/>
  <c r="AK107" i="1"/>
  <c r="BD154" i="1"/>
  <c r="G154" i="14" s="1"/>
  <c r="BW264" i="1"/>
  <c r="BD264" i="1"/>
  <c r="BW62" i="1"/>
  <c r="AK62" i="1"/>
  <c r="BD220" i="1"/>
  <c r="BX109" i="1"/>
  <c r="BY109" i="1" s="1"/>
  <c r="BA269" i="1"/>
  <c r="BT269" i="1"/>
  <c r="BD157" i="1"/>
  <c r="AZ269" i="1"/>
  <c r="BS269" i="1"/>
  <c r="BX154" i="1"/>
  <c r="AK157" i="1"/>
  <c r="BD219" i="1"/>
  <c r="BX107" i="1"/>
  <c r="BW157" i="1"/>
  <c r="BW219" i="1"/>
  <c r="CD263" i="1"/>
  <c r="AK219" i="1"/>
  <c r="BW155" i="1"/>
  <c r="H155" i="14" s="1"/>
  <c r="CJ260" i="1"/>
  <c r="CJ263" i="1"/>
  <c r="BW220" i="1"/>
  <c r="BD155" i="1"/>
  <c r="AK220" i="1"/>
  <c r="AK155" i="1"/>
  <c r="BX264" i="1"/>
  <c r="BX261" i="1"/>
  <c r="BX108" i="1"/>
  <c r="BD221" i="1"/>
  <c r="AK221" i="1"/>
  <c r="BD158" i="1"/>
  <c r="G158" i="14" s="1"/>
  <c r="K109" i="14"/>
  <c r="I109" i="14"/>
  <c r="J109" i="14"/>
  <c r="L109" i="14"/>
  <c r="I262" i="14"/>
  <c r="J262" i="14"/>
  <c r="K262" i="14"/>
  <c r="BY262" i="1"/>
  <c r="L262" i="14"/>
  <c r="BX156" i="1"/>
  <c r="BW221" i="1"/>
  <c r="BW158" i="1"/>
  <c r="H158" i="14" s="1"/>
  <c r="AK159" i="1"/>
  <c r="F159" i="14" s="1"/>
  <c r="J265" i="14"/>
  <c r="K265" i="14"/>
  <c r="BY265" i="1"/>
  <c r="I265" i="14"/>
  <c r="L265" i="14"/>
  <c r="AK158" i="1"/>
  <c r="BW159" i="1"/>
  <c r="BD159" i="1"/>
  <c r="F154" i="14"/>
  <c r="F261" i="14"/>
  <c r="F263" i="14"/>
  <c r="F262" i="14"/>
  <c r="G107" i="14"/>
  <c r="G155" i="14"/>
  <c r="F156" i="14"/>
  <c r="G264" i="14"/>
  <c r="G156" i="14"/>
  <c r="G159" i="14"/>
  <c r="H220" i="14"/>
  <c r="G220" i="14"/>
  <c r="G62" i="14"/>
  <c r="H219" i="14"/>
  <c r="G109" i="14"/>
  <c r="H156" i="14"/>
  <c r="G219" i="14"/>
  <c r="G221" i="14"/>
  <c r="G157" i="14"/>
  <c r="H108" i="14"/>
  <c r="G108" i="14"/>
  <c r="N75" i="14"/>
  <c r="H154" i="14"/>
  <c r="H261" i="14"/>
  <c r="N213" i="14"/>
  <c r="BQ271" i="2"/>
  <c r="Q270" i="1" s="1"/>
  <c r="BR271" i="2"/>
  <c r="R270" i="1" s="1"/>
  <c r="N101" i="14"/>
  <c r="N214" i="14"/>
  <c r="N97" i="14"/>
  <c r="N259" i="14"/>
  <c r="BR272" i="2"/>
  <c r="R271" i="1" s="1"/>
  <c r="BQ272" i="2"/>
  <c r="Q271" i="1" s="1"/>
  <c r="N147" i="14"/>
  <c r="N102" i="14"/>
  <c r="F155" i="14"/>
  <c r="N99" i="14"/>
  <c r="H107" i="14"/>
  <c r="N210" i="14"/>
  <c r="F108" i="14"/>
  <c r="H264" i="14"/>
  <c r="N211" i="14"/>
  <c r="F219" i="14"/>
  <c r="H221" i="14"/>
  <c r="H157" i="14"/>
  <c r="F158" i="14"/>
  <c r="N98" i="14"/>
  <c r="H159" i="14"/>
  <c r="F109" i="14"/>
  <c r="F220" i="14"/>
  <c r="H62" i="14"/>
  <c r="N146" i="14"/>
  <c r="A85" i="4"/>
  <c r="M88" i="4"/>
  <c r="BX62" i="1" l="1"/>
  <c r="BX219" i="1"/>
  <c r="BX158" i="1"/>
  <c r="BX155" i="1"/>
  <c r="BX157" i="1"/>
  <c r="CJ109" i="1"/>
  <c r="I155" i="14"/>
  <c r="J155" i="14"/>
  <c r="BY155" i="1"/>
  <c r="K155" i="14"/>
  <c r="L155" i="14"/>
  <c r="K62" i="14"/>
  <c r="L62" i="14"/>
  <c r="BY62" i="1"/>
  <c r="I62" i="14"/>
  <c r="J62" i="14"/>
  <c r="I154" i="14"/>
  <c r="J154" i="14"/>
  <c r="K154" i="14"/>
  <c r="L154" i="14"/>
  <c r="BY154" i="1"/>
  <c r="J219" i="14"/>
  <c r="K219" i="14"/>
  <c r="BY219" i="1"/>
  <c r="L219" i="14"/>
  <c r="I219" i="14"/>
  <c r="BX220" i="1"/>
  <c r="BX159" i="1"/>
  <c r="BY156" i="1"/>
  <c r="I156" i="14"/>
  <c r="J156" i="14"/>
  <c r="K156" i="14"/>
  <c r="L156" i="14"/>
  <c r="I158" i="14"/>
  <c r="J158" i="14"/>
  <c r="BY158" i="1"/>
  <c r="K158" i="14"/>
  <c r="L158" i="14"/>
  <c r="BX221" i="1"/>
  <c r="CJ262" i="1"/>
  <c r="CD265" i="1"/>
  <c r="L108" i="14"/>
  <c r="J108" i="14"/>
  <c r="K108" i="14"/>
  <c r="BY108" i="1"/>
  <c r="I108" i="14"/>
  <c r="BY107" i="1"/>
  <c r="I107" i="14"/>
  <c r="J107" i="14"/>
  <c r="K107" i="14"/>
  <c r="L107" i="14"/>
  <c r="CJ265" i="1"/>
  <c r="CD262" i="1"/>
  <c r="CD109" i="1"/>
  <c r="K261" i="14"/>
  <c r="L261" i="14"/>
  <c r="BY261" i="1"/>
  <c r="I261" i="14"/>
  <c r="J261" i="14"/>
  <c r="K264" i="14"/>
  <c r="BY264" i="1"/>
  <c r="L264" i="14"/>
  <c r="I264" i="14"/>
  <c r="J264" i="14"/>
  <c r="F107" i="14"/>
  <c r="F157" i="14"/>
  <c r="F62" i="14"/>
  <c r="F221" i="14"/>
  <c r="F264" i="14"/>
  <c r="BR274" i="2"/>
  <c r="R273" i="1" s="1"/>
  <c r="AH273" i="1" s="1"/>
  <c r="BQ274" i="2"/>
  <c r="Q273" i="1" s="1"/>
  <c r="AG273" i="1" s="1"/>
  <c r="N260" i="14"/>
  <c r="BQ273" i="2"/>
  <c r="Q272" i="1" s="1"/>
  <c r="AG272" i="1" s="1"/>
  <c r="BR273" i="2"/>
  <c r="R272" i="1" s="1"/>
  <c r="AH272" i="1" s="1"/>
  <c r="A86" i="4"/>
  <c r="M89" i="4"/>
  <c r="CD107" i="1" l="1"/>
  <c r="CD158" i="1"/>
  <c r="CJ261" i="1"/>
  <c r="CJ107" i="1"/>
  <c r="CD219" i="1"/>
  <c r="CJ62" i="1"/>
  <c r="CD108" i="1"/>
  <c r="CJ158" i="1"/>
  <c r="CD261" i="1"/>
  <c r="CJ108" i="1"/>
  <c r="CJ219" i="1"/>
  <c r="BA272" i="1"/>
  <c r="BT272" i="1"/>
  <c r="CJ154" i="1"/>
  <c r="CJ155" i="1"/>
  <c r="CD264" i="1"/>
  <c r="CD156" i="1"/>
  <c r="CD155" i="1"/>
  <c r="CJ264" i="1"/>
  <c r="CJ156" i="1"/>
  <c r="AZ272" i="1"/>
  <c r="BS272" i="1"/>
  <c r="BY159" i="1"/>
  <c r="K159" i="14"/>
  <c r="L159" i="14"/>
  <c r="I159" i="14"/>
  <c r="J159" i="14"/>
  <c r="CD154" i="1"/>
  <c r="BS273" i="1"/>
  <c r="AZ273" i="1"/>
  <c r="BT273" i="1"/>
  <c r="BA273" i="1"/>
  <c r="I221" i="14"/>
  <c r="J221" i="14"/>
  <c r="K221" i="14"/>
  <c r="BY221" i="1"/>
  <c r="L221" i="14"/>
  <c r="K220" i="14"/>
  <c r="J220" i="14"/>
  <c r="L220" i="14"/>
  <c r="BY220" i="1"/>
  <c r="I220" i="14"/>
  <c r="CD62" i="1"/>
  <c r="J157" i="14"/>
  <c r="K157" i="14"/>
  <c r="L157" i="14"/>
  <c r="BY157" i="1"/>
  <c r="N263" i="14"/>
  <c r="N265" i="14"/>
  <c r="BR275" i="2"/>
  <c r="R274" i="1" s="1"/>
  <c r="BQ275" i="2"/>
  <c r="Q274" i="1" s="1"/>
  <c r="BR276" i="2"/>
  <c r="R275" i="1" s="1"/>
  <c r="AH275" i="1" s="1"/>
  <c r="BQ276" i="2"/>
  <c r="Q275" i="1" s="1"/>
  <c r="AG275" i="1" s="1"/>
  <c r="N262" i="14"/>
  <c r="M90" i="4"/>
  <c r="A87" i="4"/>
  <c r="CD157" i="1" l="1"/>
  <c r="I157" i="14"/>
  <c r="CD220" i="1"/>
  <c r="CJ221" i="1"/>
  <c r="CD159" i="1"/>
  <c r="CD221" i="1"/>
  <c r="CJ159" i="1"/>
  <c r="AZ275" i="1"/>
  <c r="BS275" i="1"/>
  <c r="CJ157" i="1"/>
  <c r="BT275" i="1"/>
  <c r="BA275" i="1"/>
  <c r="CJ220" i="1"/>
  <c r="N108" i="14"/>
  <c r="N221" i="14"/>
  <c r="BR278" i="2"/>
  <c r="R277" i="1" s="1"/>
  <c r="BQ278" i="2"/>
  <c r="Q277" i="1" s="1"/>
  <c r="N107" i="14"/>
  <c r="N159" i="14"/>
  <c r="N156" i="14"/>
  <c r="N62" i="14"/>
  <c r="N155" i="14"/>
  <c r="N264" i="14"/>
  <c r="N261" i="14"/>
  <c r="N219" i="14"/>
  <c r="N154" i="14"/>
  <c r="N157" i="14"/>
  <c r="BQ277" i="2"/>
  <c r="Q276" i="1" s="1"/>
  <c r="AG276" i="1" s="1"/>
  <c r="BR277" i="2"/>
  <c r="R276" i="1" s="1"/>
  <c r="AH276" i="1" s="1"/>
  <c r="N220" i="14"/>
  <c r="N158" i="14"/>
  <c r="N109" i="14"/>
  <c r="A88" i="4"/>
  <c r="M91" i="4"/>
  <c r="BS276" i="1" l="1"/>
  <c r="AZ276" i="1"/>
  <c r="BT276" i="1"/>
  <c r="BA276" i="1"/>
  <c r="BQ279" i="2"/>
  <c r="Q278" i="1" s="1"/>
  <c r="AG278" i="1" s="1"/>
  <c r="BR279" i="2"/>
  <c r="R278" i="1" s="1"/>
  <c r="AH278" i="1" s="1"/>
  <c r="BR280" i="2"/>
  <c r="R279" i="1" s="1"/>
  <c r="AH279" i="1" s="1"/>
  <c r="BQ280" i="2"/>
  <c r="Q279" i="1" s="1"/>
  <c r="AG279" i="1" s="1"/>
  <c r="A89" i="4"/>
  <c r="M92" i="4"/>
  <c r="BA278" i="1" l="1"/>
  <c r="BT278" i="1"/>
  <c r="AZ278" i="1"/>
  <c r="BS278" i="1"/>
  <c r="BS279" i="1"/>
  <c r="AZ279" i="1"/>
  <c r="BT279" i="1"/>
  <c r="BA279" i="1"/>
  <c r="BQ282" i="2"/>
  <c r="Q281" i="1" s="1"/>
  <c r="BR282" i="2"/>
  <c r="R281" i="1" s="1"/>
  <c r="BQ281" i="2"/>
  <c r="Q280" i="1" s="1"/>
  <c r="AG280" i="1" s="1"/>
  <c r="BR281" i="2"/>
  <c r="R280" i="1" s="1"/>
  <c r="AH280" i="1" s="1"/>
  <c r="A90" i="4"/>
  <c r="M93" i="4"/>
  <c r="BS280" i="1" l="1"/>
  <c r="AZ280" i="1"/>
  <c r="BT280" i="1"/>
  <c r="BA280" i="1"/>
  <c r="BR284" i="2"/>
  <c r="R283" i="1" s="1"/>
  <c r="BQ284" i="2"/>
  <c r="Q283" i="1" s="1"/>
  <c r="BQ283" i="2"/>
  <c r="Q282" i="1" s="1"/>
  <c r="AG282" i="1" s="1"/>
  <c r="BR283" i="2"/>
  <c r="R282" i="1" s="1"/>
  <c r="AH282" i="1" s="1"/>
  <c r="A91" i="4"/>
  <c r="M94" i="4"/>
  <c r="BT282" i="1" l="1"/>
  <c r="BA282" i="1"/>
  <c r="BS282" i="1"/>
  <c r="AZ282" i="1"/>
  <c r="BQ285" i="2"/>
  <c r="Q284" i="1" s="1"/>
  <c r="BR285" i="2"/>
  <c r="R284" i="1" s="1"/>
  <c r="BR286" i="2"/>
  <c r="R285" i="1" s="1"/>
  <c r="BQ286" i="2"/>
  <c r="Q285" i="1" s="1"/>
  <c r="M95" i="4"/>
  <c r="A92" i="4"/>
  <c r="BR287" i="2" l="1"/>
  <c r="R286" i="1" s="1"/>
  <c r="BQ287" i="2"/>
  <c r="Q286" i="1" s="1"/>
  <c r="BR288" i="2"/>
  <c r="R287" i="1" s="1"/>
  <c r="BQ288" i="2"/>
  <c r="Q287" i="1" s="1"/>
  <c r="M96" i="4"/>
  <c r="A93" i="4"/>
  <c r="BR290" i="2" l="1"/>
  <c r="R289" i="1" s="1"/>
  <c r="BQ290" i="2"/>
  <c r="Q289" i="1" s="1"/>
  <c r="BQ289" i="2"/>
  <c r="Q288" i="1" s="1"/>
  <c r="AG288" i="1" s="1"/>
  <c r="BR289" i="2"/>
  <c r="R288" i="1" s="1"/>
  <c r="AH288" i="1" s="1"/>
  <c r="M97" i="4"/>
  <c r="A94" i="4"/>
  <c r="BT288" i="1" l="1"/>
  <c r="BA288" i="1"/>
  <c r="AZ288" i="1"/>
  <c r="BS288" i="1"/>
  <c r="BQ292" i="2"/>
  <c r="Q291" i="1" s="1"/>
  <c r="AG291" i="1" s="1"/>
  <c r="BR292" i="2"/>
  <c r="R291" i="1" s="1"/>
  <c r="AH291" i="1" s="1"/>
  <c r="BQ291" i="2"/>
  <c r="Q290" i="1" s="1"/>
  <c r="AG290" i="1" s="1"/>
  <c r="BR291" i="2"/>
  <c r="R290" i="1" s="1"/>
  <c r="AH290" i="1" s="1"/>
  <c r="A95" i="4"/>
  <c r="M98" i="4"/>
  <c r="BA290" i="1" l="1"/>
  <c r="BT290" i="1"/>
  <c r="AZ290" i="1"/>
  <c r="BS290" i="1"/>
  <c r="BT291" i="1"/>
  <c r="BA291" i="1"/>
  <c r="BS291" i="1"/>
  <c r="AZ291" i="1"/>
  <c r="BR294" i="2"/>
  <c r="R293" i="1" s="1"/>
  <c r="AH293" i="1" s="1"/>
  <c r="BQ294" i="2"/>
  <c r="Q293" i="1" s="1"/>
  <c r="AG293" i="1" s="1"/>
  <c r="BO293" i="2"/>
  <c r="O292" i="1" s="1"/>
  <c r="BQ293" i="2"/>
  <c r="Q292" i="1" s="1"/>
  <c r="BP293" i="2"/>
  <c r="P292" i="1" s="1"/>
  <c r="BR293" i="2"/>
  <c r="R292" i="1" s="1"/>
  <c r="A96" i="4"/>
  <c r="M99" i="4"/>
  <c r="AZ293" i="1" l="1"/>
  <c r="BS293" i="1"/>
  <c r="BA293" i="1"/>
  <c r="BT293" i="1"/>
  <c r="AC292" i="1"/>
  <c r="BO292" i="1"/>
  <c r="AV292" i="1"/>
  <c r="BD292" i="1" s="1"/>
  <c r="AW292" i="1"/>
  <c r="AD292" i="1"/>
  <c r="BP292" i="1"/>
  <c r="BQ295" i="2"/>
  <c r="Q294" i="1" s="1"/>
  <c r="BR295" i="2"/>
  <c r="R294" i="1" s="1"/>
  <c r="BN293" i="2"/>
  <c r="N292" i="1" s="1"/>
  <c r="BR296" i="2"/>
  <c r="R295" i="1" s="1"/>
  <c r="AH295" i="1" s="1"/>
  <c r="BQ296" i="2"/>
  <c r="Q295" i="1" s="1"/>
  <c r="AG295" i="1" s="1"/>
  <c r="A97" i="4"/>
  <c r="M100" i="4"/>
  <c r="AK292" i="1" l="1"/>
  <c r="BW292" i="1"/>
  <c r="BS295" i="1"/>
  <c r="AZ295" i="1"/>
  <c r="BT295" i="1"/>
  <c r="BA295" i="1"/>
  <c r="F292" i="14"/>
  <c r="BR298" i="2"/>
  <c r="R297" i="1" s="1"/>
  <c r="BQ298" i="2"/>
  <c r="Q297" i="1" s="1"/>
  <c r="BQ297" i="2"/>
  <c r="Q296" i="1" s="1"/>
  <c r="AG296" i="1" s="1"/>
  <c r="BR297" i="2"/>
  <c r="R296" i="1" s="1"/>
  <c r="AH296" i="1" s="1"/>
  <c r="H292" i="14"/>
  <c r="G292" i="14"/>
  <c r="A98" i="4"/>
  <c r="M101" i="4"/>
  <c r="BT296" i="1" l="1"/>
  <c r="BA296" i="1"/>
  <c r="AZ296" i="1"/>
  <c r="BS296" i="1"/>
  <c r="BX292" i="1"/>
  <c r="BR299" i="2"/>
  <c r="R298" i="1" s="1"/>
  <c r="AH298" i="1" s="1"/>
  <c r="BQ299" i="2"/>
  <c r="Q298" i="1" s="1"/>
  <c r="AG298" i="1" s="1"/>
  <c r="BR300" i="2"/>
  <c r="R299" i="1" s="1"/>
  <c r="AH299" i="1" s="1"/>
  <c r="BQ300" i="2"/>
  <c r="Q299" i="1" s="1"/>
  <c r="AG299" i="1" s="1"/>
  <c r="M102" i="4"/>
  <c r="A99" i="4"/>
  <c r="AZ298" i="1" l="1"/>
  <c r="BS298" i="1"/>
  <c r="BT298" i="1"/>
  <c r="BA298" i="1"/>
  <c r="BT299" i="1"/>
  <c r="BA299" i="1"/>
  <c r="BS299" i="1"/>
  <c r="AZ299" i="1"/>
  <c r="BY292" i="1"/>
  <c r="I292" i="14"/>
  <c r="J292" i="14"/>
  <c r="K292" i="14"/>
  <c r="L292" i="14"/>
  <c r="BQ301" i="2"/>
  <c r="Q300" i="1" s="1"/>
  <c r="AG300" i="1" s="1"/>
  <c r="BR301" i="2"/>
  <c r="R300" i="1" s="1"/>
  <c r="AH300" i="1" s="1"/>
  <c r="BR302" i="2"/>
  <c r="R301" i="1" s="1"/>
  <c r="AH301" i="1" s="1"/>
  <c r="BQ302" i="2"/>
  <c r="Q301" i="1" s="1"/>
  <c r="AG301" i="1" s="1"/>
  <c r="A100" i="4"/>
  <c r="CD292" i="1" l="1"/>
  <c r="CJ292" i="1"/>
  <c r="BT301" i="1"/>
  <c r="BA301" i="1"/>
  <c r="BT300" i="1"/>
  <c r="BA300" i="1"/>
  <c r="AZ301" i="1"/>
  <c r="BS301" i="1"/>
  <c r="BS300" i="1"/>
  <c r="AZ300" i="1"/>
  <c r="BQ303" i="2"/>
  <c r="Q302" i="1" s="1"/>
  <c r="AG302" i="1" s="1"/>
  <c r="BR303" i="2"/>
  <c r="R302" i="1" s="1"/>
  <c r="AH302" i="1" s="1"/>
  <c r="BQ304" i="2"/>
  <c r="Q303" i="1" s="1"/>
  <c r="AG303" i="1" s="1"/>
  <c r="BR304" i="2"/>
  <c r="R303" i="1" s="1"/>
  <c r="AH303" i="1" s="1"/>
  <c r="A101" i="4"/>
  <c r="BS302" i="1" l="1"/>
  <c r="AZ302" i="1"/>
  <c r="BT303" i="1"/>
  <c r="BA303" i="1"/>
  <c r="BS303" i="1"/>
  <c r="AZ303" i="1"/>
  <c r="BA302" i="1"/>
  <c r="BT302" i="1"/>
  <c r="BR305" i="2"/>
  <c r="R304" i="1" s="1"/>
  <c r="BQ305" i="2"/>
  <c r="Q304" i="1" s="1"/>
  <c r="BR306" i="2"/>
  <c r="R305" i="1" s="1"/>
  <c r="AH305" i="1" s="1"/>
  <c r="BQ306" i="2"/>
  <c r="Q305" i="1" s="1"/>
  <c r="AG305" i="1" s="1"/>
  <c r="N292" i="14"/>
  <c r="A102" i="4"/>
  <c r="BT305" i="1" l="1"/>
  <c r="BA305" i="1"/>
  <c r="AZ305" i="1"/>
  <c r="BS305" i="1"/>
  <c r="BQ308" i="2"/>
  <c r="Q307" i="1" s="1"/>
  <c r="BR308" i="2"/>
  <c r="R307" i="1" s="1"/>
  <c r="BQ307" i="2"/>
  <c r="Q306" i="1" s="1"/>
  <c r="AG306" i="1" s="1"/>
  <c r="BR307" i="2"/>
  <c r="R306" i="1" s="1"/>
  <c r="AH306" i="1" s="1"/>
  <c r="BA306" i="1" l="1"/>
  <c r="BT306" i="1"/>
  <c r="BS306" i="1"/>
  <c r="AZ306" i="1"/>
  <c r="BQ310" i="2"/>
  <c r="Q309" i="1" s="1"/>
  <c r="BR310" i="2"/>
  <c r="R309" i="1" s="1"/>
  <c r="BQ309" i="2"/>
  <c r="Q308" i="1" s="1"/>
  <c r="AG308" i="1" s="1"/>
  <c r="BR309" i="2"/>
  <c r="R308" i="1" s="1"/>
  <c r="AH308" i="1" s="1"/>
  <c r="BS308" i="1" l="1"/>
  <c r="AZ308" i="1"/>
  <c r="BA308" i="1"/>
  <c r="BT308" i="1"/>
  <c r="BR312" i="2"/>
  <c r="R311" i="1" s="1"/>
  <c r="BQ312" i="2"/>
  <c r="Q311" i="1" s="1"/>
  <c r="BQ311" i="2"/>
  <c r="Q310" i="1" s="1"/>
  <c r="BR311" i="2"/>
  <c r="R310" i="1" s="1"/>
  <c r="BQ313" i="2" l="1"/>
  <c r="Q312" i="1" s="1"/>
  <c r="AG312" i="1" s="1"/>
  <c r="BR313" i="2"/>
  <c r="R312" i="1" s="1"/>
  <c r="AH312" i="1" s="1"/>
  <c r="BQ314" i="2"/>
  <c r="Q313" i="1" s="1"/>
  <c r="AG313" i="1" s="1"/>
  <c r="BR314" i="2"/>
  <c r="R313" i="1" s="1"/>
  <c r="AH313" i="1" s="1"/>
  <c r="BT313" i="1" l="1"/>
  <c r="BA313" i="1"/>
  <c r="BT312" i="1"/>
  <c r="BA312" i="1"/>
  <c r="BS313" i="1"/>
  <c r="AZ313" i="1"/>
  <c r="BS312" i="1"/>
  <c r="AZ312" i="1"/>
  <c r="BQ316" i="2"/>
  <c r="Q315" i="1" s="1"/>
  <c r="BR316" i="2"/>
  <c r="R315" i="1" s="1"/>
  <c r="BR315" i="2"/>
  <c r="R314" i="1" s="1"/>
  <c r="AH314" i="1" s="1"/>
  <c r="BQ315" i="2"/>
  <c r="Q314" i="1" s="1"/>
  <c r="AG314" i="1" s="1"/>
  <c r="BA314" i="1" l="1"/>
  <c r="BT314" i="1"/>
  <c r="BS314" i="1"/>
  <c r="AZ314" i="1"/>
  <c r="BQ318" i="2"/>
  <c r="Q317" i="1" s="1"/>
  <c r="BR318" i="2"/>
  <c r="R317" i="1" s="1"/>
  <c r="BQ317" i="2"/>
  <c r="Q316" i="1" s="1"/>
  <c r="AG316" i="1" s="1"/>
  <c r="BR317" i="2"/>
  <c r="R316" i="1" s="1"/>
  <c r="AH316" i="1" s="1"/>
  <c r="BT316" i="1" l="1"/>
  <c r="BA316" i="1"/>
  <c r="BS316" i="1"/>
  <c r="AZ316" i="1"/>
  <c r="BQ320" i="2"/>
  <c r="Q319" i="1" s="1"/>
  <c r="BR320" i="2"/>
  <c r="R319" i="1" s="1"/>
  <c r="BR319" i="2"/>
  <c r="R318" i="1" s="1"/>
  <c r="BQ319" i="2"/>
  <c r="Q318" i="1" s="1"/>
  <c r="BQ322" i="2" l="1"/>
  <c r="Q321" i="1" s="1"/>
  <c r="AG321" i="1" s="1"/>
  <c r="BR322" i="2"/>
  <c r="R321" i="1" s="1"/>
  <c r="AH321" i="1" s="1"/>
  <c r="BQ321" i="2"/>
  <c r="Q320" i="1" s="1"/>
  <c r="BR321" i="2"/>
  <c r="R320" i="1" s="1"/>
  <c r="BT321" i="1" l="1"/>
  <c r="BA321" i="1"/>
  <c r="BS321" i="1"/>
  <c r="AZ321" i="1"/>
  <c r="BQ323" i="2"/>
  <c r="Q322" i="1" s="1"/>
  <c r="AG322" i="1" s="1"/>
  <c r="BR323" i="2"/>
  <c r="R322" i="1" s="1"/>
  <c r="AH322" i="1" s="1"/>
  <c r="BQ324" i="2"/>
  <c r="Q323" i="1" s="1"/>
  <c r="BR324" i="2"/>
  <c r="R323" i="1" s="1"/>
  <c r="BA322" i="1" l="1"/>
  <c r="BT322" i="1"/>
  <c r="BS322" i="1"/>
  <c r="AZ322" i="1"/>
  <c r="BQ325" i="2"/>
  <c r="Q324" i="1" s="1"/>
  <c r="BR325" i="2"/>
  <c r="R324" i="1" s="1"/>
  <c r="BR326" i="2"/>
  <c r="R325" i="1" s="1"/>
  <c r="BQ326" i="2"/>
  <c r="Q325" i="1" s="1"/>
  <c r="BO325" i="2" l="1"/>
  <c r="O324" i="1" s="1"/>
  <c r="BO328" i="2"/>
  <c r="O327" i="1" s="1"/>
  <c r="BP328" i="2"/>
  <c r="P327" i="1" s="1"/>
  <c r="BQ328" i="2"/>
  <c r="Q327" i="1" s="1"/>
  <c r="BR328" i="2"/>
  <c r="R327" i="1" s="1"/>
  <c r="BN326" i="2"/>
  <c r="N325" i="1" s="1"/>
  <c r="BQ327" i="2"/>
  <c r="Q326" i="1" s="1"/>
  <c r="AG326" i="1" s="1"/>
  <c r="BR327" i="2"/>
  <c r="R326" i="1" s="1"/>
  <c r="AH326" i="1" s="1"/>
  <c r="BN325" i="2"/>
  <c r="N324" i="1" s="1"/>
  <c r="BP326" i="2"/>
  <c r="P325" i="1" s="1"/>
  <c r="BO326" i="2"/>
  <c r="O325" i="1" s="1"/>
  <c r="BP325" i="2"/>
  <c r="P324" i="1" s="1"/>
  <c r="BP324" i="1" l="1"/>
  <c r="AD324" i="1"/>
  <c r="AW324" i="1"/>
  <c r="AC325" i="1"/>
  <c r="AV325" i="1"/>
  <c r="BO325" i="1"/>
  <c r="BN325" i="1"/>
  <c r="AB325" i="1"/>
  <c r="AU325" i="1"/>
  <c r="BD325" i="1" s="1"/>
  <c r="BP325" i="1"/>
  <c r="AD325" i="1"/>
  <c r="AW325" i="1"/>
  <c r="BA326" i="1"/>
  <c r="BT326" i="1"/>
  <c r="BS326" i="1"/>
  <c r="AZ326" i="1"/>
  <c r="BP327" i="1"/>
  <c r="AD327" i="1"/>
  <c r="AW327" i="1"/>
  <c r="BO327" i="1"/>
  <c r="AC327" i="1"/>
  <c r="AV327" i="1"/>
  <c r="BO324" i="1"/>
  <c r="BW324" i="1" s="1"/>
  <c r="AC324" i="1"/>
  <c r="AK324" i="1" s="1"/>
  <c r="AV324" i="1"/>
  <c r="BO327" i="2"/>
  <c r="O326" i="1" s="1"/>
  <c r="BO252" i="2"/>
  <c r="O251" i="1" s="1"/>
  <c r="BO251" i="2"/>
  <c r="O250" i="1" s="1"/>
  <c r="BO253" i="2"/>
  <c r="O252" i="1" s="1"/>
  <c r="BO250" i="2"/>
  <c r="O249" i="1" s="1"/>
  <c r="BO93" i="2"/>
  <c r="O92" i="1" s="1"/>
  <c r="BO196" i="2"/>
  <c r="O195" i="1" s="1"/>
  <c r="BO254" i="2"/>
  <c r="O253" i="1" s="1"/>
  <c r="BO198" i="2"/>
  <c r="O197" i="1" s="1"/>
  <c r="BO197" i="2"/>
  <c r="O196" i="1" s="1"/>
  <c r="BO199" i="2"/>
  <c r="O198" i="1" s="1"/>
  <c r="BO255" i="2"/>
  <c r="O254" i="1" s="1"/>
  <c r="BO324" i="2"/>
  <c r="O323" i="1" s="1"/>
  <c r="BQ329" i="2"/>
  <c r="Q328" i="1" s="1"/>
  <c r="BO329" i="2"/>
  <c r="O328" i="1" s="1"/>
  <c r="BP329" i="2"/>
  <c r="P328" i="1" s="1"/>
  <c r="BR329" i="2"/>
  <c r="R328" i="1" s="1"/>
  <c r="BN327" i="2"/>
  <c r="N326" i="1" s="1"/>
  <c r="BN251" i="2"/>
  <c r="N250" i="1" s="1"/>
  <c r="BN252" i="2"/>
  <c r="N251" i="1" s="1"/>
  <c r="BN144" i="2"/>
  <c r="N143" i="1" s="1"/>
  <c r="BN196" i="2"/>
  <c r="N195" i="1" s="1"/>
  <c r="BN94" i="2"/>
  <c r="N93" i="1" s="1"/>
  <c r="BN143" i="2"/>
  <c r="N142" i="1" s="1"/>
  <c r="BN93" i="2"/>
  <c r="N92" i="1" s="1"/>
  <c r="BN253" i="2"/>
  <c r="N252" i="1" s="1"/>
  <c r="BN198" i="2"/>
  <c r="N197" i="1" s="1"/>
  <c r="BN197" i="2"/>
  <c r="N196" i="1" s="1"/>
  <c r="BN199" i="2"/>
  <c r="N198" i="1" s="1"/>
  <c r="BN250" i="2"/>
  <c r="N249" i="1" s="1"/>
  <c r="BN254" i="2"/>
  <c r="N253" i="1" s="1"/>
  <c r="BN255" i="2"/>
  <c r="N254" i="1" s="1"/>
  <c r="BN324" i="2"/>
  <c r="N323" i="1" s="1"/>
  <c r="BP327" i="2"/>
  <c r="P326" i="1" s="1"/>
  <c r="BP252" i="2"/>
  <c r="P251" i="1" s="1"/>
  <c r="BP251" i="2"/>
  <c r="P250" i="1" s="1"/>
  <c r="BP254" i="2"/>
  <c r="P253" i="1" s="1"/>
  <c r="BP198" i="2"/>
  <c r="P197" i="1" s="1"/>
  <c r="BP253" i="2"/>
  <c r="P252" i="1" s="1"/>
  <c r="BP250" i="2"/>
  <c r="P249" i="1" s="1"/>
  <c r="BP197" i="2"/>
  <c r="P196" i="1" s="1"/>
  <c r="BP199" i="2"/>
  <c r="P198" i="1" s="1"/>
  <c r="BP255" i="2"/>
  <c r="P254" i="1" s="1"/>
  <c r="BP324" i="2"/>
  <c r="P323" i="1" s="1"/>
  <c r="BQ330" i="2"/>
  <c r="Q329" i="1" s="1"/>
  <c r="BR330" i="2"/>
  <c r="R329" i="1" s="1"/>
  <c r="BP330" i="2"/>
  <c r="P329" i="1" s="1"/>
  <c r="BO330" i="2"/>
  <c r="O329" i="1" s="1"/>
  <c r="BN328" i="2"/>
  <c r="N327" i="1" s="1"/>
  <c r="BD324" i="1" l="1"/>
  <c r="BW325" i="1"/>
  <c r="BP251" i="1"/>
  <c r="AD251" i="1"/>
  <c r="AW251" i="1"/>
  <c r="BN93" i="1"/>
  <c r="AB93" i="1"/>
  <c r="AU93" i="1"/>
  <c r="AC198" i="1"/>
  <c r="AV198" i="1"/>
  <c r="BO198" i="1"/>
  <c r="BX324" i="1"/>
  <c r="AB327" i="1"/>
  <c r="AK327" i="1" s="1"/>
  <c r="AU327" i="1"/>
  <c r="BD327" i="1" s="1"/>
  <c r="BN327" i="1"/>
  <c r="BW327" i="1" s="1"/>
  <c r="BP326" i="1"/>
  <c r="AD326" i="1"/>
  <c r="AW326" i="1"/>
  <c r="AV196" i="1"/>
  <c r="AC196" i="1"/>
  <c r="BO196" i="1"/>
  <c r="BP329" i="1"/>
  <c r="AD329" i="1"/>
  <c r="AW329" i="1"/>
  <c r="BN143" i="1"/>
  <c r="AB143" i="1"/>
  <c r="AU143" i="1"/>
  <c r="AC197" i="1"/>
  <c r="AV197" i="1"/>
  <c r="BO197" i="1"/>
  <c r="AB254" i="1"/>
  <c r="BN254" i="1"/>
  <c r="AU254" i="1"/>
  <c r="AB251" i="1"/>
  <c r="BN251" i="1"/>
  <c r="AU251" i="1"/>
  <c r="AC253" i="1"/>
  <c r="AV253" i="1"/>
  <c r="BO253" i="1"/>
  <c r="BP254" i="1"/>
  <c r="AD254" i="1"/>
  <c r="AW254" i="1"/>
  <c r="AB253" i="1"/>
  <c r="AU253" i="1"/>
  <c r="BN253" i="1"/>
  <c r="AU250" i="1"/>
  <c r="AB250" i="1"/>
  <c r="BN250" i="1"/>
  <c r="AV195" i="1"/>
  <c r="BO195" i="1"/>
  <c r="AC195" i="1"/>
  <c r="AK325" i="1"/>
  <c r="BP198" i="1"/>
  <c r="AW198" i="1"/>
  <c r="AD198" i="1"/>
  <c r="AB249" i="1"/>
  <c r="AK249" i="1" s="1"/>
  <c r="BN249" i="1"/>
  <c r="BW249" i="1" s="1"/>
  <c r="AU249" i="1"/>
  <c r="BD249" i="1" s="1"/>
  <c r="AB326" i="1"/>
  <c r="AU326" i="1"/>
  <c r="BN326" i="1"/>
  <c r="BO92" i="1"/>
  <c r="AV92" i="1"/>
  <c r="AC92" i="1"/>
  <c r="BP323" i="1"/>
  <c r="AW323" i="1"/>
  <c r="AD323" i="1"/>
  <c r="AD196" i="1"/>
  <c r="AW196" i="1"/>
  <c r="BP196" i="1"/>
  <c r="AB198" i="1"/>
  <c r="AK198" i="1" s="1"/>
  <c r="AU198" i="1"/>
  <c r="BD198" i="1" s="1"/>
  <c r="BN198" i="1"/>
  <c r="BW198" i="1" s="1"/>
  <c r="AV249" i="1"/>
  <c r="AC249" i="1"/>
  <c r="BO249" i="1"/>
  <c r="AU196" i="1"/>
  <c r="AB196" i="1"/>
  <c r="BN196" i="1"/>
  <c r="AW328" i="1"/>
  <c r="AD328" i="1"/>
  <c r="BP328" i="1"/>
  <c r="AV252" i="1"/>
  <c r="AC252" i="1"/>
  <c r="BO252" i="1"/>
  <c r="AD252" i="1"/>
  <c r="BP252" i="1"/>
  <c r="AW252" i="1"/>
  <c r="AU197" i="1"/>
  <c r="BN197" i="1"/>
  <c r="AB197" i="1"/>
  <c r="AC328" i="1"/>
  <c r="AV328" i="1"/>
  <c r="BO328" i="1"/>
  <c r="AC250" i="1"/>
  <c r="AV250" i="1"/>
  <c r="BO250" i="1"/>
  <c r="AD249" i="1"/>
  <c r="BP249" i="1"/>
  <c r="AW249" i="1"/>
  <c r="AD197" i="1"/>
  <c r="BP197" i="1"/>
  <c r="AW197" i="1"/>
  <c r="BN252" i="1"/>
  <c r="AU252" i="1"/>
  <c r="AB252" i="1"/>
  <c r="BO251" i="1"/>
  <c r="AC251" i="1"/>
  <c r="AV251" i="1"/>
  <c r="AD253" i="1"/>
  <c r="BP253" i="1"/>
  <c r="AW253" i="1"/>
  <c r="AB92" i="1"/>
  <c r="AU92" i="1"/>
  <c r="BN92" i="1"/>
  <c r="BO323" i="1"/>
  <c r="BW323" i="1" s="1"/>
  <c r="AC323" i="1"/>
  <c r="AK323" i="1" s="1"/>
  <c r="AV323" i="1"/>
  <c r="BD323" i="1" s="1"/>
  <c r="BO326" i="1"/>
  <c r="AC326" i="1"/>
  <c r="AV326" i="1"/>
  <c r="BO329" i="1"/>
  <c r="BW329" i="1" s="1"/>
  <c r="AC329" i="1"/>
  <c r="AK329" i="1" s="1"/>
  <c r="AV329" i="1"/>
  <c r="AD250" i="1"/>
  <c r="BP250" i="1"/>
  <c r="AW250" i="1"/>
  <c r="AB142" i="1"/>
  <c r="AU142" i="1"/>
  <c r="BN142" i="1"/>
  <c r="BO254" i="1"/>
  <c r="AC254" i="1"/>
  <c r="AV254" i="1"/>
  <c r="F324" i="14"/>
  <c r="G324" i="14"/>
  <c r="G325" i="14"/>
  <c r="H324" i="14"/>
  <c r="BQ332" i="2"/>
  <c r="Q331" i="1" s="1"/>
  <c r="BR332" i="2"/>
  <c r="R331" i="1" s="1"/>
  <c r="BN330" i="2"/>
  <c r="N329" i="1" s="1"/>
  <c r="BQ331" i="2"/>
  <c r="Q330" i="1" s="1"/>
  <c r="BR331" i="2"/>
  <c r="R330" i="1" s="1"/>
  <c r="BO331" i="2"/>
  <c r="O330" i="1" s="1"/>
  <c r="BP331" i="2"/>
  <c r="P330" i="1" s="1"/>
  <c r="BN329" i="2"/>
  <c r="N328" i="1" s="1"/>
  <c r="G327" i="14"/>
  <c r="H325" i="14"/>
  <c r="G198" i="14"/>
  <c r="G323" i="14"/>
  <c r="BD329" i="1" l="1"/>
  <c r="G329" i="14" s="1"/>
  <c r="BX327" i="1"/>
  <c r="BD326" i="1"/>
  <c r="BW250" i="1"/>
  <c r="BX323" i="1"/>
  <c r="BW253" i="1"/>
  <c r="BW252" i="1"/>
  <c r="BX329" i="1"/>
  <c r="BN328" i="1"/>
  <c r="BW328" i="1" s="1"/>
  <c r="AU328" i="1"/>
  <c r="BD328" i="1" s="1"/>
  <c r="AB328" i="1"/>
  <c r="AK328" i="1" s="1"/>
  <c r="BY327" i="1"/>
  <c r="I327" i="14"/>
  <c r="J327" i="14"/>
  <c r="K327" i="14"/>
  <c r="L327" i="14"/>
  <c r="AC330" i="1"/>
  <c r="BO330" i="1"/>
  <c r="AV330" i="1"/>
  <c r="BX198" i="1"/>
  <c r="AK326" i="1"/>
  <c r="AK250" i="1"/>
  <c r="BD251" i="1"/>
  <c r="AK252" i="1"/>
  <c r="BD250" i="1"/>
  <c r="BX250" i="1" s="1"/>
  <c r="BW251" i="1"/>
  <c r="J324" i="14"/>
  <c r="K324" i="14"/>
  <c r="L324" i="14"/>
  <c r="BY324" i="1"/>
  <c r="I324" i="14"/>
  <c r="BY323" i="1"/>
  <c r="I323" i="14"/>
  <c r="J323" i="14"/>
  <c r="K323" i="14"/>
  <c r="L323" i="14"/>
  <c r="BD252" i="1"/>
  <c r="BX252" i="1" s="1"/>
  <c r="AK251" i="1"/>
  <c r="BX249" i="1"/>
  <c r="BD253" i="1"/>
  <c r="BD254" i="1"/>
  <c r="G254" i="14" s="1"/>
  <c r="AK197" i="1"/>
  <c r="BW196" i="1"/>
  <c r="AK253" i="1"/>
  <c r="BW254" i="1"/>
  <c r="BW197" i="1"/>
  <c r="AK196" i="1"/>
  <c r="AK254" i="1"/>
  <c r="F254" i="14" s="1"/>
  <c r="BD197" i="1"/>
  <c r="G197" i="14" s="1"/>
  <c r="BD196" i="1"/>
  <c r="BX325" i="1"/>
  <c r="I329" i="14"/>
  <c r="J329" i="14"/>
  <c r="K329" i="14"/>
  <c r="BY329" i="1"/>
  <c r="L329" i="14"/>
  <c r="BP330" i="1"/>
  <c r="AD330" i="1"/>
  <c r="AW330" i="1"/>
  <c r="BW326" i="1"/>
  <c r="BX326" i="1" s="1"/>
  <c r="G252" i="14"/>
  <c r="G249" i="14"/>
  <c r="G253" i="14"/>
  <c r="F327" i="14"/>
  <c r="F323" i="14"/>
  <c r="F198" i="14"/>
  <c r="F325" i="14"/>
  <c r="F329" i="14"/>
  <c r="G326" i="14"/>
  <c r="G250" i="14"/>
  <c r="G251" i="14"/>
  <c r="H252" i="14"/>
  <c r="G196" i="14"/>
  <c r="BQ333" i="2"/>
  <c r="Q332" i="1" s="1"/>
  <c r="AG332" i="1" s="1"/>
  <c r="BR333" i="2"/>
  <c r="R332" i="1" s="1"/>
  <c r="AH332" i="1" s="1"/>
  <c r="BN331" i="2"/>
  <c r="N330" i="1" s="1"/>
  <c r="H327" i="14"/>
  <c r="H197" i="14"/>
  <c r="H323" i="14"/>
  <c r="H326" i="14"/>
  <c r="H250" i="14"/>
  <c r="H251" i="14"/>
  <c r="H198" i="14"/>
  <c r="H249" i="14"/>
  <c r="H253" i="14"/>
  <c r="H254" i="14"/>
  <c r="H329" i="14"/>
  <c r="G328" i="14"/>
  <c r="BR334" i="2"/>
  <c r="R333" i="1" s="1"/>
  <c r="BQ334" i="2"/>
  <c r="Q333" i="1" s="1"/>
  <c r="H196" i="14"/>
  <c r="CD329" i="1" l="1"/>
  <c r="BX253" i="1"/>
  <c r="BY253" i="1" s="1"/>
  <c r="I253" i="14"/>
  <c r="J253" i="14"/>
  <c r="K253" i="14"/>
  <c r="L253" i="14"/>
  <c r="BX254" i="1"/>
  <c r="BD330" i="1"/>
  <c r="BX196" i="1"/>
  <c r="BX251" i="1"/>
  <c r="BW330" i="1"/>
  <c r="I325" i="14"/>
  <c r="J325" i="14"/>
  <c r="K325" i="14"/>
  <c r="L325" i="14"/>
  <c r="BY325" i="1"/>
  <c r="AK330" i="1"/>
  <c r="L326" i="14"/>
  <c r="BY326" i="1"/>
  <c r="I326" i="14"/>
  <c r="J326" i="14"/>
  <c r="BY252" i="1"/>
  <c r="I252" i="14"/>
  <c r="J252" i="14"/>
  <c r="K252" i="14"/>
  <c r="L252" i="14"/>
  <c r="BY250" i="1"/>
  <c r="I250" i="14"/>
  <c r="J250" i="14"/>
  <c r="K250" i="14"/>
  <c r="L250" i="14"/>
  <c r="CD327" i="1"/>
  <c r="BX197" i="1"/>
  <c r="CD323" i="1"/>
  <c r="CJ327" i="1"/>
  <c r="CJ323" i="1"/>
  <c r="BX328" i="1"/>
  <c r="BT332" i="1"/>
  <c r="BA332" i="1"/>
  <c r="AZ332" i="1"/>
  <c r="BS332" i="1"/>
  <c r="CJ329" i="1"/>
  <c r="CD324" i="1"/>
  <c r="BY249" i="1"/>
  <c r="I249" i="14"/>
  <c r="J249" i="14"/>
  <c r="K249" i="14"/>
  <c r="L249" i="14"/>
  <c r="CJ324" i="1"/>
  <c r="BY198" i="1"/>
  <c r="I198" i="14"/>
  <c r="J198" i="14"/>
  <c r="K198" i="14"/>
  <c r="L198" i="14"/>
  <c r="G330" i="14"/>
  <c r="F250" i="14"/>
  <c r="F326" i="14"/>
  <c r="F197" i="14"/>
  <c r="F252" i="14"/>
  <c r="F328" i="14"/>
  <c r="F253" i="14"/>
  <c r="F249" i="14"/>
  <c r="F196" i="14"/>
  <c r="F251" i="14"/>
  <c r="BQ336" i="2"/>
  <c r="Q335" i="1" s="1"/>
  <c r="AG335" i="1" s="1"/>
  <c r="BR336" i="2"/>
  <c r="R335" i="1" s="1"/>
  <c r="AH335" i="1" s="1"/>
  <c r="H330" i="14"/>
  <c r="BQ335" i="2"/>
  <c r="Q334" i="1" s="1"/>
  <c r="BR335" i="2"/>
  <c r="R334" i="1" s="1"/>
  <c r="H328" i="14"/>
  <c r="CD326" i="1" l="1"/>
  <c r="K326" i="14"/>
  <c r="CD250" i="1"/>
  <c r="CD252" i="1"/>
  <c r="CD325" i="1"/>
  <c r="CD198" i="1"/>
  <c r="CJ198" i="1"/>
  <c r="L197" i="14"/>
  <c r="BY197" i="1"/>
  <c r="I197" i="14"/>
  <c r="J197" i="14"/>
  <c r="K197" i="14"/>
  <c r="CJ252" i="1"/>
  <c r="BX330" i="1"/>
  <c r="BS335" i="1"/>
  <c r="AZ335" i="1"/>
  <c r="J251" i="14"/>
  <c r="K251" i="14"/>
  <c r="L251" i="14"/>
  <c r="BY251" i="1"/>
  <c r="I251" i="14"/>
  <c r="L196" i="14"/>
  <c r="BY196" i="1"/>
  <c r="I196" i="14"/>
  <c r="J196" i="14"/>
  <c r="K196" i="14"/>
  <c r="CJ326" i="1"/>
  <c r="I328" i="14"/>
  <c r="L328" i="14"/>
  <c r="K328" i="14"/>
  <c r="BY328" i="1"/>
  <c r="J328" i="14"/>
  <c r="J254" i="14"/>
  <c r="K254" i="14"/>
  <c r="BY254" i="1"/>
  <c r="L254" i="14"/>
  <c r="I254" i="14"/>
  <c r="CD249" i="1"/>
  <c r="CJ249" i="1"/>
  <c r="CJ250" i="1"/>
  <c r="CJ325" i="1"/>
  <c r="CD253" i="1"/>
  <c r="BA335" i="1"/>
  <c r="BT335" i="1"/>
  <c r="CJ253" i="1"/>
  <c r="F330" i="14"/>
  <c r="N324" i="14"/>
  <c r="N325" i="14"/>
  <c r="BQ337" i="2"/>
  <c r="Q336" i="1" s="1"/>
  <c r="BR337" i="2"/>
  <c r="R336" i="1" s="1"/>
  <c r="BQ338" i="2"/>
  <c r="Q337" i="1" s="1"/>
  <c r="AG337" i="1" s="1"/>
  <c r="BR338" i="2"/>
  <c r="R337" i="1" s="1"/>
  <c r="AH337" i="1" s="1"/>
  <c r="CD251" i="1" l="1"/>
  <c r="L330" i="14"/>
  <c r="J330" i="14"/>
  <c r="K330" i="14"/>
  <c r="BY330" i="1"/>
  <c r="CJ254" i="1"/>
  <c r="CD196" i="1"/>
  <c r="CJ196" i="1"/>
  <c r="CJ328" i="1"/>
  <c r="CJ251" i="1"/>
  <c r="CD197" i="1"/>
  <c r="CJ197" i="1"/>
  <c r="N197" i="14" s="1"/>
  <c r="CD328" i="1"/>
  <c r="BT337" i="1"/>
  <c r="BA337" i="1"/>
  <c r="BS337" i="1"/>
  <c r="AZ337" i="1"/>
  <c r="CD254" i="1"/>
  <c r="BQ340" i="2"/>
  <c r="Q339" i="1" s="1"/>
  <c r="BR340" i="2"/>
  <c r="R339" i="1" s="1"/>
  <c r="N252" i="14"/>
  <c r="N250" i="14"/>
  <c r="N249" i="14"/>
  <c r="N326" i="14"/>
  <c r="BQ339" i="2"/>
  <c r="Q338" i="1" s="1"/>
  <c r="AG338" i="1" s="1"/>
  <c r="BR339" i="2"/>
  <c r="R338" i="1" s="1"/>
  <c r="AH338" i="1" s="1"/>
  <c r="N327" i="14"/>
  <c r="N323" i="14"/>
  <c r="N196" i="14"/>
  <c r="N253" i="14"/>
  <c r="N329" i="14"/>
  <c r="N251" i="14"/>
  <c r="N254" i="14"/>
  <c r="N198" i="14"/>
  <c r="CD330" i="1" l="1"/>
  <c r="I330" i="14"/>
  <c r="BA338" i="1"/>
  <c r="BT338" i="1"/>
  <c r="BS338" i="1"/>
  <c r="AZ338" i="1"/>
  <c r="CJ330" i="1"/>
  <c r="N330" i="14"/>
  <c r="N328" i="14"/>
  <c r="BQ341" i="2"/>
  <c r="Q340" i="1" s="1"/>
  <c r="BR341" i="2"/>
  <c r="R340" i="1" s="1"/>
  <c r="BQ342" i="2"/>
  <c r="Q341" i="1" s="1"/>
  <c r="BR342" i="2"/>
  <c r="R341" i="1" s="1"/>
  <c r="BQ343" i="2" l="1"/>
  <c r="Q342" i="1" s="1"/>
  <c r="AG342" i="1" s="1"/>
  <c r="BR343" i="2"/>
  <c r="R342" i="1" s="1"/>
  <c r="AH342" i="1" s="1"/>
  <c r="BQ344" i="2"/>
  <c r="Q343" i="1" s="1"/>
  <c r="AG343" i="1" s="1"/>
  <c r="BR344" i="2"/>
  <c r="R343" i="1" s="1"/>
  <c r="AH343" i="1" s="1"/>
  <c r="BS343" i="1" l="1"/>
  <c r="AZ343" i="1"/>
  <c r="BT343" i="1"/>
  <c r="BA343" i="1"/>
  <c r="BS342" i="1"/>
  <c r="AZ342" i="1"/>
  <c r="BT342" i="1"/>
  <c r="BA342" i="1"/>
  <c r="BQ345" i="2"/>
  <c r="Q344" i="1" s="1"/>
  <c r="AG344" i="1" s="1"/>
  <c r="BR345" i="2"/>
  <c r="R344" i="1" s="1"/>
  <c r="AH344" i="1" s="1"/>
  <c r="BQ346" i="2"/>
  <c r="Q345" i="1" s="1"/>
  <c r="BR346" i="2"/>
  <c r="R345" i="1" s="1"/>
  <c r="BA344" i="1" l="1"/>
  <c r="BT344" i="1"/>
  <c r="AZ344" i="1"/>
  <c r="BS344" i="1"/>
  <c r="BQ348" i="2"/>
  <c r="Q347" i="1" s="1"/>
  <c r="AG347" i="1" s="1"/>
  <c r="BR348" i="2"/>
  <c r="R347" i="1" s="1"/>
  <c r="AH347" i="1" s="1"/>
  <c r="BQ347" i="2"/>
  <c r="Q346" i="1" s="1"/>
  <c r="BR347" i="2"/>
  <c r="R346" i="1" s="1"/>
  <c r="BA347" i="1" l="1"/>
  <c r="BT347" i="1"/>
  <c r="AZ347" i="1"/>
  <c r="BS347" i="1"/>
  <c r="BQ350" i="2"/>
  <c r="Q349" i="1" s="1"/>
  <c r="BR350" i="2"/>
  <c r="R349" i="1" s="1"/>
  <c r="BQ349" i="2"/>
  <c r="Q348" i="1" s="1"/>
  <c r="AG348" i="1" s="1"/>
  <c r="BR349" i="2"/>
  <c r="R348" i="1" s="1"/>
  <c r="AH348" i="1" s="1"/>
  <c r="BS348" i="1" l="1"/>
  <c r="AZ348" i="1"/>
  <c r="BT348" i="1"/>
  <c r="BA348" i="1"/>
  <c r="BQ352" i="2"/>
  <c r="Q351" i="1" s="1"/>
  <c r="AG351" i="1" s="1"/>
  <c r="BR352" i="2"/>
  <c r="R351" i="1" s="1"/>
  <c r="AH351" i="1" s="1"/>
  <c r="BQ351" i="2"/>
  <c r="Q350" i="1" s="1"/>
  <c r="AG350" i="1" s="1"/>
  <c r="BR351" i="2"/>
  <c r="R350" i="1" s="1"/>
  <c r="AH350" i="1" s="1"/>
  <c r="BA350" i="1" l="1"/>
  <c r="BT350" i="1"/>
  <c r="AZ350" i="1"/>
  <c r="BS350" i="1"/>
  <c r="BT351" i="1"/>
  <c r="BA351" i="1"/>
  <c r="BS351" i="1"/>
  <c r="AZ351" i="1"/>
  <c r="BQ353" i="2"/>
  <c r="Q352" i="1" s="1"/>
  <c r="BR353" i="2"/>
  <c r="R352" i="1" s="1"/>
  <c r="BQ354" i="2"/>
  <c r="Q353" i="1" s="1"/>
  <c r="BR354" i="2"/>
  <c r="R353" i="1" s="1"/>
  <c r="BQ355" i="2" l="1"/>
  <c r="Q354" i="1" s="1"/>
  <c r="BR355" i="2"/>
  <c r="R354" i="1" s="1"/>
  <c r="BQ356" i="2"/>
  <c r="Q355" i="1" s="1"/>
  <c r="BR356" i="2"/>
  <c r="R355" i="1" s="1"/>
  <c r="BQ358" i="2" l="1"/>
  <c r="Q357" i="1" s="1"/>
  <c r="BR358" i="2"/>
  <c r="R357" i="1" s="1"/>
  <c r="BQ357" i="2"/>
  <c r="Q356" i="1" s="1"/>
  <c r="BR357" i="2"/>
  <c r="R356" i="1" s="1"/>
  <c r="BR359" i="2" l="1"/>
  <c r="R358" i="1" s="1"/>
  <c r="BQ359" i="2"/>
  <c r="Q358" i="1" s="1"/>
  <c r="BQ360" i="2"/>
  <c r="Q359" i="1" s="1"/>
  <c r="BR360" i="2"/>
  <c r="R359" i="1" s="1"/>
  <c r="BQ362" i="2" l="1"/>
  <c r="Q361" i="1" s="1"/>
  <c r="AG361" i="1" s="1"/>
  <c r="BR362" i="2"/>
  <c r="R361" i="1" s="1"/>
  <c r="AH361" i="1" s="1"/>
  <c r="BQ361" i="2"/>
  <c r="Q360" i="1" s="1"/>
  <c r="BR361" i="2"/>
  <c r="R360" i="1" s="1"/>
  <c r="BT361" i="1" l="1"/>
  <c r="BA361" i="1"/>
  <c r="BS361" i="1"/>
  <c r="AZ361" i="1"/>
  <c r="BQ364" i="2"/>
  <c r="Q363" i="1" s="1"/>
  <c r="BR364" i="2"/>
  <c r="R363" i="1" s="1"/>
  <c r="BQ363" i="2"/>
  <c r="Q362" i="1" s="1"/>
  <c r="AG362" i="1" s="1"/>
  <c r="BR363" i="2"/>
  <c r="R362" i="1" s="1"/>
  <c r="AH362" i="1" s="1"/>
  <c r="BA362" i="1" l="1"/>
  <c r="BT362" i="1"/>
  <c r="AZ362" i="1"/>
  <c r="BS362" i="1"/>
  <c r="BQ366" i="2"/>
  <c r="Q365" i="1" s="1"/>
  <c r="BR366" i="2"/>
  <c r="R365" i="1" s="1"/>
  <c r="BQ365" i="2"/>
  <c r="Q364" i="1" s="1"/>
  <c r="BR365" i="2"/>
  <c r="R364" i="1" s="1"/>
  <c r="BQ367" i="2" l="1"/>
  <c r="Q366" i="1" s="1"/>
  <c r="BR367" i="2"/>
  <c r="R366" i="1" s="1"/>
  <c r="BQ368" i="2"/>
  <c r="Q367" i="1" s="1"/>
  <c r="AG367" i="1" s="1"/>
  <c r="BR368" i="2"/>
  <c r="R367" i="1" s="1"/>
  <c r="AH367" i="1" s="1"/>
  <c r="AZ367" i="1" l="1"/>
  <c r="BS367" i="1"/>
  <c r="BA367" i="1"/>
  <c r="BT367" i="1"/>
  <c r="BQ370" i="2"/>
  <c r="Q369" i="1" s="1"/>
  <c r="AG369" i="1" s="1"/>
  <c r="BR370" i="2"/>
  <c r="R369" i="1" s="1"/>
  <c r="AH369" i="1" s="1"/>
  <c r="BQ369" i="2"/>
  <c r="Q368" i="1" s="1"/>
  <c r="BR369" i="2"/>
  <c r="R368" i="1" s="1"/>
  <c r="BA369" i="1" l="1"/>
  <c r="BT369" i="1"/>
  <c r="AZ369" i="1"/>
  <c r="BS369" i="1"/>
  <c r="BQ371" i="2"/>
  <c r="Q370" i="1" s="1"/>
  <c r="AG370" i="1" s="1"/>
  <c r="BR371" i="2"/>
  <c r="R370" i="1" s="1"/>
  <c r="AH370" i="1" s="1"/>
  <c r="BQ372" i="2"/>
  <c r="Q371" i="1" s="1"/>
  <c r="BR372" i="2"/>
  <c r="R371" i="1" s="1"/>
  <c r="BA370" i="1" l="1"/>
  <c r="BT370" i="1"/>
  <c r="BS370" i="1"/>
  <c r="AZ370" i="1"/>
  <c r="BQ374" i="2"/>
  <c r="Q373" i="1" s="1"/>
  <c r="BR374" i="2"/>
  <c r="R373" i="1" s="1"/>
  <c r="BQ373" i="2"/>
  <c r="Q372" i="1" s="1"/>
  <c r="BR373" i="2"/>
  <c r="R372" i="1" s="1"/>
  <c r="BQ376" i="2" l="1"/>
  <c r="Q375" i="1" s="1"/>
  <c r="AG375" i="1" s="1"/>
  <c r="BR376" i="2"/>
  <c r="R375" i="1" s="1"/>
  <c r="AH375" i="1" s="1"/>
  <c r="BQ375" i="2"/>
  <c r="Q374" i="1" s="1"/>
  <c r="BR375" i="2"/>
  <c r="R374" i="1" s="1"/>
  <c r="BT375" i="1" l="1"/>
  <c r="BA375" i="1"/>
  <c r="BS375" i="1"/>
  <c r="AZ375" i="1"/>
  <c r="BQ377" i="2"/>
  <c r="Q376" i="1" s="1"/>
  <c r="AG376" i="1" s="1"/>
  <c r="BR377" i="2"/>
  <c r="R376" i="1" s="1"/>
  <c r="AH376" i="1" s="1"/>
  <c r="BQ378" i="2"/>
  <c r="Q377" i="1" s="1"/>
  <c r="BR378" i="2"/>
  <c r="R377" i="1" s="1"/>
  <c r="BA376" i="1" l="1"/>
  <c r="BT376" i="1"/>
  <c r="AZ376" i="1"/>
  <c r="BS376" i="1"/>
  <c r="BQ380" i="2"/>
  <c r="Q379" i="1" s="1"/>
  <c r="BR380" i="2"/>
  <c r="R379" i="1" s="1"/>
  <c r="BQ379" i="2"/>
  <c r="Q378" i="1" s="1"/>
  <c r="AG378" i="1" s="1"/>
  <c r="BR379" i="2"/>
  <c r="R378" i="1" s="1"/>
  <c r="AH378" i="1" s="1"/>
  <c r="BS378" i="1" l="1"/>
  <c r="AZ378" i="1"/>
  <c r="BA378" i="1"/>
  <c r="BT378" i="1"/>
  <c r="BQ381" i="2"/>
  <c r="Q380" i="1" s="1"/>
  <c r="AG380" i="1" s="1"/>
  <c r="BR381" i="2"/>
  <c r="R380" i="1" s="1"/>
  <c r="AH380" i="1" s="1"/>
  <c r="BQ382" i="2"/>
  <c r="Q381" i="1" s="1"/>
  <c r="BR382" i="2"/>
  <c r="R381" i="1" s="1"/>
  <c r="BA380" i="1" l="1"/>
  <c r="BT380" i="1"/>
  <c r="BS380" i="1"/>
  <c r="AZ380" i="1"/>
  <c r="BQ383" i="2"/>
  <c r="Q382" i="1" s="1"/>
  <c r="AG382" i="1" s="1"/>
  <c r="BR383" i="2"/>
  <c r="R382" i="1" s="1"/>
  <c r="AH382" i="1" s="1"/>
  <c r="BQ384" i="2"/>
  <c r="Q383" i="1" s="1"/>
  <c r="BR384" i="2"/>
  <c r="R383" i="1" s="1"/>
  <c r="BA382" i="1" l="1"/>
  <c r="BT382" i="1"/>
  <c r="BS382" i="1"/>
  <c r="AZ382" i="1"/>
  <c r="BQ385" i="2"/>
  <c r="Q384" i="1" s="1"/>
  <c r="BR385" i="2"/>
  <c r="R384" i="1" s="1"/>
  <c r="BQ386" i="2"/>
  <c r="Q385" i="1" s="1"/>
  <c r="AG385" i="1" s="1"/>
  <c r="BR386" i="2"/>
  <c r="R385" i="1" s="1"/>
  <c r="AH385" i="1" s="1"/>
  <c r="BT385" i="1" l="1"/>
  <c r="BA385" i="1"/>
  <c r="AZ385" i="1"/>
  <c r="BS385" i="1"/>
  <c r="BQ387" i="2"/>
  <c r="Q386" i="1" s="1"/>
  <c r="BR387" i="2"/>
  <c r="R386" i="1" s="1"/>
  <c r="BQ388" i="2"/>
  <c r="Q387" i="1" s="1"/>
  <c r="BR388" i="2"/>
  <c r="R387" i="1" s="1"/>
  <c r="BR389" i="2" l="1"/>
  <c r="R388" i="1" s="1"/>
  <c r="BQ389" i="2"/>
  <c r="Q388" i="1" s="1"/>
  <c r="BR390" i="2"/>
  <c r="R389" i="1" s="1"/>
  <c r="BQ390" i="2"/>
  <c r="Q389" i="1" s="1"/>
  <c r="BQ392" i="2" l="1"/>
  <c r="Q391" i="1" s="1"/>
  <c r="BR392" i="2"/>
  <c r="R391" i="1" s="1"/>
  <c r="BR391" i="2"/>
  <c r="R390" i="1" s="1"/>
  <c r="AH390" i="1" s="1"/>
  <c r="BQ391" i="2"/>
  <c r="Q390" i="1" s="1"/>
  <c r="AG390" i="1" s="1"/>
  <c r="BS390" i="1" l="1"/>
  <c r="AZ390" i="1"/>
  <c r="BA390" i="1"/>
  <c r="BT390" i="1"/>
  <c r="BQ394" i="2"/>
  <c r="Q393" i="1" s="1"/>
  <c r="BR394" i="2"/>
  <c r="R393" i="1" s="1"/>
  <c r="BQ393" i="2"/>
  <c r="Q392" i="1" s="1"/>
  <c r="AG392" i="1" s="1"/>
  <c r="BR393" i="2"/>
  <c r="R392" i="1" s="1"/>
  <c r="AH392" i="1" s="1"/>
  <c r="BT392" i="1" l="1"/>
  <c r="BA392" i="1"/>
  <c r="BS392" i="1"/>
  <c r="AZ392" i="1"/>
  <c r="BR395" i="2"/>
  <c r="R394" i="1" s="1"/>
  <c r="AH394" i="1" s="1"/>
  <c r="BQ395" i="2"/>
  <c r="Q394" i="1" s="1"/>
  <c r="AG394" i="1" s="1"/>
  <c r="BR396" i="2"/>
  <c r="R395" i="1" s="1"/>
  <c r="BQ396" i="2"/>
  <c r="Q395" i="1" s="1"/>
  <c r="BS394" i="1" l="1"/>
  <c r="AZ394" i="1"/>
  <c r="BT394" i="1"/>
  <c r="BA394" i="1"/>
  <c r="BR397" i="2"/>
  <c r="R396" i="1" s="1"/>
  <c r="AH396" i="1" s="1"/>
  <c r="BQ397" i="2"/>
  <c r="Q396" i="1" s="1"/>
  <c r="AG396" i="1" s="1"/>
  <c r="BQ398" i="2"/>
  <c r="Q397" i="1" s="1"/>
  <c r="AG397" i="1" s="1"/>
  <c r="BR398" i="2"/>
  <c r="R397" i="1" s="1"/>
  <c r="AH397" i="1" s="1"/>
  <c r="BT397" i="1" l="1"/>
  <c r="BA397" i="1"/>
  <c r="AZ397" i="1"/>
  <c r="BS397" i="1"/>
  <c r="BS396" i="1"/>
  <c r="AZ396" i="1"/>
  <c r="BT396" i="1"/>
  <c r="BA396" i="1"/>
  <c r="BR400" i="2"/>
  <c r="R399" i="1" s="1"/>
  <c r="BQ400" i="2"/>
  <c r="Q399" i="1" s="1"/>
  <c r="BQ399" i="2"/>
  <c r="Q398" i="1" s="1"/>
  <c r="AG398" i="1" s="1"/>
  <c r="BR399" i="2"/>
  <c r="R398" i="1" s="1"/>
  <c r="AH398" i="1" s="1"/>
  <c r="BS398" i="1" l="1"/>
  <c r="AZ398" i="1"/>
  <c r="BT398" i="1"/>
  <c r="BA398" i="1"/>
  <c r="BP399" i="2"/>
  <c r="P398" i="1" s="1"/>
  <c r="BP396" i="2"/>
  <c r="P395" i="1" s="1"/>
  <c r="BP395" i="2"/>
  <c r="P394" i="1" s="1"/>
  <c r="BP295" i="2"/>
  <c r="P294" i="1" s="1"/>
  <c r="BP294" i="2"/>
  <c r="P293" i="1" s="1"/>
  <c r="BP296" i="2"/>
  <c r="P295" i="1" s="1"/>
  <c r="BP297" i="2"/>
  <c r="P296" i="1" s="1"/>
  <c r="BP239" i="2"/>
  <c r="P238" i="1" s="1"/>
  <c r="BP298" i="2"/>
  <c r="P297" i="1" s="1"/>
  <c r="BP400" i="2"/>
  <c r="P399" i="1" s="1"/>
  <c r="BR401" i="2"/>
  <c r="R400" i="1" s="1"/>
  <c r="AH400" i="1" s="1"/>
  <c r="BQ401" i="2"/>
  <c r="Q400" i="1" s="1"/>
  <c r="AG400" i="1" s="1"/>
  <c r="BO296" i="2"/>
  <c r="O295" i="1" s="1"/>
  <c r="BO295" i="2"/>
  <c r="O294" i="1" s="1"/>
  <c r="BO297" i="2"/>
  <c r="O296" i="1" s="1"/>
  <c r="BO294" i="2"/>
  <c r="O293" i="1" s="1"/>
  <c r="BO239" i="2"/>
  <c r="O238" i="1" s="1"/>
  <c r="BO298" i="2"/>
  <c r="O297" i="1" s="1"/>
  <c r="BO395" i="2"/>
  <c r="O394" i="1" s="1"/>
  <c r="BO400" i="2"/>
  <c r="O399" i="1" s="1"/>
  <c r="BO402" i="2"/>
  <c r="O401" i="1" s="1"/>
  <c r="BP402" i="2"/>
  <c r="P401" i="1" s="1"/>
  <c r="BN294" i="2"/>
  <c r="N293" i="1" s="1"/>
  <c r="BR402" i="2"/>
  <c r="R401" i="1" s="1"/>
  <c r="AH401" i="1" s="1"/>
  <c r="BQ402" i="2"/>
  <c r="Q401" i="1" s="1"/>
  <c r="AG401" i="1" s="1"/>
  <c r="BN400" i="2"/>
  <c r="N399" i="1" s="1"/>
  <c r="AW238" i="1" l="1"/>
  <c r="BP238" i="1"/>
  <c r="AD238" i="1"/>
  <c r="BO394" i="1"/>
  <c r="AC394" i="1"/>
  <c r="AV394" i="1"/>
  <c r="BP296" i="1"/>
  <c r="AD296" i="1"/>
  <c r="AW296" i="1"/>
  <c r="AC297" i="1"/>
  <c r="AV297" i="1"/>
  <c r="BO297" i="1"/>
  <c r="AW295" i="1"/>
  <c r="BP295" i="1"/>
  <c r="AD295" i="1"/>
  <c r="BP293" i="1"/>
  <c r="AD293" i="1"/>
  <c r="AW293" i="1"/>
  <c r="BO293" i="1"/>
  <c r="AC293" i="1"/>
  <c r="AV293" i="1"/>
  <c r="AD294" i="1"/>
  <c r="BP294" i="1"/>
  <c r="AW294" i="1"/>
  <c r="BO296" i="1"/>
  <c r="AC296" i="1"/>
  <c r="AV296" i="1"/>
  <c r="AD394" i="1"/>
  <c r="BP394" i="1"/>
  <c r="AW394" i="1"/>
  <c r="AC294" i="1"/>
  <c r="BO294" i="1"/>
  <c r="AV294" i="1"/>
  <c r="BP395" i="1"/>
  <c r="AD395" i="1"/>
  <c r="AW395" i="1"/>
  <c r="AC238" i="1"/>
  <c r="BO238" i="1"/>
  <c r="AV238" i="1"/>
  <c r="AZ401" i="1"/>
  <c r="BS401" i="1"/>
  <c r="AW398" i="1"/>
  <c r="AD398" i="1"/>
  <c r="BP398" i="1"/>
  <c r="BO399" i="1"/>
  <c r="AC399" i="1"/>
  <c r="AV399" i="1"/>
  <c r="AC295" i="1"/>
  <c r="BO295" i="1"/>
  <c r="AV295" i="1"/>
  <c r="BA401" i="1"/>
  <c r="BT401" i="1"/>
  <c r="AZ400" i="1"/>
  <c r="BS400" i="1"/>
  <c r="BN399" i="1"/>
  <c r="AU399" i="1"/>
  <c r="AB399" i="1"/>
  <c r="AK399" i="1" s="1"/>
  <c r="AB293" i="1"/>
  <c r="AK293" i="1" s="1"/>
  <c r="BN293" i="1"/>
  <c r="BW293" i="1" s="1"/>
  <c r="AU293" i="1"/>
  <c r="BD293" i="1" s="1"/>
  <c r="BA400" i="1"/>
  <c r="BT400" i="1"/>
  <c r="AD401" i="1"/>
  <c r="AW401" i="1"/>
  <c r="BP401" i="1"/>
  <c r="AW399" i="1"/>
  <c r="AD399" i="1"/>
  <c r="BP399" i="1"/>
  <c r="AV401" i="1"/>
  <c r="BO401" i="1"/>
  <c r="AC401" i="1"/>
  <c r="AD297" i="1"/>
  <c r="BP297" i="1"/>
  <c r="AW297" i="1"/>
  <c r="BP401" i="2"/>
  <c r="P400" i="1" s="1"/>
  <c r="BP398" i="2"/>
  <c r="P397" i="1" s="1"/>
  <c r="BP397" i="2"/>
  <c r="P396" i="1" s="1"/>
  <c r="BN295" i="2"/>
  <c r="N294" i="1" s="1"/>
  <c r="BN296" i="2"/>
  <c r="N295" i="1" s="1"/>
  <c r="BN298" i="2"/>
  <c r="N297" i="1" s="1"/>
  <c r="BO404" i="2"/>
  <c r="O403" i="1" s="1"/>
  <c r="BQ404" i="2"/>
  <c r="Q403" i="1" s="1"/>
  <c r="BP404" i="2"/>
  <c r="P403" i="1" s="1"/>
  <c r="BR404" i="2"/>
  <c r="R403" i="1" s="1"/>
  <c r="BN402" i="2"/>
  <c r="N401" i="1" s="1"/>
  <c r="BN297" i="2"/>
  <c r="N296" i="1" s="1"/>
  <c r="BN399" i="2"/>
  <c r="N398" i="1" s="1"/>
  <c r="BO399" i="2"/>
  <c r="O398" i="1" s="1"/>
  <c r="BP403" i="2"/>
  <c r="P402" i="1" s="1"/>
  <c r="BO403" i="2"/>
  <c r="O402" i="1" s="1"/>
  <c r="BQ403" i="2"/>
  <c r="Q402" i="1" s="1"/>
  <c r="BR403" i="2"/>
  <c r="R402" i="1" s="1"/>
  <c r="BN401" i="2"/>
  <c r="N400" i="1" s="1"/>
  <c r="BN397" i="2"/>
  <c r="N396" i="1" s="1"/>
  <c r="BN398" i="2"/>
  <c r="N397" i="1" s="1"/>
  <c r="BN396" i="2"/>
  <c r="N395" i="1" s="1"/>
  <c r="BN395" i="2"/>
  <c r="N394" i="1" s="1"/>
  <c r="BO401" i="2"/>
  <c r="O400" i="1" s="1"/>
  <c r="BO396" i="2"/>
  <c r="O395" i="1" s="1"/>
  <c r="BO397" i="2"/>
  <c r="O396" i="1" s="1"/>
  <c r="BO398" i="2"/>
  <c r="O397" i="1" s="1"/>
  <c r="BD399" i="1" l="1"/>
  <c r="AK394" i="1"/>
  <c r="AC396" i="1"/>
  <c r="BO396" i="1"/>
  <c r="AV396" i="1"/>
  <c r="AW403" i="1"/>
  <c r="BP403" i="1"/>
  <c r="AD403" i="1"/>
  <c r="AV395" i="1"/>
  <c r="BO395" i="1"/>
  <c r="AC395" i="1"/>
  <c r="AU396" i="1"/>
  <c r="AB396" i="1"/>
  <c r="BN396" i="1"/>
  <c r="BX293" i="1"/>
  <c r="AB397" i="1"/>
  <c r="AU397" i="1"/>
  <c r="BN397" i="1"/>
  <c r="AV403" i="1"/>
  <c r="AC403" i="1"/>
  <c r="BO403" i="1"/>
  <c r="BO397" i="1"/>
  <c r="AC397" i="1"/>
  <c r="AV397" i="1"/>
  <c r="BN297" i="1"/>
  <c r="BW297" i="1" s="1"/>
  <c r="AB297" i="1"/>
  <c r="AK297" i="1" s="1"/>
  <c r="AU297" i="1"/>
  <c r="BD297" i="1" s="1"/>
  <c r="AB400" i="1"/>
  <c r="AU400" i="1"/>
  <c r="BN400" i="1"/>
  <c r="BO402" i="1"/>
  <c r="AC402" i="1"/>
  <c r="AV402" i="1"/>
  <c r="AU295" i="1"/>
  <c r="BD295" i="1" s="1"/>
  <c r="BN295" i="1"/>
  <c r="BW295" i="1" s="1"/>
  <c r="AB295" i="1"/>
  <c r="AK295" i="1" s="1"/>
  <c r="BW399" i="1"/>
  <c r="BX399" i="1" s="1"/>
  <c r="AD402" i="1"/>
  <c r="BP402" i="1"/>
  <c r="AW402" i="1"/>
  <c r="AB294" i="1"/>
  <c r="AK294" i="1" s="1"/>
  <c r="AU294" i="1"/>
  <c r="BD294" i="1" s="1"/>
  <c r="BN294" i="1"/>
  <c r="BW294" i="1" s="1"/>
  <c r="BD394" i="1"/>
  <c r="G394" i="14" s="1"/>
  <c r="AV398" i="1"/>
  <c r="AC398" i="1"/>
  <c r="BO398" i="1"/>
  <c r="BP396" i="1"/>
  <c r="AD396" i="1"/>
  <c r="AW396" i="1"/>
  <c r="AB398" i="1"/>
  <c r="AU398" i="1"/>
  <c r="BN398" i="1"/>
  <c r="AD397" i="1"/>
  <c r="BP397" i="1"/>
  <c r="AW397" i="1"/>
  <c r="BW394" i="1"/>
  <c r="BX394" i="1" s="1"/>
  <c r="AB296" i="1"/>
  <c r="AK296" i="1" s="1"/>
  <c r="AU296" i="1"/>
  <c r="BD296" i="1" s="1"/>
  <c r="BN296" i="1"/>
  <c r="BW296" i="1" s="1"/>
  <c r="BP400" i="1"/>
  <c r="AW400" i="1"/>
  <c r="AD400" i="1"/>
  <c r="AC400" i="1"/>
  <c r="AV400" i="1"/>
  <c r="BO400" i="1"/>
  <c r="BN401" i="1"/>
  <c r="BW401" i="1" s="1"/>
  <c r="AU401" i="1"/>
  <c r="BD401" i="1" s="1"/>
  <c r="AB401" i="1"/>
  <c r="AK401" i="1" s="1"/>
  <c r="AB395" i="1"/>
  <c r="AK395" i="1" s="1"/>
  <c r="AU395" i="1"/>
  <c r="BD395" i="1" s="1"/>
  <c r="BN395" i="1"/>
  <c r="BW395" i="1" s="1"/>
  <c r="F394" i="14"/>
  <c r="G399" i="14"/>
  <c r="H293" i="14"/>
  <c r="G293" i="14"/>
  <c r="H399" i="14"/>
  <c r="G294" i="14"/>
  <c r="H294" i="14"/>
  <c r="G296" i="14"/>
  <c r="H296" i="14"/>
  <c r="G401" i="14"/>
  <c r="G395" i="14"/>
  <c r="G297" i="14"/>
  <c r="H297" i="14"/>
  <c r="BO405" i="2"/>
  <c r="O404" i="1" s="1"/>
  <c r="BP405" i="2"/>
  <c r="P404" i="1" s="1"/>
  <c r="BQ405" i="2"/>
  <c r="Q404" i="1" s="1"/>
  <c r="BR405" i="2"/>
  <c r="R404" i="1" s="1"/>
  <c r="BN403" i="2"/>
  <c r="N402" i="1" s="1"/>
  <c r="BQ406" i="2"/>
  <c r="Q405" i="1" s="1"/>
  <c r="BR406" i="2"/>
  <c r="R405" i="1" s="1"/>
  <c r="BN404" i="2"/>
  <c r="N403" i="1" s="1"/>
  <c r="H394" i="14"/>
  <c r="F399" i="14"/>
  <c r="G295" i="14"/>
  <c r="H295" i="14"/>
  <c r="F293" i="14"/>
  <c r="BX297" i="1" l="1"/>
  <c r="BW396" i="1"/>
  <c r="H396" i="14" s="1"/>
  <c r="AK396" i="1"/>
  <c r="BD396" i="1"/>
  <c r="BX295" i="1"/>
  <c r="BY295" i="1" s="1"/>
  <c r="BD398" i="1"/>
  <c r="J399" i="14"/>
  <c r="K399" i="14"/>
  <c r="L399" i="14"/>
  <c r="BY399" i="1"/>
  <c r="BX395" i="1"/>
  <c r="I295" i="14"/>
  <c r="J295" i="14"/>
  <c r="K295" i="14"/>
  <c r="L295" i="14"/>
  <c r="K297" i="14"/>
  <c r="L297" i="14"/>
  <c r="BY297" i="1"/>
  <c r="I297" i="14"/>
  <c r="J297" i="14"/>
  <c r="BX401" i="1"/>
  <c r="J394" i="14"/>
  <c r="K394" i="14"/>
  <c r="BY394" i="1"/>
  <c r="I394" i="14"/>
  <c r="BX396" i="1"/>
  <c r="BN402" i="1"/>
  <c r="AB402" i="1"/>
  <c r="AK402" i="1" s="1"/>
  <c r="AU402" i="1"/>
  <c r="BD402" i="1" s="1"/>
  <c r="BN403" i="1"/>
  <c r="BW403" i="1" s="1"/>
  <c r="AU403" i="1"/>
  <c r="BD403" i="1" s="1"/>
  <c r="AB403" i="1"/>
  <c r="AK403" i="1" s="1"/>
  <c r="BW398" i="1"/>
  <c r="BW400" i="1"/>
  <c r="BP404" i="1"/>
  <c r="AD404" i="1"/>
  <c r="AW404" i="1"/>
  <c r="BX294" i="1"/>
  <c r="BD400" i="1"/>
  <c r="G400" i="14" s="1"/>
  <c r="AC404" i="1"/>
  <c r="BO404" i="1"/>
  <c r="AV404" i="1"/>
  <c r="AK398" i="1"/>
  <c r="BX398" i="1" s="1"/>
  <c r="AK400" i="1"/>
  <c r="BW402" i="1"/>
  <c r="BW397" i="1"/>
  <c r="BD397" i="1"/>
  <c r="BX296" i="1"/>
  <c r="AK397" i="1"/>
  <c r="BY293" i="1"/>
  <c r="I293" i="14"/>
  <c r="J293" i="14"/>
  <c r="K293" i="14"/>
  <c r="L293" i="14"/>
  <c r="F401" i="14"/>
  <c r="F395" i="14"/>
  <c r="G396" i="14"/>
  <c r="H397" i="14"/>
  <c r="G397" i="14"/>
  <c r="H398" i="14"/>
  <c r="G398" i="14"/>
  <c r="F296" i="14"/>
  <c r="H400" i="14"/>
  <c r="G403" i="14"/>
  <c r="BQ408" i="2"/>
  <c r="Q407" i="1" s="1"/>
  <c r="BR408" i="2"/>
  <c r="R407" i="1" s="1"/>
  <c r="F297" i="14"/>
  <c r="H395" i="14"/>
  <c r="F294" i="14"/>
  <c r="F398" i="14"/>
  <c r="G402" i="14"/>
  <c r="H402" i="14"/>
  <c r="BQ407" i="2"/>
  <c r="Q406" i="1" s="1"/>
  <c r="BR407" i="2"/>
  <c r="R406" i="1" s="1"/>
  <c r="BN405" i="2"/>
  <c r="N404" i="1" s="1"/>
  <c r="F295" i="14"/>
  <c r="H401" i="14"/>
  <c r="F396" i="14"/>
  <c r="CD399" i="1" l="1"/>
  <c r="I399" i="14"/>
  <c r="CD394" i="1"/>
  <c r="L394" i="14"/>
  <c r="CD295" i="1"/>
  <c r="BX403" i="1"/>
  <c r="BX400" i="1"/>
  <c r="CJ394" i="1"/>
  <c r="CJ295" i="1"/>
  <c r="CD293" i="1"/>
  <c r="BY403" i="1"/>
  <c r="I403" i="14"/>
  <c r="J403" i="14"/>
  <c r="K403" i="14"/>
  <c r="L403" i="14"/>
  <c r="BN404" i="1"/>
  <c r="BW404" i="1" s="1"/>
  <c r="AU404" i="1"/>
  <c r="BD404" i="1" s="1"/>
  <c r="AB404" i="1"/>
  <c r="AK404" i="1" s="1"/>
  <c r="CJ293" i="1"/>
  <c r="I401" i="14"/>
  <c r="J401" i="14"/>
  <c r="K401" i="14"/>
  <c r="L401" i="14"/>
  <c r="BY401" i="1"/>
  <c r="K395" i="14"/>
  <c r="BY395" i="1"/>
  <c r="I395" i="14"/>
  <c r="J395" i="14"/>
  <c r="L395" i="14"/>
  <c r="BX397" i="1"/>
  <c r="CD297" i="1"/>
  <c r="I296" i="14"/>
  <c r="J296" i="14"/>
  <c r="K296" i="14"/>
  <c r="BY296" i="1"/>
  <c r="L296" i="14"/>
  <c r="BX402" i="1"/>
  <c r="CJ297" i="1"/>
  <c r="CJ399" i="1"/>
  <c r="J294" i="14"/>
  <c r="K294" i="14"/>
  <c r="L294" i="14"/>
  <c r="BY294" i="1"/>
  <c r="I294" i="14"/>
  <c r="BY398" i="1"/>
  <c r="I398" i="14"/>
  <c r="J398" i="14"/>
  <c r="K398" i="14"/>
  <c r="L398" i="14"/>
  <c r="K396" i="14"/>
  <c r="J396" i="14"/>
  <c r="L396" i="14"/>
  <c r="BY396" i="1"/>
  <c r="I396" i="14"/>
  <c r="F397" i="14"/>
  <c r="F400" i="14"/>
  <c r="F403" i="14"/>
  <c r="BR410" i="2"/>
  <c r="R409" i="1" s="1"/>
  <c r="AH409" i="1" s="1"/>
  <c r="BQ410" i="2"/>
  <c r="Q409" i="1" s="1"/>
  <c r="AG409" i="1" s="1"/>
  <c r="G404" i="14"/>
  <c r="F402" i="14"/>
  <c r="BQ409" i="2"/>
  <c r="Q408" i="1" s="1"/>
  <c r="AG408" i="1" s="1"/>
  <c r="BR409" i="2"/>
  <c r="R408" i="1" s="1"/>
  <c r="AH408" i="1" s="1"/>
  <c r="H403" i="14"/>
  <c r="CD396" i="1" l="1"/>
  <c r="BS409" i="1"/>
  <c r="AZ409" i="1"/>
  <c r="CD395" i="1"/>
  <c r="CJ398" i="1"/>
  <c r="BA409" i="1"/>
  <c r="BT409" i="1"/>
  <c r="I402" i="14"/>
  <c r="J402" i="14"/>
  <c r="L402" i="14"/>
  <c r="BY402" i="1"/>
  <c r="K402" i="14"/>
  <c r="CJ395" i="1"/>
  <c r="CD294" i="1"/>
  <c r="CJ296" i="1"/>
  <c r="CJ401" i="1"/>
  <c r="CD403" i="1"/>
  <c r="CJ403" i="1"/>
  <c r="CJ396" i="1"/>
  <c r="CD296" i="1"/>
  <c r="CD401" i="1"/>
  <c r="CJ294" i="1"/>
  <c r="BT408" i="1"/>
  <c r="BA408" i="1"/>
  <c r="BS408" i="1"/>
  <c r="AZ408" i="1"/>
  <c r="J397" i="14"/>
  <c r="I397" i="14"/>
  <c r="K397" i="14"/>
  <c r="BY397" i="1"/>
  <c r="L397" i="14"/>
  <c r="CD398" i="1"/>
  <c r="BX404" i="1"/>
  <c r="L400" i="14"/>
  <c r="BY400" i="1"/>
  <c r="K400" i="14"/>
  <c r="I400" i="14"/>
  <c r="J400" i="14"/>
  <c r="F404" i="14"/>
  <c r="N394" i="14"/>
  <c r="N399" i="14"/>
  <c r="BQ411" i="2"/>
  <c r="Q410" i="1" s="1"/>
  <c r="BR411" i="2"/>
  <c r="R410" i="1" s="1"/>
  <c r="BQ412" i="2"/>
  <c r="Q411" i="1" s="1"/>
  <c r="AG411" i="1" s="1"/>
  <c r="BR412" i="2"/>
  <c r="R411" i="1" s="1"/>
  <c r="AH411" i="1" s="1"/>
  <c r="H404" i="14"/>
  <c r="N293" i="14"/>
  <c r="CD397" i="1" l="1"/>
  <c r="BT411" i="1"/>
  <c r="BA411" i="1"/>
  <c r="CJ400" i="1"/>
  <c r="CJ402" i="1"/>
  <c r="BS411" i="1"/>
  <c r="AZ411" i="1"/>
  <c r="I404" i="14"/>
  <c r="J404" i="14"/>
  <c r="K404" i="14"/>
  <c r="L404" i="14"/>
  <c r="BY404" i="1"/>
  <c r="CD402" i="1"/>
  <c r="CJ397" i="1"/>
  <c r="CD400" i="1"/>
  <c r="N297" i="14"/>
  <c r="N398" i="14"/>
  <c r="BR414" i="2"/>
  <c r="R413" i="1" s="1"/>
  <c r="AH413" i="1" s="1"/>
  <c r="BQ414" i="2"/>
  <c r="Q413" i="1" s="1"/>
  <c r="AG413" i="1" s="1"/>
  <c r="N295" i="14"/>
  <c r="N401" i="14"/>
  <c r="N294" i="14"/>
  <c r="N396" i="14"/>
  <c r="N395" i="14"/>
  <c r="BR413" i="2"/>
  <c r="R412" i="1" s="1"/>
  <c r="BQ413" i="2"/>
  <c r="Q412" i="1" s="1"/>
  <c r="N296" i="14"/>
  <c r="N397" i="14"/>
  <c r="N400" i="14"/>
  <c r="CD404" i="1" l="1"/>
  <c r="AZ413" i="1"/>
  <c r="BS413" i="1"/>
  <c r="BA413" i="1"/>
  <c r="BT413" i="1"/>
  <c r="CJ404" i="1"/>
  <c r="N402" i="14"/>
  <c r="BQ415" i="2"/>
  <c r="Q414" i="1" s="1"/>
  <c r="BR415" i="2"/>
  <c r="R414" i="1" s="1"/>
  <c r="BQ416" i="2"/>
  <c r="Q415" i="1" s="1"/>
  <c r="BR416" i="2"/>
  <c r="R415" i="1" s="1"/>
  <c r="N403" i="14"/>
  <c r="BR417" i="2" l="1"/>
  <c r="R416" i="1" s="1"/>
  <c r="BQ417" i="2"/>
  <c r="Q416" i="1" s="1"/>
  <c r="N404" i="14"/>
  <c r="BQ418" i="2"/>
  <c r="Q417" i="1" s="1"/>
  <c r="BR418" i="2"/>
  <c r="R417" i="1" s="1"/>
  <c r="BQ420" i="2" l="1"/>
  <c r="Q419" i="1" s="1"/>
  <c r="AG419" i="1" s="1"/>
  <c r="BR420" i="2"/>
  <c r="R419" i="1" s="1"/>
  <c r="AH419" i="1" s="1"/>
  <c r="BR419" i="2"/>
  <c r="R418" i="1" s="1"/>
  <c r="BQ419" i="2"/>
  <c r="Q418" i="1" s="1"/>
  <c r="BA419" i="1" l="1"/>
  <c r="BT419" i="1"/>
  <c r="AZ419" i="1"/>
  <c r="BS419" i="1"/>
  <c r="BQ421" i="2"/>
  <c r="Q420" i="1" s="1"/>
  <c r="BR421" i="2"/>
  <c r="R420" i="1" s="1"/>
  <c r="BR422" i="2"/>
  <c r="R421" i="1" s="1"/>
  <c r="BQ422" i="2"/>
  <c r="Q421" i="1" s="1"/>
  <c r="BQ423" i="2" l="1"/>
  <c r="Q422" i="1" s="1"/>
  <c r="BR423" i="2"/>
  <c r="R422" i="1" s="1"/>
  <c r="BQ424" i="2"/>
  <c r="Q423" i="1" s="1"/>
  <c r="BR424" i="2"/>
  <c r="R423" i="1" s="1"/>
  <c r="BR425" i="2" l="1"/>
  <c r="R424" i="1" s="1"/>
  <c r="BQ425" i="2"/>
  <c r="Q424" i="1" s="1"/>
  <c r="BR426" i="2"/>
  <c r="R425" i="1" s="1"/>
  <c r="AH425" i="1" s="1"/>
  <c r="BQ426" i="2"/>
  <c r="Q425" i="1" s="1"/>
  <c r="AG425" i="1" s="1"/>
  <c r="BA425" i="1" l="1"/>
  <c r="BT425" i="1"/>
  <c r="AZ425" i="1"/>
  <c r="BS425" i="1"/>
  <c r="BQ428" i="2"/>
  <c r="Q427" i="1" s="1"/>
  <c r="BR428" i="2"/>
  <c r="R427" i="1" s="1"/>
  <c r="BR427" i="2"/>
  <c r="R426" i="1" s="1"/>
  <c r="BQ427" i="2"/>
  <c r="Q426" i="1" s="1"/>
  <c r="BR429" i="2" l="1"/>
  <c r="R428" i="1" s="1"/>
  <c r="BQ429" i="2"/>
  <c r="Q428" i="1" s="1"/>
  <c r="BQ430" i="2"/>
  <c r="Q429" i="1" s="1"/>
  <c r="AG429" i="1" s="1"/>
  <c r="BR430" i="2"/>
  <c r="R429" i="1" s="1"/>
  <c r="AH429" i="1" s="1"/>
  <c r="BS429" i="1" l="1"/>
  <c r="AZ429" i="1"/>
  <c r="BT429" i="1"/>
  <c r="BA429" i="1"/>
  <c r="BQ431" i="2"/>
  <c r="Q430" i="1" s="1"/>
  <c r="AG430" i="1" s="1"/>
  <c r="BR431" i="2"/>
  <c r="R430" i="1" s="1"/>
  <c r="AH430" i="1" s="1"/>
  <c r="BQ432" i="2"/>
  <c r="Q431" i="1" s="1"/>
  <c r="AG431" i="1" s="1"/>
  <c r="BR432" i="2"/>
  <c r="R431" i="1" s="1"/>
  <c r="AH431" i="1" s="1"/>
  <c r="BA431" i="1" l="1"/>
  <c r="BT431" i="1"/>
  <c r="BT430" i="1"/>
  <c r="BA430" i="1"/>
  <c r="AZ431" i="1"/>
  <c r="BS431" i="1"/>
  <c r="AZ430" i="1"/>
  <c r="BS430" i="1"/>
  <c r="BQ434" i="2"/>
  <c r="Q433" i="1" s="1"/>
  <c r="BR434" i="2"/>
  <c r="R433" i="1" s="1"/>
  <c r="BQ433" i="2"/>
  <c r="Q432" i="1" s="1"/>
  <c r="BR433" i="2"/>
  <c r="R432" i="1" s="1"/>
  <c r="BQ436" i="2" l="1"/>
  <c r="Q435" i="1" s="1"/>
  <c r="BR436" i="2"/>
  <c r="R435" i="1" s="1"/>
  <c r="BQ435" i="2"/>
  <c r="Q434" i="1" s="1"/>
  <c r="BR435" i="2"/>
  <c r="R434" i="1" s="1"/>
  <c r="BQ437" i="2" l="1"/>
  <c r="Q436" i="1" s="1"/>
  <c r="AG436" i="1" s="1"/>
  <c r="BR437" i="2"/>
  <c r="R436" i="1" s="1"/>
  <c r="AH436" i="1" s="1"/>
  <c r="BQ438" i="2"/>
  <c r="Q437" i="1" s="1"/>
  <c r="AG437" i="1" s="1"/>
  <c r="BR438" i="2"/>
  <c r="R437" i="1" s="1"/>
  <c r="AH437" i="1" s="1"/>
  <c r="BT437" i="1" l="1"/>
  <c r="BA437" i="1"/>
  <c r="BT436" i="1"/>
  <c r="BA436" i="1"/>
  <c r="AZ437" i="1"/>
  <c r="BS437" i="1"/>
  <c r="BS436" i="1"/>
  <c r="AZ436" i="1"/>
  <c r="BP438" i="2"/>
  <c r="P437" i="1" s="1"/>
  <c r="BQ440" i="2"/>
  <c r="Q439" i="1" s="1"/>
  <c r="BO440" i="2"/>
  <c r="O439" i="1" s="1"/>
  <c r="BP440" i="2"/>
  <c r="P439" i="1" s="1"/>
  <c r="BR440" i="2"/>
  <c r="R439" i="1" s="1"/>
  <c r="BQ439" i="2"/>
  <c r="Q438" i="1" s="1"/>
  <c r="AG438" i="1" s="1"/>
  <c r="BN426" i="2"/>
  <c r="N425" i="1" s="1"/>
  <c r="BR439" i="2"/>
  <c r="R438" i="1" s="1"/>
  <c r="AH438" i="1" s="1"/>
  <c r="BN302" i="2"/>
  <c r="N301" i="1" s="1"/>
  <c r="BN430" i="2"/>
  <c r="N429" i="1" s="1"/>
  <c r="BN424" i="2"/>
  <c r="N423" i="1" s="1"/>
  <c r="BN432" i="2"/>
  <c r="N431" i="1" s="1"/>
  <c r="BN429" i="2"/>
  <c r="N428" i="1" s="1"/>
  <c r="BN428" i="2"/>
  <c r="N427" i="1" s="1"/>
  <c r="BN427" i="2"/>
  <c r="N426" i="1" s="1"/>
  <c r="BN433" i="2"/>
  <c r="N432" i="1" s="1"/>
  <c r="BN434" i="2"/>
  <c r="N433" i="1" s="1"/>
  <c r="BO438" i="2"/>
  <c r="O437" i="1" s="1"/>
  <c r="BP437" i="2"/>
  <c r="P436" i="1" s="1"/>
  <c r="BP426" i="2"/>
  <c r="P425" i="1" s="1"/>
  <c r="BP430" i="2"/>
  <c r="P429" i="1" s="1"/>
  <c r="BP424" i="2"/>
  <c r="P423" i="1" s="1"/>
  <c r="BP301" i="2"/>
  <c r="P300" i="1" s="1"/>
  <c r="BP423" i="2"/>
  <c r="P422" i="1" s="1"/>
  <c r="BP431" i="2"/>
  <c r="P430" i="1" s="1"/>
  <c r="BP428" i="2"/>
  <c r="P427" i="1" s="1"/>
  <c r="BP427" i="2"/>
  <c r="P426" i="1" s="1"/>
  <c r="BP432" i="2"/>
  <c r="P431" i="1" s="1"/>
  <c r="BP425" i="2"/>
  <c r="P424" i="1" s="1"/>
  <c r="BP433" i="2"/>
  <c r="P432" i="1" s="1"/>
  <c r="BP434" i="2"/>
  <c r="P433" i="1" s="1"/>
  <c r="BO437" i="2"/>
  <c r="O436" i="1" s="1"/>
  <c r="BO426" i="2"/>
  <c r="O425" i="1" s="1"/>
  <c r="BO423" i="2"/>
  <c r="O422" i="1" s="1"/>
  <c r="BO301" i="2"/>
  <c r="O300" i="1" s="1"/>
  <c r="BO431" i="2"/>
  <c r="O430" i="1" s="1"/>
  <c r="BO432" i="2"/>
  <c r="O431" i="1" s="1"/>
  <c r="BO427" i="2"/>
  <c r="O426" i="1" s="1"/>
  <c r="BO428" i="2"/>
  <c r="O427" i="1" s="1"/>
  <c r="BO424" i="2"/>
  <c r="O423" i="1" s="1"/>
  <c r="BO430" i="2"/>
  <c r="O429" i="1" s="1"/>
  <c r="BO425" i="2"/>
  <c r="O424" i="1" s="1"/>
  <c r="BO429" i="2"/>
  <c r="O428" i="1" s="1"/>
  <c r="BO433" i="2"/>
  <c r="O432" i="1" s="1"/>
  <c r="BO434" i="2"/>
  <c r="O433" i="1" s="1"/>
  <c r="BP431" i="1" l="1"/>
  <c r="AD431" i="1"/>
  <c r="AW431" i="1"/>
  <c r="AB432" i="1"/>
  <c r="BN432" i="1"/>
  <c r="AU432" i="1"/>
  <c r="AD439" i="1"/>
  <c r="AW439" i="1"/>
  <c r="BP439" i="1"/>
  <c r="BP426" i="1"/>
  <c r="AD426" i="1"/>
  <c r="AW426" i="1"/>
  <c r="AB426" i="1"/>
  <c r="BN426" i="1"/>
  <c r="AU426" i="1"/>
  <c r="AC439" i="1"/>
  <c r="AV439" i="1"/>
  <c r="BO439" i="1"/>
  <c r="BO423" i="1"/>
  <c r="AC423" i="1"/>
  <c r="AV423" i="1"/>
  <c r="BO426" i="1"/>
  <c r="AC426" i="1"/>
  <c r="AV426" i="1"/>
  <c r="AD427" i="1"/>
  <c r="BP427" i="1"/>
  <c r="AW427" i="1"/>
  <c r="BN427" i="1"/>
  <c r="AU427" i="1"/>
  <c r="AB427" i="1"/>
  <c r="AK427" i="1" s="1"/>
  <c r="AD430" i="1"/>
  <c r="BP430" i="1"/>
  <c r="AW430" i="1"/>
  <c r="AB428" i="1"/>
  <c r="BN428" i="1"/>
  <c r="AU428" i="1"/>
  <c r="AD437" i="1"/>
  <c r="BP437" i="1"/>
  <c r="AW437" i="1"/>
  <c r="AC431" i="1"/>
  <c r="AV431" i="1"/>
  <c r="BO431" i="1"/>
  <c r="AV430" i="1"/>
  <c r="AC430" i="1"/>
  <c r="BO430" i="1"/>
  <c r="BP422" i="1"/>
  <c r="AW422" i="1"/>
  <c r="AD422" i="1"/>
  <c r="AB431" i="1"/>
  <c r="BN431" i="1"/>
  <c r="AU431" i="1"/>
  <c r="AV427" i="1"/>
  <c r="AC427" i="1"/>
  <c r="BO427" i="1"/>
  <c r="AC300" i="1"/>
  <c r="AV300" i="1"/>
  <c r="BO300" i="1"/>
  <c r="AD300" i="1"/>
  <c r="BP300" i="1"/>
  <c r="AW300" i="1"/>
  <c r="AB423" i="1"/>
  <c r="BN423" i="1"/>
  <c r="AU423" i="1"/>
  <c r="AC422" i="1"/>
  <c r="AV422" i="1"/>
  <c r="BO422" i="1"/>
  <c r="AD423" i="1"/>
  <c r="BP423" i="1"/>
  <c r="AW423" i="1"/>
  <c r="AB429" i="1"/>
  <c r="BN429" i="1"/>
  <c r="AU429" i="1"/>
  <c r="BD429" i="1" s="1"/>
  <c r="AC425" i="1"/>
  <c r="AV425" i="1"/>
  <c r="BO425" i="1"/>
  <c r="BP429" i="1"/>
  <c r="AD429" i="1"/>
  <c r="AW429" i="1"/>
  <c r="BN301" i="1"/>
  <c r="AU301" i="1"/>
  <c r="AB301" i="1"/>
  <c r="BO432" i="1"/>
  <c r="AC432" i="1"/>
  <c r="AV432" i="1"/>
  <c r="AV436" i="1"/>
  <c r="AC436" i="1"/>
  <c r="BO436" i="1"/>
  <c r="BP425" i="1"/>
  <c r="AW425" i="1"/>
  <c r="AD425" i="1"/>
  <c r="BT438" i="1"/>
  <c r="BA438" i="1"/>
  <c r="AV433" i="1"/>
  <c r="AC433" i="1"/>
  <c r="BO433" i="1"/>
  <c r="AD433" i="1"/>
  <c r="BP433" i="1"/>
  <c r="AW433" i="1"/>
  <c r="AD436" i="1"/>
  <c r="BP436" i="1"/>
  <c r="AW436" i="1"/>
  <c r="AB425" i="1"/>
  <c r="AK425" i="1" s="1"/>
  <c r="BN425" i="1"/>
  <c r="BW425" i="1" s="1"/>
  <c r="AU425" i="1"/>
  <c r="BD425" i="1" s="1"/>
  <c r="AV424" i="1"/>
  <c r="BO424" i="1"/>
  <c r="AC424" i="1"/>
  <c r="BP432" i="1"/>
  <c r="AD432" i="1"/>
  <c r="AW432" i="1"/>
  <c r="AC437" i="1"/>
  <c r="AV437" i="1"/>
  <c r="BO437" i="1"/>
  <c r="BS438" i="1"/>
  <c r="AZ438" i="1"/>
  <c r="AC428" i="1"/>
  <c r="AV428" i="1"/>
  <c r="BO428" i="1"/>
  <c r="BO429" i="1"/>
  <c r="AC429" i="1"/>
  <c r="AV429" i="1"/>
  <c r="AD424" i="1"/>
  <c r="BP424" i="1"/>
  <c r="AW424" i="1"/>
  <c r="AB433" i="1"/>
  <c r="BN433" i="1"/>
  <c r="AU433" i="1"/>
  <c r="BD433" i="1" s="1"/>
  <c r="BN437" i="2"/>
  <c r="N436" i="1" s="1"/>
  <c r="BN425" i="2"/>
  <c r="N424" i="1" s="1"/>
  <c r="BN301" i="2"/>
  <c r="N300" i="1" s="1"/>
  <c r="BN438" i="2"/>
  <c r="N437" i="1" s="1"/>
  <c r="BO441" i="2"/>
  <c r="O440" i="1" s="1"/>
  <c r="BQ441" i="2"/>
  <c r="Q440" i="1" s="1"/>
  <c r="BR441" i="2"/>
  <c r="R440" i="1" s="1"/>
  <c r="BN439" i="2"/>
  <c r="N438" i="1" s="1"/>
  <c r="BP441" i="2"/>
  <c r="P440" i="1" s="1"/>
  <c r="BN435" i="2"/>
  <c r="N434" i="1" s="1"/>
  <c r="BN436" i="2"/>
  <c r="N435" i="1" s="1"/>
  <c r="BN431" i="2"/>
  <c r="N430" i="1" s="1"/>
  <c r="BN423" i="2"/>
  <c r="N422" i="1" s="1"/>
  <c r="BP429" i="2"/>
  <c r="P428" i="1" s="1"/>
  <c r="BP439" i="2"/>
  <c r="P438" i="1" s="1"/>
  <c r="BP435" i="2"/>
  <c r="P434" i="1" s="1"/>
  <c r="BP436" i="2"/>
  <c r="P435" i="1" s="1"/>
  <c r="BO442" i="2"/>
  <c r="O441" i="1" s="1"/>
  <c r="BP442" i="2"/>
  <c r="P441" i="1" s="1"/>
  <c r="BN440" i="2"/>
  <c r="N439" i="1" s="1"/>
  <c r="BQ442" i="2"/>
  <c r="Q441" i="1" s="1"/>
  <c r="BR442" i="2"/>
  <c r="R441" i="1" s="1"/>
  <c r="BO439" i="2"/>
  <c r="O438" i="1" s="1"/>
  <c r="BO435" i="2"/>
  <c r="O434" i="1" s="1"/>
  <c r="BO436" i="2"/>
  <c r="O435" i="1" s="1"/>
  <c r="BX425" i="1" l="1"/>
  <c r="BW422" i="1"/>
  <c r="BW433" i="1"/>
  <c r="AC438" i="1"/>
  <c r="BO438" i="1"/>
  <c r="AV438" i="1"/>
  <c r="BN430" i="1"/>
  <c r="BW430" i="1" s="1"/>
  <c r="AB430" i="1"/>
  <c r="AK430" i="1" s="1"/>
  <c r="AU430" i="1"/>
  <c r="BD430" i="1" s="1"/>
  <c r="BN437" i="1"/>
  <c r="BW437" i="1" s="1"/>
  <c r="AB437" i="1"/>
  <c r="AK437" i="1" s="1"/>
  <c r="AU437" i="1"/>
  <c r="BD437" i="1" s="1"/>
  <c r="BW429" i="1"/>
  <c r="AK429" i="1"/>
  <c r="AB435" i="1"/>
  <c r="BN435" i="1"/>
  <c r="AU435" i="1"/>
  <c r="BN424" i="1"/>
  <c r="BW424" i="1" s="1"/>
  <c r="AU424" i="1"/>
  <c r="BD424" i="1" s="1"/>
  <c r="AB424" i="1"/>
  <c r="AK424" i="1" s="1"/>
  <c r="BW300" i="1"/>
  <c r="AB434" i="1"/>
  <c r="AU434" i="1"/>
  <c r="BN434" i="1"/>
  <c r="BN436" i="1"/>
  <c r="BW436" i="1" s="1"/>
  <c r="AB436" i="1"/>
  <c r="AK436" i="1" s="1"/>
  <c r="AU436" i="1"/>
  <c r="BD436" i="1" s="1"/>
  <c r="BD300" i="1"/>
  <c r="G300" i="14" s="1"/>
  <c r="AU439" i="1"/>
  <c r="BD439" i="1" s="1"/>
  <c r="AB439" i="1"/>
  <c r="AK439" i="1" s="1"/>
  <c r="BN439" i="1"/>
  <c r="BW439" i="1" s="1"/>
  <c r="AD440" i="1"/>
  <c r="AW440" i="1"/>
  <c r="BP440" i="1"/>
  <c r="AK300" i="1"/>
  <c r="BN438" i="1"/>
  <c r="AB438" i="1"/>
  <c r="AU438" i="1"/>
  <c r="K425" i="14"/>
  <c r="L425" i="14"/>
  <c r="BY425" i="1"/>
  <c r="I425" i="14"/>
  <c r="J425" i="14"/>
  <c r="BD432" i="1"/>
  <c r="AC441" i="1"/>
  <c r="AV441" i="1"/>
  <c r="BO441" i="1"/>
  <c r="AK433" i="1"/>
  <c r="BX433" i="1" s="1"/>
  <c r="BD422" i="1"/>
  <c r="BD427" i="1"/>
  <c r="G427" i="14" s="1"/>
  <c r="BW432" i="1"/>
  <c r="H432" i="14" s="1"/>
  <c r="AD441" i="1"/>
  <c r="BP441" i="1"/>
  <c r="AW441" i="1"/>
  <c r="BP435" i="1"/>
  <c r="AD435" i="1"/>
  <c r="AW435" i="1"/>
  <c r="AK422" i="1"/>
  <c r="BW427" i="1"/>
  <c r="AK432" i="1"/>
  <c r="BP434" i="1"/>
  <c r="AD434" i="1"/>
  <c r="AW434" i="1"/>
  <c r="AV440" i="1"/>
  <c r="BO440" i="1"/>
  <c r="AC440" i="1"/>
  <c r="BD423" i="1"/>
  <c r="G423" i="14" s="1"/>
  <c r="BD431" i="1"/>
  <c r="G431" i="14" s="1"/>
  <c r="BD426" i="1"/>
  <c r="BO435" i="1"/>
  <c r="AC435" i="1"/>
  <c r="AV435" i="1"/>
  <c r="BP438" i="1"/>
  <c r="AW438" i="1"/>
  <c r="AD438" i="1"/>
  <c r="BW423" i="1"/>
  <c r="H423" i="14" s="1"/>
  <c r="BW431" i="1"/>
  <c r="BW426" i="1"/>
  <c r="H426" i="14" s="1"/>
  <c r="AC434" i="1"/>
  <c r="AV434" i="1"/>
  <c r="BO434" i="1"/>
  <c r="BP428" i="1"/>
  <c r="BW428" i="1" s="1"/>
  <c r="H428" i="14" s="1"/>
  <c r="AD428" i="1"/>
  <c r="AK428" i="1" s="1"/>
  <c r="AW428" i="1"/>
  <c r="BD428" i="1" s="1"/>
  <c r="AK423" i="1"/>
  <c r="AK431" i="1"/>
  <c r="AK426" i="1"/>
  <c r="F427" i="14"/>
  <c r="H422" i="14"/>
  <c r="G422" i="14"/>
  <c r="G432" i="14"/>
  <c r="H429" i="14"/>
  <c r="G429" i="14"/>
  <c r="G426" i="14"/>
  <c r="H433" i="14"/>
  <c r="G433" i="14"/>
  <c r="G425" i="14"/>
  <c r="F432" i="14"/>
  <c r="BR443" i="2"/>
  <c r="R442" i="1" s="1"/>
  <c r="BO443" i="2"/>
  <c r="O442" i="1" s="1"/>
  <c r="BN441" i="2"/>
  <c r="N440" i="1" s="1"/>
  <c r="BP443" i="2"/>
  <c r="P442" i="1" s="1"/>
  <c r="BQ443" i="2"/>
  <c r="Q442" i="1" s="1"/>
  <c r="H300" i="14"/>
  <c r="H427" i="14"/>
  <c r="G430" i="14"/>
  <c r="F423" i="14"/>
  <c r="F431" i="14"/>
  <c r="F426" i="14"/>
  <c r="BN442" i="2"/>
  <c r="N441" i="1" s="1"/>
  <c r="BR444" i="2"/>
  <c r="R443" i="1" s="1"/>
  <c r="AH443" i="1" s="1"/>
  <c r="BQ444" i="2"/>
  <c r="Q443" i="1" s="1"/>
  <c r="AG443" i="1" s="1"/>
  <c r="G424" i="14"/>
  <c r="H424" i="14"/>
  <c r="G439" i="14"/>
  <c r="H425" i="14"/>
  <c r="F422" i="14"/>
  <c r="G437" i="14"/>
  <c r="H437" i="14"/>
  <c r="G436" i="14"/>
  <c r="BX422" i="1" l="1"/>
  <c r="BX437" i="1"/>
  <c r="BX423" i="1"/>
  <c r="BX428" i="1"/>
  <c r="G428" i="14"/>
  <c r="K433" i="14"/>
  <c r="BY433" i="1"/>
  <c r="I433" i="14"/>
  <c r="L433" i="14"/>
  <c r="J433" i="14"/>
  <c r="BY422" i="1"/>
  <c r="I422" i="14"/>
  <c r="J422" i="14"/>
  <c r="K422" i="14"/>
  <c r="L422" i="14"/>
  <c r="AV442" i="1"/>
  <c r="BO442" i="1"/>
  <c r="AC442" i="1"/>
  <c r="BD434" i="1"/>
  <c r="BX431" i="1"/>
  <c r="H431" i="14"/>
  <c r="AK434" i="1"/>
  <c r="AB441" i="1"/>
  <c r="AK441" i="1" s="1"/>
  <c r="BN441" i="1"/>
  <c r="BW441" i="1" s="1"/>
  <c r="AU441" i="1"/>
  <c r="BD441" i="1" s="1"/>
  <c r="CD425" i="1"/>
  <c r="BX426" i="1"/>
  <c r="BX432" i="1"/>
  <c r="CJ425" i="1"/>
  <c r="K437" i="14"/>
  <c r="BY437" i="1"/>
  <c r="I437" i="14"/>
  <c r="L437" i="14"/>
  <c r="J437" i="14"/>
  <c r="BX439" i="1"/>
  <c r="BX424" i="1"/>
  <c r="I423" i="14"/>
  <c r="J423" i="14"/>
  <c r="K423" i="14"/>
  <c r="L423" i="14"/>
  <c r="BY423" i="1"/>
  <c r="BX430" i="1"/>
  <c r="BD438" i="1"/>
  <c r="G438" i="14" s="1"/>
  <c r="BD435" i="1"/>
  <c r="G435" i="14" s="1"/>
  <c r="CD422" i="1"/>
  <c r="AK438" i="1"/>
  <c r="F438" i="14" s="1"/>
  <c r="BX436" i="1"/>
  <c r="BW435" i="1"/>
  <c r="BS443" i="1"/>
  <c r="AZ443" i="1"/>
  <c r="BA443" i="1"/>
  <c r="BT443" i="1"/>
  <c r="BW438" i="1"/>
  <c r="AK435" i="1"/>
  <c r="BP442" i="1"/>
  <c r="AD442" i="1"/>
  <c r="AW442" i="1"/>
  <c r="BX300" i="1"/>
  <c r="AU440" i="1"/>
  <c r="BD440" i="1" s="1"/>
  <c r="BN440" i="1"/>
  <c r="BW440" i="1" s="1"/>
  <c r="AB440" i="1"/>
  <c r="AK440" i="1" s="1"/>
  <c r="BX427" i="1"/>
  <c r="BW434" i="1"/>
  <c r="BX429" i="1"/>
  <c r="F429" i="14"/>
  <c r="H434" i="14"/>
  <c r="F425" i="14"/>
  <c r="F433" i="14"/>
  <c r="F300" i="14"/>
  <c r="F436" i="14"/>
  <c r="F430" i="14"/>
  <c r="F439" i="14"/>
  <c r="F428" i="14"/>
  <c r="G434" i="14"/>
  <c r="H435" i="14"/>
  <c r="H439" i="14"/>
  <c r="H438" i="14"/>
  <c r="H436" i="14"/>
  <c r="G441" i="14"/>
  <c r="F424" i="14"/>
  <c r="G440" i="14"/>
  <c r="F437" i="14"/>
  <c r="BQ445" i="2"/>
  <c r="Q444" i="1" s="1"/>
  <c r="BR445" i="2"/>
  <c r="R444" i="1" s="1"/>
  <c r="BN443" i="2"/>
  <c r="N442" i="1" s="1"/>
  <c r="F434" i="14"/>
  <c r="BR446" i="2"/>
  <c r="R445" i="1" s="1"/>
  <c r="BQ446" i="2"/>
  <c r="Q445" i="1" s="1"/>
  <c r="H430" i="14"/>
  <c r="BX441" i="1" l="1"/>
  <c r="BX440" i="1"/>
  <c r="J439" i="14"/>
  <c r="K439" i="14"/>
  <c r="L439" i="14"/>
  <c r="BY439" i="1"/>
  <c r="I439" i="14"/>
  <c r="L441" i="14"/>
  <c r="BY441" i="1"/>
  <c r="I441" i="14"/>
  <c r="J441" i="14"/>
  <c r="K441" i="14"/>
  <c r="BY430" i="1"/>
  <c r="I430" i="14"/>
  <c r="J430" i="14"/>
  <c r="K430" i="14"/>
  <c r="L430" i="14"/>
  <c r="CJ422" i="1"/>
  <c r="J429" i="14"/>
  <c r="I429" i="14"/>
  <c r="K429" i="14"/>
  <c r="L429" i="14"/>
  <c r="BY429" i="1"/>
  <c r="CJ423" i="1"/>
  <c r="CD437" i="1"/>
  <c r="BX434" i="1"/>
  <c r="CJ437" i="1"/>
  <c r="I427" i="14"/>
  <c r="J427" i="14"/>
  <c r="K427" i="14"/>
  <c r="L427" i="14"/>
  <c r="BY427" i="1"/>
  <c r="BY431" i="1"/>
  <c r="J431" i="14"/>
  <c r="K431" i="14"/>
  <c r="L431" i="14"/>
  <c r="I431" i="14"/>
  <c r="CD433" i="1"/>
  <c r="F435" i="14"/>
  <c r="CJ433" i="1"/>
  <c r="BY440" i="1"/>
  <c r="I440" i="14"/>
  <c r="J440" i="14"/>
  <c r="K440" i="14"/>
  <c r="L440" i="14"/>
  <c r="CD423" i="1"/>
  <c r="BX435" i="1"/>
  <c r="BY432" i="1"/>
  <c r="I432" i="14"/>
  <c r="J432" i="14"/>
  <c r="K432" i="14"/>
  <c r="L432" i="14"/>
  <c r="AB442" i="1"/>
  <c r="AK442" i="1" s="1"/>
  <c r="BN442" i="1"/>
  <c r="BW442" i="1" s="1"/>
  <c r="AU442" i="1"/>
  <c r="BD442" i="1" s="1"/>
  <c r="G442" i="14" s="1"/>
  <c r="J300" i="14"/>
  <c r="K300" i="14"/>
  <c r="L300" i="14"/>
  <c r="BY300" i="1"/>
  <c r="I300" i="14"/>
  <c r="J436" i="14"/>
  <c r="BY436" i="1"/>
  <c r="I436" i="14"/>
  <c r="K436" i="14"/>
  <c r="L436" i="14"/>
  <c r="BY424" i="1"/>
  <c r="I424" i="14"/>
  <c r="J424" i="14"/>
  <c r="K424" i="14"/>
  <c r="L424" i="14"/>
  <c r="BX438" i="1"/>
  <c r="K426" i="14"/>
  <c r="L426" i="14"/>
  <c r="BY426" i="1"/>
  <c r="I426" i="14"/>
  <c r="J426" i="14"/>
  <c r="BY428" i="1"/>
  <c r="I428" i="14"/>
  <c r="J428" i="14"/>
  <c r="K428" i="14"/>
  <c r="L428" i="14"/>
  <c r="F440" i="14"/>
  <c r="F441" i="14"/>
  <c r="H441" i="14"/>
  <c r="BR448" i="2"/>
  <c r="R447" i="1" s="1"/>
  <c r="AH447" i="1" s="1"/>
  <c r="BQ448" i="2"/>
  <c r="Q447" i="1" s="1"/>
  <c r="AG447" i="1" s="1"/>
  <c r="BQ447" i="2"/>
  <c r="Q446" i="1" s="1"/>
  <c r="BR447" i="2"/>
  <c r="R446" i="1" s="1"/>
  <c r="H440" i="14"/>
  <c r="CD441" i="1" l="1"/>
  <c r="CD429" i="1"/>
  <c r="CD440" i="1"/>
  <c r="CD436" i="1"/>
  <c r="BX442" i="1"/>
  <c r="CJ431" i="1"/>
  <c r="CJ429" i="1"/>
  <c r="CJ430" i="1"/>
  <c r="CD426" i="1"/>
  <c r="CJ440" i="1"/>
  <c r="CJ427" i="1"/>
  <c r="CJ436" i="1"/>
  <c r="CD432" i="1"/>
  <c r="CD300" i="1"/>
  <c r="CJ432" i="1"/>
  <c r="CD427" i="1"/>
  <c r="CJ441" i="1"/>
  <c r="K438" i="14"/>
  <c r="J438" i="14"/>
  <c r="L438" i="14"/>
  <c r="BY438" i="1"/>
  <c r="I438" i="14"/>
  <c r="CJ300" i="1"/>
  <c r="J435" i="14"/>
  <c r="K435" i="14"/>
  <c r="L435" i="14"/>
  <c r="BY435" i="1"/>
  <c r="I435" i="14"/>
  <c r="AZ447" i="1"/>
  <c r="BS447" i="1"/>
  <c r="CJ426" i="1"/>
  <c r="BA447" i="1"/>
  <c r="BT447" i="1"/>
  <c r="CD439" i="1"/>
  <c r="CD431" i="1"/>
  <c r="J434" i="14"/>
  <c r="K434" i="14"/>
  <c r="BY434" i="1"/>
  <c r="I434" i="14"/>
  <c r="L434" i="14"/>
  <c r="CJ439" i="1"/>
  <c r="CD428" i="1"/>
  <c r="CD424" i="1"/>
  <c r="CJ428" i="1"/>
  <c r="CJ424" i="1"/>
  <c r="CD430" i="1"/>
  <c r="F442" i="14"/>
  <c r="N432" i="14"/>
  <c r="BQ449" i="2"/>
  <c r="Q448" i="1" s="1"/>
  <c r="AG448" i="1" s="1"/>
  <c r="BR449" i="2"/>
  <c r="R448" i="1" s="1"/>
  <c r="AH448" i="1" s="1"/>
  <c r="N433" i="14"/>
  <c r="N428" i="14"/>
  <c r="N422" i="14"/>
  <c r="N425" i="14"/>
  <c r="N429" i="14"/>
  <c r="BQ450" i="2"/>
  <c r="Q449" i="1" s="1"/>
  <c r="BR450" i="2"/>
  <c r="R449" i="1" s="1"/>
  <c r="N300" i="14"/>
  <c r="N423" i="14"/>
  <c r="H442" i="14"/>
  <c r="N431" i="14"/>
  <c r="N427" i="14"/>
  <c r="N426" i="14"/>
  <c r="CD434" i="1" l="1"/>
  <c r="CJ434" i="1"/>
  <c r="CD435" i="1"/>
  <c r="CJ435" i="1"/>
  <c r="BT448" i="1"/>
  <c r="BA448" i="1"/>
  <c r="BS448" i="1"/>
  <c r="AZ448" i="1"/>
  <c r="CD438" i="1"/>
  <c r="CJ438" i="1"/>
  <c r="L442" i="14"/>
  <c r="K442" i="14"/>
  <c r="BY442" i="1"/>
  <c r="J442" i="14"/>
  <c r="I442" i="14"/>
  <c r="N434" i="14"/>
  <c r="BR451" i="2"/>
  <c r="R450" i="1" s="1"/>
  <c r="BQ451" i="2"/>
  <c r="Q450" i="1" s="1"/>
  <c r="N435" i="14"/>
  <c r="N439" i="14"/>
  <c r="N437" i="14"/>
  <c r="N424" i="14"/>
  <c r="N430" i="14"/>
  <c r="N438" i="14"/>
  <c r="BQ452" i="2"/>
  <c r="Q451" i="1" s="1"/>
  <c r="AG451" i="1" s="1"/>
  <c r="BR452" i="2"/>
  <c r="R451" i="1" s="1"/>
  <c r="AH451" i="1" s="1"/>
  <c r="N436" i="14"/>
  <c r="CD442" i="1" l="1"/>
  <c r="BT451" i="1"/>
  <c r="BA451" i="1"/>
  <c r="BS451" i="1"/>
  <c r="AZ451" i="1"/>
  <c r="CJ442" i="1"/>
  <c r="N441" i="14"/>
  <c r="BQ453" i="2"/>
  <c r="Q452" i="1" s="1"/>
  <c r="BR453" i="2"/>
  <c r="R452" i="1" s="1"/>
  <c r="BR454" i="2"/>
  <c r="R453" i="1" s="1"/>
  <c r="BQ454" i="2"/>
  <c r="Q453" i="1" s="1"/>
  <c r="N440" i="14"/>
  <c r="BR456" i="2" l="1"/>
  <c r="R455" i="1" s="1"/>
  <c r="AH455" i="1" s="1"/>
  <c r="BQ456" i="2"/>
  <c r="Q455" i="1" s="1"/>
  <c r="AG455" i="1" s="1"/>
  <c r="BQ455" i="2"/>
  <c r="Q454" i="1" s="1"/>
  <c r="BR455" i="2"/>
  <c r="R454" i="1" s="1"/>
  <c r="N442" i="14"/>
  <c r="BT455" i="1" l="1"/>
  <c r="BA455" i="1"/>
  <c r="BS455" i="1"/>
  <c r="AZ455" i="1"/>
  <c r="BQ457" i="2"/>
  <c r="Q456" i="1" s="1"/>
  <c r="BR457" i="2"/>
  <c r="R456" i="1" s="1"/>
  <c r="BR458" i="2"/>
  <c r="R457" i="1" s="1"/>
  <c r="BQ458" i="2"/>
  <c r="Q457" i="1" s="1"/>
  <c r="BR460" i="2" l="1"/>
  <c r="R459" i="1" s="1"/>
  <c r="BQ460" i="2"/>
  <c r="Q459" i="1" s="1"/>
  <c r="BQ459" i="2"/>
  <c r="Q458" i="1" s="1"/>
  <c r="BR459" i="2"/>
  <c r="R458" i="1" s="1"/>
  <c r="BO459" i="2" l="1"/>
  <c r="O458" i="1" s="1"/>
  <c r="BP459" i="2"/>
  <c r="P458" i="1" s="1"/>
  <c r="BN459" i="2"/>
  <c r="N458" i="1" s="1"/>
  <c r="BO461" i="2"/>
  <c r="O460" i="1" s="1"/>
  <c r="BQ461" i="2"/>
  <c r="Q460" i="1" s="1"/>
  <c r="BP461" i="2"/>
  <c r="P460" i="1" s="1"/>
  <c r="BR461" i="2"/>
  <c r="R460" i="1" s="1"/>
  <c r="BN460" i="2"/>
  <c r="N459" i="1" s="1"/>
  <c r="BQ462" i="2"/>
  <c r="Q461" i="1" s="1"/>
  <c r="AG461" i="1" s="1"/>
  <c r="BR462" i="2"/>
  <c r="R461" i="1" s="1"/>
  <c r="AH461" i="1" s="1"/>
  <c r="BP460" i="2"/>
  <c r="P459" i="1" s="1"/>
  <c r="BO460" i="2"/>
  <c r="O459" i="1" s="1"/>
  <c r="BO459" i="1" l="1"/>
  <c r="AC459" i="1"/>
  <c r="AV459" i="1"/>
  <c r="BA461" i="1"/>
  <c r="BT461" i="1"/>
  <c r="AU459" i="1"/>
  <c r="AB459" i="1"/>
  <c r="BN459" i="1"/>
  <c r="BW459" i="1" s="1"/>
  <c r="BP459" i="1"/>
  <c r="AD459" i="1"/>
  <c r="AW459" i="1"/>
  <c r="BS461" i="1"/>
  <c r="AZ461" i="1"/>
  <c r="BP460" i="1"/>
  <c r="AD460" i="1"/>
  <c r="AW460" i="1"/>
  <c r="BO460" i="1"/>
  <c r="AC460" i="1"/>
  <c r="AV460" i="1"/>
  <c r="AU458" i="1"/>
  <c r="AB458" i="1"/>
  <c r="AK458" i="1" s="1"/>
  <c r="BN458" i="1"/>
  <c r="BW458" i="1" s="1"/>
  <c r="BP458" i="1"/>
  <c r="AW458" i="1"/>
  <c r="AD458" i="1"/>
  <c r="AC458" i="1"/>
  <c r="AV458" i="1"/>
  <c r="BO458" i="1"/>
  <c r="BQ464" i="2"/>
  <c r="Q463" i="1" s="1"/>
  <c r="BN462" i="2"/>
  <c r="N461" i="1" s="1"/>
  <c r="BR464" i="2"/>
  <c r="R463" i="1" s="1"/>
  <c r="BN453" i="2"/>
  <c r="N452" i="1" s="1"/>
  <c r="BN454" i="2"/>
  <c r="N453" i="1" s="1"/>
  <c r="BN451" i="2"/>
  <c r="N450" i="1" s="1"/>
  <c r="BN310" i="2"/>
  <c r="N309" i="1" s="1"/>
  <c r="BN311" i="2"/>
  <c r="N310" i="1" s="1"/>
  <c r="BN456" i="2"/>
  <c r="N455" i="1" s="1"/>
  <c r="BN455" i="2"/>
  <c r="N454" i="1" s="1"/>
  <c r="BN450" i="2"/>
  <c r="N449" i="1" s="1"/>
  <c r="BN452" i="2"/>
  <c r="N451" i="1" s="1"/>
  <c r="BN308" i="2"/>
  <c r="N307" i="1" s="1"/>
  <c r="BN307" i="2"/>
  <c r="N306" i="1" s="1"/>
  <c r="BN309" i="2"/>
  <c r="N308" i="1" s="1"/>
  <c r="BN458" i="2"/>
  <c r="N457" i="1" s="1"/>
  <c r="BN457" i="2"/>
  <c r="N456" i="1" s="1"/>
  <c r="BO462" i="2"/>
  <c r="O461" i="1" s="1"/>
  <c r="BO453" i="2"/>
  <c r="O452" i="1" s="1"/>
  <c r="BO454" i="2"/>
  <c r="O453" i="1" s="1"/>
  <c r="BO311" i="2"/>
  <c r="O310" i="1" s="1"/>
  <c r="BO451" i="2"/>
  <c r="O450" i="1" s="1"/>
  <c r="BO452" i="2"/>
  <c r="O451" i="1" s="1"/>
  <c r="BO456" i="2"/>
  <c r="O455" i="1" s="1"/>
  <c r="BO450" i="2"/>
  <c r="O449" i="1" s="1"/>
  <c r="BO455" i="2"/>
  <c r="O454" i="1" s="1"/>
  <c r="BO307" i="2"/>
  <c r="O306" i="1" s="1"/>
  <c r="BO310" i="2"/>
  <c r="O309" i="1" s="1"/>
  <c r="BO308" i="2"/>
  <c r="O307" i="1" s="1"/>
  <c r="BO309" i="2"/>
  <c r="O308" i="1" s="1"/>
  <c r="BO306" i="2"/>
  <c r="O305" i="1" s="1"/>
  <c r="BO458" i="2"/>
  <c r="O457" i="1" s="1"/>
  <c r="BO457" i="2"/>
  <c r="O456" i="1" s="1"/>
  <c r="BP462" i="2"/>
  <c r="P461" i="1" s="1"/>
  <c r="BP454" i="2"/>
  <c r="P453" i="1" s="1"/>
  <c r="BP453" i="2"/>
  <c r="P452" i="1" s="1"/>
  <c r="BP456" i="2"/>
  <c r="P455" i="1" s="1"/>
  <c r="BP450" i="2"/>
  <c r="P449" i="1" s="1"/>
  <c r="BP452" i="2"/>
  <c r="P451" i="1" s="1"/>
  <c r="BP308" i="2"/>
  <c r="P307" i="1" s="1"/>
  <c r="BP307" i="2"/>
  <c r="P306" i="1" s="1"/>
  <c r="BP455" i="2"/>
  <c r="P454" i="1" s="1"/>
  <c r="BP310" i="2"/>
  <c r="P309" i="1" s="1"/>
  <c r="BP309" i="2"/>
  <c r="P308" i="1" s="1"/>
  <c r="BP451" i="2"/>
  <c r="P450" i="1" s="1"/>
  <c r="BP306" i="2"/>
  <c r="P305" i="1" s="1"/>
  <c r="BP311" i="2"/>
  <c r="P310" i="1" s="1"/>
  <c r="BP458" i="2"/>
  <c r="P457" i="1" s="1"/>
  <c r="BP457" i="2"/>
  <c r="P456" i="1" s="1"/>
  <c r="BR463" i="2"/>
  <c r="R462" i="1" s="1"/>
  <c r="BN461" i="2"/>
  <c r="N460" i="1" s="1"/>
  <c r="BQ463" i="2"/>
  <c r="Q462" i="1" s="1"/>
  <c r="BO463" i="2"/>
  <c r="O462" i="1" s="1"/>
  <c r="BP463" i="2"/>
  <c r="P462" i="1" s="1"/>
  <c r="BD458" i="1" l="1"/>
  <c r="BX458" i="1"/>
  <c r="AK459" i="1"/>
  <c r="AD308" i="1"/>
  <c r="BP308" i="1"/>
  <c r="AW308" i="1"/>
  <c r="BO457" i="1"/>
  <c r="AV457" i="1"/>
  <c r="AC457" i="1"/>
  <c r="BO453" i="1"/>
  <c r="AC453" i="1"/>
  <c r="AV453" i="1"/>
  <c r="BN310" i="1"/>
  <c r="AU310" i="1"/>
  <c r="AB310" i="1"/>
  <c r="BP309" i="1"/>
  <c r="AD309" i="1"/>
  <c r="AW309" i="1"/>
  <c r="AC305" i="1"/>
  <c r="AV305" i="1"/>
  <c r="BO305" i="1"/>
  <c r="AC452" i="1"/>
  <c r="BO452" i="1"/>
  <c r="AV452" i="1"/>
  <c r="AB309" i="1"/>
  <c r="BN309" i="1"/>
  <c r="AU309" i="1"/>
  <c r="BP454" i="1"/>
  <c r="AD454" i="1"/>
  <c r="AW454" i="1"/>
  <c r="BO308" i="1"/>
  <c r="AC308" i="1"/>
  <c r="AV308" i="1"/>
  <c r="AC461" i="1"/>
  <c r="BO461" i="1"/>
  <c r="AV461" i="1"/>
  <c r="AD306" i="1"/>
  <c r="BP306" i="1"/>
  <c r="AW306" i="1"/>
  <c r="BO307" i="1"/>
  <c r="AC307" i="1"/>
  <c r="AV307" i="1"/>
  <c r="BN456" i="1"/>
  <c r="AU456" i="1"/>
  <c r="AB456" i="1"/>
  <c r="BN453" i="1"/>
  <c r="AU453" i="1"/>
  <c r="AB453" i="1"/>
  <c r="BO462" i="1"/>
  <c r="AC462" i="1"/>
  <c r="AV462" i="1"/>
  <c r="AD307" i="1"/>
  <c r="AW307" i="1"/>
  <c r="BP307" i="1"/>
  <c r="BO309" i="1"/>
  <c r="AC309" i="1"/>
  <c r="AV309" i="1"/>
  <c r="AB457" i="1"/>
  <c r="BN457" i="1"/>
  <c r="AU457" i="1"/>
  <c r="AU452" i="1"/>
  <c r="AB452" i="1"/>
  <c r="BN452" i="1"/>
  <c r="BY458" i="1"/>
  <c r="I458" i="14"/>
  <c r="J458" i="14"/>
  <c r="K458" i="14"/>
  <c r="AB460" i="1"/>
  <c r="AK460" i="1" s="1"/>
  <c r="BN460" i="1"/>
  <c r="BW460" i="1" s="1"/>
  <c r="AU460" i="1"/>
  <c r="BD460" i="1" s="1"/>
  <c r="BP451" i="1"/>
  <c r="AD451" i="1"/>
  <c r="AW451" i="1"/>
  <c r="AC306" i="1"/>
  <c r="AV306" i="1"/>
  <c r="BO306" i="1"/>
  <c r="AB308" i="1"/>
  <c r="AK308" i="1" s="1"/>
  <c r="AU308" i="1"/>
  <c r="BD308" i="1" s="1"/>
  <c r="BN308" i="1"/>
  <c r="BW308" i="1" s="1"/>
  <c r="BP449" i="1"/>
  <c r="AD449" i="1"/>
  <c r="AW449" i="1"/>
  <c r="BO454" i="1"/>
  <c r="AV454" i="1"/>
  <c r="AC454" i="1"/>
  <c r="BN306" i="1"/>
  <c r="AU306" i="1"/>
  <c r="AB306" i="1"/>
  <c r="AK306" i="1" s="1"/>
  <c r="BN461" i="1"/>
  <c r="BW461" i="1" s="1"/>
  <c r="AU461" i="1"/>
  <c r="BD461" i="1" s="1"/>
  <c r="AB461" i="1"/>
  <c r="BD459" i="1"/>
  <c r="BP456" i="1"/>
  <c r="AD456" i="1"/>
  <c r="AW456" i="1"/>
  <c r="BP455" i="1"/>
  <c r="AW455" i="1"/>
  <c r="AD455" i="1"/>
  <c r="BO449" i="1"/>
  <c r="AV449" i="1"/>
  <c r="AC449" i="1"/>
  <c r="AK449" i="1" s="1"/>
  <c r="BN307" i="1"/>
  <c r="BW307" i="1" s="1"/>
  <c r="AU307" i="1"/>
  <c r="BD307" i="1" s="1"/>
  <c r="AB307" i="1"/>
  <c r="AK307" i="1" s="1"/>
  <c r="BP457" i="1"/>
  <c r="AD457" i="1"/>
  <c r="AW457" i="1"/>
  <c r="BP452" i="1"/>
  <c r="AW452" i="1"/>
  <c r="AD452" i="1"/>
  <c r="AC455" i="1"/>
  <c r="AV455" i="1"/>
  <c r="BO455" i="1"/>
  <c r="AB451" i="1"/>
  <c r="BN451" i="1"/>
  <c r="BW451" i="1" s="1"/>
  <c r="AU451" i="1"/>
  <c r="AW310" i="1"/>
  <c r="AD310" i="1"/>
  <c r="BP310" i="1"/>
  <c r="BP453" i="1"/>
  <c r="AD453" i="1"/>
  <c r="AW453" i="1"/>
  <c r="BO451" i="1"/>
  <c r="AV451" i="1"/>
  <c r="AC451" i="1"/>
  <c r="AD305" i="1"/>
  <c r="BP305" i="1"/>
  <c r="AW305" i="1"/>
  <c r="BP461" i="1"/>
  <c r="AW461" i="1"/>
  <c r="AD461" i="1"/>
  <c r="BO450" i="1"/>
  <c r="AC450" i="1"/>
  <c r="AV450" i="1"/>
  <c r="AB454" i="1"/>
  <c r="BN454" i="1"/>
  <c r="BW454" i="1" s="1"/>
  <c r="AU454" i="1"/>
  <c r="BD454" i="1" s="1"/>
  <c r="BP462" i="1"/>
  <c r="AW462" i="1"/>
  <c r="AD462" i="1"/>
  <c r="AD450" i="1"/>
  <c r="BP450" i="1"/>
  <c r="AW450" i="1"/>
  <c r="BO456" i="1"/>
  <c r="AC456" i="1"/>
  <c r="AV456" i="1"/>
  <c r="BO310" i="1"/>
  <c r="AV310" i="1"/>
  <c r="AC310" i="1"/>
  <c r="AU455" i="1"/>
  <c r="BD455" i="1" s="1"/>
  <c r="AB455" i="1"/>
  <c r="AK455" i="1" s="1"/>
  <c r="BN455" i="1"/>
  <c r="F459" i="14"/>
  <c r="G458" i="14"/>
  <c r="BQ466" i="2"/>
  <c r="Q465" i="1" s="1"/>
  <c r="BR466" i="2"/>
  <c r="R465" i="1" s="1"/>
  <c r="H459" i="14"/>
  <c r="G460" i="14"/>
  <c r="H458" i="14"/>
  <c r="BQ465" i="2"/>
  <c r="Q464" i="1" s="1"/>
  <c r="BR465" i="2"/>
  <c r="R464" i="1" s="1"/>
  <c r="BN463" i="2"/>
  <c r="N462" i="1" s="1"/>
  <c r="CD458" i="1" l="1"/>
  <c r="L458" i="14"/>
  <c r="BD449" i="1"/>
  <c r="BW450" i="1"/>
  <c r="AK309" i="1"/>
  <c r="AK450" i="1"/>
  <c r="AK452" i="1"/>
  <c r="BW309" i="1"/>
  <c r="BD453" i="1"/>
  <c r="AK454" i="1"/>
  <c r="BX454" i="1" s="1"/>
  <c r="BW449" i="1"/>
  <c r="BX449" i="1" s="1"/>
  <c r="BD309" i="1"/>
  <c r="G309" i="14" s="1"/>
  <c r="BW452" i="1"/>
  <c r="AK310" i="1"/>
  <c r="BD310" i="1"/>
  <c r="BD452" i="1"/>
  <c r="BW310" i="1"/>
  <c r="BD457" i="1"/>
  <c r="AK453" i="1"/>
  <c r="BW457" i="1"/>
  <c r="BW455" i="1"/>
  <c r="BD451" i="1"/>
  <c r="BX307" i="1"/>
  <c r="BX459" i="1"/>
  <c r="G459" i="14"/>
  <c r="AK457" i="1"/>
  <c r="BW453" i="1"/>
  <c r="AU462" i="1"/>
  <c r="BD462" i="1" s="1"/>
  <c r="AB462" i="1"/>
  <c r="AK462" i="1" s="1"/>
  <c r="BN462" i="1"/>
  <c r="BW462" i="1" s="1"/>
  <c r="AK461" i="1"/>
  <c r="BX461" i="1" s="1"/>
  <c r="BX460" i="1"/>
  <c r="AK456" i="1"/>
  <c r="BW305" i="1"/>
  <c r="BD456" i="1"/>
  <c r="BD305" i="1"/>
  <c r="BX455" i="1"/>
  <c r="AK451" i="1"/>
  <c r="BX308" i="1"/>
  <c r="BW456" i="1"/>
  <c r="AK305" i="1"/>
  <c r="BD306" i="1"/>
  <c r="BD450" i="1"/>
  <c r="BX450" i="1" s="1"/>
  <c r="BW306" i="1"/>
  <c r="H306" i="14" s="1"/>
  <c r="CJ458" i="1"/>
  <c r="G450" i="14"/>
  <c r="G308" i="14"/>
  <c r="F457" i="14"/>
  <c r="F456" i="14"/>
  <c r="F460" i="14"/>
  <c r="F458" i="14"/>
  <c r="F450" i="14"/>
  <c r="G454" i="14"/>
  <c r="H454" i="14"/>
  <c r="H449" i="14"/>
  <c r="H452" i="14"/>
  <c r="H453" i="14"/>
  <c r="G452" i="14"/>
  <c r="G453" i="14"/>
  <c r="H305" i="14"/>
  <c r="G457" i="14"/>
  <c r="G456" i="14"/>
  <c r="G305" i="14"/>
  <c r="G449" i="14"/>
  <c r="H309" i="14"/>
  <c r="H310" i="14"/>
  <c r="G310" i="14"/>
  <c r="G307" i="14"/>
  <c r="G455" i="14"/>
  <c r="H461" i="14"/>
  <c r="G451" i="14"/>
  <c r="G461" i="14"/>
  <c r="G306" i="14"/>
  <c r="H308" i="14"/>
  <c r="F449" i="14"/>
  <c r="F306" i="14"/>
  <c r="H460" i="14"/>
  <c r="H451" i="14"/>
  <c r="H450" i="14"/>
  <c r="G462" i="14"/>
  <c r="F452" i="14"/>
  <c r="F453" i="14"/>
  <c r="F309" i="14"/>
  <c r="F310" i="14"/>
  <c r="F305" i="14"/>
  <c r="H456" i="14"/>
  <c r="H455" i="14"/>
  <c r="BR467" i="2"/>
  <c r="R466" i="1" s="1"/>
  <c r="BQ467" i="2"/>
  <c r="Q466" i="1" s="1"/>
  <c r="BQ468" i="2"/>
  <c r="Q467" i="1" s="1"/>
  <c r="BR468" i="2"/>
  <c r="R467" i="1" s="1"/>
  <c r="BX309" i="1" l="1"/>
  <c r="BX451" i="1"/>
  <c r="BX306" i="1"/>
  <c r="BX457" i="1"/>
  <c r="BY457" i="1" s="1"/>
  <c r="BY306" i="1"/>
  <c r="I306" i="14"/>
  <c r="J306" i="14"/>
  <c r="K306" i="14"/>
  <c r="L306" i="14"/>
  <c r="BX305" i="1"/>
  <c r="J457" i="14"/>
  <c r="K457" i="14"/>
  <c r="L457" i="14"/>
  <c r="I457" i="14"/>
  <c r="BX456" i="1"/>
  <c r="BY308" i="1"/>
  <c r="I308" i="14"/>
  <c r="J308" i="14"/>
  <c r="K308" i="14"/>
  <c r="L308" i="14"/>
  <c r="BY461" i="1"/>
  <c r="I461" i="14"/>
  <c r="J461" i="14"/>
  <c r="K461" i="14"/>
  <c r="L461" i="14"/>
  <c r="BY451" i="1"/>
  <c r="I451" i="14"/>
  <c r="J451" i="14"/>
  <c r="K451" i="14"/>
  <c r="L451" i="14"/>
  <c r="BX462" i="1"/>
  <c r="BY450" i="1"/>
  <c r="I450" i="14"/>
  <c r="J450" i="14"/>
  <c r="K450" i="14"/>
  <c r="L450" i="14"/>
  <c r="BY455" i="1"/>
  <c r="I455" i="14"/>
  <c r="J455" i="14"/>
  <c r="K455" i="14"/>
  <c r="L455" i="14"/>
  <c r="BX453" i="1"/>
  <c r="K309" i="14"/>
  <c r="L309" i="14"/>
  <c r="BY309" i="1"/>
  <c r="I309" i="14"/>
  <c r="J309" i="14"/>
  <c r="J454" i="14"/>
  <c r="K454" i="14"/>
  <c r="L454" i="14"/>
  <c r="BY454" i="1"/>
  <c r="I454" i="14"/>
  <c r="BX310" i="1"/>
  <c r="J459" i="14"/>
  <c r="K459" i="14"/>
  <c r="L459" i="14"/>
  <c r="BY459" i="1"/>
  <c r="I459" i="14"/>
  <c r="CD306" i="1"/>
  <c r="BY307" i="1"/>
  <c r="I307" i="14"/>
  <c r="J307" i="14"/>
  <c r="K307" i="14"/>
  <c r="L307" i="14"/>
  <c r="I460" i="14"/>
  <c r="J460" i="14"/>
  <c r="K460" i="14"/>
  <c r="L460" i="14"/>
  <c r="BY460" i="1"/>
  <c r="BX452" i="1"/>
  <c r="BY449" i="1"/>
  <c r="I449" i="14"/>
  <c r="J449" i="14"/>
  <c r="K449" i="14"/>
  <c r="L449" i="14"/>
  <c r="H457" i="14"/>
  <c r="F454" i="14"/>
  <c r="F461" i="14"/>
  <c r="F307" i="14"/>
  <c r="F451" i="14"/>
  <c r="F462" i="14"/>
  <c r="F455" i="14"/>
  <c r="F308" i="14"/>
  <c r="H307" i="14"/>
  <c r="BR470" i="2"/>
  <c r="R469" i="1" s="1"/>
  <c r="BQ470" i="2"/>
  <c r="Q469" i="1" s="1"/>
  <c r="H462" i="14"/>
  <c r="BQ469" i="2"/>
  <c r="Q468" i="1" s="1"/>
  <c r="AG468" i="1" s="1"/>
  <c r="BR469" i="2"/>
  <c r="R468" i="1" s="1"/>
  <c r="AH468" i="1" s="1"/>
  <c r="CD309" i="1" l="1"/>
  <c r="CD450" i="1"/>
  <c r="CD461" i="1"/>
  <c r="CD459" i="1"/>
  <c r="CJ459" i="1"/>
  <c r="CJ309" i="1"/>
  <c r="CJ461" i="1"/>
  <c r="CJ450" i="1"/>
  <c r="BY462" i="1"/>
  <c r="I462" i="14"/>
  <c r="J462" i="14"/>
  <c r="K462" i="14"/>
  <c r="L462" i="14"/>
  <c r="CD460" i="1"/>
  <c r="J453" i="14"/>
  <c r="K453" i="14"/>
  <c r="L453" i="14"/>
  <c r="BY453" i="1"/>
  <c r="BY310" i="1"/>
  <c r="I310" i="14"/>
  <c r="J310" i="14"/>
  <c r="K310" i="14"/>
  <c r="L310" i="14"/>
  <c r="J305" i="14"/>
  <c r="BY305" i="1"/>
  <c r="I305" i="14"/>
  <c r="K305" i="14"/>
  <c r="L305" i="14"/>
  <c r="BA468" i="1"/>
  <c r="BT468" i="1"/>
  <c r="CD454" i="1"/>
  <c r="CD308" i="1"/>
  <c r="CJ454" i="1"/>
  <c r="CD451" i="1"/>
  <c r="CJ308" i="1"/>
  <c r="CD455" i="1"/>
  <c r="CJ451" i="1"/>
  <c r="CJ460" i="1"/>
  <c r="AZ468" i="1"/>
  <c r="BS468" i="1"/>
  <c r="CD449" i="1"/>
  <c r="CD307" i="1"/>
  <c r="CJ455" i="1"/>
  <c r="BY456" i="1"/>
  <c r="I456" i="14"/>
  <c r="J456" i="14"/>
  <c r="K456" i="14"/>
  <c r="L456" i="14"/>
  <c r="CJ307" i="1"/>
  <c r="CD457" i="1"/>
  <c r="CJ449" i="1"/>
  <c r="BY452" i="1"/>
  <c r="I452" i="14"/>
  <c r="J452" i="14"/>
  <c r="K452" i="14"/>
  <c r="L452" i="14"/>
  <c r="CJ457" i="1"/>
  <c r="CJ306" i="1"/>
  <c r="N459" i="14"/>
  <c r="BQ472" i="2"/>
  <c r="Q471" i="1" s="1"/>
  <c r="AG471" i="1" s="1"/>
  <c r="BR472" i="2"/>
  <c r="R471" i="1" s="1"/>
  <c r="AH471" i="1" s="1"/>
  <c r="N458" i="14"/>
  <c r="BR471" i="2"/>
  <c r="R470" i="1" s="1"/>
  <c r="BQ471" i="2"/>
  <c r="Q470" i="1" s="1"/>
  <c r="CD453" i="1" l="1"/>
  <c r="I453" i="14"/>
  <c r="CD462" i="1"/>
  <c r="BS471" i="1"/>
  <c r="AZ471" i="1"/>
  <c r="CD310" i="1"/>
  <c r="CJ462" i="1"/>
  <c r="CJ310" i="1"/>
  <c r="BT471" i="1"/>
  <c r="BA471" i="1"/>
  <c r="CJ452" i="1"/>
  <c r="CJ453" i="1"/>
  <c r="CD456" i="1"/>
  <c r="CD305" i="1"/>
  <c r="CJ456" i="1"/>
  <c r="CJ305" i="1"/>
  <c r="CD452" i="1"/>
  <c r="N461" i="14"/>
  <c r="N455" i="14"/>
  <c r="N305" i="14"/>
  <c r="N456" i="14"/>
  <c r="N308" i="14"/>
  <c r="N460" i="14"/>
  <c r="N450" i="14"/>
  <c r="N307" i="14"/>
  <c r="N453" i="14"/>
  <c r="N451" i="14"/>
  <c r="N309" i="14"/>
  <c r="N306" i="14"/>
  <c r="BR473" i="2"/>
  <c r="R472" i="1" s="1"/>
  <c r="AH472" i="1" s="1"/>
  <c r="BQ473" i="2"/>
  <c r="Q472" i="1" s="1"/>
  <c r="AG472" i="1" s="1"/>
  <c r="N310" i="14"/>
  <c r="N449" i="14"/>
  <c r="N454" i="14"/>
  <c r="N457" i="14"/>
  <c r="BR474" i="2"/>
  <c r="R473" i="1" s="1"/>
  <c r="BQ474" i="2"/>
  <c r="Q473" i="1" s="1"/>
  <c r="N452" i="14"/>
  <c r="AZ472" i="1" l="1"/>
  <c r="BS472" i="1"/>
  <c r="BT472" i="1"/>
  <c r="BA472" i="1"/>
  <c r="BR476" i="2"/>
  <c r="R475" i="1" s="1"/>
  <c r="BQ476" i="2"/>
  <c r="Q475" i="1" s="1"/>
  <c r="BQ475" i="2"/>
  <c r="Q474" i="1" s="1"/>
  <c r="BR475" i="2"/>
  <c r="R474" i="1" s="1"/>
  <c r="N462" i="14"/>
  <c r="BR478" i="2" l="1"/>
  <c r="R477" i="1" s="1"/>
  <c r="AH477" i="1" s="1"/>
  <c r="BQ478" i="2"/>
  <c r="Q477" i="1" s="1"/>
  <c r="AG477" i="1" s="1"/>
  <c r="BQ477" i="2"/>
  <c r="Q476" i="1" s="1"/>
  <c r="BR477" i="2"/>
  <c r="R476" i="1" s="1"/>
  <c r="AZ477" i="1" l="1"/>
  <c r="BS477" i="1"/>
  <c r="BT477" i="1"/>
  <c r="BA477" i="1"/>
  <c r="BQ479" i="2"/>
  <c r="Q478" i="1" s="1"/>
  <c r="BR479" i="2"/>
  <c r="R478" i="1" s="1"/>
  <c r="BR480" i="2"/>
  <c r="R479" i="1" s="1"/>
  <c r="AH479" i="1" s="1"/>
  <c r="BQ480" i="2"/>
  <c r="Q479" i="1" s="1"/>
  <c r="AG479" i="1" s="1"/>
  <c r="AZ479" i="1" l="1"/>
  <c r="BS479" i="1"/>
  <c r="BT479" i="1"/>
  <c r="BA479" i="1"/>
  <c r="BQ482" i="2"/>
  <c r="Q481" i="1" s="1"/>
  <c r="BR482" i="2"/>
  <c r="R481" i="1" s="1"/>
  <c r="BQ481" i="2"/>
  <c r="Q480" i="1" s="1"/>
  <c r="BR481" i="2"/>
  <c r="R480" i="1" s="1"/>
  <c r="BQ483" i="2" l="1"/>
  <c r="Q482" i="1" s="1"/>
  <c r="BR483" i="2"/>
  <c r="R482" i="1" s="1"/>
  <c r="BQ484" i="2"/>
  <c r="Q483" i="1" s="1"/>
  <c r="AG483" i="1" s="1"/>
  <c r="BR484" i="2"/>
  <c r="R483" i="1" s="1"/>
  <c r="AH483" i="1" s="1"/>
  <c r="AZ483" i="1" l="1"/>
  <c r="BS483" i="1"/>
  <c r="BT483" i="1"/>
  <c r="BA483" i="1"/>
  <c r="BQ486" i="2"/>
  <c r="Q485" i="1" s="1"/>
  <c r="AG485" i="1" s="1"/>
  <c r="BR486" i="2"/>
  <c r="R485" i="1" s="1"/>
  <c r="AH485" i="1" s="1"/>
  <c r="BN484" i="2"/>
  <c r="N483" i="1" s="1"/>
  <c r="BN474" i="2"/>
  <c r="N473" i="1" s="1"/>
  <c r="BN473" i="2"/>
  <c r="N472" i="1" s="1"/>
  <c r="BN478" i="2"/>
  <c r="N477" i="1" s="1"/>
  <c r="BN243" i="2"/>
  <c r="N242" i="1" s="1"/>
  <c r="BN315" i="2"/>
  <c r="N314" i="1" s="1"/>
  <c r="BN312" i="2"/>
  <c r="N311" i="1" s="1"/>
  <c r="BN244" i="2"/>
  <c r="N243" i="1" s="1"/>
  <c r="BN476" i="2"/>
  <c r="N475" i="1" s="1"/>
  <c r="BN472" i="2"/>
  <c r="N471" i="1" s="1"/>
  <c r="BN477" i="2"/>
  <c r="N476" i="1" s="1"/>
  <c r="BN479" i="2"/>
  <c r="N478" i="1" s="1"/>
  <c r="BN480" i="2"/>
  <c r="N479" i="1" s="1"/>
  <c r="BN475" i="2"/>
  <c r="N474" i="1" s="1"/>
  <c r="BP484" i="2"/>
  <c r="P483" i="1" s="1"/>
  <c r="BP315" i="2"/>
  <c r="P314" i="1" s="1"/>
  <c r="BP472" i="2"/>
  <c r="P471" i="1" s="1"/>
  <c r="BP313" i="2"/>
  <c r="P312" i="1" s="1"/>
  <c r="BP480" i="2"/>
  <c r="P479" i="1" s="1"/>
  <c r="BP478" i="2"/>
  <c r="P477" i="1" s="1"/>
  <c r="BP475" i="2"/>
  <c r="P474" i="1" s="1"/>
  <c r="BP476" i="2"/>
  <c r="P475" i="1" s="1"/>
  <c r="BP474" i="2"/>
  <c r="P473" i="1" s="1"/>
  <c r="BP479" i="2"/>
  <c r="P478" i="1" s="1"/>
  <c r="BP477" i="2"/>
  <c r="P476" i="1" s="1"/>
  <c r="BP473" i="2"/>
  <c r="P472" i="1" s="1"/>
  <c r="BO484" i="2"/>
  <c r="O483" i="1" s="1"/>
  <c r="BO478" i="2"/>
  <c r="O477" i="1" s="1"/>
  <c r="BO314" i="2"/>
  <c r="O313" i="1" s="1"/>
  <c r="BO313" i="2"/>
  <c r="O312" i="1" s="1"/>
  <c r="BO474" i="2"/>
  <c r="O473" i="1" s="1"/>
  <c r="BO473" i="2"/>
  <c r="O472" i="1" s="1"/>
  <c r="BO472" i="2"/>
  <c r="O471" i="1" s="1"/>
  <c r="BO244" i="2"/>
  <c r="O243" i="1" s="1"/>
  <c r="BO476" i="2"/>
  <c r="O475" i="1" s="1"/>
  <c r="BO479" i="2"/>
  <c r="O478" i="1" s="1"/>
  <c r="BO477" i="2"/>
  <c r="O476" i="1" s="1"/>
  <c r="BO475" i="2"/>
  <c r="O474" i="1" s="1"/>
  <c r="BO480" i="2"/>
  <c r="O479" i="1" s="1"/>
  <c r="BN483" i="2"/>
  <c r="N482" i="1" s="1"/>
  <c r="BO485" i="2"/>
  <c r="O484" i="1" s="1"/>
  <c r="BP485" i="2"/>
  <c r="P484" i="1" s="1"/>
  <c r="BQ485" i="2"/>
  <c r="Q484" i="1" s="1"/>
  <c r="BR485" i="2"/>
  <c r="R484" i="1" s="1"/>
  <c r="BP483" i="2"/>
  <c r="P482" i="1" s="1"/>
  <c r="BO483" i="2"/>
  <c r="O482" i="1" s="1"/>
  <c r="BO312" i="1" l="1"/>
  <c r="AC312" i="1"/>
  <c r="AV312" i="1"/>
  <c r="BP312" i="1"/>
  <c r="AD312" i="1"/>
  <c r="AW312" i="1"/>
  <c r="AB314" i="1"/>
  <c r="AU314" i="1"/>
  <c r="BN314" i="1"/>
  <c r="AC313" i="1"/>
  <c r="AV313" i="1"/>
  <c r="BO313" i="1"/>
  <c r="BP471" i="1"/>
  <c r="AD471" i="1"/>
  <c r="AW471" i="1"/>
  <c r="BN242" i="1"/>
  <c r="AB242" i="1"/>
  <c r="AU242" i="1"/>
  <c r="AU482" i="1"/>
  <c r="AB482" i="1"/>
  <c r="BN482" i="1"/>
  <c r="AC477" i="1"/>
  <c r="AV477" i="1"/>
  <c r="BO477" i="1"/>
  <c r="BP314" i="1"/>
  <c r="AW314" i="1"/>
  <c r="AD314" i="1"/>
  <c r="AB477" i="1"/>
  <c r="BN477" i="1"/>
  <c r="AU477" i="1"/>
  <c r="BO483" i="1"/>
  <c r="AC483" i="1"/>
  <c r="AV483" i="1"/>
  <c r="AW483" i="1"/>
  <c r="AD483" i="1"/>
  <c r="BP483" i="1"/>
  <c r="AB472" i="1"/>
  <c r="BN472" i="1"/>
  <c r="AU472" i="1"/>
  <c r="AC474" i="1"/>
  <c r="AV474" i="1"/>
  <c r="BO474" i="1"/>
  <c r="BP472" i="1"/>
  <c r="AD472" i="1"/>
  <c r="AW472" i="1"/>
  <c r="AU474" i="1"/>
  <c r="AB474" i="1"/>
  <c r="BN474" i="1"/>
  <c r="BN473" i="1"/>
  <c r="AU473" i="1"/>
  <c r="AB473" i="1"/>
  <c r="BO484" i="1"/>
  <c r="AV484" i="1"/>
  <c r="AC484" i="1"/>
  <c r="BP476" i="1"/>
  <c r="AW476" i="1"/>
  <c r="AD476" i="1"/>
  <c r="AU479" i="1"/>
  <c r="AB479" i="1"/>
  <c r="BN479" i="1"/>
  <c r="BN483" i="1"/>
  <c r="AU483" i="1"/>
  <c r="AB483" i="1"/>
  <c r="AC476" i="1"/>
  <c r="AV476" i="1"/>
  <c r="BO476" i="1"/>
  <c r="BO478" i="1"/>
  <c r="AC478" i="1"/>
  <c r="AV478" i="1"/>
  <c r="AW478" i="1"/>
  <c r="AD478" i="1"/>
  <c r="BP478" i="1"/>
  <c r="AB478" i="1"/>
  <c r="AU478" i="1"/>
  <c r="BN478" i="1"/>
  <c r="BA485" i="1"/>
  <c r="BT485" i="1"/>
  <c r="AC475" i="1"/>
  <c r="BO475" i="1"/>
  <c r="AV475" i="1"/>
  <c r="BP473" i="1"/>
  <c r="AW473" i="1"/>
  <c r="AD473" i="1"/>
  <c r="AU476" i="1"/>
  <c r="BD476" i="1" s="1"/>
  <c r="AB476" i="1"/>
  <c r="BN476" i="1"/>
  <c r="BS485" i="1"/>
  <c r="AZ485" i="1"/>
  <c r="AC479" i="1"/>
  <c r="BO479" i="1"/>
  <c r="AV479" i="1"/>
  <c r="AV243" i="1"/>
  <c r="AC243" i="1"/>
  <c r="BO243" i="1"/>
  <c r="BP475" i="1"/>
  <c r="AD475" i="1"/>
  <c r="AW475" i="1"/>
  <c r="BP484" i="1"/>
  <c r="AD484" i="1"/>
  <c r="AW484" i="1"/>
  <c r="BO471" i="1"/>
  <c r="BW471" i="1" s="1"/>
  <c r="AC471" i="1"/>
  <c r="AK471" i="1" s="1"/>
  <c r="AV471" i="1"/>
  <c r="BD471" i="1" s="1"/>
  <c r="AW474" i="1"/>
  <c r="BP474" i="1"/>
  <c r="AD474" i="1"/>
  <c r="AB475" i="1"/>
  <c r="AU475" i="1"/>
  <c r="BD475" i="1" s="1"/>
  <c r="BN475" i="1"/>
  <c r="AV482" i="1"/>
  <c r="AC482" i="1"/>
  <c r="BO482" i="1"/>
  <c r="AC472" i="1"/>
  <c r="BO472" i="1"/>
  <c r="AV472" i="1"/>
  <c r="AW477" i="1"/>
  <c r="BP477" i="1"/>
  <c r="AD477" i="1"/>
  <c r="AB243" i="1"/>
  <c r="BN243" i="1"/>
  <c r="AU243" i="1"/>
  <c r="AW482" i="1"/>
  <c r="BP482" i="1"/>
  <c r="AD482" i="1"/>
  <c r="AC473" i="1"/>
  <c r="BO473" i="1"/>
  <c r="AV473" i="1"/>
  <c r="BP479" i="1"/>
  <c r="AW479" i="1"/>
  <c r="AD479" i="1"/>
  <c r="BP486" i="2"/>
  <c r="P485" i="1" s="1"/>
  <c r="BP482" i="2"/>
  <c r="P481" i="1" s="1"/>
  <c r="BP481" i="2"/>
  <c r="P480" i="1" s="1"/>
  <c r="BQ488" i="2"/>
  <c r="Q487" i="1" s="1"/>
  <c r="BP488" i="2"/>
  <c r="P487" i="1" s="1"/>
  <c r="BR488" i="2"/>
  <c r="R487" i="1" s="1"/>
  <c r="BN486" i="2"/>
  <c r="N485" i="1" s="1"/>
  <c r="BO488" i="2"/>
  <c r="O487" i="1" s="1"/>
  <c r="BN481" i="2"/>
  <c r="N480" i="1" s="1"/>
  <c r="BN482" i="2"/>
  <c r="N481" i="1" s="1"/>
  <c r="BP487" i="2"/>
  <c r="P486" i="1" s="1"/>
  <c r="BO487" i="2"/>
  <c r="O486" i="1" s="1"/>
  <c r="BQ487" i="2"/>
  <c r="Q486" i="1" s="1"/>
  <c r="BR487" i="2"/>
  <c r="R486" i="1" s="1"/>
  <c r="BN485" i="2"/>
  <c r="N484" i="1" s="1"/>
  <c r="G471" i="14"/>
  <c r="H471" i="14"/>
  <c r="BO486" i="2"/>
  <c r="O485" i="1" s="1"/>
  <c r="BO481" i="2"/>
  <c r="O480" i="1" s="1"/>
  <c r="BO482" i="2"/>
  <c r="O481" i="1" s="1"/>
  <c r="BW479" i="1" l="1"/>
  <c r="BW474" i="1"/>
  <c r="BD479" i="1"/>
  <c r="BD474" i="1"/>
  <c r="BW476" i="1"/>
  <c r="AW481" i="1"/>
  <c r="AD481" i="1"/>
  <c r="BP481" i="1"/>
  <c r="AW485" i="1"/>
  <c r="AD485" i="1"/>
  <c r="BP485" i="1"/>
  <c r="AK475" i="1"/>
  <c r="AK479" i="1"/>
  <c r="AK474" i="1"/>
  <c r="AV486" i="1"/>
  <c r="AC486" i="1"/>
  <c r="BO486" i="1"/>
  <c r="AD486" i="1"/>
  <c r="AW486" i="1"/>
  <c r="BP486" i="1"/>
  <c r="BW482" i="1"/>
  <c r="H482" i="14" s="1"/>
  <c r="AB481" i="1"/>
  <c r="BN481" i="1"/>
  <c r="AU481" i="1"/>
  <c r="AK482" i="1"/>
  <c r="BO481" i="1"/>
  <c r="AV481" i="1"/>
  <c r="AC481" i="1"/>
  <c r="BN480" i="1"/>
  <c r="AU480" i="1"/>
  <c r="AB480" i="1"/>
  <c r="BD482" i="1"/>
  <c r="BO487" i="1"/>
  <c r="AC487" i="1"/>
  <c r="AV487" i="1"/>
  <c r="BD477" i="1"/>
  <c r="BN485" i="1"/>
  <c r="AU485" i="1"/>
  <c r="AB485" i="1"/>
  <c r="BX471" i="1"/>
  <c r="BW477" i="1"/>
  <c r="AC485" i="1"/>
  <c r="AV485" i="1"/>
  <c r="BO485" i="1"/>
  <c r="AK477" i="1"/>
  <c r="BP487" i="1"/>
  <c r="AD487" i="1"/>
  <c r="AW487" i="1"/>
  <c r="BW478" i="1"/>
  <c r="AK483" i="1"/>
  <c r="AK473" i="1"/>
  <c r="BD472" i="1"/>
  <c r="BO480" i="1"/>
  <c r="AC480" i="1"/>
  <c r="AV480" i="1"/>
  <c r="BD478" i="1"/>
  <c r="BD483" i="1"/>
  <c r="G483" i="14" s="1"/>
  <c r="BD473" i="1"/>
  <c r="BW472" i="1"/>
  <c r="AB484" i="1"/>
  <c r="AK484" i="1" s="1"/>
  <c r="BN484" i="1"/>
  <c r="BW484" i="1" s="1"/>
  <c r="AU484" i="1"/>
  <c r="BD484" i="1" s="1"/>
  <c r="AD480" i="1"/>
  <c r="AW480" i="1"/>
  <c r="BP480" i="1"/>
  <c r="BW475" i="1"/>
  <c r="AK476" i="1"/>
  <c r="AK478" i="1"/>
  <c r="BW483" i="1"/>
  <c r="H483" i="14" s="1"/>
  <c r="BW473" i="1"/>
  <c r="AK472" i="1"/>
  <c r="G482" i="14"/>
  <c r="G477" i="14"/>
  <c r="H472" i="14"/>
  <c r="G473" i="14"/>
  <c r="G472" i="14"/>
  <c r="H477" i="14"/>
  <c r="G478" i="14"/>
  <c r="H479" i="14"/>
  <c r="G476" i="14"/>
  <c r="G479" i="14"/>
  <c r="G474" i="14"/>
  <c r="G475" i="14"/>
  <c r="H476" i="14"/>
  <c r="H478" i="14"/>
  <c r="F479" i="14"/>
  <c r="BO489" i="2"/>
  <c r="O488" i="1" s="1"/>
  <c r="BP489" i="2"/>
  <c r="P488" i="1" s="1"/>
  <c r="BQ489" i="2"/>
  <c r="Q488" i="1" s="1"/>
  <c r="BR489" i="2"/>
  <c r="R488" i="1" s="1"/>
  <c r="BN487" i="2"/>
  <c r="N486" i="1" s="1"/>
  <c r="BQ490" i="2"/>
  <c r="Q489" i="1" s="1"/>
  <c r="AG489" i="1" s="1"/>
  <c r="BR490" i="2"/>
  <c r="R489" i="1" s="1"/>
  <c r="AH489" i="1" s="1"/>
  <c r="BN488" i="2"/>
  <c r="N487" i="1" s="1"/>
  <c r="G484" i="14"/>
  <c r="H484" i="14"/>
  <c r="F472" i="14"/>
  <c r="F471" i="14"/>
  <c r="F482" i="14"/>
  <c r="H473" i="14"/>
  <c r="F477" i="14"/>
  <c r="F483" i="14"/>
  <c r="H474" i="14"/>
  <c r="F475" i="14"/>
  <c r="F476" i="14"/>
  <c r="BX479" i="1" l="1"/>
  <c r="BX474" i="1"/>
  <c r="BX477" i="1"/>
  <c r="BD481" i="1"/>
  <c r="BW481" i="1"/>
  <c r="AK481" i="1"/>
  <c r="BX481" i="1" s="1"/>
  <c r="BD485" i="1"/>
  <c r="AK480" i="1"/>
  <c r="K479" i="14"/>
  <c r="I479" i="14"/>
  <c r="J479" i="14"/>
  <c r="L479" i="14"/>
  <c r="BY479" i="1"/>
  <c r="AW488" i="1"/>
  <c r="AD488" i="1"/>
  <c r="BP488" i="1"/>
  <c r="BX475" i="1"/>
  <c r="H475" i="14"/>
  <c r="BX482" i="1"/>
  <c r="I474" i="14"/>
  <c r="J474" i="14"/>
  <c r="K474" i="14"/>
  <c r="BY474" i="1"/>
  <c r="L474" i="14"/>
  <c r="AV488" i="1"/>
  <c r="AC488" i="1"/>
  <c r="BO488" i="1"/>
  <c r="BX473" i="1"/>
  <c r="K477" i="14"/>
  <c r="L477" i="14"/>
  <c r="I477" i="14"/>
  <c r="J477" i="14"/>
  <c r="BY477" i="1"/>
  <c r="BX483" i="1"/>
  <c r="K471" i="14"/>
  <c r="L471" i="14"/>
  <c r="BY471" i="1"/>
  <c r="I471" i="14"/>
  <c r="J471" i="14"/>
  <c r="AB487" i="1"/>
  <c r="AK487" i="1" s="1"/>
  <c r="BN487" i="1"/>
  <c r="BW487" i="1" s="1"/>
  <c r="AU487" i="1"/>
  <c r="BD487" i="1" s="1"/>
  <c r="AK485" i="1"/>
  <c r="F485" i="14" s="1"/>
  <c r="BD480" i="1"/>
  <c r="BA489" i="1"/>
  <c r="BT489" i="1"/>
  <c r="BX484" i="1"/>
  <c r="BW480" i="1"/>
  <c r="H480" i="14" s="1"/>
  <c r="AZ489" i="1"/>
  <c r="BS489" i="1"/>
  <c r="BX472" i="1"/>
  <c r="BW485" i="1"/>
  <c r="H485" i="14" s="1"/>
  <c r="AU486" i="1"/>
  <c r="BD486" i="1" s="1"/>
  <c r="BN486" i="1"/>
  <c r="BW486" i="1" s="1"/>
  <c r="AB486" i="1"/>
  <c r="AK486" i="1" s="1"/>
  <c r="BX478" i="1"/>
  <c r="BX476" i="1"/>
  <c r="F478" i="14"/>
  <c r="F474" i="14"/>
  <c r="F473" i="14"/>
  <c r="G485" i="14"/>
  <c r="G481" i="14"/>
  <c r="G480" i="14"/>
  <c r="H481" i="14"/>
  <c r="BQ492" i="2"/>
  <c r="Q491" i="1" s="1"/>
  <c r="BR492" i="2"/>
  <c r="R491" i="1" s="1"/>
  <c r="BR491" i="2"/>
  <c r="R490" i="1" s="1"/>
  <c r="AH490" i="1" s="1"/>
  <c r="BN489" i="2"/>
  <c r="N488" i="1" s="1"/>
  <c r="BQ491" i="2"/>
  <c r="Q490" i="1" s="1"/>
  <c r="AG490" i="1" s="1"/>
  <c r="G487" i="14"/>
  <c r="H487" i="14"/>
  <c r="F480" i="14"/>
  <c r="G486" i="14"/>
  <c r="H486" i="14"/>
  <c r="F484" i="14"/>
  <c r="F481" i="14"/>
  <c r="CD479" i="1" l="1"/>
  <c r="BX486" i="1"/>
  <c r="BX487" i="1"/>
  <c r="CD471" i="1"/>
  <c r="J473" i="14"/>
  <c r="K473" i="14"/>
  <c r="BY473" i="1"/>
  <c r="I473" i="14"/>
  <c r="L473" i="14"/>
  <c r="BN488" i="1"/>
  <c r="BW488" i="1" s="1"/>
  <c r="AU488" i="1"/>
  <c r="AB488" i="1"/>
  <c r="AK488" i="1" s="1"/>
  <c r="BT490" i="1"/>
  <c r="BA490" i="1"/>
  <c r="J476" i="14"/>
  <c r="K476" i="14"/>
  <c r="BY476" i="1"/>
  <c r="L476" i="14"/>
  <c r="BY484" i="1"/>
  <c r="J484" i="14"/>
  <c r="K484" i="14"/>
  <c r="L484" i="14"/>
  <c r="I484" i="14"/>
  <c r="CJ471" i="1"/>
  <c r="J482" i="14"/>
  <c r="K482" i="14"/>
  <c r="L482" i="14"/>
  <c r="BY482" i="1"/>
  <c r="I482" i="14"/>
  <c r="K481" i="14"/>
  <c r="BY481" i="1"/>
  <c r="I481" i="14"/>
  <c r="J481" i="14"/>
  <c r="L481" i="14"/>
  <c r="J478" i="14"/>
  <c r="K478" i="14"/>
  <c r="BY478" i="1"/>
  <c r="I478" i="14"/>
  <c r="L478" i="14"/>
  <c r="J475" i="14"/>
  <c r="K475" i="14"/>
  <c r="BY475" i="1"/>
  <c r="I475" i="14"/>
  <c r="L475" i="14"/>
  <c r="K486" i="14"/>
  <c r="L486" i="14"/>
  <c r="BY486" i="1"/>
  <c r="I486" i="14"/>
  <c r="J486" i="14"/>
  <c r="BX480" i="1"/>
  <c r="K483" i="14"/>
  <c r="L483" i="14"/>
  <c r="J483" i="14"/>
  <c r="BY483" i="1"/>
  <c r="I483" i="14"/>
  <c r="BX485" i="1"/>
  <c r="CJ477" i="1"/>
  <c r="BD488" i="1"/>
  <c r="G488" i="14" s="1"/>
  <c r="CD477" i="1"/>
  <c r="CJ479" i="1"/>
  <c r="J472" i="14"/>
  <c r="K472" i="14"/>
  <c r="I472" i="14"/>
  <c r="L472" i="14"/>
  <c r="BY472" i="1"/>
  <c r="CJ474" i="1"/>
  <c r="J487" i="14"/>
  <c r="K487" i="14"/>
  <c r="L487" i="14"/>
  <c r="BY487" i="1"/>
  <c r="I487" i="14"/>
  <c r="AZ490" i="1"/>
  <c r="BS490" i="1"/>
  <c r="CD474" i="1"/>
  <c r="H488" i="14"/>
  <c r="F486" i="14"/>
  <c r="BR494" i="2"/>
  <c r="R493" i="1" s="1"/>
  <c r="AH493" i="1" s="1"/>
  <c r="BQ494" i="2"/>
  <c r="Q493" i="1" s="1"/>
  <c r="AG493" i="1" s="1"/>
  <c r="F487" i="14"/>
  <c r="BQ493" i="2"/>
  <c r="Q492" i="1" s="1"/>
  <c r="AG492" i="1" s="1"/>
  <c r="BR493" i="2"/>
  <c r="R492" i="1" s="1"/>
  <c r="AH492" i="1" s="1"/>
  <c r="CD476" i="1" l="1"/>
  <c r="I476" i="14"/>
  <c r="CD483" i="1"/>
  <c r="CD486" i="1"/>
  <c r="AZ492" i="1"/>
  <c r="BS492" i="1"/>
  <c r="CJ478" i="1"/>
  <c r="BS493" i="1"/>
  <c r="AZ493" i="1"/>
  <c r="CJ486" i="1"/>
  <c r="BT493" i="1"/>
  <c r="BA493" i="1"/>
  <c r="CD484" i="1"/>
  <c r="BX488" i="1"/>
  <c r="CJ472" i="1"/>
  <c r="BY485" i="1"/>
  <c r="I485" i="14"/>
  <c r="J485" i="14"/>
  <c r="K485" i="14"/>
  <c r="L485" i="14"/>
  <c r="CD481" i="1"/>
  <c r="CD472" i="1"/>
  <c r="CJ483" i="1"/>
  <c r="CD475" i="1"/>
  <c r="CJ481" i="1"/>
  <c r="CJ475" i="1"/>
  <c r="CJ484" i="1"/>
  <c r="CD473" i="1"/>
  <c r="CD482" i="1"/>
  <c r="CJ473" i="1"/>
  <c r="CJ482" i="1"/>
  <c r="CD487" i="1"/>
  <c r="BA492" i="1"/>
  <c r="BT492" i="1"/>
  <c r="CJ487" i="1"/>
  <c r="J480" i="14"/>
  <c r="BY480" i="1"/>
  <c r="I480" i="14"/>
  <c r="K480" i="14"/>
  <c r="L480" i="14"/>
  <c r="CJ476" i="1"/>
  <c r="CD478" i="1"/>
  <c r="N476" i="14"/>
  <c r="N477" i="14"/>
  <c r="N471" i="14"/>
  <c r="BR496" i="2"/>
  <c r="R495" i="1" s="1"/>
  <c r="BQ496" i="2"/>
  <c r="Q495" i="1" s="1"/>
  <c r="N472" i="14"/>
  <c r="N474" i="14"/>
  <c r="N479" i="14"/>
  <c r="N482" i="14"/>
  <c r="N473" i="14"/>
  <c r="N483" i="14"/>
  <c r="F488" i="14"/>
  <c r="BQ495" i="2"/>
  <c r="Q494" i="1" s="1"/>
  <c r="AG494" i="1" s="1"/>
  <c r="BR495" i="2"/>
  <c r="R494" i="1" s="1"/>
  <c r="AH494" i="1" s="1"/>
  <c r="N475" i="14"/>
  <c r="N478" i="14"/>
  <c r="CJ480" i="1" l="1"/>
  <c r="CD485" i="1"/>
  <c r="CJ485" i="1"/>
  <c r="BA494" i="1"/>
  <c r="BT494" i="1"/>
  <c r="AZ494" i="1"/>
  <c r="BS494" i="1"/>
  <c r="BY488" i="1"/>
  <c r="I488" i="14"/>
  <c r="J488" i="14"/>
  <c r="K488" i="14"/>
  <c r="L488" i="14"/>
  <c r="CD480" i="1"/>
  <c r="N484" i="14"/>
  <c r="BQ498" i="2"/>
  <c r="Q497" i="1" s="1"/>
  <c r="BR498" i="2"/>
  <c r="R497" i="1" s="1"/>
  <c r="BQ497" i="2"/>
  <c r="Q496" i="1" s="1"/>
  <c r="AG496" i="1" s="1"/>
  <c r="BR497" i="2"/>
  <c r="R496" i="1" s="1"/>
  <c r="AH496" i="1" s="1"/>
  <c r="N485" i="14"/>
  <c r="N480" i="14"/>
  <c r="N481" i="14"/>
  <c r="AZ496" i="1" l="1"/>
  <c r="BS496" i="1"/>
  <c r="BT496" i="1"/>
  <c r="BA496" i="1"/>
  <c r="CJ488" i="1"/>
  <c r="CD488" i="1"/>
  <c r="N486" i="14"/>
  <c r="BQ500" i="2"/>
  <c r="Q499" i="1" s="1"/>
  <c r="BR500" i="2"/>
  <c r="R499" i="1" s="1"/>
  <c r="N487" i="14"/>
  <c r="BQ499" i="2"/>
  <c r="Q498" i="1" s="1"/>
  <c r="BR499" i="2"/>
  <c r="R498" i="1" s="1"/>
  <c r="BO500" i="2" l="1"/>
  <c r="O499" i="1" s="1"/>
  <c r="BO499" i="2"/>
  <c r="O498" i="1" s="1"/>
  <c r="N488" i="14"/>
  <c r="BQ501" i="2"/>
  <c r="Q500" i="1" s="1"/>
  <c r="AG500" i="1" s="1"/>
  <c r="BR501" i="2"/>
  <c r="R500" i="1" s="1"/>
  <c r="AH500" i="1" s="1"/>
  <c r="BN499" i="2"/>
  <c r="N498" i="1" s="1"/>
  <c r="BN500" i="2"/>
  <c r="N499" i="1" s="1"/>
  <c r="BQ502" i="2"/>
  <c r="Q501" i="1" s="1"/>
  <c r="BO502" i="2"/>
  <c r="O501" i="1" s="1"/>
  <c r="BP502" i="2"/>
  <c r="P501" i="1" s="1"/>
  <c r="BR502" i="2"/>
  <c r="R501" i="1" s="1"/>
  <c r="BP499" i="2"/>
  <c r="P498" i="1" s="1"/>
  <c r="AW501" i="1" l="1"/>
  <c r="AD501" i="1"/>
  <c r="BP501" i="1"/>
  <c r="AU498" i="1"/>
  <c r="BN498" i="1"/>
  <c r="AB498" i="1"/>
  <c r="AC501" i="1"/>
  <c r="AV501" i="1"/>
  <c r="BO501" i="1"/>
  <c r="BT500" i="1"/>
  <c r="BA500" i="1"/>
  <c r="AB499" i="1"/>
  <c r="BN499" i="1"/>
  <c r="AU499" i="1"/>
  <c r="BS500" i="1"/>
  <c r="AZ500" i="1"/>
  <c r="BO498" i="1"/>
  <c r="AC498" i="1"/>
  <c r="AV498" i="1"/>
  <c r="BO499" i="1"/>
  <c r="AC499" i="1"/>
  <c r="AV499" i="1"/>
  <c r="AW498" i="1"/>
  <c r="AD498" i="1"/>
  <c r="BP498" i="1"/>
  <c r="BR504" i="2"/>
  <c r="R503" i="1" s="1"/>
  <c r="BN502" i="2"/>
  <c r="N501" i="1" s="1"/>
  <c r="BQ504" i="2"/>
  <c r="Q503" i="1" s="1"/>
  <c r="BO501" i="2"/>
  <c r="O500" i="1" s="1"/>
  <c r="BO316" i="2"/>
  <c r="O315" i="1" s="1"/>
  <c r="BO245" i="2"/>
  <c r="O244" i="1" s="1"/>
  <c r="BO193" i="2"/>
  <c r="O192" i="1" s="1"/>
  <c r="BO195" i="2"/>
  <c r="O194" i="1" s="1"/>
  <c r="BO191" i="2"/>
  <c r="O190" i="1" s="1"/>
  <c r="BO248" i="2"/>
  <c r="O247" i="1" s="1"/>
  <c r="BO249" i="2"/>
  <c r="O248" i="1" s="1"/>
  <c r="BO318" i="2"/>
  <c r="O317" i="1" s="1"/>
  <c r="BO317" i="2"/>
  <c r="O316" i="1" s="1"/>
  <c r="BO247" i="2"/>
  <c r="O246" i="1" s="1"/>
  <c r="BO246" i="2"/>
  <c r="O245" i="1" s="1"/>
  <c r="BO319" i="2"/>
  <c r="O318" i="1" s="1"/>
  <c r="BO498" i="2"/>
  <c r="O497" i="1" s="1"/>
  <c r="BP500" i="2"/>
  <c r="P499" i="1" s="1"/>
  <c r="BP501" i="2"/>
  <c r="P500" i="1" s="1"/>
  <c r="BP316" i="2"/>
  <c r="P315" i="1" s="1"/>
  <c r="BP248" i="2"/>
  <c r="P247" i="1" s="1"/>
  <c r="BP245" i="2"/>
  <c r="P244" i="1" s="1"/>
  <c r="BP247" i="2"/>
  <c r="P246" i="1" s="1"/>
  <c r="BP195" i="2"/>
  <c r="P194" i="1" s="1"/>
  <c r="BP249" i="2"/>
  <c r="P248" i="1" s="1"/>
  <c r="BP317" i="2"/>
  <c r="P316" i="1" s="1"/>
  <c r="BP318" i="2"/>
  <c r="P317" i="1" s="1"/>
  <c r="BP246" i="2"/>
  <c r="P245" i="1" s="1"/>
  <c r="BP319" i="2"/>
  <c r="P318" i="1" s="1"/>
  <c r="BP498" i="2"/>
  <c r="P497" i="1" s="1"/>
  <c r="BR503" i="2"/>
  <c r="R502" i="1" s="1"/>
  <c r="BN501" i="2"/>
  <c r="N500" i="1" s="1"/>
  <c r="BQ503" i="2"/>
  <c r="Q502" i="1" s="1"/>
  <c r="BN316" i="2"/>
  <c r="N315" i="1" s="1"/>
  <c r="BN194" i="2"/>
  <c r="N193" i="1" s="1"/>
  <c r="BN193" i="2"/>
  <c r="N192" i="1" s="1"/>
  <c r="BN317" i="2"/>
  <c r="N316" i="1" s="1"/>
  <c r="BN195" i="2"/>
  <c r="N194" i="1" s="1"/>
  <c r="BN191" i="2"/>
  <c r="N190" i="1" s="1"/>
  <c r="BN192" i="2"/>
  <c r="N191" i="1" s="1"/>
  <c r="BN246" i="2"/>
  <c r="N245" i="1" s="1"/>
  <c r="BN247" i="2"/>
  <c r="N246" i="1" s="1"/>
  <c r="BN318" i="2"/>
  <c r="N317" i="1" s="1"/>
  <c r="BN248" i="2"/>
  <c r="N247" i="1" s="1"/>
  <c r="BN249" i="2"/>
  <c r="N248" i="1" s="1"/>
  <c r="BN245" i="2"/>
  <c r="N244" i="1" s="1"/>
  <c r="BN319" i="2"/>
  <c r="N318" i="1" s="1"/>
  <c r="BN498" i="2"/>
  <c r="N497" i="1" s="1"/>
  <c r="AB318" i="1" l="1"/>
  <c r="BN318" i="1"/>
  <c r="AU318" i="1"/>
  <c r="BN193" i="1"/>
  <c r="AB193" i="1"/>
  <c r="AU193" i="1"/>
  <c r="AD246" i="1"/>
  <c r="BP246" i="1"/>
  <c r="AW246" i="1"/>
  <c r="BO248" i="1"/>
  <c r="AC248" i="1"/>
  <c r="AV248" i="1"/>
  <c r="AD244" i="1"/>
  <c r="BP244" i="1"/>
  <c r="AW244" i="1"/>
  <c r="AC247" i="1"/>
  <c r="BO247" i="1"/>
  <c r="AV247" i="1"/>
  <c r="AB248" i="1"/>
  <c r="BN248" i="1"/>
  <c r="AU248" i="1"/>
  <c r="AD247" i="1"/>
  <c r="BP247" i="1"/>
  <c r="AW247" i="1"/>
  <c r="BO190" i="1"/>
  <c r="AV190" i="1"/>
  <c r="AC190" i="1"/>
  <c r="BN500" i="1"/>
  <c r="AU500" i="1"/>
  <c r="AB500" i="1"/>
  <c r="BP315" i="1"/>
  <c r="AD315" i="1"/>
  <c r="AW315" i="1"/>
  <c r="AV194" i="1"/>
  <c r="BO194" i="1"/>
  <c r="AC194" i="1"/>
  <c r="AU247" i="1"/>
  <c r="AB247" i="1"/>
  <c r="BN247" i="1"/>
  <c r="AB317" i="1"/>
  <c r="BN317" i="1"/>
  <c r="AU317" i="1"/>
  <c r="AW500" i="1"/>
  <c r="BP500" i="1"/>
  <c r="AD500" i="1"/>
  <c r="AC192" i="1"/>
  <c r="BO192" i="1"/>
  <c r="AV192" i="1"/>
  <c r="AU246" i="1"/>
  <c r="BN246" i="1"/>
  <c r="AB246" i="1"/>
  <c r="AW497" i="1"/>
  <c r="BP497" i="1"/>
  <c r="AD497" i="1"/>
  <c r="BP499" i="1"/>
  <c r="AW499" i="1"/>
  <c r="AD499" i="1"/>
  <c r="AK499" i="1" s="1"/>
  <c r="AC244" i="1"/>
  <c r="AK244" i="1" s="1"/>
  <c r="AV244" i="1"/>
  <c r="BD244" i="1" s="1"/>
  <c r="BO244" i="1"/>
  <c r="BW244" i="1" s="1"/>
  <c r="BN245" i="1"/>
  <c r="AB245" i="1"/>
  <c r="AU245" i="1"/>
  <c r="BP318" i="1"/>
  <c r="AD318" i="1"/>
  <c r="AW318" i="1"/>
  <c r="AC497" i="1"/>
  <c r="AV497" i="1"/>
  <c r="BO497" i="1"/>
  <c r="BO315" i="1"/>
  <c r="BW315" i="1" s="1"/>
  <c r="AC315" i="1"/>
  <c r="AK315" i="1" s="1"/>
  <c r="AV315" i="1"/>
  <c r="AK498" i="1"/>
  <c r="BP245" i="1"/>
  <c r="AW245" i="1"/>
  <c r="AD245" i="1"/>
  <c r="BO318" i="1"/>
  <c r="AC318" i="1"/>
  <c r="AV318" i="1"/>
  <c r="AC500" i="1"/>
  <c r="AV500" i="1"/>
  <c r="BO500" i="1"/>
  <c r="BW498" i="1"/>
  <c r="BN190" i="1"/>
  <c r="AU190" i="1"/>
  <c r="AB190" i="1"/>
  <c r="BP317" i="1"/>
  <c r="AW317" i="1"/>
  <c r="AD317" i="1"/>
  <c r="BO245" i="1"/>
  <c r="AC245" i="1"/>
  <c r="AV245" i="1"/>
  <c r="BD498" i="1"/>
  <c r="AU194" i="1"/>
  <c r="BD194" i="1" s="1"/>
  <c r="BN194" i="1"/>
  <c r="BW194" i="1" s="1"/>
  <c r="AB194" i="1"/>
  <c r="AD316" i="1"/>
  <c r="AW316" i="1"/>
  <c r="BP316" i="1"/>
  <c r="AV246" i="1"/>
  <c r="AC246" i="1"/>
  <c r="BO246" i="1"/>
  <c r="AU501" i="1"/>
  <c r="BD501" i="1" s="1"/>
  <c r="AB501" i="1"/>
  <c r="AK501" i="1" s="1"/>
  <c r="BN501" i="1"/>
  <c r="BW501" i="1" s="1"/>
  <c r="AB191" i="1"/>
  <c r="AU191" i="1"/>
  <c r="BN191" i="1"/>
  <c r="BN316" i="1"/>
  <c r="AB316" i="1"/>
  <c r="AU316" i="1"/>
  <c r="BP248" i="1"/>
  <c r="AW248" i="1"/>
  <c r="AD248" i="1"/>
  <c r="AC316" i="1"/>
  <c r="AV316" i="1"/>
  <c r="BO316" i="1"/>
  <c r="BD499" i="1"/>
  <c r="BN497" i="1"/>
  <c r="BW497" i="1" s="1"/>
  <c r="AB497" i="1"/>
  <c r="AK497" i="1" s="1"/>
  <c r="AU497" i="1"/>
  <c r="BD497" i="1" s="1"/>
  <c r="AU192" i="1"/>
  <c r="AB192" i="1"/>
  <c r="BN192" i="1"/>
  <c r="AW194" i="1"/>
  <c r="AD194" i="1"/>
  <c r="BP194" i="1"/>
  <c r="BO317" i="1"/>
  <c r="AC317" i="1"/>
  <c r="AV317" i="1"/>
  <c r="BW499" i="1"/>
  <c r="G498" i="14"/>
  <c r="H498" i="14"/>
  <c r="BR505" i="2"/>
  <c r="R504" i="1" s="1"/>
  <c r="BQ505" i="2"/>
  <c r="Q504" i="1" s="1"/>
  <c r="BQ506" i="2"/>
  <c r="Q505" i="1" s="1"/>
  <c r="BR506" i="2"/>
  <c r="R505" i="1" s="1"/>
  <c r="F498" i="14"/>
  <c r="G501" i="14"/>
  <c r="H501" i="14"/>
  <c r="G499" i="14"/>
  <c r="H499" i="14"/>
  <c r="BD247" i="1" l="1"/>
  <c r="BX499" i="1"/>
  <c r="BX244" i="1"/>
  <c r="BD248" i="1"/>
  <c r="BW248" i="1"/>
  <c r="BX501" i="1"/>
  <c r="AK248" i="1"/>
  <c r="BX248" i="1" s="1"/>
  <c r="BD317" i="1"/>
  <c r="AK500" i="1"/>
  <c r="BW317" i="1"/>
  <c r="BD500" i="1"/>
  <c r="AK317" i="1"/>
  <c r="BW500" i="1"/>
  <c r="BD316" i="1"/>
  <c r="BD245" i="1"/>
  <c r="AK246" i="1"/>
  <c r="BW247" i="1"/>
  <c r="AK316" i="1"/>
  <c r="AK245" i="1"/>
  <c r="BW246" i="1"/>
  <c r="AK247" i="1"/>
  <c r="BD318" i="1"/>
  <c r="BW316" i="1"/>
  <c r="BX498" i="1"/>
  <c r="BW245" i="1"/>
  <c r="H245" i="14" s="1"/>
  <c r="BD246" i="1"/>
  <c r="BW318" i="1"/>
  <c r="BX497" i="1"/>
  <c r="AK194" i="1"/>
  <c r="BD315" i="1"/>
  <c r="BX315" i="1" s="1"/>
  <c r="AK318" i="1"/>
  <c r="G194" i="14"/>
  <c r="H194" i="14"/>
  <c r="G317" i="14"/>
  <c r="H246" i="14"/>
  <c r="G245" i="14"/>
  <c r="G316" i="14"/>
  <c r="H500" i="14"/>
  <c r="H244" i="14"/>
  <c r="G318" i="14"/>
  <c r="F499" i="14"/>
  <c r="G500" i="14"/>
  <c r="G244" i="14"/>
  <c r="G315" i="14"/>
  <c r="H247" i="14"/>
  <c r="H315" i="14"/>
  <c r="G247" i="14"/>
  <c r="G497" i="14"/>
  <c r="H316" i="14"/>
  <c r="G246" i="14"/>
  <c r="H248" i="14"/>
  <c r="H317" i="14"/>
  <c r="H497" i="14"/>
  <c r="G248" i="14"/>
  <c r="F317" i="14"/>
  <c r="BQ508" i="2"/>
  <c r="Q507" i="1" s="1"/>
  <c r="AG507" i="1" s="1"/>
  <c r="BR508" i="2"/>
  <c r="R507" i="1" s="1"/>
  <c r="AH507" i="1" s="1"/>
  <c r="F244" i="14"/>
  <c r="F248" i="14"/>
  <c r="F245" i="14"/>
  <c r="F500" i="14"/>
  <c r="H318" i="14"/>
  <c r="F194" i="14"/>
  <c r="F316" i="14"/>
  <c r="F246" i="14"/>
  <c r="F501" i="14"/>
  <c r="BO507" i="2"/>
  <c r="O506" i="1" s="1"/>
  <c r="BP507" i="2"/>
  <c r="P506" i="1" s="1"/>
  <c r="BQ507" i="2"/>
  <c r="Q506" i="1" s="1"/>
  <c r="BR507" i="2"/>
  <c r="R506" i="1" s="1"/>
  <c r="F318" i="14"/>
  <c r="BX500" i="1" l="1"/>
  <c r="K315" i="14"/>
  <c r="L315" i="14"/>
  <c r="BY315" i="1"/>
  <c r="I315" i="14"/>
  <c r="J315" i="14"/>
  <c r="AC506" i="1"/>
  <c r="AV506" i="1"/>
  <c r="BO506" i="1"/>
  <c r="BX318" i="1"/>
  <c r="J248" i="14"/>
  <c r="K248" i="14"/>
  <c r="L248" i="14"/>
  <c r="BY248" i="1"/>
  <c r="I248" i="14"/>
  <c r="BY501" i="1"/>
  <c r="I501" i="14"/>
  <c r="J501" i="14"/>
  <c r="K501" i="14"/>
  <c r="L501" i="14"/>
  <c r="BX194" i="1"/>
  <c r="BY500" i="1"/>
  <c r="I500" i="14"/>
  <c r="J500" i="14"/>
  <c r="K500" i="14"/>
  <c r="L500" i="14"/>
  <c r="BX245" i="1"/>
  <c r="J244" i="14"/>
  <c r="I244" i="14"/>
  <c r="K244" i="14"/>
  <c r="L244" i="14"/>
  <c r="BY244" i="1"/>
  <c r="BY497" i="1"/>
  <c r="I497" i="14"/>
  <c r="J497" i="14"/>
  <c r="K497" i="14"/>
  <c r="L497" i="14"/>
  <c r="BA507" i="1"/>
  <c r="BT507" i="1"/>
  <c r="BX316" i="1"/>
  <c r="CD315" i="1"/>
  <c r="BX247" i="1"/>
  <c r="BX246" i="1"/>
  <c r="AD506" i="1"/>
  <c r="BP506" i="1"/>
  <c r="AW506" i="1"/>
  <c r="AZ507" i="1"/>
  <c r="BS507" i="1"/>
  <c r="BY498" i="1"/>
  <c r="I498" i="14"/>
  <c r="J498" i="14"/>
  <c r="K498" i="14"/>
  <c r="L498" i="14"/>
  <c r="BX317" i="1"/>
  <c r="J499" i="14"/>
  <c r="K499" i="14"/>
  <c r="L499" i="14"/>
  <c r="BY499" i="1"/>
  <c r="I499" i="14"/>
  <c r="F315" i="14"/>
  <c r="F497" i="14"/>
  <c r="F247" i="14"/>
  <c r="BP508" i="2"/>
  <c r="P507" i="1" s="1"/>
  <c r="BP342" i="2"/>
  <c r="P341" i="1" s="1"/>
  <c r="BP341" i="2"/>
  <c r="P340" i="1" s="1"/>
  <c r="BP343" i="2"/>
  <c r="P342" i="1" s="1"/>
  <c r="BP267" i="2"/>
  <c r="P266" i="1" s="1"/>
  <c r="BP333" i="2"/>
  <c r="P332" i="1" s="1"/>
  <c r="BP272" i="2"/>
  <c r="P271" i="1" s="1"/>
  <c r="BP234" i="2"/>
  <c r="P233" i="1" s="1"/>
  <c r="BP337" i="2"/>
  <c r="P336" i="1" s="1"/>
  <c r="BP268" i="2"/>
  <c r="P267" i="1" s="1"/>
  <c r="BP271" i="2"/>
  <c r="P270" i="1" s="1"/>
  <c r="BP270" i="2"/>
  <c r="P269" i="1" s="1"/>
  <c r="BP231" i="2"/>
  <c r="P230" i="1" s="1"/>
  <c r="BP339" i="2"/>
  <c r="P338" i="1" s="1"/>
  <c r="BP340" i="2"/>
  <c r="P339" i="1" s="1"/>
  <c r="BP334" i="2"/>
  <c r="P333" i="1" s="1"/>
  <c r="BP232" i="2"/>
  <c r="P231" i="1" s="1"/>
  <c r="BP335" i="2"/>
  <c r="P334" i="1" s="1"/>
  <c r="BP233" i="2"/>
  <c r="P232" i="1" s="1"/>
  <c r="BP269" i="2"/>
  <c r="P268" i="1" s="1"/>
  <c r="BP336" i="2"/>
  <c r="P335" i="1" s="1"/>
  <c r="BP338" i="2"/>
  <c r="P337" i="1" s="1"/>
  <c r="BP332" i="2"/>
  <c r="P331" i="1" s="1"/>
  <c r="BO508" i="2"/>
  <c r="O507" i="1" s="1"/>
  <c r="BO341" i="2"/>
  <c r="O340" i="1" s="1"/>
  <c r="BO342" i="2"/>
  <c r="O341" i="1" s="1"/>
  <c r="BO333" i="2"/>
  <c r="O332" i="1" s="1"/>
  <c r="BO338" i="2"/>
  <c r="O337" i="1" s="1"/>
  <c r="BO340" i="2"/>
  <c r="O339" i="1" s="1"/>
  <c r="BO343" i="2"/>
  <c r="O342" i="1" s="1"/>
  <c r="BO270" i="2"/>
  <c r="O269" i="1" s="1"/>
  <c r="BO337" i="2"/>
  <c r="O336" i="1" s="1"/>
  <c r="BO339" i="2"/>
  <c r="O338" i="1" s="1"/>
  <c r="BO335" i="2"/>
  <c r="O334" i="1" s="1"/>
  <c r="BO336" i="2"/>
  <c r="O335" i="1" s="1"/>
  <c r="BQ510" i="2"/>
  <c r="Q509" i="1" s="1"/>
  <c r="BR510" i="2"/>
  <c r="R509" i="1" s="1"/>
  <c r="BN508" i="2"/>
  <c r="N507" i="1" s="1"/>
  <c r="BN342" i="2"/>
  <c r="N341" i="1" s="1"/>
  <c r="BN341" i="2"/>
  <c r="N340" i="1" s="1"/>
  <c r="BN337" i="2"/>
  <c r="N336" i="1" s="1"/>
  <c r="BN340" i="2"/>
  <c r="N339" i="1" s="1"/>
  <c r="BN333" i="2"/>
  <c r="N332" i="1" s="1"/>
  <c r="BN339" i="2"/>
  <c r="N338" i="1" s="1"/>
  <c r="BN343" i="2"/>
  <c r="N342" i="1" s="1"/>
  <c r="BN336" i="2"/>
  <c r="N335" i="1" s="1"/>
  <c r="BN335" i="2"/>
  <c r="N334" i="1" s="1"/>
  <c r="BN332" i="2"/>
  <c r="N331" i="1" s="1"/>
  <c r="BN334" i="2"/>
  <c r="N333" i="1" s="1"/>
  <c r="BN338" i="2"/>
  <c r="N337" i="1" s="1"/>
  <c r="BQ509" i="2"/>
  <c r="Q508" i="1" s="1"/>
  <c r="BR509" i="2"/>
  <c r="R508" i="1" s="1"/>
  <c r="BN507" i="2"/>
  <c r="N506" i="1" s="1"/>
  <c r="CD500" i="1" l="1"/>
  <c r="CD244" i="1"/>
  <c r="CD497" i="1"/>
  <c r="BN336" i="1"/>
  <c r="AB336" i="1"/>
  <c r="AU336" i="1"/>
  <c r="BO339" i="1"/>
  <c r="AV339" i="1"/>
  <c r="AC339" i="1"/>
  <c r="AW231" i="1"/>
  <c r="AD231" i="1"/>
  <c r="BP231" i="1"/>
  <c r="BP266" i="1"/>
  <c r="AD266" i="1"/>
  <c r="AW266" i="1"/>
  <c r="CJ497" i="1"/>
  <c r="CJ500" i="1"/>
  <c r="AU340" i="1"/>
  <c r="AB340" i="1"/>
  <c r="BN340" i="1"/>
  <c r="AC337" i="1"/>
  <c r="AV337" i="1"/>
  <c r="BO337" i="1"/>
  <c r="BP333" i="1"/>
  <c r="AD333" i="1"/>
  <c r="AW333" i="1"/>
  <c r="BP342" i="1"/>
  <c r="AD342" i="1"/>
  <c r="AW342" i="1"/>
  <c r="BY317" i="1"/>
  <c r="I317" i="14"/>
  <c r="J317" i="14"/>
  <c r="K317" i="14"/>
  <c r="L317" i="14"/>
  <c r="CJ244" i="1"/>
  <c r="AB341" i="1"/>
  <c r="AU341" i="1"/>
  <c r="BN341" i="1"/>
  <c r="AC332" i="1"/>
  <c r="AV332" i="1"/>
  <c r="BO332" i="1"/>
  <c r="BP339" i="1"/>
  <c r="AD339" i="1"/>
  <c r="AW339" i="1"/>
  <c r="AW340" i="1"/>
  <c r="AD340" i="1"/>
  <c r="BP340" i="1"/>
  <c r="BY246" i="1"/>
  <c r="I246" i="14"/>
  <c r="J246" i="14"/>
  <c r="K246" i="14"/>
  <c r="L246" i="14"/>
  <c r="BN507" i="1"/>
  <c r="AU507" i="1"/>
  <c r="AB507" i="1"/>
  <c r="AV341" i="1"/>
  <c r="BO341" i="1"/>
  <c r="AC341" i="1"/>
  <c r="AW338" i="1"/>
  <c r="BP338" i="1"/>
  <c r="AD338" i="1"/>
  <c r="BP341" i="1"/>
  <c r="AD341" i="1"/>
  <c r="AW341" i="1"/>
  <c r="L247" i="14"/>
  <c r="BY247" i="1"/>
  <c r="J247" i="14"/>
  <c r="K247" i="14"/>
  <c r="BY194" i="1"/>
  <c r="I194" i="14"/>
  <c r="J194" i="14"/>
  <c r="K194" i="14"/>
  <c r="L194" i="14"/>
  <c r="K318" i="14"/>
  <c r="L318" i="14"/>
  <c r="BY318" i="1"/>
  <c r="I318" i="14"/>
  <c r="J318" i="14"/>
  <c r="AB337" i="1"/>
  <c r="AU337" i="1"/>
  <c r="BN337" i="1"/>
  <c r="BO340" i="1"/>
  <c r="AC340" i="1"/>
  <c r="AV340" i="1"/>
  <c r="AD230" i="1"/>
  <c r="AW230" i="1"/>
  <c r="BP230" i="1"/>
  <c r="BP507" i="1"/>
  <c r="AW507" i="1"/>
  <c r="AD507" i="1"/>
  <c r="AB333" i="1"/>
  <c r="BN333" i="1"/>
  <c r="AU333" i="1"/>
  <c r="AC507" i="1"/>
  <c r="AV507" i="1"/>
  <c r="BO507" i="1"/>
  <c r="BP269" i="1"/>
  <c r="AW269" i="1"/>
  <c r="AD269" i="1"/>
  <c r="L316" i="14"/>
  <c r="BY316" i="1"/>
  <c r="J316" i="14"/>
  <c r="K316" i="14"/>
  <c r="AU334" i="1"/>
  <c r="AB334" i="1"/>
  <c r="BN334" i="1"/>
  <c r="AC335" i="1"/>
  <c r="BO335" i="1"/>
  <c r="AV335" i="1"/>
  <c r="BP331" i="1"/>
  <c r="AD331" i="1"/>
  <c r="AW331" i="1"/>
  <c r="AD270" i="1"/>
  <c r="AW270" i="1"/>
  <c r="BP270" i="1"/>
  <c r="CD498" i="1"/>
  <c r="CD501" i="1"/>
  <c r="AB335" i="1"/>
  <c r="AU335" i="1"/>
  <c r="BN335" i="1"/>
  <c r="AC334" i="1"/>
  <c r="BO334" i="1"/>
  <c r="AV334" i="1"/>
  <c r="AD337" i="1"/>
  <c r="AW337" i="1"/>
  <c r="BP337" i="1"/>
  <c r="BP267" i="1"/>
  <c r="AD267" i="1"/>
  <c r="AW267" i="1"/>
  <c r="CJ498" i="1"/>
  <c r="J245" i="14"/>
  <c r="K245" i="14"/>
  <c r="L245" i="14"/>
  <c r="BY245" i="1"/>
  <c r="I245" i="14"/>
  <c r="AB506" i="1"/>
  <c r="AK506" i="1" s="1"/>
  <c r="AU506" i="1"/>
  <c r="BD506" i="1" s="1"/>
  <c r="BN506" i="1"/>
  <c r="BW506" i="1" s="1"/>
  <c r="AB342" i="1"/>
  <c r="BN342" i="1"/>
  <c r="AU342" i="1"/>
  <c r="AC338" i="1"/>
  <c r="AV338" i="1"/>
  <c r="BO338" i="1"/>
  <c r="BP335" i="1"/>
  <c r="AD335" i="1"/>
  <c r="AW335" i="1"/>
  <c r="BP336" i="1"/>
  <c r="AD336" i="1"/>
  <c r="AW336" i="1"/>
  <c r="CD499" i="1"/>
  <c r="CJ501" i="1"/>
  <c r="AU338" i="1"/>
  <c r="AB338" i="1"/>
  <c r="AK338" i="1" s="1"/>
  <c r="BN338" i="1"/>
  <c r="AC336" i="1"/>
  <c r="BO336" i="1"/>
  <c r="AV336" i="1"/>
  <c r="AD268" i="1"/>
  <c r="AW268" i="1"/>
  <c r="BP268" i="1"/>
  <c r="AD233" i="1"/>
  <c r="BP233" i="1"/>
  <c r="AW233" i="1"/>
  <c r="CJ499" i="1"/>
  <c r="CD248" i="1"/>
  <c r="CJ315" i="1"/>
  <c r="AC269" i="1"/>
  <c r="BO269" i="1"/>
  <c r="AV269" i="1"/>
  <c r="AW232" i="1"/>
  <c r="AD232" i="1"/>
  <c r="BP232" i="1"/>
  <c r="AW271" i="1"/>
  <c r="BP271" i="1"/>
  <c r="AD271" i="1"/>
  <c r="CJ248" i="1"/>
  <c r="AB339" i="1"/>
  <c r="AK339" i="1" s="1"/>
  <c r="AU339" i="1"/>
  <c r="BD339" i="1" s="1"/>
  <c r="BN339" i="1"/>
  <c r="BW339" i="1" s="1"/>
  <c r="BO342" i="1"/>
  <c r="AV342" i="1"/>
  <c r="AC342" i="1"/>
  <c r="AW334" i="1"/>
  <c r="AD334" i="1"/>
  <c r="BP334" i="1"/>
  <c r="BP332" i="1"/>
  <c r="AD332" i="1"/>
  <c r="AW332" i="1"/>
  <c r="N498" i="14"/>
  <c r="BQ511" i="2"/>
  <c r="Q510" i="1" s="1"/>
  <c r="AG510" i="1" s="1"/>
  <c r="BR511" i="2"/>
  <c r="R510" i="1" s="1"/>
  <c r="AH510" i="1" s="1"/>
  <c r="G506" i="14"/>
  <c r="H506" i="14"/>
  <c r="BQ512" i="2"/>
  <c r="Q511" i="1" s="1"/>
  <c r="BR512" i="2"/>
  <c r="R511" i="1" s="1"/>
  <c r="N499" i="14"/>
  <c r="CD247" i="1" l="1"/>
  <c r="I247" i="14"/>
  <c r="CD316" i="1"/>
  <c r="I316" i="14"/>
  <c r="BW338" i="1"/>
  <c r="CD245" i="1"/>
  <c r="BD342" i="1"/>
  <c r="AK335" i="1"/>
  <c r="BW334" i="1"/>
  <c r="H334" i="14" s="1"/>
  <c r="CJ246" i="1"/>
  <c r="AK341" i="1"/>
  <c r="BW342" i="1"/>
  <c r="AK334" i="1"/>
  <c r="CD194" i="1"/>
  <c r="AK342" i="1"/>
  <c r="BD334" i="1"/>
  <c r="G334" i="14" s="1"/>
  <c r="BW337" i="1"/>
  <c r="CJ194" i="1"/>
  <c r="BX506" i="1"/>
  <c r="BD337" i="1"/>
  <c r="BA510" i="1"/>
  <c r="BT510" i="1"/>
  <c r="AK337" i="1"/>
  <c r="AZ510" i="1"/>
  <c r="BS510" i="1"/>
  <c r="AK507" i="1"/>
  <c r="CD317" i="1"/>
  <c r="BW340" i="1"/>
  <c r="H340" i="14" s="1"/>
  <c r="CJ316" i="1"/>
  <c r="CD318" i="1"/>
  <c r="CJ247" i="1"/>
  <c r="BD507" i="1"/>
  <c r="AK340" i="1"/>
  <c r="BX339" i="1"/>
  <c r="CJ245" i="1"/>
  <c r="CJ318" i="1"/>
  <c r="BW507" i="1"/>
  <c r="BW332" i="1"/>
  <c r="H332" i="14" s="1"/>
  <c r="CJ317" i="1"/>
  <c r="BD340" i="1"/>
  <c r="G340" i="14" s="1"/>
  <c r="BD332" i="1"/>
  <c r="AK332" i="1"/>
  <c r="BD336" i="1"/>
  <c r="BW335" i="1"/>
  <c r="H335" i="14" s="1"/>
  <c r="BW341" i="1"/>
  <c r="AK336" i="1"/>
  <c r="BD338" i="1"/>
  <c r="BX338" i="1" s="1"/>
  <c r="BD335" i="1"/>
  <c r="CD246" i="1"/>
  <c r="BD341" i="1"/>
  <c r="G341" i="14" s="1"/>
  <c r="BW336" i="1"/>
  <c r="G335" i="14"/>
  <c r="G342" i="14"/>
  <c r="G339" i="14"/>
  <c r="H338" i="14"/>
  <c r="H341" i="14"/>
  <c r="G338" i="14"/>
  <c r="H339" i="14"/>
  <c r="G507" i="14"/>
  <c r="H336" i="14"/>
  <c r="H507" i="14"/>
  <c r="H342" i="14"/>
  <c r="H337" i="14"/>
  <c r="G336" i="14"/>
  <c r="G337" i="14"/>
  <c r="BP352" i="2"/>
  <c r="P351" i="1" s="1"/>
  <c r="BP344" i="2"/>
  <c r="P343" i="1" s="1"/>
  <c r="BP276" i="2"/>
  <c r="P275" i="1" s="1"/>
  <c r="BP273" i="2"/>
  <c r="P272" i="1" s="1"/>
  <c r="BP347" i="2"/>
  <c r="P346" i="1" s="1"/>
  <c r="BP353" i="2"/>
  <c r="P352" i="1" s="1"/>
  <c r="F506" i="14"/>
  <c r="N315" i="14"/>
  <c r="F339" i="14"/>
  <c r="N194" i="14"/>
  <c r="F341" i="14"/>
  <c r="BO350" i="2"/>
  <c r="O349" i="1" s="1"/>
  <c r="BR514" i="2"/>
  <c r="R513" i="1" s="1"/>
  <c r="AH513" i="1" s="1"/>
  <c r="BN512" i="2"/>
  <c r="N511" i="1" s="1"/>
  <c r="BP351" i="2"/>
  <c r="P350" i="1" s="1"/>
  <c r="BQ514" i="2"/>
  <c r="Q513" i="1" s="1"/>
  <c r="AG513" i="1" s="1"/>
  <c r="F336" i="14"/>
  <c r="N500" i="14"/>
  <c r="N245" i="14"/>
  <c r="F342" i="14"/>
  <c r="F335" i="14"/>
  <c r="F507" i="14"/>
  <c r="N247" i="14"/>
  <c r="N248" i="14"/>
  <c r="N318" i="14"/>
  <c r="N316" i="14"/>
  <c r="N317" i="14"/>
  <c r="N246" i="14"/>
  <c r="F337" i="14"/>
  <c r="BP513" i="2"/>
  <c r="P512" i="1" s="1"/>
  <c r="BQ513" i="2"/>
  <c r="Q512" i="1" s="1"/>
  <c r="BO513" i="2"/>
  <c r="O512" i="1" s="1"/>
  <c r="BR513" i="2"/>
  <c r="R512" i="1" s="1"/>
  <c r="BN348" i="2"/>
  <c r="N347" i="1" s="1"/>
  <c r="BN273" i="2"/>
  <c r="N272" i="1" s="1"/>
  <c r="BN346" i="2"/>
  <c r="N345" i="1" s="1"/>
  <c r="BN345" i="2"/>
  <c r="N344" i="1" s="1"/>
  <c r="BN350" i="2"/>
  <c r="N349" i="1" s="1"/>
  <c r="BN349" i="2"/>
  <c r="N348" i="1" s="1"/>
  <c r="BN347" i="2"/>
  <c r="N346" i="1" s="1"/>
  <c r="BN274" i="2"/>
  <c r="N273" i="1" s="1"/>
  <c r="BN275" i="2"/>
  <c r="N274" i="1" s="1"/>
  <c r="BN351" i="2"/>
  <c r="N350" i="1" s="1"/>
  <c r="BN276" i="2"/>
  <c r="N275" i="1" s="1"/>
  <c r="BN344" i="2"/>
  <c r="N343" i="1" s="1"/>
  <c r="BN352" i="2"/>
  <c r="N351" i="1" s="1"/>
  <c r="BN353" i="2"/>
  <c r="N352" i="1" s="1"/>
  <c r="F340" i="14"/>
  <c r="N501" i="14"/>
  <c r="F334" i="14"/>
  <c r="F332" i="14"/>
  <c r="N244" i="14"/>
  <c r="N497" i="14"/>
  <c r="F338" i="14"/>
  <c r="BX342" i="1" l="1"/>
  <c r="BX337" i="1"/>
  <c r="AB274" i="1"/>
  <c r="AU274" i="1"/>
  <c r="BN274" i="1"/>
  <c r="AB344" i="1"/>
  <c r="BN344" i="1"/>
  <c r="AU344" i="1"/>
  <c r="J342" i="14"/>
  <c r="K342" i="14"/>
  <c r="L342" i="14"/>
  <c r="BY342" i="1"/>
  <c r="I342" i="14"/>
  <c r="AU346" i="1"/>
  <c r="BN346" i="1"/>
  <c r="AB346" i="1"/>
  <c r="AB345" i="1"/>
  <c r="BN345" i="1"/>
  <c r="AU345" i="1"/>
  <c r="AU352" i="1"/>
  <c r="BN352" i="1"/>
  <c r="AB352" i="1"/>
  <c r="AB272" i="1"/>
  <c r="BN272" i="1"/>
  <c r="AU272" i="1"/>
  <c r="AD512" i="1"/>
  <c r="BP512" i="1"/>
  <c r="AW512" i="1"/>
  <c r="AB347" i="1"/>
  <c r="AU347" i="1"/>
  <c r="BN347" i="1"/>
  <c r="BY337" i="1"/>
  <c r="I337" i="14"/>
  <c r="J337" i="14"/>
  <c r="K337" i="14"/>
  <c r="L337" i="14"/>
  <c r="AB351" i="1"/>
  <c r="BN351" i="1"/>
  <c r="AU351" i="1"/>
  <c r="BO512" i="1"/>
  <c r="AV512" i="1"/>
  <c r="AC512" i="1"/>
  <c r="AZ513" i="1"/>
  <c r="BS513" i="1"/>
  <c r="BP352" i="1"/>
  <c r="AD352" i="1"/>
  <c r="AW352" i="1"/>
  <c r="BX507" i="1"/>
  <c r="J506" i="14"/>
  <c r="L506" i="14"/>
  <c r="BY506" i="1"/>
  <c r="I506" i="14"/>
  <c r="K506" i="14"/>
  <c r="BX341" i="1"/>
  <c r="AB275" i="1"/>
  <c r="BN275" i="1"/>
  <c r="AU275" i="1"/>
  <c r="BP350" i="1"/>
  <c r="AW350" i="1"/>
  <c r="AD350" i="1"/>
  <c r="BP346" i="1"/>
  <c r="AD346" i="1"/>
  <c r="AW346" i="1"/>
  <c r="BX336" i="1"/>
  <c r="AB350" i="1"/>
  <c r="AU350" i="1"/>
  <c r="BN350" i="1"/>
  <c r="BN511" i="1"/>
  <c r="AB511" i="1"/>
  <c r="AU511" i="1"/>
  <c r="AD272" i="1"/>
  <c r="AW272" i="1"/>
  <c r="BP272" i="1"/>
  <c r="BN273" i="1"/>
  <c r="AB273" i="1"/>
  <c r="AU273" i="1"/>
  <c r="BA513" i="1"/>
  <c r="BT513" i="1"/>
  <c r="AD275" i="1"/>
  <c r="AW275" i="1"/>
  <c r="BP275" i="1"/>
  <c r="BO349" i="1"/>
  <c r="AC349" i="1"/>
  <c r="AV349" i="1"/>
  <c r="AD343" i="1"/>
  <c r="BP343" i="1"/>
  <c r="AW343" i="1"/>
  <c r="BY338" i="1"/>
  <c r="I338" i="14"/>
  <c r="J338" i="14"/>
  <c r="K338" i="14"/>
  <c r="L338" i="14"/>
  <c r="BX335" i="1"/>
  <c r="AB348" i="1"/>
  <c r="BN348" i="1"/>
  <c r="AU348" i="1"/>
  <c r="BP351" i="1"/>
  <c r="AW351" i="1"/>
  <c r="AD351" i="1"/>
  <c r="J339" i="14"/>
  <c r="K339" i="14"/>
  <c r="L339" i="14"/>
  <c r="BY339" i="1"/>
  <c r="I339" i="14"/>
  <c r="AU349" i="1"/>
  <c r="AB349" i="1"/>
  <c r="BN349" i="1"/>
  <c r="BX332" i="1"/>
  <c r="G332" i="14"/>
  <c r="BX340" i="1"/>
  <c r="BX334" i="1"/>
  <c r="BP275" i="2"/>
  <c r="P274" i="1" s="1"/>
  <c r="BP274" i="2"/>
  <c r="P273" i="1" s="1"/>
  <c r="BP348" i="2"/>
  <c r="P347" i="1" s="1"/>
  <c r="BP514" i="2"/>
  <c r="P513" i="1" s="1"/>
  <c r="BP509" i="2"/>
  <c r="P508" i="1" s="1"/>
  <c r="BP510" i="2"/>
  <c r="P509" i="1" s="1"/>
  <c r="BP350" i="2"/>
  <c r="P349" i="1" s="1"/>
  <c r="BP345" i="2"/>
  <c r="P344" i="1" s="1"/>
  <c r="BP346" i="2"/>
  <c r="P345" i="1" s="1"/>
  <c r="BP349" i="2"/>
  <c r="P348" i="1" s="1"/>
  <c r="BP511" i="2"/>
  <c r="P510" i="1" s="1"/>
  <c r="BP512" i="2"/>
  <c r="P511" i="1" s="1"/>
  <c r="BO512" i="2"/>
  <c r="O511" i="1" s="1"/>
  <c r="BO352" i="2"/>
  <c r="O351" i="1" s="1"/>
  <c r="BO346" i="2"/>
  <c r="O345" i="1" s="1"/>
  <c r="BO353" i="2"/>
  <c r="O352" i="1" s="1"/>
  <c r="BO351" i="2"/>
  <c r="O350" i="1" s="1"/>
  <c r="BO347" i="2"/>
  <c r="O346" i="1" s="1"/>
  <c r="BO345" i="2"/>
  <c r="O344" i="1" s="1"/>
  <c r="BO349" i="2"/>
  <c r="O348" i="1" s="1"/>
  <c r="BO344" i="2"/>
  <c r="O343" i="1" s="1"/>
  <c r="BO348" i="2"/>
  <c r="O347" i="1" s="1"/>
  <c r="BN511" i="2"/>
  <c r="N510" i="1" s="1"/>
  <c r="BP516" i="2"/>
  <c r="P515" i="1" s="1"/>
  <c r="BQ516" i="2"/>
  <c r="Q515" i="1" s="1"/>
  <c r="BR516" i="2"/>
  <c r="R515" i="1" s="1"/>
  <c r="BO516" i="2"/>
  <c r="O515" i="1" s="1"/>
  <c r="BN514" i="2"/>
  <c r="N513" i="1" s="1"/>
  <c r="BN509" i="2"/>
  <c r="N508" i="1" s="1"/>
  <c r="BN510" i="2"/>
  <c r="N509" i="1" s="1"/>
  <c r="BO515" i="2"/>
  <c r="O514" i="1" s="1"/>
  <c r="BP515" i="2"/>
  <c r="P514" i="1" s="1"/>
  <c r="BQ515" i="2"/>
  <c r="Q514" i="1" s="1"/>
  <c r="BR515" i="2"/>
  <c r="R514" i="1" s="1"/>
  <c r="BN513" i="2"/>
  <c r="N512" i="1" s="1"/>
  <c r="BO514" i="2"/>
  <c r="O513" i="1" s="1"/>
  <c r="BO509" i="2"/>
  <c r="O508" i="1" s="1"/>
  <c r="BO510" i="2"/>
  <c r="O509" i="1" s="1"/>
  <c r="BO511" i="2"/>
  <c r="O510" i="1" s="1"/>
  <c r="CD342" i="1" l="1"/>
  <c r="CD337" i="1"/>
  <c r="CD506" i="1"/>
  <c r="AB512" i="1"/>
  <c r="AK512" i="1" s="1"/>
  <c r="AU512" i="1"/>
  <c r="BD512" i="1" s="1"/>
  <c r="BN512" i="1"/>
  <c r="BW512" i="1" s="1"/>
  <c r="AV347" i="1"/>
  <c r="AC347" i="1"/>
  <c r="BO347" i="1"/>
  <c r="BP348" i="1"/>
  <c r="AD348" i="1"/>
  <c r="AW348" i="1"/>
  <c r="BY340" i="1"/>
  <c r="I340" i="14"/>
  <c r="J340" i="14"/>
  <c r="K340" i="14"/>
  <c r="L340" i="14"/>
  <c r="CJ338" i="1"/>
  <c r="BO343" i="1"/>
  <c r="BW343" i="1" s="1"/>
  <c r="AC343" i="1"/>
  <c r="AK343" i="1" s="1"/>
  <c r="AV343" i="1"/>
  <c r="BD343" i="1" s="1"/>
  <c r="BP345" i="1"/>
  <c r="AD345" i="1"/>
  <c r="AW345" i="1"/>
  <c r="AD514" i="1"/>
  <c r="BP514" i="1"/>
  <c r="AW514" i="1"/>
  <c r="BO348" i="1"/>
  <c r="AC348" i="1"/>
  <c r="AK348" i="1" s="1"/>
  <c r="AV348" i="1"/>
  <c r="BP344" i="1"/>
  <c r="AD344" i="1"/>
  <c r="AW344" i="1"/>
  <c r="I332" i="14"/>
  <c r="J332" i="14"/>
  <c r="K332" i="14"/>
  <c r="BY332" i="1"/>
  <c r="L332" i="14"/>
  <c r="CJ337" i="1"/>
  <c r="CJ342" i="1"/>
  <c r="AV514" i="1"/>
  <c r="BO514" i="1"/>
  <c r="AC514" i="1"/>
  <c r="AV344" i="1"/>
  <c r="AC344" i="1"/>
  <c r="BO344" i="1"/>
  <c r="BW344" i="1" s="1"/>
  <c r="AD349" i="1"/>
  <c r="BP349" i="1"/>
  <c r="BW349" i="1" s="1"/>
  <c r="AW349" i="1"/>
  <c r="BD349" i="1" s="1"/>
  <c r="G349" i="14" s="1"/>
  <c r="BW348" i="1"/>
  <c r="H348" i="14" s="1"/>
  <c r="BY341" i="1"/>
  <c r="I341" i="14"/>
  <c r="J341" i="14"/>
  <c r="K341" i="14"/>
  <c r="L341" i="14"/>
  <c r="BO346" i="1"/>
  <c r="AC346" i="1"/>
  <c r="AV346" i="1"/>
  <c r="BD346" i="1" s="1"/>
  <c r="AD509" i="1"/>
  <c r="AW509" i="1"/>
  <c r="BP509" i="1"/>
  <c r="AK349" i="1"/>
  <c r="AV350" i="1"/>
  <c r="BD350" i="1" s="1"/>
  <c r="G350" i="14" s="1"/>
  <c r="AC350" i="1"/>
  <c r="AK350" i="1" s="1"/>
  <c r="BO350" i="1"/>
  <c r="BW350" i="1" s="1"/>
  <c r="H350" i="14" s="1"/>
  <c r="BP508" i="1"/>
  <c r="AW508" i="1"/>
  <c r="AD508" i="1"/>
  <c r="BY336" i="1"/>
  <c r="I336" i="14"/>
  <c r="J336" i="14"/>
  <c r="K336" i="14"/>
  <c r="L336" i="14"/>
  <c r="AB513" i="1"/>
  <c r="BN513" i="1"/>
  <c r="AU513" i="1"/>
  <c r="BO352" i="1"/>
  <c r="BW352" i="1" s="1"/>
  <c r="H352" i="14" s="1"/>
  <c r="AC352" i="1"/>
  <c r="AK352" i="1" s="1"/>
  <c r="AV352" i="1"/>
  <c r="BD352" i="1" s="1"/>
  <c r="BP513" i="1"/>
  <c r="AW513" i="1"/>
  <c r="AD513" i="1"/>
  <c r="CD339" i="1"/>
  <c r="K335" i="14"/>
  <c r="J335" i="14"/>
  <c r="BY335" i="1"/>
  <c r="I335" i="14"/>
  <c r="L335" i="14"/>
  <c r="CJ506" i="1"/>
  <c r="BD344" i="1"/>
  <c r="G344" i="14" s="1"/>
  <c r="AC515" i="1"/>
  <c r="AV515" i="1"/>
  <c r="BO515" i="1"/>
  <c r="BO345" i="1"/>
  <c r="BW345" i="1" s="1"/>
  <c r="AV345" i="1"/>
  <c r="AC345" i="1"/>
  <c r="AK345" i="1" s="1"/>
  <c r="BP347" i="1"/>
  <c r="BW347" i="1" s="1"/>
  <c r="AW347" i="1"/>
  <c r="BD347" i="1" s="1"/>
  <c r="G347" i="14" s="1"/>
  <c r="AD347" i="1"/>
  <c r="AK347" i="1" s="1"/>
  <c r="CJ339" i="1"/>
  <c r="BD351" i="1"/>
  <c r="G351" i="14" s="1"/>
  <c r="AV510" i="1"/>
  <c r="AC510" i="1"/>
  <c r="BO510" i="1"/>
  <c r="BO351" i="1"/>
  <c r="BW351" i="1" s="1"/>
  <c r="AC351" i="1"/>
  <c r="AK351" i="1" s="1"/>
  <c r="AV351" i="1"/>
  <c r="BP273" i="1"/>
  <c r="AD273" i="1"/>
  <c r="AW273" i="1"/>
  <c r="AK344" i="1"/>
  <c r="AV508" i="1"/>
  <c r="BD508" i="1" s="1"/>
  <c r="AC508" i="1"/>
  <c r="AK508" i="1" s="1"/>
  <c r="BO508" i="1"/>
  <c r="BW508" i="1" s="1"/>
  <c r="AV511" i="1"/>
  <c r="AC511" i="1"/>
  <c r="BO511" i="1"/>
  <c r="AD274" i="1"/>
  <c r="AW274" i="1"/>
  <c r="BP274" i="1"/>
  <c r="AV513" i="1"/>
  <c r="AC513" i="1"/>
  <c r="BO513" i="1"/>
  <c r="AW515" i="1"/>
  <c r="AD515" i="1"/>
  <c r="BP515" i="1"/>
  <c r="AD511" i="1"/>
  <c r="BP511" i="1"/>
  <c r="AW511" i="1"/>
  <c r="I334" i="14"/>
  <c r="J334" i="14"/>
  <c r="K334" i="14"/>
  <c r="L334" i="14"/>
  <c r="BY334" i="1"/>
  <c r="L507" i="14"/>
  <c r="J507" i="14"/>
  <c r="BY507" i="1"/>
  <c r="I507" i="14"/>
  <c r="K507" i="14"/>
  <c r="AK346" i="1"/>
  <c r="AC509" i="1"/>
  <c r="AV509" i="1"/>
  <c r="BO509" i="1"/>
  <c r="BW509" i="1" s="1"/>
  <c r="AB510" i="1"/>
  <c r="BN510" i="1"/>
  <c r="AU510" i="1"/>
  <c r="BP510" i="1"/>
  <c r="AD510" i="1"/>
  <c r="AW510" i="1"/>
  <c r="CD338" i="1"/>
  <c r="BW346" i="1"/>
  <c r="H346" i="14" s="1"/>
  <c r="F346" i="14"/>
  <c r="G512" i="14"/>
  <c r="H512" i="14"/>
  <c r="G343" i="14"/>
  <c r="H343" i="14"/>
  <c r="H508" i="14"/>
  <c r="BP517" i="2"/>
  <c r="P516" i="1" s="1"/>
  <c r="BR517" i="2"/>
  <c r="R516" i="1" s="1"/>
  <c r="BN515" i="2"/>
  <c r="N514" i="1" s="1"/>
  <c r="BQ517" i="2"/>
  <c r="Q516" i="1" s="1"/>
  <c r="BO517" i="2"/>
  <c r="O516" i="1" s="1"/>
  <c r="BQ518" i="2"/>
  <c r="Q517" i="1" s="1"/>
  <c r="BO518" i="2"/>
  <c r="O517" i="1" s="1"/>
  <c r="BR518" i="2"/>
  <c r="R517" i="1" s="1"/>
  <c r="BP518" i="2"/>
  <c r="P517" i="1" s="1"/>
  <c r="BN516" i="2"/>
  <c r="N515" i="1" s="1"/>
  <c r="BD345" i="1" l="1"/>
  <c r="BD509" i="1"/>
  <c r="AK509" i="1"/>
  <c r="BD511" i="1"/>
  <c r="CD507" i="1"/>
  <c r="CD335" i="1"/>
  <c r="CD332" i="1"/>
  <c r="BW510" i="1"/>
  <c r="AK510" i="1"/>
  <c r="BD348" i="1"/>
  <c r="BX348" i="1" s="1"/>
  <c r="BX509" i="1"/>
  <c r="BW511" i="1"/>
  <c r="H511" i="14" s="1"/>
  <c r="AK511" i="1"/>
  <c r="BX351" i="1"/>
  <c r="BY351" i="1" s="1"/>
  <c r="CD340" i="1"/>
  <c r="BX349" i="1"/>
  <c r="H349" i="14"/>
  <c r="BX346" i="1"/>
  <c r="G346" i="14"/>
  <c r="BX352" i="1"/>
  <c r="G352" i="14"/>
  <c r="L351" i="14"/>
  <c r="BX350" i="1"/>
  <c r="CJ334" i="1"/>
  <c r="BX344" i="1"/>
  <c r="CJ340" i="1"/>
  <c r="AD517" i="1"/>
  <c r="BP517" i="1"/>
  <c r="AW517" i="1"/>
  <c r="K509" i="14"/>
  <c r="L509" i="14"/>
  <c r="J509" i="14"/>
  <c r="BY509" i="1"/>
  <c r="I509" i="14"/>
  <c r="BX345" i="1"/>
  <c r="BX343" i="1"/>
  <c r="BO517" i="1"/>
  <c r="AV517" i="1"/>
  <c r="AC517" i="1"/>
  <c r="CD334" i="1"/>
  <c r="CD336" i="1"/>
  <c r="BX347" i="1"/>
  <c r="CJ336" i="1"/>
  <c r="AC516" i="1"/>
  <c r="BO516" i="1"/>
  <c r="AV516" i="1"/>
  <c r="CD341" i="1"/>
  <c r="CJ332" i="1"/>
  <c r="BN514" i="1"/>
  <c r="BW514" i="1" s="1"/>
  <c r="AU514" i="1"/>
  <c r="BD514" i="1" s="1"/>
  <c r="AB514" i="1"/>
  <c r="AK514" i="1" s="1"/>
  <c r="CJ341" i="1"/>
  <c r="BD513" i="1"/>
  <c r="AD516" i="1"/>
  <c r="BP516" i="1"/>
  <c r="AW516" i="1"/>
  <c r="CJ507" i="1"/>
  <c r="BW513" i="1"/>
  <c r="H513" i="14" s="1"/>
  <c r="AU515" i="1"/>
  <c r="BD515" i="1" s="1"/>
  <c r="AB515" i="1"/>
  <c r="AK515" i="1" s="1"/>
  <c r="BN515" i="1"/>
  <c r="BW515" i="1" s="1"/>
  <c r="CJ335" i="1"/>
  <c r="AK513" i="1"/>
  <c r="BD510" i="1"/>
  <c r="BX508" i="1"/>
  <c r="BX512" i="1"/>
  <c r="F351" i="14"/>
  <c r="F344" i="14"/>
  <c r="F345" i="14"/>
  <c r="F511" i="14"/>
  <c r="G348" i="14"/>
  <c r="G509" i="14"/>
  <c r="F349" i="14"/>
  <c r="G508" i="14"/>
  <c r="G345" i="14"/>
  <c r="H509" i="14"/>
  <c r="H345" i="14"/>
  <c r="H347" i="14"/>
  <c r="G511" i="14"/>
  <c r="H351" i="14"/>
  <c r="F350" i="14"/>
  <c r="F348" i="14"/>
  <c r="H344" i="14"/>
  <c r="F352" i="14"/>
  <c r="G513" i="14"/>
  <c r="H510" i="14"/>
  <c r="G510" i="14"/>
  <c r="F343" i="14"/>
  <c r="BR520" i="2"/>
  <c r="R519" i="1" s="1"/>
  <c r="BN518" i="2"/>
  <c r="N517" i="1" s="1"/>
  <c r="BP520" i="2"/>
  <c r="P519" i="1" s="1"/>
  <c r="BQ520" i="2"/>
  <c r="Q519" i="1" s="1"/>
  <c r="BO520" i="2"/>
  <c r="O519" i="1" s="1"/>
  <c r="N339" i="14"/>
  <c r="BO519" i="2"/>
  <c r="O518" i="1" s="1"/>
  <c r="BP519" i="2"/>
  <c r="P518" i="1" s="1"/>
  <c r="BQ519" i="2"/>
  <c r="Q518" i="1" s="1"/>
  <c r="BR519" i="2"/>
  <c r="R518" i="1" s="1"/>
  <c r="BN517" i="2"/>
  <c r="N516" i="1" s="1"/>
  <c r="F508" i="14"/>
  <c r="N341" i="14"/>
  <c r="N338" i="14"/>
  <c r="N335" i="14"/>
  <c r="N332" i="14"/>
  <c r="N337" i="14"/>
  <c r="F512" i="14"/>
  <c r="F513" i="14"/>
  <c r="N336" i="14"/>
  <c r="N334" i="14"/>
  <c r="N507" i="14"/>
  <c r="F509" i="14"/>
  <c r="N506" i="14"/>
  <c r="G515" i="14"/>
  <c r="H515" i="14"/>
  <c r="H514" i="14"/>
  <c r="G514" i="14"/>
  <c r="N342" i="14"/>
  <c r="N340" i="14"/>
  <c r="BX510" i="1" l="1"/>
  <c r="BX511" i="1"/>
  <c r="J351" i="14"/>
  <c r="I351" i="14"/>
  <c r="K351" i="14"/>
  <c r="I511" i="14"/>
  <c r="CD509" i="1"/>
  <c r="J511" i="14"/>
  <c r="J510" i="14"/>
  <c r="I510" i="14"/>
  <c r="K510" i="14"/>
  <c r="L510" i="14"/>
  <c r="BY510" i="1"/>
  <c r="K512" i="14"/>
  <c r="L512" i="14"/>
  <c r="BY512" i="1"/>
  <c r="I512" i="14"/>
  <c r="J512" i="14"/>
  <c r="CJ509" i="1"/>
  <c r="J508" i="14"/>
  <c r="K508" i="14"/>
  <c r="BY508" i="1"/>
  <c r="I508" i="14"/>
  <c r="L508" i="14"/>
  <c r="BY347" i="1"/>
  <c r="I347" i="14"/>
  <c r="J347" i="14"/>
  <c r="K347" i="14"/>
  <c r="L347" i="14"/>
  <c r="AW518" i="1"/>
  <c r="AD518" i="1"/>
  <c r="BP518" i="1"/>
  <c r="BY352" i="1"/>
  <c r="I352" i="14"/>
  <c r="J352" i="14"/>
  <c r="K352" i="14"/>
  <c r="L352" i="14"/>
  <c r="AC518" i="1"/>
  <c r="AV518" i="1"/>
  <c r="BO518" i="1"/>
  <c r="J348" i="14"/>
  <c r="K348" i="14"/>
  <c r="L348" i="14"/>
  <c r="BY348" i="1"/>
  <c r="I348" i="14"/>
  <c r="AC519" i="1"/>
  <c r="AV519" i="1"/>
  <c r="BO519" i="1"/>
  <c r="BX515" i="1"/>
  <c r="BY350" i="1"/>
  <c r="I350" i="14"/>
  <c r="J350" i="14"/>
  <c r="K350" i="14"/>
  <c r="L350" i="14"/>
  <c r="AD519" i="1"/>
  <c r="AW519" i="1"/>
  <c r="BP519" i="1"/>
  <c r="BY343" i="1"/>
  <c r="I343" i="14"/>
  <c r="J343" i="14"/>
  <c r="K343" i="14"/>
  <c r="L343" i="14"/>
  <c r="BN517" i="1"/>
  <c r="BW517" i="1" s="1"/>
  <c r="AB517" i="1"/>
  <c r="AK517" i="1" s="1"/>
  <c r="AU517" i="1"/>
  <c r="BD517" i="1" s="1"/>
  <c r="CD351" i="1"/>
  <c r="BY346" i="1"/>
  <c r="I346" i="14"/>
  <c r="J346" i="14"/>
  <c r="K346" i="14"/>
  <c r="L346" i="14"/>
  <c r="BX514" i="1"/>
  <c r="BY345" i="1"/>
  <c r="I345" i="14"/>
  <c r="J345" i="14"/>
  <c r="K345" i="14"/>
  <c r="L345" i="14"/>
  <c r="CJ351" i="1"/>
  <c r="AB516" i="1"/>
  <c r="AK516" i="1" s="1"/>
  <c r="AU516" i="1"/>
  <c r="BD516" i="1" s="1"/>
  <c r="G516" i="14" s="1"/>
  <c r="BN516" i="1"/>
  <c r="BW516" i="1" s="1"/>
  <c r="BX513" i="1"/>
  <c r="J344" i="14"/>
  <c r="K344" i="14"/>
  <c r="L344" i="14"/>
  <c r="BY344" i="1"/>
  <c r="I344" i="14"/>
  <c r="BY349" i="1"/>
  <c r="I349" i="14"/>
  <c r="J349" i="14"/>
  <c r="K349" i="14"/>
  <c r="L349" i="14"/>
  <c r="F510" i="14"/>
  <c r="F347" i="14"/>
  <c r="F514" i="14"/>
  <c r="BN520" i="2"/>
  <c r="N519" i="1" s="1"/>
  <c r="BQ522" i="2"/>
  <c r="Q521" i="1" s="1"/>
  <c r="AG521" i="1" s="1"/>
  <c r="BR522" i="2"/>
  <c r="R521" i="1" s="1"/>
  <c r="AH521" i="1" s="1"/>
  <c r="F515" i="14"/>
  <c r="G517" i="14"/>
  <c r="H517" i="14"/>
  <c r="H516" i="14"/>
  <c r="BR521" i="2"/>
  <c r="R520" i="1" s="1"/>
  <c r="BQ521" i="2"/>
  <c r="Q520" i="1" s="1"/>
  <c r="BN519" i="2"/>
  <c r="N518" i="1" s="1"/>
  <c r="BY511" i="1" l="1"/>
  <c r="CJ511" i="1" s="1"/>
  <c r="L511" i="14"/>
  <c r="BX517" i="1"/>
  <c r="CD512" i="1"/>
  <c r="CD508" i="1"/>
  <c r="CD348" i="1"/>
  <c r="BX516" i="1"/>
  <c r="CJ343" i="1"/>
  <c r="CD349" i="1"/>
  <c r="CD346" i="1"/>
  <c r="BY515" i="1"/>
  <c r="I515" i="14"/>
  <c r="J515" i="14"/>
  <c r="K515" i="14"/>
  <c r="L515" i="14"/>
  <c r="CJ349" i="1"/>
  <c r="CJ346" i="1"/>
  <c r="CD344" i="1"/>
  <c r="BT521" i="1"/>
  <c r="BA521" i="1"/>
  <c r="CJ344" i="1"/>
  <c r="CD347" i="1"/>
  <c r="CJ512" i="1"/>
  <c r="BS521" i="1"/>
  <c r="AZ521" i="1"/>
  <c r="BY517" i="1"/>
  <c r="I517" i="14"/>
  <c r="J517" i="14"/>
  <c r="K517" i="14"/>
  <c r="L517" i="14"/>
  <c r="CD352" i="1"/>
  <c r="CJ347" i="1"/>
  <c r="AB519" i="1"/>
  <c r="AK519" i="1" s="1"/>
  <c r="AU519" i="1"/>
  <c r="BD519" i="1" s="1"/>
  <c r="G519" i="14" s="1"/>
  <c r="BN519" i="1"/>
  <c r="BW519" i="1" s="1"/>
  <c r="H519" i="14" s="1"/>
  <c r="CD345" i="1"/>
  <c r="CJ345" i="1"/>
  <c r="N345" i="14" s="1"/>
  <c r="CJ510" i="1"/>
  <c r="CJ352" i="1"/>
  <c r="AB518" i="1"/>
  <c r="AK518" i="1" s="1"/>
  <c r="AU518" i="1"/>
  <c r="BD518" i="1" s="1"/>
  <c r="BN518" i="1"/>
  <c r="BW518" i="1" s="1"/>
  <c r="L513" i="14"/>
  <c r="BY513" i="1"/>
  <c r="I513" i="14"/>
  <c r="K513" i="14"/>
  <c r="J513" i="14"/>
  <c r="I514" i="14"/>
  <c r="J514" i="14"/>
  <c r="K514" i="14"/>
  <c r="L514" i="14"/>
  <c r="BY514" i="1"/>
  <c r="CJ348" i="1"/>
  <c r="CJ508" i="1"/>
  <c r="CD350" i="1"/>
  <c r="CD510" i="1"/>
  <c r="CD343" i="1"/>
  <c r="CJ350" i="1"/>
  <c r="BQ524" i="2"/>
  <c r="Q523" i="1" s="1"/>
  <c r="AG523" i="1" s="1"/>
  <c r="BR524" i="2"/>
  <c r="R523" i="1" s="1"/>
  <c r="AH523" i="1" s="1"/>
  <c r="N351" i="14"/>
  <c r="N346" i="14"/>
  <c r="G518" i="14"/>
  <c r="H518" i="14"/>
  <c r="N344" i="14"/>
  <c r="N347" i="14"/>
  <c r="F516" i="14"/>
  <c r="N511" i="14"/>
  <c r="N352" i="14"/>
  <c r="BR523" i="2"/>
  <c r="R522" i="1" s="1"/>
  <c r="BQ523" i="2"/>
  <c r="Q522" i="1" s="1"/>
  <c r="F517" i="14"/>
  <c r="N349" i="14"/>
  <c r="N350" i="14"/>
  <c r="N348" i="14"/>
  <c r="CD511" i="1" l="1"/>
  <c r="K511" i="14"/>
  <c r="CD513" i="1"/>
  <c r="CJ514" i="1"/>
  <c r="BX518" i="1"/>
  <c r="BT523" i="1"/>
  <c r="BA523" i="1"/>
  <c r="BS523" i="1"/>
  <c r="AZ523" i="1"/>
  <c r="CD515" i="1"/>
  <c r="CD514" i="1"/>
  <c r="CJ515" i="1"/>
  <c r="CD517" i="1"/>
  <c r="CJ517" i="1"/>
  <c r="CJ513" i="1"/>
  <c r="BX519" i="1"/>
  <c r="BY516" i="1"/>
  <c r="I516" i="14"/>
  <c r="J516" i="14"/>
  <c r="K516" i="14"/>
  <c r="L516" i="14"/>
  <c r="N512" i="14"/>
  <c r="F518" i="14"/>
  <c r="N513" i="14"/>
  <c r="N509" i="14"/>
  <c r="N508" i="14"/>
  <c r="N510" i="14"/>
  <c r="N343" i="14"/>
  <c r="F519" i="14"/>
  <c r="BQ525" i="2"/>
  <c r="Q524" i="1" s="1"/>
  <c r="AG524" i="1" s="1"/>
  <c r="BR525" i="2"/>
  <c r="R524" i="1" s="1"/>
  <c r="AH524" i="1" s="1"/>
  <c r="BQ526" i="2"/>
  <c r="Q525" i="1" s="1"/>
  <c r="AG525" i="1" s="1"/>
  <c r="BR526" i="2"/>
  <c r="R525" i="1" s="1"/>
  <c r="AH525" i="1" s="1"/>
  <c r="CD516" i="1" l="1"/>
  <c r="CJ516" i="1"/>
  <c r="BY519" i="1"/>
  <c r="I519" i="14"/>
  <c r="J519" i="14"/>
  <c r="K519" i="14"/>
  <c r="L519" i="14"/>
  <c r="K518" i="14"/>
  <c r="L518" i="14"/>
  <c r="BY518" i="1"/>
  <c r="I518" i="14"/>
  <c r="J518" i="14"/>
  <c r="BA525" i="1"/>
  <c r="BT525" i="1"/>
  <c r="AZ525" i="1"/>
  <c r="BS525" i="1"/>
  <c r="BT524" i="1"/>
  <c r="BA524" i="1"/>
  <c r="BS524" i="1"/>
  <c r="AZ524" i="1"/>
  <c r="N515" i="14"/>
  <c r="BP363" i="2"/>
  <c r="P362" i="1" s="1"/>
  <c r="BP360" i="2"/>
  <c r="P359" i="1" s="1"/>
  <c r="BP365" i="2"/>
  <c r="P364" i="1" s="1"/>
  <c r="BP521" i="2"/>
  <c r="P520" i="1" s="1"/>
  <c r="BP359" i="2"/>
  <c r="P358" i="1" s="1"/>
  <c r="BP281" i="2"/>
  <c r="P280" i="1" s="1"/>
  <c r="BP364" i="2"/>
  <c r="P363" i="1" s="1"/>
  <c r="BR527" i="2"/>
  <c r="R526" i="1" s="1"/>
  <c r="BP527" i="2"/>
  <c r="P526" i="1" s="1"/>
  <c r="BQ527" i="2"/>
  <c r="Q526" i="1" s="1"/>
  <c r="BO527" i="2"/>
  <c r="O526" i="1" s="1"/>
  <c r="BN278" i="2"/>
  <c r="N277" i="1" s="1"/>
  <c r="BN357" i="2"/>
  <c r="N356" i="1" s="1"/>
  <c r="N514" i="14"/>
  <c r="BO525" i="2"/>
  <c r="O524" i="1" s="1"/>
  <c r="BO521" i="2"/>
  <c r="O520" i="1" s="1"/>
  <c r="BO526" i="2"/>
  <c r="O525" i="1" s="1"/>
  <c r="BP522" i="2"/>
  <c r="P521" i="1" s="1"/>
  <c r="BQ528" i="2"/>
  <c r="Q527" i="1" s="1"/>
  <c r="AG527" i="1" s="1"/>
  <c r="BN361" i="2"/>
  <c r="N360" i="1" s="1"/>
  <c r="BO523" i="2"/>
  <c r="O522" i="1" s="1"/>
  <c r="BR528" i="2"/>
  <c r="R527" i="1" s="1"/>
  <c r="AH527" i="1" s="1"/>
  <c r="BO362" i="2"/>
  <c r="O361" i="1" s="1"/>
  <c r="AC525" i="1" l="1"/>
  <c r="AV525" i="1"/>
  <c r="BO525" i="1"/>
  <c r="AB360" i="1"/>
  <c r="BN360" i="1"/>
  <c r="AU360" i="1"/>
  <c r="BS527" i="1"/>
  <c r="AZ527" i="1"/>
  <c r="AW521" i="1"/>
  <c r="AD521" i="1"/>
  <c r="BP521" i="1"/>
  <c r="AW363" i="1"/>
  <c r="AD363" i="1"/>
  <c r="BP363" i="1"/>
  <c r="AD280" i="1"/>
  <c r="AW280" i="1"/>
  <c r="BP280" i="1"/>
  <c r="BP358" i="1"/>
  <c r="AD358" i="1"/>
  <c r="AW358" i="1"/>
  <c r="BO524" i="1"/>
  <c r="AV524" i="1"/>
  <c r="AC524" i="1"/>
  <c r="AD520" i="1"/>
  <c r="BP520" i="1"/>
  <c r="AW520" i="1"/>
  <c r="CD519" i="1"/>
  <c r="AD364" i="1"/>
  <c r="BP364" i="1"/>
  <c r="AW364" i="1"/>
  <c r="CJ519" i="1"/>
  <c r="BP359" i="1"/>
  <c r="AW359" i="1"/>
  <c r="AD359" i="1"/>
  <c r="AB356" i="1"/>
  <c r="AU356" i="1"/>
  <c r="BN356" i="1"/>
  <c r="AW362" i="1"/>
  <c r="AD362" i="1"/>
  <c r="BP362" i="1"/>
  <c r="AB277" i="1"/>
  <c r="AU277" i="1"/>
  <c r="BN277" i="1"/>
  <c r="AC526" i="1"/>
  <c r="BO526" i="1"/>
  <c r="AV526" i="1"/>
  <c r="CD518" i="1"/>
  <c r="AC361" i="1"/>
  <c r="BO361" i="1"/>
  <c r="AV361" i="1"/>
  <c r="BT527" i="1"/>
  <c r="BA527" i="1"/>
  <c r="AC522" i="1"/>
  <c r="AV522" i="1"/>
  <c r="BO522" i="1"/>
  <c r="CJ518" i="1"/>
  <c r="AV520" i="1"/>
  <c r="BD520" i="1" s="1"/>
  <c r="AC520" i="1"/>
  <c r="BO520" i="1"/>
  <c r="BW520" i="1" s="1"/>
  <c r="AD526" i="1"/>
  <c r="BP526" i="1"/>
  <c r="AW526" i="1"/>
  <c r="BP523" i="2"/>
  <c r="P522" i="1" s="1"/>
  <c r="BP362" i="2"/>
  <c r="P361" i="1" s="1"/>
  <c r="BP528" i="2"/>
  <c r="P527" i="1" s="1"/>
  <c r="BP524" i="2"/>
  <c r="P523" i="1" s="1"/>
  <c r="BP525" i="2"/>
  <c r="P524" i="1" s="1"/>
  <c r="BP361" i="2"/>
  <c r="P360" i="1" s="1"/>
  <c r="BP526" i="2"/>
  <c r="P525" i="1" s="1"/>
  <c r="BN526" i="2"/>
  <c r="N525" i="1" s="1"/>
  <c r="BN359" i="2"/>
  <c r="N358" i="1" s="1"/>
  <c r="BN363" i="2"/>
  <c r="N362" i="1" s="1"/>
  <c r="BN354" i="2"/>
  <c r="N353" i="1" s="1"/>
  <c r="BN356" i="2"/>
  <c r="N355" i="1" s="1"/>
  <c r="BO528" i="2"/>
  <c r="O527" i="1" s="1"/>
  <c r="BO364" i="2"/>
  <c r="O363" i="1" s="1"/>
  <c r="BO524" i="2"/>
  <c r="O523" i="1" s="1"/>
  <c r="BO522" i="2"/>
  <c r="O521" i="1" s="1"/>
  <c r="BO363" i="2"/>
  <c r="O362" i="1" s="1"/>
  <c r="BO281" i="2"/>
  <c r="O280" i="1" s="1"/>
  <c r="BQ529" i="2"/>
  <c r="Q528" i="1" s="1"/>
  <c r="BN527" i="2"/>
  <c r="N526" i="1" s="1"/>
  <c r="BR529" i="2"/>
  <c r="R528" i="1" s="1"/>
  <c r="BN528" i="2"/>
  <c r="N527" i="1" s="1"/>
  <c r="BQ530" i="2"/>
  <c r="Q529" i="1" s="1"/>
  <c r="AG529" i="1" s="1"/>
  <c r="BR530" i="2"/>
  <c r="R529" i="1" s="1"/>
  <c r="AH529" i="1" s="1"/>
  <c r="BN523" i="2"/>
  <c r="N522" i="1" s="1"/>
  <c r="BN524" i="2"/>
  <c r="N523" i="1" s="1"/>
  <c r="BN522" i="2"/>
  <c r="N521" i="1" s="1"/>
  <c r="BN521" i="2"/>
  <c r="N520" i="1" s="1"/>
  <c r="BN355" i="2"/>
  <c r="N354" i="1" s="1"/>
  <c r="BN364" i="2"/>
  <c r="N363" i="1" s="1"/>
  <c r="BN360" i="2"/>
  <c r="N359" i="1" s="1"/>
  <c r="N517" i="14"/>
  <c r="N516" i="14"/>
  <c r="BN365" i="2"/>
  <c r="N364" i="1" s="1"/>
  <c r="BN280" i="2"/>
  <c r="N279" i="1" s="1"/>
  <c r="BN525" i="2"/>
  <c r="N524" i="1" s="1"/>
  <c r="BN362" i="2"/>
  <c r="N361" i="1" s="1"/>
  <c r="AB359" i="1" l="1"/>
  <c r="BN359" i="1"/>
  <c r="AU359" i="1"/>
  <c r="AD525" i="1"/>
  <c r="AW525" i="1"/>
  <c r="BP525" i="1"/>
  <c r="AB363" i="1"/>
  <c r="BN363" i="1"/>
  <c r="AU363" i="1"/>
  <c r="AC280" i="1"/>
  <c r="BO280" i="1"/>
  <c r="AV280" i="1"/>
  <c r="AW360" i="1"/>
  <c r="AD360" i="1"/>
  <c r="BP360" i="1"/>
  <c r="AB354" i="1"/>
  <c r="BN354" i="1"/>
  <c r="AU354" i="1"/>
  <c r="AV362" i="1"/>
  <c r="AC362" i="1"/>
  <c r="BO362" i="1"/>
  <c r="AW524" i="1"/>
  <c r="AD524" i="1"/>
  <c r="BP524" i="1"/>
  <c r="BO521" i="1"/>
  <c r="BW521" i="1" s="1"/>
  <c r="AV521" i="1"/>
  <c r="BD521" i="1" s="1"/>
  <c r="AC521" i="1"/>
  <c r="AK521" i="1" s="1"/>
  <c r="AD523" i="1"/>
  <c r="BP523" i="1"/>
  <c r="AW523" i="1"/>
  <c r="AC523" i="1"/>
  <c r="BO523" i="1"/>
  <c r="AV523" i="1"/>
  <c r="AW527" i="1"/>
  <c r="BP527" i="1"/>
  <c r="AD527" i="1"/>
  <c r="BN523" i="1"/>
  <c r="AB523" i="1"/>
  <c r="AU523" i="1"/>
  <c r="BO363" i="1"/>
  <c r="AC363" i="1"/>
  <c r="AV363" i="1"/>
  <c r="AD361" i="1"/>
  <c r="BP361" i="1"/>
  <c r="AW361" i="1"/>
  <c r="AB361" i="1"/>
  <c r="AU361" i="1"/>
  <c r="BN361" i="1"/>
  <c r="BW361" i="1" s="1"/>
  <c r="BO527" i="1"/>
  <c r="AV527" i="1"/>
  <c r="AC527" i="1"/>
  <c r="AD522" i="1"/>
  <c r="AW522" i="1"/>
  <c r="BP522" i="1"/>
  <c r="AU364" i="1"/>
  <c r="AB364" i="1"/>
  <c r="BN364" i="1"/>
  <c r="BA529" i="1"/>
  <c r="BT529" i="1"/>
  <c r="AU355" i="1"/>
  <c r="AB355" i="1"/>
  <c r="BN355" i="1"/>
  <c r="AB522" i="1"/>
  <c r="AK522" i="1" s="1"/>
  <c r="AU522" i="1"/>
  <c r="BN522" i="1"/>
  <c r="BS529" i="1"/>
  <c r="AZ529" i="1"/>
  <c r="AB524" i="1"/>
  <c r="AK524" i="1" s="1"/>
  <c r="AU524" i="1"/>
  <c r="BD524" i="1" s="1"/>
  <c r="BN524" i="1"/>
  <c r="AB527" i="1"/>
  <c r="BN527" i="1"/>
  <c r="BW527" i="1" s="1"/>
  <c r="AU527" i="1"/>
  <c r="AB362" i="1"/>
  <c r="BN362" i="1"/>
  <c r="AU362" i="1"/>
  <c r="AB279" i="1"/>
  <c r="AU279" i="1"/>
  <c r="BN279" i="1"/>
  <c r="AB358" i="1"/>
  <c r="AU358" i="1"/>
  <c r="BN358" i="1"/>
  <c r="BN526" i="1"/>
  <c r="BW526" i="1" s="1"/>
  <c r="AB526" i="1"/>
  <c r="AK526" i="1" s="1"/>
  <c r="AU526" i="1"/>
  <c r="BD526" i="1" s="1"/>
  <c r="AB525" i="1"/>
  <c r="AK525" i="1" s="1"/>
  <c r="AU525" i="1"/>
  <c r="BD525" i="1" s="1"/>
  <c r="BN525" i="1"/>
  <c r="BW525" i="1" s="1"/>
  <c r="AK520" i="1"/>
  <c r="H520" i="14"/>
  <c r="G520" i="14"/>
  <c r="BP370" i="2"/>
  <c r="P369" i="1" s="1"/>
  <c r="BP372" i="2"/>
  <c r="P371" i="1" s="1"/>
  <c r="BP379" i="2"/>
  <c r="P378" i="1" s="1"/>
  <c r="BP380" i="2"/>
  <c r="P379" i="1" s="1"/>
  <c r="H525" i="14"/>
  <c r="G524" i="14"/>
  <c r="BP531" i="2"/>
  <c r="P530" i="1" s="1"/>
  <c r="BQ531" i="2"/>
  <c r="Q530" i="1" s="1"/>
  <c r="BR531" i="2"/>
  <c r="R530" i="1" s="1"/>
  <c r="N518" i="14"/>
  <c r="G521" i="14"/>
  <c r="H521" i="14"/>
  <c r="BO374" i="2"/>
  <c r="O373" i="1" s="1"/>
  <c r="BP532" i="2"/>
  <c r="P531" i="1" s="1"/>
  <c r="BQ532" i="2"/>
  <c r="Q531" i="1" s="1"/>
  <c r="AG531" i="1" s="1"/>
  <c r="BR532" i="2"/>
  <c r="R531" i="1" s="1"/>
  <c r="AH531" i="1" s="1"/>
  <c r="BO532" i="2"/>
  <c r="O531" i="1" s="1"/>
  <c r="BN530" i="2"/>
  <c r="N529" i="1" s="1"/>
  <c r="BN529" i="2"/>
  <c r="N528" i="1" s="1"/>
  <c r="BN376" i="2"/>
  <c r="N375" i="1" s="1"/>
  <c r="BN370" i="2"/>
  <c r="N369" i="1" s="1"/>
  <c r="BN366" i="2"/>
  <c r="N365" i="1" s="1"/>
  <c r="BN369" i="2"/>
  <c r="N368" i="1" s="1"/>
  <c r="BN372" i="2"/>
  <c r="N371" i="1" s="1"/>
  <c r="BN367" i="2"/>
  <c r="N366" i="1" s="1"/>
  <c r="BN380" i="2"/>
  <c r="N379" i="1" s="1"/>
  <c r="BN375" i="2"/>
  <c r="N374" i="1" s="1"/>
  <c r="BN379" i="2"/>
  <c r="N378" i="1" s="1"/>
  <c r="BN371" i="2"/>
  <c r="N370" i="1" s="1"/>
  <c r="BN381" i="2"/>
  <c r="N380" i="1" s="1"/>
  <c r="BN378" i="2"/>
  <c r="N377" i="1" s="1"/>
  <c r="BN377" i="2"/>
  <c r="N376" i="1" s="1"/>
  <c r="BN374" i="2"/>
  <c r="N373" i="1" s="1"/>
  <c r="BN373" i="2"/>
  <c r="N372" i="1" s="1"/>
  <c r="H361" i="14"/>
  <c r="BO529" i="2"/>
  <c r="O528" i="1" s="1"/>
  <c r="N519" i="14"/>
  <c r="G526" i="14"/>
  <c r="H526" i="14"/>
  <c r="AK527" i="1" l="1"/>
  <c r="BD361" i="1"/>
  <c r="G361" i="14" s="1"/>
  <c r="BW524" i="1"/>
  <c r="BD522" i="1"/>
  <c r="G522" i="14" s="1"/>
  <c r="BW362" i="1"/>
  <c r="AK362" i="1"/>
  <c r="BD527" i="1"/>
  <c r="BD523" i="1"/>
  <c r="AU372" i="1"/>
  <c r="AB372" i="1"/>
  <c r="BN372" i="1"/>
  <c r="BN374" i="1"/>
  <c r="AB374" i="1"/>
  <c r="AU374" i="1"/>
  <c r="AZ531" i="1"/>
  <c r="BS531" i="1"/>
  <c r="AB379" i="1"/>
  <c r="BN379" i="1"/>
  <c r="AU379" i="1"/>
  <c r="AD531" i="1"/>
  <c r="AW531" i="1"/>
  <c r="BP531" i="1"/>
  <c r="AC528" i="1"/>
  <c r="AV528" i="1"/>
  <c r="BO528" i="1"/>
  <c r="AC373" i="1"/>
  <c r="AV373" i="1"/>
  <c r="BO373" i="1"/>
  <c r="AD379" i="1"/>
  <c r="AW379" i="1"/>
  <c r="BP379" i="1"/>
  <c r="BX526" i="1"/>
  <c r="BD363" i="1"/>
  <c r="BN371" i="1"/>
  <c r="AB371" i="1"/>
  <c r="AU371" i="1"/>
  <c r="BP378" i="1"/>
  <c r="AW378" i="1"/>
  <c r="AD378" i="1"/>
  <c r="BW363" i="1"/>
  <c r="AB368" i="1"/>
  <c r="BN368" i="1"/>
  <c r="AU368" i="1"/>
  <c r="AD371" i="1"/>
  <c r="AW371" i="1"/>
  <c r="BP371" i="1"/>
  <c r="BX527" i="1"/>
  <c r="AK363" i="1"/>
  <c r="AD369" i="1"/>
  <c r="BP369" i="1"/>
  <c r="AW369" i="1"/>
  <c r="AB373" i="1"/>
  <c r="BN373" i="1"/>
  <c r="AU373" i="1"/>
  <c r="AB369" i="1"/>
  <c r="AU369" i="1"/>
  <c r="BN369" i="1"/>
  <c r="BX524" i="1"/>
  <c r="AK523" i="1"/>
  <c r="AB376" i="1"/>
  <c r="BN376" i="1"/>
  <c r="AU376" i="1"/>
  <c r="AU375" i="1"/>
  <c r="AB375" i="1"/>
  <c r="BN375" i="1"/>
  <c r="BW523" i="1"/>
  <c r="BN377" i="1"/>
  <c r="AB377" i="1"/>
  <c r="AU377" i="1"/>
  <c r="AB528" i="1"/>
  <c r="BN528" i="1"/>
  <c r="AU528" i="1"/>
  <c r="AK361" i="1"/>
  <c r="BN380" i="1"/>
  <c r="AB380" i="1"/>
  <c r="AU380" i="1"/>
  <c r="BN529" i="1"/>
  <c r="AB529" i="1"/>
  <c r="AU529" i="1"/>
  <c r="BX520" i="1"/>
  <c r="BX521" i="1"/>
  <c r="BN370" i="1"/>
  <c r="AB370" i="1"/>
  <c r="AU370" i="1"/>
  <c r="AC531" i="1"/>
  <c r="AV531" i="1"/>
  <c r="BO531" i="1"/>
  <c r="BX525" i="1"/>
  <c r="AU378" i="1"/>
  <c r="BN378" i="1"/>
  <c r="AB378" i="1"/>
  <c r="BA531" i="1"/>
  <c r="BT531" i="1"/>
  <c r="AW530" i="1"/>
  <c r="AD530" i="1"/>
  <c r="BP530" i="1"/>
  <c r="BD362" i="1"/>
  <c r="BW522" i="1"/>
  <c r="F525" i="14"/>
  <c r="F520" i="14"/>
  <c r="H524" i="14"/>
  <c r="G527" i="14"/>
  <c r="G525" i="14"/>
  <c r="H522" i="14"/>
  <c r="H523" i="14"/>
  <c r="G523" i="14"/>
  <c r="H363" i="14"/>
  <c r="H527" i="14"/>
  <c r="G363" i="14"/>
  <c r="H362" i="14"/>
  <c r="BP530" i="2"/>
  <c r="P529" i="1" s="1"/>
  <c r="BP376" i="2"/>
  <c r="P375" i="1" s="1"/>
  <c r="BP378" i="2"/>
  <c r="P377" i="1" s="1"/>
  <c r="BP381" i="2"/>
  <c r="P380" i="1" s="1"/>
  <c r="BP286" i="2"/>
  <c r="P285" i="1" s="1"/>
  <c r="BP287" i="2"/>
  <c r="P286" i="1" s="1"/>
  <c r="BP377" i="2"/>
  <c r="P376" i="1" s="1"/>
  <c r="BP529" i="2"/>
  <c r="P528" i="1" s="1"/>
  <c r="BP375" i="2"/>
  <c r="P374" i="1" s="1"/>
  <c r="BP374" i="2"/>
  <c r="P373" i="1" s="1"/>
  <c r="BO378" i="2"/>
  <c r="O377" i="1" s="1"/>
  <c r="BO375" i="2"/>
  <c r="O374" i="1" s="1"/>
  <c r="F523" i="14"/>
  <c r="BO377" i="2"/>
  <c r="O376" i="1" s="1"/>
  <c r="BO370" i="2"/>
  <c r="O369" i="1" s="1"/>
  <c r="F526" i="14"/>
  <c r="BO530" i="2"/>
  <c r="O529" i="1" s="1"/>
  <c r="BN531" i="2"/>
  <c r="N530" i="1" s="1"/>
  <c r="BQ533" i="2"/>
  <c r="Q532" i="1" s="1"/>
  <c r="AG532" i="1" s="1"/>
  <c r="BR533" i="2"/>
  <c r="R532" i="1" s="1"/>
  <c r="AH532" i="1" s="1"/>
  <c r="F524" i="14"/>
  <c r="BO381" i="2"/>
  <c r="O380" i="1" s="1"/>
  <c r="BO531" i="2"/>
  <c r="O530" i="1" s="1"/>
  <c r="BO371" i="2"/>
  <c r="O370" i="1" s="1"/>
  <c r="BO376" i="2"/>
  <c r="O375" i="1" s="1"/>
  <c r="F522" i="14"/>
  <c r="F521" i="14"/>
  <c r="BO379" i="2"/>
  <c r="O378" i="1" s="1"/>
  <c r="F363" i="14"/>
  <c r="F361" i="14"/>
  <c r="F527" i="14"/>
  <c r="BN368" i="2"/>
  <c r="N367" i="1" s="1"/>
  <c r="BR534" i="2"/>
  <c r="R533" i="1" s="1"/>
  <c r="BN532" i="2"/>
  <c r="N531" i="1" s="1"/>
  <c r="BQ534" i="2"/>
  <c r="Q533" i="1" s="1"/>
  <c r="BO380" i="2"/>
  <c r="O379" i="1" s="1"/>
  <c r="AC529" i="1" l="1"/>
  <c r="AV529" i="1"/>
  <c r="BO529" i="1"/>
  <c r="AD285" i="1"/>
  <c r="BP285" i="1"/>
  <c r="AW285" i="1"/>
  <c r="BW369" i="1"/>
  <c r="BO378" i="1"/>
  <c r="AV378" i="1"/>
  <c r="BD378" i="1" s="1"/>
  <c r="G378" i="14" s="1"/>
  <c r="AC378" i="1"/>
  <c r="AK378" i="1" s="1"/>
  <c r="BX378" i="1" s="1"/>
  <c r="BP380" i="1"/>
  <c r="AD380" i="1"/>
  <c r="AW380" i="1"/>
  <c r="AC369" i="1"/>
  <c r="AK369" i="1" s="1"/>
  <c r="AV369" i="1"/>
  <c r="BD369" i="1" s="1"/>
  <c r="G369" i="14" s="1"/>
  <c r="BO369" i="1"/>
  <c r="BP377" i="1"/>
  <c r="AD377" i="1"/>
  <c r="AW377" i="1"/>
  <c r="BW378" i="1"/>
  <c r="BX361" i="1"/>
  <c r="BX522" i="1"/>
  <c r="AC376" i="1"/>
  <c r="AV376" i="1"/>
  <c r="BO376" i="1"/>
  <c r="BP375" i="1"/>
  <c r="AW375" i="1"/>
  <c r="AD375" i="1"/>
  <c r="BY521" i="1"/>
  <c r="I521" i="14"/>
  <c r="J521" i="14"/>
  <c r="K521" i="14"/>
  <c r="L521" i="14"/>
  <c r="BY527" i="1"/>
  <c r="I527" i="14"/>
  <c r="J527" i="14"/>
  <c r="K527" i="14"/>
  <c r="L527" i="14"/>
  <c r="AC375" i="1"/>
  <c r="AK375" i="1" s="1"/>
  <c r="AV375" i="1"/>
  <c r="BO375" i="1"/>
  <c r="BW375" i="1" s="1"/>
  <c r="H375" i="14" s="1"/>
  <c r="AD529" i="1"/>
  <c r="AK529" i="1" s="1"/>
  <c r="BP529" i="1"/>
  <c r="AW529" i="1"/>
  <c r="BO370" i="1"/>
  <c r="AC370" i="1"/>
  <c r="AV370" i="1"/>
  <c r="AV374" i="1"/>
  <c r="BO374" i="1"/>
  <c r="AC374" i="1"/>
  <c r="BO530" i="1"/>
  <c r="AC530" i="1"/>
  <c r="AV530" i="1"/>
  <c r="AV377" i="1"/>
  <c r="BD377" i="1" s="1"/>
  <c r="BO377" i="1"/>
  <c r="AC377" i="1"/>
  <c r="AK377" i="1" s="1"/>
  <c r="AV380" i="1"/>
  <c r="BO380" i="1"/>
  <c r="BW380" i="1" s="1"/>
  <c r="H380" i="14" s="1"/>
  <c r="AC380" i="1"/>
  <c r="AK380" i="1" s="1"/>
  <c r="AD373" i="1"/>
  <c r="AK373" i="1" s="1"/>
  <c r="AW373" i="1"/>
  <c r="BD373" i="1" s="1"/>
  <c r="G373" i="14" s="1"/>
  <c r="BP373" i="1"/>
  <c r="BW373" i="1" s="1"/>
  <c r="H373" i="14" s="1"/>
  <c r="BX362" i="1"/>
  <c r="G362" i="14"/>
  <c r="L525" i="14"/>
  <c r="BY525" i="1"/>
  <c r="I525" i="14"/>
  <c r="J525" i="14"/>
  <c r="K525" i="14"/>
  <c r="K520" i="14"/>
  <c r="L520" i="14"/>
  <c r="BY520" i="1"/>
  <c r="I520" i="14"/>
  <c r="J520" i="14"/>
  <c r="AC379" i="1"/>
  <c r="AK379" i="1" s="1"/>
  <c r="BO379" i="1"/>
  <c r="BW379" i="1" s="1"/>
  <c r="AV379" i="1"/>
  <c r="BP374" i="1"/>
  <c r="BW374" i="1" s="1"/>
  <c r="H374" i="14" s="1"/>
  <c r="AD374" i="1"/>
  <c r="AW374" i="1"/>
  <c r="BD374" i="1" s="1"/>
  <c r="BD529" i="1"/>
  <c r="G529" i="14" s="1"/>
  <c r="I526" i="14"/>
  <c r="J526" i="14"/>
  <c r="K526" i="14"/>
  <c r="L526" i="14"/>
  <c r="BY526" i="1"/>
  <c r="BT532" i="1"/>
  <c r="BA532" i="1"/>
  <c r="AD528" i="1"/>
  <c r="AK528" i="1" s="1"/>
  <c r="AW528" i="1"/>
  <c r="BD528" i="1" s="1"/>
  <c r="G528" i="14" s="1"/>
  <c r="BP528" i="1"/>
  <c r="BW528" i="1" s="1"/>
  <c r="H528" i="14" s="1"/>
  <c r="BX523" i="1"/>
  <c r="AB531" i="1"/>
  <c r="AK531" i="1" s="1"/>
  <c r="AU531" i="1"/>
  <c r="BD531" i="1" s="1"/>
  <c r="G531" i="14" s="1"/>
  <c r="BN531" i="1"/>
  <c r="BW531" i="1" s="1"/>
  <c r="H531" i="14" s="1"/>
  <c r="BS532" i="1"/>
  <c r="AZ532" i="1"/>
  <c r="AD376" i="1"/>
  <c r="AK376" i="1" s="1"/>
  <c r="AW376" i="1"/>
  <c r="BP376" i="1"/>
  <c r="BW376" i="1" s="1"/>
  <c r="BW529" i="1"/>
  <c r="BW377" i="1"/>
  <c r="L524" i="14"/>
  <c r="BY524" i="1"/>
  <c r="I524" i="14"/>
  <c r="J524" i="14"/>
  <c r="K524" i="14"/>
  <c r="BX363" i="1"/>
  <c r="AB530" i="1"/>
  <c r="BN530" i="1"/>
  <c r="BW530" i="1" s="1"/>
  <c r="AU530" i="1"/>
  <c r="AD286" i="1"/>
  <c r="AW286" i="1"/>
  <c r="BP286" i="1"/>
  <c r="BD380" i="1"/>
  <c r="BD379" i="1"/>
  <c r="G379" i="14" s="1"/>
  <c r="F362" i="14"/>
  <c r="H369" i="14"/>
  <c r="BQ536" i="2"/>
  <c r="Q535" i="1" s="1"/>
  <c r="BO536" i="2"/>
  <c r="O535" i="1" s="1"/>
  <c r="BR536" i="2"/>
  <c r="R535" i="1" s="1"/>
  <c r="H378" i="14"/>
  <c r="BO535" i="2"/>
  <c r="O534" i="1" s="1"/>
  <c r="BP535" i="2"/>
  <c r="P534" i="1" s="1"/>
  <c r="BQ535" i="2"/>
  <c r="Q534" i="1" s="1"/>
  <c r="AG534" i="1" s="1"/>
  <c r="BR535" i="2"/>
  <c r="R534" i="1" s="1"/>
  <c r="AH534" i="1" s="1"/>
  <c r="BN534" i="2"/>
  <c r="N533" i="1" s="1"/>
  <c r="BN384" i="2"/>
  <c r="N383" i="1" s="1"/>
  <c r="BN394" i="2"/>
  <c r="N393" i="1" s="1"/>
  <c r="BN292" i="2"/>
  <c r="N291" i="1" s="1"/>
  <c r="BD530" i="1" l="1"/>
  <c r="BD376" i="1"/>
  <c r="AK374" i="1"/>
  <c r="BD375" i="1"/>
  <c r="G375" i="14" s="1"/>
  <c r="BX529" i="1"/>
  <c r="CD520" i="1"/>
  <c r="BX375" i="1"/>
  <c r="AK530" i="1"/>
  <c r="BX530" i="1" s="1"/>
  <c r="K375" i="14"/>
  <c r="I375" i="14"/>
  <c r="BY375" i="1"/>
  <c r="J375" i="14"/>
  <c r="L375" i="14"/>
  <c r="BX376" i="1"/>
  <c r="H376" i="14"/>
  <c r="BX528" i="1"/>
  <c r="BX379" i="1"/>
  <c r="H379" i="14"/>
  <c r="CD524" i="1"/>
  <c r="CJ524" i="1"/>
  <c r="CJ526" i="1"/>
  <c r="L522" i="14"/>
  <c r="BY522" i="1"/>
  <c r="I522" i="14"/>
  <c r="J522" i="14"/>
  <c r="K522" i="14"/>
  <c r="CD521" i="1"/>
  <c r="BX369" i="1"/>
  <c r="BX374" i="1"/>
  <c r="CD525" i="1"/>
  <c r="BX380" i="1"/>
  <c r="L523" i="14"/>
  <c r="BY523" i="1"/>
  <c r="I523" i="14"/>
  <c r="J523" i="14"/>
  <c r="K523" i="14"/>
  <c r="CJ525" i="1"/>
  <c r="AU393" i="1"/>
  <c r="AB393" i="1"/>
  <c r="BN393" i="1"/>
  <c r="BX377" i="1"/>
  <c r="CD526" i="1"/>
  <c r="CJ521" i="1"/>
  <c r="J361" i="14"/>
  <c r="BY361" i="1"/>
  <c r="K361" i="14"/>
  <c r="L361" i="14"/>
  <c r="I361" i="14"/>
  <c r="BY378" i="1"/>
  <c r="I378" i="14"/>
  <c r="J378" i="14"/>
  <c r="K378" i="14"/>
  <c r="L378" i="14"/>
  <c r="AC535" i="1"/>
  <c r="AV535" i="1"/>
  <c r="BO535" i="1"/>
  <c r="I529" i="14"/>
  <c r="J529" i="14"/>
  <c r="K529" i="14"/>
  <c r="L529" i="14"/>
  <c r="BY529" i="1"/>
  <c r="BY362" i="1"/>
  <c r="J362" i="14"/>
  <c r="K362" i="14"/>
  <c r="I362" i="14"/>
  <c r="L362" i="14"/>
  <c r="AB291" i="1"/>
  <c r="BN291" i="1"/>
  <c r="AU291" i="1"/>
  <c r="BN383" i="1"/>
  <c r="AB383" i="1"/>
  <c r="AU383" i="1"/>
  <c r="BA534" i="1"/>
  <c r="BT534" i="1"/>
  <c r="AZ534" i="1"/>
  <c r="BS534" i="1"/>
  <c r="K363" i="14"/>
  <c r="L363" i="14"/>
  <c r="I363" i="14"/>
  <c r="J363" i="14"/>
  <c r="BY363" i="1"/>
  <c r="BX373" i="1"/>
  <c r="CD527" i="1"/>
  <c r="AD534" i="1"/>
  <c r="AW534" i="1"/>
  <c r="BP534" i="1"/>
  <c r="CJ520" i="1"/>
  <c r="CJ527" i="1"/>
  <c r="BO534" i="1"/>
  <c r="AV534" i="1"/>
  <c r="AC534" i="1"/>
  <c r="BX531" i="1"/>
  <c r="H529" i="14"/>
  <c r="G376" i="14"/>
  <c r="G380" i="14"/>
  <c r="F376" i="14"/>
  <c r="H377" i="14"/>
  <c r="G374" i="14"/>
  <c r="F373" i="14"/>
  <c r="F528" i="14"/>
  <c r="G377" i="14"/>
  <c r="F375" i="14"/>
  <c r="F379" i="14"/>
  <c r="F529" i="14"/>
  <c r="F369" i="14"/>
  <c r="F380" i="14"/>
  <c r="F378" i="14"/>
  <c r="F374" i="14"/>
  <c r="F377" i="14"/>
  <c r="G530" i="14"/>
  <c r="H530" i="14"/>
  <c r="BP392" i="2"/>
  <c r="P391" i="1" s="1"/>
  <c r="BP391" i="2"/>
  <c r="P390" i="1" s="1"/>
  <c r="BP289" i="2"/>
  <c r="P288" i="1" s="1"/>
  <c r="BP179" i="2"/>
  <c r="P178" i="1" s="1"/>
  <c r="BP237" i="2"/>
  <c r="P236" i="1" s="1"/>
  <c r="BP383" i="2"/>
  <c r="P382" i="1" s="1"/>
  <c r="BP390" i="2"/>
  <c r="P389" i="1" s="1"/>
  <c r="BP389" i="2"/>
  <c r="P388" i="1" s="1"/>
  <c r="BP534" i="2"/>
  <c r="P533" i="1" s="1"/>
  <c r="BP536" i="2"/>
  <c r="P535" i="1" s="1"/>
  <c r="BP291" i="2"/>
  <c r="P290" i="1" s="1"/>
  <c r="BP292" i="2"/>
  <c r="P291" i="1" s="1"/>
  <c r="BP388" i="2"/>
  <c r="P387" i="1" s="1"/>
  <c r="BP387" i="2"/>
  <c r="P386" i="1" s="1"/>
  <c r="BP384" i="2"/>
  <c r="P383" i="1" s="1"/>
  <c r="BP386" i="2"/>
  <c r="P385" i="1" s="1"/>
  <c r="BP533" i="2"/>
  <c r="P532" i="1" s="1"/>
  <c r="BP393" i="2"/>
  <c r="P392" i="1" s="1"/>
  <c r="BP394" i="2"/>
  <c r="P393" i="1" s="1"/>
  <c r="BP385" i="2"/>
  <c r="P384" i="1" s="1"/>
  <c r="BN392" i="2"/>
  <c r="N391" i="1" s="1"/>
  <c r="BN383" i="2"/>
  <c r="N382" i="1" s="1"/>
  <c r="BN389" i="2"/>
  <c r="N388" i="1" s="1"/>
  <c r="BN390" i="2"/>
  <c r="N389" i="1" s="1"/>
  <c r="BN393" i="2"/>
  <c r="N392" i="1" s="1"/>
  <c r="BN290" i="2"/>
  <c r="N289" i="1" s="1"/>
  <c r="BN289" i="2"/>
  <c r="N288" i="1" s="1"/>
  <c r="BN238" i="2"/>
  <c r="N237" i="1" s="1"/>
  <c r="BN386" i="2"/>
  <c r="N385" i="1" s="1"/>
  <c r="BN385" i="2"/>
  <c r="N384" i="1" s="1"/>
  <c r="BN288" i="2"/>
  <c r="N287" i="1" s="1"/>
  <c r="BN291" i="2"/>
  <c r="N290" i="1" s="1"/>
  <c r="BN388" i="2"/>
  <c r="N387" i="1" s="1"/>
  <c r="BN387" i="2"/>
  <c r="N386" i="1" s="1"/>
  <c r="BN382" i="2"/>
  <c r="N381" i="1" s="1"/>
  <c r="BN533" i="2"/>
  <c r="N532" i="1" s="1"/>
  <c r="N525" i="14"/>
  <c r="F531" i="14"/>
  <c r="BO388" i="2"/>
  <c r="O387" i="1" s="1"/>
  <c r="N520" i="14"/>
  <c r="BO387" i="2"/>
  <c r="O386" i="1" s="1"/>
  <c r="BO383" i="2"/>
  <c r="O382" i="1" s="1"/>
  <c r="BO385" i="2"/>
  <c r="O384" i="1" s="1"/>
  <c r="BP538" i="2"/>
  <c r="P537" i="1" s="1"/>
  <c r="BQ538" i="2"/>
  <c r="Q537" i="1" s="1"/>
  <c r="BO538" i="2"/>
  <c r="O537" i="1" s="1"/>
  <c r="BR538" i="2"/>
  <c r="R537" i="1" s="1"/>
  <c r="BN536" i="2"/>
  <c r="N535" i="1" s="1"/>
  <c r="BO386" i="2"/>
  <c r="O385" i="1" s="1"/>
  <c r="BO533" i="2"/>
  <c r="O532" i="1" s="1"/>
  <c r="BO390" i="2"/>
  <c r="O389" i="1" s="1"/>
  <c r="BO389" i="2"/>
  <c r="O388" i="1" s="1"/>
  <c r="BO393" i="2"/>
  <c r="O392" i="1" s="1"/>
  <c r="BO534" i="2"/>
  <c r="O533" i="1" s="1"/>
  <c r="BO391" i="2"/>
  <c r="O390" i="1" s="1"/>
  <c r="BQ537" i="2"/>
  <c r="Q536" i="1" s="1"/>
  <c r="BN535" i="2"/>
  <c r="N534" i="1" s="1"/>
  <c r="BO537" i="2"/>
  <c r="O536" i="1" s="1"/>
  <c r="BR537" i="2"/>
  <c r="R536" i="1" s="1"/>
  <c r="BP537" i="2"/>
  <c r="P536" i="1" s="1"/>
  <c r="BN391" i="2"/>
  <c r="N390" i="1" s="1"/>
  <c r="BO394" i="2"/>
  <c r="O393" i="1" s="1"/>
  <c r="CD361" i="1" l="1"/>
  <c r="CD362" i="1"/>
  <c r="BY530" i="1"/>
  <c r="I530" i="14"/>
  <c r="J530" i="14"/>
  <c r="K530" i="14"/>
  <c r="L530" i="14"/>
  <c r="CD363" i="1"/>
  <c r="AB534" i="1"/>
  <c r="AK534" i="1" s="1"/>
  <c r="AU534" i="1"/>
  <c r="BD534" i="1" s="1"/>
  <c r="BN534" i="1"/>
  <c r="BW534" i="1" s="1"/>
  <c r="AB392" i="1"/>
  <c r="BN392" i="1"/>
  <c r="AU392" i="1"/>
  <c r="BP387" i="1"/>
  <c r="AD387" i="1"/>
  <c r="AW387" i="1"/>
  <c r="AD391" i="1"/>
  <c r="AW391" i="1"/>
  <c r="BP391" i="1"/>
  <c r="BY379" i="1"/>
  <c r="I379" i="14"/>
  <c r="J379" i="14"/>
  <c r="K379" i="14"/>
  <c r="L379" i="14"/>
  <c r="BO536" i="1"/>
  <c r="AV536" i="1"/>
  <c r="AC536" i="1"/>
  <c r="AD537" i="1"/>
  <c r="AW537" i="1"/>
  <c r="BP537" i="1"/>
  <c r="BN389" i="1"/>
  <c r="AB389" i="1"/>
  <c r="AU389" i="1"/>
  <c r="AD291" i="1"/>
  <c r="BP291" i="1"/>
  <c r="AW291" i="1"/>
  <c r="AV390" i="1"/>
  <c r="AC390" i="1"/>
  <c r="BO390" i="1"/>
  <c r="AB388" i="1"/>
  <c r="AU388" i="1"/>
  <c r="BN388" i="1"/>
  <c r="BP290" i="1"/>
  <c r="AW290" i="1"/>
  <c r="AD290" i="1"/>
  <c r="CJ530" i="1"/>
  <c r="CJ361" i="1"/>
  <c r="CD522" i="1"/>
  <c r="AC533" i="1"/>
  <c r="AV533" i="1"/>
  <c r="BO533" i="1"/>
  <c r="BN386" i="1"/>
  <c r="AB386" i="1"/>
  <c r="AU386" i="1"/>
  <c r="AB382" i="1"/>
  <c r="BN382" i="1"/>
  <c r="AU382" i="1"/>
  <c r="BP535" i="1"/>
  <c r="AD535" i="1"/>
  <c r="AW535" i="1"/>
  <c r="CD523" i="1"/>
  <c r="CJ522" i="1"/>
  <c r="I528" i="14"/>
  <c r="J528" i="14"/>
  <c r="K528" i="14"/>
  <c r="L528" i="14"/>
  <c r="BY528" i="1"/>
  <c r="AC392" i="1"/>
  <c r="AV392" i="1"/>
  <c r="BO392" i="1"/>
  <c r="AC384" i="1"/>
  <c r="AV384" i="1"/>
  <c r="BO384" i="1"/>
  <c r="AU387" i="1"/>
  <c r="BN387" i="1"/>
  <c r="AB387" i="1"/>
  <c r="AB391" i="1"/>
  <c r="BN391" i="1"/>
  <c r="AU391" i="1"/>
  <c r="AW533" i="1"/>
  <c r="AD533" i="1"/>
  <c r="BP533" i="1"/>
  <c r="CJ362" i="1"/>
  <c r="CJ523" i="1"/>
  <c r="BO388" i="1"/>
  <c r="AC388" i="1"/>
  <c r="AV388" i="1"/>
  <c r="AC382" i="1"/>
  <c r="BO382" i="1"/>
  <c r="AV382" i="1"/>
  <c r="AB290" i="1"/>
  <c r="BN290" i="1"/>
  <c r="AU290" i="1"/>
  <c r="BP384" i="1"/>
  <c r="AD384" i="1"/>
  <c r="AW384" i="1"/>
  <c r="AD388" i="1"/>
  <c r="AW388" i="1"/>
  <c r="BP388" i="1"/>
  <c r="CJ529" i="1"/>
  <c r="AV389" i="1"/>
  <c r="AC389" i="1"/>
  <c r="BO389" i="1"/>
  <c r="AV386" i="1"/>
  <c r="AC386" i="1"/>
  <c r="BO386" i="1"/>
  <c r="AB287" i="1"/>
  <c r="AU287" i="1"/>
  <c r="BN287" i="1"/>
  <c r="BP393" i="1"/>
  <c r="AD393" i="1"/>
  <c r="AW393" i="1"/>
  <c r="BP389" i="1"/>
  <c r="AD389" i="1"/>
  <c r="AW389" i="1"/>
  <c r="I380" i="14"/>
  <c r="J380" i="14"/>
  <c r="K380" i="14"/>
  <c r="L380" i="14"/>
  <c r="BY380" i="1"/>
  <c r="J376" i="14"/>
  <c r="K376" i="14"/>
  <c r="L376" i="14"/>
  <c r="BY376" i="1"/>
  <c r="I376" i="14"/>
  <c r="AC532" i="1"/>
  <c r="AV532" i="1"/>
  <c r="BO532" i="1"/>
  <c r="AU384" i="1"/>
  <c r="BD384" i="1" s="1"/>
  <c r="BN384" i="1"/>
  <c r="BW384" i="1" s="1"/>
  <c r="AB384" i="1"/>
  <c r="AK384" i="1" s="1"/>
  <c r="BP392" i="1"/>
  <c r="AD392" i="1"/>
  <c r="AW392" i="1"/>
  <c r="AD382" i="1"/>
  <c r="AW382" i="1"/>
  <c r="BP382" i="1"/>
  <c r="I377" i="14"/>
  <c r="J377" i="14"/>
  <c r="K377" i="14"/>
  <c r="L377" i="14"/>
  <c r="BY377" i="1"/>
  <c r="AV393" i="1"/>
  <c r="BD393" i="1" s="1"/>
  <c r="G393" i="14" s="1"/>
  <c r="AC393" i="1"/>
  <c r="BO393" i="1"/>
  <c r="AC385" i="1"/>
  <c r="AV385" i="1"/>
  <c r="BO385" i="1"/>
  <c r="AB385" i="1"/>
  <c r="AU385" i="1"/>
  <c r="BN385" i="1"/>
  <c r="AD532" i="1"/>
  <c r="BP532" i="1"/>
  <c r="AW532" i="1"/>
  <c r="BP236" i="1"/>
  <c r="AW236" i="1"/>
  <c r="AD236" i="1"/>
  <c r="BY531" i="1"/>
  <c r="I531" i="14"/>
  <c r="J531" i="14"/>
  <c r="K531" i="14"/>
  <c r="L531" i="14"/>
  <c r="BY373" i="1"/>
  <c r="I373" i="14"/>
  <c r="J373" i="14"/>
  <c r="K373" i="14"/>
  <c r="L373" i="14"/>
  <c r="AW536" i="1"/>
  <c r="AD536" i="1"/>
  <c r="BP536" i="1"/>
  <c r="AC387" i="1"/>
  <c r="AV387" i="1"/>
  <c r="BO387" i="1"/>
  <c r="AB237" i="1"/>
  <c r="BN237" i="1"/>
  <c r="AU237" i="1"/>
  <c r="AD385" i="1"/>
  <c r="AW385" i="1"/>
  <c r="BP385" i="1"/>
  <c r="AD178" i="1"/>
  <c r="BP178" i="1"/>
  <c r="AW178" i="1"/>
  <c r="CJ363" i="1"/>
  <c r="CD529" i="1"/>
  <c r="CD378" i="1"/>
  <c r="AK393" i="1"/>
  <c r="I374" i="14"/>
  <c r="J374" i="14"/>
  <c r="K374" i="14"/>
  <c r="L374" i="14"/>
  <c r="BY374" i="1"/>
  <c r="CJ375" i="1"/>
  <c r="BN390" i="1"/>
  <c r="AU390" i="1"/>
  <c r="AB390" i="1"/>
  <c r="BN535" i="1"/>
  <c r="BW535" i="1" s="1"/>
  <c r="AB535" i="1"/>
  <c r="AU535" i="1"/>
  <c r="BD535" i="1" s="1"/>
  <c r="AU288" i="1"/>
  <c r="BN288" i="1"/>
  <c r="AB288" i="1"/>
  <c r="BP383" i="1"/>
  <c r="AD383" i="1"/>
  <c r="AW383" i="1"/>
  <c r="AD288" i="1"/>
  <c r="BP288" i="1"/>
  <c r="AW288" i="1"/>
  <c r="CJ378" i="1"/>
  <c r="J369" i="14"/>
  <c r="BY369" i="1"/>
  <c r="I369" i="14"/>
  <c r="K369" i="14"/>
  <c r="L369" i="14"/>
  <c r="CD375" i="1"/>
  <c r="AV537" i="1"/>
  <c r="BD537" i="1" s="1"/>
  <c r="BO537" i="1"/>
  <c r="BW537" i="1" s="1"/>
  <c r="AC537" i="1"/>
  <c r="AK537" i="1" s="1"/>
  <c r="AU289" i="1"/>
  <c r="AB289" i="1"/>
  <c r="BN289" i="1"/>
  <c r="BP386" i="1"/>
  <c r="AD386" i="1"/>
  <c r="AW386" i="1"/>
  <c r="BP390" i="1"/>
  <c r="AW390" i="1"/>
  <c r="AD390" i="1"/>
  <c r="F530" i="14"/>
  <c r="N363" i="14"/>
  <c r="G534" i="14"/>
  <c r="H534" i="14"/>
  <c r="N523" i="14"/>
  <c r="N527" i="14"/>
  <c r="N522" i="14"/>
  <c r="N521" i="14"/>
  <c r="G535" i="14"/>
  <c r="H535" i="14"/>
  <c r="H384" i="14"/>
  <c r="N526" i="14"/>
  <c r="BR539" i="2"/>
  <c r="R538" i="1" s="1"/>
  <c r="BN537" i="2"/>
  <c r="N536" i="1" s="1"/>
  <c r="BO539" i="2"/>
  <c r="O538" i="1" s="1"/>
  <c r="BP539" i="2"/>
  <c r="P538" i="1" s="1"/>
  <c r="BQ539" i="2"/>
  <c r="Q538" i="1" s="1"/>
  <c r="N361" i="14"/>
  <c r="BQ540" i="2"/>
  <c r="Q539" i="1" s="1"/>
  <c r="BP540" i="2"/>
  <c r="P539" i="1" s="1"/>
  <c r="BR540" i="2"/>
  <c r="R539" i="1" s="1"/>
  <c r="BO540" i="2"/>
  <c r="O539" i="1" s="1"/>
  <c r="BN538" i="2"/>
  <c r="N537" i="1" s="1"/>
  <c r="N524" i="14"/>
  <c r="AK535" i="1" l="1"/>
  <c r="BX534" i="1"/>
  <c r="CD530" i="1"/>
  <c r="AK390" i="1"/>
  <c r="AK533" i="1"/>
  <c r="BD382" i="1"/>
  <c r="G382" i="14" s="1"/>
  <c r="BD389" i="1"/>
  <c r="CD374" i="1"/>
  <c r="BW385" i="1"/>
  <c r="H385" i="14" s="1"/>
  <c r="BD385" i="1"/>
  <c r="G385" i="14" s="1"/>
  <c r="BW533" i="1"/>
  <c r="H533" i="14" s="1"/>
  <c r="BD390" i="1"/>
  <c r="BW393" i="1"/>
  <c r="BD533" i="1"/>
  <c r="CD377" i="1"/>
  <c r="BD532" i="1"/>
  <c r="G532" i="14" s="1"/>
  <c r="CD380" i="1"/>
  <c r="BD388" i="1"/>
  <c r="CD369" i="1"/>
  <c r="CD531" i="1"/>
  <c r="AK385" i="1"/>
  <c r="BX385" i="1" s="1"/>
  <c r="AK532" i="1"/>
  <c r="AK388" i="1"/>
  <c r="AD538" i="1"/>
  <c r="BP538" i="1"/>
  <c r="AW538" i="1"/>
  <c r="CJ369" i="1"/>
  <c r="CJ374" i="1"/>
  <c r="N374" i="14" s="1"/>
  <c r="CD376" i="1"/>
  <c r="N362" i="14"/>
  <c r="AC538" i="1"/>
  <c r="BO538" i="1"/>
  <c r="AV538" i="1"/>
  <c r="CJ376" i="1"/>
  <c r="AK536" i="1"/>
  <c r="BX393" i="1"/>
  <c r="CJ531" i="1"/>
  <c r="BD536" i="1"/>
  <c r="BW536" i="1"/>
  <c r="H536" i="14" s="1"/>
  <c r="CJ528" i="1"/>
  <c r="BD392" i="1"/>
  <c r="G392" i="14" s="1"/>
  <c r="BX537" i="1"/>
  <c r="BX535" i="1"/>
  <c r="BW382" i="1"/>
  <c r="BW392" i="1"/>
  <c r="H392" i="14" s="1"/>
  <c r="AW539" i="1"/>
  <c r="AD539" i="1"/>
  <c r="BP539" i="1"/>
  <c r="CJ377" i="1"/>
  <c r="BX384" i="1"/>
  <c r="CJ380" i="1"/>
  <c r="AK382" i="1"/>
  <c r="AK392" i="1"/>
  <c r="AK387" i="1"/>
  <c r="F387" i="14" s="1"/>
  <c r="BD386" i="1"/>
  <c r="CD379" i="1"/>
  <c r="BY534" i="1"/>
  <c r="I534" i="14"/>
  <c r="J534" i="14"/>
  <c r="K534" i="14"/>
  <c r="L534" i="14"/>
  <c r="AC539" i="1"/>
  <c r="AV539" i="1"/>
  <c r="BO539" i="1"/>
  <c r="CD373" i="1"/>
  <c r="BW387" i="1"/>
  <c r="CD528" i="1"/>
  <c r="AK386" i="1"/>
  <c r="AK389" i="1"/>
  <c r="F389" i="14" s="1"/>
  <c r="CJ379" i="1"/>
  <c r="BW390" i="1"/>
  <c r="BX390" i="1" s="1"/>
  <c r="CJ373" i="1"/>
  <c r="BW532" i="1"/>
  <c r="H532" i="14" s="1"/>
  <c r="BD387" i="1"/>
  <c r="BW386" i="1"/>
  <c r="H386" i="14" s="1"/>
  <c r="BW388" i="1"/>
  <c r="H388" i="14" s="1"/>
  <c r="BW389" i="1"/>
  <c r="H389" i="14" s="1"/>
  <c r="G533" i="14"/>
  <c r="G388" i="14"/>
  <c r="H393" i="14"/>
  <c r="H537" i="14"/>
  <c r="H382" i="14"/>
  <c r="G536" i="14"/>
  <c r="G537" i="14"/>
  <c r="G390" i="14"/>
  <c r="F382" i="14"/>
  <c r="F388" i="14"/>
  <c r="F386" i="14"/>
  <c r="F393" i="14"/>
  <c r="G386" i="14"/>
  <c r="G384" i="14"/>
  <c r="H387" i="14"/>
  <c r="G387" i="14"/>
  <c r="G389" i="14"/>
  <c r="H390" i="14"/>
  <c r="F536" i="14"/>
  <c r="F532" i="14"/>
  <c r="N379" i="14"/>
  <c r="N373" i="14"/>
  <c r="F535" i="14"/>
  <c r="N369" i="14"/>
  <c r="N529" i="14"/>
  <c r="N375" i="14"/>
  <c r="F534" i="14"/>
  <c r="F533" i="14"/>
  <c r="F537" i="14"/>
  <c r="N377" i="14"/>
  <c r="BP542" i="2"/>
  <c r="P541" i="1" s="1"/>
  <c r="BQ542" i="2"/>
  <c r="Q541" i="1" s="1"/>
  <c r="BO542" i="2"/>
  <c r="O541" i="1" s="1"/>
  <c r="BR542" i="2"/>
  <c r="R541" i="1" s="1"/>
  <c r="BN540" i="2"/>
  <c r="N539" i="1" s="1"/>
  <c r="BO541" i="2"/>
  <c r="O540" i="1" s="1"/>
  <c r="BP541" i="2"/>
  <c r="P540" i="1" s="1"/>
  <c r="BQ541" i="2"/>
  <c r="Q540" i="1" s="1"/>
  <c r="BR541" i="2"/>
  <c r="R540" i="1" s="1"/>
  <c r="BN539" i="2"/>
  <c r="N538" i="1" s="1"/>
  <c r="N376" i="14"/>
  <c r="N378" i="14"/>
  <c r="BX392" i="1" l="1"/>
  <c r="BX533" i="1"/>
  <c r="N380" i="14"/>
  <c r="F392" i="14"/>
  <c r="CD534" i="1"/>
  <c r="BX382" i="1"/>
  <c r="BY390" i="1"/>
  <c r="J390" i="14"/>
  <c r="K390" i="14"/>
  <c r="I390" i="14"/>
  <c r="L390" i="14"/>
  <c r="J393" i="14"/>
  <c r="K393" i="14"/>
  <c r="BY393" i="1"/>
  <c r="I393" i="14"/>
  <c r="L393" i="14"/>
  <c r="BX532" i="1"/>
  <c r="AC541" i="1"/>
  <c r="AV541" i="1"/>
  <c r="BO541" i="1"/>
  <c r="BX389" i="1"/>
  <c r="BY382" i="1"/>
  <c r="I382" i="14"/>
  <c r="J382" i="14"/>
  <c r="K382" i="14"/>
  <c r="L382" i="14"/>
  <c r="BY385" i="1"/>
  <c r="I385" i="14"/>
  <c r="J385" i="14"/>
  <c r="K385" i="14"/>
  <c r="L385" i="14"/>
  <c r="BX386" i="1"/>
  <c r="CJ534" i="1"/>
  <c r="BX536" i="1"/>
  <c r="BP541" i="1"/>
  <c r="AD541" i="1"/>
  <c r="AW541" i="1"/>
  <c r="L384" i="14"/>
  <c r="BY384" i="1"/>
  <c r="I384" i="14"/>
  <c r="J384" i="14"/>
  <c r="K384" i="14"/>
  <c r="BX387" i="1"/>
  <c r="AB538" i="1"/>
  <c r="AK538" i="1" s="1"/>
  <c r="BN538" i="1"/>
  <c r="BW538" i="1" s="1"/>
  <c r="AU538" i="1"/>
  <c r="BD538" i="1" s="1"/>
  <c r="AB539" i="1"/>
  <c r="AK539" i="1" s="1"/>
  <c r="BN539" i="1"/>
  <c r="BW539" i="1" s="1"/>
  <c r="AU539" i="1"/>
  <c r="BD539" i="1" s="1"/>
  <c r="G539" i="14" s="1"/>
  <c r="I535" i="14"/>
  <c r="J535" i="14"/>
  <c r="K535" i="14"/>
  <c r="L535" i="14"/>
  <c r="BY535" i="1"/>
  <c r="AD540" i="1"/>
  <c r="AW540" i="1"/>
  <c r="BP540" i="1"/>
  <c r="BY537" i="1"/>
  <c r="I537" i="14"/>
  <c r="J537" i="14"/>
  <c r="K537" i="14"/>
  <c r="L537" i="14"/>
  <c r="BY392" i="1"/>
  <c r="I392" i="14"/>
  <c r="L392" i="14"/>
  <c r="J392" i="14"/>
  <c r="K392" i="14"/>
  <c r="AV540" i="1"/>
  <c r="BO540" i="1"/>
  <c r="AC540" i="1"/>
  <c r="K533" i="14"/>
  <c r="L533" i="14"/>
  <c r="BY533" i="1"/>
  <c r="I533" i="14"/>
  <c r="J533" i="14"/>
  <c r="N528" i="14"/>
  <c r="BX388" i="1"/>
  <c r="F385" i="14"/>
  <c r="F390" i="14"/>
  <c r="F384" i="14"/>
  <c r="H539" i="14"/>
  <c r="BR544" i="2"/>
  <c r="R543" i="1" s="1"/>
  <c r="BN542" i="2"/>
  <c r="N541" i="1" s="1"/>
  <c r="BP544" i="2"/>
  <c r="P543" i="1" s="1"/>
  <c r="BQ544" i="2"/>
  <c r="Q543" i="1" s="1"/>
  <c r="BO544" i="2"/>
  <c r="O543" i="1" s="1"/>
  <c r="N531" i="14"/>
  <c r="G538" i="14"/>
  <c r="H538" i="14"/>
  <c r="N530" i="14"/>
  <c r="BN541" i="2"/>
  <c r="N540" i="1" s="1"/>
  <c r="BO543" i="2"/>
  <c r="O542" i="1" s="1"/>
  <c r="BP543" i="2"/>
  <c r="P542" i="1" s="1"/>
  <c r="BQ543" i="2"/>
  <c r="Q542" i="1" s="1"/>
  <c r="BR543" i="2"/>
  <c r="R542" i="1" s="1"/>
  <c r="BX539" i="1" l="1"/>
  <c r="CD382" i="1"/>
  <c r="CD385" i="1"/>
  <c r="AW543" i="1"/>
  <c r="AD543" i="1"/>
  <c r="BP543" i="1"/>
  <c r="CJ385" i="1"/>
  <c r="I532" i="14"/>
  <c r="J532" i="14"/>
  <c r="K532" i="14"/>
  <c r="L532" i="14"/>
  <c r="BY532" i="1"/>
  <c r="AB541" i="1"/>
  <c r="AK541" i="1" s="1"/>
  <c r="AU541" i="1"/>
  <c r="BD541" i="1" s="1"/>
  <c r="G541" i="14" s="1"/>
  <c r="BN541" i="1"/>
  <c r="BW541" i="1" s="1"/>
  <c r="BX538" i="1"/>
  <c r="AC542" i="1"/>
  <c r="AV542" i="1"/>
  <c r="BO542" i="1"/>
  <c r="CD533" i="1"/>
  <c r="CD392" i="1"/>
  <c r="CJ535" i="1"/>
  <c r="BY536" i="1"/>
  <c r="I536" i="14"/>
  <c r="J536" i="14"/>
  <c r="K536" i="14"/>
  <c r="L536" i="14"/>
  <c r="CD393" i="1"/>
  <c r="AB540" i="1"/>
  <c r="AK540" i="1" s="1"/>
  <c r="AU540" i="1"/>
  <c r="BD540" i="1" s="1"/>
  <c r="BN540" i="1"/>
  <c r="BW540" i="1" s="1"/>
  <c r="CJ533" i="1"/>
  <c r="CJ392" i="1"/>
  <c r="CJ393" i="1"/>
  <c r="BY387" i="1"/>
  <c r="I387" i="14"/>
  <c r="J387" i="14"/>
  <c r="K387" i="14"/>
  <c r="L387" i="14"/>
  <c r="AD542" i="1"/>
  <c r="AW542" i="1"/>
  <c r="BP542" i="1"/>
  <c r="CJ382" i="1"/>
  <c r="CD535" i="1"/>
  <c r="CD384" i="1"/>
  <c r="K386" i="14"/>
  <c r="L386" i="14"/>
  <c r="BY386" i="1"/>
  <c r="I386" i="14"/>
  <c r="J386" i="14"/>
  <c r="J389" i="14"/>
  <c r="I389" i="14"/>
  <c r="K389" i="14"/>
  <c r="L389" i="14"/>
  <c r="BY389" i="1"/>
  <c r="CD537" i="1"/>
  <c r="CJ384" i="1"/>
  <c r="CD390" i="1"/>
  <c r="I388" i="14"/>
  <c r="J388" i="14"/>
  <c r="K388" i="14"/>
  <c r="L388" i="14"/>
  <c r="BY388" i="1"/>
  <c r="CJ537" i="1"/>
  <c r="L539" i="14"/>
  <c r="BY539" i="1"/>
  <c r="I539" i="14"/>
  <c r="J539" i="14"/>
  <c r="K539" i="14"/>
  <c r="AV543" i="1"/>
  <c r="BO543" i="1"/>
  <c r="AC543" i="1"/>
  <c r="CJ390" i="1"/>
  <c r="N382" i="14"/>
  <c r="N393" i="14"/>
  <c r="H541" i="14"/>
  <c r="N385" i="14"/>
  <c r="F538" i="14"/>
  <c r="F539" i="14"/>
  <c r="BO545" i="2"/>
  <c r="O544" i="1" s="1"/>
  <c r="BR545" i="2"/>
  <c r="R544" i="1" s="1"/>
  <c r="BP545" i="2"/>
  <c r="P544" i="1" s="1"/>
  <c r="BQ545" i="2"/>
  <c r="Q544" i="1" s="1"/>
  <c r="BN543" i="2"/>
  <c r="N542" i="1" s="1"/>
  <c r="N392" i="14"/>
  <c r="G540" i="14"/>
  <c r="H540" i="14"/>
  <c r="N384" i="14"/>
  <c r="BQ546" i="2"/>
  <c r="Q545" i="1" s="1"/>
  <c r="AG545" i="1" s="1"/>
  <c r="BR546" i="2"/>
  <c r="R545" i="1" s="1"/>
  <c r="AH545" i="1" s="1"/>
  <c r="BN544" i="2"/>
  <c r="N543" i="1" s="1"/>
  <c r="CD386" i="1" l="1"/>
  <c r="BX541" i="1"/>
  <c r="BY541" i="1" s="1"/>
  <c r="CD536" i="1"/>
  <c r="CD389" i="1"/>
  <c r="CJ389" i="1"/>
  <c r="AD544" i="1"/>
  <c r="BP544" i="1"/>
  <c r="AW544" i="1"/>
  <c r="CJ536" i="1"/>
  <c r="I541" i="14"/>
  <c r="J541" i="14"/>
  <c r="L541" i="14"/>
  <c r="K541" i="14"/>
  <c r="CJ532" i="1"/>
  <c r="AC544" i="1"/>
  <c r="AV544" i="1"/>
  <c r="BO544" i="1"/>
  <c r="CJ388" i="1"/>
  <c r="CD532" i="1"/>
  <c r="CD388" i="1"/>
  <c r="CJ386" i="1"/>
  <c r="BX540" i="1"/>
  <c r="CD387" i="1"/>
  <c r="AB543" i="1"/>
  <c r="AK543" i="1" s="1"/>
  <c r="BN543" i="1"/>
  <c r="BW543" i="1" s="1"/>
  <c r="H543" i="14" s="1"/>
  <c r="AU543" i="1"/>
  <c r="BD543" i="1" s="1"/>
  <c r="BT545" i="1"/>
  <c r="BA545" i="1"/>
  <c r="BS545" i="1"/>
  <c r="AZ545" i="1"/>
  <c r="CD539" i="1"/>
  <c r="CJ387" i="1"/>
  <c r="J538" i="14"/>
  <c r="K538" i="14"/>
  <c r="I538" i="14"/>
  <c r="L538" i="14"/>
  <c r="BY538" i="1"/>
  <c r="AB542" i="1"/>
  <c r="AK542" i="1" s="1"/>
  <c r="BN542" i="1"/>
  <c r="BW542" i="1" s="1"/>
  <c r="AU542" i="1"/>
  <c r="BD542" i="1" s="1"/>
  <c r="CJ539" i="1"/>
  <c r="BP546" i="2"/>
  <c r="P545" i="1" s="1"/>
  <c r="BP417" i="2"/>
  <c r="P416" i="1" s="1"/>
  <c r="BP418" i="2"/>
  <c r="P417" i="1" s="1"/>
  <c r="BP419" i="2"/>
  <c r="P418" i="1" s="1"/>
  <c r="BP240" i="2"/>
  <c r="P239" i="1" s="1"/>
  <c r="BP420" i="2"/>
  <c r="P419" i="1" s="1"/>
  <c r="BP406" i="2"/>
  <c r="P405" i="1" s="1"/>
  <c r="BP411" i="2"/>
  <c r="P410" i="1" s="1"/>
  <c r="BP410" i="2"/>
  <c r="P409" i="1" s="1"/>
  <c r="BP412" i="2"/>
  <c r="P411" i="1" s="1"/>
  <c r="BP413" i="2"/>
  <c r="P412" i="1" s="1"/>
  <c r="BP407" i="2"/>
  <c r="P406" i="1" s="1"/>
  <c r="BP416" i="2"/>
  <c r="P415" i="1" s="1"/>
  <c r="BP408" i="2"/>
  <c r="P407" i="1" s="1"/>
  <c r="BP415" i="2"/>
  <c r="P414" i="1" s="1"/>
  <c r="BP414" i="2"/>
  <c r="P413" i="1" s="1"/>
  <c r="BP409" i="2"/>
  <c r="P408" i="1" s="1"/>
  <c r="BP300" i="2"/>
  <c r="P299" i="1" s="1"/>
  <c r="BP241" i="2"/>
  <c r="P240" i="1" s="1"/>
  <c r="BP186" i="2"/>
  <c r="P185" i="1" s="1"/>
  <c r="BP299" i="2"/>
  <c r="P298" i="1" s="1"/>
  <c r="BP422" i="2"/>
  <c r="P421" i="1" s="1"/>
  <c r="BP421" i="2"/>
  <c r="P420" i="1" s="1"/>
  <c r="G542" i="14"/>
  <c r="H542" i="14"/>
  <c r="N537" i="14"/>
  <c r="G543" i="14"/>
  <c r="N535" i="14"/>
  <c r="BR547" i="2"/>
  <c r="R546" i="1" s="1"/>
  <c r="BP547" i="2"/>
  <c r="P546" i="1" s="1"/>
  <c r="BQ547" i="2"/>
  <c r="Q546" i="1" s="1"/>
  <c r="BN545" i="2"/>
  <c r="N544" i="1" s="1"/>
  <c r="BO547" i="2"/>
  <c r="O546" i="1" s="1"/>
  <c r="N390" i="14"/>
  <c r="BO546" i="2"/>
  <c r="O545" i="1" s="1"/>
  <c r="BO417" i="2"/>
  <c r="O416" i="1" s="1"/>
  <c r="BO418" i="2"/>
  <c r="O417" i="1" s="1"/>
  <c r="BO299" i="2"/>
  <c r="O298" i="1" s="1"/>
  <c r="BO420" i="2"/>
  <c r="O419" i="1" s="1"/>
  <c r="BO414" i="2"/>
  <c r="O413" i="1" s="1"/>
  <c r="BO412" i="2"/>
  <c r="O411" i="1" s="1"/>
  <c r="BO415" i="2"/>
  <c r="O414" i="1" s="1"/>
  <c r="BO408" i="2"/>
  <c r="O407" i="1" s="1"/>
  <c r="BO416" i="2"/>
  <c r="O415" i="1" s="1"/>
  <c r="BO407" i="2"/>
  <c r="O406" i="1" s="1"/>
  <c r="BO419" i="2"/>
  <c r="O418" i="1" s="1"/>
  <c r="BO411" i="2"/>
  <c r="O410" i="1" s="1"/>
  <c r="BO410" i="2"/>
  <c r="O409" i="1" s="1"/>
  <c r="BO409" i="2"/>
  <c r="O408" i="1" s="1"/>
  <c r="BO413" i="2"/>
  <c r="O412" i="1" s="1"/>
  <c r="BO422" i="2"/>
  <c r="O421" i="1" s="1"/>
  <c r="BO421" i="2"/>
  <c r="O420" i="1" s="1"/>
  <c r="F541" i="14"/>
  <c r="N533" i="14"/>
  <c r="N536" i="14"/>
  <c r="F540" i="14"/>
  <c r="BP548" i="2"/>
  <c r="P547" i="1" s="1"/>
  <c r="BQ548" i="2"/>
  <c r="Q547" i="1" s="1"/>
  <c r="BR548" i="2"/>
  <c r="R547" i="1" s="1"/>
  <c r="BN546" i="2"/>
  <c r="N545" i="1" s="1"/>
  <c r="BO548" i="2"/>
  <c r="O547" i="1" s="1"/>
  <c r="BN418" i="2"/>
  <c r="N417" i="1" s="1"/>
  <c r="BN417" i="2"/>
  <c r="N416" i="1" s="1"/>
  <c r="BN300" i="2"/>
  <c r="N299" i="1" s="1"/>
  <c r="BN420" i="2"/>
  <c r="N419" i="1" s="1"/>
  <c r="BN412" i="2"/>
  <c r="N411" i="1" s="1"/>
  <c r="BN408" i="2"/>
  <c r="N407" i="1" s="1"/>
  <c r="BN407" i="2"/>
  <c r="N406" i="1" s="1"/>
  <c r="BN419" i="2"/>
  <c r="N418" i="1" s="1"/>
  <c r="BN409" i="2"/>
  <c r="N408" i="1" s="1"/>
  <c r="BN406" i="2"/>
  <c r="N405" i="1" s="1"/>
  <c r="BN410" i="2"/>
  <c r="N409" i="1" s="1"/>
  <c r="BN411" i="2"/>
  <c r="N410" i="1" s="1"/>
  <c r="BN414" i="2"/>
  <c r="N413" i="1" s="1"/>
  <c r="BN415" i="2"/>
  <c r="N414" i="1" s="1"/>
  <c r="BN299" i="2"/>
  <c r="N298" i="1" s="1"/>
  <c r="BN413" i="2"/>
  <c r="N412" i="1" s="1"/>
  <c r="BN416" i="2"/>
  <c r="N415" i="1" s="1"/>
  <c r="BN422" i="2"/>
  <c r="N421" i="1" s="1"/>
  <c r="BN421" i="2"/>
  <c r="N420" i="1" s="1"/>
  <c r="N534" i="14"/>
  <c r="N532" i="14"/>
  <c r="AK544" i="1" l="1"/>
  <c r="CD541" i="1"/>
  <c r="BW544" i="1"/>
  <c r="BD544" i="1"/>
  <c r="G544" i="14" s="1"/>
  <c r="BN420" i="1"/>
  <c r="AB420" i="1"/>
  <c r="AU420" i="1"/>
  <c r="AU406" i="1"/>
  <c r="BN406" i="1"/>
  <c r="AB406" i="1"/>
  <c r="AV409" i="1"/>
  <c r="AC409" i="1"/>
  <c r="BO409" i="1"/>
  <c r="BO416" i="1"/>
  <c r="AC416" i="1"/>
  <c r="AV416" i="1"/>
  <c r="BP413" i="1"/>
  <c r="AW413" i="1"/>
  <c r="AD413" i="1"/>
  <c r="AD418" i="1"/>
  <c r="BP418" i="1"/>
  <c r="AW418" i="1"/>
  <c r="CD538" i="1"/>
  <c r="BX543" i="1"/>
  <c r="AB407" i="1"/>
  <c r="BN407" i="1"/>
  <c r="AU407" i="1"/>
  <c r="AC410" i="1"/>
  <c r="BO410" i="1"/>
  <c r="AV410" i="1"/>
  <c r="AV545" i="1"/>
  <c r="AC545" i="1"/>
  <c r="BO545" i="1"/>
  <c r="AD414" i="1"/>
  <c r="AW414" i="1"/>
  <c r="BP414" i="1"/>
  <c r="AD417" i="1"/>
  <c r="BP417" i="1"/>
  <c r="AW417" i="1"/>
  <c r="N388" i="14"/>
  <c r="AU415" i="1"/>
  <c r="AB415" i="1"/>
  <c r="BN415" i="1"/>
  <c r="BN411" i="1"/>
  <c r="AB411" i="1"/>
  <c r="AU411" i="1"/>
  <c r="AV418" i="1"/>
  <c r="AC418" i="1"/>
  <c r="BO418" i="1"/>
  <c r="BP407" i="1"/>
  <c r="AD407" i="1"/>
  <c r="AW407" i="1"/>
  <c r="BP416" i="1"/>
  <c r="AD416" i="1"/>
  <c r="AW416" i="1"/>
  <c r="AB412" i="1"/>
  <c r="AU412" i="1"/>
  <c r="BN412" i="1"/>
  <c r="AB419" i="1"/>
  <c r="BN419" i="1"/>
  <c r="AU419" i="1"/>
  <c r="AV406" i="1"/>
  <c r="BO406" i="1"/>
  <c r="AC406" i="1"/>
  <c r="BP415" i="1"/>
  <c r="AD415" i="1"/>
  <c r="AW415" i="1"/>
  <c r="BP545" i="1"/>
  <c r="AW545" i="1"/>
  <c r="AD545" i="1"/>
  <c r="AU298" i="1"/>
  <c r="AB298" i="1"/>
  <c r="BN298" i="1"/>
  <c r="AB299" i="1"/>
  <c r="AU299" i="1"/>
  <c r="BN299" i="1"/>
  <c r="AV415" i="1"/>
  <c r="BO415" i="1"/>
  <c r="AC415" i="1"/>
  <c r="AC546" i="1"/>
  <c r="AV546" i="1"/>
  <c r="BO546" i="1"/>
  <c r="AW406" i="1"/>
  <c r="BP406" i="1"/>
  <c r="AD406" i="1"/>
  <c r="N387" i="14"/>
  <c r="AU421" i="1"/>
  <c r="BN421" i="1"/>
  <c r="AB421" i="1"/>
  <c r="AB416" i="1"/>
  <c r="AK416" i="1" s="1"/>
  <c r="BN416" i="1"/>
  <c r="BW416" i="1" s="1"/>
  <c r="AU416" i="1"/>
  <c r="AC407" i="1"/>
  <c r="BO407" i="1"/>
  <c r="AV407" i="1"/>
  <c r="AD420" i="1"/>
  <c r="BP420" i="1"/>
  <c r="AW420" i="1"/>
  <c r="AD412" i="1"/>
  <c r="BP412" i="1"/>
  <c r="AW412" i="1"/>
  <c r="BY540" i="1"/>
  <c r="I540" i="14"/>
  <c r="J540" i="14"/>
  <c r="K540" i="14"/>
  <c r="L540" i="14"/>
  <c r="BN414" i="1"/>
  <c r="AB414" i="1"/>
  <c r="AU414" i="1"/>
  <c r="AB413" i="1"/>
  <c r="BN413" i="1"/>
  <c r="AU413" i="1"/>
  <c r="BN417" i="1"/>
  <c r="AB417" i="1"/>
  <c r="AU417" i="1"/>
  <c r="BO414" i="1"/>
  <c r="AC414" i="1"/>
  <c r="AV414" i="1"/>
  <c r="BP421" i="1"/>
  <c r="AD421" i="1"/>
  <c r="AW421" i="1"/>
  <c r="AD411" i="1"/>
  <c r="AW411" i="1"/>
  <c r="BP411" i="1"/>
  <c r="AB410" i="1"/>
  <c r="BN410" i="1"/>
  <c r="AU410" i="1"/>
  <c r="AC547" i="1"/>
  <c r="AV547" i="1"/>
  <c r="BO547" i="1"/>
  <c r="BO411" i="1"/>
  <c r="AC411" i="1"/>
  <c r="AV411" i="1"/>
  <c r="AW546" i="1"/>
  <c r="BP546" i="1"/>
  <c r="AD546" i="1"/>
  <c r="AD298" i="1"/>
  <c r="BP298" i="1"/>
  <c r="AW298" i="1"/>
  <c r="AD409" i="1"/>
  <c r="BP409" i="1"/>
  <c r="AW409" i="1"/>
  <c r="N386" i="14"/>
  <c r="BN409" i="1"/>
  <c r="AU409" i="1"/>
  <c r="AB409" i="1"/>
  <c r="BO420" i="1"/>
  <c r="AC420" i="1"/>
  <c r="AV420" i="1"/>
  <c r="BO413" i="1"/>
  <c r="AV413" i="1"/>
  <c r="AC413" i="1"/>
  <c r="AD185" i="1"/>
  <c r="AW185" i="1"/>
  <c r="BP185" i="1"/>
  <c r="BP410" i="1"/>
  <c r="AW410" i="1"/>
  <c r="AD410" i="1"/>
  <c r="BX542" i="1"/>
  <c r="AV421" i="1"/>
  <c r="AC421" i="1"/>
  <c r="BO421" i="1"/>
  <c r="AC419" i="1"/>
  <c r="AV419" i="1"/>
  <c r="BO419" i="1"/>
  <c r="AD240" i="1"/>
  <c r="BP240" i="1"/>
  <c r="AW240" i="1"/>
  <c r="AD405" i="1"/>
  <c r="AW405" i="1"/>
  <c r="BP405" i="1"/>
  <c r="BN408" i="1"/>
  <c r="AB408" i="1"/>
  <c r="AU408" i="1"/>
  <c r="AV412" i="1"/>
  <c r="BO412" i="1"/>
  <c r="AC412" i="1"/>
  <c r="BO298" i="1"/>
  <c r="AC298" i="1"/>
  <c r="AV298" i="1"/>
  <c r="BP299" i="1"/>
  <c r="AD299" i="1"/>
  <c r="AW299" i="1"/>
  <c r="BP419" i="1"/>
  <c r="AW419" i="1"/>
  <c r="AD419" i="1"/>
  <c r="CJ538" i="1"/>
  <c r="CJ541" i="1"/>
  <c r="BN418" i="1"/>
  <c r="BW418" i="1" s="1"/>
  <c r="AU418" i="1"/>
  <c r="BD418" i="1" s="1"/>
  <c r="AB418" i="1"/>
  <c r="AK418" i="1" s="1"/>
  <c r="AD547" i="1"/>
  <c r="BP547" i="1"/>
  <c r="AW547" i="1"/>
  <c r="BO408" i="1"/>
  <c r="AC408" i="1"/>
  <c r="AV408" i="1"/>
  <c r="BO417" i="1"/>
  <c r="AC417" i="1"/>
  <c r="AV417" i="1"/>
  <c r="AD408" i="1"/>
  <c r="BP408" i="1"/>
  <c r="AW408" i="1"/>
  <c r="BP239" i="1"/>
  <c r="AD239" i="1"/>
  <c r="AW239" i="1"/>
  <c r="N389" i="14"/>
  <c r="BN548" i="2"/>
  <c r="N547" i="1" s="1"/>
  <c r="BQ550" i="2"/>
  <c r="Q549" i="1" s="1"/>
  <c r="BR550" i="2"/>
  <c r="R549" i="1" s="1"/>
  <c r="F543" i="14"/>
  <c r="BO549" i="2"/>
  <c r="O548" i="1" s="1"/>
  <c r="BP549" i="2"/>
  <c r="P548" i="1" s="1"/>
  <c r="BR549" i="2"/>
  <c r="R548" i="1" s="1"/>
  <c r="BN547" i="2"/>
  <c r="N546" i="1" s="1"/>
  <c r="BQ549" i="2"/>
  <c r="Q548" i="1" s="1"/>
  <c r="F544" i="14"/>
  <c r="F542" i="14"/>
  <c r="AK412" i="1" l="1"/>
  <c r="BW410" i="1"/>
  <c r="AK417" i="1"/>
  <c r="BW421" i="1"/>
  <c r="BW413" i="1"/>
  <c r="BD409" i="1"/>
  <c r="BW409" i="1"/>
  <c r="BD414" i="1"/>
  <c r="AK414" i="1"/>
  <c r="BD416" i="1"/>
  <c r="BX544" i="1"/>
  <c r="H544" i="14"/>
  <c r="CD540" i="1"/>
  <c r="AD548" i="1"/>
  <c r="BP548" i="1"/>
  <c r="AW548" i="1"/>
  <c r="BW417" i="1"/>
  <c r="H417" i="14" s="1"/>
  <c r="CJ540" i="1"/>
  <c r="AC548" i="1"/>
  <c r="AK548" i="1" s="1"/>
  <c r="BO548" i="1"/>
  <c r="BW548" i="1" s="1"/>
  <c r="AV548" i="1"/>
  <c r="BD548" i="1" s="1"/>
  <c r="BD413" i="1"/>
  <c r="G413" i="14" s="1"/>
  <c r="AK421" i="1"/>
  <c r="BD419" i="1"/>
  <c r="G419" i="14" s="1"/>
  <c r="BD407" i="1"/>
  <c r="G407" i="14" s="1"/>
  <c r="BX418" i="1"/>
  <c r="BW419" i="1"/>
  <c r="BW407" i="1"/>
  <c r="AK413" i="1"/>
  <c r="BD421" i="1"/>
  <c r="AK419" i="1"/>
  <c r="AK407" i="1"/>
  <c r="BW412" i="1"/>
  <c r="BD411" i="1"/>
  <c r="G411" i="14" s="1"/>
  <c r="K543" i="14"/>
  <c r="L543" i="14"/>
  <c r="BY543" i="1"/>
  <c r="I543" i="14"/>
  <c r="J543" i="14"/>
  <c r="AK409" i="1"/>
  <c r="AU547" i="1"/>
  <c r="BD547" i="1" s="1"/>
  <c r="BN547" i="1"/>
  <c r="BW547" i="1" s="1"/>
  <c r="AB547" i="1"/>
  <c r="AK547" i="1" s="1"/>
  <c r="BD412" i="1"/>
  <c r="AK411" i="1"/>
  <c r="BW414" i="1"/>
  <c r="BX414" i="1" s="1"/>
  <c r="BW411" i="1"/>
  <c r="H411" i="14" s="1"/>
  <c r="AK406" i="1"/>
  <c r="BD408" i="1"/>
  <c r="G408" i="14" s="1"/>
  <c r="BW298" i="1"/>
  <c r="BW415" i="1"/>
  <c r="BW545" i="1"/>
  <c r="H545" i="14" s="1"/>
  <c r="BW406" i="1"/>
  <c r="AK408" i="1"/>
  <c r="AK298" i="1"/>
  <c r="AK415" i="1"/>
  <c r="AK545" i="1"/>
  <c r="BD406" i="1"/>
  <c r="BW408" i="1"/>
  <c r="H408" i="14" s="1"/>
  <c r="BD410" i="1"/>
  <c r="G410" i="14" s="1"/>
  <c r="BD298" i="1"/>
  <c r="BD415" i="1"/>
  <c r="BD545" i="1"/>
  <c r="BD420" i="1"/>
  <c r="G420" i="14" s="1"/>
  <c r="AB546" i="1"/>
  <c r="AK546" i="1" s="1"/>
  <c r="AU546" i="1"/>
  <c r="BD546" i="1" s="1"/>
  <c r="BN546" i="1"/>
  <c r="BW546" i="1" s="1"/>
  <c r="J542" i="14"/>
  <c r="K542" i="14"/>
  <c r="BY542" i="1"/>
  <c r="I542" i="14"/>
  <c r="L542" i="14"/>
  <c r="BD417" i="1"/>
  <c r="BX417" i="1" s="1"/>
  <c r="BX416" i="1"/>
  <c r="AK420" i="1"/>
  <c r="AK410" i="1"/>
  <c r="BW420" i="1"/>
  <c r="H413" i="14"/>
  <c r="H420" i="14"/>
  <c r="H416" i="14"/>
  <c r="G416" i="14"/>
  <c r="H412" i="14"/>
  <c r="H298" i="14"/>
  <c r="H421" i="14"/>
  <c r="H410" i="14"/>
  <c r="G421" i="14"/>
  <c r="G409" i="14"/>
  <c r="H407" i="14"/>
  <c r="H406" i="14"/>
  <c r="H418" i="14"/>
  <c r="H409" i="14"/>
  <c r="G406" i="14"/>
  <c r="G418" i="14"/>
  <c r="H415" i="14"/>
  <c r="F406" i="14"/>
  <c r="H414" i="14"/>
  <c r="G415" i="14"/>
  <c r="G414" i="14"/>
  <c r="G546" i="14"/>
  <c r="H546" i="14"/>
  <c r="F419" i="14"/>
  <c r="F545" i="14"/>
  <c r="F413" i="14"/>
  <c r="BR552" i="2"/>
  <c r="R551" i="1" s="1"/>
  <c r="BQ552" i="2"/>
  <c r="Q551" i="1" s="1"/>
  <c r="F410" i="14"/>
  <c r="F407" i="14"/>
  <c r="G547" i="14"/>
  <c r="H547" i="14"/>
  <c r="F421" i="14"/>
  <c r="F408" i="14"/>
  <c r="F418" i="14"/>
  <c r="F298" i="14"/>
  <c r="F412" i="14"/>
  <c r="F415" i="14"/>
  <c r="F416" i="14"/>
  <c r="F411" i="14"/>
  <c r="N539" i="14"/>
  <c r="F417" i="14"/>
  <c r="F414" i="14"/>
  <c r="BQ551" i="2"/>
  <c r="Q550" i="1" s="1"/>
  <c r="AG550" i="1" s="1"/>
  <c r="BR551" i="2"/>
  <c r="R550" i="1" s="1"/>
  <c r="AH550" i="1" s="1"/>
  <c r="BN549" i="2"/>
  <c r="N548" i="1" s="1"/>
  <c r="F420" i="14"/>
  <c r="N538" i="14"/>
  <c r="G417" i="14" l="1"/>
  <c r="BY544" i="1"/>
  <c r="CJ544" i="1" s="1"/>
  <c r="K544" i="14"/>
  <c r="L544" i="14"/>
  <c r="I544" i="14"/>
  <c r="J544" i="14"/>
  <c r="BX412" i="1"/>
  <c r="BX547" i="1"/>
  <c r="BX420" i="1"/>
  <c r="BX407" i="1"/>
  <c r="I414" i="14"/>
  <c r="J414" i="14"/>
  <c r="K414" i="14"/>
  <c r="L414" i="14"/>
  <c r="BY414" i="1"/>
  <c r="BY412" i="1"/>
  <c r="I412" i="14"/>
  <c r="J412" i="14"/>
  <c r="K412" i="14"/>
  <c r="L412" i="14"/>
  <c r="J417" i="14"/>
  <c r="K417" i="14"/>
  <c r="L417" i="14"/>
  <c r="BY417" i="1"/>
  <c r="BT550" i="1"/>
  <c r="BA550" i="1"/>
  <c r="BS550" i="1"/>
  <c r="AZ550" i="1"/>
  <c r="CJ542" i="1"/>
  <c r="BX406" i="1"/>
  <c r="BX421" i="1"/>
  <c r="I547" i="14"/>
  <c r="K547" i="14"/>
  <c r="L547" i="14"/>
  <c r="J547" i="14"/>
  <c r="BY547" i="1"/>
  <c r="G412" i="14"/>
  <c r="BX409" i="1"/>
  <c r="BX415" i="1"/>
  <c r="BX548" i="1"/>
  <c r="CD543" i="1"/>
  <c r="BX419" i="1"/>
  <c r="H419" i="14"/>
  <c r="BX546" i="1"/>
  <c r="BX408" i="1"/>
  <c r="CJ543" i="1"/>
  <c r="BX413" i="1"/>
  <c r="I420" i="14"/>
  <c r="J420" i="14"/>
  <c r="K420" i="14"/>
  <c r="L420" i="14"/>
  <c r="BY420" i="1"/>
  <c r="BX411" i="1"/>
  <c r="I418" i="14"/>
  <c r="J418" i="14"/>
  <c r="K418" i="14"/>
  <c r="L418" i="14"/>
  <c r="BY418" i="1"/>
  <c r="J416" i="14"/>
  <c r="K416" i="14"/>
  <c r="L416" i="14"/>
  <c r="BY416" i="1"/>
  <c r="I416" i="14"/>
  <c r="BX545" i="1"/>
  <c r="G545" i="14"/>
  <c r="I407" i="14"/>
  <c r="J407" i="14"/>
  <c r="K407" i="14"/>
  <c r="L407" i="14"/>
  <c r="BY407" i="1"/>
  <c r="BX298" i="1"/>
  <c r="G298" i="14"/>
  <c r="CD542" i="1"/>
  <c r="BX410" i="1"/>
  <c r="G548" i="14"/>
  <c r="F409" i="14"/>
  <c r="F548" i="14"/>
  <c r="H548" i="14"/>
  <c r="F547" i="14"/>
  <c r="N540" i="14"/>
  <c r="N541" i="14"/>
  <c r="BR553" i="2"/>
  <c r="R552" i="1" s="1"/>
  <c r="BQ553" i="2"/>
  <c r="Q552" i="1" s="1"/>
  <c r="F546" i="14"/>
  <c r="BQ554" i="2"/>
  <c r="Q553" i="1" s="1"/>
  <c r="BR554" i="2"/>
  <c r="R553" i="1" s="1"/>
  <c r="CD417" i="1" l="1"/>
  <c r="I417" i="14"/>
  <c r="CD414" i="1"/>
  <c r="CD544" i="1"/>
  <c r="CD547" i="1"/>
  <c r="CD412" i="1"/>
  <c r="CD407" i="1"/>
  <c r="CD418" i="1"/>
  <c r="BY545" i="1"/>
  <c r="I545" i="14"/>
  <c r="L545" i="14"/>
  <c r="J545" i="14"/>
  <c r="J546" i="14"/>
  <c r="BY546" i="1"/>
  <c r="I546" i="14"/>
  <c r="K546" i="14"/>
  <c r="L546" i="14"/>
  <c r="BY410" i="1"/>
  <c r="I410" i="14"/>
  <c r="J410" i="14"/>
  <c r="K410" i="14"/>
  <c r="L410" i="14"/>
  <c r="CD416" i="1"/>
  <c r="I411" i="14"/>
  <c r="J411" i="14"/>
  <c r="K411" i="14"/>
  <c r="L411" i="14"/>
  <c r="BY411" i="1"/>
  <c r="J409" i="14"/>
  <c r="K409" i="14"/>
  <c r="L409" i="14"/>
  <c r="BY409" i="1"/>
  <c r="BY406" i="1"/>
  <c r="I406" i="14"/>
  <c r="L406" i="14"/>
  <c r="J406" i="14"/>
  <c r="K406" i="14"/>
  <c r="BY419" i="1"/>
  <c r="I419" i="14"/>
  <c r="J419" i="14"/>
  <c r="K419" i="14"/>
  <c r="L419" i="14"/>
  <c r="CJ547" i="1"/>
  <c r="I298" i="14"/>
  <c r="J298" i="14"/>
  <c r="K298" i="14"/>
  <c r="BY298" i="1"/>
  <c r="L298" i="14"/>
  <c r="CJ412" i="1"/>
  <c r="CJ407" i="1"/>
  <c r="CD420" i="1"/>
  <c r="CJ414" i="1"/>
  <c r="CJ418" i="1"/>
  <c r="BY413" i="1"/>
  <c r="I413" i="14"/>
  <c r="J413" i="14"/>
  <c r="K413" i="14"/>
  <c r="L413" i="14"/>
  <c r="I548" i="14"/>
  <c r="J548" i="14"/>
  <c r="K548" i="14"/>
  <c r="L548" i="14"/>
  <c r="BY548" i="1"/>
  <c r="CJ416" i="1"/>
  <c r="CJ420" i="1"/>
  <c r="J421" i="14"/>
  <c r="K421" i="14"/>
  <c r="L421" i="14"/>
  <c r="BY421" i="1"/>
  <c r="I421" i="14"/>
  <c r="CJ417" i="1"/>
  <c r="I408" i="14"/>
  <c r="J408" i="14"/>
  <c r="K408" i="14"/>
  <c r="L408" i="14"/>
  <c r="BY408" i="1"/>
  <c r="I415" i="14"/>
  <c r="J415" i="14"/>
  <c r="K415" i="14"/>
  <c r="L415" i="14"/>
  <c r="BY415" i="1"/>
  <c r="N542" i="14"/>
  <c r="BQ555" i="2"/>
  <c r="Q554" i="1" s="1"/>
  <c r="AG554" i="1" s="1"/>
  <c r="BR555" i="2"/>
  <c r="R554" i="1" s="1"/>
  <c r="AH554" i="1" s="1"/>
  <c r="N544" i="14"/>
  <c r="BQ556" i="2"/>
  <c r="Q555" i="1" s="1"/>
  <c r="AG555" i="1" s="1"/>
  <c r="BR556" i="2"/>
  <c r="R555" i="1" s="1"/>
  <c r="AH555" i="1" s="1"/>
  <c r="N543" i="14"/>
  <c r="CD409" i="1" l="1"/>
  <c r="I409" i="14"/>
  <c r="CD545" i="1"/>
  <c r="K545" i="14"/>
  <c r="CD548" i="1"/>
  <c r="CJ410" i="1"/>
  <c r="CD415" i="1"/>
  <c r="CD419" i="1"/>
  <c r="CJ411" i="1"/>
  <c r="CJ419" i="1"/>
  <c r="CD546" i="1"/>
  <c r="CD413" i="1"/>
  <c r="CJ298" i="1"/>
  <c r="CJ546" i="1"/>
  <c r="BA555" i="1"/>
  <c r="BT555" i="1"/>
  <c r="CJ413" i="1"/>
  <c r="BS555" i="1"/>
  <c r="AZ555" i="1"/>
  <c r="CJ408" i="1"/>
  <c r="BT554" i="1"/>
  <c r="BA554" i="1"/>
  <c r="CD411" i="1"/>
  <c r="BS554" i="1"/>
  <c r="AZ554" i="1"/>
  <c r="CD408" i="1"/>
  <c r="CD298" i="1"/>
  <c r="CD406" i="1"/>
  <c r="CJ548" i="1"/>
  <c r="CJ406" i="1"/>
  <c r="CJ415" i="1"/>
  <c r="CD421" i="1"/>
  <c r="CJ409" i="1"/>
  <c r="CJ545" i="1"/>
  <c r="CJ421" i="1"/>
  <c r="CD410" i="1"/>
  <c r="BP447" i="2"/>
  <c r="P446" i="1" s="1"/>
  <c r="BP448" i="2"/>
  <c r="P447" i="1" s="1"/>
  <c r="N545" i="14"/>
  <c r="N407" i="14"/>
  <c r="N412" i="14"/>
  <c r="N298" i="14"/>
  <c r="N409" i="14"/>
  <c r="N413" i="14"/>
  <c r="N408" i="14"/>
  <c r="N410" i="14"/>
  <c r="N415" i="14"/>
  <c r="N420" i="14"/>
  <c r="N419" i="14"/>
  <c r="N414" i="14"/>
  <c r="N411" i="14"/>
  <c r="N418" i="14"/>
  <c r="N416" i="14"/>
  <c r="N421" i="14"/>
  <c r="N417" i="14"/>
  <c r="BP558" i="2"/>
  <c r="P557" i="1" s="1"/>
  <c r="BN448" i="2"/>
  <c r="N447" i="1" s="1"/>
  <c r="BR558" i="2"/>
  <c r="R557" i="1" s="1"/>
  <c r="AH557" i="1" s="1"/>
  <c r="BN556" i="2"/>
  <c r="N555" i="1" s="1"/>
  <c r="BQ558" i="2"/>
  <c r="Q557" i="1" s="1"/>
  <c r="AG557" i="1" s="1"/>
  <c r="BQ557" i="2"/>
  <c r="Q556" i="1" s="1"/>
  <c r="AG556" i="1" s="1"/>
  <c r="BP445" i="2"/>
  <c r="P444" i="1" s="1"/>
  <c r="BR557" i="2"/>
  <c r="R556" i="1" s="1"/>
  <c r="AH556" i="1" s="1"/>
  <c r="BN555" i="2"/>
  <c r="N554" i="1" s="1"/>
  <c r="BN550" i="2"/>
  <c r="N549" i="1" s="1"/>
  <c r="BN304" i="2"/>
  <c r="N303" i="1" s="1"/>
  <c r="BN444" i="2"/>
  <c r="N443" i="1" s="1"/>
  <c r="BN447" i="2"/>
  <c r="N446" i="1" s="1"/>
  <c r="BN445" i="2"/>
  <c r="N444" i="1" s="1"/>
  <c r="BN449" i="2"/>
  <c r="N448" i="1" s="1"/>
  <c r="BN446" i="2"/>
  <c r="N445" i="1" s="1"/>
  <c r="BN551" i="2"/>
  <c r="N550" i="1" s="1"/>
  <c r="BN305" i="2"/>
  <c r="N304" i="1" s="1"/>
  <c r="BN552" i="2"/>
  <c r="N551" i="1" s="1"/>
  <c r="BO556" i="2"/>
  <c r="O555" i="1" s="1"/>
  <c r="N406" i="14"/>
  <c r="AD444" i="1" l="1"/>
  <c r="BP444" i="1"/>
  <c r="AW444" i="1"/>
  <c r="BN304" i="1"/>
  <c r="AU304" i="1"/>
  <c r="AB304" i="1"/>
  <c r="AZ556" i="1"/>
  <c r="BS556" i="1"/>
  <c r="AZ557" i="1"/>
  <c r="BS557" i="1"/>
  <c r="AB555" i="1"/>
  <c r="BN555" i="1"/>
  <c r="AU555" i="1"/>
  <c r="AB445" i="1"/>
  <c r="BN445" i="1"/>
  <c r="AU445" i="1"/>
  <c r="AB448" i="1"/>
  <c r="BN448" i="1"/>
  <c r="AU448" i="1"/>
  <c r="BT557" i="1"/>
  <c r="BA557" i="1"/>
  <c r="AB447" i="1"/>
  <c r="BN447" i="1"/>
  <c r="AU447" i="1"/>
  <c r="AD447" i="1"/>
  <c r="BP447" i="1"/>
  <c r="AW447" i="1"/>
  <c r="BP557" i="1"/>
  <c r="AW557" i="1"/>
  <c r="AD557" i="1"/>
  <c r="AW446" i="1"/>
  <c r="AD446" i="1"/>
  <c r="BP446" i="1"/>
  <c r="AU443" i="1"/>
  <c r="AB443" i="1"/>
  <c r="BN443" i="1"/>
  <c r="BN446" i="1"/>
  <c r="AU446" i="1"/>
  <c r="AB446" i="1"/>
  <c r="BN303" i="1"/>
  <c r="AB303" i="1"/>
  <c r="AU303" i="1"/>
  <c r="BN554" i="1"/>
  <c r="AB554" i="1"/>
  <c r="AU554" i="1"/>
  <c r="AB444" i="1"/>
  <c r="AU444" i="1"/>
  <c r="BN444" i="1"/>
  <c r="AC555" i="1"/>
  <c r="AV555" i="1"/>
  <c r="BO555" i="1"/>
  <c r="BA556" i="1"/>
  <c r="BT556" i="1"/>
  <c r="BP551" i="2"/>
  <c r="P550" i="1" s="1"/>
  <c r="BP304" i="2"/>
  <c r="P303" i="1" s="1"/>
  <c r="BP557" i="2"/>
  <c r="P556" i="1" s="1"/>
  <c r="BP553" i="2"/>
  <c r="P552" i="1" s="1"/>
  <c r="BP554" i="2"/>
  <c r="P553" i="1" s="1"/>
  <c r="BP446" i="2"/>
  <c r="P445" i="1" s="1"/>
  <c r="BP449" i="2"/>
  <c r="P448" i="1" s="1"/>
  <c r="BP303" i="2"/>
  <c r="P302" i="1" s="1"/>
  <c r="BP444" i="2"/>
  <c r="P443" i="1" s="1"/>
  <c r="BP305" i="2"/>
  <c r="P304" i="1" s="1"/>
  <c r="BP552" i="2"/>
  <c r="P551" i="1" s="1"/>
  <c r="BP550" i="2"/>
  <c r="P549" i="1" s="1"/>
  <c r="BP555" i="2"/>
  <c r="P554" i="1" s="1"/>
  <c r="BP556" i="2"/>
  <c r="P555" i="1" s="1"/>
  <c r="BO449" i="2"/>
  <c r="O448" i="1" s="1"/>
  <c r="BO445" i="2"/>
  <c r="O444" i="1" s="1"/>
  <c r="BO550" i="2"/>
  <c r="O549" i="1" s="1"/>
  <c r="BO555" i="2"/>
  <c r="O554" i="1" s="1"/>
  <c r="BO558" i="2"/>
  <c r="O557" i="1" s="1"/>
  <c r="N548" i="14"/>
  <c r="BP559" i="2"/>
  <c r="P558" i="1" s="1"/>
  <c r="BO559" i="2"/>
  <c r="O558" i="1" s="1"/>
  <c r="BQ559" i="2"/>
  <c r="Q558" i="1" s="1"/>
  <c r="BN557" i="2"/>
  <c r="N556" i="1" s="1"/>
  <c r="BR559" i="2"/>
  <c r="R558" i="1" s="1"/>
  <c r="BN553" i="2"/>
  <c r="N552" i="1" s="1"/>
  <c r="BN554" i="2"/>
  <c r="N553" i="1" s="1"/>
  <c r="N547" i="14"/>
  <c r="BO304" i="2"/>
  <c r="O303" i="1" s="1"/>
  <c r="BO557" i="2"/>
  <c r="O556" i="1" s="1"/>
  <c r="BO554" i="2"/>
  <c r="O553" i="1" s="1"/>
  <c r="BO553" i="2"/>
  <c r="O552" i="1" s="1"/>
  <c r="N546" i="14"/>
  <c r="BO552" i="2"/>
  <c r="O551" i="1" s="1"/>
  <c r="BO444" i="2"/>
  <c r="O443" i="1" s="1"/>
  <c r="BO447" i="2"/>
  <c r="O446" i="1" s="1"/>
  <c r="BN303" i="2"/>
  <c r="N302" i="1" s="1"/>
  <c r="BP560" i="2"/>
  <c r="P559" i="1" s="1"/>
  <c r="BQ560" i="2"/>
  <c r="Q559" i="1" s="1"/>
  <c r="BO560" i="2"/>
  <c r="O559" i="1" s="1"/>
  <c r="BR560" i="2"/>
  <c r="R559" i="1" s="1"/>
  <c r="BN558" i="2"/>
  <c r="N557" i="1" s="1"/>
  <c r="BO448" i="2"/>
  <c r="O447" i="1" s="1"/>
  <c r="BO551" i="2"/>
  <c r="O550" i="1" s="1"/>
  <c r="AD559" i="1" l="1"/>
  <c r="AW559" i="1"/>
  <c r="BP559" i="1"/>
  <c r="BO549" i="1"/>
  <c r="AV549" i="1"/>
  <c r="AC549" i="1"/>
  <c r="AD553" i="1"/>
  <c r="BP553" i="1"/>
  <c r="AW553" i="1"/>
  <c r="AU553" i="1"/>
  <c r="AB553" i="1"/>
  <c r="BN553" i="1"/>
  <c r="AC444" i="1"/>
  <c r="AV444" i="1"/>
  <c r="BO444" i="1"/>
  <c r="AW552" i="1"/>
  <c r="AD552" i="1"/>
  <c r="BP552" i="1"/>
  <c r="BW444" i="1"/>
  <c r="AB552" i="1"/>
  <c r="AU552" i="1"/>
  <c r="BN552" i="1"/>
  <c r="BO448" i="1"/>
  <c r="AV448" i="1"/>
  <c r="AC448" i="1"/>
  <c r="AD556" i="1"/>
  <c r="BP556" i="1"/>
  <c r="AW556" i="1"/>
  <c r="BD444" i="1"/>
  <c r="BO443" i="1"/>
  <c r="AC443" i="1"/>
  <c r="AV443" i="1"/>
  <c r="BD443" i="1" s="1"/>
  <c r="G443" i="14" s="1"/>
  <c r="AW555" i="1"/>
  <c r="BD555" i="1" s="1"/>
  <c r="G555" i="14" s="1"/>
  <c r="BP555" i="1"/>
  <c r="BW555" i="1" s="1"/>
  <c r="H555" i="14" s="1"/>
  <c r="AD555" i="1"/>
  <c r="AK555" i="1" s="1"/>
  <c r="AD303" i="1"/>
  <c r="AW303" i="1"/>
  <c r="BP303" i="1"/>
  <c r="AK444" i="1"/>
  <c r="AB302" i="1"/>
  <c r="BN302" i="1"/>
  <c r="AU302" i="1"/>
  <c r="AC551" i="1"/>
  <c r="BO551" i="1"/>
  <c r="AV551" i="1"/>
  <c r="BP554" i="1"/>
  <c r="AW554" i="1"/>
  <c r="AD554" i="1"/>
  <c r="AD550" i="1"/>
  <c r="AW550" i="1"/>
  <c r="BP550" i="1"/>
  <c r="BO446" i="1"/>
  <c r="BW446" i="1" s="1"/>
  <c r="AV446" i="1"/>
  <c r="BD446" i="1" s="1"/>
  <c r="G446" i="14" s="1"/>
  <c r="AC446" i="1"/>
  <c r="AK446" i="1" s="1"/>
  <c r="AB556" i="1"/>
  <c r="AU556" i="1"/>
  <c r="BN556" i="1"/>
  <c r="AD549" i="1"/>
  <c r="BP549" i="1"/>
  <c r="AW549" i="1"/>
  <c r="AC550" i="1"/>
  <c r="AK550" i="1" s="1"/>
  <c r="BO550" i="1"/>
  <c r="AV550" i="1"/>
  <c r="BO558" i="1"/>
  <c r="AC558" i="1"/>
  <c r="AV558" i="1"/>
  <c r="AD551" i="1"/>
  <c r="AW551" i="1"/>
  <c r="BP551" i="1"/>
  <c r="AC552" i="1"/>
  <c r="AV552" i="1"/>
  <c r="BO552" i="1"/>
  <c r="AW558" i="1"/>
  <c r="AD558" i="1"/>
  <c r="BP558" i="1"/>
  <c r="AW304" i="1"/>
  <c r="BP304" i="1"/>
  <c r="AD304" i="1"/>
  <c r="BN557" i="1"/>
  <c r="AB557" i="1"/>
  <c r="AU557" i="1"/>
  <c r="AC553" i="1"/>
  <c r="BO553" i="1"/>
  <c r="AV553" i="1"/>
  <c r="AW443" i="1"/>
  <c r="AD443" i="1"/>
  <c r="BP443" i="1"/>
  <c r="BW443" i="1" s="1"/>
  <c r="AC447" i="1"/>
  <c r="AK447" i="1" s="1"/>
  <c r="AV447" i="1"/>
  <c r="BD447" i="1" s="1"/>
  <c r="G447" i="14" s="1"/>
  <c r="BO447" i="1"/>
  <c r="BW447" i="1" s="1"/>
  <c r="H447" i="14" s="1"/>
  <c r="AC556" i="1"/>
  <c r="AV556" i="1"/>
  <c r="BO556" i="1"/>
  <c r="BP302" i="1"/>
  <c r="AW302" i="1"/>
  <c r="AD302" i="1"/>
  <c r="BO303" i="1"/>
  <c r="BW303" i="1" s="1"/>
  <c r="H303" i="14" s="1"/>
  <c r="AV303" i="1"/>
  <c r="BD303" i="1" s="1"/>
  <c r="AC303" i="1"/>
  <c r="BO557" i="1"/>
  <c r="AV557" i="1"/>
  <c r="AC557" i="1"/>
  <c r="BP448" i="1"/>
  <c r="AD448" i="1"/>
  <c r="AK448" i="1" s="1"/>
  <c r="AW448" i="1"/>
  <c r="BO559" i="1"/>
  <c r="AV559" i="1"/>
  <c r="AC559" i="1"/>
  <c r="BO554" i="1"/>
  <c r="AC554" i="1"/>
  <c r="AV554" i="1"/>
  <c r="BP445" i="1"/>
  <c r="AD445" i="1"/>
  <c r="AW445" i="1"/>
  <c r="G444" i="14"/>
  <c r="H444" i="14"/>
  <c r="BN559" i="2"/>
  <c r="N558" i="1" s="1"/>
  <c r="BO561" i="2"/>
  <c r="O560" i="1" s="1"/>
  <c r="BR561" i="2"/>
  <c r="R560" i="1" s="1"/>
  <c r="BP561" i="2"/>
  <c r="P560" i="1" s="1"/>
  <c r="BQ561" i="2"/>
  <c r="Q560" i="1" s="1"/>
  <c r="BR562" i="2"/>
  <c r="R561" i="1" s="1"/>
  <c r="BN560" i="2"/>
  <c r="N559" i="1" s="1"/>
  <c r="BQ562" i="2"/>
  <c r="Q561" i="1" s="1"/>
  <c r="BP562" i="2"/>
  <c r="P561" i="1" s="1"/>
  <c r="BO562" i="2"/>
  <c r="O561" i="1" s="1"/>
  <c r="BW448" i="1" l="1"/>
  <c r="BD554" i="1"/>
  <c r="G554" i="14" s="1"/>
  <c r="AK554" i="1"/>
  <c r="BW550" i="1"/>
  <c r="BW554" i="1"/>
  <c r="H554" i="14" s="1"/>
  <c r="AK553" i="1"/>
  <c r="BW552" i="1"/>
  <c r="BD552" i="1"/>
  <c r="AK443" i="1"/>
  <c r="BX443" i="1" s="1"/>
  <c r="BD553" i="1"/>
  <c r="BD557" i="1"/>
  <c r="G557" i="14" s="1"/>
  <c r="AK303" i="1"/>
  <c r="BX303" i="1" s="1"/>
  <c r="BX446" i="1"/>
  <c r="H446" i="14"/>
  <c r="H443" i="14"/>
  <c r="AW560" i="1"/>
  <c r="BP560" i="1"/>
  <c r="AD560" i="1"/>
  <c r="AK552" i="1"/>
  <c r="BO560" i="1"/>
  <c r="AV560" i="1"/>
  <c r="AC560" i="1"/>
  <c r="BX447" i="1"/>
  <c r="AW561" i="1"/>
  <c r="AD561" i="1"/>
  <c r="BP561" i="1"/>
  <c r="BX555" i="1"/>
  <c r="BX444" i="1"/>
  <c r="BO561" i="1"/>
  <c r="AC561" i="1"/>
  <c r="AV561" i="1"/>
  <c r="AK549" i="1"/>
  <c r="BN559" i="1"/>
  <c r="BW559" i="1" s="1"/>
  <c r="AU559" i="1"/>
  <c r="BD559" i="1" s="1"/>
  <c r="AB559" i="1"/>
  <c r="AK559" i="1" s="1"/>
  <c r="BW556" i="1"/>
  <c r="BD549" i="1"/>
  <c r="G549" i="14" s="1"/>
  <c r="BD556" i="1"/>
  <c r="G556" i="14" s="1"/>
  <c r="BW549" i="1"/>
  <c r="AK556" i="1"/>
  <c r="BD551" i="1"/>
  <c r="G551" i="14" s="1"/>
  <c r="AK557" i="1"/>
  <c r="BW551" i="1"/>
  <c r="BD448" i="1"/>
  <c r="BX448" i="1" s="1"/>
  <c r="AB558" i="1"/>
  <c r="AK558" i="1" s="1"/>
  <c r="BN558" i="1"/>
  <c r="BW558" i="1" s="1"/>
  <c r="AU558" i="1"/>
  <c r="BD558" i="1" s="1"/>
  <c r="G558" i="14" s="1"/>
  <c r="BW557" i="1"/>
  <c r="H557" i="14" s="1"/>
  <c r="BD550" i="1"/>
  <c r="G550" i="14" s="1"/>
  <c r="AK551" i="1"/>
  <c r="BW553" i="1"/>
  <c r="F448" i="14"/>
  <c r="F444" i="14"/>
  <c r="G553" i="14"/>
  <c r="H550" i="14"/>
  <c r="H549" i="14"/>
  <c r="F554" i="14"/>
  <c r="F549" i="14"/>
  <c r="F555" i="14"/>
  <c r="G448" i="14"/>
  <c r="G303" i="14"/>
  <c r="H551" i="14"/>
  <c r="H448" i="14"/>
  <c r="F443" i="14"/>
  <c r="F446" i="14"/>
  <c r="F447" i="14"/>
  <c r="G552" i="14"/>
  <c r="H552" i="14"/>
  <c r="H553" i="14"/>
  <c r="H556" i="14"/>
  <c r="BO563" i="2"/>
  <c r="O562" i="1" s="1"/>
  <c r="BP563" i="2"/>
  <c r="P562" i="1" s="1"/>
  <c r="BQ563" i="2"/>
  <c r="Q562" i="1" s="1"/>
  <c r="BR563" i="2"/>
  <c r="R562" i="1" s="1"/>
  <c r="BN561" i="2"/>
  <c r="N560" i="1" s="1"/>
  <c r="H558" i="14"/>
  <c r="F550" i="14"/>
  <c r="BQ564" i="2"/>
  <c r="Q563" i="1" s="1"/>
  <c r="BP564" i="2"/>
  <c r="P563" i="1" s="1"/>
  <c r="BR564" i="2"/>
  <c r="R563" i="1" s="1"/>
  <c r="BO564" i="2"/>
  <c r="O563" i="1" s="1"/>
  <c r="BN562" i="2"/>
  <c r="N561" i="1" s="1"/>
  <c r="F557" i="14"/>
  <c r="G559" i="14"/>
  <c r="H559" i="14"/>
  <c r="F551" i="14"/>
  <c r="F553" i="14"/>
  <c r="F556" i="14"/>
  <c r="F552" i="14"/>
  <c r="F303" i="14" l="1"/>
  <c r="BX554" i="1"/>
  <c r="BX553" i="1"/>
  <c r="BX550" i="1"/>
  <c r="BX551" i="1"/>
  <c r="J448" i="14"/>
  <c r="K448" i="14"/>
  <c r="L448" i="14"/>
  <c r="BY448" i="1"/>
  <c r="I448" i="14"/>
  <c r="BX558" i="1"/>
  <c r="BY555" i="1"/>
  <c r="I555" i="14"/>
  <c r="J555" i="14"/>
  <c r="K555" i="14"/>
  <c r="L555" i="14"/>
  <c r="BY553" i="1"/>
  <c r="I553" i="14"/>
  <c r="J553" i="14"/>
  <c r="K553" i="14"/>
  <c r="L553" i="14"/>
  <c r="BX549" i="1"/>
  <c r="I550" i="14"/>
  <c r="J550" i="14"/>
  <c r="K550" i="14"/>
  <c r="L550" i="14"/>
  <c r="BY550" i="1"/>
  <c r="BN560" i="1"/>
  <c r="BW560" i="1" s="1"/>
  <c r="AB560" i="1"/>
  <c r="AK560" i="1" s="1"/>
  <c r="AU560" i="1"/>
  <c r="BD560" i="1" s="1"/>
  <c r="J551" i="14"/>
  <c r="L551" i="14"/>
  <c r="BY551" i="1"/>
  <c r="I551" i="14"/>
  <c r="BX557" i="1"/>
  <c r="I447" i="14"/>
  <c r="J447" i="14"/>
  <c r="K447" i="14"/>
  <c r="L447" i="14"/>
  <c r="BY447" i="1"/>
  <c r="AD562" i="1"/>
  <c r="BP562" i="1"/>
  <c r="AW562" i="1"/>
  <c r="AV562" i="1"/>
  <c r="AC562" i="1"/>
  <c r="BO562" i="1"/>
  <c r="BY444" i="1"/>
  <c r="I444" i="14"/>
  <c r="J444" i="14"/>
  <c r="K444" i="14"/>
  <c r="L444" i="14"/>
  <c r="BY443" i="1"/>
  <c r="I443" i="14"/>
  <c r="J443" i="14"/>
  <c r="K443" i="14"/>
  <c r="L443" i="14"/>
  <c r="BO563" i="1"/>
  <c r="AC563" i="1"/>
  <c r="AV563" i="1"/>
  <c r="BX552" i="1"/>
  <c r="AB561" i="1"/>
  <c r="AK561" i="1" s="1"/>
  <c r="AU561" i="1"/>
  <c r="BD561" i="1" s="1"/>
  <c r="G561" i="14" s="1"/>
  <c r="BN561" i="1"/>
  <c r="BW561" i="1" s="1"/>
  <c r="H561" i="14" s="1"/>
  <c r="K303" i="14"/>
  <c r="BY303" i="1"/>
  <c r="I303" i="14"/>
  <c r="J303" i="14"/>
  <c r="L303" i="14"/>
  <c r="BX556" i="1"/>
  <c r="BY554" i="1"/>
  <c r="I554" i="14"/>
  <c r="J554" i="14"/>
  <c r="K554" i="14"/>
  <c r="L554" i="14"/>
  <c r="AD563" i="1"/>
  <c r="AW563" i="1"/>
  <c r="BP563" i="1"/>
  <c r="BX559" i="1"/>
  <c r="BY446" i="1"/>
  <c r="I446" i="14"/>
  <c r="J446" i="14"/>
  <c r="K446" i="14"/>
  <c r="L446" i="14"/>
  <c r="BN563" i="2"/>
  <c r="N562" i="1" s="1"/>
  <c r="BO565" i="2"/>
  <c r="O564" i="1" s="1"/>
  <c r="BQ565" i="2"/>
  <c r="Q564" i="1" s="1"/>
  <c r="BP565" i="2"/>
  <c r="P564" i="1" s="1"/>
  <c r="BR565" i="2"/>
  <c r="R564" i="1" s="1"/>
  <c r="BP566" i="2"/>
  <c r="P565" i="1" s="1"/>
  <c r="BO566" i="2"/>
  <c r="O565" i="1" s="1"/>
  <c r="BR566" i="2"/>
  <c r="R565" i="1" s="1"/>
  <c r="BN564" i="2"/>
  <c r="N563" i="1" s="1"/>
  <c r="BQ566" i="2"/>
  <c r="Q565" i="1" s="1"/>
  <c r="F558" i="14"/>
  <c r="F559" i="14"/>
  <c r="H560" i="14"/>
  <c r="G560" i="14"/>
  <c r="CD551" i="1" l="1"/>
  <c r="K551" i="14"/>
  <c r="CD448" i="1"/>
  <c r="CD444" i="1"/>
  <c r="CD447" i="1"/>
  <c r="BN563" i="1"/>
  <c r="BW563" i="1" s="1"/>
  <c r="AB563" i="1"/>
  <c r="AK563" i="1" s="1"/>
  <c r="AU563" i="1"/>
  <c r="BD563" i="1" s="1"/>
  <c r="CD554" i="1"/>
  <c r="BY552" i="1"/>
  <c r="I552" i="14"/>
  <c r="J552" i="14"/>
  <c r="K552" i="14"/>
  <c r="L552" i="14"/>
  <c r="CJ550" i="1"/>
  <c r="CJ553" i="1"/>
  <c r="CJ554" i="1"/>
  <c r="AC565" i="1"/>
  <c r="BO565" i="1"/>
  <c r="AV565" i="1"/>
  <c r="CD446" i="1"/>
  <c r="BY556" i="1"/>
  <c r="I556" i="14"/>
  <c r="J556" i="14"/>
  <c r="K556" i="14"/>
  <c r="L556" i="14"/>
  <c r="CJ444" i="1"/>
  <c r="AD565" i="1"/>
  <c r="BP565" i="1"/>
  <c r="AW565" i="1"/>
  <c r="CJ446" i="1"/>
  <c r="I557" i="14"/>
  <c r="J557" i="14"/>
  <c r="K557" i="14"/>
  <c r="L557" i="14"/>
  <c r="BY557" i="1"/>
  <c r="CD550" i="1"/>
  <c r="CD555" i="1"/>
  <c r="I559" i="14"/>
  <c r="J559" i="14"/>
  <c r="K559" i="14"/>
  <c r="L559" i="14"/>
  <c r="BY559" i="1"/>
  <c r="CD303" i="1"/>
  <c r="CJ551" i="1"/>
  <c r="CJ555" i="1"/>
  <c r="AU562" i="1"/>
  <c r="BD562" i="1" s="1"/>
  <c r="G562" i="14" s="1"/>
  <c r="AB562" i="1"/>
  <c r="AK562" i="1" s="1"/>
  <c r="BN562" i="1"/>
  <c r="BW562" i="1" s="1"/>
  <c r="CJ303" i="1"/>
  <c r="N303" i="14" s="1"/>
  <c r="CD443" i="1"/>
  <c r="I549" i="14"/>
  <c r="J549" i="14"/>
  <c r="K549" i="14"/>
  <c r="L549" i="14"/>
  <c r="BY549" i="1"/>
  <c r="BY558" i="1"/>
  <c r="I558" i="14"/>
  <c r="J558" i="14"/>
  <c r="K558" i="14"/>
  <c r="L558" i="14"/>
  <c r="AW564" i="1"/>
  <c r="BP564" i="1"/>
  <c r="AD564" i="1"/>
  <c r="CJ448" i="1"/>
  <c r="AC564" i="1"/>
  <c r="AV564" i="1"/>
  <c r="BO564" i="1"/>
  <c r="CJ443" i="1"/>
  <c r="CJ447" i="1"/>
  <c r="BX561" i="1"/>
  <c r="BX560" i="1"/>
  <c r="CD553" i="1"/>
  <c r="BR568" i="2"/>
  <c r="R567" i="1" s="1"/>
  <c r="AH567" i="1" s="1"/>
  <c r="BN566" i="2"/>
  <c r="N565" i="1" s="1"/>
  <c r="BQ568" i="2"/>
  <c r="Q567" i="1" s="1"/>
  <c r="AG567" i="1" s="1"/>
  <c r="N448" i="14"/>
  <c r="N443" i="14"/>
  <c r="N446" i="14"/>
  <c r="N554" i="14"/>
  <c r="N555" i="14"/>
  <c r="F561" i="14"/>
  <c r="BO567" i="2"/>
  <c r="O566" i="1" s="1"/>
  <c r="BP567" i="2"/>
  <c r="P566" i="1" s="1"/>
  <c r="BQ567" i="2"/>
  <c r="Q566" i="1" s="1"/>
  <c r="BR567" i="2"/>
  <c r="R566" i="1" s="1"/>
  <c r="BN565" i="2"/>
  <c r="N564" i="1" s="1"/>
  <c r="N444" i="14"/>
  <c r="H562" i="14"/>
  <c r="G563" i="14"/>
  <c r="H563" i="14"/>
  <c r="F560" i="14"/>
  <c r="N447" i="14"/>
  <c r="BX562" i="1" l="1"/>
  <c r="CD556" i="1"/>
  <c r="BX563" i="1"/>
  <c r="BS567" i="1"/>
  <c r="AZ567" i="1"/>
  <c r="CJ558" i="1"/>
  <c r="CJ557" i="1"/>
  <c r="BN565" i="1"/>
  <c r="BW565" i="1" s="1"/>
  <c r="AU565" i="1"/>
  <c r="BD565" i="1" s="1"/>
  <c r="AB565" i="1"/>
  <c r="AK565" i="1" s="1"/>
  <c r="CJ549" i="1"/>
  <c r="BT567" i="1"/>
  <c r="BA567" i="1"/>
  <c r="CD557" i="1"/>
  <c r="CJ556" i="1"/>
  <c r="AB564" i="1"/>
  <c r="AK564" i="1" s="1"/>
  <c r="BN564" i="1"/>
  <c r="BW564" i="1" s="1"/>
  <c r="AU564" i="1"/>
  <c r="BD564" i="1" s="1"/>
  <c r="I560" i="14"/>
  <c r="J560" i="14"/>
  <c r="K560" i="14"/>
  <c r="L560" i="14"/>
  <c r="BY560" i="1"/>
  <c r="CD549" i="1"/>
  <c r="CJ559" i="1"/>
  <c r="CD552" i="1"/>
  <c r="AD566" i="1"/>
  <c r="BP566" i="1"/>
  <c r="AW566" i="1"/>
  <c r="BY561" i="1"/>
  <c r="I561" i="14"/>
  <c r="J561" i="14"/>
  <c r="K561" i="14"/>
  <c r="L561" i="14"/>
  <c r="CJ552" i="1"/>
  <c r="BO566" i="1"/>
  <c r="AC566" i="1"/>
  <c r="AV566" i="1"/>
  <c r="BY562" i="1"/>
  <c r="I562" i="14"/>
  <c r="J562" i="14"/>
  <c r="K562" i="14"/>
  <c r="L562" i="14"/>
  <c r="CD559" i="1"/>
  <c r="K563" i="14"/>
  <c r="L563" i="14"/>
  <c r="BY563" i="1"/>
  <c r="I563" i="14"/>
  <c r="J563" i="14"/>
  <c r="CD558" i="1"/>
  <c r="N551" i="14"/>
  <c r="N550" i="14"/>
  <c r="N552" i="14"/>
  <c r="G564" i="14"/>
  <c r="H564" i="14"/>
  <c r="F563" i="14"/>
  <c r="BQ569" i="2"/>
  <c r="Q568" i="1" s="1"/>
  <c r="BN567" i="2"/>
  <c r="N566" i="1" s="1"/>
  <c r="BR569" i="2"/>
  <c r="R568" i="1" s="1"/>
  <c r="F562" i="14"/>
  <c r="G565" i="14"/>
  <c r="H565" i="14"/>
  <c r="N557" i="14"/>
  <c r="BR570" i="2"/>
  <c r="R569" i="1" s="1"/>
  <c r="BQ570" i="2"/>
  <c r="Q569" i="1" s="1"/>
  <c r="N556" i="14"/>
  <c r="N553" i="14"/>
  <c r="CD560" i="1" l="1"/>
  <c r="CD563" i="1"/>
  <c r="CJ563" i="1"/>
  <c r="N549" i="14"/>
  <c r="BX564" i="1"/>
  <c r="BX565" i="1"/>
  <c r="CJ560" i="1"/>
  <c r="BN566" i="1"/>
  <c r="BW566" i="1" s="1"/>
  <c r="AB566" i="1"/>
  <c r="AK566" i="1" s="1"/>
  <c r="AU566" i="1"/>
  <c r="BD566" i="1" s="1"/>
  <c r="CD562" i="1"/>
  <c r="CD561" i="1"/>
  <c r="CJ562" i="1"/>
  <c r="CJ561" i="1"/>
  <c r="N559" i="14"/>
  <c r="F564" i="14"/>
  <c r="BQ572" i="2"/>
  <c r="Q571" i="1" s="1"/>
  <c r="AG571" i="1" s="1"/>
  <c r="BR572" i="2"/>
  <c r="R571" i="1" s="1"/>
  <c r="AH571" i="1" s="1"/>
  <c r="BQ571" i="2"/>
  <c r="Q570" i="1" s="1"/>
  <c r="BR571" i="2"/>
  <c r="R570" i="1" s="1"/>
  <c r="N558" i="14"/>
  <c r="F565" i="14"/>
  <c r="G566" i="14"/>
  <c r="H566" i="14"/>
  <c r="BX566" i="1" l="1"/>
  <c r="BS571" i="1"/>
  <c r="AZ571" i="1"/>
  <c r="I565" i="14"/>
  <c r="J565" i="14"/>
  <c r="K565" i="14"/>
  <c r="L565" i="14"/>
  <c r="BY565" i="1"/>
  <c r="BA571" i="1"/>
  <c r="BT571" i="1"/>
  <c r="BY564" i="1"/>
  <c r="I564" i="14"/>
  <c r="J564" i="14"/>
  <c r="K564" i="14"/>
  <c r="L564" i="14"/>
  <c r="F566" i="14"/>
  <c r="BR573" i="2"/>
  <c r="R572" i="1" s="1"/>
  <c r="AH572" i="1" s="1"/>
  <c r="BQ573" i="2"/>
  <c r="Q572" i="1" s="1"/>
  <c r="AG572" i="1" s="1"/>
  <c r="BQ574" i="2"/>
  <c r="Q573" i="1" s="1"/>
  <c r="AG573" i="1" s="1"/>
  <c r="BR574" i="2"/>
  <c r="R573" i="1" s="1"/>
  <c r="AH573" i="1" s="1"/>
  <c r="N560" i="14"/>
  <c r="N561" i="14"/>
  <c r="BS572" i="1" l="1"/>
  <c r="AZ572" i="1"/>
  <c r="BS573" i="1"/>
  <c r="AZ573" i="1"/>
  <c r="BA572" i="1"/>
  <c r="BT572" i="1"/>
  <c r="CJ565" i="1"/>
  <c r="CD565" i="1"/>
  <c r="CD564" i="1"/>
  <c r="BT573" i="1"/>
  <c r="BA573" i="1"/>
  <c r="CJ564" i="1"/>
  <c r="I566" i="14"/>
  <c r="J566" i="14"/>
  <c r="K566" i="14"/>
  <c r="L566" i="14"/>
  <c r="BY566" i="1"/>
  <c r="BQ575" i="2"/>
  <c r="Q574" i="1" s="1"/>
  <c r="BR575" i="2"/>
  <c r="R574" i="1" s="1"/>
  <c r="BQ576" i="2"/>
  <c r="Q575" i="1" s="1"/>
  <c r="AG575" i="1" s="1"/>
  <c r="BR576" i="2"/>
  <c r="R575" i="1" s="1"/>
  <c r="AH575" i="1" s="1"/>
  <c r="N562" i="14"/>
  <c r="N563" i="14"/>
  <c r="BS575" i="1" l="1"/>
  <c r="AZ575" i="1"/>
  <c r="CJ566" i="1"/>
  <c r="BT575" i="1"/>
  <c r="BA575" i="1"/>
  <c r="CD566" i="1"/>
  <c r="BR578" i="2"/>
  <c r="R577" i="1" s="1"/>
  <c r="AH577" i="1" s="1"/>
  <c r="BQ578" i="2"/>
  <c r="Q577" i="1" s="1"/>
  <c r="AG577" i="1" s="1"/>
  <c r="BQ577" i="2"/>
  <c r="Q576" i="1" s="1"/>
  <c r="BR577" i="2"/>
  <c r="R576" i="1" s="1"/>
  <c r="N565" i="14"/>
  <c r="N564" i="14"/>
  <c r="BA577" i="1" l="1"/>
  <c r="BT577" i="1"/>
  <c r="AZ577" i="1"/>
  <c r="BS577" i="1"/>
  <c r="N566" i="14"/>
  <c r="BR580" i="2"/>
  <c r="R579" i="1" s="1"/>
  <c r="AH579" i="1" s="1"/>
  <c r="BQ580" i="2"/>
  <c r="Q579" i="1" s="1"/>
  <c r="AG579" i="1" s="1"/>
  <c r="BQ579" i="2"/>
  <c r="Q578" i="1" s="1"/>
  <c r="BR579" i="2"/>
  <c r="R578" i="1" s="1"/>
  <c r="BS579" i="1" l="1"/>
  <c r="AZ579" i="1"/>
  <c r="BT579" i="1"/>
  <c r="BA579" i="1"/>
  <c r="BQ581" i="2"/>
  <c r="Q580" i="1" s="1"/>
  <c r="AG580" i="1" s="1"/>
  <c r="BR581" i="2"/>
  <c r="R580" i="1" s="1"/>
  <c r="AH580" i="1" s="1"/>
  <c r="BR582" i="2"/>
  <c r="R581" i="1" s="1"/>
  <c r="BQ582" i="2"/>
  <c r="Q581" i="1" s="1"/>
  <c r="BA580" i="1" l="1"/>
  <c r="BT580" i="1"/>
  <c r="AZ580" i="1"/>
  <c r="BS580" i="1"/>
  <c r="BQ583" i="2"/>
  <c r="Q582" i="1" s="1"/>
  <c r="BR583" i="2"/>
  <c r="R582" i="1" s="1"/>
  <c r="BQ584" i="2"/>
  <c r="Q583" i="1" s="1"/>
  <c r="AG583" i="1" s="1"/>
  <c r="BR584" i="2"/>
  <c r="R583" i="1" s="1"/>
  <c r="AH583" i="1" s="1"/>
  <c r="BA583" i="1" l="1"/>
  <c r="BT583" i="1"/>
  <c r="AZ583" i="1"/>
  <c r="BS583" i="1"/>
  <c r="BO568" i="2"/>
  <c r="O567" i="1" s="1"/>
  <c r="BO572" i="2"/>
  <c r="O571" i="1" s="1"/>
  <c r="BO574" i="2"/>
  <c r="O573" i="1" s="1"/>
  <c r="BO571" i="2"/>
  <c r="O570" i="1" s="1"/>
  <c r="BP586" i="2"/>
  <c r="P585" i="1" s="1"/>
  <c r="BO586" i="2"/>
  <c r="O585" i="1" s="1"/>
  <c r="BQ586" i="2"/>
  <c r="Q585" i="1" s="1"/>
  <c r="BR586" i="2"/>
  <c r="R585" i="1" s="1"/>
  <c r="BN584" i="2"/>
  <c r="N583" i="1" s="1"/>
  <c r="BN571" i="2"/>
  <c r="N570" i="1" s="1"/>
  <c r="BN576" i="2"/>
  <c r="N575" i="1" s="1"/>
  <c r="BN580" i="2"/>
  <c r="N579" i="1" s="1"/>
  <c r="BN572" i="2"/>
  <c r="N571" i="1" s="1"/>
  <c r="BN579" i="2"/>
  <c r="N578" i="1" s="1"/>
  <c r="BN575" i="2"/>
  <c r="N574" i="1" s="1"/>
  <c r="BN568" i="2"/>
  <c r="N567" i="1" s="1"/>
  <c r="BN573" i="2"/>
  <c r="N572" i="1" s="1"/>
  <c r="BP580" i="2"/>
  <c r="P579" i="1" s="1"/>
  <c r="BO580" i="2"/>
  <c r="O579" i="1" s="1"/>
  <c r="BQ585" i="2"/>
  <c r="Q584" i="1" s="1"/>
  <c r="AG584" i="1" s="1"/>
  <c r="BR585" i="2"/>
  <c r="R584" i="1" s="1"/>
  <c r="AH584" i="1" s="1"/>
  <c r="BO583" i="2"/>
  <c r="O582" i="1" s="1"/>
  <c r="BO581" i="2"/>
  <c r="O580" i="1" s="1"/>
  <c r="AC582" i="1" l="1"/>
  <c r="AV582" i="1"/>
  <c r="BO582" i="1"/>
  <c r="BT584" i="1"/>
  <c r="BA584" i="1"/>
  <c r="AZ584" i="1"/>
  <c r="BS584" i="1"/>
  <c r="AW579" i="1"/>
  <c r="AD579" i="1"/>
  <c r="BP579" i="1"/>
  <c r="AV579" i="1"/>
  <c r="AC579" i="1"/>
  <c r="BO579" i="1"/>
  <c r="AC585" i="1"/>
  <c r="AV585" i="1"/>
  <c r="BO585" i="1"/>
  <c r="AW585" i="1"/>
  <c r="AD585" i="1"/>
  <c r="BP585" i="1"/>
  <c r="AV570" i="1"/>
  <c r="AC570" i="1"/>
  <c r="BO570" i="1"/>
  <c r="BN574" i="1"/>
  <c r="AU574" i="1"/>
  <c r="AB574" i="1"/>
  <c r="AV573" i="1"/>
  <c r="AC573" i="1"/>
  <c r="BO573" i="1"/>
  <c r="AB578" i="1"/>
  <c r="AU578" i="1"/>
  <c r="BN578" i="1"/>
  <c r="AV571" i="1"/>
  <c r="BO571" i="1"/>
  <c r="AC571" i="1"/>
  <c r="AU571" i="1"/>
  <c r="AB571" i="1"/>
  <c r="BN571" i="1"/>
  <c r="AV567" i="1"/>
  <c r="AC567" i="1"/>
  <c r="BO567" i="1"/>
  <c r="AB579" i="1"/>
  <c r="AU579" i="1"/>
  <c r="BN579" i="1"/>
  <c r="AU575" i="1"/>
  <c r="AB575" i="1"/>
  <c r="BN575" i="1"/>
  <c r="AB572" i="1"/>
  <c r="BN572" i="1"/>
  <c r="AU572" i="1"/>
  <c r="AB570" i="1"/>
  <c r="BN570" i="1"/>
  <c r="AU570" i="1"/>
  <c r="AC580" i="1"/>
  <c r="BO580" i="1"/>
  <c r="AV580" i="1"/>
  <c r="AB583" i="1"/>
  <c r="AU583" i="1"/>
  <c r="BN583" i="1"/>
  <c r="BP582" i="2"/>
  <c r="P581" i="1" s="1"/>
  <c r="BP581" i="2"/>
  <c r="P580" i="1" s="1"/>
  <c r="BP466" i="2"/>
  <c r="P465" i="1" s="1"/>
  <c r="BP464" i="2"/>
  <c r="P463" i="1" s="1"/>
  <c r="BP469" i="2"/>
  <c r="P468" i="1" s="1"/>
  <c r="BP467" i="2"/>
  <c r="P466" i="1" s="1"/>
  <c r="BP568" i="2"/>
  <c r="P567" i="1" s="1"/>
  <c r="BP572" i="2"/>
  <c r="P571" i="1" s="1"/>
  <c r="BP465" i="2"/>
  <c r="P464" i="1" s="1"/>
  <c r="BP471" i="2"/>
  <c r="P470" i="1" s="1"/>
  <c r="BP585" i="2"/>
  <c r="P584" i="1" s="1"/>
  <c r="BP575" i="2"/>
  <c r="P574" i="1" s="1"/>
  <c r="BP571" i="2"/>
  <c r="P570" i="1" s="1"/>
  <c r="BP570" i="2"/>
  <c r="P569" i="1" s="1"/>
  <c r="BP577" i="2"/>
  <c r="P576" i="1" s="1"/>
  <c r="BP576" i="2"/>
  <c r="P575" i="1" s="1"/>
  <c r="BP579" i="2"/>
  <c r="P578" i="1" s="1"/>
  <c r="BP584" i="2"/>
  <c r="P583" i="1" s="1"/>
  <c r="BP574" i="2"/>
  <c r="P573" i="1" s="1"/>
  <c r="BP573" i="2"/>
  <c r="P572" i="1" s="1"/>
  <c r="BP569" i="2"/>
  <c r="P568" i="1" s="1"/>
  <c r="BP583" i="2"/>
  <c r="P582" i="1" s="1"/>
  <c r="BP470" i="2"/>
  <c r="P469" i="1" s="1"/>
  <c r="BP468" i="2"/>
  <c r="P467" i="1" s="1"/>
  <c r="BP578" i="2"/>
  <c r="P577" i="1" s="1"/>
  <c r="BQ587" i="2"/>
  <c r="Q586" i="1" s="1"/>
  <c r="BR587" i="2"/>
  <c r="R586" i="1" s="1"/>
  <c r="BN585" i="2"/>
  <c r="N584" i="1" s="1"/>
  <c r="BN578" i="2"/>
  <c r="N577" i="1" s="1"/>
  <c r="BN569" i="2"/>
  <c r="N568" i="1" s="1"/>
  <c r="BN582" i="2"/>
  <c r="N581" i="1" s="1"/>
  <c r="BN581" i="2"/>
  <c r="N580" i="1" s="1"/>
  <c r="BN570" i="2"/>
  <c r="N569" i="1" s="1"/>
  <c r="BN574" i="2"/>
  <c r="N573" i="1" s="1"/>
  <c r="BN577" i="2"/>
  <c r="N576" i="1" s="1"/>
  <c r="BN583" i="2"/>
  <c r="N582" i="1" s="1"/>
  <c r="BQ588" i="2"/>
  <c r="Q587" i="1" s="1"/>
  <c r="AG587" i="1" s="1"/>
  <c r="BR588" i="2"/>
  <c r="R587" i="1" s="1"/>
  <c r="AH587" i="1" s="1"/>
  <c r="BN586" i="2"/>
  <c r="N585" i="1" s="1"/>
  <c r="BO579" i="2"/>
  <c r="O578" i="1" s="1"/>
  <c r="BO573" i="2"/>
  <c r="O572" i="1" s="1"/>
  <c r="BO585" i="2"/>
  <c r="O584" i="1" s="1"/>
  <c r="BO582" i="2"/>
  <c r="O581" i="1" s="1"/>
  <c r="BO577" i="2"/>
  <c r="O576" i="1" s="1"/>
  <c r="BO575" i="2"/>
  <c r="O574" i="1" s="1"/>
  <c r="BO576" i="2"/>
  <c r="O575" i="1" s="1"/>
  <c r="BO578" i="2"/>
  <c r="O577" i="1" s="1"/>
  <c r="BO584" i="2"/>
  <c r="O583" i="1" s="1"/>
  <c r="BW579" i="1" l="1"/>
  <c r="H579" i="14" s="1"/>
  <c r="BD579" i="1"/>
  <c r="AK579" i="1"/>
  <c r="BO578" i="1"/>
  <c r="AC578" i="1"/>
  <c r="AV578" i="1"/>
  <c r="BA587" i="1"/>
  <c r="BT587" i="1"/>
  <c r="AD569" i="1"/>
  <c r="BP569" i="1"/>
  <c r="AW569" i="1"/>
  <c r="AD580" i="1"/>
  <c r="AW580" i="1"/>
  <c r="BP580" i="1"/>
  <c r="BS587" i="1"/>
  <c r="AZ587" i="1"/>
  <c r="AD577" i="1"/>
  <c r="BP577" i="1"/>
  <c r="AW577" i="1"/>
  <c r="AW570" i="1"/>
  <c r="AD570" i="1"/>
  <c r="BP570" i="1"/>
  <c r="AD581" i="1"/>
  <c r="BP581" i="1"/>
  <c r="AW581" i="1"/>
  <c r="BO577" i="1"/>
  <c r="AV577" i="1"/>
  <c r="AC577" i="1"/>
  <c r="AB582" i="1"/>
  <c r="BN582" i="1"/>
  <c r="AU582" i="1"/>
  <c r="BP467" i="1"/>
  <c r="AW467" i="1"/>
  <c r="AD467" i="1"/>
  <c r="AD574" i="1"/>
  <c r="AW574" i="1"/>
  <c r="BP574" i="1"/>
  <c r="BO575" i="1"/>
  <c r="AV575" i="1"/>
  <c r="AC575" i="1"/>
  <c r="AB576" i="1"/>
  <c r="BN576" i="1"/>
  <c r="AU576" i="1"/>
  <c r="BP469" i="1"/>
  <c r="AD469" i="1"/>
  <c r="AW469" i="1"/>
  <c r="AD584" i="1"/>
  <c r="BP584" i="1"/>
  <c r="AW584" i="1"/>
  <c r="AV574" i="1"/>
  <c r="AC574" i="1"/>
  <c r="BO574" i="1"/>
  <c r="AB573" i="1"/>
  <c r="AU573" i="1"/>
  <c r="BN573" i="1"/>
  <c r="AW582" i="1"/>
  <c r="BP582" i="1"/>
  <c r="AD582" i="1"/>
  <c r="BP470" i="1"/>
  <c r="AW470" i="1"/>
  <c r="AD470" i="1"/>
  <c r="AV576" i="1"/>
  <c r="AC576" i="1"/>
  <c r="BO576" i="1"/>
  <c r="AD568" i="1"/>
  <c r="AW568" i="1"/>
  <c r="BP568" i="1"/>
  <c r="BP464" i="1"/>
  <c r="AW464" i="1"/>
  <c r="AD464" i="1"/>
  <c r="BO581" i="1"/>
  <c r="AV581" i="1"/>
  <c r="AC581" i="1"/>
  <c r="BN580" i="1"/>
  <c r="AU580" i="1"/>
  <c r="AB580" i="1"/>
  <c r="AD572" i="1"/>
  <c r="BP572" i="1"/>
  <c r="AW572" i="1"/>
  <c r="AD571" i="1"/>
  <c r="AK571" i="1" s="1"/>
  <c r="AW571" i="1"/>
  <c r="BD571" i="1" s="1"/>
  <c r="BP571" i="1"/>
  <c r="AV583" i="1"/>
  <c r="BD583" i="1" s="1"/>
  <c r="BO583" i="1"/>
  <c r="BW583" i="1" s="1"/>
  <c r="AC583" i="1"/>
  <c r="AB581" i="1"/>
  <c r="AU581" i="1"/>
  <c r="BN581" i="1"/>
  <c r="AW573" i="1"/>
  <c r="AD573" i="1"/>
  <c r="BP573" i="1"/>
  <c r="AW567" i="1"/>
  <c r="BD567" i="1" s="1"/>
  <c r="BP567" i="1"/>
  <c r="AD567" i="1"/>
  <c r="BX579" i="1"/>
  <c r="AK578" i="1"/>
  <c r="BO584" i="1"/>
  <c r="AV584" i="1"/>
  <c r="AC584" i="1"/>
  <c r="AD583" i="1"/>
  <c r="BP583" i="1"/>
  <c r="AW583" i="1"/>
  <c r="BP466" i="1"/>
  <c r="AD466" i="1"/>
  <c r="AW466" i="1"/>
  <c r="BD570" i="1"/>
  <c r="BW567" i="1"/>
  <c r="BW585" i="1"/>
  <c r="BN577" i="1"/>
  <c r="BW577" i="1" s="1"/>
  <c r="AU577" i="1"/>
  <c r="BD577" i="1" s="1"/>
  <c r="AB577" i="1"/>
  <c r="AK577" i="1" s="1"/>
  <c r="AD578" i="1"/>
  <c r="BP578" i="1"/>
  <c r="BW578" i="1" s="1"/>
  <c r="H578" i="14" s="1"/>
  <c r="AW578" i="1"/>
  <c r="BD578" i="1" s="1"/>
  <c r="BP468" i="1"/>
  <c r="AW468" i="1"/>
  <c r="AD468" i="1"/>
  <c r="BW570" i="1"/>
  <c r="AK567" i="1"/>
  <c r="BD585" i="1"/>
  <c r="BO572" i="1"/>
  <c r="BW572" i="1" s="1"/>
  <c r="AV572" i="1"/>
  <c r="AC572" i="1"/>
  <c r="AK572" i="1" s="1"/>
  <c r="AB584" i="1"/>
  <c r="AU584" i="1"/>
  <c r="BN584" i="1"/>
  <c r="AD575" i="1"/>
  <c r="BP575" i="1"/>
  <c r="AW575" i="1"/>
  <c r="BD575" i="1" s="1"/>
  <c r="BP463" i="1"/>
  <c r="AD463" i="1"/>
  <c r="AW463" i="1"/>
  <c r="AK570" i="1"/>
  <c r="AK585" i="1"/>
  <c r="AW576" i="1"/>
  <c r="AD576" i="1"/>
  <c r="BP576" i="1"/>
  <c r="BP465" i="1"/>
  <c r="AD465" i="1"/>
  <c r="AW465" i="1"/>
  <c r="BD572" i="1"/>
  <c r="BW571" i="1"/>
  <c r="AK574" i="1"/>
  <c r="G579" i="14"/>
  <c r="H585" i="14"/>
  <c r="G585" i="14"/>
  <c r="H571" i="14"/>
  <c r="H567" i="14"/>
  <c r="G570" i="14"/>
  <c r="H570" i="14"/>
  <c r="BQ590" i="2"/>
  <c r="Q589" i="1" s="1"/>
  <c r="BR590" i="2"/>
  <c r="R589" i="1" s="1"/>
  <c r="F585" i="14"/>
  <c r="BQ589" i="2"/>
  <c r="Q588" i="1" s="1"/>
  <c r="BR589" i="2"/>
  <c r="R588" i="1" s="1"/>
  <c r="F579" i="14"/>
  <c r="G572" i="14"/>
  <c r="F567" i="14"/>
  <c r="BX567" i="1" l="1"/>
  <c r="BD582" i="1"/>
  <c r="AK580" i="1"/>
  <c r="BD574" i="1"/>
  <c r="BX578" i="1"/>
  <c r="BW575" i="1"/>
  <c r="H575" i="14" s="1"/>
  <c r="BX571" i="1"/>
  <c r="BD573" i="1"/>
  <c r="BW576" i="1"/>
  <c r="BW582" i="1"/>
  <c r="AK573" i="1"/>
  <c r="AK582" i="1"/>
  <c r="BD580" i="1"/>
  <c r="G580" i="14" s="1"/>
  <c r="BW574" i="1"/>
  <c r="AK575" i="1"/>
  <c r="BX577" i="1"/>
  <c r="BY577" i="1" s="1"/>
  <c r="AK583" i="1"/>
  <c r="BW580" i="1"/>
  <c r="BX583" i="1"/>
  <c r="F571" i="14"/>
  <c r="K571" i="14"/>
  <c r="L571" i="14"/>
  <c r="BY571" i="1"/>
  <c r="I571" i="14"/>
  <c r="J571" i="14"/>
  <c r="BX572" i="1"/>
  <c r="I577" i="14"/>
  <c r="J577" i="14"/>
  <c r="K577" i="14"/>
  <c r="L577" i="14"/>
  <c r="BD576" i="1"/>
  <c r="I578" i="14"/>
  <c r="J578" i="14"/>
  <c r="K578" i="14"/>
  <c r="L578" i="14"/>
  <c r="BY578" i="1"/>
  <c r="BY567" i="1"/>
  <c r="I567" i="14"/>
  <c r="J567" i="14"/>
  <c r="K567" i="14"/>
  <c r="L567" i="14"/>
  <c r="BY579" i="1"/>
  <c r="I579" i="14"/>
  <c r="J579" i="14"/>
  <c r="K579" i="14"/>
  <c r="L579" i="14"/>
  <c r="AK576" i="1"/>
  <c r="BX576" i="1" s="1"/>
  <c r="BX570" i="1"/>
  <c r="BW584" i="1"/>
  <c r="BD584" i="1"/>
  <c r="AK584" i="1"/>
  <c r="BW581" i="1"/>
  <c r="H581" i="14" s="1"/>
  <c r="BX585" i="1"/>
  <c r="BD581" i="1"/>
  <c r="BW573" i="1"/>
  <c r="H573" i="14" s="1"/>
  <c r="AK581" i="1"/>
  <c r="G582" i="14"/>
  <c r="H572" i="14"/>
  <c r="H582" i="14"/>
  <c r="G571" i="14"/>
  <c r="H577" i="14"/>
  <c r="G583" i="14"/>
  <c r="G567" i="14"/>
  <c r="F570" i="14"/>
  <c r="G575" i="14"/>
  <c r="G578" i="14"/>
  <c r="H574" i="14"/>
  <c r="H583" i="14"/>
  <c r="G573" i="14"/>
  <c r="G574" i="14"/>
  <c r="H576" i="14"/>
  <c r="G576" i="14"/>
  <c r="F574" i="14"/>
  <c r="F575" i="14"/>
  <c r="F583" i="14"/>
  <c r="F578" i="14"/>
  <c r="F572" i="14"/>
  <c r="H584" i="14"/>
  <c r="G581" i="14"/>
  <c r="G584" i="14"/>
  <c r="G577" i="14"/>
  <c r="BQ592" i="2"/>
  <c r="Q591" i="1" s="1"/>
  <c r="BR592" i="2"/>
  <c r="R591" i="1" s="1"/>
  <c r="F576" i="14"/>
  <c r="F580" i="14"/>
  <c r="F577" i="14"/>
  <c r="BR591" i="2"/>
  <c r="R590" i="1" s="1"/>
  <c r="BQ591" i="2"/>
  <c r="Q590" i="1" s="1"/>
  <c r="F582" i="14"/>
  <c r="BX574" i="1" l="1"/>
  <c r="BX575" i="1"/>
  <c r="I574" i="14"/>
  <c r="J574" i="14"/>
  <c r="K574" i="14"/>
  <c r="L574" i="14"/>
  <c r="BY574" i="1"/>
  <c r="CD567" i="1"/>
  <c r="CD571" i="1"/>
  <c r="BX582" i="1"/>
  <c r="BX580" i="1"/>
  <c r="H580" i="14"/>
  <c r="BY576" i="1"/>
  <c r="I576" i="14"/>
  <c r="J576" i="14"/>
  <c r="K576" i="14"/>
  <c r="CJ567" i="1"/>
  <c r="CJ574" i="1"/>
  <c r="BY570" i="1"/>
  <c r="I570" i="14"/>
  <c r="J570" i="14"/>
  <c r="K570" i="14"/>
  <c r="L570" i="14"/>
  <c r="K572" i="14"/>
  <c r="L572" i="14"/>
  <c r="BY572" i="1"/>
  <c r="I572" i="14"/>
  <c r="J572" i="14"/>
  <c r="BY585" i="1"/>
  <c r="I585" i="14"/>
  <c r="J585" i="14"/>
  <c r="K585" i="14"/>
  <c r="L585" i="14"/>
  <c r="CJ578" i="1"/>
  <c r="BX584" i="1"/>
  <c r="CJ571" i="1"/>
  <c r="CD577" i="1"/>
  <c r="CD579" i="1"/>
  <c r="CD578" i="1"/>
  <c r="CJ577" i="1"/>
  <c r="CJ579" i="1"/>
  <c r="L575" i="14"/>
  <c r="BY575" i="1"/>
  <c r="I575" i="14"/>
  <c r="J575" i="14"/>
  <c r="K575" i="14"/>
  <c r="BX573" i="1"/>
  <c r="BX581" i="1"/>
  <c r="BY583" i="1"/>
  <c r="I583" i="14"/>
  <c r="J583" i="14"/>
  <c r="K583" i="14"/>
  <c r="L583" i="14"/>
  <c r="F573" i="14"/>
  <c r="F584" i="14"/>
  <c r="F581" i="14"/>
  <c r="BQ593" i="2"/>
  <c r="Q592" i="1" s="1"/>
  <c r="AG592" i="1" s="1"/>
  <c r="BR593" i="2"/>
  <c r="R592" i="1" s="1"/>
  <c r="AH592" i="1" s="1"/>
  <c r="BQ594" i="2"/>
  <c r="Q593" i="1" s="1"/>
  <c r="AG593" i="1" s="1"/>
  <c r="BR594" i="2"/>
  <c r="R593" i="1" s="1"/>
  <c r="AH593" i="1" s="1"/>
  <c r="CD576" i="1" l="1"/>
  <c r="L576" i="14"/>
  <c r="K580" i="14"/>
  <c r="L580" i="14"/>
  <c r="BY580" i="1"/>
  <c r="CJ580" i="1" s="1"/>
  <c r="I580" i="14"/>
  <c r="J580" i="14"/>
  <c r="K582" i="14"/>
  <c r="L582" i="14"/>
  <c r="BY582" i="1"/>
  <c r="CJ582" i="1" s="1"/>
  <c r="I582" i="14"/>
  <c r="J582" i="14"/>
  <c r="CD574" i="1"/>
  <c r="CD583" i="1"/>
  <c r="CJ570" i="1"/>
  <c r="CJ575" i="1"/>
  <c r="CD585" i="1"/>
  <c r="BA593" i="1"/>
  <c r="BT593" i="1"/>
  <c r="AZ593" i="1"/>
  <c r="BS593" i="1"/>
  <c r="BT592" i="1"/>
  <c r="BA592" i="1"/>
  <c r="I581" i="14"/>
  <c r="J581" i="14"/>
  <c r="K581" i="14"/>
  <c r="L581" i="14"/>
  <c r="BY581" i="1"/>
  <c r="CJ585" i="1"/>
  <c r="BS592" i="1"/>
  <c r="AZ592" i="1"/>
  <c r="BY573" i="1"/>
  <c r="I573" i="14"/>
  <c r="J573" i="14"/>
  <c r="K573" i="14"/>
  <c r="L573" i="14"/>
  <c r="CD572" i="1"/>
  <c r="CJ572" i="1"/>
  <c r="CD575" i="1"/>
  <c r="K584" i="14"/>
  <c r="L584" i="14"/>
  <c r="BY584" i="1"/>
  <c r="I584" i="14"/>
  <c r="J584" i="14"/>
  <c r="CJ583" i="1"/>
  <c r="CD570" i="1"/>
  <c r="CJ576" i="1"/>
  <c r="BR596" i="2"/>
  <c r="R595" i="1" s="1"/>
  <c r="BQ596" i="2"/>
  <c r="Q595" i="1" s="1"/>
  <c r="N585" i="14"/>
  <c r="BQ595" i="2"/>
  <c r="Q594" i="1" s="1"/>
  <c r="BR595" i="2"/>
  <c r="R594" i="1" s="1"/>
  <c r="N574" i="14"/>
  <c r="N575" i="14"/>
  <c r="N583" i="14"/>
  <c r="N570" i="14"/>
  <c r="N578" i="14"/>
  <c r="N571" i="14"/>
  <c r="N579" i="14"/>
  <c r="N567" i="14"/>
  <c r="N572" i="14" l="1"/>
  <c r="CD582" i="1"/>
  <c r="CD584" i="1"/>
  <c r="CD580" i="1"/>
  <c r="CJ581" i="1"/>
  <c r="CD581" i="1"/>
  <c r="CJ584" i="1"/>
  <c r="CD573" i="1"/>
  <c r="CJ573" i="1"/>
  <c r="BR598" i="2"/>
  <c r="R597" i="1" s="1"/>
  <c r="BQ598" i="2"/>
  <c r="Q597" i="1" s="1"/>
  <c r="N584" i="14"/>
  <c r="N581" i="14"/>
  <c r="N576" i="14"/>
  <c r="N580" i="14"/>
  <c r="N573" i="14"/>
  <c r="N577" i="14"/>
  <c r="N582" i="14"/>
  <c r="BR597" i="2"/>
  <c r="R596" i="1" s="1"/>
  <c r="BQ597" i="2"/>
  <c r="Q596" i="1" s="1"/>
  <c r="BQ600" i="2" l="1"/>
  <c r="Q599" i="1" s="1"/>
  <c r="BR600" i="2"/>
  <c r="R599" i="1" s="1"/>
  <c r="BQ599" i="2"/>
  <c r="Q598" i="1" s="1"/>
  <c r="BR599" i="2"/>
  <c r="R598" i="1" s="1"/>
  <c r="BR601" i="2" l="1"/>
  <c r="R600" i="1" s="1"/>
  <c r="BQ601" i="2"/>
  <c r="Q600" i="1" s="1"/>
  <c r="BQ602" i="2"/>
  <c r="Q601" i="1" s="1"/>
  <c r="AG601" i="1" s="1"/>
  <c r="BR602" i="2"/>
  <c r="R601" i="1" s="1"/>
  <c r="AH601" i="1" s="1"/>
  <c r="BA601" i="1" l="1"/>
  <c r="BT601" i="1"/>
  <c r="BS601" i="1"/>
  <c r="AZ601" i="1"/>
  <c r="BP496" i="2"/>
  <c r="P495" i="1" s="1"/>
  <c r="BP491" i="2"/>
  <c r="P490" i="1" s="1"/>
  <c r="BP492" i="2"/>
  <c r="P491" i="1" s="1"/>
  <c r="BP587" i="2"/>
  <c r="P586" i="1" s="1"/>
  <c r="BP494" i="2"/>
  <c r="P493" i="1" s="1"/>
  <c r="BP490" i="2"/>
  <c r="P489" i="1" s="1"/>
  <c r="BP596" i="2"/>
  <c r="P595" i="1" s="1"/>
  <c r="BP597" i="2"/>
  <c r="P596" i="1" s="1"/>
  <c r="BN602" i="2"/>
  <c r="N601" i="1" s="1"/>
  <c r="BQ604" i="2"/>
  <c r="Q603" i="1" s="1"/>
  <c r="AG603" i="1" s="1"/>
  <c r="BP588" i="2"/>
  <c r="P587" i="1" s="1"/>
  <c r="BR604" i="2"/>
  <c r="R603" i="1" s="1"/>
  <c r="AH603" i="1" s="1"/>
  <c r="BN591" i="2"/>
  <c r="N590" i="1" s="1"/>
  <c r="BN592" i="2"/>
  <c r="N591" i="1" s="1"/>
  <c r="BN493" i="2"/>
  <c r="N492" i="1" s="1"/>
  <c r="BN497" i="2"/>
  <c r="N496" i="1" s="1"/>
  <c r="BN494" i="2"/>
  <c r="N493" i="1" s="1"/>
  <c r="BN590" i="2"/>
  <c r="N589" i="1" s="1"/>
  <c r="BN593" i="2"/>
  <c r="N592" i="1" s="1"/>
  <c r="BN589" i="2"/>
  <c r="N588" i="1" s="1"/>
  <c r="BN588" i="2"/>
  <c r="N587" i="1" s="1"/>
  <c r="BN492" i="2"/>
  <c r="N491" i="1" s="1"/>
  <c r="BN495" i="2"/>
  <c r="N494" i="1" s="1"/>
  <c r="BN496" i="2"/>
  <c r="N495" i="1" s="1"/>
  <c r="BN587" i="2"/>
  <c r="N586" i="1" s="1"/>
  <c r="BN594" i="2"/>
  <c r="N593" i="1" s="1"/>
  <c r="BN491" i="2"/>
  <c r="N490" i="1" s="1"/>
  <c r="BN596" i="2"/>
  <c r="N595" i="1" s="1"/>
  <c r="BN595" i="2"/>
  <c r="N594" i="1" s="1"/>
  <c r="BN597" i="2"/>
  <c r="N596" i="1" s="1"/>
  <c r="BN598" i="2"/>
  <c r="N597" i="1" s="1"/>
  <c r="BO603" i="2"/>
  <c r="O602" i="1" s="1"/>
  <c r="BN601" i="2"/>
  <c r="N600" i="1" s="1"/>
  <c r="BP603" i="2"/>
  <c r="P602" i="1" s="1"/>
  <c r="BR603" i="2"/>
  <c r="R602" i="1" s="1"/>
  <c r="BQ603" i="2"/>
  <c r="Q602" i="1" s="1"/>
  <c r="BO602" i="2"/>
  <c r="O601" i="1" s="1"/>
  <c r="BO592" i="2"/>
  <c r="O591" i="1" s="1"/>
  <c r="BO591" i="2"/>
  <c r="O590" i="1" s="1"/>
  <c r="BO593" i="2"/>
  <c r="O592" i="1" s="1"/>
  <c r="BO588" i="2"/>
  <c r="O587" i="1" s="1"/>
  <c r="BO495" i="2"/>
  <c r="O494" i="1" s="1"/>
  <c r="BO587" i="2"/>
  <c r="O586" i="1" s="1"/>
  <c r="BO496" i="2"/>
  <c r="O495" i="1" s="1"/>
  <c r="BO493" i="2"/>
  <c r="O492" i="1" s="1"/>
  <c r="BO590" i="2"/>
  <c r="O589" i="1" s="1"/>
  <c r="BO589" i="2"/>
  <c r="O588" i="1" s="1"/>
  <c r="BO594" i="2"/>
  <c r="O593" i="1" s="1"/>
  <c r="BO596" i="2"/>
  <c r="O595" i="1" s="1"/>
  <c r="BO595" i="2"/>
  <c r="O594" i="1" s="1"/>
  <c r="BO598" i="2"/>
  <c r="O597" i="1" s="1"/>
  <c r="BO597" i="2"/>
  <c r="O596" i="1" s="1"/>
  <c r="BO601" i="2"/>
  <c r="O600" i="1" s="1"/>
  <c r="BO495" i="1" l="1"/>
  <c r="AV495" i="1"/>
  <c r="AC495" i="1"/>
  <c r="BO602" i="1"/>
  <c r="AV602" i="1"/>
  <c r="AC602" i="1"/>
  <c r="AW596" i="1"/>
  <c r="AD596" i="1"/>
  <c r="BP596" i="1"/>
  <c r="AC600" i="1"/>
  <c r="BO600" i="1"/>
  <c r="AV600" i="1"/>
  <c r="BO586" i="1"/>
  <c r="AV586" i="1"/>
  <c r="AC586" i="1"/>
  <c r="AB597" i="1"/>
  <c r="AU597" i="1"/>
  <c r="BN597" i="1"/>
  <c r="BN592" i="1"/>
  <c r="AU592" i="1"/>
  <c r="AB592" i="1"/>
  <c r="AD595" i="1"/>
  <c r="BP595" i="1"/>
  <c r="AW595" i="1"/>
  <c r="AC494" i="1"/>
  <c r="AV494" i="1"/>
  <c r="BO494" i="1"/>
  <c r="AB596" i="1"/>
  <c r="BN596" i="1"/>
  <c r="AU596" i="1"/>
  <c r="AB589" i="1"/>
  <c r="AU589" i="1"/>
  <c r="BN589" i="1"/>
  <c r="AW489" i="1"/>
  <c r="AD489" i="1"/>
  <c r="BP489" i="1"/>
  <c r="BO587" i="1"/>
  <c r="AC587" i="1"/>
  <c r="AV587" i="1"/>
  <c r="AB594" i="1"/>
  <c r="BN594" i="1"/>
  <c r="AU594" i="1"/>
  <c r="AB493" i="1"/>
  <c r="BN493" i="1"/>
  <c r="AU493" i="1"/>
  <c r="BP493" i="1"/>
  <c r="AW493" i="1"/>
  <c r="AD493" i="1"/>
  <c r="AC592" i="1"/>
  <c r="AV592" i="1"/>
  <c r="BO592" i="1"/>
  <c r="BN595" i="1"/>
  <c r="AB595" i="1"/>
  <c r="AU595" i="1"/>
  <c r="AB496" i="1"/>
  <c r="BN496" i="1"/>
  <c r="AU496" i="1"/>
  <c r="AD586" i="1"/>
  <c r="AW586" i="1"/>
  <c r="BP586" i="1"/>
  <c r="AC590" i="1"/>
  <c r="AV590" i="1"/>
  <c r="BO590" i="1"/>
  <c r="AB490" i="1"/>
  <c r="BN490" i="1"/>
  <c r="AU490" i="1"/>
  <c r="AU492" i="1"/>
  <c r="AB492" i="1"/>
  <c r="BN492" i="1"/>
  <c r="AW491" i="1"/>
  <c r="AD491" i="1"/>
  <c r="BP491" i="1"/>
  <c r="AC591" i="1"/>
  <c r="BO591" i="1"/>
  <c r="AV591" i="1"/>
  <c r="AU593" i="1"/>
  <c r="AB593" i="1"/>
  <c r="BN593" i="1"/>
  <c r="AB591" i="1"/>
  <c r="AU591" i="1"/>
  <c r="BN591" i="1"/>
  <c r="BP490" i="1"/>
  <c r="AD490" i="1"/>
  <c r="AW490" i="1"/>
  <c r="BO596" i="1"/>
  <c r="AC596" i="1"/>
  <c r="AV596" i="1"/>
  <c r="BN590" i="1"/>
  <c r="AB590" i="1"/>
  <c r="AU590" i="1"/>
  <c r="AW495" i="1"/>
  <c r="AD495" i="1"/>
  <c r="BP495" i="1"/>
  <c r="AV597" i="1"/>
  <c r="AC597" i="1"/>
  <c r="BO597" i="1"/>
  <c r="BO601" i="1"/>
  <c r="AV601" i="1"/>
  <c r="AC601" i="1"/>
  <c r="AC593" i="1"/>
  <c r="BO593" i="1"/>
  <c r="AV593" i="1"/>
  <c r="AU495" i="1"/>
  <c r="BD495" i="1" s="1"/>
  <c r="AB495" i="1"/>
  <c r="AK495" i="1" s="1"/>
  <c r="BN495" i="1"/>
  <c r="BW495" i="1" s="1"/>
  <c r="BA603" i="1"/>
  <c r="BT603" i="1"/>
  <c r="AC595" i="1"/>
  <c r="AV595" i="1"/>
  <c r="BO595" i="1"/>
  <c r="BO588" i="1"/>
  <c r="AC588" i="1"/>
  <c r="AV588" i="1"/>
  <c r="BN494" i="1"/>
  <c r="AU494" i="1"/>
  <c r="AB494" i="1"/>
  <c r="AD587" i="1"/>
  <c r="BP587" i="1"/>
  <c r="AW587" i="1"/>
  <c r="AV594" i="1"/>
  <c r="AC594" i="1"/>
  <c r="BO594" i="1"/>
  <c r="AV589" i="1"/>
  <c r="BO589" i="1"/>
  <c r="AC589" i="1"/>
  <c r="AD602" i="1"/>
  <c r="AW602" i="1"/>
  <c r="BP602" i="1"/>
  <c r="BN491" i="1"/>
  <c r="AU491" i="1"/>
  <c r="AB491" i="1"/>
  <c r="AZ603" i="1"/>
  <c r="BS603" i="1"/>
  <c r="BO492" i="1"/>
  <c r="AC492" i="1"/>
  <c r="AV492" i="1"/>
  <c r="AB600" i="1"/>
  <c r="AU600" i="1"/>
  <c r="BN600" i="1"/>
  <c r="AB601" i="1"/>
  <c r="AU601" i="1"/>
  <c r="BN601" i="1"/>
  <c r="BP604" i="2"/>
  <c r="P603" i="1" s="1"/>
  <c r="BP599" i="2"/>
  <c r="P598" i="1" s="1"/>
  <c r="BP600" i="2"/>
  <c r="P599" i="1" s="1"/>
  <c r="BP598" i="2"/>
  <c r="P597" i="1" s="1"/>
  <c r="BP497" i="2"/>
  <c r="P496" i="1" s="1"/>
  <c r="BP493" i="2"/>
  <c r="P492" i="1" s="1"/>
  <c r="BP595" i="2"/>
  <c r="P594" i="1" s="1"/>
  <c r="BP589" i="2"/>
  <c r="P588" i="1" s="1"/>
  <c r="BP593" i="2"/>
  <c r="P592" i="1" s="1"/>
  <c r="BP590" i="2"/>
  <c r="P589" i="1" s="1"/>
  <c r="BP594" i="2"/>
  <c r="P593" i="1" s="1"/>
  <c r="BP592" i="2"/>
  <c r="P591" i="1" s="1"/>
  <c r="BP591" i="2"/>
  <c r="P590" i="1" s="1"/>
  <c r="BP602" i="2"/>
  <c r="P601" i="1" s="1"/>
  <c r="BP495" i="2"/>
  <c r="P494" i="1" s="1"/>
  <c r="BP601" i="2"/>
  <c r="P600" i="1" s="1"/>
  <c r="BQ605" i="2"/>
  <c r="Q604" i="1" s="1"/>
  <c r="BR605" i="2"/>
  <c r="R604" i="1" s="1"/>
  <c r="BO605" i="2"/>
  <c r="O604" i="1" s="1"/>
  <c r="BP605" i="2"/>
  <c r="P604" i="1" s="1"/>
  <c r="BN603" i="2"/>
  <c r="N602" i="1" s="1"/>
  <c r="H495" i="14"/>
  <c r="G495" i="14"/>
  <c r="BO497" i="2"/>
  <c r="O496" i="1" s="1"/>
  <c r="BO604" i="2"/>
  <c r="O603" i="1" s="1"/>
  <c r="BO599" i="2"/>
  <c r="O598" i="1" s="1"/>
  <c r="BO600" i="2"/>
  <c r="O599" i="1" s="1"/>
  <c r="BQ606" i="2"/>
  <c r="Q605" i="1" s="1"/>
  <c r="BR606" i="2"/>
  <c r="R605" i="1" s="1"/>
  <c r="BN604" i="2"/>
  <c r="N603" i="1" s="1"/>
  <c r="BN599" i="2"/>
  <c r="N598" i="1" s="1"/>
  <c r="BN600" i="2"/>
  <c r="N599" i="1" s="1"/>
  <c r="BD595" i="1" l="1"/>
  <c r="BW595" i="1"/>
  <c r="BD596" i="1"/>
  <c r="AK595" i="1"/>
  <c r="BW596" i="1"/>
  <c r="AK596" i="1"/>
  <c r="AD601" i="1"/>
  <c r="BP601" i="1"/>
  <c r="BW601" i="1" s="1"/>
  <c r="H601" i="14" s="1"/>
  <c r="AW601" i="1"/>
  <c r="BP598" i="1"/>
  <c r="AW598" i="1"/>
  <c r="AD598" i="1"/>
  <c r="AD590" i="1"/>
  <c r="BP590" i="1"/>
  <c r="BW590" i="1" s="1"/>
  <c r="H590" i="14" s="1"/>
  <c r="AW590" i="1"/>
  <c r="BP603" i="1"/>
  <c r="AD603" i="1"/>
  <c r="AW603" i="1"/>
  <c r="BP604" i="1"/>
  <c r="AW604" i="1"/>
  <c r="BD604" i="1" s="1"/>
  <c r="AD604" i="1"/>
  <c r="BP591" i="1"/>
  <c r="AD591" i="1"/>
  <c r="AK591" i="1" s="1"/>
  <c r="AW591" i="1"/>
  <c r="BD591" i="1" s="1"/>
  <c r="G591" i="14" s="1"/>
  <c r="AB602" i="1"/>
  <c r="AK602" i="1" s="1"/>
  <c r="BN602" i="1"/>
  <c r="BW602" i="1" s="1"/>
  <c r="AU602" i="1"/>
  <c r="BD602" i="1" s="1"/>
  <c r="AV604" i="1"/>
  <c r="BO604" i="1"/>
  <c r="AC604" i="1"/>
  <c r="BP593" i="1"/>
  <c r="AD593" i="1"/>
  <c r="AK593" i="1" s="1"/>
  <c r="AW593" i="1"/>
  <c r="BD593" i="1" s="1"/>
  <c r="G593" i="14" s="1"/>
  <c r="BD601" i="1"/>
  <c r="BW591" i="1"/>
  <c r="AB603" i="1"/>
  <c r="AU603" i="1"/>
  <c r="BN603" i="1"/>
  <c r="AD589" i="1"/>
  <c r="BP589" i="1"/>
  <c r="BW589" i="1" s="1"/>
  <c r="AW589" i="1"/>
  <c r="BD589" i="1" s="1"/>
  <c r="G589" i="14" s="1"/>
  <c r="AK601" i="1"/>
  <c r="AU598" i="1"/>
  <c r="BN598" i="1"/>
  <c r="AB598" i="1"/>
  <c r="AD592" i="1"/>
  <c r="AK592" i="1" s="1"/>
  <c r="BP592" i="1"/>
  <c r="BW592" i="1" s="1"/>
  <c r="H592" i="14" s="1"/>
  <c r="AW592" i="1"/>
  <c r="BD592" i="1" s="1"/>
  <c r="BX495" i="1"/>
  <c r="AK589" i="1"/>
  <c r="BN599" i="1"/>
  <c r="AB599" i="1"/>
  <c r="AU599" i="1"/>
  <c r="AW588" i="1"/>
  <c r="BD588" i="1" s="1"/>
  <c r="G588" i="14" s="1"/>
  <c r="BP588" i="1"/>
  <c r="AD588" i="1"/>
  <c r="AK588" i="1" s="1"/>
  <c r="BD590" i="1"/>
  <c r="G590" i="14" s="1"/>
  <c r="BW593" i="1"/>
  <c r="H593" i="14" s="1"/>
  <c r="BX595" i="1"/>
  <c r="BO599" i="1"/>
  <c r="AV599" i="1"/>
  <c r="AC599" i="1"/>
  <c r="BP594" i="1"/>
  <c r="AD594" i="1"/>
  <c r="AW594" i="1"/>
  <c r="BD594" i="1" s="1"/>
  <c r="G594" i="14" s="1"/>
  <c r="AK590" i="1"/>
  <c r="BW594" i="1"/>
  <c r="AC598" i="1"/>
  <c r="AV598" i="1"/>
  <c r="BO598" i="1"/>
  <c r="AD492" i="1"/>
  <c r="AK492" i="1" s="1"/>
  <c r="AW492" i="1"/>
  <c r="BD492" i="1" s="1"/>
  <c r="G492" i="14" s="1"/>
  <c r="BP492" i="1"/>
  <c r="BW492" i="1" s="1"/>
  <c r="AK594" i="1"/>
  <c r="AC603" i="1"/>
  <c r="AV603" i="1"/>
  <c r="BO603" i="1"/>
  <c r="BP496" i="1"/>
  <c r="AW496" i="1"/>
  <c r="AD496" i="1"/>
  <c r="BW588" i="1"/>
  <c r="H588" i="14" s="1"/>
  <c r="BD587" i="1"/>
  <c r="G587" i="14" s="1"/>
  <c r="AK586" i="1"/>
  <c r="F586" i="14" s="1"/>
  <c r="BO496" i="1"/>
  <c r="AC496" i="1"/>
  <c r="AV496" i="1"/>
  <c r="BP600" i="1"/>
  <c r="BW600" i="1" s="1"/>
  <c r="H600" i="14" s="1"/>
  <c r="AD600" i="1"/>
  <c r="AK600" i="1" s="1"/>
  <c r="AW600" i="1"/>
  <c r="BD600" i="1" s="1"/>
  <c r="AD597" i="1"/>
  <c r="AK597" i="1" s="1"/>
  <c r="BP597" i="1"/>
  <c r="BW597" i="1" s="1"/>
  <c r="AW597" i="1"/>
  <c r="BD597" i="1" s="1"/>
  <c r="G597" i="14" s="1"/>
  <c r="AK587" i="1"/>
  <c r="F587" i="14" s="1"/>
  <c r="BD586" i="1"/>
  <c r="G586" i="14" s="1"/>
  <c r="AW494" i="1"/>
  <c r="BD494" i="1" s="1"/>
  <c r="G494" i="14" s="1"/>
  <c r="BP494" i="1"/>
  <c r="BW494" i="1" s="1"/>
  <c r="AD494" i="1"/>
  <c r="AK494" i="1" s="1"/>
  <c r="AD599" i="1"/>
  <c r="AW599" i="1"/>
  <c r="BP599" i="1"/>
  <c r="BW587" i="1"/>
  <c r="BW586" i="1"/>
  <c r="G595" i="14"/>
  <c r="G596" i="14"/>
  <c r="H595" i="14"/>
  <c r="H596" i="14"/>
  <c r="H591" i="14"/>
  <c r="G601" i="14"/>
  <c r="F495" i="14"/>
  <c r="BQ608" i="2"/>
  <c r="Q607" i="1" s="1"/>
  <c r="AG607" i="1" s="1"/>
  <c r="BR608" i="2"/>
  <c r="R607" i="1" s="1"/>
  <c r="AH607" i="1" s="1"/>
  <c r="F595" i="14"/>
  <c r="F596" i="14"/>
  <c r="BQ607" i="2"/>
  <c r="Q606" i="1" s="1"/>
  <c r="BR607" i="2"/>
  <c r="R606" i="1" s="1"/>
  <c r="BN605" i="2"/>
  <c r="N604" i="1" s="1"/>
  <c r="G602" i="14"/>
  <c r="H602" i="14"/>
  <c r="AK598" i="1" l="1"/>
  <c r="BD496" i="1"/>
  <c r="G496" i="14" s="1"/>
  <c r="BD599" i="1"/>
  <c r="AK599" i="1"/>
  <c r="AK604" i="1"/>
  <c r="BW604" i="1"/>
  <c r="BX594" i="1"/>
  <c r="BX596" i="1"/>
  <c r="AK496" i="1"/>
  <c r="BX602" i="1"/>
  <c r="BY602" i="1" s="1"/>
  <c r="BW496" i="1"/>
  <c r="BX589" i="1"/>
  <c r="H589" i="14"/>
  <c r="BX592" i="1"/>
  <c r="G592" i="14"/>
  <c r="BX494" i="1"/>
  <c r="H494" i="14"/>
  <c r="BX492" i="1"/>
  <c r="H492" i="14"/>
  <c r="BX597" i="1"/>
  <c r="H597" i="14"/>
  <c r="BX600" i="1"/>
  <c r="BS607" i="1"/>
  <c r="AZ607" i="1"/>
  <c r="J602" i="14"/>
  <c r="I602" i="14"/>
  <c r="K602" i="14"/>
  <c r="L602" i="14"/>
  <c r="BX588" i="1"/>
  <c r="BX586" i="1"/>
  <c r="H586" i="14"/>
  <c r="BW599" i="1"/>
  <c r="BX599" i="1" s="1"/>
  <c r="BX587" i="1"/>
  <c r="H587" i="14"/>
  <c r="J595" i="14"/>
  <c r="BY595" i="1"/>
  <c r="I595" i="14"/>
  <c r="K595" i="14"/>
  <c r="L595" i="14"/>
  <c r="BX601" i="1"/>
  <c r="BX590" i="1"/>
  <c r="BW598" i="1"/>
  <c r="BD598" i="1"/>
  <c r="BX598" i="1" s="1"/>
  <c r="BW603" i="1"/>
  <c r="BD603" i="1"/>
  <c r="J594" i="14"/>
  <c r="K594" i="14"/>
  <c r="L594" i="14"/>
  <c r="BY594" i="1"/>
  <c r="I594" i="14"/>
  <c r="BX591" i="1"/>
  <c r="AK603" i="1"/>
  <c r="BX604" i="1"/>
  <c r="BT607" i="1"/>
  <c r="BA607" i="1"/>
  <c r="BY495" i="1"/>
  <c r="I495" i="14"/>
  <c r="J495" i="14"/>
  <c r="K495" i="14"/>
  <c r="L495" i="14"/>
  <c r="BX593" i="1"/>
  <c r="F592" i="14"/>
  <c r="F594" i="14"/>
  <c r="F600" i="14"/>
  <c r="H599" i="14"/>
  <c r="F494" i="14"/>
  <c r="H594" i="14"/>
  <c r="G600" i="14"/>
  <c r="F601" i="14"/>
  <c r="F589" i="14"/>
  <c r="F597" i="14"/>
  <c r="F588" i="14"/>
  <c r="F590" i="14"/>
  <c r="F492" i="14"/>
  <c r="F593" i="14"/>
  <c r="F591" i="14"/>
  <c r="H604" i="14"/>
  <c r="G604" i="14"/>
  <c r="H496" i="14"/>
  <c r="H603" i="14"/>
  <c r="G603" i="14"/>
  <c r="G599" i="14"/>
  <c r="F496" i="14"/>
  <c r="H598" i="14"/>
  <c r="BQ610" i="2"/>
  <c r="Q609" i="1" s="1"/>
  <c r="AG609" i="1" s="1"/>
  <c r="BR610" i="2"/>
  <c r="R609" i="1" s="1"/>
  <c r="AH609" i="1" s="1"/>
  <c r="F602" i="14"/>
  <c r="F603" i="14"/>
  <c r="F598" i="14"/>
  <c r="BQ609" i="2"/>
  <c r="Q608" i="1" s="1"/>
  <c r="BR609" i="2"/>
  <c r="R608" i="1" s="1"/>
  <c r="F599" i="14"/>
  <c r="F604" i="14"/>
  <c r="BX496" i="1" l="1"/>
  <c r="BY596" i="1"/>
  <c r="CJ596" i="1" s="1"/>
  <c r="I596" i="14"/>
  <c r="K596" i="14"/>
  <c r="L596" i="14"/>
  <c r="J596" i="14"/>
  <c r="I598" i="14"/>
  <c r="K598" i="14"/>
  <c r="L598" i="14"/>
  <c r="J598" i="14"/>
  <c r="BY598" i="1"/>
  <c r="BA609" i="1"/>
  <c r="BT609" i="1"/>
  <c r="BY604" i="1"/>
  <c r="I604" i="14"/>
  <c r="J604" i="14"/>
  <c r="K604" i="14"/>
  <c r="L604" i="14"/>
  <c r="L587" i="14"/>
  <c r="BY587" i="1"/>
  <c r="J587" i="14"/>
  <c r="K587" i="14"/>
  <c r="CJ602" i="1"/>
  <c r="BX603" i="1"/>
  <c r="BY494" i="1"/>
  <c r="I494" i="14"/>
  <c r="J494" i="14"/>
  <c r="K494" i="14"/>
  <c r="L494" i="14"/>
  <c r="AZ609" i="1"/>
  <c r="BS609" i="1"/>
  <c r="G598" i="14"/>
  <c r="J593" i="14"/>
  <c r="BY593" i="1"/>
  <c r="I593" i="14"/>
  <c r="K593" i="14"/>
  <c r="L593" i="14"/>
  <c r="J591" i="14"/>
  <c r="K591" i="14"/>
  <c r="I591" i="14"/>
  <c r="L591" i="14"/>
  <c r="BY591" i="1"/>
  <c r="J590" i="14"/>
  <c r="K590" i="14"/>
  <c r="BY590" i="1"/>
  <c r="I590" i="14"/>
  <c r="L590" i="14"/>
  <c r="I599" i="14"/>
  <c r="K599" i="14"/>
  <c r="L599" i="14"/>
  <c r="J599" i="14"/>
  <c r="BY599" i="1"/>
  <c r="CD594" i="1"/>
  <c r="BY601" i="1"/>
  <c r="I601" i="14"/>
  <c r="J601" i="14"/>
  <c r="K601" i="14"/>
  <c r="L601" i="14"/>
  <c r="CJ594" i="1"/>
  <c r="BY586" i="1"/>
  <c r="I586" i="14"/>
  <c r="J586" i="14"/>
  <c r="L586" i="14"/>
  <c r="K586" i="14"/>
  <c r="CD495" i="1"/>
  <c r="J600" i="14"/>
  <c r="K600" i="14"/>
  <c r="BY600" i="1"/>
  <c r="I600" i="14"/>
  <c r="L600" i="14"/>
  <c r="CJ495" i="1"/>
  <c r="CJ595" i="1"/>
  <c r="K588" i="14"/>
  <c r="L588" i="14"/>
  <c r="BY588" i="1"/>
  <c r="I588" i="14"/>
  <c r="J588" i="14"/>
  <c r="I597" i="14"/>
  <c r="L597" i="14"/>
  <c r="J597" i="14"/>
  <c r="K597" i="14"/>
  <c r="BY597" i="1"/>
  <c r="CD595" i="1"/>
  <c r="I592" i="14"/>
  <c r="J592" i="14"/>
  <c r="BY592" i="1"/>
  <c r="K592" i="14"/>
  <c r="L592" i="14"/>
  <c r="CD602" i="1"/>
  <c r="K492" i="14"/>
  <c r="BY492" i="1"/>
  <c r="I492" i="14"/>
  <c r="J492" i="14"/>
  <c r="L492" i="14"/>
  <c r="K589" i="14"/>
  <c r="I589" i="14"/>
  <c r="J589" i="14"/>
  <c r="L589" i="14"/>
  <c r="BY589" i="1"/>
  <c r="BR611" i="2"/>
  <c r="R610" i="1" s="1"/>
  <c r="BQ611" i="2"/>
  <c r="Q610" i="1" s="1"/>
  <c r="BR612" i="2"/>
  <c r="R611" i="1" s="1"/>
  <c r="BQ612" i="2"/>
  <c r="Q611" i="1" s="1"/>
  <c r="CD587" i="1" l="1"/>
  <c r="I587" i="14"/>
  <c r="BY496" i="1"/>
  <c r="CJ496" i="1" s="1"/>
  <c r="J496" i="14"/>
  <c r="K496" i="14"/>
  <c r="L496" i="14"/>
  <c r="I496" i="14"/>
  <c r="CD600" i="1"/>
  <c r="CD492" i="1"/>
  <c r="CD591" i="1"/>
  <c r="CD596" i="1"/>
  <c r="CD586" i="1"/>
  <c r="CD494" i="1"/>
  <c r="CJ586" i="1"/>
  <c r="CJ494" i="1"/>
  <c r="CJ492" i="1"/>
  <c r="CD599" i="1"/>
  <c r="CD604" i="1"/>
  <c r="CD597" i="1"/>
  <c r="CJ600" i="1"/>
  <c r="CD593" i="1"/>
  <c r="K603" i="14"/>
  <c r="L603" i="14"/>
  <c r="BY603" i="1"/>
  <c r="I603" i="14"/>
  <c r="J603" i="14"/>
  <c r="CJ604" i="1"/>
  <c r="CD588" i="1"/>
  <c r="CD590" i="1"/>
  <c r="CJ593" i="1"/>
  <c r="CJ589" i="1"/>
  <c r="CJ588" i="1"/>
  <c r="CJ590" i="1"/>
  <c r="CJ598" i="1"/>
  <c r="CD601" i="1"/>
  <c r="CJ592" i="1"/>
  <c r="CD589" i="1"/>
  <c r="CD592" i="1"/>
  <c r="CJ601" i="1"/>
  <c r="CJ591" i="1"/>
  <c r="CJ587" i="1"/>
  <c r="CJ597" i="1"/>
  <c r="CJ599" i="1"/>
  <c r="CD598" i="1"/>
  <c r="N589" i="14"/>
  <c r="BQ614" i="2"/>
  <c r="Q613" i="1" s="1"/>
  <c r="AG613" i="1" s="1"/>
  <c r="BR614" i="2"/>
  <c r="R613" i="1" s="1"/>
  <c r="AH613" i="1" s="1"/>
  <c r="N592" i="14"/>
  <c r="N594" i="14"/>
  <c r="N492" i="14"/>
  <c r="N591" i="14"/>
  <c r="N494" i="14"/>
  <c r="N587" i="14"/>
  <c r="N595" i="14"/>
  <c r="N596" i="14"/>
  <c r="N495" i="14"/>
  <c r="N600" i="14"/>
  <c r="N593" i="14"/>
  <c r="BQ613" i="2"/>
  <c r="Q612" i="1" s="1"/>
  <c r="BR613" i="2"/>
  <c r="R612" i="1" s="1"/>
  <c r="N496" i="14"/>
  <c r="N590" i="14"/>
  <c r="N601" i="14"/>
  <c r="N597" i="14"/>
  <c r="N586" i="14"/>
  <c r="N588" i="14"/>
  <c r="CD603" i="1" l="1"/>
  <c r="CD496" i="1"/>
  <c r="BT613" i="1"/>
  <c r="BA613" i="1"/>
  <c r="BS613" i="1"/>
  <c r="AZ613" i="1"/>
  <c r="CJ603" i="1"/>
  <c r="N602" i="14"/>
  <c r="N598" i="14"/>
  <c r="BQ616" i="2"/>
  <c r="Q615" i="1" s="1"/>
  <c r="BR616" i="2"/>
  <c r="R615" i="1" s="1"/>
  <c r="BQ615" i="2"/>
  <c r="Q614" i="1" s="1"/>
  <c r="AG614" i="1" s="1"/>
  <c r="BR615" i="2"/>
  <c r="R614" i="1" s="1"/>
  <c r="AH614" i="1" s="1"/>
  <c r="N604" i="14"/>
  <c r="N603" i="14"/>
  <c r="N599" i="14"/>
  <c r="AZ614" i="1" l="1"/>
  <c r="BS614" i="1"/>
  <c r="BT614" i="1"/>
  <c r="BA614" i="1"/>
  <c r="BR618" i="2"/>
  <c r="R617" i="1" s="1"/>
  <c r="BQ618" i="2"/>
  <c r="Q617" i="1" s="1"/>
  <c r="BQ617" i="2"/>
  <c r="Q616" i="1" s="1"/>
  <c r="AG616" i="1" s="1"/>
  <c r="BR617" i="2"/>
  <c r="R616" i="1" s="1"/>
  <c r="AH616" i="1" s="1"/>
  <c r="BS616" i="1" l="1"/>
  <c r="AZ616" i="1"/>
  <c r="BT616" i="1"/>
  <c r="BA616" i="1"/>
  <c r="BQ619" i="2"/>
  <c r="Q618" i="1" s="1"/>
  <c r="BR619" i="2"/>
  <c r="R618" i="1" s="1"/>
  <c r="BQ620" i="2"/>
  <c r="Q619" i="1" s="1"/>
  <c r="AG619" i="1" s="1"/>
  <c r="BR620" i="2"/>
  <c r="R619" i="1" s="1"/>
  <c r="AH619" i="1" s="1"/>
  <c r="AZ619" i="1" l="1"/>
  <c r="BS619" i="1"/>
  <c r="BT619" i="1"/>
  <c r="BA619" i="1"/>
  <c r="BQ621" i="2"/>
  <c r="Q620" i="1" s="1"/>
  <c r="AG620" i="1" s="1"/>
  <c r="BR621" i="2"/>
  <c r="R620" i="1" s="1"/>
  <c r="AH620" i="1" s="1"/>
  <c r="BQ622" i="2"/>
  <c r="Q621" i="1" s="1"/>
  <c r="AG621" i="1" s="1"/>
  <c r="BR622" i="2"/>
  <c r="R621" i="1" s="1"/>
  <c r="AH621" i="1" s="1"/>
  <c r="BA621" i="1" l="1"/>
  <c r="BT621" i="1"/>
  <c r="BT620" i="1"/>
  <c r="BA620" i="1"/>
  <c r="AZ621" i="1"/>
  <c r="BS621" i="1"/>
  <c r="AZ620" i="1"/>
  <c r="BS620" i="1"/>
  <c r="BP606" i="2"/>
  <c r="P605" i="1" s="1"/>
  <c r="BP609" i="2"/>
  <c r="P608" i="1" s="1"/>
  <c r="BP620" i="2"/>
  <c r="P619" i="1" s="1"/>
  <c r="BP619" i="2"/>
  <c r="P618" i="1" s="1"/>
  <c r="BO621" i="2"/>
  <c r="O620" i="1" s="1"/>
  <c r="BO617" i="2"/>
  <c r="O616" i="1" s="1"/>
  <c r="BO607" i="2"/>
  <c r="O606" i="1" s="1"/>
  <c r="BO609" i="2"/>
  <c r="O608" i="1" s="1"/>
  <c r="BN609" i="2"/>
  <c r="N608" i="1" s="1"/>
  <c r="BR623" i="2"/>
  <c r="R622" i="1" s="1"/>
  <c r="AH622" i="1" s="1"/>
  <c r="BN621" i="2"/>
  <c r="N620" i="1" s="1"/>
  <c r="BP618" i="2"/>
  <c r="P617" i="1" s="1"/>
  <c r="BQ623" i="2"/>
  <c r="Q622" i="1" s="1"/>
  <c r="AG622" i="1" s="1"/>
  <c r="BN614" i="2"/>
  <c r="N613" i="1" s="1"/>
  <c r="BN618" i="2"/>
  <c r="N617" i="1" s="1"/>
  <c r="BN613" i="2"/>
  <c r="N612" i="1" s="1"/>
  <c r="BN606" i="2"/>
  <c r="N605" i="1" s="1"/>
  <c r="BP618" i="1" l="1"/>
  <c r="AD618" i="1"/>
  <c r="AW618" i="1"/>
  <c r="BP619" i="1"/>
  <c r="AW619" i="1"/>
  <c r="AD619" i="1"/>
  <c r="AW608" i="1"/>
  <c r="AD608" i="1"/>
  <c r="BP608" i="1"/>
  <c r="AD605" i="1"/>
  <c r="AW605" i="1"/>
  <c r="BP605" i="1"/>
  <c r="AU617" i="1"/>
  <c r="BN617" i="1"/>
  <c r="AB617" i="1"/>
  <c r="AD617" i="1"/>
  <c r="BP617" i="1"/>
  <c r="AW617" i="1"/>
  <c r="AU620" i="1"/>
  <c r="AB620" i="1"/>
  <c r="BN620" i="1"/>
  <c r="BN612" i="1"/>
  <c r="AU612" i="1"/>
  <c r="AB612" i="1"/>
  <c r="AB613" i="1"/>
  <c r="BN613" i="1"/>
  <c r="AU613" i="1"/>
  <c r="BS622" i="1"/>
  <c r="AZ622" i="1"/>
  <c r="BT622" i="1"/>
  <c r="BA622" i="1"/>
  <c r="BN608" i="1"/>
  <c r="AB608" i="1"/>
  <c r="AU608" i="1"/>
  <c r="BD608" i="1" s="1"/>
  <c r="AC608" i="1"/>
  <c r="BO608" i="1"/>
  <c r="AV608" i="1"/>
  <c r="AC606" i="1"/>
  <c r="AV606" i="1"/>
  <c r="BO606" i="1"/>
  <c r="AV616" i="1"/>
  <c r="AC616" i="1"/>
  <c r="BO616" i="1"/>
  <c r="AV620" i="1"/>
  <c r="BO620" i="1"/>
  <c r="AC620" i="1"/>
  <c r="BP615" i="2"/>
  <c r="P614" i="1" s="1"/>
  <c r="BP611" i="2"/>
  <c r="P610" i="1" s="1"/>
  <c r="BP235" i="2"/>
  <c r="P234" i="1" s="1"/>
  <c r="BP368" i="2"/>
  <c r="P367" i="1" s="1"/>
  <c r="BP367" i="2"/>
  <c r="P366" i="1" s="1"/>
  <c r="BP366" i="2"/>
  <c r="P365" i="1" s="1"/>
  <c r="BP373" i="2"/>
  <c r="P372" i="1" s="1"/>
  <c r="BP283" i="2"/>
  <c r="P282" i="1" s="1"/>
  <c r="BP288" i="2"/>
  <c r="P287" i="1" s="1"/>
  <c r="BP238" i="2"/>
  <c r="P237" i="1" s="1"/>
  <c r="BP284" i="2"/>
  <c r="P283" i="1" s="1"/>
  <c r="BP285" i="2"/>
  <c r="P284" i="1" s="1"/>
  <c r="BP371" i="2"/>
  <c r="P370" i="1" s="1"/>
  <c r="BP369" i="2"/>
  <c r="P368" i="1" s="1"/>
  <c r="BP290" i="2"/>
  <c r="P289" i="1" s="1"/>
  <c r="BP236" i="2"/>
  <c r="P235" i="1" s="1"/>
  <c r="BP382" i="2"/>
  <c r="P381" i="1" s="1"/>
  <c r="BP503" i="2"/>
  <c r="P502" i="1" s="1"/>
  <c r="BP504" i="2"/>
  <c r="P503" i="1" s="1"/>
  <c r="BP505" i="2"/>
  <c r="P504" i="1" s="1"/>
  <c r="BP321" i="2"/>
  <c r="P320" i="1" s="1"/>
  <c r="BP608" i="2"/>
  <c r="P607" i="1" s="1"/>
  <c r="BP607" i="2"/>
  <c r="P606" i="1" s="1"/>
  <c r="BP506" i="2"/>
  <c r="P505" i="1" s="1"/>
  <c r="BP612" i="2"/>
  <c r="P611" i="1" s="1"/>
  <c r="BP323" i="2"/>
  <c r="P322" i="1" s="1"/>
  <c r="BP320" i="2"/>
  <c r="P319" i="1" s="1"/>
  <c r="BP322" i="2"/>
  <c r="P321" i="1" s="1"/>
  <c r="BP613" i="2"/>
  <c r="P612" i="1" s="1"/>
  <c r="BP610" i="2"/>
  <c r="P609" i="1" s="1"/>
  <c r="BP617" i="2"/>
  <c r="P616" i="1" s="1"/>
  <c r="BP621" i="2"/>
  <c r="P620" i="1" s="1"/>
  <c r="BP614" i="2"/>
  <c r="P613" i="1" s="1"/>
  <c r="BP622" i="2"/>
  <c r="P621" i="1" s="1"/>
  <c r="BP616" i="2"/>
  <c r="P615" i="1" s="1"/>
  <c r="BO16" i="2"/>
  <c r="O15" i="1" s="1"/>
  <c r="BO23" i="2"/>
  <c r="O22" i="1" s="1"/>
  <c r="BO14" i="2"/>
  <c r="O13" i="1" s="1"/>
  <c r="BO13" i="2"/>
  <c r="O12" i="1" s="1"/>
  <c r="BO26" i="2"/>
  <c r="O25" i="1" s="1"/>
  <c r="BO18" i="2"/>
  <c r="O17" i="1" s="1"/>
  <c r="BO17" i="2"/>
  <c r="O16" i="1" s="1"/>
  <c r="BO32" i="2"/>
  <c r="O31" i="1" s="1"/>
  <c r="BO33" i="2"/>
  <c r="O32" i="1" s="1"/>
  <c r="BO36" i="2"/>
  <c r="O35" i="1" s="1"/>
  <c r="BO37" i="2"/>
  <c r="O36" i="1" s="1"/>
  <c r="BO39" i="2"/>
  <c r="O38" i="1" s="1"/>
  <c r="BO58" i="2"/>
  <c r="O57" i="1" s="1"/>
  <c r="BO19" i="2"/>
  <c r="O18" i="1" s="1"/>
  <c r="BO27" i="2"/>
  <c r="O26" i="1" s="1"/>
  <c r="BO40" i="2"/>
  <c r="O39" i="1" s="1"/>
  <c r="BO59" i="2"/>
  <c r="O58" i="1" s="1"/>
  <c r="BO28" i="2"/>
  <c r="O27" i="1" s="1"/>
  <c r="BO20" i="2"/>
  <c r="O19" i="1" s="1"/>
  <c r="BO30" i="2"/>
  <c r="O29" i="1" s="1"/>
  <c r="BO21" i="2"/>
  <c r="O20" i="1" s="1"/>
  <c r="BO6" i="2"/>
  <c r="O5" i="1" s="1"/>
  <c r="BO3" i="2"/>
  <c r="O2" i="1" s="1"/>
  <c r="BO22" i="2"/>
  <c r="O21" i="1" s="1"/>
  <c r="BO47" i="2"/>
  <c r="O46" i="1" s="1"/>
  <c r="BO49" i="2"/>
  <c r="O48" i="1" s="1"/>
  <c r="BO64" i="2"/>
  <c r="O63" i="1" s="1"/>
  <c r="BO9" i="2"/>
  <c r="O8" i="1" s="1"/>
  <c r="BO12" i="2"/>
  <c r="O11" i="1" s="1"/>
  <c r="BO51" i="2"/>
  <c r="O50" i="1" s="1"/>
  <c r="BO50" i="2"/>
  <c r="O49" i="1" s="1"/>
  <c r="BO52" i="2"/>
  <c r="O51" i="1" s="1"/>
  <c r="BO67" i="2"/>
  <c r="O66" i="1" s="1"/>
  <c r="BO68" i="2"/>
  <c r="O67" i="1" s="1"/>
  <c r="BO66" i="2"/>
  <c r="O65" i="1" s="1"/>
  <c r="BO11" i="2"/>
  <c r="O10" i="1" s="1"/>
  <c r="BO4" i="2"/>
  <c r="O3" i="1" s="1"/>
  <c r="BO15" i="2"/>
  <c r="O14" i="1" s="1"/>
  <c r="BO24" i="2"/>
  <c r="O23" i="1" s="1"/>
  <c r="BO69" i="2"/>
  <c r="O68" i="1" s="1"/>
  <c r="BO53" i="2"/>
  <c r="O52" i="1" s="1"/>
  <c r="BO54" i="2"/>
  <c r="O53" i="1" s="1"/>
  <c r="BO35" i="2"/>
  <c r="O34" i="1" s="1"/>
  <c r="BO38" i="2"/>
  <c r="O37" i="1" s="1"/>
  <c r="BO61" i="2"/>
  <c r="O60" i="1" s="1"/>
  <c r="BO42" i="2"/>
  <c r="O41" i="1" s="1"/>
  <c r="BO43" i="2"/>
  <c r="O42" i="1" s="1"/>
  <c r="BO60" i="2"/>
  <c r="O59" i="1" s="1"/>
  <c r="BO104" i="2"/>
  <c r="O103" i="1" s="1"/>
  <c r="BO41" i="2"/>
  <c r="O40" i="1" s="1"/>
  <c r="BO80" i="2"/>
  <c r="O79" i="1" s="1"/>
  <c r="BO29" i="2"/>
  <c r="O28" i="1" s="1"/>
  <c r="BO45" i="2"/>
  <c r="O44" i="1" s="1"/>
  <c r="BO46" i="2"/>
  <c r="O45" i="1" s="1"/>
  <c r="BO84" i="2"/>
  <c r="O83" i="1" s="1"/>
  <c r="BO48" i="2"/>
  <c r="O47" i="1" s="1"/>
  <c r="BO57" i="2"/>
  <c r="O56" i="1" s="1"/>
  <c r="BO56" i="2"/>
  <c r="O55" i="1" s="1"/>
  <c r="BO94" i="2"/>
  <c r="O93" i="1" s="1"/>
  <c r="BO55" i="2"/>
  <c r="O54" i="1" s="1"/>
  <c r="BO73" i="2"/>
  <c r="O72" i="1" s="1"/>
  <c r="BO74" i="2"/>
  <c r="O73" i="1" s="1"/>
  <c r="BO72" i="2"/>
  <c r="O71" i="1" s="1"/>
  <c r="BO146" i="2"/>
  <c r="O145" i="1" s="1"/>
  <c r="BO77" i="2"/>
  <c r="O76" i="1" s="1"/>
  <c r="BO78" i="2"/>
  <c r="O77" i="1" s="1"/>
  <c r="BO623" i="2"/>
  <c r="O622" i="1" s="1"/>
  <c r="BO62" i="2"/>
  <c r="O61" i="1" s="1"/>
  <c r="BO44" i="2"/>
  <c r="O43" i="1" s="1"/>
  <c r="BO81" i="2"/>
  <c r="O80" i="1" s="1"/>
  <c r="BO65" i="2"/>
  <c r="O64" i="1" s="1"/>
  <c r="BO91" i="2"/>
  <c r="O90" i="1" s="1"/>
  <c r="BO140" i="2"/>
  <c r="O139" i="1" s="1"/>
  <c r="BO141" i="2"/>
  <c r="O140" i="1" s="1"/>
  <c r="BO142" i="2"/>
  <c r="O141" i="1" s="1"/>
  <c r="BO71" i="2"/>
  <c r="O70" i="1" s="1"/>
  <c r="BO144" i="2"/>
  <c r="O143" i="1" s="1"/>
  <c r="BO143" i="2"/>
  <c r="O142" i="1" s="1"/>
  <c r="BO177" i="2"/>
  <c r="O176" i="1" s="1"/>
  <c r="BO185" i="2"/>
  <c r="O184" i="1" s="1"/>
  <c r="BO189" i="2"/>
  <c r="O188" i="1" s="1"/>
  <c r="BO138" i="2"/>
  <c r="O137" i="1" s="1"/>
  <c r="BO192" i="2"/>
  <c r="O191" i="1" s="1"/>
  <c r="BO194" i="2"/>
  <c r="O193" i="1" s="1"/>
  <c r="BO70" i="2"/>
  <c r="O69" i="1" s="1"/>
  <c r="BO139" i="2"/>
  <c r="O138" i="1" s="1"/>
  <c r="BO92" i="2"/>
  <c r="O91" i="1" s="1"/>
  <c r="BO178" i="2"/>
  <c r="O177" i="1" s="1"/>
  <c r="BO231" i="2"/>
  <c r="O230" i="1" s="1"/>
  <c r="BO233" i="2"/>
  <c r="O232" i="1" s="1"/>
  <c r="BO234" i="2"/>
  <c r="O233" i="1" s="1"/>
  <c r="BO232" i="2"/>
  <c r="O231" i="1" s="1"/>
  <c r="BO271" i="2"/>
  <c r="O270" i="1" s="1"/>
  <c r="BO269" i="2"/>
  <c r="O268" i="1" s="1"/>
  <c r="BO272" i="2"/>
  <c r="O271" i="1" s="1"/>
  <c r="BO267" i="2"/>
  <c r="O266" i="1" s="1"/>
  <c r="BO334" i="2"/>
  <c r="O333" i="1" s="1"/>
  <c r="BO268" i="2"/>
  <c r="O267" i="1" s="1"/>
  <c r="BO332" i="2"/>
  <c r="O331" i="1" s="1"/>
  <c r="BO274" i="2"/>
  <c r="O273" i="1" s="1"/>
  <c r="BO276" i="2"/>
  <c r="O275" i="1" s="1"/>
  <c r="BO275" i="2"/>
  <c r="O274" i="1" s="1"/>
  <c r="BO273" i="2"/>
  <c r="O272" i="1" s="1"/>
  <c r="BO235" i="2"/>
  <c r="O234" i="1" s="1"/>
  <c r="BO285" i="2"/>
  <c r="O284" i="1" s="1"/>
  <c r="BO286" i="2"/>
  <c r="O285" i="1" s="1"/>
  <c r="BO284" i="2"/>
  <c r="O283" i="1" s="1"/>
  <c r="BO287" i="2"/>
  <c r="O286" i="1" s="1"/>
  <c r="BO366" i="2"/>
  <c r="O365" i="1" s="1"/>
  <c r="BO283" i="2"/>
  <c r="O282" i="1" s="1"/>
  <c r="BO367" i="2"/>
  <c r="O366" i="1" s="1"/>
  <c r="BO179" i="2"/>
  <c r="O178" i="1" s="1"/>
  <c r="BO238" i="2"/>
  <c r="O237" i="1" s="1"/>
  <c r="BO288" i="2"/>
  <c r="O287" i="1" s="1"/>
  <c r="BO236" i="2"/>
  <c r="O235" i="1" s="1"/>
  <c r="BO290" i="2"/>
  <c r="O289" i="1" s="1"/>
  <c r="BO292" i="2"/>
  <c r="O291" i="1" s="1"/>
  <c r="BO237" i="2"/>
  <c r="O236" i="1" s="1"/>
  <c r="BO186" i="2"/>
  <c r="O185" i="1" s="1"/>
  <c r="BO240" i="2"/>
  <c r="O239" i="1" s="1"/>
  <c r="BO241" i="2"/>
  <c r="O240" i="1" s="1"/>
  <c r="BO300" i="2"/>
  <c r="O299" i="1" s="1"/>
  <c r="BO406" i="2"/>
  <c r="O405" i="1" s="1"/>
  <c r="BO187" i="2"/>
  <c r="O186" i="1" s="1"/>
  <c r="BO302" i="2"/>
  <c r="O301" i="1" s="1"/>
  <c r="BO25" i="2"/>
  <c r="O24" i="1" s="1"/>
  <c r="BO188" i="2"/>
  <c r="O187" i="1" s="1"/>
  <c r="BO242" i="2"/>
  <c r="O241" i="1" s="1"/>
  <c r="BO190" i="2"/>
  <c r="O189" i="1" s="1"/>
  <c r="BO243" i="2"/>
  <c r="O242" i="1" s="1"/>
  <c r="BO312" i="2"/>
  <c r="O311" i="1" s="1"/>
  <c r="BO315" i="2"/>
  <c r="O314" i="1" s="1"/>
  <c r="BO278" i="2"/>
  <c r="O277" i="1" s="1"/>
  <c r="BO277" i="2"/>
  <c r="O276" i="1" s="1"/>
  <c r="BO358" i="2"/>
  <c r="O357" i="1" s="1"/>
  <c r="BO360" i="2"/>
  <c r="O359" i="1" s="1"/>
  <c r="BO356" i="2"/>
  <c r="O355" i="1" s="1"/>
  <c r="BO361" i="2"/>
  <c r="O360" i="1" s="1"/>
  <c r="BO279" i="2"/>
  <c r="O278" i="1" s="1"/>
  <c r="BO282" i="2"/>
  <c r="O281" i="1" s="1"/>
  <c r="BO359" i="2"/>
  <c r="O358" i="1" s="1"/>
  <c r="BO354" i="2"/>
  <c r="O353" i="1" s="1"/>
  <c r="BO355" i="2"/>
  <c r="O354" i="1" s="1"/>
  <c r="BO280" i="2"/>
  <c r="O279" i="1" s="1"/>
  <c r="BO357" i="2"/>
  <c r="O356" i="1" s="1"/>
  <c r="BO365" i="2"/>
  <c r="O364" i="1" s="1"/>
  <c r="BO369" i="2"/>
  <c r="O368" i="1" s="1"/>
  <c r="BO372" i="2"/>
  <c r="O371" i="1" s="1"/>
  <c r="BO368" i="2"/>
  <c r="O367" i="1" s="1"/>
  <c r="BO373" i="2"/>
  <c r="O372" i="1" s="1"/>
  <c r="BO289" i="2"/>
  <c r="O288" i="1" s="1"/>
  <c r="BO382" i="2"/>
  <c r="O381" i="1" s="1"/>
  <c r="BO291" i="2"/>
  <c r="O290" i="1" s="1"/>
  <c r="BO384" i="2"/>
  <c r="O383" i="1" s="1"/>
  <c r="BO392" i="2"/>
  <c r="O391" i="1" s="1"/>
  <c r="BO303" i="2"/>
  <c r="O302" i="1" s="1"/>
  <c r="BO305" i="2"/>
  <c r="O304" i="1" s="1"/>
  <c r="BO446" i="2"/>
  <c r="O445" i="1" s="1"/>
  <c r="BO465" i="2"/>
  <c r="O464" i="1" s="1"/>
  <c r="BO464" i="2"/>
  <c r="O463" i="1" s="1"/>
  <c r="BO466" i="2"/>
  <c r="O465" i="1" s="1"/>
  <c r="BO471" i="2"/>
  <c r="O470" i="1" s="1"/>
  <c r="BO467" i="2"/>
  <c r="O466" i="1" s="1"/>
  <c r="BO468" i="2"/>
  <c r="O467" i="1" s="1"/>
  <c r="BO470" i="2"/>
  <c r="O469" i="1" s="1"/>
  <c r="BO469" i="2"/>
  <c r="O468" i="1" s="1"/>
  <c r="BO569" i="2"/>
  <c r="O568" i="1" s="1"/>
  <c r="BO570" i="2"/>
  <c r="O569" i="1" s="1"/>
  <c r="BO490" i="2"/>
  <c r="O489" i="1" s="1"/>
  <c r="BO491" i="2"/>
  <c r="O490" i="1" s="1"/>
  <c r="BO492" i="2"/>
  <c r="O491" i="1" s="1"/>
  <c r="BO494" i="2"/>
  <c r="O493" i="1" s="1"/>
  <c r="BO320" i="2"/>
  <c r="O319" i="1" s="1"/>
  <c r="BO504" i="2"/>
  <c r="O503" i="1" s="1"/>
  <c r="BO503" i="2"/>
  <c r="O502" i="1" s="1"/>
  <c r="BO321" i="2"/>
  <c r="O320" i="1" s="1"/>
  <c r="BO506" i="2"/>
  <c r="O505" i="1" s="1"/>
  <c r="BO505" i="2"/>
  <c r="O504" i="1" s="1"/>
  <c r="BO322" i="2"/>
  <c r="O321" i="1" s="1"/>
  <c r="BO606" i="2"/>
  <c r="O605" i="1" s="1"/>
  <c r="BO620" i="2"/>
  <c r="O619" i="1" s="1"/>
  <c r="BO615" i="2"/>
  <c r="O614" i="1" s="1"/>
  <c r="BO612" i="2"/>
  <c r="O611" i="1" s="1"/>
  <c r="BO611" i="2"/>
  <c r="O610" i="1" s="1"/>
  <c r="BO616" i="2"/>
  <c r="O615" i="1" s="1"/>
  <c r="BO619" i="2"/>
  <c r="O618" i="1" s="1"/>
  <c r="BN321" i="2"/>
  <c r="N320" i="1" s="1"/>
  <c r="BO323" i="2"/>
  <c r="O322" i="1" s="1"/>
  <c r="BO618" i="2"/>
  <c r="O617" i="1" s="1"/>
  <c r="BO610" i="2"/>
  <c r="O609" i="1" s="1"/>
  <c r="BO608" i="2"/>
  <c r="O607" i="1" s="1"/>
  <c r="BO622" i="2"/>
  <c r="O621" i="1" s="1"/>
  <c r="BP16" i="2"/>
  <c r="P15" i="1" s="1"/>
  <c r="BP14" i="2"/>
  <c r="P13" i="1" s="1"/>
  <c r="BP13" i="2"/>
  <c r="P12" i="1" s="1"/>
  <c r="BP23" i="2"/>
  <c r="P22" i="1" s="1"/>
  <c r="BP18" i="2"/>
  <c r="P17" i="1" s="1"/>
  <c r="BP26" i="2"/>
  <c r="P25" i="1" s="1"/>
  <c r="BP9" i="2"/>
  <c r="P8" i="1" s="1"/>
  <c r="BP12" i="2"/>
  <c r="P11" i="1" s="1"/>
  <c r="BP17" i="2"/>
  <c r="P16" i="1" s="1"/>
  <c r="BP32" i="2"/>
  <c r="P31" i="1" s="1"/>
  <c r="BP11" i="2"/>
  <c r="P10" i="1" s="1"/>
  <c r="BP4" i="2"/>
  <c r="P3" i="1" s="1"/>
  <c r="BP33" i="2"/>
  <c r="P32" i="1" s="1"/>
  <c r="BP37" i="2"/>
  <c r="P36" i="1" s="1"/>
  <c r="BP36" i="2"/>
  <c r="P35" i="1" s="1"/>
  <c r="BP38" i="2"/>
  <c r="P37" i="1" s="1"/>
  <c r="BP39" i="2"/>
  <c r="P38" i="1" s="1"/>
  <c r="BP58" i="2"/>
  <c r="P57" i="1" s="1"/>
  <c r="BP7" i="2"/>
  <c r="P6" i="1" s="1"/>
  <c r="BP10" i="2"/>
  <c r="P9" i="1" s="1"/>
  <c r="BP19" i="2"/>
  <c r="P18" i="1" s="1"/>
  <c r="BP27" i="2"/>
  <c r="P26" i="1" s="1"/>
  <c r="BP40" i="2"/>
  <c r="P39" i="1" s="1"/>
  <c r="BP59" i="2"/>
  <c r="P58" i="1" s="1"/>
  <c r="BP28" i="2"/>
  <c r="P27" i="1" s="1"/>
  <c r="BP30" i="2"/>
  <c r="P29" i="1" s="1"/>
  <c r="BP20" i="2"/>
  <c r="P19" i="1" s="1"/>
  <c r="BP29" i="2"/>
  <c r="P28" i="1" s="1"/>
  <c r="BP3" i="2"/>
  <c r="P2" i="1" s="1"/>
  <c r="BP21" i="2"/>
  <c r="P20" i="1" s="1"/>
  <c r="BP6" i="2"/>
  <c r="P5" i="1" s="1"/>
  <c r="BP47" i="2"/>
  <c r="P46" i="1" s="1"/>
  <c r="BP64" i="2"/>
  <c r="P63" i="1" s="1"/>
  <c r="BP22" i="2"/>
  <c r="P21" i="1" s="1"/>
  <c r="BP49" i="2"/>
  <c r="P48" i="1" s="1"/>
  <c r="BP52" i="2"/>
  <c r="P51" i="1" s="1"/>
  <c r="BP51" i="2"/>
  <c r="P50" i="1" s="1"/>
  <c r="BP50" i="2"/>
  <c r="P49" i="1" s="1"/>
  <c r="BP15" i="2"/>
  <c r="P14" i="1" s="1"/>
  <c r="BP69" i="2"/>
  <c r="P68" i="1" s="1"/>
  <c r="BP24" i="2"/>
  <c r="P23" i="1" s="1"/>
  <c r="BP35" i="2"/>
  <c r="P34" i="1" s="1"/>
  <c r="BP54" i="2"/>
  <c r="P53" i="1" s="1"/>
  <c r="BP53" i="2"/>
  <c r="P52" i="1" s="1"/>
  <c r="BP42" i="2"/>
  <c r="P41" i="1" s="1"/>
  <c r="BP43" i="2"/>
  <c r="P42" i="1" s="1"/>
  <c r="BP60" i="2"/>
  <c r="P59" i="1" s="1"/>
  <c r="BP61" i="2"/>
  <c r="P60" i="1" s="1"/>
  <c r="BP104" i="2"/>
  <c r="P103" i="1" s="1"/>
  <c r="BP41" i="2"/>
  <c r="P40" i="1" s="1"/>
  <c r="BP46" i="2"/>
  <c r="P45" i="1" s="1"/>
  <c r="BP45" i="2"/>
  <c r="P44" i="1" s="1"/>
  <c r="BP48" i="2"/>
  <c r="P47" i="1" s="1"/>
  <c r="BP57" i="2"/>
  <c r="P56" i="1" s="1"/>
  <c r="BP56" i="2"/>
  <c r="P55" i="1" s="1"/>
  <c r="BP55" i="2"/>
  <c r="P54" i="1" s="1"/>
  <c r="BP73" i="2"/>
  <c r="P72" i="1" s="1"/>
  <c r="BP74" i="2"/>
  <c r="P73" i="1" s="1"/>
  <c r="BP72" i="2"/>
  <c r="P71" i="1" s="1"/>
  <c r="BP5" i="2"/>
  <c r="P4" i="1" s="1"/>
  <c r="BP8" i="2"/>
  <c r="P7" i="1" s="1"/>
  <c r="BP78" i="2"/>
  <c r="P77" i="1" s="1"/>
  <c r="BP77" i="2"/>
  <c r="P76" i="1" s="1"/>
  <c r="BP623" i="2"/>
  <c r="P622" i="1" s="1"/>
  <c r="BP81" i="2"/>
  <c r="P80" i="1" s="1"/>
  <c r="BP62" i="2"/>
  <c r="P61" i="1" s="1"/>
  <c r="BP44" i="2"/>
  <c r="P43" i="1" s="1"/>
  <c r="BP65" i="2"/>
  <c r="P64" i="1" s="1"/>
  <c r="BP177" i="2"/>
  <c r="P176" i="1" s="1"/>
  <c r="BP91" i="2"/>
  <c r="P90" i="1" s="1"/>
  <c r="BP140" i="2"/>
  <c r="P139" i="1" s="1"/>
  <c r="BP142" i="2"/>
  <c r="P141" i="1" s="1"/>
  <c r="BP141" i="2"/>
  <c r="P140" i="1" s="1"/>
  <c r="BP192" i="2"/>
  <c r="P191" i="1" s="1"/>
  <c r="BP194" i="2"/>
  <c r="P193" i="1" s="1"/>
  <c r="BP70" i="2"/>
  <c r="P69" i="1" s="1"/>
  <c r="BP71" i="2"/>
  <c r="P70" i="1" s="1"/>
  <c r="BP94" i="2"/>
  <c r="P93" i="1" s="1"/>
  <c r="BP144" i="2"/>
  <c r="P143" i="1" s="1"/>
  <c r="BP143" i="2"/>
  <c r="P142" i="1" s="1"/>
  <c r="BP93" i="2"/>
  <c r="P92" i="1" s="1"/>
  <c r="BP196" i="2"/>
  <c r="P195" i="1" s="1"/>
  <c r="BP178" i="2"/>
  <c r="P177" i="1" s="1"/>
  <c r="BP185" i="2"/>
  <c r="P184" i="1" s="1"/>
  <c r="BP188" i="2"/>
  <c r="P187" i="1" s="1"/>
  <c r="BP138" i="2"/>
  <c r="P137" i="1" s="1"/>
  <c r="BP189" i="2"/>
  <c r="P188" i="1" s="1"/>
  <c r="BP139" i="2"/>
  <c r="P138" i="1" s="1"/>
  <c r="BP193" i="2"/>
  <c r="P192" i="1" s="1"/>
  <c r="BP191" i="2"/>
  <c r="P190" i="1" s="1"/>
  <c r="BP92" i="2"/>
  <c r="P91" i="1" s="1"/>
  <c r="BP358" i="2"/>
  <c r="P357" i="1" s="1"/>
  <c r="BP278" i="2"/>
  <c r="P277" i="1" s="1"/>
  <c r="BP277" i="2"/>
  <c r="P276" i="1" s="1"/>
  <c r="BP187" i="2"/>
  <c r="P186" i="1" s="1"/>
  <c r="BP302" i="2"/>
  <c r="P301" i="1" s="1"/>
  <c r="BP25" i="2"/>
  <c r="P24" i="1" s="1"/>
  <c r="BP242" i="2"/>
  <c r="P241" i="1" s="1"/>
  <c r="BP190" i="2"/>
  <c r="P189" i="1" s="1"/>
  <c r="BP243" i="2"/>
  <c r="P242" i="1" s="1"/>
  <c r="BP312" i="2"/>
  <c r="P311" i="1" s="1"/>
  <c r="BP244" i="2"/>
  <c r="P243" i="1" s="1"/>
  <c r="BP314" i="2"/>
  <c r="P313" i="1" s="1"/>
  <c r="BP279" i="2"/>
  <c r="P278" i="1" s="1"/>
  <c r="BP354" i="2"/>
  <c r="P353" i="1" s="1"/>
  <c r="BP357" i="2"/>
  <c r="P356" i="1" s="1"/>
  <c r="BP355" i="2"/>
  <c r="P354" i="1" s="1"/>
  <c r="BP282" i="2"/>
  <c r="P281" i="1" s="1"/>
  <c r="BP280" i="2"/>
  <c r="P279" i="1" s="1"/>
  <c r="BP356" i="2"/>
  <c r="P355" i="1" s="1"/>
  <c r="BN16" i="2"/>
  <c r="N15" i="1" s="1"/>
  <c r="BN38" i="2"/>
  <c r="N37" i="1" s="1"/>
  <c r="BN26" i="2"/>
  <c r="N25" i="1" s="1"/>
  <c r="BN13" i="2"/>
  <c r="N12" i="1" s="1"/>
  <c r="BN23" i="2"/>
  <c r="N22" i="1" s="1"/>
  <c r="BN14" i="2"/>
  <c r="N13" i="1" s="1"/>
  <c r="BN55" i="2"/>
  <c r="N54" i="1" s="1"/>
  <c r="BN18" i="2"/>
  <c r="N17" i="1" s="1"/>
  <c r="BN10" i="2"/>
  <c r="N9" i="1" s="1"/>
  <c r="BN59" i="2"/>
  <c r="N58" i="1" s="1"/>
  <c r="BN20" i="2"/>
  <c r="N19" i="1" s="1"/>
  <c r="BN29" i="2"/>
  <c r="N28" i="1" s="1"/>
  <c r="BN17" i="2"/>
  <c r="N16" i="1" s="1"/>
  <c r="BN32" i="2"/>
  <c r="N31" i="1" s="1"/>
  <c r="BN9" i="2"/>
  <c r="N8" i="1" s="1"/>
  <c r="BN3" i="2"/>
  <c r="N2" i="1" s="1"/>
  <c r="BN22" i="2"/>
  <c r="N21" i="1" s="1"/>
  <c r="BN12" i="2"/>
  <c r="N11" i="1" s="1"/>
  <c r="BN82" i="2"/>
  <c r="N81" i="1" s="1"/>
  <c r="BN6" i="2"/>
  <c r="N5" i="1" s="1"/>
  <c r="BN21" i="2"/>
  <c r="N20" i="1" s="1"/>
  <c r="BN33" i="2"/>
  <c r="N32" i="1" s="1"/>
  <c r="BN51" i="2"/>
  <c r="N50" i="1" s="1"/>
  <c r="BN11" i="2"/>
  <c r="N10" i="1" s="1"/>
  <c r="BN4" i="2"/>
  <c r="N3" i="1" s="1"/>
  <c r="BN15" i="2"/>
  <c r="N14" i="1" s="1"/>
  <c r="BN24" i="2"/>
  <c r="N23" i="1" s="1"/>
  <c r="BN39" i="2"/>
  <c r="N38" i="1" s="1"/>
  <c r="BN58" i="2"/>
  <c r="N57" i="1" s="1"/>
  <c r="BN28" i="2"/>
  <c r="N27" i="1" s="1"/>
  <c r="BN60" i="2"/>
  <c r="N59" i="1" s="1"/>
  <c r="BN61" i="2"/>
  <c r="N60" i="1" s="1"/>
  <c r="BN41" i="2"/>
  <c r="N40" i="1" s="1"/>
  <c r="BN42" i="2"/>
  <c r="N41" i="1" s="1"/>
  <c r="BN43" i="2"/>
  <c r="N42" i="1" s="1"/>
  <c r="BN30" i="2"/>
  <c r="N29" i="1" s="1"/>
  <c r="BN44" i="2"/>
  <c r="N43" i="1" s="1"/>
  <c r="BN48" i="2"/>
  <c r="N47" i="1" s="1"/>
  <c r="BN49" i="2"/>
  <c r="N48" i="1" s="1"/>
  <c r="BN37" i="2"/>
  <c r="N36" i="1" s="1"/>
  <c r="BN36" i="2"/>
  <c r="N35" i="1" s="1"/>
  <c r="BN72" i="2"/>
  <c r="N71" i="1" s="1"/>
  <c r="BN19" i="2"/>
  <c r="N18" i="1" s="1"/>
  <c r="BN27" i="2"/>
  <c r="N26" i="1" s="1"/>
  <c r="BN40" i="2"/>
  <c r="N39" i="1" s="1"/>
  <c r="BN80" i="2"/>
  <c r="N79" i="1" s="1"/>
  <c r="BN79" i="2"/>
  <c r="N78" i="1" s="1"/>
  <c r="BN623" i="2"/>
  <c r="N622" i="1" s="1"/>
  <c r="BN46" i="2"/>
  <c r="N45" i="1" s="1"/>
  <c r="BN45" i="2"/>
  <c r="N44" i="1" s="1"/>
  <c r="BN65" i="2"/>
  <c r="N64" i="1" s="1"/>
  <c r="BN56" i="2"/>
  <c r="N55" i="1" s="1"/>
  <c r="BN57" i="2"/>
  <c r="N56" i="1" s="1"/>
  <c r="BN71" i="2"/>
  <c r="N70" i="1" s="1"/>
  <c r="BN91" i="2"/>
  <c r="N90" i="1" s="1"/>
  <c r="BN138" i="2"/>
  <c r="N137" i="1" s="1"/>
  <c r="BN70" i="2"/>
  <c r="N69" i="1" s="1"/>
  <c r="BN92" i="2"/>
  <c r="N91" i="1" s="1"/>
  <c r="BN140" i="2"/>
  <c r="N139" i="1" s="1"/>
  <c r="BN139" i="2"/>
  <c r="N138" i="1" s="1"/>
  <c r="BN141" i="2"/>
  <c r="N140" i="1" s="1"/>
  <c r="BN142" i="2"/>
  <c r="N141" i="1" s="1"/>
  <c r="BN178" i="2"/>
  <c r="N177" i="1" s="1"/>
  <c r="BN177" i="2"/>
  <c r="N176" i="1" s="1"/>
  <c r="BN233" i="2"/>
  <c r="N232" i="1" s="1"/>
  <c r="BN231" i="2"/>
  <c r="N230" i="1" s="1"/>
  <c r="BN234" i="2"/>
  <c r="N233" i="1" s="1"/>
  <c r="BN232" i="2"/>
  <c r="N231" i="1" s="1"/>
  <c r="BN270" i="2"/>
  <c r="N269" i="1" s="1"/>
  <c r="BN269" i="2"/>
  <c r="N268" i="1" s="1"/>
  <c r="BN268" i="2"/>
  <c r="N267" i="1" s="1"/>
  <c r="BN267" i="2"/>
  <c r="N266" i="1" s="1"/>
  <c r="BN272" i="2"/>
  <c r="N271" i="1" s="1"/>
  <c r="BN271" i="2"/>
  <c r="N270" i="1" s="1"/>
  <c r="BN235" i="2"/>
  <c r="N234" i="1" s="1"/>
  <c r="BN284" i="2"/>
  <c r="N283" i="1" s="1"/>
  <c r="BN285" i="2"/>
  <c r="N284" i="1" s="1"/>
  <c r="BN287" i="2"/>
  <c r="N286" i="1" s="1"/>
  <c r="BN286" i="2"/>
  <c r="N285" i="1" s="1"/>
  <c r="BN283" i="2"/>
  <c r="N282" i="1" s="1"/>
  <c r="BN179" i="2"/>
  <c r="N178" i="1" s="1"/>
  <c r="BN236" i="2"/>
  <c r="N235" i="1" s="1"/>
  <c r="BN237" i="2"/>
  <c r="N236" i="1" s="1"/>
  <c r="BN185" i="2"/>
  <c r="N184" i="1" s="1"/>
  <c r="BN239" i="2"/>
  <c r="N238" i="1" s="1"/>
  <c r="BN241" i="2"/>
  <c r="N240" i="1" s="1"/>
  <c r="BN186" i="2"/>
  <c r="N185" i="1" s="1"/>
  <c r="BN240" i="2"/>
  <c r="N239" i="1" s="1"/>
  <c r="BN187" i="2"/>
  <c r="N186" i="1" s="1"/>
  <c r="BN25" i="2"/>
  <c r="N24" i="1" s="1"/>
  <c r="BN188" i="2"/>
  <c r="N187" i="1" s="1"/>
  <c r="BN189" i="2"/>
  <c r="N188" i="1" s="1"/>
  <c r="BN306" i="2"/>
  <c r="N305" i="1" s="1"/>
  <c r="BN242" i="2"/>
  <c r="N241" i="1" s="1"/>
  <c r="BN313" i="2"/>
  <c r="N312" i="1" s="1"/>
  <c r="BN190" i="2"/>
  <c r="N189" i="1" s="1"/>
  <c r="BN314" i="2"/>
  <c r="N313" i="1" s="1"/>
  <c r="BN282" i="2"/>
  <c r="N281" i="1" s="1"/>
  <c r="BN277" i="2"/>
  <c r="N276" i="1" s="1"/>
  <c r="BN281" i="2"/>
  <c r="N280" i="1" s="1"/>
  <c r="BN279" i="2"/>
  <c r="N278" i="1" s="1"/>
  <c r="BN358" i="2"/>
  <c r="N357" i="1" s="1"/>
  <c r="BN464" i="2"/>
  <c r="N463" i="1" s="1"/>
  <c r="BN466" i="2"/>
  <c r="N465" i="1" s="1"/>
  <c r="BN465" i="2"/>
  <c r="N464" i="1" s="1"/>
  <c r="BN468" i="2"/>
  <c r="N467" i="1" s="1"/>
  <c r="BN471" i="2"/>
  <c r="N470" i="1" s="1"/>
  <c r="BN467" i="2"/>
  <c r="N466" i="1" s="1"/>
  <c r="BN470" i="2"/>
  <c r="N469" i="1" s="1"/>
  <c r="BN469" i="2"/>
  <c r="N468" i="1" s="1"/>
  <c r="BN490" i="2"/>
  <c r="N489" i="1" s="1"/>
  <c r="BN322" i="2"/>
  <c r="N321" i="1" s="1"/>
  <c r="BN320" i="2"/>
  <c r="N319" i="1" s="1"/>
  <c r="BN323" i="2"/>
  <c r="N322" i="1" s="1"/>
  <c r="BN505" i="2"/>
  <c r="N504" i="1" s="1"/>
  <c r="BN617" i="2"/>
  <c r="N616" i="1" s="1"/>
  <c r="BN611" i="2"/>
  <c r="N610" i="1" s="1"/>
  <c r="BN608" i="2"/>
  <c r="N607" i="1" s="1"/>
  <c r="BN619" i="2"/>
  <c r="N618" i="1" s="1"/>
  <c r="BN607" i="2"/>
  <c r="N606" i="1" s="1"/>
  <c r="BN504" i="2"/>
  <c r="N503" i="1" s="1"/>
  <c r="BN503" i="2"/>
  <c r="N502" i="1" s="1"/>
  <c r="BN612" i="2"/>
  <c r="N611" i="1" s="1"/>
  <c r="BN610" i="2"/>
  <c r="N609" i="1" s="1"/>
  <c r="BN620" i="2"/>
  <c r="N619" i="1" s="1"/>
  <c r="BN506" i="2"/>
  <c r="N505" i="1" s="1"/>
  <c r="BN615" i="2"/>
  <c r="N614" i="1" s="1"/>
  <c r="BN616" i="2"/>
  <c r="N615" i="1" s="1"/>
  <c r="BO614" i="2"/>
  <c r="O613" i="1" s="1"/>
  <c r="BO613" i="2"/>
  <c r="O612" i="1" s="1"/>
  <c r="BN622" i="2"/>
  <c r="N621" i="1" s="1"/>
  <c r="BN503" i="1" l="1"/>
  <c r="AU503" i="1"/>
  <c r="AB503" i="1"/>
  <c r="AB469" i="1"/>
  <c r="AU469" i="1"/>
  <c r="BN469" i="1"/>
  <c r="BN313" i="1"/>
  <c r="AU313" i="1"/>
  <c r="AB313" i="1"/>
  <c r="BN238" i="1"/>
  <c r="BW238" i="1" s="1"/>
  <c r="AU238" i="1"/>
  <c r="BD238" i="1" s="1"/>
  <c r="AB238" i="1"/>
  <c r="AK238" i="1" s="1"/>
  <c r="AU271" i="1"/>
  <c r="AB271" i="1"/>
  <c r="BN271" i="1"/>
  <c r="BN140" i="1"/>
  <c r="AU140" i="1"/>
  <c r="AB140" i="1"/>
  <c r="BN45" i="1"/>
  <c r="AB45" i="1"/>
  <c r="AU45" i="1"/>
  <c r="BN43" i="1"/>
  <c r="AU43" i="1"/>
  <c r="AB43" i="1"/>
  <c r="AU3" i="1"/>
  <c r="BN3" i="1"/>
  <c r="AB3" i="1"/>
  <c r="AB16" i="1"/>
  <c r="AU16" i="1"/>
  <c r="BN16" i="1"/>
  <c r="BN15" i="1"/>
  <c r="AU15" i="1"/>
  <c r="AB15" i="1"/>
  <c r="BP189" i="1"/>
  <c r="AD189" i="1"/>
  <c r="AW189" i="1"/>
  <c r="AD188" i="1"/>
  <c r="AW188" i="1"/>
  <c r="BP188" i="1"/>
  <c r="BP193" i="1"/>
  <c r="AW193" i="1"/>
  <c r="AD193" i="1"/>
  <c r="AD76" i="1"/>
  <c r="BP76" i="1"/>
  <c r="AW76" i="1"/>
  <c r="BP45" i="1"/>
  <c r="AD45" i="1"/>
  <c r="AW45" i="1"/>
  <c r="BP14" i="1"/>
  <c r="AD14" i="1"/>
  <c r="AW14" i="1"/>
  <c r="BP19" i="1"/>
  <c r="AD19" i="1"/>
  <c r="AW19" i="1"/>
  <c r="BP35" i="1"/>
  <c r="AD35" i="1"/>
  <c r="AW35" i="1"/>
  <c r="BP12" i="1"/>
  <c r="AD12" i="1"/>
  <c r="AW12" i="1"/>
  <c r="AC611" i="1"/>
  <c r="AV611" i="1"/>
  <c r="BO611" i="1"/>
  <c r="AC491" i="1"/>
  <c r="AK491" i="1" s="1"/>
  <c r="AV491" i="1"/>
  <c r="BD491" i="1" s="1"/>
  <c r="BO491" i="1"/>
  <c r="BW491" i="1" s="1"/>
  <c r="AC464" i="1"/>
  <c r="AV464" i="1"/>
  <c r="BO464" i="1"/>
  <c r="AC368" i="1"/>
  <c r="AV368" i="1"/>
  <c r="BD368" i="1" s="1"/>
  <c r="BO368" i="1"/>
  <c r="BO357" i="1"/>
  <c r="AC357" i="1"/>
  <c r="AV357" i="1"/>
  <c r="BO405" i="1"/>
  <c r="BW405" i="1" s="1"/>
  <c r="AC405" i="1"/>
  <c r="AK405" i="1" s="1"/>
  <c r="AV405" i="1"/>
  <c r="BD405" i="1" s="1"/>
  <c r="BO366" i="1"/>
  <c r="AC366" i="1"/>
  <c r="AV366" i="1"/>
  <c r="AC331" i="1"/>
  <c r="AK331" i="1" s="1"/>
  <c r="AV331" i="1"/>
  <c r="BD331" i="1" s="1"/>
  <c r="BO331" i="1"/>
  <c r="BW331" i="1" s="1"/>
  <c r="H331" i="14" s="1"/>
  <c r="AC91" i="1"/>
  <c r="AV91" i="1"/>
  <c r="BO91" i="1"/>
  <c r="AC141" i="1"/>
  <c r="AV141" i="1"/>
  <c r="BO141" i="1"/>
  <c r="AC71" i="1"/>
  <c r="BO71" i="1"/>
  <c r="AV71" i="1"/>
  <c r="AV79" i="1"/>
  <c r="AC79" i="1"/>
  <c r="BO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AD322" i="1"/>
  <c r="BP322" i="1"/>
  <c r="AW322" i="1"/>
  <c r="AW368" i="1"/>
  <c r="AD368" i="1"/>
  <c r="BP368" i="1"/>
  <c r="BP610" i="1"/>
  <c r="AD610" i="1"/>
  <c r="AW610" i="1"/>
  <c r="AB466" i="1"/>
  <c r="BN466" i="1"/>
  <c r="AU466" i="1"/>
  <c r="AB189" i="1"/>
  <c r="BN189" i="1"/>
  <c r="AU189" i="1"/>
  <c r="AB184" i="1"/>
  <c r="BN184" i="1"/>
  <c r="AU184" i="1"/>
  <c r="AB138" i="1"/>
  <c r="BN138" i="1"/>
  <c r="AU138" i="1"/>
  <c r="AB622" i="1"/>
  <c r="BN622" i="1"/>
  <c r="AU622" i="1"/>
  <c r="BN29" i="1"/>
  <c r="AB29" i="1"/>
  <c r="AU29" i="1"/>
  <c r="AB10" i="1"/>
  <c r="AU10" i="1"/>
  <c r="BN10" i="1"/>
  <c r="AB28" i="1"/>
  <c r="AU28" i="1"/>
  <c r="BN28" i="1"/>
  <c r="BP355" i="1"/>
  <c r="AD355" i="1"/>
  <c r="AW355" i="1"/>
  <c r="AD241" i="1"/>
  <c r="BP241" i="1"/>
  <c r="AW241" i="1"/>
  <c r="AD137" i="1"/>
  <c r="AW137" i="1"/>
  <c r="BP137" i="1"/>
  <c r="AD191" i="1"/>
  <c r="BP191" i="1"/>
  <c r="AW191" i="1"/>
  <c r="AD77" i="1"/>
  <c r="BP77" i="1"/>
  <c r="AW77" i="1"/>
  <c r="AD40" i="1"/>
  <c r="AW40" i="1"/>
  <c r="BP40" i="1"/>
  <c r="BP49" i="1"/>
  <c r="AD49" i="1"/>
  <c r="AW49" i="1"/>
  <c r="BP29" i="1"/>
  <c r="AD29" i="1"/>
  <c r="AW29" i="1"/>
  <c r="AW36" i="1"/>
  <c r="AD36" i="1"/>
  <c r="BP36" i="1"/>
  <c r="BP13" i="1"/>
  <c r="AW13" i="1"/>
  <c r="AD13" i="1"/>
  <c r="AC614" i="1"/>
  <c r="BO614" i="1"/>
  <c r="AV614" i="1"/>
  <c r="BO490" i="1"/>
  <c r="BW490" i="1" s="1"/>
  <c r="AC490" i="1"/>
  <c r="AK490" i="1" s="1"/>
  <c r="AV490" i="1"/>
  <c r="BD490" i="1" s="1"/>
  <c r="AV445" i="1"/>
  <c r="BD445" i="1" s="1"/>
  <c r="BO445" i="1"/>
  <c r="BW445" i="1" s="1"/>
  <c r="AC445" i="1"/>
  <c r="AK445" i="1" s="1"/>
  <c r="AC364" i="1"/>
  <c r="AK364" i="1" s="1"/>
  <c r="AV364" i="1"/>
  <c r="BD364" i="1" s="1"/>
  <c r="BO364" i="1"/>
  <c r="BW364" i="1" s="1"/>
  <c r="AC276" i="1"/>
  <c r="BO276" i="1"/>
  <c r="AV276" i="1"/>
  <c r="AC299" i="1"/>
  <c r="AK299" i="1" s="1"/>
  <c r="BO299" i="1"/>
  <c r="BW299" i="1" s="1"/>
  <c r="AV299" i="1"/>
  <c r="BD299" i="1" s="1"/>
  <c r="AV282" i="1"/>
  <c r="AC282" i="1"/>
  <c r="BO282" i="1"/>
  <c r="AC267" i="1"/>
  <c r="AV267" i="1"/>
  <c r="BO267" i="1"/>
  <c r="AC138" i="1"/>
  <c r="AV138" i="1"/>
  <c r="BO138" i="1"/>
  <c r="AV140" i="1"/>
  <c r="BO140" i="1"/>
  <c r="AC140" i="1"/>
  <c r="AV73" i="1"/>
  <c r="BO73" i="1"/>
  <c r="AC73" i="1"/>
  <c r="AV40" i="1"/>
  <c r="BO40" i="1"/>
  <c r="AC40" i="1"/>
  <c r="BO14" i="1"/>
  <c r="AC14" i="1"/>
  <c r="AV14" i="1"/>
  <c r="AC48" i="1"/>
  <c r="AV48" i="1"/>
  <c r="BO48" i="1"/>
  <c r="AC18" i="1"/>
  <c r="AV18" i="1"/>
  <c r="BO18" i="1"/>
  <c r="AC22" i="1"/>
  <c r="BO22" i="1"/>
  <c r="AV22" i="1"/>
  <c r="AW611" i="1"/>
  <c r="AD611" i="1"/>
  <c r="BP611" i="1"/>
  <c r="AW370" i="1"/>
  <c r="BD370" i="1" s="1"/>
  <c r="AD370" i="1"/>
  <c r="AK370" i="1" s="1"/>
  <c r="BP370" i="1"/>
  <c r="BW370" i="1" s="1"/>
  <c r="BP614" i="1"/>
  <c r="AW614" i="1"/>
  <c r="AD614" i="1"/>
  <c r="AU621" i="1"/>
  <c r="AB621" i="1"/>
  <c r="BN621" i="1"/>
  <c r="AB618" i="1"/>
  <c r="BN618" i="1"/>
  <c r="AU618" i="1"/>
  <c r="BN470" i="1"/>
  <c r="AU470" i="1"/>
  <c r="AB470" i="1"/>
  <c r="AB312" i="1"/>
  <c r="AK312" i="1" s="1"/>
  <c r="BN312" i="1"/>
  <c r="BW312" i="1" s="1"/>
  <c r="AU312" i="1"/>
  <c r="BD312" i="1" s="1"/>
  <c r="AU236" i="1"/>
  <c r="AB236" i="1"/>
  <c r="BN236" i="1"/>
  <c r="BN267" i="1"/>
  <c r="BW267" i="1" s="1"/>
  <c r="AB267" i="1"/>
  <c r="AK267" i="1" s="1"/>
  <c r="AU267" i="1"/>
  <c r="BD267" i="1" s="1"/>
  <c r="AB139" i="1"/>
  <c r="BN139" i="1"/>
  <c r="AU139" i="1"/>
  <c r="AB78" i="1"/>
  <c r="AK78" i="1" s="1"/>
  <c r="BN78" i="1"/>
  <c r="BW78" i="1" s="1"/>
  <c r="AU78" i="1"/>
  <c r="BD78" i="1" s="1"/>
  <c r="G78" i="14" s="1"/>
  <c r="BN42" i="1"/>
  <c r="AB42" i="1"/>
  <c r="AU42" i="1"/>
  <c r="AB50" i="1"/>
  <c r="AU50" i="1"/>
  <c r="BN50" i="1"/>
  <c r="AB19" i="1"/>
  <c r="AU19" i="1"/>
  <c r="BN19" i="1"/>
  <c r="AD279" i="1"/>
  <c r="BP279" i="1"/>
  <c r="AW279" i="1"/>
  <c r="AW24" i="1"/>
  <c r="AD24" i="1"/>
  <c r="BP24" i="1"/>
  <c r="BP187" i="1"/>
  <c r="AD187" i="1"/>
  <c r="AW187" i="1"/>
  <c r="AW140" i="1"/>
  <c r="AD140" i="1"/>
  <c r="BP140" i="1"/>
  <c r="AW7" i="1"/>
  <c r="BD7" i="1" s="1"/>
  <c r="AD7" i="1"/>
  <c r="AK7" i="1" s="1"/>
  <c r="BP7" i="1"/>
  <c r="BW7" i="1" s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BP15" i="1"/>
  <c r="AD15" i="1"/>
  <c r="AW15" i="1"/>
  <c r="AV619" i="1"/>
  <c r="AC619" i="1"/>
  <c r="BO619" i="1"/>
  <c r="AV489" i="1"/>
  <c r="BO489" i="1"/>
  <c r="AC489" i="1"/>
  <c r="BO304" i="1"/>
  <c r="BW304" i="1" s="1"/>
  <c r="AV304" i="1"/>
  <c r="BD304" i="1" s="1"/>
  <c r="AC304" i="1"/>
  <c r="AK304" i="1" s="1"/>
  <c r="AV356" i="1"/>
  <c r="AC356" i="1"/>
  <c r="BO356" i="1"/>
  <c r="AC277" i="1"/>
  <c r="BO277" i="1"/>
  <c r="AV277" i="1"/>
  <c r="AV240" i="1"/>
  <c r="AC240" i="1"/>
  <c r="BO240" i="1"/>
  <c r="AV365" i="1"/>
  <c r="AC365" i="1"/>
  <c r="BO365" i="1"/>
  <c r="BO333" i="1"/>
  <c r="BW333" i="1" s="1"/>
  <c r="AC333" i="1"/>
  <c r="AK333" i="1" s="1"/>
  <c r="AV333" i="1"/>
  <c r="BD333" i="1" s="1"/>
  <c r="AC69" i="1"/>
  <c r="BO69" i="1"/>
  <c r="AV69" i="1"/>
  <c r="BO139" i="1"/>
  <c r="AC139" i="1"/>
  <c r="AV139" i="1"/>
  <c r="AC72" i="1"/>
  <c r="BO72" i="1"/>
  <c r="AV72" i="1"/>
  <c r="AC103" i="1"/>
  <c r="AK103" i="1" s="1"/>
  <c r="AV103" i="1"/>
  <c r="BD103" i="1" s="1"/>
  <c r="BO103" i="1"/>
  <c r="BW103" i="1" s="1"/>
  <c r="AV3" i="1"/>
  <c r="BO3" i="1"/>
  <c r="AC3" i="1"/>
  <c r="AC46" i="1"/>
  <c r="AV46" i="1"/>
  <c r="BO46" i="1"/>
  <c r="BO57" i="1"/>
  <c r="AC57" i="1"/>
  <c r="AV57" i="1"/>
  <c r="BO15" i="1"/>
  <c r="AC15" i="1"/>
  <c r="AV15" i="1"/>
  <c r="BP505" i="1"/>
  <c r="AD505" i="1"/>
  <c r="AW505" i="1"/>
  <c r="BP284" i="1"/>
  <c r="AW284" i="1"/>
  <c r="AD284" i="1"/>
  <c r="BO612" i="1"/>
  <c r="AV612" i="1"/>
  <c r="AC612" i="1"/>
  <c r="BN467" i="1"/>
  <c r="AU467" i="1"/>
  <c r="AB467" i="1"/>
  <c r="AU241" i="1"/>
  <c r="AB241" i="1"/>
  <c r="BN241" i="1"/>
  <c r="AB235" i="1"/>
  <c r="BN235" i="1"/>
  <c r="AU235" i="1"/>
  <c r="BN268" i="1"/>
  <c r="AU268" i="1"/>
  <c r="AB268" i="1"/>
  <c r="BN91" i="1"/>
  <c r="AB91" i="1"/>
  <c r="AU91" i="1"/>
  <c r="AB79" i="1"/>
  <c r="AU79" i="1"/>
  <c r="BD79" i="1" s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D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BP4" i="1"/>
  <c r="BW4" i="1" s="1"/>
  <c r="AW60" i="1"/>
  <c r="BP60" i="1"/>
  <c r="AD60" i="1"/>
  <c r="BP51" i="1"/>
  <c r="AD51" i="1"/>
  <c r="AW51" i="1"/>
  <c r="AW58" i="1"/>
  <c r="BP58" i="1"/>
  <c r="AD58" i="1"/>
  <c r="AD3" i="1"/>
  <c r="AW3" i="1"/>
  <c r="BP3" i="1"/>
  <c r="BO621" i="1"/>
  <c r="AV621" i="1"/>
  <c r="AC621" i="1"/>
  <c r="AC605" i="1"/>
  <c r="AK605" i="1" s="1"/>
  <c r="BO605" i="1"/>
  <c r="BW605" i="1" s="1"/>
  <c r="AV605" i="1"/>
  <c r="BD605" i="1" s="1"/>
  <c r="G605" i="14" s="1"/>
  <c r="BO569" i="1"/>
  <c r="BW569" i="1" s="1"/>
  <c r="AC569" i="1"/>
  <c r="AK569" i="1" s="1"/>
  <c r="AV569" i="1"/>
  <c r="BD569" i="1" s="1"/>
  <c r="AV302" i="1"/>
  <c r="BD302" i="1" s="1"/>
  <c r="BO302" i="1"/>
  <c r="BW302" i="1" s="1"/>
  <c r="AC302" i="1"/>
  <c r="AK302" i="1" s="1"/>
  <c r="AC279" i="1"/>
  <c r="BO279" i="1"/>
  <c r="AV279" i="1"/>
  <c r="BO314" i="1"/>
  <c r="BW314" i="1" s="1"/>
  <c r="AC314" i="1"/>
  <c r="AK314" i="1" s="1"/>
  <c r="AV314" i="1"/>
  <c r="BD314" i="1" s="1"/>
  <c r="BO239" i="1"/>
  <c r="AC239" i="1"/>
  <c r="AV239" i="1"/>
  <c r="AC286" i="1"/>
  <c r="BO286" i="1"/>
  <c r="AV286" i="1"/>
  <c r="BO266" i="1"/>
  <c r="BW266" i="1" s="1"/>
  <c r="AC266" i="1"/>
  <c r="AK266" i="1" s="1"/>
  <c r="AV266" i="1"/>
  <c r="BD266" i="1" s="1"/>
  <c r="AV193" i="1"/>
  <c r="BD193" i="1" s="1"/>
  <c r="AC193" i="1"/>
  <c r="AK193" i="1" s="1"/>
  <c r="BO193" i="1"/>
  <c r="BW193" i="1" s="1"/>
  <c r="H193" i="14" s="1"/>
  <c r="BO90" i="1"/>
  <c r="AC90" i="1"/>
  <c r="AV90" i="1"/>
  <c r="AV54" i="1"/>
  <c r="AC54" i="1"/>
  <c r="BO54" i="1"/>
  <c r="BO59" i="1"/>
  <c r="AV59" i="1"/>
  <c r="AC59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BP606" i="1"/>
  <c r="AW606" i="1"/>
  <c r="BD606" i="1" s="1"/>
  <c r="G606" i="14" s="1"/>
  <c r="AD606" i="1"/>
  <c r="AK606" i="1" s="1"/>
  <c r="AD283" i="1"/>
  <c r="AW283" i="1"/>
  <c r="BP283" i="1"/>
  <c r="AK608" i="1"/>
  <c r="AV613" i="1"/>
  <c r="AC613" i="1"/>
  <c r="BO613" i="1"/>
  <c r="AB610" i="1"/>
  <c r="AU610" i="1"/>
  <c r="BN610" i="1"/>
  <c r="BN464" i="1"/>
  <c r="BW464" i="1" s="1"/>
  <c r="AU464" i="1"/>
  <c r="BD464" i="1" s="1"/>
  <c r="G464" i="14" s="1"/>
  <c r="AB464" i="1"/>
  <c r="AK464" i="1" s="1"/>
  <c r="AB178" i="1"/>
  <c r="AU178" i="1"/>
  <c r="BN178" i="1"/>
  <c r="AB269" i="1"/>
  <c r="AK269" i="1" s="1"/>
  <c r="BN269" i="1"/>
  <c r="BW269" i="1" s="1"/>
  <c r="AU269" i="1"/>
  <c r="BD269" i="1" s="1"/>
  <c r="AB69" i="1"/>
  <c r="AU69" i="1"/>
  <c r="BN69" i="1"/>
  <c r="BN39" i="1"/>
  <c r="AB39" i="1"/>
  <c r="AU39" i="1"/>
  <c r="BN40" i="1"/>
  <c r="BW40" i="1" s="1"/>
  <c r="AB40" i="1"/>
  <c r="AK40" i="1" s="1"/>
  <c r="AU40" i="1"/>
  <c r="BD40" i="1" s="1"/>
  <c r="AB20" i="1"/>
  <c r="AU20" i="1"/>
  <c r="BN20" i="1"/>
  <c r="BN9" i="1"/>
  <c r="AU9" i="1"/>
  <c r="AB9" i="1"/>
  <c r="BP354" i="1"/>
  <c r="AD354" i="1"/>
  <c r="AW354" i="1"/>
  <c r="BP186" i="1"/>
  <c r="AW186" i="1"/>
  <c r="AD186" i="1"/>
  <c r="BP177" i="1"/>
  <c r="AD177" i="1"/>
  <c r="AW177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AW10" i="1"/>
  <c r="AD10" i="1"/>
  <c r="BP10" i="1"/>
  <c r="AV607" i="1"/>
  <c r="BO607" i="1"/>
  <c r="AC607" i="1"/>
  <c r="BO321" i="1"/>
  <c r="AC321" i="1"/>
  <c r="AV321" i="1"/>
  <c r="BO568" i="1"/>
  <c r="BW568" i="1" s="1"/>
  <c r="AC568" i="1"/>
  <c r="AK568" i="1" s="1"/>
  <c r="AV568" i="1"/>
  <c r="BD568" i="1" s="1"/>
  <c r="BO391" i="1"/>
  <c r="BW391" i="1" s="1"/>
  <c r="AC391" i="1"/>
  <c r="AK391" i="1" s="1"/>
  <c r="AV391" i="1"/>
  <c r="BD391" i="1" s="1"/>
  <c r="BO354" i="1"/>
  <c r="AC354" i="1"/>
  <c r="AV354" i="1"/>
  <c r="BD354" i="1" s="1"/>
  <c r="BO311" i="1"/>
  <c r="AC311" i="1"/>
  <c r="AV311" i="1"/>
  <c r="AC185" i="1"/>
  <c r="BO185" i="1"/>
  <c r="AV185" i="1"/>
  <c r="AC283" i="1"/>
  <c r="BO283" i="1"/>
  <c r="AV283" i="1"/>
  <c r="AC271" i="1"/>
  <c r="AV271" i="1"/>
  <c r="BO271" i="1"/>
  <c r="AC191" i="1"/>
  <c r="BO191" i="1"/>
  <c r="BW191" i="1" s="1"/>
  <c r="AV191" i="1"/>
  <c r="BD191" i="1" s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AV65" i="1"/>
  <c r="BD65" i="1" s="1"/>
  <c r="AC36" i="1"/>
  <c r="BO36" i="1"/>
  <c r="AV36" i="1"/>
  <c r="BP621" i="1"/>
  <c r="AW621" i="1"/>
  <c r="AD621" i="1"/>
  <c r="BP607" i="1"/>
  <c r="AD607" i="1"/>
  <c r="AW607" i="1"/>
  <c r="AD237" i="1"/>
  <c r="BP237" i="1"/>
  <c r="AW237" i="1"/>
  <c r="BW608" i="1"/>
  <c r="BN615" i="1"/>
  <c r="AB615" i="1"/>
  <c r="AU615" i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AB231" i="1"/>
  <c r="AU231" i="1"/>
  <c r="BN231" i="1"/>
  <c r="BN137" i="1"/>
  <c r="AU137" i="1"/>
  <c r="AB137" i="1"/>
  <c r="BN26" i="1"/>
  <c r="AB26" i="1"/>
  <c r="AU26" i="1"/>
  <c r="AU60" i="1"/>
  <c r="AB60" i="1"/>
  <c r="BN60" i="1"/>
  <c r="BN5" i="1"/>
  <c r="AB5" i="1"/>
  <c r="AU5" i="1"/>
  <c r="AB17" i="1"/>
  <c r="BN17" i="1"/>
  <c r="AU17" i="1"/>
  <c r="BP356" i="1"/>
  <c r="AD356" i="1"/>
  <c r="AK356" i="1" s="1"/>
  <c r="AW356" i="1"/>
  <c r="AD276" i="1"/>
  <c r="BP276" i="1"/>
  <c r="AW276" i="1"/>
  <c r="AD195" i="1"/>
  <c r="AK195" i="1" s="1"/>
  <c r="BP195" i="1"/>
  <c r="BW195" i="1" s="1"/>
  <c r="AW195" i="1"/>
  <c r="BD195" i="1" s="1"/>
  <c r="BP90" i="1"/>
  <c r="AD90" i="1"/>
  <c r="AW90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AC609" i="1"/>
  <c r="AV609" i="1"/>
  <c r="BO609" i="1"/>
  <c r="AV504" i="1"/>
  <c r="BO504" i="1"/>
  <c r="AC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85" i="1"/>
  <c r="AV285" i="1"/>
  <c r="BO285" i="1"/>
  <c r="AC268" i="1"/>
  <c r="AV268" i="1"/>
  <c r="BO268" i="1"/>
  <c r="AV137" i="1"/>
  <c r="AC137" i="1"/>
  <c r="BO137" i="1"/>
  <c r="AC80" i="1"/>
  <c r="AV80" i="1"/>
  <c r="BO80" i="1"/>
  <c r="AC55" i="1"/>
  <c r="BO55" i="1"/>
  <c r="AV55" i="1"/>
  <c r="BO41" i="1"/>
  <c r="AC41" i="1"/>
  <c r="AV41" i="1"/>
  <c r="AV67" i="1"/>
  <c r="BD67" i="1" s="1"/>
  <c r="G67" i="14" s="1"/>
  <c r="AC67" i="1"/>
  <c r="AK67" i="1" s="1"/>
  <c r="BO67" i="1"/>
  <c r="BW67" i="1" s="1"/>
  <c r="AV5" i="1"/>
  <c r="AC5" i="1"/>
  <c r="BO5" i="1"/>
  <c r="BO35" i="1"/>
  <c r="AV35" i="1"/>
  <c r="AC35" i="1"/>
  <c r="BP613" i="1"/>
  <c r="AD613" i="1"/>
  <c r="AW613" i="1"/>
  <c r="BD613" i="1" s="1"/>
  <c r="G613" i="14" s="1"/>
  <c r="BP320" i="1"/>
  <c r="AD320" i="1"/>
  <c r="AW320" i="1"/>
  <c r="BP287" i="1"/>
  <c r="AW287" i="1"/>
  <c r="AD287" i="1"/>
  <c r="AU614" i="1"/>
  <c r="BN614" i="1"/>
  <c r="BW614" i="1" s="1"/>
  <c r="AB614" i="1"/>
  <c r="AU504" i="1"/>
  <c r="BN504" i="1"/>
  <c r="AB504" i="1"/>
  <c r="AB463" i="1"/>
  <c r="BN463" i="1"/>
  <c r="AU463" i="1"/>
  <c r="AB187" i="1"/>
  <c r="BN187" i="1"/>
  <c r="AU187" i="1"/>
  <c r="AB285" i="1"/>
  <c r="BN285" i="1"/>
  <c r="BW285" i="1" s="1"/>
  <c r="AU285" i="1"/>
  <c r="BD285" i="1" s="1"/>
  <c r="AU233" i="1"/>
  <c r="BN233" i="1"/>
  <c r="AB233" i="1"/>
  <c r="AB90" i="1"/>
  <c r="AK90" i="1" s="1"/>
  <c r="BN90" i="1"/>
  <c r="BW90" i="1" s="1"/>
  <c r="AU90" i="1"/>
  <c r="BN18" i="1"/>
  <c r="AB18" i="1"/>
  <c r="AU18" i="1"/>
  <c r="AU59" i="1"/>
  <c r="AB59" i="1"/>
  <c r="AK59" i="1" s="1"/>
  <c r="BN59" i="1"/>
  <c r="BW59" i="1" s="1"/>
  <c r="AU54" i="1"/>
  <c r="BN54" i="1"/>
  <c r="AB54" i="1"/>
  <c r="BP353" i="1"/>
  <c r="AW353" i="1"/>
  <c r="AD353" i="1"/>
  <c r="AD277" i="1"/>
  <c r="AW277" i="1"/>
  <c r="BP277" i="1"/>
  <c r="AD92" i="1"/>
  <c r="AK92" i="1" s="1"/>
  <c r="AW92" i="1"/>
  <c r="BD92" i="1" s="1"/>
  <c r="BP92" i="1"/>
  <c r="BW92" i="1" s="1"/>
  <c r="BP176" i="1"/>
  <c r="AD176" i="1"/>
  <c r="AW176" i="1"/>
  <c r="AD72" i="1"/>
  <c r="AW72" i="1"/>
  <c r="BP7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617" i="1"/>
  <c r="AC617" i="1"/>
  <c r="AV617" i="1"/>
  <c r="BO505" i="1"/>
  <c r="AC505" i="1"/>
  <c r="AV505" i="1"/>
  <c r="AC469" i="1"/>
  <c r="AV469" i="1"/>
  <c r="BO469" i="1"/>
  <c r="BO290" i="1"/>
  <c r="BW290" i="1" s="1"/>
  <c r="H290" i="14" s="1"/>
  <c r="AC290" i="1"/>
  <c r="AK290" i="1" s="1"/>
  <c r="AV290" i="1"/>
  <c r="BD290" i="1" s="1"/>
  <c r="BO358" i="1"/>
  <c r="BW358" i="1" s="1"/>
  <c r="AC358" i="1"/>
  <c r="AK358" i="1" s="1"/>
  <c r="AV358" i="1"/>
  <c r="BD358" i="1" s="1"/>
  <c r="AC189" i="1"/>
  <c r="AV189" i="1"/>
  <c r="BO189" i="1"/>
  <c r="AC291" i="1"/>
  <c r="AK291" i="1" s="1"/>
  <c r="BO291" i="1"/>
  <c r="BW291" i="1" s="1"/>
  <c r="AV291" i="1"/>
  <c r="BD291" i="1" s="1"/>
  <c r="AC284" i="1"/>
  <c r="AV284" i="1"/>
  <c r="BO284" i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BD60" i="1" s="1"/>
  <c r="AC60" i="1"/>
  <c r="BO60" i="1"/>
  <c r="AC66" i="1"/>
  <c r="AK66" i="1" s="1"/>
  <c r="AV66" i="1"/>
  <c r="BD66" i="1" s="1"/>
  <c r="BO66" i="1"/>
  <c r="BW66" i="1" s="1"/>
  <c r="AC20" i="1"/>
  <c r="BO20" i="1"/>
  <c r="AV20" i="1"/>
  <c r="BO32" i="1"/>
  <c r="AC32" i="1"/>
  <c r="AV32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AK505" i="1" s="1"/>
  <c r="BN505" i="1"/>
  <c r="BW505" i="1" s="1"/>
  <c r="AU505" i="1"/>
  <c r="BD505" i="1" s="1"/>
  <c r="BN322" i="1"/>
  <c r="AU322" i="1"/>
  <c r="AB322" i="1"/>
  <c r="AB357" i="1"/>
  <c r="AU357" i="1"/>
  <c r="BN357" i="1"/>
  <c r="AU24" i="1"/>
  <c r="BN24" i="1"/>
  <c r="AB24" i="1"/>
  <c r="AU286" i="1"/>
  <c r="BD286" i="1" s="1"/>
  <c r="BN286" i="1"/>
  <c r="BW286" i="1" s="1"/>
  <c r="AB286" i="1"/>
  <c r="AK286" i="1" s="1"/>
  <c r="AU230" i="1"/>
  <c r="BN230" i="1"/>
  <c r="AB230" i="1"/>
  <c r="AB70" i="1"/>
  <c r="AU70" i="1"/>
  <c r="BN70" i="1"/>
  <c r="BN71" i="1"/>
  <c r="AB71" i="1"/>
  <c r="AU71" i="1"/>
  <c r="BD71" i="1" s="1"/>
  <c r="AB27" i="1"/>
  <c r="AU27" i="1"/>
  <c r="BN27" i="1"/>
  <c r="AB11" i="1"/>
  <c r="BN11" i="1"/>
  <c r="AU11" i="1"/>
  <c r="AB13" i="1"/>
  <c r="AK13" i="1" s="1"/>
  <c r="AU13" i="1"/>
  <c r="BN13" i="1"/>
  <c r="AD278" i="1"/>
  <c r="AW278" i="1"/>
  <c r="BP278" i="1"/>
  <c r="BP357" i="1"/>
  <c r="AD357" i="1"/>
  <c r="AW357" i="1"/>
  <c r="BP142" i="1"/>
  <c r="AD142" i="1"/>
  <c r="AW142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AD9" i="1"/>
  <c r="BP9" i="1"/>
  <c r="AW9" i="1"/>
  <c r="BP11" i="1"/>
  <c r="AD11" i="1"/>
  <c r="AW11" i="1"/>
  <c r="AC322" i="1"/>
  <c r="AV322" i="1"/>
  <c r="BO322" i="1"/>
  <c r="BO320" i="1"/>
  <c r="AC320" i="1"/>
  <c r="AV320" i="1"/>
  <c r="AC467" i="1"/>
  <c r="AV467" i="1"/>
  <c r="BO467" i="1"/>
  <c r="BO381" i="1"/>
  <c r="AV381" i="1"/>
  <c r="AC381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W51" i="1" s="1"/>
  <c r="BO29" i="1"/>
  <c r="AC29" i="1"/>
  <c r="AV29" i="1"/>
  <c r="AC31" i="1"/>
  <c r="AV31" i="1"/>
  <c r="BO31" i="1"/>
  <c r="BP616" i="1"/>
  <c r="AD616" i="1"/>
  <c r="AW616" i="1"/>
  <c r="AW503" i="1"/>
  <c r="BP503" i="1"/>
  <c r="AD503" i="1"/>
  <c r="AD372" i="1"/>
  <c r="BP372" i="1"/>
  <c r="AW372" i="1"/>
  <c r="AB619" i="1"/>
  <c r="AK619" i="1" s="1"/>
  <c r="AU619" i="1"/>
  <c r="BD619" i="1" s="1"/>
  <c r="BN619" i="1"/>
  <c r="BW619" i="1" s="1"/>
  <c r="BN319" i="1"/>
  <c r="AB319" i="1"/>
  <c r="AU319" i="1"/>
  <c r="AB278" i="1"/>
  <c r="BN278" i="1"/>
  <c r="AU278" i="1"/>
  <c r="AB186" i="1"/>
  <c r="AU186" i="1"/>
  <c r="BN186" i="1"/>
  <c r="AB284" i="1"/>
  <c r="AU284" i="1"/>
  <c r="BD284" i="1" s="1"/>
  <c r="BN284" i="1"/>
  <c r="BW284" i="1" s="1"/>
  <c r="AU232" i="1"/>
  <c r="BN232" i="1"/>
  <c r="AB232" i="1"/>
  <c r="BN56" i="1"/>
  <c r="AB56" i="1"/>
  <c r="AU56" i="1"/>
  <c r="AU35" i="1"/>
  <c r="BD35" i="1" s="1"/>
  <c r="AB35" i="1"/>
  <c r="AK35" i="1" s="1"/>
  <c r="BN35" i="1"/>
  <c r="BN57" i="1"/>
  <c r="AB57" i="1"/>
  <c r="AU57" i="1"/>
  <c r="AU21" i="1"/>
  <c r="BD21" i="1" s="1"/>
  <c r="BN21" i="1"/>
  <c r="BW21" i="1" s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AD55" i="1"/>
  <c r="AW55" i="1"/>
  <c r="BP55" i="1"/>
  <c r="BP53" i="1"/>
  <c r="AD53" i="1"/>
  <c r="AW53" i="1"/>
  <c r="AD5" i="1"/>
  <c r="BP5" i="1"/>
  <c r="AW5" i="1"/>
  <c r="AD6" i="1"/>
  <c r="AK6" i="1" s="1"/>
  <c r="BP6" i="1"/>
  <c r="BW6" i="1" s="1"/>
  <c r="AW6" i="1"/>
  <c r="BD6" i="1" s="1"/>
  <c r="BP8" i="1"/>
  <c r="AD8" i="1"/>
  <c r="AW8" i="1"/>
  <c r="AB320" i="1"/>
  <c r="BN320" i="1"/>
  <c r="AU320" i="1"/>
  <c r="BO502" i="1"/>
  <c r="AC502" i="1"/>
  <c r="AV502" i="1"/>
  <c r="BO466" i="1"/>
  <c r="AC466" i="1"/>
  <c r="AV466" i="1"/>
  <c r="AC288" i="1"/>
  <c r="AK288" i="1" s="1"/>
  <c r="AV288" i="1"/>
  <c r="BD288" i="1" s="1"/>
  <c r="BO288" i="1"/>
  <c r="BW288" i="1" s="1"/>
  <c r="AC278" i="1"/>
  <c r="AV278" i="1"/>
  <c r="BO278" i="1"/>
  <c r="AC187" i="1"/>
  <c r="BO187" i="1"/>
  <c r="AV187" i="1"/>
  <c r="BO235" i="1"/>
  <c r="AV235" i="1"/>
  <c r="AC235" i="1"/>
  <c r="AC272" i="1"/>
  <c r="AK272" i="1" s="1"/>
  <c r="AV272" i="1"/>
  <c r="BD272" i="1" s="1"/>
  <c r="BO272" i="1"/>
  <c r="BW272" i="1" s="1"/>
  <c r="BO233" i="1"/>
  <c r="AV233" i="1"/>
  <c r="AC233" i="1"/>
  <c r="BO176" i="1"/>
  <c r="AC176" i="1"/>
  <c r="AV176" i="1"/>
  <c r="AV622" i="1"/>
  <c r="AC622" i="1"/>
  <c r="BO622" i="1"/>
  <c r="AV83" i="1"/>
  <c r="BD83" i="1" s="1"/>
  <c r="AC83" i="1"/>
  <c r="AK83" i="1" s="1"/>
  <c r="BO83" i="1"/>
  <c r="BW83" i="1" s="1"/>
  <c r="BO34" i="1"/>
  <c r="AC34" i="1"/>
  <c r="AV34" i="1"/>
  <c r="AC49" i="1"/>
  <c r="AK49" i="1" s="1"/>
  <c r="AV49" i="1"/>
  <c r="BD49" i="1" s="1"/>
  <c r="BO49" i="1"/>
  <c r="BW49" i="1" s="1"/>
  <c r="AC19" i="1"/>
  <c r="BO19" i="1"/>
  <c r="AV19" i="1"/>
  <c r="AC16" i="1"/>
  <c r="BO16" i="1"/>
  <c r="AV16" i="1"/>
  <c r="BP609" i="1"/>
  <c r="AW609" i="1"/>
  <c r="AD609" i="1"/>
  <c r="BP502" i="1"/>
  <c r="AW502" i="1"/>
  <c r="AD502" i="1"/>
  <c r="AD365" i="1"/>
  <c r="BP365" i="1"/>
  <c r="AW365" i="1"/>
  <c r="BW606" i="1"/>
  <c r="BN609" i="1"/>
  <c r="AU609" i="1"/>
  <c r="BD609" i="1" s="1"/>
  <c r="AB609" i="1"/>
  <c r="AB321" i="1"/>
  <c r="BN321" i="1"/>
  <c r="AU321" i="1"/>
  <c r="AU280" i="1"/>
  <c r="BD280" i="1" s="1"/>
  <c r="BN280" i="1"/>
  <c r="BW280" i="1" s="1"/>
  <c r="AB280" i="1"/>
  <c r="AK280" i="1" s="1"/>
  <c r="BN239" i="1"/>
  <c r="BW239" i="1" s="1"/>
  <c r="AB239" i="1"/>
  <c r="AK239" i="1" s="1"/>
  <c r="AU239" i="1"/>
  <c r="BD239" i="1" s="1"/>
  <c r="AU283" i="1"/>
  <c r="BD283" i="1" s="1"/>
  <c r="BN283" i="1"/>
  <c r="AB283" i="1"/>
  <c r="AB176" i="1"/>
  <c r="AU176" i="1"/>
  <c r="BD176" i="1" s="1"/>
  <c r="BN176" i="1"/>
  <c r="BW176" i="1" s="1"/>
  <c r="AU55" i="1"/>
  <c r="BD55" i="1" s="1"/>
  <c r="BN55" i="1"/>
  <c r="BW55" i="1" s="1"/>
  <c r="AB55" i="1"/>
  <c r="BN36" i="1"/>
  <c r="AB36" i="1"/>
  <c r="AU36" i="1"/>
  <c r="BD36" i="1" s="1"/>
  <c r="AB38" i="1"/>
  <c r="AU38" i="1"/>
  <c r="BN38" i="1"/>
  <c r="AB12" i="1"/>
  <c r="BN12" i="1"/>
  <c r="AU12" i="1"/>
  <c r="AD243" i="1"/>
  <c r="AK243" i="1" s="1"/>
  <c r="BP243" i="1"/>
  <c r="BW243" i="1" s="1"/>
  <c r="AW243" i="1"/>
  <c r="BD243" i="1" s="1"/>
  <c r="BP190" i="1"/>
  <c r="BW190" i="1" s="1"/>
  <c r="AD190" i="1"/>
  <c r="AK190" i="1" s="1"/>
  <c r="AW190" i="1"/>
  <c r="BD190" i="1" s="1"/>
  <c r="BP93" i="1"/>
  <c r="AD93" i="1"/>
  <c r="AW93" i="1"/>
  <c r="AW61" i="1"/>
  <c r="BP61" i="1"/>
  <c r="AD61" i="1"/>
  <c r="AD56" i="1"/>
  <c r="BP56" i="1"/>
  <c r="AW56" i="1"/>
  <c r="BP34" i="1"/>
  <c r="AD34" i="1"/>
  <c r="AW34" i="1"/>
  <c r="AW20" i="1"/>
  <c r="AD20" i="1"/>
  <c r="BP20" i="1"/>
  <c r="AW57" i="1"/>
  <c r="BP57" i="1"/>
  <c r="AD57" i="1"/>
  <c r="BP25" i="1"/>
  <c r="AW25" i="1"/>
  <c r="AD25" i="1"/>
  <c r="BO618" i="1"/>
  <c r="AC618" i="1"/>
  <c r="AV618" i="1"/>
  <c r="AC503" i="1"/>
  <c r="AV503" i="1"/>
  <c r="BO503" i="1"/>
  <c r="AC470" i="1"/>
  <c r="BO470" i="1"/>
  <c r="AV470" i="1"/>
  <c r="AV372" i="1"/>
  <c r="BD372" i="1" s="1"/>
  <c r="BO372" i="1"/>
  <c r="BW372" i="1" s="1"/>
  <c r="AC372" i="1"/>
  <c r="AK372" i="1" s="1"/>
  <c r="BO360" i="1"/>
  <c r="BW360" i="1" s="1"/>
  <c r="AC360" i="1"/>
  <c r="AK360" i="1" s="1"/>
  <c r="AV360" i="1"/>
  <c r="BD360" i="1" s="1"/>
  <c r="AV24" i="1"/>
  <c r="BO24" i="1"/>
  <c r="AC24" i="1"/>
  <c r="AC287" i="1"/>
  <c r="AK287" i="1" s="1"/>
  <c r="BO287" i="1"/>
  <c r="BW287" i="1" s="1"/>
  <c r="H287" i="14" s="1"/>
  <c r="AV287" i="1"/>
  <c r="BD287" i="1" s="1"/>
  <c r="G287" i="14" s="1"/>
  <c r="AV274" i="1"/>
  <c r="BD274" i="1" s="1"/>
  <c r="BO274" i="1"/>
  <c r="BW274" i="1" s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BW53" i="1" s="1"/>
  <c r="AC50" i="1"/>
  <c r="AV50" i="1"/>
  <c r="BO50" i="1"/>
  <c r="AV27" i="1"/>
  <c r="AC27" i="1"/>
  <c r="BO27" i="1"/>
  <c r="AC17" i="1"/>
  <c r="BO17" i="1"/>
  <c r="AV17" i="1"/>
  <c r="BP612" i="1"/>
  <c r="BW612" i="1" s="1"/>
  <c r="AW612" i="1"/>
  <c r="AD612" i="1"/>
  <c r="BP381" i="1"/>
  <c r="AW381" i="1"/>
  <c r="AD381" i="1"/>
  <c r="BP366" i="1"/>
  <c r="AD366" i="1"/>
  <c r="AW366" i="1"/>
  <c r="AK617" i="1"/>
  <c r="BN611" i="1"/>
  <c r="BW611" i="1" s="1"/>
  <c r="AU611" i="1"/>
  <c r="BD611" i="1" s="1"/>
  <c r="AB611" i="1"/>
  <c r="AK611" i="1" s="1"/>
  <c r="AU489" i="1"/>
  <c r="BD489" i="1" s="1"/>
  <c r="BN489" i="1"/>
  <c r="BW489" i="1" s="1"/>
  <c r="AB489" i="1"/>
  <c r="AK489" i="1" s="1"/>
  <c r="AU276" i="1"/>
  <c r="BN276" i="1"/>
  <c r="BW276" i="1" s="1"/>
  <c r="AB276" i="1"/>
  <c r="AK276" i="1" s="1"/>
  <c r="AB185" i="1"/>
  <c r="AK185" i="1" s="1"/>
  <c r="AU185" i="1"/>
  <c r="BD185" i="1" s="1"/>
  <c r="BN185" i="1"/>
  <c r="BW185" i="1" s="1"/>
  <c r="AB234" i="1"/>
  <c r="BN234" i="1"/>
  <c r="AU234" i="1"/>
  <c r="AB177" i="1"/>
  <c r="BN177" i="1"/>
  <c r="AU177" i="1"/>
  <c r="BN64" i="1"/>
  <c r="BW64" i="1" s="1"/>
  <c r="AU64" i="1"/>
  <c r="BD64" i="1" s="1"/>
  <c r="AB64" i="1"/>
  <c r="AK64" i="1" s="1"/>
  <c r="AB48" i="1"/>
  <c r="AK48" i="1" s="1"/>
  <c r="BN48" i="1"/>
  <c r="BW48" i="1" s="1"/>
  <c r="AU48" i="1"/>
  <c r="BD48" i="1" s="1"/>
  <c r="BN23" i="1"/>
  <c r="AB23" i="1"/>
  <c r="AU23" i="1"/>
  <c r="AB8" i="1"/>
  <c r="BN8" i="1"/>
  <c r="AU8" i="1"/>
  <c r="AB25" i="1"/>
  <c r="BN25" i="1"/>
  <c r="AU25" i="1"/>
  <c r="BP311" i="1"/>
  <c r="AW311" i="1"/>
  <c r="AD311" i="1"/>
  <c r="BP192" i="1"/>
  <c r="BW192" i="1" s="1"/>
  <c r="AD192" i="1"/>
  <c r="AK192" i="1" s="1"/>
  <c r="AW192" i="1"/>
  <c r="BD192" i="1" s="1"/>
  <c r="BP70" i="1"/>
  <c r="AD70" i="1"/>
  <c r="AW70" i="1"/>
  <c r="AD80" i="1"/>
  <c r="AK80" i="1" s="1"/>
  <c r="BP80" i="1"/>
  <c r="AW80" i="1"/>
  <c r="BP47" i="1"/>
  <c r="AW47" i="1"/>
  <c r="AD47" i="1"/>
  <c r="AD23" i="1"/>
  <c r="BP23" i="1"/>
  <c r="AW23" i="1"/>
  <c r="AD38" i="1"/>
  <c r="AW38" i="1"/>
  <c r="BP38" i="1"/>
  <c r="BP17" i="1"/>
  <c r="AD17" i="1"/>
  <c r="AW17" i="1"/>
  <c r="BO615" i="1"/>
  <c r="AV615" i="1"/>
  <c r="AC615" i="1"/>
  <c r="AV319" i="1"/>
  <c r="AC319" i="1"/>
  <c r="BO319" i="1"/>
  <c r="BO465" i="1"/>
  <c r="AC465" i="1"/>
  <c r="AV465" i="1"/>
  <c r="BO367" i="1"/>
  <c r="AC367" i="1"/>
  <c r="AV367" i="1"/>
  <c r="BO355" i="1"/>
  <c r="BW355" i="1" s="1"/>
  <c r="AC355" i="1"/>
  <c r="AV355" i="1"/>
  <c r="AC301" i="1"/>
  <c r="AK301" i="1" s="1"/>
  <c r="AV301" i="1"/>
  <c r="BD301" i="1" s="1"/>
  <c r="BO301" i="1"/>
  <c r="BW301" i="1" s="1"/>
  <c r="AC237" i="1"/>
  <c r="AK237" i="1" s="1"/>
  <c r="AV237" i="1"/>
  <c r="BD237" i="1" s="1"/>
  <c r="BO237" i="1"/>
  <c r="BW237" i="1" s="1"/>
  <c r="AC275" i="1"/>
  <c r="AK275" i="1" s="1"/>
  <c r="AV275" i="1"/>
  <c r="BD275" i="1" s="1"/>
  <c r="G275" i="14" s="1"/>
  <c r="BO275" i="1"/>
  <c r="BW275" i="1" s="1"/>
  <c r="H275" i="14" s="1"/>
  <c r="BO230" i="1"/>
  <c r="AC230" i="1"/>
  <c r="AV230" i="1"/>
  <c r="AV143" i="1"/>
  <c r="BD143" i="1" s="1"/>
  <c r="AC143" i="1"/>
  <c r="BO143" i="1"/>
  <c r="BW143" i="1" s="1"/>
  <c r="BO76" i="1"/>
  <c r="BW76" i="1" s="1"/>
  <c r="AV76" i="1"/>
  <c r="BD76" i="1" s="1"/>
  <c r="AC76" i="1"/>
  <c r="BO44" i="1"/>
  <c r="AC44" i="1"/>
  <c r="AV44" i="1"/>
  <c r="AC52" i="1"/>
  <c r="AK52" i="1" s="1"/>
  <c r="AV52" i="1"/>
  <c r="BD52" i="1" s="1"/>
  <c r="G52" i="14" s="1"/>
  <c r="BO52" i="1"/>
  <c r="AC11" i="1"/>
  <c r="BO11" i="1"/>
  <c r="AV11" i="1"/>
  <c r="AC58" i="1"/>
  <c r="BO58" i="1"/>
  <c r="AV58" i="1"/>
  <c r="BO25" i="1"/>
  <c r="AV25" i="1"/>
  <c r="AC25" i="1"/>
  <c r="BP321" i="1"/>
  <c r="AD321" i="1"/>
  <c r="AW321" i="1"/>
  <c r="AD235" i="1"/>
  <c r="BP235" i="1"/>
  <c r="AW235" i="1"/>
  <c r="AD367" i="1"/>
  <c r="BP367" i="1"/>
  <c r="AW367" i="1"/>
  <c r="BW613" i="1"/>
  <c r="BW617" i="1"/>
  <c r="H617" i="14" s="1"/>
  <c r="AB502" i="1"/>
  <c r="AK502" i="1" s="1"/>
  <c r="AU502" i="1"/>
  <c r="BD502" i="1" s="1"/>
  <c r="BN502" i="1"/>
  <c r="BN468" i="1"/>
  <c r="BW468" i="1" s="1"/>
  <c r="AB468" i="1"/>
  <c r="AK468" i="1" s="1"/>
  <c r="AU468" i="1"/>
  <c r="BD468" i="1" s="1"/>
  <c r="AB281" i="1"/>
  <c r="AU281" i="1"/>
  <c r="BD281" i="1" s="1"/>
  <c r="BN281" i="1"/>
  <c r="BW281" i="1" s="1"/>
  <c r="AU240" i="1"/>
  <c r="BD240" i="1" s="1"/>
  <c r="BN240" i="1"/>
  <c r="BW240" i="1" s="1"/>
  <c r="AB240" i="1"/>
  <c r="AK240" i="1" s="1"/>
  <c r="AB270" i="1"/>
  <c r="AK270" i="1" s="1"/>
  <c r="BN270" i="1"/>
  <c r="BW270" i="1" s="1"/>
  <c r="AU270" i="1"/>
  <c r="BD270" i="1" s="1"/>
  <c r="BN141" i="1"/>
  <c r="BW141" i="1" s="1"/>
  <c r="AB141" i="1"/>
  <c r="AK141" i="1" s="1"/>
  <c r="AU141" i="1"/>
  <c r="BD141" i="1" s="1"/>
  <c r="AB44" i="1"/>
  <c r="AU44" i="1"/>
  <c r="BN44" i="1"/>
  <c r="AB47" i="1"/>
  <c r="AU47" i="1"/>
  <c r="BN47" i="1"/>
  <c r="AB14" i="1"/>
  <c r="AK14" i="1" s="1"/>
  <c r="BN14" i="1"/>
  <c r="BW14" i="1" s="1"/>
  <c r="AU14" i="1"/>
  <c r="BD14" i="1" s="1"/>
  <c r="AB31" i="1"/>
  <c r="AK31" i="1" s="1"/>
  <c r="BN31" i="1"/>
  <c r="AU31" i="1"/>
  <c r="BD31" i="1" s="1"/>
  <c r="AU37" i="1"/>
  <c r="BN37" i="1"/>
  <c r="AB37" i="1"/>
  <c r="BP242" i="1"/>
  <c r="AD242" i="1"/>
  <c r="AW242" i="1"/>
  <c r="AD138" i="1"/>
  <c r="AW138" i="1"/>
  <c r="BP138" i="1"/>
  <c r="BP69" i="1"/>
  <c r="AW69" i="1"/>
  <c r="AD69" i="1"/>
  <c r="BP622" i="1"/>
  <c r="AD622" i="1"/>
  <c r="AW622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D22" i="1"/>
  <c r="AW22" i="1"/>
  <c r="BP22" i="1"/>
  <c r="AV610" i="1"/>
  <c r="BO610" i="1"/>
  <c r="AC610" i="1"/>
  <c r="BO493" i="1"/>
  <c r="BW493" i="1" s="1"/>
  <c r="AC493" i="1"/>
  <c r="AK493" i="1" s="1"/>
  <c r="AV493" i="1"/>
  <c r="BD493" i="1" s="1"/>
  <c r="BO463" i="1"/>
  <c r="AC463" i="1"/>
  <c r="AV463" i="1"/>
  <c r="AC371" i="1"/>
  <c r="AK371" i="1" s="1"/>
  <c r="AV371" i="1"/>
  <c r="BD371" i="1" s="1"/>
  <c r="G371" i="14" s="1"/>
  <c r="BO371" i="1"/>
  <c r="BW371" i="1" s="1"/>
  <c r="H371" i="14" s="1"/>
  <c r="AV359" i="1"/>
  <c r="BD359" i="1" s="1"/>
  <c r="AC359" i="1"/>
  <c r="AK359" i="1" s="1"/>
  <c r="BO359" i="1"/>
  <c r="BW359" i="1" s="1"/>
  <c r="H359" i="14" s="1"/>
  <c r="AC186" i="1"/>
  <c r="BO186" i="1"/>
  <c r="AV186" i="1"/>
  <c r="AC178" i="1"/>
  <c r="BO178" i="1"/>
  <c r="AV178" i="1"/>
  <c r="AV273" i="1"/>
  <c r="BD273" i="1" s="1"/>
  <c r="BO273" i="1"/>
  <c r="BW273" i="1" s="1"/>
  <c r="AC273" i="1"/>
  <c r="AK273" i="1" s="1"/>
  <c r="AV177" i="1"/>
  <c r="AC177" i="1"/>
  <c r="BO177" i="1"/>
  <c r="BO70" i="1"/>
  <c r="AC70" i="1"/>
  <c r="AV70" i="1"/>
  <c r="AV145" i="1"/>
  <c r="BD145" i="1" s="1"/>
  <c r="AC145" i="1"/>
  <c r="AK145" i="1" s="1"/>
  <c r="BO145" i="1"/>
  <c r="BW145" i="1" s="1"/>
  <c r="AC28" i="1"/>
  <c r="AV28" i="1"/>
  <c r="BO28" i="1"/>
  <c r="AC68" i="1"/>
  <c r="AK68" i="1" s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AK613" i="1"/>
  <c r="BD617" i="1"/>
  <c r="G608" i="14"/>
  <c r="H608" i="14"/>
  <c r="H370" i="14"/>
  <c r="G370" i="14"/>
  <c r="H606" i="14"/>
  <c r="G372" i="14"/>
  <c r="G360" i="14"/>
  <c r="H360" i="14"/>
  <c r="G274" i="14"/>
  <c r="H274" i="14"/>
  <c r="G6" i="14"/>
  <c r="G143" i="14"/>
  <c r="H143" i="14"/>
  <c r="H280" i="14"/>
  <c r="G280" i="14"/>
  <c r="AB2" i="1"/>
  <c r="AU2" i="1"/>
  <c r="BN2" i="1"/>
  <c r="H243" i="14"/>
  <c r="G243" i="14"/>
  <c r="G190" i="14"/>
  <c r="H190" i="14"/>
  <c r="G493" i="14"/>
  <c r="H493" i="14"/>
  <c r="G359" i="14"/>
  <c r="G273" i="14"/>
  <c r="H273" i="14"/>
  <c r="G145" i="14"/>
  <c r="H145" i="14"/>
  <c r="G192" i="14"/>
  <c r="H192" i="14"/>
  <c r="AD2" i="1"/>
  <c r="AW2" i="1"/>
  <c r="BP2" i="1"/>
  <c r="H491" i="14"/>
  <c r="G491" i="14"/>
  <c r="G368" i="14"/>
  <c r="G405" i="14"/>
  <c r="H405" i="14"/>
  <c r="G331" i="14"/>
  <c r="G490" i="14"/>
  <c r="H490" i="14"/>
  <c r="G445" i="14"/>
  <c r="H445" i="14"/>
  <c r="G364" i="14"/>
  <c r="H364" i="14"/>
  <c r="G299" i="14"/>
  <c r="H299" i="14"/>
  <c r="G238" i="14"/>
  <c r="H238" i="14"/>
  <c r="H304" i="14"/>
  <c r="G304" i="14"/>
  <c r="G333" i="14"/>
  <c r="H333" i="14"/>
  <c r="G611" i="14"/>
  <c r="H611" i="14"/>
  <c r="H605" i="14"/>
  <c r="H569" i="14"/>
  <c r="G569" i="14"/>
  <c r="H302" i="14"/>
  <c r="G302" i="14"/>
  <c r="G314" i="14"/>
  <c r="H314" i="14"/>
  <c r="H266" i="14"/>
  <c r="G266" i="14"/>
  <c r="G312" i="14"/>
  <c r="H312" i="14"/>
  <c r="H267" i="14"/>
  <c r="H78" i="14"/>
  <c r="G7" i="14"/>
  <c r="G568" i="14"/>
  <c r="H568" i="14"/>
  <c r="H391" i="14"/>
  <c r="G391" i="14"/>
  <c r="H191" i="14"/>
  <c r="G65" i="14"/>
  <c r="H65" i="14"/>
  <c r="AC2" i="1"/>
  <c r="AV2" i="1"/>
  <c r="BO2" i="1"/>
  <c r="G4" i="14"/>
  <c r="G383" i="14"/>
  <c r="H383" i="14"/>
  <c r="H67" i="14"/>
  <c r="H489" i="14"/>
  <c r="G269" i="14"/>
  <c r="H269" i="14"/>
  <c r="G40" i="14"/>
  <c r="G290" i="14"/>
  <c r="H358" i="14"/>
  <c r="G358" i="14"/>
  <c r="G291" i="14"/>
  <c r="H291" i="14"/>
  <c r="G66" i="14"/>
  <c r="H66" i="14"/>
  <c r="F608" i="14"/>
  <c r="G619" i="14"/>
  <c r="H619" i="14"/>
  <c r="G195" i="14"/>
  <c r="H195" i="14"/>
  <c r="G617" i="14"/>
  <c r="H614" i="14"/>
  <c r="H90" i="14"/>
  <c r="G92" i="14"/>
  <c r="H92" i="14"/>
  <c r="G288" i="14"/>
  <c r="H288" i="14"/>
  <c r="G272" i="14"/>
  <c r="H272" i="14"/>
  <c r="G83" i="14"/>
  <c r="H49" i="14"/>
  <c r="BW47" i="1" l="1"/>
  <c r="BD47" i="1"/>
  <c r="BX266" i="1"/>
  <c r="BX613" i="1"/>
  <c r="BD276" i="1"/>
  <c r="BW77" i="1"/>
  <c r="AK283" i="1"/>
  <c r="AK609" i="1"/>
  <c r="BW71" i="1"/>
  <c r="BW283" i="1"/>
  <c r="BW13" i="1"/>
  <c r="AK614" i="1"/>
  <c r="BW279" i="1"/>
  <c r="AK281" i="1"/>
  <c r="BW31" i="1"/>
  <c r="BD53" i="1"/>
  <c r="AK36" i="1"/>
  <c r="AK79" i="1"/>
  <c r="BW502" i="1"/>
  <c r="BD355" i="1"/>
  <c r="AK51" i="1"/>
  <c r="AK355" i="1"/>
  <c r="BD90" i="1"/>
  <c r="G90" i="14" s="1"/>
  <c r="BW368" i="1"/>
  <c r="H368" i="14" s="1"/>
  <c r="BX391" i="1"/>
  <c r="BX464" i="1"/>
  <c r="BX275" i="1"/>
  <c r="BX568" i="1"/>
  <c r="AK284" i="1"/>
  <c r="BD279" i="1"/>
  <c r="AK354" i="1"/>
  <c r="BW354" i="1"/>
  <c r="BX290" i="1"/>
  <c r="BD77" i="1"/>
  <c r="AK71" i="1"/>
  <c r="BW142" i="1"/>
  <c r="H142" i="14" s="1"/>
  <c r="AK93" i="1"/>
  <c r="AK73" i="1"/>
  <c r="AK142" i="1"/>
  <c r="BD13" i="1"/>
  <c r="BW36" i="1"/>
  <c r="BD51" i="1"/>
  <c r="BW52" i="1"/>
  <c r="H52" i="14" s="1"/>
  <c r="AK21" i="1"/>
  <c r="BX21" i="1" s="1"/>
  <c r="BX49" i="1"/>
  <c r="AK320" i="1"/>
  <c r="BX267" i="1"/>
  <c r="AK23" i="1"/>
  <c r="BX493" i="1"/>
  <c r="BX31" i="1"/>
  <c r="BX301" i="1"/>
  <c r="BX192" i="1"/>
  <c r="BX608" i="1"/>
  <c r="AK47" i="1"/>
  <c r="BW320" i="1"/>
  <c r="BX284" i="1"/>
  <c r="BX291" i="1"/>
  <c r="BD612" i="1"/>
  <c r="G612" i="14" s="1"/>
  <c r="AK37" i="1"/>
  <c r="BW73" i="1"/>
  <c r="BD44" i="1"/>
  <c r="BX237" i="1"/>
  <c r="BX66" i="1"/>
  <c r="AK368" i="1"/>
  <c r="BD41" i="1"/>
  <c r="BX92" i="1"/>
  <c r="BW234" i="1"/>
  <c r="AK22" i="1"/>
  <c r="BD56" i="1"/>
  <c r="BD278" i="1"/>
  <c r="BD11" i="1"/>
  <c r="AK230" i="1"/>
  <c r="AK322" i="1"/>
  <c r="BX620" i="1"/>
  <c r="BY620" i="1" s="1"/>
  <c r="BD18" i="1"/>
  <c r="BD187" i="1"/>
  <c r="BW26" i="1"/>
  <c r="BD188" i="1"/>
  <c r="BD68" i="1"/>
  <c r="BW607" i="1"/>
  <c r="BX359" i="1"/>
  <c r="BX502" i="1"/>
  <c r="BX185" i="1"/>
  <c r="BX364" i="1"/>
  <c r="BD25" i="1"/>
  <c r="AK612" i="1"/>
  <c r="K620" i="14"/>
  <c r="L620" i="14"/>
  <c r="I620" i="14"/>
  <c r="J620" i="14"/>
  <c r="K493" i="14"/>
  <c r="L493" i="14"/>
  <c r="BY493" i="1"/>
  <c r="I493" i="14"/>
  <c r="J493" i="14"/>
  <c r="BY31" i="1"/>
  <c r="J31" i="14"/>
  <c r="K31" i="14"/>
  <c r="L31" i="14"/>
  <c r="I31" i="14"/>
  <c r="BY301" i="1"/>
  <c r="I301" i="14"/>
  <c r="L301" i="14"/>
  <c r="J301" i="14"/>
  <c r="K301" i="14"/>
  <c r="BY192" i="1"/>
  <c r="I192" i="14"/>
  <c r="J192" i="14"/>
  <c r="K192" i="14"/>
  <c r="L192" i="14"/>
  <c r="BX36" i="1"/>
  <c r="BX239" i="1"/>
  <c r="BD311" i="1"/>
  <c r="G311" i="14" s="1"/>
  <c r="BW20" i="1"/>
  <c r="J266" i="14"/>
  <c r="K266" i="14"/>
  <c r="BY266" i="1"/>
  <c r="I266" i="14"/>
  <c r="L266" i="14"/>
  <c r="BW235" i="1"/>
  <c r="L608" i="14"/>
  <c r="BY608" i="1"/>
  <c r="I608" i="14"/>
  <c r="J608" i="14"/>
  <c r="K608" i="14"/>
  <c r="BD365" i="1"/>
  <c r="G365" i="14" s="1"/>
  <c r="BW622" i="1"/>
  <c r="BW466" i="1"/>
  <c r="AK43" i="1"/>
  <c r="BX141" i="1"/>
  <c r="BX468" i="1"/>
  <c r="BW23" i="1"/>
  <c r="AK234" i="1"/>
  <c r="BX611" i="1"/>
  <c r="BX360" i="1"/>
  <c r="BX190" i="1"/>
  <c r="BW22" i="1"/>
  <c r="AK56" i="1"/>
  <c r="BW278" i="1"/>
  <c r="BW11" i="1"/>
  <c r="BW230" i="1"/>
  <c r="BD322" i="1"/>
  <c r="BX358" i="1"/>
  <c r="AK18" i="1"/>
  <c r="BW187" i="1"/>
  <c r="BW80" i="1"/>
  <c r="BD17" i="1"/>
  <c r="G17" i="14" s="1"/>
  <c r="AK137" i="1"/>
  <c r="BW465" i="1"/>
  <c r="H465" i="14" s="1"/>
  <c r="AK311" i="1"/>
  <c r="BD20" i="1"/>
  <c r="AK279" i="1"/>
  <c r="AK41" i="1"/>
  <c r="AK235" i="1"/>
  <c r="BW46" i="1"/>
  <c r="BW19" i="1"/>
  <c r="BD139" i="1"/>
  <c r="AK470" i="1"/>
  <c r="BD73" i="1"/>
  <c r="AK77" i="1"/>
  <c r="AK622" i="1"/>
  <c r="AK466" i="1"/>
  <c r="BX331" i="1"/>
  <c r="BD43" i="1"/>
  <c r="BX238" i="1"/>
  <c r="BX14" i="1"/>
  <c r="BX270" i="1"/>
  <c r="BX52" i="1"/>
  <c r="BX355" i="1"/>
  <c r="BX274" i="1"/>
  <c r="AK55" i="1"/>
  <c r="BX6" i="1"/>
  <c r="BD22" i="1"/>
  <c r="BW56" i="1"/>
  <c r="AK278" i="1"/>
  <c r="AK11" i="1"/>
  <c r="BX11" i="1" s="1"/>
  <c r="BD230" i="1"/>
  <c r="BW322" i="1"/>
  <c r="BW18" i="1"/>
  <c r="AK187" i="1"/>
  <c r="BD80" i="1"/>
  <c r="G80" i="14" s="1"/>
  <c r="BW17" i="1"/>
  <c r="BD137" i="1"/>
  <c r="AK465" i="1"/>
  <c r="BX65" i="1"/>
  <c r="BW311" i="1"/>
  <c r="H311" i="14" s="1"/>
  <c r="AK20" i="1"/>
  <c r="BX269" i="1"/>
  <c r="BX302" i="1"/>
  <c r="BX4" i="1"/>
  <c r="BW79" i="1"/>
  <c r="BW241" i="1"/>
  <c r="BD46" i="1"/>
  <c r="G46" i="14" s="1"/>
  <c r="BD19" i="1"/>
  <c r="BW139" i="1"/>
  <c r="BD470" i="1"/>
  <c r="G470" i="14" s="1"/>
  <c r="BX299" i="1"/>
  <c r="BW28" i="1"/>
  <c r="BD138" i="1"/>
  <c r="G138" i="14" s="1"/>
  <c r="BX368" i="1"/>
  <c r="BW43" i="1"/>
  <c r="BW68" i="1"/>
  <c r="BX372" i="1"/>
  <c r="BX243" i="1"/>
  <c r="BX280" i="1"/>
  <c r="AK232" i="1"/>
  <c r="BD319" i="1"/>
  <c r="BW27" i="1"/>
  <c r="BX286" i="1"/>
  <c r="BD463" i="1"/>
  <c r="G463" i="14" s="1"/>
  <c r="AK17" i="1"/>
  <c r="BW137" i="1"/>
  <c r="BD465" i="1"/>
  <c r="G465" i="14" s="1"/>
  <c r="AK607" i="1"/>
  <c r="BX40" i="1"/>
  <c r="BW178" i="1"/>
  <c r="H178" i="14" s="1"/>
  <c r="AK241" i="1"/>
  <c r="AK46" i="1"/>
  <c r="AK19" i="1"/>
  <c r="AK139" i="1"/>
  <c r="BW470" i="1"/>
  <c r="H470" i="14" s="1"/>
  <c r="BX370" i="1"/>
  <c r="BX490" i="1"/>
  <c r="BD28" i="1"/>
  <c r="BW138" i="1"/>
  <c r="BD366" i="1"/>
  <c r="G366" i="14" s="1"/>
  <c r="AK15" i="1"/>
  <c r="BD45" i="1"/>
  <c r="AK313" i="1"/>
  <c r="J359" i="14"/>
  <c r="K359" i="14"/>
  <c r="L359" i="14"/>
  <c r="BY359" i="1"/>
  <c r="I359" i="14"/>
  <c r="J502" i="14"/>
  <c r="K502" i="14"/>
  <c r="L502" i="14"/>
  <c r="BY502" i="1"/>
  <c r="I502" i="14"/>
  <c r="BX48" i="1"/>
  <c r="K185" i="14"/>
  <c r="BY185" i="1"/>
  <c r="I185" i="14"/>
  <c r="J185" i="14"/>
  <c r="L185" i="14"/>
  <c r="BY49" i="1"/>
  <c r="I49" i="14"/>
  <c r="J49" i="14"/>
  <c r="K49" i="14"/>
  <c r="BW232" i="1"/>
  <c r="H232" i="14" s="1"/>
  <c r="AK319" i="1"/>
  <c r="BD27" i="1"/>
  <c r="BY290" i="1"/>
  <c r="I290" i="14"/>
  <c r="J290" i="14"/>
  <c r="K290" i="14"/>
  <c r="L290" i="14"/>
  <c r="BW463" i="1"/>
  <c r="H463" i="14" s="1"/>
  <c r="BD242" i="1"/>
  <c r="G242" i="14" s="1"/>
  <c r="BD5" i="1"/>
  <c r="BW231" i="1"/>
  <c r="BD616" i="1"/>
  <c r="G616" i="14" s="1"/>
  <c r="BX354" i="1"/>
  <c r="BD178" i="1"/>
  <c r="G178" i="14" s="1"/>
  <c r="BD241" i="1"/>
  <c r="BD277" i="1"/>
  <c r="BW50" i="1"/>
  <c r="I267" i="14"/>
  <c r="K267" i="14"/>
  <c r="L267" i="14"/>
  <c r="J267" i="14"/>
  <c r="BY267" i="1"/>
  <c r="BD618" i="1"/>
  <c r="AK191" i="1"/>
  <c r="BX191" i="1" s="1"/>
  <c r="AK28" i="1"/>
  <c r="AK138" i="1"/>
  <c r="AK366" i="1"/>
  <c r="BD15" i="1"/>
  <c r="AK45" i="1"/>
  <c r="BD313" i="1"/>
  <c r="G313" i="14" s="1"/>
  <c r="BX371" i="1"/>
  <c r="BX617" i="1"/>
  <c r="BD367" i="1"/>
  <c r="BX276" i="1"/>
  <c r="BD12" i="1"/>
  <c r="BD321" i="1"/>
  <c r="AK143" i="1"/>
  <c r="BD232" i="1"/>
  <c r="BW319" i="1"/>
  <c r="AK27" i="1"/>
  <c r="BX505" i="1"/>
  <c r="AK72" i="1"/>
  <c r="BX90" i="1"/>
  <c r="AK463" i="1"/>
  <c r="BX67" i="1"/>
  <c r="AK242" i="1"/>
  <c r="BX195" i="1"/>
  <c r="AK5" i="1"/>
  <c r="BD231" i="1"/>
  <c r="BW616" i="1"/>
  <c r="H616" i="14" s="1"/>
  <c r="BD607" i="1"/>
  <c r="G607" i="14" s="1"/>
  <c r="AK178" i="1"/>
  <c r="AK58" i="1"/>
  <c r="BD91" i="1"/>
  <c r="G91" i="14" s="1"/>
  <c r="AK467" i="1"/>
  <c r="BW277" i="1"/>
  <c r="BD50" i="1"/>
  <c r="BW618" i="1"/>
  <c r="H618" i="14" s="1"/>
  <c r="BW10" i="1"/>
  <c r="BD184" i="1"/>
  <c r="BW366" i="1"/>
  <c r="H366" i="14" s="1"/>
  <c r="AK76" i="1"/>
  <c r="BX76" i="1" s="1"/>
  <c r="BW15" i="1"/>
  <c r="BW45" i="1"/>
  <c r="BW313" i="1"/>
  <c r="BX273" i="1"/>
  <c r="BX47" i="1"/>
  <c r="BX240" i="1"/>
  <c r="AK367" i="1"/>
  <c r="BW25" i="1"/>
  <c r="BW12" i="1"/>
  <c r="BW321" i="1"/>
  <c r="BD34" i="1"/>
  <c r="G34" i="14" s="1"/>
  <c r="BD320" i="1"/>
  <c r="BX320" i="1" s="1"/>
  <c r="BD57" i="1"/>
  <c r="BX619" i="1"/>
  <c r="AK381" i="1"/>
  <c r="AK24" i="1"/>
  <c r="AK54" i="1"/>
  <c r="AK233" i="1"/>
  <c r="AK504" i="1"/>
  <c r="BW242" i="1"/>
  <c r="H242" i="14" s="1"/>
  <c r="BW5" i="1"/>
  <c r="AK231" i="1"/>
  <c r="AK616" i="1"/>
  <c r="BD93" i="1"/>
  <c r="G93" i="14" s="1"/>
  <c r="BD39" i="1"/>
  <c r="BX569" i="1"/>
  <c r="BD58" i="1"/>
  <c r="AK91" i="1"/>
  <c r="BD467" i="1"/>
  <c r="AK277" i="1"/>
  <c r="AK50" i="1"/>
  <c r="AK618" i="1"/>
  <c r="BD10" i="1"/>
  <c r="BW184" i="1"/>
  <c r="BD63" i="1"/>
  <c r="BW16" i="1"/>
  <c r="AK140" i="1"/>
  <c r="BW469" i="1"/>
  <c r="BY613" i="1"/>
  <c r="I613" i="14"/>
  <c r="J613" i="14"/>
  <c r="K613" i="14"/>
  <c r="L613" i="14"/>
  <c r="BY275" i="1"/>
  <c r="I275" i="14"/>
  <c r="J275" i="14"/>
  <c r="K275" i="14"/>
  <c r="L275" i="14"/>
  <c r="BW367" i="1"/>
  <c r="H367" i="14" s="1"/>
  <c r="BX80" i="1"/>
  <c r="AK25" i="1"/>
  <c r="BX64" i="1"/>
  <c r="BX77" i="1"/>
  <c r="BX287" i="1"/>
  <c r="AK12" i="1"/>
  <c r="AK176" i="1"/>
  <c r="BX176" i="1" s="1"/>
  <c r="AK321" i="1"/>
  <c r="AK34" i="1"/>
  <c r="AK53" i="1"/>
  <c r="BX53" i="1" s="1"/>
  <c r="BY284" i="1"/>
  <c r="I284" i="14"/>
  <c r="J284" i="14"/>
  <c r="K284" i="14"/>
  <c r="L284" i="14"/>
  <c r="BD381" i="1"/>
  <c r="G381" i="14" s="1"/>
  <c r="BX71" i="1"/>
  <c r="BW24" i="1"/>
  <c r="J291" i="14"/>
  <c r="K291" i="14"/>
  <c r="L291" i="14"/>
  <c r="BY291" i="1"/>
  <c r="CJ291" i="1" s="1"/>
  <c r="I291" i="14"/>
  <c r="BW54" i="1"/>
  <c r="BW233" i="1"/>
  <c r="BW504" i="1"/>
  <c r="BW353" i="1"/>
  <c r="H353" i="14" s="1"/>
  <c r="BW60" i="1"/>
  <c r="BW282" i="1"/>
  <c r="BD615" i="1"/>
  <c r="G615" i="14" s="1"/>
  <c r="AK39" i="1"/>
  <c r="BW58" i="1"/>
  <c r="BW91" i="1"/>
  <c r="BW467" i="1"/>
  <c r="BX103" i="1"/>
  <c r="BW356" i="1"/>
  <c r="BD42" i="1"/>
  <c r="BW236" i="1"/>
  <c r="BW621" i="1"/>
  <c r="AK10" i="1"/>
  <c r="AK184" i="1"/>
  <c r="AK63" i="1"/>
  <c r="BX405" i="1"/>
  <c r="BD16" i="1"/>
  <c r="BD140" i="1"/>
  <c r="BD469" i="1"/>
  <c r="BW44" i="1"/>
  <c r="BX281" i="1"/>
  <c r="BD8" i="1"/>
  <c r="BD177" i="1"/>
  <c r="BX489" i="1"/>
  <c r="BD142" i="1"/>
  <c r="G142" i="14" s="1"/>
  <c r="BW38" i="1"/>
  <c r="BX283" i="1"/>
  <c r="BW34" i="1"/>
  <c r="BW57" i="1"/>
  <c r="BW381" i="1"/>
  <c r="H381" i="14" s="1"/>
  <c r="BD24" i="1"/>
  <c r="BD54" i="1"/>
  <c r="BD233" i="1"/>
  <c r="BD504" i="1"/>
  <c r="AK353" i="1"/>
  <c r="AK60" i="1"/>
  <c r="AK282" i="1"/>
  <c r="AK615" i="1"/>
  <c r="BW93" i="1"/>
  <c r="H93" i="14" s="1"/>
  <c r="L391" i="14"/>
  <c r="BY391" i="1"/>
  <c r="I391" i="14"/>
  <c r="J391" i="14"/>
  <c r="K391" i="14"/>
  <c r="BW39" i="1"/>
  <c r="BY464" i="1"/>
  <c r="I464" i="14"/>
  <c r="J464" i="14"/>
  <c r="K464" i="14"/>
  <c r="L464" i="14"/>
  <c r="BD32" i="1"/>
  <c r="AK268" i="1"/>
  <c r="AK42" i="1"/>
  <c r="AK236" i="1"/>
  <c r="AK621" i="1"/>
  <c r="J364" i="14"/>
  <c r="BY364" i="1"/>
  <c r="K364" i="14"/>
  <c r="L364" i="14"/>
  <c r="I364" i="14"/>
  <c r="BD29" i="1"/>
  <c r="BD189" i="1"/>
  <c r="BW63" i="1"/>
  <c r="BX491" i="1"/>
  <c r="AK16" i="1"/>
  <c r="BW140" i="1"/>
  <c r="AK469" i="1"/>
  <c r="BW37" i="1"/>
  <c r="J237" i="14"/>
  <c r="K237" i="14"/>
  <c r="BY237" i="1"/>
  <c r="I237" i="14"/>
  <c r="L237" i="14"/>
  <c r="BW8" i="1"/>
  <c r="BW177" i="1"/>
  <c r="BD38" i="1"/>
  <c r="BW35" i="1"/>
  <c r="BX35" i="1" s="1"/>
  <c r="BW186" i="1"/>
  <c r="BD61" i="1"/>
  <c r="G61" i="14" s="1"/>
  <c r="BD289" i="1"/>
  <c r="G289" i="14" s="1"/>
  <c r="BW70" i="1"/>
  <c r="BW357" i="1"/>
  <c r="K66" i="14"/>
  <c r="L66" i="14"/>
  <c r="I66" i="14"/>
  <c r="BY66" i="1"/>
  <c r="J66" i="14"/>
  <c r="BD353" i="1"/>
  <c r="BD282" i="1"/>
  <c r="G282" i="14" s="1"/>
  <c r="BW615" i="1"/>
  <c r="BY568" i="1"/>
  <c r="I568" i="14"/>
  <c r="J568" i="14"/>
  <c r="K568" i="14"/>
  <c r="L568" i="14"/>
  <c r="AK9" i="1"/>
  <c r="F9" i="14" s="1"/>
  <c r="BW69" i="1"/>
  <c r="H69" i="14" s="1"/>
  <c r="BW610" i="1"/>
  <c r="H610" i="14" s="1"/>
  <c r="BX193" i="1"/>
  <c r="BX314" i="1"/>
  <c r="AK32" i="1"/>
  <c r="BD268" i="1"/>
  <c r="G268" i="14" s="1"/>
  <c r="BX333" i="1"/>
  <c r="BD356" i="1"/>
  <c r="BW42" i="1"/>
  <c r="BD236" i="1"/>
  <c r="BD621" i="1"/>
  <c r="AK29" i="1"/>
  <c r="BW189" i="1"/>
  <c r="AK3" i="1"/>
  <c r="BW271" i="1"/>
  <c r="AK503" i="1"/>
  <c r="BX145" i="1"/>
  <c r="BD37" i="1"/>
  <c r="AK44" i="1"/>
  <c r="AK8" i="1"/>
  <c r="AK177" i="1"/>
  <c r="AK38" i="1"/>
  <c r="BW609" i="1"/>
  <c r="BX83" i="1"/>
  <c r="BX272" i="1"/>
  <c r="BD186" i="1"/>
  <c r="BW61" i="1"/>
  <c r="BW289" i="1"/>
  <c r="BX13" i="1"/>
  <c r="BD70" i="1"/>
  <c r="BD357" i="1"/>
  <c r="BD26" i="1"/>
  <c r="G26" i="14" s="1"/>
  <c r="BW188" i="1"/>
  <c r="BD9" i="1"/>
  <c r="G9" i="14" s="1"/>
  <c r="BD69" i="1"/>
  <c r="G69" i="14" s="1"/>
  <c r="BD610" i="1"/>
  <c r="G610" i="14" s="1"/>
  <c r="BX605" i="1"/>
  <c r="BW32" i="1"/>
  <c r="BW268" i="1"/>
  <c r="H268" i="14" s="1"/>
  <c r="BD72" i="1"/>
  <c r="BW365" i="1"/>
  <c r="H365" i="14" s="1"/>
  <c r="BX304" i="1"/>
  <c r="BX7" i="1"/>
  <c r="BW29" i="1"/>
  <c r="AK189" i="1"/>
  <c r="BW3" i="1"/>
  <c r="AK271" i="1"/>
  <c r="BD503" i="1"/>
  <c r="BX143" i="1"/>
  <c r="BD23" i="1"/>
  <c r="BX23" i="1" s="1"/>
  <c r="BD234" i="1"/>
  <c r="BX606" i="1"/>
  <c r="BX288" i="1"/>
  <c r="AK186" i="1"/>
  <c r="AK61" i="1"/>
  <c r="AK289" i="1"/>
  <c r="AK70" i="1"/>
  <c r="AK357" i="1"/>
  <c r="I92" i="14"/>
  <c r="J92" i="14"/>
  <c r="K92" i="14"/>
  <c r="L92" i="14"/>
  <c r="BY92" i="1"/>
  <c r="BD59" i="1"/>
  <c r="BX59" i="1" s="1"/>
  <c r="AK285" i="1"/>
  <c r="BD614" i="1"/>
  <c r="G614" i="14" s="1"/>
  <c r="BX383" i="1"/>
  <c r="AK26" i="1"/>
  <c r="AK188" i="1"/>
  <c r="BW9" i="1"/>
  <c r="AK69" i="1"/>
  <c r="AK610" i="1"/>
  <c r="BW41" i="1"/>
  <c r="BD235" i="1"/>
  <c r="BX235" i="1" s="1"/>
  <c r="AK57" i="1"/>
  <c r="BW72" i="1"/>
  <c r="AK365" i="1"/>
  <c r="BX78" i="1"/>
  <c r="BX312" i="1"/>
  <c r="BX445" i="1"/>
  <c r="BD622" i="1"/>
  <c r="BD466" i="1"/>
  <c r="BD3" i="1"/>
  <c r="BD271" i="1"/>
  <c r="BW503" i="1"/>
  <c r="H503" i="14" s="1"/>
  <c r="H613" i="14"/>
  <c r="G285" i="14"/>
  <c r="G237" i="14"/>
  <c r="G18" i="14"/>
  <c r="F612" i="14"/>
  <c r="H612" i="14"/>
  <c r="G79" i="14"/>
  <c r="G28" i="14"/>
  <c r="G609" i="14"/>
  <c r="G49" i="14"/>
  <c r="G54" i="14"/>
  <c r="F83" i="14"/>
  <c r="F17" i="14"/>
  <c r="F4" i="14"/>
  <c r="F7" i="14"/>
  <c r="F54" i="14"/>
  <c r="F5" i="14"/>
  <c r="F28" i="14"/>
  <c r="F46" i="14"/>
  <c r="F40" i="14"/>
  <c r="F6" i="14"/>
  <c r="F60" i="14"/>
  <c r="H80" i="14"/>
  <c r="H91" i="14"/>
  <c r="H237" i="14"/>
  <c r="H289" i="14"/>
  <c r="H504" i="14"/>
  <c r="G504" i="14"/>
  <c r="H282" i="14"/>
  <c r="G188" i="14"/>
  <c r="H464" i="14"/>
  <c r="G489" i="14"/>
  <c r="G51" i="14"/>
  <c r="H372" i="14"/>
  <c r="H607" i="14"/>
  <c r="H51" i="14"/>
  <c r="H59" i="14"/>
  <c r="G59" i="14"/>
  <c r="G103" i="14"/>
  <c r="G137" i="14"/>
  <c r="F606" i="14"/>
  <c r="F620" i="14"/>
  <c r="H277" i="14"/>
  <c r="H354" i="14"/>
  <c r="H279" i="14"/>
  <c r="G277" i="14"/>
  <c r="F243" i="14"/>
  <c r="G353" i="14"/>
  <c r="G39" i="14"/>
  <c r="G354" i="14"/>
  <c r="G279" i="14"/>
  <c r="F192" i="14"/>
  <c r="F370" i="14"/>
  <c r="H103" i="14"/>
  <c r="H356" i="14"/>
  <c r="H73" i="14"/>
  <c r="H301" i="14"/>
  <c r="G356" i="14"/>
  <c r="G73" i="14"/>
  <c r="G301" i="14"/>
  <c r="F195" i="14"/>
  <c r="H72" i="14"/>
  <c r="H45" i="14"/>
  <c r="H44" i="14"/>
  <c r="H139" i="14"/>
  <c r="G72" i="14"/>
  <c r="G45" i="14"/>
  <c r="G44" i="14"/>
  <c r="G25" i="14"/>
  <c r="H355" i="14"/>
  <c r="F92" i="14"/>
  <c r="G139" i="14"/>
  <c r="F72" i="14"/>
  <c r="G355" i="14"/>
  <c r="H138" i="14"/>
  <c r="H177" i="14"/>
  <c r="F190" i="14"/>
  <c r="G177" i="14"/>
  <c r="G191" i="14"/>
  <c r="G50" i="14"/>
  <c r="G193" i="14"/>
  <c r="H15" i="14"/>
  <c r="G60" i="14"/>
  <c r="G15" i="14"/>
  <c r="G20" i="14"/>
  <c r="H285" i="14"/>
  <c r="G320" i="14"/>
  <c r="G141" i="14"/>
  <c r="G267" i="14"/>
  <c r="G233" i="14"/>
  <c r="F617" i="14"/>
  <c r="F613" i="14"/>
  <c r="F291" i="14"/>
  <c r="H467" i="14"/>
  <c r="H19" i="14"/>
  <c r="H622" i="14"/>
  <c r="H466" i="14"/>
  <c r="F304" i="14"/>
  <c r="F73" i="14"/>
  <c r="F445" i="14"/>
  <c r="H240" i="14"/>
  <c r="H185" i="14"/>
  <c r="H319" i="14"/>
  <c r="H230" i="14"/>
  <c r="G467" i="14"/>
  <c r="G466" i="14"/>
  <c r="H37" i="14"/>
  <c r="H281" i="14"/>
  <c r="G48" i="14"/>
  <c r="G185" i="14"/>
  <c r="G12" i="14"/>
  <c r="G55" i="14"/>
  <c r="G21" i="14"/>
  <c r="G319" i="14"/>
  <c r="G230" i="14"/>
  <c r="H322" i="14"/>
  <c r="G187" i="14"/>
  <c r="G19" i="14"/>
  <c r="H320" i="14"/>
  <c r="F80" i="14"/>
  <c r="F467" i="14"/>
  <c r="H469" i="14"/>
  <c r="F490" i="14"/>
  <c r="G37" i="14"/>
  <c r="G281" i="14"/>
  <c r="F185" i="14"/>
  <c r="F145" i="14"/>
  <c r="F143" i="14"/>
  <c r="F301" i="14"/>
  <c r="F360" i="14"/>
  <c r="G322" i="14"/>
  <c r="F242" i="14"/>
  <c r="G469" i="14"/>
  <c r="F299" i="14"/>
  <c r="F281" i="14"/>
  <c r="F491" i="14"/>
  <c r="H276" i="14"/>
  <c r="H176" i="14"/>
  <c r="G321" i="14"/>
  <c r="G284" i="14"/>
  <c r="H27" i="14"/>
  <c r="H286" i="14"/>
  <c r="G32" i="14"/>
  <c r="F469" i="14"/>
  <c r="H140" i="14"/>
  <c r="H468" i="14"/>
  <c r="H141" i="14"/>
  <c r="H621" i="14"/>
  <c r="G64" i="14"/>
  <c r="G276" i="14"/>
  <c r="G176" i="14"/>
  <c r="F321" i="14"/>
  <c r="G57" i="14"/>
  <c r="F372" i="14"/>
  <c r="G27" i="14"/>
  <c r="G286" i="14"/>
  <c r="F272" i="14"/>
  <c r="F288" i="14"/>
  <c r="F61" i="14"/>
  <c r="F289" i="14"/>
  <c r="H137" i="14"/>
  <c r="F358" i="14"/>
  <c r="F67" i="14"/>
  <c r="F65" i="14"/>
  <c r="F191" i="14"/>
  <c r="F193" i="14"/>
  <c r="F314" i="14"/>
  <c r="G140" i="14"/>
  <c r="G468" i="14"/>
  <c r="G31" i="14"/>
  <c r="G621" i="14"/>
  <c r="F276" i="14"/>
  <c r="F493" i="14"/>
  <c r="H321" i="14"/>
  <c r="H284" i="14"/>
  <c r="F274" i="14"/>
  <c r="F66" i="14"/>
  <c r="F233" i="14"/>
  <c r="H235" i="14"/>
  <c r="H236" i="14"/>
  <c r="H502" i="14"/>
  <c r="G184" i="14"/>
  <c r="F140" i="14"/>
  <c r="F468" i="14"/>
  <c r="H283" i="14"/>
  <c r="H186" i="14"/>
  <c r="H71" i="14"/>
  <c r="G41" i="14"/>
  <c r="G235" i="14"/>
  <c r="G42" i="14"/>
  <c r="G236" i="14"/>
  <c r="G502" i="14"/>
  <c r="F277" i="14"/>
  <c r="H271" i="14"/>
  <c r="H270" i="14"/>
  <c r="H505" i="14"/>
  <c r="G38" i="14"/>
  <c r="G35" i="14"/>
  <c r="G186" i="14"/>
  <c r="G71" i="14"/>
  <c r="H233" i="14"/>
  <c r="H231" i="14"/>
  <c r="F235" i="14"/>
  <c r="F354" i="14"/>
  <c r="F502" i="14"/>
  <c r="F279" i="14"/>
  <c r="H29" i="14"/>
  <c r="H189" i="14"/>
  <c r="G271" i="14"/>
  <c r="G270" i="14"/>
  <c r="G505" i="14"/>
  <c r="F359" i="14"/>
  <c r="G283" i="14"/>
  <c r="F275" i="14"/>
  <c r="F287" i="14"/>
  <c r="G24" i="14"/>
  <c r="G231" i="14"/>
  <c r="F290" i="14"/>
  <c r="H241" i="14"/>
  <c r="G29" i="14"/>
  <c r="G189" i="14"/>
  <c r="F364" i="14"/>
  <c r="F368" i="14"/>
  <c r="H234" i="14"/>
  <c r="F371" i="14"/>
  <c r="H36" i="14"/>
  <c r="H239" i="14"/>
  <c r="H22" i="14"/>
  <c r="H278" i="14"/>
  <c r="H13" i="14"/>
  <c r="G241" i="14"/>
  <c r="F391" i="14"/>
  <c r="F103" i="14"/>
  <c r="F333" i="14"/>
  <c r="F356" i="14"/>
  <c r="H43" i="14"/>
  <c r="G240" i="14"/>
  <c r="G234" i="14"/>
  <c r="G36" i="14"/>
  <c r="G239" i="14"/>
  <c r="G22" i="14"/>
  <c r="G56" i="14"/>
  <c r="G278" i="14"/>
  <c r="G13" i="14"/>
  <c r="G70" i="14"/>
  <c r="H357" i="14"/>
  <c r="F49" i="14"/>
  <c r="F383" i="14"/>
  <c r="F93" i="14"/>
  <c r="F302" i="14"/>
  <c r="G622" i="14"/>
  <c r="G43" i="14"/>
  <c r="G47" i="14"/>
  <c r="F273" i="14"/>
  <c r="F237" i="14"/>
  <c r="F278" i="14"/>
  <c r="F142" i="14"/>
  <c r="G357" i="14"/>
  <c r="H20" i="14"/>
  <c r="H40" i="14"/>
  <c r="H32" i="14"/>
  <c r="F503" i="14"/>
  <c r="H50" i="14"/>
  <c r="F618" i="14"/>
  <c r="F15" i="14"/>
  <c r="F45" i="14"/>
  <c r="F37" i="14"/>
  <c r="F44" i="14"/>
  <c r="F405" i="14"/>
  <c r="H25" i="14"/>
  <c r="H64" i="14"/>
  <c r="BW2" i="1"/>
  <c r="H57" i="14"/>
  <c r="H83" i="14"/>
  <c r="F619" i="14"/>
  <c r="F268" i="14"/>
  <c r="F311" i="14"/>
  <c r="F605" i="14"/>
  <c r="H16" i="14"/>
  <c r="H31" i="14"/>
  <c r="BD2" i="1"/>
  <c r="F284" i="14"/>
  <c r="F607" i="14"/>
  <c r="F90" i="14"/>
  <c r="F465" i="14"/>
  <c r="F178" i="14"/>
  <c r="F267" i="14"/>
  <c r="H10" i="14"/>
  <c r="H184" i="14"/>
  <c r="G16" i="14"/>
  <c r="AK2" i="1"/>
  <c r="F52" i="14"/>
  <c r="F286" i="14"/>
  <c r="H187" i="14"/>
  <c r="F320" i="14"/>
  <c r="F463" i="14"/>
  <c r="H17" i="14"/>
  <c r="H39" i="14"/>
  <c r="F489" i="14"/>
  <c r="H41" i="14"/>
  <c r="H42" i="14"/>
  <c r="G10" i="14"/>
  <c r="F141" i="14"/>
  <c r="F621" i="14"/>
  <c r="F505" i="14"/>
  <c r="H24" i="14"/>
  <c r="F464" i="14"/>
  <c r="F353" i="14"/>
  <c r="F266" i="14"/>
  <c r="F611" i="14"/>
  <c r="H14" i="14"/>
  <c r="G68" i="14"/>
  <c r="F283" i="14"/>
  <c r="G77" i="14"/>
  <c r="F609" i="14"/>
  <c r="F236" i="14"/>
  <c r="G3" i="14"/>
  <c r="G14" i="14"/>
  <c r="F177" i="14"/>
  <c r="F367" i="14"/>
  <c r="F71" i="14"/>
  <c r="H5" i="14"/>
  <c r="F614" i="14"/>
  <c r="G5" i="14"/>
  <c r="H9" i="14"/>
  <c r="H4" i="14"/>
  <c r="H7" i="14"/>
  <c r="F271" i="14"/>
  <c r="F331" i="14"/>
  <c r="H6" i="14"/>
  <c r="H56" i="14"/>
  <c r="F357" i="14"/>
  <c r="F231" i="14"/>
  <c r="F616" i="14"/>
  <c r="F29" i="14"/>
  <c r="H47" i="14"/>
  <c r="G23" i="14"/>
  <c r="G76" i="14"/>
  <c r="F285" i="14"/>
  <c r="F59" i="14"/>
  <c r="H60" i="14"/>
  <c r="F282" i="14"/>
  <c r="F69" i="14"/>
  <c r="F610" i="14"/>
  <c r="F79" i="14"/>
  <c r="F241" i="14"/>
  <c r="F78" i="14"/>
  <c r="F312" i="14"/>
  <c r="F240" i="14"/>
  <c r="F234" i="14"/>
  <c r="F13" i="14"/>
  <c r="H18" i="14"/>
  <c r="F470" i="14"/>
  <c r="F238" i="14"/>
  <c r="F366" i="14"/>
  <c r="H12" i="14"/>
  <c r="H55" i="14"/>
  <c r="H11" i="14"/>
  <c r="F322" i="14"/>
  <c r="G58" i="14"/>
  <c r="F569" i="14"/>
  <c r="F622" i="14"/>
  <c r="F365" i="14"/>
  <c r="F313" i="14"/>
  <c r="F280" i="14"/>
  <c r="G53" i="14"/>
  <c r="G11" i="14"/>
  <c r="F34" i="14"/>
  <c r="F381" i="14"/>
  <c r="H188" i="14"/>
  <c r="F269" i="14"/>
  <c r="F91" i="14"/>
  <c r="F568" i="14"/>
  <c r="F19" i="14"/>
  <c r="H28" i="14"/>
  <c r="H46" i="14"/>
  <c r="G63" i="14"/>
  <c r="F232" i="14"/>
  <c r="F230" i="14"/>
  <c r="BX28" i="1" l="1"/>
  <c r="CD49" i="1"/>
  <c r="L49" i="14"/>
  <c r="BX51" i="1"/>
  <c r="BX73" i="1"/>
  <c r="BX230" i="1"/>
  <c r="CD608" i="1"/>
  <c r="BX68" i="1"/>
  <c r="L21" i="14"/>
  <c r="BY21" i="1"/>
  <c r="I21" i="14"/>
  <c r="J21" i="14"/>
  <c r="K21" i="14"/>
  <c r="I51" i="14"/>
  <c r="L51" i="14"/>
  <c r="J51" i="14"/>
  <c r="K51" i="14"/>
  <c r="BY51" i="1"/>
  <c r="BX93" i="1"/>
  <c r="BX282" i="1"/>
  <c r="BX25" i="1"/>
  <c r="CD301" i="1"/>
  <c r="BX467" i="1"/>
  <c r="BX18" i="1"/>
  <c r="J18" i="14" s="1"/>
  <c r="BX381" i="1"/>
  <c r="CD620" i="1"/>
  <c r="CD291" i="1"/>
  <c r="BX612" i="1"/>
  <c r="BY612" i="1" s="1"/>
  <c r="CJ612" i="1" s="1"/>
  <c r="BX17" i="1"/>
  <c r="J17" i="14" s="1"/>
  <c r="BX271" i="1"/>
  <c r="CD493" i="1"/>
  <c r="CD237" i="1"/>
  <c r="BX621" i="1"/>
  <c r="BX139" i="1"/>
  <c r="BX187" i="1"/>
  <c r="BX615" i="1"/>
  <c r="CD284" i="1"/>
  <c r="CD267" i="1"/>
  <c r="BX233" i="1"/>
  <c r="BX45" i="1"/>
  <c r="CD391" i="1"/>
  <c r="BX356" i="1"/>
  <c r="I356" i="14" s="1"/>
  <c r="CD31" i="1"/>
  <c r="CD290" i="1"/>
  <c r="CD266" i="1"/>
  <c r="BX142" i="1"/>
  <c r="BX91" i="1"/>
  <c r="CD359" i="1"/>
  <c r="BX9" i="1"/>
  <c r="BX321" i="1"/>
  <c r="BX22" i="1"/>
  <c r="CD568" i="1"/>
  <c r="CD364" i="1"/>
  <c r="CD464" i="1"/>
  <c r="BX184" i="1"/>
  <c r="I18" i="14"/>
  <c r="I23" i="14"/>
  <c r="J23" i="14"/>
  <c r="K23" i="14"/>
  <c r="L23" i="14"/>
  <c r="BY23" i="1"/>
  <c r="J230" i="14"/>
  <c r="K230" i="14"/>
  <c r="L230" i="14"/>
  <c r="BY230" i="1"/>
  <c r="I230" i="14"/>
  <c r="BY11" i="1"/>
  <c r="I11" i="14"/>
  <c r="J11" i="14"/>
  <c r="K11" i="14"/>
  <c r="L11" i="14"/>
  <c r="BY191" i="1"/>
  <c r="I191" i="14"/>
  <c r="J191" i="14"/>
  <c r="L191" i="14"/>
  <c r="K191" i="14"/>
  <c r="K176" i="14"/>
  <c r="L176" i="14"/>
  <c r="BY176" i="1"/>
  <c r="I176" i="14"/>
  <c r="J176" i="14"/>
  <c r="BY73" i="1"/>
  <c r="I73" i="14"/>
  <c r="J73" i="14"/>
  <c r="K73" i="14"/>
  <c r="L73" i="14"/>
  <c r="BX44" i="1"/>
  <c r="I333" i="14"/>
  <c r="L333" i="14"/>
  <c r="J333" i="14"/>
  <c r="K333" i="14"/>
  <c r="BY333" i="1"/>
  <c r="BY491" i="1"/>
  <c r="I491" i="14"/>
  <c r="J491" i="14"/>
  <c r="K491" i="14"/>
  <c r="L491" i="14"/>
  <c r="CJ391" i="1"/>
  <c r="BX12" i="1"/>
  <c r="CJ275" i="1"/>
  <c r="BX616" i="1"/>
  <c r="BX27" i="1"/>
  <c r="CJ267" i="1"/>
  <c r="BY354" i="1"/>
  <c r="K354" i="14"/>
  <c r="L354" i="14"/>
  <c r="J354" i="14"/>
  <c r="I354" i="14"/>
  <c r="BX319" i="1"/>
  <c r="BX607" i="1"/>
  <c r="BY372" i="1"/>
  <c r="I372" i="14"/>
  <c r="J372" i="14"/>
  <c r="K372" i="14"/>
  <c r="L372" i="14"/>
  <c r="I65" i="14"/>
  <c r="BY65" i="1"/>
  <c r="L65" i="14"/>
  <c r="K65" i="14"/>
  <c r="J65" i="14"/>
  <c r="BY238" i="1"/>
  <c r="I238" i="14"/>
  <c r="J238" i="14"/>
  <c r="K238" i="14"/>
  <c r="L238" i="14"/>
  <c r="BX41" i="1"/>
  <c r="J141" i="14"/>
  <c r="K141" i="14"/>
  <c r="L141" i="14"/>
  <c r="BY141" i="1"/>
  <c r="I141" i="14"/>
  <c r="CJ608" i="1"/>
  <c r="L36" i="14"/>
  <c r="BY36" i="1"/>
  <c r="K36" i="14"/>
  <c r="I36" i="14"/>
  <c r="J36" i="14"/>
  <c r="CJ301" i="1"/>
  <c r="BX285" i="1"/>
  <c r="J35" i="14"/>
  <c r="K35" i="14"/>
  <c r="L35" i="14"/>
  <c r="BY35" i="1"/>
  <c r="I35" i="14"/>
  <c r="BX8" i="1"/>
  <c r="G8" i="14"/>
  <c r="BY621" i="1"/>
  <c r="I621" i="14"/>
  <c r="J621" i="14"/>
  <c r="K621" i="14"/>
  <c r="L621" i="14"/>
  <c r="BY71" i="1"/>
  <c r="I71" i="14"/>
  <c r="K71" i="14"/>
  <c r="L71" i="14"/>
  <c r="J71" i="14"/>
  <c r="BX231" i="1"/>
  <c r="BY371" i="1"/>
  <c r="I371" i="14"/>
  <c r="J371" i="14"/>
  <c r="K371" i="14"/>
  <c r="L371" i="14"/>
  <c r="BX465" i="1"/>
  <c r="BX279" i="1"/>
  <c r="CD230" i="1"/>
  <c r="J235" i="14"/>
  <c r="K235" i="14"/>
  <c r="L235" i="14"/>
  <c r="BY235" i="1"/>
  <c r="I235" i="14"/>
  <c r="K59" i="14"/>
  <c r="L59" i="14"/>
  <c r="BY59" i="1"/>
  <c r="I59" i="14"/>
  <c r="J59" i="14"/>
  <c r="BY272" i="1"/>
  <c r="I272" i="14"/>
  <c r="J272" i="14"/>
  <c r="K272" i="14"/>
  <c r="L272" i="14"/>
  <c r="BY145" i="1"/>
  <c r="I145" i="14"/>
  <c r="J145" i="14"/>
  <c r="K145" i="14"/>
  <c r="L145" i="14"/>
  <c r="BX57" i="1"/>
  <c r="BY281" i="1"/>
  <c r="I281" i="14"/>
  <c r="J281" i="14"/>
  <c r="K281" i="14"/>
  <c r="L281" i="14"/>
  <c r="BX353" i="1"/>
  <c r="BY287" i="1"/>
  <c r="I287" i="14"/>
  <c r="J287" i="14"/>
  <c r="K287" i="14"/>
  <c r="L287" i="14"/>
  <c r="BX232" i="1"/>
  <c r="G232" i="14"/>
  <c r="CD185" i="1"/>
  <c r="CJ359" i="1"/>
  <c r="J490" i="14"/>
  <c r="K490" i="14"/>
  <c r="L490" i="14"/>
  <c r="BY490" i="1"/>
  <c r="I490" i="14"/>
  <c r="BX137" i="1"/>
  <c r="J331" i="14"/>
  <c r="K331" i="14"/>
  <c r="BY331" i="1"/>
  <c r="I331" i="14"/>
  <c r="L331" i="14"/>
  <c r="BX43" i="1"/>
  <c r="CJ92" i="1"/>
  <c r="J288" i="14"/>
  <c r="L288" i="14"/>
  <c r="BY288" i="1"/>
  <c r="I288" i="14"/>
  <c r="K288" i="14"/>
  <c r="BX32" i="1"/>
  <c r="CJ568" i="1"/>
  <c r="BX70" i="1"/>
  <c r="CJ237" i="1"/>
  <c r="BX29" i="1"/>
  <c r="K77" i="14"/>
  <c r="L77" i="14"/>
  <c r="BY77" i="1"/>
  <c r="I77" i="14"/>
  <c r="J77" i="14"/>
  <c r="BX10" i="1"/>
  <c r="BX5" i="1"/>
  <c r="CJ185" i="1"/>
  <c r="BX79" i="1"/>
  <c r="H79" i="14"/>
  <c r="L6" i="14"/>
  <c r="BY6" i="1"/>
  <c r="I6" i="14"/>
  <c r="J6" i="14"/>
  <c r="K6" i="14"/>
  <c r="BX466" i="1"/>
  <c r="BX311" i="1"/>
  <c r="BX56" i="1"/>
  <c r="BX610" i="1"/>
  <c r="L7" i="14"/>
  <c r="BY7" i="1"/>
  <c r="I7" i="14"/>
  <c r="J7" i="14"/>
  <c r="K7" i="14"/>
  <c r="I83" i="14"/>
  <c r="J83" i="14"/>
  <c r="K83" i="14"/>
  <c r="L83" i="14"/>
  <c r="BY83" i="1"/>
  <c r="J271" i="14"/>
  <c r="K271" i="14"/>
  <c r="L271" i="14"/>
  <c r="BY271" i="1"/>
  <c r="I271" i="14"/>
  <c r="BY615" i="1"/>
  <c r="I615" i="14"/>
  <c r="J615" i="14"/>
  <c r="K615" i="14"/>
  <c r="L615" i="14"/>
  <c r="I282" i="14"/>
  <c r="J282" i="14"/>
  <c r="K282" i="14"/>
  <c r="L282" i="14"/>
  <c r="BY282" i="1"/>
  <c r="K320" i="14"/>
  <c r="L320" i="14"/>
  <c r="BY320" i="1"/>
  <c r="I320" i="14"/>
  <c r="J320" i="14"/>
  <c r="K233" i="14"/>
  <c r="L233" i="14"/>
  <c r="I233" i="14"/>
  <c r="J233" i="14"/>
  <c r="BY233" i="1"/>
  <c r="J64" i="14"/>
  <c r="BY64" i="1"/>
  <c r="K64" i="14"/>
  <c r="L64" i="14"/>
  <c r="I64" i="14"/>
  <c r="BX277" i="1"/>
  <c r="BY25" i="1"/>
  <c r="I25" i="14"/>
  <c r="J25" i="14"/>
  <c r="K25" i="14"/>
  <c r="L25" i="14"/>
  <c r="BY195" i="1"/>
  <c r="I195" i="14"/>
  <c r="J195" i="14"/>
  <c r="K195" i="14"/>
  <c r="L195" i="14"/>
  <c r="K45" i="14"/>
  <c r="L45" i="14"/>
  <c r="BY45" i="1"/>
  <c r="I45" i="14"/>
  <c r="J45" i="14"/>
  <c r="L370" i="14"/>
  <c r="BY370" i="1"/>
  <c r="J370" i="14"/>
  <c r="I370" i="14"/>
  <c r="K370" i="14"/>
  <c r="L4" i="14"/>
  <c r="BY4" i="1"/>
  <c r="I4" i="14"/>
  <c r="J4" i="14"/>
  <c r="K4" i="14"/>
  <c r="BX622" i="1"/>
  <c r="K22" i="14"/>
  <c r="L22" i="14"/>
  <c r="BY22" i="1"/>
  <c r="I22" i="14"/>
  <c r="J22" i="14"/>
  <c r="BX69" i="1"/>
  <c r="BY606" i="1"/>
  <c r="I606" i="14"/>
  <c r="J606" i="14"/>
  <c r="K606" i="14"/>
  <c r="L606" i="14"/>
  <c r="BX609" i="1"/>
  <c r="H609" i="14"/>
  <c r="BX3" i="1"/>
  <c r="BY314" i="1"/>
  <c r="I314" i="14"/>
  <c r="J314" i="14"/>
  <c r="K314" i="14"/>
  <c r="L314" i="14"/>
  <c r="BX60" i="1"/>
  <c r="BX34" i="1"/>
  <c r="H34" i="14"/>
  <c r="I103" i="14"/>
  <c r="J103" i="14"/>
  <c r="K103" i="14"/>
  <c r="L103" i="14"/>
  <c r="BY103" i="1"/>
  <c r="L467" i="14"/>
  <c r="BY467" i="1"/>
  <c r="I467" i="14"/>
  <c r="J467" i="14"/>
  <c r="K467" i="14"/>
  <c r="BX504" i="1"/>
  <c r="BX242" i="1"/>
  <c r="BX50" i="1"/>
  <c r="BY286" i="1"/>
  <c r="I286" i="14"/>
  <c r="J286" i="14"/>
  <c r="K286" i="14"/>
  <c r="L286" i="14"/>
  <c r="I368" i="14"/>
  <c r="L368" i="14"/>
  <c r="BY368" i="1"/>
  <c r="J368" i="14"/>
  <c r="K368" i="14"/>
  <c r="BX55" i="1"/>
  <c r="J190" i="14"/>
  <c r="BY190" i="1"/>
  <c r="I190" i="14"/>
  <c r="K190" i="14"/>
  <c r="L190" i="14"/>
  <c r="CJ266" i="1"/>
  <c r="K53" i="14"/>
  <c r="L53" i="14"/>
  <c r="I53" i="14"/>
  <c r="J53" i="14"/>
  <c r="BY53" i="1"/>
  <c r="J304" i="14"/>
  <c r="K304" i="14"/>
  <c r="L304" i="14"/>
  <c r="BY304" i="1"/>
  <c r="I304" i="14"/>
  <c r="BX357" i="1"/>
  <c r="BX189" i="1"/>
  <c r="BX186" i="1"/>
  <c r="BY76" i="1"/>
  <c r="J76" i="14"/>
  <c r="K76" i="14"/>
  <c r="L76" i="14"/>
  <c r="I76" i="14"/>
  <c r="BY80" i="1"/>
  <c r="I80" i="14"/>
  <c r="L80" i="14"/>
  <c r="J80" i="14"/>
  <c r="K80" i="14"/>
  <c r="CD613" i="1"/>
  <c r="J240" i="14"/>
  <c r="K240" i="14"/>
  <c r="L240" i="14"/>
  <c r="BY240" i="1"/>
  <c r="I240" i="14"/>
  <c r="K67" i="14"/>
  <c r="L67" i="14"/>
  <c r="I67" i="14"/>
  <c r="J67" i="14"/>
  <c r="BY67" i="1"/>
  <c r="BX366" i="1"/>
  <c r="CJ21" i="1"/>
  <c r="L48" i="14"/>
  <c r="J48" i="14"/>
  <c r="K48" i="14"/>
  <c r="BY48" i="1"/>
  <c r="I48" i="14"/>
  <c r="J68" i="14"/>
  <c r="K68" i="14"/>
  <c r="BY68" i="1"/>
  <c r="I68" i="14"/>
  <c r="L68" i="14"/>
  <c r="I302" i="14"/>
  <c r="K302" i="14"/>
  <c r="J302" i="14"/>
  <c r="L302" i="14"/>
  <c r="BY302" i="1"/>
  <c r="I360" i="14"/>
  <c r="J360" i="14"/>
  <c r="K360" i="14"/>
  <c r="L360" i="14"/>
  <c r="BY360" i="1"/>
  <c r="CJ51" i="1"/>
  <c r="CD192" i="1"/>
  <c r="J445" i="14"/>
  <c r="K445" i="14"/>
  <c r="L445" i="14"/>
  <c r="BY445" i="1"/>
  <c r="I445" i="14"/>
  <c r="CD92" i="1"/>
  <c r="J193" i="14"/>
  <c r="L193" i="14"/>
  <c r="BY193" i="1"/>
  <c r="I193" i="14"/>
  <c r="K193" i="14"/>
  <c r="BX37" i="1"/>
  <c r="CJ364" i="1"/>
  <c r="CJ464" i="1"/>
  <c r="K283" i="14"/>
  <c r="L283" i="14"/>
  <c r="BY283" i="1"/>
  <c r="I283" i="14"/>
  <c r="J283" i="14"/>
  <c r="BY91" i="1"/>
  <c r="I91" i="14"/>
  <c r="J91" i="14"/>
  <c r="K91" i="14"/>
  <c r="L91" i="14"/>
  <c r="CJ284" i="1"/>
  <c r="CJ613" i="1"/>
  <c r="BX54" i="1"/>
  <c r="I47" i="14"/>
  <c r="J47" i="14"/>
  <c r="K47" i="14"/>
  <c r="L47" i="14"/>
  <c r="BY47" i="1"/>
  <c r="BX463" i="1"/>
  <c r="BX138" i="1"/>
  <c r="CD502" i="1"/>
  <c r="BX19" i="1"/>
  <c r="BX322" i="1"/>
  <c r="I274" i="14"/>
  <c r="J274" i="14"/>
  <c r="K274" i="14"/>
  <c r="L274" i="14"/>
  <c r="BY274" i="1"/>
  <c r="BX470" i="1"/>
  <c r="BY611" i="1"/>
  <c r="I611" i="14"/>
  <c r="J611" i="14"/>
  <c r="K611" i="14"/>
  <c r="L611" i="14"/>
  <c r="CJ192" i="1"/>
  <c r="CJ31" i="1"/>
  <c r="CJ620" i="1"/>
  <c r="J312" i="14"/>
  <c r="K312" i="14"/>
  <c r="L312" i="14"/>
  <c r="BY312" i="1"/>
  <c r="I312" i="14"/>
  <c r="BX26" i="1"/>
  <c r="J13" i="14"/>
  <c r="K13" i="14"/>
  <c r="L13" i="14"/>
  <c r="BY13" i="1"/>
  <c r="I13" i="14"/>
  <c r="BX614" i="1"/>
  <c r="BX38" i="1"/>
  <c r="BX469" i="1"/>
  <c r="BX58" i="1"/>
  <c r="I569" i="14"/>
  <c r="J569" i="14"/>
  <c r="K569" i="14"/>
  <c r="L569" i="14"/>
  <c r="BY569" i="1"/>
  <c r="BX24" i="1"/>
  <c r="I273" i="14"/>
  <c r="J273" i="14"/>
  <c r="K273" i="14"/>
  <c r="L273" i="14"/>
  <c r="BY273" i="1"/>
  <c r="K90" i="14"/>
  <c r="L90" i="14"/>
  <c r="I90" i="14"/>
  <c r="BY90" i="1"/>
  <c r="J90" i="14"/>
  <c r="L28" i="14"/>
  <c r="BY28" i="1"/>
  <c r="I28" i="14"/>
  <c r="J28" i="14"/>
  <c r="K28" i="14"/>
  <c r="CJ502" i="1"/>
  <c r="J269" i="14"/>
  <c r="K269" i="14"/>
  <c r="I269" i="14"/>
  <c r="L269" i="14"/>
  <c r="BY269" i="1"/>
  <c r="BY355" i="1"/>
  <c r="I355" i="14"/>
  <c r="J355" i="14"/>
  <c r="K355" i="14"/>
  <c r="L355" i="14"/>
  <c r="J139" i="14"/>
  <c r="K139" i="14"/>
  <c r="BY139" i="1"/>
  <c r="I139" i="14"/>
  <c r="L139" i="14"/>
  <c r="L187" i="14"/>
  <c r="J187" i="14"/>
  <c r="BY187" i="1"/>
  <c r="I187" i="14"/>
  <c r="K187" i="14"/>
  <c r="BX234" i="1"/>
  <c r="J78" i="14"/>
  <c r="K78" i="14"/>
  <c r="BY78" i="1"/>
  <c r="I78" i="14"/>
  <c r="L78" i="14"/>
  <c r="J143" i="14"/>
  <c r="K143" i="14"/>
  <c r="BY143" i="1"/>
  <c r="I143" i="14"/>
  <c r="L143" i="14"/>
  <c r="BX268" i="1"/>
  <c r="I93" i="14"/>
  <c r="J93" i="14"/>
  <c r="K93" i="14"/>
  <c r="L93" i="14"/>
  <c r="BY93" i="1"/>
  <c r="CD621" i="1"/>
  <c r="L405" i="14"/>
  <c r="BY405" i="1"/>
  <c r="I405" i="14"/>
  <c r="J405" i="14"/>
  <c r="K405" i="14"/>
  <c r="BX39" i="1"/>
  <c r="BX140" i="1"/>
  <c r="BY381" i="1"/>
  <c r="I381" i="14"/>
  <c r="J381" i="14"/>
  <c r="K381" i="14"/>
  <c r="L381" i="14"/>
  <c r="BX313" i="1"/>
  <c r="H313" i="14"/>
  <c r="BX72" i="1"/>
  <c r="J276" i="14"/>
  <c r="K276" i="14"/>
  <c r="I276" i="14"/>
  <c r="L276" i="14"/>
  <c r="BY276" i="1"/>
  <c r="BX241" i="1"/>
  <c r="J299" i="14"/>
  <c r="K299" i="14"/>
  <c r="L299" i="14"/>
  <c r="BY299" i="1"/>
  <c r="I299" i="14"/>
  <c r="BX20" i="1"/>
  <c r="BY52" i="1"/>
  <c r="L52" i="14"/>
  <c r="K52" i="14"/>
  <c r="I52" i="14"/>
  <c r="J52" i="14"/>
  <c r="H615" i="14"/>
  <c r="BX503" i="1"/>
  <c r="G503" i="14"/>
  <c r="BX61" i="1"/>
  <c r="H61" i="14"/>
  <c r="K9" i="14"/>
  <c r="L9" i="14"/>
  <c r="BY9" i="1"/>
  <c r="I9" i="14"/>
  <c r="J9" i="14"/>
  <c r="CJ66" i="1"/>
  <c r="J142" i="14"/>
  <c r="K142" i="14"/>
  <c r="BY142" i="1"/>
  <c r="I142" i="14"/>
  <c r="L142" i="14"/>
  <c r="BX16" i="1"/>
  <c r="BX236" i="1"/>
  <c r="J321" i="14"/>
  <c r="K321" i="14"/>
  <c r="L321" i="14"/>
  <c r="BY321" i="1"/>
  <c r="I321" i="14"/>
  <c r="K619" i="14"/>
  <c r="L619" i="14"/>
  <c r="BY619" i="1"/>
  <c r="I619" i="14"/>
  <c r="J619" i="14"/>
  <c r="BX367" i="1"/>
  <c r="G367" i="14"/>
  <c r="CJ290" i="1"/>
  <c r="CJ49" i="1"/>
  <c r="BY280" i="1"/>
  <c r="I280" i="14"/>
  <c r="J280" i="14"/>
  <c r="K280" i="14"/>
  <c r="L280" i="14"/>
  <c r="BY270" i="1"/>
  <c r="I270" i="14"/>
  <c r="J270" i="14"/>
  <c r="K270" i="14"/>
  <c r="L270" i="14"/>
  <c r="BX46" i="1"/>
  <c r="J358" i="14"/>
  <c r="L358" i="14"/>
  <c r="K358" i="14"/>
  <c r="BY358" i="1"/>
  <c r="I358" i="14"/>
  <c r="BY239" i="1"/>
  <c r="I239" i="14"/>
  <c r="J239" i="14"/>
  <c r="K239" i="14"/>
  <c r="L239" i="14"/>
  <c r="CJ493" i="1"/>
  <c r="BX365" i="1"/>
  <c r="K383" i="14"/>
  <c r="L383" i="14"/>
  <c r="BY383" i="1"/>
  <c r="I383" i="14"/>
  <c r="J383" i="14"/>
  <c r="BX289" i="1"/>
  <c r="BY605" i="1"/>
  <c r="I605" i="14"/>
  <c r="J605" i="14"/>
  <c r="K605" i="14"/>
  <c r="L605" i="14"/>
  <c r="CD66" i="1"/>
  <c r="BX177" i="1"/>
  <c r="BX42" i="1"/>
  <c r="BY489" i="1"/>
  <c r="I489" i="14"/>
  <c r="J489" i="14"/>
  <c r="K489" i="14"/>
  <c r="L489" i="14"/>
  <c r="I184" i="14"/>
  <c r="BY184" i="1"/>
  <c r="J184" i="14"/>
  <c r="K184" i="14"/>
  <c r="L184" i="14"/>
  <c r="CD176" i="1"/>
  <c r="CD275" i="1"/>
  <c r="BX63" i="1"/>
  <c r="BX15" i="1"/>
  <c r="BX178" i="1"/>
  <c r="J505" i="14"/>
  <c r="K505" i="14"/>
  <c r="L505" i="14"/>
  <c r="BY505" i="1"/>
  <c r="I505" i="14"/>
  <c r="BY617" i="1"/>
  <c r="CJ617" i="1" s="1"/>
  <c r="I617" i="14"/>
  <c r="J617" i="14"/>
  <c r="K617" i="14"/>
  <c r="L617" i="14"/>
  <c r="BX618" i="1"/>
  <c r="G618" i="14"/>
  <c r="BY40" i="1"/>
  <c r="I40" i="14"/>
  <c r="J40" i="14"/>
  <c r="K40" i="14"/>
  <c r="L40" i="14"/>
  <c r="BY243" i="1"/>
  <c r="I243" i="14"/>
  <c r="J243" i="14"/>
  <c r="K243" i="14"/>
  <c r="L243" i="14"/>
  <c r="BX278" i="1"/>
  <c r="BY14" i="1"/>
  <c r="I14" i="14"/>
  <c r="J14" i="14"/>
  <c r="K14" i="14"/>
  <c r="L14" i="14"/>
  <c r="I468" i="14"/>
  <c r="J468" i="14"/>
  <c r="K468" i="14"/>
  <c r="L468" i="14"/>
  <c r="BY468" i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76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46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N3" i="16"/>
  <c r="F11" i="14"/>
  <c r="H76" i="14"/>
  <c r="H2" i="14"/>
  <c r="O3" i="16"/>
  <c r="H8" i="14"/>
  <c r="F2" i="14"/>
  <c r="BX2" i="1"/>
  <c r="M3" i="16"/>
  <c r="F20" i="14"/>
  <c r="H23" i="14"/>
  <c r="BY18" i="1" l="1"/>
  <c r="K18" i="14"/>
  <c r="L18" i="14"/>
  <c r="CD233" i="1"/>
  <c r="CD77" i="1"/>
  <c r="CD11" i="1"/>
  <c r="CD91" i="1"/>
  <c r="CD21" i="1"/>
  <c r="CD53" i="1"/>
  <c r="CD73" i="1"/>
  <c r="L17" i="14"/>
  <c r="I17" i="14"/>
  <c r="BY17" i="1"/>
  <c r="K17" i="14"/>
  <c r="L612" i="14"/>
  <c r="K612" i="14"/>
  <c r="J612" i="14"/>
  <c r="I612" i="14"/>
  <c r="J356" i="14"/>
  <c r="CD51" i="1"/>
  <c r="CD312" i="1"/>
  <c r="L356" i="14"/>
  <c r="K356" i="14"/>
  <c r="CD25" i="1"/>
  <c r="CD505" i="1"/>
  <c r="CD489" i="1"/>
  <c r="CD372" i="1"/>
  <c r="BY356" i="1"/>
  <c r="CD270" i="1"/>
  <c r="CD142" i="1"/>
  <c r="CD139" i="1"/>
  <c r="CD371" i="1"/>
  <c r="CD103" i="1"/>
  <c r="CD83" i="1"/>
  <c r="CD287" i="1"/>
  <c r="CD235" i="1"/>
  <c r="CD381" i="1"/>
  <c r="CD445" i="1"/>
  <c r="CD4" i="1"/>
  <c r="CD64" i="1"/>
  <c r="CD491" i="1"/>
  <c r="CD9" i="1"/>
  <c r="CD143" i="1"/>
  <c r="CD187" i="1"/>
  <c r="CD321" i="1"/>
  <c r="CD59" i="1"/>
  <c r="CD304" i="1"/>
  <c r="CD90" i="1"/>
  <c r="CD383" i="1"/>
  <c r="CJ239" i="1"/>
  <c r="CJ78" i="1"/>
  <c r="CJ139" i="1"/>
  <c r="CD569" i="1"/>
  <c r="CD274" i="1"/>
  <c r="CD360" i="1"/>
  <c r="CD48" i="1"/>
  <c r="CD80" i="1"/>
  <c r="CJ304" i="1"/>
  <c r="CD467" i="1"/>
  <c r="K34" i="14"/>
  <c r="BY34" i="1"/>
  <c r="I34" i="14"/>
  <c r="J34" i="14"/>
  <c r="L34" i="14"/>
  <c r="I622" i="14"/>
  <c r="J622" i="14"/>
  <c r="K622" i="14"/>
  <c r="L622" i="14"/>
  <c r="BY622" i="1"/>
  <c r="CD45" i="1"/>
  <c r="CD17" i="1"/>
  <c r="CJ77" i="1"/>
  <c r="BY57" i="1"/>
  <c r="K57" i="14"/>
  <c r="L57" i="14"/>
  <c r="I57" i="14"/>
  <c r="J57" i="14"/>
  <c r="BY465" i="1"/>
  <c r="I465" i="14"/>
  <c r="J465" i="14"/>
  <c r="K465" i="14"/>
  <c r="L465" i="14"/>
  <c r="CJ71" i="1"/>
  <c r="CD238" i="1"/>
  <c r="L616" i="14"/>
  <c r="BY616" i="1"/>
  <c r="I616" i="14"/>
  <c r="J616" i="14"/>
  <c r="K616" i="14"/>
  <c r="CJ333" i="1"/>
  <c r="CJ73" i="1"/>
  <c r="CD243" i="1"/>
  <c r="CD617" i="1"/>
  <c r="J42" i="14"/>
  <c r="K42" i="14"/>
  <c r="L42" i="14"/>
  <c r="BY42" i="1"/>
  <c r="I42" i="14"/>
  <c r="CJ383" i="1"/>
  <c r="CD358" i="1"/>
  <c r="CD619" i="1"/>
  <c r="BY16" i="1"/>
  <c r="I16" i="14"/>
  <c r="J16" i="14"/>
  <c r="K16" i="14"/>
  <c r="L16" i="14"/>
  <c r="J20" i="14"/>
  <c r="BY20" i="1"/>
  <c r="I20" i="14"/>
  <c r="K20" i="14"/>
  <c r="L20" i="14"/>
  <c r="CD93" i="1"/>
  <c r="I26" i="14"/>
  <c r="J26" i="14"/>
  <c r="K26" i="14"/>
  <c r="L26" i="14"/>
  <c r="BY26" i="1"/>
  <c r="BY322" i="1"/>
  <c r="I322" i="14"/>
  <c r="J322" i="14"/>
  <c r="K322" i="14"/>
  <c r="L322" i="14"/>
  <c r="CD47" i="1"/>
  <c r="CJ91" i="1"/>
  <c r="CJ302" i="1"/>
  <c r="CJ48" i="1"/>
  <c r="CD240" i="1"/>
  <c r="CJ80" i="1"/>
  <c r="N80" i="14" s="1"/>
  <c r="CD190" i="1"/>
  <c r="CD368" i="1"/>
  <c r="CJ45" i="1"/>
  <c r="CJ25" i="1"/>
  <c r="CD615" i="1"/>
  <c r="BY311" i="1"/>
  <c r="I311" i="14"/>
  <c r="J311" i="14"/>
  <c r="K311" i="14"/>
  <c r="L311" i="14"/>
  <c r="CJ17" i="1"/>
  <c r="CD288" i="1"/>
  <c r="J137" i="14"/>
  <c r="K137" i="14"/>
  <c r="L137" i="14"/>
  <c r="BY137" i="1"/>
  <c r="I137" i="14"/>
  <c r="CJ59" i="1"/>
  <c r="CJ238" i="1"/>
  <c r="K607" i="14"/>
  <c r="L607" i="14"/>
  <c r="BY607" i="1"/>
  <c r="I607" i="14"/>
  <c r="J607" i="14"/>
  <c r="CD23" i="1"/>
  <c r="CD468" i="1"/>
  <c r="CJ243" i="1"/>
  <c r="BY177" i="1"/>
  <c r="I177" i="14"/>
  <c r="J177" i="14"/>
  <c r="K177" i="14"/>
  <c r="L177" i="14"/>
  <c r="CJ358" i="1"/>
  <c r="CJ619" i="1"/>
  <c r="CD299" i="1"/>
  <c r="J39" i="14"/>
  <c r="K39" i="14"/>
  <c r="L39" i="14"/>
  <c r="BY39" i="1"/>
  <c r="I39" i="14"/>
  <c r="CJ273" i="1"/>
  <c r="BY58" i="1"/>
  <c r="K58" i="14"/>
  <c r="L58" i="14"/>
  <c r="I58" i="14"/>
  <c r="J58" i="14"/>
  <c r="CD193" i="1"/>
  <c r="CJ240" i="1"/>
  <c r="CJ190" i="1"/>
  <c r="BY60" i="1"/>
  <c r="L60" i="14"/>
  <c r="I60" i="14"/>
  <c r="J60" i="14"/>
  <c r="K60" i="14"/>
  <c r="CJ288" i="1"/>
  <c r="CD490" i="1"/>
  <c r="CD141" i="1"/>
  <c r="I319" i="14"/>
  <c r="J319" i="14"/>
  <c r="K319" i="14"/>
  <c r="L319" i="14"/>
  <c r="BY319" i="1"/>
  <c r="CD280" i="1"/>
  <c r="BY61" i="1"/>
  <c r="K61" i="14"/>
  <c r="L61" i="14"/>
  <c r="J61" i="14"/>
  <c r="I61" i="14"/>
  <c r="CJ299" i="1"/>
  <c r="K72" i="14"/>
  <c r="L72" i="14"/>
  <c r="BY72" i="1"/>
  <c r="I72" i="14"/>
  <c r="J72" i="14"/>
  <c r="BY268" i="1"/>
  <c r="I268" i="14"/>
  <c r="L268" i="14"/>
  <c r="J268" i="14"/>
  <c r="K268" i="14"/>
  <c r="CJ312" i="1"/>
  <c r="L19" i="14"/>
  <c r="BY19" i="1"/>
  <c r="I19" i="14"/>
  <c r="J19" i="14"/>
  <c r="K19" i="14"/>
  <c r="I54" i="14"/>
  <c r="J54" i="14"/>
  <c r="K54" i="14"/>
  <c r="L54" i="14"/>
  <c r="BY54" i="1"/>
  <c r="CD283" i="1"/>
  <c r="CJ193" i="1"/>
  <c r="CD76" i="1"/>
  <c r="CJ467" i="1"/>
  <c r="CD606" i="1"/>
  <c r="K277" i="14"/>
  <c r="L277" i="14"/>
  <c r="BY277" i="1"/>
  <c r="I277" i="14"/>
  <c r="J277" i="14"/>
  <c r="CD320" i="1"/>
  <c r="J466" i="14"/>
  <c r="K466" i="14"/>
  <c r="L466" i="14"/>
  <c r="BY466" i="1"/>
  <c r="I466" i="14"/>
  <c r="I29" i="14"/>
  <c r="J29" i="14"/>
  <c r="K29" i="14"/>
  <c r="L29" i="14"/>
  <c r="BY29" i="1"/>
  <c r="CJ490" i="1"/>
  <c r="CD145" i="1"/>
  <c r="I285" i="14"/>
  <c r="J285" i="14"/>
  <c r="K285" i="14"/>
  <c r="L285" i="14"/>
  <c r="BY285" i="1"/>
  <c r="CJ141" i="1"/>
  <c r="CD354" i="1"/>
  <c r="CJ176" i="1"/>
  <c r="CJ11" i="1"/>
  <c r="CJ505" i="1"/>
  <c r="CJ280" i="1"/>
  <c r="CJ142" i="1"/>
  <c r="J234" i="14"/>
  <c r="K234" i="14"/>
  <c r="BY234" i="1"/>
  <c r="I234" i="14"/>
  <c r="L234" i="14"/>
  <c r="J469" i="14"/>
  <c r="K469" i="14"/>
  <c r="BY469" i="1"/>
  <c r="I469" i="14"/>
  <c r="L469" i="14"/>
  <c r="CD611" i="1"/>
  <c r="CJ283" i="1"/>
  <c r="CJ53" i="1"/>
  <c r="CJ606" i="1"/>
  <c r="CJ4" i="1"/>
  <c r="CJ320" i="1"/>
  <c r="CJ615" i="1"/>
  <c r="K12" i="14"/>
  <c r="L12" i="14"/>
  <c r="BY12" i="1"/>
  <c r="I12" i="14"/>
  <c r="J12" i="14"/>
  <c r="CD333" i="1"/>
  <c r="CJ184" i="1"/>
  <c r="J365" i="14"/>
  <c r="BY365" i="1"/>
  <c r="K365" i="14"/>
  <c r="I365" i="14"/>
  <c r="L365" i="14"/>
  <c r="J503" i="14"/>
  <c r="K503" i="14"/>
  <c r="I503" i="14"/>
  <c r="L503" i="14"/>
  <c r="BY503" i="1"/>
  <c r="BY313" i="1"/>
  <c r="I313" i="14"/>
  <c r="J313" i="14"/>
  <c r="K313" i="14"/>
  <c r="L313" i="14"/>
  <c r="CD405" i="1"/>
  <c r="J38" i="14"/>
  <c r="K38" i="14"/>
  <c r="L38" i="14"/>
  <c r="BY38" i="1"/>
  <c r="I38" i="14"/>
  <c r="CJ611" i="1"/>
  <c r="CD302" i="1"/>
  <c r="CD286" i="1"/>
  <c r="CD271" i="1"/>
  <c r="CD7" i="1"/>
  <c r="CJ287" i="1"/>
  <c r="CJ145" i="1"/>
  <c r="CJ235" i="1"/>
  <c r="CJ371" i="1"/>
  <c r="CJ621" i="1"/>
  <c r="CJ65" i="1"/>
  <c r="CJ230" i="1"/>
  <c r="CD14" i="1"/>
  <c r="CD40" i="1"/>
  <c r="CD184" i="1"/>
  <c r="BY46" i="1"/>
  <c r="I46" i="14"/>
  <c r="J46" i="14"/>
  <c r="K46" i="14"/>
  <c r="L46" i="14"/>
  <c r="CJ321" i="1"/>
  <c r="CJ405" i="1"/>
  <c r="CJ143" i="1"/>
  <c r="CD355" i="1"/>
  <c r="CD28" i="1"/>
  <c r="CD273" i="1"/>
  <c r="K614" i="14"/>
  <c r="L614" i="14"/>
  <c r="BY614" i="1"/>
  <c r="I614" i="14"/>
  <c r="J614" i="14"/>
  <c r="CJ286" i="1"/>
  <c r="CJ103" i="1"/>
  <c r="CD314" i="1"/>
  <c r="L69" i="14"/>
  <c r="J69" i="14"/>
  <c r="K69" i="14"/>
  <c r="BY69" i="1"/>
  <c r="I69" i="14"/>
  <c r="CJ271" i="1"/>
  <c r="CJ7" i="1"/>
  <c r="CD6" i="1"/>
  <c r="J5" i="14"/>
  <c r="K5" i="14"/>
  <c r="L5" i="14"/>
  <c r="BY5" i="1"/>
  <c r="I5" i="14"/>
  <c r="BY70" i="1"/>
  <c r="I70" i="14"/>
  <c r="J70" i="14"/>
  <c r="K70" i="14"/>
  <c r="L70" i="14"/>
  <c r="L353" i="14"/>
  <c r="BY353" i="1"/>
  <c r="I353" i="14"/>
  <c r="J353" i="14"/>
  <c r="K353" i="14"/>
  <c r="CD65" i="1"/>
  <c r="BY44" i="1"/>
  <c r="I44" i="14"/>
  <c r="J44" i="14"/>
  <c r="K44" i="14"/>
  <c r="L44" i="14"/>
  <c r="CJ356" i="1"/>
  <c r="CJ14" i="1"/>
  <c r="CJ40" i="1"/>
  <c r="CD605" i="1"/>
  <c r="L241" i="14"/>
  <c r="BY241" i="1"/>
  <c r="I241" i="14"/>
  <c r="J241" i="14"/>
  <c r="K241" i="14"/>
  <c r="CJ187" i="1"/>
  <c r="CJ355" i="1"/>
  <c r="CJ28" i="1"/>
  <c r="BY24" i="1"/>
  <c r="I24" i="14"/>
  <c r="J24" i="14"/>
  <c r="K24" i="14"/>
  <c r="L24" i="14"/>
  <c r="CD13" i="1"/>
  <c r="BY470" i="1"/>
  <c r="J470" i="14"/>
  <c r="K470" i="14"/>
  <c r="L470" i="14"/>
  <c r="I470" i="14"/>
  <c r="L138" i="14"/>
  <c r="BY138" i="1"/>
  <c r="I138" i="14"/>
  <c r="J138" i="14"/>
  <c r="K138" i="14"/>
  <c r="BY366" i="1"/>
  <c r="L366" i="14"/>
  <c r="K366" i="14"/>
  <c r="I366" i="14"/>
  <c r="J366" i="14"/>
  <c r="CJ76" i="1"/>
  <c r="J55" i="14"/>
  <c r="BY55" i="1"/>
  <c r="K55" i="14"/>
  <c r="L55" i="14"/>
  <c r="I55" i="14"/>
  <c r="I50" i="14"/>
  <c r="J50" i="14"/>
  <c r="K50" i="14"/>
  <c r="L50" i="14"/>
  <c r="BY50" i="1"/>
  <c r="CJ314" i="1"/>
  <c r="CD370" i="1"/>
  <c r="CD195" i="1"/>
  <c r="CJ64" i="1"/>
  <c r="CJ282" i="1"/>
  <c r="CJ6" i="1"/>
  <c r="BY43" i="1"/>
  <c r="I43" i="14"/>
  <c r="J43" i="14"/>
  <c r="K43" i="14"/>
  <c r="L43" i="14"/>
  <c r="I231" i="14"/>
  <c r="BY231" i="1"/>
  <c r="J231" i="14"/>
  <c r="K231" i="14"/>
  <c r="L231" i="14"/>
  <c r="BY8" i="1"/>
  <c r="I8" i="14"/>
  <c r="J8" i="14"/>
  <c r="K8" i="14"/>
  <c r="L8" i="14"/>
  <c r="CJ354" i="1"/>
  <c r="CJ605" i="1"/>
  <c r="CD52" i="1"/>
  <c r="CJ269" i="1"/>
  <c r="CJ569" i="1"/>
  <c r="CJ13" i="1"/>
  <c r="CJ274" i="1"/>
  <c r="L463" i="14"/>
  <c r="BY463" i="1"/>
  <c r="I463" i="14"/>
  <c r="J463" i="14"/>
  <c r="K463" i="14"/>
  <c r="CJ360" i="1"/>
  <c r="CD68" i="1"/>
  <c r="CJ67" i="1"/>
  <c r="BY186" i="1"/>
  <c r="I186" i="14"/>
  <c r="L186" i="14"/>
  <c r="J186" i="14"/>
  <c r="K186" i="14"/>
  <c r="K242" i="14"/>
  <c r="J242" i="14"/>
  <c r="L242" i="14"/>
  <c r="BY242" i="1"/>
  <c r="I242" i="14"/>
  <c r="CD22" i="1"/>
  <c r="CJ195" i="1"/>
  <c r="CD35" i="1"/>
  <c r="CD36" i="1"/>
  <c r="K41" i="14"/>
  <c r="L41" i="14"/>
  <c r="BY41" i="1"/>
  <c r="I41" i="14"/>
  <c r="J41" i="14"/>
  <c r="CD191" i="1"/>
  <c r="CJ18" i="1"/>
  <c r="J188" i="14"/>
  <c r="K188" i="14"/>
  <c r="L188" i="14"/>
  <c r="BY188" i="1"/>
  <c r="I188" i="14"/>
  <c r="BY278" i="1"/>
  <c r="I278" i="14"/>
  <c r="J278" i="14"/>
  <c r="K278" i="14"/>
  <c r="L278" i="14"/>
  <c r="BY618" i="1"/>
  <c r="I618" i="14"/>
  <c r="J618" i="14"/>
  <c r="K618" i="14"/>
  <c r="L618" i="14"/>
  <c r="BY178" i="1"/>
  <c r="I178" i="14"/>
  <c r="J178" i="14"/>
  <c r="K178" i="14"/>
  <c r="L178" i="14"/>
  <c r="CJ276" i="1"/>
  <c r="CJ93" i="1"/>
  <c r="CJ47" i="1"/>
  <c r="CJ68" i="1"/>
  <c r="J189" i="14"/>
  <c r="K189" i="14"/>
  <c r="BY189" i="1"/>
  <c r="I189" i="14"/>
  <c r="L189" i="14"/>
  <c r="K3" i="14"/>
  <c r="L3" i="14"/>
  <c r="BY3" i="1"/>
  <c r="I3" i="14"/>
  <c r="J3" i="14"/>
  <c r="CJ22" i="1"/>
  <c r="CJ370" i="1"/>
  <c r="CJ233" i="1"/>
  <c r="K610" i="14"/>
  <c r="L610" i="14"/>
  <c r="BY610" i="1"/>
  <c r="I610" i="14"/>
  <c r="J610" i="14"/>
  <c r="BY10" i="1"/>
  <c r="I10" i="14"/>
  <c r="J10" i="14"/>
  <c r="K10" i="14"/>
  <c r="L10" i="14"/>
  <c r="CD331" i="1"/>
  <c r="CD272" i="1"/>
  <c r="CJ35" i="1"/>
  <c r="CJ23" i="1"/>
  <c r="CJ468" i="1"/>
  <c r="K15" i="14"/>
  <c r="BY15" i="1"/>
  <c r="I15" i="14"/>
  <c r="J15" i="14"/>
  <c r="L15" i="14"/>
  <c r="BY289" i="1"/>
  <c r="I289" i="14"/>
  <c r="J289" i="14"/>
  <c r="K289" i="14"/>
  <c r="L289" i="14"/>
  <c r="J367" i="14"/>
  <c r="BY367" i="1"/>
  <c r="I367" i="14"/>
  <c r="K367" i="14"/>
  <c r="L367" i="14"/>
  <c r="CJ381" i="1"/>
  <c r="CD269" i="1"/>
  <c r="CJ90" i="1"/>
  <c r="CD67" i="1"/>
  <c r="K357" i="14"/>
  <c r="L357" i="14"/>
  <c r="BY357" i="1"/>
  <c r="I357" i="14"/>
  <c r="J357" i="14"/>
  <c r="CJ83" i="1"/>
  <c r="J79" i="14"/>
  <c r="BY79" i="1"/>
  <c r="I79" i="14"/>
  <c r="K79" i="14"/>
  <c r="L79" i="14"/>
  <c r="J32" i="14"/>
  <c r="K32" i="14"/>
  <c r="L32" i="14"/>
  <c r="BY32" i="1"/>
  <c r="I32" i="14"/>
  <c r="CJ331" i="1"/>
  <c r="CD281" i="1"/>
  <c r="CJ272" i="1"/>
  <c r="CJ36" i="1"/>
  <c r="CJ191" i="1"/>
  <c r="BY63" i="1"/>
  <c r="K63" i="14"/>
  <c r="I63" i="14"/>
  <c r="J63" i="14"/>
  <c r="CJ489" i="1"/>
  <c r="CD239" i="1"/>
  <c r="CJ270" i="1"/>
  <c r="I236" i="14"/>
  <c r="K236" i="14"/>
  <c r="L236" i="14"/>
  <c r="J236" i="14"/>
  <c r="BY236" i="1"/>
  <c r="CJ9" i="1"/>
  <c r="CJ52" i="1"/>
  <c r="CD276" i="1"/>
  <c r="J140" i="14"/>
  <c r="K140" i="14"/>
  <c r="BY140" i="1"/>
  <c r="I140" i="14"/>
  <c r="L140" i="14"/>
  <c r="CD78" i="1"/>
  <c r="K37" i="14"/>
  <c r="L37" i="14"/>
  <c r="BY37" i="1"/>
  <c r="I37" i="14"/>
  <c r="J37" i="14"/>
  <c r="CJ445" i="1"/>
  <c r="CJ368" i="1"/>
  <c r="BY504" i="1"/>
  <c r="I504" i="14"/>
  <c r="J504" i="14"/>
  <c r="K504" i="14"/>
  <c r="L504" i="14"/>
  <c r="BY609" i="1"/>
  <c r="I609" i="14"/>
  <c r="J609" i="14"/>
  <c r="K609" i="14"/>
  <c r="L609" i="14"/>
  <c r="CD282" i="1"/>
  <c r="K56" i="14"/>
  <c r="L56" i="14"/>
  <c r="I56" i="14"/>
  <c r="BY56" i="1"/>
  <c r="J56" i="14"/>
  <c r="BY232" i="1"/>
  <c r="I232" i="14"/>
  <c r="K232" i="14"/>
  <c r="L232" i="14"/>
  <c r="J232" i="14"/>
  <c r="CJ281" i="1"/>
  <c r="I279" i="14"/>
  <c r="J279" i="14"/>
  <c r="K279" i="14"/>
  <c r="L279" i="14"/>
  <c r="BY279" i="1"/>
  <c r="CD71" i="1"/>
  <c r="CJ372" i="1"/>
  <c r="BY27" i="1"/>
  <c r="I27" i="14"/>
  <c r="J27" i="14"/>
  <c r="K27" i="14"/>
  <c r="L27" i="14"/>
  <c r="CJ491" i="1"/>
  <c r="N491" i="14" s="1"/>
  <c r="N103" i="14"/>
  <c r="N192" i="14"/>
  <c r="N370" i="14"/>
  <c r="N190" i="14"/>
  <c r="N195" i="14"/>
  <c r="N92" i="14"/>
  <c r="N243" i="14"/>
  <c r="N287" i="14"/>
  <c r="N304" i="14"/>
  <c r="N301" i="14"/>
  <c r="N291" i="14"/>
  <c r="N368" i="14"/>
  <c r="N142" i="14"/>
  <c r="N383" i="14"/>
  <c r="N288" i="14"/>
  <c r="N314" i="14"/>
  <c r="N67" i="14"/>
  <c r="N290" i="14"/>
  <c r="N445" i="14"/>
  <c r="N355" i="14"/>
  <c r="N93" i="14"/>
  <c r="N358" i="14"/>
  <c r="N359" i="14"/>
  <c r="N273" i="14"/>
  <c r="N302" i="14"/>
  <c r="N299" i="14"/>
  <c r="N51" i="14"/>
  <c r="N493" i="14"/>
  <c r="N372" i="14"/>
  <c r="N274" i="14"/>
  <c r="N73" i="14"/>
  <c r="N371" i="14"/>
  <c r="N66" i="14"/>
  <c r="N354" i="14"/>
  <c r="N391" i="14"/>
  <c r="N65" i="14"/>
  <c r="N275" i="14"/>
  <c r="N364" i="14"/>
  <c r="N145" i="14"/>
  <c r="N356" i="14"/>
  <c r="N272" i="14"/>
  <c r="N360" i="14"/>
  <c r="N49" i="14"/>
  <c r="N490" i="14"/>
  <c r="N191" i="14"/>
  <c r="N333" i="14"/>
  <c r="N237" i="14"/>
  <c r="N143" i="14"/>
  <c r="N193" i="14"/>
  <c r="N620" i="14"/>
  <c r="N612" i="14"/>
  <c r="BY2" i="1"/>
  <c r="J2" i="14"/>
  <c r="K2" i="14"/>
  <c r="L2" i="14"/>
  <c r="I2" i="14"/>
  <c r="N613" i="14"/>
  <c r="N617" i="14"/>
  <c r="N606" i="14"/>
  <c r="N608" i="14"/>
  <c r="CD18" i="1" l="1"/>
  <c r="CD63" i="1"/>
  <c r="L63" i="14"/>
  <c r="CD612" i="1"/>
  <c r="CD3" i="1"/>
  <c r="CD61" i="1"/>
  <c r="CD356" i="1"/>
  <c r="CK78" i="1"/>
  <c r="CD616" i="1"/>
  <c r="CD15" i="1"/>
  <c r="CD278" i="1"/>
  <c r="CD20" i="1"/>
  <c r="CD186" i="1"/>
  <c r="CD70" i="1"/>
  <c r="CD277" i="1"/>
  <c r="CD56" i="1"/>
  <c r="CD504" i="1"/>
  <c r="CD357" i="1"/>
  <c r="CD366" i="1"/>
  <c r="CD5" i="1"/>
  <c r="CD50" i="1"/>
  <c r="CD241" i="1"/>
  <c r="CD465" i="1"/>
  <c r="CD319" i="1"/>
  <c r="CD353" i="1"/>
  <c r="CD285" i="1"/>
  <c r="CK372" i="1"/>
  <c r="CD232" i="1"/>
  <c r="CD37" i="1"/>
  <c r="CK90" i="1"/>
  <c r="CD610" i="1"/>
  <c r="CJ3" i="1"/>
  <c r="CK3" i="1"/>
  <c r="CK93" i="1"/>
  <c r="CD618" i="1"/>
  <c r="CK18" i="1"/>
  <c r="CK195" i="1"/>
  <c r="CJ186" i="1"/>
  <c r="CK186" i="1"/>
  <c r="CK274" i="1"/>
  <c r="CD231" i="1"/>
  <c r="CJ55" i="1"/>
  <c r="CK55" i="1"/>
  <c r="CJ241" i="1"/>
  <c r="CK241" i="1"/>
  <c r="CK405" i="1"/>
  <c r="CJ503" i="1"/>
  <c r="CK503" i="1"/>
  <c r="CK606" i="1"/>
  <c r="CK11" i="1"/>
  <c r="CK312" i="1"/>
  <c r="CJ39" i="1"/>
  <c r="CK39" i="1"/>
  <c r="CJ465" i="1"/>
  <c r="CK465" i="1"/>
  <c r="CJ609" i="1"/>
  <c r="CK609" i="1"/>
  <c r="CJ37" i="1"/>
  <c r="CK37" i="1"/>
  <c r="CK9" i="1"/>
  <c r="CK331" i="1"/>
  <c r="CK83" i="1"/>
  <c r="CD289" i="1"/>
  <c r="CK35" i="1"/>
  <c r="CJ610" i="1"/>
  <c r="CK610" i="1"/>
  <c r="CJ618" i="1"/>
  <c r="CK618" i="1"/>
  <c r="CK67" i="1"/>
  <c r="CK354" i="1"/>
  <c r="CD138" i="1"/>
  <c r="CD24" i="1"/>
  <c r="CK271" i="1"/>
  <c r="CK230" i="1"/>
  <c r="CD38" i="1"/>
  <c r="CK490" i="1"/>
  <c r="CK299" i="1"/>
  <c r="CK240" i="1"/>
  <c r="CJ177" i="1"/>
  <c r="CK177" i="1"/>
  <c r="CK238" i="1"/>
  <c r="CK17" i="1"/>
  <c r="CD42" i="1"/>
  <c r="CJ232" i="1"/>
  <c r="CK232" i="1"/>
  <c r="CJ289" i="1"/>
  <c r="CK289" i="1"/>
  <c r="CK276" i="1"/>
  <c r="CK314" i="1"/>
  <c r="CK76" i="1"/>
  <c r="CJ138" i="1"/>
  <c r="CK138" i="1"/>
  <c r="CJ24" i="1"/>
  <c r="CK24" i="1"/>
  <c r="CD44" i="1"/>
  <c r="CK321" i="1"/>
  <c r="CK287" i="1"/>
  <c r="CJ38" i="1"/>
  <c r="CK38" i="1"/>
  <c r="CD503" i="1"/>
  <c r="CD12" i="1"/>
  <c r="CK53" i="1"/>
  <c r="CD234" i="1"/>
  <c r="CK176" i="1"/>
  <c r="CJ54" i="1"/>
  <c r="CK54" i="1"/>
  <c r="CK80" i="1"/>
  <c r="CJ20" i="1"/>
  <c r="CK20" i="1"/>
  <c r="CJ42" i="1"/>
  <c r="CK42" i="1"/>
  <c r="CD57" i="1"/>
  <c r="CD622" i="1"/>
  <c r="CJ279" i="1"/>
  <c r="CK279" i="1"/>
  <c r="CJ236" i="1"/>
  <c r="CK236" i="1"/>
  <c r="CD32" i="1"/>
  <c r="CK381" i="1"/>
  <c r="CK617" i="1"/>
  <c r="CD242" i="1"/>
  <c r="CK13" i="1"/>
  <c r="CK28" i="1"/>
  <c r="CJ44" i="1"/>
  <c r="CK44" i="1"/>
  <c r="CD69" i="1"/>
  <c r="CD614" i="1"/>
  <c r="CK65" i="1"/>
  <c r="CJ12" i="1"/>
  <c r="CK12" i="1"/>
  <c r="CJ234" i="1"/>
  <c r="CK234" i="1"/>
  <c r="CJ29" i="1"/>
  <c r="CK29" i="1"/>
  <c r="CK243" i="1"/>
  <c r="CD322" i="1"/>
  <c r="CJ616" i="1"/>
  <c r="CK616" i="1"/>
  <c r="CJ56" i="1"/>
  <c r="CK56" i="1"/>
  <c r="CJ32" i="1"/>
  <c r="CK32" i="1"/>
  <c r="CK233" i="1"/>
  <c r="CD189" i="1"/>
  <c r="CD41" i="1"/>
  <c r="CJ242" i="1"/>
  <c r="CK242" i="1"/>
  <c r="CK360" i="1"/>
  <c r="CD43" i="1"/>
  <c r="CJ50" i="1"/>
  <c r="CK50" i="1"/>
  <c r="CD470" i="1"/>
  <c r="CJ70" i="1"/>
  <c r="CK70" i="1"/>
  <c r="CJ69" i="1"/>
  <c r="CK69" i="1"/>
  <c r="CJ614" i="1"/>
  <c r="CK614" i="1"/>
  <c r="CJ277" i="1"/>
  <c r="CK277" i="1"/>
  <c r="CK288" i="1"/>
  <c r="CK59" i="1"/>
  <c r="CJ322" i="1"/>
  <c r="CK322" i="1"/>
  <c r="CK491" i="1"/>
  <c r="CJ63" i="1"/>
  <c r="CK63" i="1"/>
  <c r="CJ189" i="1"/>
  <c r="CK189" i="1"/>
  <c r="CK41" i="1"/>
  <c r="CJ41" i="1"/>
  <c r="CK569" i="1"/>
  <c r="CJ43" i="1"/>
  <c r="CK43" i="1"/>
  <c r="CK355" i="1"/>
  <c r="CK40" i="1"/>
  <c r="CK621" i="1"/>
  <c r="CK283" i="1"/>
  <c r="CK141" i="1"/>
  <c r="CD268" i="1"/>
  <c r="CD58" i="1"/>
  <c r="CK619" i="1"/>
  <c r="CD311" i="1"/>
  <c r="CK48" i="1"/>
  <c r="CJ26" i="1"/>
  <c r="CK26" i="1"/>
  <c r="CJ57" i="1"/>
  <c r="CK57" i="1"/>
  <c r="CD34" i="1"/>
  <c r="CK139" i="1"/>
  <c r="CJ504" i="1"/>
  <c r="CK504" i="1"/>
  <c r="CD140" i="1"/>
  <c r="CK191" i="1"/>
  <c r="CJ357" i="1"/>
  <c r="CK357" i="1"/>
  <c r="CJ15" i="1"/>
  <c r="CK15" i="1"/>
  <c r="CK370" i="1"/>
  <c r="CJ278" i="1"/>
  <c r="CK278" i="1"/>
  <c r="CD8" i="1"/>
  <c r="CK6" i="1"/>
  <c r="CJ5" i="1"/>
  <c r="CK5" i="1"/>
  <c r="CD365" i="1"/>
  <c r="CK615" i="1"/>
  <c r="CK142" i="1"/>
  <c r="CD54" i="1"/>
  <c r="CD137" i="1"/>
  <c r="CJ311" i="1"/>
  <c r="CK311" i="1"/>
  <c r="CK71" i="1"/>
  <c r="CK77" i="1"/>
  <c r="CJ34" i="1"/>
  <c r="CK34" i="1"/>
  <c r="CD279" i="1"/>
  <c r="CK368" i="1"/>
  <c r="CK140" i="1"/>
  <c r="CJ140" i="1"/>
  <c r="CD236" i="1"/>
  <c r="CD367" i="1"/>
  <c r="CD10" i="1"/>
  <c r="CD178" i="1"/>
  <c r="CD188" i="1"/>
  <c r="CK269" i="1"/>
  <c r="CJ8" i="1"/>
  <c r="CK8" i="1"/>
  <c r="CK187" i="1"/>
  <c r="CK14" i="1"/>
  <c r="CK371" i="1"/>
  <c r="CJ285" i="1"/>
  <c r="CK285" i="1"/>
  <c r="CD29" i="1"/>
  <c r="CJ268" i="1"/>
  <c r="CK268" i="1"/>
  <c r="CJ61" i="1"/>
  <c r="CK61" i="1"/>
  <c r="CK358" i="1"/>
  <c r="CJ137" i="1"/>
  <c r="CK137" i="1"/>
  <c r="CK302" i="1"/>
  <c r="CD16" i="1"/>
  <c r="CK110" i="1"/>
  <c r="CK81" i="1"/>
  <c r="CK115" i="1"/>
  <c r="CK162" i="1"/>
  <c r="CK116" i="1"/>
  <c r="CK163" i="1"/>
  <c r="CK114" i="1"/>
  <c r="CK160" i="1"/>
  <c r="CK30" i="1"/>
  <c r="CK82" i="1"/>
  <c r="CK112" i="1"/>
  <c r="CK164" i="1"/>
  <c r="CK111" i="1"/>
  <c r="CK113" i="1"/>
  <c r="CK161" i="1"/>
  <c r="CK171" i="1"/>
  <c r="CK127" i="1"/>
  <c r="CK128" i="1"/>
  <c r="CK174" i="1"/>
  <c r="CK172" i="1"/>
  <c r="CK170" i="1"/>
  <c r="CK173" i="1"/>
  <c r="CK85" i="1"/>
  <c r="CK169" i="1"/>
  <c r="CK126" i="1"/>
  <c r="CK125" i="1"/>
  <c r="CK124" i="1"/>
  <c r="CK175" i="1"/>
  <c r="CK86" i="1"/>
  <c r="CK133" i="1"/>
  <c r="CK181" i="1"/>
  <c r="CK89" i="1"/>
  <c r="CK132" i="1"/>
  <c r="CK135" i="1"/>
  <c r="CK180" i="1"/>
  <c r="CK136" i="1"/>
  <c r="CK179" i="1"/>
  <c r="CK129" i="1"/>
  <c r="CK87" i="1"/>
  <c r="CK131" i="1"/>
  <c r="CK183" i="1"/>
  <c r="CK182" i="1"/>
  <c r="CK130" i="1"/>
  <c r="CK33" i="1"/>
  <c r="CK134" i="1"/>
  <c r="CK88" i="1"/>
  <c r="CK199" i="1"/>
  <c r="CK74" i="1"/>
  <c r="CK144" i="1"/>
  <c r="CK96" i="1"/>
  <c r="CK203" i="1"/>
  <c r="CK202" i="1"/>
  <c r="CK201" i="1"/>
  <c r="CK95" i="1"/>
  <c r="CK94" i="1"/>
  <c r="CK206" i="1"/>
  <c r="CK205" i="1"/>
  <c r="CK200" i="1"/>
  <c r="CK204" i="1"/>
  <c r="CK207" i="1"/>
  <c r="CK209" i="1"/>
  <c r="CK208" i="1"/>
  <c r="CK148" i="1"/>
  <c r="CK152" i="1"/>
  <c r="CK106" i="1"/>
  <c r="CK216" i="1"/>
  <c r="CK105" i="1"/>
  <c r="CK153" i="1"/>
  <c r="CK104" i="1"/>
  <c r="CK151" i="1"/>
  <c r="CK150" i="1"/>
  <c r="CK149" i="1"/>
  <c r="CK218" i="1"/>
  <c r="CK217" i="1"/>
  <c r="CK215" i="1"/>
  <c r="CK222" i="1"/>
  <c r="CK168" i="1"/>
  <c r="CK122" i="1"/>
  <c r="CK167" i="1"/>
  <c r="CK121" i="1"/>
  <c r="CK225" i="1"/>
  <c r="CK119" i="1"/>
  <c r="CK224" i="1"/>
  <c r="CK226" i="1"/>
  <c r="CK117" i="1"/>
  <c r="CK227" i="1"/>
  <c r="CK165" i="1"/>
  <c r="CK123" i="1"/>
  <c r="CK84" i="1"/>
  <c r="CK118" i="1"/>
  <c r="CK223" i="1"/>
  <c r="CK166" i="1"/>
  <c r="CK120" i="1"/>
  <c r="CK229" i="1"/>
  <c r="CK228" i="1"/>
  <c r="CK255" i="1"/>
  <c r="CK258" i="1"/>
  <c r="CK256" i="1"/>
  <c r="CK97" i="1"/>
  <c r="CK257" i="1"/>
  <c r="CK100" i="1"/>
  <c r="CK101" i="1"/>
  <c r="CK210" i="1"/>
  <c r="CK146" i="1"/>
  <c r="CK259" i="1"/>
  <c r="CK102" i="1"/>
  <c r="CK212" i="1"/>
  <c r="CK213" i="1"/>
  <c r="CK147" i="1"/>
  <c r="CK98" i="1"/>
  <c r="CK214" i="1"/>
  <c r="CK99" i="1"/>
  <c r="CK211" i="1"/>
  <c r="CK75" i="1"/>
  <c r="CK260" i="1"/>
  <c r="CK263" i="1"/>
  <c r="CK109" i="1"/>
  <c r="CK262" i="1"/>
  <c r="CK265" i="1"/>
  <c r="CK108" i="1"/>
  <c r="CK261" i="1"/>
  <c r="CK219" i="1"/>
  <c r="CK107" i="1"/>
  <c r="CK264" i="1"/>
  <c r="CK156" i="1"/>
  <c r="CK62" i="1"/>
  <c r="CK154" i="1"/>
  <c r="CK155" i="1"/>
  <c r="CK158" i="1"/>
  <c r="CK221" i="1"/>
  <c r="CK157" i="1"/>
  <c r="CK159" i="1"/>
  <c r="CK220" i="1"/>
  <c r="CK292" i="1"/>
  <c r="CK327" i="1"/>
  <c r="CK329" i="1"/>
  <c r="CK323" i="1"/>
  <c r="CK324" i="1"/>
  <c r="CK326" i="1"/>
  <c r="CK198" i="1"/>
  <c r="CK325" i="1"/>
  <c r="CK249" i="1"/>
  <c r="CK253" i="1"/>
  <c r="CK250" i="1"/>
  <c r="CK252" i="1"/>
  <c r="CK328" i="1"/>
  <c r="CK251" i="1"/>
  <c r="CK254" i="1"/>
  <c r="CK197" i="1"/>
  <c r="CK196" i="1"/>
  <c r="CK330" i="1"/>
  <c r="CK297" i="1"/>
  <c r="CK394" i="1"/>
  <c r="CK293" i="1"/>
  <c r="CK399" i="1"/>
  <c r="CK295" i="1"/>
  <c r="CK395" i="1"/>
  <c r="CK294" i="1"/>
  <c r="CK398" i="1"/>
  <c r="CK296" i="1"/>
  <c r="CK401" i="1"/>
  <c r="CK403" i="1"/>
  <c r="CK396" i="1"/>
  <c r="CK400" i="1"/>
  <c r="CK402" i="1"/>
  <c r="CK397" i="1"/>
  <c r="CK404" i="1"/>
  <c r="CK425" i="1"/>
  <c r="CK423" i="1"/>
  <c r="CK437" i="1"/>
  <c r="CK422" i="1"/>
  <c r="CK433" i="1"/>
  <c r="CK436" i="1"/>
  <c r="CK431" i="1"/>
  <c r="CK426" i="1"/>
  <c r="CK439" i="1"/>
  <c r="CK429" i="1"/>
  <c r="CK300" i="1"/>
  <c r="CK430" i="1"/>
  <c r="CK432" i="1"/>
  <c r="CK428" i="1"/>
  <c r="CK424" i="1"/>
  <c r="CK440" i="1"/>
  <c r="CK441" i="1"/>
  <c r="CK427" i="1"/>
  <c r="CK434" i="1"/>
  <c r="CK435" i="1"/>
  <c r="CK438" i="1"/>
  <c r="CK442" i="1"/>
  <c r="CK458" i="1"/>
  <c r="CK455" i="1"/>
  <c r="CK459" i="1"/>
  <c r="CK308" i="1"/>
  <c r="CK309" i="1"/>
  <c r="CK451" i="1"/>
  <c r="CK461" i="1"/>
  <c r="CK457" i="1"/>
  <c r="CK460" i="1"/>
  <c r="CK454" i="1"/>
  <c r="CK450" i="1"/>
  <c r="CK307" i="1"/>
  <c r="CK306" i="1"/>
  <c r="CK449" i="1"/>
  <c r="CK452" i="1"/>
  <c r="CK456" i="1"/>
  <c r="CK462" i="1"/>
  <c r="CK305" i="1"/>
  <c r="CK310" i="1"/>
  <c r="CK453" i="1"/>
  <c r="CK479" i="1"/>
  <c r="CK474" i="1"/>
  <c r="CK471" i="1"/>
  <c r="CK477" i="1"/>
  <c r="CK473" i="1"/>
  <c r="CK483" i="1"/>
  <c r="CK478" i="1"/>
  <c r="CK482" i="1"/>
  <c r="CK476" i="1"/>
  <c r="CK472" i="1"/>
  <c r="CK481" i="1"/>
  <c r="CK486" i="1"/>
  <c r="CK475" i="1"/>
  <c r="CK487" i="1"/>
  <c r="CK484" i="1"/>
  <c r="CK480" i="1"/>
  <c r="CK485" i="1"/>
  <c r="CK488" i="1"/>
  <c r="CK498" i="1"/>
  <c r="CK497" i="1"/>
  <c r="CK499" i="1"/>
  <c r="CK500" i="1"/>
  <c r="CK248" i="1"/>
  <c r="CK315" i="1"/>
  <c r="CK244" i="1"/>
  <c r="CK501" i="1"/>
  <c r="CK245" i="1"/>
  <c r="CK194" i="1"/>
  <c r="CK246" i="1"/>
  <c r="CK318" i="1"/>
  <c r="CK316" i="1"/>
  <c r="CK317" i="1"/>
  <c r="CK247" i="1"/>
  <c r="CK342" i="1"/>
  <c r="CK338" i="1"/>
  <c r="CK506" i="1"/>
  <c r="CK339" i="1"/>
  <c r="CK337" i="1"/>
  <c r="CK336" i="1"/>
  <c r="CK340" i="1"/>
  <c r="CK341" i="1"/>
  <c r="CK335" i="1"/>
  <c r="CK334" i="1"/>
  <c r="CK332" i="1"/>
  <c r="CK507" i="1"/>
  <c r="CK511" i="1"/>
  <c r="CK351" i="1"/>
  <c r="CK509" i="1"/>
  <c r="CK349" i="1"/>
  <c r="CK508" i="1"/>
  <c r="CK343" i="1"/>
  <c r="CK346" i="1"/>
  <c r="CK345" i="1"/>
  <c r="CK510" i="1"/>
  <c r="CK350" i="1"/>
  <c r="CK344" i="1"/>
  <c r="CK352" i="1"/>
  <c r="CK347" i="1"/>
  <c r="CK512" i="1"/>
  <c r="CK348" i="1"/>
  <c r="CK513" i="1"/>
  <c r="CK514" i="1"/>
  <c r="CK515" i="1"/>
  <c r="CK517" i="1"/>
  <c r="CK516" i="1"/>
  <c r="CK519" i="1"/>
  <c r="CK518" i="1"/>
  <c r="CK525" i="1"/>
  <c r="CK524" i="1"/>
  <c r="CK526" i="1"/>
  <c r="CK521" i="1"/>
  <c r="CK520" i="1"/>
  <c r="CK527" i="1"/>
  <c r="CK522" i="1"/>
  <c r="CK523" i="1"/>
  <c r="CK363" i="1"/>
  <c r="CK530" i="1"/>
  <c r="CK529" i="1"/>
  <c r="CK378" i="1"/>
  <c r="CK361" i="1"/>
  <c r="CK362" i="1"/>
  <c r="CK375" i="1"/>
  <c r="CK379" i="1"/>
  <c r="CK528" i="1"/>
  <c r="CK531" i="1"/>
  <c r="CK373" i="1"/>
  <c r="CK369" i="1"/>
  <c r="CK377" i="1"/>
  <c r="CK374" i="1"/>
  <c r="CK376" i="1"/>
  <c r="CK380" i="1"/>
  <c r="CK534" i="1"/>
  <c r="CK393" i="1"/>
  <c r="CK384" i="1"/>
  <c r="CK385" i="1"/>
  <c r="CK533" i="1"/>
  <c r="CK390" i="1"/>
  <c r="CK535" i="1"/>
  <c r="CK537" i="1"/>
  <c r="CK392" i="1"/>
  <c r="CK382" i="1"/>
  <c r="CK389" i="1"/>
  <c r="CK532" i="1"/>
  <c r="CK386" i="1"/>
  <c r="CK539" i="1"/>
  <c r="CK387" i="1"/>
  <c r="CK536" i="1"/>
  <c r="CK388" i="1"/>
  <c r="CK541" i="1"/>
  <c r="CK538" i="1"/>
  <c r="CK544" i="1"/>
  <c r="CK540" i="1"/>
  <c r="CK543" i="1"/>
  <c r="CK542" i="1"/>
  <c r="CK407" i="1"/>
  <c r="CK547" i="1"/>
  <c r="CK414" i="1"/>
  <c r="CK417" i="1"/>
  <c r="CK418" i="1"/>
  <c r="CK416" i="1"/>
  <c r="CK420" i="1"/>
  <c r="CK412" i="1"/>
  <c r="CK408" i="1"/>
  <c r="CK548" i="1"/>
  <c r="CK545" i="1"/>
  <c r="CK298" i="1"/>
  <c r="CK410" i="1"/>
  <c r="CK406" i="1"/>
  <c r="CK421" i="1"/>
  <c r="CK546" i="1"/>
  <c r="CK415" i="1"/>
  <c r="CK411" i="1"/>
  <c r="CK413" i="1"/>
  <c r="CK419" i="1"/>
  <c r="CK409" i="1"/>
  <c r="CK444" i="1"/>
  <c r="CK443" i="1"/>
  <c r="CK554" i="1"/>
  <c r="CK447" i="1"/>
  <c r="CK303" i="1"/>
  <c r="CK446" i="1"/>
  <c r="CK448" i="1"/>
  <c r="CK551" i="1"/>
  <c r="CK550" i="1"/>
  <c r="CK553" i="1"/>
  <c r="CK555" i="1"/>
  <c r="CK558" i="1"/>
  <c r="CK557" i="1"/>
  <c r="CK559" i="1"/>
  <c r="CK552" i="1"/>
  <c r="CK556" i="1"/>
  <c r="CK549" i="1"/>
  <c r="CK561" i="1"/>
  <c r="CK563" i="1"/>
  <c r="CK560" i="1"/>
  <c r="CK562" i="1"/>
  <c r="CK564" i="1"/>
  <c r="CK565" i="1"/>
  <c r="CK566" i="1"/>
  <c r="CK577" i="1"/>
  <c r="CK582" i="1"/>
  <c r="CK571" i="1"/>
  <c r="CK567" i="1"/>
  <c r="CK578" i="1"/>
  <c r="CK574" i="1"/>
  <c r="CK580" i="1"/>
  <c r="CK579" i="1"/>
  <c r="CK570" i="1"/>
  <c r="CK575" i="1"/>
  <c r="CK583" i="1"/>
  <c r="CK585" i="1"/>
  <c r="CK576" i="1"/>
  <c r="CK572" i="1"/>
  <c r="CK573" i="1"/>
  <c r="CK581" i="1"/>
  <c r="CK584" i="1"/>
  <c r="CK596" i="1"/>
  <c r="CK595" i="1"/>
  <c r="CK496" i="1"/>
  <c r="CK602" i="1"/>
  <c r="CK594" i="1"/>
  <c r="CK495" i="1"/>
  <c r="CK593" i="1"/>
  <c r="CK592" i="1"/>
  <c r="CK597" i="1"/>
  <c r="CK586" i="1"/>
  <c r="CK589" i="1"/>
  <c r="CK599" i="1"/>
  <c r="CK494" i="1"/>
  <c r="CK588" i="1"/>
  <c r="CK492" i="1"/>
  <c r="CK601" i="1"/>
  <c r="CK590" i="1"/>
  <c r="CK591" i="1"/>
  <c r="CK604" i="1"/>
  <c r="CK598" i="1"/>
  <c r="CK600" i="1"/>
  <c r="CK587" i="1"/>
  <c r="CK603" i="1"/>
  <c r="CK192" i="1"/>
  <c r="CK266" i="1"/>
  <c r="CK364" i="1"/>
  <c r="CK31" i="1"/>
  <c r="CK267" i="1"/>
  <c r="CK290" i="1"/>
  <c r="CK359" i="1"/>
  <c r="CK568" i="1"/>
  <c r="CK464" i="1"/>
  <c r="CK620" i="1"/>
  <c r="CK66" i="1"/>
  <c r="CK92" i="1"/>
  <c r="CK51" i="1"/>
  <c r="CK284" i="1"/>
  <c r="CK493" i="1"/>
  <c r="CK391" i="1"/>
  <c r="CK301" i="1"/>
  <c r="CK21" i="1"/>
  <c r="CK49" i="1"/>
  <c r="CK237" i="1"/>
  <c r="CK185" i="1"/>
  <c r="CK613" i="1"/>
  <c r="CK612" i="1"/>
  <c r="CK275" i="1"/>
  <c r="CK502" i="1"/>
  <c r="CK608" i="1"/>
  <c r="CK281" i="1"/>
  <c r="CK270" i="1"/>
  <c r="CK36" i="1"/>
  <c r="CJ367" i="1"/>
  <c r="CK367" i="1"/>
  <c r="CK468" i="1"/>
  <c r="CK22" i="1"/>
  <c r="CK68" i="1"/>
  <c r="CK178" i="1"/>
  <c r="CJ178" i="1"/>
  <c r="CJ188" i="1"/>
  <c r="N188" i="14" s="1"/>
  <c r="CK188" i="1"/>
  <c r="CK282" i="1"/>
  <c r="CJ366" i="1"/>
  <c r="CK366" i="1"/>
  <c r="CJ470" i="1"/>
  <c r="CK470" i="1"/>
  <c r="CD46" i="1"/>
  <c r="CJ365" i="1"/>
  <c r="CK365" i="1"/>
  <c r="CK320" i="1"/>
  <c r="CK280" i="1"/>
  <c r="CD466" i="1"/>
  <c r="CK467" i="1"/>
  <c r="CD60" i="1"/>
  <c r="CJ58" i="1"/>
  <c r="CK58" i="1"/>
  <c r="CK25" i="1"/>
  <c r="CK291" i="1"/>
  <c r="CJ16" i="1"/>
  <c r="CK16" i="1"/>
  <c r="CK73" i="1"/>
  <c r="CD609" i="1"/>
  <c r="CK445" i="1"/>
  <c r="CD463" i="1"/>
  <c r="CD55" i="1"/>
  <c r="CK356" i="1"/>
  <c r="CK103" i="1"/>
  <c r="CJ46" i="1"/>
  <c r="N46" i="14" s="1"/>
  <c r="CK46" i="1"/>
  <c r="CK235" i="1"/>
  <c r="CD469" i="1"/>
  <c r="CJ466" i="1"/>
  <c r="CK466" i="1"/>
  <c r="CD19" i="1"/>
  <c r="CD72" i="1"/>
  <c r="CJ319" i="1"/>
  <c r="CK319" i="1"/>
  <c r="CK273" i="1"/>
  <c r="CD607" i="1"/>
  <c r="CK91" i="1"/>
  <c r="CD26" i="1"/>
  <c r="CK304" i="1"/>
  <c r="CK239" i="1"/>
  <c r="CD27" i="1"/>
  <c r="CK272" i="1"/>
  <c r="CD79" i="1"/>
  <c r="CK23" i="1"/>
  <c r="CJ10" i="1"/>
  <c r="CK10" i="1"/>
  <c r="CK47" i="1"/>
  <c r="CJ463" i="1"/>
  <c r="N463" i="14" s="1"/>
  <c r="CK463" i="1"/>
  <c r="CK64" i="1"/>
  <c r="CJ353" i="1"/>
  <c r="N353" i="14" s="1"/>
  <c r="CK353" i="1"/>
  <c r="CK143" i="1"/>
  <c r="CD313" i="1"/>
  <c r="CK184" i="1"/>
  <c r="CK4" i="1"/>
  <c r="CJ469" i="1"/>
  <c r="CK469" i="1"/>
  <c r="CK505" i="1"/>
  <c r="CJ19" i="1"/>
  <c r="N19" i="14" s="1"/>
  <c r="CK19" i="1"/>
  <c r="CJ72" i="1"/>
  <c r="CK72" i="1"/>
  <c r="CJ60" i="1"/>
  <c r="N60" i="14" s="1"/>
  <c r="CK60" i="1"/>
  <c r="CJ607" i="1"/>
  <c r="CK607" i="1"/>
  <c r="CK45" i="1"/>
  <c r="CK333" i="1"/>
  <c r="CJ622" i="1"/>
  <c r="CK622" i="1"/>
  <c r="CJ27" i="1"/>
  <c r="N27" i="14" s="1"/>
  <c r="CK27" i="1"/>
  <c r="CK52" i="1"/>
  <c r="CK489" i="1"/>
  <c r="CJ79" i="1"/>
  <c r="CK79" i="1"/>
  <c r="CK605" i="1"/>
  <c r="CJ231" i="1"/>
  <c r="CK231" i="1"/>
  <c r="CK7" i="1"/>
  <c r="CK286" i="1"/>
  <c r="CK145" i="1"/>
  <c r="CK611" i="1"/>
  <c r="CJ313" i="1"/>
  <c r="N313" i="14" s="1"/>
  <c r="CK313" i="1"/>
  <c r="CK193" i="1"/>
  <c r="CK190" i="1"/>
  <c r="CD39" i="1"/>
  <c r="CD177" i="1"/>
  <c r="CK383" i="1"/>
  <c r="CD2" i="1"/>
  <c r="N56" i="14"/>
  <c r="CJ2" i="1"/>
  <c r="CK2" i="1"/>
  <c r="N187" i="14"/>
  <c r="N464" i="14"/>
  <c r="N609" i="14"/>
  <c r="N365" i="14"/>
  <c r="N234" i="14"/>
  <c r="N7" i="14"/>
  <c r="N47" i="14"/>
  <c r="N331" i="14"/>
  <c r="N240" i="14"/>
  <c r="N184" i="14"/>
  <c r="N616" i="14"/>
  <c r="N504" i="14"/>
  <c r="N241" i="14"/>
  <c r="N13" i="14"/>
  <c r="N267" i="14"/>
  <c r="N6" i="14"/>
  <c r="N15" i="14"/>
  <c r="N321" i="14"/>
  <c r="N48" i="14"/>
  <c r="N29" i="14"/>
  <c r="N4" i="14"/>
  <c r="N25" i="14"/>
  <c r="N505" i="14"/>
  <c r="N470" i="14"/>
  <c r="N39" i="14"/>
  <c r="N269" i="14"/>
  <c r="N42" i="14"/>
  <c r="N50" i="14"/>
  <c r="N189" i="14"/>
  <c r="N282" i="14"/>
  <c r="N55" i="14"/>
  <c r="N230" i="14"/>
  <c r="N44" i="14"/>
  <c r="N137" i="14"/>
  <c r="N381" i="14"/>
  <c r="N503" i="14"/>
  <c r="N235" i="14"/>
  <c r="N21" i="14"/>
  <c r="N466" i="14"/>
  <c r="N52" i="14"/>
  <c r="N320" i="14"/>
  <c r="N619" i="14"/>
  <c r="N36" i="14"/>
  <c r="N568" i="14"/>
  <c r="N17" i="14"/>
  <c r="N64" i="14"/>
  <c r="N283" i="14"/>
  <c r="N312" i="14"/>
  <c r="N467" i="14"/>
  <c r="N138" i="14"/>
  <c r="N614" i="14"/>
  <c r="N405" i="14"/>
  <c r="N268" i="14"/>
  <c r="N69" i="14"/>
  <c r="N41" i="14"/>
  <c r="N238" i="14"/>
  <c r="N233" i="14"/>
  <c r="N37" i="14"/>
  <c r="N285" i="14"/>
  <c r="N468" i="14"/>
  <c r="N141" i="14"/>
  <c r="N311" i="14"/>
  <c r="N270" i="14"/>
  <c r="N276" i="14"/>
  <c r="N502" i="14"/>
  <c r="N5" i="14"/>
  <c r="N12" i="14"/>
  <c r="N618" i="14"/>
  <c r="N239" i="14"/>
  <c r="N57" i="14"/>
  <c r="N45" i="14"/>
  <c r="N284" i="14"/>
  <c r="N280" i="14"/>
  <c r="N59" i="14"/>
  <c r="N322" i="14"/>
  <c r="N78" i="14"/>
  <c r="N35" i="14"/>
  <c r="N32" i="14"/>
  <c r="N70" i="14"/>
  <c r="N178" i="14"/>
  <c r="N469" i="14"/>
  <c r="N281" i="14"/>
  <c r="N610" i="14"/>
  <c r="N622" i="14"/>
  <c r="N71" i="14"/>
  <c r="N605" i="14"/>
  <c r="N185" i="14"/>
  <c r="N569" i="14"/>
  <c r="N367" i="14"/>
  <c r="N278" i="14"/>
  <c r="N231" i="14"/>
  <c r="N24" i="14"/>
  <c r="N236" i="14"/>
  <c r="N28" i="14"/>
  <c r="N40" i="14"/>
  <c r="N9" i="14"/>
  <c r="N54" i="14"/>
  <c r="N38" i="14"/>
  <c r="N31" i="14"/>
  <c r="N90" i="14"/>
  <c r="N83" i="14"/>
  <c r="N43" i="14"/>
  <c r="N319" i="14"/>
  <c r="N489" i="14"/>
  <c r="N266" i="14"/>
  <c r="N611" i="14"/>
  <c r="N176" i="14"/>
  <c r="N232" i="14"/>
  <c r="N357" i="14"/>
  <c r="N271" i="14"/>
  <c r="N186" i="14"/>
  <c r="N621" i="14"/>
  <c r="N615" i="14"/>
  <c r="N34" i="14"/>
  <c r="N140" i="14"/>
  <c r="N177" i="14"/>
  <c r="N139" i="14"/>
  <c r="N22" i="14"/>
  <c r="N91" i="14"/>
  <c r="N79" i="14"/>
  <c r="N286" i="14"/>
  <c r="N465" i="14"/>
  <c r="N366" i="14" l="1"/>
  <c r="D12" i="4"/>
  <c r="D24" i="4"/>
  <c r="D36" i="4"/>
  <c r="D48" i="4"/>
  <c r="D60" i="4"/>
  <c r="D72" i="4"/>
  <c r="D84" i="4"/>
  <c r="D96" i="4"/>
  <c r="D11" i="4"/>
  <c r="D47" i="4"/>
  <c r="D13" i="4"/>
  <c r="D25" i="4"/>
  <c r="D37" i="4"/>
  <c r="D49" i="4"/>
  <c r="D61" i="4"/>
  <c r="D73" i="4"/>
  <c r="D85" i="4"/>
  <c r="D97" i="4"/>
  <c r="D35" i="4"/>
  <c r="D14" i="4"/>
  <c r="D26" i="4"/>
  <c r="D38" i="4"/>
  <c r="D50" i="4"/>
  <c r="D62" i="4"/>
  <c r="D74" i="4"/>
  <c r="D86" i="4"/>
  <c r="D98" i="4"/>
  <c r="D15" i="4"/>
  <c r="D27" i="4"/>
  <c r="D39" i="4"/>
  <c r="D51" i="4"/>
  <c r="D63" i="4"/>
  <c r="D75" i="4"/>
  <c r="D87" i="4"/>
  <c r="D99" i="4"/>
  <c r="D4" i="4"/>
  <c r="D16" i="4"/>
  <c r="D28" i="4"/>
  <c r="D40" i="4"/>
  <c r="D52" i="4"/>
  <c r="D64" i="4"/>
  <c r="D76" i="4"/>
  <c r="D88" i="4"/>
  <c r="D100" i="4"/>
  <c r="D23" i="4"/>
  <c r="D5" i="4"/>
  <c r="D17" i="4"/>
  <c r="D29" i="4"/>
  <c r="D41" i="4"/>
  <c r="D53" i="4"/>
  <c r="D65" i="4"/>
  <c r="D77" i="4"/>
  <c r="D89" i="4"/>
  <c r="D101" i="4"/>
  <c r="D6" i="4"/>
  <c r="D18" i="4"/>
  <c r="D30" i="4"/>
  <c r="D42" i="4"/>
  <c r="D54" i="4"/>
  <c r="D66" i="4"/>
  <c r="D78" i="4"/>
  <c r="D90" i="4"/>
  <c r="D102" i="4"/>
  <c r="D59" i="4"/>
  <c r="D7" i="4"/>
  <c r="D19" i="4"/>
  <c r="D31" i="4"/>
  <c r="D43" i="4"/>
  <c r="D55" i="4"/>
  <c r="D67" i="4"/>
  <c r="D79" i="4"/>
  <c r="D91" i="4"/>
  <c r="D3" i="4"/>
  <c r="D83" i="4"/>
  <c r="D8" i="4"/>
  <c r="D20" i="4"/>
  <c r="D32" i="4"/>
  <c r="D44" i="4"/>
  <c r="D56" i="4"/>
  <c r="D68" i="4"/>
  <c r="D80" i="4"/>
  <c r="D92" i="4"/>
  <c r="D95" i="4"/>
  <c r="D9" i="4"/>
  <c r="D21" i="4"/>
  <c r="D33" i="4"/>
  <c r="D45" i="4"/>
  <c r="D57" i="4"/>
  <c r="D69" i="4"/>
  <c r="D81" i="4"/>
  <c r="D93" i="4"/>
  <c r="D10" i="4"/>
  <c r="D22" i="4"/>
  <c r="D34" i="4"/>
  <c r="D46" i="4"/>
  <c r="D58" i="4"/>
  <c r="D70" i="4"/>
  <c r="D82" i="4"/>
  <c r="D94" i="4"/>
  <c r="D71" i="4"/>
  <c r="CL272" i="1"/>
  <c r="CL4" i="1"/>
  <c r="CL235" i="1"/>
  <c r="N607" i="14"/>
  <c r="CL27" i="1"/>
  <c r="CL64" i="1"/>
  <c r="CL611" i="1"/>
  <c r="CL353" i="1"/>
  <c r="CL184" i="1"/>
  <c r="CL47" i="1"/>
  <c r="CL622" i="1"/>
  <c r="CL19" i="1"/>
  <c r="CL356" i="1"/>
  <c r="CL467" i="1"/>
  <c r="CL282" i="1"/>
  <c r="CL269" i="1"/>
  <c r="CL368" i="1"/>
  <c r="CL61" i="1"/>
  <c r="N61" i="14"/>
  <c r="CL504" i="1"/>
  <c r="CL41" i="1"/>
  <c r="CL32" i="1"/>
  <c r="CL234" i="1"/>
  <c r="CL314" i="1"/>
  <c r="CL83" i="1"/>
  <c r="CL286" i="1"/>
  <c r="CL23" i="1"/>
  <c r="CL15" i="1"/>
  <c r="CL16" i="1"/>
  <c r="CL8" i="1"/>
  <c r="CL141" i="1"/>
  <c r="CL569" i="1"/>
  <c r="CL491" i="1"/>
  <c r="CL288" i="1"/>
  <c r="CL50" i="1"/>
  <c r="CL53" i="1"/>
  <c r="CL24" i="1"/>
  <c r="CL331" i="1"/>
  <c r="CL11" i="1"/>
  <c r="CL195" i="1"/>
  <c r="CL39" i="1"/>
  <c r="CL7" i="1"/>
  <c r="CL313" i="1"/>
  <c r="CL91" i="1"/>
  <c r="CL73" i="1"/>
  <c r="CL466" i="1"/>
  <c r="CL68" i="1"/>
  <c r="CL365" i="1"/>
  <c r="CL188" i="1"/>
  <c r="CL268" i="1"/>
  <c r="CL139" i="1"/>
  <c r="CL277" i="1"/>
  <c r="N277" i="14"/>
  <c r="CL56" i="1"/>
  <c r="CL42" i="1"/>
  <c r="CL9" i="1"/>
  <c r="CL606" i="1"/>
  <c r="CL18" i="1"/>
  <c r="CL190" i="1"/>
  <c r="CL333" i="1"/>
  <c r="CL79" i="1"/>
  <c r="CL469" i="1"/>
  <c r="CL463" i="1"/>
  <c r="CL280" i="1"/>
  <c r="CL22" i="1"/>
  <c r="CL302" i="1"/>
  <c r="CL371" i="1"/>
  <c r="CL178" i="1"/>
  <c r="CL283" i="1"/>
  <c r="CL278" i="1"/>
  <c r="CL189" i="1"/>
  <c r="CL65" i="1"/>
  <c r="CL13" i="1"/>
  <c r="CL12" i="1"/>
  <c r="CL276" i="1"/>
  <c r="CL138" i="1"/>
  <c r="CL37" i="1"/>
  <c r="CL241" i="1"/>
  <c r="CL468" i="1"/>
  <c r="CL77" i="1"/>
  <c r="CL34" i="1"/>
  <c r="CL233" i="1"/>
  <c r="CL616" i="1"/>
  <c r="CL582" i="1"/>
  <c r="CL20" i="1"/>
  <c r="CL232" i="1"/>
  <c r="CL287" i="1"/>
  <c r="CL618" i="1"/>
  <c r="CL193" i="1"/>
  <c r="CL3" i="1"/>
  <c r="CL45" i="1"/>
  <c r="CL143" i="1"/>
  <c r="CL607" i="1"/>
  <c r="CL25" i="1"/>
  <c r="CL320" i="1"/>
  <c r="CL36" i="1"/>
  <c r="CL358" i="1"/>
  <c r="CL14" i="1"/>
  <c r="CL71" i="1"/>
  <c r="CL285" i="1"/>
  <c r="CL370" i="1"/>
  <c r="CL57" i="1"/>
  <c r="CL614" i="1"/>
  <c r="CL321" i="1"/>
  <c r="CL93" i="1"/>
  <c r="CL609" i="1"/>
  <c r="CL55" i="1"/>
  <c r="CL273" i="1"/>
  <c r="CL10" i="1"/>
  <c r="CL270" i="1"/>
  <c r="CL187" i="1"/>
  <c r="CL142" i="1"/>
  <c r="CL621" i="1"/>
  <c r="CL63" i="1"/>
  <c r="CL242" i="1"/>
  <c r="N242" i="14"/>
  <c r="CL80" i="1"/>
  <c r="CL238" i="1"/>
  <c r="CL38" i="1"/>
  <c r="CL354" i="1"/>
  <c r="CL405" i="1"/>
  <c r="CL372" i="1"/>
  <c r="CL58" i="1"/>
  <c r="CL615" i="1"/>
  <c r="CL48" i="1"/>
  <c r="CL26" i="1"/>
  <c r="CL69" i="1"/>
  <c r="CL240" i="1"/>
  <c r="CL67" i="1"/>
  <c r="CL610" i="1"/>
  <c r="CL605" i="1"/>
  <c r="CL489" i="1"/>
  <c r="CL60" i="1"/>
  <c r="CL46" i="1"/>
  <c r="CL470" i="1"/>
  <c r="CL191" i="1"/>
  <c r="CL5" i="1"/>
  <c r="CL357" i="1"/>
  <c r="CL236" i="1"/>
  <c r="CL299" i="1"/>
  <c r="CL230" i="1"/>
  <c r="CL465" i="1"/>
  <c r="CL503" i="1"/>
  <c r="CL52" i="1"/>
  <c r="CL239" i="1"/>
  <c r="CL103" i="1"/>
  <c r="CL319" i="1"/>
  <c r="CL281" i="1"/>
  <c r="CL367" i="1"/>
  <c r="CL137" i="1"/>
  <c r="CL311" i="1"/>
  <c r="CL40" i="1"/>
  <c r="CL43" i="1"/>
  <c r="CL322" i="1"/>
  <c r="CL70" i="1"/>
  <c r="CL29" i="1"/>
  <c r="CL44" i="1"/>
  <c r="CL35" i="1"/>
  <c r="CL177" i="1"/>
  <c r="CL383" i="1"/>
  <c r="CL162" i="1"/>
  <c r="CL115" i="1"/>
  <c r="CL81" i="1"/>
  <c r="CL110" i="1"/>
  <c r="CL82" i="1"/>
  <c r="CL114" i="1"/>
  <c r="CL30" i="1"/>
  <c r="CL160" i="1"/>
  <c r="CL113" i="1"/>
  <c r="CL163" i="1"/>
  <c r="CL111" i="1"/>
  <c r="CL116" i="1"/>
  <c r="CL164" i="1"/>
  <c r="CL112" i="1"/>
  <c r="CL161" i="1"/>
  <c r="CL171" i="1"/>
  <c r="CL172" i="1"/>
  <c r="CL128" i="1"/>
  <c r="CL127" i="1"/>
  <c r="CL170" i="1"/>
  <c r="CL174" i="1"/>
  <c r="CL85" i="1"/>
  <c r="CL173" i="1"/>
  <c r="CL126" i="1"/>
  <c r="CL125" i="1"/>
  <c r="CL86" i="1"/>
  <c r="CL175" i="1"/>
  <c r="CL169" i="1"/>
  <c r="CL124" i="1"/>
  <c r="CL181" i="1"/>
  <c r="CL136" i="1"/>
  <c r="CL89" i="1"/>
  <c r="CL180" i="1"/>
  <c r="CL135" i="1"/>
  <c r="CL133" i="1"/>
  <c r="CL132" i="1"/>
  <c r="CL131" i="1"/>
  <c r="CL87" i="1"/>
  <c r="CL129" i="1"/>
  <c r="CL179" i="1"/>
  <c r="CL88" i="1"/>
  <c r="CL182" i="1"/>
  <c r="CL134" i="1"/>
  <c r="CL130" i="1"/>
  <c r="CL33" i="1"/>
  <c r="CL183" i="1"/>
  <c r="CL144" i="1"/>
  <c r="CL74" i="1"/>
  <c r="CL199" i="1"/>
  <c r="CL96" i="1"/>
  <c r="CL205" i="1"/>
  <c r="CL203" i="1"/>
  <c r="CL206" i="1"/>
  <c r="CL94" i="1"/>
  <c r="CL95" i="1"/>
  <c r="CL201" i="1"/>
  <c r="CL202" i="1"/>
  <c r="CL204" i="1"/>
  <c r="CL209" i="1"/>
  <c r="CL207" i="1"/>
  <c r="CL200" i="1"/>
  <c r="CL208" i="1"/>
  <c r="CL148" i="1"/>
  <c r="CL105" i="1"/>
  <c r="CL216" i="1"/>
  <c r="CL104" i="1"/>
  <c r="CL106" i="1"/>
  <c r="CL152" i="1"/>
  <c r="CL153" i="1"/>
  <c r="CL149" i="1"/>
  <c r="CL151" i="1"/>
  <c r="CL217" i="1"/>
  <c r="CL218" i="1"/>
  <c r="CL150" i="1"/>
  <c r="CL215" i="1"/>
  <c r="CL222" i="1"/>
  <c r="CL224" i="1"/>
  <c r="CL225" i="1"/>
  <c r="CL121" i="1"/>
  <c r="CL119" i="1"/>
  <c r="CL122" i="1"/>
  <c r="CL167" i="1"/>
  <c r="CL168" i="1"/>
  <c r="CL117" i="1"/>
  <c r="CL118" i="1"/>
  <c r="CL226" i="1"/>
  <c r="CL165" i="1"/>
  <c r="CL84" i="1"/>
  <c r="CL166" i="1"/>
  <c r="CL120" i="1"/>
  <c r="CL123" i="1"/>
  <c r="CL227" i="1"/>
  <c r="CL223" i="1"/>
  <c r="CL228" i="1"/>
  <c r="CL229" i="1"/>
  <c r="CL258" i="1"/>
  <c r="CL255" i="1"/>
  <c r="CL256" i="1"/>
  <c r="CL146" i="1"/>
  <c r="CL100" i="1"/>
  <c r="CL210" i="1"/>
  <c r="CL101" i="1"/>
  <c r="CL257" i="1"/>
  <c r="CL211" i="1"/>
  <c r="CL147" i="1"/>
  <c r="CL259" i="1"/>
  <c r="CL213" i="1"/>
  <c r="CL214" i="1"/>
  <c r="CL212" i="1"/>
  <c r="CL99" i="1"/>
  <c r="CL102" i="1"/>
  <c r="CL75" i="1"/>
  <c r="CL98" i="1"/>
  <c r="CL260" i="1"/>
  <c r="CL263" i="1"/>
  <c r="CL109" i="1"/>
  <c r="CL265" i="1"/>
  <c r="CL262" i="1"/>
  <c r="CL154" i="1"/>
  <c r="CL261" i="1"/>
  <c r="CL62" i="1"/>
  <c r="CL108" i="1"/>
  <c r="CL158" i="1"/>
  <c r="CL155" i="1"/>
  <c r="CL156" i="1"/>
  <c r="CL264" i="1"/>
  <c r="CL107" i="1"/>
  <c r="CL219" i="1"/>
  <c r="CL220" i="1"/>
  <c r="CL157" i="1"/>
  <c r="CL159" i="1"/>
  <c r="CL221" i="1"/>
  <c r="CL292" i="1"/>
  <c r="CL323" i="1"/>
  <c r="CL329" i="1"/>
  <c r="CL324" i="1"/>
  <c r="CL327" i="1"/>
  <c r="CL326" i="1"/>
  <c r="CL250" i="1"/>
  <c r="CL198" i="1"/>
  <c r="CL325" i="1"/>
  <c r="CL252" i="1"/>
  <c r="CL253" i="1"/>
  <c r="CL249" i="1"/>
  <c r="CL328" i="1"/>
  <c r="CL196" i="1"/>
  <c r="CL254" i="1"/>
  <c r="CL251" i="1"/>
  <c r="CL197" i="1"/>
  <c r="CL330" i="1"/>
  <c r="CL293" i="1"/>
  <c r="CL295" i="1"/>
  <c r="CL394" i="1"/>
  <c r="CL297" i="1"/>
  <c r="CL399" i="1"/>
  <c r="CL396" i="1"/>
  <c r="CL403" i="1"/>
  <c r="CL401" i="1"/>
  <c r="CL296" i="1"/>
  <c r="CL398" i="1"/>
  <c r="CL294" i="1"/>
  <c r="CL395" i="1"/>
  <c r="CL397" i="1"/>
  <c r="CL400" i="1"/>
  <c r="CL402" i="1"/>
  <c r="CL404" i="1"/>
  <c r="CL425" i="1"/>
  <c r="CL433" i="1"/>
  <c r="CL437" i="1"/>
  <c r="CL423" i="1"/>
  <c r="CL422" i="1"/>
  <c r="CL436" i="1"/>
  <c r="CL427" i="1"/>
  <c r="CL300" i="1"/>
  <c r="CL429" i="1"/>
  <c r="CL441" i="1"/>
  <c r="CL440" i="1"/>
  <c r="CL439" i="1"/>
  <c r="CL424" i="1"/>
  <c r="CL426" i="1"/>
  <c r="CL428" i="1"/>
  <c r="CL432" i="1"/>
  <c r="CL430" i="1"/>
  <c r="CL431" i="1"/>
  <c r="CL438" i="1"/>
  <c r="CL435" i="1"/>
  <c r="CL434" i="1"/>
  <c r="CL442" i="1"/>
  <c r="CL458" i="1"/>
  <c r="CL455" i="1"/>
  <c r="CL449" i="1"/>
  <c r="CL309" i="1"/>
  <c r="CL306" i="1"/>
  <c r="CL450" i="1"/>
  <c r="CL454" i="1"/>
  <c r="CL307" i="1"/>
  <c r="CL460" i="1"/>
  <c r="CL308" i="1"/>
  <c r="CL457" i="1"/>
  <c r="CL459" i="1"/>
  <c r="CL461" i="1"/>
  <c r="CL451" i="1"/>
  <c r="CL453" i="1"/>
  <c r="CL305" i="1"/>
  <c r="CL456" i="1"/>
  <c r="CL310" i="1"/>
  <c r="CL452" i="1"/>
  <c r="CL462" i="1"/>
  <c r="CL474" i="1"/>
  <c r="CL479" i="1"/>
  <c r="CL477" i="1"/>
  <c r="CL471" i="1"/>
  <c r="CL473" i="1"/>
  <c r="CL484" i="1"/>
  <c r="CL487" i="1"/>
  <c r="CL482" i="1"/>
  <c r="CL475" i="1"/>
  <c r="CL486" i="1"/>
  <c r="CL476" i="1"/>
  <c r="CL481" i="1"/>
  <c r="CL478" i="1"/>
  <c r="CL472" i="1"/>
  <c r="CL483" i="1"/>
  <c r="CL485" i="1"/>
  <c r="CL480" i="1"/>
  <c r="CL488" i="1"/>
  <c r="CL498" i="1"/>
  <c r="CL248" i="1"/>
  <c r="CL500" i="1"/>
  <c r="CL497" i="1"/>
  <c r="CL244" i="1"/>
  <c r="CL501" i="1"/>
  <c r="CL315" i="1"/>
  <c r="CL499" i="1"/>
  <c r="CL247" i="1"/>
  <c r="CL316" i="1"/>
  <c r="CL318" i="1"/>
  <c r="CL194" i="1"/>
  <c r="CL245" i="1"/>
  <c r="CL246" i="1"/>
  <c r="CL317" i="1"/>
  <c r="CL338" i="1"/>
  <c r="CL506" i="1"/>
  <c r="CL339" i="1"/>
  <c r="CL342" i="1"/>
  <c r="CL337" i="1"/>
  <c r="CL332" i="1"/>
  <c r="CL336" i="1"/>
  <c r="CL334" i="1"/>
  <c r="CL340" i="1"/>
  <c r="CL507" i="1"/>
  <c r="CL335" i="1"/>
  <c r="CL341" i="1"/>
  <c r="CL351" i="1"/>
  <c r="CL511" i="1"/>
  <c r="CL509" i="1"/>
  <c r="CL349" i="1"/>
  <c r="CL352" i="1"/>
  <c r="CL346" i="1"/>
  <c r="CL348" i="1"/>
  <c r="CL344" i="1"/>
  <c r="CL512" i="1"/>
  <c r="CL350" i="1"/>
  <c r="CL343" i="1"/>
  <c r="CL508" i="1"/>
  <c r="CL510" i="1"/>
  <c r="CL345" i="1"/>
  <c r="CL347" i="1"/>
  <c r="CL517" i="1"/>
  <c r="CL513" i="1"/>
  <c r="CL514" i="1"/>
  <c r="CL515" i="1"/>
  <c r="CL516" i="1"/>
  <c r="CL518" i="1"/>
  <c r="CL519" i="1"/>
  <c r="CL525" i="1"/>
  <c r="CL526" i="1"/>
  <c r="CL527" i="1"/>
  <c r="CL521" i="1"/>
  <c r="CL524" i="1"/>
  <c r="CL520" i="1"/>
  <c r="CL363" i="1"/>
  <c r="CL523" i="1"/>
  <c r="CL522" i="1"/>
  <c r="CL361" i="1"/>
  <c r="CL375" i="1"/>
  <c r="CL529" i="1"/>
  <c r="CL362" i="1"/>
  <c r="CL378" i="1"/>
  <c r="CL530" i="1"/>
  <c r="CL377" i="1"/>
  <c r="CL379" i="1"/>
  <c r="CL531" i="1"/>
  <c r="CL373" i="1"/>
  <c r="CL380" i="1"/>
  <c r="CL376" i="1"/>
  <c r="CL374" i="1"/>
  <c r="CL369" i="1"/>
  <c r="CL528" i="1"/>
  <c r="CL534" i="1"/>
  <c r="CL390" i="1"/>
  <c r="CL533" i="1"/>
  <c r="CL393" i="1"/>
  <c r="CL392" i="1"/>
  <c r="CL537" i="1"/>
  <c r="CL384" i="1"/>
  <c r="CL382" i="1"/>
  <c r="CL385" i="1"/>
  <c r="CL535" i="1"/>
  <c r="CL536" i="1"/>
  <c r="CL389" i="1"/>
  <c r="CL387" i="1"/>
  <c r="CL386" i="1"/>
  <c r="CL532" i="1"/>
  <c r="CL388" i="1"/>
  <c r="CL539" i="1"/>
  <c r="CL538" i="1"/>
  <c r="CL541" i="1"/>
  <c r="CL540" i="1"/>
  <c r="CL544" i="1"/>
  <c r="CL542" i="1"/>
  <c r="CL543" i="1"/>
  <c r="CL407" i="1"/>
  <c r="CL414" i="1"/>
  <c r="CL412" i="1"/>
  <c r="CL417" i="1"/>
  <c r="CL420" i="1"/>
  <c r="CL416" i="1"/>
  <c r="CL418" i="1"/>
  <c r="CL547" i="1"/>
  <c r="CL411" i="1"/>
  <c r="CL546" i="1"/>
  <c r="CL421" i="1"/>
  <c r="CL406" i="1"/>
  <c r="CL413" i="1"/>
  <c r="CL410" i="1"/>
  <c r="CL545" i="1"/>
  <c r="CL548" i="1"/>
  <c r="CL408" i="1"/>
  <c r="CL415" i="1"/>
  <c r="CL298" i="1"/>
  <c r="CL409" i="1"/>
  <c r="CL419" i="1"/>
  <c r="CL443" i="1"/>
  <c r="CL550" i="1"/>
  <c r="CL444" i="1"/>
  <c r="CL551" i="1"/>
  <c r="CL553" i="1"/>
  <c r="CL448" i="1"/>
  <c r="CL554" i="1"/>
  <c r="CL446" i="1"/>
  <c r="CL303" i="1"/>
  <c r="CL555" i="1"/>
  <c r="CL447" i="1"/>
  <c r="CL552" i="1"/>
  <c r="CL557" i="1"/>
  <c r="CL549" i="1"/>
  <c r="CL558" i="1"/>
  <c r="CL559" i="1"/>
  <c r="CL556" i="1"/>
  <c r="CL560" i="1"/>
  <c r="CL562" i="1"/>
  <c r="CL561" i="1"/>
  <c r="CL563" i="1"/>
  <c r="CL565" i="1"/>
  <c r="CL564" i="1"/>
  <c r="CL566" i="1"/>
  <c r="CL579" i="1"/>
  <c r="CL580" i="1"/>
  <c r="CL578" i="1"/>
  <c r="CL567" i="1"/>
  <c r="CL571" i="1"/>
  <c r="CL577" i="1"/>
  <c r="CL574" i="1"/>
  <c r="CL572" i="1"/>
  <c r="CL576" i="1"/>
  <c r="CL570" i="1"/>
  <c r="CL585" i="1"/>
  <c r="CL583" i="1"/>
  <c r="CL575" i="1"/>
  <c r="CL573" i="1"/>
  <c r="CL581" i="1"/>
  <c r="CL584" i="1"/>
  <c r="CL596" i="1"/>
  <c r="CL594" i="1"/>
  <c r="CL496" i="1"/>
  <c r="CL602" i="1"/>
  <c r="CL495" i="1"/>
  <c r="CL595" i="1"/>
  <c r="CL587" i="1"/>
  <c r="CL492" i="1"/>
  <c r="CL598" i="1"/>
  <c r="CL588" i="1"/>
  <c r="CL494" i="1"/>
  <c r="CL599" i="1"/>
  <c r="CL586" i="1"/>
  <c r="CL597" i="1"/>
  <c r="CL592" i="1"/>
  <c r="CL593" i="1"/>
  <c r="CL97" i="1"/>
  <c r="CL600" i="1"/>
  <c r="CL604" i="1"/>
  <c r="CL589" i="1"/>
  <c r="CL591" i="1"/>
  <c r="CL590" i="1"/>
  <c r="CL601" i="1"/>
  <c r="CL603" i="1"/>
  <c r="CL291" i="1"/>
  <c r="CL568" i="1"/>
  <c r="CL31" i="1"/>
  <c r="CL613" i="1"/>
  <c r="CL284" i="1"/>
  <c r="CL66" i="1"/>
  <c r="CL359" i="1"/>
  <c r="CL364" i="1"/>
  <c r="CL51" i="1"/>
  <c r="CL275" i="1"/>
  <c r="CL301" i="1"/>
  <c r="CL464" i="1"/>
  <c r="CL185" i="1"/>
  <c r="CL612" i="1"/>
  <c r="CL237" i="1"/>
  <c r="CL49" i="1"/>
  <c r="CL391" i="1"/>
  <c r="CL192" i="1"/>
  <c r="CL608" i="1"/>
  <c r="CL92" i="1"/>
  <c r="CL493" i="1"/>
  <c r="CL266" i="1"/>
  <c r="CL617" i="1"/>
  <c r="CL502" i="1"/>
  <c r="CL290" i="1"/>
  <c r="CL620" i="1"/>
  <c r="CL21" i="1"/>
  <c r="CL267" i="1"/>
  <c r="CL505" i="1"/>
  <c r="CL231" i="1"/>
  <c r="CL304" i="1"/>
  <c r="CL72" i="1"/>
  <c r="N72" i="14"/>
  <c r="CL445" i="1"/>
  <c r="CL78" i="1"/>
  <c r="CL366" i="1"/>
  <c r="CL140" i="1"/>
  <c r="CL355" i="1"/>
  <c r="CL59" i="1"/>
  <c r="CL28" i="1"/>
  <c r="CL381" i="1"/>
  <c r="CL176" i="1"/>
  <c r="CL279" i="1"/>
  <c r="N279" i="14"/>
  <c r="CL54" i="1"/>
  <c r="CL271" i="1"/>
  <c r="CL90" i="1"/>
  <c r="CL17" i="1"/>
  <c r="CL145" i="1"/>
  <c r="CL186" i="1"/>
  <c r="CL6" i="1"/>
  <c r="CL619" i="1"/>
  <c r="CL360" i="1"/>
  <c r="CL243" i="1"/>
  <c r="CL76" i="1"/>
  <c r="CL490" i="1"/>
  <c r="CL289" i="1"/>
  <c r="N289" i="14"/>
  <c r="CL274" i="1"/>
  <c r="CL312" i="1"/>
  <c r="N10" i="14"/>
  <c r="N18" i="14"/>
  <c r="N63" i="14"/>
  <c r="N26" i="14"/>
  <c r="N68" i="14"/>
  <c r="N20" i="14"/>
  <c r="N77" i="14"/>
  <c r="F62" i="4"/>
  <c r="E62" i="4"/>
  <c r="H62" i="4"/>
  <c r="C62" i="4"/>
  <c r="K62" i="4"/>
  <c r="G62" i="4"/>
  <c r="I62" i="4"/>
  <c r="J62" i="4"/>
  <c r="B62" i="4"/>
  <c r="I5" i="4"/>
  <c r="F4" i="4"/>
  <c r="K6" i="4"/>
  <c r="K11" i="4"/>
  <c r="H11" i="4"/>
  <c r="I13" i="4"/>
  <c r="J14" i="4"/>
  <c r="B16" i="4"/>
  <c r="E18" i="4"/>
  <c r="G20" i="4"/>
  <c r="H21" i="4"/>
  <c r="J23" i="4"/>
  <c r="B24" i="4"/>
  <c r="J26" i="4"/>
  <c r="C27" i="4"/>
  <c r="C28" i="4"/>
  <c r="C30" i="4"/>
  <c r="B32" i="4"/>
  <c r="H33" i="4"/>
  <c r="H34" i="4"/>
  <c r="I35" i="4"/>
  <c r="F37" i="4"/>
  <c r="G38" i="4"/>
  <c r="F39" i="4"/>
  <c r="G40" i="4"/>
  <c r="H41" i="4"/>
  <c r="F43" i="4"/>
  <c r="J44" i="4"/>
  <c r="B45" i="4"/>
  <c r="G46" i="4"/>
  <c r="C47" i="4"/>
  <c r="K49" i="4"/>
  <c r="H50" i="4"/>
  <c r="F51" i="4"/>
  <c r="K52" i="4"/>
  <c r="F53" i="4"/>
  <c r="J56" i="4"/>
  <c r="F57" i="4"/>
  <c r="H58" i="4"/>
  <c r="C59" i="4"/>
  <c r="K63" i="4"/>
  <c r="B18" i="4"/>
  <c r="K30" i="4"/>
  <c r="B38" i="4"/>
  <c r="B43" i="4"/>
  <c r="G58" i="4"/>
  <c r="G3" i="4"/>
  <c r="B5" i="4"/>
  <c r="C4" i="4"/>
  <c r="G5" i="4"/>
  <c r="F7" i="4"/>
  <c r="H10" i="4"/>
  <c r="C11" i="4"/>
  <c r="J11" i="4"/>
  <c r="B13" i="4"/>
  <c r="I15" i="4"/>
  <c r="H16" i="4"/>
  <c r="I18" i="4"/>
  <c r="H19" i="4"/>
  <c r="H20" i="4"/>
  <c r="H22" i="4"/>
  <c r="I23" i="4"/>
  <c r="K24" i="4"/>
  <c r="K27" i="4"/>
  <c r="I29" i="4"/>
  <c r="G32" i="4"/>
  <c r="F33" i="4"/>
  <c r="C34" i="4"/>
  <c r="G36" i="4"/>
  <c r="G37" i="4"/>
  <c r="J38" i="4"/>
  <c r="I39" i="4"/>
  <c r="I40" i="4"/>
  <c r="B42" i="4"/>
  <c r="I43" i="4"/>
  <c r="F44" i="4"/>
  <c r="C46" i="4"/>
  <c r="C48" i="4"/>
  <c r="I49" i="4"/>
  <c r="J50" i="4"/>
  <c r="H51" i="4"/>
  <c r="F52" i="4"/>
  <c r="E54" i="4"/>
  <c r="C55" i="4"/>
  <c r="K56" i="4"/>
  <c r="I57" i="4"/>
  <c r="B58" i="4"/>
  <c r="I60" i="4"/>
  <c r="I61" i="4"/>
  <c r="B63" i="4"/>
  <c r="I45" i="4"/>
  <c r="J55" i="4"/>
  <c r="C14" i="4"/>
  <c r="B28" i="4"/>
  <c r="E35" i="4"/>
  <c r="J40" i="4"/>
  <c r="E44" i="4"/>
  <c r="H52" i="4"/>
  <c r="E3" i="4"/>
  <c r="I7" i="4"/>
  <c r="G8" i="4"/>
  <c r="E12" i="4"/>
  <c r="J15" i="4"/>
  <c r="E20" i="4"/>
  <c r="F23" i="4"/>
  <c r="J28" i="4"/>
  <c r="I33" i="4"/>
  <c r="I3" i="4"/>
  <c r="E4" i="4"/>
  <c r="F5" i="4"/>
  <c r="C6" i="4"/>
  <c r="J7" i="4"/>
  <c r="E8" i="4"/>
  <c r="G11" i="4"/>
  <c r="E11" i="4"/>
  <c r="K12" i="4"/>
  <c r="F13" i="4"/>
  <c r="G15" i="4"/>
  <c r="K16" i="4"/>
  <c r="F18" i="4"/>
  <c r="I19" i="4"/>
  <c r="B23" i="4"/>
  <c r="J24" i="4"/>
  <c r="I26" i="4"/>
  <c r="E27" i="4"/>
  <c r="C29" i="4"/>
  <c r="B30" i="4"/>
  <c r="J32" i="4"/>
  <c r="J34" i="4"/>
  <c r="C36" i="4"/>
  <c r="C39" i="4"/>
  <c r="B40" i="4"/>
  <c r="K42" i="4"/>
  <c r="E43" i="4"/>
  <c r="I44" i="4"/>
  <c r="H45" i="4"/>
  <c r="B46" i="4"/>
  <c r="F48" i="4"/>
  <c r="H49" i="4"/>
  <c r="C50" i="4"/>
  <c r="B51" i="4"/>
  <c r="E52" i="4"/>
  <c r="J54" i="4"/>
  <c r="I55" i="4"/>
  <c r="H56" i="4"/>
  <c r="H57" i="4"/>
  <c r="F58" i="4"/>
  <c r="K60" i="4"/>
  <c r="K61" i="4"/>
  <c r="H3" i="4"/>
  <c r="E5" i="4"/>
  <c r="H4" i="4"/>
  <c r="B6" i="4"/>
  <c r="B9" i="4"/>
  <c r="E9" i="4"/>
  <c r="G10" i="4"/>
  <c r="F12" i="4"/>
  <c r="J12" i="4"/>
  <c r="B14" i="4"/>
  <c r="F15" i="4"/>
  <c r="J16" i="4"/>
  <c r="H18" i="4"/>
  <c r="B19" i="4"/>
  <c r="E21" i="4"/>
  <c r="F22" i="4"/>
  <c r="G23" i="4"/>
  <c r="I24" i="4"/>
  <c r="F26" i="4"/>
  <c r="F28" i="4"/>
  <c r="F29" i="4"/>
  <c r="G30" i="4"/>
  <c r="J33" i="4"/>
  <c r="B35" i="4"/>
  <c r="K36" i="4"/>
  <c r="H37" i="4"/>
  <c r="H38" i="4"/>
  <c r="H42" i="4"/>
  <c r="C44" i="4"/>
  <c r="E47" i="4"/>
  <c r="J48" i="4"/>
  <c r="F50" i="4"/>
  <c r="J53" i="4"/>
  <c r="E55" i="4"/>
  <c r="B57" i="4"/>
  <c r="E60" i="4"/>
  <c r="K4" i="4"/>
  <c r="F8" i="4"/>
  <c r="F11" i="4"/>
  <c r="E16" i="4"/>
  <c r="K19" i="4"/>
  <c r="E22" i="4"/>
  <c r="E29" i="4"/>
  <c r="C33" i="4"/>
  <c r="C37" i="4"/>
  <c r="I41" i="4"/>
  <c r="G48" i="4"/>
  <c r="K50" i="4"/>
  <c r="H54" i="4"/>
  <c r="I59" i="4"/>
  <c r="E61" i="4"/>
  <c r="F36" i="4"/>
  <c r="B48" i="4"/>
  <c r="F55" i="4"/>
  <c r="G61" i="4"/>
  <c r="J8" i="4"/>
  <c r="G13" i="4"/>
  <c r="C16" i="4"/>
  <c r="B21" i="4"/>
  <c r="G26" i="4"/>
  <c r="H29" i="4"/>
  <c r="C35" i="4"/>
  <c r="E32" i="4"/>
  <c r="J39" i="4"/>
  <c r="C43" i="4"/>
  <c r="G45" i="4"/>
  <c r="J49" i="4"/>
  <c r="C51" i="4"/>
  <c r="G54" i="4"/>
  <c r="H59" i="4"/>
  <c r="J61" i="4"/>
  <c r="C63" i="4"/>
  <c r="C21" i="4"/>
  <c r="E28" i="4"/>
  <c r="I36" i="4"/>
  <c r="G39" i="4"/>
  <c r="J43" i="4"/>
  <c r="F49" i="4"/>
  <c r="E56" i="4"/>
  <c r="I21" i="4"/>
  <c r="B34" i="4"/>
  <c r="G41" i="4"/>
  <c r="E46" i="4"/>
  <c r="B53" i="4"/>
  <c r="C60" i="4"/>
  <c r="I6" i="4"/>
  <c r="C10" i="4"/>
  <c r="I14" i="4"/>
  <c r="J19" i="4"/>
  <c r="B22" i="4"/>
  <c r="B27" i="4"/>
  <c r="I30" i="4"/>
  <c r="B36" i="4"/>
  <c r="K3" i="4"/>
  <c r="F6" i="4"/>
  <c r="J9" i="4"/>
  <c r="K10" i="4"/>
  <c r="B12" i="4"/>
  <c r="H15" i="4"/>
  <c r="J18" i="4"/>
  <c r="C23" i="4"/>
  <c r="E26" i="4"/>
  <c r="H30" i="4"/>
  <c r="J35" i="4"/>
  <c r="F38" i="4"/>
  <c r="G42" i="4"/>
  <c r="G47" i="4"/>
  <c r="E51" i="4"/>
  <c r="E57" i="4"/>
  <c r="E63" i="4"/>
  <c r="F3" i="4"/>
  <c r="I4" i="4"/>
  <c r="C7" i="4"/>
  <c r="I8" i="4"/>
  <c r="I9" i="4"/>
  <c r="E10" i="4"/>
  <c r="H13" i="4"/>
  <c r="C15" i="4"/>
  <c r="G16" i="4"/>
  <c r="B20" i="4"/>
  <c r="G22" i="4"/>
  <c r="H24" i="4"/>
  <c r="C32" i="4"/>
  <c r="I37" i="4"/>
  <c r="C42" i="4"/>
  <c r="E49" i="4"/>
  <c r="C56" i="4"/>
  <c r="J63" i="4"/>
  <c r="J5" i="4"/>
  <c r="E7" i="4"/>
  <c r="H8" i="4"/>
  <c r="B8" i="4"/>
  <c r="J10" i="4"/>
  <c r="I12" i="4"/>
  <c r="E13" i="4"/>
  <c r="H14" i="4"/>
  <c r="I16" i="4"/>
  <c r="K18" i="4"/>
  <c r="K20" i="4"/>
  <c r="I22" i="4"/>
  <c r="H23" i="4"/>
  <c r="C24" i="4"/>
  <c r="G27" i="4"/>
  <c r="H28" i="4"/>
  <c r="K29" i="4"/>
  <c r="E30" i="4"/>
  <c r="H32" i="4"/>
  <c r="E34" i="4"/>
  <c r="E36" i="4"/>
  <c r="B37" i="4"/>
  <c r="C38" i="4"/>
  <c r="E41" i="4"/>
  <c r="I42" i="4"/>
  <c r="K44" i="4"/>
  <c r="K46" i="4"/>
  <c r="F47" i="4"/>
  <c r="H48" i="4"/>
  <c r="G49" i="4"/>
  <c r="E50" i="4"/>
  <c r="C52" i="4"/>
  <c r="G53" i="4"/>
  <c r="F54" i="4"/>
  <c r="B55" i="4"/>
  <c r="F56" i="4"/>
  <c r="C58" i="4"/>
  <c r="K59" i="4"/>
  <c r="F60" i="4"/>
  <c r="F61" i="4"/>
  <c r="G29" i="4"/>
  <c r="I47" i="4"/>
  <c r="K5" i="4"/>
  <c r="C3" i="4"/>
  <c r="J4" i="4"/>
  <c r="E6" i="4"/>
  <c r="B7" i="4"/>
  <c r="H9" i="4"/>
  <c r="F9" i="4"/>
  <c r="I11" i="4"/>
  <c r="F14" i="4"/>
  <c r="B15" i="4"/>
  <c r="F16" i="4"/>
  <c r="F19" i="4"/>
  <c r="F20" i="4"/>
  <c r="G21" i="4"/>
  <c r="K22" i="4"/>
  <c r="K23" i="4"/>
  <c r="C26" i="4"/>
  <c r="F27" i="4"/>
  <c r="K28" i="4"/>
  <c r="J29" i="4"/>
  <c r="F30" i="4"/>
  <c r="E33" i="4"/>
  <c r="G34" i="4"/>
  <c r="K35" i="4"/>
  <c r="K37" i="4"/>
  <c r="K40" i="4"/>
  <c r="B41" i="4"/>
  <c r="J42" i="4"/>
  <c r="K43" i="4"/>
  <c r="E45" i="4"/>
  <c r="J47" i="4"/>
  <c r="I48" i="4"/>
  <c r="B49" i="4"/>
  <c r="J51" i="4"/>
  <c r="B52" i="4"/>
  <c r="I53" i="4"/>
  <c r="B54" i="4"/>
  <c r="H55" i="4"/>
  <c r="C57" i="4"/>
  <c r="E58" i="4"/>
  <c r="B59" i="4"/>
  <c r="H60" i="4"/>
  <c r="B61" i="4"/>
  <c r="H63" i="4"/>
  <c r="K9" i="4"/>
  <c r="C18" i="4"/>
  <c r="C20" i="4"/>
  <c r="F24" i="4"/>
  <c r="H27" i="4"/>
  <c r="B29" i="4"/>
  <c r="B33" i="4"/>
  <c r="F35" i="4"/>
  <c r="E38" i="4"/>
  <c r="K39" i="4"/>
  <c r="F41" i="4"/>
  <c r="H44" i="4"/>
  <c r="H46" i="4"/>
  <c r="G51" i="4"/>
  <c r="C53" i="4"/>
  <c r="G56" i="4"/>
  <c r="I58" i="4"/>
  <c r="G60" i="4"/>
  <c r="B3" i="4"/>
  <c r="C5" i="4"/>
  <c r="G6" i="4"/>
  <c r="G7" i="4"/>
  <c r="C8" i="4"/>
  <c r="I10" i="4"/>
  <c r="H12" i="4"/>
  <c r="K13" i="4"/>
  <c r="E14" i="4"/>
  <c r="K15" i="4"/>
  <c r="C19" i="4"/>
  <c r="J21" i="4"/>
  <c r="C22" i="4"/>
  <c r="K26" i="4"/>
  <c r="I28" i="4"/>
  <c r="K32" i="4"/>
  <c r="F34" i="4"/>
  <c r="H36" i="4"/>
  <c r="F40" i="4"/>
  <c r="F42" i="4"/>
  <c r="K45" i="4"/>
  <c r="I50" i="4"/>
  <c r="J52" i="4"/>
  <c r="I54" i="4"/>
  <c r="J59" i="4"/>
  <c r="J3" i="4"/>
  <c r="B4" i="4"/>
  <c r="H6" i="4"/>
  <c r="K7" i="4"/>
  <c r="C9" i="4"/>
  <c r="F10" i="4"/>
  <c r="B10" i="4"/>
  <c r="B11" i="4"/>
  <c r="J13" i="4"/>
  <c r="K14" i="4"/>
  <c r="E15" i="4"/>
  <c r="G18" i="4"/>
  <c r="G19" i="4"/>
  <c r="J20" i="4"/>
  <c r="F21" i="4"/>
  <c r="J22" i="4"/>
  <c r="E24" i="4"/>
  <c r="H26" i="4"/>
  <c r="J27" i="4"/>
  <c r="G28" i="4"/>
  <c r="F32" i="4"/>
  <c r="K33" i="4"/>
  <c r="K34" i="4"/>
  <c r="H35" i="4"/>
  <c r="J36" i="4"/>
  <c r="I38" i="4"/>
  <c r="H39" i="4"/>
  <c r="C40" i="4"/>
  <c r="K41" i="4"/>
  <c r="E42" i="4"/>
  <c r="G44" i="4"/>
  <c r="J45" i="4"/>
  <c r="F46" i="4"/>
  <c r="B47" i="4"/>
  <c r="E48" i="4"/>
  <c r="B50" i="4"/>
  <c r="I51" i="4"/>
  <c r="G52" i="4"/>
  <c r="E53" i="4"/>
  <c r="C54" i="4"/>
  <c r="I56" i="4"/>
  <c r="K57" i="4"/>
  <c r="F59" i="4"/>
  <c r="J60" i="4"/>
  <c r="H5" i="4"/>
  <c r="G4" i="4"/>
  <c r="J6" i="4"/>
  <c r="H7" i="4"/>
  <c r="K8" i="4"/>
  <c r="G9" i="4"/>
  <c r="C12" i="4"/>
  <c r="G12" i="4"/>
  <c r="C13" i="4"/>
  <c r="G14" i="4"/>
  <c r="E19" i="4"/>
  <c r="I20" i="4"/>
  <c r="K21" i="4"/>
  <c r="E23" i="4"/>
  <c r="G24" i="4"/>
  <c r="B26" i="4"/>
  <c r="I27" i="4"/>
  <c r="J30" i="4"/>
  <c r="I32" i="4"/>
  <c r="G33" i="4"/>
  <c r="G35" i="4"/>
  <c r="E37" i="4"/>
  <c r="K38" i="4"/>
  <c r="B39" i="4"/>
  <c r="E40" i="4"/>
  <c r="J41" i="4"/>
  <c r="G43" i="4"/>
  <c r="B44" i="4"/>
  <c r="C45" i="4"/>
  <c r="I46" i="4"/>
  <c r="K47" i="4"/>
  <c r="C49" i="4"/>
  <c r="G50" i="4"/>
  <c r="K51" i="4"/>
  <c r="K53" i="4"/>
  <c r="K55" i="4"/>
  <c r="B56" i="4"/>
  <c r="J57" i="4"/>
  <c r="J58" i="4"/>
  <c r="E59" i="4"/>
  <c r="H61" i="4"/>
  <c r="I63" i="4"/>
  <c r="G57" i="4"/>
  <c r="H43" i="4"/>
  <c r="K58" i="4"/>
  <c r="G63" i="4"/>
  <c r="F63" i="4"/>
  <c r="F45" i="4"/>
  <c r="G59" i="4"/>
  <c r="J46" i="4"/>
  <c r="B60" i="4"/>
  <c r="H47" i="4"/>
  <c r="C61" i="4"/>
  <c r="I52" i="4"/>
  <c r="K54" i="4"/>
  <c r="K48" i="4"/>
  <c r="G55" i="4"/>
  <c r="I34" i="4"/>
  <c r="J37" i="4"/>
  <c r="H53" i="4"/>
  <c r="E39" i="4"/>
  <c r="H40" i="4"/>
  <c r="C41" i="4"/>
  <c r="K31" i="4"/>
  <c r="C25" i="4"/>
  <c r="B64" i="4"/>
  <c r="G25" i="4"/>
  <c r="E31" i="4"/>
  <c r="C64" i="4"/>
  <c r="E25" i="4"/>
  <c r="K64" i="4"/>
  <c r="G31" i="4"/>
  <c r="I25" i="4"/>
  <c r="F25" i="4"/>
  <c r="F64" i="4"/>
  <c r="E64" i="4"/>
  <c r="B31" i="4"/>
  <c r="K17" i="4"/>
  <c r="J31" i="4"/>
  <c r="I64" i="4"/>
  <c r="J64" i="4"/>
  <c r="B25" i="4"/>
  <c r="F31" i="4"/>
  <c r="J17" i="4"/>
  <c r="I17" i="4"/>
  <c r="H17" i="4"/>
  <c r="H64" i="4"/>
  <c r="B17" i="4"/>
  <c r="K25" i="4"/>
  <c r="C31" i="4"/>
  <c r="E17" i="4"/>
  <c r="G64" i="4"/>
  <c r="H31" i="4"/>
  <c r="I31" i="4"/>
  <c r="G17" i="4"/>
  <c r="J25" i="4"/>
  <c r="H25" i="4"/>
  <c r="E65" i="4"/>
  <c r="F65" i="4"/>
  <c r="G65" i="4"/>
  <c r="H65" i="4"/>
  <c r="J65" i="4"/>
  <c r="I65" i="4"/>
  <c r="C65" i="4"/>
  <c r="B65" i="4"/>
  <c r="K65" i="4"/>
  <c r="J66" i="4"/>
  <c r="F66" i="4"/>
  <c r="G66" i="4"/>
  <c r="C66" i="4"/>
  <c r="H66" i="4"/>
  <c r="K66" i="4"/>
  <c r="B66" i="4"/>
  <c r="I66" i="4"/>
  <c r="E66" i="4"/>
  <c r="G67" i="4"/>
  <c r="E67" i="4"/>
  <c r="H67" i="4"/>
  <c r="B67" i="4"/>
  <c r="K67" i="4"/>
  <c r="C67" i="4"/>
  <c r="I67" i="4"/>
  <c r="F67" i="4"/>
  <c r="J67" i="4"/>
  <c r="G68" i="4"/>
  <c r="H68" i="4"/>
  <c r="B68" i="4"/>
  <c r="C68" i="4"/>
  <c r="E68" i="4"/>
  <c r="K68" i="4"/>
  <c r="I68" i="4"/>
  <c r="F68" i="4"/>
  <c r="J68" i="4"/>
  <c r="K69" i="4"/>
  <c r="F69" i="4"/>
  <c r="E69" i="4"/>
  <c r="B69" i="4"/>
  <c r="I69" i="4"/>
  <c r="J69" i="4"/>
  <c r="C69" i="4"/>
  <c r="G69" i="4"/>
  <c r="H69" i="4"/>
  <c r="F70" i="4"/>
  <c r="J70" i="4"/>
  <c r="E70" i="4"/>
  <c r="I70" i="4"/>
  <c r="H70" i="4"/>
  <c r="C70" i="4"/>
  <c r="G70" i="4"/>
  <c r="B70" i="4"/>
  <c r="K70" i="4"/>
  <c r="B71" i="4"/>
  <c r="J71" i="4"/>
  <c r="C71" i="4"/>
  <c r="F71" i="4"/>
  <c r="G71" i="4"/>
  <c r="E71" i="4"/>
  <c r="H71" i="4"/>
  <c r="K71" i="4"/>
  <c r="I71" i="4"/>
  <c r="E72" i="4"/>
  <c r="I72" i="4"/>
  <c r="K72" i="4"/>
  <c r="J72" i="4"/>
  <c r="B72" i="4"/>
  <c r="F72" i="4"/>
  <c r="G72" i="4"/>
  <c r="C72" i="4"/>
  <c r="H72" i="4"/>
  <c r="G73" i="4"/>
  <c r="C73" i="4"/>
  <c r="H73" i="4"/>
  <c r="J73" i="4"/>
  <c r="E73" i="4"/>
  <c r="K73" i="4"/>
  <c r="F73" i="4"/>
  <c r="I73" i="4"/>
  <c r="B73" i="4"/>
  <c r="G74" i="4"/>
  <c r="C74" i="4"/>
  <c r="B74" i="4"/>
  <c r="K74" i="4"/>
  <c r="J74" i="4"/>
  <c r="E74" i="4"/>
  <c r="I74" i="4"/>
  <c r="H74" i="4"/>
  <c r="F74" i="4"/>
  <c r="J75" i="4"/>
  <c r="C75" i="4"/>
  <c r="B75" i="4"/>
  <c r="G75" i="4"/>
  <c r="H75" i="4"/>
  <c r="I75" i="4"/>
  <c r="E75" i="4"/>
  <c r="K75" i="4"/>
  <c r="F75" i="4"/>
  <c r="J76" i="4"/>
  <c r="F76" i="4"/>
  <c r="E76" i="4"/>
  <c r="K76" i="4"/>
  <c r="H76" i="4"/>
  <c r="G76" i="4"/>
  <c r="C76" i="4"/>
  <c r="B76" i="4"/>
  <c r="I76" i="4"/>
  <c r="I77" i="4"/>
  <c r="J77" i="4"/>
  <c r="F77" i="4"/>
  <c r="C77" i="4"/>
  <c r="E77" i="4"/>
  <c r="K77" i="4"/>
  <c r="B77" i="4"/>
  <c r="G77" i="4"/>
  <c r="H77" i="4"/>
  <c r="F78" i="4"/>
  <c r="E78" i="4"/>
  <c r="I78" i="4"/>
  <c r="C78" i="4"/>
  <c r="H78" i="4"/>
  <c r="K78" i="4"/>
  <c r="B78" i="4"/>
  <c r="G78" i="4"/>
  <c r="J78" i="4"/>
  <c r="I79" i="4"/>
  <c r="G79" i="4"/>
  <c r="J79" i="4"/>
  <c r="H79" i="4"/>
  <c r="K79" i="4"/>
  <c r="C79" i="4"/>
  <c r="F79" i="4"/>
  <c r="B79" i="4"/>
  <c r="E79" i="4"/>
  <c r="H80" i="4"/>
  <c r="K80" i="4"/>
  <c r="F80" i="4"/>
  <c r="J80" i="4"/>
  <c r="B80" i="4"/>
  <c r="G80" i="4"/>
  <c r="E80" i="4"/>
  <c r="C80" i="4"/>
  <c r="I80" i="4"/>
  <c r="C81" i="4"/>
  <c r="J81" i="4"/>
  <c r="B81" i="4"/>
  <c r="F81" i="4"/>
  <c r="G81" i="4"/>
  <c r="H81" i="4"/>
  <c r="K81" i="4"/>
  <c r="E81" i="4"/>
  <c r="I81" i="4"/>
  <c r="B82" i="4"/>
  <c r="I82" i="4"/>
  <c r="G82" i="4"/>
  <c r="E82" i="4"/>
  <c r="H82" i="4"/>
  <c r="F82" i="4"/>
  <c r="C82" i="4"/>
  <c r="J82" i="4"/>
  <c r="K82" i="4"/>
  <c r="E83" i="4"/>
  <c r="K83" i="4"/>
  <c r="B83" i="4"/>
  <c r="I83" i="4"/>
  <c r="G83" i="4"/>
  <c r="F83" i="4"/>
  <c r="J83" i="4"/>
  <c r="H83" i="4"/>
  <c r="C83" i="4"/>
  <c r="E84" i="4"/>
  <c r="G84" i="4"/>
  <c r="C84" i="4"/>
  <c r="H84" i="4"/>
  <c r="J84" i="4"/>
  <c r="I84" i="4"/>
  <c r="F84" i="4"/>
  <c r="B84" i="4"/>
  <c r="K84" i="4"/>
  <c r="G85" i="4"/>
  <c r="F85" i="4"/>
  <c r="J85" i="4"/>
  <c r="H85" i="4"/>
  <c r="C85" i="4"/>
  <c r="I85" i="4"/>
  <c r="E85" i="4"/>
  <c r="B85" i="4"/>
  <c r="K85" i="4"/>
  <c r="K86" i="4"/>
  <c r="H86" i="4"/>
  <c r="J86" i="4"/>
  <c r="F86" i="4"/>
  <c r="E86" i="4"/>
  <c r="B86" i="4"/>
  <c r="C86" i="4"/>
  <c r="I86" i="4"/>
  <c r="G86" i="4"/>
  <c r="H87" i="4"/>
  <c r="J87" i="4"/>
  <c r="I87" i="4"/>
  <c r="F87" i="4"/>
  <c r="K87" i="4"/>
  <c r="C87" i="4"/>
  <c r="E87" i="4"/>
  <c r="B87" i="4"/>
  <c r="G87" i="4"/>
  <c r="B88" i="4"/>
  <c r="H88" i="4"/>
  <c r="I88" i="4"/>
  <c r="G88" i="4"/>
  <c r="K88" i="4"/>
  <c r="J88" i="4"/>
  <c r="E88" i="4"/>
  <c r="C88" i="4"/>
  <c r="F88" i="4"/>
  <c r="G89" i="4"/>
  <c r="H89" i="4"/>
  <c r="I89" i="4"/>
  <c r="E89" i="4"/>
  <c r="K89" i="4"/>
  <c r="F89" i="4"/>
  <c r="C89" i="4"/>
  <c r="B89" i="4"/>
  <c r="J89" i="4"/>
  <c r="K90" i="4"/>
  <c r="I90" i="4"/>
  <c r="G90" i="4"/>
  <c r="H90" i="4"/>
  <c r="C90" i="4"/>
  <c r="F90" i="4"/>
  <c r="B90" i="4"/>
  <c r="J90" i="4"/>
  <c r="E90" i="4"/>
  <c r="H91" i="4"/>
  <c r="F91" i="4"/>
  <c r="K91" i="4"/>
  <c r="J91" i="4"/>
  <c r="C91" i="4"/>
  <c r="G91" i="4"/>
  <c r="I91" i="4"/>
  <c r="B91" i="4"/>
  <c r="E91" i="4"/>
  <c r="G92" i="4"/>
  <c r="C92" i="4"/>
  <c r="F92" i="4"/>
  <c r="J92" i="4"/>
  <c r="E92" i="4"/>
  <c r="K92" i="4"/>
  <c r="B92" i="4"/>
  <c r="H92" i="4"/>
  <c r="I92" i="4"/>
  <c r="F93" i="4"/>
  <c r="E93" i="4"/>
  <c r="I93" i="4"/>
  <c r="B93" i="4"/>
  <c r="H93" i="4"/>
  <c r="G93" i="4"/>
  <c r="C93" i="4"/>
  <c r="J93" i="4"/>
  <c r="K93" i="4"/>
  <c r="H94" i="4"/>
  <c r="J94" i="4"/>
  <c r="E94" i="4"/>
  <c r="B94" i="4"/>
  <c r="I94" i="4"/>
  <c r="C94" i="4"/>
  <c r="G94" i="4"/>
  <c r="K94" i="4"/>
  <c r="F94" i="4"/>
  <c r="H95" i="4"/>
  <c r="F95" i="4"/>
  <c r="K95" i="4"/>
  <c r="C95" i="4"/>
  <c r="B95" i="4"/>
  <c r="G95" i="4"/>
  <c r="I95" i="4"/>
  <c r="J95" i="4"/>
  <c r="E95" i="4"/>
  <c r="H96" i="4"/>
  <c r="G96" i="4"/>
  <c r="C96" i="4"/>
  <c r="F96" i="4"/>
  <c r="E96" i="4"/>
  <c r="J96" i="4"/>
  <c r="I96" i="4"/>
  <c r="K96" i="4"/>
  <c r="B96" i="4"/>
  <c r="E97" i="4"/>
  <c r="H97" i="4"/>
  <c r="J97" i="4"/>
  <c r="I97" i="4"/>
  <c r="C97" i="4"/>
  <c r="F97" i="4"/>
  <c r="G97" i="4"/>
  <c r="B97" i="4"/>
  <c r="K97" i="4"/>
  <c r="H98" i="4"/>
  <c r="C98" i="4"/>
  <c r="K98" i="4"/>
  <c r="E98" i="4"/>
  <c r="G98" i="4"/>
  <c r="F98" i="4"/>
  <c r="B98" i="4"/>
  <c r="I98" i="4"/>
  <c r="J98" i="4"/>
  <c r="B99" i="4"/>
  <c r="G99" i="4"/>
  <c r="H99" i="4"/>
  <c r="F99" i="4"/>
  <c r="I99" i="4"/>
  <c r="C99" i="4"/>
  <c r="E99" i="4"/>
  <c r="J99" i="4"/>
  <c r="K99" i="4"/>
  <c r="I100" i="4"/>
  <c r="C100" i="4"/>
  <c r="E100" i="4"/>
  <c r="G100" i="4"/>
  <c r="K100" i="4"/>
  <c r="H100" i="4"/>
  <c r="J100" i="4"/>
  <c r="F100" i="4"/>
  <c r="B100" i="4"/>
  <c r="H101" i="4"/>
  <c r="K101" i="4"/>
  <c r="E101" i="4"/>
  <c r="G101" i="4"/>
  <c r="J101" i="4"/>
  <c r="B101" i="4"/>
  <c r="I101" i="4"/>
  <c r="F101" i="4"/>
  <c r="C101" i="4"/>
  <c r="F102" i="4"/>
  <c r="H102" i="4"/>
  <c r="J102" i="4"/>
  <c r="B102" i="4"/>
  <c r="E102" i="4"/>
  <c r="I102" i="4"/>
  <c r="G102" i="4"/>
  <c r="C102" i="4"/>
  <c r="K102" i="4"/>
  <c r="N16" i="14"/>
  <c r="N58" i="14"/>
  <c r="N23" i="14"/>
  <c r="N2" i="14"/>
  <c r="CL2" i="1"/>
  <c r="N53" i="14"/>
  <c r="N11" i="14"/>
  <c r="N3" i="14"/>
  <c r="N8" i="14"/>
  <c r="N14" i="14"/>
  <c r="C17" i="4"/>
  <c r="N76" i="14"/>
  <c r="F17" i="4"/>
  <c r="P4" i="4" l="1"/>
  <c r="P16" i="4"/>
  <c r="P28" i="4"/>
  <c r="P40" i="4"/>
  <c r="P52" i="4"/>
  <c r="P64" i="4"/>
  <c r="P76" i="4"/>
  <c r="P88" i="4"/>
  <c r="P100" i="4"/>
  <c r="P5" i="4"/>
  <c r="P17" i="4"/>
  <c r="P29" i="4"/>
  <c r="P41" i="4"/>
  <c r="P53" i="4"/>
  <c r="P65" i="4"/>
  <c r="P77" i="4"/>
  <c r="P89" i="4"/>
  <c r="P101" i="4"/>
  <c r="P6" i="4"/>
  <c r="P18" i="4"/>
  <c r="P30" i="4"/>
  <c r="P42" i="4"/>
  <c r="P54" i="4"/>
  <c r="P66" i="4"/>
  <c r="P78" i="4"/>
  <c r="P90" i="4"/>
  <c r="P102" i="4"/>
  <c r="P87" i="4"/>
  <c r="P7" i="4"/>
  <c r="P19" i="4"/>
  <c r="P31" i="4"/>
  <c r="P43" i="4"/>
  <c r="P55" i="4"/>
  <c r="P67" i="4"/>
  <c r="P79" i="4"/>
  <c r="P91" i="4"/>
  <c r="P3" i="4"/>
  <c r="P99" i="4"/>
  <c r="P8" i="4"/>
  <c r="P20" i="4"/>
  <c r="P32" i="4"/>
  <c r="P44" i="4"/>
  <c r="P56" i="4"/>
  <c r="P68" i="4"/>
  <c r="P80" i="4"/>
  <c r="P92" i="4"/>
  <c r="P9" i="4"/>
  <c r="P21" i="4"/>
  <c r="P33" i="4"/>
  <c r="P45" i="4"/>
  <c r="P57" i="4"/>
  <c r="P69" i="4"/>
  <c r="P81" i="4"/>
  <c r="P93" i="4"/>
  <c r="P75" i="4"/>
  <c r="P10" i="4"/>
  <c r="P22" i="4"/>
  <c r="P34" i="4"/>
  <c r="P46" i="4"/>
  <c r="P58" i="4"/>
  <c r="P70" i="4"/>
  <c r="P82" i="4"/>
  <c r="P94" i="4"/>
  <c r="P51" i="4"/>
  <c r="P11" i="4"/>
  <c r="P23" i="4"/>
  <c r="P35" i="4"/>
  <c r="P47" i="4"/>
  <c r="P59" i="4"/>
  <c r="P71" i="4"/>
  <c r="P83" i="4"/>
  <c r="P95" i="4"/>
  <c r="P39" i="4"/>
  <c r="P12" i="4"/>
  <c r="P24" i="4"/>
  <c r="P36" i="4"/>
  <c r="P48" i="4"/>
  <c r="P60" i="4"/>
  <c r="P72" i="4"/>
  <c r="P84" i="4"/>
  <c r="P96" i="4"/>
  <c r="P63" i="4"/>
  <c r="P13" i="4"/>
  <c r="P25" i="4"/>
  <c r="P37" i="4"/>
  <c r="P49" i="4"/>
  <c r="P61" i="4"/>
  <c r="P73" i="4"/>
  <c r="P85" i="4"/>
  <c r="P97" i="4"/>
  <c r="P27" i="4"/>
  <c r="P14" i="4"/>
  <c r="P26" i="4"/>
  <c r="P38" i="4"/>
  <c r="P50" i="4"/>
  <c r="P62" i="4"/>
  <c r="P74" i="4"/>
  <c r="P86" i="4"/>
  <c r="P98" i="4"/>
  <c r="P15" i="4"/>
  <c r="N67" i="4"/>
  <c r="S64" i="4"/>
  <c r="U67" i="4"/>
  <c r="W67" i="4"/>
  <c r="Q3" i="4"/>
  <c r="R4" i="4"/>
  <c r="O6" i="4"/>
  <c r="T7" i="4"/>
  <c r="O11" i="4"/>
  <c r="O10" i="4"/>
  <c r="W8" i="4"/>
  <c r="S8" i="4"/>
  <c r="U14" i="4"/>
  <c r="T15" i="4"/>
  <c r="S13" i="4"/>
  <c r="V4" i="4"/>
  <c r="Q8" i="4"/>
  <c r="T9" i="4"/>
  <c r="W14" i="4"/>
  <c r="R12" i="4"/>
  <c r="N16" i="4"/>
  <c r="O17" i="4"/>
  <c r="T18" i="4"/>
  <c r="U19" i="4"/>
  <c r="O21" i="4"/>
  <c r="V22" i="4"/>
  <c r="U23" i="4"/>
  <c r="W24" i="4"/>
  <c r="N25" i="4"/>
  <c r="S24" i="4"/>
  <c r="O28" i="4"/>
  <c r="N29" i="4"/>
  <c r="Q30" i="4"/>
  <c r="O31" i="4"/>
  <c r="U33" i="4"/>
  <c r="U34" i="4"/>
  <c r="N35" i="4"/>
  <c r="W36" i="4"/>
  <c r="U39" i="4"/>
  <c r="W40" i="4"/>
  <c r="S38" i="4"/>
  <c r="Q42" i="4"/>
  <c r="N43" i="4"/>
  <c r="R42" i="4"/>
  <c r="T46" i="4"/>
  <c r="T47" i="4"/>
  <c r="W49" i="4"/>
  <c r="V51" i="4"/>
  <c r="V52" i="4"/>
  <c r="Q53" i="4"/>
  <c r="N54" i="4"/>
  <c r="U55" i="4"/>
  <c r="Q57" i="4"/>
  <c r="U59" i="4"/>
  <c r="N60" i="4"/>
  <c r="U61" i="4"/>
  <c r="S60" i="4"/>
  <c r="N64" i="4"/>
  <c r="O66" i="4"/>
  <c r="V68" i="4"/>
  <c r="S18" i="4"/>
  <c r="U26" i="4"/>
  <c r="U28" i="4"/>
  <c r="U30" i="4"/>
  <c r="S30" i="4"/>
  <c r="U35" i="4"/>
  <c r="N38" i="4"/>
  <c r="R3" i="4"/>
  <c r="T4" i="4"/>
  <c r="U6" i="4"/>
  <c r="Q7" i="4"/>
  <c r="Q11" i="4"/>
  <c r="V11" i="4"/>
  <c r="O13" i="4"/>
  <c r="W15" i="4"/>
  <c r="Q16" i="4"/>
  <c r="U17" i="4"/>
  <c r="U18" i="4"/>
  <c r="R17" i="4"/>
  <c r="N22" i="4"/>
  <c r="T23" i="4"/>
  <c r="S21" i="4"/>
  <c r="O27" i="4"/>
  <c r="O29" i="4"/>
  <c r="V32" i="4"/>
  <c r="T34" i="4"/>
  <c r="N36" i="4"/>
  <c r="Q67" i="4"/>
  <c r="T3" i="4"/>
  <c r="N4" i="4"/>
  <c r="T6" i="4"/>
  <c r="R7" i="4"/>
  <c r="T8" i="4"/>
  <c r="W9" i="4"/>
  <c r="T13" i="4"/>
  <c r="U12" i="4"/>
  <c r="Q14" i="4"/>
  <c r="U15" i="4"/>
  <c r="U16" i="4"/>
  <c r="N17" i="4"/>
  <c r="N18" i="4"/>
  <c r="V20" i="4"/>
  <c r="T21" i="4"/>
  <c r="S19" i="4"/>
  <c r="O23" i="4"/>
  <c r="U24" i="4"/>
  <c r="N26" i="4"/>
  <c r="R25" i="4"/>
  <c r="T29" i="4"/>
  <c r="V30" i="4"/>
  <c r="T32" i="4"/>
  <c r="V33" i="4"/>
  <c r="V35" i="4"/>
  <c r="O36" i="4"/>
  <c r="U38" i="4"/>
  <c r="R36" i="4"/>
  <c r="O40" i="4"/>
  <c r="T41" i="4"/>
  <c r="V42" i="4"/>
  <c r="Q44" i="4"/>
  <c r="W46" i="4"/>
  <c r="O47" i="4"/>
  <c r="S45" i="4"/>
  <c r="S47" i="4"/>
  <c r="O51" i="4"/>
  <c r="V53" i="4"/>
  <c r="U54" i="4"/>
  <c r="R53" i="4"/>
  <c r="N57" i="4"/>
  <c r="U58" i="4"/>
  <c r="S56" i="4"/>
  <c r="T62" i="4"/>
  <c r="V63" i="4"/>
  <c r="Q64" i="4"/>
  <c r="U65" i="4"/>
  <c r="R63" i="4"/>
  <c r="T5" i="4"/>
  <c r="S14" i="4"/>
  <c r="W21" i="4"/>
  <c r="O26" i="4"/>
  <c r="S28" i="4"/>
  <c r="S34" i="4"/>
  <c r="R41" i="4"/>
  <c r="N50" i="4"/>
  <c r="O57" i="4"/>
  <c r="W66" i="4"/>
  <c r="W11" i="4"/>
  <c r="R16" i="4"/>
  <c r="W28" i="4"/>
  <c r="T67" i="4"/>
  <c r="V5" i="4"/>
  <c r="S4" i="4"/>
  <c r="S6" i="4"/>
  <c r="V7" i="4"/>
  <c r="Q10" i="4"/>
  <c r="T11" i="4"/>
  <c r="T10" i="4"/>
  <c r="N9" i="4"/>
  <c r="O14" i="4"/>
  <c r="W16" i="4"/>
  <c r="T17" i="4"/>
  <c r="N20" i="4"/>
  <c r="N21" i="4"/>
  <c r="W23" i="4"/>
  <c r="O25" i="4"/>
  <c r="Q27" i="4"/>
  <c r="V28" i="4"/>
  <c r="S29" i="4"/>
  <c r="Q34" i="4"/>
  <c r="W35" i="4"/>
  <c r="R34" i="4"/>
  <c r="W38" i="4"/>
  <c r="T39" i="4"/>
  <c r="T40" i="4"/>
  <c r="U41" i="4"/>
  <c r="V43" i="4"/>
  <c r="S41" i="4"/>
  <c r="T45" i="4"/>
  <c r="N46" i="4"/>
  <c r="V47" i="4"/>
  <c r="W50" i="4"/>
  <c r="U52" i="4"/>
  <c r="W53" i="4"/>
  <c r="T55" i="4"/>
  <c r="S53" i="4"/>
  <c r="R54" i="4"/>
  <c r="O58" i="4"/>
  <c r="O59" i="4"/>
  <c r="W61" i="4"/>
  <c r="V62" i="4"/>
  <c r="R60" i="4"/>
  <c r="S61" i="4"/>
  <c r="R62" i="4"/>
  <c r="Q46" i="4"/>
  <c r="N52" i="4"/>
  <c r="V56" i="4"/>
  <c r="S57" i="4"/>
  <c r="U63" i="4"/>
  <c r="W4" i="4"/>
  <c r="S9" i="4"/>
  <c r="V18" i="4"/>
  <c r="T24" i="4"/>
  <c r="W30" i="4"/>
  <c r="S32" i="4"/>
  <c r="W45" i="4"/>
  <c r="Q50" i="4"/>
  <c r="T57" i="4"/>
  <c r="Q12" i="4"/>
  <c r="S17" i="4"/>
  <c r="R22" i="4"/>
  <c r="T30" i="4"/>
  <c r="O35" i="4"/>
  <c r="R46" i="4"/>
  <c r="U56" i="4"/>
  <c r="N65" i="4"/>
  <c r="R5" i="4"/>
  <c r="S10" i="4"/>
  <c r="R19" i="4"/>
  <c r="V67" i="4"/>
  <c r="O4" i="4"/>
  <c r="N5" i="4"/>
  <c r="R6" i="4"/>
  <c r="S7" i="4"/>
  <c r="N10" i="4"/>
  <c r="U9" i="4"/>
  <c r="S11" i="4"/>
  <c r="Q15" i="4"/>
  <c r="T16" i="4"/>
  <c r="W17" i="4"/>
  <c r="Q19" i="4"/>
  <c r="U20" i="4"/>
  <c r="V21" i="4"/>
  <c r="W22" i="4"/>
  <c r="S20" i="4"/>
  <c r="W25" i="4"/>
  <c r="T26" i="4"/>
  <c r="W27" i="4"/>
  <c r="N28" i="4"/>
  <c r="V29" i="4"/>
  <c r="W31" i="4"/>
  <c r="R29" i="4"/>
  <c r="T33" i="4"/>
  <c r="N34" i="4"/>
  <c r="R32" i="4"/>
  <c r="N37" i="4"/>
  <c r="W39" i="4"/>
  <c r="R37" i="4"/>
  <c r="Q41" i="4"/>
  <c r="T43" i="4"/>
  <c r="V44" i="4"/>
  <c r="Q45" i="4"/>
  <c r="U46" i="4"/>
  <c r="S44" i="4"/>
  <c r="N49" i="4"/>
  <c r="R47" i="4"/>
  <c r="Q51" i="4"/>
  <c r="R49" i="4"/>
  <c r="T53" i="4"/>
  <c r="V55" i="4"/>
  <c r="N56" i="4"/>
  <c r="U57" i="4"/>
  <c r="Q58" i="4"/>
  <c r="V59" i="4"/>
  <c r="Q61" i="4"/>
  <c r="S59" i="4"/>
  <c r="N63" i="4"/>
  <c r="V64" i="4"/>
  <c r="O65" i="4"/>
  <c r="S65" i="4"/>
  <c r="N68" i="4"/>
  <c r="N8" i="4"/>
  <c r="O16" i="4"/>
  <c r="W19" i="4"/>
  <c r="T20" i="4"/>
  <c r="Q22" i="4"/>
  <c r="V25" i="4"/>
  <c r="R24" i="4"/>
  <c r="R27" i="4"/>
  <c r="V31" i="4"/>
  <c r="R30" i="4"/>
  <c r="S33" i="4"/>
  <c r="O38" i="4"/>
  <c r="U40" i="4"/>
  <c r="O43" i="4"/>
  <c r="U45" i="4"/>
  <c r="V49" i="4"/>
  <c r="T50" i="4"/>
  <c r="S51" i="4"/>
  <c r="V57" i="4"/>
  <c r="T61" i="4"/>
  <c r="R9" i="4"/>
  <c r="U10" i="4"/>
  <c r="O19" i="4"/>
  <c r="S26" i="4"/>
  <c r="W33" i="4"/>
  <c r="V38" i="4"/>
  <c r="V48" i="4"/>
  <c r="R50" i="4"/>
  <c r="R56" i="4"/>
  <c r="W63" i="4"/>
  <c r="T68" i="4"/>
  <c r="W5" i="4"/>
  <c r="Q6" i="4"/>
  <c r="O9" i="4"/>
  <c r="N14" i="4"/>
  <c r="R15" i="4"/>
  <c r="R20" i="4"/>
  <c r="T27" i="4"/>
  <c r="Q32" i="4"/>
  <c r="N39" i="4"/>
  <c r="O45" i="4"/>
  <c r="R48" i="4"/>
  <c r="N59" i="4"/>
  <c r="U7" i="4"/>
  <c r="V17" i="4"/>
  <c r="T25" i="4"/>
  <c r="S3" i="4"/>
  <c r="O5" i="4"/>
  <c r="U4" i="4"/>
  <c r="S5" i="4"/>
  <c r="N7" i="4"/>
  <c r="Q9" i="4"/>
  <c r="V10" i="4"/>
  <c r="O8" i="4"/>
  <c r="Q13" i="4"/>
  <c r="V15" i="4"/>
  <c r="O18" i="4"/>
  <c r="N24" i="4"/>
  <c r="R23" i="4"/>
  <c r="S25" i="4"/>
  <c r="O32" i="4"/>
  <c r="V34" i="4"/>
  <c r="T37" i="4"/>
  <c r="O39" i="4"/>
  <c r="S39" i="4"/>
  <c r="O44" i="4"/>
  <c r="U48" i="4"/>
  <c r="T51" i="4"/>
  <c r="W55" i="4"/>
  <c r="V58" i="4"/>
  <c r="R59" i="4"/>
  <c r="N66" i="4"/>
  <c r="W6" i="4"/>
  <c r="W10" i="4"/>
  <c r="R14" i="4"/>
  <c r="V23" i="4"/>
  <c r="V27" i="4"/>
  <c r="W32" i="4"/>
  <c r="W37" i="4"/>
  <c r="U43" i="4"/>
  <c r="O49" i="4"/>
  <c r="O54" i="4"/>
  <c r="Q60" i="4"/>
  <c r="U66" i="4"/>
  <c r="W42" i="4"/>
  <c r="U60" i="4"/>
  <c r="U13" i="4"/>
  <c r="V24" i="4"/>
  <c r="O3" i="4"/>
  <c r="Q4" i="4"/>
  <c r="U5" i="4"/>
  <c r="V6" i="4"/>
  <c r="W7" i="4"/>
  <c r="U11" i="4"/>
  <c r="V9" i="4"/>
  <c r="W13" i="4"/>
  <c r="N12" i="4"/>
  <c r="V14" i="4"/>
  <c r="R11" i="4"/>
  <c r="V16" i="4"/>
  <c r="Q18" i="4"/>
  <c r="T19" i="4"/>
  <c r="Q20" i="4"/>
  <c r="R18" i="4"/>
  <c r="U22" i="4"/>
  <c r="R21" i="4"/>
  <c r="S22" i="4"/>
  <c r="Q26" i="4"/>
  <c r="U27" i="4"/>
  <c r="Q28" i="4"/>
  <c r="S27" i="4"/>
  <c r="Q31" i="4"/>
  <c r="U32" i="4"/>
  <c r="N33" i="4"/>
  <c r="S31" i="4"/>
  <c r="V36" i="4"/>
  <c r="V37" i="4"/>
  <c r="S35" i="4"/>
  <c r="Q39" i="4"/>
  <c r="T42" i="4"/>
  <c r="R40" i="4"/>
  <c r="N44" i="4"/>
  <c r="V45" i="4"/>
  <c r="O46" i="4"/>
  <c r="W48" i="4"/>
  <c r="Q49" i="4"/>
  <c r="W51" i="4"/>
  <c r="O52" i="4"/>
  <c r="Q55" i="4"/>
  <c r="Q56" i="4"/>
  <c r="R55" i="4"/>
  <c r="R57" i="4"/>
  <c r="Q62" i="4"/>
  <c r="O63" i="4"/>
  <c r="R61" i="4"/>
  <c r="Q68" i="4"/>
  <c r="W3" i="4"/>
  <c r="R8" i="4"/>
  <c r="V13" i="4"/>
  <c r="S12" i="4"/>
  <c r="Q21" i="4"/>
  <c r="W26" i="4"/>
  <c r="N31" i="4"/>
  <c r="T36" i="4"/>
  <c r="O41" i="4"/>
  <c r="U51" i="4"/>
  <c r="W56" i="4"/>
  <c r="V61" i="4"/>
  <c r="Q36" i="4"/>
  <c r="O62" i="4"/>
  <c r="U8" i="4"/>
  <c r="W18" i="4"/>
  <c r="V26" i="4"/>
  <c r="O20" i="4"/>
  <c r="U42" i="4"/>
  <c r="R52" i="4"/>
  <c r="W65" i="4"/>
  <c r="V3" i="4"/>
  <c r="V8" i="4"/>
  <c r="N13" i="4"/>
  <c r="N15" i="4"/>
  <c r="N19" i="4"/>
  <c r="O24" i="4"/>
  <c r="W29" i="4"/>
  <c r="O33" i="4"/>
  <c r="W41" i="4"/>
  <c r="R44" i="4"/>
  <c r="V54" i="4"/>
  <c r="N61" i="4"/>
  <c r="O12" i="4"/>
  <c r="Q29" i="4"/>
  <c r="T12" i="4"/>
  <c r="R35" i="4"/>
  <c r="R45" i="4"/>
  <c r="S52" i="4"/>
  <c r="T63" i="4"/>
  <c r="U3" i="4"/>
  <c r="T14" i="4"/>
  <c r="N30" i="4"/>
  <c r="O15" i="4"/>
  <c r="N23" i="4"/>
  <c r="T35" i="4"/>
  <c r="S37" i="4"/>
  <c r="Q43" i="4"/>
  <c r="U47" i="4"/>
  <c r="V50" i="4"/>
  <c r="W54" i="4"/>
  <c r="W58" i="4"/>
  <c r="R58" i="4"/>
  <c r="T65" i="4"/>
  <c r="W59" i="4"/>
  <c r="V66" i="4"/>
  <c r="S36" i="4"/>
  <c r="T64" i="4"/>
  <c r="S54" i="4"/>
  <c r="R13" i="4"/>
  <c r="Q23" i="4"/>
  <c r="O30" i="4"/>
  <c r="Q35" i="4"/>
  <c r="Q40" i="4"/>
  <c r="S40" i="4"/>
  <c r="N47" i="4"/>
  <c r="O50" i="4"/>
  <c r="T54" i="4"/>
  <c r="T58" i="4"/>
  <c r="S58" i="4"/>
  <c r="V65" i="4"/>
  <c r="U62" i="4"/>
  <c r="S63" i="4"/>
  <c r="U64" i="4"/>
  <c r="V46" i="4"/>
  <c r="Q17" i="4"/>
  <c r="T31" i="4"/>
  <c r="N40" i="4"/>
  <c r="W43" i="4"/>
  <c r="Q47" i="4"/>
  <c r="N51" i="4"/>
  <c r="R51" i="4"/>
  <c r="S55" i="4"/>
  <c r="O61" i="4"/>
  <c r="Q65" i="4"/>
  <c r="U68" i="4"/>
  <c r="W62" i="4"/>
  <c r="R26" i="4"/>
  <c r="W60" i="4"/>
  <c r="O64" i="4"/>
  <c r="N3" i="4"/>
  <c r="Q24" i="4"/>
  <c r="U31" i="4"/>
  <c r="R33" i="4"/>
  <c r="V40" i="4"/>
  <c r="W44" i="4"/>
  <c r="W47" i="4"/>
  <c r="S48" i="4"/>
  <c r="Q54" i="4"/>
  <c r="N58" i="4"/>
  <c r="N62" i="4"/>
  <c r="S62" i="4"/>
  <c r="W68" i="4"/>
  <c r="O68" i="4"/>
  <c r="Q63" i="4"/>
  <c r="W57" i="4"/>
  <c r="V39" i="4"/>
  <c r="R65" i="4"/>
  <c r="Q5" i="4"/>
  <c r="U25" i="4"/>
  <c r="R28" i="4"/>
  <c r="U36" i="4"/>
  <c r="V41" i="4"/>
  <c r="T44" i="4"/>
  <c r="Q48" i="4"/>
  <c r="W52" i="4"/>
  <c r="Q59" i="4"/>
  <c r="T66" i="4"/>
  <c r="Q66" i="4"/>
  <c r="T22" i="4"/>
  <c r="U29" i="4"/>
  <c r="O60" i="4"/>
  <c r="N6" i="4"/>
  <c r="S15" i="4"/>
  <c r="Q25" i="4"/>
  <c r="O37" i="4"/>
  <c r="R38" i="4"/>
  <c r="U44" i="4"/>
  <c r="O48" i="4"/>
  <c r="T52" i="4"/>
  <c r="O55" i="4"/>
  <c r="S46" i="4"/>
  <c r="R10" i="4"/>
  <c r="O7" i="4"/>
  <c r="S16" i="4"/>
  <c r="S23" i="4"/>
  <c r="N32" i="4"/>
  <c r="U37" i="4"/>
  <c r="N45" i="4"/>
  <c r="N48" i="4"/>
  <c r="S49" i="4"/>
  <c r="N55" i="4"/>
  <c r="T59" i="4"/>
  <c r="O34" i="4"/>
  <c r="O22" i="4"/>
  <c r="V12" i="4"/>
  <c r="V19" i="4"/>
  <c r="N27" i="4"/>
  <c r="Q33" i="4"/>
  <c r="Q37" i="4"/>
  <c r="N41" i="4"/>
  <c r="S42" i="4"/>
  <c r="T48" i="4"/>
  <c r="Q52" i="4"/>
  <c r="O56" i="4"/>
  <c r="W12" i="4"/>
  <c r="W20" i="4"/>
  <c r="R31" i="4"/>
  <c r="T38" i="4"/>
  <c r="O42" i="4"/>
  <c r="R43" i="4"/>
  <c r="T49" i="4"/>
  <c r="N53" i="4"/>
  <c r="T56" i="4"/>
  <c r="V60" i="4"/>
  <c r="S50" i="4"/>
  <c r="U53" i="4"/>
  <c r="N11" i="4"/>
  <c r="U21" i="4"/>
  <c r="T28" i="4"/>
  <c r="W34" i="4"/>
  <c r="Q38" i="4"/>
  <c r="N42" i="4"/>
  <c r="S43" i="4"/>
  <c r="U49" i="4"/>
  <c r="O53" i="4"/>
  <c r="T60" i="4"/>
  <c r="W64" i="4"/>
  <c r="R39" i="4"/>
  <c r="U50" i="4"/>
  <c r="S66" i="4"/>
  <c r="T69" i="4"/>
  <c r="W69" i="4"/>
  <c r="O69" i="4"/>
  <c r="Q69" i="4"/>
  <c r="V69" i="4"/>
  <c r="N69" i="4"/>
  <c r="U69" i="4"/>
  <c r="R66" i="4"/>
  <c r="R67" i="4"/>
  <c r="W70" i="4"/>
  <c r="S67" i="4"/>
  <c r="V70" i="4"/>
  <c r="T70" i="4"/>
  <c r="N70" i="4"/>
  <c r="U70" i="4"/>
  <c r="O70" i="4"/>
  <c r="Q70" i="4"/>
  <c r="S68" i="4"/>
  <c r="U71" i="4"/>
  <c r="V71" i="4"/>
  <c r="T71" i="4"/>
  <c r="O71" i="4"/>
  <c r="R68" i="4"/>
  <c r="Q71" i="4"/>
  <c r="W71" i="4"/>
  <c r="N71" i="4"/>
  <c r="V72" i="4"/>
  <c r="T72" i="4"/>
  <c r="O72" i="4"/>
  <c r="Q72" i="4"/>
  <c r="W72" i="4"/>
  <c r="N72" i="4"/>
  <c r="R69" i="4"/>
  <c r="U72" i="4"/>
  <c r="S69" i="4"/>
  <c r="S70" i="4"/>
  <c r="U73" i="4"/>
  <c r="T73" i="4"/>
  <c r="N73" i="4"/>
  <c r="Q73" i="4"/>
  <c r="W73" i="4"/>
  <c r="R70" i="4"/>
  <c r="V73" i="4"/>
  <c r="O73" i="4"/>
  <c r="R71" i="4"/>
  <c r="N74" i="4"/>
  <c r="O74" i="4"/>
  <c r="Q74" i="4"/>
  <c r="U74" i="4"/>
  <c r="W74" i="4"/>
  <c r="S71" i="4"/>
  <c r="V74" i="4"/>
  <c r="T74" i="4"/>
  <c r="V75" i="4"/>
  <c r="Q75" i="4"/>
  <c r="W75" i="4"/>
  <c r="R72" i="4"/>
  <c r="T75" i="4"/>
  <c r="S72" i="4"/>
  <c r="O75" i="4"/>
  <c r="U75" i="4"/>
  <c r="N75" i="4"/>
  <c r="S73" i="4"/>
  <c r="N76" i="4"/>
  <c r="O76" i="4"/>
  <c r="Q76" i="4"/>
  <c r="U76" i="4"/>
  <c r="W76" i="4"/>
  <c r="R73" i="4"/>
  <c r="V76" i="4"/>
  <c r="T76" i="4"/>
  <c r="S74" i="4"/>
  <c r="O77" i="4"/>
  <c r="Q77" i="4"/>
  <c r="V77" i="4"/>
  <c r="N77" i="4"/>
  <c r="W77" i="4"/>
  <c r="R74" i="4"/>
  <c r="T77" i="4"/>
  <c r="U77" i="4"/>
  <c r="V78" i="4"/>
  <c r="N78" i="4"/>
  <c r="U78" i="4"/>
  <c r="Q78" i="4"/>
  <c r="R75" i="4"/>
  <c r="O78" i="4"/>
  <c r="S75" i="4"/>
  <c r="T78" i="4"/>
  <c r="W78" i="4"/>
  <c r="N79" i="4"/>
  <c r="V79" i="4"/>
  <c r="R76" i="4"/>
  <c r="Q79" i="4"/>
  <c r="T79" i="4"/>
  <c r="S76" i="4"/>
  <c r="W79" i="4"/>
  <c r="U79" i="4"/>
  <c r="O79" i="4"/>
  <c r="T80" i="4"/>
  <c r="N80" i="4"/>
  <c r="W80" i="4"/>
  <c r="V80" i="4"/>
  <c r="R77" i="4"/>
  <c r="Q80" i="4"/>
  <c r="O80" i="4"/>
  <c r="S77" i="4"/>
  <c r="U80" i="4"/>
  <c r="T81" i="4"/>
  <c r="U81" i="4"/>
  <c r="O81" i="4"/>
  <c r="W81" i="4"/>
  <c r="R78" i="4"/>
  <c r="N81" i="4"/>
  <c r="V81" i="4"/>
  <c r="Q81" i="4"/>
  <c r="S78" i="4"/>
  <c r="S79" i="4"/>
  <c r="W82" i="4"/>
  <c r="O82" i="4"/>
  <c r="Q82" i="4"/>
  <c r="V82" i="4"/>
  <c r="T82" i="4"/>
  <c r="U82" i="4"/>
  <c r="N82" i="4"/>
  <c r="R79" i="4"/>
  <c r="T83" i="4"/>
  <c r="W83" i="4"/>
  <c r="S80" i="4"/>
  <c r="N83" i="4"/>
  <c r="U83" i="4"/>
  <c r="Q83" i="4"/>
  <c r="O83" i="4"/>
  <c r="V83" i="4"/>
  <c r="R80" i="4"/>
  <c r="W84" i="4"/>
  <c r="T84" i="4"/>
  <c r="V84" i="4"/>
  <c r="S81" i="4"/>
  <c r="Q84" i="4"/>
  <c r="R81" i="4"/>
  <c r="O84" i="4"/>
  <c r="N84" i="4"/>
  <c r="U84" i="4"/>
  <c r="S82" i="4"/>
  <c r="U85" i="4"/>
  <c r="W85" i="4"/>
  <c r="N85" i="4"/>
  <c r="R82" i="4"/>
  <c r="Q85" i="4"/>
  <c r="V85" i="4"/>
  <c r="T85" i="4"/>
  <c r="O85" i="4"/>
  <c r="V86" i="4"/>
  <c r="Q86" i="4"/>
  <c r="R83" i="4"/>
  <c r="S83" i="4"/>
  <c r="W86" i="4"/>
  <c r="T86" i="4"/>
  <c r="U86" i="4"/>
  <c r="N86" i="4"/>
  <c r="O86" i="4"/>
  <c r="V87" i="4"/>
  <c r="T87" i="4"/>
  <c r="N87" i="4"/>
  <c r="S84" i="4"/>
  <c r="Q87" i="4"/>
  <c r="R84" i="4"/>
  <c r="W87" i="4"/>
  <c r="U87" i="4"/>
  <c r="O87" i="4"/>
  <c r="T88" i="4"/>
  <c r="V88" i="4"/>
  <c r="R85" i="4"/>
  <c r="Q88" i="4"/>
  <c r="N88" i="4"/>
  <c r="W88" i="4"/>
  <c r="S85" i="4"/>
  <c r="O88" i="4"/>
  <c r="U88" i="4"/>
  <c r="W89" i="4"/>
  <c r="Q89" i="4"/>
  <c r="R86" i="4"/>
  <c r="V89" i="4"/>
  <c r="N89" i="4"/>
  <c r="U89" i="4"/>
  <c r="S86" i="4"/>
  <c r="O89" i="4"/>
  <c r="T89" i="4"/>
  <c r="S87" i="4"/>
  <c r="V90" i="4"/>
  <c r="T90" i="4"/>
  <c r="Q90" i="4"/>
  <c r="U90" i="4"/>
  <c r="N90" i="4"/>
  <c r="R87" i="4"/>
  <c r="O90" i="4"/>
  <c r="W90" i="4"/>
  <c r="Q91" i="4"/>
  <c r="N91" i="4"/>
  <c r="V91" i="4"/>
  <c r="S88" i="4"/>
  <c r="U91" i="4"/>
  <c r="O91" i="4"/>
  <c r="T91" i="4"/>
  <c r="R88" i="4"/>
  <c r="W91" i="4"/>
  <c r="R89" i="4"/>
  <c r="U92" i="4"/>
  <c r="S89" i="4"/>
  <c r="T92" i="4"/>
  <c r="N92" i="4"/>
  <c r="Q92" i="4"/>
  <c r="W92" i="4"/>
  <c r="V92" i="4"/>
  <c r="O92" i="4"/>
  <c r="R90" i="4"/>
  <c r="N93" i="4"/>
  <c r="S90" i="4"/>
  <c r="V93" i="4"/>
  <c r="O93" i="4"/>
  <c r="U93" i="4"/>
  <c r="T93" i="4"/>
  <c r="W93" i="4"/>
  <c r="Q93" i="4"/>
  <c r="O94" i="4"/>
  <c r="W94" i="4"/>
  <c r="T94" i="4"/>
  <c r="S91" i="4"/>
  <c r="N94" i="4"/>
  <c r="R91" i="4"/>
  <c r="U94" i="4"/>
  <c r="V94" i="4"/>
  <c r="Q94" i="4"/>
  <c r="S92" i="4"/>
  <c r="O95" i="4"/>
  <c r="R92" i="4"/>
  <c r="W95" i="4"/>
  <c r="N95" i="4"/>
  <c r="T95" i="4"/>
  <c r="Q95" i="4"/>
  <c r="U95" i="4"/>
  <c r="V95" i="4"/>
  <c r="N96" i="4"/>
  <c r="Q96" i="4"/>
  <c r="S93" i="4"/>
  <c r="R93" i="4"/>
  <c r="U96" i="4"/>
  <c r="V96" i="4"/>
  <c r="T96" i="4"/>
  <c r="O96" i="4"/>
  <c r="W96" i="4"/>
  <c r="N97" i="4"/>
  <c r="W97" i="4"/>
  <c r="V97" i="4"/>
  <c r="T97" i="4"/>
  <c r="R94" i="4"/>
  <c r="S94" i="4"/>
  <c r="Q97" i="4"/>
  <c r="U97" i="4"/>
  <c r="O97" i="4"/>
  <c r="U98" i="4"/>
  <c r="T98" i="4"/>
  <c r="R95" i="4"/>
  <c r="O98" i="4"/>
  <c r="V98" i="4"/>
  <c r="S95" i="4"/>
  <c r="N98" i="4"/>
  <c r="Q98" i="4"/>
  <c r="W98" i="4"/>
  <c r="T99" i="4"/>
  <c r="R96" i="4"/>
  <c r="S96" i="4"/>
  <c r="Q99" i="4"/>
  <c r="N99" i="4"/>
  <c r="U99" i="4"/>
  <c r="V99" i="4"/>
  <c r="W99" i="4"/>
  <c r="O99" i="4"/>
  <c r="Q100" i="4"/>
  <c r="O100" i="4"/>
  <c r="U100" i="4"/>
  <c r="W100" i="4"/>
  <c r="S97" i="4"/>
  <c r="T100" i="4"/>
  <c r="R97" i="4"/>
  <c r="N100" i="4"/>
  <c r="V100" i="4"/>
  <c r="Q101" i="4"/>
  <c r="O101" i="4"/>
  <c r="W101" i="4"/>
  <c r="R98" i="4"/>
  <c r="N101" i="4"/>
  <c r="V101" i="4"/>
  <c r="T101" i="4"/>
  <c r="S98" i="4"/>
  <c r="U101" i="4"/>
  <c r="W102" i="4"/>
  <c r="O102" i="4"/>
  <c r="S99" i="4"/>
  <c r="N102" i="4"/>
  <c r="T102" i="4"/>
  <c r="U102" i="4"/>
  <c r="R99" i="4"/>
  <c r="Q102" i="4"/>
  <c r="V102" i="4"/>
  <c r="R100" i="4"/>
  <c r="S100" i="4"/>
  <c r="S101" i="4"/>
  <c r="R101" i="4"/>
  <c r="R102" i="4"/>
  <c r="S102" i="4"/>
  <c r="R64" i="4"/>
  <c r="O67" i="4"/>
</calcChain>
</file>

<file path=xl/sharedStrings.xml><?xml version="1.0" encoding="utf-8"?>
<sst xmlns="http://schemas.openxmlformats.org/spreadsheetml/2006/main" count="26380" uniqueCount="5382">
  <si>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</si>
  <si>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</si>
  <si>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</si>
  <si>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</si>
  <si>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</si>
  <si>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</si>
  <si>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</si>
  <si>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</si>
  <si>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</si>
  <si>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</si>
  <si>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</si>
  <si>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</si>
  <si>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</si>
  <si>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</si>
  <si>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</si>
  <si>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</si>
  <si>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</si>
  <si>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</si>
  <si>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</si>
  <si>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</si>
  <si>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</si>
  <si>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</si>
  <si>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</si>
  <si>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</si>
  <si>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</si>
  <si>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</si>
  <si>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</si>
  <si>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</si>
  <si>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</si>
  <si>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</si>
  <si>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</si>
  <si>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</si>
  <si>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</si>
  <si>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</si>
  <si>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</si>
  <si>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</si>
  <si>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</si>
  <si>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</si>
  <si>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</si>
  <si>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</si>
  <si>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</si>
  <si>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</si>
  <si>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</si>
  <si>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</si>
  <si>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</si>
  <si>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</si>
  <si>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</si>
  <si>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</si>
  <si>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</si>
  <si>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</si>
  <si>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</si>
  <si>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</si>
  <si>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</si>
  <si>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</si>
  <si>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</si>
  <si>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</si>
  <si>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</si>
  <si>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</si>
  <si>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</si>
  <si>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</si>
  <si>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</si>
  <si>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</si>
  <si>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</si>
  <si>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</si>
  <si>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</si>
  <si>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</si>
  <si>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</si>
  <si>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</si>
  <si>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</si>
  <si>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</si>
  <si>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</si>
  <si>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</si>
  <si>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</si>
  <si>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</si>
  <si>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</si>
  <si>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</si>
  <si>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</si>
  <si>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</si>
  <si>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</si>
  <si>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</si>
  <si>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</si>
  <si>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</si>
  <si>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</si>
  <si>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</si>
  <si>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</si>
  <si>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</si>
  <si>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</si>
  <si>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</si>
  <si>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</si>
  <si>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</si>
  <si>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</si>
  <si>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</si>
  <si>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</si>
  <si>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</si>
  <si>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</si>
  <si>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</si>
  <si>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</si>
  <si>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</si>
  <si>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</si>
  <si>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</si>
  <si>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</si>
  <si>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</si>
  <si>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</si>
  <si>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</si>
  <si>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</si>
  <si>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</si>
  <si>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</si>
  <si>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</si>
  <si>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</si>
  <si>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</si>
  <si>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</si>
  <si>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</si>
  <si>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</si>
  <si>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</si>
  <si>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</si>
  <si>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</si>
  <si>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</si>
  <si>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</si>
  <si>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</si>
  <si>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</si>
  <si>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</si>
  <si>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</si>
  <si>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</si>
  <si>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</si>
  <si>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</si>
  <si>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</si>
  <si>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</si>
  <si>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</si>
  <si>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</si>
  <si>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</si>
  <si>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</si>
  <si>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</si>
  <si>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</si>
  <si>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</si>
  <si>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</si>
  <si>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</si>
  <si>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</si>
  <si>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</si>
  <si>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</si>
  <si>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</si>
  <si>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</si>
  <si>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</si>
  <si>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</si>
  <si>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</si>
  <si>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</si>
  <si>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</si>
  <si>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</si>
  <si>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</si>
  <si>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</si>
  <si>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</si>
  <si>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</si>
  <si>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</si>
  <si>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</si>
  <si>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</si>
  <si>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</si>
  <si>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</si>
  <si>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</si>
  <si>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</si>
  <si>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</si>
  <si>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</si>
  <si>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</si>
  <si>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</si>
  <si>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</si>
  <si>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</si>
  <si>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</si>
  <si>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</si>
  <si>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</si>
  <si>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</si>
  <si>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</si>
  <si>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</si>
  <si>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</si>
  <si>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</si>
  <si>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</si>
  <si>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</si>
  <si>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</si>
  <si>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</si>
  <si>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</si>
  <si>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</si>
  <si>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</si>
  <si>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</si>
  <si>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</si>
  <si>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</si>
  <si>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</si>
  <si>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</si>
  <si>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</si>
  <si>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</si>
  <si>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</si>
  <si>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</si>
  <si>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</si>
  <si>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</si>
  <si>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</si>
  <si>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</si>
  <si>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</si>
  <si>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</si>
  <si>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</si>
  <si>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</si>
  <si>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</si>
  <si>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</si>
  <si>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</si>
  <si>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</si>
  <si>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</si>
  <si>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</si>
  <si>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</si>
  <si>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</si>
  <si>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</si>
  <si>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</si>
  <si>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</si>
  <si>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</si>
  <si>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</si>
  <si>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</si>
  <si>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</si>
  <si>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</si>
  <si>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</si>
  <si>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</si>
  <si>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</si>
  <si>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</si>
  <si>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</si>
  <si>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</si>
  <si>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</si>
  <si>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</si>
  <si>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</si>
  <si>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</si>
  <si>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</si>
  <si>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</si>
  <si>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</si>
  <si>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</si>
  <si>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</si>
  <si>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</si>
  <si>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</si>
  <si>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</si>
  <si>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</si>
  <si>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</si>
  <si>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</si>
  <si>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</si>
  <si>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</si>
  <si>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</si>
  <si>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</si>
  <si>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</si>
  <si>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</si>
  <si>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</si>
  <si>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</si>
  <si>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</si>
  <si>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</si>
  <si>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</si>
  <si>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</si>
  <si>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</si>
  <si>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</si>
  <si>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</si>
  <si>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</si>
  <si>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</si>
  <si>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</si>
  <si>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</si>
  <si>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</si>
  <si>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</si>
  <si>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</si>
  <si>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</si>
  <si>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</si>
  <si>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</si>
  <si>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</si>
  <si>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</si>
  <si>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</si>
  <si>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</si>
  <si>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</si>
  <si>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</si>
  <si>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</si>
  <si>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</si>
  <si>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</si>
  <si>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</si>
  <si>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</si>
  <si>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</si>
  <si>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</si>
  <si>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</si>
  <si>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</si>
  <si>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</si>
  <si>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</si>
  <si>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</si>
  <si>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</si>
  <si>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</si>
  <si>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</si>
  <si>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</si>
  <si>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</si>
  <si>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</si>
  <si>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</si>
  <si>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</si>
  <si>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</si>
  <si>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</si>
  <si>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</si>
  <si>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</si>
  <si>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</si>
  <si>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</si>
  <si>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</si>
  <si>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</si>
  <si>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</si>
  <si>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</si>
  <si>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</si>
  <si>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</si>
  <si>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</si>
  <si>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</si>
  <si>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</si>
  <si>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</si>
  <si>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</si>
  <si>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</si>
  <si>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</si>
  <si>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</si>
  <si>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</si>
  <si>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</si>
  <si>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</si>
  <si>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</si>
  <si>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</si>
  <si>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</si>
  <si>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</si>
  <si>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</si>
  <si>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</si>
  <si>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</si>
  <si>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</si>
  <si>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</si>
  <si>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</si>
  <si>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</si>
  <si>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</si>
  <si>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</si>
  <si>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</si>
  <si>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</si>
  <si>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</si>
  <si>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</si>
  <si>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</si>
  <si>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</si>
  <si>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</si>
  <si>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</si>
  <si>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</si>
  <si>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</si>
  <si>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</si>
  <si>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</si>
  <si>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</si>
  <si>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</si>
  <si>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</si>
  <si>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</si>
  <si>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</si>
  <si>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</si>
  <si>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</si>
  <si>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</si>
  <si>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</si>
  <si>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</si>
  <si>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</si>
  <si>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</si>
  <si>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</si>
  <si>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</si>
  <si>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</si>
  <si>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</si>
  <si>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</si>
  <si>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</si>
  <si>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</si>
  <si>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</si>
  <si>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</si>
  <si>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</si>
  <si>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</si>
  <si>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</si>
  <si>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</si>
  <si>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</si>
  <si>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</si>
  <si>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</si>
  <si>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</si>
  <si>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</si>
  <si>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</si>
  <si>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</si>
  <si>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</si>
  <si>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</si>
  <si>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</si>
  <si>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</si>
  <si>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</si>
  <si>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</si>
  <si>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</si>
  <si>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</si>
  <si>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</si>
  <si>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</si>
  <si>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</si>
  <si>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</si>
  <si>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</si>
  <si>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</si>
  <si>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</si>
  <si>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</si>
  <si>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</si>
  <si>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</si>
  <si>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</si>
  <si>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</si>
  <si>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</si>
  <si>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</si>
  <si>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</si>
  <si>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</si>
  <si>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</si>
  <si>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</si>
  <si>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</si>
  <si>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</si>
  <si>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</si>
  <si>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</si>
  <si>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</si>
  <si>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</si>
  <si>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</si>
  <si>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</si>
  <si>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</si>
  <si>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</si>
  <si>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</si>
  <si>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</si>
  <si>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</si>
  <si>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</si>
  <si>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</si>
  <si>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</si>
  <si>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</si>
  <si>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</si>
  <si>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</si>
  <si>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</si>
  <si>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</si>
  <si>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</si>
  <si>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</si>
  <si>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</si>
  <si>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</si>
  <si>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</si>
  <si>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</si>
  <si>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</si>
  <si>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</si>
  <si>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</si>
  <si>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</si>
  <si>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</si>
  <si>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</si>
  <si>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</si>
  <si>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</si>
  <si>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</si>
  <si>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</si>
  <si>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</si>
  <si>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</si>
  <si>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</si>
  <si>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</si>
  <si>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</si>
  <si>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</si>
  <si>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</si>
  <si>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</si>
  <si>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</si>
  <si>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</si>
  <si>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</si>
  <si>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</si>
  <si>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</si>
  <si>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</si>
  <si>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</si>
  <si>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</si>
  <si>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</si>
  <si>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</si>
  <si>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</si>
  <si>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</si>
  <si>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</si>
  <si>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</si>
  <si>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</si>
  <si>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</si>
  <si>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</si>
  <si>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</si>
  <si>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</si>
  <si>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</si>
  <si>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</si>
  <si>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</si>
  <si>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</si>
  <si>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</si>
  <si>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</si>
  <si>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</si>
  <si>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</si>
  <si>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</si>
  <si>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</si>
  <si>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</si>
  <si>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</si>
  <si>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</si>
  <si>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</si>
  <si>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</si>
  <si>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</si>
  <si>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</si>
  <si>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</si>
  <si>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</si>
  <si>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</si>
  <si>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</si>
  <si>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</si>
  <si>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</si>
  <si>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</si>
  <si>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</si>
  <si>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</si>
  <si>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</si>
  <si>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</si>
  <si>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</si>
  <si>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</si>
  <si>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</si>
  <si>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</si>
  <si>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</si>
  <si>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</si>
  <si>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</si>
  <si>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</si>
  <si>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</si>
  <si>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</si>
  <si>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</si>
  <si>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</si>
  <si>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</si>
  <si>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</si>
  <si>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</si>
  <si>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</si>
  <si>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</si>
  <si>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</si>
  <si>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</si>
  <si>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</si>
  <si>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</si>
  <si>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</si>
  <si>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</si>
  <si>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</si>
  <si>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</si>
  <si>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</si>
  <si>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</si>
  <si>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</si>
  <si>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</si>
  <si>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</si>
  <si>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</si>
  <si>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</si>
  <si>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</si>
  <si>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</si>
  <si>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</si>
  <si>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</si>
  <si>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</si>
  <si>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</si>
  <si>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</si>
  <si>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</si>
  <si>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</si>
  <si>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</si>
  <si>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</si>
  <si>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</si>
  <si>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</si>
  <si>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</si>
  <si>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</si>
  <si>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</si>
  <si>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</si>
  <si>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</si>
  <si>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</si>
  <si>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</si>
  <si>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</si>
  <si>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</si>
  <si>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</si>
  <si>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</si>
  <si>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</si>
  <si>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</si>
  <si>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</si>
  <si>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</si>
  <si>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</si>
  <si>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</si>
  <si>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</si>
  <si>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</si>
  <si>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</si>
  <si>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</si>
  <si>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</si>
  <si>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</si>
  <si>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</si>
  <si>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</si>
  <si>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</si>
  <si>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</si>
  <si>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</si>
  <si>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</si>
  <si>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</si>
  <si>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</si>
  <si>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</si>
  <si>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</si>
  <si>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</si>
  <si>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</si>
  <si>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</si>
  <si>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</si>
  <si>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</si>
  <si>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</si>
  <si>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</si>
  <si>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</si>
  <si>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</si>
  <si>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</si>
  <si>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</si>
  <si>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</si>
  <si>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</si>
  <si>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</si>
  <si>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</si>
  <si>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</si>
  <si>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</si>
  <si>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</si>
  <si>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</si>
  <si>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</si>
  <si>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</si>
  <si>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</si>
  <si>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</si>
  <si>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</si>
  <si>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</si>
  <si>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</si>
  <si>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</si>
  <si>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</si>
  <si>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</si>
  <si>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</si>
  <si>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</si>
  <si>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</si>
  <si>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</si>
  <si>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</si>
  <si>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</si>
  <si>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</si>
  <si>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</si>
  <si>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</si>
  <si>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</si>
  <si>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</si>
  <si>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</si>
  <si>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</si>
  <si>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</si>
  <si>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</si>
  <si>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</si>
  <si>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</si>
  <si>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</si>
  <si>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</si>
  <si>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</si>
  <si>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</si>
  <si>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</si>
  <si>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</si>
  <si>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</si>
  <si>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</si>
  <si>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</si>
  <si>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</si>
  <si>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</si>
  <si>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</si>
  <si>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</si>
  <si>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</si>
  <si>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</si>
  <si>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</si>
  <si>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</si>
  <si>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</si>
  <si>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</si>
  <si>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</si>
  <si>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</si>
  <si>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</si>
  <si>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</si>
  <si>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</si>
  <si>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</si>
  <si>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</si>
  <si>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</si>
  <si>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</si>
  <si>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</si>
  <si>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</si>
  <si>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</si>
  <si>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</si>
  <si>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</si>
  <si>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</si>
  <si>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</si>
  <si>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</si>
  <si>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</si>
  <si>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</si>
  <si>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</si>
  <si>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</si>
  <si>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</si>
  <si>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</si>
  <si>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</si>
  <si>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</si>
  <si>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</si>
  <si>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</si>
  <si>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</si>
  <si>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</si>
  <si>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</si>
  <si>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</si>
  <si>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</si>
  <si>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</si>
  <si>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</si>
  <si>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</si>
  <si>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</si>
  <si>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</si>
  <si>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</si>
  <si>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</si>
  <si>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</si>
  <si>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</si>
  <si>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</si>
  <si>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</si>
  <si>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</si>
  <si>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</si>
  <si>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</si>
  <si>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</si>
  <si>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</si>
  <si>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</si>
  <si>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</si>
  <si>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</si>
  <si>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</si>
  <si>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</si>
  <si>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</si>
  <si>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</si>
  <si>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</si>
  <si>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</si>
  <si>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</si>
  <si>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</si>
  <si>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</si>
  <si>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</si>
  <si>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</si>
  <si>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</si>
  <si>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</si>
  <si>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</si>
  <si>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</si>
  <si>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</si>
  <si>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</si>
  <si>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</si>
  <si>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</si>
  <si>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</si>
  <si>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</si>
  <si>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</si>
  <si>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</si>
  <si>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</si>
  <si>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</si>
  <si>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</si>
  <si>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</si>
  <si>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</si>
  <si>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</si>
  <si>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</si>
  <si>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</si>
  <si>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</si>
  <si>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</si>
  <si>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</si>
  <si>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</si>
  <si>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</si>
  <si>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</si>
  <si>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</si>
  <si>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</si>
  <si>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</si>
  <si>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</si>
  <si>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</si>
  <si>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</si>
  <si>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</si>
  <si>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</si>
  <si>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</si>
  <si>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</si>
  <si>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</si>
  <si>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</si>
  <si>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</si>
  <si>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</si>
  <si>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</si>
  <si>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</si>
  <si>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</si>
  <si>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</si>
  <si>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</si>
  <si>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</si>
  <si>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</si>
  <si>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</si>
  <si>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</si>
  <si>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</si>
  <si>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</si>
  <si>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</si>
  <si>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</si>
  <si>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</si>
  <si>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</si>
  <si>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</si>
  <si>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</si>
  <si>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</si>
  <si>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</si>
  <si>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</si>
  <si>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</si>
  <si>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</si>
  <si>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</si>
  <si>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</si>
  <si>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</si>
  <si>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</si>
  <si>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</si>
  <si>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</si>
  <si>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</si>
  <si>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</si>
  <si>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</si>
  <si>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</si>
  <si>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</si>
  <si>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</si>
  <si>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</si>
  <si>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</si>
  <si>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</si>
  <si>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</si>
  <si>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</si>
  <si>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</si>
  <si>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</si>
  <si>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</si>
  <si>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</si>
  <si>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</si>
  <si>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</si>
  <si>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</si>
  <si>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</si>
  <si>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</si>
  <si>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</si>
  <si>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</si>
  <si>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</si>
  <si>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</si>
  <si>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</si>
  <si>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</si>
  <si>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</si>
  <si>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</si>
  <si>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</si>
  <si>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</si>
  <si>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</si>
  <si>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</si>
  <si>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</si>
  <si>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</si>
  <si>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</si>
  <si>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</si>
  <si>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</si>
  <si>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</si>
  <si>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</si>
  <si>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</si>
  <si>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</si>
  <si>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</si>
  <si>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</si>
  <si>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</si>
  <si>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</si>
  <si>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</si>
  <si>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</si>
  <si>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</si>
  <si>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</si>
  <si>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</si>
  <si>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</si>
  <si>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</si>
  <si>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</si>
  <si>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</si>
  <si>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</si>
  <si>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</si>
  <si>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</si>
  <si>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</si>
  <si>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</si>
  <si>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</si>
  <si>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</si>
  <si>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</si>
  <si>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</si>
  <si>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</si>
  <si>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</si>
  <si>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</si>
  <si>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</si>
  <si>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</si>
  <si>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</si>
  <si>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</si>
  <si>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</si>
  <si>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</si>
  <si>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</si>
  <si>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</si>
  <si>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</si>
  <si>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</si>
  <si>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</si>
  <si>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</si>
  <si>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</si>
  <si>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</si>
  <si>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</si>
  <si>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</si>
  <si>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</si>
  <si>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</si>
  <si>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</si>
  <si>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Jonny</t>
  </si>
  <si>
    <t>Okay</t>
  </si>
  <si>
    <t>17,4%</t>
  </si>
  <si>
    <t>5,7%</t>
  </si>
  <si>
    <t>5,9%</t>
  </si>
  <si>
    <t>Leighton Clarkson</t>
  </si>
  <si>
    <t>16,2%</t>
  </si>
  <si>
    <t>Conor Coventry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</si>
  <si>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</si>
  <si>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</si>
  <si>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</si>
  <si>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</si>
  <si>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</si>
  <si>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</si>
  <si>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</si>
  <si>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</si>
  <si>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</si>
  <si>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</si>
  <si>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</si>
  <si>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</si>
  <si>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</si>
  <si>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</si>
  <si>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</si>
  <si>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</si>
  <si>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</si>
  <si>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</si>
  <si>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</si>
  <si>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</si>
  <si>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</si>
  <si>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</si>
  <si>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</si>
  <si>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</si>
  <si>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</si>
  <si>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</si>
  <si>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</si>
  <si>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</si>
  <si>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</si>
  <si>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</si>
  <si>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</si>
  <si>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</si>
  <si>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</si>
  <si>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</si>
  <si>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</si>
  <si>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</si>
  <si>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</si>
  <si>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</si>
  <si>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</si>
  <si>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</si>
  <si>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</si>
  <si>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</si>
  <si>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</si>
  <si>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</si>
  <si>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</si>
  <si>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</si>
  <si>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</si>
  <si>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</si>
  <si>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</si>
  <si>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</si>
  <si>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</si>
  <si>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</si>
  <si>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</si>
  <si>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</si>
  <si>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</si>
  <si>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</si>
  <si>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</si>
  <si>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</si>
  <si>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</si>
  <si>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</si>
  <si>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</si>
  <si>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</si>
  <si>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</si>
  <si>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</si>
  <si>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</si>
  <si>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</si>
  <si>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</si>
  <si>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</si>
  <si>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</si>
  <si>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</si>
  <si>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</si>
  <si>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</si>
  <si>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</si>
  <si>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</si>
  <si>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</si>
  <si>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</si>
  <si>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</si>
  <si>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</si>
  <si>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</si>
  <si>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</si>
  <si>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</si>
  <si>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</si>
  <si>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</si>
  <si>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</si>
  <si>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</si>
  <si>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</si>
  <si>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</si>
  <si>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</si>
  <si>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</si>
  <si>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</si>
  <si>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</si>
  <si>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</si>
  <si>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</si>
  <si>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</si>
  <si>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</si>
  <si>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</si>
  <si>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</si>
  <si>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</si>
  <si>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</si>
  <si>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</si>
  <si>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</si>
  <si>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</si>
  <si>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</si>
  <si>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</si>
  <si>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</si>
  <si>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</si>
  <si>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</si>
  <si>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</si>
  <si>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</si>
  <si>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</si>
  <si>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</si>
  <si>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</si>
  <si>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</si>
  <si>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</si>
  <si>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</si>
  <si>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</si>
  <si>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</si>
  <si>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</si>
  <si>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</si>
  <si>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</si>
  <si>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</si>
  <si>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</si>
  <si>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</si>
  <si>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</si>
  <si>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</si>
  <si>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</si>
  <si>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</si>
  <si>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</si>
  <si>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</si>
  <si>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</si>
  <si>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</si>
  <si>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</si>
  <si>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</si>
  <si>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</si>
  <si>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</si>
  <si>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</si>
  <si>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</si>
  <si>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</si>
  <si>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</si>
  <si>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</si>
  <si>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</si>
  <si>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</si>
  <si>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</si>
  <si>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</si>
  <si>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</si>
  <si>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</si>
  <si>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</si>
  <si>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</si>
  <si>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</si>
  <si>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</si>
  <si>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</si>
  <si>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</si>
  <si>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</si>
  <si>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</si>
  <si>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</si>
  <si>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</si>
  <si>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Eden E. Hazard Belgium</t>
  </si>
  <si>
    <t>Eden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</si>
  <si>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</si>
  <si>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</si>
  <si>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</si>
  <si>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</si>
  <si>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</si>
  <si>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</si>
  <si>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</si>
  <si>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</si>
  <si>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Thorgan T. Hazard Belgium</t>
  </si>
  <si>
    <t>Thorgan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</si>
  <si>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</si>
  <si>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</si>
  <si>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</si>
  <si>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</si>
  <si>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</si>
  <si>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</si>
  <si>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</si>
  <si>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</si>
  <si>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</si>
  <si>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</si>
  <si>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</si>
  <si>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</si>
  <si>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</si>
  <si>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</si>
  <si>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</si>
  <si>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</si>
  <si>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</si>
  <si>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</si>
  <si>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</si>
  <si>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</si>
  <si>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</si>
  <si>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</si>
  <si>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</si>
  <si>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</si>
  <si>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</si>
  <si>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</si>
  <si>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</si>
  <si>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</si>
  <si>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</si>
  <si>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</si>
  <si>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</si>
  <si>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</si>
  <si>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</si>
  <si>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</si>
  <si>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</si>
  <si>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</si>
  <si>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</si>
  <si>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</si>
  <si>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</si>
  <si>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</si>
  <si>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</si>
  <si>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</si>
  <si>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</si>
  <si>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</si>
  <si>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</si>
  <si>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</si>
  <si>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</si>
  <si>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</si>
  <si>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</si>
  <si>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</si>
  <si>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</si>
  <si>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</si>
  <si>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</si>
  <si>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</si>
  <si>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</si>
  <si>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Ferran Torres Spain</t>
  </si>
  <si>
    <t>Ferran</t>
  </si>
  <si>
    <t>Torres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</si>
  <si>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</si>
  <si>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</si>
  <si>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</si>
  <si>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</si>
  <si>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</si>
  <si>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</si>
  <si>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</si>
  <si>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</si>
  <si>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</si>
  <si>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</si>
  <si>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</si>
  <si>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</si>
  <si>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</si>
  <si>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</si>
  <si>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</si>
  <si>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</si>
  <si>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</si>
  <si>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</si>
  <si>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</si>
  <si>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</si>
  <si>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</si>
  <si>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</si>
  <si>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</si>
  <si>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</si>
  <si>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</si>
  <si>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</si>
  <si>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</si>
  <si>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</si>
  <si>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</si>
  <si>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</si>
  <si>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</si>
  <si>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</si>
  <si>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</si>
  <si>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</si>
  <si>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</si>
  <si>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</si>
  <si>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</si>
  <si>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</si>
  <si>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</si>
  <si>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</si>
  <si>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</si>
  <si>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</si>
  <si>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</si>
  <si>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</si>
  <si>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</si>
  <si>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</si>
  <si>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</si>
  <si>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</si>
  <si>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</si>
  <si>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</si>
  <si>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</si>
  <si>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</si>
  <si>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</si>
  <si>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</si>
  <si>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</si>
  <si>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</si>
  <si>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</si>
  <si>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</si>
  <si>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</si>
  <si>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</si>
  <si>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</si>
  <si>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</si>
  <si>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</si>
  <si>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</si>
  <si>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</si>
  <si>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</si>
  <si>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</si>
  <si>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</si>
  <si>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</si>
  <si>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</si>
  <si>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</si>
  <si>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</si>
  <si>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</si>
  <si>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</si>
  <si>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</si>
  <si>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</si>
  <si>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</si>
  <si>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</si>
  <si>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</si>
  <si>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</si>
  <si>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</si>
  <si>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</si>
  <si>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</si>
  <si>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</si>
  <si>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</si>
  <si>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</si>
  <si>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</si>
  <si>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</si>
  <si>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</si>
  <si>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</si>
  <si>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</si>
  <si>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</si>
  <si>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</si>
  <si>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</si>
  <si>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</si>
  <si>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</si>
  <si>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</si>
  <si>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</si>
  <si>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</si>
  <si>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</si>
  <si>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</si>
  <si>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</si>
  <si>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</si>
  <si>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</si>
  <si>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</si>
  <si>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Bernardo B. Silva Portugal</t>
  </si>
  <si>
    <t>Bernardo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</si>
  <si>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</si>
  <si>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</si>
  <si>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</si>
  <si>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</si>
  <si>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</si>
  <si>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</si>
  <si>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</si>
  <si>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</si>
  <si>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</si>
  <si>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 Spain</t>
  </si>
  <si>
    <t>Marcos</t>
  </si>
  <si>
    <t>Llorente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</si>
  <si>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</si>
  <si>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</si>
  <si>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</si>
  <si>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</si>
  <si>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</si>
  <si>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</si>
  <si>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</si>
  <si>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</si>
  <si>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</si>
  <si>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</si>
  <si>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</si>
  <si>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</si>
  <si>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</si>
  <si>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</si>
  <si>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</si>
  <si>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</si>
  <si>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</si>
  <si>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</si>
  <si>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</si>
  <si>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</si>
  <si>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</si>
  <si>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</si>
  <si>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</si>
  <si>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</si>
  <si>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</si>
  <si>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</si>
  <si>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</si>
  <si>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</si>
  <si>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</si>
  <si>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</si>
  <si>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</si>
  <si>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</si>
  <si>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</si>
  <si>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Donny van de Beek Netherlands</t>
  </si>
  <si>
    <t>Donny</t>
  </si>
  <si>
    <t>van de Beek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</si>
  <si>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</si>
  <si>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</si>
  <si>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</si>
  <si>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</si>
  <si>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</si>
  <si>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</si>
  <si>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</si>
  <si>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</si>
  <si>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</si>
  <si>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</si>
  <si>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</si>
  <si>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</si>
  <si>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</si>
  <si>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</si>
  <si>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</si>
  <si>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</si>
  <si>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</si>
  <si>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</si>
  <si>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</si>
  <si>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</si>
  <si>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</si>
  <si>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</si>
  <si>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</si>
  <si>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</si>
  <si>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</si>
  <si>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</si>
  <si>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</si>
  <si>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</si>
  <si>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</si>
  <si>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</si>
  <si>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</si>
  <si>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</si>
  <si>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</si>
  <si>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</si>
  <si>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</si>
  <si>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</si>
  <si>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</si>
  <si>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</si>
  <si>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</si>
  <si>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</si>
  <si>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</si>
  <si>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</si>
  <si>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</si>
  <si>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</si>
  <si>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</si>
  <si>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</si>
  <si>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</si>
  <si>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</si>
  <si>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</si>
  <si>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</si>
  <si>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</si>
  <si>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</si>
  <si>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</si>
  <si>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</si>
  <si>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</si>
  <si>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</si>
  <si>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</si>
  <si>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</si>
  <si>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</si>
  <si>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</si>
  <si>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</si>
  <si>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</si>
  <si>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</si>
  <si>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</si>
  <si>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</si>
  <si>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</si>
  <si>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</si>
  <si>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</si>
  <si>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</si>
  <si>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</si>
  <si>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</si>
  <si>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</si>
  <si>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</si>
  <si>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</si>
  <si>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</si>
  <si>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</si>
  <si>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</si>
  <si>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</si>
  <si>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</si>
  <si>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</si>
  <si>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</si>
  <si>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</si>
  <si>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</si>
  <si>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</si>
  <si>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</si>
  <si>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</si>
  <si>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</si>
  <si>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</si>
  <si>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</si>
  <si>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</si>
  <si>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</si>
  <si>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</si>
  <si>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</si>
  <si>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</si>
  <si>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</si>
  <si>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</si>
  <si>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</si>
  <si>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</si>
  <si>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</si>
  <si>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</si>
  <si>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</si>
  <si>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</si>
  <si>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</si>
  <si>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</si>
  <si>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</si>
  <si>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</si>
  <si>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</si>
  <si>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</si>
  <si>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</si>
  <si>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</si>
  <si>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</si>
  <si>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</si>
  <si>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</si>
  <si>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</si>
  <si>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</si>
  <si>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</si>
  <si>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</si>
  <si>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</si>
  <si>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</si>
  <si>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</si>
  <si>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</si>
  <si>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</si>
  <si>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</si>
  <si>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</si>
  <si>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</si>
  <si>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</si>
  <si>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</si>
  <si>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</si>
  <si>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</si>
  <si>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</si>
  <si>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 Italy</t>
  </si>
  <si>
    <t>Pellegrini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</si>
  <si>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</si>
  <si>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</si>
  <si>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</si>
  <si>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</si>
  <si>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</si>
  <si>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</si>
  <si>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</si>
  <si>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</si>
  <si>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</si>
  <si>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</si>
  <si>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</si>
  <si>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</si>
  <si>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</si>
  <si>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</si>
  <si>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</si>
  <si>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</si>
  <si>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</si>
  <si>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</si>
  <si>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</si>
  <si>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</si>
  <si>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</si>
  <si>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</si>
  <si>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</si>
  <si>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</si>
  <si>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</si>
  <si>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</si>
  <si>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</si>
  <si>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</si>
  <si>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</si>
  <si>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</si>
  <si>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</si>
  <si>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</si>
  <si>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</si>
  <si>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</si>
  <si>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</si>
  <si>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</si>
  <si>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</si>
  <si>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</si>
  <si>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</si>
  <si>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</si>
  <si>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</si>
  <si>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</si>
  <si>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</si>
  <si>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</si>
  <si>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</si>
  <si>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</si>
  <si>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</si>
  <si>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</si>
  <si>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</si>
  <si>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</si>
  <si>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</si>
  <si>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</si>
  <si>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</si>
  <si>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</si>
  <si>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</si>
  <si>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</si>
  <si>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</si>
  <si>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</si>
  <si>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</si>
  <si>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</si>
  <si>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</si>
  <si>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</si>
  <si>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</si>
  <si>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</si>
  <si>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</si>
  <si>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</si>
  <si>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</si>
  <si>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</si>
  <si>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</si>
  <si>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 xml:space="preserve"> Jude Bellingham England</t>
  </si>
  <si>
    <t xml:space="preserve"> Jude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</si>
  <si>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</si>
  <si>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</si>
  <si>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</si>
  <si>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</si>
  <si>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</si>
  <si>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</si>
  <si>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</si>
  <si>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</si>
  <si>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</si>
  <si>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</si>
  <si>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Nelson N. Semedo Portugal</t>
  </si>
  <si>
    <t>Nélson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</si>
  <si>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</si>
  <si>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</si>
  <si>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</si>
  <si>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</si>
  <si>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</si>
  <si>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</si>
  <si>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</si>
  <si>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</si>
  <si>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</si>
  <si>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</si>
  <si>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</si>
  <si>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</si>
  <si>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</si>
  <si>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</si>
  <si>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</si>
  <si>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</si>
  <si>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</si>
  <si>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</si>
  <si>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</si>
  <si>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</si>
  <si>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</si>
  <si>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</si>
  <si>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Andre A. Silva Portugal</t>
  </si>
  <si>
    <t>André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</si>
  <si>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</si>
  <si>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</si>
  <si>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</si>
  <si>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</si>
  <si>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</si>
  <si>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</si>
  <si>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</si>
  <si>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</si>
  <si>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</si>
  <si>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</si>
  <si>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</si>
  <si>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</si>
  <si>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</si>
  <si>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</si>
  <si>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</si>
  <si>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</si>
  <si>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</si>
  <si>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</si>
  <si>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</si>
  <si>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</si>
  <si>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</si>
  <si>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</si>
  <si>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</si>
  <si>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</si>
  <si>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</si>
  <si>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</si>
  <si>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</si>
  <si>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</si>
  <si>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</si>
  <si>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</si>
  <si>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</si>
  <si>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</si>
  <si>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</si>
  <si>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</si>
  <si>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</si>
  <si>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</si>
  <si>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</si>
  <si>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</si>
  <si>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</si>
  <si>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</si>
  <si>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</si>
  <si>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</si>
  <si>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</si>
  <si>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</si>
  <si>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</si>
  <si>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</si>
  <si>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</si>
  <si>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</si>
  <si>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</si>
  <si>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</si>
  <si>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</si>
  <si>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</si>
  <si>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</si>
  <si>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</si>
  <si>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</si>
  <si>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</si>
  <si>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</si>
  <si>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</si>
  <si>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</si>
  <si>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</si>
  <si>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</si>
  <si>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</si>
  <si>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</si>
  <si>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</si>
  <si>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</si>
  <si>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</si>
  <si>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</si>
  <si>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</si>
  <si>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</si>
  <si>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</si>
  <si>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</si>
  <si>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</si>
  <si>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</si>
  <si>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</si>
  <si>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</si>
  <si>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</si>
  <si>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</si>
  <si>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</si>
  <si>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</si>
  <si>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</si>
  <si>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</si>
  <si>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</si>
  <si>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</si>
  <si>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</si>
  <si>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</si>
  <si>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</si>
  <si>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</si>
  <si>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</si>
  <si>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</si>
  <si>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</si>
  <si>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</si>
  <si>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</si>
  <si>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</si>
  <si>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</si>
  <si>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</si>
  <si>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</si>
  <si>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</si>
  <si>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</si>
  <si>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</si>
  <si>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</si>
  <si>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</si>
  <si>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</si>
  <si>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</si>
  <si>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</si>
  <si>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</si>
  <si>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</si>
  <si>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</si>
  <si>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</si>
  <si>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</si>
  <si>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</si>
  <si>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</si>
  <si>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</si>
  <si>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</si>
  <si>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</si>
  <si>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</si>
  <si>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</si>
  <si>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</si>
  <si>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</si>
  <si>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</si>
  <si>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</si>
  <si>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</si>
  <si>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</si>
  <si>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</si>
  <si>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</si>
  <si>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</si>
  <si>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</si>
  <si>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</si>
  <si>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</si>
  <si>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</si>
  <si>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</si>
  <si>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</si>
  <si>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</si>
  <si>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</si>
  <si>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</si>
  <si>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</si>
  <si>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</si>
  <si>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</si>
  <si>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</si>
  <si>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</si>
  <si>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</si>
  <si>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</si>
  <si>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</si>
  <si>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</si>
  <si>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</si>
  <si>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</si>
  <si>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</si>
  <si>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</si>
  <si>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</si>
  <si>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</si>
  <si>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</si>
  <si>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</si>
  <si>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</si>
  <si>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</si>
  <si>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</si>
  <si>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</si>
  <si>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</si>
  <si>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</si>
  <si>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</si>
  <si>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</si>
  <si>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</si>
  <si>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</si>
  <si>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</si>
  <si>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</si>
  <si>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</si>
  <si>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</si>
  <si>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</si>
  <si>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</si>
  <si>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</si>
  <si>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</si>
  <si>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</si>
  <si>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</si>
  <si>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</si>
  <si>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</si>
  <si>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</si>
  <si>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</si>
  <si>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</si>
  <si>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</si>
  <si>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</si>
  <si>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</si>
  <si>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</si>
  <si>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</si>
  <si>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Rafa Ra. Silva Portugal</t>
  </si>
  <si>
    <t>Rafa</t>
  </si>
  <si>
    <t>Ra. Silva</t>
  </si>
  <si>
    <t>Rafa Ra. Silva</t>
  </si>
  <si>
    <t>Damien Da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</si>
  <si>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</si>
  <si>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</si>
  <si>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</si>
  <si>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</si>
  <si>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</si>
  <si>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</si>
  <si>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</si>
  <si>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</si>
  <si>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</si>
  <si>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Diego Llorente Spain</t>
  </si>
  <si>
    <t>Diego</t>
  </si>
  <si>
    <t>Eric Garcia Spain</t>
  </si>
  <si>
    <t>Eric</t>
  </si>
  <si>
    <t>García</t>
  </si>
  <si>
    <t>Eric García</t>
  </si>
  <si>
    <t>Pau Torres Spain</t>
  </si>
  <si>
    <t>Pau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</si>
  <si>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</si>
  <si>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</si>
  <si>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</si>
  <si>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</si>
  <si>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</si>
  <si>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</si>
  <si>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</si>
  <si>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</si>
  <si>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</si>
  <si>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</si>
  <si>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</si>
  <si>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</si>
  <si>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</si>
  <si>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</si>
  <si>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</si>
  <si>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</si>
  <si>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</si>
  <si>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</si>
  <si>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</si>
  <si>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</si>
  <si>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</si>
  <si>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</si>
  <si>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</si>
  <si>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</si>
  <si>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</si>
  <si>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</si>
  <si>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</si>
  <si>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</si>
  <si>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</si>
  <si>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</si>
  <si>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</si>
  <si>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</si>
  <si>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</si>
  <si>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</si>
  <si>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</si>
  <si>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</si>
  <si>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</si>
  <si>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</si>
  <si>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</si>
  <si>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</si>
  <si>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</si>
  <si>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</si>
  <si>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</si>
  <si>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</si>
  <si>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</si>
  <si>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</si>
  <si>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</si>
  <si>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 Poland</t>
  </si>
  <si>
    <t>Arkadiusz</t>
  </si>
  <si>
    <t>Milik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</si>
  <si>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</si>
  <si>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</si>
  <si>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</si>
  <si>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</si>
  <si>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</si>
  <si>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</si>
  <si>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</si>
  <si>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</si>
  <si>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</si>
  <si>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</si>
  <si>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</si>
  <si>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</si>
  <si>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</si>
  <si>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</si>
  <si>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</si>
  <si>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</si>
  <si>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</si>
  <si>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</si>
  <si>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</si>
  <si>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</si>
  <si>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</si>
  <si>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</si>
  <si>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</si>
  <si>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</si>
  <si>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</si>
  <si>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</si>
  <si>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</si>
  <si>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</si>
  <si>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</si>
  <si>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</si>
  <si>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</si>
  <si>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</si>
  <si>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</si>
  <si>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</si>
  <si>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</si>
  <si>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</si>
  <si>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</si>
  <si>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</si>
  <si>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</si>
  <si>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</si>
  <si>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</si>
  <si>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</si>
  <si>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</si>
  <si>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</si>
  <si>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</si>
  <si>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</si>
  <si>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</si>
  <si>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</si>
  <si>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</si>
  <si>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</si>
  <si>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</si>
  <si>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</si>
  <si>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</si>
  <si>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</si>
  <si>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</si>
  <si>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</si>
  <si>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</si>
  <si>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</si>
  <si>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</si>
  <si>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</si>
  <si>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</si>
  <si>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</si>
  <si>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</si>
  <si>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</si>
  <si>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</si>
  <si>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</si>
  <si>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</si>
  <si>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</si>
  <si>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</si>
  <si>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</si>
  <si>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</si>
  <si>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</si>
  <si>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</si>
  <si>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</si>
  <si>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</si>
  <si>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</si>
  <si>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</si>
  <si>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</si>
  <si>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</si>
  <si>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</si>
  <si>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</si>
  <si>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</si>
  <si>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</si>
  <si>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</si>
  <si>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</si>
  <si>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</si>
  <si>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</si>
  <si>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</si>
  <si>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 Italy</t>
  </si>
  <si>
    <t>Stefano</t>
  </si>
  <si>
    <t>Sensi</t>
  </si>
  <si>
    <t>unexpected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</si>
  <si>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</si>
  <si>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</si>
  <si>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</si>
  <si>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</si>
  <si>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</si>
  <si>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</si>
  <si>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</si>
  <si>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</si>
  <si>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</si>
  <si>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</si>
  <si>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</si>
  <si>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</si>
  <si>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</si>
  <si>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</si>
  <si>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</si>
  <si>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</si>
  <si>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</si>
  <si>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</si>
  <si>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</si>
  <si>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</si>
  <si>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</si>
  <si>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</si>
  <si>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</si>
  <si>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</si>
  <si>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</si>
  <si>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</si>
  <si>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</si>
  <si>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</si>
  <si>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</si>
  <si>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</si>
  <si>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</si>
  <si>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</si>
  <si>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</si>
  <si>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</si>
  <si>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</si>
  <si>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</si>
  <si>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</si>
  <si>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</si>
  <si>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</si>
  <si>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</si>
  <si>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</si>
  <si>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</si>
  <si>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</si>
  <si>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</si>
  <si>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</si>
  <si>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</si>
  <si>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</si>
  <si>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</si>
  <si>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</si>
  <si>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</si>
  <si>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</si>
  <si>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</si>
  <si>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</si>
  <si>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</si>
  <si>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</si>
  <si>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</si>
  <si>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</si>
  <si>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</si>
  <si>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</si>
  <si>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</si>
  <si>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</si>
  <si>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</si>
  <si>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</si>
  <si>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</si>
  <si>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</si>
  <si>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</si>
  <si>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</si>
  <si>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</si>
  <si>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</si>
  <si>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</si>
  <si>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</si>
  <si>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</si>
  <si>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</si>
  <si>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</si>
  <si>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</si>
  <si>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</si>
  <si>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</si>
  <si>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</si>
  <si>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</si>
  <si>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</si>
  <si>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</si>
  <si>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</si>
  <si>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</si>
  <si>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</si>
  <si>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</si>
  <si>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</si>
  <si>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</si>
  <si>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</si>
  <si>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</si>
  <si>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</si>
  <si>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</si>
  <si>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</si>
  <si>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</si>
  <si>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</si>
  <si>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</si>
  <si>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</si>
  <si>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</si>
  <si>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</si>
  <si>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</si>
  <si>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</si>
  <si>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</si>
  <si>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</si>
  <si>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</si>
  <si>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</si>
  <si>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</si>
  <si>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</si>
  <si>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</si>
  <si>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</si>
  <si>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</si>
  <si>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</si>
  <si>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</si>
  <si>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</si>
  <si>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</si>
  <si>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</si>
  <si>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</si>
  <si>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</si>
  <si>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</si>
  <si>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</si>
  <si>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</si>
  <si>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</si>
  <si>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</si>
  <si>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</si>
  <si>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</si>
  <si>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</si>
  <si>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</si>
  <si>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</si>
  <si>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</si>
  <si>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</si>
  <si>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</si>
  <si>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</si>
  <si>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</si>
  <si>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</si>
  <si>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</si>
  <si>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</si>
  <si>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</si>
  <si>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</si>
  <si>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</si>
  <si>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</si>
  <si>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</si>
  <si>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</si>
  <si>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</si>
  <si>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</si>
  <si>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</si>
  <si>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</si>
  <si>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</si>
  <si>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</si>
  <si>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</si>
  <si>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</si>
  <si>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</si>
  <si>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</si>
  <si>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</si>
  <si>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</si>
  <si>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</si>
  <si>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</si>
  <si>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</si>
  <si>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</si>
  <si>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</si>
  <si>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</si>
  <si>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</si>
  <si>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</si>
  <si>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</si>
  <si>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</si>
  <si>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</si>
  <si>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</si>
  <si>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</si>
  <si>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</si>
  <si>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</si>
  <si>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</si>
  <si>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</si>
  <si>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</si>
  <si>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</si>
  <si>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</si>
  <si>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</si>
  <si>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</si>
  <si>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</si>
  <si>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</si>
  <si>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</si>
  <si>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</si>
  <si>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</si>
  <si>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</si>
  <si>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</si>
  <si>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</si>
  <si>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</si>
  <si>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</si>
  <si>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</si>
  <si>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</si>
  <si>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</si>
  <si>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</si>
  <si>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</si>
  <si>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</si>
  <si>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</si>
  <si>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</si>
  <si>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</si>
  <si>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</si>
  <si>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</si>
  <si>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</si>
  <si>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</si>
  <si>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</si>
  <si>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</si>
  <si>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</si>
  <si>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</si>
  <si>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</si>
  <si>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</si>
  <si>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</si>
  <si>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</si>
  <si>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</si>
  <si>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</si>
  <si>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</si>
  <si>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</si>
  <si>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</si>
  <si>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</si>
  <si>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</si>
  <si>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</si>
  <si>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</si>
  <si>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</si>
  <si>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</si>
  <si>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</si>
  <si>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</si>
  <si>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</si>
  <si>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</si>
  <si>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</si>
  <si>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</si>
  <si>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</si>
  <si>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</si>
  <si>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</si>
  <si>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</si>
  <si>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</si>
  <si>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</si>
  <si>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</si>
  <si>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</si>
  <si>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</si>
  <si>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</si>
  <si>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</si>
  <si>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</si>
  <si>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</si>
  <si>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</si>
  <si>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</si>
  <si>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</si>
  <si>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</si>
  <si>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</si>
  <si>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</si>
  <si>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</si>
  <si>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</si>
  <si>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</si>
  <si>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</si>
  <si>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</si>
  <si>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</si>
  <si>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</si>
  <si>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</si>
  <si>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</si>
  <si>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</si>
  <si>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</si>
  <si>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</si>
  <si>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</si>
  <si>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</si>
  <si>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</si>
  <si>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</si>
  <si>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</si>
  <si>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</si>
  <si>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</si>
  <si>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</si>
  <si>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</si>
  <si>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</si>
  <si>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</si>
  <si>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</si>
  <si>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</si>
  <si>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</si>
  <si>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</si>
  <si>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</si>
  <si>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</si>
  <si>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</si>
  <si>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</si>
  <si>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</si>
  <si>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</si>
  <si>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</si>
  <si>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</si>
  <si>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</si>
  <si>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</si>
  <si>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</si>
  <si>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</si>
  <si>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</si>
  <si>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</si>
  <si>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</si>
  <si>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</si>
  <si>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</si>
  <si>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</si>
  <si>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</si>
  <si>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</si>
  <si>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</si>
  <si>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</si>
  <si>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</si>
  <si>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</si>
  <si>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</si>
  <si>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</si>
  <si>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</si>
  <si>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</si>
  <si>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</si>
  <si>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</si>
  <si>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</si>
  <si>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</si>
  <si>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</si>
  <si>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</si>
  <si>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</si>
  <si>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</si>
  <si>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</si>
  <si>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</si>
  <si>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</si>
  <si>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</si>
  <si>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</si>
  <si>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</si>
  <si>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</si>
  <si>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</si>
  <si>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</si>
  <si>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</si>
  <si>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</si>
  <si>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</si>
  <si>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</si>
  <si>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</si>
  <si>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</si>
  <si>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</si>
  <si>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</si>
  <si>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</si>
  <si>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</si>
  <si>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</si>
  <si>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</si>
  <si>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</si>
  <si>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</si>
  <si>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</si>
  <si>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</si>
  <si>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</si>
  <si>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</si>
  <si>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</si>
  <si>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</si>
  <si>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</si>
  <si>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</si>
  <si>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Ben B. Davies Wales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</si>
  <si>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</si>
  <si>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</si>
  <si>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</si>
  <si>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</si>
  <si>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</si>
  <si>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</si>
  <si>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</si>
  <si>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</si>
  <si>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</si>
  <si>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</si>
  <si>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</si>
  <si>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</si>
  <si>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</si>
  <si>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</si>
  <si>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</si>
  <si>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</si>
  <si>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</si>
  <si>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</si>
  <si>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</si>
  <si>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</si>
  <si>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</si>
  <si>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</si>
  <si>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</si>
  <si>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</si>
  <si>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</si>
  <si>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</si>
  <si>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</si>
  <si>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</si>
  <si>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</si>
  <si>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</si>
  <si>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</si>
  <si>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</si>
  <si>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</si>
  <si>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</si>
  <si>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</si>
  <si>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</si>
  <si>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</si>
  <si>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</si>
  <si>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</si>
  <si>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</si>
  <si>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</si>
  <si>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</si>
  <si>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</si>
  <si>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</si>
  <si>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</si>
  <si>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</si>
  <si>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</si>
  <si>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</si>
  <si>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</si>
  <si>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</si>
  <si>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</si>
  <si>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</si>
  <si>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</si>
  <si>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</si>
  <si>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</si>
  <si>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</si>
  <si>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</si>
  <si>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</si>
  <si>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</si>
  <si>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</si>
  <si>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</si>
  <si>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</si>
  <si>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</si>
  <si>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</si>
  <si>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</si>
  <si>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</si>
  <si>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</si>
  <si>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</si>
  <si>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</si>
  <si>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</si>
  <si>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</si>
  <si>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</si>
  <si>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</si>
  <si>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</si>
  <si>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</si>
  <si>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</si>
  <si>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</si>
  <si>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</si>
  <si>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</si>
  <si>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</si>
  <si>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</si>
  <si>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</si>
  <si>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</si>
  <si>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</si>
  <si>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</si>
  <si>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</si>
  <si>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</si>
  <si>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</si>
  <si>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</si>
  <si>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</si>
  <si>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</si>
  <si>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</si>
  <si>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</si>
  <si>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</si>
  <si>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</si>
  <si>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</si>
  <si>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</si>
  <si>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</si>
  <si>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</si>
  <si>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</si>
  <si>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</si>
  <si>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</si>
  <si>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</si>
  <si>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</si>
  <si>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</si>
  <si>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</si>
  <si>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</si>
  <si>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</si>
  <si>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</si>
  <si>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</si>
  <si>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</si>
  <si>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</si>
  <si>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</si>
  <si>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</si>
  <si>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</si>
  <si>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</si>
  <si>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</si>
  <si>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</si>
  <si>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</si>
  <si>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</si>
  <si>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</si>
  <si>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</si>
  <si>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</si>
  <si>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</si>
  <si>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</si>
  <si>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</si>
  <si>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</si>
  <si>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</si>
  <si>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</si>
  <si>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</si>
  <si>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</si>
  <si>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</si>
  <si>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</si>
  <si>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</si>
  <si>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</si>
  <si>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</si>
  <si>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</si>
  <si>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</si>
  <si>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</si>
  <si>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</si>
  <si>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</si>
  <si>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</si>
  <si>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</si>
  <si>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Rui Ru. Silva Portugal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</si>
  <si>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</si>
  <si>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</si>
  <si>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</si>
  <si>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</si>
  <si>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</si>
  <si>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</si>
  <si>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</si>
  <si>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</si>
  <si>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</si>
  <si>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</si>
  <si>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</si>
  <si>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</si>
  <si>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</si>
  <si>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</si>
  <si>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</si>
  <si>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</si>
  <si>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</si>
  <si>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</si>
  <si>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</si>
  <si>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</si>
  <si>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</si>
  <si>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</si>
  <si>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</si>
  <si>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</si>
  <si>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</si>
  <si>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</si>
  <si>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</si>
  <si>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</si>
  <si>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</si>
  <si>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</si>
  <si>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</si>
  <si>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</si>
  <si>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</si>
  <si>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</si>
  <si>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</si>
  <si>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</si>
  <si>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</si>
  <si>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</si>
  <si>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</si>
  <si>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</si>
  <si>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</si>
  <si>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</si>
  <si>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</si>
  <si>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</si>
  <si>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</si>
  <si>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</si>
  <si>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</si>
  <si>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</si>
  <si>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</si>
  <si>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</si>
  <si>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</si>
  <si>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</si>
  <si>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</si>
  <si>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</si>
  <si>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</si>
  <si>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</si>
  <si>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</si>
  <si>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</si>
  <si>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</si>
  <si>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</si>
  <si>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</si>
  <si>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</si>
  <si>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</si>
  <si>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</si>
  <si>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</si>
  <si>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</si>
  <si>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</si>
  <si>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</si>
  <si>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</si>
  <si>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</si>
  <si>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</si>
  <si>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</si>
  <si>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</si>
  <si>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</si>
  <si>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</si>
  <si>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</si>
  <si>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</si>
  <si>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</si>
  <si>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</si>
  <si>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</si>
  <si>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</si>
  <si>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</si>
  <si>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</si>
  <si>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</si>
  <si>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</si>
  <si>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</si>
  <si>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</si>
  <si>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</si>
  <si>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</si>
  <si>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</si>
  <si>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</si>
  <si>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</si>
  <si>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</si>
  <si>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</si>
  <si>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</si>
  <si>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</si>
  <si>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</si>
  <si>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</si>
  <si>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</si>
  <si>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</si>
  <si>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</si>
  <si>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</si>
  <si>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</si>
  <si>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</si>
  <si>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</si>
  <si>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</si>
  <si>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</si>
  <si>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</si>
  <si>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</si>
  <si>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</si>
  <si>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</si>
  <si>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</si>
  <si>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</si>
  <si>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</si>
  <si>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</si>
  <si>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</si>
  <si>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</si>
  <si>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</si>
  <si>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</si>
  <si>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</si>
  <si>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</si>
  <si>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</si>
  <si>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</si>
  <si>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</si>
  <si>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</si>
  <si>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</si>
  <si>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</si>
  <si>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</si>
  <si>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</si>
  <si>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</si>
  <si>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</si>
  <si>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</si>
  <si>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</si>
  <si>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</si>
  <si>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</si>
  <si>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</si>
  <si>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</si>
  <si>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</si>
  <si>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</si>
  <si>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</si>
  <si>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</si>
  <si>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</si>
  <si>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</si>
  <si>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</si>
  <si>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</si>
  <si>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</si>
  <si>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</si>
  <si>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</si>
  <si>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</si>
  <si>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</si>
  <si>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</si>
  <si>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Ridvan R. Yilmaz Turkey</t>
  </si>
  <si>
    <t>Rıdvan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</si>
  <si>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</si>
  <si>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</si>
  <si>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</si>
  <si>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</si>
  <si>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</si>
  <si>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</si>
  <si>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</si>
  <si>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</si>
  <si>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</si>
  <si>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</si>
  <si>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</si>
  <si>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</si>
  <si>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</si>
  <si>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</si>
  <si>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</si>
  <si>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</si>
  <si>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</si>
  <si>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</si>
  <si>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</si>
  <si>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</si>
  <si>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</si>
  <si>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</si>
  <si>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</si>
  <si>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</si>
  <si>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</si>
  <si>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</si>
  <si>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</si>
  <si>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</si>
  <si>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</si>
  <si>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</si>
  <si>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</si>
  <si>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</si>
  <si>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</si>
  <si>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</si>
  <si>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</si>
  <si>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</si>
  <si>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</si>
  <si>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</si>
  <si>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</si>
  <si>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</si>
  <si>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</si>
  <si>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</si>
  <si>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</si>
  <si>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</si>
  <si>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</si>
  <si>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</si>
  <si>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</si>
  <si>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</si>
  <si>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Burak B. Yilmaz Turkey</t>
  </si>
  <si>
    <t>Burak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</si>
  <si>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</si>
  <si>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</si>
  <si>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</si>
  <si>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</si>
  <si>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</si>
  <si>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</si>
  <si>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</si>
  <si>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</si>
  <si>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</si>
  <si>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</si>
  <si>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</si>
  <si>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</si>
  <si>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</si>
  <si>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</si>
  <si>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</si>
  <si>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</si>
  <si>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</si>
  <si>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</si>
  <si>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</si>
  <si>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</si>
  <si>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</si>
  <si>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</si>
  <si>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</si>
  <si>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</si>
  <si>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</si>
  <si>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</si>
  <si>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</si>
  <si>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</si>
  <si>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</si>
  <si>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</si>
  <si>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</si>
  <si>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</si>
  <si>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</si>
  <si>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</si>
  <si>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</si>
  <si>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</si>
  <si>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</si>
  <si>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</si>
  <si>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</si>
  <si>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</si>
  <si>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</si>
  <si>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</si>
  <si>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</si>
  <si>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</si>
  <si>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</si>
  <si>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</si>
  <si>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</si>
  <si>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</si>
  <si>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</si>
  <si>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</si>
  <si>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</si>
  <si>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</si>
  <si>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</si>
  <si>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</si>
  <si>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</si>
  <si>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</si>
  <si>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</si>
  <si>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</si>
  <si>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</si>
  <si>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</si>
  <si>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</si>
  <si>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</si>
  <si>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</si>
  <si>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Neco N. Williams Wales</t>
  </si>
  <si>
    <t>Neco</t>
  </si>
  <si>
    <t>N. Williams</t>
  </si>
  <si>
    <t>Neco N. Williams</t>
  </si>
  <si>
    <t>Connor C. Roberts Wales</t>
  </si>
  <si>
    <t>Connor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</si>
  <si>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</si>
  <si>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</si>
  <si>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</si>
  <si>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</si>
  <si>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</si>
  <si>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</si>
  <si>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</si>
  <si>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</si>
  <si>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</si>
  <si>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</si>
  <si>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</si>
  <si>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</si>
  <si>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</si>
  <si>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</si>
  <si>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</si>
  <si>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</si>
  <si>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Jonny J. Williams Wales</t>
  </si>
  <si>
    <t>J. Williams</t>
  </si>
  <si>
    <t>Jonny J. Williams</t>
  </si>
  <si>
    <t>JJ Williams</t>
  </si>
  <si>
    <t>Jonathan Williams</t>
  </si>
  <si>
    <t>Tyler T. Roberts Wales</t>
  </si>
  <si>
    <t>Tyler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</si>
  <si>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</si>
  <si>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</si>
  <si>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</si>
  <si>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</si>
  <si>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</si>
  <si>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</si>
  <si>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</si>
  <si>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</si>
  <si>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</si>
  <si>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</si>
  <si>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</si>
  <si>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</si>
  <si>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</si>
  <si>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</si>
  <si>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</si>
  <si>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</si>
  <si>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</si>
  <si>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</si>
  <si>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</si>
  <si>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</si>
  <si>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</si>
  <si>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</si>
  <si>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</si>
  <si>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</si>
  <si>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</si>
  <si>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</si>
  <si>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</si>
  <si>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</si>
  <si>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</si>
  <si>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</si>
  <si>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</si>
  <si>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</si>
  <si>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</si>
  <si>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</si>
  <si>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</si>
  <si>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</si>
  <si>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</si>
  <si>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</si>
  <si>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</si>
  <si>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</si>
  <si>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</si>
  <si>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</si>
  <si>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</si>
  <si>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</si>
  <si>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</si>
  <si>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</si>
  <si>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</si>
  <si>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</si>
  <si>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</si>
  <si>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</si>
  <si>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</si>
  <si>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</si>
  <si>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 K. Olsson Sweden</t>
  </si>
  <si>
    <t>Kristoffer</t>
  </si>
  <si>
    <t>K. Olsson</t>
  </si>
  <si>
    <t>Kristoffer K. Olsson</t>
  </si>
  <si>
    <t>Kristoffer Askildsen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</si>
  <si>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</si>
  <si>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</si>
  <si>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</si>
  <si>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</si>
  <si>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</si>
  <si>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</si>
  <si>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</si>
  <si>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</si>
  <si>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</si>
  <si>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</si>
  <si>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</si>
  <si>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</si>
  <si>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</si>
  <si>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</si>
  <si>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</si>
  <si>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</si>
  <si>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</si>
  <si>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</si>
  <si>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</si>
  <si>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</si>
  <si>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</si>
  <si>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</si>
  <si>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</si>
  <si>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</si>
  <si>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</si>
  <si>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</si>
  <si>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</si>
  <si>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</si>
  <si>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</si>
  <si>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</si>
  <si>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</si>
  <si>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</si>
  <si>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</si>
  <si>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</si>
  <si>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</si>
  <si>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</si>
  <si>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</si>
  <si>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</si>
  <si>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</si>
  <si>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</si>
  <si>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</si>
  <si>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</si>
  <si>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</si>
  <si>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</si>
  <si>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</si>
  <si>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</si>
  <si>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</si>
  <si>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</si>
  <si>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</si>
  <si>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</si>
  <si>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</si>
  <si>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</si>
  <si>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</si>
  <si>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</si>
  <si>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</si>
  <si>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</si>
  <si>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</si>
  <si>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</si>
  <si>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</si>
  <si>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</si>
  <si>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</si>
  <si>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</si>
  <si>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</si>
  <si>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</si>
  <si>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</si>
  <si>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</si>
  <si>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</si>
  <si>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</si>
  <si>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</si>
  <si>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</si>
  <si>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</si>
  <si>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</si>
  <si>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</si>
  <si>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</si>
  <si>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</si>
  <si>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</si>
  <si>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</si>
  <si>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</si>
  <si>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</si>
  <si>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</si>
  <si>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</si>
  <si>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</si>
  <si>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</si>
  <si>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</si>
  <si>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</si>
  <si>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</si>
  <si>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</si>
  <si>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</si>
  <si>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</si>
  <si>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</si>
  <si>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</si>
  <si>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</si>
  <si>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</si>
  <si>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</si>
  <si>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</si>
  <si>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</si>
  <si>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</si>
  <si>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</si>
  <si>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</si>
  <si>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</si>
  <si>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</si>
  <si>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</si>
  <si>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</si>
  <si>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</si>
  <si>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</si>
  <si>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</si>
  <si>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</si>
  <si>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</si>
  <si>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</si>
  <si>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</si>
  <si>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</si>
  <si>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</si>
  <si>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</si>
  <si>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</si>
  <si>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</si>
  <si>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</si>
  <si>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</si>
  <si>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</si>
  <si>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</si>
  <si>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</si>
  <si>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</si>
  <si>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</si>
  <si>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</si>
  <si>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</si>
  <si>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</si>
  <si>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</si>
  <si>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</si>
  <si>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</si>
  <si>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</si>
  <si>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</si>
  <si>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</si>
  <si>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</si>
  <si>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</si>
  <si>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</si>
  <si>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</si>
  <si>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</si>
  <si>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</si>
  <si>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</si>
  <si>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</si>
  <si>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</si>
  <si>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</si>
  <si>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</si>
  <si>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</si>
  <si>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</si>
  <si>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</si>
  <si>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</si>
  <si>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</si>
  <si>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</si>
  <si>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</si>
  <si>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</si>
  <si>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</si>
  <si>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</si>
  <si>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</si>
  <si>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</si>
  <si>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</si>
  <si>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</si>
  <si>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</si>
  <si>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</si>
  <si>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</si>
  <si>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</si>
  <si>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</si>
  <si>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</si>
  <si>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</si>
  <si>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</si>
  <si>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</si>
  <si>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</si>
  <si>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</si>
  <si>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</si>
  <si>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</si>
  <si>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</si>
  <si>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Kevin K. Varga Hungary</t>
  </si>
  <si>
    <t>K. Varga</t>
  </si>
  <si>
    <t>Kevin K. Varga</t>
  </si>
  <si>
    <t>Kevin Vogt</t>
  </si>
  <si>
    <t>Ungarn</t>
  </si>
  <si>
    <t>Kevin Varga</t>
  </si>
  <si>
    <t>Loic Nego Hungary</t>
  </si>
  <si>
    <t>Loïc</t>
  </si>
  <si>
    <t>Négo</t>
  </si>
  <si>
    <t>Loïc Négo</t>
  </si>
  <si>
    <t>Roland R. Varga Hungary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</si>
  <si>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</si>
  <si>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</si>
  <si>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</si>
  <si>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</si>
  <si>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</si>
  <si>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</si>
  <si>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</si>
  <si>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</si>
  <si>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</si>
  <si>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</si>
  <si>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</si>
  <si>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</si>
  <si>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</si>
  <si>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Adam Ad. Szalai Hungary</t>
  </si>
  <si>
    <t>Ádám</t>
  </si>
  <si>
    <t>Ad. Szalai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</si>
  <si>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</si>
  <si>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</si>
  <si>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</si>
  <si>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</si>
  <si>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</si>
  <si>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</si>
  <si>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</si>
  <si>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</si>
  <si>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</si>
  <si>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</si>
  <si>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</si>
  <si>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</si>
  <si>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</si>
  <si>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</si>
  <si>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</si>
  <si>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</si>
  <si>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</si>
  <si>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</si>
  <si>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</si>
  <si>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</si>
  <si>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</si>
  <si>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</si>
  <si>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</si>
  <si>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</si>
  <si>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</si>
  <si>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</si>
  <si>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</si>
  <si>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</si>
  <si>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</si>
  <si>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</si>
  <si>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</si>
  <si>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</si>
  <si>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</si>
  <si>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</si>
  <si>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</si>
  <si>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</si>
  <si>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</si>
  <si>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</si>
  <si>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</si>
  <si>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</si>
  <si>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</si>
  <si>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</si>
  <si>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</si>
  <si>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</si>
  <si>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</si>
  <si>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</si>
  <si>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</si>
  <si>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</si>
  <si>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</si>
  <si>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</si>
  <si>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</si>
  <si>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</si>
  <si>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</si>
  <si>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</si>
  <si>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</si>
  <si>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</si>
  <si>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</si>
  <si>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</si>
  <si>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</si>
  <si>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</si>
  <si>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</si>
  <si>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</si>
  <si>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</si>
  <si>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</si>
  <si>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</si>
  <si>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</si>
  <si>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</si>
  <si>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</si>
  <si>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</si>
  <si>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</si>
  <si>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</si>
  <si>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</si>
  <si>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</si>
  <si>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</si>
  <si>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</si>
  <si>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</si>
  <si>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</si>
  <si>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</si>
  <si>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</si>
  <si>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</si>
  <si>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</si>
  <si>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</si>
  <si>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</si>
  <si>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</si>
  <si>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</si>
  <si>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</si>
  <si>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</si>
  <si>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</si>
  <si>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</si>
  <si>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</si>
  <si>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</si>
  <si>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</si>
  <si>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</si>
  <si>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</si>
  <si>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</si>
  <si>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</si>
  <si>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</si>
  <si>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</si>
  <si>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</si>
  <si>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</si>
  <si>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</si>
  <si>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</si>
  <si>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</si>
  <si>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</si>
  <si>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</si>
  <si>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</si>
  <si>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</si>
  <si>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</si>
  <si>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</si>
  <si>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</si>
  <si>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</si>
  <si>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</si>
  <si>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</si>
  <si>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</si>
  <si>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</si>
  <si>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</si>
  <si>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</si>
  <si>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</si>
  <si>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</si>
  <si>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</si>
  <si>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</si>
  <si>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</si>
  <si>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</si>
  <si>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</si>
  <si>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</si>
  <si>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</si>
  <si>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</si>
  <si>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</si>
  <si>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</si>
  <si>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</si>
  <si>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</si>
  <si>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</si>
  <si>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</si>
  <si>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</si>
  <si>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</si>
  <si>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</si>
  <si>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</si>
  <si>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</si>
  <si>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</si>
  <si>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</si>
  <si>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</si>
  <si>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</si>
  <si>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</si>
  <si>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</si>
  <si>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</si>
  <si>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</si>
  <si>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</si>
  <si>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</si>
  <si>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</si>
  <si>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</si>
  <si>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</si>
  <si>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</si>
  <si>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</si>
  <si>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</si>
  <si>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</si>
  <si>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</si>
  <si>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</si>
  <si>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</si>
  <si>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</si>
  <si>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</si>
  <si>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</si>
  <si>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</si>
  <si>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</si>
  <si>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</si>
  <si>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</si>
  <si>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</si>
  <si>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</si>
  <si>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</si>
  <si>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</si>
  <si>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</si>
  <si>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</si>
  <si>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</si>
  <si>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</si>
  <si>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</si>
  <si>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</si>
  <si>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</si>
  <si>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</si>
  <si>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</si>
  <si>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</si>
  <si>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</si>
  <si>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</si>
  <si>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</si>
  <si>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</si>
  <si>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</si>
  <si>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</si>
  <si>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</si>
  <si>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</si>
  <si>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</si>
  <si>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</si>
  <si>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</si>
  <si>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</si>
  <si>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</si>
  <si>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</si>
  <si>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</si>
  <si>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</si>
  <si>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</si>
  <si>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</si>
  <si>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</si>
  <si>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</si>
  <si>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</si>
  <si>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</si>
  <si>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</si>
  <si>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</si>
  <si>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</si>
  <si>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</si>
  <si>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</si>
  <si>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</si>
  <si>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</si>
  <si>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</si>
  <si>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</si>
  <si>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</si>
  <si>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</si>
  <si>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</si>
  <si>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</si>
  <si>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</si>
  <si>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</si>
  <si>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</si>
  <si>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</si>
  <si>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</si>
  <si>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</si>
  <si>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</si>
  <si>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</si>
  <si>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</si>
  <si>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</si>
  <si>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</si>
  <si>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</si>
  <si>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</si>
  <si>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</si>
  <si>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</si>
  <si>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</si>
  <si>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</si>
  <si>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</si>
  <si>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</si>
  <si>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</si>
  <si>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</si>
  <si>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</si>
  <si>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</si>
  <si>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</si>
  <si>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</si>
  <si>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</si>
  <si>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</si>
  <si>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</si>
  <si>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</si>
  <si>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</si>
  <si>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</si>
  <si>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</si>
  <si>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</si>
  <si>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</si>
  <si>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</si>
  <si>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</si>
  <si>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</si>
  <si>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</si>
  <si>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</si>
  <si>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</si>
  <si>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</si>
  <si>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</si>
  <si>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</si>
  <si>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</si>
  <si>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</si>
  <si>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</si>
  <si>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</si>
  <si>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</si>
  <si>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</si>
  <si>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</si>
  <si>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</si>
  <si>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</si>
  <si>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</si>
  <si>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Adam A. Davies Wales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</si>
  <si>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</si>
  <si>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</si>
  <si>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</si>
  <si>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</si>
  <si>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</si>
  <si>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</si>
  <si>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</si>
  <si>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</si>
  <si>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</si>
  <si>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</si>
  <si>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</si>
  <si>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</si>
  <si>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</si>
  <si>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</si>
  <si>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</si>
  <si>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</si>
  <si>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</si>
  <si>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</si>
  <si>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</si>
  <si>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</si>
  <si>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</si>
  <si>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</si>
  <si>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</si>
  <si>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</si>
  <si>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</si>
  <si>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</si>
  <si>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</si>
  <si>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</si>
  <si>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</si>
  <si>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</si>
  <si>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</si>
  <si>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</si>
  <si>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</si>
  <si>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</si>
  <si>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</si>
  <si>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</si>
  <si>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</si>
  <si>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</si>
  <si>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</si>
  <si>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</si>
  <si>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</si>
  <si>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</si>
  <si>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</si>
  <si>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</si>
  <si>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</si>
  <si>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</si>
  <si>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</si>
  <si>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</si>
  <si>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</si>
  <si>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</si>
  <si>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</si>
  <si>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</si>
  <si>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</si>
  <si>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</si>
  <si>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</si>
  <si>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</si>
  <si>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</si>
  <si>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</si>
  <si>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</si>
  <si>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</si>
  <si>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</si>
  <si>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</si>
  <si>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</si>
  <si>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</si>
  <si>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</si>
  <si>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</si>
  <si>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</si>
  <si>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</si>
  <si>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</si>
  <si>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</si>
  <si>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</si>
  <si>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</si>
  <si>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</si>
  <si>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</si>
  <si>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</si>
  <si>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</si>
  <si>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</si>
  <si>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</si>
  <si>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</si>
  <si>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</si>
  <si>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</si>
  <si>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 North Macedonia</t>
  </si>
  <si>
    <t>Ristovski</t>
  </si>
  <si>
    <t>Stefan Ristovski</t>
  </si>
  <si>
    <t>Stefan Mitrovic</t>
  </si>
  <si>
    <t>Darko Velkovski North Macedonia</t>
  </si>
  <si>
    <t>Darko</t>
  </si>
  <si>
    <t>Velkovski</t>
  </si>
  <si>
    <t>Darko Velkovski</t>
  </si>
  <si>
    <t>Darko Lazovic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</si>
  <si>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</si>
  <si>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</si>
  <si>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</si>
  <si>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</si>
  <si>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</si>
  <si>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</si>
  <si>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</si>
  <si>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</si>
  <si>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</si>
  <si>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</si>
  <si>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</si>
  <si>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</si>
  <si>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</si>
  <si>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</si>
  <si>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</si>
  <si>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</si>
  <si>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</si>
  <si>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</si>
  <si>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</si>
  <si>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</si>
  <si>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</si>
  <si>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</si>
  <si>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</si>
  <si>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</si>
  <si>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 North Macedonia</t>
  </si>
  <si>
    <t>Milan Ristovski</t>
  </si>
  <si>
    <t>Milan Iloski</t>
  </si>
  <si>
    <t>Krste Velkovski North Macedonia</t>
  </si>
  <si>
    <t>Krste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</si>
  <si>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</si>
  <si>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</si>
  <si>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</si>
  <si>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</si>
  <si>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</si>
  <si>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</si>
  <si>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</si>
  <si>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</si>
  <si>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</si>
  <si>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</si>
  <si>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</si>
  <si>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</si>
  <si>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</si>
  <si>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</si>
  <si>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</si>
  <si>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</si>
  <si>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</si>
  <si>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</si>
  <si>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</si>
  <si>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</si>
  <si>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</si>
  <si>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</si>
  <si>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</si>
  <si>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</si>
  <si>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</si>
  <si>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</si>
  <si>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</si>
  <si>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</si>
  <si>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</si>
  <si>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</si>
  <si>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</si>
  <si>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</si>
  <si>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 At. Szalai Hungary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</si>
  <si>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</si>
  <si>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</si>
  <si>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</si>
  <si>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</si>
  <si>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</si>
  <si>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</si>
  <si>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</si>
  <si>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</si>
  <si>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</si>
  <si>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</si>
  <si>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</si>
  <si>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</si>
  <si>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</si>
  <si>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</si>
  <si>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</si>
  <si>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</si>
  <si>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</si>
  <si>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</si>
  <si>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</si>
  <si>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</si>
  <si>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</si>
  <si>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</si>
  <si>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</si>
  <si>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</si>
  <si>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</si>
  <si>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</si>
  <si>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</si>
  <si>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</si>
  <si>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</si>
  <si>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</si>
  <si>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</si>
  <si>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</si>
  <si>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</si>
  <si>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</si>
  <si>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</si>
  <si>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</si>
  <si>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</si>
  <si>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</si>
  <si>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</si>
  <si>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</si>
  <si>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</si>
  <si>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</si>
  <si>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</si>
  <si>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</si>
  <si>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</si>
  <si>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</si>
  <si>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</si>
  <si>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</si>
  <si>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</si>
  <si>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</si>
  <si>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</si>
  <si>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</si>
  <si>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</si>
  <si>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</si>
  <si>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</si>
  <si>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</si>
  <si>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</si>
  <si>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</si>
  <si>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</si>
  <si>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</si>
  <si>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</si>
  <si>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</si>
  <si>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</si>
  <si>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</si>
  <si>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</si>
  <si>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</si>
  <si>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</si>
  <si>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</si>
  <si>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</si>
  <si>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</si>
  <si>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</si>
  <si>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</si>
  <si>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</si>
  <si>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</si>
  <si>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</si>
  <si>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</si>
  <si>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</si>
  <si>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</si>
  <si>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</si>
  <si>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</si>
  <si>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</si>
  <si>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</si>
  <si>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</si>
  <si>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</si>
  <si>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</si>
  <si>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</si>
  <si>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</si>
  <si>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</si>
  <si>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</si>
  <si>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</si>
  <si>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</si>
  <si>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</si>
  <si>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</si>
  <si>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</si>
  <si>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</si>
  <si>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</si>
  <si>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</si>
  <si>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</si>
  <si>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</si>
  <si>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</si>
  <si>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</si>
  <si>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</si>
  <si>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</si>
  <si>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</si>
  <si>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</si>
  <si>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</si>
  <si>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</si>
  <si>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</si>
  <si>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</si>
  <si>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</si>
  <si>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</si>
  <si>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</si>
  <si>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</si>
  <si>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</si>
  <si>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</si>
  <si>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</si>
  <si>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</si>
  <si>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</si>
  <si>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</si>
  <si>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</si>
  <si>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</si>
  <si>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</si>
  <si>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</si>
  <si>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</si>
  <si>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</si>
  <si>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</si>
  <si>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</si>
  <si>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</si>
  <si>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</si>
  <si>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</si>
  <si>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</si>
  <si>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</si>
  <si>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</si>
  <si>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</si>
  <si>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</si>
  <si>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</si>
  <si>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</si>
  <si>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</si>
  <si>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</si>
  <si>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</si>
  <si>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</si>
  <si>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</si>
  <si>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</si>
  <si>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</si>
  <si>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</si>
  <si>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</si>
  <si>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</si>
  <si>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</si>
  <si>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</si>
  <si>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</si>
  <si>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Vaisanen Finland</t>
  </si>
  <si>
    <t>Sauli</t>
  </si>
  <si>
    <t>S. Väisänen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</si>
  <si>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</si>
  <si>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</si>
  <si>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</si>
  <si>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</si>
  <si>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</si>
  <si>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</si>
  <si>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</si>
  <si>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</si>
  <si>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</si>
  <si>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</si>
  <si>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Leo L. Vaisanen Finland</t>
  </si>
  <si>
    <t>Leo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</si>
  <si>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</si>
  <si>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</si>
  <si>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</si>
  <si>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</si>
  <si>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</si>
  <si>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</si>
  <si>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</si>
  <si>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</si>
  <si>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</si>
  <si>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</si>
  <si>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</si>
  <si>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</si>
  <si>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</si>
  <si>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</si>
  <si>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</si>
  <si>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</si>
  <si>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</si>
  <si>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</si>
  <si>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</si>
  <si>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</si>
  <si>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</si>
  <si>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</si>
  <si>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</si>
  <si>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</si>
  <si>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</si>
  <si>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</si>
  <si>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</si>
  <si>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</si>
  <si>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</si>
  <si>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</si>
  <si>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</si>
  <si>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</si>
  <si>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</si>
  <si>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</si>
  <si>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</si>
  <si>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</si>
  <si>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</si>
  <si>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</si>
  <si>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</si>
  <si>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</si>
  <si>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</si>
  <si>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</si>
  <si>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</si>
  <si>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</si>
  <si>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</si>
  <si>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</si>
  <si>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</si>
  <si>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</si>
  <si>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</si>
  <si>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</si>
  <si>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</si>
  <si>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</si>
  <si>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</si>
  <si>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</si>
  <si>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</si>
  <si>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</si>
  <si>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</si>
  <si>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</si>
  <si>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</si>
  <si>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</si>
  <si>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</si>
  <si>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</si>
  <si>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</si>
  <si>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</si>
  <si>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</si>
  <si>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</si>
  <si>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</si>
  <si>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</si>
  <si>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</si>
  <si>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</si>
  <si>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</si>
  <si>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</si>
  <si>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</si>
  <si>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</si>
  <si>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</si>
  <si>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</si>
  <si>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</si>
  <si>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</si>
  <si>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</si>
  <si>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</si>
  <si>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</si>
  <si>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</si>
  <si>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</si>
  <si>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</si>
  <si>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</si>
  <si>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</si>
  <si>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</si>
  <si>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</si>
  <si>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</si>
  <si>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</si>
  <si>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</si>
  <si>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</si>
  <si>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</si>
  <si>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</si>
  <si>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</si>
  <si>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</si>
  <si>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</si>
  <si>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</si>
  <si>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</si>
  <si>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</si>
  <si>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</si>
  <si>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</si>
  <si>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</si>
  <si>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</si>
  <si>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</si>
  <si>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</si>
  <si>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</si>
  <si>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</si>
  <si>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</si>
  <si>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</si>
  <si>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</si>
  <si>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</si>
  <si>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</si>
  <si>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</si>
  <si>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</si>
  <si>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</si>
  <si>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</si>
  <si>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</si>
  <si>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</si>
  <si>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</si>
  <si>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</si>
  <si>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</si>
  <si>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</si>
  <si>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</si>
  <si>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</si>
  <si>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</si>
  <si>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</si>
  <si>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</si>
  <si>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</si>
  <si>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</si>
  <si>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</si>
  <si>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</si>
  <si>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</si>
  <si>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</si>
  <si>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</si>
  <si>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</si>
  <si>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</si>
  <si>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</si>
  <si>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</si>
  <si>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</si>
  <si>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</si>
  <si>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</si>
  <si>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</si>
  <si>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</si>
  <si>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</si>
  <si>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</si>
  <si>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</si>
  <si>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</si>
  <si>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</si>
  <si>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</si>
  <si>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</si>
  <si>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</si>
  <si>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</si>
  <si>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</si>
  <si>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</si>
  <si>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</si>
  <si>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</si>
  <si>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</si>
  <si>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</si>
  <si>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</si>
  <si>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</si>
  <si>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</si>
  <si>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</si>
  <si>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</si>
  <si>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</si>
  <si>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</si>
  <si>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</si>
  <si>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</si>
  <si>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</si>
  <si>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</si>
  <si>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</si>
  <si>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</si>
  <si>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</si>
  <si>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</si>
  <si>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</si>
  <si>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</si>
  <si>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</si>
  <si>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</si>
  <si>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</si>
  <si>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</si>
  <si>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</si>
  <si>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</si>
  <si>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</si>
  <si>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</si>
  <si>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</si>
  <si>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</si>
  <si>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</si>
  <si>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</si>
  <si>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</si>
  <si>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</si>
  <si>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</si>
  <si>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</si>
  <si>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</si>
  <si>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</si>
  <si>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</si>
  <si>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</si>
  <si>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</si>
  <si>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</si>
  <si>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</si>
  <si>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</si>
  <si>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</si>
  <si>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</si>
  <si>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</si>
  <si>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</si>
  <si>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</si>
  <si>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</si>
  <si>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</si>
  <si>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</si>
  <si>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</si>
  <si>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</si>
  <si>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</si>
  <si>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</si>
  <si>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</si>
  <si>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</si>
  <si>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</si>
  <si>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</si>
  <si>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</si>
  <si>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</si>
  <si>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</si>
  <si>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</si>
  <si>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</si>
  <si>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</si>
  <si>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</si>
  <si>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</si>
  <si>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</si>
  <si>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</si>
  <si>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</si>
  <si>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</si>
  <si>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</si>
  <si>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</si>
  <si>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</si>
  <si>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</si>
  <si>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</si>
  <si>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</si>
  <si>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</si>
  <si>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</si>
  <si>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</si>
  <si>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</si>
  <si>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</si>
  <si>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</si>
  <si>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</si>
  <si>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</si>
  <si>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</si>
  <si>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</si>
  <si>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</si>
  <si>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</si>
  <si>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</si>
  <si>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</si>
  <si>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</si>
  <si>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</si>
  <si>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</si>
  <si>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</si>
  <si>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</si>
  <si>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</si>
  <si>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</si>
  <si>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</si>
  <si>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</si>
  <si>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</si>
  <si>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</si>
  <si>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</si>
  <si>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</si>
  <si>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</si>
  <si>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</si>
  <si>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</si>
  <si>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</si>
  <si>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</si>
  <si>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</si>
  <si>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</si>
  <si>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</si>
  <si>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</si>
  <si>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</si>
  <si>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</si>
  <si>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</si>
  <si>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</si>
  <si>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</si>
  <si>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</si>
  <si>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</si>
  <si>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</si>
  <si>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</si>
  <si>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</si>
  <si>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</si>
  <si>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</si>
  <si>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</si>
  <si>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</si>
  <si>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</si>
  <si>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</si>
  <si>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</si>
  <si>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</si>
  <si>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</si>
  <si>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</si>
  <si>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</si>
  <si>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</si>
  <si>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</si>
  <si>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</si>
  <si>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</si>
  <si>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</si>
  <si>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</si>
  <si>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</si>
  <si>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</si>
  <si>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</si>
  <si>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</si>
  <si>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</si>
  <si>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</si>
  <si>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</si>
  <si>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</si>
  <si>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</si>
  <si>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</si>
  <si>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</si>
  <si>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</si>
  <si>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</si>
  <si>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</si>
  <si>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</si>
  <si>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</si>
  <si>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</si>
  <si>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</si>
  <si>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</si>
  <si>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</si>
  <si>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</si>
  <si>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</si>
  <si>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</si>
  <si>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</si>
  <si>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</si>
  <si>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</si>
  <si>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</si>
  <si>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</si>
  <si>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</si>
  <si>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</si>
  <si>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</si>
  <si>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</si>
  <si>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</si>
  <si>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</si>
  <si>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</si>
  <si>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</si>
  <si>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</si>
  <si>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</si>
  <si>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</si>
  <si>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</si>
  <si>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</si>
  <si>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</si>
  <si>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</si>
  <si>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</si>
  <si>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</si>
  <si>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</si>
  <si>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</si>
  <si>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</si>
  <si>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</si>
  <si>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</si>
  <si>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</si>
  <si>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</si>
  <si>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</si>
  <si>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</si>
  <si>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</si>
  <si>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</si>
  <si>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</si>
  <si>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</si>
  <si>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</si>
  <si>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</si>
  <si>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</si>
  <si>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</si>
  <si>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</si>
  <si>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</si>
  <si>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</si>
  <si>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</si>
  <si>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</si>
  <si>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</si>
  <si>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</si>
  <si>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</si>
  <si>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</si>
  <si>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</si>
  <si>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</si>
  <si>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</si>
  <si>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</si>
  <si>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</si>
  <si>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</si>
  <si>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</si>
  <si>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</si>
  <si>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</si>
  <si>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</si>
  <si>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</si>
  <si>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</si>
  <si>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</si>
  <si>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</si>
  <si>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</si>
  <si>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</si>
  <si>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</si>
  <si>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</si>
  <si>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</si>
  <si>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</si>
  <si>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</si>
  <si>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</si>
  <si>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</si>
  <si>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</si>
  <si>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</si>
  <si>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</si>
  <si>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</si>
  <si>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</si>
  <si>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</si>
  <si>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</si>
  <si>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</si>
  <si>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</si>
  <si>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</si>
  <si>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</si>
  <si>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</si>
  <si>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</si>
  <si>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</si>
  <si>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</si>
  <si>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</si>
  <si>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</si>
  <si>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</si>
  <si>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</si>
  <si>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</si>
  <si>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</si>
  <si>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</si>
  <si>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</si>
  <si>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</si>
  <si>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</si>
  <si>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</si>
  <si>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</si>
  <si>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</si>
  <si>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</si>
  <si>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</si>
  <si>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</si>
  <si>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</si>
  <si>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</si>
  <si>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</si>
  <si>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</si>
  <si>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</si>
  <si>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</si>
  <si>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</si>
  <si>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</si>
  <si>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</si>
  <si>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</si>
  <si>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</si>
  <si>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</si>
  <si>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</si>
  <si>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</si>
  <si>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</si>
  <si>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</si>
  <si>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</si>
  <si>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</si>
  <si>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</si>
  <si>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</si>
  <si>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</si>
  <si>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</si>
  <si>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</si>
  <si>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</si>
  <si>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</si>
  <si>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</si>
  <si>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</si>
  <si>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</si>
  <si>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</si>
  <si>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</si>
  <si>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</si>
  <si>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</si>
  <si>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</si>
  <si>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</si>
  <si>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</si>
  <si>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</si>
  <si>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</si>
  <si>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</si>
  <si>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</si>
  <si>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</si>
  <si>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</si>
  <si>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</si>
  <si>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</si>
  <si>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</si>
  <si>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</si>
  <si>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</si>
  <si>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</si>
  <si>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</si>
  <si>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</si>
  <si>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</si>
  <si>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</si>
  <si>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</si>
  <si>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</si>
  <si>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</si>
  <si>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</si>
  <si>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</si>
  <si>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</si>
  <si>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</si>
  <si>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</si>
  <si>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</si>
  <si>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</si>
  <si>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</si>
  <si>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</si>
  <si>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</si>
  <si>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</si>
  <si>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</si>
  <si>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</si>
  <si>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</si>
  <si>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</si>
  <si>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</si>
  <si>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</si>
  <si>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</si>
  <si>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</si>
  <si>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</si>
  <si>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</si>
  <si>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</si>
  <si>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</si>
  <si>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</si>
  <si>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</si>
  <si>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</si>
  <si>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</si>
  <si>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</si>
  <si>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</si>
  <si>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</si>
  <si>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</si>
  <si>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</si>
  <si>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</si>
  <si>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</si>
  <si>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</si>
  <si>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</si>
  <si>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</si>
  <si>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</si>
  <si>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</si>
  <si>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</si>
  <si>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</si>
  <si>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</si>
  <si>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</si>
  <si>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</si>
  <si>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</si>
  <si>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</si>
  <si>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</si>
  <si>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</si>
  <si>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</si>
  <si>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</si>
  <si>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</si>
  <si>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</si>
  <si>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</si>
  <si>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</si>
  <si>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</si>
  <si>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</si>
  <si>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</si>
  <si>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</si>
  <si>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</si>
  <si>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</si>
  <si>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</si>
  <si>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</si>
  <si>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</si>
  <si>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</si>
  <si>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</si>
  <si>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</si>
  <si>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</si>
  <si>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</si>
  <si>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</si>
  <si>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</si>
  <si>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</si>
  <si>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</si>
  <si>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</si>
  <si>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</si>
  <si>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</si>
  <si>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</si>
  <si>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</si>
  <si>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</si>
  <si>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</si>
  <si>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</si>
  <si>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</si>
  <si>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</si>
  <si>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</si>
  <si>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</si>
  <si>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</si>
  <si>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</si>
  <si>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</si>
  <si>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</si>
  <si>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</si>
  <si>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</si>
  <si>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</si>
  <si>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</si>
  <si>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</si>
  <si>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</si>
  <si>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</si>
  <si>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</si>
  <si>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</si>
  <si>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</si>
  <si>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</si>
  <si>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</si>
  <si>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</si>
  <si>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</si>
  <si>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</si>
  <si>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</si>
  <si>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</si>
  <si>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</si>
  <si>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</si>
  <si>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</si>
  <si>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</si>
  <si>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</si>
  <si>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</si>
  <si>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</si>
  <si>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</si>
  <si>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</si>
  <si>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</si>
  <si>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</si>
  <si>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</si>
  <si>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</si>
  <si>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</si>
  <si>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</si>
  <si>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</si>
  <si>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</si>
  <si>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</si>
  <si>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</si>
  <si>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</si>
  <si>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</si>
  <si>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</si>
  <si>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</si>
  <si>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</si>
  <si>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</si>
  <si>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</si>
  <si>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</si>
  <si>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</si>
  <si>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</si>
  <si>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</si>
  <si>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</si>
  <si>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</si>
  <si>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</si>
  <si>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</si>
  <si>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</si>
  <si>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</si>
  <si>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</si>
  <si>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</si>
  <si>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</si>
  <si>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</si>
  <si>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</si>
  <si>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</si>
  <si>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</si>
  <si>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</si>
  <si>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</si>
  <si>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</si>
  <si>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</si>
  <si>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</si>
  <si>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</si>
  <si>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</si>
  <si>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</si>
  <si>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</si>
  <si>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</si>
  <si>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</si>
  <si>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</si>
  <si>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</si>
  <si>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</si>
  <si>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</si>
  <si>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</si>
  <si>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</si>
  <si>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</si>
  <si>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</si>
  <si>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</si>
  <si>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</si>
  <si>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</si>
  <si>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</si>
  <si>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</si>
  <si>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</si>
  <si>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</si>
  <si>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</si>
  <si>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</si>
  <si>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</si>
  <si>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</si>
  <si>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</si>
  <si>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</si>
  <si>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</si>
  <si>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</si>
  <si>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</si>
  <si>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</si>
  <si>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</si>
  <si>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</si>
  <si>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</si>
  <si>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</si>
  <si>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</si>
  <si>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</si>
  <si>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</si>
  <si>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</si>
  <si>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</si>
  <si>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</si>
  <si>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</si>
  <si>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</si>
  <si>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</si>
  <si>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</si>
  <si>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</si>
  <si>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</si>
  <si>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</si>
  <si>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</si>
  <si>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</si>
  <si>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</si>
  <si>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</si>
  <si>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</si>
  <si>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</si>
  <si>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</si>
  <si>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</si>
  <si>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</si>
  <si>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</si>
  <si>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</si>
  <si>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</si>
  <si>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</si>
  <si>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</si>
  <si>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</si>
  <si>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</si>
  <si>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</si>
  <si>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</si>
  <si>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</si>
  <si>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</si>
  <si>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</si>
  <si>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</si>
  <si>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</si>
  <si>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</si>
  <si>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</si>
  <si>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</si>
  <si>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</si>
  <si>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</si>
  <si>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</si>
  <si>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</si>
  <si>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</si>
  <si>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</si>
  <si>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</si>
  <si>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</si>
  <si>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</si>
  <si>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</si>
  <si>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</si>
  <si>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</si>
  <si>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</si>
  <si>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</si>
  <si>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</si>
  <si>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</si>
  <si>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</si>
  <si>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</si>
  <si>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</si>
  <si>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</si>
  <si>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</si>
  <si>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</si>
  <si>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</si>
  <si>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</si>
  <si>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</si>
  <si>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</si>
  <si>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</si>
  <si>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</si>
  <si>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</si>
  <si>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</si>
  <si>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</si>
  <si>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</si>
  <si>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</si>
  <si>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</si>
  <si>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</si>
  <si>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</si>
  <si>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</si>
  <si>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</si>
  <si>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</si>
  <si>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</si>
  <si>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</si>
  <si>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</si>
  <si>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</si>
  <si>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</si>
  <si>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</si>
  <si>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</si>
  <si>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</si>
  <si>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</si>
  <si>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</si>
  <si>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</si>
  <si>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</si>
  <si>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</si>
  <si>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</si>
  <si>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</si>
  <si>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</si>
  <si>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</si>
  <si>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</si>
  <si>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</si>
  <si>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</si>
  <si>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</si>
  <si>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</si>
  <si>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</si>
  <si>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</si>
  <si>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</si>
  <si>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</si>
  <si>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</si>
  <si>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</si>
  <si>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</si>
  <si>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</si>
  <si>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</si>
  <si>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</si>
  <si>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</si>
  <si>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</si>
  <si>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</si>
  <si>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</si>
  <si>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</si>
  <si>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</si>
  <si>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</si>
  <si>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</si>
  <si>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</si>
  <si>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</si>
  <si>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</si>
  <si>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</si>
  <si>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</si>
  <si>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</si>
  <si>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</si>
  <si>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</si>
  <si>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</si>
  <si>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</si>
  <si>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</si>
  <si>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</si>
  <si>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</si>
  <si>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</si>
  <si>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</si>
  <si>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</si>
  <si>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</si>
  <si>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</si>
  <si>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</si>
  <si>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</si>
  <si>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</si>
  <si>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</si>
  <si>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</si>
  <si>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</si>
  <si>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</si>
  <si>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</si>
  <si>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</si>
  <si>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</si>
  <si>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</si>
  <si>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</si>
  <si>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</si>
  <si>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</si>
  <si>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</si>
  <si>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</si>
  <si>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</si>
  <si>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</si>
  <si>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</si>
  <si>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</si>
  <si>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</si>
  <si>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</si>
  <si>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</si>
  <si>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</si>
  <si>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</si>
  <si>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</si>
  <si>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</si>
  <si>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</si>
  <si>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</si>
  <si>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</si>
  <si>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</si>
  <si>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</si>
  <si>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</si>
  <si>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</si>
  <si>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</si>
  <si>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</si>
  <si>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</si>
  <si>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</si>
  <si>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</si>
  <si>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</si>
  <si>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</si>
  <si>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</si>
  <si>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</si>
  <si>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</si>
  <si>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</si>
  <si>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</si>
  <si>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</si>
  <si>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</si>
  <si>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</si>
  <si>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</si>
  <si>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</si>
  <si>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</si>
  <si>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</si>
  <si>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</si>
  <si>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</si>
  <si>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</si>
  <si>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</si>
  <si>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</si>
  <si>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</si>
  <si>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</si>
  <si>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</si>
  <si>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</si>
  <si>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</si>
  <si>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</si>
  <si>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</si>
  <si>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</si>
  <si>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</si>
  <si>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</si>
  <si>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</si>
  <si>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</si>
  <si>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</si>
  <si>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</si>
  <si>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</si>
  <si>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</si>
  <si>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</si>
  <si>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</si>
  <si>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</si>
  <si>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</si>
  <si>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</si>
  <si>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</si>
  <si>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</si>
  <si>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</si>
  <si>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</si>
  <si>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</si>
  <si>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</si>
  <si>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</si>
  <si>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</si>
  <si>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</si>
  <si>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</si>
  <si>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</si>
  <si>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</si>
  <si>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</si>
  <si>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</si>
  <si>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</si>
  <si>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</si>
  <si>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</si>
  <si>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</si>
  <si>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</si>
  <si>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</si>
  <si>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</si>
  <si>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</si>
  <si>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</si>
  <si>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</si>
  <si>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</si>
  <si>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</si>
  <si>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</si>
  <si>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</si>
  <si>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</si>
  <si>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</si>
  <si>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</si>
  <si>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</si>
  <si>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</si>
  <si>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</si>
  <si>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</si>
  <si>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</si>
  <si>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</si>
  <si>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</si>
  <si>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</si>
  <si>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</si>
  <si>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</si>
  <si>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</si>
  <si>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</si>
  <si>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</si>
  <si>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</si>
  <si>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</si>
  <si>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</si>
  <si>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</si>
  <si>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</si>
  <si>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</si>
  <si>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</si>
  <si>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</si>
  <si>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</si>
  <si>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</si>
  <si>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</si>
  <si>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</si>
  <si>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</si>
  <si>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</si>
  <si>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</si>
  <si>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</si>
  <si>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</si>
  <si>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</si>
  <si>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</si>
  <si>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</si>
  <si>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</si>
  <si>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</si>
  <si>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</si>
  <si>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</si>
  <si>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</si>
  <si>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</si>
  <si>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</si>
  <si>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</si>
  <si>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</si>
  <si>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</si>
  <si>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</si>
  <si>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</si>
  <si>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</si>
  <si>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</si>
  <si>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</si>
  <si>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</si>
  <si>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</si>
  <si>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</si>
  <si>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</si>
  <si>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</si>
  <si>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</si>
  <si>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</si>
  <si>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</si>
  <si>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</si>
  <si>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</si>
  <si>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</si>
  <si>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</si>
  <si>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</si>
  <si>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</si>
  <si>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</si>
  <si>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</si>
  <si>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</si>
  <si>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</si>
  <si>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</si>
  <si>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</si>
  <si>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</si>
  <si>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</si>
  <si>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</si>
  <si>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</si>
  <si>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</si>
  <si>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</si>
  <si>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</si>
  <si>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</si>
  <si>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</si>
  <si>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</si>
  <si>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</si>
  <si>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</si>
  <si>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</si>
  <si>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</si>
  <si>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</si>
  <si>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</si>
  <si>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</si>
  <si>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</si>
  <si>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</si>
  <si>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</si>
  <si>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</si>
  <si>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</si>
  <si>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</si>
  <si>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</si>
  <si>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</si>
  <si>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</si>
  <si>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</si>
  <si>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</si>
  <si>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</si>
  <si>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</si>
  <si>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</si>
  <si>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</si>
  <si>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</si>
  <si>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</si>
  <si>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</si>
  <si>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</si>
  <si>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</si>
  <si>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</si>
  <si>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</si>
  <si>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</si>
  <si>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</si>
  <si>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</si>
  <si>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</si>
  <si>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</si>
  <si>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</si>
  <si>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</si>
  <si>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</si>
  <si>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</si>
  <si>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</si>
  <si>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</si>
  <si>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</si>
  <si>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</si>
  <si>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</si>
  <si>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</si>
  <si>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</si>
  <si>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</si>
  <si>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</si>
  <si>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</si>
  <si>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</si>
  <si>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</si>
  <si>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</si>
  <si>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</si>
  <si>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</si>
  <si>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</si>
  <si>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</si>
  <si>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</si>
  <si>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</si>
  <si>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</si>
  <si>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</si>
  <si>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</si>
  <si>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</si>
  <si>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</si>
  <si>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</si>
  <si>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</si>
  <si>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</si>
  <si>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</si>
  <si>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</si>
  <si>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</si>
  <si>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</si>
  <si>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</si>
  <si>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</si>
  <si>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</si>
  <si>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</si>
  <si>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</si>
  <si>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</si>
  <si>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</si>
  <si>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</si>
  <si>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</si>
  <si>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</si>
  <si>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</si>
  <si>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</si>
  <si>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</si>
  <si>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</si>
  <si>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</si>
  <si>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</si>
  <si>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</si>
  <si>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</si>
  <si>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</si>
  <si>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</si>
  <si>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</si>
  <si>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</si>
  <si>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</si>
  <si>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</si>
  <si>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</si>
  <si>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</si>
  <si>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</si>
  <si>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</si>
  <si>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</si>
  <si>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</si>
  <si>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</si>
  <si>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</si>
  <si>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</si>
  <si>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</si>
  <si>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</si>
  <si>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</si>
  <si>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</si>
  <si>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</si>
  <si>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</si>
  <si>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</si>
  <si>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</si>
  <si>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</si>
  <si>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</si>
  <si>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</si>
  <si>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</si>
  <si>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</si>
  <si>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</si>
  <si>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</si>
  <si>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</si>
  <si>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</si>
  <si>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</si>
  <si>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</si>
  <si>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</si>
  <si>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</si>
  <si>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</si>
  <si>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</si>
  <si>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</si>
  <si>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</si>
  <si>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</si>
  <si>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</si>
  <si>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</si>
  <si>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</si>
  <si>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</si>
  <si>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</si>
  <si>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</si>
  <si>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</si>
  <si>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</si>
  <si>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</si>
  <si>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</si>
  <si>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</si>
  <si>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</si>
  <si>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</si>
  <si>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</si>
  <si>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</si>
  <si>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</si>
  <si>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</si>
  <si>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</si>
  <si>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</si>
  <si>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</si>
  <si>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</si>
  <si>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</si>
  <si>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</si>
  <si>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</si>
  <si>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</si>
  <si>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</si>
  <si>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</si>
  <si>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</si>
  <si>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</si>
  <si>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</si>
  <si>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</si>
  <si>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</si>
  <si>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</si>
  <si>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</si>
  <si>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</si>
  <si>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</si>
  <si>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</si>
  <si>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</si>
  <si>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</si>
  <si>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</si>
  <si>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</si>
  <si>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</si>
  <si>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</si>
  <si>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</si>
  <si>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</si>
  <si>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</si>
  <si>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</si>
  <si>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</si>
  <si>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</si>
  <si>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</si>
  <si>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</si>
  <si>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</si>
  <si>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</si>
  <si>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</si>
  <si>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</si>
  <si>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</si>
  <si>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</si>
  <si>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</si>
  <si>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</si>
  <si>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</si>
  <si>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</si>
  <si>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</si>
  <si>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</si>
  <si>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</si>
  <si>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</si>
  <si>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</si>
  <si>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</si>
  <si>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</si>
  <si>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</si>
  <si>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</si>
  <si>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</si>
  <si>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</si>
  <si>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</si>
  <si>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</si>
  <si>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</si>
  <si>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</si>
  <si>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</si>
  <si>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</si>
  <si>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</si>
  <si>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</si>
  <si>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</si>
  <si>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</si>
  <si>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</si>
  <si>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</si>
  <si>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</si>
  <si>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</si>
  <si>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</si>
  <si>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</si>
  <si>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</si>
  <si>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</si>
  <si>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</si>
  <si>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</si>
  <si>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</si>
  <si>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</si>
  <si>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</si>
  <si>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</si>
  <si>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</si>
  <si>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</si>
  <si>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</si>
  <si>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</si>
  <si>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</si>
  <si>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</si>
  <si>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</si>
  <si>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</si>
  <si>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</si>
  <si>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</si>
  <si>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</si>
  <si>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</si>
  <si>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</si>
  <si>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</si>
  <si>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</si>
  <si>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</si>
  <si>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</si>
  <si>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</si>
  <si>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</si>
  <si>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</si>
  <si>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</si>
  <si>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</si>
  <si>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</si>
  <si>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</si>
  <si>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</si>
  <si>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</si>
  <si>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</si>
  <si>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</si>
  <si>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</si>
  <si>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</si>
  <si>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</si>
  <si>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</si>
  <si>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</si>
  <si>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</si>
  <si>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</si>
  <si>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</si>
  <si>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</si>
  <si>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</si>
  <si>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</si>
  <si>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</si>
  <si>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</si>
  <si>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</si>
  <si>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</si>
  <si>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</si>
  <si>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</si>
  <si>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</si>
  <si>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</si>
  <si>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</si>
  <si>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</si>
  <si>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</si>
  <si>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</si>
  <si>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</si>
  <si>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</si>
  <si>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</si>
  <si>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</si>
  <si>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</si>
  <si>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</si>
  <si>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</si>
  <si>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</si>
  <si>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</si>
  <si>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</si>
  <si>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</si>
  <si>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</si>
  <si>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</si>
  <si>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</si>
  <si>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</si>
  <si>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</si>
  <si>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</si>
  <si>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</si>
  <si>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</si>
  <si>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</si>
  <si>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</si>
  <si>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</si>
  <si>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</si>
  <si>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</si>
  <si>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</si>
  <si>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</si>
  <si>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</si>
  <si>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</si>
  <si>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</si>
  <si>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</si>
  <si>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</si>
  <si>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</si>
  <si>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</si>
  <si>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</si>
  <si>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</si>
  <si>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</si>
  <si>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</si>
  <si>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</si>
  <si>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</si>
  <si>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</si>
  <si>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</si>
  <si>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</si>
  <si>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</si>
  <si>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</si>
  <si>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</si>
  <si>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</si>
  <si>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</si>
  <si>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</si>
  <si>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</si>
  <si>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</si>
  <si>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</si>
  <si>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</si>
  <si>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</si>
  <si>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</si>
  <si>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</si>
  <si>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</si>
  <si>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</si>
  <si>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</si>
  <si>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</si>
  <si>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</si>
  <si>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</si>
  <si>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</si>
  <si>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</si>
  <si>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</si>
  <si>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</si>
  <si>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</si>
  <si>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</si>
  <si>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</si>
  <si>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</si>
  <si>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</si>
  <si>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</si>
  <si>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</si>
  <si>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</si>
  <si>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</si>
  <si>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</si>
  <si>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</si>
  <si>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</si>
  <si>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</si>
  <si>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</si>
  <si>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</si>
  <si>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</si>
  <si>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</si>
  <si>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</si>
  <si>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</si>
  <si>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</si>
  <si>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</si>
  <si>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</si>
  <si>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</si>
  <si>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</si>
  <si>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</si>
  <si>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</si>
  <si>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</si>
  <si>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</si>
  <si>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</si>
  <si>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</si>
  <si>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</si>
  <si>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</si>
  <si>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</si>
  <si>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</si>
  <si>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</si>
  <si>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</si>
  <si>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</si>
  <si>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</si>
  <si>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</si>
  <si>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</si>
  <si>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</si>
  <si>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</si>
  <si>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</si>
  <si>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</si>
  <si>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</si>
  <si>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</si>
  <si>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</si>
  <si>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</si>
  <si>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</si>
  <si>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</si>
  <si>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</si>
  <si>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</si>
  <si>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</si>
  <si>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</si>
  <si>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</si>
  <si>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</si>
  <si>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</si>
  <si>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</si>
  <si>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</si>
  <si>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</si>
  <si>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</si>
  <si>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</si>
  <si>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</si>
  <si>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</si>
  <si>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</si>
  <si>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</si>
  <si>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</si>
  <si>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</si>
  <si>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</si>
  <si>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</si>
  <si>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</si>
  <si>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</si>
  <si>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</si>
  <si>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</si>
  <si>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</si>
  <si>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</si>
  <si>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</si>
  <si>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</si>
  <si>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</si>
  <si>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</si>
  <si>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</si>
  <si>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</si>
  <si>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</si>
  <si>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</si>
  <si>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</si>
  <si>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</si>
  <si>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</si>
  <si>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</si>
  <si>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</si>
  <si>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</si>
  <si>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</si>
  <si>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</si>
  <si>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</si>
  <si>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</si>
  <si>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</si>
  <si>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</si>
  <si>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</si>
  <si>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</si>
  <si>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</si>
  <si>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</si>
  <si>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</si>
  <si>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</si>
  <si>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</si>
  <si>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</si>
  <si>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</si>
  <si>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</si>
  <si>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</si>
  <si>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</si>
  <si>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</si>
  <si>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</si>
  <si>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</si>
  <si>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</si>
  <si>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</si>
  <si>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</si>
  <si>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</si>
  <si>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</si>
  <si>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</si>
  <si>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</si>
  <si>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</si>
  <si>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</si>
  <si>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</si>
  <si>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</si>
  <si>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</si>
  <si>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</si>
  <si>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</si>
  <si>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</si>
  <si>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</si>
  <si>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</si>
  <si>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</si>
  <si>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</si>
  <si>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</si>
  <si>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</si>
  <si>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</si>
  <si>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</si>
  <si>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</si>
  <si>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</si>
  <si>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</si>
  <si>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</si>
  <si>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</si>
  <si>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</si>
  <si>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</si>
  <si>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</si>
  <si>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</si>
  <si>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</si>
  <si>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</si>
  <si>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</si>
  <si>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</si>
  <si>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</si>
  <si>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</si>
  <si>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</si>
  <si>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</si>
  <si>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</si>
  <si>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</si>
  <si>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</si>
  <si>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</si>
  <si>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</si>
  <si>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</si>
  <si>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</si>
  <si>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</si>
  <si>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</si>
  <si>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</si>
  <si>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</si>
  <si>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</si>
  <si>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</si>
  <si>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</si>
  <si>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</si>
  <si>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</si>
  <si>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</si>
  <si>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</si>
  <si>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</si>
  <si>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</si>
  <si>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</si>
  <si>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</si>
  <si>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</si>
  <si>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</si>
  <si>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</si>
  <si>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</si>
  <si>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</si>
  <si>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</si>
  <si>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</si>
  <si>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</si>
  <si>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</si>
  <si>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</si>
  <si>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</si>
  <si>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</si>
  <si>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</si>
  <si>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</si>
  <si>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</si>
  <si>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</si>
  <si>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</si>
  <si>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</si>
  <si>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</si>
  <si>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</si>
  <si>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</si>
  <si>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</si>
  <si>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</si>
  <si>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</si>
  <si>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</si>
  <si>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</si>
  <si>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</si>
  <si>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</si>
  <si>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</si>
  <si>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</si>
  <si>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</si>
  <si>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</si>
  <si>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</si>
  <si>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</si>
  <si>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</si>
  <si>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</si>
  <si>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</si>
  <si>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</si>
  <si>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</si>
  <si>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</si>
  <si>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</si>
  <si>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</si>
  <si>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</si>
  <si>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</si>
  <si>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</si>
  <si>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</si>
  <si>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</si>
  <si>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</si>
  <si>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</si>
  <si>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</si>
  <si>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</si>
  <si>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</si>
  <si>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</si>
  <si>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</si>
  <si>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</si>
  <si>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</si>
  <si>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</si>
  <si>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</si>
  <si>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</si>
  <si>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</si>
  <si>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</si>
  <si>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</si>
  <si>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</si>
  <si>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</si>
  <si>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</si>
  <si>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</si>
  <si>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</si>
  <si>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</si>
  <si>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</si>
  <si>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</si>
  <si>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</si>
  <si>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</si>
  <si>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</si>
  <si>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</si>
  <si>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</si>
  <si>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</si>
  <si>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</si>
  <si>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</si>
  <si>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</si>
  <si>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</si>
  <si>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</si>
  <si>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</si>
  <si>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</si>
  <si>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</si>
  <si>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</si>
  <si>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</si>
  <si>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</si>
  <si>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</si>
  <si>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</si>
  <si>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</si>
  <si>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</si>
  <si>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</si>
  <si>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</si>
  <si>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</si>
  <si>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</si>
  <si>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</si>
  <si>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</si>
  <si>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</si>
  <si>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</si>
  <si>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</si>
  <si>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</si>
  <si>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</si>
  <si>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</si>
  <si>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</si>
  <si>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</si>
  <si>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</si>
  <si>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</si>
  <si>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</si>
  <si>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</si>
  <si>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</si>
  <si>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</si>
  <si>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</si>
  <si>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</si>
  <si>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</si>
  <si>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</si>
  <si>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</si>
  <si>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</si>
  <si>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</si>
  <si>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</si>
  <si>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</si>
  <si>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</si>
  <si>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</si>
  <si>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</si>
  <si>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</si>
  <si>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</si>
  <si>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</si>
  <si>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</si>
  <si>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</si>
  <si>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</si>
  <si>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</si>
  <si>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</si>
  <si>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</si>
  <si>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</si>
  <si>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</si>
  <si>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</si>
  <si>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</si>
  <si>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</si>
  <si>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</si>
  <si>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</si>
  <si>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</si>
  <si>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</si>
  <si>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</si>
  <si>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</si>
  <si>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</si>
  <si>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</si>
  <si>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</si>
  <si>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</si>
  <si>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</si>
  <si>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</si>
  <si>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</si>
  <si>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</si>
  <si>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</si>
  <si>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</si>
  <si>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</si>
  <si>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</si>
  <si>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</si>
  <si>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</si>
  <si>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</si>
  <si>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</si>
  <si>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</si>
  <si>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</si>
  <si>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</si>
  <si>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</si>
  <si>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</si>
  <si>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</si>
  <si>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</si>
  <si>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</si>
  <si>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</si>
  <si>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</si>
  <si>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</si>
  <si>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</si>
  <si>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</si>
  <si>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</si>
  <si>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</si>
  <si>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</si>
  <si>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</si>
  <si>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</si>
  <si>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</si>
  <si>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</si>
  <si>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</si>
  <si>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</si>
  <si>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</si>
  <si>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</si>
  <si>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</si>
  <si>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</si>
  <si>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</si>
  <si>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</si>
  <si>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</si>
  <si>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</si>
  <si>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</si>
  <si>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</si>
  <si>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</si>
  <si>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</si>
  <si>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</si>
  <si>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</si>
  <si>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</si>
  <si>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</si>
  <si>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</si>
  <si>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</si>
  <si>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</si>
  <si>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</si>
  <si>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</si>
  <si>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</si>
  <si>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</si>
  <si>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</si>
  <si>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</si>
  <si>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</si>
  <si>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</si>
  <si>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</si>
  <si>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</si>
  <si>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</si>
  <si>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</si>
  <si>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</si>
  <si>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</si>
  <si>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</si>
  <si>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</si>
  <si>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</si>
  <si>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</si>
  <si>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</si>
  <si>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</si>
  <si>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</si>
  <si>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</si>
  <si>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</si>
  <si>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</si>
  <si>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</si>
  <si>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</si>
  <si>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</si>
  <si>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</si>
  <si>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</si>
  <si>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</si>
  <si>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</si>
  <si>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</si>
  <si>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</si>
  <si>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</si>
  <si>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</si>
  <si>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</si>
  <si>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</si>
  <si>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</si>
  <si>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</si>
  <si>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</si>
  <si>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</si>
  <si>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</si>
  <si>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</si>
  <si>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</si>
  <si>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</si>
  <si>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</si>
  <si>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</si>
  <si>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</si>
  <si>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</si>
  <si>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</si>
  <si>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</si>
  <si>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</si>
  <si>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</si>
  <si>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</si>
  <si>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</si>
  <si>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</si>
  <si>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</si>
  <si>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</si>
  <si>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</si>
  <si>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</si>
  <si>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</si>
  <si>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</si>
  <si>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</si>
  <si>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</si>
  <si>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</si>
  <si>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</si>
  <si>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</si>
  <si>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</si>
  <si>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</si>
  <si>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</si>
  <si>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</si>
  <si>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</si>
  <si>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</si>
  <si>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</si>
  <si>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</si>
  <si>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</si>
  <si>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</si>
  <si>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</si>
  <si>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</si>
  <si>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</si>
  <si>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</si>
  <si>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</si>
  <si>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</si>
  <si>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</si>
  <si>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</si>
  <si>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</si>
  <si>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</si>
  <si>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</si>
  <si>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</si>
  <si>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</si>
  <si>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</si>
  <si>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</si>
  <si>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</si>
  <si>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</si>
  <si>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</si>
  <si>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</si>
  <si>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</si>
  <si>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</si>
  <si>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</si>
  <si>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</si>
  <si>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</si>
  <si>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</si>
  <si>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</si>
  <si>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</si>
  <si>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</si>
  <si>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</si>
  <si>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>ITALY</t>
  </si>
  <si>
    <t>Florenzi(6) - Bonucci(5.5)-Chiellini(6) - Spinazzola(5.5</t>
  </si>
  <si>
    <t>--------------------------- Jorginho(6) --------------------------</t>
  </si>
  <si>
    <t>------------- Barella(7) --------- Locatelli(5.5) ---------------</t>
  </si>
  <si>
    <t>Chiesa(7)/Beradi(6) - Immobile(10) ---- Insigne(8.5)</t>
  </si>
  <si>
    <t>Verrati is injured for the first matches. Bastoni (4.5) can start ahead of Bonucci</t>
  </si>
  <si>
    <t>TURKEY</t>
  </si>
  <si>
    <t>------------------------ Cakir(4.5) ------------------------</t>
  </si>
  <si>
    <t>Celik(4.5) -- Demiral(5) -- Soyuncu(5) -- Meras(4.5)</t>
  </si>
  <si>
    <t>----------------------- Yokuslui(5.5) ---------------------</t>
  </si>
  <si>
    <t>Yazici(5.5) - Calhanoglu(8.5) - Tufan(6) - Karaman(6.5)</t>
  </si>
  <si>
    <t>-------------------------- Yilmaz(8) ----------------------</t>
  </si>
  <si>
    <t>There is a chance of Kabak playing too and we can have a formation change (3atb). Also, Under didn't get much gametime on Leicester, so it's likely Yazici will start ahead of him</t>
  </si>
  <si>
    <t>WALES</t>
  </si>
  <si>
    <t>----------------------- Ward(4.5) ------------------------</t>
  </si>
  <si>
    <t>----- Mepham(4.5) --- Rodon(4.5) --- B.Davies(5.5) ------</t>
  </si>
  <si>
    <t>Roberts(4.5) - Ampadu(5) - Ramsey(8.5)/Morrell(5) - N.Williams(4.5)</t>
  </si>
  <si>
    <t>------- Bale(9.5) ------- Wilson(7.5) --------- James(6.5)-----------</t>
  </si>
  <si>
    <t>SWITZERLAND</t>
  </si>
  <si>
    <t>----------------------- Sommer(5) ---------------------------</t>
  </si>
  <si>
    <t>---- Akanji(5) ----- Elvedi(4.5) ----- Rodriguez(5.5)/Schar(5) --</t>
  </si>
  <si>
    <t>Mbabu(5) -- Freuler(5.5) - Xhaka(6) -- Zuber(7)/Rodriguez(5.5)</t>
  </si>
  <si>
    <t>----- Shaqiri(7) ----- Seferovic(8.5) ----- Embolo(8) ----------</t>
  </si>
  <si>
    <t>Group B</t>
  </si>
  <si>
    <t>DENMARK</t>
  </si>
  <si>
    <t>------------------- Schmeichel(5) -------------------------</t>
  </si>
  <si>
    <t>Wass(5) -- Kjaer(4.5) -- Christensen(5.5) -- Mæhle(4.5)</t>
  </si>
  <si>
    <t>-------- Delaney(5.5) ---- Hojbjerg(5.5) --------------</t>
  </si>
  <si>
    <t>--- Poulsen(8) ----- Eriksen(9) ----- Braithwaite(7.5) ---</t>
  </si>
  <si>
    <t>--------------- Dolberg(7)/Wind(6) ------------------------</t>
  </si>
  <si>
    <t>BELGIUM</t>
  </si>
  <si>
    <t>---------------------- Courtois(6)--------------------------</t>
  </si>
  <si>
    <t>--- Alderweireld(5.5) - Denayer(4.5) - Vertonghen(5.5) ---</t>
  </si>
  <si>
    <t>Meunier/Castagne(5.5) - Tielemans(6.5) - Dendoncker(5.5) - T.Hazard(8)</t>
  </si>
  <si>
    <t>--- Carrasco(7)/Hazard ------- KDB(10.5)/Hazard(10) ---</t>
  </si>
  <si>
    <t>-------------------- Lukaku(11) -------------------------</t>
  </si>
  <si>
    <t>Lineup depending on KDB and Hazard injuries, Carrasco, Mertens can come in to fill their position. Witsel should return to XI in md3</t>
  </si>
  <si>
    <t>FINLAND</t>
  </si>
  <si>
    <t>--------------------- Hradecky (4) ---------------------</t>
  </si>
  <si>
    <t>------ Arajuuri----------Toivio---------O'Shaughnessy----</t>
  </si>
  <si>
    <t>Alho -------- Sparv/Kauko --- Kamara--------- Uronen</t>
  </si>
  <si>
    <t>----------- Lod --------------------- Schuller ----------</t>
  </si>
  <si>
    <t>------------------------ Pukki -------------------------</t>
  </si>
  <si>
    <t>Some help need for this lineup, as there isn't consensus.</t>
  </si>
  <si>
    <t>RUSSIA</t>
  </si>
  <si>
    <t>----------------------------- Shunin ----------------------------------</t>
  </si>
  <si>
    <t>------- Semedov ----- Dzhikiya ------ Kudryashov--------</t>
  </si>
  <si>
    <t>Fernandes ---- Ozdoev -- Zobnin --- Kuzyaev/Zhirkov</t>
  </si>
  <si>
    <t>----------Miranchuk ----------------- Golovin --------------</t>
  </si>
  <si>
    <t>-----------------------------Dzyuba -----------------------------</t>
  </si>
  <si>
    <t>Group C</t>
  </si>
  <si>
    <t>NETHERLANDS</t>
  </si>
  <si>
    <t>------------------------ Krul/Stekelenburg(4.5) -------------------</t>
  </si>
  <si>
    <t>Dumfires(5.5) - de Ligt(5.5) - de Vrij(5.5) - Blind(5) - Wijndal(4.5)</t>
  </si>
  <si>
    <t>---- Wijnaldum(8) - F.De Jong(8) - de Roon/Klassen(5.5) ----</t>
  </si>
  <si>
    <t>------------- Weghorst(7) -------- Depay(10) ---------------</t>
  </si>
  <si>
    <t>Formation can change to 433 with Berghuis coming to lineup</t>
  </si>
  <si>
    <t>UKRAINE</t>
  </si>
  <si>
    <t>------------------------- Bushchan -----------------------</t>
  </si>
  <si>
    <t>-------Zabaryni ------ Kryvtsov ------- Matvienko------</t>
  </si>
  <si>
    <t>Karavaev --- Stepanenko - Zinchenko ---- Myrolenko</t>
  </si>
  <si>
    <t>Yarmolenko/Marlos -- Yarenchuk -------Malinovskyi</t>
  </si>
  <si>
    <t>AUSTRIA</t>
  </si>
  <si>
    <t>------------------- Bachmann(4.5) ------------------</t>
  </si>
  <si>
    <t>Lainer(5) - Hinteregger(4.5) - Dragovic(5) - Ulmer(4.5)</t>
  </si>
  <si>
    <t>--------- Laimer(6) ---- Baumgartliner/Grillitsch(6) -----</t>
  </si>
  <si>
    <t>Baumgartner(7)/Lazaro(6.5) - Sabitzer(8) -- Alaba(5.5)</t>
  </si>
  <si>
    <t>------------ Kalajdzic(7.5)/Arnautovic(7) ----------------</t>
  </si>
  <si>
    <t>NORTH MACEDONIA</t>
  </si>
  <si>
    <t>-------------------- Dimitrievski(4.5) ---------------------</t>
  </si>
  <si>
    <t>---- Bejtulai(4.5) - Musliu(4.5) - Velkovski(4.5) -----</t>
  </si>
  <si>
    <t>Ristovski(4) --- Ademi(5.5) - Bardi(6) --- Alioski(4.5)</t>
  </si>
  <si>
    <t>------------------------- Elmas(6) ------------------------</t>
  </si>
  <si>
    <t>---------- Pandev(6.5) ------- Trajkovski(7) -----------</t>
  </si>
  <si>
    <t>Group D</t>
  </si>
  <si>
    <t>ENGLAND</t>
  </si>
  <si>
    <t>------------------- Pickford -----------------------</t>
  </si>
  <si>
    <t>Walker/Trippier – Stones -- Maguire - Chilwell /Shaw</t>
  </si>
  <si>
    <t>---- Henderson/Phillips --– Rice --------------------</t>
  </si>
  <si>
    <t>Foden/Sancho --– Mount ------– Sterling/Sancho</t>
  </si>
  <si>
    <t>----------------- Kane -----------------------------</t>
  </si>
  <si>
    <t>CROATIA</t>
  </si>
  <si>
    <t>--------------------- Livakovic ----------------------</t>
  </si>
  <si>
    <t>Vrsaljko –-- Caleta-Car/Vida –- Lovren ----- Barisic</t>
  </si>
  <si>
    <t>---------- Modric/Kovacic –-- Brozovic --------------</t>
  </si>
  <si>
    <t>-- Rebic -------– Vlasic/Modric -----------– Perisic ---</t>
  </si>
  <si>
    <t>--------------------- Kramaric ----------------------</t>
  </si>
  <si>
    <t>SCOTLAND</t>
  </si>
  <si>
    <t>------------------------Marshall --------------------------</t>
  </si>
  <si>
    <t>--------- Hendry ---– Hanley –------ Tierney -----------</t>
  </si>
  <si>
    <t>O’Donnell -- McTominay - McGinn ---– Robertson</t>
  </si>
  <si>
    <t>--------------------- Christie/McGregor -------------------------</t>
  </si>
  <si>
    <t>--------------Adams -----– Dykes ------------</t>
  </si>
  <si>
    <t>CZECH REP</t>
  </si>
  <si>
    <t>-------------------------- Vaclik(5) -----------------------</t>
  </si>
  <si>
    <t>Coufal(5) – Kalas(4.5) –– Celustka(4.5) – Boril(4.5)</t>
  </si>
  <si>
    <t>---------------- Kral(5.5) –– Soucek(6.5) ---------------</t>
  </si>
  <si>
    <t>Barak(7)/Masopust(6) - Darida(7.5) - Jankto(6) --</t>
  </si>
  <si>
    <t>----------------------- Schick(8) --------------------------</t>
  </si>
  <si>
    <t>Group E</t>
  </si>
  <si>
    <t>SPAIN</t>
  </si>
  <si>
    <t>------------------------- Simon(5) ------------------------</t>
  </si>
  <si>
    <t>M.Llorente(5) – Torres(4.5) – Laporte(6) – Alba(6)</t>
  </si>
  <si>
    <t>------ Koke(7) ----- Rodri(5) ---- Pedri/Fabian(6) ------</t>
  </si>
  <si>
    <t>---- Torres(8) ------- Morata(9) ------- Olmo(7) ----</t>
  </si>
  <si>
    <t>SWEDEN</t>
  </si>
  <si>
    <t>------------------------- Olsen(5) --------------------------------------</t>
  </si>
  <si>
    <t>Lustig(5) - Lindelof(5.5) - Danielsson(4.5) – Augustinsson(5.5)</t>
  </si>
  <si>
    <t>Claesson(7)/Larsson(6) - Ekdal(5.5) - Olsson(5.5) - Forsberg(7.5)</t>
  </si>
  <si>
    <t>------------- Isak(8) ----– Berg(8.5)/Quaison ----------</t>
  </si>
  <si>
    <t>POLAND</t>
  </si>
  <si>
    <t>------------------------ Szczesny(5) -----------------------</t>
  </si>
  <si>
    <t>------ Bereszynski(4.5) – Glik(5) – Bednarek(4.5) ---------</t>
  </si>
  <si>
    <t>Jozwiak(6) - Krychowiak(6) - Klich(6.5) - Moder(6) - Rybus(5</t>
  </si>
  <si>
    <t>------------------------- Zielinski(7) -----------------------</t>
  </si>
  <si>
    <t>------------------ Lewandowski(11.5) -------------------</t>
  </si>
  <si>
    <t>Świerczok may start (2 upfront, and Moder? on bench)</t>
  </si>
  <si>
    <t>SLOVAKIA</t>
  </si>
  <si>
    <t>------------------------- Dubravka(5) -------------------------</t>
  </si>
  <si>
    <t>Pekarik(5) --- Skriniar(5) --- Satka(4.5) --- Hancko(4.5)</t>
  </si>
  <si>
    <t>----------- Kucka(6) ------ Hrosovsky/Lobotka(5.5) --------</t>
  </si>
  <si>
    <t>Duda(6.5) ------------ Hamsik(8) ------------------ Mak(7)</t>
  </si>
  <si>
    <t>------------------------ Bozenik(6) ---------------------------</t>
  </si>
  <si>
    <t>Group F</t>
  </si>
  <si>
    <t>HUNGARY</t>
  </si>
  <si>
    <t>------------------------- Gulasci -----------------------------</t>
  </si>
  <si>
    <t>----Lang/Fiola/Botka -- Orban ------ Szalai -------------</t>
  </si>
  <si>
    <t>-------------------------- Nagy -----------------------------</t>
  </si>
  <si>
    <t>Lovrencsics – Kleinheisler/Siger – Gazdag/Siger – Hangya/Holenger</t>
  </si>
  <si>
    <t>-------------------Sallai –-------- Szalai ----------------------</t>
  </si>
  <si>
    <t>PORTUGAL</t>
  </si>
  <si>
    <t>------------------------- Patricio(5.5) --------------------------</t>
  </si>
  <si>
    <t>Cancelo(6) ---- Dias(6) --- Pepe(5) ---- Guerreiro(6.5)</t>
  </si>
  <si>
    <t>---------- Pereira(5.5) – Carvalho/Ruben Neves(5.5)/? -----</t>
  </si>
  <si>
    <t>B.Silva(8.5) ------ B.Fernandes(10.5) ---------- Jota(8.5)</t>
  </si>
  <si>
    <t>------------------------ Ronaldo(12) -------------------------</t>
  </si>
  <si>
    <t>The spot near Danilo Pereira can go to anyone: Willian Carvalho, Neves, Moutinho, Oliveira, even Bruno if a more attacking team. Jota and Bruno spots aren't 100% secure, as there is players like Felix, Andre Silva on bench that will get opportunities.</t>
  </si>
  <si>
    <t>FRANCE</t>
  </si>
  <si>
    <t>-------------------------- Lloris(6) ----------------------------</t>
  </si>
  <si>
    <t>Pavard(6) - Varane(6) - Kimpembe(5.5) - Hernandez(6.5)</t>
  </si>
  <si>
    <t>----- Rabiot(6.5) ---- Kante(5.5) ---- Pogba(8) ----------</t>
  </si>
  <si>
    <t>---- Griezmann(11) - Benzema(10) - Mbappe(12) ----</t>
  </si>
  <si>
    <t>GERMANY</t>
  </si>
  <si>
    <t>------------------------- Neuer ---------------------------</t>
  </si>
  <si>
    <t>------------ Ginter - Hummels - Rudiger --------------</t>
  </si>
  <si>
    <t>Klostermann/Kimmich ------------------------ Gosens</t>
  </si>
  <si>
    <t>--------- Kimmich/Gundogan--KroosGoretzka ----</t>
  </si>
  <si>
    <t>-- Sane -------------- Muller –------------- Gnabry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</si>
</sst>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70" formatCode="0.000"/>
  </numFmts>
  <fonts count="28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  <font>
      <sz val="11"/>
      <color rgb="FF1A1A1B"/>
      <name val="Arial"/>
      <family val="2"/>
    </font>
    <font>
      <b/>
      <sz val="11"/>
      <color rgb="FF1A1A1B"/>
      <name val="Inherit"/>
    </font>
    <font>
      <sz val="17"/>
      <color rgb="FF1A1A1B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7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0" fontId="2" fillId="0" borderId="0" xfId="43"/>
    <xf numFmtId="0" fontId="22" fillId="0" borderId="11" xfId="43" applyFont="1" applyBorder="1" applyAlignment="1">
      <alignment horizontal="center" vertical="top"/>
    </xf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7" fillId="0" borderId="0" xfId="6"/>
    <xf numFmtId="168" fontId="0" fillId="0" borderId="0" xfId="0" applyNumberFormat="1"/>
    <xf numFmtId="166" fontId="2" fillId="0" borderId="0" xfId="43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70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9" fontId="2" fillId="0" borderId="0" xfId="43" applyNumberFormat="1"/>
    <xf numFmtId="0" fontId="19" fillId="33" borderId="0" xfId="0" applyFont="1" applyFill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0" fontId="26" fillId="0" borderId="0" xfId="0" applyFont="1" applyAlignment="1">
      <alignment vertical="center" wrapText="1"/>
    </xf>
    <xf numFmtId="0" fontId="25" fillId="0" borderId="0" xfId="0" applyFont="1" applyAlignment="1">
      <alignment horizontal="left" vertical="center" wrapText="1" indent="1"/>
    </xf>
    <xf numFmtId="0" fontId="27" fillId="0" borderId="0" xfId="0" applyFont="1" applyAlignment="1">
      <alignment vertical="center" wrapText="1"/>
    </xf>
    <xf numFmtId="9" fontId="0" fillId="0" borderId="24" xfId="0" applyNumberFormat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9060064D-09E4-4CB6-BE93-EEC9BB3B596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41351.646556982734</c:v>
                </c:pt>
                <c:pt idx="1">
                  <c:v>63783.034066143176</c:v>
                </c:pt>
                <c:pt idx="2">
                  <c:v>99220.561997996832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75"/>
  <cols>
    <col min="1" max="1" width="3" customWidth="1"/>
  </cols>
  <sheetData>
    <row r="2" spans="1:2" ht="16.5" thickBot="1">
      <c r="B2" s="14" t="s">
        <v>459</v>
      </c>
    </row>
    <row r="3" spans="1:2">
      <c r="A3" s="12">
        <v>1</v>
      </c>
      <c r="B3" t="s">
        <v>460</v>
      </c>
    </row>
    <row r="4" spans="1:2">
      <c r="A4" s="12">
        <v>1</v>
      </c>
      <c r="B4" t="s">
        <v>458</v>
      </c>
    </row>
    <row r="5" spans="1:2">
      <c r="A5" s="12">
        <v>1</v>
      </c>
      <c r="B5" t="s">
        <v>461</v>
      </c>
    </row>
    <row r="6" spans="1:2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75"/>
  <cols>
    <col min="2" max="2" width="22.875" customWidth="1"/>
    <col min="3" max="3" width="11.875" bestFit="1" customWidth="1"/>
  </cols>
  <sheetData>
    <row r="2" spans="2:1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>
      <c r="B4" t="s">
        <v>748</v>
      </c>
      <c r="C4">
        <v>27</v>
      </c>
    </row>
    <row r="5" spans="2:13">
      <c r="B5" t="s">
        <v>749</v>
      </c>
      <c r="C5">
        <v>6</v>
      </c>
    </row>
    <row r="26" spans="2:4">
      <c r="C26" s="68"/>
    </row>
    <row r="27" spans="2:4">
      <c r="B27" t="s">
        <v>832</v>
      </c>
      <c r="C27">
        <f>1.0165783817</f>
        <v>1.0165783817</v>
      </c>
    </row>
    <row r="28" spans="2:4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>
      <c r="B36" s="5" t="str">
        <f t="shared" si="3"/>
        <v>Round 9</v>
      </c>
      <c r="C36" s="2"/>
      <c r="D36" s="2">
        <f t="shared" si="4"/>
        <v>57.974609647684147</v>
      </c>
    </row>
    <row r="37" spans="2:4">
      <c r="B37" s="5" t="str">
        <f t="shared" si="3"/>
        <v>Round 10</v>
      </c>
      <c r="C37" s="2"/>
      <c r="D37" s="2">
        <f t="shared" si="4"/>
        <v>58.935734855331965</v>
      </c>
    </row>
    <row r="38" spans="2:4">
      <c r="B38" s="5" t="str">
        <f t="shared" si="3"/>
        <v>Round 11</v>
      </c>
      <c r="C38" s="2"/>
      <c r="D38" s="2">
        <f t="shared" si="4"/>
        <v>59.912793963533659</v>
      </c>
    </row>
    <row r="39" spans="2:4">
      <c r="B39" s="5" t="str">
        <f t="shared" si="3"/>
        <v>Round 12</v>
      </c>
      <c r="C39" s="2"/>
      <c r="D39" s="2">
        <f t="shared" si="4"/>
        <v>60.906051130574589</v>
      </c>
    </row>
    <row r="40" spans="2:4">
      <c r="B40" s="5" t="str">
        <f t="shared" si="3"/>
        <v>Round 13</v>
      </c>
      <c r="C40" s="2"/>
      <c r="D40" s="2">
        <f t="shared" si="4"/>
        <v>61.915774894056973</v>
      </c>
    </row>
    <row r="41" spans="2:4">
      <c r="B41" s="5" t="str">
        <f t="shared" si="3"/>
        <v>Round 14</v>
      </c>
      <c r="C41" s="2"/>
      <c r="D41" s="2">
        <f t="shared" si="4"/>
        <v>62.942238243501926</v>
      </c>
    </row>
    <row r="42" spans="2:4">
      <c r="B42" s="5" t="str">
        <f t="shared" si="3"/>
        <v>Round 15</v>
      </c>
      <c r="C42" s="2"/>
      <c r="D42" s="2">
        <f t="shared" si="4"/>
        <v>63.985718694155047</v>
      </c>
    </row>
    <row r="43" spans="2:4">
      <c r="B43" s="5" t="str">
        <f t="shared" si="3"/>
        <v>Round 16</v>
      </c>
      <c r="C43" s="2"/>
      <c r="D43" s="2">
        <f t="shared" si="4"/>
        <v>65.046498362015583</v>
      </c>
    </row>
    <row r="44" spans="2:4">
      <c r="B44" s="5" t="str">
        <f t="shared" si="3"/>
        <v>Round 17</v>
      </c>
      <c r="C44" s="2"/>
      <c r="D44" s="2">
        <f t="shared" si="4"/>
        <v>66.1248640401095</v>
      </c>
    </row>
    <row r="45" spans="2:4">
      <c r="B45" s="5" t="str">
        <f t="shared" si="3"/>
        <v>Round 18</v>
      </c>
      <c r="C45" s="2"/>
      <c r="D45" s="2">
        <f t="shared" si="4"/>
        <v>67.221107276027041</v>
      </c>
    </row>
    <row r="46" spans="2:4">
      <c r="B46" s="5" t="str">
        <f t="shared" si="3"/>
        <v>Round 19</v>
      </c>
      <c r="C46" s="2"/>
      <c r="D46" s="2">
        <f t="shared" si="4"/>
        <v>68.33552445074568</v>
      </c>
    </row>
    <row r="47" spans="2:4">
      <c r="B47" s="5" t="str">
        <f t="shared" si="3"/>
        <v>Round 20</v>
      </c>
      <c r="C47" s="2"/>
      <c r="D47" s="2">
        <f t="shared" si="4"/>
        <v>69.468416858759824</v>
      </c>
    </row>
    <row r="48" spans="2:4">
      <c r="B48" s="5" t="str">
        <f t="shared" si="3"/>
        <v>Round 21</v>
      </c>
      <c r="C48" s="2"/>
      <c r="D48" s="2">
        <f t="shared" si="4"/>
        <v>70.620090789539063</v>
      </c>
    </row>
    <row r="49" spans="2:2">
      <c r="B49" s="5"/>
    </row>
    <row r="50" spans="2:2">
      <c r="B50" s="5"/>
    </row>
    <row r="51" spans="2:2">
      <c r="B51" s="5"/>
    </row>
    <row r="52" spans="2:2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7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G3" sqref="G3"/>
    </sheetView>
  </sheetViews>
  <sheetFormatPr defaultColWidth="11" defaultRowHeight="15.75"/>
  <cols>
    <col min="1" max="1" width="7.375" customWidth="1"/>
    <col min="2" max="2" width="25.875" customWidth="1"/>
    <col min="3" max="3" width="17" bestFit="1" customWidth="1"/>
    <col min="7" max="7" width="17.875" bestFit="1" customWidth="1"/>
    <col min="10" max="10" width="8.125" bestFit="1" customWidth="1"/>
    <col min="12" max="12" width="1.875" customWidth="1"/>
    <col min="13" max="13" width="7.375" customWidth="1"/>
    <col min="14" max="14" width="25.875" customWidth="1"/>
    <col min="15" max="15" width="17" bestFit="1" customWidth="1"/>
    <col min="16" max="17" width="11.625" bestFit="1" customWidth="1"/>
    <col min="18" max="18" width="11.625" customWidth="1"/>
    <col min="22" max="22" width="8.125" bestFit="1" customWidth="1"/>
    <col min="35" max="35" width="12.125" bestFit="1" customWidth="1"/>
  </cols>
  <sheetData>
    <row r="1" spans="1:38" ht="21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5230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115110.96483410805</v>
      </c>
      <c r="G3" s="18">
        <f>INDEX('Master data'!BY:BY,MATCH($A3,'Master data'!$CK:$CK,0))</f>
        <v>426165.83642336295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5.682211152311506E-2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Mikel Oyarzabal</v>
      </c>
      <c r="O3" s="17" t="str">
        <f>INDEX('Master data'!B:B,MATCH($M3,'Master data'!$CL:$CL,0))</f>
        <v>Spain</v>
      </c>
      <c r="P3" s="17" t="str">
        <f>INDEX('Master data'!C:C,MATCH($M3,'Master data'!$CL:$CL,0))</f>
        <v>Striker</v>
      </c>
      <c r="Q3" s="18">
        <f>INDEX('Master data'!G:G,MATCH($M3,'Master data'!$CL:$CL,0))</f>
        <v>3500000</v>
      </c>
      <c r="R3" s="18">
        <f>INDEX('Master data'!AK:AK,MATCH($A3,'Master data'!$CL:$CL,0))</f>
        <v>84558.629297236461</v>
      </c>
      <c r="S3" s="18">
        <f>INDEX('Master data'!BY:BY,MATCH($A3,'Master data'!$CL:$CL,0))</f>
        <v>283367.5764007275</v>
      </c>
      <c r="T3" s="18">
        <f>INDEX('Master data'!CG:CG,MATCH($M3,'Master data'!$CL:$CL,0))</f>
        <v>0</v>
      </c>
      <c r="U3" s="18">
        <f>INDEX('Master data'!CI:CI,MATCH($M3,'Master data'!$CL:$CL,0))</f>
        <v>3500000</v>
      </c>
      <c r="V3" s="19">
        <f>INDEX('Master data'!CJ:CJ,MATCH($M3,'Master data'!$CL:$CL,0))</f>
        <v>8.0962164685922142E-2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95743.179939665744</v>
      </c>
      <c r="G4" s="18">
        <f>INDEX('Master data'!BY:BY,MATCH($A4,'Master data'!$CK:$CK,0))</f>
        <v>358612.06688949943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4.2189654928176404E-2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Gerard Moreno</v>
      </c>
      <c r="O4" s="20" t="str">
        <f>INDEX('Master data'!B:B,MATCH($M4,'Master data'!$CL:$CL,0))</f>
        <v>Spain</v>
      </c>
      <c r="P4" s="17" t="str">
        <f>INDEX('Master data'!C:C,MATCH($M4,'Master data'!$CL:$CL,0))</f>
        <v>Striker</v>
      </c>
      <c r="Q4" s="21">
        <f>INDEX('Master data'!G:G,MATCH($M4,'Master data'!$CL:$CL,0))</f>
        <v>4500000</v>
      </c>
      <c r="R4" s="21">
        <f>INDEX('Master data'!AK:AK,MATCH($A4,'Master data'!$CL:$CL,0))</f>
        <v>104315.69865236642</v>
      </c>
      <c r="S4" s="18">
        <f>INDEX('Master data'!BY:BY,MATCH($A4,'Master data'!$CL:$CL,0))</f>
        <v>351393.55133599555</v>
      </c>
      <c r="T4" s="21">
        <f>INDEX('Master data'!CG:CG,MATCH($M4,'Master data'!$CL:$CL,0))</f>
        <v>0</v>
      </c>
      <c r="U4" s="21">
        <f>INDEX('Master data'!CI:CI,MATCH($M4,'Master data'!$CL:$CL,0))</f>
        <v>4500000</v>
      </c>
      <c r="V4" s="22">
        <f>INDEX('Master data'!CJ:CJ,MATCH($M4,'Master data'!$CL:$CL,0))</f>
        <v>7.8087455852443449E-2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>
      <c r="A5" s="20">
        <f t="shared" si="0"/>
        <v>3</v>
      </c>
      <c r="B5" s="20" t="str">
        <f>INDEX('Master data'!A:A,MATCH($A5,'Master data'!$CK:$CK,0))</f>
        <v>Gerard Moreno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4500000</v>
      </c>
      <c r="F5" s="21">
        <f>INDEX('Master data'!AK:AK,MATCH($A5,'Master data'!$CK:$CK,0))</f>
        <v>104315.69865236642</v>
      </c>
      <c r="G5" s="18">
        <f>INDEX('Master data'!BY:BY,MATCH($A5,'Master data'!$CK:$CK,0))</f>
        <v>351393.55133599555</v>
      </c>
      <c r="H5" s="21">
        <f>INDEX('Master data'!CG:CG,MATCH($A5,'Master data'!$CK:$CK,0))</f>
        <v>0</v>
      </c>
      <c r="I5" s="21">
        <f>INDEX('Master data'!CI:CI,MATCH($A5,'Master data'!$CK:$CK,0))</f>
        <v>4500000</v>
      </c>
      <c r="J5" s="22">
        <f>INDEX('Master data'!CJ:CJ,MATCH($A5,'Master data'!$CK:$CK,0))</f>
        <v>7.8087455852443449E-2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>Pau Torres</v>
      </c>
      <c r="O5" s="20" t="str">
        <f>INDEX('Master data'!B:B,MATCH($M5,'Master data'!$CL:$CL,0))</f>
        <v>Spain</v>
      </c>
      <c r="P5" s="17" t="str">
        <f>INDEX('Master data'!C:C,MATCH($M5,'Master data'!$CL:$CL,0))</f>
        <v>Defense</v>
      </c>
      <c r="Q5" s="21">
        <f>INDEX('Master data'!G:G,MATCH($M5,'Master data'!$CL:$CL,0))</f>
        <v>3000000</v>
      </c>
      <c r="R5" s="21">
        <f>INDEX('Master data'!AK:AK,MATCH($A5,'Master data'!$CL:$CL,0))</f>
        <v>73026.620211010028</v>
      </c>
      <c r="S5" s="18">
        <f>INDEX('Master data'!BY:BY,MATCH($A5,'Master data'!$CL:$CL,0))</f>
        <v>231120.22549036914</v>
      </c>
      <c r="T5" s="21">
        <f>INDEX('Master data'!CG:CG,MATCH($M5,'Master data'!$CL:$CL,0))</f>
        <v>0</v>
      </c>
      <c r="U5" s="21">
        <f>INDEX('Master data'!CI:CI,MATCH($M5,'Master data'!$CL:$CL,0))</f>
        <v>3000000</v>
      </c>
      <c r="V5" s="22">
        <f>INDEX('Master data'!CJ:CJ,MATCH($M5,'Master data'!$CL:$CL,0))</f>
        <v>7.7040075163456373E-2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>
      <c r="A6" s="20">
        <f t="shared" si="0"/>
        <v>4</v>
      </c>
      <c r="B6" s="20" t="str">
        <f>INDEX('Master data'!A:A,MATCH($A6,'Master data'!$CK:$CK,0))</f>
        <v>Romelu Lukaku</v>
      </c>
      <c r="C6" s="20" t="str">
        <f>INDEX('Master data'!B:B,MATCH($A6,'Master data'!$CK:$CK,0))</f>
        <v>Belgium</v>
      </c>
      <c r="D6" s="17" t="str">
        <f>INDEX('Master data'!C:C,MATCH($A6,'Master data'!$CK:$CK,0))</f>
        <v>Striker</v>
      </c>
      <c r="E6" s="21">
        <f>INDEX('Master data'!G:G,MATCH($A6,'Master data'!$CK:$CK,0))</f>
        <v>8500000</v>
      </c>
      <c r="F6" s="21">
        <f>INDEX('Master data'!AK:AK,MATCH($A6,'Master data'!$CK:$CK,0))</f>
        <v>92263.574667900917</v>
      </c>
      <c r="G6" s="18">
        <f>INDEX('Master data'!BY:BY,MATCH($A6,'Master data'!$CK:$CK,0))</f>
        <v>317017.46300102287</v>
      </c>
      <c r="H6" s="21">
        <f>INDEX('Master data'!CG:CG,MATCH($A6,'Master data'!$CK:$CK,0))</f>
        <v>0</v>
      </c>
      <c r="I6" s="21">
        <f>INDEX('Master data'!CI:CI,MATCH($A6,'Master data'!$CK:$CK,0))</f>
        <v>8500000</v>
      </c>
      <c r="J6" s="22">
        <f>INDEX('Master data'!CJ:CJ,MATCH($A6,'Master data'!$CK:$CK,0))</f>
        <v>3.7296172117767395E-2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Jan Vertonghen</v>
      </c>
      <c r="O6" s="20" t="str">
        <f>INDEX('Master data'!B:B,MATCH($M6,'Master data'!$CL:$CL,0))</f>
        <v>Belgium</v>
      </c>
      <c r="P6" s="17" t="str">
        <f>INDEX('Master data'!C:C,MATCH($M6,'Master data'!$CL:$CL,0))</f>
        <v>Defense</v>
      </c>
      <c r="Q6" s="21">
        <f>INDEX('Master data'!G:G,MATCH($M6,'Master data'!$CL:$CL,0))</f>
        <v>4000000</v>
      </c>
      <c r="R6" s="21">
        <f>INDEX('Master data'!AK:AK,MATCH($A6,'Master data'!$CL:$CL,0))</f>
        <v>81394.286871314092</v>
      </c>
      <c r="S6" s="18">
        <f>INDEX('Master data'!BY:BY,MATCH($A6,'Master data'!$CL:$CL,0))</f>
        <v>268619.06502390979</v>
      </c>
      <c r="T6" s="21">
        <f>INDEX('Master data'!CG:CG,MATCH($M6,'Master data'!$CL:$CL,0))</f>
        <v>0</v>
      </c>
      <c r="U6" s="21">
        <f>INDEX('Master data'!CI:CI,MATCH($M6,'Master data'!$CL:$CL,0))</f>
        <v>4000000</v>
      </c>
      <c r="V6" s="22">
        <f>INDEX('Master data'!CJ:CJ,MATCH($M6,'Master data'!$CL:$CL,0))</f>
        <v>6.7154766255977452E-2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>
      <c r="A7" s="20">
        <f t="shared" si="0"/>
        <v>5</v>
      </c>
      <c r="B7" s="20" t="str">
        <f>INDEX('Master data'!A:A,MATCH($A7,'Master data'!$CK:$CK,0))</f>
        <v>Raheem Sterling</v>
      </c>
      <c r="C7" s="20" t="str">
        <f>INDEX('Master data'!B:B,MATCH($A7,'Master data'!$CK:$CK,0))</f>
        <v>England</v>
      </c>
      <c r="D7" s="17" t="str">
        <f>INDEX('Master data'!C:C,MATCH($A7,'Master data'!$CK:$CK,0))</f>
        <v>Striker</v>
      </c>
      <c r="E7" s="21">
        <f>INDEX('Master data'!G:G,MATCH($A7,'Master data'!$CK:$CK,0))</f>
        <v>7500000</v>
      </c>
      <c r="F7" s="21">
        <f>INDEX('Master data'!AK:AK,MATCH($A7,'Master data'!$CK:$CK,0))</f>
        <v>79017.845537461748</v>
      </c>
      <c r="G7" s="18">
        <f>INDEX('Master data'!BY:BY,MATCH($A7,'Master data'!$CK:$CK,0))</f>
        <v>297431.45680719736</v>
      </c>
      <c r="H7" s="21">
        <f>INDEX('Master data'!CG:CG,MATCH($A7,'Master data'!$CK:$CK,0))</f>
        <v>0</v>
      </c>
      <c r="I7" s="21">
        <f>INDEX('Master data'!CI:CI,MATCH($A7,'Master data'!$CK:$CK,0))</f>
        <v>7500000</v>
      </c>
      <c r="J7" s="22">
        <f>INDEX('Master data'!CJ:CJ,MATCH($A7,'Master data'!$CK:$CK,0))</f>
        <v>3.9657527574292979E-2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Leonardo Spinazzola</v>
      </c>
      <c r="O7" s="20" t="str">
        <f>INDEX('Master data'!B:B,MATCH($M7,'Master data'!$CL:$CL,0))</f>
        <v>Italy</v>
      </c>
      <c r="P7" s="17" t="str">
        <f>INDEX('Master data'!C:C,MATCH($M7,'Master data'!$CL:$CL,0))</f>
        <v>Defense</v>
      </c>
      <c r="Q7" s="21">
        <f>INDEX('Master data'!G:G,MATCH($M7,'Master data'!$CL:$CL,0))</f>
        <v>3500000</v>
      </c>
      <c r="R7" s="21">
        <f>INDEX('Master data'!AK:AK,MATCH($A7,'Master data'!$CL:$CL,0))</f>
        <v>79494.686154368159</v>
      </c>
      <c r="S7" s="18">
        <f>INDEX('Master data'!BY:BY,MATCH($A7,'Master data'!$CL:$CL,0))</f>
        <v>234522.29318219633</v>
      </c>
      <c r="T7" s="21">
        <f>INDEX('Master data'!CG:CG,MATCH($M7,'Master data'!$CL:$CL,0))</f>
        <v>0</v>
      </c>
      <c r="U7" s="21">
        <f>INDEX('Master data'!CI:CI,MATCH($M7,'Master data'!$CL:$CL,0))</f>
        <v>3500000</v>
      </c>
      <c r="V7" s="22">
        <f>INDEX('Master data'!CJ:CJ,MATCH($M7,'Master data'!$CL:$CL,0))</f>
        <v>6.700636948062752E-2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>
      <c r="A8" s="20">
        <f t="shared" si="0"/>
        <v>6</v>
      </c>
      <c r="B8" s="20" t="str">
        <f>INDEX('Master data'!A:A,MATCH($A8,'Master data'!$CK:$CK,0))</f>
        <v>Eden E. Hazard</v>
      </c>
      <c r="C8" s="20" t="str">
        <f>INDEX('Master data'!B:B,MATCH($A8,'Master data'!$CK:$CK,0))</f>
        <v>Belgium</v>
      </c>
      <c r="D8" s="17" t="str">
        <f>INDEX('Master data'!C:C,MATCH($A8,'Master data'!$CK:$CK,0))</f>
        <v>Striker</v>
      </c>
      <c r="E8" s="21">
        <f>INDEX('Master data'!G:G,MATCH($A8,'Master data'!$CK:$CK,0))</f>
        <v>6000000</v>
      </c>
      <c r="F8" s="21">
        <f>INDEX('Master data'!AK:AK,MATCH($A8,'Master data'!$CK:$CK,0))</f>
        <v>85619.069224785489</v>
      </c>
      <c r="G8" s="18">
        <f>INDEX('Master data'!BY:BY,MATCH($A8,'Master data'!$CK:$CK,0))</f>
        <v>293305.86164300214</v>
      </c>
      <c r="H8" s="21">
        <f>INDEX('Master data'!CG:CG,MATCH($A8,'Master data'!$CK:$CK,0))</f>
        <v>0</v>
      </c>
      <c r="I8" s="21">
        <f>INDEX('Master data'!CI:CI,MATCH($A8,'Master data'!$CK:$CK,0))</f>
        <v>6000000</v>
      </c>
      <c r="J8" s="22">
        <f>INDEX('Master data'!CJ:CJ,MATCH($A8,'Master data'!$CK:$CK,0))</f>
        <v>4.8884310273833692E-2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Philipp Lienhart</v>
      </c>
      <c r="O8" s="20" t="str">
        <f>INDEX('Master data'!B:B,MATCH($M8,'Master data'!$CL:$CL,0))</f>
        <v>Austria</v>
      </c>
      <c r="P8" s="17" t="str">
        <f>INDEX('Master data'!C:C,MATCH($M8,'Master data'!$CL:$CL,0))</f>
        <v>Defense</v>
      </c>
      <c r="Q8" s="21">
        <f>INDEX('Master data'!G:G,MATCH($M8,'Master data'!$CL:$CL,0))</f>
        <v>2000000</v>
      </c>
      <c r="R8" s="21">
        <f>INDEX('Master data'!AK:AK,MATCH($A8,'Master data'!$CL:$CL,0))</f>
        <v>74381.828805743891</v>
      </c>
      <c r="S8" s="18">
        <f>INDEX('Master data'!BY:BY,MATCH($A8,'Master data'!$CL:$CL,0))</f>
        <v>129050.26526874055</v>
      </c>
      <c r="T8" s="21">
        <f>INDEX('Master data'!CG:CG,MATCH($M8,'Master data'!$CL:$CL,0))</f>
        <v>0</v>
      </c>
      <c r="U8" s="21">
        <f>INDEX('Master data'!CI:CI,MATCH($M8,'Master data'!$CL:$CL,0))</f>
        <v>2000000</v>
      </c>
      <c r="V8" s="22">
        <f>INDEX('Master data'!CJ:CJ,MATCH($M8,'Master data'!$CL:$CL,0))</f>
        <v>6.4525132634370277E-2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>
      <c r="A9" s="20">
        <f t="shared" si="0"/>
        <v>7</v>
      </c>
      <c r="B9" s="20" t="str">
        <f>INDEX('Master data'!A:A,MATCH($A9,'Master data'!$CK:$CK,0))</f>
        <v>Ciro Immobile</v>
      </c>
      <c r="C9" s="20" t="str">
        <f>INDEX('Master data'!B:B,MATCH($A9,'Master data'!$CK:$CK,0))</f>
        <v>Italy</v>
      </c>
      <c r="D9" s="17" t="str">
        <f>INDEX('Master data'!C:C,MATCH($A9,'Master data'!$CK:$CK,0))</f>
        <v>Striker</v>
      </c>
      <c r="E9" s="21">
        <f>INDEX('Master data'!G:G,MATCH($A9,'Master data'!$CK:$CK,0))</f>
        <v>6500000</v>
      </c>
      <c r="F9" s="21">
        <f>INDEX('Master data'!AK:AK,MATCH($A9,'Master data'!$CK:$CK,0))</f>
        <v>97160.908321393814</v>
      </c>
      <c r="G9" s="18">
        <f>INDEX('Master data'!BY:BY,MATCH($A9,'Master data'!$CK:$CK,0))</f>
        <v>292076.50989080325</v>
      </c>
      <c r="H9" s="21">
        <f>INDEX('Master data'!CG:CG,MATCH($A9,'Master data'!$CK:$CK,0))</f>
        <v>0</v>
      </c>
      <c r="I9" s="21">
        <f>INDEX('Master data'!CI:CI,MATCH($A9,'Master data'!$CK:$CK,0))</f>
        <v>6500000</v>
      </c>
      <c r="J9" s="22">
        <f>INDEX('Master data'!CJ:CJ,MATCH($A9,'Master data'!$CK:$CK,0))</f>
        <v>4.4934847675508191E-2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Maciej Rybus</v>
      </c>
      <c r="O9" s="20" t="str">
        <f>INDEX('Master data'!B:B,MATCH($M9,'Master data'!$CL:$CL,0))</f>
        <v>Poland</v>
      </c>
      <c r="P9" s="17" t="str">
        <f>INDEX('Master data'!C:C,MATCH($M9,'Master data'!$CL:$CL,0))</f>
        <v>Defense</v>
      </c>
      <c r="Q9" s="21">
        <f>INDEX('Master data'!G:G,MATCH($M9,'Master data'!$CL:$CL,0))</f>
        <v>2500000</v>
      </c>
      <c r="R9" s="21">
        <f>INDEX('Master data'!AK:AK,MATCH($A9,'Master data'!$CL:$CL,0))</f>
        <v>84092.190350943652</v>
      </c>
      <c r="S9" s="18">
        <f>INDEX('Master data'!BY:BY,MATCH($A9,'Master data'!$CL:$CL,0))</f>
        <v>157044.21860803117</v>
      </c>
      <c r="T9" s="21">
        <f>INDEX('Master data'!CG:CG,MATCH($M9,'Master data'!$CL:$CL,0))</f>
        <v>0</v>
      </c>
      <c r="U9" s="21">
        <f>INDEX('Master data'!CI:CI,MATCH($M9,'Master data'!$CL:$CL,0))</f>
        <v>2500000</v>
      </c>
      <c r="V9" s="22">
        <f>INDEX('Master data'!CJ:CJ,MATCH($M9,'Master data'!$CL:$CL,0))</f>
        <v>6.2817687443212464E-2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>
      <c r="A10" s="20">
        <f t="shared" si="0"/>
        <v>8</v>
      </c>
      <c r="B10" s="20" t="str">
        <f>INDEX('Master data'!A:A,MATCH($A10,'Master data'!$CK:$CK,0))</f>
        <v>Phil Foden</v>
      </c>
      <c r="C10" s="20" t="str">
        <f>INDEX('Master data'!B:B,MATCH($A10,'Master data'!$CK:$CK,0))</f>
        <v>England</v>
      </c>
      <c r="D10" s="17" t="str">
        <f>INDEX('Master data'!C:C,MATCH($A10,'Master data'!$CK:$CK,0))</f>
        <v>Striker</v>
      </c>
      <c r="E10" s="21">
        <f>INDEX('Master data'!G:G,MATCH($A10,'Master data'!$CK:$CK,0))</f>
        <v>5500000</v>
      </c>
      <c r="F10" s="21">
        <f>INDEX('Master data'!AK:AK,MATCH($A10,'Master data'!$CK:$CK,0))</f>
        <v>77400.8556472442</v>
      </c>
      <c r="G10" s="18">
        <f>INDEX('Master data'!BY:BY,MATCH($A10,'Master data'!$CK:$CK,0))</f>
        <v>288935.89656073536</v>
      </c>
      <c r="H10" s="21">
        <f>INDEX('Master data'!CG:CG,MATCH($A10,'Master data'!$CK:$CK,0))</f>
        <v>0</v>
      </c>
      <c r="I10" s="21">
        <f>INDEX('Master data'!CI:CI,MATCH($A10,'Master data'!$CK:$CK,0))</f>
        <v>5500000</v>
      </c>
      <c r="J10" s="22">
        <f>INDEX('Master data'!CJ:CJ,MATCH($A10,'Master data'!$CK:$CK,0))</f>
        <v>5.2533799374679155E-2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José Gayà</v>
      </c>
      <c r="O10" s="20" t="str">
        <f>INDEX('Master data'!B:B,MATCH($M10,'Master data'!$CL:$CL,0))</f>
        <v>Spain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77861.345973906122</v>
      </c>
      <c r="S10" s="18">
        <f>INDEX('Master data'!BY:BY,MATCH($A10,'Master data'!$CL:$CL,0))</f>
        <v>248253.97942763899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6.2063494856909748E-2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>
      <c r="A11" s="20">
        <f t="shared" si="0"/>
        <v>9</v>
      </c>
      <c r="B11" s="20" t="str">
        <f>INDEX('Master data'!A:A,MATCH($A11,'Master data'!$CK:$CK,0))</f>
        <v>Mikel Oyarzabal</v>
      </c>
      <c r="C11" s="20" t="str">
        <f>INDEX('Master data'!B:B,MATCH($A11,'Master data'!$CK:$CK,0))</f>
        <v>Spain</v>
      </c>
      <c r="D11" s="17" t="str">
        <f>INDEX('Master data'!C:C,MATCH($A11,'Master data'!$CK:$CK,0))</f>
        <v>Striker</v>
      </c>
      <c r="E11" s="21">
        <f>INDEX('Master data'!G:G,MATCH($A11,'Master data'!$CK:$CK,0))</f>
        <v>3500000</v>
      </c>
      <c r="F11" s="21">
        <f>INDEX('Master data'!AK:AK,MATCH($A11,'Master data'!$CK:$CK,0))</f>
        <v>84558.629297236461</v>
      </c>
      <c r="G11" s="18">
        <f>INDEX('Master data'!BY:BY,MATCH($A11,'Master data'!$CK:$CK,0))</f>
        <v>283367.5764007275</v>
      </c>
      <c r="H11" s="21">
        <f>INDEX('Master data'!CG:CG,MATCH($A11,'Master data'!$CK:$CK,0))</f>
        <v>0</v>
      </c>
      <c r="I11" s="21">
        <f>INDEX('Master data'!CI:CI,MATCH($A11,'Master data'!$CK:$CK,0))</f>
        <v>3500000</v>
      </c>
      <c r="J11" s="22">
        <f>INDEX('Master data'!CJ:CJ,MATCH($A11,'Master data'!$CK:$CK,0))</f>
        <v>8.0962164685922142E-2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Ruslan Malinovskyi</v>
      </c>
      <c r="O11" s="20" t="str">
        <f>INDEX('Master data'!B:B,MATCH($M11,'Master data'!$CL:$CL,0))</f>
        <v>Ukraine</v>
      </c>
      <c r="P11" s="17" t="str">
        <f>INDEX('Master data'!C:C,MATCH($M11,'Master data'!$CL:$CL,0))</f>
        <v>Midfield</v>
      </c>
      <c r="Q11" s="21">
        <f>INDEX('Master data'!G:G,MATCH($M11,'Master data'!$CL:$CL,0))</f>
        <v>3500000</v>
      </c>
      <c r="R11" s="21">
        <f>INDEX('Master data'!AK:AK,MATCH($A11,'Master data'!$CL:$CL,0))</f>
        <v>36052.819989079624</v>
      </c>
      <c r="S11" s="18">
        <f>INDEX('Master data'!BY:BY,MATCH($A11,'Master data'!$CL:$CL,0))</f>
        <v>216898.85468009271</v>
      </c>
      <c r="T11" s="21">
        <f>INDEX('Master data'!CG:CG,MATCH($M11,'Master data'!$CL:$CL,0))</f>
        <v>0</v>
      </c>
      <c r="U11" s="21">
        <f>INDEX('Master data'!CI:CI,MATCH($M11,'Master data'!$CL:$CL,0))</f>
        <v>3500000</v>
      </c>
      <c r="V11" s="22">
        <f>INDEX('Master data'!CJ:CJ,MATCH($M11,'Master data'!$CL:$CL,0))</f>
        <v>6.1971101337169349E-2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>
      <c r="A12" s="20">
        <f t="shared" si="0"/>
        <v>10</v>
      </c>
      <c r="B12" s="20" t="str">
        <f>INDEX('Master data'!A:A,MATCH($A12,'Master data'!$CK:$CK,0))</f>
        <v>Lorenzo Insigne</v>
      </c>
      <c r="C12" s="20" t="str">
        <f>INDEX('Master data'!B:B,MATCH($A12,'Master data'!$CK:$CK,0))</f>
        <v>Italy</v>
      </c>
      <c r="D12" s="17" t="str">
        <f>INDEX('Master data'!C:C,MATCH($A12,'Master data'!$CK:$CK,0))</f>
        <v>Striker</v>
      </c>
      <c r="E12" s="21">
        <f>INDEX('Master data'!G:G,MATCH($A12,'Master data'!$CK:$CK,0))</f>
        <v>5000000</v>
      </c>
      <c r="F12" s="21">
        <f>INDEX('Master data'!AK:AK,MATCH($A12,'Master data'!$CK:$CK,0))</f>
        <v>93576.494795288163</v>
      </c>
      <c r="G12" s="18">
        <f>INDEX('Master data'!BY:BY,MATCH($A12,'Master data'!$CK:$CK,0))</f>
        <v>281225.91311322083</v>
      </c>
      <c r="H12" s="21">
        <f>INDEX('Master data'!CG:CG,MATCH($A12,'Master data'!$CK:$CK,0))</f>
        <v>0</v>
      </c>
      <c r="I12" s="21">
        <f>INDEX('Master data'!CI:CI,MATCH($A12,'Master data'!$CK:$CK,0))</f>
        <v>5000000</v>
      </c>
      <c r="J12" s="22">
        <f>INDEX('Master data'!CJ:CJ,MATCH($A12,'Master data'!$CK:$CK,0))</f>
        <v>5.6245182622644163E-2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Denzel Dumfries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3500000</v>
      </c>
      <c r="R12" s="21">
        <f>INDEX('Master data'!AK:AK,MATCH($A12,'Master data'!$CL:$CL,0))</f>
        <v>61520.325792946831</v>
      </c>
      <c r="S12" s="18">
        <f>INDEX('Master data'!BY:BY,MATCH($A12,'Master data'!$CL:$CL,0))</f>
        <v>216735.32536555274</v>
      </c>
      <c r="T12" s="21">
        <f>INDEX('Master data'!CG:CG,MATCH($M12,'Master data'!$CL:$CL,0))</f>
        <v>0</v>
      </c>
      <c r="U12" s="21">
        <f>INDEX('Master data'!CI:CI,MATCH($M12,'Master data'!$CL:$CL,0))</f>
        <v>3500000</v>
      </c>
      <c r="V12" s="22">
        <f>INDEX('Master data'!CJ:CJ,MATCH($M12,'Master data'!$CL:$CL,0))</f>
        <v>6.1924378675872208E-2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>
      <c r="A13" s="20">
        <f t="shared" si="0"/>
        <v>11</v>
      </c>
      <c r="B13" s="20" t="str">
        <f>INDEX('Master data'!A:A,MATCH($A13,'Master data'!$CK:$CK,0))</f>
        <v>Álvaro Morata</v>
      </c>
      <c r="C13" s="20" t="str">
        <f>INDEX('Master data'!B:B,MATCH($A13,'Master data'!$CK:$CK,0))</f>
        <v>Spain</v>
      </c>
      <c r="D13" s="17" t="str">
        <f>INDEX('Master data'!C:C,MATCH($A13,'Master data'!$CK:$CK,0))</f>
        <v>Striker</v>
      </c>
      <c r="E13" s="21">
        <f>INDEX('Master data'!G:G,MATCH($A13,'Master data'!$CK:$CK,0))</f>
        <v>6500000</v>
      </c>
      <c r="F13" s="21">
        <f>INDEX('Master data'!AK:AK,MATCH($A13,'Master data'!$CK:$CK,0))</f>
        <v>83501.25725236522</v>
      </c>
      <c r="G13" s="18">
        <f>INDEX('Master data'!BY:BY,MATCH($A13,'Master data'!$CK:$CK,0))</f>
        <v>281115.03007549065</v>
      </c>
      <c r="H13" s="21">
        <f>INDEX('Master data'!CG:CG,MATCH($A13,'Master data'!$CK:$CK,0))</f>
        <v>0</v>
      </c>
      <c r="I13" s="21">
        <f>INDEX('Master data'!CI:CI,MATCH($A13,'Master data'!$CK:$CK,0))</f>
        <v>6500000</v>
      </c>
      <c r="J13" s="22">
        <f>INDEX('Master data'!CJ:CJ,MATCH($A13,'Master data'!$CK:$CK,0))</f>
        <v>4.3248466165460103E-2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Matthijs de Ligt</v>
      </c>
      <c r="O13" s="20" t="str">
        <f>INDEX('Master data'!B:B,MATCH($M13,'Master data'!$CL:$CL,0))</f>
        <v>Netherlands</v>
      </c>
      <c r="P13" s="17" t="str">
        <f>INDEX('Master data'!C:C,MATCH($M13,'Master data'!$CL:$CL,0))</f>
        <v>Defense</v>
      </c>
      <c r="Q13" s="21">
        <f>INDEX('Master data'!G:G,MATCH($M13,'Master data'!$CL:$CL,0))</f>
        <v>4000000</v>
      </c>
      <c r="R13" s="21">
        <f>INDEX('Master data'!AK:AK,MATCH($A13,'Master data'!$CL:$CL,0))</f>
        <v>68932.291454252016</v>
      </c>
      <c r="S13" s="18">
        <f>INDEX('Master data'!BY:BY,MATCH($A13,'Master data'!$CL:$CL,0))</f>
        <v>244279.29730167342</v>
      </c>
      <c r="T13" s="21">
        <f>INDEX('Master data'!CG:CG,MATCH($M13,'Master data'!$CL:$CL,0))</f>
        <v>0</v>
      </c>
      <c r="U13" s="21">
        <f>INDEX('Master data'!CI:CI,MATCH($M13,'Master data'!$CL:$CL,0))</f>
        <v>4000000</v>
      </c>
      <c r="V13" s="22">
        <f>INDEX('Master data'!CJ:CJ,MATCH($M13,'Master data'!$CL:$CL,0))</f>
        <v>6.1069824325418354E-2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>
      <c r="A14" s="20">
        <f t="shared" si="0"/>
        <v>12</v>
      </c>
      <c r="B14" s="20" t="str">
        <f>INDEX('Master data'!A:A,MATCH($A14,'Master data'!$CK:$CK,0))</f>
        <v>Luuk de Jong</v>
      </c>
      <c r="C14" s="20" t="str">
        <f>INDEX('Master data'!B:B,MATCH($A14,'Master data'!$CK:$CK,0))</f>
        <v>Netherlands</v>
      </c>
      <c r="D14" s="17" t="str">
        <f>INDEX('Master data'!C:C,MATCH($A14,'Master data'!$CK:$CK,0))</f>
        <v>Striker</v>
      </c>
      <c r="E14" s="21">
        <f>INDEX('Master data'!G:G,MATCH($A14,'Master data'!$CK:$CK,0))</f>
        <v>5500000</v>
      </c>
      <c r="F14" s="21">
        <f>INDEX('Master data'!AK:AK,MATCH($A14,'Master data'!$CK:$CK,0))</f>
        <v>73343.911523571587</v>
      </c>
      <c r="G14" s="18">
        <f>INDEX('Master data'!BY:BY,MATCH($A14,'Master data'!$CK:$CK,0))</f>
        <v>270490.81460282463</v>
      </c>
      <c r="H14" s="21">
        <f>INDEX('Master data'!CG:CG,MATCH($A14,'Master data'!$CK:$CK,0))</f>
        <v>0</v>
      </c>
      <c r="I14" s="21">
        <f>INDEX('Master data'!CI:CI,MATCH($A14,'Master data'!$CK:$CK,0))</f>
        <v>5500000</v>
      </c>
      <c r="J14" s="22">
        <f>INDEX('Master data'!CJ:CJ,MATCH($A14,'Master data'!$CK:$CK,0))</f>
        <v>4.9180148109604478E-2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>Ante Rebic</v>
      </c>
      <c r="O14" s="20" t="str">
        <f>INDEX('Master data'!B:B,MATCH($M14,'Master data'!$CL:$CL,0))</f>
        <v>Croatia</v>
      </c>
      <c r="P14" s="17" t="str">
        <f>INDEX('Master data'!C:C,MATCH($M14,'Master data'!$CL:$CL,0))</f>
        <v>Striker</v>
      </c>
      <c r="Q14" s="21">
        <f>INDEX('Master data'!G:G,MATCH($M14,'Master data'!$CL:$CL,0))</f>
        <v>3000000</v>
      </c>
      <c r="R14" s="21">
        <f>INDEX('Master data'!AK:AK,MATCH($A14,'Master data'!$CL:$CL,0))</f>
        <v>24637.995512044479</v>
      </c>
      <c r="S14" s="18">
        <f>INDEX('Master data'!BY:BY,MATCH($A14,'Master data'!$CL:$CL,0))</f>
        <v>182330.65934446245</v>
      </c>
      <c r="T14" s="21">
        <f>INDEX('Master data'!CG:CG,MATCH($M14,'Master data'!$CL:$CL,0))</f>
        <v>0</v>
      </c>
      <c r="U14" s="21">
        <f>INDEX('Master data'!CI:CI,MATCH($M14,'Master data'!$CL:$CL,0))</f>
        <v>3000000</v>
      </c>
      <c r="V14" s="22">
        <f>INDEX('Master data'!CJ:CJ,MATCH($M14,'Master data'!$CL:$CL,0))</f>
        <v>6.0776886448154148E-2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>
      <c r="A15" s="20">
        <f t="shared" si="0"/>
        <v>13</v>
      </c>
      <c r="B15" s="20" t="str">
        <f>INDEX('Master data'!A:A,MATCH($A15,'Master data'!$CK:$CK,0))</f>
        <v>Jan Vertonghen</v>
      </c>
      <c r="C15" s="20" t="str">
        <f>INDEX('Master data'!B:B,MATCH($A15,'Master data'!$CK:$CK,0))</f>
        <v>Belgium</v>
      </c>
      <c r="D15" s="17" t="str">
        <f>INDEX('Master data'!C:C,MATCH($A15,'Master data'!$CK:$CK,0))</f>
        <v>Defense</v>
      </c>
      <c r="E15" s="21">
        <f>INDEX('Master data'!G:G,MATCH($A15,'Master data'!$CK:$CK,0))</f>
        <v>4000000</v>
      </c>
      <c r="F15" s="21">
        <f>INDEX('Master data'!AK:AK,MATCH($A15,'Master data'!$CK:$CK,0))</f>
        <v>81394.286871314092</v>
      </c>
      <c r="G15" s="18">
        <f>INDEX('Master data'!BY:BY,MATCH($A15,'Master data'!$CK:$CK,0))</f>
        <v>268619.06502390979</v>
      </c>
      <c r="H15" s="21">
        <f>INDEX('Master data'!CG:CG,MATCH($A15,'Master data'!$CK:$CK,0))</f>
        <v>0</v>
      </c>
      <c r="I15" s="21">
        <f>INDEX('Master data'!CI:CI,MATCH($A15,'Master data'!$CK:$CK,0))</f>
        <v>4000000</v>
      </c>
      <c r="J15" s="22">
        <f>INDEX('Master data'!CJ:CJ,MATCH($A15,'Master data'!$CK:$CK,0))</f>
        <v>6.7154766255977452E-2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Owen Wijndal</v>
      </c>
      <c r="O15" s="20" t="str">
        <f>INDEX('Master data'!B:B,MATCH($M15,'Master data'!$CL:$CL,0))</f>
        <v>Netherlands</v>
      </c>
      <c r="P15" s="17" t="str">
        <f>INDEX('Master data'!C:C,MATCH($M15,'Master data'!$CL:$CL,0))</f>
        <v>Defense</v>
      </c>
      <c r="Q15" s="21">
        <f>INDEX('Master data'!G:G,MATCH($M15,'Master data'!$CL:$CL,0))</f>
        <v>3500000</v>
      </c>
      <c r="R15" s="21">
        <f>INDEX('Master data'!AK:AK,MATCH($A15,'Master data'!$CL:$CL,0))</f>
        <v>59946.334464895532</v>
      </c>
      <c r="S15" s="18">
        <f>INDEX('Master data'!BY:BY,MATCH($A15,'Master data'!$CL:$CL,0))</f>
        <v>210937.93263563921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6.0267980753039775E-2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>
      <c r="A16" s="20">
        <f t="shared" si="0"/>
        <v>14</v>
      </c>
      <c r="B16" s="20" t="str">
        <f>INDEX('Master data'!A:A,MATCH($A16,'Master data'!$CK:$CK,0))</f>
        <v>Kylian Mbappé</v>
      </c>
      <c r="C16" s="20" t="str">
        <f>INDEX('Master data'!B:B,MATCH($A16,'Master data'!$CK:$CK,0))</f>
        <v>France</v>
      </c>
      <c r="D16" s="17" t="str">
        <f>INDEX('Master data'!C:C,MATCH($A16,'Master data'!$CK:$CK,0))</f>
        <v>Striker</v>
      </c>
      <c r="E16" s="21">
        <f>INDEX('Master data'!G:G,MATCH($A16,'Master data'!$CK:$CK,0))</f>
        <v>8500000</v>
      </c>
      <c r="F16" s="21">
        <f>INDEX('Master data'!AK:AK,MATCH($A16,'Master data'!$CK:$CK,0))</f>
        <v>64834.997065634161</v>
      </c>
      <c r="G16" s="18">
        <f>INDEX('Master data'!BY:BY,MATCH($A16,'Master data'!$CK:$CK,0))</f>
        <v>263249.04369467171</v>
      </c>
      <c r="H16" s="21">
        <f>INDEX('Master data'!CG:CG,MATCH($A16,'Master data'!$CK:$CK,0))</f>
        <v>0</v>
      </c>
      <c r="I16" s="21">
        <f>INDEX('Master data'!CI:CI,MATCH($A16,'Master data'!$CK:$CK,0))</f>
        <v>8500000</v>
      </c>
      <c r="J16" s="22">
        <f>INDEX('Master data'!CJ:CJ,MATCH($A16,'Master data'!$CK:$CK,0))</f>
        <v>3.0970475728784908E-2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Steven Berghuis</v>
      </c>
      <c r="O16" s="20" t="str">
        <f>INDEX('Master data'!B:B,MATCH($M16,'Master data'!$CL:$CL,0))</f>
        <v>Netherlands</v>
      </c>
      <c r="P16" s="17" t="str">
        <f>INDEX('Master data'!C:C,MATCH($M16,'Master data'!$CL:$CL,0))</f>
        <v>Striker</v>
      </c>
      <c r="Q16" s="21">
        <f>INDEX('Master data'!G:G,MATCH($M16,'Master data'!$CL:$CL,0))</f>
        <v>4500000</v>
      </c>
      <c r="R16" s="21">
        <f>INDEX('Master data'!AK:AK,MATCH($A16,'Master data'!$CL:$CL,0))</f>
        <v>71217.274518339706</v>
      </c>
      <c r="S16" s="18">
        <f>INDEX('Master data'!BY:BY,MATCH($A16,'Master data'!$CL:$CL,0))</f>
        <v>262719.45449082396</v>
      </c>
      <c r="T16" s="21">
        <f>INDEX('Master data'!CG:CG,MATCH($M16,'Master data'!$CL:$CL,0))</f>
        <v>0</v>
      </c>
      <c r="U16" s="21">
        <f>INDEX('Master data'!CI:CI,MATCH($M16,'Master data'!$CL:$CL,0))</f>
        <v>4500000</v>
      </c>
      <c r="V16" s="22">
        <f>INDEX('Master data'!CJ:CJ,MATCH($M16,'Master data'!$CL:$CL,0))</f>
        <v>5.838210099796088E-2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>
      <c r="A17" s="20">
        <f t="shared" si="0"/>
        <v>15</v>
      </c>
      <c r="B17" s="20" t="str">
        <f>INDEX('Master data'!A:A,MATCH($A17,'Master data'!$CK:$CK,0))</f>
        <v>Steven Berghuis</v>
      </c>
      <c r="C17" s="20" t="str">
        <f>INDEX('Master data'!B:B,MATCH($A17,'Master data'!$CK:$CK,0))</f>
        <v>Netherlands</v>
      </c>
      <c r="D17" s="17" t="str">
        <f>INDEX('Master data'!C:C,MATCH($A17,'Master data'!$CK:$CK,0))</f>
        <v>Striker</v>
      </c>
      <c r="E17" s="21">
        <f>INDEX('Master data'!G:G,MATCH($A17,'Master data'!$CK:$CK,0))</f>
        <v>4500000</v>
      </c>
      <c r="F17" s="21">
        <f>INDEX('Master data'!AK:AK,MATCH($A17,'Master data'!$CK:$CK,0))</f>
        <v>71217.274518339706</v>
      </c>
      <c r="G17" s="18">
        <f>INDEX('Master data'!BY:BY,MATCH($A17,'Master data'!$CK:$CK,0))</f>
        <v>262719.45449082396</v>
      </c>
      <c r="H17" s="21">
        <f>INDEX('Master data'!CG:CG,MATCH($A17,'Master data'!$CK:$CK,0))</f>
        <v>0</v>
      </c>
      <c r="I17" s="21">
        <f>INDEX('Master data'!CI:CI,MATCH($A17,'Master data'!$CK:$CK,0))</f>
        <v>4500000</v>
      </c>
      <c r="J17" s="22">
        <f>INDEX('Master data'!CJ:CJ,MATCH($A17,'Master data'!$CK:$CK,0))</f>
        <v>5.838210099796088E-2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John Stones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Defense</v>
      </c>
      <c r="Q17" s="21">
        <f>INDEX('Master data'!G:G,MATCH($M17,'Master data'!$CL:$CL,0))</f>
        <v>4000000</v>
      </c>
      <c r="R17" s="21">
        <f>INDEX('Master data'!AK:AK,MATCH($A17,'Master data'!$CL:$CL,0))</f>
        <v>66728.559096597397</v>
      </c>
      <c r="S17" s="18">
        <f>INDEX('Master data'!BY:BY,MATCH($A17,'Master data'!$CL:$CL,0))</f>
        <v>232148.92408018117</v>
      </c>
      <c r="T17" s="21">
        <f>INDEX('Master data'!CG:CG,MATCH($M17,'Master data'!$CL:$CL,0))</f>
        <v>0</v>
      </c>
      <c r="U17" s="21">
        <f>INDEX('Master data'!CI:CI,MATCH($M17,'Master data'!$CL:$CL,0))</f>
        <v>4000000</v>
      </c>
      <c r="V17" s="22">
        <f>INDEX('Master data'!CJ:CJ,MATCH($M17,'Master data'!$CL:$CL,0))</f>
        <v>5.8037231020045293E-2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>
      <c r="A18" s="20">
        <f t="shared" si="0"/>
        <v>16</v>
      </c>
      <c r="B18" s="20" t="str">
        <f>INDEX('Master data'!A:A,MATCH($A18,'Master data'!$CK:$CK,0))</f>
        <v>Kevin De Bruyne</v>
      </c>
      <c r="C18" s="20" t="str">
        <f>INDEX('Master data'!B:B,MATCH($A18,'Master data'!$CK:$CK,0))</f>
        <v>Belgium</v>
      </c>
      <c r="D18" s="17" t="str">
        <f>INDEX('Master data'!C:C,MATCH($A18,'Master data'!$CK:$CK,0))</f>
        <v>Midfield</v>
      </c>
      <c r="E18" s="21">
        <f>INDEX('Master data'!G:G,MATCH($A18,'Master data'!$CK:$CK,0))</f>
        <v>8000000</v>
      </c>
      <c r="F18" s="21">
        <f>INDEX('Master data'!AK:AK,MATCH($A18,'Master data'!$CK:$CK,0))</f>
        <v>76173.361093281273</v>
      </c>
      <c r="G18" s="18">
        <f>INDEX('Master data'!BY:BY,MATCH($A18,'Master data'!$CK:$CK,0))</f>
        <v>261571.70794301078</v>
      </c>
      <c r="H18" s="21">
        <f>INDEX('Master data'!CG:CG,MATCH($A18,'Master data'!$CK:$CK,0))</f>
        <v>0</v>
      </c>
      <c r="I18" s="21">
        <f>INDEX('Master data'!CI:CI,MATCH($A18,'Master data'!$CK:$CK,0))</f>
        <v>8000000</v>
      </c>
      <c r="J18" s="22">
        <f>INDEX('Master data'!CJ:CJ,MATCH($A18,'Master data'!$CK:$CK,0))</f>
        <v>3.2696463492876346E-2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Ben Chilwell</v>
      </c>
      <c r="O18" s="20" t="str">
        <f>INDEX('Master data'!B:B,MATCH($M18,'Master data'!$CL:$CL,0))</f>
        <v>England</v>
      </c>
      <c r="P18" s="17" t="str">
        <f>INDEX('Master data'!C:C,MATCH($M18,'Master data'!$CL:$CL,0))</f>
        <v>Defense</v>
      </c>
      <c r="Q18" s="21">
        <f>INDEX('Master data'!G:G,MATCH($M18,'Master data'!$CL:$CL,0))</f>
        <v>4500000</v>
      </c>
      <c r="R18" s="21">
        <f>INDEX('Master data'!AK:AK,MATCH($A18,'Master data'!$CL:$CL,0))</f>
        <v>74053.780466892553</v>
      </c>
      <c r="S18" s="18">
        <f>INDEX('Master data'!BY:BY,MATCH($A18,'Master data'!$CL:$CL,0))</f>
        <v>258981.02231148584</v>
      </c>
      <c r="T18" s="21">
        <f>INDEX('Master data'!CG:CG,MATCH($M18,'Master data'!$CL:$CL,0))</f>
        <v>0</v>
      </c>
      <c r="U18" s="21">
        <f>INDEX('Master data'!CI:CI,MATCH($M18,'Master data'!$CL:$CL,0))</f>
        <v>4500000</v>
      </c>
      <c r="V18" s="22">
        <f>INDEX('Master data'!CJ:CJ,MATCH($M18,'Master data'!$CL:$CL,0))</f>
        <v>5.7551338291441295E-2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>
      <c r="A19" s="20">
        <f t="shared" si="0"/>
        <v>17</v>
      </c>
      <c r="B19" s="20" t="str">
        <f>INDEX('Master data'!A:A,MATCH($A19,'Master data'!$CK:$CK,0))</f>
        <v>Dani Olmo</v>
      </c>
      <c r="C19" s="20" t="str">
        <f>INDEX('Master data'!B:B,MATCH($A19,'Master data'!$CK:$CK,0))</f>
        <v>Spain</v>
      </c>
      <c r="D19" s="17" t="str">
        <f>INDEX('Master data'!C:C,MATCH($A19,'Master data'!$CK:$CK,0))</f>
        <v>Striker</v>
      </c>
      <c r="E19" s="21">
        <f>INDEX('Master data'!G:G,MATCH($A19,'Master data'!$CK:$CK,0))</f>
        <v>5000000</v>
      </c>
      <c r="F19" s="21">
        <f>INDEX('Master data'!AK:AK,MATCH($A19,'Master data'!$CK:$CK,0))</f>
        <v>78122.072877285274</v>
      </c>
      <c r="G19" s="18">
        <f>INDEX('Master data'!BY:BY,MATCH($A19,'Master data'!$CK:$CK,0))</f>
        <v>261311.04285848018</v>
      </c>
      <c r="H19" s="21">
        <f>INDEX('Master data'!CG:CG,MATCH($A19,'Master data'!$CK:$CK,0))</f>
        <v>0</v>
      </c>
      <c r="I19" s="21">
        <f>INDEX('Master data'!CI:CI,MATCH($A19,'Master data'!$CK:$CK,0))</f>
        <v>5000000</v>
      </c>
      <c r="J19" s="22">
        <f>INDEX('Master data'!CJ:CJ,MATCH($A19,'Master data'!$CK:$CK,0))</f>
        <v>5.2262208571696035E-2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Memphis Depay</v>
      </c>
      <c r="O19" s="20" t="str">
        <f>INDEX('Master data'!B:B,MATCH($M19,'Master data'!$CL:$CL,0))</f>
        <v>Netherlands</v>
      </c>
      <c r="P19" s="17" t="str">
        <f>INDEX('Master data'!C:C,MATCH($M19,'Master data'!$CL:$CL,0))</f>
        <v>Striker</v>
      </c>
      <c r="Q19" s="21">
        <f>INDEX('Master data'!G:G,MATCH($M19,'Master data'!$CL:$CL,0))</f>
        <v>7500000</v>
      </c>
      <c r="R19" s="21">
        <f>INDEX('Master data'!AK:AK,MATCH($A19,'Master data'!$CL:$CL,0))</f>
        <v>115110.96483410805</v>
      </c>
      <c r="S19" s="18">
        <f>INDEX('Master data'!BY:BY,MATCH($A19,'Master data'!$CL:$CL,0))</f>
        <v>426165.83642336295</v>
      </c>
      <c r="T19" s="21">
        <f>INDEX('Master data'!CG:CG,MATCH($M19,'Master data'!$CL:$CL,0))</f>
        <v>0</v>
      </c>
      <c r="U19" s="21">
        <f>INDEX('Master data'!CI:CI,MATCH($M19,'Master data'!$CL:$CL,0))</f>
        <v>7500000</v>
      </c>
      <c r="V19" s="22">
        <f>INDEX('Master data'!CJ:CJ,MATCH($M19,'Master data'!$CL:$CL,0))</f>
        <v>5.682211152311506E-2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>
      <c r="A20" s="20">
        <f t="shared" si="0"/>
        <v>18</v>
      </c>
      <c r="B20" s="20" t="str">
        <f>INDEX('Master data'!A:A,MATCH($A20,'Master data'!$CK:$CK,0))</f>
        <v>Ben Chilwell</v>
      </c>
      <c r="C20" s="20" t="str">
        <f>INDEX('Master data'!B:B,MATCH($A20,'Master data'!$CK:$CK,0))</f>
        <v>England</v>
      </c>
      <c r="D20" s="17" t="str">
        <f>INDEX('Master data'!C:C,MATCH($A20,'Master data'!$CK:$CK,0))</f>
        <v>Defense</v>
      </c>
      <c r="E20" s="21">
        <f>INDEX('Master data'!G:G,MATCH($A20,'Master data'!$CK:$CK,0))</f>
        <v>4500000</v>
      </c>
      <c r="F20" s="21">
        <f>INDEX('Master data'!AK:AK,MATCH($A20,'Master data'!$CK:$CK,0))</f>
        <v>74053.780466892553</v>
      </c>
      <c r="G20" s="18">
        <f>INDEX('Master data'!BY:BY,MATCH($A20,'Master data'!$CK:$CK,0))</f>
        <v>258981.02231148584</v>
      </c>
      <c r="H20" s="21">
        <f>INDEX('Master data'!CG:CG,MATCH($A20,'Master data'!$CK:$CK,0))</f>
        <v>0</v>
      </c>
      <c r="I20" s="21">
        <f>INDEX('Master data'!CI:CI,MATCH($A20,'Master data'!$CK:$CK,0))</f>
        <v>4500000</v>
      </c>
      <c r="J20" s="22">
        <f>INDEX('Master data'!CJ:CJ,MATCH($A20,'Master data'!$CK:$CK,0))</f>
        <v>5.7551338291441295E-2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Lorenzo Insigne</v>
      </c>
      <c r="O20" s="20" t="str">
        <f>INDEX('Master data'!B:B,MATCH($M20,'Master data'!$CL:$CL,0))</f>
        <v>Italy</v>
      </c>
      <c r="P20" s="17" t="str">
        <f>INDEX('Master data'!C:C,MATCH($M20,'Master data'!$CL:$CL,0))</f>
        <v>Striker</v>
      </c>
      <c r="Q20" s="21">
        <f>INDEX('Master data'!G:G,MATCH($M20,'Master data'!$CL:$CL,0))</f>
        <v>5000000</v>
      </c>
      <c r="R20" s="21">
        <f>INDEX('Master data'!AK:AK,MATCH($A20,'Master data'!$CL:$CL,0))</f>
        <v>93576.494795288163</v>
      </c>
      <c r="S20" s="18">
        <f>INDEX('Master data'!BY:BY,MATCH($A20,'Master data'!$CL:$CL,0))</f>
        <v>281225.91311322083</v>
      </c>
      <c r="T20" s="21">
        <f>INDEX('Master data'!CG:CG,MATCH($M20,'Master data'!$CL:$CL,0))</f>
        <v>0</v>
      </c>
      <c r="U20" s="21">
        <f>INDEX('Master data'!CI:CI,MATCH($M20,'Master data'!$CL:$CL,0))</f>
        <v>5000000</v>
      </c>
      <c r="V20" s="22">
        <f>INDEX('Master data'!CJ:CJ,MATCH($M20,'Master data'!$CL:$CL,0))</f>
        <v>5.6245182622644163E-2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>
      <c r="A21" s="20">
        <f t="shared" si="0"/>
        <v>19</v>
      </c>
      <c r="B21" s="20" t="str">
        <f>INDEX('Master data'!A:A,MATCH($A21,'Master data'!$CK:$CK,0))</f>
        <v>David de Gea</v>
      </c>
      <c r="C21" s="20" t="str">
        <f>INDEX('Master data'!B:B,MATCH($A21,'Master data'!$CK:$CK,0))</f>
        <v>Spain</v>
      </c>
      <c r="D21" s="17" t="str">
        <f>INDEX('Master data'!C:C,MATCH($A21,'Master data'!$CK:$CK,0))</f>
        <v>Goalkeeper</v>
      </c>
      <c r="E21" s="21">
        <f>INDEX('Master data'!G:G,MATCH($A21,'Master data'!$CK:$CK,0))</f>
        <v>5000000</v>
      </c>
      <c r="F21" s="21">
        <f>INDEX('Master data'!AK:AK,MATCH($A21,'Master data'!$CK:$CK,0))</f>
        <v>82622.488713159255</v>
      </c>
      <c r="G21" s="18">
        <f>INDEX('Master data'!BY:BY,MATCH($A21,'Master data'!$CK:$CK,0))</f>
        <v>255012.4576543154</v>
      </c>
      <c r="H21" s="21">
        <f>INDEX('Master data'!CG:CG,MATCH($A21,'Master data'!$CK:$CK,0))</f>
        <v>0</v>
      </c>
      <c r="I21" s="21">
        <f>INDEX('Master data'!CI:CI,MATCH($A21,'Master data'!$CK:$CK,0))</f>
        <v>5000000</v>
      </c>
      <c r="J21" s="22">
        <f>INDEX('Master data'!CJ:CJ,MATCH($A21,'Master data'!$CK:$CK,0))</f>
        <v>5.100249153086308E-2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Sasa  Kalajdzic</v>
      </c>
      <c r="O21" s="20" t="str">
        <f>INDEX('Master data'!B:B,MATCH($M21,'Master data'!$CL:$CL,0))</f>
        <v>Austria</v>
      </c>
      <c r="P21" s="17" t="str">
        <f>INDEX('Master data'!C:C,MATCH($M21,'Master data'!$CL:$CL,0))</f>
        <v>Striker</v>
      </c>
      <c r="Q21" s="21">
        <f>INDEX('Master data'!G:G,MATCH($M21,'Master data'!$CL:$CL,0))</f>
        <v>4000000</v>
      </c>
      <c r="R21" s="21">
        <f>INDEX('Master data'!AK:AK,MATCH($A21,'Master data'!$CL:$CL,0))</f>
        <v>111658.38793596716</v>
      </c>
      <c r="S21" s="18">
        <f>INDEX('Master data'!BY:BY,MATCH($A21,'Master data'!$CL:$CL,0))</f>
        <v>222093.25845499721</v>
      </c>
      <c r="T21" s="21">
        <f>INDEX('Master data'!CG:CG,MATCH($M21,'Master data'!$CL:$CL,0))</f>
        <v>0</v>
      </c>
      <c r="U21" s="21">
        <f>INDEX('Master data'!CI:CI,MATCH($M21,'Master data'!$CL:$CL,0))</f>
        <v>4000000</v>
      </c>
      <c r="V21" s="22">
        <f>INDEX('Master data'!CJ:CJ,MATCH($M21,'Master data'!$CL:$CL,0))</f>
        <v>5.5523314613749306E-2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>
      <c r="A22" s="20">
        <f t="shared" si="0"/>
        <v>20</v>
      </c>
      <c r="B22" s="20" t="str">
        <f>INDEX('Master data'!A:A,MATCH($A22,'Master data'!$CK:$CK,0))</f>
        <v>José Gayà</v>
      </c>
      <c r="C22" s="20" t="str">
        <f>INDEX('Master data'!B:B,MATCH($A22,'Master data'!$CK:$CK,0))</f>
        <v>Spain</v>
      </c>
      <c r="D22" s="17" t="str">
        <f>INDEX('Master data'!C:C,MATCH($A22,'Master data'!$CK:$CK,0))</f>
        <v>Defense</v>
      </c>
      <c r="E22" s="21">
        <f>INDEX('Master data'!G:G,MATCH($A22,'Master data'!$CK:$CK,0))</f>
        <v>4000000</v>
      </c>
      <c r="F22" s="21">
        <f>INDEX('Master data'!AK:AK,MATCH($A22,'Master data'!$CK:$CK,0))</f>
        <v>77861.345973906122</v>
      </c>
      <c r="G22" s="18">
        <f>INDEX('Master data'!BY:BY,MATCH($A22,'Master data'!$CK:$CK,0))</f>
        <v>248253.97942763899</v>
      </c>
      <c r="H22" s="21">
        <f>INDEX('Master data'!CG:CG,MATCH($A22,'Master data'!$CK:$CK,0))</f>
        <v>0</v>
      </c>
      <c r="I22" s="21">
        <f>INDEX('Master data'!CI:CI,MATCH($A22,'Master data'!$CK:$CK,0))</f>
        <v>4000000</v>
      </c>
      <c r="J22" s="22">
        <f>INDEX('Master data'!CJ:CJ,MATCH($A22,'Master data'!$CK:$CK,0))</f>
        <v>6.2063494856909748E-2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Leonardo Bonucci</v>
      </c>
      <c r="O22" s="20" t="str">
        <f>INDEX('Master data'!B:B,MATCH($M22,'Master data'!$CL:$CL,0))</f>
        <v>Italy</v>
      </c>
      <c r="P22" s="17" t="str">
        <f>INDEX('Master data'!C:C,MATCH($M22,'Master data'!$CL:$CL,0))</f>
        <v>Defense</v>
      </c>
      <c r="Q22" s="21">
        <f>INDEX('Master data'!G:G,MATCH($M22,'Master data'!$CL:$CL,0))</f>
        <v>4000000</v>
      </c>
      <c r="R22" s="21">
        <f>INDEX('Master data'!AK:AK,MATCH($A22,'Master data'!$CL:$CL,0))</f>
        <v>74743.143264932616</v>
      </c>
      <c r="S22" s="18">
        <f>INDEX('Master data'!BY:BY,MATCH($A22,'Master data'!$CL:$CL,0))</f>
        <v>220223.25873538986</v>
      </c>
      <c r="T22" s="21">
        <f>INDEX('Master data'!CG:CG,MATCH($M22,'Master data'!$CL:$CL,0))</f>
        <v>0</v>
      </c>
      <c r="U22" s="21">
        <f>INDEX('Master data'!CI:CI,MATCH($M22,'Master data'!$CL:$CL,0))</f>
        <v>4000000</v>
      </c>
      <c r="V22" s="22">
        <f>INDEX('Master data'!CJ:CJ,MATCH($M22,'Master data'!$CL:$CL,0))</f>
        <v>5.5055814683847466E-2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>
      <c r="A23" s="20">
        <f t="shared" si="0"/>
        <v>21</v>
      </c>
      <c r="B23" s="20" t="str">
        <f>INDEX('Master data'!A:A,MATCH($A23,'Master data'!$CK:$CK,0))</f>
        <v>Matthijs de Ligt</v>
      </c>
      <c r="C23" s="20" t="str">
        <f>INDEX('Master data'!B:B,MATCH($A23,'Master data'!$CK:$CK,0))</f>
        <v>Netherlands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68932.291454252016</v>
      </c>
      <c r="G23" s="18">
        <f>INDEX('Master data'!BY:BY,MATCH($A23,'Master data'!$CK:$CK,0))</f>
        <v>244279.29730167342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6.1069824325418354E-2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Daley Blind</v>
      </c>
      <c r="O23" s="20" t="str">
        <f>INDEX('Master data'!B:B,MATCH($M23,'Master data'!$CL:$CL,0))</f>
        <v>Netherlands</v>
      </c>
      <c r="P23" s="17" t="str">
        <f>INDEX('Master data'!C:C,MATCH($M23,'Master data'!$CL:$CL,0))</f>
        <v>Defense</v>
      </c>
      <c r="Q23" s="21">
        <f>INDEX('Master data'!G:G,MATCH($M23,'Master data'!$CL:$CL,0))</f>
        <v>4000000</v>
      </c>
      <c r="R23" s="21">
        <f>INDEX('Master data'!AK:AK,MATCH($A23,'Master data'!$CL:$CL,0))</f>
        <v>62144.238246206056</v>
      </c>
      <c r="S23" s="18">
        <f>INDEX('Master data'!BY:BY,MATCH($A23,'Master data'!$CL:$CL,0))</f>
        <v>219989.8869844107</v>
      </c>
      <c r="T23" s="21">
        <f>INDEX('Master data'!CG:CG,MATCH($M23,'Master data'!$CL:$CL,0))</f>
        <v>0</v>
      </c>
      <c r="U23" s="21">
        <f>INDEX('Master data'!CI:CI,MATCH($M23,'Master data'!$CL:$CL,0))</f>
        <v>4000000</v>
      </c>
      <c r="V23" s="22">
        <f>INDEX('Master data'!CJ:CJ,MATCH($M23,'Master data'!$CL:$CL,0))</f>
        <v>5.4997471746102672E-2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>
      <c r="A24" s="20">
        <f t="shared" si="0"/>
        <v>22</v>
      </c>
      <c r="B24" s="20" t="str">
        <f>INDEX('Master data'!A:A,MATCH($A24,'Master data'!$CK:$CK,0))</f>
        <v>Tim Krul</v>
      </c>
      <c r="C24" s="20" t="str">
        <f>INDEX('Master data'!B:B,MATCH($A24,'Master data'!$CK:$CK,0))</f>
        <v>Netherlands</v>
      </c>
      <c r="D24" s="17" t="str">
        <f>INDEX('Master data'!C:C,MATCH($A24,'Master data'!$CK:$CK,0))</f>
        <v>Goalkeeper</v>
      </c>
      <c r="E24" s="21">
        <f>INDEX('Master data'!G:G,MATCH($A24,'Master data'!$CK:$CK,0))</f>
        <v>5000000</v>
      </c>
      <c r="F24" s="21">
        <f>INDEX('Master data'!AK:AK,MATCH($A24,'Master data'!$CK:$CK,0))</f>
        <v>71475.736216007135</v>
      </c>
      <c r="G24" s="18">
        <f>INDEX('Master data'!BY:BY,MATCH($A24,'Master data'!$CK:$CK,0))</f>
        <v>243429.55390490097</v>
      </c>
      <c r="H24" s="21">
        <f>INDEX('Master data'!CG:CG,MATCH($A24,'Master data'!$CK:$CK,0))</f>
        <v>0</v>
      </c>
      <c r="I24" s="21">
        <f>INDEX('Master data'!CI:CI,MATCH($A24,'Master data'!$CK:$CK,0))</f>
        <v>5000000</v>
      </c>
      <c r="J24" s="22">
        <f>INDEX('Master data'!CJ:CJ,MATCH($A24,'Master data'!$CK:$CK,0))</f>
        <v>4.8685910780980196E-2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Jordi Alba</v>
      </c>
      <c r="O24" s="20" t="str">
        <f>INDEX('Master data'!B:B,MATCH($M24,'Master data'!$CL:$CL,0))</f>
        <v>Spain</v>
      </c>
      <c r="P24" s="17" t="str">
        <f>INDEX('Master data'!C:C,MATCH($M24,'Master data'!$CL:$CL,0))</f>
        <v>Defense</v>
      </c>
      <c r="Q24" s="21">
        <f>INDEX('Master data'!G:G,MATCH($M24,'Master data'!$CL:$CL,0))</f>
        <v>4500000</v>
      </c>
      <c r="R24" s="21">
        <f>INDEX('Master data'!AK:AK,MATCH($A24,'Master data'!$CL:$CL,0))</f>
        <v>75603.989088420058</v>
      </c>
      <c r="S24" s="18">
        <f>INDEX('Master data'!BY:BY,MATCH($A24,'Master data'!$CL:$CL,0))</f>
        <v>242262.86455890504</v>
      </c>
      <c r="T24" s="21">
        <f>INDEX('Master data'!CG:CG,MATCH($M24,'Master data'!$CL:$CL,0))</f>
        <v>0</v>
      </c>
      <c r="U24" s="21">
        <f>INDEX('Master data'!CI:CI,MATCH($M24,'Master data'!$CL:$CL,0))</f>
        <v>4500000</v>
      </c>
      <c r="V24" s="22">
        <f>INDEX('Master data'!CJ:CJ,MATCH($M24,'Master data'!$CL:$CL,0))</f>
        <v>5.383619212420112E-2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>
      <c r="A25" s="20">
        <f t="shared" si="0"/>
        <v>23</v>
      </c>
      <c r="B25" s="20" t="str">
        <f>INDEX('Master data'!A:A,MATCH($A25,'Master data'!$CK:$CK,0))</f>
        <v>Jordi Alba</v>
      </c>
      <c r="C25" s="20" t="str">
        <f>INDEX('Master data'!B:B,MATCH($A25,'Master data'!$CK:$CK,0))</f>
        <v>Spain</v>
      </c>
      <c r="D25" s="17" t="str">
        <f>INDEX('Master data'!C:C,MATCH($A25,'Master data'!$CK:$CK,0))</f>
        <v>Defense</v>
      </c>
      <c r="E25" s="21">
        <f>INDEX('Master data'!G:G,MATCH($A25,'Master data'!$CK:$CK,0))</f>
        <v>4500000</v>
      </c>
      <c r="F25" s="21">
        <f>INDEX('Master data'!AK:AK,MATCH($A25,'Master data'!$CK:$CK,0))</f>
        <v>75603.989088420058</v>
      </c>
      <c r="G25" s="18">
        <f>INDEX('Master data'!BY:BY,MATCH($A25,'Master data'!$CK:$CK,0))</f>
        <v>242262.86455890504</v>
      </c>
      <c r="H25" s="21">
        <f>INDEX('Master data'!CG:CG,MATCH($A25,'Master data'!$CK:$CK,0))</f>
        <v>0</v>
      </c>
      <c r="I25" s="21">
        <f>INDEX('Master data'!CI:CI,MATCH($A25,'Master data'!$CK:$CK,0))</f>
        <v>4500000</v>
      </c>
      <c r="J25" s="22">
        <f>INDEX('Master data'!CJ:CJ,MATCH($A25,'Master data'!$CK:$CK,0))</f>
        <v>5.383619212420112E-2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Federico Chiesa</v>
      </c>
      <c r="O25" s="20" t="str">
        <f>INDEX('Master data'!B:B,MATCH($M25,'Master data'!$CL:$CL,0))</f>
        <v>Italy</v>
      </c>
      <c r="P25" s="17" t="str">
        <f>INDEX('Master data'!C:C,MATCH($M25,'Master data'!$CL:$CL,0))</f>
        <v>Midfield</v>
      </c>
      <c r="Q25" s="21">
        <f>INDEX('Master data'!G:G,MATCH($M25,'Master data'!$CL:$CL,0))</f>
        <v>4500000</v>
      </c>
      <c r="R25" s="21">
        <f>INDEX('Master data'!AK:AK,MATCH($A25,'Master data'!$CL:$CL,0))</f>
        <v>80287.30021310538</v>
      </c>
      <c r="S25" s="18">
        <f>INDEX('Master data'!BY:BY,MATCH($A25,'Master data'!$CL:$CL,0))</f>
        <v>241044.81980058755</v>
      </c>
      <c r="T25" s="21">
        <f>INDEX('Master data'!CG:CG,MATCH($M25,'Master data'!$CL:$CL,0))</f>
        <v>0</v>
      </c>
      <c r="U25" s="21">
        <f>INDEX('Master data'!CI:CI,MATCH($M25,'Master data'!$CL:$CL,0))</f>
        <v>4500000</v>
      </c>
      <c r="V25" s="22">
        <f>INDEX('Master data'!CJ:CJ,MATCH($M25,'Master data'!$CL:$CL,0))</f>
        <v>5.3565515511241675E-2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>
      <c r="A26" s="20">
        <f t="shared" si="0"/>
        <v>24</v>
      </c>
      <c r="B26" s="20" t="str">
        <f>INDEX('Master data'!A:A,MATCH($A26,'Master data'!$CK:$CK,0))</f>
        <v>Federico Chiesa</v>
      </c>
      <c r="C26" s="20" t="str">
        <f>INDEX('Master data'!B:B,MATCH($A26,'Master data'!$CK:$CK,0))</f>
        <v>Italy</v>
      </c>
      <c r="D26" s="17" t="str">
        <f>INDEX('Master data'!C:C,MATCH($A26,'Master data'!$CK:$CK,0))</f>
        <v>Midfield</v>
      </c>
      <c r="E26" s="21">
        <f>INDEX('Master data'!G:G,MATCH($A26,'Master data'!$CK:$CK,0))</f>
        <v>4500000</v>
      </c>
      <c r="F26" s="21">
        <f>INDEX('Master data'!AK:AK,MATCH($A26,'Master data'!$CK:$CK,0))</f>
        <v>80287.30021310538</v>
      </c>
      <c r="G26" s="18">
        <f>INDEX('Master data'!BY:BY,MATCH($A26,'Master data'!$CK:$CK,0))</f>
        <v>241044.81980058755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5.3565515511241675E-2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Francesco Acerbi</v>
      </c>
      <c r="O26" s="20" t="str">
        <f>INDEX('Master data'!B:B,MATCH($M26,'Master data'!$CL:$CL,0))</f>
        <v>Italy</v>
      </c>
      <c r="P26" s="17" t="str">
        <f>INDEX('Master data'!C:C,MATCH($M26,'Master data'!$CL:$CL,0))</f>
        <v>Defense</v>
      </c>
      <c r="Q26" s="21">
        <f>INDEX('Master data'!G:G,MATCH($M26,'Master data'!$CL:$CL,0))</f>
        <v>3500000</v>
      </c>
      <c r="R26" s="21">
        <f>INDEX('Master data'!AK:AK,MATCH($A26,'Master data'!$CL:$CL,0))</f>
        <v>63027.142699840821</v>
      </c>
      <c r="S26" s="18">
        <f>INDEX('Master data'!BY:BY,MATCH($A26,'Master data'!$CL:$CL,0))</f>
        <v>184804.53798460559</v>
      </c>
      <c r="T26" s="21">
        <f>INDEX('Master data'!CG:CG,MATCH($M26,'Master data'!$CL:$CL,0))</f>
        <v>0</v>
      </c>
      <c r="U26" s="21">
        <f>INDEX('Master data'!CI:CI,MATCH($M26,'Master data'!$CL:$CL,0))</f>
        <v>3500000</v>
      </c>
      <c r="V26" s="22">
        <f>INDEX('Master data'!CJ:CJ,MATCH($M26,'Master data'!$CL:$CL,0))</f>
        <v>5.280129656703017E-2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>
      <c r="A27" s="20">
        <f t="shared" si="0"/>
        <v>25</v>
      </c>
      <c r="B27" s="20" t="str">
        <f>INDEX('Master data'!A:A,MATCH($A27,'Master data'!$CK:$CK,0))</f>
        <v>Leonardo Spinazzola</v>
      </c>
      <c r="C27" s="20" t="str">
        <f>INDEX('Master data'!B:B,MATCH($A27,'Master data'!$CK:$CK,0))</f>
        <v>Italy</v>
      </c>
      <c r="D27" s="17" t="str">
        <f>INDEX('Master data'!C:C,MATCH($A27,'Master data'!$CK:$CK,0))</f>
        <v>Defense</v>
      </c>
      <c r="E27" s="21">
        <f>INDEX('Master data'!G:G,MATCH($A27,'Master data'!$CK:$CK,0))</f>
        <v>3500000</v>
      </c>
      <c r="F27" s="21">
        <f>INDEX('Master data'!AK:AK,MATCH($A27,'Master data'!$CK:$CK,0))</f>
        <v>79494.686154368159</v>
      </c>
      <c r="G27" s="18">
        <f>INDEX('Master data'!BY:BY,MATCH($A27,'Master data'!$CK:$CK,0))</f>
        <v>234522.29318219633</v>
      </c>
      <c r="H27" s="21">
        <f>INDEX('Master data'!CG:CG,MATCH($A27,'Master data'!$CK:$CK,0))</f>
        <v>0</v>
      </c>
      <c r="I27" s="21">
        <f>INDEX('Master data'!CI:CI,MATCH($A27,'Master data'!$CK:$CK,0))</f>
        <v>3500000</v>
      </c>
      <c r="J27" s="22">
        <f>INDEX('Master data'!CJ:CJ,MATCH($A27,'Master data'!$CK:$CK,0))</f>
        <v>6.700636948062752E-2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Phil Foden</v>
      </c>
      <c r="O27" s="20" t="str">
        <f>INDEX('Master data'!B:B,MATCH($M27,'Master data'!$CL:$CL,0))</f>
        <v>England</v>
      </c>
      <c r="P27" s="17" t="str">
        <f>INDEX('Master data'!C:C,MATCH($M27,'Master data'!$CL:$CL,0))</f>
        <v>Striker</v>
      </c>
      <c r="Q27" s="21">
        <f>INDEX('Master data'!G:G,MATCH($M27,'Master data'!$CL:$CL,0))</f>
        <v>5500000</v>
      </c>
      <c r="R27" s="21">
        <f>INDEX('Master data'!AK:AK,MATCH($A27,'Master data'!$CL:$CL,0))</f>
        <v>77400.8556472442</v>
      </c>
      <c r="S27" s="18">
        <f>INDEX('Master data'!BY:BY,MATCH($A27,'Master data'!$CL:$CL,0))</f>
        <v>288935.89656073536</v>
      </c>
      <c r="T27" s="21">
        <f>INDEX('Master data'!CG:CG,MATCH($M27,'Master data'!$CL:$CL,0))</f>
        <v>0</v>
      </c>
      <c r="U27" s="21">
        <f>INDEX('Master data'!CI:CI,MATCH($M27,'Master data'!$CL:$CL,0))</f>
        <v>5500000</v>
      </c>
      <c r="V27" s="22">
        <f>INDEX('Master data'!CJ:CJ,MATCH($M27,'Master data'!$CL:$CL,0))</f>
        <v>5.2533799374679155E-2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>
      <c r="A28" s="20">
        <f t="shared" si="0"/>
        <v>26</v>
      </c>
      <c r="B28" s="20" t="str">
        <f>INDEX('Master data'!A:A,MATCH($A28,'Master data'!$CK:$CK,0))</f>
        <v>John Stones</v>
      </c>
      <c r="C28" s="20" t="str">
        <f>INDEX('Master data'!B:B,MATCH($A28,'Master data'!$CK:$CK,0))</f>
        <v>England</v>
      </c>
      <c r="D28" s="17" t="str">
        <f>INDEX('Master data'!C:C,MATCH($A28,'Master data'!$CK:$CK,0))</f>
        <v>Defense</v>
      </c>
      <c r="E28" s="21">
        <f>INDEX('Master data'!G:G,MATCH($A28,'Master data'!$CK:$CK,0))</f>
        <v>4000000</v>
      </c>
      <c r="F28" s="21">
        <f>INDEX('Master data'!AK:AK,MATCH($A28,'Master data'!$CK:$CK,0))</f>
        <v>66728.559096597397</v>
      </c>
      <c r="G28" s="18">
        <f>INDEX('Master data'!BY:BY,MATCH($A28,'Master data'!$CK:$CK,0))</f>
        <v>232148.92408018117</v>
      </c>
      <c r="H28" s="21">
        <f>INDEX('Master data'!CG:CG,MATCH($A28,'Master data'!$CK:$CK,0))</f>
        <v>0</v>
      </c>
      <c r="I28" s="21">
        <f>INDEX('Master data'!CI:CI,MATCH($A28,'Master data'!$CK:$CK,0))</f>
        <v>4000000</v>
      </c>
      <c r="J28" s="22">
        <f>INDEX('Master data'!CJ:CJ,MATCH($A28,'Master data'!$CK:$CK,0))</f>
        <v>5.8037231020045293E-2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Dani Olmo</v>
      </c>
      <c r="O28" s="20" t="str">
        <f>INDEX('Master data'!B:B,MATCH($M28,'Master data'!$CL:$CL,0))</f>
        <v>Spain</v>
      </c>
      <c r="P28" s="17" t="str">
        <f>INDEX('Master data'!C:C,MATCH($M28,'Master data'!$CL:$CL,0))</f>
        <v>Striker</v>
      </c>
      <c r="Q28" s="21">
        <f>INDEX('Master data'!G:G,MATCH($M28,'Master data'!$CL:$CL,0))</f>
        <v>5000000</v>
      </c>
      <c r="R28" s="21">
        <f>INDEX('Master data'!AK:AK,MATCH($A28,'Master data'!$CL:$CL,0))</f>
        <v>78122.072877285274</v>
      </c>
      <c r="S28" s="18">
        <f>INDEX('Master data'!BY:BY,MATCH($A28,'Master data'!$CL:$CL,0))</f>
        <v>261311.04285848018</v>
      </c>
      <c r="T28" s="21">
        <f>INDEX('Master data'!CG:CG,MATCH($M28,'Master data'!$CL:$CL,0))</f>
        <v>0</v>
      </c>
      <c r="U28" s="21">
        <f>INDEX('Master data'!CI:CI,MATCH($M28,'Master data'!$CL:$CL,0))</f>
        <v>5000000</v>
      </c>
      <c r="V28" s="22">
        <f>INDEX('Master data'!CJ:CJ,MATCH($M28,'Master data'!$CL:$CL,0))</f>
        <v>5.2262208571696035E-2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>
      <c r="A29" s="20">
        <f t="shared" si="0"/>
        <v>27</v>
      </c>
      <c r="B29" s="20" t="str">
        <f>INDEX('Master data'!A:A,MATCH($A29,'Master data'!$CK:$CK,0))</f>
        <v>Dean Henderson</v>
      </c>
      <c r="C29" s="20" t="str">
        <f>INDEX('Master data'!B:B,MATCH($A29,'Master data'!$CK:$CK,0))</f>
        <v>England</v>
      </c>
      <c r="D29" s="17" t="str">
        <f>INDEX('Master data'!C:C,MATCH($A29,'Master data'!$CK:$CK,0))</f>
        <v>Goalkeeper</v>
      </c>
      <c r="E29" s="21">
        <f>INDEX('Master data'!G:G,MATCH($A29,'Master data'!$CK:$CK,0))</f>
        <v>5000000</v>
      </c>
      <c r="F29" s="21">
        <f>INDEX('Master data'!AK:AK,MATCH($A29,'Master data'!$CK:$CK,0))</f>
        <v>70693.947988478481</v>
      </c>
      <c r="G29" s="18">
        <f>INDEX('Master data'!BY:BY,MATCH($A29,'Master data'!$CK:$CK,0))</f>
        <v>231286.56063540629</v>
      </c>
      <c r="H29" s="21">
        <f>INDEX('Master data'!CG:CG,MATCH($A29,'Master data'!$CK:$CK,0))</f>
        <v>0</v>
      </c>
      <c r="I29" s="21">
        <f>INDEX('Master data'!CI:CI,MATCH($A29,'Master data'!$CK:$CK,0))</f>
        <v>5000000</v>
      </c>
      <c r="J29" s="22">
        <f>INDEX('Master data'!CJ:CJ,MATCH($A29,'Master data'!$CK:$CK,0))</f>
        <v>4.6257312127081257E-2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Umut Meraş</v>
      </c>
      <c r="O29" s="20" t="str">
        <f>INDEX('Master data'!B:B,MATCH($M29,'Master data'!$CL:$CL,0))</f>
        <v>Turkey</v>
      </c>
      <c r="P29" s="17" t="str">
        <f>INDEX('Master data'!C:C,MATCH($M29,'Master data'!$CL:$CL,0))</f>
        <v>Defense</v>
      </c>
      <c r="Q29" s="21">
        <f>INDEX('Master data'!G:G,MATCH($M29,'Master data'!$CL:$CL,0))</f>
        <v>2500000</v>
      </c>
      <c r="R29" s="21">
        <f>INDEX('Master data'!AK:AK,MATCH($A29,'Master data'!$CL:$CL,0))</f>
        <v>17672.838158813389</v>
      </c>
      <c r="S29" s="18">
        <f>INDEX('Master data'!BY:BY,MATCH($A29,'Master data'!$CL:$CL,0))</f>
        <v>129356.25893719462</v>
      </c>
      <c r="T29" s="21">
        <f>INDEX('Master data'!CG:CG,MATCH($M29,'Master data'!$CL:$CL,0))</f>
        <v>0</v>
      </c>
      <c r="U29" s="21">
        <f>INDEX('Master data'!CI:CI,MATCH($M29,'Master data'!$CL:$CL,0))</f>
        <v>2500000</v>
      </c>
      <c r="V29" s="22">
        <f>INDEX('Master data'!CJ:CJ,MATCH($M29,'Master data'!$CL:$CL,0))</f>
        <v>5.1742503574877849E-2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>
      <c r="A30" s="20">
        <f t="shared" si="0"/>
        <v>28</v>
      </c>
      <c r="B30" s="20" t="str">
        <f>INDEX('Master data'!A:A,MATCH($A30,'Master data'!$CK:$CK,0))</f>
        <v>Pau Torres</v>
      </c>
      <c r="C30" s="20" t="str">
        <f>INDEX('Master data'!B:B,MATCH($A30,'Master data'!$CK:$CK,0))</f>
        <v>Spain</v>
      </c>
      <c r="D30" s="17" t="str">
        <f>INDEX('Master data'!C:C,MATCH($A30,'Master data'!$CK:$CK,0))</f>
        <v>Defense</v>
      </c>
      <c r="E30" s="21">
        <f>INDEX('Master data'!G:G,MATCH($A30,'Master data'!$CK:$CK,0))</f>
        <v>3000000</v>
      </c>
      <c r="F30" s="21">
        <f>INDEX('Master data'!AK:AK,MATCH($A30,'Master data'!$CK:$CK,0))</f>
        <v>73026.620211010028</v>
      </c>
      <c r="G30" s="18">
        <f>INDEX('Master data'!BY:BY,MATCH($A30,'Master data'!$CK:$CK,0))</f>
        <v>231120.22549036914</v>
      </c>
      <c r="H30" s="21">
        <f>INDEX('Master data'!CG:CG,MATCH($A30,'Master data'!$CK:$CK,0))</f>
        <v>0</v>
      </c>
      <c r="I30" s="21">
        <f>INDEX('Master data'!CI:CI,MATCH($A30,'Master data'!$CK:$CK,0))</f>
        <v>3000000</v>
      </c>
      <c r="J30" s="22">
        <f>INDEX('Master data'!CJ:CJ,MATCH($A30,'Master data'!$CK:$CK,0))</f>
        <v>7.7040075163456373E-2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David de Gea</v>
      </c>
      <c r="O30" s="20" t="str">
        <f>INDEX('Master data'!B:B,MATCH($M30,'Master data'!$CL:$CL,0))</f>
        <v>Spain</v>
      </c>
      <c r="P30" s="17" t="str">
        <f>INDEX('Master data'!C:C,MATCH($M30,'Master data'!$CL:$CL,0))</f>
        <v>Goalkeeper</v>
      </c>
      <c r="Q30" s="21">
        <f>INDEX('Master data'!G:G,MATCH($M30,'Master data'!$CL:$CL,0))</f>
        <v>5000000</v>
      </c>
      <c r="R30" s="21">
        <f>INDEX('Master data'!AK:AK,MATCH($A30,'Master data'!$CL:$CL,0))</f>
        <v>82622.488713159255</v>
      </c>
      <c r="S30" s="18">
        <f>INDEX('Master data'!BY:BY,MATCH($A30,'Master data'!$CL:$CL,0))</f>
        <v>255012.4576543154</v>
      </c>
      <c r="T30" s="21">
        <f>INDEX('Master data'!CG:CG,MATCH($M30,'Master data'!$CL:$CL,0))</f>
        <v>0</v>
      </c>
      <c r="U30" s="21">
        <f>INDEX('Master data'!CI:CI,MATCH($M30,'Master data'!$CL:$CL,0))</f>
        <v>5000000</v>
      </c>
      <c r="V30" s="22">
        <f>INDEX('Master data'!CJ:CJ,MATCH($M30,'Master data'!$CL:$CL,0))</f>
        <v>5.100249153086308E-2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>
      <c r="A31" s="20">
        <f t="shared" si="0"/>
        <v>29</v>
      </c>
      <c r="B31" s="20" t="str">
        <f>INDEX('Master data'!A:A,MATCH($A31,'Master data'!$CK:$CK,0))</f>
        <v>Robin Gosens</v>
      </c>
      <c r="C31" s="20" t="str">
        <f>INDEX('Master data'!B:B,MATCH($A31,'Master data'!$CK:$CK,0))</f>
        <v>Germany</v>
      </c>
      <c r="D31" s="17" t="str">
        <f>INDEX('Master data'!C:C,MATCH($A31,'Master data'!$CK:$CK,0))</f>
        <v>Defense</v>
      </c>
      <c r="E31" s="21">
        <f>INDEX('Master data'!G:G,MATCH($A31,'Master data'!$CK:$CK,0))</f>
        <v>5000000</v>
      </c>
      <c r="F31" s="21">
        <f>INDEX('Master data'!AK:AK,MATCH($A31,'Master data'!$CK:$CK,0))</f>
        <v>51138.104365527091</v>
      </c>
      <c r="G31" s="18">
        <f>INDEX('Master data'!BY:BY,MATCH($A31,'Master data'!$CK:$CK,0))</f>
        <v>230998.04570640181</v>
      </c>
      <c r="H31" s="21">
        <f>INDEX('Master data'!CG:CG,MATCH($A31,'Master data'!$CK:$CK,0))</f>
        <v>0</v>
      </c>
      <c r="I31" s="21">
        <f>INDEX('Master data'!CI:CI,MATCH($A31,'Master data'!$CK:$CK,0))</f>
        <v>5000000</v>
      </c>
      <c r="J31" s="22">
        <f>INDEX('Master data'!CJ:CJ,MATCH($A31,'Master data'!$CK:$CK,0))</f>
        <v>4.6199609141280365E-2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Thomas Vermaelen</v>
      </c>
      <c r="O31" s="20" t="str">
        <f>INDEX('Master data'!B:B,MATCH($M31,'Master data'!$CL:$CL,0))</f>
        <v>Belgium</v>
      </c>
      <c r="P31" s="17" t="str">
        <f>INDEX('Master data'!C:C,MATCH($M31,'Master data'!$CL:$CL,0))</f>
        <v>Defense</v>
      </c>
      <c r="Q31" s="21">
        <f>INDEX('Master data'!G:G,MATCH($M31,'Master data'!$CL:$CL,0))</f>
        <v>4000000</v>
      </c>
      <c r="R31" s="21">
        <f>INDEX('Master data'!AK:AK,MATCH($A31,'Master data'!$CL:$CL,0))</f>
        <v>62274.194956473897</v>
      </c>
      <c r="S31" s="18">
        <f>INDEX('Master data'!BY:BY,MATCH($A31,'Master data'!$CL:$CL,0))</f>
        <v>203528.98205514799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5.0882245513786999E-2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>
      <c r="A32" s="20">
        <f t="shared" si="0"/>
        <v>30</v>
      </c>
      <c r="B32" s="20" t="str">
        <f>INDEX('Master data'!A:A,MATCH($A32,'Master data'!$CK:$CK,0))</f>
        <v>Gianluigi Donnarumma</v>
      </c>
      <c r="C32" s="20" t="str">
        <f>INDEX('Master data'!B:B,MATCH($A32,'Master data'!$CK:$CK,0))</f>
        <v>Italy</v>
      </c>
      <c r="D32" s="17" t="str">
        <f>INDEX('Master data'!C:C,MATCH($A32,'Master data'!$CK:$CK,0))</f>
        <v>Goalkeeper</v>
      </c>
      <c r="E32" s="21">
        <f>INDEX('Master data'!G:G,MATCH($A32,'Master data'!$CK:$CK,0))</f>
        <v>5000000</v>
      </c>
      <c r="F32" s="21">
        <f>INDEX('Master data'!AK:AK,MATCH($A32,'Master data'!$CK:$CK,0))</f>
        <v>77102.145176126287</v>
      </c>
      <c r="G32" s="18">
        <f>INDEX('Master data'!BY:BY,MATCH($A32,'Master data'!$CK:$CK,0))</f>
        <v>226733.72487780621</v>
      </c>
      <c r="H32" s="21">
        <f>INDEX('Master data'!CG:CG,MATCH($A32,'Master data'!$CK:$CK,0))</f>
        <v>0</v>
      </c>
      <c r="I32" s="21">
        <f>INDEX('Master data'!CI:CI,MATCH($A32,'Master data'!$CK:$CK,0))</f>
        <v>5000000</v>
      </c>
      <c r="J32" s="22">
        <f>INDEX('Master data'!CJ:CJ,MATCH($A32,'Master data'!$CK:$CK,0))</f>
        <v>4.5346744975561244E-2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Oleksandr Karavayev</v>
      </c>
      <c r="O32" s="20" t="str">
        <f>INDEX('Master data'!B:B,MATCH($M32,'Master data'!$CL:$CL,0))</f>
        <v>Ukraine</v>
      </c>
      <c r="P32" s="17" t="str">
        <f>INDEX('Master data'!C:C,MATCH($M32,'Master data'!$CL:$CL,0))</f>
        <v>Defense</v>
      </c>
      <c r="Q32" s="21">
        <f>INDEX('Master data'!G:G,MATCH($M32,'Master data'!$CL:$CL,0))</f>
        <v>3000000</v>
      </c>
      <c r="R32" s="21">
        <f>INDEX('Master data'!AK:AK,MATCH($A32,'Master data'!$CL:$CL,0))</f>
        <v>21078.711220255751</v>
      </c>
      <c r="S32" s="18">
        <f>INDEX('Master data'!BY:BY,MATCH($A32,'Master data'!$CL:$CL,0))</f>
        <v>151430.79718039872</v>
      </c>
      <c r="T32" s="21">
        <f>INDEX('Master data'!CG:CG,MATCH($M32,'Master data'!$CL:$CL,0))</f>
        <v>0</v>
      </c>
      <c r="U32" s="21">
        <f>INDEX('Master data'!CI:CI,MATCH($M32,'Master data'!$CL:$CL,0))</f>
        <v>3000000</v>
      </c>
      <c r="V32" s="22">
        <f>INDEX('Master data'!CJ:CJ,MATCH($M32,'Master data'!$CL:$CL,0))</f>
        <v>5.0476932393466241E-2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>
      <c r="A33" s="20">
        <f t="shared" si="0"/>
        <v>31</v>
      </c>
      <c r="B33" s="20" t="str">
        <f>INDEX('Master data'!A:A,MATCH($A33,'Master data'!$CK:$CK,0))</f>
        <v>Leroy Sané</v>
      </c>
      <c r="C33" s="20" t="str">
        <f>INDEX('Master data'!B:B,MATCH($A33,'Master data'!$CK:$CK,0))</f>
        <v>Germany</v>
      </c>
      <c r="D33" s="17" t="str">
        <f>INDEX('Master data'!C:C,MATCH($A33,'Master data'!$CK:$CK,0))</f>
        <v>Striker</v>
      </c>
      <c r="E33" s="21">
        <f>INDEX('Master data'!G:G,MATCH($A33,'Master data'!$CK:$CK,0))</f>
        <v>7500000</v>
      </c>
      <c r="F33" s="21">
        <f>INDEX('Master data'!AK:AK,MATCH($A33,'Master data'!$CK:$CK,0))</f>
        <v>49957.31657155916</v>
      </c>
      <c r="G33" s="18">
        <f>INDEX('Master data'!BY:BY,MATCH($A33,'Master data'!$CK:$CK,0))</f>
        <v>226521.48809480481</v>
      </c>
      <c r="H33" s="21">
        <f>INDEX('Master data'!CG:CG,MATCH($A33,'Master data'!$CK:$CK,0))</f>
        <v>0</v>
      </c>
      <c r="I33" s="21">
        <f>INDEX('Master data'!CI:CI,MATCH($A33,'Master data'!$CK:$CK,0))</f>
        <v>7500000</v>
      </c>
      <c r="J33" s="22">
        <f>INDEX('Master data'!CJ:CJ,MATCH($A33,'Master data'!$CK:$CK,0))</f>
        <v>3.0202865079307306E-2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Alessandro Florenzi</v>
      </c>
      <c r="O33" s="20" t="str">
        <f>INDEX('Master data'!B:B,MATCH($M33,'Master data'!$CL:$CL,0))</f>
        <v>Italy</v>
      </c>
      <c r="P33" s="17" t="str">
        <f>INDEX('Master data'!C:C,MATCH($M33,'Master data'!$CL:$CL,0))</f>
        <v>Defense</v>
      </c>
      <c r="Q33" s="21">
        <f>INDEX('Master data'!G:G,MATCH($M33,'Master data'!$CL:$CL,0))</f>
        <v>4500000</v>
      </c>
      <c r="R33" s="21">
        <f>INDEX('Master data'!AK:AK,MATCH($A33,'Master data'!$CL:$CL,0))</f>
        <v>76610.817141125954</v>
      </c>
      <c r="S33" s="18">
        <f>INDEX('Master data'!BY:BY,MATCH($A33,'Master data'!$CL:$CL,0))</f>
        <v>225813.29904742676</v>
      </c>
      <c r="T33" s="21">
        <f>INDEX('Master data'!CG:CG,MATCH($M33,'Master data'!$CL:$CL,0))</f>
        <v>0</v>
      </c>
      <c r="U33" s="21">
        <f>INDEX('Master data'!CI:CI,MATCH($M33,'Master data'!$CL:$CL,0))</f>
        <v>4500000</v>
      </c>
      <c r="V33" s="22">
        <f>INDEX('Master data'!CJ:CJ,MATCH($M33,'Master data'!$CL:$CL,0))</f>
        <v>5.0180733121650389E-2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>
      <c r="A34" s="20">
        <f t="shared" si="0"/>
        <v>32</v>
      </c>
      <c r="B34" s="20" t="str">
        <f>INDEX('Master data'!A:A,MATCH($A34,'Master data'!$CK:$CK,0))</f>
        <v>Robert Lewandowski</v>
      </c>
      <c r="C34" s="20" t="str">
        <f>INDEX('Master data'!B:B,MATCH($A34,'Master data'!$CK:$CK,0))</f>
        <v>Poland</v>
      </c>
      <c r="D34" s="17" t="str">
        <f>INDEX('Master data'!C:C,MATCH($A34,'Master data'!$CK:$CK,0))</f>
        <v>Striker</v>
      </c>
      <c r="E34" s="21">
        <f>INDEX('Master data'!G:G,MATCH($A34,'Master data'!$CK:$CK,0))</f>
        <v>7500000</v>
      </c>
      <c r="F34" s="21">
        <f>INDEX('Master data'!AK:AK,MATCH($A34,'Master data'!$CK:$CK,0))</f>
        <v>111171.02460713914</v>
      </c>
      <c r="G34" s="18">
        <f>INDEX('Master data'!BY:BY,MATCH($A34,'Master data'!$CK:$CK,0))</f>
        <v>226048.49078461988</v>
      </c>
      <c r="H34" s="21">
        <f>INDEX('Master data'!CG:CG,MATCH($A34,'Master data'!$CK:$CK,0))</f>
        <v>0</v>
      </c>
      <c r="I34" s="21">
        <f>INDEX('Master data'!CI:CI,MATCH($A34,'Master data'!$CK:$CK,0))</f>
        <v>7500000</v>
      </c>
      <c r="J34" s="22">
        <f>INDEX('Master data'!CJ:CJ,MATCH($A34,'Master data'!$CK:$CK,0))</f>
        <v>3.0139798771282651E-2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Frenkie de Jong</v>
      </c>
      <c r="O34" s="20" t="str">
        <f>INDEX('Master data'!B:B,MATCH($M34,'Master data'!$CL:$CL,0))</f>
        <v>Netherlands</v>
      </c>
      <c r="P34" s="17" t="str">
        <f>INDEX('Master data'!C:C,MATCH($M34,'Master data'!$CL:$CL,0))</f>
        <v>Midfield</v>
      </c>
      <c r="Q34" s="21">
        <f>INDEX('Master data'!G:G,MATCH($M34,'Master data'!$CL:$CL,0))</f>
        <v>4000000</v>
      </c>
      <c r="R34" s="21">
        <f>INDEX('Master data'!AK:AK,MATCH($A34,'Master data'!$CL:$CL,0))</f>
        <v>53818.920926771207</v>
      </c>
      <c r="S34" s="18">
        <f>INDEX('Master data'!BY:BY,MATCH($A34,'Master data'!$CL:$CL,0))</f>
        <v>198975.25204688811</v>
      </c>
      <c r="T34" s="21">
        <f>INDEX('Master data'!CG:CG,MATCH($M34,'Master data'!$CL:$CL,0))</f>
        <v>0</v>
      </c>
      <c r="U34" s="21">
        <f>INDEX('Master data'!CI:CI,MATCH($M34,'Master data'!$CL:$CL,0))</f>
        <v>4000000</v>
      </c>
      <c r="V34" s="22">
        <f>INDEX('Master data'!CJ:CJ,MATCH($M34,'Master data'!$CL:$CL,0))</f>
        <v>4.9743813011722031E-2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>
      <c r="A35" s="20">
        <f t="shared" si="0"/>
        <v>33</v>
      </c>
      <c r="B35" s="20" t="str">
        <f>INDEX('Master data'!A:A,MATCH($A35,'Master data'!$CK:$CK,0))</f>
        <v>Alessandro Florenzi</v>
      </c>
      <c r="C35" s="20" t="str">
        <f>INDEX('Master data'!B:B,MATCH($A35,'Master data'!$CK:$CK,0))</f>
        <v>Italy</v>
      </c>
      <c r="D35" s="17" t="str">
        <f>INDEX('Master data'!C:C,MATCH($A35,'Master data'!$CK:$CK,0))</f>
        <v>Defense</v>
      </c>
      <c r="E35" s="21">
        <f>INDEX('Master data'!G:G,MATCH($A35,'Master data'!$CK:$CK,0))</f>
        <v>4500000</v>
      </c>
      <c r="F35" s="21">
        <f>INDEX('Master data'!AK:AK,MATCH($A35,'Master data'!$CK:$CK,0))</f>
        <v>76610.817141125954</v>
      </c>
      <c r="G35" s="18">
        <f>INDEX('Master data'!BY:BY,MATCH($A35,'Master data'!$CK:$CK,0))</f>
        <v>225813.29904742676</v>
      </c>
      <c r="H35" s="21">
        <f>INDEX('Master data'!CG:CG,MATCH($A35,'Master data'!$CK:$CK,0))</f>
        <v>0</v>
      </c>
      <c r="I35" s="21">
        <f>INDEX('Master data'!CI:CI,MATCH($A35,'Master data'!$CK:$CK,0))</f>
        <v>4500000</v>
      </c>
      <c r="J35" s="22">
        <f>INDEX('Master data'!CJ:CJ,MATCH($A35,'Master data'!$CK:$CK,0))</f>
        <v>5.0180733121650389E-2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Luuk de Jong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Striker</v>
      </c>
      <c r="Q35" s="21">
        <f>INDEX('Master data'!G:G,MATCH($M35,'Master data'!$CL:$CL,0))</f>
        <v>5500000</v>
      </c>
      <c r="R35" s="21">
        <f>INDEX('Master data'!AK:AK,MATCH($A35,'Master data'!$CL:$CL,0))</f>
        <v>73343.911523571587</v>
      </c>
      <c r="S35" s="18">
        <f>INDEX('Master data'!BY:BY,MATCH($A35,'Master data'!$CL:$CL,0))</f>
        <v>270490.81460282463</v>
      </c>
      <c r="T35" s="21">
        <f>INDEX('Master data'!CG:CG,MATCH($M35,'Master data'!$CL:$CL,0))</f>
        <v>0</v>
      </c>
      <c r="U35" s="21">
        <f>INDEX('Master data'!CI:CI,MATCH($M35,'Master data'!$CL:$CL,0))</f>
        <v>5500000</v>
      </c>
      <c r="V35" s="22">
        <f>INDEX('Master data'!CJ:CJ,MATCH($M35,'Master data'!$CL:$CL,0))</f>
        <v>4.9180148109604478E-2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>
      <c r="A36" s="20">
        <f t="shared" ref="A36:A67" si="2">A35+1</f>
        <v>34</v>
      </c>
      <c r="B36" s="20" t="str">
        <f>INDEX('Master data'!A:A,MATCH($A36,'Master data'!$CK:$CK,0))</f>
        <v>Serge Gnabry</v>
      </c>
      <c r="C36" s="20" t="str">
        <f>INDEX('Master data'!B:B,MATCH($A36,'Master data'!$CK:$CK,0))</f>
        <v>Germany</v>
      </c>
      <c r="D36" s="17" t="str">
        <f>INDEX('Master data'!C:C,MATCH($A36,'Master data'!$CK:$CK,0))</f>
        <v>Striker</v>
      </c>
      <c r="E36" s="21">
        <f>INDEX('Master data'!G:G,MATCH($A36,'Master data'!$CK:$CK,0))</f>
        <v>7500000</v>
      </c>
      <c r="F36" s="21">
        <f>INDEX('Master data'!AK:AK,MATCH($A36,'Master data'!$CK:$CK,0))</f>
        <v>48769.741857344561</v>
      </c>
      <c r="G36" s="18">
        <f>INDEX('Master data'!BY:BY,MATCH($A36,'Master data'!$CK:$CK,0))</f>
        <v>224582.00475934637</v>
      </c>
      <c r="H36" s="21">
        <f>INDEX('Master data'!CG:CG,MATCH($A36,'Master data'!$CK:$CK,0))</f>
        <v>0</v>
      </c>
      <c r="I36" s="21">
        <f>INDEX('Master data'!CI:CI,MATCH($A36,'Master data'!$CK:$CK,0))</f>
        <v>7500000</v>
      </c>
      <c r="J36" s="22">
        <f>INDEX('Master data'!CJ:CJ,MATCH($A36,'Master data'!$CK:$CK,0))</f>
        <v>2.9944267301246181E-2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Eden E. Hazard</v>
      </c>
      <c r="O36" s="20" t="str">
        <f>INDEX('Master data'!B:B,MATCH($M36,'Master data'!$CL:$CL,0))</f>
        <v>Belgium</v>
      </c>
      <c r="P36" s="17" t="str">
        <f>INDEX('Master data'!C:C,MATCH($M36,'Master data'!$CL:$CL,0))</f>
        <v>Striker</v>
      </c>
      <c r="Q36" s="21">
        <f>INDEX('Master data'!G:G,MATCH($M36,'Master data'!$CL:$CL,0))</f>
        <v>6000000</v>
      </c>
      <c r="R36" s="21">
        <f>INDEX('Master data'!AK:AK,MATCH($A36,'Master data'!$CL:$CL,0))</f>
        <v>85619.069224785489</v>
      </c>
      <c r="S36" s="18">
        <f>INDEX('Master data'!BY:BY,MATCH($A36,'Master data'!$CL:$CL,0))</f>
        <v>293305.86164300214</v>
      </c>
      <c r="T36" s="21">
        <f>INDEX('Master data'!CG:CG,MATCH($M36,'Master data'!$CL:$CL,0))</f>
        <v>0</v>
      </c>
      <c r="U36" s="21">
        <f>INDEX('Master data'!CI:CI,MATCH($M36,'Master data'!$CL:$CL,0))</f>
        <v>6000000</v>
      </c>
      <c r="V36" s="22">
        <f>INDEX('Master data'!CJ:CJ,MATCH($M36,'Master data'!$CL:$CL,0))</f>
        <v>4.8884310273833692E-2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>
      <c r="A37" s="20">
        <f t="shared" si="2"/>
        <v>35</v>
      </c>
      <c r="B37" s="20" t="str">
        <f>INDEX('Master data'!A:A,MATCH($A37,'Master data'!$CK:$CK,0))</f>
        <v>Sasa  Kalajdzic</v>
      </c>
      <c r="C37" s="20" t="str">
        <f>INDEX('Master data'!B:B,MATCH($A37,'Master data'!$CK:$CK,0))</f>
        <v>Austria</v>
      </c>
      <c r="D37" s="17" t="str">
        <f>INDEX('Master data'!C:C,MATCH($A37,'Master data'!$CK:$CK,0))</f>
        <v>Striker</v>
      </c>
      <c r="E37" s="21">
        <f>INDEX('Master data'!G:G,MATCH($A37,'Master data'!$CK:$CK,0))</f>
        <v>4000000</v>
      </c>
      <c r="F37" s="21">
        <f>INDEX('Master data'!AK:AK,MATCH($A37,'Master data'!$CK:$CK,0))</f>
        <v>111658.38793596716</v>
      </c>
      <c r="G37" s="18">
        <f>INDEX('Master data'!BY:BY,MATCH($A37,'Master data'!$CK:$CK,0))</f>
        <v>222093.25845499721</v>
      </c>
      <c r="H37" s="21">
        <f>INDEX('Master data'!CG:CG,MATCH($A37,'Master data'!$CK:$CK,0))</f>
        <v>0</v>
      </c>
      <c r="I37" s="21">
        <f>INDEX('Master data'!CI:CI,MATCH($A37,'Master data'!$CK:$CK,0))</f>
        <v>4000000</v>
      </c>
      <c r="J37" s="22">
        <f>INDEX('Master data'!CJ:CJ,MATCH($A37,'Master data'!$CK:$CK,0))</f>
        <v>5.5523314613749306E-2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Tim Krul</v>
      </c>
      <c r="O37" s="20" t="str">
        <f>INDEX('Master data'!B:B,MATCH($M37,'Master data'!$CL:$CL,0))</f>
        <v>Netherlands</v>
      </c>
      <c r="P37" s="17" t="str">
        <f>INDEX('Master data'!C:C,MATCH($M37,'Master data'!$CL:$CL,0))</f>
        <v>Goalkeeper</v>
      </c>
      <c r="Q37" s="21">
        <f>INDEX('Master data'!G:G,MATCH($M37,'Master data'!$CL:$CL,0))</f>
        <v>5000000</v>
      </c>
      <c r="R37" s="21">
        <f>INDEX('Master data'!AK:AK,MATCH($A37,'Master data'!$CL:$CL,0))</f>
        <v>71475.736216007135</v>
      </c>
      <c r="S37" s="18">
        <f>INDEX('Master data'!BY:BY,MATCH($A37,'Master data'!$CL:$CL,0))</f>
        <v>243429.55390490097</v>
      </c>
      <c r="T37" s="21">
        <f>INDEX('Master data'!CG:CG,MATCH($M37,'Master data'!$CL:$CL,0))</f>
        <v>0</v>
      </c>
      <c r="U37" s="21">
        <f>INDEX('Master data'!CI:CI,MATCH($M37,'Master data'!$CL:$CL,0))</f>
        <v>5000000</v>
      </c>
      <c r="V37" s="22">
        <f>INDEX('Master data'!CJ:CJ,MATCH($M37,'Master data'!$CL:$CL,0))</f>
        <v>4.8685910780980196E-2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>
      <c r="A38" s="20">
        <f t="shared" si="2"/>
        <v>36</v>
      </c>
      <c r="B38" s="20" t="str">
        <f>INDEX('Master data'!A:A,MATCH($A38,'Master data'!$CK:$CK,0))</f>
        <v>Thibaut Courtois</v>
      </c>
      <c r="C38" s="20" t="str">
        <f>INDEX('Master data'!B:B,MATCH($A38,'Master data'!$CK:$CK,0))</f>
        <v>Belgium</v>
      </c>
      <c r="D38" s="17" t="str">
        <f>INDEX('Master data'!C:C,MATCH($A38,'Master data'!$CK:$CK,0))</f>
        <v>Goalkeeper</v>
      </c>
      <c r="E38" s="21">
        <f>INDEX('Master data'!G:G,MATCH($A38,'Master data'!$CK:$CK,0))</f>
        <v>6000000</v>
      </c>
      <c r="F38" s="21">
        <f>INDEX('Master data'!AK:AK,MATCH($A38,'Master data'!$CK:$CK,0))</f>
        <v>70785.298360004585</v>
      </c>
      <c r="G38" s="18">
        <f>INDEX('Master data'!BY:BY,MATCH($A38,'Master data'!$CK:$CK,0))</f>
        <v>221948.07113740401</v>
      </c>
      <c r="H38" s="21">
        <f>INDEX('Master data'!CG:CG,MATCH($A38,'Master data'!$CK:$CK,0))</f>
        <v>0</v>
      </c>
      <c r="I38" s="21">
        <f>INDEX('Master data'!CI:CI,MATCH($A38,'Master data'!$CK:$CK,0))</f>
        <v>6000000</v>
      </c>
      <c r="J38" s="22">
        <f>INDEX('Master data'!CJ:CJ,MATCH($A38,'Master data'!$CK:$CK,0))</f>
        <v>3.6991345189567336E-2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Christian  Gunter</v>
      </c>
      <c r="O38" s="20" t="str">
        <f>INDEX('Master data'!B:B,MATCH($M38,'Master data'!$CL:$CL,0))</f>
        <v>Germany</v>
      </c>
      <c r="P38" s="17" t="str">
        <f>INDEX('Master data'!C:C,MATCH($M38,'Master data'!$CL:$CL,0))</f>
        <v>Defense</v>
      </c>
      <c r="Q38" s="21">
        <f>INDEX('Master data'!G:G,MATCH($M38,'Master data'!$CL:$CL,0))</f>
        <v>3000000</v>
      </c>
      <c r="R38" s="21">
        <f>INDEX('Master data'!AK:AK,MATCH($A38,'Master data'!$CL:$CL,0))</f>
        <v>28644.259528961804</v>
      </c>
      <c r="S38" s="18">
        <f>INDEX('Master data'!BY:BY,MATCH($A38,'Master data'!$CL:$CL,0))</f>
        <v>145967.98097172187</v>
      </c>
      <c r="T38" s="21">
        <f>INDEX('Master data'!CG:CG,MATCH($M38,'Master data'!$CL:$CL,0))</f>
        <v>0</v>
      </c>
      <c r="U38" s="21">
        <f>INDEX('Master data'!CI:CI,MATCH($M38,'Master data'!$CL:$CL,0))</f>
        <v>3000000</v>
      </c>
      <c r="V38" s="22">
        <f>INDEX('Master data'!CJ:CJ,MATCH($M38,'Master data'!$CL:$CL,0))</f>
        <v>4.8655993657240625E-2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>
      <c r="A39" s="20">
        <f t="shared" si="2"/>
        <v>37</v>
      </c>
      <c r="B39" s="20" t="str">
        <f>INDEX('Master data'!A:A,MATCH($A39,'Master data'!$CK:$CK,0))</f>
        <v>Leonardo Bonucci</v>
      </c>
      <c r="C39" s="20" t="str">
        <f>INDEX('Master data'!B:B,MATCH($A39,'Master data'!$CK:$CK,0))</f>
        <v>Italy</v>
      </c>
      <c r="D39" s="17" t="str">
        <f>INDEX('Master data'!C:C,MATCH($A39,'Master data'!$CK:$CK,0))</f>
        <v>Defense</v>
      </c>
      <c r="E39" s="21">
        <f>INDEX('Master data'!G:G,MATCH($A39,'Master data'!$CK:$CK,0))</f>
        <v>4000000</v>
      </c>
      <c r="F39" s="21">
        <f>INDEX('Master data'!AK:AK,MATCH($A39,'Master data'!$CK:$CK,0))</f>
        <v>74743.143264932616</v>
      </c>
      <c r="G39" s="18">
        <f>INDEX('Master data'!BY:BY,MATCH($A39,'Master data'!$CK:$CK,0))</f>
        <v>220223.25873538986</v>
      </c>
      <c r="H39" s="21">
        <f>INDEX('Master data'!CG:CG,MATCH($A39,'Master data'!$CK:$CK,0))</f>
        <v>0</v>
      </c>
      <c r="I39" s="21">
        <f>INDEX('Master data'!CI:CI,MATCH($A39,'Master data'!$CK:$CK,0))</f>
        <v>4000000</v>
      </c>
      <c r="J39" s="22">
        <f>INDEX('Master data'!CJ:CJ,MATCH($A39,'Master data'!$CK:$CK,0))</f>
        <v>5.5055814683847466E-2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Aleksandr Golovin</v>
      </c>
      <c r="O39" s="20" t="str">
        <f>INDEX('Master data'!B:B,MATCH($M39,'Master data'!$CL:$CL,0))</f>
        <v>Russia</v>
      </c>
      <c r="P39" s="17" t="str">
        <f>INDEX('Master data'!C:C,MATCH($M39,'Master data'!$CL:$CL,0))</f>
        <v>Midfield</v>
      </c>
      <c r="Q39" s="21">
        <f>INDEX('Master data'!G:G,MATCH($M39,'Master data'!$CL:$CL,0))</f>
        <v>4000000</v>
      </c>
      <c r="R39" s="21">
        <f>INDEX('Master data'!AK:AK,MATCH($A39,'Master data'!$CL:$CL,0))</f>
        <v>38713.121837394123</v>
      </c>
      <c r="S39" s="18">
        <f>INDEX('Master data'!BY:BY,MATCH($A39,'Master data'!$CL:$CL,0))</f>
        <v>194433.62660219526</v>
      </c>
      <c r="T39" s="21">
        <f>INDEX('Master data'!CG:CG,MATCH($M39,'Master data'!$CL:$CL,0))</f>
        <v>0</v>
      </c>
      <c r="U39" s="21">
        <f>INDEX('Master data'!CI:CI,MATCH($M39,'Master data'!$CL:$CL,0))</f>
        <v>4000000</v>
      </c>
      <c r="V39" s="22">
        <f>INDEX('Master data'!CJ:CJ,MATCH($M39,'Master data'!$CL:$CL,0))</f>
        <v>4.8608406650548816E-2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>
      <c r="A40" s="20">
        <f t="shared" si="2"/>
        <v>38</v>
      </c>
      <c r="B40" s="20" t="str">
        <f>INDEX('Master data'!A:A,MATCH($A40,'Master data'!$CK:$CK,0))</f>
        <v>Daley Blind</v>
      </c>
      <c r="C40" s="20" t="str">
        <f>INDEX('Master data'!B:B,MATCH($A40,'Master data'!$CK:$CK,0))</f>
        <v>Netherlands</v>
      </c>
      <c r="D40" s="17" t="str">
        <f>INDEX('Master data'!C:C,MATCH($A40,'Master data'!$CK:$CK,0))</f>
        <v>Defense</v>
      </c>
      <c r="E40" s="21">
        <f>INDEX('Master data'!G:G,MATCH($A40,'Master data'!$CK:$CK,0))</f>
        <v>4000000</v>
      </c>
      <c r="F40" s="21">
        <f>INDEX('Master data'!AK:AK,MATCH($A40,'Master data'!$CK:$CK,0))</f>
        <v>62144.238246206056</v>
      </c>
      <c r="G40" s="18">
        <f>INDEX('Master data'!BY:BY,MATCH($A40,'Master data'!$CK:$CK,0))</f>
        <v>219989.8869844107</v>
      </c>
      <c r="H40" s="21">
        <f>INDEX('Master data'!CG:CG,MATCH($A40,'Master data'!$CK:$CK,0))</f>
        <v>0</v>
      </c>
      <c r="I40" s="21">
        <f>INDEX('Master data'!CI:CI,MATCH($A40,'Master data'!$CK:$CK,0))</f>
        <v>4000000</v>
      </c>
      <c r="J40" s="22">
        <f>INDEX('Master data'!CJ:CJ,MATCH($A40,'Master data'!$CK:$CK,0))</f>
        <v>5.4997471746102672E-2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Pepe</v>
      </c>
      <c r="O40" s="20" t="str">
        <f>INDEX('Master data'!B:B,MATCH($M40,'Master data'!$CL:$CL,0))</f>
        <v>Portugal</v>
      </c>
      <c r="P40" s="17" t="str">
        <f>INDEX('Master data'!C:C,MATCH($M40,'Master data'!$CL:$CL,0))</f>
        <v>Defense</v>
      </c>
      <c r="Q40" s="21">
        <f>INDEX('Master data'!G:G,MATCH($M40,'Master data'!$CL:$CL,0))</f>
        <v>2500000</v>
      </c>
      <c r="R40" s="21">
        <f>INDEX('Master data'!AK:AK,MATCH($A40,'Master data'!$CL:$CL,0))</f>
        <v>65322.51642827109</v>
      </c>
      <c r="S40" s="18">
        <f>INDEX('Master data'!BY:BY,MATCH($A40,'Master data'!$CL:$CL,0))</f>
        <v>120940.18797314138</v>
      </c>
      <c r="T40" s="21">
        <f>INDEX('Master data'!CG:CG,MATCH($M40,'Master data'!$CL:$CL,0))</f>
        <v>0</v>
      </c>
      <c r="U40" s="21">
        <f>INDEX('Master data'!CI:CI,MATCH($M40,'Master data'!$CL:$CL,0))</f>
        <v>2500000</v>
      </c>
      <c r="V40" s="22">
        <f>INDEX('Master data'!CJ:CJ,MATCH($M40,'Master data'!$CL:$CL,0))</f>
        <v>4.8376075189256552E-2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>
      <c r="A41" s="20">
        <f t="shared" si="2"/>
        <v>39</v>
      </c>
      <c r="B41" s="20" t="str">
        <f>INDEX('Master data'!A:A,MATCH($A41,'Master data'!$CK:$CK,0))</f>
        <v>Antoine Griezmann</v>
      </c>
      <c r="C41" s="20" t="str">
        <f>INDEX('Master data'!B:B,MATCH($A41,'Master data'!$CK:$CK,0))</f>
        <v>France</v>
      </c>
      <c r="D41" s="17" t="str">
        <f>INDEX('Master data'!C:C,MATCH($A41,'Master data'!$CK:$CK,0))</f>
        <v>Striker</v>
      </c>
      <c r="E41" s="21">
        <f>INDEX('Master data'!G:G,MATCH($A41,'Master data'!$CK:$CK,0))</f>
        <v>7000000</v>
      </c>
      <c r="F41" s="21">
        <f>INDEX('Master data'!AK:AK,MATCH($A41,'Master data'!$CK:$CK,0))</f>
        <v>52770.197504304975</v>
      </c>
      <c r="G41" s="18">
        <f>INDEX('Master data'!BY:BY,MATCH($A41,'Master data'!$CK:$CK,0))</f>
        <v>217311.94163991918</v>
      </c>
      <c r="H41" s="21">
        <f>INDEX('Master data'!CG:CG,MATCH($A41,'Master data'!$CK:$CK,0))</f>
        <v>0</v>
      </c>
      <c r="I41" s="21">
        <f>INDEX('Master data'!CI:CI,MATCH($A41,'Master data'!$CK:$CK,0))</f>
        <v>7000000</v>
      </c>
      <c r="J41" s="22">
        <f>INDEX('Master data'!CJ:CJ,MATCH($A41,'Master data'!$CK:$CK,0))</f>
        <v>3.1044563091417027E-2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Yussuf Poulsen</v>
      </c>
      <c r="O41" s="20" t="str">
        <f>INDEX('Master data'!B:B,MATCH($M41,'Master data'!$CL:$CL,0))</f>
        <v>Denmark</v>
      </c>
      <c r="P41" s="17" t="str">
        <f>INDEX('Master data'!C:C,MATCH($M41,'Master data'!$CL:$CL,0))</f>
        <v>Striker</v>
      </c>
      <c r="Q41" s="21">
        <f>INDEX('Master data'!G:G,MATCH($M41,'Master data'!$CL:$CL,0))</f>
        <v>4500000</v>
      </c>
      <c r="R41" s="21">
        <f>INDEX('Master data'!AK:AK,MATCH($A41,'Master data'!$CL:$CL,0))</f>
        <v>92526.960015600605</v>
      </c>
      <c r="S41" s="18">
        <f>INDEX('Master data'!BY:BY,MATCH($A41,'Master data'!$CL:$CL,0))</f>
        <v>216210.3538771359</v>
      </c>
      <c r="T41" s="21">
        <f>INDEX('Master data'!CG:CG,MATCH($M41,'Master data'!$CL:$CL,0))</f>
        <v>0</v>
      </c>
      <c r="U41" s="21">
        <f>INDEX('Master data'!CI:CI,MATCH($M41,'Master data'!$CL:$CL,0))</f>
        <v>4500000</v>
      </c>
      <c r="V41" s="22">
        <f>INDEX('Master data'!CJ:CJ,MATCH($M41,'Master data'!$CL:$CL,0))</f>
        <v>4.8046745306030203E-2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>
      <c r="A42" s="20">
        <f t="shared" si="2"/>
        <v>40</v>
      </c>
      <c r="B42" s="20" t="str">
        <f>INDEX('Master data'!A:A,MATCH($A42,'Master data'!$CK:$CK,0))</f>
        <v>Ruslan Malinovskyi</v>
      </c>
      <c r="C42" s="20" t="str">
        <f>INDEX('Master data'!B:B,MATCH($A42,'Master data'!$CK:$CK,0))</f>
        <v>Ukraine</v>
      </c>
      <c r="D42" s="17" t="str">
        <f>INDEX('Master data'!C:C,MATCH($A42,'Master data'!$CK:$CK,0))</f>
        <v>Midfield</v>
      </c>
      <c r="E42" s="21">
        <f>INDEX('Master data'!G:G,MATCH($A42,'Master data'!$CK:$CK,0))</f>
        <v>3500000</v>
      </c>
      <c r="F42" s="21">
        <f>INDEX('Master data'!AK:AK,MATCH($A42,'Master data'!$CK:$CK,0))</f>
        <v>36052.819989079624</v>
      </c>
      <c r="G42" s="18">
        <f>INDEX('Master data'!BY:BY,MATCH($A42,'Master data'!$CK:$CK,0))</f>
        <v>216898.85468009271</v>
      </c>
      <c r="H42" s="21">
        <f>INDEX('Master data'!CG:CG,MATCH($A42,'Master data'!$CK:$CK,0))</f>
        <v>0</v>
      </c>
      <c r="I42" s="21">
        <f>INDEX('Master data'!CI:CI,MATCH($A42,'Master data'!$CK:$CK,0))</f>
        <v>3500000</v>
      </c>
      <c r="J42" s="22">
        <f>INDEX('Master data'!CJ:CJ,MATCH($A42,'Master data'!$CK:$CK,0))</f>
        <v>6.1971101337169349E-2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Niklas Süle</v>
      </c>
      <c r="O42" s="20" t="str">
        <f>INDEX('Master data'!B:B,MATCH($M42,'Master data'!$CL:$CL,0))</f>
        <v>Germany</v>
      </c>
      <c r="P42" s="17" t="str">
        <f>INDEX('Master data'!C:C,MATCH($M42,'Master data'!$CL:$CL,0))</f>
        <v>Defense</v>
      </c>
      <c r="Q42" s="21">
        <f>INDEX('Master data'!G:G,MATCH($M42,'Master data'!$CL:$CL,0))</f>
        <v>3500000</v>
      </c>
      <c r="R42" s="21">
        <f>INDEX('Master data'!AK:AK,MATCH($A42,'Master data'!$CL:$CL,0))</f>
        <v>36681.718755385868</v>
      </c>
      <c r="S42" s="18">
        <f>INDEX('Master data'!BY:BY,MATCH($A42,'Master data'!$CL:$CL,0))</f>
        <v>167961.44586745265</v>
      </c>
      <c r="T42" s="21">
        <f>INDEX('Master data'!CG:CG,MATCH($M42,'Master data'!$CL:$CL,0))</f>
        <v>0</v>
      </c>
      <c r="U42" s="21">
        <f>INDEX('Master data'!CI:CI,MATCH($M42,'Master data'!$CL:$CL,0))</f>
        <v>3500000</v>
      </c>
      <c r="V42" s="22">
        <f>INDEX('Master data'!CJ:CJ,MATCH($M42,'Master data'!$CL:$CL,0))</f>
        <v>4.7988984533557905E-2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>
      <c r="A43" s="20">
        <f t="shared" si="2"/>
        <v>41</v>
      </c>
      <c r="B43" s="20" t="str">
        <f>INDEX('Master data'!A:A,MATCH($A43,'Master data'!$CK:$CK,0))</f>
        <v>Denzel Dumfries</v>
      </c>
      <c r="C43" s="20" t="str">
        <f>INDEX('Master data'!B:B,MATCH($A43,'Master data'!$CK:$CK,0))</f>
        <v>Netherlands</v>
      </c>
      <c r="D43" s="17" t="str">
        <f>INDEX('Master data'!C:C,MATCH($A43,'Master data'!$CK:$CK,0))</f>
        <v>Defense</v>
      </c>
      <c r="E43" s="21">
        <f>INDEX('Master data'!G:G,MATCH($A43,'Master data'!$CK:$CK,0))</f>
        <v>3500000</v>
      </c>
      <c r="F43" s="21">
        <f>INDEX('Master data'!AK:AK,MATCH($A43,'Master data'!$CK:$CK,0))</f>
        <v>61520.325792946831</v>
      </c>
      <c r="G43" s="18">
        <f>INDEX('Master data'!BY:BY,MATCH($A43,'Master data'!$CK:$CK,0))</f>
        <v>216735.32536555274</v>
      </c>
      <c r="H43" s="21">
        <f>INDEX('Master data'!CG:CG,MATCH($A43,'Master data'!$CK:$CK,0))</f>
        <v>0</v>
      </c>
      <c r="I43" s="21">
        <f>INDEX('Master data'!CI:CI,MATCH($A43,'Master data'!$CK:$CK,0))</f>
        <v>3500000</v>
      </c>
      <c r="J43" s="22">
        <f>INDEX('Master data'!CJ:CJ,MATCH($A43,'Master data'!$CK:$CK,0))</f>
        <v>6.1924378675872208E-2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Kasper Dolberg</v>
      </c>
      <c r="O43" s="20" t="str">
        <f>INDEX('Master data'!B:B,MATCH($M43,'Master data'!$CL:$CL,0))</f>
        <v>Denmark</v>
      </c>
      <c r="P43" s="17" t="str">
        <f>INDEX('Master data'!C:C,MATCH($M43,'Master data'!$CL:$CL,0))</f>
        <v>Striker</v>
      </c>
      <c r="Q43" s="21">
        <f>INDEX('Master data'!G:G,MATCH($M43,'Master data'!$CL:$CL,0))</f>
        <v>4000000</v>
      </c>
      <c r="R43" s="21">
        <f>INDEX('Master data'!AK:AK,MATCH($A43,'Master data'!$CL:$CL,0))</f>
        <v>82524.739461480465</v>
      </c>
      <c r="S43" s="18">
        <f>INDEX('Master data'!BY:BY,MATCH($A43,'Master data'!$CL:$CL,0))</f>
        <v>190636.98267827238</v>
      </c>
      <c r="T43" s="21">
        <f>INDEX('Master data'!CG:CG,MATCH($M43,'Master data'!$CL:$CL,0))</f>
        <v>0</v>
      </c>
      <c r="U43" s="21">
        <f>INDEX('Master data'!CI:CI,MATCH($M43,'Master data'!$CL:$CL,0))</f>
        <v>4000000</v>
      </c>
      <c r="V43" s="22">
        <f>INDEX('Master data'!CJ:CJ,MATCH($M43,'Master data'!$CL:$CL,0))</f>
        <v>4.7659245669568098E-2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>
      <c r="A44" s="20">
        <f t="shared" si="2"/>
        <v>42</v>
      </c>
      <c r="B44" s="20" t="str">
        <f>INDEX('Master data'!A:A,MATCH($A44,'Master data'!$CK:$CK,0))</f>
        <v>Yussuf Poulsen</v>
      </c>
      <c r="C44" s="20" t="str">
        <f>INDEX('Master data'!B:B,MATCH($A44,'Master data'!$CK:$CK,0))</f>
        <v>Denmark</v>
      </c>
      <c r="D44" s="17" t="str">
        <f>INDEX('Master data'!C:C,MATCH($A44,'Master data'!$CK:$CK,0))</f>
        <v>Striker</v>
      </c>
      <c r="E44" s="21">
        <f>INDEX('Master data'!G:G,MATCH($A44,'Master data'!$CK:$CK,0))</f>
        <v>4500000</v>
      </c>
      <c r="F44" s="21">
        <f>INDEX('Master data'!AK:AK,MATCH($A44,'Master data'!$CK:$CK,0))</f>
        <v>92526.960015600605</v>
      </c>
      <c r="G44" s="18">
        <f>INDEX('Master data'!BY:BY,MATCH($A44,'Master data'!$CK:$CK,0))</f>
        <v>216210.3538771359</v>
      </c>
      <c r="H44" s="21">
        <f>INDEX('Master data'!CG:CG,MATCH($A44,'Master data'!$CK:$CK,0))</f>
        <v>0</v>
      </c>
      <c r="I44" s="21">
        <f>INDEX('Master data'!CI:CI,MATCH($A44,'Master data'!$CK:$CK,0))</f>
        <v>4500000</v>
      </c>
      <c r="J44" s="22">
        <f>INDEX('Master data'!CJ:CJ,MATCH($A44,'Master data'!$CK:$CK,0))</f>
        <v>4.8046745306030203E-2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Kyle Walker</v>
      </c>
      <c r="O44" s="20" t="str">
        <f>INDEX('Master data'!B:B,MATCH($M44,'Master data'!$CL:$CL,0))</f>
        <v>England</v>
      </c>
      <c r="P44" s="17" t="str">
        <f>INDEX('Master data'!C:C,MATCH($M44,'Master data'!$CL:$CL,0))</f>
        <v>Defense</v>
      </c>
      <c r="Q44" s="21">
        <f>INDEX('Master data'!G:G,MATCH($M44,'Master data'!$CL:$CL,0))</f>
        <v>4500000</v>
      </c>
      <c r="R44" s="21">
        <f>INDEX('Master data'!AK:AK,MATCH($A44,'Master data'!$CL:$CL,0))</f>
        <v>62425.640387048283</v>
      </c>
      <c r="S44" s="18">
        <f>INDEX('Master data'!BY:BY,MATCH($A44,'Master data'!$CL:$CL,0))</f>
        <v>214391.80083276948</v>
      </c>
      <c r="T44" s="21">
        <f>INDEX('Master data'!CG:CG,MATCH($M44,'Master data'!$CL:$CL,0))</f>
        <v>0</v>
      </c>
      <c r="U44" s="21">
        <f>INDEX('Master data'!CI:CI,MATCH($M44,'Master data'!$CL:$CL,0))</f>
        <v>4500000</v>
      </c>
      <c r="V44" s="22">
        <f>INDEX('Master data'!CJ:CJ,MATCH($M44,'Master data'!$CL:$CL,0))</f>
        <v>4.7642622407282106E-2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>
      <c r="A45" s="20">
        <f t="shared" si="2"/>
        <v>43</v>
      </c>
      <c r="B45" s="20" t="str">
        <f>INDEX('Master data'!A:A,MATCH($A45,'Master data'!$CK:$CK,0))</f>
        <v>Kyle Walker</v>
      </c>
      <c r="C45" s="20" t="str">
        <f>INDEX('Master data'!B:B,MATCH($A45,'Master data'!$CK:$CK,0))</f>
        <v>England</v>
      </c>
      <c r="D45" s="17" t="str">
        <f>INDEX('Master data'!C:C,MATCH($A45,'Master data'!$CK:$CK,0))</f>
        <v>Defense</v>
      </c>
      <c r="E45" s="21">
        <f>INDEX('Master data'!G:G,MATCH($A45,'Master data'!$CK:$CK,0))</f>
        <v>4500000</v>
      </c>
      <c r="F45" s="21">
        <f>INDEX('Master data'!AK:AK,MATCH($A45,'Master data'!$CK:$CK,0))</f>
        <v>62425.640387048283</v>
      </c>
      <c r="G45" s="18">
        <f>INDEX('Master data'!BY:BY,MATCH($A45,'Master data'!$CK:$CK,0))</f>
        <v>214391.80083276948</v>
      </c>
      <c r="H45" s="21">
        <f>INDEX('Master data'!CG:CG,MATCH($A45,'Master data'!$CK:$CK,0))</f>
        <v>0</v>
      </c>
      <c r="I45" s="21">
        <f>INDEX('Master data'!CI:CI,MATCH($A45,'Master data'!$CK:$CK,0))</f>
        <v>4500000</v>
      </c>
      <c r="J45" s="22">
        <f>INDEX('Master data'!CJ:CJ,MATCH($A45,'Master data'!$CK:$CK,0))</f>
        <v>4.7642622407282106E-2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Dean Henderson</v>
      </c>
      <c r="O45" s="20" t="str">
        <f>INDEX('Master data'!B:B,MATCH($M45,'Master data'!$CL:$CL,0))</f>
        <v>England</v>
      </c>
      <c r="P45" s="17" t="str">
        <f>INDEX('Master data'!C:C,MATCH($M45,'Master data'!$CL:$CL,0))</f>
        <v>Goalkeeper</v>
      </c>
      <c r="Q45" s="21">
        <f>INDEX('Master data'!G:G,MATCH($M45,'Master data'!$CL:$CL,0))</f>
        <v>5000000</v>
      </c>
      <c r="R45" s="21">
        <f>INDEX('Master data'!AK:AK,MATCH($A45,'Master data'!$CL:$CL,0))</f>
        <v>70693.947988478481</v>
      </c>
      <c r="S45" s="18">
        <f>INDEX('Master data'!BY:BY,MATCH($A45,'Master data'!$CL:$CL,0))</f>
        <v>231286.56063540629</v>
      </c>
      <c r="T45" s="21">
        <f>INDEX('Master data'!CG:CG,MATCH($M45,'Master data'!$CL:$CL,0))</f>
        <v>0</v>
      </c>
      <c r="U45" s="21">
        <f>INDEX('Master data'!CI:CI,MATCH($M45,'Master data'!$CL:$CL,0))</f>
        <v>5000000</v>
      </c>
      <c r="V45" s="22">
        <f>INDEX('Master data'!CJ:CJ,MATCH($M45,'Master data'!$CL:$CL,0))</f>
        <v>4.6257312127081257E-2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>
      <c r="A46" s="20">
        <f t="shared" si="2"/>
        <v>44</v>
      </c>
      <c r="B46" s="20" t="str">
        <f>INDEX('Master data'!A:A,MATCH($A46,'Master data'!$CK:$CK,0))</f>
        <v>Owen Wijndal</v>
      </c>
      <c r="C46" s="20" t="str">
        <f>INDEX('Master data'!B:B,MATCH($A46,'Master data'!$CK:$CK,0))</f>
        <v>Netherlands</v>
      </c>
      <c r="D46" s="17" t="str">
        <f>INDEX('Master data'!C:C,MATCH($A46,'Master data'!$CK:$CK,0))</f>
        <v>Defense</v>
      </c>
      <c r="E46" s="21">
        <f>INDEX('Master data'!G:G,MATCH($A46,'Master data'!$CK:$CK,0))</f>
        <v>3500000</v>
      </c>
      <c r="F46" s="21">
        <f>INDEX('Master data'!AK:AK,MATCH($A46,'Master data'!$CK:$CK,0))</f>
        <v>59946.334464895532</v>
      </c>
      <c r="G46" s="18">
        <f>INDEX('Master data'!BY:BY,MATCH($A46,'Master data'!$CK:$CK,0))</f>
        <v>210937.93263563921</v>
      </c>
      <c r="H46" s="21">
        <f>INDEX('Master data'!CG:CG,MATCH($A46,'Master data'!$CK:$CK,0))</f>
        <v>0</v>
      </c>
      <c r="I46" s="21">
        <f>INDEX('Master data'!CI:CI,MATCH($A46,'Master data'!$CK:$CK,0))</f>
        <v>3500000</v>
      </c>
      <c r="J46" s="22">
        <f>INDEX('Master data'!CJ:CJ,MATCH($A46,'Master data'!$CK:$CK,0))</f>
        <v>6.0267980753039775E-2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Ilya Zabarnyi</v>
      </c>
      <c r="O46" s="20" t="str">
        <f>INDEX('Master data'!B:B,MATCH($M46,'Master data'!$CL:$CL,0))</f>
        <v>Ukraine</v>
      </c>
      <c r="P46" s="17" t="str">
        <f>INDEX('Master data'!C:C,MATCH($M46,'Master data'!$CL:$CL,0))</f>
        <v>Defense</v>
      </c>
      <c r="Q46" s="21">
        <f>INDEX('Master data'!G:G,MATCH($M46,'Master data'!$CL:$CL,0))</f>
        <v>2500000</v>
      </c>
      <c r="R46" s="21">
        <f>INDEX('Master data'!AK:AK,MATCH($A46,'Master data'!$CL:$CL,0))</f>
        <v>13486.043793529519</v>
      </c>
      <c r="S46" s="18">
        <f>INDEX('Master data'!BY:BY,MATCH($A46,'Master data'!$CL:$CL,0))</f>
        <v>115544.50030738217</v>
      </c>
      <c r="T46" s="21">
        <f>INDEX('Master data'!CG:CG,MATCH($M46,'Master data'!$CL:$CL,0))</f>
        <v>0</v>
      </c>
      <c r="U46" s="21">
        <f>INDEX('Master data'!CI:CI,MATCH($M46,'Master data'!$CL:$CL,0))</f>
        <v>2500000</v>
      </c>
      <c r="V46" s="22">
        <f>INDEX('Master data'!CJ:CJ,MATCH($M46,'Master data'!$CL:$CL,0))</f>
        <v>4.6217800122952866E-2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>
      <c r="A47" s="20">
        <f t="shared" si="2"/>
        <v>45</v>
      </c>
      <c r="B47" s="20" t="str">
        <f>INDEX('Master data'!A:A,MATCH($A47,'Master data'!$CK:$CK,0))</f>
        <v>İlkay Gündoğan</v>
      </c>
      <c r="C47" s="20" t="str">
        <f>INDEX('Master data'!B:B,MATCH($A47,'Master data'!$CK:$CK,0))</f>
        <v>Germany</v>
      </c>
      <c r="D47" s="17" t="str">
        <f>INDEX('Master data'!C:C,MATCH($A47,'Master data'!$CK:$CK,0))</f>
        <v>Midfield</v>
      </c>
      <c r="E47" s="21">
        <f>INDEX('Master data'!G:G,MATCH($A47,'Master data'!$CK:$CK,0))</f>
        <v>7000000</v>
      </c>
      <c r="F47" s="21">
        <f>INDEX('Master data'!AK:AK,MATCH($A47,'Master data'!$CK:$CK,0))</f>
        <v>46233.762267311846</v>
      </c>
      <c r="G47" s="18">
        <f>INDEX('Master data'!BY:BY,MATCH($A47,'Master data'!$CK:$CK,0))</f>
        <v>210705.76847271656</v>
      </c>
      <c r="H47" s="21">
        <f>INDEX('Master data'!CG:CG,MATCH($A47,'Master data'!$CK:$CK,0))</f>
        <v>0</v>
      </c>
      <c r="I47" s="21">
        <f>INDEX('Master data'!CI:CI,MATCH($A47,'Master data'!$CK:$CK,0))</f>
        <v>7000000</v>
      </c>
      <c r="J47" s="22">
        <f>INDEX('Master data'!CJ:CJ,MATCH($A47,'Master data'!$CK:$CK,0))</f>
        <v>3.0100824067530937E-2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Robin Gosens</v>
      </c>
      <c r="O47" s="20" t="str">
        <f>INDEX('Master data'!B:B,MATCH($M47,'Master data'!$CL:$CL,0))</f>
        <v>Germany</v>
      </c>
      <c r="P47" s="17" t="str">
        <f>INDEX('Master data'!C:C,MATCH($M47,'Master data'!$CL:$CL,0))</f>
        <v>Defense</v>
      </c>
      <c r="Q47" s="21">
        <f>INDEX('Master data'!G:G,MATCH($M47,'Master data'!$CL:$CL,0))</f>
        <v>5000000</v>
      </c>
      <c r="R47" s="21">
        <f>INDEX('Master data'!AK:AK,MATCH($A47,'Master data'!$CL:$CL,0))</f>
        <v>51138.104365527091</v>
      </c>
      <c r="S47" s="18">
        <f>INDEX('Master data'!BY:BY,MATCH($A47,'Master data'!$CL:$CL,0))</f>
        <v>230998.04570640181</v>
      </c>
      <c r="T47" s="21">
        <f>INDEX('Master data'!CG:CG,MATCH($M47,'Master data'!$CL:$CL,0))</f>
        <v>0</v>
      </c>
      <c r="U47" s="21">
        <f>INDEX('Master data'!CI:CI,MATCH($M47,'Master data'!$CL:$CL,0))</f>
        <v>5000000</v>
      </c>
      <c r="V47" s="22">
        <f>INDEX('Master data'!CJ:CJ,MATCH($M47,'Master data'!$CL:$CL,0))</f>
        <v>4.6199609141280365E-2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>
      <c r="A48" s="20">
        <f t="shared" si="2"/>
        <v>46</v>
      </c>
      <c r="B48" s="20" t="str">
        <f>INDEX('Master data'!A:A,MATCH($A48,'Master data'!$CK:$CK,0))</f>
        <v>Georginio Wijnaldum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Midfield</v>
      </c>
      <c r="E48" s="21">
        <f>INDEX('Master data'!G:G,MATCH($A48,'Master data'!$CK:$CK,0))</f>
        <v>5500000</v>
      </c>
      <c r="F48" s="21">
        <f>INDEX('Master data'!AK:AK,MATCH($A48,'Master data'!$CK:$CK,0))</f>
        <v>56771.86672630933</v>
      </c>
      <c r="G48" s="18">
        <f>INDEX('Master data'!BY:BY,MATCH($A48,'Master data'!$CK:$CK,0))</f>
        <v>208198.8317424311</v>
      </c>
      <c r="H48" s="21">
        <f>INDEX('Master data'!CG:CG,MATCH($A48,'Master data'!$CK:$CK,0))</f>
        <v>0</v>
      </c>
      <c r="I48" s="21">
        <f>INDEX('Master data'!CI:CI,MATCH($A48,'Master data'!$CK:$CK,0))</f>
        <v>5500000</v>
      </c>
      <c r="J48" s="22">
        <f>INDEX('Master data'!CJ:CJ,MATCH($A48,'Master data'!$CK:$CK,0))</f>
        <v>3.7854333044078384E-2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Reece James</v>
      </c>
      <c r="O48" s="20" t="str">
        <f>INDEX('Master data'!B:B,MATCH($M48,'Master data'!$CL:$CL,0))</f>
        <v>England</v>
      </c>
      <c r="P48" s="17" t="str">
        <f>INDEX('Master data'!C:C,MATCH($M48,'Master data'!$CL:$CL,0))</f>
        <v>Defense</v>
      </c>
      <c r="Q48" s="21">
        <f>INDEX('Master data'!G:G,MATCH($M48,'Master data'!$CL:$CL,0))</f>
        <v>3500000</v>
      </c>
      <c r="R48" s="21">
        <f>INDEX('Master data'!AK:AK,MATCH($A48,'Master data'!$CL:$CL,0))</f>
        <v>44093.371358648154</v>
      </c>
      <c r="S48" s="18">
        <f>INDEX('Master data'!BY:BY,MATCH($A48,'Master data'!$CL:$CL,0))</f>
        <v>160924.78860518252</v>
      </c>
      <c r="T48" s="21">
        <f>INDEX('Master data'!CG:CG,MATCH($M48,'Master data'!$CL:$CL,0))</f>
        <v>0</v>
      </c>
      <c r="U48" s="21">
        <f>INDEX('Master data'!CI:CI,MATCH($M48,'Master data'!$CL:$CL,0))</f>
        <v>3500000</v>
      </c>
      <c r="V48" s="22">
        <f>INDEX('Master data'!CJ:CJ,MATCH($M48,'Master data'!$CL:$CL,0))</f>
        <v>4.5978511030052148E-2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>
      <c r="A49" s="20">
        <f t="shared" si="2"/>
        <v>47</v>
      </c>
      <c r="B49" s="20" t="str">
        <f>INDEX('Master data'!A:A,MATCH($A49,'Master data'!$CK:$CK,0))</f>
        <v>Andrej Kramaric</v>
      </c>
      <c r="C49" s="20" t="str">
        <f>INDEX('Master data'!B:B,MATCH($A49,'Master data'!$CK:$CK,0))</f>
        <v>Croatia</v>
      </c>
      <c r="D49" s="17" t="str">
        <f>INDEX('Master data'!C:C,MATCH($A49,'Master data'!$CK:$CK,0))</f>
        <v>Striker</v>
      </c>
      <c r="E49" s="21">
        <f>INDEX('Master data'!G:G,MATCH($A49,'Master data'!$CK:$CK,0))</f>
        <v>5000000</v>
      </c>
      <c r="F49" s="21">
        <f>INDEX('Master data'!AK:AK,MATCH($A49,'Master data'!$CK:$CK,0))</f>
        <v>31684.294981926258</v>
      </c>
      <c r="G49" s="18">
        <f>INDEX('Master data'!BY:BY,MATCH($A49,'Master data'!$CK:$CK,0))</f>
        <v>205417.88947140391</v>
      </c>
      <c r="H49" s="21">
        <f>INDEX('Master data'!CG:CG,MATCH($A49,'Master data'!$CK:$CK,0))</f>
        <v>0</v>
      </c>
      <c r="I49" s="21">
        <f>INDEX('Master data'!CI:CI,MATCH($A49,'Master data'!$CK:$CK,0))</f>
        <v>5000000</v>
      </c>
      <c r="J49" s="22">
        <f>INDEX('Master data'!CJ:CJ,MATCH($A49,'Master data'!$CK:$CK,0))</f>
        <v>4.1083577894280784E-2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Domagoj Vida</v>
      </c>
      <c r="O49" s="20" t="str">
        <f>INDEX('Master data'!B:B,MATCH($M49,'Master data'!$CL:$CL,0))</f>
        <v>Croatia</v>
      </c>
      <c r="P49" s="17" t="str">
        <f>INDEX('Master data'!C:C,MATCH($M49,'Master data'!$CL:$CL,0))</f>
        <v>Defense</v>
      </c>
      <c r="Q49" s="21">
        <f>INDEX('Master data'!G:G,MATCH($M49,'Master data'!$CL:$CL,0))</f>
        <v>2500000</v>
      </c>
      <c r="R49" s="21">
        <f>INDEX('Master data'!AK:AK,MATCH($A49,'Master data'!$CL:$CL,0))</f>
        <v>10820.59618365317</v>
      </c>
      <c r="S49" s="18">
        <f>INDEX('Master data'!BY:BY,MATCH($A49,'Master data'!$CL:$CL,0))</f>
        <v>114681.68281727016</v>
      </c>
      <c r="T49" s="21">
        <f>INDEX('Master data'!CG:CG,MATCH($M49,'Master data'!$CL:$CL,0))</f>
        <v>0</v>
      </c>
      <c r="U49" s="21">
        <f>INDEX('Master data'!CI:CI,MATCH($M49,'Master data'!$CL:$CL,0))</f>
        <v>2500000</v>
      </c>
      <c r="V49" s="22">
        <f>INDEX('Master data'!CJ:CJ,MATCH($M49,'Master data'!$CL:$CL,0))</f>
        <v>4.5872673126908063E-2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>
      <c r="A50" s="20">
        <f t="shared" si="2"/>
        <v>48</v>
      </c>
      <c r="B50" s="20" t="str">
        <f>INDEX('Master data'!A:A,MATCH($A50,'Master data'!$CK:$CK,0))</f>
        <v>Thomas Vermaelen</v>
      </c>
      <c r="C50" s="20" t="str">
        <f>INDEX('Master data'!B:B,MATCH($A50,'Master data'!$CK:$CK,0))</f>
        <v>Belgium</v>
      </c>
      <c r="D50" s="17" t="str">
        <f>INDEX('Master data'!C:C,MATCH($A50,'Master data'!$CK:$CK,0))</f>
        <v>Defense</v>
      </c>
      <c r="E50" s="21">
        <f>INDEX('Master data'!G:G,MATCH($A50,'Master data'!$CK:$CK,0))</f>
        <v>4000000</v>
      </c>
      <c r="F50" s="21">
        <f>INDEX('Master data'!AK:AK,MATCH($A50,'Master data'!$CK:$CK,0))</f>
        <v>62274.194956473897</v>
      </c>
      <c r="G50" s="18">
        <f>INDEX('Master data'!BY:BY,MATCH($A50,'Master data'!$CK:$CK,0))</f>
        <v>203528.98205514799</v>
      </c>
      <c r="H50" s="21">
        <f>INDEX('Master data'!CG:CG,MATCH($A50,'Master data'!$CK:$CK,0))</f>
        <v>0</v>
      </c>
      <c r="I50" s="21">
        <f>INDEX('Master data'!CI:CI,MATCH($A50,'Master data'!$CK:$CK,0))</f>
        <v>4000000</v>
      </c>
      <c r="J50" s="22">
        <f>INDEX('Master data'!CJ:CJ,MATCH($A50,'Master data'!$CK:$CK,0))</f>
        <v>5.0882245513786999E-2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Jorginho</v>
      </c>
      <c r="O50" s="20" t="str">
        <f>INDEX('Master data'!B:B,MATCH($M50,'Master data'!$CL:$CL,0))</f>
        <v>Italy</v>
      </c>
      <c r="P50" s="17" t="str">
        <f>INDEX('Master data'!C:C,MATCH($M50,'Master data'!$CL:$CL,0))</f>
        <v>Midfield</v>
      </c>
      <c r="Q50" s="21">
        <f>INDEX('Master data'!G:G,MATCH($M50,'Master data'!$CL:$CL,0))</f>
        <v>4000000</v>
      </c>
      <c r="R50" s="21">
        <f>INDEX('Master data'!AK:AK,MATCH($A50,'Master data'!$CL:$CL,0))</f>
        <v>61142.273726117921</v>
      </c>
      <c r="S50" s="18">
        <f>INDEX('Master data'!BY:BY,MATCH($A50,'Master data'!$CL:$CL,0))</f>
        <v>183138.99423984432</v>
      </c>
      <c r="T50" s="21">
        <f>INDEX('Master data'!CG:CG,MATCH($M50,'Master data'!$CL:$CL,0))</f>
        <v>0</v>
      </c>
      <c r="U50" s="21">
        <f>INDEX('Master data'!CI:CI,MATCH($M50,'Master data'!$CL:$CL,0))</f>
        <v>4000000</v>
      </c>
      <c r="V50" s="22">
        <f>INDEX('Master data'!CJ:CJ,MATCH($M50,'Master data'!$CL:$CL,0))</f>
        <v>4.5784748559961078E-2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>
      <c r="A51" s="20">
        <f t="shared" si="2"/>
        <v>49</v>
      </c>
      <c r="B51" s="20" t="str">
        <f>INDEX('Master data'!A:A,MATCH($A51,'Master data'!$CK:$CK,0))</f>
        <v>Cristiano Ronaldo</v>
      </c>
      <c r="C51" s="20" t="str">
        <f>INDEX('Master data'!B:B,MATCH($A51,'Master data'!$CK:$CK,0))</f>
        <v>Portugal</v>
      </c>
      <c r="D51" s="17" t="str">
        <f>INDEX('Master data'!C:C,MATCH($A51,'Master data'!$CK:$CK,0))</f>
        <v>Striker</v>
      </c>
      <c r="E51" s="21">
        <f>INDEX('Master data'!G:G,MATCH($A51,'Master data'!$CK:$CK,0))</f>
        <v>8000000</v>
      </c>
      <c r="F51" s="21">
        <f>INDEX('Master data'!AK:AK,MATCH($A51,'Master data'!$CK:$CK,0))</f>
        <v>101200.57686649162</v>
      </c>
      <c r="G51" s="18">
        <f>INDEX('Master data'!BY:BY,MATCH($A51,'Master data'!$CK:$CK,0))</f>
        <v>203168.61423938384</v>
      </c>
      <c r="H51" s="21">
        <f>INDEX('Master data'!CG:CG,MATCH($A51,'Master data'!$CK:$CK,0))</f>
        <v>0</v>
      </c>
      <c r="I51" s="21">
        <f>INDEX('Master data'!CI:CI,MATCH($A51,'Master data'!$CK:$CK,0))</f>
        <v>8000000</v>
      </c>
      <c r="J51" s="22">
        <f>INDEX('Master data'!CJ:CJ,MATCH($A51,'Master data'!$CK:$CK,0))</f>
        <v>2.539607677992298E-2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>Declan Rice</v>
      </c>
      <c r="O51" s="20" t="str">
        <f>INDEX('Master data'!B:B,MATCH($M51,'Master data'!$CL:$CL,0))</f>
        <v>England</v>
      </c>
      <c r="P51" s="17" t="str">
        <f>INDEX('Master data'!C:C,MATCH($M51,'Master data'!$CL:$CL,0))</f>
        <v>Midfield</v>
      </c>
      <c r="Q51" s="21">
        <f>INDEX('Master data'!G:G,MATCH($M51,'Master data'!$CL:$CL,0))</f>
        <v>3500000</v>
      </c>
      <c r="R51" s="21">
        <f>INDEX('Master data'!AK:AK,MATCH($A51,'Master data'!$CL:$CL,0))</f>
        <v>43261.336684411785</v>
      </c>
      <c r="S51" s="18">
        <f>INDEX('Master data'!BY:BY,MATCH($A51,'Master data'!$CL:$CL,0))</f>
        <v>160170.01303620386</v>
      </c>
      <c r="T51" s="21">
        <f>INDEX('Master data'!CG:CG,MATCH($M51,'Master data'!$CL:$CL,0))</f>
        <v>0</v>
      </c>
      <c r="U51" s="21">
        <f>INDEX('Master data'!CI:CI,MATCH($M51,'Master data'!$CL:$CL,0))</f>
        <v>3500000</v>
      </c>
      <c r="V51" s="22">
        <f>INDEX('Master data'!CJ:CJ,MATCH($M51,'Master data'!$CL:$CL,0))</f>
        <v>4.5762860867486821E-2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>
      <c r="A52" s="20">
        <f t="shared" si="2"/>
        <v>50</v>
      </c>
      <c r="B52" s="20" t="str">
        <f>INDEX('Master data'!A:A,MATCH($A52,'Master data'!$CK:$CK,0))</f>
        <v>Mason Mount</v>
      </c>
      <c r="C52" s="20" t="str">
        <f>INDEX('Master data'!B:B,MATCH($A52,'Master data'!$CK:$CK,0))</f>
        <v>England</v>
      </c>
      <c r="D52" s="17" t="str">
        <f>INDEX('Master data'!C:C,MATCH($A52,'Master data'!$CK:$CK,0))</f>
        <v>Midfield</v>
      </c>
      <c r="E52" s="21">
        <f>INDEX('Master data'!G:G,MATCH($A52,'Master data'!$CK:$CK,0))</f>
        <v>5500000</v>
      </c>
      <c r="F52" s="21">
        <f>INDEX('Master data'!AK:AK,MATCH($A52,'Master data'!$CK:$CK,0))</f>
        <v>54152.687551222698</v>
      </c>
      <c r="G52" s="18">
        <f>INDEX('Master data'!BY:BY,MATCH($A52,'Master data'!$CK:$CK,0))</f>
        <v>201404.11059973133</v>
      </c>
      <c r="H52" s="21">
        <f>INDEX('Master data'!CG:CG,MATCH($A52,'Master data'!$CK:$CK,0))</f>
        <v>0</v>
      </c>
      <c r="I52" s="21">
        <f>INDEX('Master data'!CI:CI,MATCH($A52,'Master data'!$CK:$CK,0))</f>
        <v>5500000</v>
      </c>
      <c r="J52" s="22">
        <f>INDEX('Master data'!CJ:CJ,MATCH($A52,'Master data'!$CK:$CK,0))</f>
        <v>3.6618929199951147E-2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Yusuf Yazici</v>
      </c>
      <c r="O52" s="20" t="str">
        <f>INDEX('Master data'!B:B,MATCH($M52,'Master data'!$CL:$CL,0))</f>
        <v>Turkey</v>
      </c>
      <c r="P52" s="17" t="str">
        <f>INDEX('Master data'!C:C,MATCH($M52,'Master data'!$CL:$CL,0))</f>
        <v>Striker</v>
      </c>
      <c r="Q52" s="21">
        <f>INDEX('Master data'!G:G,MATCH($M52,'Master data'!$CL:$CL,0))</f>
        <v>3500000</v>
      </c>
      <c r="R52" s="21">
        <f>INDEX('Master data'!AK:AK,MATCH($A52,'Master data'!$CL:$CL,0))</f>
        <v>21570.745099124248</v>
      </c>
      <c r="S52" s="18">
        <f>INDEX('Master data'!BY:BY,MATCH($A52,'Master data'!$CL:$CL,0))</f>
        <v>160067.94304353604</v>
      </c>
      <c r="T52" s="21">
        <f>INDEX('Master data'!CG:CG,MATCH($M52,'Master data'!$CL:$CL,0))</f>
        <v>0</v>
      </c>
      <c r="U52" s="21">
        <f>INDEX('Master data'!CI:CI,MATCH($M52,'Master data'!$CL:$CL,0))</f>
        <v>3500000</v>
      </c>
      <c r="V52" s="22">
        <f>INDEX('Master data'!CJ:CJ,MATCH($M52,'Master data'!$CL:$CL,0))</f>
        <v>4.5733698012438866E-2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>
      <c r="A53" s="20">
        <f t="shared" si="2"/>
        <v>51</v>
      </c>
      <c r="B53" s="20" t="str">
        <f>INDEX('Master data'!A:A,MATCH($A53,'Master data'!$CK:$CK,0))</f>
        <v>Frenkie de Jong</v>
      </c>
      <c r="C53" s="20" t="str">
        <f>INDEX('Master data'!B:B,MATCH($A53,'Master data'!$CK:$CK,0))</f>
        <v>Netherlands</v>
      </c>
      <c r="D53" s="17" t="str">
        <f>INDEX('Master data'!C:C,MATCH($A53,'Master data'!$CK:$CK,0))</f>
        <v>Midfield</v>
      </c>
      <c r="E53" s="21">
        <f>INDEX('Master data'!G:G,MATCH($A53,'Master data'!$CK:$CK,0))</f>
        <v>4000000</v>
      </c>
      <c r="F53" s="21">
        <f>INDEX('Master data'!AK:AK,MATCH($A53,'Master data'!$CK:$CK,0))</f>
        <v>53818.920926771207</v>
      </c>
      <c r="G53" s="18">
        <f>INDEX('Master data'!BY:BY,MATCH($A53,'Master data'!$CK:$CK,0))</f>
        <v>198975.25204688811</v>
      </c>
      <c r="H53" s="21">
        <f>INDEX('Master data'!CG:CG,MATCH($A53,'Master data'!$CK:$CK,0))</f>
        <v>0</v>
      </c>
      <c r="I53" s="21">
        <f>INDEX('Master data'!CI:CI,MATCH($A53,'Master data'!$CK:$CK,0))</f>
        <v>4000000</v>
      </c>
      <c r="J53" s="22">
        <f>INDEX('Master data'!CJ:CJ,MATCH($A53,'Master data'!$CK:$CK,0))</f>
        <v>4.9743813011722031E-2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Joakim Maehle</v>
      </c>
      <c r="O53" s="20" t="str">
        <f>INDEX('Master data'!B:B,MATCH($M53,'Master data'!$CL:$CL,0))</f>
        <v>Denmark</v>
      </c>
      <c r="P53" s="17" t="str">
        <f>INDEX('Master data'!C:C,MATCH($M53,'Master data'!$CL:$CL,0))</f>
        <v>Defense</v>
      </c>
      <c r="Q53" s="21">
        <f>INDEX('Master data'!G:G,MATCH($M53,'Master data'!$CL:$CL,0))</f>
        <v>3500000</v>
      </c>
      <c r="R53" s="21">
        <f>INDEX('Master data'!AK:AK,MATCH($A53,'Master data'!$CL:$CL,0))</f>
        <v>76731.99384234121</v>
      </c>
      <c r="S53" s="18">
        <f>INDEX('Master data'!BY:BY,MATCH($A53,'Master data'!$CL:$CL,0))</f>
        <v>159778.05091805788</v>
      </c>
      <c r="T53" s="21">
        <f>INDEX('Master data'!CG:CG,MATCH($M53,'Master data'!$CL:$CL,0))</f>
        <v>0</v>
      </c>
      <c r="U53" s="21">
        <f>INDEX('Master data'!CI:CI,MATCH($M53,'Master data'!$CL:$CL,0))</f>
        <v>3500000</v>
      </c>
      <c r="V53" s="22">
        <f>INDEX('Master data'!CJ:CJ,MATCH($M53,'Master data'!$CL:$CL,0))</f>
        <v>4.565087169087368E-2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>
      <c r="A54" s="20">
        <f t="shared" si="2"/>
        <v>52</v>
      </c>
      <c r="B54" s="20" t="str">
        <f>INDEX('Master data'!A:A,MATCH($A54,'Master data'!$CK:$CK,0))</f>
        <v>Marcos Llorente</v>
      </c>
      <c r="C54" s="20" t="str">
        <f>INDEX('Master data'!B:B,MATCH($A54,'Master data'!$CK:$CK,0))</f>
        <v>Spain</v>
      </c>
      <c r="D54" s="17" t="str">
        <f>INDEX('Master data'!C:C,MATCH($A54,'Master data'!$CK:$CK,0))</f>
        <v>Midfield</v>
      </c>
      <c r="E54" s="21">
        <f>INDEX('Master data'!G:G,MATCH($A54,'Master data'!$CK:$CK,0))</f>
        <v>4500000</v>
      </c>
      <c r="F54" s="21">
        <f>INDEX('Master data'!AK:AK,MATCH($A54,'Master data'!$CK:$CK,0))</f>
        <v>57714.980590655206</v>
      </c>
      <c r="G54" s="18">
        <f>INDEX('Master data'!BY:BY,MATCH($A54,'Master data'!$CK:$CK,0))</f>
        <v>198118.92190864269</v>
      </c>
      <c r="H54" s="21">
        <f>INDEX('Master data'!CG:CG,MATCH($A54,'Master data'!$CK:$CK,0))</f>
        <v>0</v>
      </c>
      <c r="I54" s="21">
        <f>INDEX('Master data'!CI:CI,MATCH($A54,'Master data'!$CK:$CK,0))</f>
        <v>4500000</v>
      </c>
      <c r="J54" s="22">
        <f>INDEX('Master data'!CJ:CJ,MATCH($A54,'Master data'!$CK:$CK,0))</f>
        <v>4.4026427090809485E-2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Gianluigi Donnarumma</v>
      </c>
      <c r="O54" s="20" t="str">
        <f>INDEX('Master data'!B:B,MATCH($M54,'Master data'!$CL:$CL,0))</f>
        <v>Italy</v>
      </c>
      <c r="P54" s="17" t="str">
        <f>INDEX('Master data'!C:C,MATCH($M54,'Master data'!$CL:$CL,0))</f>
        <v>Goalkeeper</v>
      </c>
      <c r="Q54" s="21">
        <f>INDEX('Master data'!G:G,MATCH($M54,'Master data'!$CL:$CL,0))</f>
        <v>5000000</v>
      </c>
      <c r="R54" s="21">
        <f>INDEX('Master data'!AK:AK,MATCH($A54,'Master data'!$CL:$CL,0))</f>
        <v>77102.145176126287</v>
      </c>
      <c r="S54" s="18">
        <f>INDEX('Master data'!BY:BY,MATCH($A54,'Master data'!$CL:$CL,0))</f>
        <v>226733.72487780621</v>
      </c>
      <c r="T54" s="21">
        <f>INDEX('Master data'!CG:CG,MATCH($M54,'Master data'!$CL:$CL,0))</f>
        <v>0</v>
      </c>
      <c r="U54" s="21">
        <f>INDEX('Master data'!CI:CI,MATCH($M54,'Master data'!$CL:$CL,0))</f>
        <v>5000000</v>
      </c>
      <c r="V54" s="22">
        <f>INDEX('Master data'!CJ:CJ,MATCH($M54,'Master data'!$CL:$CL,0))</f>
        <v>4.5346744975561244E-2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>
      <c r="A55" s="20">
        <f t="shared" si="2"/>
        <v>53</v>
      </c>
      <c r="B55" s="20" t="str">
        <f>INDEX('Master data'!A:A,MATCH($A55,'Master data'!$CK:$CK,0))</f>
        <v>Alexander Isak</v>
      </c>
      <c r="C55" s="20" t="str">
        <f>INDEX('Master data'!B:B,MATCH($A55,'Master data'!$CK:$CK,0))</f>
        <v>Sweden</v>
      </c>
      <c r="D55" s="17" t="str">
        <f>INDEX('Master data'!C:C,MATCH($A55,'Master data'!$CK:$CK,0))</f>
        <v>Striker</v>
      </c>
      <c r="E55" s="21">
        <f>INDEX('Master data'!G:G,MATCH($A55,'Master data'!$CK:$CK,0))</f>
        <v>5000000</v>
      </c>
      <c r="F55" s="21">
        <f>INDEX('Master data'!AK:AK,MATCH($A55,'Master data'!$CK:$CK,0))</f>
        <v>24100.093053780576</v>
      </c>
      <c r="G55" s="18">
        <f>INDEX('Master data'!BY:BY,MATCH($A55,'Master data'!$CK:$CK,0))</f>
        <v>197562.33161280036</v>
      </c>
      <c r="H55" s="21">
        <f>INDEX('Master data'!CG:CG,MATCH($A55,'Master data'!$CK:$CK,0))</f>
        <v>0</v>
      </c>
      <c r="I55" s="21">
        <f>INDEX('Master data'!CI:CI,MATCH($A55,'Master data'!$CK:$CK,0))</f>
        <v>5000000</v>
      </c>
      <c r="J55" s="22">
        <f>INDEX('Master data'!CJ:CJ,MATCH($A55,'Master data'!$CK:$CK,0))</f>
        <v>3.9512466322560072E-2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Ciro Immobile</v>
      </c>
      <c r="O55" s="20" t="str">
        <f>INDEX('Master data'!B:B,MATCH($M55,'Master data'!$CL:$CL,0))</f>
        <v>Italy</v>
      </c>
      <c r="P55" s="17" t="str">
        <f>INDEX('Master data'!C:C,MATCH($M55,'Master data'!$CL:$CL,0))</f>
        <v>Striker</v>
      </c>
      <c r="Q55" s="21">
        <f>INDEX('Master data'!G:G,MATCH($M55,'Master data'!$CL:$CL,0))</f>
        <v>6500000</v>
      </c>
      <c r="R55" s="21">
        <f>INDEX('Master data'!AK:AK,MATCH($A55,'Master data'!$CL:$CL,0))</f>
        <v>97160.908321393814</v>
      </c>
      <c r="S55" s="18">
        <f>INDEX('Master data'!BY:BY,MATCH($A55,'Master data'!$CL:$CL,0))</f>
        <v>292076.50989080325</v>
      </c>
      <c r="T55" s="21">
        <f>INDEX('Master data'!CG:CG,MATCH($M55,'Master data'!$CL:$CL,0))</f>
        <v>0</v>
      </c>
      <c r="U55" s="21">
        <f>INDEX('Master data'!CI:CI,MATCH($M55,'Master data'!$CL:$CL,0))</f>
        <v>6500000</v>
      </c>
      <c r="V55" s="22">
        <f>INDEX('Master data'!CJ:CJ,MATCH($M55,'Master data'!$CL:$CL,0))</f>
        <v>4.4934847675508191E-2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>
      <c r="A56" s="20">
        <f t="shared" si="2"/>
        <v>54</v>
      </c>
      <c r="B56" s="20" t="str">
        <f>INDEX('Master data'!A:A,MATCH($A56,'Master data'!$CK:$CK,0))</f>
        <v>Karim Benzema</v>
      </c>
      <c r="C56" s="20" t="str">
        <f>INDEX('Master data'!B:B,MATCH($A56,'Master data'!$CK:$CK,0))</f>
        <v>France</v>
      </c>
      <c r="D56" s="17" t="str">
        <f>INDEX('Master data'!C:C,MATCH($A56,'Master data'!$CK:$CK,0))</f>
        <v>Striker</v>
      </c>
      <c r="E56" s="21">
        <f>INDEX('Master data'!G:G,MATCH($A56,'Master data'!$CK:$CK,0))</f>
        <v>7500000</v>
      </c>
      <c r="F56" s="21">
        <f>INDEX('Master data'!AK:AK,MATCH($A56,'Master data'!$CK:$CK,0))</f>
        <v>45606.10637798885</v>
      </c>
      <c r="G56" s="18">
        <f>INDEX('Master data'!BY:BY,MATCH($A56,'Master data'!$CK:$CK,0))</f>
        <v>196270.86750142311</v>
      </c>
      <c r="H56" s="21">
        <f>INDEX('Master data'!CG:CG,MATCH($A56,'Master data'!$CK:$CK,0))</f>
        <v>0</v>
      </c>
      <c r="I56" s="21">
        <f>INDEX('Master data'!CI:CI,MATCH($A56,'Master data'!$CK:$CK,0))</f>
        <v>7500000</v>
      </c>
      <c r="J56" s="22">
        <f>INDEX('Master data'!CJ:CJ,MATCH($A56,'Master data'!$CK:$CK,0))</f>
        <v>2.6169449000189748E-2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Denis Cheryshev</v>
      </c>
      <c r="O56" s="20" t="str">
        <f>INDEX('Master data'!B:B,MATCH($M56,'Master data'!$CL:$CL,0))</f>
        <v>Russia</v>
      </c>
      <c r="P56" s="17" t="str">
        <f>INDEX('Master data'!C:C,MATCH($M56,'Master data'!$CL:$CL,0))</f>
        <v>Midfield</v>
      </c>
      <c r="Q56" s="21">
        <f>INDEX('Master data'!G:G,MATCH($M56,'Master data'!$CL:$CL,0))</f>
        <v>2500000</v>
      </c>
      <c r="R56" s="21">
        <f>INDEX('Master data'!AK:AK,MATCH($A56,'Master data'!$CL:$CL,0))</f>
        <v>18133.820989470594</v>
      </c>
      <c r="S56" s="18">
        <f>INDEX('Master data'!BY:BY,MATCH($A56,'Master data'!$CL:$CL,0))</f>
        <v>111813.88141873101</v>
      </c>
      <c r="T56" s="21">
        <f>INDEX('Master data'!CG:CG,MATCH($M56,'Master data'!$CL:$CL,0))</f>
        <v>0</v>
      </c>
      <c r="U56" s="21">
        <f>INDEX('Master data'!CI:CI,MATCH($M56,'Master data'!$CL:$CL,0))</f>
        <v>2500000</v>
      </c>
      <c r="V56" s="22">
        <f>INDEX('Master data'!CJ:CJ,MATCH($M56,'Master data'!$CL:$CL,0))</f>
        <v>4.4725552567492402E-2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>
      <c r="A57" s="20">
        <f t="shared" si="2"/>
        <v>55</v>
      </c>
      <c r="B57" s="20" t="str">
        <f>INDEX('Master data'!A:A,MATCH($A57,'Master data'!$CK:$CK,0))</f>
        <v>Aleksandr Golovin</v>
      </c>
      <c r="C57" s="20" t="str">
        <f>INDEX('Master data'!B:B,MATCH($A57,'Master data'!$CK:$CK,0))</f>
        <v>Russia</v>
      </c>
      <c r="D57" s="17" t="str">
        <f>INDEX('Master data'!C:C,MATCH($A57,'Master data'!$CK:$CK,0))</f>
        <v>Midfield</v>
      </c>
      <c r="E57" s="21">
        <f>INDEX('Master data'!G:G,MATCH($A57,'Master data'!$CK:$CK,0))</f>
        <v>4000000</v>
      </c>
      <c r="F57" s="21">
        <f>INDEX('Master data'!AK:AK,MATCH($A57,'Master data'!$CK:$CK,0))</f>
        <v>38713.121837394123</v>
      </c>
      <c r="G57" s="18">
        <f>INDEX('Master data'!BY:BY,MATCH($A57,'Master data'!$CK:$CK,0))</f>
        <v>194433.62660219526</v>
      </c>
      <c r="H57" s="21">
        <f>INDEX('Master data'!CG:CG,MATCH($A57,'Master data'!$CK:$CK,0))</f>
        <v>0</v>
      </c>
      <c r="I57" s="21">
        <f>INDEX('Master data'!CI:CI,MATCH($A57,'Master data'!$CK:$CK,0))</f>
        <v>4000000</v>
      </c>
      <c r="J57" s="22">
        <f>INDEX('Master data'!CJ:CJ,MATCH($A57,'Master data'!$CK:$CK,0))</f>
        <v>4.8608406650548816E-2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Roman Yaremchuk</v>
      </c>
      <c r="O57" s="20" t="str">
        <f>INDEX('Master data'!B:B,MATCH($M57,'Master data'!$CL:$CL,0))</f>
        <v>Ukraine</v>
      </c>
      <c r="P57" s="17" t="str">
        <f>INDEX('Master data'!C:C,MATCH($M57,'Master data'!$CL:$CL,0))</f>
        <v>Striker</v>
      </c>
      <c r="Q57" s="21">
        <f>INDEX('Master data'!G:G,MATCH($M57,'Master data'!$CL:$CL,0))</f>
        <v>4000000</v>
      </c>
      <c r="R57" s="21">
        <f>INDEX('Master data'!AK:AK,MATCH($A57,'Master data'!$CL:$CL,0))</f>
        <v>28142.97016130207</v>
      </c>
      <c r="S57" s="18">
        <f>INDEX('Master data'!BY:BY,MATCH($A57,'Master data'!$CL:$CL,0))</f>
        <v>178459.79175691391</v>
      </c>
      <c r="T57" s="21">
        <f>INDEX('Master data'!CG:CG,MATCH($M57,'Master data'!$CL:$CL,0))</f>
        <v>0</v>
      </c>
      <c r="U57" s="21">
        <f>INDEX('Master data'!CI:CI,MATCH($M57,'Master data'!$CL:$CL,0))</f>
        <v>4000000</v>
      </c>
      <c r="V57" s="22">
        <f>INDEX('Master data'!CJ:CJ,MATCH($M57,'Master data'!$CL:$CL,0))</f>
        <v>4.4614947939228475E-2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>
      <c r="A58" s="20">
        <f t="shared" si="2"/>
        <v>56</v>
      </c>
      <c r="B58" s="20" t="str">
        <f>INDEX('Master data'!A:A,MATCH($A58,'Master data'!$CK:$CK,0))</f>
        <v>Thomas Meunier</v>
      </c>
      <c r="C58" s="20" t="str">
        <f>INDEX('Master data'!B:B,MATCH($A58,'Master data'!$CK:$CK,0))</f>
        <v>Belgium</v>
      </c>
      <c r="D58" s="17" t="str">
        <f>INDEX('Master data'!C:C,MATCH($A58,'Master data'!$CK:$CK,0))</f>
        <v>Defense</v>
      </c>
      <c r="E58" s="21">
        <f>INDEX('Master data'!G:G,MATCH($A58,'Master data'!$CK:$CK,0))</f>
        <v>5000000</v>
      </c>
      <c r="F58" s="21">
        <f>INDEX('Master data'!AK:AK,MATCH($A58,'Master data'!$CK:$CK,0))</f>
        <v>59616.148003287344</v>
      </c>
      <c r="G58" s="18">
        <f>INDEX('Master data'!BY:BY,MATCH($A58,'Master data'!$CK:$CK,0))</f>
        <v>192898.71249517135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3.8579742499034272E-2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Arkadiusz Milik</v>
      </c>
      <c r="O58" s="20" t="str">
        <f>INDEX('Master data'!B:B,MATCH($M58,'Master data'!$CL:$CL,0))</f>
        <v>Poland</v>
      </c>
      <c r="P58" s="17" t="str">
        <f>INDEX('Master data'!C:C,MATCH($M58,'Master data'!$CL:$CL,0))</f>
        <v>Striker</v>
      </c>
      <c r="Q58" s="21">
        <f>INDEX('Master data'!G:G,MATCH($M58,'Master data'!$CL:$CL,0))</f>
        <v>4000000</v>
      </c>
      <c r="R58" s="21">
        <f>INDEX('Master data'!AK:AK,MATCH($A58,'Master data'!$CL:$CL,0))</f>
        <v>89684.54984803492</v>
      </c>
      <c r="S58" s="18">
        <f>INDEX('Master data'!BY:BY,MATCH($A58,'Master data'!$CL:$CL,0))</f>
        <v>176568.19609302629</v>
      </c>
      <c r="T58" s="21">
        <f>INDEX('Master data'!CG:CG,MATCH($M58,'Master data'!$CL:$CL,0))</f>
        <v>0</v>
      </c>
      <c r="U58" s="21">
        <f>INDEX('Master data'!CI:CI,MATCH($M58,'Master data'!$CL:$CL,0))</f>
        <v>4000000</v>
      </c>
      <c r="V58" s="22">
        <f>INDEX('Master data'!CJ:CJ,MATCH($M58,'Master data'!$CL:$CL,0))</f>
        <v>4.4142049023256573E-2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>
      <c r="A59" s="20">
        <f t="shared" si="2"/>
        <v>57</v>
      </c>
      <c r="B59" s="20" t="str">
        <f>INDEX('Master data'!A:A,MATCH($A59,'Master data'!$CK:$CK,0))</f>
        <v>Thorgan T. Hazard</v>
      </c>
      <c r="C59" s="20" t="str">
        <f>INDEX('Master data'!B:B,MATCH($A59,'Master data'!$CK:$CK,0))</f>
        <v>Belgium</v>
      </c>
      <c r="D59" s="17" t="str">
        <f>INDEX('Master data'!C:C,MATCH($A59,'Master data'!$CK:$CK,0))</f>
        <v>Midfield</v>
      </c>
      <c r="E59" s="21">
        <f>INDEX('Master data'!G:G,MATCH($A59,'Master data'!$CK:$CK,0))</f>
        <v>5500000</v>
      </c>
      <c r="F59" s="21">
        <f>INDEX('Master data'!AK:AK,MATCH($A59,'Master data'!$CK:$CK,0))</f>
        <v>56649.652287546807</v>
      </c>
      <c r="G59" s="18">
        <f>INDEX('Master data'!BY:BY,MATCH($A59,'Master data'!$CK:$CK,0))</f>
        <v>192529.10924959258</v>
      </c>
      <c r="H59" s="21">
        <f>INDEX('Master data'!CG:CG,MATCH($A59,'Master data'!$CK:$CK,0))</f>
        <v>0</v>
      </c>
      <c r="I59" s="21">
        <f>INDEX('Master data'!CI:CI,MATCH($A59,'Master data'!$CK:$CK,0))</f>
        <v>5500000</v>
      </c>
      <c r="J59" s="22">
        <f>INDEX('Master data'!CJ:CJ,MATCH($A59,'Master data'!$CK:$CK,0))</f>
        <v>3.5005292590835013E-2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>Marcos Llorente</v>
      </c>
      <c r="O59" s="20" t="str">
        <f>INDEX('Master data'!B:B,MATCH($M59,'Master data'!$CL:$CL,0))</f>
        <v>Spain</v>
      </c>
      <c r="P59" s="17" t="str">
        <f>INDEX('Master data'!C:C,MATCH($M59,'Master data'!$CL:$CL,0))</f>
        <v>Midfield</v>
      </c>
      <c r="Q59" s="21">
        <f>INDEX('Master data'!G:G,MATCH($M59,'Master data'!$CL:$CL,0))</f>
        <v>4500000</v>
      </c>
      <c r="R59" s="21">
        <f>INDEX('Master data'!AK:AK,MATCH($A59,'Master data'!$CL:$CL,0))</f>
        <v>57714.980590655206</v>
      </c>
      <c r="S59" s="18">
        <f>INDEX('Master data'!BY:BY,MATCH($A59,'Master data'!$CL:$CL,0))</f>
        <v>198118.92190864269</v>
      </c>
      <c r="T59" s="21">
        <f>INDEX('Master data'!CG:CG,MATCH($M59,'Master data'!$CL:$CL,0))</f>
        <v>0</v>
      </c>
      <c r="U59" s="21">
        <f>INDEX('Master data'!CI:CI,MATCH($M59,'Master data'!$CL:$CL,0))</f>
        <v>4500000</v>
      </c>
      <c r="V59" s="22">
        <f>INDEX('Master data'!CJ:CJ,MATCH($M59,'Master data'!$CL:$CL,0))</f>
        <v>4.4026427090809485E-2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>
      <c r="A60" s="20">
        <f t="shared" si="2"/>
        <v>58</v>
      </c>
      <c r="B60" s="20" t="str">
        <f>INDEX('Master data'!A:A,MATCH($A60,'Master data'!$CK:$CK,0))</f>
        <v>Kasper Dolberg</v>
      </c>
      <c r="C60" s="20" t="str">
        <f>INDEX('Master data'!B:B,MATCH($A60,'Master data'!$CK:$CK,0))</f>
        <v>Denmark</v>
      </c>
      <c r="D60" s="17" t="str">
        <f>INDEX('Master data'!C:C,MATCH($A60,'Master data'!$CK:$CK,0))</f>
        <v>Striker</v>
      </c>
      <c r="E60" s="21">
        <f>INDEX('Master data'!G:G,MATCH($A60,'Master data'!$CK:$CK,0))</f>
        <v>4000000</v>
      </c>
      <c r="F60" s="21">
        <f>INDEX('Master data'!AK:AK,MATCH($A60,'Master data'!$CK:$CK,0))</f>
        <v>82524.739461480465</v>
      </c>
      <c r="G60" s="18">
        <f>INDEX('Master data'!BY:BY,MATCH($A60,'Master data'!$CK:$CK,0))</f>
        <v>190636.98267827238</v>
      </c>
      <c r="H60" s="21">
        <f>INDEX('Master data'!CG:CG,MATCH($A60,'Master data'!$CK:$CK,0))</f>
        <v>0</v>
      </c>
      <c r="I60" s="21">
        <f>INDEX('Master data'!CI:CI,MATCH($A60,'Master data'!$CK:$CK,0))</f>
        <v>4000000</v>
      </c>
      <c r="J60" s="22">
        <f>INDEX('Master data'!CJ:CJ,MATCH($A60,'Master data'!$CK:$CK,0))</f>
        <v>4.7659245669568098E-2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Vitaliy Mykolenko</v>
      </c>
      <c r="O60" s="20" t="str">
        <f>INDEX('Master data'!B:B,MATCH($M60,'Master data'!$CL:$CL,0))</f>
        <v>Ukraine</v>
      </c>
      <c r="P60" s="17" t="str">
        <f>INDEX('Master data'!C:C,MATCH($M60,'Master data'!$CL:$CL,0))</f>
        <v>Defense</v>
      </c>
      <c r="Q60" s="21">
        <f>INDEX('Master data'!G:G,MATCH($M60,'Master data'!$CL:$CL,0))</f>
        <v>2500000</v>
      </c>
      <c r="R60" s="21">
        <f>INDEX('Master data'!AK:AK,MATCH($A60,'Master data'!$CL:$CL,0))</f>
        <v>11202.147398825968</v>
      </c>
      <c r="S60" s="18">
        <f>INDEX('Master data'!BY:BY,MATCH($A60,'Master data'!$CL:$CL,0))</f>
        <v>109662.64260195778</v>
      </c>
      <c r="T60" s="21">
        <f>INDEX('Master data'!CG:CG,MATCH($M60,'Master data'!$CL:$CL,0))</f>
        <v>0</v>
      </c>
      <c r="U60" s="21">
        <f>INDEX('Master data'!CI:CI,MATCH($M60,'Master data'!$CL:$CL,0))</f>
        <v>2500000</v>
      </c>
      <c r="V60" s="22">
        <f>INDEX('Master data'!CJ:CJ,MATCH($M60,'Master data'!$CL:$CL,0))</f>
        <v>4.3865057040783112E-2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>
      <c r="A61" s="20">
        <f t="shared" si="2"/>
        <v>59</v>
      </c>
      <c r="B61" s="20" t="str">
        <f>INDEX('Master data'!A:A,MATCH($A61,'Master data'!$CK:$CK,0))</f>
        <v>Kai Havertz</v>
      </c>
      <c r="C61" s="20" t="str">
        <f>INDEX('Master data'!B:B,MATCH($A61,'Master data'!$CK:$CK,0))</f>
        <v>Germany</v>
      </c>
      <c r="D61" s="17" t="str">
        <f>INDEX('Master data'!C:C,MATCH($A61,'Master data'!$CK:$CK,0))</f>
        <v>Midfield</v>
      </c>
      <c r="E61" s="21">
        <f>INDEX('Master data'!G:G,MATCH($A61,'Master data'!$CK:$CK,0))</f>
        <v>6500000</v>
      </c>
      <c r="F61" s="21">
        <f>INDEX('Master data'!AK:AK,MATCH($A61,'Master data'!$CK:$CK,0))</f>
        <v>40727.270942689778</v>
      </c>
      <c r="G61" s="18">
        <f>INDEX('Master data'!BY:BY,MATCH($A61,'Master data'!$CK:$CK,0))</f>
        <v>189012.24662602015</v>
      </c>
      <c r="H61" s="21">
        <f>INDEX('Master data'!CG:CG,MATCH($A61,'Master data'!$CK:$CK,0))</f>
        <v>0</v>
      </c>
      <c r="I61" s="21">
        <f>INDEX('Master data'!CI:CI,MATCH($A61,'Master data'!$CK:$CK,0))</f>
        <v>6500000</v>
      </c>
      <c r="J61" s="22">
        <f>INDEX('Master data'!CJ:CJ,MATCH($A61,'Master data'!$CK:$CK,0))</f>
        <v>2.907880717323387E-2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Kalvin Phillips</v>
      </c>
      <c r="O61" s="20" t="str">
        <f>INDEX('Master data'!B:B,MATCH($M61,'Master data'!$CL:$CL,0))</f>
        <v>England</v>
      </c>
      <c r="P61" s="17" t="str">
        <f>INDEX('Master data'!C:C,MATCH($M61,'Master data'!$CL:$CL,0))</f>
        <v>Midfield</v>
      </c>
      <c r="Q61" s="21">
        <f>INDEX('Master data'!G:G,MATCH($M61,'Master data'!$CL:$CL,0))</f>
        <v>3500000</v>
      </c>
      <c r="R61" s="21">
        <f>INDEX('Master data'!AK:AK,MATCH($A61,'Master data'!$CL:$CL,0))</f>
        <v>40847.597407030546</v>
      </c>
      <c r="S61" s="18">
        <f>INDEX('Master data'!BY:BY,MATCH($A61,'Master data'!$CL:$CL,0))</f>
        <v>153452.58619050775</v>
      </c>
      <c r="T61" s="21">
        <f>INDEX('Master data'!CG:CG,MATCH($M61,'Master data'!$CL:$CL,0))</f>
        <v>0</v>
      </c>
      <c r="U61" s="21">
        <f>INDEX('Master data'!CI:CI,MATCH($M61,'Master data'!$CL:$CL,0))</f>
        <v>3500000</v>
      </c>
      <c r="V61" s="22">
        <f>INDEX('Master data'!CJ:CJ,MATCH($M61,'Master data'!$CL:$CL,0))</f>
        <v>4.3843596054430785E-2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>
      <c r="A62" s="20">
        <f t="shared" si="2"/>
        <v>60</v>
      </c>
      <c r="B62" s="20" t="str">
        <f>INDEX('Master data'!A:A,MATCH($A62,'Master data'!$CK:$CK,0))</f>
        <v>Bruno Fernandes</v>
      </c>
      <c r="C62" s="20" t="str">
        <f>INDEX('Master data'!B:B,MATCH($A62,'Master data'!$CK:$CK,0))</f>
        <v>Portugal</v>
      </c>
      <c r="D62" s="17" t="str">
        <f>INDEX('Master data'!C:C,MATCH($A62,'Master data'!$CK:$CK,0))</f>
        <v>Midfield</v>
      </c>
      <c r="E62" s="21">
        <f>INDEX('Master data'!G:G,MATCH($A62,'Master data'!$CK:$CK,0))</f>
        <v>7500000</v>
      </c>
      <c r="F62" s="21">
        <f>INDEX('Master data'!AK:AK,MATCH($A62,'Master data'!$CK:$CK,0))</f>
        <v>95004.903303221756</v>
      </c>
      <c r="G62" s="18">
        <f>INDEX('Master data'!BY:BY,MATCH($A62,'Master data'!$CK:$CK,0))</f>
        <v>188742.48947676679</v>
      </c>
      <c r="H62" s="21">
        <f>INDEX('Master data'!CG:CG,MATCH($A62,'Master data'!$CK:$CK,0))</f>
        <v>0</v>
      </c>
      <c r="I62" s="21">
        <f>INDEX('Master data'!CI:CI,MATCH($A62,'Master data'!$CK:$CK,0))</f>
        <v>7500000</v>
      </c>
      <c r="J62" s="22">
        <f>INDEX('Master data'!CJ:CJ,MATCH($A62,'Master data'!$CK:$CK,0))</f>
        <v>2.5165665263568907E-2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Antonio Rüdiger</v>
      </c>
      <c r="O62" s="20" t="str">
        <f>INDEX('Master data'!B:B,MATCH($M62,'Master data'!$CL:$CL,0))</f>
        <v>Germany</v>
      </c>
      <c r="P62" s="17" t="str">
        <f>INDEX('Master data'!C:C,MATCH($M62,'Master data'!$CL:$CL,0))</f>
        <v>Defense</v>
      </c>
      <c r="Q62" s="21">
        <f>INDEX('Master data'!G:G,MATCH($M62,'Master data'!$CL:$CL,0))</f>
        <v>4000000</v>
      </c>
      <c r="R62" s="21">
        <f>INDEX('Master data'!AK:AK,MATCH($A62,'Master data'!$CL:$CL,0))</f>
        <v>38216.035147486575</v>
      </c>
      <c r="S62" s="18">
        <f>INDEX('Master data'!BY:BY,MATCH($A62,'Master data'!$CL:$CL,0))</f>
        <v>173579.91722785879</v>
      </c>
      <c r="T62" s="21">
        <f>INDEX('Master data'!CG:CG,MATCH($M62,'Master data'!$CL:$CL,0))</f>
        <v>0</v>
      </c>
      <c r="U62" s="21">
        <f>INDEX('Master data'!CI:CI,MATCH($M62,'Master data'!$CL:$CL,0))</f>
        <v>4000000</v>
      </c>
      <c r="V62" s="22">
        <f>INDEX('Master data'!CJ:CJ,MATCH($M62,'Master data'!$CL:$CL,0))</f>
        <v>4.3394979306964697E-2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>
      <c r="A63" s="20">
        <f t="shared" si="2"/>
        <v>61</v>
      </c>
      <c r="B63" s="20" t="str">
        <f>INDEX('Master data'!A:A,MATCH($A63,'Master data'!$CK:$CK,0))</f>
        <v>Hugo Lloris</v>
      </c>
      <c r="C63" s="20" t="str">
        <f>INDEX('Master data'!B:B,MATCH($A63,'Master data'!$CK:$CK,0))</f>
        <v>France</v>
      </c>
      <c r="D63" s="17" t="str">
        <f>INDEX('Master data'!C:C,MATCH($A63,'Master data'!$CK:$CK,0))</f>
        <v>Goalkeeper</v>
      </c>
      <c r="E63" s="21">
        <f>INDEX('Master data'!G:G,MATCH($A63,'Master data'!$CK:$CK,0))</f>
        <v>6000000</v>
      </c>
      <c r="F63" s="21">
        <f>INDEX('Master data'!AK:AK,MATCH($A63,'Master data'!$CK:$CK,0))</f>
        <v>49477.929279913486</v>
      </c>
      <c r="G63" s="18">
        <f>INDEX('Master data'!BY:BY,MATCH($A63,'Master data'!$CK:$CK,0))</f>
        <v>186338.30857388015</v>
      </c>
      <c r="H63" s="21">
        <f>INDEX('Master data'!CG:CG,MATCH($A63,'Master data'!$CK:$CK,0))</f>
        <v>0</v>
      </c>
      <c r="I63" s="21">
        <f>INDEX('Master data'!CI:CI,MATCH($A63,'Master data'!$CK:$CK,0))</f>
        <v>6000000</v>
      </c>
      <c r="J63" s="22">
        <f>INDEX('Master data'!CJ:CJ,MATCH($A63,'Master data'!$CK:$CK,0))</f>
        <v>3.1056384762313358E-2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Breel Embolo</v>
      </c>
      <c r="O63" s="20" t="str">
        <f>INDEX('Master data'!B:B,MATCH($M63,'Master data'!$CL:$CL,0))</f>
        <v>Switzerland</v>
      </c>
      <c r="P63" s="17" t="str">
        <f>INDEX('Master data'!C:C,MATCH($M63,'Master data'!$CL:$CL,0))</f>
        <v>Striker</v>
      </c>
      <c r="Q63" s="21">
        <f>INDEX('Master data'!G:G,MATCH($M63,'Master data'!$CL:$CL,0))</f>
        <v>4000000</v>
      </c>
      <c r="R63" s="21">
        <f>INDEX('Master data'!AK:AK,MATCH($A63,'Master data'!$CL:$CL,0))</f>
        <v>67755.918199999724</v>
      </c>
      <c r="S63" s="18">
        <f>INDEX('Master data'!BY:BY,MATCH($A63,'Master data'!$CL:$CL,0))</f>
        <v>173025.74863656331</v>
      </c>
      <c r="T63" s="21">
        <f>INDEX('Master data'!CG:CG,MATCH($M63,'Master data'!$CL:$CL,0))</f>
        <v>0</v>
      </c>
      <c r="U63" s="21">
        <f>INDEX('Master data'!CI:CI,MATCH($M63,'Master data'!$CL:$CL,0))</f>
        <v>4000000</v>
      </c>
      <c r="V63" s="22">
        <f>INDEX('Master data'!CJ:CJ,MATCH($M63,'Master data'!$CL:$CL,0))</f>
        <v>4.3256437159140827E-2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>
      <c r="A64" s="20">
        <f t="shared" si="2"/>
        <v>62</v>
      </c>
      <c r="B64" s="20" t="str">
        <f>INDEX('Master data'!A:A,MATCH($A64,'Master data'!$CK:$CK,0))</f>
        <v>Kingsley Coman</v>
      </c>
      <c r="C64" s="20" t="str">
        <f>INDEX('Master data'!B:B,MATCH($A64,'Master data'!$CK:$CK,0))</f>
        <v>France</v>
      </c>
      <c r="D64" s="17" t="str">
        <f>INDEX('Master data'!C:C,MATCH($A64,'Master data'!$CK:$CK,0))</f>
        <v>Striker</v>
      </c>
      <c r="E64" s="21">
        <f>INDEX('Master data'!G:G,MATCH($A64,'Master data'!$CK:$CK,0))</f>
        <v>5000000</v>
      </c>
      <c r="F64" s="21">
        <f>INDEX('Master data'!AK:AK,MATCH($A64,'Master data'!$CK:$CK,0))</f>
        <v>44618.688536784539</v>
      </c>
      <c r="G64" s="18">
        <f>INDEX('Master data'!BY:BY,MATCH($A64,'Master data'!$CK:$CK,0))</f>
        <v>185794.79154079669</v>
      </c>
      <c r="H64" s="21">
        <f>INDEX('Master data'!CG:CG,MATCH($A64,'Master data'!$CK:$CK,0))</f>
        <v>0</v>
      </c>
      <c r="I64" s="21">
        <f>INDEX('Master data'!CI:CI,MATCH($A64,'Master data'!$CK:$CK,0))</f>
        <v>5000000</v>
      </c>
      <c r="J64" s="22">
        <f>INDEX('Master data'!CJ:CJ,MATCH($A64,'Master data'!$CK:$CK,0))</f>
        <v>3.7158958308159337E-2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Álvaro Morata</v>
      </c>
      <c r="O64" s="20" t="str">
        <f>INDEX('Master data'!B:B,MATCH($M64,'Master data'!$CL:$CL,0))</f>
        <v>Spain</v>
      </c>
      <c r="P64" s="17" t="str">
        <f>INDEX('Master data'!C:C,MATCH($M64,'Master data'!$CL:$CL,0))</f>
        <v>Striker</v>
      </c>
      <c r="Q64" s="21">
        <f>INDEX('Master data'!G:G,MATCH($M64,'Master data'!$CL:$CL,0))</f>
        <v>6500000</v>
      </c>
      <c r="R64" s="21">
        <f>INDEX('Master data'!AK:AK,MATCH($A64,'Master data'!$CL:$CL,0))</f>
        <v>83501.25725236522</v>
      </c>
      <c r="S64" s="18">
        <f>INDEX('Master data'!BY:BY,MATCH($A64,'Master data'!$CL:$CL,0))</f>
        <v>281115.03007549065</v>
      </c>
      <c r="T64" s="21">
        <f>INDEX('Master data'!CG:CG,MATCH($M64,'Master data'!$CL:$CL,0))</f>
        <v>0</v>
      </c>
      <c r="U64" s="21">
        <f>INDEX('Master data'!CI:CI,MATCH($M64,'Master data'!$CL:$CL,0))</f>
        <v>6500000</v>
      </c>
      <c r="V64" s="22">
        <f>INDEX('Master data'!CJ:CJ,MATCH($M64,'Master data'!$CL:$CL,0))</f>
        <v>4.3248466165460103E-2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>
      <c r="A65" s="20">
        <f t="shared" si="2"/>
        <v>63</v>
      </c>
      <c r="B65" s="20" t="str">
        <f>INDEX('Master data'!A:A,MATCH($A65,'Master data'!$CK:$CK,0))</f>
        <v>Manuel Neuer</v>
      </c>
      <c r="C65" s="20" t="str">
        <f>INDEX('Master data'!B:B,MATCH($A65,'Master data'!$CK:$CK,0))</f>
        <v>Germany</v>
      </c>
      <c r="D65" s="17" t="str">
        <f>INDEX('Master data'!C:C,MATCH($A65,'Master data'!$CK:$CK,0))</f>
        <v>Goalkeeper</v>
      </c>
      <c r="E65" s="21">
        <f>INDEX('Master data'!G:G,MATCH($A65,'Master data'!$CK:$CK,0))</f>
        <v>5500000</v>
      </c>
      <c r="F65" s="21">
        <f>INDEX('Master data'!AK:AK,MATCH($A65,'Master data'!$CK:$CK,0))</f>
        <v>45554.547367021019</v>
      </c>
      <c r="G65" s="18">
        <f>INDEX('Master data'!BY:BY,MATCH($A65,'Master data'!$CK:$CK,0))</f>
        <v>185522.18922174865</v>
      </c>
      <c r="H65" s="21">
        <f>INDEX('Master data'!CG:CG,MATCH($A65,'Master data'!$CK:$CK,0))</f>
        <v>0</v>
      </c>
      <c r="I65" s="21">
        <f>INDEX('Master data'!CI:CI,MATCH($A65,'Master data'!$CK:$CK,0))</f>
        <v>5500000</v>
      </c>
      <c r="J65" s="22">
        <f>INDEX('Master data'!CJ:CJ,MATCH($A65,'Master data'!$CK:$CK,0))</f>
        <v>3.3731307131227024E-2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Nicolò Barella</v>
      </c>
      <c r="O65" s="20" t="str">
        <f>INDEX('Master data'!B:B,MATCH($M65,'Master data'!$CL:$CL,0))</f>
        <v>Italy</v>
      </c>
      <c r="P65" s="17" t="str">
        <f>INDEX('Master data'!C:C,MATCH($M65,'Master data'!$CL:$CL,0))</f>
        <v>Midfield</v>
      </c>
      <c r="Q65" s="21">
        <f>INDEX('Master data'!G:G,MATCH($M65,'Master data'!$CL:$CL,0))</f>
        <v>4000000</v>
      </c>
      <c r="R65" s="21">
        <f>INDEX('Master data'!AK:AK,MATCH($A65,'Master data'!$CL:$CL,0))</f>
        <v>57405.11291340975</v>
      </c>
      <c r="S65" s="18">
        <f>INDEX('Master data'!BY:BY,MATCH($A65,'Master data'!$CL:$CL,0))</f>
        <v>171828.23675023002</v>
      </c>
      <c r="T65" s="21">
        <f>INDEX('Master data'!CG:CG,MATCH($M65,'Master data'!$CL:$CL,0))</f>
        <v>0</v>
      </c>
      <c r="U65" s="21">
        <f>INDEX('Master data'!CI:CI,MATCH($M65,'Master data'!$CL:$CL,0))</f>
        <v>4000000</v>
      </c>
      <c r="V65" s="22">
        <f>INDEX('Master data'!CJ:CJ,MATCH($M65,'Master data'!$CL:$CL,0))</f>
        <v>4.2957059187557503E-2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>
      <c r="A66" s="20">
        <f t="shared" si="2"/>
        <v>64</v>
      </c>
      <c r="B66" s="20" t="str">
        <f>INDEX('Master data'!A:A,MATCH($A66,'Master data'!$CK:$CK,0))</f>
        <v>Francesco Acerbi</v>
      </c>
      <c r="C66" s="20" t="str">
        <f>INDEX('Master data'!B:B,MATCH($A66,'Master data'!$CK:$CK,0))</f>
        <v>Italy</v>
      </c>
      <c r="D66" s="17" t="str">
        <f>INDEX('Master data'!C:C,MATCH($A66,'Master data'!$CK:$CK,0))</f>
        <v>Defense</v>
      </c>
      <c r="E66" s="21">
        <f>INDEX('Master data'!G:G,MATCH($A66,'Master data'!$CK:$CK,0))</f>
        <v>3500000</v>
      </c>
      <c r="F66" s="21">
        <f>INDEX('Master data'!AK:AK,MATCH($A66,'Master data'!$CK:$CK,0))</f>
        <v>63027.142699840821</v>
      </c>
      <c r="G66" s="18">
        <f>INDEX('Master data'!BY:BY,MATCH($A66,'Master data'!$CK:$CK,0))</f>
        <v>184804.53798460559</v>
      </c>
      <c r="H66" s="21">
        <f>INDEX('Master data'!CG:CG,MATCH($A66,'Master data'!$CK:$CK,0))</f>
        <v>0</v>
      </c>
      <c r="I66" s="21">
        <f>INDEX('Master data'!CI:CI,MATCH($A66,'Master data'!$CK:$CK,0))</f>
        <v>3500000</v>
      </c>
      <c r="J66" s="22">
        <f>INDEX('Master data'!CJ:CJ,MATCH($A66,'Master data'!$CK:$CK,0))</f>
        <v>5.280129656703017E-2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Mykola Matvienko</v>
      </c>
      <c r="O66" s="20" t="str">
        <f>INDEX('Master data'!B:B,MATCH($M66,'Master data'!$CL:$CL,0))</f>
        <v>Ukraine</v>
      </c>
      <c r="P66" s="17" t="str">
        <f>INDEX('Master data'!C:C,MATCH($M66,'Master data'!$CL:$CL,0))</f>
        <v>Defense</v>
      </c>
      <c r="Q66" s="21">
        <f>INDEX('Master data'!G:G,MATCH($M66,'Master data'!$CL:$CL,0))</f>
        <v>3000000</v>
      </c>
      <c r="R66" s="21">
        <f>INDEX('Master data'!AK:AK,MATCH($A66,'Master data'!$CL:$CL,0))</f>
        <v>14740.975231266231</v>
      </c>
      <c r="S66" s="18">
        <f>INDEX('Master data'!BY:BY,MATCH($A66,'Master data'!$CL:$CL,0))</f>
        <v>126938.92544755281</v>
      </c>
      <c r="T66" s="21">
        <f>INDEX('Master data'!CG:CG,MATCH($M66,'Master data'!$CL:$CL,0))</f>
        <v>0</v>
      </c>
      <c r="U66" s="21">
        <f>INDEX('Master data'!CI:CI,MATCH($M66,'Master data'!$CL:$CL,0))</f>
        <v>3000000</v>
      </c>
      <c r="V66" s="22">
        <f>INDEX('Master data'!CJ:CJ,MATCH($M66,'Master data'!$CL:$CL,0))</f>
        <v>4.2312975149184272E-2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>
      <c r="A67" s="20">
        <f t="shared" si="2"/>
        <v>65</v>
      </c>
      <c r="B67" s="20" t="str">
        <f>INDEX('Master data'!A:A,MATCH($A67,'Master data'!$CK:$CK,0))</f>
        <v>Diogo Jota</v>
      </c>
      <c r="C67" s="20" t="str">
        <f>INDEX('Master data'!B:B,MATCH($A67,'Master data'!$CK:$CK,0))</f>
        <v>Portugal</v>
      </c>
      <c r="D67" s="17" t="str">
        <f>INDEX('Master data'!C:C,MATCH($A67,'Master data'!$CK:$CK,0))</f>
        <v>Striker</v>
      </c>
      <c r="E67" s="21">
        <f>INDEX('Master data'!G:G,MATCH($A67,'Master data'!$CK:$CK,0))</f>
        <v>6500000</v>
      </c>
      <c r="F67" s="21">
        <f>INDEX('Master data'!AK:AK,MATCH($A67,'Master data'!$CK:$CK,0))</f>
        <v>93173.634635545401</v>
      </c>
      <c r="G67" s="18">
        <f>INDEX('Master data'!BY:BY,MATCH($A67,'Master data'!$CK:$CK,0))</f>
        <v>184748.15802301414</v>
      </c>
      <c r="H67" s="21">
        <f>INDEX('Master data'!CG:CG,MATCH($A67,'Master data'!$CK:$CK,0))</f>
        <v>0</v>
      </c>
      <c r="I67" s="21">
        <f>INDEX('Master data'!CI:CI,MATCH($A67,'Master data'!$CK:$CK,0))</f>
        <v>6500000</v>
      </c>
      <c r="J67" s="22">
        <f>INDEX('Master data'!CJ:CJ,MATCH($A67,'Master data'!$CK:$CK,0))</f>
        <v>2.8422793542002174E-2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Harry Kane</v>
      </c>
      <c r="O67" s="20" t="str">
        <f>INDEX('Master data'!B:B,MATCH($M67,'Master data'!$CL:$CL,0))</f>
        <v>England</v>
      </c>
      <c r="P67" s="17" t="str">
        <f>INDEX('Master data'!C:C,MATCH($M67,'Master data'!$CL:$CL,0))</f>
        <v>Striker</v>
      </c>
      <c r="Q67" s="21">
        <f>INDEX('Master data'!G:G,MATCH($M67,'Master data'!$CL:$CL,0))</f>
        <v>8500000</v>
      </c>
      <c r="R67" s="21">
        <f>INDEX('Master data'!AK:AK,MATCH($A67,'Master data'!$CL:$CL,0))</f>
        <v>95743.179939665744</v>
      </c>
      <c r="S67" s="18">
        <f>INDEX('Master data'!BY:BY,MATCH($A67,'Master data'!$CL:$CL,0))</f>
        <v>358612.06688949943</v>
      </c>
      <c r="T67" s="21">
        <f>INDEX('Master data'!CG:CG,MATCH($M67,'Master data'!$CL:$CL,0))</f>
        <v>0</v>
      </c>
      <c r="U67" s="21">
        <f>INDEX('Master data'!CI:CI,MATCH($M67,'Master data'!$CL:$CL,0))</f>
        <v>8500000</v>
      </c>
      <c r="V67" s="22">
        <f>INDEX('Master data'!CJ:CJ,MATCH($M67,'Master data'!$CL:$CL,0))</f>
        <v>4.2189654928176404E-2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>
      <c r="A68" s="20">
        <f t="shared" ref="A68:A102" si="4">A67+1</f>
        <v>66</v>
      </c>
      <c r="B68" s="20" t="str">
        <f>INDEX('Master data'!A:A,MATCH($A68,'Master data'!$CK:$CK,0))</f>
        <v>Toby Alderweireld</v>
      </c>
      <c r="C68" s="20" t="str">
        <f>INDEX('Master data'!B:B,MATCH($A68,'Master data'!$CK:$CK,0))</f>
        <v>Belgium</v>
      </c>
      <c r="D68" s="17" t="str">
        <f>INDEX('Master data'!C:C,MATCH($A68,'Master data'!$CK:$CK,0))</f>
        <v>Defense</v>
      </c>
      <c r="E68" s="21">
        <f>INDEX('Master data'!G:G,MATCH($A68,'Master data'!$CK:$CK,0))</f>
        <v>4500000</v>
      </c>
      <c r="F68" s="21">
        <f>INDEX('Master data'!AK:AK,MATCH($A68,'Master data'!$CK:$CK,0))</f>
        <v>57393.351024934142</v>
      </c>
      <c r="G68" s="18">
        <f>INDEX('Master data'!BY:BY,MATCH($A68,'Master data'!$CK:$CK,0))</f>
        <v>184673.8132850487</v>
      </c>
      <c r="H68" s="21">
        <f>INDEX('Master data'!CG:CG,MATCH($A68,'Master data'!$CK:$CK,0))</f>
        <v>0</v>
      </c>
      <c r="I68" s="21">
        <f>INDEX('Master data'!CI:CI,MATCH($A68,'Master data'!$CK:$CK,0))</f>
        <v>4500000</v>
      </c>
      <c r="J68" s="22">
        <f>INDEX('Master data'!CJ:CJ,MATCH($A68,'Master data'!$CK:$CK,0))</f>
        <v>4.1038625174455265E-2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Andrej Kramaric</v>
      </c>
      <c r="O68" s="20" t="str">
        <f>INDEX('Master data'!B:B,MATCH($M68,'Master data'!$CL:$CL,0))</f>
        <v>Croatia</v>
      </c>
      <c r="P68" s="17" t="str">
        <f>INDEX('Master data'!C:C,MATCH($M68,'Master data'!$CL:$CL,0))</f>
        <v>Striker</v>
      </c>
      <c r="Q68" s="21">
        <f>INDEX('Master data'!G:G,MATCH($M68,'Master data'!$CL:$CL,0))</f>
        <v>5000000</v>
      </c>
      <c r="R68" s="21">
        <f>INDEX('Master data'!AK:AK,MATCH($A68,'Master data'!$CL:$CL,0))</f>
        <v>31684.294981926258</v>
      </c>
      <c r="S68" s="18">
        <f>INDEX('Master data'!BY:BY,MATCH($A68,'Master data'!$CL:$CL,0))</f>
        <v>205417.88947140391</v>
      </c>
      <c r="T68" s="21">
        <f>INDEX('Master data'!CG:CG,MATCH($M68,'Master data'!$CL:$CL,0))</f>
        <v>0</v>
      </c>
      <c r="U68" s="21">
        <f>INDEX('Master data'!CI:CI,MATCH($M68,'Master data'!$CL:$CL,0))</f>
        <v>5000000</v>
      </c>
      <c r="V68" s="22">
        <f>INDEX('Master data'!CJ:CJ,MATCH($M68,'Master data'!$CL:$CL,0))</f>
        <v>4.1083577894280784E-2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>
      <c r="A69" s="20">
        <f t="shared" si="4"/>
        <v>67</v>
      </c>
      <c r="B69" s="20" t="str">
        <f>INDEX('Master data'!A:A,MATCH($A69,'Master data'!$CK:$CK,0))</f>
        <v>Jorginho</v>
      </c>
      <c r="C69" s="20" t="str">
        <f>INDEX('Master data'!B:B,MATCH($A69,'Master data'!$CK:$CK,0))</f>
        <v>Italy</v>
      </c>
      <c r="D69" s="17" t="str">
        <f>INDEX('Master data'!C:C,MATCH($A69,'Master data'!$CK:$CK,0))</f>
        <v>Midfield</v>
      </c>
      <c r="E69" s="21">
        <f>INDEX('Master data'!G:G,MATCH($A69,'Master data'!$CK:$CK,0))</f>
        <v>4000000</v>
      </c>
      <c r="F69" s="21">
        <f>INDEX('Master data'!AK:AK,MATCH($A69,'Master data'!$CK:$CK,0))</f>
        <v>61142.273726117921</v>
      </c>
      <c r="G69" s="18">
        <f>INDEX('Master data'!BY:BY,MATCH($A69,'Master data'!$CK:$CK,0))</f>
        <v>183138.99423984432</v>
      </c>
      <c r="H69" s="21">
        <f>INDEX('Master data'!CG:CG,MATCH($A69,'Master data'!$CK:$CK,0))</f>
        <v>0</v>
      </c>
      <c r="I69" s="21">
        <f>INDEX('Master data'!CI:CI,MATCH($A69,'Master data'!$CK:$CK,0))</f>
        <v>4000000</v>
      </c>
      <c r="J69" s="22">
        <f>INDEX('Master data'!CJ:CJ,MATCH($A69,'Master data'!$CK:$CK,0))</f>
        <v>4.5784748559961078E-2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Toby Alderweireld</v>
      </c>
      <c r="O69" s="20" t="str">
        <f>INDEX('Master data'!B:B,MATCH($M69,'Master data'!$CL:$CL,0))</f>
        <v>Belgium</v>
      </c>
      <c r="P69" s="17" t="str">
        <f>INDEX('Master data'!C:C,MATCH($M69,'Master data'!$CL:$CL,0))</f>
        <v>Defense</v>
      </c>
      <c r="Q69" s="21">
        <f>INDEX('Master data'!G:G,MATCH($M69,'Master data'!$CL:$CL,0))</f>
        <v>4500000</v>
      </c>
      <c r="R69" s="21">
        <f>INDEX('Master data'!AK:AK,MATCH($A69,'Master data'!$CL:$CL,0))</f>
        <v>57393.351024934142</v>
      </c>
      <c r="S69" s="18">
        <f>INDEX('Master data'!BY:BY,MATCH($A69,'Master data'!$CL:$CL,0))</f>
        <v>184673.8132850487</v>
      </c>
      <c r="T69" s="21">
        <f>INDEX('Master data'!CG:CG,MATCH($M69,'Master data'!$CL:$CL,0))</f>
        <v>0</v>
      </c>
      <c r="U69" s="21">
        <f>INDEX('Master data'!CI:CI,MATCH($M69,'Master data'!$CL:$CL,0))</f>
        <v>4500000</v>
      </c>
      <c r="V69" s="22">
        <f>INDEX('Master data'!CJ:CJ,MATCH($M69,'Master data'!$CL:$CL,0))</f>
        <v>4.1038625174455265E-2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>
      <c r="A70" s="20">
        <f t="shared" si="4"/>
        <v>68</v>
      </c>
      <c r="B70" s="20" t="str">
        <f>INDEX('Master data'!A:A,MATCH($A70,'Master data'!$CK:$CK,0))</f>
        <v>Ante Rebic</v>
      </c>
      <c r="C70" s="20" t="str">
        <f>INDEX('Master data'!B:B,MATCH($A70,'Master data'!$CK:$CK,0))</f>
        <v>Croatia</v>
      </c>
      <c r="D70" s="17" t="str">
        <f>INDEX('Master data'!C:C,MATCH($A70,'Master data'!$CK:$CK,0))</f>
        <v>Striker</v>
      </c>
      <c r="E70" s="21">
        <f>INDEX('Master data'!G:G,MATCH($A70,'Master data'!$CK:$CK,0))</f>
        <v>3000000</v>
      </c>
      <c r="F70" s="21">
        <f>INDEX('Master data'!AK:AK,MATCH($A70,'Master data'!$CK:$CK,0))</f>
        <v>24637.995512044479</v>
      </c>
      <c r="G70" s="18">
        <f>INDEX('Master data'!BY:BY,MATCH($A70,'Master data'!$CK:$CK,0))</f>
        <v>182330.65934446245</v>
      </c>
      <c r="H70" s="21">
        <f>INDEX('Master data'!CG:CG,MATCH($A70,'Master data'!$CK:$CK,0))</f>
        <v>0</v>
      </c>
      <c r="I70" s="21">
        <f>INDEX('Master data'!CI:CI,MATCH($A70,'Master data'!$CK:$CK,0))</f>
        <v>3000000</v>
      </c>
      <c r="J70" s="22">
        <f>INDEX('Master data'!CJ:CJ,MATCH($A70,'Master data'!$CK:$CK,0))</f>
        <v>6.0776886448154148E-2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Mert Müldür</v>
      </c>
      <c r="O70" s="20" t="str">
        <f>INDEX('Master data'!B:B,MATCH($M70,'Master data'!$CL:$CL,0))</f>
        <v>Turkey</v>
      </c>
      <c r="P70" s="17" t="str">
        <f>INDEX('Master data'!C:C,MATCH($M70,'Master data'!$CL:$CL,0))</f>
        <v>Defense</v>
      </c>
      <c r="Q70" s="21">
        <f>INDEX('Master data'!G:G,MATCH($M70,'Master data'!$CL:$CL,0))</f>
        <v>2000000</v>
      </c>
      <c r="R70" s="21">
        <f>INDEX('Master data'!AK:AK,MATCH($A70,'Master data'!$CL:$CL,0))</f>
        <v>7691.623905279288</v>
      </c>
      <c r="S70" s="18">
        <f>INDEX('Master data'!BY:BY,MATCH($A70,'Master data'!$CL:$CL,0))</f>
        <v>81645.999209650399</v>
      </c>
      <c r="T70" s="21">
        <f>INDEX('Master data'!CG:CG,MATCH($M70,'Master data'!$CL:$CL,0))</f>
        <v>0</v>
      </c>
      <c r="U70" s="21">
        <f>INDEX('Master data'!CI:CI,MATCH($M70,'Master data'!$CL:$CL,0))</f>
        <v>2000000</v>
      </c>
      <c r="V70" s="22">
        <f>INDEX('Master data'!CJ:CJ,MATCH($M70,'Master data'!$CL:$CL,0))</f>
        <v>4.0822999604825203E-2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>
      <c r="A71" s="20">
        <f t="shared" si="4"/>
        <v>69</v>
      </c>
      <c r="B71" s="20" t="str">
        <f>INDEX('Master data'!A:A,MATCH($A71,'Master data'!$CK:$CK,0))</f>
        <v>Kasper Schmeichel</v>
      </c>
      <c r="C71" s="20" t="str">
        <f>INDEX('Master data'!B:B,MATCH($A71,'Master data'!$CK:$CK,0))</f>
        <v>Denmark</v>
      </c>
      <c r="D71" s="17" t="str">
        <f>INDEX('Master data'!C:C,MATCH($A71,'Master data'!$CK:$CK,0))</f>
        <v>Goalkeeper</v>
      </c>
      <c r="E71" s="21">
        <f>INDEX('Master data'!G:G,MATCH($A71,'Master data'!$CK:$CK,0))</f>
        <v>5000000</v>
      </c>
      <c r="F71" s="21">
        <f>INDEX('Master data'!AK:AK,MATCH($A71,'Master data'!$CK:$CK,0))</f>
        <v>80276.703087976057</v>
      </c>
      <c r="G71" s="18">
        <f>INDEX('Master data'!BY:BY,MATCH($A71,'Master data'!$CK:$CK,0))</f>
        <v>178493.25774626937</v>
      </c>
      <c r="H71" s="21">
        <f>INDEX('Master data'!CG:CG,MATCH($A71,'Master data'!$CK:$CK,0))</f>
        <v>0</v>
      </c>
      <c r="I71" s="21">
        <f>INDEX('Master data'!CI:CI,MATCH($A71,'Master data'!$CK:$CK,0))</f>
        <v>5000000</v>
      </c>
      <c r="J71" s="22">
        <f>INDEX('Master data'!CJ:CJ,MATCH($A71,'Master data'!$CK:$CK,0))</f>
        <v>3.5698651549253876E-2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Koke</v>
      </c>
      <c r="O71" s="20" t="str">
        <f>INDEX('Master data'!B:B,MATCH($M71,'Master data'!$CL:$CL,0))</f>
        <v>Spain</v>
      </c>
      <c r="P71" s="17" t="str">
        <f>INDEX('Master data'!C:C,MATCH($M71,'Master data'!$CL:$CL,0))</f>
        <v>Midfield</v>
      </c>
      <c r="Q71" s="21">
        <f>INDEX('Master data'!G:G,MATCH($M71,'Master data'!$CL:$CL,0))</f>
        <v>4000000</v>
      </c>
      <c r="R71" s="21">
        <f>INDEX('Master data'!AK:AK,MATCH($A71,'Master data'!$CL:$CL,0))</f>
        <v>49154.18212602158</v>
      </c>
      <c r="S71" s="18">
        <f>INDEX('Master data'!BY:BY,MATCH($A71,'Master data'!$CL:$CL,0))</f>
        <v>163036.83001735903</v>
      </c>
      <c r="T71" s="21">
        <f>INDEX('Master data'!CG:CG,MATCH($M71,'Master data'!$CL:$CL,0))</f>
        <v>0</v>
      </c>
      <c r="U71" s="21">
        <f>INDEX('Master data'!CI:CI,MATCH($M71,'Master data'!$CL:$CL,0))</f>
        <v>4000000</v>
      </c>
      <c r="V71" s="22">
        <f>INDEX('Master data'!CJ:CJ,MATCH($M71,'Master data'!$CL:$CL,0))</f>
        <v>4.0759207504339756E-2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>
      <c r="A72" s="20">
        <f t="shared" si="4"/>
        <v>70</v>
      </c>
      <c r="B72" s="20" t="str">
        <f>INDEX('Master data'!A:A,MATCH($A72,'Master data'!$CK:$CK,0))</f>
        <v>Roman Yaremchuk</v>
      </c>
      <c r="C72" s="20" t="str">
        <f>INDEX('Master data'!B:B,MATCH($A72,'Master data'!$CK:$CK,0))</f>
        <v>Ukraine</v>
      </c>
      <c r="D72" s="17" t="str">
        <f>INDEX('Master data'!C:C,MATCH($A72,'Master data'!$CK:$CK,0))</f>
        <v>Striker</v>
      </c>
      <c r="E72" s="21">
        <f>INDEX('Master data'!G:G,MATCH($A72,'Master data'!$CK:$CK,0))</f>
        <v>4000000</v>
      </c>
      <c r="F72" s="21">
        <f>INDEX('Master data'!AK:AK,MATCH($A72,'Master data'!$CK:$CK,0))</f>
        <v>28142.97016130207</v>
      </c>
      <c r="G72" s="18">
        <f>INDEX('Master data'!BY:BY,MATCH($A72,'Master data'!$CK:$CK,0))</f>
        <v>178459.79175691391</v>
      </c>
      <c r="H72" s="21">
        <f>INDEX('Master data'!CG:CG,MATCH($A72,'Master data'!$CK:$CK,0))</f>
        <v>0</v>
      </c>
      <c r="I72" s="21">
        <f>INDEX('Master data'!CI:CI,MATCH($A72,'Master data'!$CK:$CK,0))</f>
        <v>4000000</v>
      </c>
      <c r="J72" s="22">
        <f>INDEX('Master data'!CJ:CJ,MATCH($A72,'Master data'!$CK:$CK,0))</f>
        <v>4.4614947939228475E-2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Nico Elvedi</v>
      </c>
      <c r="O72" s="20" t="str">
        <f>INDEX('Master data'!B:B,MATCH($M72,'Master data'!$CL:$CL,0))</f>
        <v>Switzerland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54470.694686379735</v>
      </c>
      <c r="S72" s="18">
        <f>INDEX('Master data'!BY:BY,MATCH($A72,'Master data'!$CL:$CL,0))</f>
        <v>122141.55917531965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4.0713853058439886E-2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>
      <c r="A73" s="20">
        <f t="shared" si="4"/>
        <v>71</v>
      </c>
      <c r="B73" s="20" t="str">
        <f>INDEX('Master data'!A:A,MATCH($A73,'Master data'!$CK:$CK,0))</f>
        <v>Arkadiusz Milik</v>
      </c>
      <c r="C73" s="20" t="str">
        <f>INDEX('Master data'!B:B,MATCH($A73,'Master data'!$CK:$CK,0))</f>
        <v>Poland</v>
      </c>
      <c r="D73" s="17" t="str">
        <f>INDEX('Master data'!C:C,MATCH($A73,'Master data'!$CK:$CK,0))</f>
        <v>Striker</v>
      </c>
      <c r="E73" s="21">
        <f>INDEX('Master data'!G:G,MATCH($A73,'Master data'!$CK:$CK,0))</f>
        <v>4000000</v>
      </c>
      <c r="F73" s="21">
        <f>INDEX('Master data'!AK:AK,MATCH($A73,'Master data'!$CK:$CK,0))</f>
        <v>89684.54984803492</v>
      </c>
      <c r="G73" s="18">
        <f>INDEX('Master data'!BY:BY,MATCH($A73,'Master data'!$CK:$CK,0))</f>
        <v>176568.19609302629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4.4142049023256573E-2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Artem Dzyuba</v>
      </c>
      <c r="O73" s="20" t="str">
        <f>INDEX('Master data'!B:B,MATCH($M73,'Master data'!$CL:$CL,0))</f>
        <v>Russia</v>
      </c>
      <c r="P73" s="17" t="str">
        <f>INDEX('Master data'!C:C,MATCH($M73,'Master data'!$CL:$CL,0))</f>
        <v>Striker</v>
      </c>
      <c r="Q73" s="21">
        <f>INDEX('Master data'!G:G,MATCH($M73,'Master data'!$CL:$CL,0))</f>
        <v>4000000</v>
      </c>
      <c r="R73" s="21">
        <f>INDEX('Master data'!AK:AK,MATCH($A73,'Master data'!$CL:$CL,0))</f>
        <v>31787.098657786806</v>
      </c>
      <c r="S73" s="18">
        <f>INDEX('Master data'!BY:BY,MATCH($A73,'Master data'!$CL:$CL,0))</f>
        <v>162303.05997779843</v>
      </c>
      <c r="T73" s="21">
        <f>INDEX('Master data'!CG:CG,MATCH($M73,'Master data'!$CL:$CL,0))</f>
        <v>0</v>
      </c>
      <c r="U73" s="21">
        <f>INDEX('Master data'!CI:CI,MATCH($M73,'Master data'!$CL:$CL,0))</f>
        <v>4000000</v>
      </c>
      <c r="V73" s="22">
        <f>INDEX('Master data'!CJ:CJ,MATCH($M73,'Master data'!$CL:$CL,0))</f>
        <v>4.0575764994449606E-2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>
      <c r="A74" s="20">
        <f t="shared" si="4"/>
        <v>72</v>
      </c>
      <c r="B74" s="20" t="str">
        <f>INDEX('Master data'!A:A,MATCH($A74,'Master data'!$CK:$CK,0))</f>
        <v>Antonio Rüdiger</v>
      </c>
      <c r="C74" s="20" t="str">
        <f>INDEX('Master data'!B:B,MATCH($A74,'Master data'!$CK:$CK,0))</f>
        <v>Germany</v>
      </c>
      <c r="D74" s="17" t="str">
        <f>INDEX('Master data'!C:C,MATCH($A74,'Master data'!$CK:$CK,0))</f>
        <v>Defense</v>
      </c>
      <c r="E74" s="21">
        <f>INDEX('Master data'!G:G,MATCH($A74,'Master data'!$CK:$CK,0))</f>
        <v>4000000</v>
      </c>
      <c r="F74" s="21">
        <f>INDEX('Master data'!AK:AK,MATCH($A74,'Master data'!$CK:$CK,0))</f>
        <v>38216.035147486575</v>
      </c>
      <c r="G74" s="18">
        <f>INDEX('Master data'!BY:BY,MATCH($A74,'Master data'!$CK:$CK,0))</f>
        <v>173579.91722785879</v>
      </c>
      <c r="H74" s="21">
        <f>INDEX('Master data'!CG:CG,MATCH($A74,'Master data'!$CK:$CK,0))</f>
        <v>0</v>
      </c>
      <c r="I74" s="21">
        <f>INDEX('Master data'!CI:CI,MATCH($A74,'Master data'!$CK:$CK,0))</f>
        <v>4000000</v>
      </c>
      <c r="J74" s="22">
        <f>INDEX('Master data'!CJ:CJ,MATCH($A74,'Master data'!$CK:$CK,0))</f>
        <v>4.3394979306964697E-2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Nuno Mendes</v>
      </c>
      <c r="O74" s="20" t="str">
        <f>INDEX('Master data'!B:B,MATCH($M74,'Master data'!$CL:$CL,0))</f>
        <v>Portugal</v>
      </c>
      <c r="P74" s="17" t="str">
        <f>INDEX('Master data'!C:C,MATCH($M74,'Master data'!$CL:$CL,0))</f>
        <v>Defense</v>
      </c>
      <c r="Q74" s="21">
        <f>INDEX('Master data'!G:G,MATCH($M74,'Master data'!$CL:$CL,0))</f>
        <v>3500000</v>
      </c>
      <c r="R74" s="21">
        <f>INDEX('Master data'!AK:AK,MATCH($A74,'Master data'!$CL:$CL,0))</f>
        <v>75656.039846247397</v>
      </c>
      <c r="S74" s="18">
        <f>INDEX('Master data'!BY:BY,MATCH($A74,'Master data'!$CL:$CL,0))</f>
        <v>141885.40640882784</v>
      </c>
      <c r="T74" s="21">
        <f>INDEX('Master data'!CG:CG,MATCH($M74,'Master data'!$CL:$CL,0))</f>
        <v>0</v>
      </c>
      <c r="U74" s="21">
        <f>INDEX('Master data'!CI:CI,MATCH($M74,'Master data'!$CL:$CL,0))</f>
        <v>3500000</v>
      </c>
      <c r="V74" s="22">
        <f>INDEX('Master data'!CJ:CJ,MATCH($M74,'Master data'!$CL:$CL,0))</f>
        <v>4.0538687545379384E-2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>
      <c r="A75" s="20">
        <f t="shared" si="4"/>
        <v>73</v>
      </c>
      <c r="B75" s="20" t="str">
        <f>INDEX('Master data'!A:A,MATCH($A75,'Master data'!$CK:$CK,0))</f>
        <v>Breel Embolo</v>
      </c>
      <c r="C75" s="20" t="str">
        <f>INDEX('Master data'!B:B,MATCH($A75,'Master data'!$CK:$CK,0))</f>
        <v>Switzerland</v>
      </c>
      <c r="D75" s="17" t="str">
        <f>INDEX('Master data'!C:C,MATCH($A75,'Master data'!$CK:$CK,0))</f>
        <v>Striker</v>
      </c>
      <c r="E75" s="21">
        <f>INDEX('Master data'!G:G,MATCH($A75,'Master data'!$CK:$CK,0))</f>
        <v>4000000</v>
      </c>
      <c r="F75" s="21">
        <f>INDEX('Master data'!AK:AK,MATCH($A75,'Master data'!$CK:$CK,0))</f>
        <v>67755.918199999724</v>
      </c>
      <c r="G75" s="18">
        <f>INDEX('Master data'!BY:BY,MATCH($A75,'Master data'!$CK:$CK,0))</f>
        <v>173025.74863656331</v>
      </c>
      <c r="H75" s="21">
        <f>INDEX('Master data'!CG:CG,MATCH($A75,'Master data'!$CK:$CK,0))</f>
        <v>0</v>
      </c>
      <c r="I75" s="21">
        <f>INDEX('Master data'!CI:CI,MATCH($A75,'Master data'!$CK:$CK,0))</f>
        <v>4000000</v>
      </c>
      <c r="J75" s="22">
        <f>INDEX('Master data'!CJ:CJ,MATCH($A75,'Master data'!$CK:$CK,0))</f>
        <v>4.3256437159140827E-2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Leander Dendoncker</v>
      </c>
      <c r="O75" s="20" t="str">
        <f>INDEX('Master data'!B:B,MATCH($M75,'Master data'!$CL:$CL,0))</f>
        <v>Belgium</v>
      </c>
      <c r="P75" s="17" t="str">
        <f>INDEX('Master data'!C:C,MATCH($M75,'Master data'!$CL:$CL,0))</f>
        <v>Midfield</v>
      </c>
      <c r="Q75" s="21">
        <f>INDEX('Master data'!G:G,MATCH($M75,'Master data'!$CL:$CL,0))</f>
        <v>3500000</v>
      </c>
      <c r="R75" s="21">
        <f>INDEX('Master data'!AK:AK,MATCH($A75,'Master data'!$CL:$CL,0))</f>
        <v>41709.549638862547</v>
      </c>
      <c r="S75" s="18">
        <f>INDEX('Master data'!BY:BY,MATCH($A75,'Master data'!$CL:$CL,0))</f>
        <v>141245.90992599077</v>
      </c>
      <c r="T75" s="21">
        <f>INDEX('Master data'!CG:CG,MATCH($M75,'Master data'!$CL:$CL,0))</f>
        <v>0</v>
      </c>
      <c r="U75" s="21">
        <f>INDEX('Master data'!CI:CI,MATCH($M75,'Master data'!$CL:$CL,0))</f>
        <v>3500000</v>
      </c>
      <c r="V75" s="22">
        <f>INDEX('Master data'!CJ:CJ,MATCH($M75,'Master data'!$CL:$CL,0))</f>
        <v>4.0355974264568793E-2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>
      <c r="A76" s="20">
        <f t="shared" si="4"/>
        <v>74</v>
      </c>
      <c r="B76" s="20" t="str">
        <f>INDEX('Master data'!A:A,MATCH($A76,'Master data'!$CK:$CK,0))</f>
        <v>Gareth Bale</v>
      </c>
      <c r="C76" s="20" t="str">
        <f>INDEX('Master data'!B:B,MATCH($A76,'Master data'!$CK:$CK,0))</f>
        <v>Wales</v>
      </c>
      <c r="D76" s="17" t="str">
        <f>INDEX('Master data'!C:C,MATCH($A76,'Master data'!$CK:$CK,0))</f>
        <v>Striker</v>
      </c>
      <c r="E76" s="21">
        <f>INDEX('Master data'!G:G,MATCH($A76,'Master data'!$CK:$CK,0))</f>
        <v>5000000</v>
      </c>
      <c r="F76" s="21">
        <f>INDEX('Master data'!AK:AK,MATCH($A76,'Master data'!$CK:$CK,0))</f>
        <v>63827.922054000337</v>
      </c>
      <c r="G76" s="18">
        <f>INDEX('Master data'!BY:BY,MATCH($A76,'Master data'!$CK:$CK,0))</f>
        <v>172576.68063314143</v>
      </c>
      <c r="H76" s="21">
        <f>INDEX('Master data'!CG:CG,MATCH($A76,'Master data'!$CK:$CK,0))</f>
        <v>0</v>
      </c>
      <c r="I76" s="21">
        <f>INDEX('Master data'!CI:CI,MATCH($A76,'Master data'!$CK:$CK,0))</f>
        <v>5000000</v>
      </c>
      <c r="J76" s="22">
        <f>INDEX('Master data'!CJ:CJ,MATCH($A76,'Master data'!$CK:$CK,0))</f>
        <v>3.4515336126628285E-2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Simon Kjaer</v>
      </c>
      <c r="O76" s="20" t="str">
        <f>INDEX('Master data'!B:B,MATCH($M76,'Master data'!$CL:$CL,0))</f>
        <v>Denmark</v>
      </c>
      <c r="P76" s="17" t="str">
        <f>INDEX('Master data'!C:C,MATCH($M76,'Master data'!$CL:$CL,0))</f>
        <v>Defense</v>
      </c>
      <c r="Q76" s="21">
        <f>INDEX('Master data'!G:G,MATCH($M76,'Master data'!$CL:$CL,0))</f>
        <v>4000000</v>
      </c>
      <c r="R76" s="21">
        <f>INDEX('Master data'!AK:AK,MATCH($A76,'Master data'!$CL:$CL,0))</f>
        <v>76320.189115506859</v>
      </c>
      <c r="S76" s="18">
        <f>INDEX('Master data'!BY:BY,MATCH($A76,'Master data'!$CL:$CL,0))</f>
        <v>159838.88186451775</v>
      </c>
      <c r="T76" s="21">
        <f>INDEX('Master data'!CG:CG,MATCH($M76,'Master data'!$CL:$CL,0))</f>
        <v>0</v>
      </c>
      <c r="U76" s="21">
        <f>INDEX('Master data'!CI:CI,MATCH($M76,'Master data'!$CL:$CL,0))</f>
        <v>4000000</v>
      </c>
      <c r="V76" s="22">
        <f>INDEX('Master data'!CJ:CJ,MATCH($M76,'Master data'!$CL:$CL,0))</f>
        <v>3.9959720466129438E-2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>
      <c r="A77" s="20">
        <f t="shared" si="4"/>
        <v>75</v>
      </c>
      <c r="B77" s="20" t="str">
        <f>INDEX('Master data'!A:A,MATCH($A77,'Master data'!$CK:$CK,0))</f>
        <v>Nicolò Barella</v>
      </c>
      <c r="C77" s="20" t="str">
        <f>INDEX('Master data'!B:B,MATCH($A77,'Master data'!$CK:$CK,0))</f>
        <v>Italy</v>
      </c>
      <c r="D77" s="17" t="str">
        <f>INDEX('Master data'!C:C,MATCH($A77,'Master data'!$CK:$CK,0))</f>
        <v>Midfield</v>
      </c>
      <c r="E77" s="21">
        <f>INDEX('Master data'!G:G,MATCH($A77,'Master data'!$CK:$CK,0))</f>
        <v>4000000</v>
      </c>
      <c r="F77" s="21">
        <f>INDEX('Master data'!AK:AK,MATCH($A77,'Master data'!$CK:$CK,0))</f>
        <v>57405.11291340975</v>
      </c>
      <c r="G77" s="18">
        <f>INDEX('Master data'!BY:BY,MATCH($A77,'Master data'!$CK:$CK,0))</f>
        <v>171828.23675023002</v>
      </c>
      <c r="H77" s="21">
        <f>INDEX('Master data'!CG:CG,MATCH($A77,'Master data'!$CK:$CK,0))</f>
        <v>0</v>
      </c>
      <c r="I77" s="21">
        <f>INDEX('Master data'!CI:CI,MATCH($A77,'Master data'!$CK:$CK,0))</f>
        <v>4000000</v>
      </c>
      <c r="J77" s="22">
        <f>INDEX('Master data'!CJ:CJ,MATCH($A77,'Master data'!$CK:$CK,0))</f>
        <v>4.2957059187557503E-2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>Marcus Berg</v>
      </c>
      <c r="O77" s="20" t="str">
        <f>INDEX('Master data'!B:B,MATCH($M77,'Master data'!$CL:$CL,0))</f>
        <v>Sweden</v>
      </c>
      <c r="P77" s="17" t="str">
        <f>INDEX('Master data'!C:C,MATCH($M77,'Master data'!$CL:$CL,0))</f>
        <v>Striker</v>
      </c>
      <c r="Q77" s="21">
        <f>INDEX('Master data'!G:G,MATCH($M77,'Master data'!$CL:$CL,0))</f>
        <v>3500000</v>
      </c>
      <c r="R77" s="21">
        <f>INDEX('Master data'!AK:AK,MATCH($A77,'Master data'!$CL:$CL,0))</f>
        <v>12530.467496057841</v>
      </c>
      <c r="S77" s="18">
        <f>INDEX('Master data'!BY:BY,MATCH($A77,'Master data'!$CL:$CL,0))</f>
        <v>139272.89803444786</v>
      </c>
      <c r="T77" s="21">
        <f>INDEX('Master data'!CG:CG,MATCH($M77,'Master data'!$CL:$CL,0))</f>
        <v>0</v>
      </c>
      <c r="U77" s="21">
        <f>INDEX('Master data'!CI:CI,MATCH($M77,'Master data'!$CL:$CL,0))</f>
        <v>3500000</v>
      </c>
      <c r="V77" s="22">
        <f>INDEX('Master data'!CJ:CJ,MATCH($M77,'Master data'!$CL:$CL,0))</f>
        <v>3.9792256581270821E-2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>
      <c r="A78" s="20">
        <f t="shared" si="4"/>
        <v>76</v>
      </c>
      <c r="B78" s="20" t="str">
        <f>INDEX('Master data'!A:A,MATCH($A78,'Master data'!$CK:$CK,0))</f>
        <v>Toni Kroos</v>
      </c>
      <c r="C78" s="20" t="str">
        <f>INDEX('Master data'!B:B,MATCH($A78,'Master data'!$CK:$CK,0))</f>
        <v>Germany</v>
      </c>
      <c r="D78" s="17" t="str">
        <f>INDEX('Master data'!C:C,MATCH($A78,'Master data'!$CK:$CK,0))</f>
        <v>Midfield</v>
      </c>
      <c r="E78" s="21">
        <f>INDEX('Master data'!G:G,MATCH($A78,'Master data'!$CK:$CK,0))</f>
        <v>6000000</v>
      </c>
      <c r="F78" s="21">
        <f>INDEX('Master data'!AK:AK,MATCH($A78,'Master data'!$CK:$CK,0))</f>
        <v>36138.25371589142</v>
      </c>
      <c r="G78" s="18">
        <f>INDEX('Master data'!BY:BY,MATCH($A78,'Master data'!$CK:$CK,0))</f>
        <v>171742.77560297179</v>
      </c>
      <c r="H78" s="21">
        <f>INDEX('Master data'!CG:CG,MATCH($A78,'Master data'!$CK:$CK,0))</f>
        <v>0</v>
      </c>
      <c r="I78" s="21">
        <f>INDEX('Master data'!CI:CI,MATCH($A78,'Master data'!$CK:$CK,0))</f>
        <v>6000000</v>
      </c>
      <c r="J78" s="22">
        <f>INDEX('Master data'!CJ:CJ,MATCH($A78,'Master data'!$CK:$CK,0))</f>
        <v>2.8623795933828629E-2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Georgiy Bushchan</v>
      </c>
      <c r="O78" s="20" t="str">
        <f>INDEX('Master data'!B:B,MATCH($M78,'Master data'!$CL:$CL,0))</f>
        <v>Ukraine</v>
      </c>
      <c r="P78" s="17" t="str">
        <f>INDEX('Master data'!C:C,MATCH($M78,'Master data'!$CL:$CL,0))</f>
        <v>Goalkeeper</v>
      </c>
      <c r="Q78" s="21">
        <f>INDEX('Master data'!G:G,MATCH($M78,'Master data'!$CL:$CL,0))</f>
        <v>4000000</v>
      </c>
      <c r="R78" s="21">
        <f>INDEX('Master data'!AK:AK,MATCH($A78,'Master data'!$CL:$CL,0))</f>
        <v>32944.668762890084</v>
      </c>
      <c r="S78" s="18">
        <f>INDEX('Master data'!BY:BY,MATCH($A78,'Master data'!$CL:$CL,0))</f>
        <v>159011.42073308391</v>
      </c>
      <c r="T78" s="21">
        <f>INDEX('Master data'!CG:CG,MATCH($M78,'Master data'!$CL:$CL,0))</f>
        <v>0</v>
      </c>
      <c r="U78" s="21">
        <f>INDEX('Master data'!CI:CI,MATCH($M78,'Master data'!$CL:$CL,0))</f>
        <v>4000000</v>
      </c>
      <c r="V78" s="22">
        <f>INDEX('Master data'!CJ:CJ,MATCH($M78,'Master data'!$CL:$CL,0))</f>
        <v>3.9752855183270978E-2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>
      <c r="A79" s="20">
        <f t="shared" si="4"/>
        <v>77</v>
      </c>
      <c r="B79" s="20" t="str">
        <f>INDEX('Master data'!A:A,MATCH($A79,'Master data'!$CK:$CK,0))</f>
        <v>Youri Tielemans</v>
      </c>
      <c r="C79" s="20" t="str">
        <f>INDEX('Master data'!B:B,MATCH($A79,'Master data'!$CK:$CK,0))</f>
        <v>Belgium</v>
      </c>
      <c r="D79" s="17" t="str">
        <f>INDEX('Master data'!C:C,MATCH($A79,'Master data'!$CK:$CK,0))</f>
        <v>Midfield</v>
      </c>
      <c r="E79" s="21">
        <f>INDEX('Master data'!G:G,MATCH($A79,'Master data'!$CK:$CK,0))</f>
        <v>5000000</v>
      </c>
      <c r="F79" s="21">
        <f>INDEX('Master data'!AK:AK,MATCH($A79,'Master data'!$CK:$CK,0))</f>
        <v>50143.296343199734</v>
      </c>
      <c r="G79" s="18">
        <f>INDEX('Master data'!BY:BY,MATCH($A79,'Master data'!$CK:$CK,0))</f>
        <v>170665.10400780436</v>
      </c>
      <c r="H79" s="21">
        <f>INDEX('Master data'!CG:CG,MATCH($A79,'Master data'!$CK:$CK,0))</f>
        <v>0</v>
      </c>
      <c r="I79" s="21">
        <f>INDEX('Master data'!CI:CI,MATCH($A79,'Master data'!$CK:$CK,0))</f>
        <v>5000000</v>
      </c>
      <c r="J79" s="22">
        <f>INDEX('Master data'!CJ:CJ,MATCH($A79,'Master data'!$CK:$CK,0))</f>
        <v>3.4133020801560873E-2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Raheem Sterling</v>
      </c>
      <c r="O79" s="20" t="str">
        <f>INDEX('Master data'!B:B,MATCH($M79,'Master data'!$CL:$CL,0))</f>
        <v>England</v>
      </c>
      <c r="P79" s="17" t="str">
        <f>INDEX('Master data'!C:C,MATCH($M79,'Master data'!$CL:$CL,0))</f>
        <v>Striker</v>
      </c>
      <c r="Q79" s="21">
        <f>INDEX('Master data'!G:G,MATCH($M79,'Master data'!$CL:$CL,0))</f>
        <v>7500000</v>
      </c>
      <c r="R79" s="21">
        <f>INDEX('Master data'!AK:AK,MATCH($A79,'Master data'!$CL:$CL,0))</f>
        <v>79017.845537461748</v>
      </c>
      <c r="S79" s="18">
        <f>INDEX('Master data'!BY:BY,MATCH($A79,'Master data'!$CL:$CL,0))</f>
        <v>297431.45680719736</v>
      </c>
      <c r="T79" s="21">
        <f>INDEX('Master data'!CG:CG,MATCH($M79,'Master data'!$CL:$CL,0))</f>
        <v>0</v>
      </c>
      <c r="U79" s="21">
        <f>INDEX('Master data'!CI:CI,MATCH($M79,'Master data'!$CL:$CL,0))</f>
        <v>7500000</v>
      </c>
      <c r="V79" s="22">
        <f>INDEX('Master data'!CJ:CJ,MATCH($M79,'Master data'!$CL:$CL,0))</f>
        <v>3.9657527574292979E-2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>
      <c r="A80" s="20">
        <f t="shared" si="4"/>
        <v>78</v>
      </c>
      <c r="B80" s="20" t="str">
        <f>INDEX('Master data'!A:A,MATCH($A80,'Master data'!$CK:$CK,0))</f>
        <v>Joshua Kimmich</v>
      </c>
      <c r="C80" s="20" t="str">
        <f>INDEX('Master data'!B:B,MATCH($A80,'Master data'!$CK:$CK,0))</f>
        <v>Germany</v>
      </c>
      <c r="D80" s="17" t="str">
        <f>INDEX('Master data'!C:C,MATCH($A80,'Master data'!$CK:$CK,0))</f>
        <v>Midfield</v>
      </c>
      <c r="E80" s="21">
        <f>INDEX('Master data'!G:G,MATCH($A80,'Master data'!$CK:$CK,0))</f>
        <v>5000000</v>
      </c>
      <c r="F80" s="21">
        <f>INDEX('Master data'!AK:AK,MATCH($A80,'Master data'!$CK:$CK,0))</f>
        <v>35729.927340939437</v>
      </c>
      <c r="G80" s="18">
        <f>INDEX('Master data'!BY:BY,MATCH($A80,'Master data'!$CK:$CK,0))</f>
        <v>170500.75683610476</v>
      </c>
      <c r="H80" s="21">
        <f>INDEX('Master data'!CG:CG,MATCH($A80,'Master data'!$CK:$CK,0))</f>
        <v>0</v>
      </c>
      <c r="I80" s="21">
        <f>INDEX('Master data'!CI:CI,MATCH($A80,'Master data'!$CK:$CK,0))</f>
        <v>5000000</v>
      </c>
      <c r="J80" s="22">
        <f>INDEX('Master data'!CJ:CJ,MATCH($A80,'Master data'!$CK:$CK,0))</f>
        <v>3.410015136722095E-2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Stefan Lainer</v>
      </c>
      <c r="O80" s="20" t="str">
        <f>INDEX('Master data'!B:B,MATCH($M80,'Master data'!$CL:$CL,0))</f>
        <v>Austria</v>
      </c>
      <c r="P80" s="17" t="str">
        <f>INDEX('Master data'!C:C,MATCH($M80,'Master data'!$CL:$CL,0))</f>
        <v>Defense</v>
      </c>
      <c r="Q80" s="21">
        <f>INDEX('Master data'!G:G,MATCH($M80,'Master data'!$CL:$CL,0))</f>
        <v>3500000</v>
      </c>
      <c r="R80" s="21">
        <f>INDEX('Master data'!AK:AK,MATCH($A80,'Master data'!$CL:$CL,0))</f>
        <v>78438.7946571332</v>
      </c>
      <c r="S80" s="18">
        <f>INDEX('Master data'!BY:BY,MATCH($A80,'Master data'!$CL:$CL,0))</f>
        <v>138590.47922970413</v>
      </c>
      <c r="T80" s="21">
        <f>INDEX('Master data'!CG:CG,MATCH($M80,'Master data'!$CL:$CL,0))</f>
        <v>0</v>
      </c>
      <c r="U80" s="21">
        <f>INDEX('Master data'!CI:CI,MATCH($M80,'Master data'!$CL:$CL,0))</f>
        <v>3500000</v>
      </c>
      <c r="V80" s="22">
        <f>INDEX('Master data'!CJ:CJ,MATCH($M80,'Master data'!$CL:$CL,0))</f>
        <v>3.9597279779915465E-2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>
      <c r="A81" s="20">
        <f t="shared" si="4"/>
        <v>79</v>
      </c>
      <c r="B81" s="20" t="str">
        <f>INDEX('Master data'!A:A,MATCH($A81,'Master data'!$CK:$CK,0))</f>
        <v>Christian Eriksen</v>
      </c>
      <c r="C81" s="20" t="str">
        <f>INDEX('Master data'!B:B,MATCH($A81,'Master data'!$CK:$CK,0))</f>
        <v>Denmark</v>
      </c>
      <c r="D81" s="17" t="str">
        <f>INDEX('Master data'!C:C,MATCH($A81,'Master data'!$CK:$CK,0))</f>
        <v>Midfield</v>
      </c>
      <c r="E81" s="21">
        <f>INDEX('Master data'!G:G,MATCH($A81,'Master data'!$CK:$CK,0))</f>
        <v>6000000</v>
      </c>
      <c r="F81" s="21">
        <f>INDEX('Master data'!AK:AK,MATCH($A81,'Master data'!$CK:$CK,0))</f>
        <v>74004.428740167146</v>
      </c>
      <c r="G81" s="18">
        <f>INDEX('Master data'!BY:BY,MATCH($A81,'Master data'!$CK:$CK,0))</f>
        <v>168551.47340564549</v>
      </c>
      <c r="H81" s="21">
        <f>INDEX('Master data'!CG:CG,MATCH($A81,'Master data'!$CK:$CK,0))</f>
        <v>0</v>
      </c>
      <c r="I81" s="21">
        <f>INDEX('Master data'!CI:CI,MATCH($A81,'Master data'!$CK:$CK,0))</f>
        <v>6000000</v>
      </c>
      <c r="J81" s="22">
        <f>INDEX('Master data'!CJ:CJ,MATCH($A81,'Master data'!$CK:$CK,0))</f>
        <v>2.8091912234274249E-2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Alexander Isak</v>
      </c>
      <c r="O81" s="20" t="str">
        <f>INDEX('Master data'!B:B,MATCH($M81,'Master data'!$CL:$CL,0))</f>
        <v>Sweden</v>
      </c>
      <c r="P81" s="17" t="str">
        <f>INDEX('Master data'!C:C,MATCH($M81,'Master data'!$CL:$CL,0))</f>
        <v>Striker</v>
      </c>
      <c r="Q81" s="21">
        <f>INDEX('Master data'!G:G,MATCH($M81,'Master data'!$CL:$CL,0))</f>
        <v>5000000</v>
      </c>
      <c r="R81" s="21">
        <f>INDEX('Master data'!AK:AK,MATCH($A81,'Master data'!$CL:$CL,0))</f>
        <v>24100.093053780576</v>
      </c>
      <c r="S81" s="18">
        <f>INDEX('Master data'!BY:BY,MATCH($A81,'Master data'!$CL:$CL,0))</f>
        <v>197562.33161280036</v>
      </c>
      <c r="T81" s="21">
        <f>INDEX('Master data'!CG:CG,MATCH($M81,'Master data'!$CL:$CL,0))</f>
        <v>0</v>
      </c>
      <c r="U81" s="21">
        <f>INDEX('Master data'!CI:CI,MATCH($M81,'Master data'!$CL:$CL,0))</f>
        <v>5000000</v>
      </c>
      <c r="V81" s="22">
        <f>INDEX('Master data'!CJ:CJ,MATCH($M81,'Master data'!$CL:$CL,0))</f>
        <v>3.9512466322560072E-2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>
      <c r="A82" s="20">
        <f t="shared" si="4"/>
        <v>80</v>
      </c>
      <c r="B82" s="20" t="str">
        <f>INDEX('Master data'!A:A,MATCH($A82,'Master data'!$CK:$CK,0))</f>
        <v>Niklas Süle</v>
      </c>
      <c r="C82" s="20" t="str">
        <f>INDEX('Master data'!B:B,MATCH($A82,'Master data'!$CK:$CK,0))</f>
        <v>Germany</v>
      </c>
      <c r="D82" s="17" t="str">
        <f>INDEX('Master data'!C:C,MATCH($A82,'Master data'!$CK:$CK,0))</f>
        <v>Defense</v>
      </c>
      <c r="E82" s="21">
        <f>INDEX('Master data'!G:G,MATCH($A82,'Master data'!$CK:$CK,0))</f>
        <v>3500000</v>
      </c>
      <c r="F82" s="21">
        <f>INDEX('Master data'!AK:AK,MATCH($A82,'Master data'!$CK:$CK,0))</f>
        <v>36681.718755385868</v>
      </c>
      <c r="G82" s="18">
        <f>INDEX('Master data'!BY:BY,MATCH($A82,'Master data'!$CK:$CK,0))</f>
        <v>167961.44586745265</v>
      </c>
      <c r="H82" s="21">
        <f>INDEX('Master data'!CG:CG,MATCH($A82,'Master data'!$CK:$CK,0))</f>
        <v>0</v>
      </c>
      <c r="I82" s="21">
        <f>INDEX('Master data'!CI:CI,MATCH($A82,'Master data'!$CK:$CK,0))</f>
        <v>3500000</v>
      </c>
      <c r="J82" s="22">
        <f>INDEX('Master data'!CJ:CJ,MATCH($A82,'Master data'!$CK:$CK,0))</f>
        <v>4.7988984533557905E-2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Marten de Roon</v>
      </c>
      <c r="O82" s="20" t="str">
        <f>INDEX('Master data'!B:B,MATCH($M82,'Master data'!$CL:$CL,0))</f>
        <v>Netherlands</v>
      </c>
      <c r="P82" s="17" t="str">
        <f>INDEX('Master data'!C:C,MATCH($M82,'Master data'!$CL:$CL,0))</f>
        <v>Midfield</v>
      </c>
      <c r="Q82" s="21">
        <f>INDEX('Master data'!G:G,MATCH($M82,'Master data'!$CL:$CL,0))</f>
        <v>3500000</v>
      </c>
      <c r="R82" s="21">
        <f>INDEX('Master data'!AK:AK,MATCH($A82,'Master data'!$CL:$CL,0))</f>
        <v>35469.01455080232</v>
      </c>
      <c r="S82" s="18">
        <f>INDEX('Master data'!BY:BY,MATCH($A82,'Master data'!$CL:$CL,0))</f>
        <v>137980.28059259203</v>
      </c>
      <c r="T82" s="21">
        <f>INDEX('Master data'!CG:CG,MATCH($M82,'Master data'!$CL:$CL,0))</f>
        <v>0</v>
      </c>
      <c r="U82" s="21">
        <f>INDEX('Master data'!CI:CI,MATCH($M82,'Master data'!$CL:$CL,0))</f>
        <v>3500000</v>
      </c>
      <c r="V82" s="22">
        <f>INDEX('Master data'!CJ:CJ,MATCH($M82,'Master data'!$CL:$CL,0))</f>
        <v>3.942293731216915E-2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>
      <c r="A83" s="20">
        <f t="shared" si="4"/>
        <v>81</v>
      </c>
      <c r="B83" s="20" t="str">
        <f>INDEX('Master data'!A:A,MATCH($A83,'Master data'!$CK:$CK,0))</f>
        <v>Martin Braithwaite</v>
      </c>
      <c r="C83" s="20" t="str">
        <f>INDEX('Master data'!B:B,MATCH($A83,'Master data'!$CK:$CK,0))</f>
        <v>Denmark</v>
      </c>
      <c r="D83" s="17" t="str">
        <f>INDEX('Master data'!C:C,MATCH($A83,'Master data'!$CK:$CK,0))</f>
        <v>Striker</v>
      </c>
      <c r="E83" s="21">
        <f>INDEX('Master data'!G:G,MATCH($A83,'Master data'!$CK:$CK,0))</f>
        <v>4500000</v>
      </c>
      <c r="F83" s="21">
        <f>INDEX('Master data'!AK:AK,MATCH($A83,'Master data'!$CK:$CK,0))</f>
        <v>73470.218611584947</v>
      </c>
      <c r="G83" s="18">
        <f>INDEX('Master data'!BY:BY,MATCH($A83,'Master data'!$CK:$CK,0))</f>
        <v>166497.88241074467</v>
      </c>
      <c r="H83" s="21">
        <f>INDEX('Master data'!CG:CG,MATCH($A83,'Master data'!$CK:$CK,0))</f>
        <v>0</v>
      </c>
      <c r="I83" s="21">
        <f>INDEX('Master data'!CI:CI,MATCH($A83,'Master data'!$CK:$CK,0))</f>
        <v>4500000</v>
      </c>
      <c r="J83" s="22">
        <f>INDEX('Master data'!CJ:CJ,MATCH($A83,'Master data'!$CK:$CK,0))</f>
        <v>3.6999529424609927E-2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Aleksandar Dragovic</v>
      </c>
      <c r="O83" s="20" t="str">
        <f>INDEX('Master data'!B:B,MATCH($M83,'Master data'!$CL:$CL,0))</f>
        <v>Austria</v>
      </c>
      <c r="P83" s="17" t="str">
        <f>INDEX('Master data'!C:C,MATCH($M83,'Master data'!$CL:$CL,0))</f>
        <v>Defense</v>
      </c>
      <c r="Q83" s="21">
        <f>INDEX('Master data'!G:G,MATCH($M83,'Master data'!$CL:$CL,0))</f>
        <v>3000000</v>
      </c>
      <c r="R83" s="21">
        <f>INDEX('Master data'!AK:AK,MATCH($A83,'Master data'!$CL:$CL,0))</f>
        <v>69902.923323831608</v>
      </c>
      <c r="S83" s="18">
        <f>INDEX('Master data'!BY:BY,MATCH($A83,'Master data'!$CL:$CL,0))</f>
        <v>116510.48208199779</v>
      </c>
      <c r="T83" s="21">
        <f>INDEX('Master data'!CG:CG,MATCH($M83,'Master data'!$CL:$CL,0))</f>
        <v>0</v>
      </c>
      <c r="U83" s="21">
        <f>INDEX('Master data'!CI:CI,MATCH($M83,'Master data'!$CL:$CL,0))</f>
        <v>3000000</v>
      </c>
      <c r="V83" s="22">
        <f>INDEX('Master data'!CJ:CJ,MATCH($M83,'Master data'!$CL:$CL,0))</f>
        <v>3.8836827360665932E-2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>
      <c r="A84" s="20">
        <f t="shared" si="4"/>
        <v>82</v>
      </c>
      <c r="B84" s="20" t="str">
        <f>INDEX('Master data'!A:A,MATCH($A84,'Master data'!$CK:$CK,0))</f>
        <v>Dominik Livaković</v>
      </c>
      <c r="C84" s="20" t="str">
        <f>INDEX('Master data'!B:B,MATCH($A84,'Master data'!$CK:$CK,0))</f>
        <v>Croatia</v>
      </c>
      <c r="D84" s="17" t="str">
        <f>INDEX('Master data'!C:C,MATCH($A84,'Master data'!$CK:$CK,0))</f>
        <v>Goalkeeper</v>
      </c>
      <c r="E84" s="21">
        <f>INDEX('Master data'!G:G,MATCH($A84,'Master data'!$CK:$CK,0))</f>
        <v>4500000</v>
      </c>
      <c r="F84" s="21">
        <f>INDEX('Master data'!AK:AK,MATCH($A84,'Master data'!$CK:$CK,0))</f>
        <v>32434.511264081055</v>
      </c>
      <c r="G84" s="18">
        <f>INDEX('Master data'!BY:BY,MATCH($A84,'Master data'!$CK:$CK,0))</f>
        <v>164320.79203378962</v>
      </c>
      <c r="H84" s="21">
        <f>INDEX('Master data'!CG:CG,MATCH($A84,'Master data'!$CK:$CK,0))</f>
        <v>0</v>
      </c>
      <c r="I84" s="21">
        <f>INDEX('Master data'!CI:CI,MATCH($A84,'Master data'!$CK:$CK,0))</f>
        <v>4500000</v>
      </c>
      <c r="J84" s="22">
        <f>INDEX('Master data'!CJ:CJ,MATCH($A84,'Master data'!$CK:$CK,0))</f>
        <v>3.6515731563064362E-2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Thomas Meunier</v>
      </c>
      <c r="O84" s="20" t="str">
        <f>INDEX('Master data'!B:B,MATCH($M84,'Master data'!$CL:$CL,0))</f>
        <v>Belgium</v>
      </c>
      <c r="P84" s="17" t="str">
        <f>INDEX('Master data'!C:C,MATCH($M84,'Master data'!$CL:$CL,0))</f>
        <v>Defense</v>
      </c>
      <c r="Q84" s="21">
        <f>INDEX('Master data'!G:G,MATCH($M84,'Master data'!$CL:$CL,0))</f>
        <v>5000000</v>
      </c>
      <c r="R84" s="21">
        <f>INDEX('Master data'!AK:AK,MATCH($A84,'Master data'!$CL:$CL,0))</f>
        <v>59616.148003287344</v>
      </c>
      <c r="S84" s="18">
        <f>INDEX('Master data'!BY:BY,MATCH($A84,'Master data'!$CL:$CL,0))</f>
        <v>192898.71249517135</v>
      </c>
      <c r="T84" s="21">
        <f>INDEX('Master data'!CG:CG,MATCH($M84,'Master data'!$CL:$CL,0))</f>
        <v>0</v>
      </c>
      <c r="U84" s="21">
        <f>INDEX('Master data'!CI:CI,MATCH($M84,'Master data'!$CL:$CL,0))</f>
        <v>5000000</v>
      </c>
      <c r="V84" s="22">
        <f>INDEX('Master data'!CJ:CJ,MATCH($M84,'Master data'!$CL:$CL,0))</f>
        <v>3.8579742499034272E-2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>
      <c r="A85" s="20">
        <f t="shared" si="4"/>
        <v>83</v>
      </c>
      <c r="B85" s="20" t="str">
        <f>INDEX('Master data'!A:A,MATCH($A85,'Master data'!$CK:$CK,0))</f>
        <v>Koke</v>
      </c>
      <c r="C85" s="20" t="str">
        <f>INDEX('Master data'!B:B,MATCH($A85,'Master data'!$CK:$CK,0))</f>
        <v>Spain</v>
      </c>
      <c r="D85" s="17" t="str">
        <f>INDEX('Master data'!C:C,MATCH($A85,'Master data'!$CK:$CK,0))</f>
        <v>Midfield</v>
      </c>
      <c r="E85" s="21">
        <f>INDEX('Master data'!G:G,MATCH($A85,'Master data'!$CK:$CK,0))</f>
        <v>4000000</v>
      </c>
      <c r="F85" s="21">
        <f>INDEX('Master data'!AK:AK,MATCH($A85,'Master data'!$CK:$CK,0))</f>
        <v>49154.18212602158</v>
      </c>
      <c r="G85" s="18">
        <f>INDEX('Master data'!BY:BY,MATCH($A85,'Master data'!$CK:$CK,0))</f>
        <v>163036.83001735903</v>
      </c>
      <c r="H85" s="21">
        <f>INDEX('Master data'!CG:CG,MATCH($A85,'Master data'!$CK:$CK,0))</f>
        <v>0</v>
      </c>
      <c r="I85" s="21">
        <f>INDEX('Master data'!CI:CI,MATCH($A85,'Master data'!$CK:$CK,0))</f>
        <v>4000000</v>
      </c>
      <c r="J85" s="22">
        <f>INDEX('Master data'!CJ:CJ,MATCH($A85,'Master data'!$CK:$CK,0))</f>
        <v>4.0759207504339756E-2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Alexander Schlager</v>
      </c>
      <c r="O85" s="20" t="str">
        <f>INDEX('Master data'!B:B,MATCH($M85,'Master data'!$CL:$CL,0))</f>
        <v>Austria</v>
      </c>
      <c r="P85" s="17" t="str">
        <f>INDEX('Master data'!C:C,MATCH($M85,'Master data'!$CL:$CL,0))</f>
        <v>Goalkeeper</v>
      </c>
      <c r="Q85" s="21">
        <f>INDEX('Master data'!G:G,MATCH($M85,'Master data'!$CL:$CL,0))</f>
        <v>4000000</v>
      </c>
      <c r="R85" s="21">
        <f>INDEX('Master data'!AK:AK,MATCH($A85,'Master data'!$CL:$CL,0))</f>
        <v>76766.103389877375</v>
      </c>
      <c r="S85" s="18">
        <f>INDEX('Master data'!BY:BY,MATCH($A85,'Master data'!$CL:$CL,0))</f>
        <v>152958.45478333614</v>
      </c>
      <c r="T85" s="21">
        <f>INDEX('Master data'!CG:CG,MATCH($M85,'Master data'!$CL:$CL,0))</f>
        <v>0</v>
      </c>
      <c r="U85" s="21">
        <f>INDEX('Master data'!CI:CI,MATCH($M85,'Master data'!$CL:$CL,0))</f>
        <v>4000000</v>
      </c>
      <c r="V85" s="22">
        <f>INDEX('Master data'!CJ:CJ,MATCH($M85,'Master data'!$CL:$CL,0))</f>
        <v>3.8239613695834035E-2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>
      <c r="A86" s="20">
        <f t="shared" si="4"/>
        <v>84</v>
      </c>
      <c r="B86" s="20" t="str">
        <f>INDEX('Master data'!A:A,MATCH($A86,'Master data'!$CK:$CK,0))</f>
        <v>Artem Dzyuba</v>
      </c>
      <c r="C86" s="20" t="str">
        <f>INDEX('Master data'!B:B,MATCH($A86,'Master data'!$CK:$CK,0))</f>
        <v>Russia</v>
      </c>
      <c r="D86" s="17" t="str">
        <f>INDEX('Master data'!C:C,MATCH($A86,'Master data'!$CK:$CK,0))</f>
        <v>Striker</v>
      </c>
      <c r="E86" s="21">
        <f>INDEX('Master data'!G:G,MATCH($A86,'Master data'!$CK:$CK,0))</f>
        <v>4000000</v>
      </c>
      <c r="F86" s="21">
        <f>INDEX('Master data'!AK:AK,MATCH($A86,'Master data'!$CK:$CK,0))</f>
        <v>31787.098657786806</v>
      </c>
      <c r="G86" s="18">
        <f>INDEX('Master data'!BY:BY,MATCH($A86,'Master data'!$CK:$CK,0))</f>
        <v>162303.05997779843</v>
      </c>
      <c r="H86" s="21">
        <f>INDEX('Master data'!CG:CG,MATCH($A86,'Master data'!$CK:$CK,0))</f>
        <v>0</v>
      </c>
      <c r="I86" s="21">
        <f>INDEX('Master data'!CI:CI,MATCH($A86,'Master data'!$CK:$CK,0))</f>
        <v>4000000</v>
      </c>
      <c r="J86" s="22">
        <f>INDEX('Master data'!CJ:CJ,MATCH($A86,'Master data'!$CK:$CK,0))</f>
        <v>4.0575764994449606E-2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Georginio Wijnaldum</v>
      </c>
      <c r="O86" s="20" t="str">
        <f>INDEX('Master data'!B:B,MATCH($M86,'Master data'!$CL:$CL,0))</f>
        <v>Netherlands</v>
      </c>
      <c r="P86" s="17" t="str">
        <f>INDEX('Master data'!C:C,MATCH($M86,'Master data'!$CL:$CL,0))</f>
        <v>Midfield</v>
      </c>
      <c r="Q86" s="21">
        <f>INDEX('Master data'!G:G,MATCH($M86,'Master data'!$CL:$CL,0))</f>
        <v>5500000</v>
      </c>
      <c r="R86" s="21">
        <f>INDEX('Master data'!AK:AK,MATCH($A86,'Master data'!$CL:$CL,0))</f>
        <v>56771.86672630933</v>
      </c>
      <c r="S86" s="18">
        <f>INDEX('Master data'!BY:BY,MATCH($A86,'Master data'!$CL:$CL,0))</f>
        <v>208198.8317424311</v>
      </c>
      <c r="T86" s="21">
        <f>INDEX('Master data'!CG:CG,MATCH($M86,'Master data'!$CL:$CL,0))</f>
        <v>0</v>
      </c>
      <c r="U86" s="21">
        <f>INDEX('Master data'!CI:CI,MATCH($M86,'Master data'!$CL:$CL,0))</f>
        <v>5500000</v>
      </c>
      <c r="V86" s="22">
        <f>INDEX('Master data'!CJ:CJ,MATCH($M86,'Master data'!$CL:$CL,0))</f>
        <v>3.7854333044078384E-2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>
      <c r="A87" s="20">
        <f t="shared" si="4"/>
        <v>85</v>
      </c>
      <c r="B87" s="20" t="str">
        <f>INDEX('Master data'!A:A,MATCH($A87,'Master data'!$CK:$CK,0))</f>
        <v>Reece James</v>
      </c>
      <c r="C87" s="20" t="str">
        <f>INDEX('Master data'!B:B,MATCH($A87,'Master data'!$CK:$CK,0))</f>
        <v>England</v>
      </c>
      <c r="D87" s="17" t="str">
        <f>INDEX('Master data'!C:C,MATCH($A87,'Master data'!$CK:$CK,0))</f>
        <v>Defense</v>
      </c>
      <c r="E87" s="21">
        <f>INDEX('Master data'!G:G,MATCH($A87,'Master data'!$CK:$CK,0))</f>
        <v>3500000</v>
      </c>
      <c r="F87" s="21">
        <f>INDEX('Master data'!AK:AK,MATCH($A87,'Master data'!$CK:$CK,0))</f>
        <v>44093.371358648154</v>
      </c>
      <c r="G87" s="18">
        <f>INDEX('Master data'!BY:BY,MATCH($A87,'Master data'!$CK:$CK,0))</f>
        <v>160924.78860518252</v>
      </c>
      <c r="H87" s="21">
        <f>INDEX('Master data'!CG:CG,MATCH($A87,'Master data'!$CK:$CK,0))</f>
        <v>0</v>
      </c>
      <c r="I87" s="21">
        <f>INDEX('Master data'!CI:CI,MATCH($A87,'Master data'!$CK:$CK,0))</f>
        <v>3500000</v>
      </c>
      <c r="J87" s="22">
        <f>INDEX('Master data'!CJ:CJ,MATCH($A87,'Master data'!$CK:$CK,0))</f>
        <v>4.5978511030052148E-2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Michał Helik</v>
      </c>
      <c r="O87" s="20" t="str">
        <f>INDEX('Master data'!B:B,MATCH($M87,'Master data'!$CL:$CL,0))</f>
        <v>Poland</v>
      </c>
      <c r="P87" s="17" t="str">
        <f>INDEX('Master data'!C:C,MATCH($M87,'Master data'!$CL:$CL,0))</f>
        <v>Defense</v>
      </c>
      <c r="Q87" s="21">
        <f>INDEX('Master data'!G:G,MATCH($M87,'Master data'!$CL:$CL,0))</f>
        <v>3000000</v>
      </c>
      <c r="R87" s="21">
        <f>INDEX('Master data'!AK:AK,MATCH($A87,'Master data'!$CL:$CL,0))</f>
        <v>65950.300583844393</v>
      </c>
      <c r="S87" s="18">
        <f>INDEX('Master data'!BY:BY,MATCH($A87,'Master data'!$CL:$CL,0))</f>
        <v>113548.64375805279</v>
      </c>
      <c r="T87" s="21">
        <f>INDEX('Master data'!CG:CG,MATCH($M87,'Master data'!$CL:$CL,0))</f>
        <v>0</v>
      </c>
      <c r="U87" s="21">
        <f>INDEX('Master data'!CI:CI,MATCH($M87,'Master data'!$CL:$CL,0))</f>
        <v>3000000</v>
      </c>
      <c r="V87" s="22">
        <f>INDEX('Master data'!CJ:CJ,MATCH($M87,'Master data'!$CL:$CL,0))</f>
        <v>3.7849547919350926E-2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>
      <c r="A88" s="20">
        <f t="shared" si="4"/>
        <v>86</v>
      </c>
      <c r="B88" s="20" t="str">
        <f>INDEX('Master data'!A:A,MATCH($A88,'Master data'!$CK:$CK,0))</f>
        <v>Declan Rice</v>
      </c>
      <c r="C88" s="20" t="str">
        <f>INDEX('Master data'!B:B,MATCH($A88,'Master data'!$CK:$CK,0))</f>
        <v>England</v>
      </c>
      <c r="D88" s="17" t="str">
        <f>INDEX('Master data'!C:C,MATCH($A88,'Master data'!$CK:$CK,0))</f>
        <v>Midfield</v>
      </c>
      <c r="E88" s="21">
        <f>INDEX('Master data'!G:G,MATCH($A88,'Master data'!$CK:$CK,0))</f>
        <v>3500000</v>
      </c>
      <c r="F88" s="21">
        <f>INDEX('Master data'!AK:AK,MATCH($A88,'Master data'!$CK:$CK,0))</f>
        <v>43261.336684411785</v>
      </c>
      <c r="G88" s="18">
        <f>INDEX('Master data'!BY:BY,MATCH($A88,'Master data'!$CK:$CK,0))</f>
        <v>160170.01303620386</v>
      </c>
      <c r="H88" s="21">
        <f>INDEX('Master data'!CG:CG,MATCH($A88,'Master data'!$CK:$CK,0))</f>
        <v>0</v>
      </c>
      <c r="I88" s="21">
        <f>INDEX('Master data'!CI:CI,MATCH($A88,'Master data'!$CK:$CK,0))</f>
        <v>3500000</v>
      </c>
      <c r="J88" s="22">
        <f>INDEX('Master data'!CJ:CJ,MATCH($A88,'Master data'!$CK:$CK,0))</f>
        <v>4.5762860867486821E-2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Burak B. Yilmaz</v>
      </c>
      <c r="O88" s="20" t="str">
        <f>INDEX('Master data'!B:B,MATCH($M88,'Master data'!$CL:$CL,0))</f>
        <v>Turkey</v>
      </c>
      <c r="P88" s="17" t="str">
        <f>INDEX('Master data'!C:C,MATCH($M88,'Master data'!$CL:$CL,0))</f>
        <v>Striker</v>
      </c>
      <c r="Q88" s="21">
        <f>INDEX('Master data'!G:G,MATCH($M88,'Master data'!$CL:$CL,0))</f>
        <v>4000000</v>
      </c>
      <c r="R88" s="21">
        <f>INDEX('Master data'!AK:AK,MATCH($A88,'Master data'!$CL:$CL,0))</f>
        <v>19613.955541856212</v>
      </c>
      <c r="S88" s="18">
        <f>INDEX('Master data'!BY:BY,MATCH($A88,'Master data'!$CL:$CL,0))</f>
        <v>150591.90282175579</v>
      </c>
      <c r="T88" s="21">
        <f>INDEX('Master data'!CG:CG,MATCH($M88,'Master data'!$CL:$CL,0))</f>
        <v>0</v>
      </c>
      <c r="U88" s="21">
        <f>INDEX('Master data'!CI:CI,MATCH($M88,'Master data'!$CL:$CL,0))</f>
        <v>4000000</v>
      </c>
      <c r="V88" s="22">
        <f>INDEX('Master data'!CJ:CJ,MATCH($M88,'Master data'!$CL:$CL,0))</f>
        <v>3.764797570543895E-2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>
      <c r="A89" s="20">
        <f t="shared" si="4"/>
        <v>87</v>
      </c>
      <c r="B89" s="20" t="str">
        <f>INDEX('Master data'!A:A,MATCH($A89,'Master data'!$CK:$CK,0))</f>
        <v>Yusuf Yazici</v>
      </c>
      <c r="C89" s="20" t="str">
        <f>INDEX('Master data'!B:B,MATCH($A89,'Master data'!$CK:$CK,0))</f>
        <v>Turkey</v>
      </c>
      <c r="D89" s="17" t="str">
        <f>INDEX('Master data'!C:C,MATCH($A89,'Master data'!$CK:$CK,0))</f>
        <v>Striker</v>
      </c>
      <c r="E89" s="21">
        <f>INDEX('Master data'!G:G,MATCH($A89,'Master data'!$CK:$CK,0))</f>
        <v>3500000</v>
      </c>
      <c r="F89" s="21">
        <f>INDEX('Master data'!AK:AK,MATCH($A89,'Master data'!$CK:$CK,0))</f>
        <v>21570.745099124248</v>
      </c>
      <c r="G89" s="18">
        <f>INDEX('Master data'!BY:BY,MATCH($A89,'Master data'!$CK:$CK,0))</f>
        <v>160067.94304353604</v>
      </c>
      <c r="H89" s="21">
        <f>INDEX('Master data'!CG:CG,MATCH($A89,'Master data'!$CK:$CK,0))</f>
        <v>0</v>
      </c>
      <c r="I89" s="21">
        <f>INDEX('Master data'!CI:CI,MATCH($A89,'Master data'!$CK:$CK,0))</f>
        <v>3500000</v>
      </c>
      <c r="J89" s="22">
        <f>INDEX('Master data'!CJ:CJ,MATCH($A89,'Master data'!$CK:$CK,0))</f>
        <v>4.5733698012438866E-2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Mikael Lustig</v>
      </c>
      <c r="O89" s="20" t="str">
        <f>INDEX('Master data'!B:B,MATCH($M89,'Master data'!$CL:$CL,0))</f>
        <v>Sweden</v>
      </c>
      <c r="P89" s="17" t="str">
        <f>INDEX('Master data'!C:C,MATCH($M89,'Master data'!$CL:$CL,0))</f>
        <v>Defense</v>
      </c>
      <c r="Q89" s="21">
        <f>INDEX('Master data'!G:G,MATCH($M89,'Master data'!$CL:$CL,0))</f>
        <v>3000000</v>
      </c>
      <c r="R89" s="21">
        <f>INDEX('Master data'!AK:AK,MATCH($A89,'Master data'!$CL:$CL,0))</f>
        <v>6593.7643681939844</v>
      </c>
      <c r="S89" s="18">
        <f>INDEX('Master data'!BY:BY,MATCH($A89,'Master data'!$CL:$CL,0))</f>
        <v>112619.27581460416</v>
      </c>
      <c r="T89" s="21">
        <f>INDEX('Master data'!CG:CG,MATCH($M89,'Master data'!$CL:$CL,0))</f>
        <v>0</v>
      </c>
      <c r="U89" s="21">
        <f>INDEX('Master data'!CI:CI,MATCH($M89,'Master data'!$CL:$CL,0))</f>
        <v>3000000</v>
      </c>
      <c r="V89" s="22">
        <f>INDEX('Master data'!CJ:CJ,MATCH($M89,'Master data'!$CL:$CL,0))</f>
        <v>3.7539758604868051E-2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>
      <c r="A90" s="20">
        <f t="shared" si="4"/>
        <v>88</v>
      </c>
      <c r="B90" s="20" t="str">
        <f>INDEX('Master data'!A:A,MATCH($A90,'Master data'!$CK:$CK,0))</f>
        <v>Simon Kjaer</v>
      </c>
      <c r="C90" s="20" t="str">
        <f>INDEX('Master data'!B:B,MATCH($A90,'Master data'!$CK:$CK,0))</f>
        <v>Denmark</v>
      </c>
      <c r="D90" s="17" t="str">
        <f>INDEX('Master data'!C:C,MATCH($A90,'Master data'!$CK:$CK,0))</f>
        <v>Defense</v>
      </c>
      <c r="E90" s="21">
        <f>INDEX('Master data'!G:G,MATCH($A90,'Master data'!$CK:$CK,0))</f>
        <v>4000000</v>
      </c>
      <c r="F90" s="21">
        <f>INDEX('Master data'!AK:AK,MATCH($A90,'Master data'!$CK:$CK,0))</f>
        <v>76320.189115506859</v>
      </c>
      <c r="G90" s="18">
        <f>INDEX('Master data'!BY:BY,MATCH($A90,'Master data'!$CK:$CK,0))</f>
        <v>159838.88186451775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3.9959720466129438E-2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Andreas Christensen</v>
      </c>
      <c r="O90" s="20" t="str">
        <f>INDEX('Master data'!B:B,MATCH($M90,'Master data'!$CL:$CL,0))</f>
        <v>Denmark</v>
      </c>
      <c r="P90" s="17" t="str">
        <f>INDEX('Master data'!C:C,MATCH($M90,'Master data'!$CL:$CL,0))</f>
        <v>Defense</v>
      </c>
      <c r="Q90" s="21">
        <f>INDEX('Master data'!G:G,MATCH($M90,'Master data'!$CL:$CL,0))</f>
        <v>3500000</v>
      </c>
      <c r="R90" s="21">
        <f>INDEX('Master data'!AK:AK,MATCH($A90,'Master data'!$CL:$CL,0))</f>
        <v>65384.179832051857</v>
      </c>
      <c r="S90" s="18">
        <f>INDEX('Master data'!BY:BY,MATCH($A90,'Master data'!$CL:$CL,0))</f>
        <v>130641.47145618993</v>
      </c>
      <c r="T90" s="21">
        <f>INDEX('Master data'!CG:CG,MATCH($M90,'Master data'!$CL:$CL,0))</f>
        <v>0</v>
      </c>
      <c r="U90" s="21">
        <f>INDEX('Master data'!CI:CI,MATCH($M90,'Master data'!$CL:$CL,0))</f>
        <v>3500000</v>
      </c>
      <c r="V90" s="22">
        <f>INDEX('Master data'!CJ:CJ,MATCH($M90,'Master data'!$CL:$CL,0))</f>
        <v>3.732613470176855E-2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>
      <c r="A91" s="20">
        <f t="shared" si="4"/>
        <v>89</v>
      </c>
      <c r="B91" s="20" t="str">
        <f>INDEX('Master data'!A:A,MATCH($A91,'Master data'!$CK:$CK,0))</f>
        <v>Joakim Maehle</v>
      </c>
      <c r="C91" s="20" t="str">
        <f>INDEX('Master data'!B:B,MATCH($A91,'Master data'!$CK:$CK,0))</f>
        <v>Denmark</v>
      </c>
      <c r="D91" s="17" t="str">
        <f>INDEX('Master data'!C:C,MATCH($A91,'Master data'!$CK:$CK,0))</f>
        <v>Defense</v>
      </c>
      <c r="E91" s="21">
        <f>INDEX('Master data'!G:G,MATCH($A91,'Master data'!$CK:$CK,0))</f>
        <v>3500000</v>
      </c>
      <c r="F91" s="21">
        <f>INDEX('Master data'!AK:AK,MATCH($A91,'Master data'!$CK:$CK,0))</f>
        <v>76731.99384234121</v>
      </c>
      <c r="G91" s="18">
        <f>INDEX('Master data'!BY:BY,MATCH($A91,'Master data'!$CK:$CK,0))</f>
        <v>159778.05091805788</v>
      </c>
      <c r="H91" s="21">
        <f>INDEX('Master data'!CG:CG,MATCH($A91,'Master data'!$CK:$CK,0))</f>
        <v>0</v>
      </c>
      <c r="I91" s="21">
        <f>INDEX('Master data'!CI:CI,MATCH($A91,'Master data'!$CK:$CK,0))</f>
        <v>3500000</v>
      </c>
      <c r="J91" s="22">
        <f>INDEX('Master data'!CJ:CJ,MATCH($A91,'Master data'!$CK:$CK,0))</f>
        <v>4.565087169087368E-2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Romelu Lukaku</v>
      </c>
      <c r="O91" s="20" t="str">
        <f>INDEX('Master data'!B:B,MATCH($M91,'Master data'!$CL:$CL,0))</f>
        <v>Belgium</v>
      </c>
      <c r="P91" s="17" t="str">
        <f>INDEX('Master data'!C:C,MATCH($M91,'Master data'!$CL:$CL,0))</f>
        <v>Striker</v>
      </c>
      <c r="Q91" s="21">
        <f>INDEX('Master data'!G:G,MATCH($M91,'Master data'!$CL:$CL,0))</f>
        <v>8500000</v>
      </c>
      <c r="R91" s="21">
        <f>INDEX('Master data'!AK:AK,MATCH($A91,'Master data'!$CL:$CL,0))</f>
        <v>92263.574667900917</v>
      </c>
      <c r="S91" s="18">
        <f>INDEX('Master data'!BY:BY,MATCH($A91,'Master data'!$CL:$CL,0))</f>
        <v>317017.46300102287</v>
      </c>
      <c r="T91" s="21">
        <f>INDEX('Master data'!CG:CG,MATCH($M91,'Master data'!$CL:$CL,0))</f>
        <v>0</v>
      </c>
      <c r="U91" s="21">
        <f>INDEX('Master data'!CI:CI,MATCH($M91,'Master data'!$CL:$CL,0))</f>
        <v>8500000</v>
      </c>
      <c r="V91" s="22">
        <f>INDEX('Master data'!CJ:CJ,MATCH($M91,'Master data'!$CL:$CL,0))</f>
        <v>3.7296172117767395E-2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>
      <c r="A92" s="20">
        <f t="shared" si="4"/>
        <v>90</v>
      </c>
      <c r="B92" s="20" t="str">
        <f>INDEX('Master data'!A:A,MATCH($A92,'Master data'!$CK:$CK,0))</f>
        <v>Georgiy Bushchan</v>
      </c>
      <c r="C92" s="20" t="str">
        <f>INDEX('Master data'!B:B,MATCH($A92,'Master data'!$CK:$CK,0))</f>
        <v>Ukraine</v>
      </c>
      <c r="D92" s="17" t="str">
        <f>INDEX('Master data'!C:C,MATCH($A92,'Master data'!$CK:$CK,0))</f>
        <v>Goalkeeper</v>
      </c>
      <c r="E92" s="21">
        <f>INDEX('Master data'!G:G,MATCH($A92,'Master data'!$CK:$CK,0))</f>
        <v>4000000</v>
      </c>
      <c r="F92" s="21">
        <f>INDEX('Master data'!AK:AK,MATCH($A92,'Master data'!$CK:$CK,0))</f>
        <v>32944.668762890084</v>
      </c>
      <c r="G92" s="18">
        <f>INDEX('Master data'!BY:BY,MATCH($A92,'Master data'!$CK:$CK,0))</f>
        <v>159011.42073308391</v>
      </c>
      <c r="H92" s="21">
        <f>INDEX('Master data'!CG:CG,MATCH($A92,'Master data'!$CK:$CK,0))</f>
        <v>0</v>
      </c>
      <c r="I92" s="21">
        <f>INDEX('Master data'!CI:CI,MATCH($A92,'Master data'!$CK:$CK,0))</f>
        <v>4000000</v>
      </c>
      <c r="J92" s="22">
        <f>INDEX('Master data'!CJ:CJ,MATCH($A92,'Master data'!$CK:$CK,0))</f>
        <v>3.9752855183270978E-2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Kingsley Coman</v>
      </c>
      <c r="O92" s="20" t="str">
        <f>INDEX('Master data'!B:B,MATCH($M92,'Master data'!$CL:$CL,0))</f>
        <v>France</v>
      </c>
      <c r="P92" s="17" t="str">
        <f>INDEX('Master data'!C:C,MATCH($M92,'Master data'!$CL:$CL,0))</f>
        <v>Striker</v>
      </c>
      <c r="Q92" s="21">
        <f>INDEX('Master data'!G:G,MATCH($M92,'Master data'!$CL:$CL,0))</f>
        <v>5000000</v>
      </c>
      <c r="R92" s="21">
        <f>INDEX('Master data'!AK:AK,MATCH($A92,'Master data'!$CL:$CL,0))</f>
        <v>44618.688536784539</v>
      </c>
      <c r="S92" s="18">
        <f>INDEX('Master data'!BY:BY,MATCH($A92,'Master data'!$CL:$CL,0))</f>
        <v>185794.79154079669</v>
      </c>
      <c r="T92" s="21">
        <f>INDEX('Master data'!CG:CG,MATCH($M92,'Master data'!$CL:$CL,0))</f>
        <v>0</v>
      </c>
      <c r="U92" s="21">
        <f>INDEX('Master data'!CI:CI,MATCH($M92,'Master data'!$CL:$CL,0))</f>
        <v>5000000</v>
      </c>
      <c r="V92" s="22">
        <f>INDEX('Master data'!CJ:CJ,MATCH($M92,'Master data'!$CL:$CL,0))</f>
        <v>3.7158958308159337E-2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>
      <c r="A93" s="20">
        <f t="shared" si="4"/>
        <v>91</v>
      </c>
      <c r="B93" s="20" t="str">
        <f>INDEX('Master data'!A:A,MATCH($A93,'Master data'!$CK:$CK,0))</f>
        <v>Maciej Rybus</v>
      </c>
      <c r="C93" s="20" t="str">
        <f>INDEX('Master data'!B:B,MATCH($A93,'Master data'!$CK:$CK,0))</f>
        <v>Poland</v>
      </c>
      <c r="D93" s="17" t="str">
        <f>INDEX('Master data'!C:C,MATCH($A93,'Master data'!$CK:$CK,0))</f>
        <v>Defense</v>
      </c>
      <c r="E93" s="21">
        <f>INDEX('Master data'!G:G,MATCH($A93,'Master data'!$CK:$CK,0))</f>
        <v>2500000</v>
      </c>
      <c r="F93" s="21">
        <f>INDEX('Master data'!AK:AK,MATCH($A93,'Master data'!$CK:$CK,0))</f>
        <v>84092.190350943652</v>
      </c>
      <c r="G93" s="18">
        <f>INDEX('Master data'!BY:BY,MATCH($A93,'Master data'!$CK:$CK,0))</f>
        <v>157044.21860803117</v>
      </c>
      <c r="H93" s="21">
        <f>INDEX('Master data'!CG:CG,MATCH($A93,'Master data'!$CK:$CK,0))</f>
        <v>0</v>
      </c>
      <c r="I93" s="21">
        <f>INDEX('Master data'!CI:CI,MATCH($A93,'Master data'!$CK:$CK,0))</f>
        <v>2500000</v>
      </c>
      <c r="J93" s="22">
        <f>INDEX('Master data'!CJ:CJ,MATCH($A93,'Master data'!$CK:$CK,0))</f>
        <v>6.2817687443212464E-2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Martin Braithwaite</v>
      </c>
      <c r="O93" s="20" t="str">
        <f>INDEX('Master data'!B:B,MATCH($M93,'Master data'!$CL:$CL,0))</f>
        <v>Denmark</v>
      </c>
      <c r="P93" s="17" t="str">
        <f>INDEX('Master data'!C:C,MATCH($M93,'Master data'!$CL:$CL,0))</f>
        <v>Striker</v>
      </c>
      <c r="Q93" s="21">
        <f>INDEX('Master data'!G:G,MATCH($M93,'Master data'!$CL:$CL,0))</f>
        <v>4500000</v>
      </c>
      <c r="R93" s="21">
        <f>INDEX('Master data'!AK:AK,MATCH($A93,'Master data'!$CL:$CL,0))</f>
        <v>73470.218611584947</v>
      </c>
      <c r="S93" s="18">
        <f>INDEX('Master data'!BY:BY,MATCH($A93,'Master data'!$CL:$CL,0))</f>
        <v>166497.88241074467</v>
      </c>
      <c r="T93" s="21">
        <f>INDEX('Master data'!CG:CG,MATCH($M93,'Master data'!$CL:$CL,0))</f>
        <v>0</v>
      </c>
      <c r="U93" s="21">
        <f>INDEX('Master data'!CI:CI,MATCH($M93,'Master data'!$CL:$CL,0))</f>
        <v>4500000</v>
      </c>
      <c r="V93" s="22">
        <f>INDEX('Master data'!CJ:CJ,MATCH($M93,'Master data'!$CL:$CL,0))</f>
        <v>3.6999529424609927E-2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>
      <c r="A94" s="20">
        <f t="shared" si="4"/>
        <v>92</v>
      </c>
      <c r="B94" s="20" t="str">
        <f>INDEX('Master data'!A:A,MATCH($A94,'Master data'!$CK:$CK,0))</f>
        <v>Anthony Lopes</v>
      </c>
      <c r="C94" s="20" t="str">
        <f>INDEX('Master data'!B:B,MATCH($A94,'Master data'!$CK:$CK,0))</f>
        <v>Portugal</v>
      </c>
      <c r="D94" s="17" t="str">
        <f>INDEX('Master data'!C:C,MATCH($A94,'Master data'!$CK:$CK,0))</f>
        <v>Goalkeeper</v>
      </c>
      <c r="E94" s="21">
        <f>INDEX('Master data'!G:G,MATCH($A94,'Master data'!$CK:$CK,0))</f>
        <v>5000000</v>
      </c>
      <c r="F94" s="21">
        <f>INDEX('Master data'!AK:AK,MATCH($A94,'Master data'!$CK:$CK,0))</f>
        <v>75115.360974903175</v>
      </c>
      <c r="G94" s="18">
        <f>INDEX('Master data'!BY:BY,MATCH($A94,'Master data'!$CK:$CK,0))</f>
        <v>156719.79617929229</v>
      </c>
      <c r="H94" s="21">
        <f>INDEX('Master data'!CG:CG,MATCH($A94,'Master data'!$CK:$CK,0))</f>
        <v>0</v>
      </c>
      <c r="I94" s="21">
        <f>INDEX('Master data'!CI:CI,MATCH($A94,'Master data'!$CK:$CK,0))</f>
        <v>5000000</v>
      </c>
      <c r="J94" s="22">
        <f>INDEX('Master data'!CJ:CJ,MATCH($A94,'Master data'!$CK:$CK,0))</f>
        <v>3.1343959235858455E-2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Thibaut Courtois</v>
      </c>
      <c r="O94" s="20" t="str">
        <f>INDEX('Master data'!B:B,MATCH($M94,'Master data'!$CL:$CL,0))</f>
        <v>Belgium</v>
      </c>
      <c r="P94" s="17" t="str">
        <f>INDEX('Master data'!C:C,MATCH($M94,'Master data'!$CL:$CL,0))</f>
        <v>Goalkeeper</v>
      </c>
      <c r="Q94" s="21">
        <f>INDEX('Master data'!G:G,MATCH($M94,'Master data'!$CL:$CL,0))</f>
        <v>6000000</v>
      </c>
      <c r="R94" s="21">
        <f>INDEX('Master data'!AK:AK,MATCH($A94,'Master data'!$CL:$CL,0))</f>
        <v>70785.298360004585</v>
      </c>
      <c r="S94" s="18">
        <f>INDEX('Master data'!BY:BY,MATCH($A94,'Master data'!$CL:$CL,0))</f>
        <v>221948.07113740401</v>
      </c>
      <c r="T94" s="21">
        <f>INDEX('Master data'!CG:CG,MATCH($M94,'Master data'!$CL:$CL,0))</f>
        <v>0</v>
      </c>
      <c r="U94" s="21">
        <f>INDEX('Master data'!CI:CI,MATCH($M94,'Master data'!$CL:$CL,0))</f>
        <v>6000000</v>
      </c>
      <c r="V94" s="22">
        <f>INDEX('Master data'!CJ:CJ,MATCH($M94,'Master data'!$CL:$CL,0))</f>
        <v>3.6991345189567336E-2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>
      <c r="A95" s="20">
        <f t="shared" si="4"/>
        <v>93</v>
      </c>
      <c r="B95" s="20" t="str">
        <f>INDEX('Master data'!A:A,MATCH($A95,'Master data'!$CK:$CK,0))</f>
        <v>Kalvin Phillips</v>
      </c>
      <c r="C95" s="20" t="str">
        <f>INDEX('Master data'!B:B,MATCH($A95,'Master data'!$CK:$CK,0))</f>
        <v>England</v>
      </c>
      <c r="D95" s="17" t="str">
        <f>INDEX('Master data'!C:C,MATCH($A95,'Master data'!$CK:$CK,0))</f>
        <v>Midfield</v>
      </c>
      <c r="E95" s="21">
        <f>INDEX('Master data'!G:G,MATCH($A95,'Master data'!$CK:$CK,0))</f>
        <v>3500000</v>
      </c>
      <c r="F95" s="21">
        <f>INDEX('Master data'!AK:AK,MATCH($A95,'Master data'!$CK:$CK,0))</f>
        <v>40847.597407030546</v>
      </c>
      <c r="G95" s="18">
        <f>INDEX('Master data'!BY:BY,MATCH($A95,'Master data'!$CK:$CK,0))</f>
        <v>153452.58619050775</v>
      </c>
      <c r="H95" s="21">
        <f>INDEX('Master data'!CG:CG,MATCH($A95,'Master data'!$CK:$CK,0))</f>
        <v>0</v>
      </c>
      <c r="I95" s="21">
        <f>INDEX('Master data'!CI:CI,MATCH($A95,'Master data'!$CK:$CK,0))</f>
        <v>3500000</v>
      </c>
      <c r="J95" s="22">
        <f>INDEX('Master data'!CJ:CJ,MATCH($A95,'Master data'!$CK:$CK,0))</f>
        <v>4.3843596054430785E-2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Mason Mount</v>
      </c>
      <c r="O95" s="20" t="str">
        <f>INDEX('Master data'!B:B,MATCH($M95,'Master data'!$CL:$CL,0))</f>
        <v>England</v>
      </c>
      <c r="P95" s="17" t="str">
        <f>INDEX('Master data'!C:C,MATCH($M95,'Master data'!$CL:$CL,0))</f>
        <v>Midfield</v>
      </c>
      <c r="Q95" s="21">
        <f>INDEX('Master data'!G:G,MATCH($M95,'Master data'!$CL:$CL,0))</f>
        <v>5500000</v>
      </c>
      <c r="R95" s="21">
        <f>INDEX('Master data'!AK:AK,MATCH($A95,'Master data'!$CL:$CL,0))</f>
        <v>54152.687551222698</v>
      </c>
      <c r="S95" s="18">
        <f>INDEX('Master data'!BY:BY,MATCH($A95,'Master data'!$CL:$CL,0))</f>
        <v>201404.11059973133</v>
      </c>
      <c r="T95" s="21">
        <f>INDEX('Master data'!CG:CG,MATCH($M95,'Master data'!$CL:$CL,0))</f>
        <v>0</v>
      </c>
      <c r="U95" s="21">
        <f>INDEX('Master data'!CI:CI,MATCH($M95,'Master data'!$CL:$CL,0))</f>
        <v>5500000</v>
      </c>
      <c r="V95" s="22">
        <f>INDEX('Master data'!CJ:CJ,MATCH($M95,'Master data'!$CL:$CL,0))</f>
        <v>3.6618929199951147E-2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>
      <c r="A96" s="20">
        <f t="shared" si="4"/>
        <v>94</v>
      </c>
      <c r="B96" s="20" t="str">
        <f>INDEX('Master data'!A:A,MATCH($A96,'Master data'!$CK:$CK,0))</f>
        <v>Alexander Schlager</v>
      </c>
      <c r="C96" s="20" t="str">
        <f>INDEX('Master data'!B:B,MATCH($A96,'Master data'!$CK:$CK,0))</f>
        <v>Austria</v>
      </c>
      <c r="D96" s="17" t="str">
        <f>INDEX('Master data'!C:C,MATCH($A96,'Master data'!$CK:$CK,0))</f>
        <v>Goalkeeper</v>
      </c>
      <c r="E96" s="21">
        <f>INDEX('Master data'!G:G,MATCH($A96,'Master data'!$CK:$CK,0))</f>
        <v>4000000</v>
      </c>
      <c r="F96" s="21">
        <f>INDEX('Master data'!AK:AK,MATCH($A96,'Master data'!$CK:$CK,0))</f>
        <v>76766.103389877375</v>
      </c>
      <c r="G96" s="18">
        <f>INDEX('Master data'!BY:BY,MATCH($A96,'Master data'!$CK:$CK,0))</f>
        <v>152958.45478333614</v>
      </c>
      <c r="H96" s="21">
        <f>INDEX('Master data'!CG:CG,MATCH($A96,'Master data'!$CK:$CK,0))</f>
        <v>0</v>
      </c>
      <c r="I96" s="21">
        <f>INDEX('Master data'!CI:CI,MATCH($A96,'Master data'!$CK:$CK,0))</f>
        <v>4000000</v>
      </c>
      <c r="J96" s="22">
        <f>INDEX('Master data'!CJ:CJ,MATCH($A96,'Master data'!$CK:$CK,0))</f>
        <v>3.8239613695834035E-2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Borna Barišić</v>
      </c>
      <c r="O96" s="20" t="str">
        <f>INDEX('Master data'!B:B,MATCH($M96,'Master data'!$CL:$CL,0))</f>
        <v>Croatia</v>
      </c>
      <c r="P96" s="17" t="str">
        <f>INDEX('Master data'!C:C,MATCH($M96,'Master data'!$CL:$CL,0))</f>
        <v>Defense</v>
      </c>
      <c r="Q96" s="21">
        <f>INDEX('Master data'!G:G,MATCH($M96,'Master data'!$CL:$CL,0))</f>
        <v>3500000</v>
      </c>
      <c r="R96" s="21">
        <f>INDEX('Master data'!AK:AK,MATCH($A96,'Master data'!$CL:$CL,0))</f>
        <v>15781.034708954781</v>
      </c>
      <c r="S96" s="18">
        <f>INDEX('Master data'!BY:BY,MATCH($A96,'Master data'!$CL:$CL,0))</f>
        <v>128074.90894672378</v>
      </c>
      <c r="T96" s="21">
        <f>INDEX('Master data'!CG:CG,MATCH($M96,'Master data'!$CL:$CL,0))</f>
        <v>0</v>
      </c>
      <c r="U96" s="21">
        <f>INDEX('Master data'!CI:CI,MATCH($M96,'Master data'!$CL:$CL,0))</f>
        <v>3500000</v>
      </c>
      <c r="V96" s="22">
        <f>INDEX('Master data'!CJ:CJ,MATCH($M96,'Master data'!$CL:$CL,0))</f>
        <v>3.6592831127635367E-2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>
      <c r="A97" s="20">
        <f t="shared" si="4"/>
        <v>95</v>
      </c>
      <c r="B97" s="20" t="str">
        <f>INDEX('Master data'!A:A,MATCH($A97,'Master data'!$CK:$CK,0))</f>
        <v>Raphaël Varane</v>
      </c>
      <c r="C97" s="20" t="str">
        <f>INDEX('Master data'!B:B,MATCH($A97,'Master data'!$CK:$CK,0))</f>
        <v>France</v>
      </c>
      <c r="D97" s="17" t="str">
        <f>INDEX('Master data'!C:C,MATCH($A97,'Master data'!$CK:$CK,0))</f>
        <v>Defense</v>
      </c>
      <c r="E97" s="21">
        <f>INDEX('Master data'!G:G,MATCH($A97,'Master data'!$CK:$CK,0))</f>
        <v>4500000</v>
      </c>
      <c r="F97" s="21">
        <f>INDEX('Master data'!AK:AK,MATCH($A97,'Master data'!$CK:$CK,0))</f>
        <v>35774.613178411615</v>
      </c>
      <c r="G97" s="18">
        <f>INDEX('Master data'!BY:BY,MATCH($A97,'Master data'!$CK:$CK,0))</f>
        <v>152302.45073470398</v>
      </c>
      <c r="H97" s="21">
        <f>INDEX('Master data'!CG:CG,MATCH($A97,'Master data'!$CK:$CK,0))</f>
        <v>0</v>
      </c>
      <c r="I97" s="21">
        <f>INDEX('Master data'!CI:CI,MATCH($A97,'Master data'!$CK:$CK,0))</f>
        <v>4500000</v>
      </c>
      <c r="J97" s="22">
        <f>INDEX('Master data'!CJ:CJ,MATCH($A97,'Master data'!$CK:$CK,0))</f>
        <v>3.3844989052156438E-2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Dominik Livaković</v>
      </c>
      <c r="O97" s="20" t="str">
        <f>INDEX('Master data'!B:B,MATCH($M97,'Master data'!$CL:$CL,0))</f>
        <v>Croatia</v>
      </c>
      <c r="P97" s="17" t="str">
        <f>INDEX('Master data'!C:C,MATCH($M97,'Master data'!$CL:$CL,0))</f>
        <v>Goalkeeper</v>
      </c>
      <c r="Q97" s="21">
        <f>INDEX('Master data'!G:G,MATCH($M97,'Master data'!$CL:$CL,0))</f>
        <v>4500000</v>
      </c>
      <c r="R97" s="21">
        <f>INDEX('Master data'!AK:AK,MATCH($A97,'Master data'!$CL:$CL,0))</f>
        <v>32434.511264081055</v>
      </c>
      <c r="S97" s="18">
        <f>INDEX('Master data'!BY:BY,MATCH($A97,'Master data'!$CL:$CL,0))</f>
        <v>164320.79203378962</v>
      </c>
      <c r="T97" s="21">
        <f>INDEX('Master data'!CG:CG,MATCH($M97,'Master data'!$CL:$CL,0))</f>
        <v>0</v>
      </c>
      <c r="U97" s="21">
        <f>INDEX('Master data'!CI:CI,MATCH($M97,'Master data'!$CL:$CL,0))</f>
        <v>4500000</v>
      </c>
      <c r="V97" s="22">
        <f>INDEX('Master data'!CJ:CJ,MATCH($M97,'Master data'!$CL:$CL,0))</f>
        <v>3.6515731563064362E-2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>
      <c r="A98" s="20">
        <f t="shared" si="4"/>
        <v>96</v>
      </c>
      <c r="B98" s="20" t="str">
        <f>INDEX('Master data'!A:A,MATCH($A98,'Master data'!$CK:$CK,0))</f>
        <v>Oleksandr Karavayev</v>
      </c>
      <c r="C98" s="20" t="str">
        <f>INDEX('Master data'!B:B,MATCH($A98,'Master data'!$CK:$CK,0))</f>
        <v>Ukraine</v>
      </c>
      <c r="D98" s="17" t="str">
        <f>INDEX('Master data'!C:C,MATCH($A98,'Master data'!$CK:$CK,0))</f>
        <v>Defense</v>
      </c>
      <c r="E98" s="21">
        <f>INDEX('Master data'!G:G,MATCH($A98,'Master data'!$CK:$CK,0))</f>
        <v>3000000</v>
      </c>
      <c r="F98" s="21">
        <f>INDEX('Master data'!AK:AK,MATCH($A98,'Master data'!$CK:$CK,0))</f>
        <v>21078.711220255751</v>
      </c>
      <c r="G98" s="18">
        <f>INDEX('Master data'!BY:BY,MATCH($A98,'Master data'!$CK:$CK,0))</f>
        <v>151430.79718039872</v>
      </c>
      <c r="H98" s="21">
        <f>INDEX('Master data'!CG:CG,MATCH($A98,'Master data'!$CK:$CK,0))</f>
        <v>0</v>
      </c>
      <c r="I98" s="21">
        <f>INDEX('Master data'!CI:CI,MATCH($A98,'Master data'!$CK:$CK,0))</f>
        <v>3000000</v>
      </c>
      <c r="J98" s="22">
        <f>INDEX('Master data'!CJ:CJ,MATCH($A98,'Master data'!$CK:$CK,0))</f>
        <v>5.0476932393466241E-2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Daniel Wass</v>
      </c>
      <c r="O98" s="20" t="str">
        <f>INDEX('Master data'!B:B,MATCH($M98,'Master data'!$CL:$CL,0))</f>
        <v>Denmark</v>
      </c>
      <c r="P98" s="17" t="str">
        <f>INDEX('Master data'!C:C,MATCH($M98,'Master data'!$CL:$CL,0))</f>
        <v>Midfield</v>
      </c>
      <c r="Q98" s="21">
        <f>INDEX('Master data'!G:G,MATCH($M98,'Master data'!$CL:$CL,0))</f>
        <v>4000000</v>
      </c>
      <c r="R98" s="21">
        <f>INDEX('Master data'!AK:AK,MATCH($A98,'Master data'!$CL:$CL,0))</f>
        <v>65179.252619613922</v>
      </c>
      <c r="S98" s="18">
        <f>INDEX('Master data'!BY:BY,MATCH($A98,'Master data'!$CL:$CL,0))</f>
        <v>144863.30964572701</v>
      </c>
      <c r="T98" s="21">
        <f>INDEX('Master data'!CG:CG,MATCH($M98,'Master data'!$CL:$CL,0))</f>
        <v>0</v>
      </c>
      <c r="U98" s="21">
        <f>INDEX('Master data'!CI:CI,MATCH($M98,'Master data'!$CL:$CL,0))</f>
        <v>4000000</v>
      </c>
      <c r="V98" s="22">
        <f>INDEX('Master data'!CJ:CJ,MATCH($M98,'Master data'!$CL:$CL,0))</f>
        <v>3.6215827411431756E-2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>
      <c r="A99" s="20">
        <f t="shared" si="4"/>
        <v>97</v>
      </c>
      <c r="B99" s="20" t="str">
        <f>INDEX('Master data'!A:A,MATCH($A99,'Master data'!$CK:$CK,0))</f>
        <v>Burak B. Yilmaz</v>
      </c>
      <c r="C99" s="20" t="str">
        <f>INDEX('Master data'!B:B,MATCH($A99,'Master data'!$CK:$CK,0))</f>
        <v>Turkey</v>
      </c>
      <c r="D99" s="17" t="str">
        <f>INDEX('Master data'!C:C,MATCH($A99,'Master data'!$CK:$CK,0))</f>
        <v>Striker</v>
      </c>
      <c r="E99" s="21">
        <f>INDEX('Master data'!G:G,MATCH($A99,'Master data'!$CK:$CK,0))</f>
        <v>4000000</v>
      </c>
      <c r="F99" s="21">
        <f>INDEX('Master data'!AK:AK,MATCH($A99,'Master data'!$CK:$CK,0))</f>
        <v>19613.955541856212</v>
      </c>
      <c r="G99" s="18">
        <f>INDEX('Master data'!BY:BY,MATCH($A99,'Master data'!$CK:$CK,0))</f>
        <v>150591.90282175579</v>
      </c>
      <c r="H99" s="21">
        <f>INDEX('Master data'!CG:CG,MATCH($A99,'Master data'!$CK:$CK,0))</f>
        <v>0</v>
      </c>
      <c r="I99" s="21">
        <f>INDEX('Master data'!CI:CI,MATCH($A99,'Master data'!$CK:$CK,0))</f>
        <v>4000000</v>
      </c>
      <c r="J99" s="22">
        <f>INDEX('Master data'!CJ:CJ,MATCH($A99,'Master data'!$CK:$CK,0))</f>
        <v>3.764797570543895E-2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>Kasper Schmeichel</v>
      </c>
      <c r="O99" s="20" t="str">
        <f>INDEX('Master data'!B:B,MATCH($M99,'Master data'!$CL:$CL,0))</f>
        <v>Denmark</v>
      </c>
      <c r="P99" s="17" t="str">
        <f>INDEX('Master data'!C:C,MATCH($M99,'Master data'!$CL:$CL,0))</f>
        <v>Goalkeeper</v>
      </c>
      <c r="Q99" s="21">
        <f>INDEX('Master data'!G:G,MATCH($M99,'Master data'!$CL:$CL,0))</f>
        <v>5000000</v>
      </c>
      <c r="R99" s="21">
        <f>INDEX('Master data'!AK:AK,MATCH($A99,'Master data'!$CL:$CL,0))</f>
        <v>80276.703087976057</v>
      </c>
      <c r="S99" s="18">
        <f>INDEX('Master data'!BY:BY,MATCH($A99,'Master data'!$CL:$CL,0))</f>
        <v>178493.25774626937</v>
      </c>
      <c r="T99" s="21">
        <f>INDEX('Master data'!CG:CG,MATCH($M99,'Master data'!$CL:$CL,0))</f>
        <v>0</v>
      </c>
      <c r="U99" s="21">
        <f>INDEX('Master data'!CI:CI,MATCH($M99,'Master data'!$CL:$CL,0))</f>
        <v>5000000</v>
      </c>
      <c r="V99" s="22">
        <f>INDEX('Master data'!CJ:CJ,MATCH($M99,'Master data'!$CL:$CL,0))</f>
        <v>3.5698651549253876E-2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>
      <c r="A100" s="20">
        <f t="shared" si="4"/>
        <v>98</v>
      </c>
      <c r="B100" s="20" t="str">
        <f>INDEX('Master data'!A:A,MATCH($A100,'Master data'!$CK:$CK,0))</f>
        <v>Christian  Gunter</v>
      </c>
      <c r="C100" s="20" t="str">
        <f>INDEX('Master data'!B:B,MATCH($A100,'Master data'!$CK:$CK,0))</f>
        <v>Germany</v>
      </c>
      <c r="D100" s="17" t="str">
        <f>INDEX('Master data'!C:C,MATCH($A100,'Master data'!$CK:$CK,0))</f>
        <v>Defense</v>
      </c>
      <c r="E100" s="21">
        <f>INDEX('Master data'!G:G,MATCH($A100,'Master data'!$CK:$CK,0))</f>
        <v>3000000</v>
      </c>
      <c r="F100" s="21">
        <f>INDEX('Master data'!AK:AK,MATCH($A100,'Master data'!$CK:$CK,0))</f>
        <v>28644.259528961804</v>
      </c>
      <c r="G100" s="18">
        <f>INDEX('Master data'!BY:BY,MATCH($A100,'Master data'!$CK:$CK,0))</f>
        <v>145967.98097172187</v>
      </c>
      <c r="H100" s="21">
        <f>INDEX('Master data'!CG:CG,MATCH($A100,'Master data'!$CK:$CK,0))</f>
        <v>0</v>
      </c>
      <c r="I100" s="21">
        <f>INDEX('Master data'!CI:CI,MATCH($A100,'Master data'!$CK:$CK,0))</f>
        <v>3000000</v>
      </c>
      <c r="J100" s="22">
        <f>INDEX('Master data'!CJ:CJ,MATCH($A100,'Master data'!$CK:$CK,0))</f>
        <v>4.8655993657240625E-2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Šime Vrsaljko</v>
      </c>
      <c r="O100" s="20" t="str">
        <f>INDEX('Master data'!B:B,MATCH($M100,'Master data'!$CL:$CL,0))</f>
        <v>Croatia</v>
      </c>
      <c r="P100" s="17" t="str">
        <f>INDEX('Master data'!C:C,MATCH($M100,'Master data'!$CL:$CL,0))</f>
        <v>Defense</v>
      </c>
      <c r="Q100" s="21">
        <f>INDEX('Master data'!G:G,MATCH($M100,'Master data'!$CL:$CL,0))</f>
        <v>3000000</v>
      </c>
      <c r="R100" s="21">
        <f>INDEX('Master data'!AK:AK,MATCH($A100,'Master data'!$CL:$CL,0))</f>
        <v>10589.589468815788</v>
      </c>
      <c r="S100" s="18">
        <f>INDEX('Master data'!BY:BY,MATCH($A100,'Master data'!$CL:$CL,0))</f>
        <v>106716.47672970459</v>
      </c>
      <c r="T100" s="21">
        <f>INDEX('Master data'!CG:CG,MATCH($M100,'Master data'!$CL:$CL,0))</f>
        <v>0</v>
      </c>
      <c r="U100" s="21">
        <f>INDEX('Master data'!CI:CI,MATCH($M100,'Master data'!$CL:$CL,0))</f>
        <v>3000000</v>
      </c>
      <c r="V100" s="22">
        <f>INDEX('Master data'!CJ:CJ,MATCH($M100,'Master data'!$CL:$CL,0))</f>
        <v>3.5572158909901529E-2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>
      <c r="A101" s="20">
        <f t="shared" si="4"/>
        <v>99</v>
      </c>
      <c r="B101" s="20" t="str">
        <f>INDEX('Master data'!A:A,MATCH($A101,'Master data'!$CK:$CK,0))</f>
        <v>Daniel Wass</v>
      </c>
      <c r="C101" s="20" t="str">
        <f>INDEX('Master data'!B:B,MATCH($A101,'Master data'!$CK:$CK,0))</f>
        <v>Denmark</v>
      </c>
      <c r="D101" s="17" t="str">
        <f>INDEX('Master data'!C:C,MATCH($A101,'Master data'!$CK:$CK,0))</f>
        <v>Midfield</v>
      </c>
      <c r="E101" s="21">
        <f>INDEX('Master data'!G:G,MATCH($A101,'Master data'!$CK:$CK,0))</f>
        <v>4000000</v>
      </c>
      <c r="F101" s="21">
        <f>INDEX('Master data'!AK:AK,MATCH($A101,'Master data'!$CK:$CK,0))</f>
        <v>65179.252619613922</v>
      </c>
      <c r="G101" s="18">
        <f>INDEX('Master data'!BY:BY,MATCH($A101,'Master data'!$CK:$CK,0))</f>
        <v>144863.30964572701</v>
      </c>
      <c r="H101" s="21">
        <f>INDEX('Master data'!CG:CG,MATCH($A101,'Master data'!$CK:$CK,0))</f>
        <v>0</v>
      </c>
      <c r="I101" s="21">
        <f>INDEX('Master data'!CI:CI,MATCH($A101,'Master data'!$CK:$CK,0))</f>
        <v>4000000</v>
      </c>
      <c r="J101" s="22">
        <f>INDEX('Master data'!CJ:CJ,MATCH($A101,'Master data'!$CK:$CK,0))</f>
        <v>3.6215827411431756E-2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Benjamin Pavard</v>
      </c>
      <c r="O101" s="20" t="str">
        <f>INDEX('Master data'!B:B,MATCH($M101,'Master data'!$CL:$CL,0))</f>
        <v>France</v>
      </c>
      <c r="P101" s="17" t="str">
        <f>INDEX('Master data'!C:C,MATCH($M101,'Master data'!$CL:$CL,0))</f>
        <v>Defense</v>
      </c>
      <c r="Q101" s="21">
        <f>INDEX('Master data'!G:G,MATCH($M101,'Master data'!$CL:$CL,0))</f>
        <v>4000000</v>
      </c>
      <c r="R101" s="21">
        <f>INDEX('Master data'!AK:AK,MATCH($A101,'Master data'!$CL:$CL,0))</f>
        <v>32887.98278563744</v>
      </c>
      <c r="S101" s="18">
        <f>INDEX('Master data'!BY:BY,MATCH($A101,'Master data'!$CL:$CL,0))</f>
        <v>142201.60275606872</v>
      </c>
      <c r="T101" s="21">
        <f>INDEX('Master data'!CG:CG,MATCH($M101,'Master data'!$CL:$CL,0))</f>
        <v>0</v>
      </c>
      <c r="U101" s="21">
        <f>INDEX('Master data'!CI:CI,MATCH($M101,'Master data'!$CL:$CL,0))</f>
        <v>4000000</v>
      </c>
      <c r="V101" s="22">
        <f>INDEX('Master data'!CJ:CJ,MATCH($M101,'Master data'!$CL:$CL,0))</f>
        <v>3.5550400689017179E-2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>
      <c r="A102" s="23">
        <f t="shared" si="4"/>
        <v>100</v>
      </c>
      <c r="B102" s="23" t="str">
        <f>INDEX('Master data'!A:A,MATCH($A102,'Master data'!$CK:$CK,0))</f>
        <v>Benjamin Pavard</v>
      </c>
      <c r="C102" s="23" t="str">
        <f>INDEX('Master data'!B:B,MATCH($A102,'Master data'!$CK:$CK,0))</f>
        <v>France</v>
      </c>
      <c r="D102" s="17" t="str">
        <f>INDEX('Master data'!C:C,MATCH($A102,'Master data'!$CK:$CK,0))</f>
        <v>Defense</v>
      </c>
      <c r="E102" s="24">
        <f>INDEX('Master data'!G:G,MATCH($A102,'Master data'!$CK:$CK,0))</f>
        <v>4000000</v>
      </c>
      <c r="F102" s="24">
        <f>INDEX('Master data'!AK:AK,MATCH($A102,'Master data'!$CK:$CK,0))</f>
        <v>32887.98278563744</v>
      </c>
      <c r="G102" s="18">
        <f>INDEX('Master data'!BY:BY,MATCH($A102,'Master data'!$CK:$CK,0))</f>
        <v>142201.60275606872</v>
      </c>
      <c r="H102" s="24">
        <f>INDEX('Master data'!CG:CG,MATCH($A102,'Master data'!$CK:$CK,0))</f>
        <v>0</v>
      </c>
      <c r="I102" s="24">
        <f>INDEX('Master data'!CI:CI,MATCH($A102,'Master data'!$CK:$CK,0))</f>
        <v>4000000</v>
      </c>
      <c r="J102" s="25">
        <f>INDEX('Master data'!CJ:CJ,MATCH($A102,'Master data'!$CK:$CK,0))</f>
        <v>3.5550400689017179E-2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Rodrigo Hernandez</v>
      </c>
      <c r="O102" s="23" t="str">
        <f>INDEX('Master data'!B:B,MATCH($M102,'Master data'!$CL:$CL,0))</f>
        <v>Spain</v>
      </c>
      <c r="P102" s="17" t="str">
        <f>INDEX('Master data'!C:C,MATCH($M102,'Master data'!$CL:$CL,0))</f>
        <v>Midfield</v>
      </c>
      <c r="Q102" s="24">
        <f>INDEX('Master data'!G:G,MATCH($M102,'Master data'!$CL:$CL,0))</f>
        <v>4000000</v>
      </c>
      <c r="R102" s="24">
        <f>INDEX('Master data'!AK:AK,MATCH($A102,'Master data'!$CL:$CL,0))</f>
        <v>42862.192365122959</v>
      </c>
      <c r="S102" s="18">
        <f>INDEX('Master data'!BY:BY,MATCH($A102,'Master data'!$CL:$CL,0))</f>
        <v>141820.31256920105</v>
      </c>
      <c r="T102" s="24">
        <f>INDEX('Master data'!CG:CG,MATCH($M102,'Master data'!$CL:$CL,0))</f>
        <v>0</v>
      </c>
      <c r="U102" s="24">
        <f>INDEX('Master data'!CI:CI,MATCH($M102,'Master data'!$CL:$CL,0))</f>
        <v>4000000</v>
      </c>
      <c r="V102" s="25">
        <f>INDEX('Master data'!CJ:CJ,MATCH($M102,'Master data'!$CL:$CL,0))</f>
        <v>3.5455078142300263E-2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/>
  </sheetViews>
  <sheetFormatPr defaultColWidth="11" defaultRowHeight="15.75"/>
  <cols>
    <col min="1" max="1" width="7.5" customWidth="1"/>
    <col min="2" max="2" width="20.875" customWidth="1"/>
  </cols>
  <sheetData>
    <row r="1" spans="2:18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41351.646556982734</v>
      </c>
      <c r="N3" s="5">
        <f>AVERAGEIFS('Master data'!BD:BD,'Master data'!$M:$M,"&gt;0")/Cockpit!I3</f>
        <v>63783.034066143176</v>
      </c>
      <c r="O3" s="5">
        <f>AVERAGEIFS('Master data'!BW:BW,'Master data'!$M:$M,"&gt;0")/Cockpit!J3</f>
        <v>99220.561997996832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E1" sqref="E1:G25"/>
    </sheetView>
  </sheetViews>
  <sheetFormatPr defaultRowHeight="15.75"/>
  <cols>
    <col min="1" max="1" width="17.25" bestFit="1" customWidth="1"/>
  </cols>
  <sheetData>
    <row r="1" spans="1:7">
      <c r="A1" s="44" t="s">
        <v>385</v>
      </c>
      <c r="B1" s="59" t="s">
        <v>751</v>
      </c>
      <c r="C1" s="59" t="s">
        <v>752</v>
      </c>
      <c r="D1" s="59" t="s">
        <v>3469</v>
      </c>
      <c r="E1" s="59" t="s">
        <v>775</v>
      </c>
      <c r="F1" s="59" t="s">
        <v>776</v>
      </c>
      <c r="G1" s="59" t="s">
        <v>777</v>
      </c>
    </row>
    <row r="2" spans="1:7">
      <c r="A2" s="47" t="s">
        <v>869</v>
      </c>
      <c r="B2" s="45">
        <f>INDEX('Team forecast'!$B$2:$AO$26,MATCH('Expected Clean Sheets'!$A2,'Team forecast'!$B$2:$B$26,0),MATCH('Expected Clean Sheets'!B$1,'Team forecast'!$B$2:$AO$2,0))</f>
        <v>0.54907096336484029</v>
      </c>
      <c r="C2" s="45">
        <f>INDEX('Team forecast'!$B$2:$AO$26,MATCH('Expected Clean Sheets'!$A2,'Team forecast'!$B$2:$B$26,0),MATCH('Expected Clean Sheets'!C$1,'Team forecast'!$B$2:$AO$2,0))</f>
        <v>0.21697623437572761</v>
      </c>
      <c r="D2" s="45">
        <f>INDEX('Team forecast'!$B$2:$AO$26,MATCH('Expected Clean Sheets'!$A2,'Team forecast'!$B$2:$B$26,0),MATCH('Expected Clean Sheets'!D$1,'Team forecast'!$B$2:$AO$2,0))</f>
        <v>0.38441849991338989</v>
      </c>
      <c r="E2" s="2">
        <f>AVERAGE(B2:D2)</f>
        <v>0.38348856588465258</v>
      </c>
      <c r="F2" s="2">
        <f>+MIN(B2:D2)</f>
        <v>0.21697623437572761</v>
      </c>
      <c r="G2" s="2">
        <f>+MAX(B2:D2)</f>
        <v>0.54907096336484029</v>
      </c>
    </row>
    <row r="3" spans="1:7">
      <c r="A3" s="49" t="s">
        <v>895</v>
      </c>
      <c r="B3" s="45">
        <f>INDEX('Team forecast'!$B$2:$AO$26,MATCH('Expected Clean Sheets'!$A3,'Team forecast'!$B$2:$B$26,0),MATCH('Expected Clean Sheets'!B$1,'Team forecast'!$B$2:$AO$2,0))</f>
        <v>0.34357532462169699</v>
      </c>
      <c r="C3" s="45">
        <f>INDEX('Team forecast'!$B$2:$AO$26,MATCH('Expected Clean Sheets'!$A3,'Team forecast'!$B$2:$B$26,0),MATCH('Expected Clean Sheets'!C$1,'Team forecast'!$B$2:$AO$2,0))</f>
        <v>0.1344184218435715</v>
      </c>
      <c r="D3" s="45">
        <f>INDEX('Team forecast'!$B$2:$AO$26,MATCH('Expected Clean Sheets'!$A3,'Team forecast'!$B$2:$B$26,0),MATCH('Expected Clean Sheets'!D$1,'Team forecast'!$B$2:$AO$2,0))</f>
        <v>0.22225562720571071</v>
      </c>
      <c r="E3" s="2">
        <f t="shared" ref="E3:E25" si="0">AVERAGE(B3:D3)</f>
        <v>0.23341645789032639</v>
      </c>
      <c r="F3" s="2">
        <f t="shared" ref="F3:F25" si="1">+MIN(B3:D3)</f>
        <v>0.1344184218435715</v>
      </c>
      <c r="G3" s="2">
        <f t="shared" ref="G3:G25" si="2">+MAX(B3:D3)</f>
        <v>0.34357532462169699</v>
      </c>
    </row>
    <row r="4" spans="1:7">
      <c r="A4" s="49" t="s">
        <v>876</v>
      </c>
      <c r="B4" s="45">
        <f>INDEX('Team forecast'!$B$2:$AO$26,MATCH('Expected Clean Sheets'!$A4,'Team forecast'!$B$2:$B$26,0),MATCH('Expected Clean Sheets'!B$1,'Team forecast'!$B$2:$AO$2,0))</f>
        <v>0.46753246753246752</v>
      </c>
      <c r="C4" s="45">
        <f>INDEX('Team forecast'!$B$2:$AO$26,MATCH('Expected Clean Sheets'!$A4,'Team forecast'!$B$2:$B$26,0),MATCH('Expected Clean Sheets'!C$1,'Team forecast'!$B$2:$AO$2,0))</f>
        <v>0.45032347896962183</v>
      </c>
      <c r="D4" s="45">
        <f>INDEX('Team forecast'!$B$2:$AO$26,MATCH('Expected Clean Sheets'!$A4,'Team forecast'!$B$2:$B$26,0),MATCH('Expected Clean Sheets'!D$1,'Team forecast'!$B$2:$AO$2,0))</f>
        <v>0.61199705730750009</v>
      </c>
      <c r="E4" s="2">
        <f t="shared" si="0"/>
        <v>0.50995100126986315</v>
      </c>
      <c r="F4" s="2">
        <f t="shared" si="1"/>
        <v>0.45032347896962183</v>
      </c>
      <c r="G4" s="2">
        <f t="shared" si="2"/>
        <v>0.61199705730750009</v>
      </c>
    </row>
    <row r="5" spans="1:7">
      <c r="A5" s="49" t="s">
        <v>878</v>
      </c>
      <c r="B5" s="45">
        <f>INDEX('Team forecast'!$B$2:$AO$26,MATCH('Expected Clean Sheets'!$A5,'Team forecast'!$B$2:$B$26,0),MATCH('Expected Clean Sheets'!B$1,'Team forecast'!$B$2:$AO$2,0))</f>
        <v>0.51864392781930047</v>
      </c>
      <c r="C5" s="45">
        <f>INDEX('Team forecast'!$B$2:$AO$26,MATCH('Expected Clean Sheets'!$A5,'Team forecast'!$B$2:$B$26,0),MATCH('Expected Clean Sheets'!C$1,'Team forecast'!$B$2:$AO$2,0))</f>
        <v>0.15761321763936759</v>
      </c>
      <c r="D5" s="45">
        <f>INDEX('Team forecast'!$B$2:$AO$26,MATCH('Expected Clean Sheets'!$A5,'Team forecast'!$B$2:$B$26,0),MATCH('Expected Clean Sheets'!D$1,'Team forecast'!$B$2:$AO$2,0))</f>
        <v>0.31785774198959899</v>
      </c>
      <c r="E5" s="2">
        <f t="shared" si="0"/>
        <v>0.33137162914942236</v>
      </c>
      <c r="F5" s="2">
        <f t="shared" si="1"/>
        <v>0.15761321763936759</v>
      </c>
      <c r="G5" s="2">
        <f t="shared" si="2"/>
        <v>0.51864392781930047</v>
      </c>
    </row>
    <row r="6" spans="1:7">
      <c r="A6" s="49" t="s">
        <v>872</v>
      </c>
      <c r="B6" s="45">
        <f>INDEX('Team forecast'!$B$2:$AO$26,MATCH('Expected Clean Sheets'!$A6,'Team forecast'!$B$2:$B$26,0),MATCH('Expected Clean Sheets'!B$1,'Team forecast'!$B$2:$AO$2,0))</f>
        <v>0.21008753647353071</v>
      </c>
      <c r="C6" s="45">
        <f>INDEX('Team forecast'!$B$2:$AO$26,MATCH('Expected Clean Sheets'!$A6,'Team forecast'!$B$2:$B$26,0),MATCH('Expected Clean Sheets'!C$1,'Team forecast'!$B$2:$AO$2,0))</f>
        <v>0.46868830883965779</v>
      </c>
      <c r="D6" s="45">
        <f>INDEX('Team forecast'!$B$2:$AO$26,MATCH('Expected Clean Sheets'!$A6,'Team forecast'!$B$2:$B$26,0),MATCH('Expected Clean Sheets'!D$1,'Team forecast'!$B$2:$AO$2,0))</f>
        <v>0.22195063505392029</v>
      </c>
      <c r="E6" s="2">
        <f t="shared" si="0"/>
        <v>0.30024216012236959</v>
      </c>
      <c r="F6" s="2">
        <f t="shared" si="1"/>
        <v>0.21008753647353071</v>
      </c>
      <c r="G6" s="2">
        <f t="shared" si="2"/>
        <v>0.46868830883965779</v>
      </c>
    </row>
    <row r="7" spans="1:7">
      <c r="A7" s="49" t="s">
        <v>892</v>
      </c>
      <c r="B7" s="45">
        <f>INDEX('Team forecast'!$B$2:$AO$26,MATCH('Expected Clean Sheets'!$A7,'Team forecast'!$B$2:$B$26,0),MATCH('Expected Clean Sheets'!B$1,'Team forecast'!$B$2:$AO$2,0))</f>
        <v>0.28978375293296982</v>
      </c>
      <c r="C7" s="45">
        <f>INDEX('Team forecast'!$B$2:$AO$26,MATCH('Expected Clean Sheets'!$A7,'Team forecast'!$B$2:$B$26,0),MATCH('Expected Clean Sheets'!C$1,'Team forecast'!$B$2:$AO$2,0))</f>
        <v>0.31309583542398389</v>
      </c>
      <c r="D7" s="45">
        <f>INDEX('Team forecast'!$B$2:$AO$26,MATCH('Expected Clean Sheets'!$A7,'Team forecast'!$B$2:$B$26,0),MATCH('Expected Clean Sheets'!D$1,'Team forecast'!$B$2:$AO$2,0))</f>
        <v>0.50327918232493496</v>
      </c>
      <c r="E7" s="2">
        <f t="shared" si="0"/>
        <v>0.36871959022729622</v>
      </c>
      <c r="F7" s="2">
        <f t="shared" si="1"/>
        <v>0.28978375293296982</v>
      </c>
      <c r="G7" s="2">
        <f t="shared" si="2"/>
        <v>0.50327918232493496</v>
      </c>
    </row>
    <row r="8" spans="1:7">
      <c r="A8" s="49" t="s">
        <v>870</v>
      </c>
      <c r="B8" s="45">
        <f>INDEX('Team forecast'!$B$2:$AO$26,MATCH('Expected Clean Sheets'!$A8,'Team forecast'!$B$2:$B$26,0),MATCH('Expected Clean Sheets'!B$1,'Team forecast'!$B$2:$AO$2,0))</f>
        <v>0.18997855332423469</v>
      </c>
      <c r="C8" s="45">
        <f>INDEX('Team forecast'!$B$2:$AO$26,MATCH('Expected Clean Sheets'!$A8,'Team forecast'!$B$2:$B$26,0),MATCH('Expected Clean Sheets'!C$1,'Team forecast'!$B$2:$AO$2,0))</f>
        <v>0.20830591503984791</v>
      </c>
      <c r="D8" s="45">
        <f>INDEX('Team forecast'!$B$2:$AO$26,MATCH('Expected Clean Sheets'!$A8,'Team forecast'!$B$2:$B$26,0),MATCH('Expected Clean Sheets'!D$1,'Team forecast'!$B$2:$AO$2,0))</f>
        <v>9.6383288507815829E-2</v>
      </c>
      <c r="E8" s="2">
        <f t="shared" si="0"/>
        <v>0.16488925229063281</v>
      </c>
      <c r="F8" s="2">
        <f t="shared" si="1"/>
        <v>9.6383288507815829E-2</v>
      </c>
      <c r="G8" s="2">
        <f t="shared" si="2"/>
        <v>0.20830591503984791</v>
      </c>
    </row>
    <row r="9" spans="1:7">
      <c r="A9" s="49" t="s">
        <v>886</v>
      </c>
      <c r="B9" s="45">
        <f>INDEX('Team forecast'!$B$2:$AO$26,MATCH('Expected Clean Sheets'!$A9,'Team forecast'!$B$2:$B$26,0),MATCH('Expected Clean Sheets'!B$1,'Team forecast'!$B$2:$AO$2,0))</f>
        <v>0.1731911776674534</v>
      </c>
      <c r="C9" s="45">
        <f>INDEX('Team forecast'!$B$2:$AO$26,MATCH('Expected Clean Sheets'!$A9,'Team forecast'!$B$2:$B$26,0),MATCH('Expected Clean Sheets'!C$1,'Team forecast'!$B$2:$AO$2,0))</f>
        <v>0.4468733207814955</v>
      </c>
      <c r="D9" s="45">
        <f>INDEX('Team forecast'!$B$2:$AO$26,MATCH('Expected Clean Sheets'!$A9,'Team forecast'!$B$2:$B$26,0),MATCH('Expected Clean Sheets'!D$1,'Team forecast'!$B$2:$AO$2,0))</f>
        <v>0.29414280786478092</v>
      </c>
      <c r="E9" s="2">
        <f t="shared" si="0"/>
        <v>0.30473576877124331</v>
      </c>
      <c r="F9" s="2">
        <f t="shared" si="1"/>
        <v>0.1731911776674534</v>
      </c>
      <c r="G9" s="2">
        <f t="shared" si="2"/>
        <v>0.4468733207814955</v>
      </c>
    </row>
    <row r="10" spans="1:7">
      <c r="A10" s="49" t="s">
        <v>865</v>
      </c>
      <c r="B10" s="45">
        <f>INDEX('Team forecast'!$B$2:$AO$26,MATCH('Expected Clean Sheets'!$A10,'Team forecast'!$B$2:$B$26,0),MATCH('Expected Clean Sheets'!B$1,'Team forecast'!$B$2:$AO$2,0))</f>
        <v>0.31284959906121651</v>
      </c>
      <c r="C10" s="45">
        <f>INDEX('Team forecast'!$B$2:$AO$26,MATCH('Expected Clean Sheets'!$A10,'Team forecast'!$B$2:$B$26,0),MATCH('Expected Clean Sheets'!C$1,'Team forecast'!$B$2:$AO$2,0))</f>
        <v>0.27672795566788022</v>
      </c>
      <c r="D10" s="45">
        <f>INDEX('Team forecast'!$B$2:$AO$26,MATCH('Expected Clean Sheets'!$A10,'Team forecast'!$B$2:$B$26,0),MATCH('Expected Clean Sheets'!D$1,'Team forecast'!$B$2:$AO$2,0))</f>
        <v>0.15877642857793531</v>
      </c>
      <c r="E10" s="2">
        <f t="shared" si="0"/>
        <v>0.24945132776901066</v>
      </c>
      <c r="F10" s="2">
        <f t="shared" si="1"/>
        <v>0.15877642857793531</v>
      </c>
      <c r="G10" s="2">
        <f t="shared" si="2"/>
        <v>0.31284959906121651</v>
      </c>
    </row>
    <row r="11" spans="1:7">
      <c r="A11" s="49" t="s">
        <v>866</v>
      </c>
      <c r="B11" s="45">
        <f>INDEX('Team forecast'!$B$2:$AO$26,MATCH('Expected Clean Sheets'!$A11,'Team forecast'!$B$2:$B$26,0),MATCH('Expected Clean Sheets'!B$1,'Team forecast'!$B$2:$AO$2,0))</f>
        <v>0.41713279874828868</v>
      </c>
      <c r="C11" s="45">
        <f>INDEX('Team forecast'!$B$2:$AO$26,MATCH('Expected Clean Sheets'!$A11,'Team forecast'!$B$2:$B$26,0),MATCH('Expected Clean Sheets'!C$1,'Team forecast'!$B$2:$AO$2,0))</f>
        <v>0.21874780667306151</v>
      </c>
      <c r="D11" s="45">
        <f>INDEX('Team forecast'!$B$2:$AO$26,MATCH('Expected Clean Sheets'!$A11,'Team forecast'!$B$2:$B$26,0),MATCH('Expected Clean Sheets'!D$1,'Team forecast'!$B$2:$AO$2,0))</f>
        <v>0.29384949898885449</v>
      </c>
      <c r="E11" s="2">
        <f t="shared" si="0"/>
        <v>0.30991003480340157</v>
      </c>
      <c r="F11" s="2">
        <f t="shared" si="1"/>
        <v>0.21874780667306151</v>
      </c>
      <c r="G11" s="2">
        <f t="shared" si="2"/>
        <v>0.41713279874828868</v>
      </c>
    </row>
    <row r="12" spans="1:7">
      <c r="A12" s="49" t="s">
        <v>894</v>
      </c>
      <c r="B12" s="45">
        <f>INDEX('Team forecast'!$B$2:$AO$26,MATCH('Expected Clean Sheets'!$A12,'Team forecast'!$B$2:$B$26,0),MATCH('Expected Clean Sheets'!B$1,'Team forecast'!$B$2:$AO$2,0))</f>
        <v>0.2109151973131822</v>
      </c>
      <c r="C12" s="45">
        <f>INDEX('Team forecast'!$B$2:$AO$26,MATCH('Expected Clean Sheets'!$A12,'Team forecast'!$B$2:$B$26,0),MATCH('Expected Clean Sheets'!C$1,'Team forecast'!$B$2:$AO$2,0))</f>
        <v>0.20779220779220781</v>
      </c>
      <c r="D12" s="45">
        <f>INDEX('Team forecast'!$B$2:$AO$26,MATCH('Expected Clean Sheets'!$A12,'Team forecast'!$B$2:$B$26,0),MATCH('Expected Clean Sheets'!D$1,'Team forecast'!$B$2:$AO$2,0))</f>
        <v>9.3635549768047527E-2</v>
      </c>
      <c r="E12" s="2">
        <f t="shared" si="0"/>
        <v>0.17078098495781249</v>
      </c>
      <c r="F12" s="2">
        <f t="shared" si="1"/>
        <v>9.3635549768047527E-2</v>
      </c>
      <c r="G12" s="2">
        <f t="shared" si="2"/>
        <v>0.2109151973131822</v>
      </c>
    </row>
    <row r="13" spans="1:7">
      <c r="A13" s="49" t="s">
        <v>891</v>
      </c>
      <c r="B13" s="45">
        <f>INDEX('Team forecast'!$B$2:$AO$26,MATCH('Expected Clean Sheets'!$A13,'Team forecast'!$B$2:$B$26,0),MATCH('Expected Clean Sheets'!B$1,'Team forecast'!$B$2:$AO$2,0))</f>
        <v>0.28978375293296982</v>
      </c>
      <c r="C13" s="45">
        <f>INDEX('Team forecast'!$B$2:$AO$26,MATCH('Expected Clean Sheets'!$A13,'Team forecast'!$B$2:$B$26,0),MATCH('Expected Clean Sheets'!C$1,'Team forecast'!$B$2:$AO$2,0))</f>
        <v>0.44801918430198229</v>
      </c>
      <c r="D13" s="45">
        <f>INDEX('Team forecast'!$B$2:$AO$26,MATCH('Expected Clean Sheets'!$A13,'Team forecast'!$B$2:$B$26,0),MATCH('Expected Clean Sheets'!D$1,'Team forecast'!$B$2:$AO$2,0))</f>
        <v>0.36395398803179979</v>
      </c>
      <c r="E13" s="2">
        <f t="shared" si="0"/>
        <v>0.36725230842225071</v>
      </c>
      <c r="F13" s="2">
        <f t="shared" si="1"/>
        <v>0.28978375293296982</v>
      </c>
      <c r="G13" s="2">
        <f t="shared" si="2"/>
        <v>0.44801918430198229</v>
      </c>
    </row>
    <row r="14" spans="1:7">
      <c r="A14" s="49" t="s">
        <v>896</v>
      </c>
      <c r="B14" s="45">
        <f>INDEX('Team forecast'!$B$2:$AO$26,MATCH('Expected Clean Sheets'!$A14,'Team forecast'!$B$2:$B$26,0),MATCH('Expected Clean Sheets'!B$1,'Team forecast'!$B$2:$AO$2,0))</f>
        <v>0.21504443649322161</v>
      </c>
      <c r="C14" s="45">
        <f>INDEX('Team forecast'!$B$2:$AO$26,MATCH('Expected Clean Sheets'!$A14,'Team forecast'!$B$2:$B$26,0),MATCH('Expected Clean Sheets'!C$1,'Team forecast'!$B$2:$AO$2,0))</f>
        <v>0.25024905963763749</v>
      </c>
      <c r="D14" s="45">
        <f>INDEX('Team forecast'!$B$2:$AO$26,MATCH('Expected Clean Sheets'!$A14,'Team forecast'!$B$2:$B$26,0),MATCH('Expected Clean Sheets'!D$1,'Team forecast'!$B$2:$AO$2,0))</f>
        <v>9.5238095238095233E-2</v>
      </c>
      <c r="E14" s="2">
        <f t="shared" si="0"/>
        <v>0.18684386378965145</v>
      </c>
      <c r="F14" s="2">
        <f t="shared" si="1"/>
        <v>9.5238095238095233E-2</v>
      </c>
      <c r="G14" s="2">
        <f t="shared" si="2"/>
        <v>0.25024905963763749</v>
      </c>
    </row>
    <row r="15" spans="1:7">
      <c r="A15" s="49" t="s">
        <v>897</v>
      </c>
      <c r="B15" s="45">
        <f>INDEX('Team forecast'!$B$2:$AO$26,MATCH('Expected Clean Sheets'!$A15,'Team forecast'!$B$2:$B$26,0),MATCH('Expected Clean Sheets'!B$1,'Team forecast'!$B$2:$AO$2,0))</f>
        <v>0.1716036772216547</v>
      </c>
      <c r="C15" s="45">
        <f>INDEX('Team forecast'!$B$2:$AO$26,MATCH('Expected Clean Sheets'!$A15,'Team forecast'!$B$2:$B$26,0),MATCH('Expected Clean Sheets'!C$1,'Team forecast'!$B$2:$AO$2,0))</f>
        <v>0.1176050358792704</v>
      </c>
      <c r="D15" s="45">
        <f>INDEX('Team forecast'!$B$2:$AO$26,MATCH('Expected Clean Sheets'!$A15,'Team forecast'!$B$2:$B$26,0),MATCH('Expected Clean Sheets'!D$1,'Team forecast'!$B$2:$AO$2,0))</f>
        <v>8.7387567112784156E-2</v>
      </c>
      <c r="E15" s="2">
        <f t="shared" si="0"/>
        <v>0.12553209340456975</v>
      </c>
      <c r="F15" s="2">
        <f t="shared" si="1"/>
        <v>8.7387567112784156E-2</v>
      </c>
      <c r="G15" s="2">
        <f t="shared" si="2"/>
        <v>0.1716036772216547</v>
      </c>
    </row>
    <row r="16" spans="1:7">
      <c r="A16" s="49" t="s">
        <v>879</v>
      </c>
      <c r="B16" s="45">
        <f>INDEX('Team forecast'!$B$2:$AO$26,MATCH('Expected Clean Sheets'!$A16,'Team forecast'!$B$2:$B$26,0),MATCH('Expected Clean Sheets'!B$1,'Team forecast'!$B$2:$AO$2,0))</f>
        <v>0.47241192102180191</v>
      </c>
      <c r="C16" s="45">
        <f>INDEX('Team forecast'!$B$2:$AO$26,MATCH('Expected Clean Sheets'!$A16,'Team forecast'!$B$2:$B$26,0),MATCH('Expected Clean Sheets'!C$1,'Team forecast'!$B$2:$AO$2,0))</f>
        <v>0.51416882672404407</v>
      </c>
      <c r="D16" s="45">
        <f>INDEX('Team forecast'!$B$2:$AO$26,MATCH('Expected Clean Sheets'!$A16,'Team forecast'!$B$2:$B$26,0),MATCH('Expected Clean Sheets'!D$1,'Team forecast'!$B$2:$AO$2,0))</f>
        <v>0.43785759694850601</v>
      </c>
      <c r="E16" s="2">
        <f t="shared" si="0"/>
        <v>0.47481278156478401</v>
      </c>
      <c r="F16" s="2">
        <f t="shared" si="1"/>
        <v>0.43785759694850601</v>
      </c>
      <c r="G16" s="2">
        <f t="shared" si="2"/>
        <v>0.51416882672404407</v>
      </c>
    </row>
    <row r="17" spans="1:7">
      <c r="A17" s="49" t="s">
        <v>862</v>
      </c>
      <c r="B17" s="45">
        <f>INDEX('Team forecast'!$B$2:$AO$26,MATCH('Expected Clean Sheets'!$A17,'Team forecast'!$B$2:$B$26,0),MATCH('Expected Clean Sheets'!B$1,'Team forecast'!$B$2:$AO$2,0))</f>
        <v>0.19026303645592979</v>
      </c>
      <c r="C17" s="45">
        <f>INDEX('Team forecast'!$B$2:$AO$26,MATCH('Expected Clean Sheets'!$A17,'Team forecast'!$B$2:$B$26,0),MATCH('Expected Clean Sheets'!C$1,'Team forecast'!$B$2:$AO$2,0))</f>
        <v>0.35774716702311499</v>
      </c>
      <c r="D17" s="45">
        <f>INDEX('Team forecast'!$B$2:$AO$26,MATCH('Expected Clean Sheets'!$A17,'Team forecast'!$B$2:$B$26,0),MATCH('Expected Clean Sheets'!D$1,'Team forecast'!$B$2:$AO$2,0))</f>
        <v>0.25466956579034061</v>
      </c>
      <c r="E17" s="2">
        <f t="shared" si="0"/>
        <v>0.26755992308979515</v>
      </c>
      <c r="F17" s="2">
        <f t="shared" si="1"/>
        <v>0.19026303645592979</v>
      </c>
      <c r="G17" s="2">
        <f t="shared" si="2"/>
        <v>0.35774716702311499</v>
      </c>
    </row>
    <row r="18" spans="1:7">
      <c r="A18" s="49" t="s">
        <v>882</v>
      </c>
      <c r="B18" s="45">
        <f>INDEX('Team forecast'!$B$2:$AO$26,MATCH('Expected Clean Sheets'!$A18,'Team forecast'!$B$2:$B$26,0),MATCH('Expected Clean Sheets'!B$1,'Team forecast'!$B$2:$AO$2,0))</f>
        <v>0.35925176528884672</v>
      </c>
      <c r="C18" s="45">
        <f>INDEX('Team forecast'!$B$2:$AO$26,MATCH('Expected Clean Sheets'!$A18,'Team forecast'!$B$2:$B$26,0),MATCH('Expected Clean Sheets'!C$1,'Team forecast'!$B$2:$AO$2,0))</f>
        <v>0.25040650406504072</v>
      </c>
      <c r="D18" s="45">
        <f>INDEX('Team forecast'!$B$2:$AO$26,MATCH('Expected Clean Sheets'!$A18,'Team forecast'!$B$2:$B$26,0),MATCH('Expected Clean Sheets'!D$1,'Team forecast'!$B$2:$AO$2,0))</f>
        <v>0.107031857031857</v>
      </c>
      <c r="E18" s="2">
        <f t="shared" si="0"/>
        <v>0.23889670879524816</v>
      </c>
      <c r="F18" s="2">
        <f t="shared" si="1"/>
        <v>0.107031857031857</v>
      </c>
      <c r="G18" s="2">
        <f t="shared" si="2"/>
        <v>0.35925176528884672</v>
      </c>
    </row>
    <row r="19" spans="1:7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0.51984436190144767</v>
      </c>
      <c r="C19" s="45">
        <f>INDEX('Team forecast'!$B$2:$AO$26,MATCH('Expected Clean Sheets'!$A19,'Team forecast'!$B$2:$B$26,0),MATCH('Expected Clean Sheets'!C$1,'Team forecast'!$B$2:$AO$2,0))</f>
        <v>0.45103714423540769</v>
      </c>
      <c r="D19" s="45">
        <f>INDEX('Team forecast'!$B$2:$AO$26,MATCH('Expected Clean Sheets'!$A19,'Team forecast'!$B$2:$B$26,0),MATCH('Expected Clean Sheets'!D$1,'Team forecast'!$B$2:$AO$2,0))</f>
        <v>0.52057845435388617</v>
      </c>
      <c r="E19" s="2">
        <f t="shared" si="0"/>
        <v>0.49715332016358049</v>
      </c>
      <c r="F19" s="2">
        <f t="shared" si="1"/>
        <v>0.45103714423540769</v>
      </c>
      <c r="G19" s="2">
        <f t="shared" si="2"/>
        <v>0.52057845435388617</v>
      </c>
    </row>
    <row r="20" spans="1:7">
      <c r="A20" s="49" t="s">
        <v>888</v>
      </c>
      <c r="B20" s="45">
        <f>INDEX('Team forecast'!$B$2:$AO$26,MATCH('Expected Clean Sheets'!$A20,'Team forecast'!$B$2:$B$26,0),MATCH('Expected Clean Sheets'!B$1,'Team forecast'!$B$2:$AO$2,0))</f>
        <v>0.44340114762649968</v>
      </c>
      <c r="C20" s="45">
        <f>INDEX('Team forecast'!$B$2:$AO$26,MATCH('Expected Clean Sheets'!$A20,'Team forecast'!$B$2:$B$26,0),MATCH('Expected Clean Sheets'!C$1,'Team forecast'!$B$2:$AO$2,0))</f>
        <v>0.1483703157610558</v>
      </c>
      <c r="D20" s="45">
        <f>INDEX('Team forecast'!$B$2:$AO$26,MATCH('Expected Clean Sheets'!$A20,'Team forecast'!$B$2:$B$26,0),MATCH('Expected Clean Sheets'!D$1,'Team forecast'!$B$2:$AO$2,0))</f>
        <v>0.28116591928251122</v>
      </c>
      <c r="E20" s="2">
        <f t="shared" si="0"/>
        <v>0.29097912755668892</v>
      </c>
      <c r="F20" s="2">
        <f t="shared" si="1"/>
        <v>0.1483703157610558</v>
      </c>
      <c r="G20" s="2">
        <f t="shared" si="2"/>
        <v>0.44340114762649968</v>
      </c>
    </row>
    <row r="21" spans="1:7">
      <c r="A21" s="51" t="s">
        <v>885</v>
      </c>
      <c r="B21" s="45">
        <f>INDEX('Team forecast'!$B$2:$AO$26,MATCH('Expected Clean Sheets'!$A21,'Team forecast'!$B$2:$B$26,0),MATCH('Expected Clean Sheets'!B$1,'Team forecast'!$B$2:$AO$2,0))</f>
        <v>0.52919526509499659</v>
      </c>
      <c r="C21" s="45">
        <f>INDEX('Team forecast'!$B$2:$AO$26,MATCH('Expected Clean Sheets'!$A21,'Team forecast'!$B$2:$B$26,0),MATCH('Expected Clean Sheets'!C$1,'Team forecast'!$B$2:$AO$2,0))</f>
        <v>0.459241453546125</v>
      </c>
      <c r="D21" s="45">
        <f>INDEX('Team forecast'!$B$2:$AO$26,MATCH('Expected Clean Sheets'!$A21,'Team forecast'!$B$2:$B$26,0),MATCH('Expected Clean Sheets'!D$1,'Team forecast'!$B$2:$AO$2,0))</f>
        <v>0.57028799543769604</v>
      </c>
      <c r="E21" s="2">
        <f t="shared" si="0"/>
        <v>0.51957490469293921</v>
      </c>
      <c r="F21" s="2">
        <f t="shared" si="1"/>
        <v>0.459241453546125</v>
      </c>
      <c r="G21" s="2">
        <f t="shared" si="2"/>
        <v>0.57028799543769604</v>
      </c>
    </row>
    <row r="22" spans="1:7">
      <c r="A22" t="s">
        <v>871</v>
      </c>
      <c r="B22" s="45">
        <f>INDEX('Team forecast'!$B$2:$AO$26,MATCH('Expected Clean Sheets'!$A22,'Team forecast'!$B$2:$B$26,0),MATCH('Expected Clean Sheets'!B$1,'Team forecast'!$B$2:$AO$2,0))</f>
        <v>0.42972450642313093</v>
      </c>
      <c r="C22" s="45">
        <f>INDEX('Team forecast'!$B$2:$AO$26,MATCH('Expected Clean Sheets'!$A22,'Team forecast'!$B$2:$B$26,0),MATCH('Expected Clean Sheets'!C$1,'Team forecast'!$B$2:$AO$2,0))</f>
        <v>0.31316903161563348</v>
      </c>
      <c r="D22" s="45">
        <f>INDEX('Team forecast'!$B$2:$AO$26,MATCH('Expected Clean Sheets'!$A22,'Team forecast'!$B$2:$B$26,0),MATCH('Expected Clean Sheets'!D$1,'Team forecast'!$B$2:$AO$2,0))</f>
        <v>0.53546271393231015</v>
      </c>
      <c r="E22" s="2">
        <f t="shared" si="0"/>
        <v>0.42611875065702493</v>
      </c>
      <c r="F22" s="2">
        <f t="shared" si="1"/>
        <v>0.31316903161563348</v>
      </c>
      <c r="G22" s="2">
        <f t="shared" si="2"/>
        <v>0.53546271393231015</v>
      </c>
    </row>
    <row r="23" spans="1:7">
      <c r="A23" t="s">
        <v>893</v>
      </c>
      <c r="B23" s="45">
        <f>INDEX('Team forecast'!$B$2:$AO$26,MATCH('Expected Clean Sheets'!$A23,'Team forecast'!$B$2:$B$26,0),MATCH('Expected Clean Sheets'!B$1,'Team forecast'!$B$2:$AO$2,0))</f>
        <v>0.47191011235955049</v>
      </c>
      <c r="C23" s="45">
        <f>INDEX('Team forecast'!$B$2:$AO$26,MATCH('Expected Clean Sheets'!$A23,'Team forecast'!$B$2:$B$26,0),MATCH('Expected Clean Sheets'!C$1,'Team forecast'!$B$2:$AO$2,0))</f>
        <v>0.25047666833918708</v>
      </c>
      <c r="D23" s="45">
        <f>INDEX('Team forecast'!$B$2:$AO$26,MATCH('Expected Clean Sheets'!$A23,'Team forecast'!$B$2:$B$26,0),MATCH('Expected Clean Sheets'!D$1,'Team forecast'!$B$2:$AO$2,0))</f>
        <v>0.27348542529246672</v>
      </c>
      <c r="E23" s="2">
        <f t="shared" si="0"/>
        <v>0.33195740199706814</v>
      </c>
      <c r="F23" s="2">
        <f t="shared" si="1"/>
        <v>0.25047666833918708</v>
      </c>
      <c r="G23" s="2">
        <f t="shared" si="2"/>
        <v>0.47191011235955049</v>
      </c>
    </row>
    <row r="24" spans="1:7">
      <c r="A24" t="s">
        <v>880</v>
      </c>
      <c r="B24" s="45">
        <f>INDEX('Team forecast'!$B$2:$AO$26,MATCH('Expected Clean Sheets'!$A24,'Team forecast'!$B$2:$B$26,0),MATCH('Expected Clean Sheets'!B$1,'Team forecast'!$B$2:$AO$2,0))</f>
        <v>0.21820412056434271</v>
      </c>
      <c r="C24" s="45">
        <f>INDEX('Team forecast'!$B$2:$AO$26,MATCH('Expected Clean Sheets'!$A24,'Team forecast'!$B$2:$B$26,0),MATCH('Expected Clean Sheets'!C$1,'Team forecast'!$B$2:$AO$2,0))</f>
        <v>0.37560975609756098</v>
      </c>
      <c r="D24" s="45">
        <f>INDEX('Team forecast'!$B$2:$AO$26,MATCH('Expected Clean Sheets'!$A24,'Team forecast'!$B$2:$B$26,0),MATCH('Expected Clean Sheets'!D$1,'Team forecast'!$B$2:$AO$2,0))</f>
        <v>0.43743948445487602</v>
      </c>
      <c r="E24" s="2">
        <f t="shared" si="0"/>
        <v>0.34375112037225986</v>
      </c>
      <c r="F24" s="2">
        <f t="shared" si="1"/>
        <v>0.21820412056434271</v>
      </c>
      <c r="G24" s="2">
        <f t="shared" si="2"/>
        <v>0.43743948445487602</v>
      </c>
    </row>
    <row r="25" spans="1:7">
      <c r="A25" t="s">
        <v>877</v>
      </c>
      <c r="B25" s="45">
        <f>INDEX('Team forecast'!$B$2:$AO$26,MATCH('Expected Clean Sheets'!$A25,'Team forecast'!$B$2:$B$26,0),MATCH('Expected Clean Sheets'!B$1,'Team forecast'!$B$2:$AO$2,0))</f>
        <v>0.20779220779220781</v>
      </c>
      <c r="C25" s="45">
        <f>INDEX('Team forecast'!$B$2:$AO$26,MATCH('Expected Clean Sheets'!$A25,'Team forecast'!$B$2:$B$26,0),MATCH('Expected Clean Sheets'!C$1,'Team forecast'!$B$2:$AO$2,0))</f>
        <v>0.46753246753246752</v>
      </c>
      <c r="D25" s="45">
        <f>INDEX('Team forecast'!$B$2:$AO$26,MATCH('Expected Clean Sheets'!$A25,'Team forecast'!$B$2:$B$26,0),MATCH('Expected Clean Sheets'!D$1,'Team forecast'!$B$2:$AO$2,0))</f>
        <v>0.31785774198959899</v>
      </c>
      <c r="E25" s="2">
        <f t="shared" si="0"/>
        <v>0.33106080577142477</v>
      </c>
      <c r="F25" s="2">
        <f t="shared" si="1"/>
        <v>0.20779220779220781</v>
      </c>
      <c r="G25" s="2">
        <f t="shared" si="2"/>
        <v>0.46753246753246752</v>
      </c>
    </row>
  </sheetData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E2" sqref="E2"/>
    </sheetView>
  </sheetViews>
  <sheetFormatPr defaultRowHeight="15.75"/>
  <cols>
    <col min="5" max="5" width="13.875" bestFit="1" customWidth="1"/>
    <col min="6" max="6" width="11" bestFit="1" customWidth="1"/>
  </cols>
  <sheetData>
    <row r="1" spans="1:6">
      <c r="A1" s="42" t="s">
        <v>385</v>
      </c>
      <c r="B1" s="43" t="s">
        <v>429</v>
      </c>
      <c r="C1" s="43" t="s">
        <v>475</v>
      </c>
      <c r="D1" s="43" t="s">
        <v>5231</v>
      </c>
      <c r="E1" s="59" t="s">
        <v>5220</v>
      </c>
      <c r="F1" s="59" t="s">
        <v>5232</v>
      </c>
    </row>
    <row r="2" spans="1:6">
      <c r="A2" s="47" t="s">
        <v>869</v>
      </c>
      <c r="B2" s="106">
        <f>INDEX('Team forecast'!$B$2:$AO$26,MATCH('Expected Clean Sheets'!$A2,'Team forecast'!$B$2:$B$26,0),MATCH(B$1,'Team forecast'!$B$2:$AO$2,0))</f>
        <v>0.65509845973874048</v>
      </c>
      <c r="C2" s="106">
        <f>INDEX('Team forecast'!$B$2:$AO$26,MATCH('Expected Clean Sheets'!$A2,'Team forecast'!$B$2:$B$26,0),MATCH(C$1,'Team forecast'!$B$2:$AO$2,0))</f>
        <v>0.25392083644510832</v>
      </c>
      <c r="D2" s="106">
        <f>INDEX('Team forecast'!$B$2:$AO$26,MATCH('Expected Clean Sheets'!$A2,'Team forecast'!$B$2:$B$26,0),MATCH(D$1,'Team forecast'!$B$2:$AO$2,0))</f>
        <v>0.48293781396154511</v>
      </c>
      <c r="E2" s="106">
        <f>INDEX('Team forecast'!$B$2:$AO$26,MATCH('Expected Clean Sheets'!$A2,'Team forecast'!$B$2:$B$26,0),MATCH(E$1,'Team forecast'!$B$2:$AO$2,0))</f>
        <v>0.81209477601382885</v>
      </c>
      <c r="F2" s="106">
        <f>INDEX('Team forecast'!$B$2:$AO$26,MATCH('Expected Clean Sheets'!$A2,'Team forecast'!$B$2:$B$26,0),MATCH(F$1,'Team forecast'!$B$2:$AO$2,0))</f>
        <v>3.0645161290322579E-2</v>
      </c>
    </row>
    <row r="3" spans="1:6">
      <c r="A3" s="49" t="s">
        <v>895</v>
      </c>
      <c r="B3" s="106">
        <f>INDEX('Team forecast'!$B$2:$AO$26,MATCH('Expected Clean Sheets'!$A3,'Team forecast'!$B$2:$B$26,0),MATCH(B$1,'Team forecast'!$B$2:$AO$2,0))</f>
        <v>0.32580418714126441</v>
      </c>
      <c r="C3" s="106">
        <f>INDEX('Team forecast'!$B$2:$AO$26,MATCH('Expected Clean Sheets'!$A3,'Team forecast'!$B$2:$B$26,0),MATCH(C$1,'Team forecast'!$B$2:$AO$2,0))</f>
        <v>9.90451529373685E-2</v>
      </c>
      <c r="D3" s="106">
        <f>INDEX('Team forecast'!$B$2:$AO$26,MATCH('Expected Clean Sheets'!$A3,'Team forecast'!$B$2:$B$26,0),MATCH(D$1,'Team forecast'!$B$2:$AO$2,0))</f>
        <v>0.21150920127488509</v>
      </c>
      <c r="E3" s="106">
        <f>INDEX('Team forecast'!$B$2:$AO$26,MATCH('Expected Clean Sheets'!$A3,'Team forecast'!$B$2:$B$26,0),MATCH(E$1,'Team forecast'!$B$2:$AO$2,0))</f>
        <v>0.41264978455987233</v>
      </c>
      <c r="F3" s="106">
        <f>INDEX('Team forecast'!$B$2:$AO$26,MATCH('Expected Clean Sheets'!$A3,'Team forecast'!$B$2:$B$26,0),MATCH(F$1,'Team forecast'!$B$2:$AO$2,0))</f>
        <v>3.3807829181494659E-3</v>
      </c>
    </row>
    <row r="4" spans="1:6">
      <c r="A4" s="49" t="s">
        <v>876</v>
      </c>
      <c r="B4" s="106">
        <f>INDEX('Team forecast'!$B$2:$AO$26,MATCH('Expected Clean Sheets'!$A4,'Team forecast'!$B$2:$B$26,0),MATCH(B$1,'Team forecast'!$B$2:$AO$2,0))</f>
        <v>0.58441558441558439</v>
      </c>
      <c r="C4" s="106">
        <f>INDEX('Team forecast'!$B$2:$AO$26,MATCH('Expected Clean Sheets'!$A4,'Team forecast'!$B$2:$B$26,0),MATCH(C$1,'Team forecast'!$B$2:$AO$2,0))</f>
        <v>0.61809104956614758</v>
      </c>
      <c r="D4" s="106">
        <f>INDEX('Team forecast'!$B$2:$AO$26,MATCH('Expected Clean Sheets'!$A4,'Team forecast'!$B$2:$B$26,0),MATCH(D$1,'Team forecast'!$B$2:$AO$2,0))</f>
        <v>0.79352160820379258</v>
      </c>
      <c r="E4" s="106">
        <f>INDEX('Team forecast'!$B$2:$AO$26,MATCH('Expected Clean Sheets'!$A4,'Team forecast'!$B$2:$B$26,0),MATCH(E$1,'Team forecast'!$B$2:$AO$2,0))</f>
        <v>0.96677949525455797</v>
      </c>
      <c r="F4" s="106">
        <f>INDEX('Team forecast'!$B$2:$AO$26,MATCH('Expected Clean Sheets'!$A4,'Team forecast'!$B$2:$B$26,0),MATCH(F$1,'Team forecast'!$B$2:$AO$2,0))</f>
        <v>5.5882352941176473E-2</v>
      </c>
    </row>
    <row r="5" spans="1:6">
      <c r="A5" s="49" t="s">
        <v>878</v>
      </c>
      <c r="B5" s="106">
        <f>INDEX('Team forecast'!$B$2:$AO$26,MATCH('Expected Clean Sheets'!$A5,'Team forecast'!$B$2:$B$26,0),MATCH(B$1,'Team forecast'!$B$2:$AO$2,0))</f>
        <v>0.60453400503778332</v>
      </c>
      <c r="C5" s="106">
        <f>INDEX('Team forecast'!$B$2:$AO$26,MATCH('Expected Clean Sheets'!$A5,'Team forecast'!$B$2:$B$26,0),MATCH(C$1,'Team forecast'!$B$2:$AO$2,0))</f>
        <v>0.1454891239748009</v>
      </c>
      <c r="D5" s="106">
        <f>INDEX('Team forecast'!$B$2:$AO$26,MATCH('Expected Clean Sheets'!$A5,'Team forecast'!$B$2:$B$26,0),MATCH(D$1,'Team forecast'!$B$2:$AO$2,0))</f>
        <v>0.35983895319577253</v>
      </c>
      <c r="E5" s="106">
        <f>INDEX('Team forecast'!$B$2:$AO$26,MATCH('Expected Clean Sheets'!$A5,'Team forecast'!$B$2:$B$26,0),MATCH(E$1,'Team forecast'!$B$2:$AO$2,0))</f>
        <v>0.71487216198400427</v>
      </c>
      <c r="F5" s="106">
        <f>INDEX('Team forecast'!$B$2:$AO$26,MATCH('Expected Clean Sheets'!$A5,'Team forecast'!$B$2:$B$26,0),MATCH(F$1,'Team forecast'!$B$2:$AO$2,0))</f>
        <v>4.5238095238095237E-3</v>
      </c>
    </row>
    <row r="6" spans="1:6">
      <c r="A6" s="49" t="s">
        <v>872</v>
      </c>
      <c r="B6" s="106">
        <f>INDEX('Team forecast'!$B$2:$AO$26,MATCH('Expected Clean Sheets'!$A6,'Team forecast'!$B$2:$B$26,0),MATCH(B$1,'Team forecast'!$B$2:$AO$2,0))</f>
        <v>0.18007503126302629</v>
      </c>
      <c r="C6" s="106">
        <f>INDEX('Team forecast'!$B$2:$AO$26,MATCH('Expected Clean Sheets'!$A6,'Team forecast'!$B$2:$B$26,0),MATCH(C$1,'Team forecast'!$B$2:$AO$2,0))</f>
        <v>0.56810704101776699</v>
      </c>
      <c r="D6" s="106">
        <f>INDEX('Team forecast'!$B$2:$AO$26,MATCH('Expected Clean Sheets'!$A6,'Team forecast'!$B$2:$B$26,0),MATCH(D$1,'Team forecast'!$B$2:$AO$2,0))</f>
        <v>0.23440152433743289</v>
      </c>
      <c r="E6" s="106">
        <f>INDEX('Team forecast'!$B$2:$AO$26,MATCH('Expected Clean Sheets'!$A6,'Team forecast'!$B$2:$B$26,0),MATCH(E$1,'Team forecast'!$B$2:$AO$2,0))</f>
        <v>0.64248004431473793</v>
      </c>
      <c r="F6" s="106">
        <f>INDEX('Team forecast'!$B$2:$AO$26,MATCH('Expected Clean Sheets'!$A6,'Team forecast'!$B$2:$B$26,0),MATCH(F$1,'Team forecast'!$B$2:$AO$2,0))</f>
        <v>3.9583333333333328E-3</v>
      </c>
    </row>
    <row r="7" spans="1:6">
      <c r="A7" s="49" t="s">
        <v>892</v>
      </c>
      <c r="B7" s="106">
        <f>INDEX('Team forecast'!$B$2:$AO$26,MATCH('Expected Clean Sheets'!$A7,'Team forecast'!$B$2:$B$26,0),MATCH(B$1,'Team forecast'!$B$2:$AO$2,0))</f>
        <v>0.33635614179719708</v>
      </c>
      <c r="C7" s="106">
        <f>INDEX('Team forecast'!$B$2:$AO$26,MATCH('Expected Clean Sheets'!$A7,'Team forecast'!$B$2:$B$26,0),MATCH(C$1,'Team forecast'!$B$2:$AO$2,0))</f>
        <v>0.41746111389864532</v>
      </c>
      <c r="D7" s="106">
        <f>INDEX('Team forecast'!$B$2:$AO$26,MATCH('Expected Clean Sheets'!$A7,'Team forecast'!$B$2:$B$26,0),MATCH(D$1,'Team forecast'!$B$2:$AO$2,0))</f>
        <v>0.77521228890373051</v>
      </c>
      <c r="E7" s="106">
        <f>INDEX('Team forecast'!$B$2:$AO$26,MATCH('Expected Clean Sheets'!$A7,'Team forecast'!$B$2:$B$26,0),MATCH(E$1,'Team forecast'!$B$2:$AO$2,0))</f>
        <v>0.89045479826077722</v>
      </c>
      <c r="F7" s="106">
        <f>INDEX('Team forecast'!$B$2:$AO$26,MATCH('Expected Clean Sheets'!$A7,'Team forecast'!$B$2:$B$26,0),MATCH(F$1,'Team forecast'!$B$2:$AO$2,0))</f>
        <v>9.5000000000000001E-2</v>
      </c>
    </row>
    <row r="8" spans="1:6">
      <c r="A8" s="49" t="s">
        <v>870</v>
      </c>
      <c r="B8" s="106">
        <f>INDEX('Team forecast'!$B$2:$AO$26,MATCH('Expected Clean Sheets'!$A8,'Team forecast'!$B$2:$B$26,0),MATCH(B$1,'Team forecast'!$B$2:$AO$2,0))</f>
        <v>0.1187365958276467</v>
      </c>
      <c r="C8" s="106">
        <f>INDEX('Team forecast'!$B$2:$AO$26,MATCH('Expected Clean Sheets'!$A8,'Team forecast'!$B$2:$B$26,0),MATCH(C$1,'Team forecast'!$B$2:$AO$2,0))</f>
        <v>0.17854792717701251</v>
      </c>
      <c r="D8" s="106">
        <f>INDEX('Team forecast'!$B$2:$AO$26,MATCH('Expected Clean Sheets'!$A8,'Team forecast'!$B$2:$B$26,0),MATCH(D$1,'Team forecast'!$B$2:$AO$2,0))</f>
        <v>6.2182766779236023E-2</v>
      </c>
      <c r="E8" s="106">
        <f>INDEX('Team forecast'!$B$2:$AO$26,MATCH('Expected Clean Sheets'!$A8,'Team forecast'!$B$2:$B$26,0),MATCH(E$1,'Team forecast'!$B$2:$AO$2,0))</f>
        <v>0.27069825867127623</v>
      </c>
      <c r="F8" s="106">
        <f>INDEX('Team forecast'!$B$2:$AO$26,MATCH('Expected Clean Sheets'!$A8,'Team forecast'!$B$2:$B$26,0),MATCH(F$1,'Team forecast'!$B$2:$AO$2,0))</f>
        <v>1.2337662337662341E-3</v>
      </c>
    </row>
    <row r="9" spans="1:6">
      <c r="A9" s="49" t="s">
        <v>886</v>
      </c>
      <c r="B9" s="106">
        <f>INDEX('Team forecast'!$B$2:$AO$26,MATCH('Expected Clean Sheets'!$A9,'Team forecast'!$B$2:$B$26,0),MATCH(B$1,'Team forecast'!$B$2:$AO$2,0))</f>
        <v>0.11906893464637421</v>
      </c>
      <c r="C9" s="106">
        <f>INDEX('Team forecast'!$B$2:$AO$26,MATCH('Expected Clean Sheets'!$A9,'Team forecast'!$B$2:$B$26,0),MATCH(C$1,'Team forecast'!$B$2:$AO$2,0))</f>
        <v>0.5072616073735895</v>
      </c>
      <c r="D9" s="106">
        <f>INDEX('Team forecast'!$B$2:$AO$26,MATCH('Expected Clean Sheets'!$A9,'Team forecast'!$B$2:$B$26,0),MATCH(D$1,'Team forecast'!$B$2:$AO$2,0))</f>
        <v>0.37488789237668158</v>
      </c>
      <c r="E9" s="106">
        <f>INDEX('Team forecast'!$B$2:$AO$26,MATCH('Expected Clean Sheets'!$A9,'Team forecast'!$B$2:$B$26,0),MATCH(E$1,'Team forecast'!$B$2:$AO$2,0))</f>
        <v>0.65491514194663603</v>
      </c>
      <c r="F9" s="106">
        <f>INDEX('Team forecast'!$B$2:$AO$26,MATCH('Expected Clean Sheets'!$A9,'Team forecast'!$B$2:$B$26,0),MATCH(F$1,'Team forecast'!$B$2:$AO$2,0))</f>
        <v>7.9166666666666656E-3</v>
      </c>
    </row>
    <row r="10" spans="1:6">
      <c r="A10" s="49" t="s">
        <v>865</v>
      </c>
      <c r="B10" s="106">
        <f>INDEX('Team forecast'!$B$2:$AO$26,MATCH('Expected Clean Sheets'!$A10,'Team forecast'!$B$2:$B$26,0),MATCH(B$1,'Team forecast'!$B$2:$AO$2,0))</f>
        <v>0.2607079992176804</v>
      </c>
      <c r="C10" s="106">
        <f>INDEX('Team forecast'!$B$2:$AO$26,MATCH('Expected Clean Sheets'!$A10,'Team forecast'!$B$2:$B$26,0),MATCH(C$1,'Team forecast'!$B$2:$AO$2,0))</f>
        <v>0.26882144264879793</v>
      </c>
      <c r="D10" s="106">
        <f>INDEX('Team forecast'!$B$2:$AO$26,MATCH('Expected Clean Sheets'!$A10,'Team forecast'!$B$2:$B$26,0),MATCH(D$1,'Team forecast'!$B$2:$AO$2,0))</f>
        <v>0.1088752653105842</v>
      </c>
      <c r="E10" s="106">
        <f>INDEX('Team forecast'!$B$2:$AO$26,MATCH('Expected Clean Sheets'!$A10,'Team forecast'!$B$2:$B$26,0),MATCH(E$1,'Team forecast'!$B$2:$AO$2,0))</f>
        <v>0.49277595631907084</v>
      </c>
      <c r="F10" s="106">
        <f>INDEX('Team forecast'!$B$2:$AO$26,MATCH('Expected Clean Sheets'!$A10,'Team forecast'!$B$2:$B$26,0),MATCH(F$1,'Team forecast'!$B$2:$AO$2,0))</f>
        <v>3.9419087136929459E-3</v>
      </c>
    </row>
    <row r="11" spans="1:6">
      <c r="A11" s="49" t="s">
        <v>866</v>
      </c>
      <c r="B11" s="106">
        <f>INDEX('Team forecast'!$B$2:$AO$26,MATCH('Expected Clean Sheets'!$A11,'Team forecast'!$B$2:$B$26,0),MATCH(B$1,'Team forecast'!$B$2:$AO$2,0))</f>
        <v>0.43653432427146488</v>
      </c>
      <c r="C11" s="106">
        <f>INDEX('Team forecast'!$B$2:$AO$26,MATCH('Expected Clean Sheets'!$A11,'Team forecast'!$B$2:$B$26,0),MATCH(C$1,'Team forecast'!$B$2:$AO$2,0))</f>
        <v>0.1722141823444284</v>
      </c>
      <c r="D11" s="106">
        <f>INDEX('Team forecast'!$B$2:$AO$26,MATCH('Expected Clean Sheets'!$A11,'Team forecast'!$B$2:$B$26,0),MATCH(D$1,'Team forecast'!$B$2:$AO$2,0))</f>
        <v>0.38980035580154171</v>
      </c>
      <c r="E11" s="106">
        <f>INDEX('Team forecast'!$B$2:$AO$26,MATCH('Expected Clean Sheets'!$A11,'Team forecast'!$B$2:$B$26,0),MATCH(E$1,'Team forecast'!$B$2:$AO$2,0))</f>
        <v>0.63843928931904781</v>
      </c>
      <c r="F11" s="106">
        <f>INDEX('Team forecast'!$B$2:$AO$26,MATCH('Expected Clean Sheets'!$A11,'Team forecast'!$B$2:$B$26,0),MATCH(F$1,'Team forecast'!$B$2:$AO$2,0))</f>
        <v>1.1728395061728391E-2</v>
      </c>
    </row>
    <row r="12" spans="1:6">
      <c r="A12" s="49" t="s">
        <v>894</v>
      </c>
      <c r="B12" s="106">
        <f>INDEX('Team forecast'!$B$2:$AO$26,MATCH('Expected Clean Sheets'!$A12,'Team forecast'!$B$2:$B$26,0),MATCH(B$1,'Team forecast'!$B$2:$AO$2,0))</f>
        <v>0.15818639798488671</v>
      </c>
      <c r="C12" s="106">
        <f>INDEX('Team forecast'!$B$2:$AO$26,MATCH('Expected Clean Sheets'!$A12,'Team forecast'!$B$2:$B$26,0),MATCH(C$1,'Team forecast'!$B$2:$AO$2,0))</f>
        <v>0.15584415584415581</v>
      </c>
      <c r="D12" s="106">
        <f>INDEX('Team forecast'!$B$2:$AO$26,MATCH('Expected Clean Sheets'!$A12,'Team forecast'!$B$2:$B$26,0),MATCH(D$1,'Team forecast'!$B$2:$AO$2,0))</f>
        <v>6.2423699845365013E-2</v>
      </c>
      <c r="E12" s="106">
        <f>INDEX('Team forecast'!$B$2:$AO$26,MATCH('Expected Clean Sheets'!$A12,'Team forecast'!$B$2:$B$26,0),MATCH(E$1,'Team forecast'!$B$2:$AO$2,0))</f>
        <v>0.25377961750432149</v>
      </c>
      <c r="F12" s="106">
        <f>INDEX('Team forecast'!$B$2:$AO$26,MATCH('Expected Clean Sheets'!$A12,'Team forecast'!$B$2:$B$26,0),MATCH(F$1,'Team forecast'!$B$2:$AO$2,0))</f>
        <v>1.3552068473609131E-3</v>
      </c>
    </row>
    <row r="13" spans="1:6">
      <c r="A13" s="49" t="s">
        <v>891</v>
      </c>
      <c r="B13" s="106">
        <f>INDEX('Team forecast'!$B$2:$AO$26,MATCH('Expected Clean Sheets'!$A13,'Team forecast'!$B$2:$B$26,0),MATCH(B$1,'Team forecast'!$B$2:$AO$2,0))</f>
        <v>0.36933223413025562</v>
      </c>
      <c r="C13" s="106">
        <f>INDEX('Team forecast'!$B$2:$AO$26,MATCH('Expected Clean Sheets'!$A13,'Team forecast'!$B$2:$B$26,0),MATCH(C$1,'Team forecast'!$B$2:$AO$2,0))</f>
        <v>0.67202877645297354</v>
      </c>
      <c r="D13" s="106">
        <f>INDEX('Team forecast'!$B$2:$AO$26,MATCH('Expected Clean Sheets'!$A13,'Team forecast'!$B$2:$B$26,0),MATCH(D$1,'Team forecast'!$B$2:$AO$2,0))</f>
        <v>0.4108150165337483</v>
      </c>
      <c r="E13" s="106">
        <f>INDEX('Team forecast'!$B$2:$AO$26,MATCH('Expected Clean Sheets'!$A13,'Team forecast'!$B$2:$B$26,0),MATCH(E$1,'Team forecast'!$B$2:$AO$2,0))</f>
        <v>0.88271171305850959</v>
      </c>
      <c r="F13" s="106">
        <f>INDEX('Team forecast'!$B$2:$AO$26,MATCH('Expected Clean Sheets'!$A13,'Team forecast'!$B$2:$B$26,0),MATCH(F$1,'Team forecast'!$B$2:$AO$2,0))</f>
        <v>0.15322580645161291</v>
      </c>
    </row>
    <row r="14" spans="1:6">
      <c r="A14" s="49" t="s">
        <v>896</v>
      </c>
      <c r="B14" s="106">
        <f>INDEX('Team forecast'!$B$2:$AO$26,MATCH('Expected Clean Sheets'!$A14,'Team forecast'!$B$2:$B$26,0),MATCH(B$1,'Team forecast'!$B$2:$AO$2,0))</f>
        <v>0.18622848200312991</v>
      </c>
      <c r="C14" s="106">
        <f>INDEX('Team forecast'!$B$2:$AO$26,MATCH('Expected Clean Sheets'!$A14,'Team forecast'!$B$2:$B$26,0),MATCH(C$1,'Team forecast'!$B$2:$AO$2,0))</f>
        <v>0.21672840037901631</v>
      </c>
      <c r="D14" s="106">
        <f>INDEX('Team forecast'!$B$2:$AO$26,MATCH('Expected Clean Sheets'!$A14,'Team forecast'!$B$2:$B$26,0),MATCH(D$1,'Team forecast'!$B$2:$AO$2,0))</f>
        <v>6.8027210884353734E-2</v>
      </c>
      <c r="E14" s="106">
        <f>INDEX('Team forecast'!$B$2:$AO$26,MATCH('Expected Clean Sheets'!$A14,'Team forecast'!$B$2:$B$26,0),MATCH(E$1,'Team forecast'!$B$2:$AO$2,0))</f>
        <v>0.33837282333909535</v>
      </c>
      <c r="F14" s="106">
        <f>INDEX('Team forecast'!$B$2:$AO$26,MATCH('Expected Clean Sheets'!$A14,'Team forecast'!$B$2:$B$26,0),MATCH(F$1,'Team forecast'!$B$2:$AO$2,0))</f>
        <v>1.079545454545455E-3</v>
      </c>
    </row>
    <row r="15" spans="1:6">
      <c r="A15" s="49" t="s">
        <v>897</v>
      </c>
      <c r="B15" s="106">
        <f>INDEX('Team forecast'!$B$2:$AO$26,MATCH('Expected Clean Sheets'!$A15,'Team forecast'!$B$2:$B$26,0),MATCH(B$1,'Team forecast'!$B$2:$AO$2,0))</f>
        <v>0.1348314606741573</v>
      </c>
      <c r="C15" s="106">
        <f>INDEX('Team forecast'!$B$2:$AO$26,MATCH('Expected Clean Sheets'!$A15,'Team forecast'!$B$2:$B$26,0),MATCH(C$1,'Team forecast'!$B$2:$AO$2,0))</f>
        <v>0.1106870925922545</v>
      </c>
      <c r="D15" s="106">
        <f>INDEX('Team forecast'!$B$2:$AO$26,MATCH('Expected Clean Sheets'!$A15,'Team forecast'!$B$2:$B$26,0),MATCH(D$1,'Team forecast'!$B$2:$AO$2,0))</f>
        <v>7.6901059059250057E-2</v>
      </c>
      <c r="E15" s="106">
        <f>INDEX('Team forecast'!$B$2:$AO$26,MATCH('Expected Clean Sheets'!$A15,'Team forecast'!$B$2:$B$26,0),MATCH(E$1,'Team forecast'!$B$2:$AO$2,0))</f>
        <v>0.16918641166954762</v>
      </c>
      <c r="F15" s="106">
        <f>INDEX('Team forecast'!$B$2:$AO$26,MATCH('Expected Clean Sheets'!$A15,'Team forecast'!$B$2:$B$26,0),MATCH(F$1,'Team forecast'!$B$2:$AO$2,0))</f>
        <v>1.18601747815231E-3</v>
      </c>
    </row>
    <row r="16" spans="1:6">
      <c r="A16" s="49" t="s">
        <v>879</v>
      </c>
      <c r="B16" s="106">
        <f>INDEX('Team forecast'!$B$2:$AO$26,MATCH('Expected Clean Sheets'!$A16,'Team forecast'!$B$2:$B$26,0),MATCH(B$1,'Team forecast'!$B$2:$AO$2,0))</f>
        <v>0.56576277966682864</v>
      </c>
      <c r="C16" s="106">
        <f>INDEX('Team forecast'!$B$2:$AO$26,MATCH('Expected Clean Sheets'!$A16,'Team forecast'!$B$2:$B$26,0),MATCH(C$1,'Team forecast'!$B$2:$AO$2,0))</f>
        <v>0.69185952419485341</v>
      </c>
      <c r="D16" s="106">
        <f>INDEX('Team forecast'!$B$2:$AO$26,MATCH('Expected Clean Sheets'!$A16,'Team forecast'!$B$2:$B$26,0),MATCH(D$1,'Team forecast'!$B$2:$AO$2,0))</f>
        <v>0.66433566433566427</v>
      </c>
      <c r="E16" s="106">
        <f>INDEX('Team forecast'!$B$2:$AO$26,MATCH('Expected Clean Sheets'!$A16,'Team forecast'!$B$2:$B$26,0),MATCH(E$1,'Team forecast'!$B$2:$AO$2,0))</f>
        <v>0.9576589339785716</v>
      </c>
      <c r="F16" s="106">
        <f>INDEX('Team forecast'!$B$2:$AO$26,MATCH('Expected Clean Sheets'!$A16,'Team forecast'!$B$2:$B$26,0),MATCH(F$1,'Team forecast'!$B$2:$AO$2,0))</f>
        <v>0.14615384615384611</v>
      </c>
    </row>
    <row r="17" spans="1:6">
      <c r="A17" s="49" t="s">
        <v>862</v>
      </c>
      <c r="B17" s="106">
        <f>INDEX('Team forecast'!$B$2:$AO$26,MATCH('Expected Clean Sheets'!$A17,'Team forecast'!$B$2:$B$26,0),MATCH(B$1,'Team forecast'!$B$2:$AO$2,0))</f>
        <v>0.13590216889709281</v>
      </c>
      <c r="C17" s="106">
        <f>INDEX('Team forecast'!$B$2:$AO$26,MATCH('Expected Clean Sheets'!$A17,'Team forecast'!$B$2:$B$26,0),MATCH(C$1,'Team forecast'!$B$2:$AO$2,0))</f>
        <v>0.42767047694126931</v>
      </c>
      <c r="D17" s="106">
        <f>INDEX('Team forecast'!$B$2:$AO$26,MATCH('Expected Clean Sheets'!$A17,'Team forecast'!$B$2:$B$26,0),MATCH(D$1,'Team forecast'!$B$2:$AO$2,0))</f>
        <v>0.32931409369440601</v>
      </c>
      <c r="E17" s="106">
        <f>INDEX('Team forecast'!$B$2:$AO$26,MATCH('Expected Clean Sheets'!$A17,'Team forecast'!$B$2:$B$26,0),MATCH(E$1,'Team forecast'!$B$2:$AO$2,0))</f>
        <v>0.6042371845340988</v>
      </c>
      <c r="F17" s="106">
        <f>INDEX('Team forecast'!$B$2:$AO$26,MATCH('Expected Clean Sheets'!$A17,'Team forecast'!$B$2:$B$26,0),MATCH(F$1,'Team forecast'!$B$2:$AO$2,0))</f>
        <v>1.1176470588235289E-2</v>
      </c>
    </row>
    <row r="18" spans="1:6">
      <c r="A18" s="49" t="s">
        <v>882</v>
      </c>
      <c r="B18" s="106">
        <f>INDEX('Team forecast'!$B$2:$AO$26,MATCH('Expected Clean Sheets'!$A18,'Team forecast'!$B$2:$B$26,0),MATCH(B$1,'Team forecast'!$B$2:$AO$2,0))</f>
        <v>0.35925176528884672</v>
      </c>
      <c r="C18" s="106">
        <f>INDEX('Team forecast'!$B$2:$AO$26,MATCH('Expected Clean Sheets'!$A18,'Team forecast'!$B$2:$B$26,0),MATCH(C$1,'Team forecast'!$B$2:$AO$2,0))</f>
        <v>0.26829268292682928</v>
      </c>
      <c r="D18" s="106">
        <f>INDEX('Team forecast'!$B$2:$AO$26,MATCH('Expected Clean Sheets'!$A18,'Team forecast'!$B$2:$B$26,0),MATCH(D$1,'Team forecast'!$B$2:$AO$2,0))</f>
        <v>0.13286713286713289</v>
      </c>
      <c r="E18" s="106">
        <f>INDEX('Team forecast'!$B$2:$AO$26,MATCH('Expected Clean Sheets'!$A18,'Team forecast'!$B$2:$B$26,0),MATCH(E$1,'Team forecast'!$B$2:$AO$2,0))</f>
        <v>0.50755923500864297</v>
      </c>
      <c r="F18" s="106">
        <f>INDEX('Team forecast'!$B$2:$AO$26,MATCH('Expected Clean Sheets'!$A18,'Team forecast'!$B$2:$B$26,0),MATCH(F$1,'Team forecast'!$B$2:$AO$2,0))</f>
        <v>5.2777777777777779E-3</v>
      </c>
    </row>
    <row r="19" spans="1:6">
      <c r="A19" s="49" t="s">
        <v>863</v>
      </c>
      <c r="B19" s="106">
        <f>INDEX('Team forecast'!$B$2:$AO$26,MATCH('Expected Clean Sheets'!$A19,'Team forecast'!$B$2:$B$26,0),MATCH(B$1,'Team forecast'!$B$2:$AO$2,0))</f>
        <v>0.61375173050299947</v>
      </c>
      <c r="C19" s="106">
        <f>INDEX('Team forecast'!$B$2:$AO$26,MATCH('Expected Clean Sheets'!$A19,'Team forecast'!$B$2:$B$26,0),MATCH(C$1,'Team forecast'!$B$2:$AO$2,0))</f>
        <v>0.55716353111432715</v>
      </c>
      <c r="D19" s="106">
        <f>INDEX('Team forecast'!$B$2:$AO$26,MATCH('Expected Clean Sheets'!$A19,'Team forecast'!$B$2:$B$26,0),MATCH(D$1,'Team forecast'!$B$2:$AO$2,0))</f>
        <v>0.66156845240806372</v>
      </c>
      <c r="E19" s="106">
        <f>INDEX('Team forecast'!$B$2:$AO$26,MATCH('Expected Clean Sheets'!$A19,'Team forecast'!$B$2:$B$26,0),MATCH(E$1,'Team forecast'!$B$2:$AO$2,0))</f>
        <v>0.9576589339785716</v>
      </c>
      <c r="F19" s="106">
        <f>INDEX('Team forecast'!$B$2:$AO$26,MATCH('Expected Clean Sheets'!$A19,'Team forecast'!$B$2:$B$26,0),MATCH(F$1,'Team forecast'!$B$2:$AO$2,0))</f>
        <v>7.9166666666666663E-2</v>
      </c>
    </row>
    <row r="20" spans="1:6">
      <c r="A20" s="49" t="s">
        <v>888</v>
      </c>
      <c r="B20" s="106">
        <f>INDEX('Team forecast'!$B$2:$AO$26,MATCH('Expected Clean Sheets'!$A20,'Team forecast'!$B$2:$B$26,0),MATCH(B$1,'Team forecast'!$B$2:$AO$2,0))</f>
        <v>0.54773082942097018</v>
      </c>
      <c r="C20" s="106">
        <f>INDEX('Team forecast'!$B$2:$AO$26,MATCH('Expected Clean Sheets'!$A20,'Team forecast'!$B$2:$B$26,0),MATCH(C$1,'Team forecast'!$B$2:$AO$2,0))</f>
        <v>0.14078935072216969</v>
      </c>
      <c r="D20" s="106">
        <f>INDEX('Team forecast'!$B$2:$AO$26,MATCH('Expected Clean Sheets'!$A20,'Team forecast'!$B$2:$B$26,0),MATCH(D$1,'Team forecast'!$B$2:$AO$2,0))</f>
        <v>0.3354260089686098</v>
      </c>
      <c r="E20" s="106">
        <f>INDEX('Team forecast'!$B$2:$AO$26,MATCH('Expected Clean Sheets'!$A20,'Team forecast'!$B$2:$B$26,0),MATCH(E$1,'Team forecast'!$B$2:$AO$2,0))</f>
        <v>0.66347612419430457</v>
      </c>
      <c r="F20" s="106">
        <f>INDEX('Team forecast'!$B$2:$AO$26,MATCH('Expected Clean Sheets'!$A20,'Team forecast'!$B$2:$B$26,0),MATCH(F$1,'Team forecast'!$B$2:$AO$2,0))</f>
        <v>9.4999999999999998E-3</v>
      </c>
    </row>
    <row r="21" spans="1:6">
      <c r="A21" s="51" t="s">
        <v>885</v>
      </c>
      <c r="B21" s="106">
        <f>INDEX('Team forecast'!$B$2:$AO$26,MATCH('Expected Clean Sheets'!$A21,'Team forecast'!$B$2:$B$26,0),MATCH(B$1,'Team forecast'!$B$2:$AO$2,0))</f>
        <v>0.68039391226499568</v>
      </c>
      <c r="C21" s="106">
        <f>INDEX('Team forecast'!$B$2:$AO$26,MATCH('Expected Clean Sheets'!$A21,'Team forecast'!$B$2:$B$26,0),MATCH(C$1,'Team forecast'!$B$2:$AO$2,0))</f>
        <v>0.64725305533346478</v>
      </c>
      <c r="D21" s="106">
        <f>INDEX('Team forecast'!$B$2:$AO$26,MATCH('Expected Clean Sheets'!$A21,'Team forecast'!$B$2:$B$26,0),MATCH(D$1,'Team forecast'!$B$2:$AO$2,0))</f>
        <v>0.76190476190476186</v>
      </c>
      <c r="E21" s="106">
        <f>INDEX('Team forecast'!$B$2:$AO$26,MATCH('Expected Clean Sheets'!$A21,'Team forecast'!$B$2:$B$26,0),MATCH(E$1,'Team forecast'!$B$2:$AO$2,0))</f>
        <v>0.96677949525455797</v>
      </c>
      <c r="F21" s="106">
        <f>INDEX('Team forecast'!$B$2:$AO$26,MATCH('Expected Clean Sheets'!$A21,'Team forecast'!$B$2:$B$26,0),MATCH(F$1,'Team forecast'!$B$2:$AO$2,0))</f>
        <v>9.5000000000000001E-2</v>
      </c>
    </row>
    <row r="22" spans="1:6">
      <c r="A22" t="s">
        <v>871</v>
      </c>
      <c r="B22" s="106">
        <f>INDEX('Team forecast'!$B$2:$AO$26,MATCH('Expected Clean Sheets'!$A22,'Team forecast'!$B$2:$B$26,0),MATCH(B$1,'Team forecast'!$B$2:$AO$2,0))</f>
        <v>0.58357649020425184</v>
      </c>
      <c r="C22" s="106">
        <f>INDEX('Team forecast'!$B$2:$AO$26,MATCH('Expected Clean Sheets'!$A22,'Team forecast'!$B$2:$B$26,0),MATCH(C$1,'Team forecast'!$B$2:$AO$2,0))</f>
        <v>0.46975354742345032</v>
      </c>
      <c r="D22" s="106">
        <f>INDEX('Team forecast'!$B$2:$AO$26,MATCH('Expected Clean Sheets'!$A22,'Team forecast'!$B$2:$B$26,0),MATCH(D$1,'Team forecast'!$B$2:$AO$2,0))</f>
        <v>0.78360397160825879</v>
      </c>
      <c r="E22" s="106">
        <f>INDEX('Team forecast'!$B$2:$AO$26,MATCH('Expected Clean Sheets'!$A22,'Team forecast'!$B$2:$B$26,0),MATCH(E$1,'Team forecast'!$B$2:$AO$2,0))</f>
        <v>0.9576589339785716</v>
      </c>
      <c r="F22" s="106">
        <f>INDEX('Team forecast'!$B$2:$AO$26,MATCH('Expected Clean Sheets'!$A22,'Team forecast'!$B$2:$B$26,0),MATCH(F$1,'Team forecast'!$B$2:$AO$2,0))</f>
        <v>0.1130952380952381</v>
      </c>
    </row>
    <row r="23" spans="1:6">
      <c r="A23" t="s">
        <v>893</v>
      </c>
      <c r="B23" s="106">
        <f>INDEX('Team forecast'!$B$2:$AO$26,MATCH('Expected Clean Sheets'!$A23,'Team forecast'!$B$2:$B$26,0),MATCH(B$1,'Team forecast'!$B$2:$AO$2,0))</f>
        <v>0.6292134831460674</v>
      </c>
      <c r="C23" s="106">
        <f>INDEX('Team forecast'!$B$2:$AO$26,MATCH('Expected Clean Sheets'!$A23,'Team forecast'!$B$2:$B$26,0),MATCH(C$1,'Team forecast'!$B$2:$AO$2,0))</f>
        <v>0.28901154039136978</v>
      </c>
      <c r="D23" s="106">
        <f>INDEX('Team forecast'!$B$2:$AO$26,MATCH('Expected Clean Sheets'!$A23,'Team forecast'!$B$2:$B$26,0),MATCH(D$1,'Team forecast'!$B$2:$AO$2,0))</f>
        <v>0.29006029955261631</v>
      </c>
      <c r="E23" s="106">
        <f>INDEX('Team forecast'!$B$2:$AO$26,MATCH('Expected Clean Sheets'!$A23,'Team forecast'!$B$2:$B$26,0),MATCH(E$1,'Team forecast'!$B$2:$AO$2,0))</f>
        <v>0.75193960742021171</v>
      </c>
      <c r="F23" s="106">
        <f>INDEX('Team forecast'!$B$2:$AO$26,MATCH('Expected Clean Sheets'!$A23,'Team forecast'!$B$2:$B$26,0),MATCH(F$1,'Team forecast'!$B$2:$AO$2,0))</f>
        <v>8.6363636363636365E-2</v>
      </c>
    </row>
    <row r="24" spans="1:6">
      <c r="A24" t="s">
        <v>880</v>
      </c>
      <c r="B24" s="106">
        <f>INDEX('Team forecast'!$B$2:$AO$26,MATCH('Expected Clean Sheets'!$A24,'Team forecast'!$B$2:$B$26,0),MATCH(B$1,'Team forecast'!$B$2:$AO$2,0))</f>
        <v>0.17178615309883699</v>
      </c>
      <c r="C24" s="106">
        <f>INDEX('Team forecast'!$B$2:$AO$26,MATCH('Expected Clean Sheets'!$A24,'Team forecast'!$B$2:$B$26,0),MATCH(C$1,'Team forecast'!$B$2:$AO$2,0))</f>
        <v>0.44715447154471538</v>
      </c>
      <c r="D24" s="106">
        <f>INDEX('Team forecast'!$B$2:$AO$26,MATCH('Expected Clean Sheets'!$A24,'Team forecast'!$B$2:$B$26,0),MATCH(D$1,'Team forecast'!$B$2:$AO$2,0))</f>
        <v>0.51740154075307909</v>
      </c>
      <c r="E24" s="106">
        <f>INDEX('Team forecast'!$B$2:$AO$26,MATCH('Expected Clean Sheets'!$A24,'Team forecast'!$B$2:$B$26,0),MATCH(E$1,'Team forecast'!$B$2:$AO$2,0))</f>
        <v>0.74641063971859256</v>
      </c>
      <c r="F24" s="106">
        <f>INDEX('Team forecast'!$B$2:$AO$26,MATCH('Expected Clean Sheets'!$A24,'Team forecast'!$B$2:$B$26,0),MATCH(F$1,'Team forecast'!$B$2:$AO$2,0))</f>
        <v>1.9E-2</v>
      </c>
    </row>
    <row r="25" spans="1:6">
      <c r="A25" t="s">
        <v>877</v>
      </c>
      <c r="B25" s="106">
        <f>INDEX('Team forecast'!$B$2:$AO$26,MATCH('Expected Clean Sheets'!$A25,'Team forecast'!$B$2:$B$26,0),MATCH(B$1,'Team forecast'!$B$2:$AO$2,0))</f>
        <v>0.15584415584415581</v>
      </c>
      <c r="C25" s="106">
        <f>INDEX('Team forecast'!$B$2:$AO$26,MATCH('Expected Clean Sheets'!$A25,'Team forecast'!$B$2:$B$26,0),MATCH(C$1,'Team forecast'!$B$2:$AO$2,0))</f>
        <v>0.58441558441558439</v>
      </c>
      <c r="D25" s="106">
        <f>INDEX('Team forecast'!$B$2:$AO$26,MATCH('Expected Clean Sheets'!$A25,'Team forecast'!$B$2:$B$26,0),MATCH(D$1,'Team forecast'!$B$2:$AO$2,0))</f>
        <v>0.34675390035228992</v>
      </c>
      <c r="E25" s="106">
        <f>INDEX('Team forecast'!$B$2:$AO$26,MATCH('Expected Clean Sheets'!$A25,'Team forecast'!$B$2:$B$26,0),MATCH(E$1,'Team forecast'!$B$2:$AO$2,0))</f>
        <v>0.74641063971859256</v>
      </c>
      <c r="F25" s="106">
        <f>INDEX('Team forecast'!$B$2:$AO$26,MATCH('Expected Clean Sheets'!$A25,'Team forecast'!$B$2:$B$26,0),MATCH(F$1,'Team forecast'!$B$2:$AO$2,0))</f>
        <v>6.7375886524822688E-3</v>
      </c>
    </row>
  </sheetData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tabSelected="1" workbookViewId="0">
      <selection activeCell="I14" sqref="I14"/>
    </sheetView>
  </sheetViews>
  <sheetFormatPr defaultRowHeight="15.75"/>
  <sheetData>
    <row r="1" spans="1:7" ht="31.5">
      <c r="A1" s="44" t="s">
        <v>385</v>
      </c>
      <c r="B1" s="59" t="s">
        <v>784</v>
      </c>
      <c r="C1" s="59" t="s">
        <v>489</v>
      </c>
      <c r="D1" s="59" t="s">
        <v>5233</v>
      </c>
      <c r="E1" s="59" t="s">
        <v>775</v>
      </c>
      <c r="F1" s="59" t="s">
        <v>776</v>
      </c>
      <c r="G1" s="59" t="s">
        <v>777</v>
      </c>
    </row>
    <row r="2" spans="1:7">
      <c r="A2" s="47" t="s">
        <v>869</v>
      </c>
      <c r="B2" s="102">
        <f>INDEX('Team forecast'!$B$2:$AO$26,MATCH('Expected Clean Sheets'!$A2,'Team forecast'!$B$2:$B$26,0),MATCH(B$1,'Team forecast'!$B$2:$AO$2,0))</f>
        <v>1.6608440904336361</v>
      </c>
      <c r="C2" s="102">
        <f>INDEX('Team forecast'!$B$2:$AO$26,MATCH('Expected Clean Sheets'!$A2,'Team forecast'!$B$2:$B$26,0),MATCH(C$1,'Team forecast'!$B$2:$AO$2,0))</f>
        <v>1.1610121970988967</v>
      </c>
      <c r="D2" s="102">
        <f>INDEX('Team forecast'!$B$2:$AO$26,MATCH('Expected Clean Sheets'!$A2,'Team forecast'!$B$2:$B$26,0),MATCH(D$1,'Team forecast'!$B$2:$AO$2,0))</f>
        <v>1.5053002864585165</v>
      </c>
      <c r="E2" s="2">
        <f>AVERAGE(B2:D2)</f>
        <v>1.442385524663683</v>
      </c>
      <c r="F2" s="2">
        <f>+MIN(B2:D2)</f>
        <v>1.1610121970988967</v>
      </c>
      <c r="G2" s="2">
        <f>+MAX(B2:D2)</f>
        <v>1.6608440904336361</v>
      </c>
    </row>
    <row r="3" spans="1:7">
      <c r="A3" s="49" t="s">
        <v>895</v>
      </c>
      <c r="B3" s="102">
        <f>INDEX('Team forecast'!$B$2:$AO$26,MATCH('Expected Clean Sheets'!$A3,'Team forecast'!$B$2:$B$26,0),MATCH(B$1,'Team forecast'!$B$2:$AO$2,0))</f>
        <v>1.0237318402178264</v>
      </c>
      <c r="C3" s="102">
        <f>INDEX('Team forecast'!$B$2:$AO$26,MATCH('Expected Clean Sheets'!$A3,'Team forecast'!$B$2:$B$26,0),MATCH(C$1,'Team forecast'!$B$2:$AO$2,0))</f>
        <v>0.66520361079548807</v>
      </c>
      <c r="D3" s="102">
        <f>INDEX('Team forecast'!$B$2:$AO$26,MATCH('Expected Clean Sheets'!$A3,'Team forecast'!$B$2:$B$26,0),MATCH(D$1,'Team forecast'!$B$2:$AO$2,0))</f>
        <v>0.82681690399773144</v>
      </c>
      <c r="E3" s="2">
        <f t="shared" ref="E3:E25" si="0">AVERAGE(B3:D3)</f>
        <v>0.83858411833701529</v>
      </c>
      <c r="F3" s="2">
        <f t="shared" ref="F3:F25" si="1">+MIN(B3:D3)</f>
        <v>0.66520361079548807</v>
      </c>
      <c r="G3" s="2">
        <f t="shared" ref="G3:G25" si="2">+MAX(B3:D3)</f>
        <v>1.0237318402178264</v>
      </c>
    </row>
    <row r="4" spans="1:7">
      <c r="A4" s="49" t="s">
        <v>876</v>
      </c>
      <c r="B4" s="102">
        <f>INDEX('Team forecast'!$B$2:$AO$26,MATCH('Expected Clean Sheets'!$A4,'Team forecast'!$B$2:$B$26,0),MATCH(B$1,'Team forecast'!$B$2:$AO$2,0))</f>
        <v>1.5712166996139025</v>
      </c>
      <c r="C4" s="102">
        <f>INDEX('Team forecast'!$B$2:$AO$26,MATCH('Expected Clean Sheets'!$A4,'Team forecast'!$B$2:$B$26,0),MATCH(C$1,'Team forecast'!$B$2:$AO$2,0))</f>
        <v>1.8476112368050062</v>
      </c>
      <c r="D4" s="102">
        <f>INDEX('Team forecast'!$B$2:$AO$26,MATCH('Expected Clean Sheets'!$A4,'Team forecast'!$B$2:$B$26,0),MATCH(D$1,'Team forecast'!$B$2:$AO$2,0))</f>
        <v>2.3683451623921505</v>
      </c>
      <c r="E4" s="2">
        <f t="shared" si="0"/>
        <v>1.9290576996036866</v>
      </c>
      <c r="F4" s="2">
        <f t="shared" si="1"/>
        <v>1.5712166996139025</v>
      </c>
      <c r="G4" s="2">
        <f t="shared" si="2"/>
        <v>2.3683451623921505</v>
      </c>
    </row>
    <row r="5" spans="1:7">
      <c r="A5" s="49" t="s">
        <v>878</v>
      </c>
      <c r="B5" s="102">
        <f>INDEX('Team forecast'!$B$2:$AO$26,MATCH('Expected Clean Sheets'!$A5,'Team forecast'!$B$2:$B$26,0),MATCH(B$1,'Team forecast'!$B$2:$AO$2,0))</f>
        <v>1.5562991347612565</v>
      </c>
      <c r="C5" s="102">
        <f>INDEX('Team forecast'!$B$2:$AO$26,MATCH('Expected Clean Sheets'!$A5,'Team forecast'!$B$2:$B$26,0),MATCH(C$1,'Team forecast'!$B$2:$AO$2,0))</f>
        <v>0.7977891123063281</v>
      </c>
      <c r="D5" s="102">
        <f>INDEX('Team forecast'!$B$2:$AO$26,MATCH('Expected Clean Sheets'!$A5,'Team forecast'!$B$2:$B$26,0),MATCH(D$1,'Team forecast'!$B$2:$AO$2,0))</f>
        <v>1.1461513485277883</v>
      </c>
      <c r="E5" s="2">
        <f t="shared" si="0"/>
        <v>1.1667465318651242</v>
      </c>
      <c r="F5" s="2">
        <f t="shared" si="1"/>
        <v>0.7977891123063281</v>
      </c>
      <c r="G5" s="2">
        <f t="shared" si="2"/>
        <v>1.5562991347612565</v>
      </c>
    </row>
    <row r="6" spans="1:7">
      <c r="A6" s="49" t="s">
        <v>872</v>
      </c>
      <c r="B6" s="102">
        <f>INDEX('Team forecast'!$B$2:$AO$26,MATCH('Expected Clean Sheets'!$A6,'Team forecast'!$B$2:$B$26,0),MATCH(B$1,'Team forecast'!$B$2:$AO$2,0))</f>
        <v>0.84461095835632183</v>
      </c>
      <c r="C6" s="102">
        <f>INDEX('Team forecast'!$B$2:$AO$26,MATCH('Expected Clean Sheets'!$A6,'Team forecast'!$B$2:$B$26,0),MATCH(C$1,'Team forecast'!$B$2:$AO$2,0))</f>
        <v>1.5687475343836428</v>
      </c>
      <c r="D6" s="102">
        <f>INDEX('Team forecast'!$B$2:$AO$26,MATCH('Expected Clean Sheets'!$A6,'Team forecast'!$B$2:$B$26,0),MATCH(D$1,'Team forecast'!$B$2:$AO$2,0))</f>
        <v>0.95602347631827322</v>
      </c>
      <c r="E6" s="2">
        <f t="shared" si="0"/>
        <v>1.1231273230194125</v>
      </c>
      <c r="F6" s="2">
        <f t="shared" si="1"/>
        <v>0.84461095835632183</v>
      </c>
      <c r="G6" s="2">
        <f t="shared" si="2"/>
        <v>1.5687475343836428</v>
      </c>
    </row>
    <row r="7" spans="1:7">
      <c r="A7" s="49" t="s">
        <v>892</v>
      </c>
      <c r="B7" s="102">
        <f>INDEX('Team forecast'!$B$2:$AO$26,MATCH('Expected Clean Sheets'!$A7,'Team forecast'!$B$2:$B$26,0),MATCH(B$1,'Team forecast'!$B$2:$AO$2,0))</f>
        <v>1.2386203137003762</v>
      </c>
      <c r="C7" s="102">
        <f>INDEX('Team forecast'!$B$2:$AO$26,MATCH('Expected Clean Sheets'!$A7,'Team forecast'!$B$2:$B$26,0),MATCH(C$1,'Team forecast'!$B$2:$AO$2,0))</f>
        <v>1.384389503157577</v>
      </c>
      <c r="D7" s="102">
        <f>INDEX('Team forecast'!$B$2:$AO$26,MATCH('Expected Clean Sheets'!$A7,'Team forecast'!$B$2:$B$26,0),MATCH(D$1,'Team forecast'!$B$2:$AO$2,0))</f>
        <v>2.4374022591536644</v>
      </c>
      <c r="E7" s="2">
        <f t="shared" si="0"/>
        <v>1.6868040253372059</v>
      </c>
      <c r="F7" s="2">
        <f t="shared" si="1"/>
        <v>1.2386203137003762</v>
      </c>
      <c r="G7" s="2">
        <f t="shared" si="2"/>
        <v>2.4374022591536644</v>
      </c>
    </row>
    <row r="8" spans="1:7">
      <c r="A8" s="49" t="s">
        <v>870</v>
      </c>
      <c r="B8" s="102">
        <f>INDEX('Team forecast'!$B$2:$AO$26,MATCH('Expected Clean Sheets'!$A8,'Team forecast'!$B$2:$B$26,0),MATCH(B$1,'Team forecast'!$B$2:$AO$2,0))</f>
        <v>0.59952758650922311</v>
      </c>
      <c r="C8" s="102">
        <f>INDEX('Team forecast'!$B$2:$AO$26,MATCH('Expected Clean Sheets'!$A8,'Team forecast'!$B$2:$B$26,0),MATCH(C$1,'Team forecast'!$B$2:$AO$2,0))</f>
        <v>0.75781731816731412</v>
      </c>
      <c r="D8" s="102">
        <f>INDEX('Team forecast'!$B$2:$AO$26,MATCH('Expected Clean Sheets'!$A8,'Team forecast'!$B$2:$B$26,0),MATCH(D$1,'Team forecast'!$B$2:$AO$2,0))</f>
        <v>0.62462402002960304</v>
      </c>
      <c r="E8" s="2">
        <f t="shared" si="0"/>
        <v>0.66065630823538013</v>
      </c>
      <c r="F8" s="2">
        <f t="shared" si="1"/>
        <v>0.59952758650922311</v>
      </c>
      <c r="G8" s="2">
        <f t="shared" si="2"/>
        <v>0.75781731816731412</v>
      </c>
    </row>
    <row r="9" spans="1:7">
      <c r="A9" s="49" t="s">
        <v>886</v>
      </c>
      <c r="B9" s="102">
        <f>INDEX('Team forecast'!$B$2:$AO$26,MATCH('Expected Clean Sheets'!$A9,'Team forecast'!$B$2:$B$26,0),MATCH(B$1,'Team forecast'!$B$2:$AO$2,0))</f>
        <v>0.63639779406972985</v>
      </c>
      <c r="C9" s="102">
        <f>INDEX('Team forecast'!$B$2:$AO$26,MATCH('Expected Clean Sheets'!$A9,'Team forecast'!$B$2:$B$26,0),MATCH(C$1,'Team forecast'!$B$2:$AO$2,0))</f>
        <v>1.3852986184856255</v>
      </c>
      <c r="D9" s="102">
        <f>INDEX('Team forecast'!$B$2:$AO$26,MATCH('Expected Clean Sheets'!$A9,'Team forecast'!$B$2:$B$26,0),MATCH(D$1,'Team forecast'!$B$2:$AO$2,0))</f>
        <v>1.2688103238212438</v>
      </c>
      <c r="E9" s="2">
        <f t="shared" si="0"/>
        <v>1.0968355787921997</v>
      </c>
      <c r="F9" s="2">
        <f t="shared" si="1"/>
        <v>0.63639779406972985</v>
      </c>
      <c r="G9" s="2">
        <f t="shared" si="2"/>
        <v>1.3852986184856255</v>
      </c>
    </row>
    <row r="10" spans="1:7">
      <c r="A10" s="49" t="s">
        <v>865</v>
      </c>
      <c r="B10" s="102">
        <f>INDEX('Team forecast'!$B$2:$AO$26,MATCH('Expected Clean Sheets'!$A10,'Team forecast'!$B$2:$B$26,0),MATCH(B$1,'Team forecast'!$B$2:$AO$2,0))</f>
        <v>0.87435064565555498</v>
      </c>
      <c r="C10" s="102">
        <f>INDEX('Team forecast'!$B$2:$AO$26,MATCH('Expected Clean Sheets'!$A10,'Team forecast'!$B$2:$B$26,0),MATCH(C$1,'Team forecast'!$B$2:$AO$2,0))</f>
        <v>1.0279287794501248</v>
      </c>
      <c r="D10" s="102">
        <f>INDEX('Team forecast'!$B$2:$AO$26,MATCH('Expected Clean Sheets'!$A10,'Team forecast'!$B$2:$B$26,0),MATCH(D$1,'Team forecast'!$B$2:$AO$2,0))</f>
        <v>0.65281467345965161</v>
      </c>
      <c r="E10" s="2">
        <f t="shared" si="0"/>
        <v>0.85169803285511048</v>
      </c>
      <c r="F10" s="2">
        <f t="shared" si="1"/>
        <v>0.65281467345965161</v>
      </c>
      <c r="G10" s="2">
        <f t="shared" si="2"/>
        <v>1.0279287794501248</v>
      </c>
    </row>
    <row r="11" spans="1:7">
      <c r="A11" s="49" t="s">
        <v>866</v>
      </c>
      <c r="B11" s="102">
        <f>INDEX('Team forecast'!$B$2:$AO$26,MATCH('Expected Clean Sheets'!$A11,'Team forecast'!$B$2:$B$26,0),MATCH(B$1,'Team forecast'!$B$2:$AO$2,0))</f>
        <v>1.162032718107336</v>
      </c>
      <c r="C11" s="102">
        <f>INDEX('Team forecast'!$B$2:$AO$26,MATCH('Expected Clean Sheets'!$A11,'Team forecast'!$B$2:$B$26,0),MATCH(C$1,'Team forecast'!$B$2:$AO$2,0))</f>
        <v>0.79620558314709244</v>
      </c>
      <c r="D11" s="102">
        <f>INDEX('Team forecast'!$B$2:$AO$26,MATCH('Expected Clean Sheets'!$A11,'Team forecast'!$B$2:$B$26,0),MATCH(D$1,'Team forecast'!$B$2:$AO$2,0))</f>
        <v>1.3677883945550393</v>
      </c>
      <c r="E11" s="2">
        <f t="shared" si="0"/>
        <v>1.1086755652698226</v>
      </c>
      <c r="F11" s="2">
        <f t="shared" si="1"/>
        <v>0.79620558314709244</v>
      </c>
      <c r="G11" s="2">
        <f t="shared" si="2"/>
        <v>1.3677883945550393</v>
      </c>
    </row>
    <row r="12" spans="1:7">
      <c r="A12" s="49" t="s">
        <v>894</v>
      </c>
      <c r="B12" s="102">
        <f>INDEX('Team forecast'!$B$2:$AO$26,MATCH('Expected Clean Sheets'!$A12,'Team forecast'!$B$2:$B$26,0),MATCH(B$1,'Team forecast'!$B$2:$AO$2,0))</f>
        <v>0.65653770483831209</v>
      </c>
      <c r="C12" s="102">
        <f>INDEX('Team forecast'!$B$2:$AO$26,MATCH('Expected Clean Sheets'!$A12,'Team forecast'!$B$2:$B$26,0),MATCH(C$1,'Team forecast'!$B$2:$AO$2,0))</f>
        <v>0.76028648339757388</v>
      </c>
      <c r="D12" s="102">
        <f>INDEX('Team forecast'!$B$2:$AO$26,MATCH('Expected Clean Sheets'!$A12,'Team forecast'!$B$2:$B$26,0),MATCH(D$1,'Team forecast'!$B$2:$AO$2,0))</f>
        <v>0.49102780480244929</v>
      </c>
      <c r="E12" s="2">
        <f t="shared" si="0"/>
        <v>0.6359506643461118</v>
      </c>
      <c r="F12" s="2">
        <f t="shared" si="1"/>
        <v>0.49102780480244929</v>
      </c>
      <c r="G12" s="2">
        <f t="shared" si="2"/>
        <v>0.76028648339757388</v>
      </c>
    </row>
    <row r="13" spans="1:7">
      <c r="A13" s="49" t="s">
        <v>891</v>
      </c>
      <c r="B13" s="102">
        <f>INDEX('Team forecast'!$B$2:$AO$26,MATCH('Expected Clean Sheets'!$A13,'Team forecast'!$B$2:$B$26,0),MATCH(B$1,'Team forecast'!$B$2:$AO$2,0))</f>
        <v>1.2386203137003762</v>
      </c>
      <c r="C13" s="102">
        <f>INDEX('Team forecast'!$B$2:$AO$26,MATCH('Expected Clean Sheets'!$A13,'Team forecast'!$B$2:$B$26,0),MATCH(C$1,'Team forecast'!$B$2:$AO$2,0))</f>
        <v>2.140423422331811</v>
      </c>
      <c r="D13" s="102">
        <f>INDEX('Team forecast'!$B$2:$AO$26,MATCH('Expected Clean Sheets'!$A13,'Team forecast'!$B$2:$B$26,0),MATCH(D$1,'Team forecast'!$B$2:$AO$2,0))</f>
        <v>1.2965069481471114</v>
      </c>
      <c r="E13" s="2">
        <f t="shared" si="0"/>
        <v>1.5585168947264332</v>
      </c>
      <c r="F13" s="2">
        <f t="shared" si="1"/>
        <v>1.2386203137003762</v>
      </c>
      <c r="G13" s="2">
        <f t="shared" si="2"/>
        <v>2.140423422331811</v>
      </c>
    </row>
    <row r="14" spans="1:7">
      <c r="A14" s="49" t="s">
        <v>896</v>
      </c>
      <c r="B14" s="102">
        <f>INDEX('Team forecast'!$B$2:$AO$26,MATCH('Expected Clean Sheets'!$A14,'Team forecast'!$B$2:$B$26,0),MATCH(B$1,'Team forecast'!$B$2:$AO$2,0))</f>
        <v>0.81328039356128246</v>
      </c>
      <c r="C14" s="102">
        <f>INDEX('Team forecast'!$B$2:$AO$26,MATCH('Expected Clean Sheets'!$A14,'Team forecast'!$B$2:$B$26,0),MATCH(C$1,'Team forecast'!$B$2:$AO$2,0))</f>
        <v>0.80548012323268336</v>
      </c>
      <c r="D14" s="102">
        <f>INDEX('Team forecast'!$B$2:$AO$26,MATCH('Expected Clean Sheets'!$A14,'Team forecast'!$B$2:$B$26,0),MATCH(D$1,'Team forecast'!$B$2:$AO$2,0))</f>
        <v>0.56161379059809569</v>
      </c>
      <c r="E14" s="2">
        <f t="shared" si="0"/>
        <v>0.72679143579735384</v>
      </c>
      <c r="F14" s="2">
        <f t="shared" si="1"/>
        <v>0.56161379059809569</v>
      </c>
      <c r="G14" s="2">
        <f t="shared" si="2"/>
        <v>0.81328039356128246</v>
      </c>
    </row>
    <row r="15" spans="1:7">
      <c r="A15" s="49" t="s">
        <v>897</v>
      </c>
      <c r="B15" s="102">
        <f>INDEX('Team forecast'!$B$2:$AO$26,MATCH('Expected Clean Sheets'!$A15,'Team forecast'!$B$2:$B$26,0),MATCH(B$1,'Team forecast'!$B$2:$AO$2,0))</f>
        <v>0.75096675144877167</v>
      </c>
      <c r="C15" s="102">
        <f>INDEX('Team forecast'!$B$2:$AO$26,MATCH('Expected Clean Sheets'!$A15,'Team forecast'!$B$2:$B$26,0),MATCH(C$1,'Team forecast'!$B$2:$AO$2,0))</f>
        <v>0.80291922538135296</v>
      </c>
      <c r="D15" s="102">
        <f>INDEX('Team forecast'!$B$2:$AO$26,MATCH('Expected Clean Sheets'!$A15,'Team forecast'!$B$2:$B$26,0),MATCH(D$1,'Team forecast'!$B$2:$AO$2,0))</f>
        <v>0.68661022841383224</v>
      </c>
      <c r="E15" s="2">
        <f t="shared" si="0"/>
        <v>0.74683206841465222</v>
      </c>
      <c r="F15" s="2">
        <f t="shared" si="1"/>
        <v>0.68661022841383224</v>
      </c>
      <c r="G15" s="2">
        <f t="shared" si="2"/>
        <v>0.80291922538135296</v>
      </c>
    </row>
    <row r="16" spans="1:7">
      <c r="A16" s="49" t="s">
        <v>879</v>
      </c>
      <c r="B16" s="102">
        <f>INDEX('Team forecast'!$B$2:$AO$26,MATCH('Expected Clean Sheets'!$A16,'Team forecast'!$B$2:$B$26,0),MATCH(B$1,'Team forecast'!$B$2:$AO$2,0))</f>
        <v>1.5223243214152651</v>
      </c>
      <c r="C16" s="102">
        <f>INDEX('Team forecast'!$B$2:$AO$26,MATCH('Expected Clean Sheets'!$A16,'Team forecast'!$B$2:$B$26,0),MATCH(C$1,'Team forecast'!$B$2:$AO$2,0))</f>
        <v>2.0067977929974719</v>
      </c>
      <c r="D16" s="102">
        <f>INDEX('Team forecast'!$B$2:$AO$26,MATCH('Expected Clean Sheets'!$A16,'Team forecast'!$B$2:$B$26,0),MATCH(D$1,'Team forecast'!$B$2:$AO$2,0))</f>
        <v>2.2346287595631029</v>
      </c>
      <c r="E16" s="2">
        <f t="shared" si="0"/>
        <v>1.92125029132528</v>
      </c>
      <c r="F16" s="2">
        <f t="shared" si="1"/>
        <v>1.5223243214152651</v>
      </c>
      <c r="G16" s="2">
        <f t="shared" si="2"/>
        <v>2.2346287595631029</v>
      </c>
    </row>
    <row r="17" spans="1:7">
      <c r="A17" s="49" t="s">
        <v>862</v>
      </c>
      <c r="B17" s="102">
        <f>INDEX('Team forecast'!$B$2:$AO$26,MATCH('Expected Clean Sheets'!$A17,'Team forecast'!$B$2:$B$26,0),MATCH(B$1,'Team forecast'!$B$2:$AO$2,0))</f>
        <v>0.65422581624273402</v>
      </c>
      <c r="C17" s="102">
        <f>INDEX('Team forecast'!$B$2:$AO$26,MATCH('Expected Clean Sheets'!$A17,'Team forecast'!$B$2:$B$26,0),MATCH(C$1,'Team forecast'!$B$2:$AO$2,0))</f>
        <v>1.2847203648825669</v>
      </c>
      <c r="D17" s="102">
        <f>INDEX('Team forecast'!$B$2:$AO$26,MATCH('Expected Clean Sheets'!$A17,'Team forecast'!$B$2:$B$26,0),MATCH(D$1,'Team forecast'!$B$2:$AO$2,0))</f>
        <v>1.2246875509143662</v>
      </c>
      <c r="E17" s="2">
        <f t="shared" si="0"/>
        <v>1.0545445773465556</v>
      </c>
      <c r="F17" s="2">
        <f t="shared" si="1"/>
        <v>0.65422581624273402</v>
      </c>
      <c r="G17" s="2">
        <f t="shared" si="2"/>
        <v>1.2847203648825669</v>
      </c>
    </row>
    <row r="18" spans="1:7">
      <c r="A18" s="49" t="s">
        <v>882</v>
      </c>
      <c r="B18" s="102">
        <f>INDEX('Team forecast'!$B$2:$AO$26,MATCH('Expected Clean Sheets'!$A18,'Team forecast'!$B$2:$B$26,0),MATCH(B$1,'Team forecast'!$B$2:$AO$2,0))</f>
        <v>1.0683489057066333</v>
      </c>
      <c r="C18" s="102">
        <f>INDEX('Team forecast'!$B$2:$AO$26,MATCH('Expected Clean Sheets'!$A18,'Team forecast'!$B$2:$B$26,0),MATCH(C$1,'Team forecast'!$B$2:$AO$2,0))</f>
        <v>0.97920455728472433</v>
      </c>
      <c r="D18" s="102">
        <f>INDEX('Team forecast'!$B$2:$AO$26,MATCH('Expected Clean Sheets'!$A18,'Team forecast'!$B$2:$B$26,0),MATCH(D$1,'Team forecast'!$B$2:$AO$2,0))</f>
        <v>0.82586154259115363</v>
      </c>
      <c r="E18" s="2">
        <f t="shared" si="0"/>
        <v>0.95780500186083717</v>
      </c>
      <c r="F18" s="2">
        <f t="shared" si="1"/>
        <v>0.82586154259115363</v>
      </c>
      <c r="G18" s="2">
        <f t="shared" si="2"/>
        <v>1.0683489057066333</v>
      </c>
    </row>
    <row r="19" spans="1:7">
      <c r="A19" s="49" t="s">
        <v>863</v>
      </c>
      <c r="B19" s="102">
        <f>INDEX('Team forecast'!$B$2:$AO$26,MATCH('Expected Clean Sheets'!$A19,'Team forecast'!$B$2:$B$26,0),MATCH(B$1,'Team forecast'!$B$2:$AO$2,0))</f>
        <v>1.6593477618235051</v>
      </c>
      <c r="C19" s="102">
        <f>INDEX('Team forecast'!$B$2:$AO$26,MATCH('Expected Clean Sheets'!$A19,'Team forecast'!$B$2:$B$26,0),MATCH(C$1,'Team forecast'!$B$2:$AO$2,0))</f>
        <v>1.5198357804321134</v>
      </c>
      <c r="D19" s="102">
        <f>INDEX('Team forecast'!$B$2:$AO$26,MATCH('Expected Clean Sheets'!$A19,'Team forecast'!$B$2:$B$26,0),MATCH(D$1,'Team forecast'!$B$2:$AO$2,0))</f>
        <v>1.8402581758343768</v>
      </c>
      <c r="E19" s="2">
        <f t="shared" si="0"/>
        <v>1.6731472393633318</v>
      </c>
      <c r="F19" s="2">
        <f t="shared" si="1"/>
        <v>1.5198357804321134</v>
      </c>
      <c r="G19" s="2">
        <f t="shared" si="2"/>
        <v>1.8402581758343768</v>
      </c>
    </row>
    <row r="20" spans="1:7">
      <c r="A20" s="49" t="s">
        <v>888</v>
      </c>
      <c r="B20" s="102">
        <f>INDEX('Team forecast'!$B$2:$AO$26,MATCH('Expected Clean Sheets'!$A20,'Team forecast'!$B$2:$B$26,0),MATCH(B$1,'Team forecast'!$B$2:$AO$2,0))</f>
        <v>1.5369105908463034</v>
      </c>
      <c r="C20" s="102">
        <f>INDEX('Team forecast'!$B$2:$AO$26,MATCH('Expected Clean Sheets'!$A20,'Team forecast'!$B$2:$B$26,0),MATCH(C$1,'Team forecast'!$B$2:$AO$2,0))</f>
        <v>0.77817916464933856</v>
      </c>
      <c r="D20" s="102">
        <f>INDEX('Team forecast'!$B$2:$AO$26,MATCH('Expected Clean Sheets'!$A20,'Team forecast'!$B$2:$B$26,0),MATCH(D$1,'Team forecast'!$B$2:$AO$2,0))</f>
        <v>1.2236898885407743</v>
      </c>
      <c r="E20" s="2">
        <f t="shared" si="0"/>
        <v>1.1795932146788053</v>
      </c>
      <c r="F20" s="2">
        <f t="shared" si="1"/>
        <v>0.77817916464933856</v>
      </c>
      <c r="G20" s="2">
        <f t="shared" si="2"/>
        <v>1.5369105908463034</v>
      </c>
    </row>
    <row r="21" spans="1:7">
      <c r="A21" s="51" t="s">
        <v>885</v>
      </c>
      <c r="B21" s="102">
        <f>INDEX('Team forecast'!$B$2:$AO$26,MATCH('Expected Clean Sheets'!$A21,'Team forecast'!$B$2:$B$26,0),MATCH(B$1,'Team forecast'!$B$2:$AO$2,0))</f>
        <v>1.7533592214060363</v>
      </c>
      <c r="C21" s="102">
        <f>INDEX('Team forecast'!$B$2:$AO$26,MATCH('Expected Clean Sheets'!$A21,'Team forecast'!$B$2:$B$26,0),MATCH(C$1,'Team forecast'!$B$2:$AO$2,0))</f>
        <v>1.9080439968215523</v>
      </c>
      <c r="D21" s="102">
        <f>INDEX('Team forecast'!$B$2:$AO$26,MATCH('Expected Clean Sheets'!$A21,'Team forecast'!$B$2:$B$26,0),MATCH(D$1,'Team forecast'!$B$2:$AO$2,0))</f>
        <v>2.3513752571634776</v>
      </c>
      <c r="E21" s="2">
        <f t="shared" si="0"/>
        <v>2.004259491797022</v>
      </c>
      <c r="F21" s="2">
        <f t="shared" si="1"/>
        <v>1.7533592214060363</v>
      </c>
      <c r="G21" s="2">
        <f t="shared" si="2"/>
        <v>2.3513752571634776</v>
      </c>
    </row>
    <row r="22" spans="1:7">
      <c r="A22" t="s">
        <v>871</v>
      </c>
      <c r="B22" s="102">
        <f>INDEX('Team forecast'!$B$2:$AO$26,MATCH('Expected Clean Sheets'!$A22,'Team forecast'!$B$2:$B$26,0),MATCH(B$1,'Team forecast'!$B$2:$AO$2,0))</f>
        <v>1.5602309947683257</v>
      </c>
      <c r="C22" s="102">
        <f>INDEX('Team forecast'!$B$2:$AO$26,MATCH('Expected Clean Sheets'!$A22,'Team forecast'!$B$2:$B$26,0),MATCH(C$1,'Team forecast'!$B$2:$AO$2,0))</f>
        <v>1.5279674504451852</v>
      </c>
      <c r="D22" s="102">
        <f>INDEX('Team forecast'!$B$2:$AO$26,MATCH('Expected Clean Sheets'!$A22,'Team forecast'!$B$2:$B$26,0),MATCH(D$1,'Team forecast'!$B$2:$AO$2,0))</f>
        <v>2.3394224481215296</v>
      </c>
      <c r="E22" s="2">
        <f t="shared" si="0"/>
        <v>1.8092069644450135</v>
      </c>
      <c r="F22" s="2">
        <f t="shared" si="1"/>
        <v>1.5279674504451852</v>
      </c>
      <c r="G22" s="2">
        <f t="shared" si="2"/>
        <v>2.3394224481215296</v>
      </c>
    </row>
    <row r="23" spans="1:7">
      <c r="A23" t="s">
        <v>893</v>
      </c>
      <c r="B23" s="102">
        <f>INDEX('Team forecast'!$B$2:$AO$26,MATCH('Expected Clean Sheets'!$A23,'Team forecast'!$B$2:$B$26,0),MATCH(B$1,'Team forecast'!$B$2:$AO$2,0))</f>
        <v>1.7625676631272518</v>
      </c>
      <c r="C23" s="102">
        <f>INDEX('Team forecast'!$B$2:$AO$26,MATCH('Expected Clean Sheets'!$A23,'Team forecast'!$B$2:$B$26,0),MATCH(C$1,'Team forecast'!$B$2:$AO$2,0))</f>
        <v>1.1612459518433673</v>
      </c>
      <c r="D23" s="102">
        <f>INDEX('Team forecast'!$B$2:$AO$26,MATCH('Expected Clean Sheets'!$A23,'Team forecast'!$B$2:$B$26,0),MATCH(D$1,'Team forecast'!$B$2:$AO$2,0))</f>
        <v>1.0107278258414167</v>
      </c>
      <c r="E23" s="2">
        <f t="shared" si="0"/>
        <v>1.3115138136040121</v>
      </c>
      <c r="F23" s="2">
        <f t="shared" si="1"/>
        <v>1.0107278258414167</v>
      </c>
      <c r="G23" s="2">
        <f t="shared" si="2"/>
        <v>1.7625676631272518</v>
      </c>
    </row>
    <row r="24" spans="1:7">
      <c r="A24" t="s">
        <v>880</v>
      </c>
      <c r="B24" s="102">
        <f>INDEX('Team forecast'!$B$2:$AO$26,MATCH('Expected Clean Sheets'!$A24,'Team forecast'!$B$2:$B$26,0),MATCH(B$1,'Team forecast'!$B$2:$AO$2,0))</f>
        <v>0.74990395996081205</v>
      </c>
      <c r="C24" s="102">
        <f>INDEX('Team forecast'!$B$2:$AO$26,MATCH('Expected Clean Sheets'!$A24,'Team forecast'!$B$2:$B$26,0),MATCH(C$1,'Team forecast'!$B$2:$AO$2,0))</f>
        <v>1.3846696653928885</v>
      </c>
      <c r="D24" s="102">
        <f>INDEX('Team forecast'!$B$2:$AO$26,MATCH('Expected Clean Sheets'!$A24,'Team forecast'!$B$2:$B$26,0),MATCH(D$1,'Team forecast'!$B$2:$AO$2,0))</f>
        <v>1.5039270856478595</v>
      </c>
      <c r="E24" s="2">
        <f t="shared" si="0"/>
        <v>1.2128335703338533</v>
      </c>
      <c r="F24" s="2">
        <f t="shared" si="1"/>
        <v>0.74990395996081205</v>
      </c>
      <c r="G24" s="2">
        <f t="shared" si="2"/>
        <v>1.5039270856478595</v>
      </c>
    </row>
    <row r="25" spans="1:7">
      <c r="A25" t="s">
        <v>877</v>
      </c>
      <c r="B25" s="102">
        <f>INDEX('Team forecast'!$B$2:$AO$26,MATCH('Expected Clean Sheets'!$A25,'Team forecast'!$B$2:$B$26,0),MATCH(B$1,'Team forecast'!$B$2:$AO$2,0))</f>
        <v>0.76028648339757388</v>
      </c>
      <c r="C25" s="102">
        <f>INDEX('Team forecast'!$B$2:$AO$26,MATCH('Expected Clean Sheets'!$A25,'Team forecast'!$B$2:$B$26,0),MATCH(C$1,'Team forecast'!$B$2:$AO$2,0))</f>
        <v>1.5712166996139025</v>
      </c>
      <c r="D25" s="102">
        <f>INDEX('Team forecast'!$B$2:$AO$26,MATCH('Expected Clean Sheets'!$A25,'Team forecast'!$B$2:$B$26,0),MATCH(D$1,'Team forecast'!$B$2:$AO$2,0))</f>
        <v>1.1461513485277883</v>
      </c>
      <c r="E25" s="2">
        <f t="shared" si="0"/>
        <v>1.1592181771797547</v>
      </c>
      <c r="F25" s="2">
        <f t="shared" si="1"/>
        <v>0.76028648339757388</v>
      </c>
      <c r="G25" s="2">
        <f t="shared" si="2"/>
        <v>1.5712166996139025</v>
      </c>
    </row>
  </sheetData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75"/>
  <cols>
    <col min="1" max="1" width="2.875" customWidth="1"/>
    <col min="2" max="2" width="16.375" bestFit="1" customWidth="1"/>
    <col min="3" max="12" width="5.875" customWidth="1"/>
    <col min="13" max="13" width="2.875" customWidth="1"/>
    <col min="14" max="14" width="16.375" bestFit="1" customWidth="1"/>
    <col min="15" max="23" width="5.875" customWidth="1"/>
    <col min="24" max="24" width="2.875" customWidth="1"/>
    <col min="25" max="25" width="16.375" bestFit="1" customWidth="1"/>
    <col min="26" max="34" width="5.875" customWidth="1"/>
  </cols>
  <sheetData>
    <row r="2" spans="2:42" ht="21">
      <c r="B2" s="89" t="s">
        <v>779</v>
      </c>
      <c r="C2" s="87"/>
      <c r="D2" s="87"/>
      <c r="E2" s="87"/>
      <c r="F2" s="87"/>
      <c r="G2" s="87"/>
      <c r="H2" s="87"/>
      <c r="I2" s="87"/>
      <c r="J2" s="87"/>
      <c r="K2" s="87"/>
      <c r="L2" s="87"/>
      <c r="M2" s="41"/>
      <c r="X2" s="41"/>
      <c r="Y2" s="87" t="s">
        <v>778</v>
      </c>
      <c r="Z2" s="87"/>
      <c r="AA2" s="87"/>
      <c r="AB2" s="87"/>
      <c r="AC2" s="87"/>
      <c r="AD2" s="87"/>
      <c r="AE2" s="87"/>
      <c r="AF2" s="87"/>
      <c r="AG2" s="87"/>
      <c r="AH2" s="88"/>
    </row>
    <row r="3" spans="2:42">
      <c r="M3" s="33"/>
      <c r="X3" s="33"/>
    </row>
    <row r="4" spans="2:42" ht="24.95" customHeight="1">
      <c r="M4" s="46"/>
      <c r="X4" s="46"/>
      <c r="AK4" s="2"/>
      <c r="AL4" s="2"/>
      <c r="AM4" s="2"/>
      <c r="AN4" s="2"/>
      <c r="AO4" s="2"/>
      <c r="AP4" s="2"/>
    </row>
    <row r="5" spans="2:42" ht="24.95" customHeight="1">
      <c r="M5" s="48"/>
      <c r="X5" s="48"/>
      <c r="AK5" s="2"/>
    </row>
    <row r="6" spans="2:42" ht="24.95" customHeight="1">
      <c r="M6" s="48"/>
      <c r="X6" s="48"/>
      <c r="AK6" s="2"/>
    </row>
    <row r="7" spans="2:42" ht="24.95" customHeight="1">
      <c r="M7" s="48"/>
      <c r="X7" s="48"/>
      <c r="AK7" s="2"/>
    </row>
    <row r="8" spans="2:42" ht="24.95" customHeight="1">
      <c r="M8" s="48"/>
      <c r="X8" s="48"/>
      <c r="AK8" s="2"/>
    </row>
    <row r="9" spans="2:42" ht="24.95" customHeight="1">
      <c r="M9" s="48"/>
      <c r="X9" s="48"/>
      <c r="AK9" s="2"/>
    </row>
    <row r="10" spans="2:42" ht="24.95" customHeight="1">
      <c r="M10" s="48"/>
      <c r="X10" s="48"/>
    </row>
    <row r="11" spans="2:42" ht="24.95" customHeight="1">
      <c r="M11" s="48"/>
      <c r="X11" s="48"/>
    </row>
    <row r="12" spans="2:42" ht="24.95" customHeight="1">
      <c r="M12" s="48"/>
      <c r="X12" s="48"/>
    </row>
    <row r="13" spans="2:42" ht="24.95" customHeight="1">
      <c r="M13" s="48"/>
      <c r="X13" s="48"/>
    </row>
    <row r="14" spans="2:42" ht="24.95" customHeight="1">
      <c r="M14" s="48"/>
      <c r="X14" s="48"/>
    </row>
    <row r="15" spans="2:42" ht="24.95" customHeight="1">
      <c r="M15" s="48"/>
      <c r="X15" s="48"/>
    </row>
    <row r="16" spans="2:42" ht="24.95" customHeight="1">
      <c r="M16" s="48"/>
      <c r="X16" s="48"/>
    </row>
    <row r="17" spans="2:24" ht="24.95" customHeight="1">
      <c r="M17" s="48"/>
      <c r="X17" s="48"/>
    </row>
    <row r="18" spans="2:24" ht="24.95" customHeight="1">
      <c r="M18" s="48"/>
      <c r="X18" s="48"/>
    </row>
    <row r="19" spans="2:24" ht="24.95" customHeight="1">
      <c r="M19" s="48"/>
      <c r="X19" s="48"/>
    </row>
    <row r="20" spans="2:24" ht="24.95" customHeight="1">
      <c r="M20" s="48"/>
      <c r="X20" s="48"/>
    </row>
    <row r="21" spans="2:24" ht="24.95" customHeight="1">
      <c r="M21" s="48"/>
      <c r="X21" s="48"/>
    </row>
    <row r="22" spans="2:24" ht="24.95" customHeight="1">
      <c r="M22" s="48"/>
      <c r="X22" s="48"/>
    </row>
    <row r="23" spans="2:24" ht="24.95" customHeight="1">
      <c r="M23" s="50"/>
      <c r="X23" s="50"/>
    </row>
    <row r="25" spans="2:24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75"/>
  <cols>
    <col min="2" max="2" width="17.25" bestFit="1" customWidth="1"/>
    <col min="3" max="40" width="4.875" customWidth="1"/>
  </cols>
  <sheetData>
    <row r="2" spans="2:40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7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 filterMode="1">
    <tabColor theme="7" tint="0.39997558519241921"/>
  </sheetPr>
  <dimension ref="A1:Q1000"/>
  <sheetViews>
    <sheetView workbookViewId="0">
      <selection activeCell="M27" sqref="M27"/>
    </sheetView>
  </sheetViews>
  <sheetFormatPr defaultColWidth="11" defaultRowHeight="15.75"/>
  <cols>
    <col min="1" max="1" width="4.875" bestFit="1" customWidth="1"/>
    <col min="2" max="2" width="24.875" bestFit="1" customWidth="1"/>
    <col min="3" max="3" width="17.25" bestFit="1" customWidth="1"/>
    <col min="5" max="5" width="16.5" bestFit="1" customWidth="1"/>
    <col min="6" max="6" width="11" bestFit="1" customWidth="1"/>
    <col min="7" max="7" width="11.625" bestFit="1" customWidth="1"/>
    <col min="8" max="8" width="11" bestFit="1" customWidth="1"/>
    <col min="9" max="9" width="12.625" bestFit="1" customWidth="1"/>
    <col min="10" max="11" width="11" bestFit="1" customWidth="1"/>
    <col min="13" max="13" width="13" customWidth="1"/>
    <col min="15" max="16" width="11.375" bestFit="1" customWidth="1"/>
  </cols>
  <sheetData>
    <row r="1" spans="1:17" ht="31.5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852</v>
      </c>
      <c r="I1" s="59" t="s">
        <v>5220</v>
      </c>
      <c r="J1" s="59" t="s">
        <v>5221</v>
      </c>
      <c r="K1" s="59" t="s">
        <v>5222</v>
      </c>
      <c r="L1" s="59" t="s">
        <v>5223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hidden="1">
      <c r="A2">
        <f>IF(B2="","",ROW()-2)</f>
        <v>0</v>
      </c>
      <c r="B2" t="str">
        <f>IF('Master data'!A2="","",'Master data'!A2)</f>
        <v>Harry Kane</v>
      </c>
      <c r="C2" t="str">
        <f>IFERROR(INDEX('Master data'!$B$2:$CL$1000,MATCH($B2,'Master data'!$A$2:$A$1000,0),MATCH(C$1,'Master data'!$B$1:$CL$1,0)),"")</f>
        <v>England</v>
      </c>
      <c r="D2" t="str">
        <f>IFERROR(INDEX('Master data'!$B$2:$CL$1000,MATCH($B2,'Master data'!$A$2:$A$1000,0),MATCH(D$1,'Master data'!$B$1:$CL$1,0)),"")</f>
        <v>Striker</v>
      </c>
      <c r="E2" s="5">
        <f>IFERROR(INDEX('Master data'!$B$2:$CL$1000,MATCH($B2,'Master data'!$A$2:$A$1000,0),MATCH(E$1,'Master data'!$B$1:$CL$1,0)),"")</f>
        <v>8500000</v>
      </c>
      <c r="F2" s="5">
        <f>IFERROR(INDEX('Master data'!$B$2:$CL$1000,MATCH($B2,'Master data'!$A$2:$A$1000,0),MATCH(F$1,'Master data'!$B$1:$CL$1,0)),"")</f>
        <v>95743.179939665744</v>
      </c>
      <c r="G2" s="5">
        <f>IFERROR(INDEX('Master data'!$B$2:$CL$1000,MATCH($B2,'Master data'!$A$2:$A$1000,0),MATCH(G$1,'Master data'!$B$1:$CL$1,0)),"")</f>
        <v>126542.90635347992</v>
      </c>
      <c r="H2" s="5">
        <f>IFERROR(INDEX('Master data'!$B$2:$CL$1000,MATCH($B2,'Master data'!$A$2:$A$1000,0),MATCH(H$1,'Master data'!$B$1:$CL$1,0)),"")</f>
        <v>136325.98059635377</v>
      </c>
      <c r="I2" s="5">
        <f>IFERROR(INDEX('Master data'!$B$2:$CL$1000,MATCH($B2,'Master data'!$A$2:$A$1000,0),MATCH(I$1,'Master data'!$B$1:$CL$1,0)),"")</f>
        <v>29640.72667801231</v>
      </c>
      <c r="J2" s="5">
        <f>IFERROR(INDEX('Master data'!$B$2:$CL$1000,MATCH($B2,'Master data'!$A$2:$A$1000,0),MATCH(J$1,'Master data'!$B$1:$CL$1,0)),"")</f>
        <v>14707.348855657392</v>
      </c>
      <c r="K2" s="5">
        <f>IFERROR(INDEX('Master data'!$B$2:$CL$1000,MATCH($B2,'Master data'!$A$2:$A$1000,0),MATCH(K$1,'Master data'!$B$1:$CL$1,0)),"")</f>
        <v>7473.2330664102128</v>
      </c>
      <c r="L2" s="5">
        <f>IFERROR(INDEX('Master data'!$B$2:$CL$1000,MATCH($B2,'Master data'!$A$2:$A$1000,0),MATCH(L$1,'Master data'!$B$1:$CL$1,0)),"")</f>
        <v>4092.9278613478987</v>
      </c>
      <c r="M2" s="5">
        <f>IFERROR(INDEX('Master data'!$B$2:$CL$1000,MATCH($B2,'Master data'!$A$2:$A$1000,0),MATCH(M$1,'Master data'!$B$1:$CL$1,0)),"")</f>
        <v>253725.48879587537</v>
      </c>
      <c r="N2" s="28">
        <f>IFERROR(INDEX('Master data'!$B$2:$CL$1000,MATCH($B2,'Master data'!$A$2:$A$1000,0),MATCH(N$1,'Master data'!$B$1:$CL$1,0)),"")</f>
        <v>4.2189654928176404E-2</v>
      </c>
      <c r="O2" s="7">
        <f>IFERROR(INDEX('Master data'!$B$2:$CL$1000,MATCH($B2,'Master data'!$A$2:$A$1000,0),MATCH(O$1,'Master data'!$B$1:$CL$1,0)),"")</f>
        <v>0</v>
      </c>
      <c r="P2" s="5">
        <f>IFERROR(INDEX('Master data'!$B$2:$CL$1000,MATCH($B2,'Master data'!$A$2:$A$1000,0),MATCH(P$1,'Master data'!$B$1:$CL$1,0)),"")</f>
        <v>8500000</v>
      </c>
      <c r="Q2" s="5">
        <f>IFERROR(INDEX('Master data'!$B$2:$CL$1000,MATCH($B2,'Master data'!$A$2:$A$1000,0),MATCH(Q$1,'Master data'!$B$1:$CL$1,0)),"")</f>
        <v>8500000</v>
      </c>
    </row>
    <row r="3" spans="1:17" hidden="1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data'!$B$2:$CL$1000,MATCH($B3,'Master data'!$A$2:$A$1000,0),MATCH(C$1,'Master data'!$B$1:$CL$1,0)),"")</f>
        <v>France</v>
      </c>
      <c r="D3" t="str">
        <f>IFERROR(INDEX('Master data'!$B$2:$CL$1000,MATCH($B3,'Master data'!$A$2:$A$1000,0),MATCH(D$1,'Master data'!$B$1:$CL$1,0)),"")</f>
        <v>Striker</v>
      </c>
      <c r="E3" s="5">
        <f>IFERROR(INDEX('Master data'!$B$2:$CL$1000,MATCH($B3,'Master data'!$A$2:$A$1000,0),MATCH(E$1,'Master data'!$B$1:$CL$1,0)),"")</f>
        <v>8500000</v>
      </c>
      <c r="F3" s="7">
        <f>IFERROR(INDEX('Master data'!$B$2:$CL$1000,MATCH($B3,'Master data'!$A$2:$A$1000,0),MATCH(F$1,'Master data'!$B$1:$CL$1,0)),"")</f>
        <v>64834.997065634161</v>
      </c>
      <c r="G3" s="7">
        <f>IFERROR(INDEX('Master data'!$B$2:$CL$1000,MATCH($B3,'Master data'!$A$2:$A$1000,0),MATCH(G$1,'Master data'!$B$1:$CL$1,0)),"")</f>
        <v>126917.33459473093</v>
      </c>
      <c r="H3" s="7">
        <f>IFERROR(INDEX('Master data'!$B$2:$CL$1000,MATCH($B3,'Master data'!$A$2:$A$1000,0),MATCH(H$1,'Master data'!$B$1:$CL$1,0)),"")</f>
        <v>71496.712034306634</v>
      </c>
      <c r="I3" s="7">
        <f>IFERROR(INDEX('Master data'!$B$2:$CL$1000,MATCH($B3,'Master data'!$A$2:$A$1000,0),MATCH(I$1,'Master data'!$B$1:$CL$1,0)),"")</f>
        <v>103.44568706534028</v>
      </c>
      <c r="J3" s="7">
        <f>IFERROR(INDEX('Master data'!$B$2:$CL$1000,MATCH($B3,'Master data'!$A$2:$A$1000,0),MATCH(J$1,'Master data'!$B$1:$CL$1,0)),"")</f>
        <v>-348.81188280432821</v>
      </c>
      <c r="K3" s="7">
        <f>IFERROR(INDEX('Master data'!$B$2:$CL$1000,MATCH($B3,'Master data'!$A$2:$A$1000,0),MATCH(K$1,'Master data'!$B$1:$CL$1,0)),"")</f>
        <v>-402.55016419717981</v>
      </c>
      <c r="L3" s="7">
        <f>IFERROR(INDEX('Master data'!$B$2:$CL$1000,MATCH($B3,'Master data'!$A$2:$A$1000,0),MATCH(L$1,'Master data'!$B$1:$CL$1,0)),"")</f>
        <v>-362.29769391970763</v>
      </c>
      <c r="M3" s="5">
        <f>IFERROR(INDEX('Master data'!$B$2:$CL$1000,MATCH($B3,'Master data'!$A$2:$A$1000,0),MATCH(M$1,'Master data'!$B$1:$CL$1,0)),"")</f>
        <v>181099.80200563843</v>
      </c>
      <c r="N3" s="28">
        <f>IFERROR(INDEX('Master data'!$B$2:$CL$1000,MATCH($B3,'Master data'!$A$2:$A$1000,0),MATCH(N$1,'Master data'!$B$1:$CL$1,0)),"")</f>
        <v>3.0970475728784908E-2</v>
      </c>
      <c r="O3" s="7">
        <f>IFERROR(INDEX('Master data'!$B$2:$CL$1000,MATCH($B3,'Master data'!$A$2:$A$1000,0),MATCH(O$1,'Master data'!$B$1:$CL$1,0)),"")</f>
        <v>0</v>
      </c>
      <c r="P3" s="5">
        <f>IFERROR(INDEX('Master data'!$B$2:$CL$1000,MATCH($B3,'Master data'!$A$2:$A$1000,0),MATCH(P$1,'Master data'!$B$1:$CL$1,0)),"")</f>
        <v>8500000</v>
      </c>
      <c r="Q3" s="5">
        <f>IFERROR(INDEX('Master data'!$B$2:$CL$1000,MATCH($B3,'Master data'!$A$2:$A$1000,0),MATCH(Q$1,'Master data'!$B$1:$CL$1,0)),"")</f>
        <v>8500000</v>
      </c>
    </row>
    <row r="4" spans="1:17" hidden="1">
      <c r="A4">
        <f t="shared" si="0"/>
        <v>2</v>
      </c>
      <c r="B4" t="str">
        <f>IF('Master data'!A4="","",'Master data'!A4)</f>
        <v>Kevin De Bruyne</v>
      </c>
      <c r="C4" t="str">
        <f>IFERROR(INDEX('Master data'!$B$2:$CL$1000,MATCH($B4,'Master data'!$A$2:$A$1000,0),MATCH(C$1,'Master data'!$B$1:$CL$1,0)),"")</f>
        <v>Belgium</v>
      </c>
      <c r="D4" t="str">
        <f>IFERROR(INDEX('Master data'!$B$2:$CL$1000,MATCH($B4,'Master data'!$A$2:$A$1000,0),MATCH(D$1,'Master data'!$B$1:$CL$1,0)),"")</f>
        <v>Midfield</v>
      </c>
      <c r="E4" s="5">
        <f>IFERROR(INDEX('Master data'!$B$2:$CL$1000,MATCH($B4,'Master data'!$A$2:$A$1000,0),MATCH(E$1,'Master data'!$B$1:$CL$1,0)),"")</f>
        <v>8000000</v>
      </c>
      <c r="F4" s="7">
        <f>IFERROR(INDEX('Master data'!$B$2:$CL$1000,MATCH($B4,'Master data'!$A$2:$A$1000,0),MATCH(F$1,'Master data'!$B$1:$CL$1,0)),"")</f>
        <v>76173.361093281273</v>
      </c>
      <c r="G4" s="7">
        <f>IFERROR(INDEX('Master data'!$B$2:$CL$1000,MATCH($B4,'Master data'!$A$2:$A$1000,0),MATCH(G$1,'Master data'!$B$1:$CL$1,0)),"")</f>
        <v>68540.318488550052</v>
      </c>
      <c r="H4" s="7">
        <f>IFERROR(INDEX('Master data'!$B$2:$CL$1000,MATCH($B4,'Master data'!$A$2:$A$1000,0),MATCH(H$1,'Master data'!$B$1:$CL$1,0)),"")</f>
        <v>116858.02836117946</v>
      </c>
      <c r="I4" s="7">
        <f>IFERROR(INDEX('Master data'!$B$2:$CL$1000,MATCH($B4,'Master data'!$A$2:$A$1000,0),MATCH(I$1,'Master data'!$B$1:$CL$1,0)),"")</f>
        <v>4381.1481143903538</v>
      </c>
      <c r="J4" s="7">
        <f>IFERROR(INDEX('Master data'!$B$2:$CL$1000,MATCH($B4,'Master data'!$A$2:$A$1000,0),MATCH(J$1,'Master data'!$B$1:$CL$1,0)),"")</f>
        <v>1809.1302925877924</v>
      </c>
      <c r="K4" s="7">
        <f>IFERROR(INDEX('Master data'!$B$2:$CL$1000,MATCH($B4,'Master data'!$A$2:$A$1000,0),MATCH(K$1,'Master data'!$B$1:$CL$1,0)),"")</f>
        <v>717.51438910798504</v>
      </c>
      <c r="L4" s="7">
        <f>IFERROR(INDEX('Master data'!$B$2:$CL$1000,MATCH($B4,'Master data'!$A$2:$A$1000,0),MATCH(L$1,'Master data'!$B$1:$CL$1,0)),"")</f>
        <v>271.41476352781524</v>
      </c>
      <c r="M4" s="5">
        <f>IFERROR(INDEX('Master data'!$B$2:$CL$1000,MATCH($B4,'Master data'!$A$2:$A$1000,0),MATCH(M$1,'Master data'!$B$1:$CL$1,0)),"")</f>
        <v>175577.60067561129</v>
      </c>
      <c r="N4" s="28">
        <f>IFERROR(INDEX('Master data'!$B$2:$CL$1000,MATCH($B4,'Master data'!$A$2:$A$1000,0),MATCH(N$1,'Master data'!$B$1:$CL$1,0)),"")</f>
        <v>3.2696463492876346E-2</v>
      </c>
      <c r="O4" s="7">
        <f>IFERROR(INDEX('Master data'!$B$2:$CL$1000,MATCH($B4,'Master data'!$A$2:$A$1000,0),MATCH(O$1,'Master data'!$B$1:$CL$1,0)),"")</f>
        <v>0</v>
      </c>
      <c r="P4" s="5">
        <f>IFERROR(INDEX('Master data'!$B$2:$CL$1000,MATCH($B4,'Master data'!$A$2:$A$1000,0),MATCH(P$1,'Master data'!$B$1:$CL$1,0)),"")</f>
        <v>8000000</v>
      </c>
      <c r="Q4" s="5">
        <f>IFERROR(INDEX('Master data'!$B$2:$CL$1000,MATCH($B4,'Master data'!$A$2:$A$1000,0),MATCH(Q$1,'Master data'!$B$1:$CL$1,0)),"")</f>
        <v>8000000</v>
      </c>
    </row>
    <row r="5" spans="1:17" hidden="1">
      <c r="A5">
        <f t="shared" si="0"/>
        <v>3</v>
      </c>
      <c r="B5" t="str">
        <f>IF('Master data'!A5="","",'Master data'!A5)</f>
        <v>Raheem Sterling</v>
      </c>
      <c r="C5" t="str">
        <f>IFERROR(INDEX('Master data'!$B$2:$CL$1000,MATCH($B5,'Master data'!$A$2:$A$1000,0),MATCH(C$1,'Master data'!$B$1:$CL$1,0)),"")</f>
        <v>England</v>
      </c>
      <c r="D5" t="str">
        <f>IFERROR(INDEX('Master data'!$B$2:$CL$1000,MATCH($B5,'Master data'!$A$2:$A$1000,0),MATCH(D$1,'Master data'!$B$1:$CL$1,0)),"")</f>
        <v>Striker</v>
      </c>
      <c r="E5" s="5">
        <f>IFERROR(INDEX('Master data'!$B$2:$CL$1000,MATCH($B5,'Master data'!$A$2:$A$1000,0),MATCH(E$1,'Master data'!$B$1:$CL$1,0)),"")</f>
        <v>7500000</v>
      </c>
      <c r="F5" s="7">
        <f>IFERROR(INDEX('Master data'!$B$2:$CL$1000,MATCH($B5,'Master data'!$A$2:$A$1000,0),MATCH(F$1,'Master data'!$B$1:$CL$1,0)),"")</f>
        <v>79017.845537461748</v>
      </c>
      <c r="G5" s="7">
        <f>IFERROR(INDEX('Master data'!$B$2:$CL$1000,MATCH($B5,'Master data'!$A$2:$A$1000,0),MATCH(G$1,'Master data'!$B$1:$CL$1,0)),"")</f>
        <v>105362.74365513398</v>
      </c>
      <c r="H5" s="7">
        <f>IFERROR(INDEX('Master data'!$B$2:$CL$1000,MATCH($B5,'Master data'!$A$2:$A$1000,0),MATCH(H$1,'Master data'!$B$1:$CL$1,0)),"")</f>
        <v>113050.86761460162</v>
      </c>
      <c r="I5" s="7">
        <f>IFERROR(INDEX('Master data'!$B$2:$CL$1000,MATCH($B5,'Master data'!$A$2:$A$1000,0),MATCH(I$1,'Master data'!$B$1:$CL$1,0)),"")</f>
        <v>20273.164985588453</v>
      </c>
      <c r="J5" s="7">
        <f>IFERROR(INDEX('Master data'!$B$2:$CL$1000,MATCH($B5,'Master data'!$A$2:$A$1000,0),MATCH(J$1,'Master data'!$B$1:$CL$1,0)),"")</f>
        <v>9973.3580043685688</v>
      </c>
      <c r="K5" s="7">
        <f>IFERROR(INDEX('Master data'!$B$2:$CL$1000,MATCH($B5,'Master data'!$A$2:$A$1000,0),MATCH(K$1,'Master data'!$B$1:$CL$1,0)),"")</f>
        <v>5020.4374477527736</v>
      </c>
      <c r="L5" s="7">
        <f>IFERROR(INDEX('Master data'!$B$2:$CL$1000,MATCH($B5,'Master data'!$A$2:$A$1000,0),MATCH(L$1,'Master data'!$B$1:$CL$1,0)),"")</f>
        <v>2721.4064768186527</v>
      </c>
      <c r="M5" s="5">
        <f>IFERROR(INDEX('Master data'!$B$2:$CL$1000,MATCH($B5,'Master data'!$A$2:$A$1000,0),MATCH(M$1,'Master data'!$B$1:$CL$1,0)),"")</f>
        <v>208381.4583255864</v>
      </c>
      <c r="N5" s="28">
        <f>IFERROR(INDEX('Master data'!$B$2:$CL$1000,MATCH($B5,'Master data'!$A$2:$A$1000,0),MATCH(N$1,'Master data'!$B$1:$CL$1,0)),"")</f>
        <v>3.9657527574292979E-2</v>
      </c>
      <c r="O5" s="7">
        <f>IFERROR(INDEX('Master data'!$B$2:$CL$1000,MATCH($B5,'Master data'!$A$2:$A$1000,0),MATCH(O$1,'Master data'!$B$1:$CL$1,0)),"")</f>
        <v>0</v>
      </c>
      <c r="P5" s="5">
        <f>IFERROR(INDEX('Master data'!$B$2:$CL$1000,MATCH($B5,'Master data'!$A$2:$A$1000,0),MATCH(P$1,'Master data'!$B$1:$CL$1,0)),"")</f>
        <v>7500000</v>
      </c>
      <c r="Q5" s="5">
        <f>IFERROR(INDEX('Master data'!$B$2:$CL$1000,MATCH($B5,'Master data'!$A$2:$A$1000,0),MATCH(Q$1,'Master data'!$B$1:$CL$1,0)),"")</f>
        <v>7500000</v>
      </c>
    </row>
    <row r="6" spans="1:17" hidden="1">
      <c r="A6">
        <f t="shared" si="0"/>
        <v>4</v>
      </c>
      <c r="B6" t="str">
        <f>IF('Master data'!A6="","",'Master data'!A6)</f>
        <v>Romelu Lukaku</v>
      </c>
      <c r="C6" t="str">
        <f>IFERROR(INDEX('Master data'!$B$2:$CL$1000,MATCH($B6,'Master data'!$A$2:$A$1000,0),MATCH(C$1,'Master data'!$B$1:$CL$1,0)),"")</f>
        <v>Belgium</v>
      </c>
      <c r="D6" t="str">
        <f>IFERROR(INDEX('Master data'!$B$2:$CL$1000,MATCH($B6,'Master data'!$A$2:$A$1000,0),MATCH(D$1,'Master data'!$B$1:$CL$1,0)),"")</f>
        <v>Striker</v>
      </c>
      <c r="E6" s="5">
        <f>IFERROR(INDEX('Master data'!$B$2:$CL$1000,MATCH($B6,'Master data'!$A$2:$A$1000,0),MATCH(E$1,'Master data'!$B$1:$CL$1,0)),"")</f>
        <v>8500000</v>
      </c>
      <c r="F6" s="7">
        <f>IFERROR(INDEX('Master data'!$B$2:$CL$1000,MATCH($B6,'Master data'!$A$2:$A$1000,0),MATCH(F$1,'Master data'!$B$1:$CL$1,0)),"")</f>
        <v>92263.574667900917</v>
      </c>
      <c r="G6" s="7">
        <f>IFERROR(INDEX('Master data'!$B$2:$CL$1000,MATCH($B6,'Master data'!$A$2:$A$1000,0),MATCH(G$1,'Master data'!$B$1:$CL$1,0)),"")</f>
        <v>84320.603063938484</v>
      </c>
      <c r="H6" s="7">
        <f>IFERROR(INDEX('Master data'!$B$2:$CL$1000,MATCH($B6,'Master data'!$A$2:$A$1000,0),MATCH(H$1,'Master data'!$B$1:$CL$1,0)),"")</f>
        <v>140433.28526918346</v>
      </c>
      <c r="I6" s="7">
        <f>IFERROR(INDEX('Master data'!$B$2:$CL$1000,MATCH($B6,'Master data'!$A$2:$A$1000,0),MATCH(I$1,'Master data'!$B$1:$CL$1,0)),"")</f>
        <v>16761.246445170182</v>
      </c>
      <c r="J6" s="7">
        <f>IFERROR(INDEX('Master data'!$B$2:$CL$1000,MATCH($B6,'Master data'!$A$2:$A$1000,0),MATCH(J$1,'Master data'!$B$1:$CL$1,0)),"")</f>
        <v>8034.739736237836</v>
      </c>
      <c r="K6" s="7">
        <f>IFERROR(INDEX('Master data'!$B$2:$CL$1000,MATCH($B6,'Master data'!$A$2:$A$1000,0),MATCH(K$1,'Master data'!$B$1:$CL$1,0)),"")</f>
        <v>3900.2372019540435</v>
      </c>
      <c r="L6" s="7">
        <f>IFERROR(INDEX('Master data'!$B$2:$CL$1000,MATCH($B6,'Master data'!$A$2:$A$1000,0),MATCH(L$1,'Master data'!$B$1:$CL$1,0)),"")</f>
        <v>1985.5465028566764</v>
      </c>
      <c r="M6" s="5">
        <f>IFERROR(INDEX('Master data'!$B$2:$CL$1000,MATCH($B6,'Master data'!$A$2:$A$1000,0),MATCH(M$1,'Master data'!$B$1:$CL$1,0)),"")</f>
        <v>218133.43340320265</v>
      </c>
      <c r="N6" s="28">
        <f>IFERROR(INDEX('Master data'!$B$2:$CL$1000,MATCH($B6,'Master data'!$A$2:$A$1000,0),MATCH(N$1,'Master data'!$B$1:$CL$1,0)),"")</f>
        <v>3.7296172117767395E-2</v>
      </c>
      <c r="O6" s="7">
        <f>IFERROR(INDEX('Master data'!$B$2:$CL$1000,MATCH($B6,'Master data'!$A$2:$A$1000,0),MATCH(O$1,'Master data'!$B$1:$CL$1,0)),"")</f>
        <v>0</v>
      </c>
      <c r="P6" s="5">
        <f>IFERROR(INDEX('Master data'!$B$2:$CL$1000,MATCH($B6,'Master data'!$A$2:$A$1000,0),MATCH(P$1,'Master data'!$B$1:$CL$1,0)),"")</f>
        <v>8500000</v>
      </c>
      <c r="Q6" s="5">
        <f>IFERROR(INDEX('Master data'!$B$2:$CL$1000,MATCH($B6,'Master data'!$A$2:$A$1000,0),MATCH(Q$1,'Master data'!$B$1:$CL$1,0)),"")</f>
        <v>8500000</v>
      </c>
    </row>
    <row r="7" spans="1:17" hidden="1">
      <c r="A7">
        <f t="shared" si="0"/>
        <v>5</v>
      </c>
      <c r="B7" t="str">
        <f>IF('Master data'!A7="","",'Master data'!A7)</f>
        <v>Eden E. Hazard</v>
      </c>
      <c r="C7" t="str">
        <f>IFERROR(INDEX('Master data'!$B$2:$CL$1000,MATCH($B7,'Master data'!$A$2:$A$1000,0),MATCH(C$1,'Master data'!$B$1:$CL$1,0)),"")</f>
        <v>Belgium</v>
      </c>
      <c r="D7" t="str">
        <f>IFERROR(INDEX('Master data'!$B$2:$CL$1000,MATCH($B7,'Master data'!$A$2:$A$1000,0),MATCH(D$1,'Master data'!$B$1:$CL$1,0)),"")</f>
        <v>Striker</v>
      </c>
      <c r="E7" s="5">
        <f>IFERROR(INDEX('Master data'!$B$2:$CL$1000,MATCH($B7,'Master data'!$A$2:$A$1000,0),MATCH(E$1,'Master data'!$B$1:$CL$1,0)),"")</f>
        <v>6000000</v>
      </c>
      <c r="F7" s="7">
        <f>IFERROR(INDEX('Master data'!$B$2:$CL$1000,MATCH($B7,'Master data'!$A$2:$A$1000,0),MATCH(F$1,'Master data'!$B$1:$CL$1,0)),"")</f>
        <v>85619.069224785489</v>
      </c>
      <c r="G7" s="7">
        <f>IFERROR(INDEX('Master data'!$B$2:$CL$1000,MATCH($B7,'Master data'!$A$2:$A$1000,0),MATCH(G$1,'Master data'!$B$1:$CL$1,0)),"")</f>
        <v>77839.291969709433</v>
      </c>
      <c r="H7" s="7">
        <f>IFERROR(INDEX('Master data'!$B$2:$CL$1000,MATCH($B7,'Master data'!$A$2:$A$1000,0),MATCH(H$1,'Master data'!$B$1:$CL$1,0)),"")</f>
        <v>129847.50044850721</v>
      </c>
      <c r="I7" s="7">
        <f>IFERROR(INDEX('Master data'!$B$2:$CL$1000,MATCH($B7,'Master data'!$A$2:$A$1000,0),MATCH(I$1,'Master data'!$B$1:$CL$1,0)),"")</f>
        <v>33360.587103613274</v>
      </c>
      <c r="J7" s="7">
        <f>IFERROR(INDEX('Master data'!$B$2:$CL$1000,MATCH($B7,'Master data'!$A$2:$A$1000,0),MATCH(J$1,'Master data'!$B$1:$CL$1,0)),"")</f>
        <v>16541.775023567032</v>
      </c>
      <c r="K7" s="7">
        <f>IFERROR(INDEX('Master data'!$B$2:$CL$1000,MATCH($B7,'Master data'!$A$2:$A$1000,0),MATCH(K$1,'Master data'!$B$1:$CL$1,0)),"")</f>
        <v>8333.3340488183348</v>
      </c>
      <c r="L7" s="7">
        <f>IFERROR(INDEX('Master data'!$B$2:$CL$1000,MATCH($B7,'Master data'!$A$2:$A$1000,0),MATCH(L$1,'Master data'!$B$1:$CL$1,0)),"")</f>
        <v>4419.7105896080384</v>
      </c>
      <c r="M7" s="5">
        <f>IFERROR(INDEX('Master data'!$B$2:$CL$1000,MATCH($B7,'Master data'!$A$2:$A$1000,0),MATCH(M$1,'Master data'!$B$1:$CL$1,0)),"")</f>
        <v>209859.4670393132</v>
      </c>
      <c r="N7" s="28">
        <f>IFERROR(INDEX('Master data'!$B$2:$CL$1000,MATCH($B7,'Master data'!$A$2:$A$1000,0),MATCH(N$1,'Master data'!$B$1:$CL$1,0)),"")</f>
        <v>4.8884310273833692E-2</v>
      </c>
      <c r="O7" s="7">
        <f>IFERROR(INDEX('Master data'!$B$2:$CL$1000,MATCH($B7,'Master data'!$A$2:$A$1000,0),MATCH(O$1,'Master data'!$B$1:$CL$1,0)),"")</f>
        <v>0</v>
      </c>
      <c r="P7" s="5">
        <f>IFERROR(INDEX('Master data'!$B$2:$CL$1000,MATCH($B7,'Master data'!$A$2:$A$1000,0),MATCH(P$1,'Master data'!$B$1:$CL$1,0)),"")</f>
        <v>6000000</v>
      </c>
      <c r="Q7" s="5">
        <f>IFERROR(INDEX('Master data'!$B$2:$CL$1000,MATCH($B7,'Master data'!$A$2:$A$1000,0),MATCH(Q$1,'Master data'!$B$1:$CL$1,0)),"")</f>
        <v>6000000</v>
      </c>
    </row>
    <row r="8" spans="1:17" hidden="1">
      <c r="A8">
        <f t="shared" si="0"/>
        <v>6</v>
      </c>
      <c r="B8" t="str">
        <f>IF('Master data'!A8="","",'Master data'!A8)</f>
        <v>Marcus Rashford</v>
      </c>
      <c r="C8" t="str">
        <f>IFERROR(INDEX('Master data'!$B$2:$CL$1000,MATCH($B8,'Master data'!$A$2:$A$1000,0),MATCH(C$1,'Master data'!$B$1:$CL$1,0)),"")</f>
        <v>England</v>
      </c>
      <c r="D8" t="str">
        <f>IFERROR(INDEX('Master data'!$B$2:$CL$1000,MATCH($B8,'Master data'!$A$2:$A$1000,0),MATCH(D$1,'Master data'!$B$1:$CL$1,0)),"")</f>
        <v>Striker</v>
      </c>
      <c r="E8" s="5">
        <f>IFERROR(INDEX('Master data'!$B$2:$CL$1000,MATCH($B8,'Master data'!$A$2:$A$1000,0),MATCH(E$1,'Master data'!$B$1:$CL$1,0)),"")</f>
        <v>5000000</v>
      </c>
      <c r="F8" s="7">
        <f>IFERROR(INDEX('Master data'!$B$2:$CL$1000,MATCH($B8,'Master data'!$A$2:$A$1000,0),MATCH(F$1,'Master data'!$B$1:$CL$1,0)),"")</f>
        <v>-5000</v>
      </c>
      <c r="G8" s="7">
        <f>IFERROR(INDEX('Master data'!$B$2:$CL$1000,MATCH($B8,'Master data'!$A$2:$A$1000,0),MATCH(G$1,'Master data'!$B$1:$CL$1,0)),"")</f>
        <v>-5000</v>
      </c>
      <c r="H8" s="7">
        <f>IFERROR(INDEX('Master data'!$B$2:$CL$1000,MATCH($B8,'Master data'!$A$2:$A$1000,0),MATCH(H$1,'Master data'!$B$1:$CL$1,0)),"")</f>
        <v>-5000</v>
      </c>
      <c r="I8" s="7">
        <f>IFERROR(INDEX('Master data'!$B$2:$CL$1000,MATCH($B8,'Master data'!$A$2:$A$1000,0),MATCH(I$1,'Master data'!$B$1:$CL$1,0)),"")</f>
        <v>-52527.59252872465</v>
      </c>
      <c r="J8" s="7">
        <f>IFERROR(INDEX('Master data'!$B$2:$CL$1000,MATCH($B8,'Master data'!$A$2:$A$1000,0),MATCH(J$1,'Master data'!$B$1:$CL$1,0)),"")</f>
        <v>-27085.847266527187</v>
      </c>
      <c r="K8" s="7">
        <f>IFERROR(INDEX('Master data'!$B$2:$CL$1000,MATCH($B8,'Master data'!$A$2:$A$1000,0),MATCH(K$1,'Master data'!$B$1:$CL$1,0)),"")</f>
        <v>-14326.068677770125</v>
      </c>
      <c r="L8" s="7">
        <f>IFERROR(INDEX('Master data'!$B$2:$CL$1000,MATCH($B8,'Master data'!$A$2:$A$1000,0),MATCH(L$1,'Master data'!$B$1:$CL$1,0)),"")</f>
        <v>-8181.3345132210079</v>
      </c>
      <c r="M8" s="5">
        <f>IFERROR(INDEX('Master data'!$B$2:$CL$1000,MATCH($B8,'Master data'!$A$2:$A$1000,0),MATCH(M$1,'Master data'!$B$1:$CL$1,0)),"")</f>
        <v>-34074.389567210586</v>
      </c>
      <c r="N8" s="28">
        <f>IFERROR(INDEX('Master data'!$B$2:$CL$1000,MATCH($B8,'Master data'!$A$2:$A$1000,0),MATCH(N$1,'Master data'!$B$1:$CL$1,0)),"")</f>
        <v>-3.0000000000000001E-3</v>
      </c>
      <c r="O8" s="7">
        <f>IFERROR(INDEX('Master data'!$B$2:$CL$1000,MATCH($B8,'Master data'!$A$2:$A$1000,0),MATCH(O$1,'Master data'!$B$1:$CL$1,0)),"")</f>
        <v>0</v>
      </c>
      <c r="P8" s="5">
        <f>IFERROR(INDEX('Master data'!$B$2:$CL$1000,MATCH($B8,'Master data'!$A$2:$A$1000,0),MATCH(P$1,'Master data'!$B$1:$CL$1,0)),"")</f>
        <v>5000000</v>
      </c>
      <c r="Q8" s="5">
        <f>IFERROR(INDEX('Master data'!$B$2:$CL$1000,MATCH($B8,'Master data'!$A$2:$A$1000,0),MATCH(Q$1,'Master data'!$B$1:$CL$1,0)),"")</f>
        <v>5000000</v>
      </c>
    </row>
    <row r="9" spans="1:17" hidden="1">
      <c r="A9">
        <f t="shared" si="0"/>
        <v>7</v>
      </c>
      <c r="B9" t="str">
        <f>IF('Master data'!A9="","",'Master data'!A9)</f>
        <v>Thorgan T. Hazard</v>
      </c>
      <c r="C9" t="str">
        <f>IFERROR(INDEX('Master data'!$B$2:$CL$1000,MATCH($B9,'Master data'!$A$2:$A$1000,0),MATCH(C$1,'Master data'!$B$1:$CL$1,0)),"")</f>
        <v>Belgium</v>
      </c>
      <c r="D9" t="str">
        <f>IFERROR(INDEX('Master data'!$B$2:$CL$1000,MATCH($B9,'Master data'!$A$2:$A$1000,0),MATCH(D$1,'Master data'!$B$1:$CL$1,0)),"")</f>
        <v>Midfield</v>
      </c>
      <c r="E9" s="5">
        <f>IFERROR(INDEX('Master data'!$B$2:$CL$1000,MATCH($B9,'Master data'!$A$2:$A$1000,0),MATCH(E$1,'Master data'!$B$1:$CL$1,0)),"")</f>
        <v>5500000</v>
      </c>
      <c r="F9" s="7">
        <f>IFERROR(INDEX('Master data'!$B$2:$CL$1000,MATCH($B9,'Master data'!$A$2:$A$1000,0),MATCH(F$1,'Master data'!$B$1:$CL$1,0)),"")</f>
        <v>56649.652287546807</v>
      </c>
      <c r="G9" s="7">
        <f>IFERROR(INDEX('Master data'!$B$2:$CL$1000,MATCH($B9,'Master data'!$A$2:$A$1000,0),MATCH(G$1,'Master data'!$B$1:$CL$1,0)),"")</f>
        <v>49468.92483375287</v>
      </c>
      <c r="H9" s="7">
        <f>IFERROR(INDEX('Master data'!$B$2:$CL$1000,MATCH($B9,'Master data'!$A$2:$A$1000,0),MATCH(H$1,'Master data'!$B$1:$CL$1,0)),"")</f>
        <v>86410.532128292907</v>
      </c>
      <c r="I9" s="7">
        <f>IFERROR(INDEX('Master data'!$B$2:$CL$1000,MATCH($B9,'Master data'!$A$2:$A$1000,0),MATCH(I$1,'Master data'!$B$1:$CL$1,0)),"")</f>
        <v>6944.0602572100634</v>
      </c>
      <c r="J9" s="7">
        <f>IFERROR(INDEX('Master data'!$B$2:$CL$1000,MATCH($B9,'Master data'!$A$2:$A$1000,0),MATCH(J$1,'Master data'!$B$1:$CL$1,0)),"")</f>
        <v>3229.0803478517109</v>
      </c>
      <c r="K9" s="7">
        <f>IFERROR(INDEX('Master data'!$B$2:$CL$1000,MATCH($B9,'Master data'!$A$2:$A$1000,0),MATCH(K$1,'Master data'!$B$1:$CL$1,0)),"")</f>
        <v>1512.4486460793178</v>
      </c>
      <c r="L9" s="7">
        <f>IFERROR(INDEX('Master data'!$B$2:$CL$1000,MATCH($B9,'Master data'!$A$2:$A$1000,0),MATCH(L$1,'Master data'!$B$1:$CL$1,0)),"")</f>
        <v>737.82422232501926</v>
      </c>
      <c r="M9" s="5">
        <f>IFERROR(INDEX('Master data'!$B$2:$CL$1000,MATCH($B9,'Master data'!$A$2:$A$1000,0),MATCH(M$1,'Master data'!$B$1:$CL$1,0)),"")</f>
        <v>130992.9037068489</v>
      </c>
      <c r="N9" s="28">
        <f>IFERROR(INDEX('Master data'!$B$2:$CL$1000,MATCH($B9,'Master data'!$A$2:$A$1000,0),MATCH(N$1,'Master data'!$B$1:$CL$1,0)),"")</f>
        <v>3.5005292590835013E-2</v>
      </c>
      <c r="O9" s="7">
        <f>IFERROR(INDEX('Master data'!$B$2:$CL$1000,MATCH($B9,'Master data'!$A$2:$A$1000,0),MATCH(O$1,'Master data'!$B$1:$CL$1,0)),"")</f>
        <v>0</v>
      </c>
      <c r="P9" s="5">
        <f>IFERROR(INDEX('Master data'!$B$2:$CL$1000,MATCH($B9,'Master data'!$A$2:$A$1000,0),MATCH(P$1,'Master data'!$B$1:$CL$1,0)),"")</f>
        <v>5500000</v>
      </c>
      <c r="Q9" s="5">
        <f>IFERROR(INDEX('Master data'!$B$2:$CL$1000,MATCH($B9,'Master data'!$A$2:$A$1000,0),MATCH(Q$1,'Master data'!$B$1:$CL$1,0)),"")</f>
        <v>5500000</v>
      </c>
    </row>
    <row r="10" spans="1:17" hidden="1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data'!$B$2:$CL$1000,MATCH($B10,'Master data'!$A$2:$A$1000,0),MATCH(C$1,'Master data'!$B$1:$CL$1,0)),"")</f>
        <v>France</v>
      </c>
      <c r="D10" t="str">
        <f>IFERROR(INDEX('Master data'!$B$2:$CL$1000,MATCH($B10,'Master data'!$A$2:$A$1000,0),MATCH(D$1,'Master data'!$B$1:$CL$1,0)),"")</f>
        <v>Striker</v>
      </c>
      <c r="E10" s="5">
        <f>IFERROR(INDEX('Master data'!$B$2:$CL$1000,MATCH($B10,'Master data'!$A$2:$A$1000,0),MATCH(E$1,'Master data'!$B$1:$CL$1,0)),"")</f>
        <v>7000000</v>
      </c>
      <c r="F10" s="7">
        <f>IFERROR(INDEX('Master data'!$B$2:$CL$1000,MATCH($B10,'Master data'!$A$2:$A$1000,0),MATCH(F$1,'Master data'!$B$1:$CL$1,0)),"")</f>
        <v>52770.197504304975</v>
      </c>
      <c r="G10" s="7">
        <f>IFERROR(INDEX('Master data'!$B$2:$CL$1000,MATCH($B10,'Master data'!$A$2:$A$1000,0),MATCH(G$1,'Master data'!$B$1:$CL$1,0)),"")</f>
        <v>105697.4927402029</v>
      </c>
      <c r="H10" s="7">
        <f>IFERROR(INDEX('Master data'!$B$2:$CL$1000,MATCH($B10,'Master data'!$A$2:$A$1000,0),MATCH(H$1,'Master data'!$B$1:$CL$1,0)),"")</f>
        <v>58844.251395411353</v>
      </c>
      <c r="I10" s="7">
        <f>IFERROR(INDEX('Master data'!$B$2:$CL$1000,MATCH($B10,'Master data'!$A$2:$A$1000,0),MATCH(I$1,'Master data'!$B$1:$CL$1,0)),"")</f>
        <v>233.20754752187048</v>
      </c>
      <c r="J10" s="7">
        <f>IFERROR(INDEX('Master data'!$B$2:$CL$1000,MATCH($B10,'Master data'!$A$2:$A$1000,0),MATCH(J$1,'Master data'!$B$1:$CL$1,0)),"")</f>
        <v>-211.11997852712184</v>
      </c>
      <c r="K10" s="7">
        <f>IFERROR(INDEX('Master data'!$B$2:$CL$1000,MATCH($B10,'Master data'!$A$2:$A$1000,0),MATCH(K$1,'Master data'!$B$1:$CL$1,0)),"")</f>
        <v>-291.14708956148269</v>
      </c>
      <c r="L10" s="7">
        <f>IFERROR(INDEX('Master data'!$B$2:$CL$1000,MATCH($B10,'Master data'!$A$2:$A$1000,0),MATCH(L$1,'Master data'!$B$1:$CL$1,0)),"")</f>
        <v>-274.95694613626665</v>
      </c>
      <c r="M10" s="5">
        <f>IFERROR(INDEX('Master data'!$B$2:$CL$1000,MATCH($B10,'Master data'!$A$2:$A$1000,0),MATCH(M$1,'Master data'!$B$1:$CL$1,0)),"")</f>
        <v>149353.10986652458</v>
      </c>
      <c r="N10" s="28">
        <f>IFERROR(INDEX('Master data'!$B$2:$CL$1000,MATCH($B10,'Master data'!$A$2:$A$1000,0),MATCH(N$1,'Master data'!$B$1:$CL$1,0)),"")</f>
        <v>3.1044563091417027E-2</v>
      </c>
      <c r="O10" s="7">
        <f>IFERROR(INDEX('Master data'!$B$2:$CL$1000,MATCH($B10,'Master data'!$A$2:$A$1000,0),MATCH(O$1,'Master data'!$B$1:$CL$1,0)),"")</f>
        <v>0</v>
      </c>
      <c r="P10" s="5">
        <f>IFERROR(INDEX('Master data'!$B$2:$CL$1000,MATCH($B10,'Master data'!$A$2:$A$1000,0),MATCH(P$1,'Master data'!$B$1:$CL$1,0)),"")</f>
        <v>7000000</v>
      </c>
      <c r="Q10" s="5">
        <f>IFERROR(INDEX('Master data'!$B$2:$CL$1000,MATCH($B10,'Master data'!$A$2:$A$1000,0),MATCH(Q$1,'Master data'!$B$1:$CL$1,0)),"")</f>
        <v>7000000</v>
      </c>
    </row>
    <row r="11" spans="1:17" hidden="1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data'!$B$2:$CL$1000,MATCH($B11,'Master data'!$A$2:$A$1000,0),MATCH(C$1,'Master data'!$B$1:$CL$1,0)),"")</f>
        <v>England</v>
      </c>
      <c r="D11" t="str">
        <f>IFERROR(INDEX('Master data'!$B$2:$CL$1000,MATCH($B11,'Master data'!$A$2:$A$1000,0),MATCH(D$1,'Master data'!$B$1:$CL$1,0)),"")</f>
        <v>Striker</v>
      </c>
      <c r="E11" s="5">
        <f>IFERROR(INDEX('Master data'!$B$2:$CL$1000,MATCH($B11,'Master data'!$A$2:$A$1000,0),MATCH(E$1,'Master data'!$B$1:$CL$1,0)),"")</f>
        <v>5500000</v>
      </c>
      <c r="F11" s="7">
        <f>IFERROR(INDEX('Master data'!$B$2:$CL$1000,MATCH($B11,'Master data'!$A$2:$A$1000,0),MATCH(F$1,'Master data'!$B$1:$CL$1,0)),"")</f>
        <v>-5000</v>
      </c>
      <c r="G11" s="7">
        <f>IFERROR(INDEX('Master data'!$B$2:$CL$1000,MATCH($B11,'Master data'!$A$2:$A$1000,0),MATCH(G$1,'Master data'!$B$1:$CL$1,0)),"")</f>
        <v>-5000</v>
      </c>
      <c r="H11" s="7">
        <f>IFERROR(INDEX('Master data'!$B$2:$CL$1000,MATCH($B11,'Master data'!$A$2:$A$1000,0),MATCH(H$1,'Master data'!$B$1:$CL$1,0)),"")</f>
        <v>-5000</v>
      </c>
      <c r="I11" s="7">
        <f>IFERROR(INDEX('Master data'!$B$2:$CL$1000,MATCH($B11,'Master data'!$A$2:$A$1000,0),MATCH(I$1,'Master data'!$B$1:$CL$1,0)),"")</f>
        <v>-57315.887198617507</v>
      </c>
      <c r="J11" s="7">
        <f>IFERROR(INDEX('Master data'!$B$2:$CL$1000,MATCH($B11,'Master data'!$A$2:$A$1000,0),MATCH(J$1,'Master data'!$B$1:$CL$1,0)),"")</f>
        <v>-29557.183695954849</v>
      </c>
      <c r="K11" s="7">
        <f>IFERROR(INDEX('Master data'!$B$2:$CL$1000,MATCH($B11,'Master data'!$A$2:$A$1000,0),MATCH(K$1,'Master data'!$B$1:$CL$1,0)),"")</f>
        <v>-15634.385451995708</v>
      </c>
      <c r="L11" s="7">
        <f>IFERROR(INDEX('Master data'!$B$2:$CL$1000,MATCH($B11,'Master data'!$A$2:$A$1000,0),MATCH(L$1,'Master data'!$B$1:$CL$1,0)),"")</f>
        <v>-8929.1713060200036</v>
      </c>
      <c r="M11" s="5">
        <f>IFERROR(INDEX('Master data'!$B$2:$CL$1000,MATCH($B11,'Master data'!$A$2:$A$1000,0),MATCH(M$1,'Master data'!$B$1:$CL$1,0)),"")</f>
        <v>-36219.251103012</v>
      </c>
      <c r="N11" s="28">
        <f>IFERROR(INDEX('Master data'!$B$2:$CL$1000,MATCH($B11,'Master data'!$A$2:$A$1000,0),MATCH(N$1,'Master data'!$B$1:$CL$1,0)),"")</f>
        <v>-2.7272727272727275E-3</v>
      </c>
      <c r="O11" s="7">
        <f>IFERROR(INDEX('Master data'!$B$2:$CL$1000,MATCH($B11,'Master data'!$A$2:$A$1000,0),MATCH(O$1,'Master data'!$B$1:$CL$1,0)),"")</f>
        <v>0</v>
      </c>
      <c r="P11" s="5">
        <f>IFERROR(INDEX('Master data'!$B$2:$CL$1000,MATCH($B11,'Master data'!$A$2:$A$1000,0),MATCH(P$1,'Master data'!$B$1:$CL$1,0)),"")</f>
        <v>5500000</v>
      </c>
      <c r="Q11" s="5">
        <f>IFERROR(INDEX('Master data'!$B$2:$CL$1000,MATCH($B11,'Master data'!$A$2:$A$1000,0),MATCH(Q$1,'Master data'!$B$1:$CL$1,0)),"")</f>
        <v>5500000</v>
      </c>
    </row>
    <row r="12" spans="1:17" hidden="1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data'!$B$2:$CL$1000,MATCH($B12,'Master data'!$A$2:$A$1000,0),MATCH(C$1,'Master data'!$B$1:$CL$1,0)),"")</f>
        <v>Portugal</v>
      </c>
      <c r="D12" t="str">
        <f>IFERROR(INDEX('Master data'!$B$2:$CL$1000,MATCH($B12,'Master data'!$A$2:$A$1000,0),MATCH(D$1,'Master data'!$B$1:$CL$1,0)),"")</f>
        <v>Striker</v>
      </c>
      <c r="E12" s="5">
        <f>IFERROR(INDEX('Master data'!$B$2:$CL$1000,MATCH($B12,'Master data'!$A$2:$A$1000,0),MATCH(E$1,'Master data'!$B$1:$CL$1,0)),"")</f>
        <v>8000000</v>
      </c>
      <c r="F12" s="7">
        <f>IFERROR(INDEX('Master data'!$B$2:$CL$1000,MATCH($B12,'Master data'!$A$2:$A$1000,0),MATCH(F$1,'Master data'!$B$1:$CL$1,0)),"")</f>
        <v>101200.57686649162</v>
      </c>
      <c r="G12" s="7">
        <f>IFERROR(INDEX('Master data'!$B$2:$CL$1000,MATCH($B12,'Master data'!$A$2:$A$1000,0),MATCH(G$1,'Master data'!$B$1:$CL$1,0)),"")</f>
        <v>54239.737344772322</v>
      </c>
      <c r="H12" s="7">
        <f>IFERROR(INDEX('Master data'!$B$2:$CL$1000,MATCH($B12,'Master data'!$A$2:$A$1000,0),MATCH(H$1,'Master data'!$B$1:$CL$1,0)),"")</f>
        <v>47728.300028119877</v>
      </c>
      <c r="I12" s="7">
        <f>IFERROR(INDEX('Master data'!$B$2:$CL$1000,MATCH($B12,'Master data'!$A$2:$A$1000,0),MATCH(I$1,'Master data'!$B$1:$CL$1,0)),"")</f>
        <v>-10759.364530172743</v>
      </c>
      <c r="J12" s="7">
        <f>IFERROR(INDEX('Master data'!$B$2:$CL$1000,MATCH($B12,'Master data'!$A$2:$A$1000,0),MATCH(J$1,'Master data'!$B$1:$CL$1,0)),"")</f>
        <v>-5742.5571271746066</v>
      </c>
      <c r="K12" s="7">
        <f>IFERROR(INDEX('Master data'!$B$2:$CL$1000,MATCH($B12,'Master data'!$A$2:$A$1000,0),MATCH(K$1,'Master data'!$B$1:$CL$1,0)),"")</f>
        <v>-3107.5271216232281</v>
      </c>
      <c r="L12" s="7">
        <f>IFERROR(INDEX('Master data'!$B$2:$CL$1000,MATCH($B12,'Master data'!$A$2:$A$1000,0),MATCH(L$1,'Master data'!$B$1:$CL$1,0)),"")</f>
        <v>-1764.2013168684121</v>
      </c>
      <c r="M12" s="5">
        <f>IFERROR(INDEX('Master data'!$B$2:$CL$1000,MATCH($B12,'Master data'!$A$2:$A$1000,0),MATCH(M$1,'Master data'!$B$1:$CL$1,0)),"")</f>
        <v>153686.5838704482</v>
      </c>
      <c r="N12" s="28">
        <f>IFERROR(INDEX('Master data'!$B$2:$CL$1000,MATCH($B12,'Master data'!$A$2:$A$1000,0),MATCH(N$1,'Master data'!$B$1:$CL$1,0)),"")</f>
        <v>2.539607677992298E-2</v>
      </c>
      <c r="O12" s="7">
        <f>IFERROR(INDEX('Master data'!$B$2:$CL$1000,MATCH($B12,'Master data'!$A$2:$A$1000,0),MATCH(O$1,'Master data'!$B$1:$CL$1,0)),"")</f>
        <v>0</v>
      </c>
      <c r="P12" s="5">
        <f>IFERROR(INDEX('Master data'!$B$2:$CL$1000,MATCH($B12,'Master data'!$A$2:$A$1000,0),MATCH(P$1,'Master data'!$B$1:$CL$1,0)),"")</f>
        <v>8000000</v>
      </c>
      <c r="Q12" s="5">
        <f>IFERROR(INDEX('Master data'!$B$2:$CL$1000,MATCH($B12,'Master data'!$A$2:$A$1000,0),MATCH(Q$1,'Master data'!$B$1:$CL$1,0)),"")</f>
        <v>8000000</v>
      </c>
    </row>
    <row r="13" spans="1:17" hidden="1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data'!$B$2:$CL$1000,MATCH($B13,'Master data'!$A$2:$A$1000,0),MATCH(C$1,'Master data'!$B$1:$CL$1,0)),"")</f>
        <v>Spain</v>
      </c>
      <c r="D13" t="str">
        <f>IFERROR(INDEX('Master data'!$B$2:$CL$1000,MATCH($B13,'Master data'!$A$2:$A$1000,0),MATCH(D$1,'Master data'!$B$1:$CL$1,0)),"")</f>
        <v>Striker</v>
      </c>
      <c r="E13" s="5">
        <f>IFERROR(INDEX('Master data'!$B$2:$CL$1000,MATCH($B13,'Master data'!$A$2:$A$1000,0),MATCH(E$1,'Master data'!$B$1:$CL$1,0)),"")</f>
        <v>6500000</v>
      </c>
      <c r="F13" s="7">
        <f>IFERROR(INDEX('Master data'!$B$2:$CL$1000,MATCH($B13,'Master data'!$A$2:$A$1000,0),MATCH(F$1,'Master data'!$B$1:$CL$1,0)),"")</f>
        <v>83501.25725236522</v>
      </c>
      <c r="G13" s="7">
        <f>IFERROR(INDEX('Master data'!$B$2:$CL$1000,MATCH($B13,'Master data'!$A$2:$A$1000,0),MATCH(G$1,'Master data'!$B$1:$CL$1,0)),"")</f>
        <v>87351.413934160882</v>
      </c>
      <c r="H13" s="7">
        <f>IFERROR(INDEX('Master data'!$B$2:$CL$1000,MATCH($B13,'Master data'!$A$2:$A$1000,0),MATCH(H$1,'Master data'!$B$1:$CL$1,0)),"")</f>
        <v>110262.35888896455</v>
      </c>
      <c r="I13" s="7">
        <f>IFERROR(INDEX('Master data'!$B$2:$CL$1000,MATCH($B13,'Master data'!$A$2:$A$1000,0),MATCH(I$1,'Master data'!$B$1:$CL$1,0)),"")</f>
        <v>25033.652634556114</v>
      </c>
      <c r="J13" s="7">
        <f>IFERROR(INDEX('Master data'!$B$2:$CL$1000,MATCH($B13,'Master data'!$A$2:$A$1000,0),MATCH(J$1,'Master data'!$B$1:$CL$1,0)),"")</f>
        <v>12226.616869502486</v>
      </c>
      <c r="K13" s="7">
        <f>IFERROR(INDEX('Master data'!$B$2:$CL$1000,MATCH($B13,'Master data'!$A$2:$A$1000,0),MATCH(K$1,'Master data'!$B$1:$CL$1,0)),"")</f>
        <v>6031.1988807626922</v>
      </c>
      <c r="L13" s="7">
        <f>IFERROR(INDEX('Master data'!$B$2:$CL$1000,MATCH($B13,'Master data'!$A$2:$A$1000,0),MATCH(L$1,'Master data'!$B$1:$CL$1,0)),"")</f>
        <v>3080.6417916384107</v>
      </c>
      <c r="M13" s="5">
        <f>IFERROR(INDEX('Master data'!$B$2:$CL$1000,MATCH($B13,'Master data'!$A$2:$A$1000,0),MATCH(M$1,'Master data'!$B$1:$CL$1,0)),"")</f>
        <v>201638.22490328053</v>
      </c>
      <c r="N13" s="28">
        <f>IFERROR(INDEX('Master data'!$B$2:$CL$1000,MATCH($B13,'Master data'!$A$2:$A$1000,0),MATCH(N$1,'Master data'!$B$1:$CL$1,0)),"")</f>
        <v>4.3248466165460103E-2</v>
      </c>
      <c r="O13" s="7">
        <f>IFERROR(INDEX('Master data'!$B$2:$CL$1000,MATCH($B13,'Master data'!$A$2:$A$1000,0),MATCH(O$1,'Master data'!$B$1:$CL$1,0)),"")</f>
        <v>0</v>
      </c>
      <c r="P13" s="5">
        <f>IFERROR(INDEX('Master data'!$B$2:$CL$1000,MATCH($B13,'Master data'!$A$2:$A$1000,0),MATCH(P$1,'Master data'!$B$1:$CL$1,0)),"")</f>
        <v>6500000</v>
      </c>
      <c r="Q13" s="5">
        <f>IFERROR(INDEX('Master data'!$B$2:$CL$1000,MATCH($B13,'Master data'!$A$2:$A$1000,0),MATCH(Q$1,'Master data'!$B$1:$CL$1,0)),"")</f>
        <v>6500000</v>
      </c>
    </row>
    <row r="14" spans="1:17" hidden="1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data'!$B$2:$CL$1000,MATCH($B14,'Master data'!$A$2:$A$1000,0),MATCH(C$1,'Master data'!$B$1:$CL$1,0)),"")</f>
        <v>France</v>
      </c>
      <c r="D14" t="str">
        <f>IFERROR(INDEX('Master data'!$B$2:$CL$1000,MATCH($B14,'Master data'!$A$2:$A$1000,0),MATCH(D$1,'Master data'!$B$1:$CL$1,0)),"")</f>
        <v>Striker</v>
      </c>
      <c r="E14" s="5">
        <f>IFERROR(INDEX('Master data'!$B$2:$CL$1000,MATCH($B14,'Master data'!$A$2:$A$1000,0),MATCH(E$1,'Master data'!$B$1:$CL$1,0)),"")</f>
        <v>7500000</v>
      </c>
      <c r="F14" s="7">
        <f>IFERROR(INDEX('Master data'!$B$2:$CL$1000,MATCH($B14,'Master data'!$A$2:$A$1000,0),MATCH(F$1,'Master data'!$B$1:$CL$1,0)),"")</f>
        <v>45606.10637798885</v>
      </c>
      <c r="G14" s="7">
        <f>IFERROR(INDEX('Master data'!$B$2:$CL$1000,MATCH($B14,'Master data'!$A$2:$A$1000,0),MATCH(G$1,'Master data'!$B$1:$CL$1,0)),"")</f>
        <v>98957.3853863369</v>
      </c>
      <c r="H14" s="7">
        <f>IFERROR(INDEX('Master data'!$B$2:$CL$1000,MATCH($B14,'Master data'!$A$2:$A$1000,0),MATCH(H$1,'Master data'!$B$1:$CL$1,0)),"")</f>
        <v>51707.375737097347</v>
      </c>
      <c r="I14" s="7">
        <f>IFERROR(INDEX('Master data'!$B$2:$CL$1000,MATCH($B14,'Master data'!$A$2:$A$1000,0),MATCH(I$1,'Master data'!$B$1:$CL$1,0)),"")</f>
        <v>-10185.686524257848</v>
      </c>
      <c r="J14" s="7">
        <f>IFERROR(INDEX('Master data'!$B$2:$CL$1000,MATCH($B14,'Master data'!$A$2:$A$1000,0),MATCH(J$1,'Master data'!$B$1:$CL$1,0)),"")</f>
        <v>-5594.0314094360119</v>
      </c>
      <c r="K14" s="7">
        <f>IFERROR(INDEX('Master data'!$B$2:$CL$1000,MATCH($B14,'Master data'!$A$2:$A$1000,0),MATCH(K$1,'Master data'!$B$1:$CL$1,0)),"")</f>
        <v>-3157.7591264633943</v>
      </c>
      <c r="L14" s="7">
        <f>IFERROR(INDEX('Master data'!$B$2:$CL$1000,MATCH($B14,'Master data'!$A$2:$A$1000,0),MATCH(L$1,'Master data'!$B$1:$CL$1,0)),"")</f>
        <v>-1944.765965627495</v>
      </c>
      <c r="M14" s="5">
        <f>IFERROR(INDEX('Master data'!$B$2:$CL$1000,MATCH($B14,'Master data'!$A$2:$A$1000,0),MATCH(M$1,'Master data'!$B$1:$CL$1,0)),"")</f>
        <v>129849.20696295475</v>
      </c>
      <c r="N14" s="28">
        <f>IFERROR(INDEX('Master data'!$B$2:$CL$1000,MATCH($B14,'Master data'!$A$2:$A$1000,0),MATCH(N$1,'Master data'!$B$1:$CL$1,0)),"")</f>
        <v>2.6169449000189748E-2</v>
      </c>
      <c r="O14" s="7">
        <f>IFERROR(INDEX('Master data'!$B$2:$CL$1000,MATCH($B14,'Master data'!$A$2:$A$1000,0),MATCH(O$1,'Master data'!$B$1:$CL$1,0)),"")</f>
        <v>0</v>
      </c>
      <c r="P14" s="5">
        <f>IFERROR(INDEX('Master data'!$B$2:$CL$1000,MATCH($B14,'Master data'!$A$2:$A$1000,0),MATCH(P$1,'Master data'!$B$1:$CL$1,0)),"")</f>
        <v>7500000</v>
      </c>
      <c r="Q14" s="5">
        <f>IFERROR(INDEX('Master data'!$B$2:$CL$1000,MATCH($B14,'Master data'!$A$2:$A$1000,0),MATCH(Q$1,'Master data'!$B$1:$CL$1,0)),"")</f>
        <v>7500000</v>
      </c>
    </row>
    <row r="15" spans="1:17" hidden="1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data'!$B$2:$CL$1000,MATCH($B15,'Master data'!$A$2:$A$1000,0),MATCH(C$1,'Master data'!$B$1:$CL$1,0)),"")</f>
        <v>Germany</v>
      </c>
      <c r="D15" t="str">
        <f>IFERROR(INDEX('Master data'!$B$2:$CL$1000,MATCH($B15,'Master data'!$A$2:$A$1000,0),MATCH(D$1,'Master data'!$B$1:$CL$1,0)),"")</f>
        <v>Striker</v>
      </c>
      <c r="E15" s="5">
        <f>IFERROR(INDEX('Master data'!$B$2:$CL$1000,MATCH($B15,'Master data'!$A$2:$A$1000,0),MATCH(E$1,'Master data'!$B$1:$CL$1,0)),"")</f>
        <v>6000000</v>
      </c>
      <c r="F15" s="7">
        <f>IFERROR(INDEX('Master data'!$B$2:$CL$1000,MATCH($B15,'Master data'!$A$2:$A$1000,0),MATCH(F$1,'Master data'!$B$1:$CL$1,0)),"")</f>
        <v>-5000</v>
      </c>
      <c r="G15" s="7">
        <f>IFERROR(INDEX('Master data'!$B$2:$CL$1000,MATCH($B15,'Master data'!$A$2:$A$1000,0),MATCH(G$1,'Master data'!$B$1:$CL$1,0)),"")</f>
        <v>-5000</v>
      </c>
      <c r="H15" s="7">
        <f>IFERROR(INDEX('Master data'!$B$2:$CL$1000,MATCH($B15,'Master data'!$A$2:$A$1000,0),MATCH(H$1,'Master data'!$B$1:$CL$1,0)),"")</f>
        <v>-5000</v>
      </c>
      <c r="I15" s="7">
        <f>IFERROR(INDEX('Master data'!$B$2:$CL$1000,MATCH($B15,'Master data'!$A$2:$A$1000,0),MATCH(I$1,'Master data'!$B$1:$CL$1,0)),"")</f>
        <v>-57745.993667211405</v>
      </c>
      <c r="J15" s="7">
        <f>IFERROR(INDEX('Master data'!$B$2:$CL$1000,MATCH($B15,'Master data'!$A$2:$A$1000,0),MATCH(J$1,'Master data'!$B$1:$CL$1,0)),"")</f>
        <v>-29323.783776904798</v>
      </c>
      <c r="K15" s="7">
        <f>IFERROR(INDEX('Master data'!$B$2:$CL$1000,MATCH($B15,'Master data'!$A$2:$A$1000,0),MATCH(K$1,'Master data'!$B$1:$CL$1,0)),"")</f>
        <v>-15095.457106705529</v>
      </c>
      <c r="L15" s="7">
        <f>IFERROR(INDEX('Master data'!$B$2:$CL$1000,MATCH($B15,'Master data'!$A$2:$A$1000,0),MATCH(L$1,'Master data'!$B$1:$CL$1,0)),"")</f>
        <v>-8115.1162093906078</v>
      </c>
      <c r="M15" s="5">
        <f>IFERROR(INDEX('Master data'!$B$2:$CL$1000,MATCH($B15,'Master data'!$A$2:$A$1000,0),MATCH(M$1,'Master data'!$B$1:$CL$1,0)),"")</f>
        <v>-36158.149266991328</v>
      </c>
      <c r="N15" s="28">
        <f>IFERROR(INDEX('Master data'!$B$2:$CL$1000,MATCH($B15,'Master data'!$A$2:$A$1000,0),MATCH(N$1,'Master data'!$B$1:$CL$1,0)),"")</f>
        <v>-2.5000000000000001E-3</v>
      </c>
      <c r="O15" s="7">
        <f>IFERROR(INDEX('Master data'!$B$2:$CL$1000,MATCH($B15,'Master data'!$A$2:$A$1000,0),MATCH(O$1,'Master data'!$B$1:$CL$1,0)),"")</f>
        <v>0</v>
      </c>
      <c r="P15" s="5">
        <f>IFERROR(INDEX('Master data'!$B$2:$CL$1000,MATCH($B15,'Master data'!$A$2:$A$1000,0),MATCH(P$1,'Master data'!$B$1:$CL$1,0)),"")</f>
        <v>6000000</v>
      </c>
      <c r="Q15" s="5">
        <f>IFERROR(INDEX('Master data'!$B$2:$CL$1000,MATCH($B15,'Master data'!$A$2:$A$1000,0),MATCH(Q$1,'Master data'!$B$1:$CL$1,0)),"")</f>
        <v>6000000</v>
      </c>
    </row>
    <row r="16" spans="1:17" hidden="1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data'!$B$2:$CL$1000,MATCH($B16,'Master data'!$A$2:$A$1000,0),MATCH(C$1,'Master data'!$B$1:$CL$1,0)),"")</f>
        <v>England</v>
      </c>
      <c r="D16" t="str">
        <f>IFERROR(INDEX('Master data'!$B$2:$CL$1000,MATCH($B16,'Master data'!$A$2:$A$1000,0),MATCH(D$1,'Master data'!$B$1:$CL$1,0)),"")</f>
        <v>Striker</v>
      </c>
      <c r="E16" s="5">
        <f>IFERROR(INDEX('Master data'!$B$2:$CL$1000,MATCH($B16,'Master data'!$A$2:$A$1000,0),MATCH(E$1,'Master data'!$B$1:$CL$1,0)),"")</f>
        <v>3500000</v>
      </c>
      <c r="F16" s="7">
        <f>IFERROR(INDEX('Master data'!$B$2:$CL$1000,MATCH($B16,'Master data'!$A$2:$A$1000,0),MATCH(F$1,'Master data'!$B$1:$CL$1,0)),"")</f>
        <v>-5000</v>
      </c>
      <c r="G16" s="7">
        <f>IFERROR(INDEX('Master data'!$B$2:$CL$1000,MATCH($B16,'Master data'!$A$2:$A$1000,0),MATCH(G$1,'Master data'!$B$1:$CL$1,0)),"")</f>
        <v>-5000</v>
      </c>
      <c r="H16" s="7">
        <f>IFERROR(INDEX('Master data'!$B$2:$CL$1000,MATCH($B16,'Master data'!$A$2:$A$1000,0),MATCH(H$1,'Master data'!$B$1:$CL$1,0)),"")</f>
        <v>-5000</v>
      </c>
      <c r="I16" s="7">
        <f>IFERROR(INDEX('Master data'!$B$2:$CL$1000,MATCH($B16,'Master data'!$A$2:$A$1000,0),MATCH(I$1,'Master data'!$B$1:$CL$1,0)),"")</f>
        <v>-38162.708519046078</v>
      </c>
      <c r="J16" s="7">
        <f>IFERROR(INDEX('Master data'!$B$2:$CL$1000,MATCH($B16,'Master data'!$A$2:$A$1000,0),MATCH(J$1,'Master data'!$B$1:$CL$1,0)),"")</f>
        <v>-19671.837978244199</v>
      </c>
      <c r="K16" s="7">
        <f>IFERROR(INDEX('Master data'!$B$2:$CL$1000,MATCH($B16,'Master data'!$A$2:$A$1000,0),MATCH(K$1,'Master data'!$B$1:$CL$1,0)),"")</f>
        <v>-10401.118355093378</v>
      </c>
      <c r="L16" s="7">
        <f>IFERROR(INDEX('Master data'!$B$2:$CL$1000,MATCH($B16,'Master data'!$A$2:$A$1000,0),MATCH(L$1,'Master data'!$B$1:$CL$1,0)),"")</f>
        <v>-5937.8241348240226</v>
      </c>
      <c r="M16" s="5">
        <f>IFERROR(INDEX('Master data'!$B$2:$CL$1000,MATCH($B16,'Master data'!$A$2:$A$1000,0),MATCH(M$1,'Master data'!$B$1:$CL$1,0)),"")</f>
        <v>-27639.804959806333</v>
      </c>
      <c r="N16" s="28">
        <f>IFERROR(INDEX('Master data'!$B$2:$CL$1000,MATCH($B16,'Master data'!$A$2:$A$1000,0),MATCH(N$1,'Master data'!$B$1:$CL$1,0)),"")</f>
        <v>-4.2857142857142859E-3</v>
      </c>
      <c r="O16" s="7">
        <f>IFERROR(INDEX('Master data'!$B$2:$CL$1000,MATCH($B16,'Master data'!$A$2:$A$1000,0),MATCH(O$1,'Master data'!$B$1:$CL$1,0)),"")</f>
        <v>0</v>
      </c>
      <c r="P16" s="5">
        <f>IFERROR(INDEX('Master data'!$B$2:$CL$1000,MATCH($B16,'Master data'!$A$2:$A$1000,0),MATCH(P$1,'Master data'!$B$1:$CL$1,0)),"")</f>
        <v>3500000</v>
      </c>
      <c r="Q16" s="5">
        <f>IFERROR(INDEX('Master data'!$B$2:$CL$1000,MATCH($B16,'Master data'!$A$2:$A$1000,0),MATCH(Q$1,'Master data'!$B$1:$CL$1,0)),"")</f>
        <v>3500000</v>
      </c>
    </row>
    <row r="17" spans="1:17" hidden="1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data'!$B$2:$CL$1000,MATCH($B17,'Master data'!$A$2:$A$1000,0),MATCH(C$1,'Master data'!$B$1:$CL$1,0)),"")</f>
        <v>Italy</v>
      </c>
      <c r="D17" t="str">
        <f>IFERROR(INDEX('Master data'!$B$2:$CL$1000,MATCH($B17,'Master data'!$A$2:$A$1000,0),MATCH(D$1,'Master data'!$B$1:$CL$1,0)),"")</f>
        <v>Striker</v>
      </c>
      <c r="E17" s="5">
        <f>IFERROR(INDEX('Master data'!$B$2:$CL$1000,MATCH($B17,'Master data'!$A$2:$A$1000,0),MATCH(E$1,'Master data'!$B$1:$CL$1,0)),"")</f>
        <v>6500000</v>
      </c>
      <c r="F17" s="7">
        <f>IFERROR(INDEX('Master data'!$B$2:$CL$1000,MATCH($B17,'Master data'!$A$2:$A$1000,0),MATCH(F$1,'Master data'!$B$1:$CL$1,0)),"")</f>
        <v>97160.908321393814</v>
      </c>
      <c r="G17" s="7">
        <f>IFERROR(INDEX('Master data'!$B$2:$CL$1000,MATCH($B17,'Master data'!$A$2:$A$1000,0),MATCH(G$1,'Master data'!$B$1:$CL$1,0)),"")</f>
        <v>87159.303630013368</v>
      </c>
      <c r="H17" s="7">
        <f>IFERROR(INDEX('Master data'!$B$2:$CL$1000,MATCH($B17,'Master data'!$A$2:$A$1000,0),MATCH(H$1,'Master data'!$B$1:$CL$1,0)),"")</f>
        <v>107756.29793939608</v>
      </c>
      <c r="I17" s="7">
        <f>IFERROR(INDEX('Master data'!$B$2:$CL$1000,MATCH($B17,'Master data'!$A$2:$A$1000,0),MATCH(I$1,'Master data'!$B$1:$CL$1,0)),"")</f>
        <v>28191.632201106884</v>
      </c>
      <c r="J17" s="7">
        <f>IFERROR(INDEX('Master data'!$B$2:$CL$1000,MATCH($B17,'Master data'!$A$2:$A$1000,0),MATCH(J$1,'Master data'!$B$1:$CL$1,0)),"")</f>
        <v>13740.169567490882</v>
      </c>
      <c r="K17" s="7">
        <f>IFERROR(INDEX('Master data'!$B$2:$CL$1000,MATCH($B17,'Master data'!$A$2:$A$1000,0),MATCH(K$1,'Master data'!$B$1:$CL$1,0)),"")</f>
        <v>6735.5788025361817</v>
      </c>
      <c r="L17" s="7">
        <f>IFERROR(INDEX('Master data'!$B$2:$CL$1000,MATCH($B17,'Master data'!$A$2:$A$1000,0),MATCH(L$1,'Master data'!$B$1:$CL$1,0)),"")</f>
        <v>3373.4918385742089</v>
      </c>
      <c r="M17" s="5">
        <f>IFERROR(INDEX('Master data'!$B$2:$CL$1000,MATCH($B17,'Master data'!$A$2:$A$1000,0),MATCH(M$1,'Master data'!$B$1:$CL$1,0)),"")</f>
        <v>215409.13618479687</v>
      </c>
      <c r="N17" s="28">
        <f>IFERROR(INDEX('Master data'!$B$2:$CL$1000,MATCH($B17,'Master data'!$A$2:$A$1000,0),MATCH(N$1,'Master data'!$B$1:$CL$1,0)),"")</f>
        <v>4.4934847675508191E-2</v>
      </c>
      <c r="O17" s="7">
        <f>IFERROR(INDEX('Master data'!$B$2:$CL$1000,MATCH($B17,'Master data'!$A$2:$A$1000,0),MATCH(O$1,'Master data'!$B$1:$CL$1,0)),"")</f>
        <v>0</v>
      </c>
      <c r="P17" s="5">
        <f>IFERROR(INDEX('Master data'!$B$2:$CL$1000,MATCH($B17,'Master data'!$A$2:$A$1000,0),MATCH(P$1,'Master data'!$B$1:$CL$1,0)),"")</f>
        <v>6500000</v>
      </c>
      <c r="Q17" s="5">
        <f>IFERROR(INDEX('Master data'!$B$2:$CL$1000,MATCH($B17,'Master data'!$A$2:$A$1000,0),MATCH(Q$1,'Master data'!$B$1:$CL$1,0)),"")</f>
        <v>6500000</v>
      </c>
    </row>
    <row r="18" spans="1:17" hidden="1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data'!$B$2:$CL$1000,MATCH($B18,'Master data'!$A$2:$A$1000,0),MATCH(C$1,'Master data'!$B$1:$CL$1,0)),"")</f>
        <v>Belgium</v>
      </c>
      <c r="D18" t="str">
        <f>IFERROR(INDEX('Master data'!$B$2:$CL$1000,MATCH($B18,'Master data'!$A$2:$A$1000,0),MATCH(D$1,'Master data'!$B$1:$CL$1,0)),"")</f>
        <v>Striker</v>
      </c>
      <c r="E18" s="5">
        <f>IFERROR(INDEX('Master data'!$B$2:$CL$1000,MATCH($B18,'Master data'!$A$2:$A$1000,0),MATCH(E$1,'Master data'!$B$1:$CL$1,0)),"")</f>
        <v>7000000</v>
      </c>
      <c r="F18" s="7">
        <f>IFERROR(INDEX('Master data'!$B$2:$CL$1000,MATCH($B18,'Master data'!$A$2:$A$1000,0),MATCH(F$1,'Master data'!$B$1:$CL$1,0)),"")</f>
        <v>-5000</v>
      </c>
      <c r="G18" s="7">
        <f>IFERROR(INDEX('Master data'!$B$2:$CL$1000,MATCH($B18,'Master data'!$A$2:$A$1000,0),MATCH(G$1,'Master data'!$B$1:$CL$1,0)),"")</f>
        <v>-5000</v>
      </c>
      <c r="H18" s="7">
        <f>IFERROR(INDEX('Master data'!$B$2:$CL$1000,MATCH($B18,'Master data'!$A$2:$A$1000,0),MATCH(H$1,'Master data'!$B$1:$CL$1,0)),"")</f>
        <v>-5000</v>
      </c>
      <c r="I18" s="7">
        <f>IFERROR(INDEX('Master data'!$B$2:$CL$1000,MATCH($B18,'Master data'!$A$2:$A$1000,0),MATCH(I$1,'Master data'!$B$1:$CL$1,0)),"")</f>
        <v>-71680.771208296079</v>
      </c>
      <c r="J18" s="7">
        <f>IFERROR(INDEX('Master data'!$B$2:$CL$1000,MATCH($B18,'Master data'!$A$2:$A$1000,0),MATCH(J$1,'Master data'!$B$1:$CL$1,0)),"")</f>
        <v>-36544.666351332795</v>
      </c>
      <c r="K18" s="7">
        <f>IFERROR(INDEX('Master data'!$B$2:$CL$1000,MATCH($B18,'Master data'!$A$2:$A$1000,0),MATCH(K$1,'Master data'!$B$1:$CL$1,0)),"")</f>
        <v>-18945.046523070952</v>
      </c>
      <c r="L18" s="7">
        <f>IFERROR(INDEX('Master data'!$B$2:$CL$1000,MATCH($B18,'Master data'!$A$2:$A$1000,0),MATCH(L$1,'Master data'!$B$1:$CL$1,0)),"")</f>
        <v>-10348.792312184558</v>
      </c>
      <c r="M18" s="5">
        <f>IFERROR(INDEX('Master data'!$B$2:$CL$1000,MATCH($B18,'Master data'!$A$2:$A$1000,0),MATCH(M$1,'Master data'!$B$1:$CL$1,0)),"")</f>
        <v>-42416.358998324409</v>
      </c>
      <c r="N18" s="28">
        <f>IFERROR(INDEX('Master data'!$B$2:$CL$1000,MATCH($B18,'Master data'!$A$2:$A$1000,0),MATCH(N$1,'Master data'!$B$1:$CL$1,0)),"")</f>
        <v>-2.142857142857143E-3</v>
      </c>
      <c r="O18" s="7">
        <f>IFERROR(INDEX('Master data'!$B$2:$CL$1000,MATCH($B18,'Master data'!$A$2:$A$1000,0),MATCH(O$1,'Master data'!$B$1:$CL$1,0)),"")</f>
        <v>0</v>
      </c>
      <c r="P18" s="5">
        <f>IFERROR(INDEX('Master data'!$B$2:$CL$1000,MATCH($B18,'Master data'!$A$2:$A$1000,0),MATCH(P$1,'Master data'!$B$1:$CL$1,0)),"")</f>
        <v>7000000</v>
      </c>
      <c r="Q18" s="5">
        <f>IFERROR(INDEX('Master data'!$B$2:$CL$1000,MATCH($B18,'Master data'!$A$2:$A$1000,0),MATCH(Q$1,'Master data'!$B$1:$CL$1,0)),"")</f>
        <v>7000000</v>
      </c>
    </row>
    <row r="19" spans="1:17" hidden="1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data'!$B$2:$CL$1000,MATCH($B19,'Master data'!$A$2:$A$1000,0),MATCH(C$1,'Master data'!$B$1:$CL$1,0)),"")</f>
        <v>Germany</v>
      </c>
      <c r="D19" t="str">
        <f>IFERROR(INDEX('Master data'!$B$2:$CL$1000,MATCH($B19,'Master data'!$A$2:$A$1000,0),MATCH(D$1,'Master data'!$B$1:$CL$1,0)),"")</f>
        <v>Striker</v>
      </c>
      <c r="E19" s="5">
        <f>IFERROR(INDEX('Master data'!$B$2:$CL$1000,MATCH($B19,'Master data'!$A$2:$A$1000,0),MATCH(E$1,'Master data'!$B$1:$CL$1,0)),"")</f>
        <v>7500000</v>
      </c>
      <c r="F19" s="7">
        <f>IFERROR(INDEX('Master data'!$B$2:$CL$1000,MATCH($B19,'Master data'!$A$2:$A$1000,0),MATCH(F$1,'Master data'!$B$1:$CL$1,0)),"")</f>
        <v>48769.741857344561</v>
      </c>
      <c r="G19" s="7">
        <f>IFERROR(INDEX('Master data'!$B$2:$CL$1000,MATCH($B19,'Master data'!$A$2:$A$1000,0),MATCH(G$1,'Master data'!$B$1:$CL$1,0)),"")</f>
        <v>58621.632877305783</v>
      </c>
      <c r="H19" s="7">
        <f>IFERROR(INDEX('Master data'!$B$2:$CL$1000,MATCH($B19,'Master data'!$A$2:$A$1000,0),MATCH(H$1,'Master data'!$B$1:$CL$1,0)),"")</f>
        <v>117190.63002469602</v>
      </c>
      <c r="I19" s="7">
        <f>IFERROR(INDEX('Master data'!$B$2:$CL$1000,MATCH($B19,'Master data'!$A$2:$A$1000,0),MATCH(I$1,'Master data'!$B$1:$CL$1,0)),"")</f>
        <v>-2123.8698599732438</v>
      </c>
      <c r="J19" s="7">
        <f>IFERROR(INDEX('Master data'!$B$2:$CL$1000,MATCH($B19,'Master data'!$A$2:$A$1000,0),MATCH(J$1,'Master data'!$B$1:$CL$1,0)),"")</f>
        <v>-1418.111975136716</v>
      </c>
      <c r="K19" s="7">
        <f>IFERROR(INDEX('Master data'!$B$2:$CL$1000,MATCH($B19,'Master data'!$A$2:$A$1000,0),MATCH(K$1,'Master data'!$B$1:$CL$1,0)),"")</f>
        <v>-905.11315426114106</v>
      </c>
      <c r="L19" s="7">
        <f>IFERROR(INDEX('Master data'!$B$2:$CL$1000,MATCH($B19,'Master data'!$A$2:$A$1000,0),MATCH(L$1,'Master data'!$B$1:$CL$1,0)),"")</f>
        <v>-580.84814004367445</v>
      </c>
      <c r="M19" s="5">
        <f>IFERROR(INDEX('Master data'!$B$2:$CL$1000,MATCH($B19,'Master data'!$A$2:$A$1000,0),MATCH(M$1,'Master data'!$B$1:$CL$1,0)),"")</f>
        <v>138855.95385792939</v>
      </c>
      <c r="N19" s="28">
        <f>IFERROR(INDEX('Master data'!$B$2:$CL$1000,MATCH($B19,'Master data'!$A$2:$A$1000,0),MATCH(N$1,'Master data'!$B$1:$CL$1,0)),"")</f>
        <v>2.9944267301246181E-2</v>
      </c>
      <c r="O19" s="7">
        <f>IFERROR(INDEX('Master data'!$B$2:$CL$1000,MATCH($B19,'Master data'!$A$2:$A$1000,0),MATCH(O$1,'Master data'!$B$1:$CL$1,0)),"")</f>
        <v>0</v>
      </c>
      <c r="P19" s="5">
        <f>IFERROR(INDEX('Master data'!$B$2:$CL$1000,MATCH($B19,'Master data'!$A$2:$A$1000,0),MATCH(P$1,'Master data'!$B$1:$CL$1,0)),"")</f>
        <v>7500000</v>
      </c>
      <c r="Q19" s="5">
        <f>IFERROR(INDEX('Master data'!$B$2:$CL$1000,MATCH($B19,'Master data'!$A$2:$A$1000,0),MATCH(Q$1,'Master data'!$B$1:$CL$1,0)),"")</f>
        <v>7500000</v>
      </c>
    </row>
    <row r="20" spans="1:17" hidden="1">
      <c r="A20">
        <f t="shared" si="0"/>
        <v>18</v>
      </c>
      <c r="B20" t="str">
        <f>IF('Master data'!A20="","",'Master data'!A20)</f>
        <v>Phil Foden</v>
      </c>
      <c r="C20" t="str">
        <f>IFERROR(INDEX('Master data'!$B$2:$CL$1000,MATCH($B20,'Master data'!$A$2:$A$1000,0),MATCH(C$1,'Master data'!$B$1:$CL$1,0)),"")</f>
        <v>England</v>
      </c>
      <c r="D20" t="str">
        <f>IFERROR(INDEX('Master data'!$B$2:$CL$1000,MATCH($B20,'Master data'!$A$2:$A$1000,0),MATCH(D$1,'Master data'!$B$1:$CL$1,0)),"")</f>
        <v>Striker</v>
      </c>
      <c r="E20" s="5">
        <f>IFERROR(INDEX('Master data'!$B$2:$CL$1000,MATCH($B20,'Master data'!$A$2:$A$1000,0),MATCH(E$1,'Master data'!$B$1:$CL$1,0)),"")</f>
        <v>5500000</v>
      </c>
      <c r="F20" s="7">
        <f>IFERROR(INDEX('Master data'!$B$2:$CL$1000,MATCH($B20,'Master data'!$A$2:$A$1000,0),MATCH(F$1,'Master data'!$B$1:$CL$1,0)),"")</f>
        <v>77400.8556472442</v>
      </c>
      <c r="G20" s="7">
        <f>IFERROR(INDEX('Master data'!$B$2:$CL$1000,MATCH($B20,'Master data'!$A$2:$A$1000,0),MATCH(G$1,'Master data'!$B$1:$CL$1,0)),"")</f>
        <v>102270.36937287294</v>
      </c>
      <c r="H20" s="7">
        <f>IFERROR(INDEX('Master data'!$B$2:$CL$1000,MATCH($B20,'Master data'!$A$2:$A$1000,0),MATCH(H$1,'Master data'!$B$1:$CL$1,0)),"")</f>
        <v>109264.67154061822</v>
      </c>
      <c r="I20" s="7">
        <f>IFERROR(INDEX('Master data'!$B$2:$CL$1000,MATCH($B20,'Master data'!$A$2:$A$1000,0),MATCH(I$1,'Master data'!$B$1:$CL$1,0)),"")</f>
        <v>36795.752433792484</v>
      </c>
      <c r="J20" s="7">
        <f>IFERROR(INDEX('Master data'!$B$2:$CL$1000,MATCH($B20,'Master data'!$A$2:$A$1000,0),MATCH(J$1,'Master data'!$B$1:$CL$1,0)),"")</f>
        <v>18514.998920448561</v>
      </c>
      <c r="K20" s="7">
        <f>IFERROR(INDEX('Master data'!$B$2:$CL$1000,MATCH($B20,'Master data'!$A$2:$A$1000,0),MATCH(K$1,'Master data'!$B$1:$CL$1,0)),"")</f>
        <v>9549.7618927853873</v>
      </c>
      <c r="L20" s="7">
        <f>IFERROR(INDEX('Master data'!$B$2:$CL$1000,MATCH($B20,'Master data'!$A$2:$A$1000,0),MATCH(L$1,'Master data'!$B$1:$CL$1,0)),"")</f>
        <v>5314.6139829426265</v>
      </c>
      <c r="M20" s="5">
        <f>IFERROR(INDEX('Master data'!$B$2:$CL$1000,MATCH($B20,'Master data'!$A$2:$A$1000,0),MATCH(M$1,'Master data'!$B$1:$CL$1,0)),"")</f>
        <v>210427.06676005086</v>
      </c>
      <c r="N20" s="28">
        <f>IFERROR(INDEX('Master data'!$B$2:$CL$1000,MATCH($B20,'Master data'!$A$2:$A$1000,0),MATCH(N$1,'Master data'!$B$1:$CL$1,0)),"")</f>
        <v>5.2533799374679155E-2</v>
      </c>
      <c r="O20" s="7">
        <f>IFERROR(INDEX('Master data'!$B$2:$CL$1000,MATCH($B20,'Master data'!$A$2:$A$1000,0),MATCH(O$1,'Master data'!$B$1:$CL$1,0)),"")</f>
        <v>0</v>
      </c>
      <c r="P20" s="5">
        <f>IFERROR(INDEX('Master data'!$B$2:$CL$1000,MATCH($B20,'Master data'!$A$2:$A$1000,0),MATCH(P$1,'Master data'!$B$1:$CL$1,0)),"")</f>
        <v>5500000</v>
      </c>
      <c r="Q20" s="5">
        <f>IFERROR(INDEX('Master data'!$B$2:$CL$1000,MATCH($B20,'Master data'!$A$2:$A$1000,0),MATCH(Q$1,'Master data'!$B$1:$CL$1,0)),"")</f>
        <v>5500000</v>
      </c>
    </row>
    <row r="21" spans="1:17" hidden="1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data'!$B$2:$CL$1000,MATCH($B21,'Master data'!$A$2:$A$1000,0),MATCH(C$1,'Master data'!$B$1:$CL$1,0)),"")</f>
        <v>Portugal</v>
      </c>
      <c r="D21" t="str">
        <f>IFERROR(INDEX('Master data'!$B$2:$CL$1000,MATCH($B21,'Master data'!$A$2:$A$1000,0),MATCH(D$1,'Master data'!$B$1:$CL$1,0)),"")</f>
        <v>Midfield</v>
      </c>
      <c r="E21" s="5">
        <f>IFERROR(INDEX('Master data'!$B$2:$CL$1000,MATCH($B21,'Master data'!$A$2:$A$1000,0),MATCH(E$1,'Master data'!$B$1:$CL$1,0)),"")</f>
        <v>7500000</v>
      </c>
      <c r="F21" s="7">
        <f>IFERROR(INDEX('Master data'!$B$2:$CL$1000,MATCH($B21,'Master data'!$A$2:$A$1000,0),MATCH(F$1,'Master data'!$B$1:$CL$1,0)),"")</f>
        <v>95004.903303221756</v>
      </c>
      <c r="G21" s="7">
        <f>IFERROR(INDEX('Master data'!$B$2:$CL$1000,MATCH($B21,'Master data'!$A$2:$A$1000,0),MATCH(G$1,'Master data'!$B$1:$CL$1,0)),"")</f>
        <v>49893.094344082521</v>
      </c>
      <c r="H21" s="7">
        <f>IFERROR(INDEX('Master data'!$B$2:$CL$1000,MATCH($B21,'Master data'!$A$2:$A$1000,0),MATCH(H$1,'Master data'!$B$1:$CL$1,0)),"")</f>
        <v>43844.491829462509</v>
      </c>
      <c r="I21" s="7">
        <f>IFERROR(INDEX('Master data'!$B$2:$CL$1000,MATCH($B21,'Master data'!$A$2:$A$1000,0),MATCH(I$1,'Master data'!$B$1:$CL$1,0)),"")</f>
        <v>-10507.048944031461</v>
      </c>
      <c r="J21" s="7">
        <f>IFERROR(INDEX('Master data'!$B$2:$CL$1000,MATCH($B21,'Master data'!$A$2:$A$1000,0),MATCH(J$1,'Master data'!$B$1:$CL$1,0)),"")</f>
        <v>-5595.5486748896774</v>
      </c>
      <c r="K21" s="7">
        <f>IFERROR(INDEX('Master data'!$B$2:$CL$1000,MATCH($B21,'Master data'!$A$2:$A$1000,0),MATCH(K$1,'Master data'!$B$1:$CL$1,0)),"")</f>
        <v>-3021.8742745870773</v>
      </c>
      <c r="L21" s="7">
        <f>IFERROR(INDEX('Master data'!$B$2:$CL$1000,MATCH($B21,'Master data'!$A$2:$A$1000,0),MATCH(L$1,'Master data'!$B$1:$CL$1,0)),"")</f>
        <v>-1712.3981975787915</v>
      </c>
      <c r="M21" s="5">
        <f>IFERROR(INDEX('Master data'!$B$2:$CL$1000,MATCH($B21,'Master data'!$A$2:$A$1000,0),MATCH(M$1,'Master data'!$B$1:$CL$1,0)),"")</f>
        <v>142986.63747039545</v>
      </c>
      <c r="N21" s="28">
        <f>IFERROR(INDEX('Master data'!$B$2:$CL$1000,MATCH($B21,'Master data'!$A$2:$A$1000,0),MATCH(N$1,'Master data'!$B$1:$CL$1,0)),"")</f>
        <v>2.5165665263568907E-2</v>
      </c>
      <c r="O21" s="7">
        <f>IFERROR(INDEX('Master data'!$B$2:$CL$1000,MATCH($B21,'Master data'!$A$2:$A$1000,0),MATCH(O$1,'Master data'!$B$1:$CL$1,0)),"")</f>
        <v>0</v>
      </c>
      <c r="P21" s="5">
        <f>IFERROR(INDEX('Master data'!$B$2:$CL$1000,MATCH($B21,'Master data'!$A$2:$A$1000,0),MATCH(P$1,'Master data'!$B$1:$CL$1,0)),"")</f>
        <v>7500000</v>
      </c>
      <c r="Q21" s="5">
        <f>IFERROR(INDEX('Master data'!$B$2:$CL$1000,MATCH($B21,'Master data'!$A$2:$A$1000,0),MATCH(Q$1,'Master data'!$B$1:$CL$1,0)),"")</f>
        <v>7500000</v>
      </c>
    </row>
    <row r="22" spans="1:17" hidden="1">
      <c r="A22">
        <f t="shared" si="0"/>
        <v>20</v>
      </c>
      <c r="B22" t="str">
        <f>IF('Master data'!A22="","",'Master data'!A22)</f>
        <v>Ferran Torres</v>
      </c>
      <c r="C22" t="str">
        <f>IFERROR(INDEX('Master data'!$B$2:$CL$1000,MATCH($B22,'Master data'!$A$2:$A$1000,0),MATCH(C$1,'Master data'!$B$1:$CL$1,0)),"")</f>
        <v>Spain</v>
      </c>
      <c r="D22" t="str">
        <f>IFERROR(INDEX('Master data'!$B$2:$CL$1000,MATCH($B22,'Master data'!$A$2:$A$1000,0),MATCH(D$1,'Master data'!$B$1:$CL$1,0)),"")</f>
        <v>Striker</v>
      </c>
      <c r="E22" s="5">
        <f>IFERROR(INDEX('Master data'!$B$2:$CL$1000,MATCH($B22,'Master data'!$A$2:$A$1000,0),MATCH(E$1,'Master data'!$B$1:$CL$1,0)),"")</f>
        <v>6000000</v>
      </c>
      <c r="F22" s="7">
        <f>IFERROR(INDEX('Master data'!$B$2:$CL$1000,MATCH($B22,'Master data'!$A$2:$A$1000,0),MATCH(F$1,'Master data'!$B$1:$CL$1,0)),"")</f>
        <v>-5000</v>
      </c>
      <c r="G22" s="7">
        <f>IFERROR(INDEX('Master data'!$B$2:$CL$1000,MATCH($B22,'Master data'!$A$2:$A$1000,0),MATCH(G$1,'Master data'!$B$1:$CL$1,0)),"")</f>
        <v>-5000</v>
      </c>
      <c r="H22" s="7">
        <f>IFERROR(INDEX('Master data'!$B$2:$CL$1000,MATCH($B22,'Master data'!$A$2:$A$1000,0),MATCH(H$1,'Master data'!$B$1:$CL$1,0)),"")</f>
        <v>-5000</v>
      </c>
      <c r="I22" s="7">
        <f>IFERROR(INDEX('Master data'!$B$2:$CL$1000,MATCH($B22,'Master data'!$A$2:$A$1000,0),MATCH(I$1,'Master data'!$B$1:$CL$1,0)),"")</f>
        <v>-62695.650267258083</v>
      </c>
      <c r="J22" s="7">
        <f>IFERROR(INDEX('Master data'!$B$2:$CL$1000,MATCH($B22,'Master data'!$A$2:$A$1000,0),MATCH(J$1,'Master data'!$B$1:$CL$1,0)),"")</f>
        <v>-31746.23620067475</v>
      </c>
      <c r="K22" s="7">
        <f>IFERROR(INDEX('Master data'!$B$2:$CL$1000,MATCH($B22,'Master data'!$A$2:$A$1000,0),MATCH(K$1,'Master data'!$B$1:$CL$1,0)),"")</f>
        <v>-16258.286313846069</v>
      </c>
      <c r="L22" s="7">
        <f>IFERROR(INDEX('Master data'!$B$2:$CL$1000,MATCH($B22,'Master data'!$A$2:$A$1000,0),MATCH(L$1,'Master data'!$B$1:$CL$1,0)),"")</f>
        <v>-8634.9275668114096</v>
      </c>
      <c r="M22" s="5">
        <f>IFERROR(INDEX('Master data'!$B$2:$CL$1000,MATCH($B22,'Master data'!$A$2:$A$1000,0),MATCH(M$1,'Master data'!$B$1:$CL$1,0)),"")</f>
        <v>-38301.988094691442</v>
      </c>
      <c r="N22" s="28">
        <f>IFERROR(INDEX('Master data'!$B$2:$CL$1000,MATCH($B22,'Master data'!$A$2:$A$1000,0),MATCH(N$1,'Master data'!$B$1:$CL$1,0)),"")</f>
        <v>-2.5000000000000001E-3</v>
      </c>
      <c r="O22" s="7">
        <f>IFERROR(INDEX('Master data'!$B$2:$CL$1000,MATCH($B22,'Master data'!$A$2:$A$1000,0),MATCH(O$1,'Master data'!$B$1:$CL$1,0)),"")</f>
        <v>0</v>
      </c>
      <c r="P22" s="5">
        <f>IFERROR(INDEX('Master data'!$B$2:$CL$1000,MATCH($B22,'Master data'!$A$2:$A$1000,0),MATCH(P$1,'Master data'!$B$1:$CL$1,0)),"")</f>
        <v>6000000</v>
      </c>
      <c r="Q22" s="5">
        <f>IFERROR(INDEX('Master data'!$B$2:$CL$1000,MATCH($B22,'Master data'!$A$2:$A$1000,0),MATCH(Q$1,'Master data'!$B$1:$CL$1,0)),"")</f>
        <v>6000000</v>
      </c>
    </row>
    <row r="23" spans="1:17" hidden="1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data'!$B$2:$CL$1000,MATCH($B23,'Master data'!$A$2:$A$1000,0),MATCH(C$1,'Master data'!$B$1:$CL$1,0)),"")</f>
        <v>France</v>
      </c>
      <c r="D23" t="str">
        <f>IFERROR(INDEX('Master data'!$B$2:$CL$1000,MATCH($B23,'Master data'!$A$2:$A$1000,0),MATCH(D$1,'Master data'!$B$1:$CL$1,0)),"")</f>
        <v>Striker</v>
      </c>
      <c r="E23" s="5">
        <f>IFERROR(INDEX('Master data'!$B$2:$CL$1000,MATCH($B23,'Master data'!$A$2:$A$1000,0),MATCH(E$1,'Master data'!$B$1:$CL$1,0)),"")</f>
        <v>5000000</v>
      </c>
      <c r="F23" s="7">
        <f>IFERROR(INDEX('Master data'!$B$2:$CL$1000,MATCH($B23,'Master data'!$A$2:$A$1000,0),MATCH(F$1,'Master data'!$B$1:$CL$1,0)),"")</f>
        <v>44618.688536784539</v>
      </c>
      <c r="G23" s="7">
        <f>IFERROR(INDEX('Master data'!$B$2:$CL$1000,MATCH($B23,'Master data'!$A$2:$A$1000,0),MATCH(G$1,'Master data'!$B$1:$CL$1,0)),"")</f>
        <v>90909.364386376677</v>
      </c>
      <c r="H23" s="7">
        <f>IFERROR(INDEX('Master data'!$B$2:$CL$1000,MATCH($B23,'Master data'!$A$2:$A$1000,0),MATCH(H$1,'Master data'!$B$1:$CL$1,0)),"")</f>
        <v>50266.738617635463</v>
      </c>
      <c r="I23" s="7">
        <f>IFERROR(INDEX('Master data'!$B$2:$CL$1000,MATCH($B23,'Master data'!$A$2:$A$1000,0),MATCH(I$1,'Master data'!$B$1:$CL$1,0)),"")</f>
        <v>8892.1281993330431</v>
      </c>
      <c r="J23" s="7">
        <f>IFERROR(INDEX('Master data'!$B$2:$CL$1000,MATCH($B23,'Master data'!$A$2:$A$1000,0),MATCH(J$1,'Master data'!$B$1:$CL$1,0)),"")</f>
        <v>4337.4427136119348</v>
      </c>
      <c r="K23" s="7">
        <f>IFERROR(INDEX('Master data'!$B$2:$CL$1000,MATCH($B23,'Master data'!$A$2:$A$1000,0),MATCH(K$1,'Master data'!$B$1:$CL$1,0)),"")</f>
        <v>2171.5298130912533</v>
      </c>
      <c r="L23" s="7">
        <f>IFERROR(INDEX('Master data'!$B$2:$CL$1000,MATCH($B23,'Master data'!$A$2:$A$1000,0),MATCH(L$1,'Master data'!$B$1:$CL$1,0)),"")</f>
        <v>1183.3698072147179</v>
      </c>
      <c r="M23" s="5">
        <f>IFERROR(INDEX('Master data'!$B$2:$CL$1000,MATCH($B23,'Master data'!$A$2:$A$1000,0),MATCH(M$1,'Master data'!$B$1:$CL$1,0)),"")</f>
        <v>131447.04021775507</v>
      </c>
      <c r="N23" s="28">
        <f>IFERROR(INDEX('Master data'!$B$2:$CL$1000,MATCH($B23,'Master data'!$A$2:$A$1000,0),MATCH(N$1,'Master data'!$B$1:$CL$1,0)),"")</f>
        <v>3.7158958308159337E-2</v>
      </c>
      <c r="O23" s="7">
        <f>IFERROR(INDEX('Master data'!$B$2:$CL$1000,MATCH($B23,'Master data'!$A$2:$A$1000,0),MATCH(O$1,'Master data'!$B$1:$CL$1,0)),"")</f>
        <v>0</v>
      </c>
      <c r="P23" s="5">
        <f>IFERROR(INDEX('Master data'!$B$2:$CL$1000,MATCH($B23,'Master data'!$A$2:$A$1000,0),MATCH(P$1,'Master data'!$B$1:$CL$1,0)),"")</f>
        <v>5000000</v>
      </c>
      <c r="Q23" s="5">
        <f>IFERROR(INDEX('Master data'!$B$2:$CL$1000,MATCH($B23,'Master data'!$A$2:$A$1000,0),MATCH(Q$1,'Master data'!$B$1:$CL$1,0)),"")</f>
        <v>5000000</v>
      </c>
    </row>
    <row r="24" spans="1:17" hidden="1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data'!$B$2:$CL$1000,MATCH($B24,'Master data'!$A$2:$A$1000,0),MATCH(C$1,'Master data'!$B$1:$CL$1,0)),"")</f>
        <v>Poland</v>
      </c>
      <c r="D24" t="str">
        <f>IFERROR(INDEX('Master data'!$B$2:$CL$1000,MATCH($B24,'Master data'!$A$2:$A$1000,0),MATCH(D$1,'Master data'!$B$1:$CL$1,0)),"")</f>
        <v>Striker</v>
      </c>
      <c r="E24" s="5">
        <f>IFERROR(INDEX('Master data'!$B$2:$CL$1000,MATCH($B24,'Master data'!$A$2:$A$1000,0),MATCH(E$1,'Master data'!$B$1:$CL$1,0)),"")</f>
        <v>7500000</v>
      </c>
      <c r="F24" s="7">
        <f>IFERROR(INDEX('Master data'!$B$2:$CL$1000,MATCH($B24,'Master data'!$A$2:$A$1000,0),MATCH(F$1,'Master data'!$B$1:$CL$1,0)),"")</f>
        <v>111171.02460713914</v>
      </c>
      <c r="G24" s="7">
        <f>IFERROR(INDEX('Master data'!$B$2:$CL$1000,MATCH($B24,'Master data'!$A$2:$A$1000,0),MATCH(G$1,'Master data'!$B$1:$CL$1,0)),"")</f>
        <v>35731.28090521416</v>
      </c>
      <c r="H24" s="7">
        <f>IFERROR(INDEX('Master data'!$B$2:$CL$1000,MATCH($B24,'Master data'!$A$2:$A$1000,0),MATCH(H$1,'Master data'!$B$1:$CL$1,0)),"")</f>
        <v>79146.185272266594</v>
      </c>
      <c r="I24" s="7">
        <f>IFERROR(INDEX('Master data'!$B$2:$CL$1000,MATCH($B24,'Master data'!$A$2:$A$1000,0),MATCH(I$1,'Master data'!$B$1:$CL$1,0)),"")</f>
        <v>-1267.8948981131659</v>
      </c>
      <c r="J24" s="7">
        <f>IFERROR(INDEX('Master data'!$B$2:$CL$1000,MATCH($B24,'Master data'!$A$2:$A$1000,0),MATCH(J$1,'Master data'!$B$1:$CL$1,0)),"")</f>
        <v>-870.2375508114153</v>
      </c>
      <c r="K24" s="7">
        <f>IFERROR(INDEX('Master data'!$B$2:$CL$1000,MATCH($B24,'Master data'!$A$2:$A$1000,0),MATCH(K$1,'Master data'!$B$1:$CL$1,0)),"")</f>
        <v>-541.65926160753122</v>
      </c>
      <c r="L24" s="7">
        <f>IFERROR(INDEX('Master data'!$B$2:$CL$1000,MATCH($B24,'Master data'!$A$2:$A$1000,0),MATCH(L$1,'Master data'!$B$1:$CL$1,0)),"")</f>
        <v>-304.55534392473157</v>
      </c>
      <c r="M24" s="5">
        <f>IFERROR(INDEX('Master data'!$B$2:$CL$1000,MATCH($B24,'Master data'!$A$2:$A$1000,0),MATCH(M$1,'Master data'!$B$1:$CL$1,0)),"")</f>
        <v>169522.32256559408</v>
      </c>
      <c r="N24" s="28">
        <f>IFERROR(INDEX('Master data'!$B$2:$CL$1000,MATCH($B24,'Master data'!$A$2:$A$1000,0),MATCH(N$1,'Master data'!$B$1:$CL$1,0)),"")</f>
        <v>3.0139798771282651E-2</v>
      </c>
      <c r="O24" s="7">
        <f>IFERROR(INDEX('Master data'!$B$2:$CL$1000,MATCH($B24,'Master data'!$A$2:$A$1000,0),MATCH(O$1,'Master data'!$B$1:$CL$1,0)),"")</f>
        <v>0</v>
      </c>
      <c r="P24" s="5">
        <f>IFERROR(INDEX('Master data'!$B$2:$CL$1000,MATCH($B24,'Master data'!$A$2:$A$1000,0),MATCH(P$1,'Master data'!$B$1:$CL$1,0)),"")</f>
        <v>7500000</v>
      </c>
      <c r="Q24" s="5">
        <f>IFERROR(INDEX('Master data'!$B$2:$CL$1000,MATCH($B24,'Master data'!$A$2:$A$1000,0),MATCH(Q$1,'Master data'!$B$1:$CL$1,0)),"")</f>
        <v>7500000</v>
      </c>
    </row>
    <row r="25" spans="1:17" hidden="1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data'!$B$2:$CL$1000,MATCH($B25,'Master data'!$A$2:$A$1000,0),MATCH(C$1,'Master data'!$B$1:$CL$1,0)),"")</f>
        <v>Italy</v>
      </c>
      <c r="D25" t="str">
        <f>IFERROR(INDEX('Master data'!$B$2:$CL$1000,MATCH($B25,'Master data'!$A$2:$A$1000,0),MATCH(D$1,'Master data'!$B$1:$CL$1,0)),"")</f>
        <v>Striker</v>
      </c>
      <c r="E25" s="5">
        <f>IFERROR(INDEX('Master data'!$B$2:$CL$1000,MATCH($B25,'Master data'!$A$2:$A$1000,0),MATCH(E$1,'Master data'!$B$1:$CL$1,0)),"")</f>
        <v>4500000</v>
      </c>
      <c r="F25" s="7">
        <f>IFERROR(INDEX('Master data'!$B$2:$CL$1000,MATCH($B25,'Master data'!$A$2:$A$1000,0),MATCH(F$1,'Master data'!$B$1:$CL$1,0)),"")</f>
        <v>-5000</v>
      </c>
      <c r="G25" s="7">
        <f>IFERROR(INDEX('Master data'!$B$2:$CL$1000,MATCH($B25,'Master data'!$A$2:$A$1000,0),MATCH(G$1,'Master data'!$B$1:$CL$1,0)),"")</f>
        <v>-5000</v>
      </c>
      <c r="H25" s="7">
        <f>IFERROR(INDEX('Master data'!$B$2:$CL$1000,MATCH($B25,'Master data'!$A$2:$A$1000,0),MATCH(H$1,'Master data'!$B$1:$CL$1,0)),"")</f>
        <v>-5000</v>
      </c>
      <c r="I25" s="7">
        <f>IFERROR(INDEX('Master data'!$B$2:$CL$1000,MATCH($B25,'Master data'!$A$2:$A$1000,0),MATCH(I$1,'Master data'!$B$1:$CL$1,0)),"")</f>
        <v>-47739.297858831793</v>
      </c>
      <c r="J25" s="7">
        <f>IFERROR(INDEX('Master data'!$B$2:$CL$1000,MATCH($B25,'Master data'!$A$2:$A$1000,0),MATCH(J$1,'Master data'!$B$1:$CL$1,0)),"")</f>
        <v>-24039.096037445128</v>
      </c>
      <c r="K25" s="7">
        <f>IFERROR(INDEX('Master data'!$B$2:$CL$1000,MATCH($B25,'Master data'!$A$2:$A$1000,0),MATCH(K$1,'Master data'!$B$1:$CL$1,0)),"")</f>
        <v>-12189.310238143229</v>
      </c>
      <c r="L25" s="7">
        <f>IFERROR(INDEX('Master data'!$B$2:$CL$1000,MATCH($B25,'Master data'!$A$2:$A$1000,0),MATCH(L$1,'Master data'!$B$1:$CL$1,0)),"")</f>
        <v>-6322.7592442026489</v>
      </c>
      <c r="M25" s="5">
        <f>IFERROR(INDEX('Master data'!$B$2:$CL$1000,MATCH($B25,'Master data'!$A$2:$A$1000,0),MATCH(M$1,'Master data'!$B$1:$CL$1,0)),"")</f>
        <v>-31609.25725842316</v>
      </c>
      <c r="N25" s="28">
        <f>IFERROR(INDEX('Master data'!$B$2:$CL$1000,MATCH($B25,'Master data'!$A$2:$A$1000,0),MATCH(N$1,'Master data'!$B$1:$CL$1,0)),"")</f>
        <v>-3.3333333333333335E-3</v>
      </c>
      <c r="O25" s="7">
        <f>IFERROR(INDEX('Master data'!$B$2:$CL$1000,MATCH($B25,'Master data'!$A$2:$A$1000,0),MATCH(O$1,'Master data'!$B$1:$CL$1,0)),"")</f>
        <v>0</v>
      </c>
      <c r="P25" s="5">
        <f>IFERROR(INDEX('Master data'!$B$2:$CL$1000,MATCH($B25,'Master data'!$A$2:$A$1000,0),MATCH(P$1,'Master data'!$B$1:$CL$1,0)),"")</f>
        <v>4500000</v>
      </c>
      <c r="Q25" s="5">
        <f>IFERROR(INDEX('Master data'!$B$2:$CL$1000,MATCH($B25,'Master data'!$A$2:$A$1000,0),MATCH(Q$1,'Master data'!$B$1:$CL$1,0)),"")</f>
        <v>4500000</v>
      </c>
    </row>
    <row r="26" spans="1:17" hidden="1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data'!$B$2:$CL$1000,MATCH($B26,'Master data'!$A$2:$A$1000,0),MATCH(C$1,'Master data'!$B$1:$CL$1,0)),"")</f>
        <v>Belgium</v>
      </c>
      <c r="D26" t="str">
        <f>IFERROR(INDEX('Master data'!$B$2:$CL$1000,MATCH($B26,'Master data'!$A$2:$A$1000,0),MATCH(D$1,'Master data'!$B$1:$CL$1,0)),"")</f>
        <v>Striker</v>
      </c>
      <c r="E26" s="5">
        <f>IFERROR(INDEX('Master data'!$B$2:$CL$1000,MATCH($B26,'Master data'!$A$2:$A$1000,0),MATCH(E$1,'Master data'!$B$1:$CL$1,0)),"")</f>
        <v>5500000</v>
      </c>
      <c r="F26" s="7">
        <f>IFERROR(INDEX('Master data'!$B$2:$CL$1000,MATCH($B26,'Master data'!$A$2:$A$1000,0),MATCH(F$1,'Master data'!$B$1:$CL$1,0)),"")</f>
        <v>-5000</v>
      </c>
      <c r="G26" s="7">
        <f>IFERROR(INDEX('Master data'!$B$2:$CL$1000,MATCH($B26,'Master data'!$A$2:$A$1000,0),MATCH(G$1,'Master data'!$B$1:$CL$1,0)),"")</f>
        <v>-5000</v>
      </c>
      <c r="H26" s="7">
        <f>IFERROR(INDEX('Master data'!$B$2:$CL$1000,MATCH($B26,'Master data'!$A$2:$A$1000,0),MATCH(H$1,'Master data'!$B$1:$CL$1,0)),"")</f>
        <v>-5000</v>
      </c>
      <c r="I26" s="7">
        <f>IFERROR(INDEX('Master data'!$B$2:$CL$1000,MATCH($B26,'Master data'!$A$2:$A$1000,0),MATCH(I$1,'Master data'!$B$1:$CL$1,0)),"")</f>
        <v>-57315.887198617507</v>
      </c>
      <c r="J26" s="7">
        <f>IFERROR(INDEX('Master data'!$B$2:$CL$1000,MATCH($B26,'Master data'!$A$2:$A$1000,0),MATCH(J$1,'Master data'!$B$1:$CL$1,0)),"")</f>
        <v>-29216.190478739321</v>
      </c>
      <c r="K26" s="7">
        <f>IFERROR(INDEX('Master data'!$B$2:$CL$1000,MATCH($B26,'Master data'!$A$2:$A$1000,0),MATCH(K$1,'Master data'!$B$1:$CL$1,0)),"")</f>
        <v>-15143.364946534975</v>
      </c>
      <c r="L26" s="7">
        <f>IFERROR(INDEX('Master data'!$B$2:$CL$1000,MATCH($B26,'Master data'!$A$2:$A$1000,0),MATCH(L$1,'Master data'!$B$1:$CL$1,0)),"")</f>
        <v>-8270.7215667659711</v>
      </c>
      <c r="M26" s="5">
        <f>IFERROR(INDEX('Master data'!$B$2:$CL$1000,MATCH($B26,'Master data'!$A$2:$A$1000,0),MATCH(M$1,'Master data'!$B$1:$CL$1,0)),"")</f>
        <v>-36029.426994485897</v>
      </c>
      <c r="N26" s="28">
        <f>IFERROR(INDEX('Master data'!$B$2:$CL$1000,MATCH($B26,'Master data'!$A$2:$A$1000,0),MATCH(N$1,'Master data'!$B$1:$CL$1,0)),"")</f>
        <v>-2.7272727272727275E-3</v>
      </c>
      <c r="O26" s="7">
        <f>IFERROR(INDEX('Master data'!$B$2:$CL$1000,MATCH($B26,'Master data'!$A$2:$A$1000,0),MATCH(O$1,'Master data'!$B$1:$CL$1,0)),"")</f>
        <v>0</v>
      </c>
      <c r="P26" s="5">
        <f>IFERROR(INDEX('Master data'!$B$2:$CL$1000,MATCH($B26,'Master data'!$A$2:$A$1000,0),MATCH(P$1,'Master data'!$B$1:$CL$1,0)),"")</f>
        <v>5500000</v>
      </c>
      <c r="Q26" s="5">
        <f>IFERROR(INDEX('Master data'!$B$2:$CL$1000,MATCH($B26,'Master data'!$A$2:$A$1000,0),MATCH(Q$1,'Master data'!$B$1:$CL$1,0)),"")</f>
        <v>5500000</v>
      </c>
    </row>
    <row r="27" spans="1:17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data'!$B$2:$CL$1000,MATCH($B27,'Master data'!$A$2:$A$1000,0),MATCH(C$1,'Master data'!$B$1:$CL$1,0)),"")</f>
        <v>Netherlands</v>
      </c>
      <c r="D27" t="str">
        <f>IFERROR(INDEX('Master data'!$B$2:$CL$1000,MATCH($B27,'Master data'!$A$2:$A$1000,0),MATCH(D$1,'Master data'!$B$1:$CL$1,0)),"")</f>
        <v>Striker</v>
      </c>
      <c r="E27" s="5">
        <f>IFERROR(INDEX('Master data'!$B$2:$CL$1000,MATCH($B27,'Master data'!$A$2:$A$1000,0),MATCH(E$1,'Master data'!$B$1:$CL$1,0)),"")</f>
        <v>7500000</v>
      </c>
      <c r="F27" s="7">
        <f>IFERROR(INDEX('Master data'!$B$2:$CL$1000,MATCH($B27,'Master data'!$A$2:$A$1000,0),MATCH(F$1,'Master data'!$B$1:$CL$1,0)),"")</f>
        <v>115110.96483410805</v>
      </c>
      <c r="G27" s="7">
        <f>IFERROR(INDEX('Master data'!$B$2:$CL$1000,MATCH($B27,'Master data'!$A$2:$A$1000,0),MATCH(G$1,'Master data'!$B$1:$CL$1,0)),"")</f>
        <v>134241.32456284348</v>
      </c>
      <c r="H27" s="7">
        <f>IFERROR(INDEX('Master data'!$B$2:$CL$1000,MATCH($B27,'Master data'!$A$2:$A$1000,0),MATCH(H$1,'Master data'!$B$1:$CL$1,0)),"")</f>
        <v>176813.54702641146</v>
      </c>
      <c r="I27" s="7">
        <f>IFERROR(INDEX('Master data'!$B$2:$CL$1000,MATCH($B27,'Master data'!$A$2:$A$1000,0),MATCH(I$1,'Master data'!$B$1:$CL$1,0)),"")</f>
        <v>60707.584677625455</v>
      </c>
      <c r="J27" s="7">
        <f>IFERROR(INDEX('Master data'!$B$2:$CL$1000,MATCH($B27,'Master data'!$A$2:$A$1000,0),MATCH(J$1,'Master data'!$B$1:$CL$1,0)),"")</f>
        <v>29653.239098436483</v>
      </c>
      <c r="K27" s="7">
        <f>IFERROR(INDEX('Master data'!$B$2:$CL$1000,MATCH($B27,'Master data'!$A$2:$A$1000,0),MATCH(K$1,'Master data'!$B$1:$CL$1,0)),"")</f>
        <v>14470.685428444925</v>
      </c>
      <c r="L27" s="7">
        <f>IFERROR(INDEX('Master data'!$B$2:$CL$1000,MATCH($B27,'Master data'!$A$2:$A$1000,0),MATCH(L$1,'Master data'!$B$1:$CL$1,0)),"")</f>
        <v>7047.8472317975584</v>
      </c>
      <c r="M27" s="5">
        <f>IFERROR(INDEX('Master data'!$B$2:$CL$1000,MATCH($B27,'Master data'!$A$2:$A$1000,0),MATCH(M$1,'Master data'!$B$1:$CL$1,0)),"")</f>
        <v>309558.18804207363</v>
      </c>
      <c r="N27" s="28">
        <f>IFERROR(INDEX('Master data'!$B$2:$CL$1000,MATCH($B27,'Master data'!$A$2:$A$1000,0),MATCH(N$1,'Master data'!$B$1:$CL$1,0)),"")</f>
        <v>5.682211152311506E-2</v>
      </c>
      <c r="O27" s="7">
        <f>IFERROR(INDEX('Master data'!$B$2:$CL$1000,MATCH($B27,'Master data'!$A$2:$A$1000,0),MATCH(O$1,'Master data'!$B$1:$CL$1,0)),"")</f>
        <v>0</v>
      </c>
      <c r="P27" s="5">
        <f>IFERROR(INDEX('Master data'!$B$2:$CL$1000,MATCH($B27,'Master data'!$A$2:$A$1000,0),MATCH(P$1,'Master data'!$B$1:$CL$1,0)),"")</f>
        <v>7500000</v>
      </c>
      <c r="Q27" s="5">
        <f>IFERROR(INDEX('Master data'!$B$2:$CL$1000,MATCH($B27,'Master data'!$A$2:$A$1000,0),MATCH(Q$1,'Master data'!$B$1:$CL$1,0)),"")</f>
        <v>7500000</v>
      </c>
    </row>
    <row r="28" spans="1:17" hidden="1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data'!$B$2:$CL$1000,MATCH($B28,'Master data'!$A$2:$A$1000,0),MATCH(C$1,'Master data'!$B$1:$CL$1,0)),"")</f>
        <v>Germany</v>
      </c>
      <c r="D28" t="str">
        <f>IFERROR(INDEX('Master data'!$B$2:$CL$1000,MATCH($B28,'Master data'!$A$2:$A$1000,0),MATCH(D$1,'Master data'!$B$1:$CL$1,0)),"")</f>
        <v>Striker</v>
      </c>
      <c r="E28" s="5">
        <f>IFERROR(INDEX('Master data'!$B$2:$CL$1000,MATCH($B28,'Master data'!$A$2:$A$1000,0),MATCH(E$1,'Master data'!$B$1:$CL$1,0)),"")</f>
        <v>7500000</v>
      </c>
      <c r="F28" s="7">
        <f>IFERROR(INDEX('Master data'!$B$2:$CL$1000,MATCH($B28,'Master data'!$A$2:$A$1000,0),MATCH(F$1,'Master data'!$B$1:$CL$1,0)),"")</f>
        <v>49957.31657155916</v>
      </c>
      <c r="G28" s="7">
        <f>IFERROR(INDEX('Master data'!$B$2:$CL$1000,MATCH($B28,'Master data'!$A$2:$A$1000,0),MATCH(G$1,'Master data'!$B$1:$CL$1,0)),"")</f>
        <v>59633.224327951139</v>
      </c>
      <c r="H28" s="7">
        <f>IFERROR(INDEX('Master data'!$B$2:$CL$1000,MATCH($B28,'Master data'!$A$2:$A$1000,0),MATCH(H$1,'Master data'!$B$1:$CL$1,0)),"")</f>
        <v>116930.94719529452</v>
      </c>
      <c r="I28" s="7">
        <f>IFERROR(INDEX('Master data'!$B$2:$CL$1000,MATCH($B28,'Master data'!$A$2:$A$1000,0),MATCH(I$1,'Master data'!$B$1:$CL$1,0)),"")</f>
        <v>-1565.4660016600535</v>
      </c>
      <c r="J28" s="7">
        <f>IFERROR(INDEX('Master data'!$B$2:$CL$1000,MATCH($B28,'Master data'!$A$2:$A$1000,0),MATCH(J$1,'Master data'!$B$1:$CL$1,0)),"")</f>
        <v>-1137.2577036903269</v>
      </c>
      <c r="K28" s="7">
        <f>IFERROR(INDEX('Master data'!$B$2:$CL$1000,MATCH($B28,'Master data'!$A$2:$A$1000,0),MATCH(K$1,'Master data'!$B$1:$CL$1,0)),"")</f>
        <v>-761.92901977154702</v>
      </c>
      <c r="L28" s="7">
        <f>IFERROR(INDEX('Master data'!$B$2:$CL$1000,MATCH($B28,'Master data'!$A$2:$A$1000,0),MATCH(L$1,'Master data'!$B$1:$CL$1,0)),"")</f>
        <v>-504.62565321102926</v>
      </c>
      <c r="M28" s="5">
        <f>IFERROR(INDEX('Master data'!$B$2:$CL$1000,MATCH($B28,'Master data'!$A$2:$A$1000,0),MATCH(M$1,'Master data'!$B$1:$CL$1,0)),"")</f>
        <v>140848.98587370745</v>
      </c>
      <c r="N28" s="28">
        <f>IFERROR(INDEX('Master data'!$B$2:$CL$1000,MATCH($B28,'Master data'!$A$2:$A$1000,0),MATCH(N$1,'Master data'!$B$1:$CL$1,0)),"")</f>
        <v>3.0202865079307306E-2</v>
      </c>
      <c r="O28" s="7">
        <f>IFERROR(INDEX('Master data'!$B$2:$CL$1000,MATCH($B28,'Master data'!$A$2:$A$1000,0),MATCH(O$1,'Master data'!$B$1:$CL$1,0)),"")</f>
        <v>0</v>
      </c>
      <c r="P28" s="5">
        <f>IFERROR(INDEX('Master data'!$B$2:$CL$1000,MATCH($B28,'Master data'!$A$2:$A$1000,0),MATCH(P$1,'Master data'!$B$1:$CL$1,0)),"")</f>
        <v>7500000</v>
      </c>
      <c r="Q28" s="5">
        <f>IFERROR(INDEX('Master data'!$B$2:$CL$1000,MATCH($B28,'Master data'!$A$2:$A$1000,0),MATCH(Q$1,'Master data'!$B$1:$CL$1,0)),"")</f>
        <v>7500000</v>
      </c>
    </row>
    <row r="29" spans="1:17" hidden="1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data'!$B$2:$CL$1000,MATCH($B29,'Master data'!$A$2:$A$1000,0),MATCH(C$1,'Master data'!$B$1:$CL$1,0)),"")</f>
        <v>Germany</v>
      </c>
      <c r="D29" t="str">
        <f>IFERROR(INDEX('Master data'!$B$2:$CL$1000,MATCH($B29,'Master data'!$A$2:$A$1000,0),MATCH(D$1,'Master data'!$B$1:$CL$1,0)),"")</f>
        <v>Striker</v>
      </c>
      <c r="E29" s="5">
        <f>IFERROR(INDEX('Master data'!$B$2:$CL$1000,MATCH($B29,'Master data'!$A$2:$A$1000,0),MATCH(E$1,'Master data'!$B$1:$CL$1,0)),"")</f>
        <v>5500000</v>
      </c>
      <c r="F29" s="7">
        <f>IFERROR(INDEX('Master data'!$B$2:$CL$1000,MATCH($B29,'Master data'!$A$2:$A$1000,0),MATCH(F$1,'Master data'!$B$1:$CL$1,0)),"")</f>
        <v>-5000</v>
      </c>
      <c r="G29" s="7">
        <f>IFERROR(INDEX('Master data'!$B$2:$CL$1000,MATCH($B29,'Master data'!$A$2:$A$1000,0),MATCH(G$1,'Master data'!$B$1:$CL$1,0)),"")</f>
        <v>-5000</v>
      </c>
      <c r="H29" s="7">
        <f>IFERROR(INDEX('Master data'!$B$2:$CL$1000,MATCH($B29,'Master data'!$A$2:$A$1000,0),MATCH(H$1,'Master data'!$B$1:$CL$1,0)),"")</f>
        <v>-5000</v>
      </c>
      <c r="I29" s="7">
        <f>IFERROR(INDEX('Master data'!$B$2:$CL$1000,MATCH($B29,'Master data'!$A$2:$A$1000,0),MATCH(I$1,'Master data'!$B$1:$CL$1,0)),"")</f>
        <v>-53293.719675907516</v>
      </c>
      <c r="J29" s="7">
        <f>IFERROR(INDEX('Master data'!$B$2:$CL$1000,MATCH($B29,'Master data'!$A$2:$A$1000,0),MATCH(J$1,'Master data'!$B$1:$CL$1,0)),"")</f>
        <v>-27061.146139797947</v>
      </c>
      <c r="K29" s="7">
        <f>IFERROR(INDEX('Master data'!$B$2:$CL$1000,MATCH($B29,'Master data'!$A$2:$A$1000,0),MATCH(K$1,'Master data'!$B$1:$CL$1,0)),"")</f>
        <v>-13929.784743253365</v>
      </c>
      <c r="L29" s="7">
        <f>IFERROR(INDEX('Master data'!$B$2:$CL$1000,MATCH($B29,'Master data'!$A$2:$A$1000,0),MATCH(L$1,'Master data'!$B$1:$CL$1,0)),"")</f>
        <v>-7487.9820355582578</v>
      </c>
      <c r="M29" s="5">
        <f>IFERROR(INDEX('Master data'!$B$2:$CL$1000,MATCH($B29,'Master data'!$A$2:$A$1000,0),MATCH(M$1,'Master data'!$B$1:$CL$1,0)),"")</f>
        <v>-34183.454979087757</v>
      </c>
      <c r="N29" s="28">
        <f>IFERROR(INDEX('Master data'!$B$2:$CL$1000,MATCH($B29,'Master data'!$A$2:$A$1000,0),MATCH(N$1,'Master data'!$B$1:$CL$1,0)),"")</f>
        <v>-2.7272727272727275E-3</v>
      </c>
      <c r="O29" s="7">
        <f>IFERROR(INDEX('Master data'!$B$2:$CL$1000,MATCH($B29,'Master data'!$A$2:$A$1000,0),MATCH(O$1,'Master data'!$B$1:$CL$1,0)),"")</f>
        <v>0</v>
      </c>
      <c r="P29" s="5">
        <f>IFERROR(INDEX('Master data'!$B$2:$CL$1000,MATCH($B29,'Master data'!$A$2:$A$1000,0),MATCH(P$1,'Master data'!$B$1:$CL$1,0)),"")</f>
        <v>5500000</v>
      </c>
      <c r="Q29" s="5">
        <f>IFERROR(INDEX('Master data'!$B$2:$CL$1000,MATCH($B29,'Master data'!$A$2:$A$1000,0),MATCH(Q$1,'Master data'!$B$1:$CL$1,0)),"")</f>
        <v>5500000</v>
      </c>
    </row>
    <row r="30" spans="1:17" hidden="1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data'!$B$2:$CL$1000,MATCH($B30,'Master data'!$A$2:$A$1000,0),MATCH(C$1,'Master data'!$B$1:$CL$1,0)),"")</f>
        <v>England</v>
      </c>
      <c r="D30" t="str">
        <f>IFERROR(INDEX('Master data'!$B$2:$CL$1000,MATCH($B30,'Master data'!$A$2:$A$1000,0),MATCH(D$1,'Master data'!$B$1:$CL$1,0)),"")</f>
        <v>Midfield</v>
      </c>
      <c r="E30" s="5">
        <f>IFERROR(INDEX('Master data'!$B$2:$CL$1000,MATCH($B30,'Master data'!$A$2:$A$1000,0),MATCH(E$1,'Master data'!$B$1:$CL$1,0)),"")</f>
        <v>5500000</v>
      </c>
      <c r="F30" s="7">
        <f>IFERROR(INDEX('Master data'!$B$2:$CL$1000,MATCH($B30,'Master data'!$A$2:$A$1000,0),MATCH(F$1,'Master data'!$B$1:$CL$1,0)),"")</f>
        <v>54152.687551222698</v>
      </c>
      <c r="G30" s="7">
        <f>IFERROR(INDEX('Master data'!$B$2:$CL$1000,MATCH($B30,'Master data'!$A$2:$A$1000,0),MATCH(G$1,'Master data'!$B$1:$CL$1,0)),"")</f>
        <v>71821.645491155679</v>
      </c>
      <c r="H30" s="7">
        <f>IFERROR(INDEX('Master data'!$B$2:$CL$1000,MATCH($B30,'Master data'!$A$2:$A$1000,0),MATCH(H$1,'Master data'!$B$1:$CL$1,0)),"")</f>
        <v>75429.77755735298</v>
      </c>
      <c r="I30" s="7">
        <f>IFERROR(INDEX('Master data'!$B$2:$CL$1000,MATCH($B30,'Master data'!$A$2:$A$1000,0),MATCH(I$1,'Master data'!$B$1:$CL$1,0)),"")</f>
        <v>9692.1427912338368</v>
      </c>
      <c r="J30" s="7">
        <f>IFERROR(INDEX('Master data'!$B$2:$CL$1000,MATCH($B30,'Master data'!$A$2:$A$1000,0),MATCH(J$1,'Master data'!$B$1:$CL$1,0)),"")</f>
        <v>4670.4874722377326</v>
      </c>
      <c r="K30" s="7">
        <f>IFERROR(INDEX('Master data'!$B$2:$CL$1000,MATCH($B30,'Master data'!$A$2:$A$1000,0),MATCH(K$1,'Master data'!$B$1:$CL$1,0)),"")</f>
        <v>2296.8726489074133</v>
      </c>
      <c r="L30" s="7">
        <f>IFERROR(INDEX('Master data'!$B$2:$CL$1000,MATCH($B30,'Master data'!$A$2:$A$1000,0),MATCH(L$1,'Master data'!$B$1:$CL$1,0)),"")</f>
        <v>1212.4859378637846</v>
      </c>
      <c r="M30" s="5">
        <f>IFERROR(INDEX('Master data'!$B$2:$CL$1000,MATCH($B30,'Master data'!$A$2:$A$1000,0),MATCH(M$1,'Master data'!$B$1:$CL$1,0)),"")</f>
        <v>139761.35634479084</v>
      </c>
      <c r="N30" s="28">
        <f>IFERROR(INDEX('Master data'!$B$2:$CL$1000,MATCH($B30,'Master data'!$A$2:$A$1000,0),MATCH(N$1,'Master data'!$B$1:$CL$1,0)),"")</f>
        <v>3.6618929199951147E-2</v>
      </c>
      <c r="O30" s="7">
        <f>IFERROR(INDEX('Master data'!$B$2:$CL$1000,MATCH($B30,'Master data'!$A$2:$A$1000,0),MATCH(O$1,'Master data'!$B$1:$CL$1,0)),"")</f>
        <v>0</v>
      </c>
      <c r="P30" s="5">
        <f>IFERROR(INDEX('Master data'!$B$2:$CL$1000,MATCH($B30,'Master data'!$A$2:$A$1000,0),MATCH(P$1,'Master data'!$B$1:$CL$1,0)),"")</f>
        <v>5500000</v>
      </c>
      <c r="Q30" s="5">
        <f>IFERROR(INDEX('Master data'!$B$2:$CL$1000,MATCH($B30,'Master data'!$A$2:$A$1000,0),MATCH(Q$1,'Master data'!$B$1:$CL$1,0)),"")</f>
        <v>5500000</v>
      </c>
    </row>
    <row r="31" spans="1:17" hidden="1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data'!$B$2:$CL$1000,MATCH($B31,'Master data'!$A$2:$A$1000,0),MATCH(C$1,'Master data'!$B$1:$CL$1,0)),"")</f>
        <v>Portugal</v>
      </c>
      <c r="D31" t="str">
        <f>IFERROR(INDEX('Master data'!$B$2:$CL$1000,MATCH($B31,'Master data'!$A$2:$A$1000,0),MATCH(D$1,'Master data'!$B$1:$CL$1,0)),"")</f>
        <v>Striker</v>
      </c>
      <c r="E31" s="5">
        <f>IFERROR(INDEX('Master data'!$B$2:$CL$1000,MATCH($B31,'Master data'!$A$2:$A$1000,0),MATCH(E$1,'Master data'!$B$1:$CL$1,0)),"")</f>
        <v>5500000</v>
      </c>
      <c r="F31" s="7">
        <f>IFERROR(INDEX('Master data'!$B$2:$CL$1000,MATCH($B31,'Master data'!$A$2:$A$1000,0),MATCH(F$1,'Master data'!$B$1:$CL$1,0)),"")</f>
        <v>-5000</v>
      </c>
      <c r="G31" s="7">
        <f>IFERROR(INDEX('Master data'!$B$2:$CL$1000,MATCH($B31,'Master data'!$A$2:$A$1000,0),MATCH(G$1,'Master data'!$B$1:$CL$1,0)),"")</f>
        <v>-5000</v>
      </c>
      <c r="H31" s="7">
        <f>IFERROR(INDEX('Master data'!$B$2:$CL$1000,MATCH($B31,'Master data'!$A$2:$A$1000,0),MATCH(H$1,'Master data'!$B$1:$CL$1,0)),"")</f>
        <v>-5000</v>
      </c>
      <c r="I31" s="7">
        <f>IFERROR(INDEX('Master data'!$B$2:$CL$1000,MATCH($B31,'Master data'!$A$2:$A$1000,0),MATCH(I$1,'Master data'!$B$1:$CL$1,0)),"")</f>
        <v>-45003.585504099668</v>
      </c>
      <c r="J31" s="7">
        <f>IFERROR(INDEX('Master data'!$B$2:$CL$1000,MATCH($B31,'Master data'!$A$2:$A$1000,0),MATCH(J$1,'Master data'!$B$1:$CL$1,0)),"")</f>
        <v>-22914.98202991964</v>
      </c>
      <c r="K31" s="7">
        <f>IFERROR(INDEX('Master data'!$B$2:$CL$1000,MATCH($B31,'Master data'!$A$2:$A$1000,0),MATCH(K$1,'Master data'!$B$1:$CL$1,0)),"")</f>
        <v>-11854.147948756958</v>
      </c>
      <c r="L31" s="7">
        <f>IFERROR(INDEX('Master data'!$B$2:$CL$1000,MATCH($B31,'Master data'!$A$2:$A$1000,0),MATCH(L$1,'Master data'!$B$1:$CL$1,0)),"")</f>
        <v>-6445.507358939748</v>
      </c>
      <c r="M31" s="5">
        <f>IFERROR(INDEX('Master data'!$B$2:$CL$1000,MATCH($B31,'Master data'!$A$2:$A$1000,0),MATCH(M$1,'Master data'!$B$1:$CL$1,0)),"")</f>
        <v>-30543.268251367303</v>
      </c>
      <c r="N31" s="28">
        <f>IFERROR(INDEX('Master data'!$B$2:$CL$1000,MATCH($B31,'Master data'!$A$2:$A$1000,0),MATCH(N$1,'Master data'!$B$1:$CL$1,0)),"")</f>
        <v>-2.7272727272727275E-3</v>
      </c>
      <c r="O31" s="7">
        <f>IFERROR(INDEX('Master data'!$B$2:$CL$1000,MATCH($B31,'Master data'!$A$2:$A$1000,0),MATCH(O$1,'Master data'!$B$1:$CL$1,0)),"")</f>
        <v>0</v>
      </c>
      <c r="P31" s="5">
        <f>IFERROR(INDEX('Master data'!$B$2:$CL$1000,MATCH($B31,'Master data'!$A$2:$A$1000,0),MATCH(P$1,'Master data'!$B$1:$CL$1,0)),"")</f>
        <v>5500000</v>
      </c>
      <c r="Q31" s="5">
        <f>IFERROR(INDEX('Master data'!$B$2:$CL$1000,MATCH($B31,'Master data'!$A$2:$A$1000,0),MATCH(Q$1,'Master data'!$B$1:$CL$1,0)),"")</f>
        <v>5500000</v>
      </c>
    </row>
    <row r="32" spans="1:17" hidden="1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data'!$B$2:$CL$1000,MATCH($B32,'Master data'!$A$2:$A$1000,0),MATCH(C$1,'Master data'!$B$1:$CL$1,0)),"")</f>
        <v>Spain</v>
      </c>
      <c r="D32" t="str">
        <f>IFERROR(INDEX('Master data'!$B$2:$CL$1000,MATCH($B32,'Master data'!$A$2:$A$1000,0),MATCH(D$1,'Master data'!$B$1:$CL$1,0)),"")</f>
        <v>Striker</v>
      </c>
      <c r="E32" s="5">
        <f>IFERROR(INDEX('Master data'!$B$2:$CL$1000,MATCH($B32,'Master data'!$A$2:$A$1000,0),MATCH(E$1,'Master data'!$B$1:$CL$1,0)),"")</f>
        <v>3500000</v>
      </c>
      <c r="F32" s="7">
        <f>IFERROR(INDEX('Master data'!$B$2:$CL$1000,MATCH($B32,'Master data'!$A$2:$A$1000,0),MATCH(F$1,'Master data'!$B$1:$CL$1,0)),"")</f>
        <v>84558.629297236461</v>
      </c>
      <c r="G32" s="7">
        <f>IFERROR(INDEX('Master data'!$B$2:$CL$1000,MATCH($B32,'Master data'!$A$2:$A$1000,0),MATCH(G$1,'Master data'!$B$1:$CL$1,0)),"")</f>
        <v>88219.808569507775</v>
      </c>
      <c r="H32" s="7">
        <f>IFERROR(INDEX('Master data'!$B$2:$CL$1000,MATCH($B32,'Master data'!$A$2:$A$1000,0),MATCH(H$1,'Master data'!$B$1:$CL$1,0)),"")</f>
        <v>110589.13853398329</v>
      </c>
      <c r="I32" s="7">
        <f>IFERROR(INDEX('Master data'!$B$2:$CL$1000,MATCH($B32,'Master data'!$A$2:$A$1000,0),MATCH(I$1,'Master data'!$B$1:$CL$1,0)),"")</f>
        <v>54741.165535982684</v>
      </c>
      <c r="J32" s="7">
        <f>IFERROR(INDEX('Master data'!$B$2:$CL$1000,MATCH($B32,'Master data'!$A$2:$A$1000,0),MATCH(J$1,'Master data'!$B$1:$CL$1,0)),"")</f>
        <v>27277.083592994775</v>
      </c>
      <c r="K32" s="7">
        <f>IFERROR(INDEX('Master data'!$B$2:$CL$1000,MATCH($B32,'Master data'!$A$2:$A$1000,0),MATCH(K$1,'Master data'!$B$1:$CL$1,0)),"")</f>
        <v>13743.10201683736</v>
      </c>
      <c r="L32" s="7">
        <f>IFERROR(INDEX('Master data'!$B$2:$CL$1000,MATCH($B32,'Master data'!$A$2:$A$1000,0),MATCH(L$1,'Master data'!$B$1:$CL$1,0)),"")</f>
        <v>7178.6686896846531</v>
      </c>
      <c r="M32" s="5">
        <f>IFERROR(INDEX('Master data'!$B$2:$CL$1000,MATCH($B32,'Master data'!$A$2:$A$1000,0),MATCH(M$1,'Master data'!$B$1:$CL$1,0)),"")</f>
        <v>216570.25101563302</v>
      </c>
      <c r="N32" s="28">
        <f>IFERROR(INDEX('Master data'!$B$2:$CL$1000,MATCH($B32,'Master data'!$A$2:$A$1000,0),MATCH(N$1,'Master data'!$B$1:$CL$1,0)),"")</f>
        <v>8.0962164685922142E-2</v>
      </c>
      <c r="O32" s="7">
        <f>IFERROR(INDEX('Master data'!$B$2:$CL$1000,MATCH($B32,'Master data'!$A$2:$A$1000,0),MATCH(O$1,'Master data'!$B$1:$CL$1,0)),"")</f>
        <v>0</v>
      </c>
      <c r="P32" s="5">
        <f>IFERROR(INDEX('Master data'!$B$2:$CL$1000,MATCH($B32,'Master data'!$A$2:$A$1000,0),MATCH(P$1,'Master data'!$B$1:$CL$1,0)),"")</f>
        <v>3500000</v>
      </c>
      <c r="Q32" s="5">
        <f>IFERROR(INDEX('Master data'!$B$2:$CL$1000,MATCH($B32,'Master data'!$A$2:$A$1000,0),MATCH(Q$1,'Master data'!$B$1:$CL$1,0)),"")</f>
        <v>3500000</v>
      </c>
    </row>
    <row r="33" spans="1:17" hidden="1">
      <c r="A33">
        <f t="shared" si="0"/>
        <v>31</v>
      </c>
      <c r="B33" t="str">
        <f>IF('Master data'!A33="","",'Master data'!A33)</f>
        <v>Paul Pogba</v>
      </c>
      <c r="C33" t="str">
        <f>IFERROR(INDEX('Master data'!$B$2:$CL$1000,MATCH($B33,'Master data'!$A$2:$A$1000,0),MATCH(C$1,'Master data'!$B$1:$CL$1,0)),"")</f>
        <v>France</v>
      </c>
      <c r="D33" t="str">
        <f>IFERROR(INDEX('Master data'!$B$2:$CL$1000,MATCH($B33,'Master data'!$A$2:$A$1000,0),MATCH(D$1,'Master data'!$B$1:$CL$1,0)),"")</f>
        <v>Midfield</v>
      </c>
      <c r="E33" s="5">
        <f>IFERROR(INDEX('Master data'!$B$2:$CL$1000,MATCH($B33,'Master data'!$A$2:$A$1000,0),MATCH(E$1,'Master data'!$B$1:$CL$1,0)),"")</f>
        <v>5000000</v>
      </c>
      <c r="F33" s="7">
        <f>IFERROR(INDEX('Master data'!$B$2:$CL$1000,MATCH($B33,'Master data'!$A$2:$A$1000,0),MATCH(F$1,'Master data'!$B$1:$CL$1,0)),"")</f>
        <v>29101.248201441835</v>
      </c>
      <c r="G33" s="7">
        <f>IFERROR(INDEX('Master data'!$B$2:$CL$1000,MATCH($B33,'Master data'!$A$2:$A$1000,0),MATCH(G$1,'Master data'!$B$1:$CL$1,0)),"")</f>
        <v>65196.318289690418</v>
      </c>
      <c r="H33" s="7">
        <f>IFERROR(INDEX('Master data'!$B$2:$CL$1000,MATCH($B33,'Master data'!$A$2:$A$1000,0),MATCH(H$1,'Master data'!$B$1:$CL$1,0)),"")</f>
        <v>34094.843559281682</v>
      </c>
      <c r="I33" s="7">
        <f>IFERROR(INDEX('Master data'!$B$2:$CL$1000,MATCH($B33,'Master data'!$A$2:$A$1000,0),MATCH(I$1,'Master data'!$B$1:$CL$1,0)),"")</f>
        <v>-7491.0924220147635</v>
      </c>
      <c r="J33" s="7">
        <f>IFERROR(INDEX('Master data'!$B$2:$CL$1000,MATCH($B33,'Master data'!$A$2:$A$1000,0),MATCH(J$1,'Master data'!$B$1:$CL$1,0)),"")</f>
        <v>-4089.7462545563417</v>
      </c>
      <c r="K33" s="7">
        <f>IFERROR(INDEX('Master data'!$B$2:$CL$1000,MATCH($B33,'Master data'!$A$2:$A$1000,0),MATCH(K$1,'Master data'!$B$1:$CL$1,0)),"")</f>
        <v>-2296.2385871853985</v>
      </c>
      <c r="L33" s="7">
        <f>IFERROR(INDEX('Master data'!$B$2:$CL$1000,MATCH($B33,'Master data'!$A$2:$A$1000,0),MATCH(L$1,'Master data'!$B$1:$CL$1,0)),"")</f>
        <v>-1407.3017088225206</v>
      </c>
      <c r="M33" s="5">
        <f>IFERROR(INDEX('Master data'!$B$2:$CL$1000,MATCH($B33,'Master data'!$A$2:$A$1000,0),MATCH(M$1,'Master data'!$B$1:$CL$1,0)),"")</f>
        <v>84265.355697259482</v>
      </c>
      <c r="N33" s="28">
        <f>IFERROR(INDEX('Master data'!$B$2:$CL$1000,MATCH($B33,'Master data'!$A$2:$A$1000,0),MATCH(N$1,'Master data'!$B$1:$CL$1,0)),"")</f>
        <v>2.5678482010082791E-2</v>
      </c>
      <c r="O33" s="7">
        <f>IFERROR(INDEX('Master data'!$B$2:$CL$1000,MATCH($B33,'Master data'!$A$2:$A$1000,0),MATCH(O$1,'Master data'!$B$1:$CL$1,0)),"")</f>
        <v>0</v>
      </c>
      <c r="P33" s="5">
        <f>IFERROR(INDEX('Master data'!$B$2:$CL$1000,MATCH($B33,'Master data'!$A$2:$A$1000,0),MATCH(P$1,'Master data'!$B$1:$CL$1,0)),"")</f>
        <v>5000000</v>
      </c>
      <c r="Q33" s="5">
        <f>IFERROR(INDEX('Master data'!$B$2:$CL$1000,MATCH($B33,'Master data'!$A$2:$A$1000,0),MATCH(Q$1,'Master data'!$B$1:$CL$1,0)),"")</f>
        <v>5000000</v>
      </c>
    </row>
    <row r="34" spans="1:17" hidden="1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data'!$B$2:$CL$1000,MATCH($B34,'Master data'!$A$2:$A$1000,0),MATCH(C$1,'Master data'!$B$1:$CL$1,0)),"")</f>
        <v>France</v>
      </c>
      <c r="D34" t="str">
        <f>IFERROR(INDEX('Master data'!$B$2:$CL$1000,MATCH($B34,'Master data'!$A$2:$A$1000,0),MATCH(D$1,'Master data'!$B$1:$CL$1,0)),"")</f>
        <v>Striker</v>
      </c>
      <c r="E34" s="5">
        <f>IFERROR(INDEX('Master data'!$B$2:$CL$1000,MATCH($B34,'Master data'!$A$2:$A$1000,0),MATCH(E$1,'Master data'!$B$1:$CL$1,0)),"")</f>
        <v>4000000</v>
      </c>
      <c r="F34" s="7">
        <f>IFERROR(INDEX('Master data'!$B$2:$CL$1000,MATCH($B34,'Master data'!$A$2:$A$1000,0),MATCH(F$1,'Master data'!$B$1:$CL$1,0)),"")</f>
        <v>-5000</v>
      </c>
      <c r="G34" s="7">
        <f>IFERROR(INDEX('Master data'!$B$2:$CL$1000,MATCH($B34,'Master data'!$A$2:$A$1000,0),MATCH(G$1,'Master data'!$B$1:$CL$1,0)),"")</f>
        <v>-5000</v>
      </c>
      <c r="H34" s="7">
        <f>IFERROR(INDEX('Master data'!$B$2:$CL$1000,MATCH($B34,'Master data'!$A$2:$A$1000,0),MATCH(H$1,'Master data'!$B$1:$CL$1,0)),"")</f>
        <v>-5000</v>
      </c>
      <c r="I34" s="7">
        <f>IFERROR(INDEX('Master data'!$B$2:$CL$1000,MATCH($B34,'Master data'!$A$2:$A$1000,0),MATCH(I$1,'Master data'!$B$1:$CL$1,0)),"")</f>
        <v>-39589.620330674152</v>
      </c>
      <c r="J34" s="7">
        <f>IFERROR(INDEX('Master data'!$B$2:$CL$1000,MATCH($B34,'Master data'!$A$2:$A$1000,0),MATCH(J$1,'Master data'!$B$1:$CL$1,0)),"")</f>
        <v>-20553.2666922752</v>
      </c>
      <c r="K34" s="7">
        <f>IFERROR(INDEX('Master data'!$B$2:$CL$1000,MATCH($B34,'Master data'!$A$2:$A$1000,0),MATCH(K$1,'Master data'!$B$1:$CL$1,0)),"")</f>
        <v>-10998.955135275246</v>
      </c>
      <c r="L34" s="7">
        <f>IFERROR(INDEX('Master data'!$B$2:$CL$1000,MATCH($B34,'Master data'!$A$2:$A$1000,0),MATCH(L$1,'Master data'!$B$1:$CL$1,0)),"")</f>
        <v>-6438.4801896482641</v>
      </c>
      <c r="M34" s="5">
        <f>IFERROR(INDEX('Master data'!$B$2:$CL$1000,MATCH($B34,'Master data'!$A$2:$A$1000,0),MATCH(M$1,'Master data'!$B$1:$CL$1,0)),"")</f>
        <v>-28359.383841203235</v>
      </c>
      <c r="N34" s="28">
        <f>IFERROR(INDEX('Master data'!$B$2:$CL$1000,MATCH($B34,'Master data'!$A$2:$A$1000,0),MATCH(N$1,'Master data'!$B$1:$CL$1,0)),"")</f>
        <v>-3.7499999999999999E-3</v>
      </c>
      <c r="O34" s="7">
        <f>IFERROR(INDEX('Master data'!$B$2:$CL$1000,MATCH($B34,'Master data'!$A$2:$A$1000,0),MATCH(O$1,'Master data'!$B$1:$CL$1,0)),"")</f>
        <v>0</v>
      </c>
      <c r="P34" s="5">
        <f>IFERROR(INDEX('Master data'!$B$2:$CL$1000,MATCH($B34,'Master data'!$A$2:$A$1000,0),MATCH(P$1,'Master data'!$B$1:$CL$1,0)),"")</f>
        <v>4000000</v>
      </c>
      <c r="Q34" s="5">
        <f>IFERROR(INDEX('Master data'!$B$2:$CL$1000,MATCH($B34,'Master data'!$A$2:$A$1000,0),MATCH(Q$1,'Master data'!$B$1:$CL$1,0)),"")</f>
        <v>4000000</v>
      </c>
    </row>
    <row r="35" spans="1:17" hidden="1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data'!$B$2:$CL$1000,MATCH($B35,'Master data'!$A$2:$A$1000,0),MATCH(C$1,'Master data'!$B$1:$CL$1,0)),"")</f>
        <v>Croatia</v>
      </c>
      <c r="D35" t="str">
        <f>IFERROR(INDEX('Master data'!$B$2:$CL$1000,MATCH($B35,'Master data'!$A$2:$A$1000,0),MATCH(D$1,'Master data'!$B$1:$CL$1,0)),"")</f>
        <v>Midfield</v>
      </c>
      <c r="E35" s="5">
        <f>IFERROR(INDEX('Master data'!$B$2:$CL$1000,MATCH($B35,'Master data'!$A$2:$A$1000,0),MATCH(E$1,'Master data'!$B$1:$CL$1,0)),"")</f>
        <v>3500000</v>
      </c>
      <c r="F35" s="7">
        <f>IFERROR(INDEX('Master data'!$B$2:$CL$1000,MATCH($B35,'Master data'!$A$2:$A$1000,0),MATCH(F$1,'Master data'!$B$1:$CL$1,0)),"")</f>
        <v>-5000</v>
      </c>
      <c r="G35" s="7">
        <f>IFERROR(INDEX('Master data'!$B$2:$CL$1000,MATCH($B35,'Master data'!$A$2:$A$1000,0),MATCH(G$1,'Master data'!$B$1:$CL$1,0)),"")</f>
        <v>-5000</v>
      </c>
      <c r="H35" s="7">
        <f>IFERROR(INDEX('Master data'!$B$2:$CL$1000,MATCH($B35,'Master data'!$A$2:$A$1000,0),MATCH(H$1,'Master data'!$B$1:$CL$1,0)),"")</f>
        <v>-5000</v>
      </c>
      <c r="I35" s="7">
        <f>IFERROR(INDEX('Master data'!$B$2:$CL$1000,MATCH($B35,'Master data'!$A$2:$A$1000,0),MATCH(I$1,'Master data'!$B$1:$CL$1,0)),"")</f>
        <v>-29744.463992785913</v>
      </c>
      <c r="J35" s="7">
        <f>IFERROR(INDEX('Master data'!$B$2:$CL$1000,MATCH($B35,'Master data'!$A$2:$A$1000,0),MATCH(J$1,'Master data'!$B$1:$CL$1,0)),"")</f>
        <v>-14680.873371324324</v>
      </c>
      <c r="K35" s="7">
        <f>IFERROR(INDEX('Master data'!$B$2:$CL$1000,MATCH($B35,'Master data'!$A$2:$A$1000,0),MATCH(K$1,'Master data'!$B$1:$CL$1,0)),"")</f>
        <v>-7168.8795949809119</v>
      </c>
      <c r="L35" s="7">
        <f>IFERROR(INDEX('Master data'!$B$2:$CL$1000,MATCH($B35,'Master data'!$A$2:$A$1000,0),MATCH(L$1,'Master data'!$B$1:$CL$1,0)),"")</f>
        <v>-3370.8670994813033</v>
      </c>
      <c r="M35" s="5">
        <f>IFERROR(INDEX('Master data'!$B$2:$CL$1000,MATCH($B35,'Master data'!$A$2:$A$1000,0),MATCH(M$1,'Master data'!$B$1:$CL$1,0)),"")</f>
        <v>-23508.639126745446</v>
      </c>
      <c r="N35" s="28">
        <f>IFERROR(INDEX('Master data'!$B$2:$CL$1000,MATCH($B35,'Master data'!$A$2:$A$1000,0),MATCH(N$1,'Master data'!$B$1:$CL$1,0)),"")</f>
        <v>-4.2857142857142859E-3</v>
      </c>
      <c r="O35" s="7">
        <f>IFERROR(INDEX('Master data'!$B$2:$CL$1000,MATCH($B35,'Master data'!$A$2:$A$1000,0),MATCH(O$1,'Master data'!$B$1:$CL$1,0)),"")</f>
        <v>0</v>
      </c>
      <c r="P35" s="5">
        <f>IFERROR(INDEX('Master data'!$B$2:$CL$1000,MATCH($B35,'Master data'!$A$2:$A$1000,0),MATCH(P$1,'Master data'!$B$1:$CL$1,0)),"")</f>
        <v>3500000</v>
      </c>
      <c r="Q35" s="5">
        <f>IFERROR(INDEX('Master data'!$B$2:$CL$1000,MATCH($B35,'Master data'!$A$2:$A$1000,0),MATCH(Q$1,'Master data'!$B$1:$CL$1,0)),"")</f>
        <v>3500000</v>
      </c>
    </row>
    <row r="36" spans="1:17" hidden="1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data'!$B$2:$CL$1000,MATCH($B36,'Master data'!$A$2:$A$1000,0),MATCH(C$1,'Master data'!$B$1:$CL$1,0)),"")</f>
        <v>Croatia</v>
      </c>
      <c r="D36" t="str">
        <f>IFERROR(INDEX('Master data'!$B$2:$CL$1000,MATCH($B36,'Master data'!$A$2:$A$1000,0),MATCH(D$1,'Master data'!$B$1:$CL$1,0)),"")</f>
        <v>Striker</v>
      </c>
      <c r="E36" s="5">
        <f>IFERROR(INDEX('Master data'!$B$2:$CL$1000,MATCH($B36,'Master data'!$A$2:$A$1000,0),MATCH(E$1,'Master data'!$B$1:$CL$1,0)),"")</f>
        <v>4500000</v>
      </c>
      <c r="F36" s="7">
        <f>IFERROR(INDEX('Master data'!$B$2:$CL$1000,MATCH($B36,'Master data'!$A$2:$A$1000,0),MATCH(F$1,'Master data'!$B$1:$CL$1,0)),"")</f>
        <v>16058.47084094773</v>
      </c>
      <c r="G36" s="7">
        <f>IFERROR(INDEX('Master data'!$B$2:$CL$1000,MATCH($B36,'Master data'!$A$2:$A$1000,0),MATCH(G$1,'Master data'!$B$1:$CL$1,0)),"")</f>
        <v>53543.691055112286</v>
      </c>
      <c r="H36" s="7">
        <f>IFERROR(INDEX('Master data'!$B$2:$CL$1000,MATCH($B36,'Master data'!$A$2:$A$1000,0),MATCH(H$1,'Master data'!$B$1:$CL$1,0)),"")</f>
        <v>61377.2174796006</v>
      </c>
      <c r="I36" s="7">
        <f>IFERROR(INDEX('Master data'!$B$2:$CL$1000,MATCH($B36,'Master data'!$A$2:$A$1000,0),MATCH(I$1,'Master data'!$B$1:$CL$1,0)),"")</f>
        <v>-1977.9886942569567</v>
      </c>
      <c r="J36" s="7">
        <f>IFERROR(INDEX('Master data'!$B$2:$CL$1000,MATCH($B36,'Master data'!$A$2:$A$1000,0),MATCH(J$1,'Master data'!$B$1:$CL$1,0)),"")</f>
        <v>-1138.5417887337544</v>
      </c>
      <c r="K36" s="7">
        <f>IFERROR(INDEX('Master data'!$B$2:$CL$1000,MATCH($B36,'Master data'!$A$2:$A$1000,0),MATCH(K$1,'Master data'!$B$1:$CL$1,0)),"")</f>
        <v>-635.40557787386058</v>
      </c>
      <c r="L36" s="7">
        <f>IFERROR(INDEX('Master data'!$B$2:$CL$1000,MATCH($B36,'Master data'!$A$2:$A$1000,0),MATCH(L$1,'Master data'!$B$1:$CL$1,0)),"")</f>
        <v>-336.22017313984344</v>
      </c>
      <c r="M36" s="5">
        <f>IFERROR(INDEX('Master data'!$B$2:$CL$1000,MATCH($B36,'Master data'!$A$2:$A$1000,0),MATCH(M$1,'Master data'!$B$1:$CL$1,0)),"")</f>
        <v>78108.868253953435</v>
      </c>
      <c r="N36" s="28">
        <f>IFERROR(INDEX('Master data'!$B$2:$CL$1000,MATCH($B36,'Master data'!$A$2:$A$1000,0),MATCH(N$1,'Master data'!$B$1:$CL$1,0)),"")</f>
        <v>2.9106528750146805E-2</v>
      </c>
      <c r="O36" s="7">
        <f>IFERROR(INDEX('Master data'!$B$2:$CL$1000,MATCH($B36,'Master data'!$A$2:$A$1000,0),MATCH(O$1,'Master data'!$B$1:$CL$1,0)),"")</f>
        <v>0</v>
      </c>
      <c r="P36" s="5">
        <f>IFERROR(INDEX('Master data'!$B$2:$CL$1000,MATCH($B36,'Master data'!$A$2:$A$1000,0),MATCH(P$1,'Master data'!$B$1:$CL$1,0)),"")</f>
        <v>4500000</v>
      </c>
      <c r="Q36" s="5">
        <f>IFERROR(INDEX('Master data'!$B$2:$CL$1000,MATCH($B36,'Master data'!$A$2:$A$1000,0),MATCH(Q$1,'Master data'!$B$1:$CL$1,0)),"")</f>
        <v>4500000</v>
      </c>
    </row>
    <row r="37" spans="1:17" hidden="1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data'!$B$2:$CL$1000,MATCH($B37,'Master data'!$A$2:$A$1000,0),MATCH(C$1,'Master data'!$B$1:$CL$1,0)),"")</f>
        <v>Italy</v>
      </c>
      <c r="D37" t="str">
        <f>IFERROR(INDEX('Master data'!$B$2:$CL$1000,MATCH($B37,'Master data'!$A$2:$A$1000,0),MATCH(D$1,'Master data'!$B$1:$CL$1,0)),"")</f>
        <v>Striker</v>
      </c>
      <c r="E37" s="5">
        <f>IFERROR(INDEX('Master data'!$B$2:$CL$1000,MATCH($B37,'Master data'!$A$2:$A$1000,0),MATCH(E$1,'Master data'!$B$1:$CL$1,0)),"")</f>
        <v>5000000</v>
      </c>
      <c r="F37" s="7">
        <f>IFERROR(INDEX('Master data'!$B$2:$CL$1000,MATCH($B37,'Master data'!$A$2:$A$1000,0),MATCH(F$1,'Master data'!$B$1:$CL$1,0)),"")</f>
        <v>93576.494795288163</v>
      </c>
      <c r="G37" s="7">
        <f>IFERROR(INDEX('Master data'!$B$2:$CL$1000,MATCH($B37,'Master data'!$A$2:$A$1000,0),MATCH(G$1,'Master data'!$B$1:$CL$1,0)),"")</f>
        <v>83902.978763328807</v>
      </c>
      <c r="H37" s="7">
        <f>IFERROR(INDEX('Master data'!$B$2:$CL$1000,MATCH($B37,'Master data'!$A$2:$A$1000,0),MATCH(H$1,'Master data'!$B$1:$CL$1,0)),"")</f>
        <v>103746.43955460389</v>
      </c>
      <c r="I37" s="7">
        <f>IFERROR(INDEX('Master data'!$B$2:$CL$1000,MATCH($B37,'Master data'!$A$2:$A$1000,0),MATCH(I$1,'Master data'!$B$1:$CL$1,0)),"")</f>
        <v>39196.704272532334</v>
      </c>
      <c r="J37" s="7">
        <f>IFERROR(INDEX('Master data'!$B$2:$CL$1000,MATCH($B37,'Master data'!$A$2:$A$1000,0),MATCH(J$1,'Master data'!$B$1:$CL$1,0)),"")</f>
        <v>19304.790218127637</v>
      </c>
      <c r="K37" s="7">
        <f>IFERROR(INDEX('Master data'!$B$2:$CL$1000,MATCH($B37,'Master data'!$A$2:$A$1000,0),MATCH(K$1,'Master data'!$B$1:$CL$1,0)),"")</f>
        <v>9568.8835586168752</v>
      </c>
      <c r="L37" s="7">
        <f>IFERROR(INDEX('Master data'!$B$2:$CL$1000,MATCH($B37,'Master data'!$A$2:$A$1000,0),MATCH(L$1,'Master data'!$B$1:$CL$1,0)),"")</f>
        <v>4849.245008080441</v>
      </c>
      <c r="M37" s="5">
        <f>IFERROR(INDEX('Master data'!$B$2:$CL$1000,MATCH($B37,'Master data'!$A$2:$A$1000,0),MATCH(M$1,'Master data'!$B$1:$CL$1,0)),"")</f>
        <v>212734.29522202507</v>
      </c>
      <c r="N37" s="28">
        <f>IFERROR(INDEX('Master data'!$B$2:$CL$1000,MATCH($B37,'Master data'!$A$2:$A$1000,0),MATCH(N$1,'Master data'!$B$1:$CL$1,0)),"")</f>
        <v>5.6245182622644163E-2</v>
      </c>
      <c r="O37" s="7">
        <f>IFERROR(INDEX('Master data'!$B$2:$CL$1000,MATCH($B37,'Master data'!$A$2:$A$1000,0),MATCH(O$1,'Master data'!$B$1:$CL$1,0)),"")</f>
        <v>0</v>
      </c>
      <c r="P37" s="5">
        <f>IFERROR(INDEX('Master data'!$B$2:$CL$1000,MATCH($B37,'Master data'!$A$2:$A$1000,0),MATCH(P$1,'Master data'!$B$1:$CL$1,0)),"")</f>
        <v>5000000</v>
      </c>
      <c r="Q37" s="5">
        <f>IFERROR(INDEX('Master data'!$B$2:$CL$1000,MATCH($B37,'Master data'!$A$2:$A$1000,0),MATCH(Q$1,'Master data'!$B$1:$CL$1,0)),"")</f>
        <v>5000000</v>
      </c>
    </row>
    <row r="38" spans="1:17" hidden="1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data'!$B$2:$CL$1000,MATCH($B38,'Master data'!$A$2:$A$1000,0),MATCH(C$1,'Master data'!$B$1:$CL$1,0)),"")</f>
        <v>Italy</v>
      </c>
      <c r="D38" t="str">
        <f>IFERROR(INDEX('Master data'!$B$2:$CL$1000,MATCH($B38,'Master data'!$A$2:$A$1000,0),MATCH(D$1,'Master data'!$B$1:$CL$1,0)),"")</f>
        <v>Midfield</v>
      </c>
      <c r="E38" s="5">
        <f>IFERROR(INDEX('Master data'!$B$2:$CL$1000,MATCH($B38,'Master data'!$A$2:$A$1000,0),MATCH(E$1,'Master data'!$B$1:$CL$1,0)),"")</f>
        <v>4500000</v>
      </c>
      <c r="F38" s="7">
        <f>IFERROR(INDEX('Master data'!$B$2:$CL$1000,MATCH($B38,'Master data'!$A$2:$A$1000,0),MATCH(F$1,'Master data'!$B$1:$CL$1,0)),"")</f>
        <v>80287.30021310538</v>
      </c>
      <c r="G38" s="7">
        <f>IFERROR(INDEX('Master data'!$B$2:$CL$1000,MATCH($B38,'Master data'!$A$2:$A$1000,0),MATCH(G$1,'Master data'!$B$1:$CL$1,0)),"")</f>
        <v>71670.305841076886</v>
      </c>
      <c r="H38" s="7">
        <f>IFERROR(INDEX('Master data'!$B$2:$CL$1000,MATCH($B38,'Master data'!$A$2:$A$1000,0),MATCH(H$1,'Master data'!$B$1:$CL$1,0)),"")</f>
        <v>89087.213746405236</v>
      </c>
      <c r="I38" s="7">
        <f>IFERROR(INDEX('Master data'!$B$2:$CL$1000,MATCH($B38,'Master data'!$A$2:$A$1000,0),MATCH(I$1,'Master data'!$B$1:$CL$1,0)),"")</f>
        <v>31543.202443013914</v>
      </c>
      <c r="J38" s="7">
        <f>IFERROR(INDEX('Master data'!$B$2:$CL$1000,MATCH($B38,'Master data'!$A$2:$A$1000,0),MATCH(J$1,'Master data'!$B$1:$CL$1,0)),"")</f>
        <v>15511.657460236191</v>
      </c>
      <c r="K38" s="7">
        <f>IFERROR(INDEX('Master data'!$B$2:$CL$1000,MATCH($B38,'Master data'!$A$2:$A$1000,0),MATCH(K$1,'Master data'!$B$1:$CL$1,0)),"")</f>
        <v>7676.4134218091849</v>
      </c>
      <c r="L38" s="7">
        <f>IFERROR(INDEX('Master data'!$B$2:$CL$1000,MATCH($B38,'Master data'!$A$2:$A$1000,0),MATCH(L$1,'Master data'!$B$1:$CL$1,0)),"")</f>
        <v>3883.6469680368168</v>
      </c>
      <c r="M38" s="5">
        <f>IFERROR(INDEX('Master data'!$B$2:$CL$1000,MATCH($B38,'Master data'!$A$2:$A$1000,0),MATCH(M$1,'Master data'!$B$1:$CL$1,0)),"")</f>
        <v>181423.823380474</v>
      </c>
      <c r="N38" s="28">
        <f>IFERROR(INDEX('Master data'!$B$2:$CL$1000,MATCH($B38,'Master data'!$A$2:$A$1000,0),MATCH(N$1,'Master data'!$B$1:$CL$1,0)),"")</f>
        <v>5.3565515511241675E-2</v>
      </c>
      <c r="O38" s="7">
        <f>IFERROR(INDEX('Master data'!$B$2:$CL$1000,MATCH($B38,'Master data'!$A$2:$A$1000,0),MATCH(O$1,'Master data'!$B$1:$CL$1,0)),"")</f>
        <v>0</v>
      </c>
      <c r="P38" s="5">
        <f>IFERROR(INDEX('Master data'!$B$2:$CL$1000,MATCH($B38,'Master data'!$A$2:$A$1000,0),MATCH(P$1,'Master data'!$B$1:$CL$1,0)),"")</f>
        <v>4500000</v>
      </c>
      <c r="Q38" s="5">
        <f>IFERROR(INDEX('Master data'!$B$2:$CL$1000,MATCH($B38,'Master data'!$A$2:$A$1000,0),MATCH(Q$1,'Master data'!$B$1:$CL$1,0)),"")</f>
        <v>4500000</v>
      </c>
    </row>
    <row r="39" spans="1:17" hidden="1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data'!$B$2:$CL$1000,MATCH($B39,'Master data'!$A$2:$A$1000,0),MATCH(C$1,'Master data'!$B$1:$CL$1,0)),"")</f>
        <v>Belgium</v>
      </c>
      <c r="D39" t="str">
        <f>IFERROR(INDEX('Master data'!$B$2:$CL$1000,MATCH($B39,'Master data'!$A$2:$A$1000,0),MATCH(D$1,'Master data'!$B$1:$CL$1,0)),"")</f>
        <v>Striker</v>
      </c>
      <c r="E39" s="5">
        <f>IFERROR(INDEX('Master data'!$B$2:$CL$1000,MATCH($B39,'Master data'!$A$2:$A$1000,0),MATCH(E$1,'Master data'!$B$1:$CL$1,0)),"")</f>
        <v>4500000</v>
      </c>
      <c r="F39" s="7">
        <f>IFERROR(INDEX('Master data'!$B$2:$CL$1000,MATCH($B39,'Master data'!$A$2:$A$1000,0),MATCH(F$1,'Master data'!$B$1:$CL$1,0)),"")</f>
        <v>-5000</v>
      </c>
      <c r="G39" s="7">
        <f>IFERROR(INDEX('Master data'!$B$2:$CL$1000,MATCH($B39,'Master data'!$A$2:$A$1000,0),MATCH(G$1,'Master data'!$B$1:$CL$1,0)),"")</f>
        <v>-5000</v>
      </c>
      <c r="H39" s="7">
        <f>IFERROR(INDEX('Master data'!$B$2:$CL$1000,MATCH($B39,'Master data'!$A$2:$A$1000,0),MATCH(H$1,'Master data'!$B$1:$CL$1,0)),"")</f>
        <v>-5000</v>
      </c>
      <c r="I39" s="7">
        <f>IFERROR(INDEX('Master data'!$B$2:$CL$1000,MATCH($B39,'Master data'!$A$2:$A$1000,0),MATCH(I$1,'Master data'!$B$1:$CL$1,0)),"")</f>
        <v>-47739.297858831793</v>
      </c>
      <c r="J39" s="7">
        <f>IFERROR(INDEX('Master data'!$B$2:$CL$1000,MATCH($B39,'Master data'!$A$2:$A$1000,0),MATCH(J$1,'Master data'!$B$1:$CL$1,0)),"")</f>
        <v>-24330.539897010338</v>
      </c>
      <c r="K39" s="7">
        <f>IFERROR(INDEX('Master data'!$B$2:$CL$1000,MATCH($B39,'Master data'!$A$2:$A$1000,0),MATCH(K$1,'Master data'!$B$1:$CL$1,0)),"")</f>
        <v>-12608.910562177658</v>
      </c>
      <c r="L39" s="7">
        <f>IFERROR(INDEX('Master data'!$B$2:$CL$1000,MATCH($B39,'Master data'!$A$2:$A$1000,0),MATCH(L$1,'Master data'!$B$1:$CL$1,0)),"")</f>
        <v>-6885.3410698202479</v>
      </c>
      <c r="M39" s="5">
        <f>IFERROR(INDEX('Master data'!$B$2:$CL$1000,MATCH($B39,'Master data'!$A$2:$A$1000,0),MATCH(M$1,'Master data'!$B$1:$CL$1,0)),"")</f>
        <v>-31771.472325260227</v>
      </c>
      <c r="N39" s="28">
        <f>IFERROR(INDEX('Master data'!$B$2:$CL$1000,MATCH($B39,'Master data'!$A$2:$A$1000,0),MATCH(N$1,'Master data'!$B$1:$CL$1,0)),"")</f>
        <v>-3.3333333333333335E-3</v>
      </c>
      <c r="O39" s="7">
        <f>IFERROR(INDEX('Master data'!$B$2:$CL$1000,MATCH($B39,'Master data'!$A$2:$A$1000,0),MATCH(O$1,'Master data'!$B$1:$CL$1,0)),"")</f>
        <v>0</v>
      </c>
      <c r="P39" s="5">
        <f>IFERROR(INDEX('Master data'!$B$2:$CL$1000,MATCH($B39,'Master data'!$A$2:$A$1000,0),MATCH(P$1,'Master data'!$B$1:$CL$1,0)),"")</f>
        <v>4500000</v>
      </c>
      <c r="Q39" s="5">
        <f>IFERROR(INDEX('Master data'!$B$2:$CL$1000,MATCH($B39,'Master data'!$A$2:$A$1000,0),MATCH(Q$1,'Master data'!$B$1:$CL$1,0)),"")</f>
        <v>4500000</v>
      </c>
    </row>
    <row r="40" spans="1:17" hidden="1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data'!$B$2:$CL$1000,MATCH($B40,'Master data'!$A$2:$A$1000,0),MATCH(C$1,'Master data'!$B$1:$CL$1,0)),"")</f>
        <v>Netherlands</v>
      </c>
      <c r="D40" t="str">
        <f>IFERROR(INDEX('Master data'!$B$2:$CL$1000,MATCH($B40,'Master data'!$A$2:$A$1000,0),MATCH(D$1,'Master data'!$B$1:$CL$1,0)),"")</f>
        <v>Midfield</v>
      </c>
      <c r="E40" s="5">
        <f>IFERROR(INDEX('Master data'!$B$2:$CL$1000,MATCH($B40,'Master data'!$A$2:$A$1000,0),MATCH(E$1,'Master data'!$B$1:$CL$1,0)),"")</f>
        <v>4000000</v>
      </c>
      <c r="F40" s="7">
        <f>IFERROR(INDEX('Master data'!$B$2:$CL$1000,MATCH($B40,'Master data'!$A$2:$A$1000,0),MATCH(F$1,'Master data'!$B$1:$CL$1,0)),"")</f>
        <v>53818.920926771207</v>
      </c>
      <c r="G40" s="7">
        <f>IFERROR(INDEX('Master data'!$B$2:$CL$1000,MATCH($B40,'Master data'!$A$2:$A$1000,0),MATCH(G$1,'Master data'!$B$1:$CL$1,0)),"")</f>
        <v>61797.327604236714</v>
      </c>
      <c r="H40" s="7">
        <f>IFERROR(INDEX('Master data'!$B$2:$CL$1000,MATCH($B40,'Master data'!$A$2:$A$1000,0),MATCH(H$1,'Master data'!$B$1:$CL$1,0)),"")</f>
        <v>83359.003515880206</v>
      </c>
      <c r="I40" s="7">
        <f>IFERROR(INDEX('Master data'!$B$2:$CL$1000,MATCH($B40,'Master data'!$A$2:$A$1000,0),MATCH(I$1,'Master data'!$B$1:$CL$1,0)),"")</f>
        <v>23526.899499743609</v>
      </c>
      <c r="J40" s="7">
        <f>IFERROR(INDEX('Master data'!$B$2:$CL$1000,MATCH($B40,'Master data'!$A$2:$A$1000,0),MATCH(J$1,'Master data'!$B$1:$CL$1,0)),"")</f>
        <v>11437.490326551715</v>
      </c>
      <c r="K40" s="7">
        <f>IFERROR(INDEX('Master data'!$B$2:$CL$1000,MATCH($B40,'Master data'!$A$2:$A$1000,0),MATCH(K$1,'Master data'!$B$1:$CL$1,0)),"")</f>
        <v>5553.6208791859417</v>
      </c>
      <c r="L40" s="7">
        <f>IFERROR(INDEX('Master data'!$B$2:$CL$1000,MATCH($B40,'Master data'!$A$2:$A$1000,0),MATCH(L$1,'Master data'!$B$1:$CL$1,0)),"")</f>
        <v>2690.6363860871706</v>
      </c>
      <c r="M40" s="5">
        <f>IFERROR(INDEX('Master data'!$B$2:$CL$1000,MATCH($B40,'Master data'!$A$2:$A$1000,0),MATCH(M$1,'Master data'!$B$1:$CL$1,0)),"")</f>
        <v>142263.33188271598</v>
      </c>
      <c r="N40" s="28">
        <f>IFERROR(INDEX('Master data'!$B$2:$CL$1000,MATCH($B40,'Master data'!$A$2:$A$1000,0),MATCH(N$1,'Master data'!$B$1:$CL$1,0)),"")</f>
        <v>4.9743813011722031E-2</v>
      </c>
      <c r="O40" s="7">
        <f>IFERROR(INDEX('Master data'!$B$2:$CL$1000,MATCH($B40,'Master data'!$A$2:$A$1000,0),MATCH(O$1,'Master data'!$B$1:$CL$1,0)),"")</f>
        <v>0</v>
      </c>
      <c r="P40" s="5">
        <f>IFERROR(INDEX('Master data'!$B$2:$CL$1000,MATCH($B40,'Master data'!$A$2:$A$1000,0),MATCH(P$1,'Master data'!$B$1:$CL$1,0)),"")</f>
        <v>4000000</v>
      </c>
      <c r="Q40" s="5">
        <f>IFERROR(INDEX('Master data'!$B$2:$CL$1000,MATCH($B40,'Master data'!$A$2:$A$1000,0),MATCH(Q$1,'Master data'!$B$1:$CL$1,0)),"")</f>
        <v>4000000</v>
      </c>
    </row>
    <row r="41" spans="1:17" hidden="1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data'!$B$2:$CL$1000,MATCH($B41,'Master data'!$A$2:$A$1000,0),MATCH(C$1,'Master data'!$B$1:$CL$1,0)),"")</f>
        <v>Netherlands</v>
      </c>
      <c r="D41" t="str">
        <f>IFERROR(INDEX('Master data'!$B$2:$CL$1000,MATCH($B41,'Master data'!$A$2:$A$1000,0),MATCH(D$1,'Master data'!$B$1:$CL$1,0)),"")</f>
        <v>Striker</v>
      </c>
      <c r="E41" s="5">
        <f>IFERROR(INDEX('Master data'!$B$2:$CL$1000,MATCH($B41,'Master data'!$A$2:$A$1000,0),MATCH(E$1,'Master data'!$B$1:$CL$1,0)),"")</f>
        <v>5500000</v>
      </c>
      <c r="F41" s="7">
        <f>IFERROR(INDEX('Master data'!$B$2:$CL$1000,MATCH($B41,'Master data'!$A$2:$A$1000,0),MATCH(F$1,'Master data'!$B$1:$CL$1,0)),"")</f>
        <v>73343.911523571587</v>
      </c>
      <c r="G41" s="7">
        <f>IFERROR(INDEX('Master data'!$B$2:$CL$1000,MATCH($B41,'Master data'!$A$2:$A$1000,0),MATCH(G$1,'Master data'!$B$1:$CL$1,0)),"")</f>
        <v>84654.066655165923</v>
      </c>
      <c r="H41" s="7">
        <f>IFERROR(INDEX('Master data'!$B$2:$CL$1000,MATCH($B41,'Master data'!$A$2:$A$1000,0),MATCH(H$1,'Master data'!$B$1:$CL$1,0)),"")</f>
        <v>112492.83642408712</v>
      </c>
      <c r="I41" s="7">
        <f>IFERROR(INDEX('Master data'!$B$2:$CL$1000,MATCH($B41,'Master data'!$A$2:$A$1000,0),MATCH(I$1,'Master data'!$B$1:$CL$1,0)),"")</f>
        <v>31380.402433109855</v>
      </c>
      <c r="J41" s="7">
        <f>IFERROR(INDEX('Master data'!$B$2:$CL$1000,MATCH($B41,'Master data'!$A$2:$A$1000,0),MATCH(J$1,'Master data'!$B$1:$CL$1,0)),"")</f>
        <v>15247.226529892869</v>
      </c>
      <c r="K41" s="7">
        <f>IFERROR(INDEX('Master data'!$B$2:$CL$1000,MATCH($B41,'Master data'!$A$2:$A$1000,0),MATCH(K$1,'Master data'!$B$1:$CL$1,0)),"")</f>
        <v>7399.2726976301365</v>
      </c>
      <c r="L41" s="7">
        <f>IFERROR(INDEX('Master data'!$B$2:$CL$1000,MATCH($B41,'Master data'!$A$2:$A$1000,0),MATCH(L$1,'Master data'!$B$1:$CL$1,0)),"")</f>
        <v>3582.660635286989</v>
      </c>
      <c r="M41" s="5">
        <f>IFERROR(INDEX('Master data'!$B$2:$CL$1000,MATCH($B41,'Master data'!$A$2:$A$1000,0),MATCH(M$1,'Master data'!$B$1:$CL$1,0)),"")</f>
        <v>193375.38395334114</v>
      </c>
      <c r="N41" s="28">
        <f>IFERROR(INDEX('Master data'!$B$2:$CL$1000,MATCH($B41,'Master data'!$A$2:$A$1000,0),MATCH(N$1,'Master data'!$B$1:$CL$1,0)),"")</f>
        <v>4.9180148109604478E-2</v>
      </c>
      <c r="O41" s="7">
        <f>IFERROR(INDEX('Master data'!$B$2:$CL$1000,MATCH($B41,'Master data'!$A$2:$A$1000,0),MATCH(O$1,'Master data'!$B$1:$CL$1,0)),"")</f>
        <v>0</v>
      </c>
      <c r="P41" s="5">
        <f>IFERROR(INDEX('Master data'!$B$2:$CL$1000,MATCH($B41,'Master data'!$A$2:$A$1000,0),MATCH(P$1,'Master data'!$B$1:$CL$1,0)),"")</f>
        <v>5500000</v>
      </c>
      <c r="Q41" s="5">
        <f>IFERROR(INDEX('Master data'!$B$2:$CL$1000,MATCH($B41,'Master data'!$A$2:$A$1000,0),MATCH(Q$1,'Master data'!$B$1:$CL$1,0)),"")</f>
        <v>5500000</v>
      </c>
    </row>
    <row r="42" spans="1:17" hidden="1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data'!$B$2:$CL$1000,MATCH($B42,'Master data'!$A$2:$A$1000,0),MATCH(C$1,'Master data'!$B$1:$CL$1,0)),"")</f>
        <v>Netherlands</v>
      </c>
      <c r="D42" t="str">
        <f>IFERROR(INDEX('Master data'!$B$2:$CL$1000,MATCH($B42,'Master data'!$A$2:$A$1000,0),MATCH(D$1,'Master data'!$B$1:$CL$1,0)),"")</f>
        <v>Striker</v>
      </c>
      <c r="E42" s="5">
        <f>IFERROR(INDEX('Master data'!$B$2:$CL$1000,MATCH($B42,'Master data'!$A$2:$A$1000,0),MATCH(E$1,'Master data'!$B$1:$CL$1,0)),"")</f>
        <v>3500000</v>
      </c>
      <c r="F42" s="7">
        <f>IFERROR(INDEX('Master data'!$B$2:$CL$1000,MATCH($B42,'Master data'!$A$2:$A$1000,0),MATCH(F$1,'Master data'!$B$1:$CL$1,0)),"")</f>
        <v>-5000</v>
      </c>
      <c r="G42" s="7">
        <f>IFERROR(INDEX('Master data'!$B$2:$CL$1000,MATCH($B42,'Master data'!$A$2:$A$1000,0),MATCH(G$1,'Master data'!$B$1:$CL$1,0)),"")</f>
        <v>-5000</v>
      </c>
      <c r="H42" s="7">
        <f>IFERROR(INDEX('Master data'!$B$2:$CL$1000,MATCH($B42,'Master data'!$A$2:$A$1000,0),MATCH(H$1,'Master data'!$B$1:$CL$1,0)),"")</f>
        <v>-5000</v>
      </c>
      <c r="I42" s="7">
        <f>IFERROR(INDEX('Master data'!$B$2:$CL$1000,MATCH($B42,'Master data'!$A$2:$A$1000,0),MATCH(I$1,'Master data'!$B$1:$CL$1,0)),"")</f>
        <v>-38526.162885894133</v>
      </c>
      <c r="J42" s="7">
        <f>IFERROR(INDEX('Master data'!$B$2:$CL$1000,MATCH($B42,'Master data'!$A$2:$A$1000,0),MATCH(J$1,'Master data'!$B$1:$CL$1,0)),"")</f>
        <v>-19229.915681303999</v>
      </c>
      <c r="K42" s="7">
        <f>IFERROR(INDEX('Master data'!$B$2:$CL$1000,MATCH($B42,'Master data'!$A$2:$A$1000,0),MATCH(K$1,'Master data'!$B$1:$CL$1,0)),"")</f>
        <v>-9594.4223032665559</v>
      </c>
      <c r="L42" s="7">
        <f>IFERROR(INDEX('Master data'!$B$2:$CL$1000,MATCH($B42,'Master data'!$A$2:$A$1000,0),MATCH(L$1,'Master data'!$B$1:$CL$1,0)),"")</f>
        <v>-4780.2862771486944</v>
      </c>
      <c r="M42" s="5">
        <f>IFERROR(INDEX('Master data'!$B$2:$CL$1000,MATCH($B42,'Master data'!$A$2:$A$1000,0),MATCH(M$1,'Master data'!$B$1:$CL$1,0)),"")</f>
        <v>-27452.348291237329</v>
      </c>
      <c r="N42" s="28">
        <f>IFERROR(INDEX('Master data'!$B$2:$CL$1000,MATCH($B42,'Master data'!$A$2:$A$1000,0),MATCH(N$1,'Master data'!$B$1:$CL$1,0)),"")</f>
        <v>-4.2857142857142859E-3</v>
      </c>
      <c r="O42" s="7">
        <f>IFERROR(INDEX('Master data'!$B$2:$CL$1000,MATCH($B42,'Master data'!$A$2:$A$1000,0),MATCH(O$1,'Master data'!$B$1:$CL$1,0)),"")</f>
        <v>0</v>
      </c>
      <c r="P42" s="5">
        <f>IFERROR(INDEX('Master data'!$B$2:$CL$1000,MATCH($B42,'Master data'!$A$2:$A$1000,0),MATCH(P$1,'Master data'!$B$1:$CL$1,0)),"")</f>
        <v>3500000</v>
      </c>
      <c r="Q42" s="5">
        <f>IFERROR(INDEX('Master data'!$B$2:$CL$1000,MATCH($B42,'Master data'!$A$2:$A$1000,0),MATCH(Q$1,'Master data'!$B$1:$CL$1,0)),"")</f>
        <v>3500000</v>
      </c>
    </row>
    <row r="43" spans="1:17" hidden="1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data'!$B$2:$CL$1000,MATCH($B43,'Master data'!$A$2:$A$1000,0),MATCH(C$1,'Master data'!$B$1:$CL$1,0)),"")</f>
        <v>Germany</v>
      </c>
      <c r="D43" t="str">
        <f>IFERROR(INDEX('Master data'!$B$2:$CL$1000,MATCH($B43,'Master data'!$A$2:$A$1000,0),MATCH(D$1,'Master data'!$B$1:$CL$1,0)),"")</f>
        <v>Midfield</v>
      </c>
      <c r="E43" s="5">
        <f>IFERROR(INDEX('Master data'!$B$2:$CL$1000,MATCH($B43,'Master data'!$A$2:$A$1000,0),MATCH(E$1,'Master data'!$B$1:$CL$1,0)),"")</f>
        <v>6500000</v>
      </c>
      <c r="F43" s="7">
        <f>IFERROR(INDEX('Master data'!$B$2:$CL$1000,MATCH($B43,'Master data'!$A$2:$A$1000,0),MATCH(F$1,'Master data'!$B$1:$CL$1,0)),"")</f>
        <v>40727.270942689778</v>
      </c>
      <c r="G43" s="7">
        <f>IFERROR(INDEX('Master data'!$B$2:$CL$1000,MATCH($B43,'Master data'!$A$2:$A$1000,0),MATCH(G$1,'Master data'!$B$1:$CL$1,0)),"")</f>
        <v>49338.642826123207</v>
      </c>
      <c r="H43" s="7">
        <f>IFERROR(INDEX('Master data'!$B$2:$CL$1000,MATCH($B43,'Master data'!$A$2:$A$1000,0),MATCH(H$1,'Master data'!$B$1:$CL$1,0)),"")</f>
        <v>98946.332857207162</v>
      </c>
      <c r="I43" s="7">
        <f>IFERROR(INDEX('Master data'!$B$2:$CL$1000,MATCH($B43,'Master data'!$A$2:$A$1000,0),MATCH(I$1,'Master data'!$B$1:$CL$1,0)),"")</f>
        <v>-3460.3431936027314</v>
      </c>
      <c r="J43" s="7">
        <f>IFERROR(INDEX('Master data'!$B$2:$CL$1000,MATCH($B43,'Master data'!$A$2:$A$1000,0),MATCH(J$1,'Master data'!$B$1:$CL$1,0)),"")</f>
        <v>-2043.651004619109</v>
      </c>
      <c r="K43" s="7">
        <f>IFERROR(INDEX('Master data'!$B$2:$CL$1000,MATCH($B43,'Master data'!$A$2:$A$1000,0),MATCH(K$1,'Master data'!$B$1:$CL$1,0)),"")</f>
        <v>-1199.7384159675719</v>
      </c>
      <c r="L43" s="7">
        <f>IFERROR(INDEX('Master data'!$B$2:$CL$1000,MATCH($B43,'Master data'!$A$2:$A$1000,0),MATCH(L$1,'Master data'!$B$1:$CL$1,0)),"")</f>
        <v>-724.48580754820398</v>
      </c>
      <c r="M43" s="5">
        <f>IFERROR(INDEX('Master data'!$B$2:$CL$1000,MATCH($B43,'Master data'!$A$2:$A$1000,0),MATCH(M$1,'Master data'!$B$1:$CL$1,0)),"")</f>
        <v>115945.28247236289</v>
      </c>
      <c r="N43" s="28">
        <f>IFERROR(INDEX('Master data'!$B$2:$CL$1000,MATCH($B43,'Master data'!$A$2:$A$1000,0),MATCH(N$1,'Master data'!$B$1:$CL$1,0)),"")</f>
        <v>2.907880717323387E-2</v>
      </c>
      <c r="O43" s="7">
        <f>IFERROR(INDEX('Master data'!$B$2:$CL$1000,MATCH($B43,'Master data'!$A$2:$A$1000,0),MATCH(O$1,'Master data'!$B$1:$CL$1,0)),"")</f>
        <v>0</v>
      </c>
      <c r="P43" s="5">
        <f>IFERROR(INDEX('Master data'!$B$2:$CL$1000,MATCH($B43,'Master data'!$A$2:$A$1000,0),MATCH(P$1,'Master data'!$B$1:$CL$1,0)),"")</f>
        <v>6500000</v>
      </c>
      <c r="Q43" s="5">
        <f>IFERROR(INDEX('Master data'!$B$2:$CL$1000,MATCH($B43,'Master data'!$A$2:$A$1000,0),MATCH(Q$1,'Master data'!$B$1:$CL$1,0)),"")</f>
        <v>6500000</v>
      </c>
    </row>
    <row r="44" spans="1:17" hidden="1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data'!$B$2:$CL$1000,MATCH($B44,'Master data'!$A$2:$A$1000,0),MATCH(C$1,'Master data'!$B$1:$CL$1,0)),"")</f>
        <v>Germany</v>
      </c>
      <c r="D44" t="str">
        <f>IFERROR(INDEX('Master data'!$B$2:$CL$1000,MATCH($B44,'Master data'!$A$2:$A$1000,0),MATCH(D$1,'Master data'!$B$1:$CL$1,0)),"")</f>
        <v>Midfield</v>
      </c>
      <c r="E44" s="5">
        <f>IFERROR(INDEX('Master data'!$B$2:$CL$1000,MATCH($B44,'Master data'!$A$2:$A$1000,0),MATCH(E$1,'Master data'!$B$1:$CL$1,0)),"")</f>
        <v>5000000</v>
      </c>
      <c r="F44" s="7">
        <f>IFERROR(INDEX('Master data'!$B$2:$CL$1000,MATCH($B44,'Master data'!$A$2:$A$1000,0),MATCH(F$1,'Master data'!$B$1:$CL$1,0)),"")</f>
        <v>35729.927340939437</v>
      </c>
      <c r="G44" s="7">
        <f>IFERROR(INDEX('Master data'!$B$2:$CL$1000,MATCH($B44,'Master data'!$A$2:$A$1000,0),MATCH(G$1,'Master data'!$B$1:$CL$1,0)),"")</f>
        <v>43959.737920974359</v>
      </c>
      <c r="H44" s="7">
        <f>IFERROR(INDEX('Master data'!$B$2:$CL$1000,MATCH($B44,'Master data'!$A$2:$A$1000,0),MATCH(H$1,'Master data'!$B$1:$CL$1,0)),"")</f>
        <v>90811.09157419097</v>
      </c>
      <c r="I44" s="7">
        <f>IFERROR(INDEX('Master data'!$B$2:$CL$1000,MATCH($B44,'Master data'!$A$2:$A$1000,0),MATCH(I$1,'Master data'!$B$1:$CL$1,0)),"")</f>
        <v>4566.7669272442627</v>
      </c>
      <c r="J44" s="7">
        <f>IFERROR(INDEX('Master data'!$B$2:$CL$1000,MATCH($B44,'Master data'!$A$2:$A$1000,0),MATCH(J$1,'Master data'!$B$1:$CL$1,0)),"")</f>
        <v>2063.6351215762165</v>
      </c>
      <c r="K44" s="7">
        <f>IFERROR(INDEX('Master data'!$B$2:$CL$1000,MATCH($B44,'Master data'!$A$2:$A$1000,0),MATCH(K$1,'Master data'!$B$1:$CL$1,0)),"")</f>
        <v>930.65097760827302</v>
      </c>
      <c r="L44" s="7">
        <f>IFERROR(INDEX('Master data'!$B$2:$CL$1000,MATCH($B44,'Master data'!$A$2:$A$1000,0),MATCH(L$1,'Master data'!$B$1:$CL$1,0)),"")</f>
        <v>429.40760831842658</v>
      </c>
      <c r="M44" s="5">
        <f>IFERROR(INDEX('Master data'!$B$2:$CL$1000,MATCH($B44,'Master data'!$A$2:$A$1000,0),MATCH(M$1,'Master data'!$B$1:$CL$1,0)),"")</f>
        <v>107317.90538511764</v>
      </c>
      <c r="N44" s="28">
        <f>IFERROR(INDEX('Master data'!$B$2:$CL$1000,MATCH($B44,'Master data'!$A$2:$A$1000,0),MATCH(N$1,'Master data'!$B$1:$CL$1,0)),"")</f>
        <v>3.410015136722095E-2</v>
      </c>
      <c r="O44" s="7">
        <f>IFERROR(INDEX('Master data'!$B$2:$CL$1000,MATCH($B44,'Master data'!$A$2:$A$1000,0),MATCH(O$1,'Master data'!$B$1:$CL$1,0)),"")</f>
        <v>0</v>
      </c>
      <c r="P44" s="5">
        <f>IFERROR(INDEX('Master data'!$B$2:$CL$1000,MATCH($B44,'Master data'!$A$2:$A$1000,0),MATCH(P$1,'Master data'!$B$1:$CL$1,0)),"")</f>
        <v>5000000</v>
      </c>
      <c r="Q44" s="5">
        <f>IFERROR(INDEX('Master data'!$B$2:$CL$1000,MATCH($B44,'Master data'!$A$2:$A$1000,0),MATCH(Q$1,'Master data'!$B$1:$CL$1,0)),"")</f>
        <v>5000000</v>
      </c>
    </row>
    <row r="45" spans="1:17" hidden="1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data'!$B$2:$CL$1000,MATCH($B45,'Master data'!$A$2:$A$1000,0),MATCH(C$1,'Master data'!$B$1:$CL$1,0)),"")</f>
        <v>Germany</v>
      </c>
      <c r="D45" t="str">
        <f>IFERROR(INDEX('Master data'!$B$2:$CL$1000,MATCH($B45,'Master data'!$A$2:$A$1000,0),MATCH(D$1,'Master data'!$B$1:$CL$1,0)),"")</f>
        <v>Midfield</v>
      </c>
      <c r="E45" s="5">
        <f>IFERROR(INDEX('Master data'!$B$2:$CL$1000,MATCH($B45,'Master data'!$A$2:$A$1000,0),MATCH(E$1,'Master data'!$B$1:$CL$1,0)),"")</f>
        <v>7000000</v>
      </c>
      <c r="F45" s="7">
        <f>IFERROR(INDEX('Master data'!$B$2:$CL$1000,MATCH($B45,'Master data'!$A$2:$A$1000,0),MATCH(F$1,'Master data'!$B$1:$CL$1,0)),"")</f>
        <v>46233.762267311846</v>
      </c>
      <c r="G45" s="7">
        <f>IFERROR(INDEX('Master data'!$B$2:$CL$1000,MATCH($B45,'Master data'!$A$2:$A$1000,0),MATCH(G$1,'Master data'!$B$1:$CL$1,0)),"")</f>
        <v>55406.077312408983</v>
      </c>
      <c r="H45" s="7">
        <f>IFERROR(INDEX('Master data'!$B$2:$CL$1000,MATCH($B45,'Master data'!$A$2:$A$1000,0),MATCH(H$1,'Master data'!$B$1:$CL$1,0)),"")</f>
        <v>109065.92889299571</v>
      </c>
      <c r="I45" s="7">
        <f>IFERROR(INDEX('Master data'!$B$2:$CL$1000,MATCH($B45,'Master data'!$A$2:$A$1000,0),MATCH(I$1,'Master data'!$B$1:$CL$1,0)),"")</f>
        <v>-1666.7546512469905</v>
      </c>
      <c r="J45" s="7">
        <f>IFERROR(INDEX('Master data'!$B$2:$CL$1000,MATCH($B45,'Master data'!$A$2:$A$1000,0),MATCH(J$1,'Master data'!$B$1:$CL$1,0)),"")</f>
        <v>-1164.8755849749105</v>
      </c>
      <c r="K45" s="7">
        <f>IFERROR(INDEX('Master data'!$B$2:$CL$1000,MATCH($B45,'Master data'!$A$2:$A$1000,0),MATCH(K$1,'Master data'!$B$1:$CL$1,0)),"")</f>
        <v>-763.86665018588269</v>
      </c>
      <c r="L45" s="7">
        <f>IFERROR(INDEX('Master data'!$B$2:$CL$1000,MATCH($B45,'Master data'!$A$2:$A$1000,0),MATCH(L$1,'Master data'!$B$1:$CL$1,0)),"")</f>
        <v>-499.05571692778813</v>
      </c>
      <c r="M45" s="5">
        <f>IFERROR(INDEX('Master data'!$B$2:$CL$1000,MATCH($B45,'Master data'!$A$2:$A$1000,0),MATCH(M$1,'Master data'!$B$1:$CL$1,0)),"")</f>
        <v>130776.53686532888</v>
      </c>
      <c r="N45" s="28">
        <f>IFERROR(INDEX('Master data'!$B$2:$CL$1000,MATCH($B45,'Master data'!$A$2:$A$1000,0),MATCH(N$1,'Master data'!$B$1:$CL$1,0)),"")</f>
        <v>3.0100824067530937E-2</v>
      </c>
      <c r="O45" s="7">
        <f>IFERROR(INDEX('Master data'!$B$2:$CL$1000,MATCH($B45,'Master data'!$A$2:$A$1000,0),MATCH(O$1,'Master data'!$B$1:$CL$1,0)),"")</f>
        <v>0</v>
      </c>
      <c r="P45" s="5">
        <f>IFERROR(INDEX('Master data'!$B$2:$CL$1000,MATCH($B45,'Master data'!$A$2:$A$1000,0),MATCH(P$1,'Master data'!$B$1:$CL$1,0)),"")</f>
        <v>7000000</v>
      </c>
      <c r="Q45" s="5">
        <f>IFERROR(INDEX('Master data'!$B$2:$CL$1000,MATCH($B45,'Master data'!$A$2:$A$1000,0),MATCH(Q$1,'Master data'!$B$1:$CL$1,0)),"")</f>
        <v>7000000</v>
      </c>
    </row>
    <row r="46" spans="1:17" hidden="1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data'!$B$2:$CL$1000,MATCH($B46,'Master data'!$A$2:$A$1000,0),MATCH(C$1,'Master data'!$B$1:$CL$1,0)),"")</f>
        <v>England</v>
      </c>
      <c r="D46" t="str">
        <f>IFERROR(INDEX('Master data'!$B$2:$CL$1000,MATCH($B46,'Master data'!$A$2:$A$1000,0),MATCH(D$1,'Master data'!$B$1:$CL$1,0)),"")</f>
        <v>Striker</v>
      </c>
      <c r="E46" s="5">
        <f>IFERROR(INDEX('Master data'!$B$2:$CL$1000,MATCH($B46,'Master data'!$A$2:$A$1000,0),MATCH(E$1,'Master data'!$B$1:$CL$1,0)),"")</f>
        <v>5000000</v>
      </c>
      <c r="F46" s="7">
        <f>IFERROR(INDEX('Master data'!$B$2:$CL$1000,MATCH($B46,'Master data'!$A$2:$A$1000,0),MATCH(F$1,'Master data'!$B$1:$CL$1,0)),"")</f>
        <v>-5000</v>
      </c>
      <c r="G46" s="7">
        <f>IFERROR(INDEX('Master data'!$B$2:$CL$1000,MATCH($B46,'Master data'!$A$2:$A$1000,0),MATCH(G$1,'Master data'!$B$1:$CL$1,0)),"")</f>
        <v>-5000</v>
      </c>
      <c r="H46" s="7">
        <f>IFERROR(INDEX('Master data'!$B$2:$CL$1000,MATCH($B46,'Master data'!$A$2:$A$1000,0),MATCH(H$1,'Master data'!$B$1:$CL$1,0)),"")</f>
        <v>-5000</v>
      </c>
      <c r="I46" s="7">
        <f>IFERROR(INDEX('Master data'!$B$2:$CL$1000,MATCH($B46,'Master data'!$A$2:$A$1000,0),MATCH(I$1,'Master data'!$B$1:$CL$1,0)),"")</f>
        <v>-52527.59252872465</v>
      </c>
      <c r="J46" s="7">
        <f>IFERROR(INDEX('Master data'!$B$2:$CL$1000,MATCH($B46,'Master data'!$A$2:$A$1000,0),MATCH(J$1,'Master data'!$B$1:$CL$1,0)),"")</f>
        <v>-27085.847266527187</v>
      </c>
      <c r="K46" s="7">
        <f>IFERROR(INDEX('Master data'!$B$2:$CL$1000,MATCH($B46,'Master data'!$A$2:$A$1000,0),MATCH(K$1,'Master data'!$B$1:$CL$1,0)),"")</f>
        <v>-14326.068677770125</v>
      </c>
      <c r="L46" s="7">
        <f>IFERROR(INDEX('Master data'!$B$2:$CL$1000,MATCH($B46,'Master data'!$A$2:$A$1000,0),MATCH(L$1,'Master data'!$B$1:$CL$1,0)),"")</f>
        <v>-8181.3345132210079</v>
      </c>
      <c r="M46" s="5">
        <f>IFERROR(INDEX('Master data'!$B$2:$CL$1000,MATCH($B46,'Master data'!$A$2:$A$1000,0),MATCH(M$1,'Master data'!$B$1:$CL$1,0)),"")</f>
        <v>-34074.389567210586</v>
      </c>
      <c r="N46" s="28">
        <f>IFERROR(INDEX('Master data'!$B$2:$CL$1000,MATCH($B46,'Master data'!$A$2:$A$1000,0),MATCH(N$1,'Master data'!$B$1:$CL$1,0)),"")</f>
        <v>-3.0000000000000001E-3</v>
      </c>
      <c r="O46" s="7">
        <f>IFERROR(INDEX('Master data'!$B$2:$CL$1000,MATCH($B46,'Master data'!$A$2:$A$1000,0),MATCH(O$1,'Master data'!$B$1:$CL$1,0)),"")</f>
        <v>0</v>
      </c>
      <c r="P46" s="5">
        <f>IFERROR(INDEX('Master data'!$B$2:$CL$1000,MATCH($B46,'Master data'!$A$2:$A$1000,0),MATCH(P$1,'Master data'!$B$1:$CL$1,0)),"")</f>
        <v>5000000</v>
      </c>
      <c r="Q46" s="5">
        <f>IFERROR(INDEX('Master data'!$B$2:$CL$1000,MATCH($B46,'Master data'!$A$2:$A$1000,0),MATCH(Q$1,'Master data'!$B$1:$CL$1,0)),"")</f>
        <v>5000000</v>
      </c>
    </row>
    <row r="47" spans="1:17" hidden="1">
      <c r="A47">
        <f t="shared" si="0"/>
        <v>45</v>
      </c>
      <c r="B47" t="str">
        <f>IF('Master data'!A47="","",'Master data'!A47)</f>
        <v>Bernardo B. Silva</v>
      </c>
      <c r="C47" t="str">
        <f>IFERROR(INDEX('Master data'!$B$2:$CL$1000,MATCH($B47,'Master data'!$A$2:$A$1000,0),MATCH(C$1,'Master data'!$B$1:$CL$1,0)),"")</f>
        <v>Portugal</v>
      </c>
      <c r="D47" t="str">
        <f>IFERROR(INDEX('Master data'!$B$2:$CL$1000,MATCH($B47,'Master data'!$A$2:$A$1000,0),MATCH(D$1,'Master data'!$B$1:$CL$1,0)),"")</f>
        <v>Midfield</v>
      </c>
      <c r="E47" s="5">
        <f>IFERROR(INDEX('Master data'!$B$2:$CL$1000,MATCH($B47,'Master data'!$A$2:$A$1000,0),MATCH(E$1,'Master data'!$B$1:$CL$1,0)),"")</f>
        <v>6500000</v>
      </c>
      <c r="F47" s="7">
        <f>IFERROR(INDEX('Master data'!$B$2:$CL$1000,MATCH($B47,'Master data'!$A$2:$A$1000,0),MATCH(F$1,'Master data'!$B$1:$CL$1,0)),"")</f>
        <v>73522.077799203675</v>
      </c>
      <c r="G47" s="7">
        <f>IFERROR(INDEX('Master data'!$B$2:$CL$1000,MATCH($B47,'Master data'!$A$2:$A$1000,0),MATCH(G$1,'Master data'!$B$1:$CL$1,0)),"")</f>
        <v>35147.915512934254</v>
      </c>
      <c r="H47" s="7">
        <f>IFERROR(INDEX('Master data'!$B$2:$CL$1000,MATCH($B47,'Master data'!$A$2:$A$1000,0),MATCH(H$1,'Master data'!$B$1:$CL$1,0)),"")</f>
        <v>30785.827773738445</v>
      </c>
      <c r="I47" s="7">
        <f>IFERROR(INDEX('Master data'!$B$2:$CL$1000,MATCH($B47,'Master data'!$A$2:$A$1000,0),MATCH(I$1,'Master data'!$B$1:$CL$1,0)),"")</f>
        <v>-14970.579582652483</v>
      </c>
      <c r="J47" s="7">
        <f>IFERROR(INDEX('Master data'!$B$2:$CL$1000,MATCH($B47,'Master data'!$A$2:$A$1000,0),MATCH(J$1,'Master data'!$B$1:$CL$1,0)),"")</f>
        <v>-7807.2406190067231</v>
      </c>
      <c r="K47" s="7">
        <f>IFERROR(INDEX('Master data'!$B$2:$CL$1000,MATCH($B47,'Master data'!$A$2:$A$1000,0),MATCH(K$1,'Master data'!$B$1:$CL$1,0)),"")</f>
        <v>-4134.3677060731716</v>
      </c>
      <c r="L47" s="7">
        <f>IFERROR(INDEX('Master data'!$B$2:$CL$1000,MATCH($B47,'Master data'!$A$2:$A$1000,0),MATCH(L$1,'Master data'!$B$1:$CL$1,0)),"")</f>
        <v>-2300.0682590765482</v>
      </c>
      <c r="M47" s="5">
        <f>IFERROR(INDEX('Master data'!$B$2:$CL$1000,MATCH($B47,'Master data'!$A$2:$A$1000,0),MATCH(M$1,'Master data'!$B$1:$CL$1,0)),"")</f>
        <v>103912.34341048416</v>
      </c>
      <c r="N47" s="28">
        <f>IFERROR(INDEX('Master data'!$B$2:$CL$1000,MATCH($B47,'Master data'!$A$2:$A$1000,0),MATCH(N$1,'Master data'!$B$1:$CL$1,0)),"")</f>
        <v>2.1454741705519444E-2</v>
      </c>
      <c r="O47" s="7">
        <f>IFERROR(INDEX('Master data'!$B$2:$CL$1000,MATCH($B47,'Master data'!$A$2:$A$1000,0),MATCH(O$1,'Master data'!$B$1:$CL$1,0)),"")</f>
        <v>0</v>
      </c>
      <c r="P47" s="5">
        <f>IFERROR(INDEX('Master data'!$B$2:$CL$1000,MATCH($B47,'Master data'!$A$2:$A$1000,0),MATCH(P$1,'Master data'!$B$1:$CL$1,0)),"")</f>
        <v>6500000</v>
      </c>
      <c r="Q47" s="5">
        <f>IFERROR(INDEX('Master data'!$B$2:$CL$1000,MATCH($B47,'Master data'!$A$2:$A$1000,0),MATCH(Q$1,'Master data'!$B$1:$CL$1,0)),"")</f>
        <v>6500000</v>
      </c>
    </row>
    <row r="48" spans="1:17" hidden="1">
      <c r="A48">
        <f t="shared" si="0"/>
        <v>46</v>
      </c>
      <c r="B48" t="str">
        <f>IF('Master data'!A48="","",'Master data'!A48)</f>
        <v>Diogo Jota</v>
      </c>
      <c r="C48" t="str">
        <f>IFERROR(INDEX('Master data'!$B$2:$CL$1000,MATCH($B48,'Master data'!$A$2:$A$1000,0),MATCH(C$1,'Master data'!$B$1:$CL$1,0)),"")</f>
        <v>Portugal</v>
      </c>
      <c r="D48" t="str">
        <f>IFERROR(INDEX('Master data'!$B$2:$CL$1000,MATCH($B48,'Master data'!$A$2:$A$1000,0),MATCH(D$1,'Master data'!$B$1:$CL$1,0)),"")</f>
        <v>Striker</v>
      </c>
      <c r="E48" s="5">
        <f>IFERROR(INDEX('Master data'!$B$2:$CL$1000,MATCH($B48,'Master data'!$A$2:$A$1000,0),MATCH(E$1,'Master data'!$B$1:$CL$1,0)),"")</f>
        <v>6500000</v>
      </c>
      <c r="F48" s="7">
        <f>IFERROR(INDEX('Master data'!$B$2:$CL$1000,MATCH($B48,'Master data'!$A$2:$A$1000,0),MATCH(F$1,'Master data'!$B$1:$CL$1,0)),"")</f>
        <v>93173.634635545401</v>
      </c>
      <c r="G48" s="7">
        <f>IFERROR(INDEX('Master data'!$B$2:$CL$1000,MATCH($B48,'Master data'!$A$2:$A$1000,0),MATCH(G$1,'Master data'!$B$1:$CL$1,0)),"")</f>
        <v>48728.166367915328</v>
      </c>
      <c r="H48" s="7">
        <f>IFERROR(INDEX('Master data'!$B$2:$CL$1000,MATCH($B48,'Master data'!$A$2:$A$1000,0),MATCH(H$1,'Master data'!$B$1:$CL$1,0)),"")</f>
        <v>42846.357019553441</v>
      </c>
      <c r="I48" s="7">
        <f>IFERROR(INDEX('Master data'!$B$2:$CL$1000,MATCH($B48,'Master data'!$A$2:$A$1000,0),MATCH(I$1,'Master data'!$B$1:$CL$1,0)),"")</f>
        <v>-3958.7832513239277</v>
      </c>
      <c r="J48" s="7">
        <f>IFERROR(INDEX('Master data'!$B$2:$CL$1000,MATCH($B48,'Master data'!$A$2:$A$1000,0),MATCH(J$1,'Master data'!$B$1:$CL$1,0)),"")</f>
        <v>-2253.4047019093214</v>
      </c>
      <c r="K48" s="7">
        <f>IFERROR(INDEX('Master data'!$B$2:$CL$1000,MATCH($B48,'Master data'!$A$2:$A$1000,0),MATCH(K$1,'Master data'!$B$1:$CL$1,0)),"")</f>
        <v>-1288.8616539231475</v>
      </c>
      <c r="L48" s="7">
        <f>IFERROR(INDEX('Master data'!$B$2:$CL$1000,MATCH($B48,'Master data'!$A$2:$A$1000,0),MATCH(L$1,'Master data'!$B$1:$CL$1,0)),"")</f>
        <v>-767.87302976339492</v>
      </c>
      <c r="M48" s="5">
        <f>IFERROR(INDEX('Master data'!$B$2:$CL$1000,MATCH($B48,'Master data'!$A$2:$A$1000,0),MATCH(M$1,'Master data'!$B$1:$CL$1,0)),"")</f>
        <v>142846.67507052451</v>
      </c>
      <c r="N48" s="28">
        <f>IFERROR(INDEX('Master data'!$B$2:$CL$1000,MATCH($B48,'Master data'!$A$2:$A$1000,0),MATCH(N$1,'Master data'!$B$1:$CL$1,0)),"")</f>
        <v>2.8422793542002174E-2</v>
      </c>
      <c r="O48" s="7">
        <f>IFERROR(INDEX('Master data'!$B$2:$CL$1000,MATCH($B48,'Master data'!$A$2:$A$1000,0),MATCH(O$1,'Master data'!$B$1:$CL$1,0)),"")</f>
        <v>0</v>
      </c>
      <c r="P48" s="5">
        <f>IFERROR(INDEX('Master data'!$B$2:$CL$1000,MATCH($B48,'Master data'!$A$2:$A$1000,0),MATCH(P$1,'Master data'!$B$1:$CL$1,0)),"")</f>
        <v>6500000</v>
      </c>
      <c r="Q48" s="5">
        <f>IFERROR(INDEX('Master data'!$B$2:$CL$1000,MATCH($B48,'Master data'!$A$2:$A$1000,0),MATCH(Q$1,'Master data'!$B$1:$CL$1,0)),"")</f>
        <v>6500000</v>
      </c>
    </row>
    <row r="49" spans="1:17" hidden="1">
      <c r="A49">
        <f t="shared" si="0"/>
        <v>47</v>
      </c>
      <c r="B49" t="str">
        <f>IF('Master data'!A49="","",'Master data'!A49)</f>
        <v>Dani Olmo</v>
      </c>
      <c r="C49" t="str">
        <f>IFERROR(INDEX('Master data'!$B$2:$CL$1000,MATCH($B49,'Master data'!$A$2:$A$1000,0),MATCH(C$1,'Master data'!$B$1:$CL$1,0)),"")</f>
        <v>Spain</v>
      </c>
      <c r="D49" t="str">
        <f>IFERROR(INDEX('Master data'!$B$2:$CL$1000,MATCH($B49,'Master data'!$A$2:$A$1000,0),MATCH(D$1,'Master data'!$B$1:$CL$1,0)),"")</f>
        <v>Striker</v>
      </c>
      <c r="E49" s="5">
        <f>IFERROR(INDEX('Master data'!$B$2:$CL$1000,MATCH($B49,'Master data'!$A$2:$A$1000,0),MATCH(E$1,'Master data'!$B$1:$CL$1,0)),"")</f>
        <v>5000000</v>
      </c>
      <c r="F49" s="7">
        <f>IFERROR(INDEX('Master data'!$B$2:$CL$1000,MATCH($B49,'Master data'!$A$2:$A$1000,0),MATCH(F$1,'Master data'!$B$1:$CL$1,0)),"")</f>
        <v>78122.072877285274</v>
      </c>
      <c r="G49" s="7">
        <f>IFERROR(INDEX('Master data'!$B$2:$CL$1000,MATCH($B49,'Master data'!$A$2:$A$1000,0),MATCH(G$1,'Master data'!$B$1:$CL$1,0)),"")</f>
        <v>81218.754173319714</v>
      </c>
      <c r="H49" s="7">
        <f>IFERROR(INDEX('Master data'!$B$2:$CL$1000,MATCH($B49,'Master data'!$A$2:$A$1000,0),MATCH(H$1,'Master data'!$B$1:$CL$1,0)),"")</f>
        <v>101970.21580787521</v>
      </c>
      <c r="I49" s="7">
        <f>IFERROR(INDEX('Master data'!$B$2:$CL$1000,MATCH($B49,'Master data'!$A$2:$A$1000,0),MATCH(I$1,'Master data'!$B$1:$CL$1,0)),"")</f>
        <v>33344.776362468343</v>
      </c>
      <c r="J49" s="7">
        <f>IFERROR(INDEX('Master data'!$B$2:$CL$1000,MATCH($B49,'Master data'!$A$2:$A$1000,0),MATCH(J$1,'Master data'!$B$1:$CL$1,0)),"")</f>
        <v>16470.58114604704</v>
      </c>
      <c r="K49" s="7">
        <f>IFERROR(INDEX('Master data'!$B$2:$CL$1000,MATCH($B49,'Master data'!$A$2:$A$1000,0),MATCH(K$1,'Master data'!$B$1:$CL$1,0)),"")</f>
        <v>8222.9256993452673</v>
      </c>
      <c r="L49" s="7">
        <f>IFERROR(INDEX('Master data'!$B$2:$CL$1000,MATCH($B49,'Master data'!$A$2:$A$1000,0),MATCH(L$1,'Master data'!$B$1:$CL$1,0)),"")</f>
        <v>4254.3981289013973</v>
      </c>
      <c r="M49" s="5">
        <f>IFERROR(INDEX('Master data'!$B$2:$CL$1000,MATCH($B49,'Master data'!$A$2:$A$1000,0),MATCH(M$1,'Master data'!$B$1:$CL$1,0)),"")</f>
        <v>192177.74115807502</v>
      </c>
      <c r="N49" s="28">
        <f>IFERROR(INDEX('Master data'!$B$2:$CL$1000,MATCH($B49,'Master data'!$A$2:$A$1000,0),MATCH(N$1,'Master data'!$B$1:$CL$1,0)),"")</f>
        <v>5.2262208571696035E-2</v>
      </c>
      <c r="O49" s="7">
        <f>IFERROR(INDEX('Master data'!$B$2:$CL$1000,MATCH($B49,'Master data'!$A$2:$A$1000,0),MATCH(O$1,'Master data'!$B$1:$CL$1,0)),"")</f>
        <v>0</v>
      </c>
      <c r="P49" s="5">
        <f>IFERROR(INDEX('Master data'!$B$2:$CL$1000,MATCH($B49,'Master data'!$A$2:$A$1000,0),MATCH(P$1,'Master data'!$B$1:$CL$1,0)),"")</f>
        <v>5000000</v>
      </c>
      <c r="Q49" s="5">
        <f>IFERROR(INDEX('Master data'!$B$2:$CL$1000,MATCH($B49,'Master data'!$A$2:$A$1000,0),MATCH(Q$1,'Master data'!$B$1:$CL$1,0)),"")</f>
        <v>5000000</v>
      </c>
    </row>
    <row r="50" spans="1:17" hidden="1">
      <c r="A50">
        <f t="shared" si="0"/>
        <v>48</v>
      </c>
      <c r="B50" t="str">
        <f>IF('Master data'!A50="","",'Master data'!A50)</f>
        <v>Marcos Llorente</v>
      </c>
      <c r="C50" t="str">
        <f>IFERROR(INDEX('Master data'!$B$2:$CL$1000,MATCH($B50,'Master data'!$A$2:$A$1000,0),MATCH(C$1,'Master data'!$B$1:$CL$1,0)),"")</f>
        <v>Spain</v>
      </c>
      <c r="D50" t="str">
        <f>IFERROR(INDEX('Master data'!$B$2:$CL$1000,MATCH($B50,'Master data'!$A$2:$A$1000,0),MATCH(D$1,'Master data'!$B$1:$CL$1,0)),"")</f>
        <v>Midfield</v>
      </c>
      <c r="E50" s="5">
        <f>IFERROR(INDEX('Master data'!$B$2:$CL$1000,MATCH($B50,'Master data'!$A$2:$A$1000,0),MATCH(E$1,'Master data'!$B$1:$CL$1,0)),"")</f>
        <v>4500000</v>
      </c>
      <c r="F50" s="7">
        <f>IFERROR(INDEX('Master data'!$B$2:$CL$1000,MATCH($B50,'Master data'!$A$2:$A$1000,0),MATCH(F$1,'Master data'!$B$1:$CL$1,0)),"")</f>
        <v>57714.980590655206</v>
      </c>
      <c r="G50" s="7">
        <f>IFERROR(INDEX('Master data'!$B$2:$CL$1000,MATCH($B50,'Master data'!$A$2:$A$1000,0),MATCH(G$1,'Master data'!$B$1:$CL$1,0)),"")</f>
        <v>60406.640966149615</v>
      </c>
      <c r="H50" s="7">
        <f>IFERROR(INDEX('Master data'!$B$2:$CL$1000,MATCH($B50,'Master data'!$A$2:$A$1000,0),MATCH(H$1,'Master data'!$B$1:$CL$1,0)),"")</f>
        <v>79997.300351837854</v>
      </c>
      <c r="I50" s="7">
        <f>IFERROR(INDEX('Master data'!$B$2:$CL$1000,MATCH($B50,'Master data'!$A$2:$A$1000,0),MATCH(I$1,'Master data'!$B$1:$CL$1,0)),"")</f>
        <v>18425.32004138433</v>
      </c>
      <c r="J50" s="7">
        <f>IFERROR(INDEX('Master data'!$B$2:$CL$1000,MATCH($B50,'Master data'!$A$2:$A$1000,0),MATCH(J$1,'Master data'!$B$1:$CL$1,0)),"")</f>
        <v>9013.4104939008375</v>
      </c>
      <c r="K50" s="7">
        <f>IFERROR(INDEX('Master data'!$B$2:$CL$1000,MATCH($B50,'Master data'!$A$2:$A$1000,0),MATCH(K$1,'Master data'!$B$1:$CL$1,0)),"")</f>
        <v>4453.8059015852914</v>
      </c>
      <c r="L50" s="7">
        <f>IFERROR(INDEX('Master data'!$B$2:$CL$1000,MATCH($B50,'Master data'!$A$2:$A$1000,0),MATCH(L$1,'Master data'!$B$1:$CL$1,0)),"")</f>
        <v>2279.1487190036146</v>
      </c>
      <c r="M50" s="5">
        <f>IFERROR(INDEX('Master data'!$B$2:$CL$1000,MATCH($B50,'Master data'!$A$2:$A$1000,0),MATCH(M$1,'Master data'!$B$1:$CL$1,0)),"")</f>
        <v>141566.81042354045</v>
      </c>
      <c r="N50" s="28">
        <f>IFERROR(INDEX('Master data'!$B$2:$CL$1000,MATCH($B50,'Master data'!$A$2:$A$1000,0),MATCH(N$1,'Master data'!$B$1:$CL$1,0)),"")</f>
        <v>4.4026427090809485E-2</v>
      </c>
      <c r="O50" s="7">
        <f>IFERROR(INDEX('Master data'!$B$2:$CL$1000,MATCH($B50,'Master data'!$A$2:$A$1000,0),MATCH(O$1,'Master data'!$B$1:$CL$1,0)),"")</f>
        <v>0</v>
      </c>
      <c r="P50" s="5">
        <f>IFERROR(INDEX('Master data'!$B$2:$CL$1000,MATCH($B50,'Master data'!$A$2:$A$1000,0),MATCH(P$1,'Master data'!$B$1:$CL$1,0)),"")</f>
        <v>4500000</v>
      </c>
      <c r="Q50" s="5">
        <f>IFERROR(INDEX('Master data'!$B$2:$CL$1000,MATCH($B50,'Master data'!$A$2:$A$1000,0),MATCH(Q$1,'Master data'!$B$1:$CL$1,0)),"")</f>
        <v>4500000</v>
      </c>
    </row>
    <row r="51" spans="1:17" hidden="1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data'!$B$2:$CL$1000,MATCH($B51,'Master data'!$A$2:$A$1000,0),MATCH(C$1,'Master data'!$B$1:$CL$1,0)),"")</f>
        <v>Spain</v>
      </c>
      <c r="D51" t="str">
        <f>IFERROR(INDEX('Master data'!$B$2:$CL$1000,MATCH($B51,'Master data'!$A$2:$A$1000,0),MATCH(D$1,'Master data'!$B$1:$CL$1,0)),"")</f>
        <v>Striker</v>
      </c>
      <c r="E51" s="5">
        <f>IFERROR(INDEX('Master data'!$B$2:$CL$1000,MATCH($B51,'Master data'!$A$2:$A$1000,0),MATCH(E$1,'Master data'!$B$1:$CL$1,0)),"")</f>
        <v>4500000</v>
      </c>
      <c r="F51" s="7">
        <f>IFERROR(INDEX('Master data'!$B$2:$CL$1000,MATCH($B51,'Master data'!$A$2:$A$1000,0),MATCH(F$1,'Master data'!$B$1:$CL$1,0)),"")</f>
        <v>104315.69865236642</v>
      </c>
      <c r="G51" s="7">
        <f>IFERROR(INDEX('Master data'!$B$2:$CL$1000,MATCH($B51,'Master data'!$A$2:$A$1000,0),MATCH(G$1,'Master data'!$B$1:$CL$1,0)),"")</f>
        <v>109776.03786571971</v>
      </c>
      <c r="H51" s="7">
        <f>IFERROR(INDEX('Master data'!$B$2:$CL$1000,MATCH($B51,'Master data'!$A$2:$A$1000,0),MATCH(H$1,'Master data'!$B$1:$CL$1,0)),"")</f>
        <v>137301.81481790944</v>
      </c>
      <c r="I51" s="7">
        <f>IFERROR(INDEX('Master data'!$B$2:$CL$1000,MATCH($B51,'Master data'!$A$2:$A$1000,0),MATCH(I$1,'Master data'!$B$1:$CL$1,0)),"")</f>
        <v>66337.748643688479</v>
      </c>
      <c r="J51" s="7">
        <f>IFERROR(INDEX('Master data'!$B$2:$CL$1000,MATCH($B51,'Master data'!$A$2:$A$1000,0),MATCH(J$1,'Master data'!$B$1:$CL$1,0)),"")</f>
        <v>33042.509700674353</v>
      </c>
      <c r="K51" s="7">
        <f>IFERROR(INDEX('Master data'!$B$2:$CL$1000,MATCH($B51,'Master data'!$A$2:$A$1000,0),MATCH(K$1,'Master data'!$B$1:$CL$1,0)),"")</f>
        <v>16641.109218880687</v>
      </c>
      <c r="L51" s="7">
        <f>IFERROR(INDEX('Master data'!$B$2:$CL$1000,MATCH($B51,'Master data'!$A$2:$A$1000,0),MATCH(L$1,'Master data'!$B$1:$CL$1,0)),"")</f>
        <v>8688.7540954021188</v>
      </c>
      <c r="M51" s="5">
        <f>IFERROR(INDEX('Master data'!$B$2:$CL$1000,MATCH($B51,'Master data'!$A$2:$A$1000,0),MATCH(M$1,'Master data'!$B$1:$CL$1,0)),"")</f>
        <v>267659.51793192001</v>
      </c>
      <c r="N51" s="28">
        <f>IFERROR(INDEX('Master data'!$B$2:$CL$1000,MATCH($B51,'Master data'!$A$2:$A$1000,0),MATCH(N$1,'Master data'!$B$1:$CL$1,0)),"")</f>
        <v>7.8087455852443449E-2</v>
      </c>
      <c r="O51" s="7">
        <f>IFERROR(INDEX('Master data'!$B$2:$CL$1000,MATCH($B51,'Master data'!$A$2:$A$1000,0),MATCH(O$1,'Master data'!$B$1:$CL$1,0)),"")</f>
        <v>0</v>
      </c>
      <c r="P51" s="5">
        <f>IFERROR(INDEX('Master data'!$B$2:$CL$1000,MATCH($B51,'Master data'!$A$2:$A$1000,0),MATCH(P$1,'Master data'!$B$1:$CL$1,0)),"")</f>
        <v>4500000</v>
      </c>
      <c r="Q51" s="5">
        <f>IFERROR(INDEX('Master data'!$B$2:$CL$1000,MATCH($B51,'Master data'!$A$2:$A$1000,0),MATCH(Q$1,'Master data'!$B$1:$CL$1,0)),"")</f>
        <v>4500000</v>
      </c>
    </row>
    <row r="52" spans="1:17" hidden="1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data'!$B$2:$CL$1000,MATCH($B52,'Master data'!$A$2:$A$1000,0),MATCH(C$1,'Master data'!$B$1:$CL$1,0)),"")</f>
        <v>France</v>
      </c>
      <c r="D52" t="str">
        <f>IFERROR(INDEX('Master data'!$B$2:$CL$1000,MATCH($B52,'Master data'!$A$2:$A$1000,0),MATCH(D$1,'Master data'!$B$1:$CL$1,0)),"")</f>
        <v>Striker</v>
      </c>
      <c r="E52" s="5">
        <f>IFERROR(INDEX('Master data'!$B$2:$CL$1000,MATCH($B52,'Master data'!$A$2:$A$1000,0),MATCH(E$1,'Master data'!$B$1:$CL$1,0)),"")</f>
        <v>3000000</v>
      </c>
      <c r="F52" s="7">
        <f>IFERROR(INDEX('Master data'!$B$2:$CL$1000,MATCH($B52,'Master data'!$A$2:$A$1000,0),MATCH(F$1,'Master data'!$B$1:$CL$1,0)),"")</f>
        <v>-5000</v>
      </c>
      <c r="G52" s="7">
        <f>IFERROR(INDEX('Master data'!$B$2:$CL$1000,MATCH($B52,'Master data'!$A$2:$A$1000,0),MATCH(G$1,'Master data'!$B$1:$CL$1,0)),"")</f>
        <v>-5000</v>
      </c>
      <c r="H52" s="7">
        <f>IFERROR(INDEX('Master data'!$B$2:$CL$1000,MATCH($B52,'Master data'!$A$2:$A$1000,0),MATCH(H$1,'Master data'!$B$1:$CL$1,0)),"")</f>
        <v>-5000</v>
      </c>
      <c r="I52" s="7">
        <f>IFERROR(INDEX('Master data'!$B$2:$CL$1000,MATCH($B52,'Master data'!$A$2:$A$1000,0),MATCH(I$1,'Master data'!$B$1:$CL$1,0)),"")</f>
        <v>-30762.503200089061</v>
      </c>
      <c r="J52" s="7">
        <f>IFERROR(INDEX('Master data'!$B$2:$CL$1000,MATCH($B52,'Master data'!$A$2:$A$1000,0),MATCH(J$1,'Master data'!$B$1:$CL$1,0)),"")</f>
        <v>-15965.483948463771</v>
      </c>
      <c r="K52" s="7">
        <f>IFERROR(INDEX('Master data'!$B$2:$CL$1000,MATCH($B52,'Master data'!$A$2:$A$1000,0),MATCH(K$1,'Master data'!$B$1:$CL$1,0)),"")</f>
        <v>-8541.0880659399954</v>
      </c>
      <c r="L52" s="7">
        <f>IFERROR(INDEX('Master data'!$B$2:$CL$1000,MATCH($B52,'Master data'!$A$2:$A$1000,0),MATCH(L$1,'Master data'!$B$1:$CL$1,0)),"")</f>
        <v>-4998.1043082951846</v>
      </c>
      <c r="M52" s="5">
        <f>IFERROR(INDEX('Master data'!$B$2:$CL$1000,MATCH($B52,'Master data'!$A$2:$A$1000,0),MATCH(M$1,'Master data'!$B$1:$CL$1,0)),"")</f>
        <v>-24387.590548503635</v>
      </c>
      <c r="N52" s="28">
        <f>IFERROR(INDEX('Master data'!$B$2:$CL$1000,MATCH($B52,'Master data'!$A$2:$A$1000,0),MATCH(N$1,'Master data'!$B$1:$CL$1,0)),"")</f>
        <v>-5.0000000000000001E-3</v>
      </c>
      <c r="O52" s="7">
        <f>IFERROR(INDEX('Master data'!$B$2:$CL$1000,MATCH($B52,'Master data'!$A$2:$A$1000,0),MATCH(O$1,'Master data'!$B$1:$CL$1,0)),"")</f>
        <v>0</v>
      </c>
      <c r="P52" s="5">
        <f>IFERROR(INDEX('Master data'!$B$2:$CL$1000,MATCH($B52,'Master data'!$A$2:$A$1000,0),MATCH(P$1,'Master data'!$B$1:$CL$1,0)),"")</f>
        <v>3000000</v>
      </c>
      <c r="Q52" s="5">
        <f>IFERROR(INDEX('Master data'!$B$2:$CL$1000,MATCH($B52,'Master data'!$A$2:$A$1000,0),MATCH(Q$1,'Master data'!$B$1:$CL$1,0)),"")</f>
        <v>3000000</v>
      </c>
    </row>
    <row r="53" spans="1:17" hidden="1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data'!$B$2:$CL$1000,MATCH($B53,'Master data'!$A$2:$A$1000,0),MATCH(C$1,'Master data'!$B$1:$CL$1,0)),"")</f>
        <v>France</v>
      </c>
      <c r="D53" t="str">
        <f>IFERROR(INDEX('Master data'!$B$2:$CL$1000,MATCH($B53,'Master data'!$A$2:$A$1000,0),MATCH(D$1,'Master data'!$B$1:$CL$1,0)),"")</f>
        <v>Striker</v>
      </c>
      <c r="E53" s="5">
        <f>IFERROR(INDEX('Master data'!$B$2:$CL$1000,MATCH($B53,'Master data'!$A$2:$A$1000,0),MATCH(E$1,'Master data'!$B$1:$CL$1,0)),"")</f>
        <v>4500000</v>
      </c>
      <c r="F53" s="7">
        <f>IFERROR(INDEX('Master data'!$B$2:$CL$1000,MATCH($B53,'Master data'!$A$2:$A$1000,0),MATCH(F$1,'Master data'!$B$1:$CL$1,0)),"")</f>
        <v>-5000</v>
      </c>
      <c r="G53" s="7">
        <f>IFERROR(INDEX('Master data'!$B$2:$CL$1000,MATCH($B53,'Master data'!$A$2:$A$1000,0),MATCH(G$1,'Master data'!$B$1:$CL$1,0)),"")</f>
        <v>-5000</v>
      </c>
      <c r="H53" s="7">
        <f>IFERROR(INDEX('Master data'!$B$2:$CL$1000,MATCH($B53,'Master data'!$A$2:$A$1000,0),MATCH(H$1,'Master data'!$B$1:$CL$1,0)),"")</f>
        <v>-5000</v>
      </c>
      <c r="I53" s="7">
        <f>IFERROR(INDEX('Master data'!$B$2:$CL$1000,MATCH($B53,'Master data'!$A$2:$A$1000,0),MATCH(I$1,'Master data'!$B$1:$CL$1,0)),"")</f>
        <v>-44003.178895966703</v>
      </c>
      <c r="J53" s="7">
        <f>IFERROR(INDEX('Master data'!$B$2:$CL$1000,MATCH($B53,'Master data'!$A$2:$A$1000,0),MATCH(J$1,'Master data'!$B$1:$CL$1,0)),"")</f>
        <v>-22847.158064180912</v>
      </c>
      <c r="K53" s="7">
        <f>IFERROR(INDEX('Master data'!$B$2:$CL$1000,MATCH($B53,'Master data'!$A$2:$A$1000,0),MATCH(K$1,'Master data'!$B$1:$CL$1,0)),"")</f>
        <v>-12227.888669942871</v>
      </c>
      <c r="L53" s="7">
        <f>IFERROR(INDEX('Master data'!$B$2:$CL$1000,MATCH($B53,'Master data'!$A$2:$A$1000,0),MATCH(L$1,'Master data'!$B$1:$CL$1,0)),"")</f>
        <v>-7158.6681303248042</v>
      </c>
      <c r="M53" s="5">
        <f>IFERROR(INDEX('Master data'!$B$2:$CL$1000,MATCH($B53,'Master data'!$A$2:$A$1000,0),MATCH(M$1,'Master data'!$B$1:$CL$1,0)),"")</f>
        <v>-30345.280487553035</v>
      </c>
      <c r="N53" s="28">
        <f>IFERROR(INDEX('Master data'!$B$2:$CL$1000,MATCH($B53,'Master data'!$A$2:$A$1000,0),MATCH(N$1,'Master data'!$B$1:$CL$1,0)),"")</f>
        <v>-3.3333333333333335E-3</v>
      </c>
      <c r="O53" s="7">
        <f>IFERROR(INDEX('Master data'!$B$2:$CL$1000,MATCH($B53,'Master data'!$A$2:$A$1000,0),MATCH(O$1,'Master data'!$B$1:$CL$1,0)),"")</f>
        <v>0</v>
      </c>
      <c r="P53" s="5">
        <f>IFERROR(INDEX('Master data'!$B$2:$CL$1000,MATCH($B53,'Master data'!$A$2:$A$1000,0),MATCH(P$1,'Master data'!$B$1:$CL$1,0)),"")</f>
        <v>4500000</v>
      </c>
      <c r="Q53" s="5">
        <f>IFERROR(INDEX('Master data'!$B$2:$CL$1000,MATCH($B53,'Master data'!$A$2:$A$1000,0),MATCH(Q$1,'Master data'!$B$1:$CL$1,0)),"")</f>
        <v>4500000</v>
      </c>
    </row>
    <row r="54" spans="1:17" hidden="1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data'!$B$2:$CL$1000,MATCH($B54,'Master data'!$A$2:$A$1000,0),MATCH(C$1,'Master data'!$B$1:$CL$1,0)),"")</f>
        <v>Croatia</v>
      </c>
      <c r="D54" t="str">
        <f>IFERROR(INDEX('Master data'!$B$2:$CL$1000,MATCH($B54,'Master data'!$A$2:$A$1000,0),MATCH(D$1,'Master data'!$B$1:$CL$1,0)),"")</f>
        <v>Midfield</v>
      </c>
      <c r="E54" s="5">
        <f>IFERROR(INDEX('Master data'!$B$2:$CL$1000,MATCH($B54,'Master data'!$A$2:$A$1000,0),MATCH(E$1,'Master data'!$B$1:$CL$1,0)),"")</f>
        <v>4500000</v>
      </c>
      <c r="F54" s="7">
        <f>IFERROR(INDEX('Master data'!$B$2:$CL$1000,MATCH($B54,'Master data'!$A$2:$A$1000,0),MATCH(F$1,'Master data'!$B$1:$CL$1,0)),"")</f>
        <v>10089.205905717839</v>
      </c>
      <c r="G54" s="7">
        <f>IFERROR(INDEX('Master data'!$B$2:$CL$1000,MATCH($B54,'Master data'!$A$2:$A$1000,0),MATCH(G$1,'Master data'!$B$1:$CL$1,0)),"")</f>
        <v>43463.29806247478</v>
      </c>
      <c r="H54" s="7">
        <f>IFERROR(INDEX('Master data'!$B$2:$CL$1000,MATCH($B54,'Master data'!$A$2:$A$1000,0),MATCH(H$1,'Master data'!$B$1:$CL$1,0)),"")</f>
        <v>50524.441035449221</v>
      </c>
      <c r="I54" s="7">
        <f>IFERROR(INDEX('Master data'!$B$2:$CL$1000,MATCH($B54,'Master data'!$A$2:$A$1000,0),MATCH(I$1,'Master data'!$B$1:$CL$1,0)),"")</f>
        <v>-8470.6071449628889</v>
      </c>
      <c r="J54" s="7">
        <f>IFERROR(INDEX('Master data'!$B$2:$CL$1000,MATCH($B54,'Master data'!$A$2:$A$1000,0),MATCH(J$1,'Master data'!$B$1:$CL$1,0)),"")</f>
        <v>-4314.0290843797493</v>
      </c>
      <c r="K54" s="7">
        <f>IFERROR(INDEX('Master data'!$B$2:$CL$1000,MATCH($B54,'Master data'!$A$2:$A$1000,0),MATCH(K$1,'Master data'!$B$1:$CL$1,0)),"")</f>
        <v>-2171.8189714473169</v>
      </c>
      <c r="L54" s="7">
        <f>IFERROR(INDEX('Master data'!$B$2:$CL$1000,MATCH($B54,'Master data'!$A$2:$A$1000,0),MATCH(L$1,'Master data'!$B$1:$CL$1,0)),"")</f>
        <v>-1051.9503080294944</v>
      </c>
      <c r="M54" s="5">
        <f>IFERROR(INDEX('Master data'!$B$2:$CL$1000,MATCH($B54,'Master data'!$A$2:$A$1000,0),MATCH(M$1,'Master data'!$B$1:$CL$1,0)),"")</f>
        <v>57779.728513965834</v>
      </c>
      <c r="N54" s="28">
        <f>IFERROR(INDEX('Master data'!$B$2:$CL$1000,MATCH($B54,'Master data'!$A$2:$A$1000,0),MATCH(N$1,'Master data'!$B$1:$CL$1,0)),"")</f>
        <v>2.3128210000809293E-2</v>
      </c>
      <c r="O54" s="7">
        <f>IFERROR(INDEX('Master data'!$B$2:$CL$1000,MATCH($B54,'Master data'!$A$2:$A$1000,0),MATCH(O$1,'Master data'!$B$1:$CL$1,0)),"")</f>
        <v>0</v>
      </c>
      <c r="P54" s="5">
        <f>IFERROR(INDEX('Master data'!$B$2:$CL$1000,MATCH($B54,'Master data'!$A$2:$A$1000,0),MATCH(P$1,'Master data'!$B$1:$CL$1,0)),"")</f>
        <v>4500000</v>
      </c>
      <c r="Q54" s="5">
        <f>IFERROR(INDEX('Master data'!$B$2:$CL$1000,MATCH($B54,'Master data'!$A$2:$A$1000,0),MATCH(Q$1,'Master data'!$B$1:$CL$1,0)),"")</f>
        <v>4500000</v>
      </c>
    </row>
    <row r="55" spans="1:17" hidden="1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data'!$B$2:$CL$1000,MATCH($B55,'Master data'!$A$2:$A$1000,0),MATCH(C$1,'Master data'!$B$1:$CL$1,0)),"")</f>
        <v>Croatia</v>
      </c>
      <c r="D55" t="str">
        <f>IFERROR(INDEX('Master data'!$B$2:$CL$1000,MATCH($B55,'Master data'!$A$2:$A$1000,0),MATCH(D$1,'Master data'!$B$1:$CL$1,0)),"")</f>
        <v>Midfield</v>
      </c>
      <c r="E55" s="5">
        <f>IFERROR(INDEX('Master data'!$B$2:$CL$1000,MATCH($B55,'Master data'!$A$2:$A$1000,0),MATCH(E$1,'Master data'!$B$1:$CL$1,0)),"")</f>
        <v>3000000</v>
      </c>
      <c r="F55" s="7">
        <f>IFERROR(INDEX('Master data'!$B$2:$CL$1000,MATCH($B55,'Master data'!$A$2:$A$1000,0),MATCH(F$1,'Master data'!$B$1:$CL$1,0)),"")</f>
        <v>-5000</v>
      </c>
      <c r="G55" s="7">
        <f>IFERROR(INDEX('Master data'!$B$2:$CL$1000,MATCH($B55,'Master data'!$A$2:$A$1000,0),MATCH(G$1,'Master data'!$B$1:$CL$1,0)),"")</f>
        <v>-5000</v>
      </c>
      <c r="H55" s="7">
        <f>IFERROR(INDEX('Master data'!$B$2:$CL$1000,MATCH($B55,'Master data'!$A$2:$A$1000,0),MATCH(H$1,'Master data'!$B$1:$CL$1,0)),"")</f>
        <v>-5000</v>
      </c>
      <c r="I55" s="7">
        <f>IFERROR(INDEX('Master data'!$B$2:$CL$1000,MATCH($B55,'Master data'!$A$2:$A$1000,0),MATCH(I$1,'Master data'!$B$1:$CL$1,0)),"")</f>
        <v>-26012.410794192951</v>
      </c>
      <c r="J55" s="7">
        <f>IFERROR(INDEX('Master data'!$B$2:$CL$1000,MATCH($B55,'Master data'!$A$2:$A$1000,0),MATCH(J$1,'Master data'!$B$1:$CL$1,0)),"")</f>
        <v>-12836.542545781067</v>
      </c>
      <c r="K55" s="7">
        <f>IFERROR(INDEX('Master data'!$B$2:$CL$1000,MATCH($B55,'Master data'!$A$2:$A$1000,0),MATCH(K$1,'Master data'!$B$1:$CL$1,0)),"")</f>
        <v>-6267.1337339770234</v>
      </c>
      <c r="L55" s="7">
        <f>IFERROR(INDEX('Master data'!$B$2:$CL$1000,MATCH($B55,'Master data'!$A$2:$A$1000,0),MATCH(L$1,'Master data'!$B$1:$CL$1,0)),"")</f>
        <v>-2946.3246436272348</v>
      </c>
      <c r="M55" s="5">
        <f>IFERROR(INDEX('Master data'!$B$2:$CL$1000,MATCH($B55,'Master data'!$A$2:$A$1000,0),MATCH(M$1,'Master data'!$B$1:$CL$1,0)),"")</f>
        <v>-21882.513681470627</v>
      </c>
      <c r="N55" s="28">
        <f>IFERROR(INDEX('Master data'!$B$2:$CL$1000,MATCH($B55,'Master data'!$A$2:$A$1000,0),MATCH(N$1,'Master data'!$B$1:$CL$1,0)),"")</f>
        <v>-5.0000000000000001E-3</v>
      </c>
      <c r="O55" s="7">
        <f>IFERROR(INDEX('Master data'!$B$2:$CL$1000,MATCH($B55,'Master data'!$A$2:$A$1000,0),MATCH(O$1,'Master data'!$B$1:$CL$1,0)),"")</f>
        <v>0</v>
      </c>
      <c r="P55" s="5">
        <f>IFERROR(INDEX('Master data'!$B$2:$CL$1000,MATCH($B55,'Master data'!$A$2:$A$1000,0),MATCH(P$1,'Master data'!$B$1:$CL$1,0)),"")</f>
        <v>3000000</v>
      </c>
      <c r="Q55" s="5">
        <f>IFERROR(INDEX('Master data'!$B$2:$CL$1000,MATCH($B55,'Master data'!$A$2:$A$1000,0),MATCH(Q$1,'Master data'!$B$1:$CL$1,0)),"")</f>
        <v>3000000</v>
      </c>
    </row>
    <row r="56" spans="1:17" hidden="1">
      <c r="A56">
        <f t="shared" si="0"/>
        <v>54</v>
      </c>
      <c r="B56" t="str">
        <f>IF('Master data'!A56="","",'Master data'!A56)</f>
        <v>Ante Rebic</v>
      </c>
      <c r="C56" t="str">
        <f>IFERROR(INDEX('Master data'!$B$2:$CL$1000,MATCH($B56,'Master data'!$A$2:$A$1000,0),MATCH(C$1,'Master data'!$B$1:$CL$1,0)),"")</f>
        <v>Croatia</v>
      </c>
      <c r="D56" t="str">
        <f>IFERROR(INDEX('Master data'!$B$2:$CL$1000,MATCH($B56,'Master data'!$A$2:$A$1000,0),MATCH(D$1,'Master data'!$B$1:$CL$1,0)),"")</f>
        <v>Striker</v>
      </c>
      <c r="E56" s="5">
        <f>IFERROR(INDEX('Master data'!$B$2:$CL$1000,MATCH($B56,'Master data'!$A$2:$A$1000,0),MATCH(E$1,'Master data'!$B$1:$CL$1,0)),"")</f>
        <v>3000000</v>
      </c>
      <c r="F56" s="7">
        <f>IFERROR(INDEX('Master data'!$B$2:$CL$1000,MATCH($B56,'Master data'!$A$2:$A$1000,0),MATCH(F$1,'Master data'!$B$1:$CL$1,0)),"")</f>
        <v>24637.995512044479</v>
      </c>
      <c r="G56" s="7">
        <f>IFERROR(INDEX('Master data'!$B$2:$CL$1000,MATCH($B56,'Master data'!$A$2:$A$1000,0),MATCH(G$1,'Master data'!$B$1:$CL$1,0)),"")</f>
        <v>73829.867594062438</v>
      </c>
      <c r="H56" s="7">
        <f>IFERROR(INDEX('Master data'!$B$2:$CL$1000,MATCH($B56,'Master data'!$A$2:$A$1000,0),MATCH(H$1,'Master data'!$B$1:$CL$1,0)),"")</f>
        <v>83862.796238355513</v>
      </c>
      <c r="I56" s="7">
        <f>IFERROR(INDEX('Master data'!$B$2:$CL$1000,MATCH($B56,'Master data'!$A$2:$A$1000,0),MATCH(I$1,'Master data'!$B$1:$CL$1,0)),"")</f>
        <v>21611.260061497087</v>
      </c>
      <c r="J56" s="7">
        <f>IFERROR(INDEX('Master data'!$B$2:$CL$1000,MATCH($B56,'Master data'!$A$2:$A$1000,0),MATCH(J$1,'Master data'!$B$1:$CL$1,0)),"")</f>
        <v>10455.810596860058</v>
      </c>
      <c r="K56" s="7">
        <f>IFERROR(INDEX('Master data'!$B$2:$CL$1000,MATCH($B56,'Master data'!$A$2:$A$1000,0),MATCH(K$1,'Master data'!$B$1:$CL$1,0)),"")</f>
        <v>5002.5329358486688</v>
      </c>
      <c r="L56" s="7">
        <f>IFERROR(INDEX('Master data'!$B$2:$CL$1000,MATCH($B56,'Master data'!$A$2:$A$1000,0),MATCH(L$1,'Master data'!$B$1:$CL$1,0)),"")</f>
        <v>2303.5905676658731</v>
      </c>
      <c r="M56" s="5">
        <f>IFERROR(INDEX('Master data'!$B$2:$CL$1000,MATCH($B56,'Master data'!$A$2:$A$1000,0),MATCH(M$1,'Master data'!$B$1:$CL$1,0)),"")</f>
        <v>120459.94817232546</v>
      </c>
      <c r="N56" s="28">
        <f>IFERROR(INDEX('Master data'!$B$2:$CL$1000,MATCH($B56,'Master data'!$A$2:$A$1000,0),MATCH(N$1,'Master data'!$B$1:$CL$1,0)),"")</f>
        <v>6.0776886448154148E-2</v>
      </c>
      <c r="O56" s="7">
        <f>IFERROR(INDEX('Master data'!$B$2:$CL$1000,MATCH($B56,'Master data'!$A$2:$A$1000,0),MATCH(O$1,'Master data'!$B$1:$CL$1,0)),"")</f>
        <v>0</v>
      </c>
      <c r="P56" s="5">
        <f>IFERROR(INDEX('Master data'!$B$2:$CL$1000,MATCH($B56,'Master data'!$A$2:$A$1000,0),MATCH(P$1,'Master data'!$B$1:$CL$1,0)),"")</f>
        <v>3000000</v>
      </c>
      <c r="Q56" s="5">
        <f>IFERROR(INDEX('Master data'!$B$2:$CL$1000,MATCH($B56,'Master data'!$A$2:$A$1000,0),MATCH(Q$1,'Master data'!$B$1:$CL$1,0)),"")</f>
        <v>3000000</v>
      </c>
    </row>
    <row r="57" spans="1:17" hidden="1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data'!$B$2:$CL$1000,MATCH($B57,'Master data'!$A$2:$A$1000,0),MATCH(C$1,'Master data'!$B$1:$CL$1,0)),"")</f>
        <v>Italy</v>
      </c>
      <c r="D57" t="str">
        <f>IFERROR(INDEX('Master data'!$B$2:$CL$1000,MATCH($B57,'Master data'!$A$2:$A$1000,0),MATCH(D$1,'Master data'!$B$1:$CL$1,0)),"")</f>
        <v>Striker</v>
      </c>
      <c r="E57" s="5">
        <f>IFERROR(INDEX('Master data'!$B$2:$CL$1000,MATCH($B57,'Master data'!$A$2:$A$1000,0),MATCH(E$1,'Master data'!$B$1:$CL$1,0)),"")</f>
        <v>3500000</v>
      </c>
      <c r="F57" s="7">
        <f>IFERROR(INDEX('Master data'!$B$2:$CL$1000,MATCH($B57,'Master data'!$A$2:$A$1000,0),MATCH(F$1,'Master data'!$B$1:$CL$1,0)),"")</f>
        <v>-5000</v>
      </c>
      <c r="G57" s="7">
        <f>IFERROR(INDEX('Master data'!$B$2:$CL$1000,MATCH($B57,'Master data'!$A$2:$A$1000,0),MATCH(G$1,'Master data'!$B$1:$CL$1,0)),"")</f>
        <v>-5000</v>
      </c>
      <c r="H57" s="7">
        <f>IFERROR(INDEX('Master data'!$B$2:$CL$1000,MATCH($B57,'Master data'!$A$2:$A$1000,0),MATCH(H$1,'Master data'!$B$1:$CL$1,0)),"")</f>
        <v>-5000</v>
      </c>
      <c r="I57" s="7">
        <f>IFERROR(INDEX('Master data'!$B$2:$CL$1000,MATCH($B57,'Master data'!$A$2:$A$1000,0),MATCH(I$1,'Master data'!$B$1:$CL$1,0)),"")</f>
        <v>-38162.708519046078</v>
      </c>
      <c r="J57" s="7">
        <f>IFERROR(INDEX('Master data'!$B$2:$CL$1000,MATCH($B57,'Master data'!$A$2:$A$1000,0),MATCH(J$1,'Master data'!$B$1:$CL$1,0)),"")</f>
        <v>-19211.968319082654</v>
      </c>
      <c r="K57" s="7">
        <f>IFERROR(INDEX('Master data'!$B$2:$CL$1000,MATCH($B57,'Master data'!$A$2:$A$1000,0),MATCH(K$1,'Master data'!$B$1:$CL$1,0)),"")</f>
        <v>-9739.1976274611734</v>
      </c>
      <c r="L57" s="7">
        <f>IFERROR(INDEX('Master data'!$B$2:$CL$1000,MATCH($B57,'Master data'!$A$2:$A$1000,0),MATCH(L$1,'Master data'!$B$1:$CL$1,0)),"")</f>
        <v>-5050.5742856105662</v>
      </c>
      <c r="M57" s="5">
        <f>IFERROR(INDEX('Master data'!$B$2:$CL$1000,MATCH($B57,'Master data'!$A$2:$A$1000,0),MATCH(M$1,'Master data'!$B$1:$CL$1,0)),"")</f>
        <v>-27383.907002163516</v>
      </c>
      <c r="N57" s="28">
        <f>IFERROR(INDEX('Master data'!$B$2:$CL$1000,MATCH($B57,'Master data'!$A$2:$A$1000,0),MATCH(N$1,'Master data'!$B$1:$CL$1,0)),"")</f>
        <v>-4.2857142857142859E-3</v>
      </c>
      <c r="O57" s="7">
        <f>IFERROR(INDEX('Master data'!$B$2:$CL$1000,MATCH($B57,'Master data'!$A$2:$A$1000,0),MATCH(O$1,'Master data'!$B$1:$CL$1,0)),"")</f>
        <v>0</v>
      </c>
      <c r="P57" s="5">
        <f>IFERROR(INDEX('Master data'!$B$2:$CL$1000,MATCH($B57,'Master data'!$A$2:$A$1000,0),MATCH(P$1,'Master data'!$B$1:$CL$1,0)),"")</f>
        <v>3500000</v>
      </c>
      <c r="Q57" s="5">
        <f>IFERROR(INDEX('Master data'!$B$2:$CL$1000,MATCH($B57,'Master data'!$A$2:$A$1000,0),MATCH(Q$1,'Master data'!$B$1:$CL$1,0)),"")</f>
        <v>3500000</v>
      </c>
    </row>
    <row r="58" spans="1:17" hidden="1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data'!$B$2:$CL$1000,MATCH($B58,'Master data'!$A$2:$A$1000,0),MATCH(C$1,'Master data'!$B$1:$CL$1,0)),"")</f>
        <v>Belgium</v>
      </c>
      <c r="D58" t="str">
        <f>IFERROR(INDEX('Master data'!$B$2:$CL$1000,MATCH($B58,'Master data'!$A$2:$A$1000,0),MATCH(D$1,'Master data'!$B$1:$CL$1,0)),"")</f>
        <v>Midfield</v>
      </c>
      <c r="E58" s="5">
        <f>IFERROR(INDEX('Master data'!$B$2:$CL$1000,MATCH($B58,'Master data'!$A$2:$A$1000,0),MATCH(E$1,'Master data'!$B$1:$CL$1,0)),"")</f>
        <v>5500000</v>
      </c>
      <c r="F58" s="7">
        <f>IFERROR(INDEX('Master data'!$B$2:$CL$1000,MATCH($B58,'Master data'!$A$2:$A$1000,0),MATCH(F$1,'Master data'!$B$1:$CL$1,0)),"")</f>
        <v>-5000</v>
      </c>
      <c r="G58" s="7">
        <f>IFERROR(INDEX('Master data'!$B$2:$CL$1000,MATCH($B58,'Master data'!$A$2:$A$1000,0),MATCH(G$1,'Master data'!$B$1:$CL$1,0)),"")</f>
        <v>-5000</v>
      </c>
      <c r="H58" s="7">
        <f>IFERROR(INDEX('Master data'!$B$2:$CL$1000,MATCH($B58,'Master data'!$A$2:$A$1000,0),MATCH(H$1,'Master data'!$B$1:$CL$1,0)),"")</f>
        <v>-5000</v>
      </c>
      <c r="I58" s="7">
        <f>IFERROR(INDEX('Master data'!$B$2:$CL$1000,MATCH($B58,'Master data'!$A$2:$A$1000,0),MATCH(I$1,'Master data'!$B$1:$CL$1,0)),"")</f>
        <v>-57315.887198617507</v>
      </c>
      <c r="J58" s="7">
        <f>IFERROR(INDEX('Master data'!$B$2:$CL$1000,MATCH($B58,'Master data'!$A$2:$A$1000,0),MATCH(J$1,'Master data'!$B$1:$CL$1,0)),"")</f>
        <v>-29216.190478739321</v>
      </c>
      <c r="K58" s="7">
        <f>IFERROR(INDEX('Master data'!$B$2:$CL$1000,MATCH($B58,'Master data'!$A$2:$A$1000,0),MATCH(K$1,'Master data'!$B$1:$CL$1,0)),"")</f>
        <v>-15143.364946534975</v>
      </c>
      <c r="L58" s="7">
        <f>IFERROR(INDEX('Master data'!$B$2:$CL$1000,MATCH($B58,'Master data'!$A$2:$A$1000,0),MATCH(L$1,'Master data'!$B$1:$CL$1,0)),"")</f>
        <v>-8270.7215667659711</v>
      </c>
      <c r="M58" s="5">
        <f>IFERROR(INDEX('Master data'!$B$2:$CL$1000,MATCH($B58,'Master data'!$A$2:$A$1000,0),MATCH(M$1,'Master data'!$B$1:$CL$1,0)),"")</f>
        <v>-36029.426994485897</v>
      </c>
      <c r="N58" s="28">
        <f>IFERROR(INDEX('Master data'!$B$2:$CL$1000,MATCH($B58,'Master data'!$A$2:$A$1000,0),MATCH(N$1,'Master data'!$B$1:$CL$1,0)),"")</f>
        <v>-2.7272727272727275E-3</v>
      </c>
      <c r="O58" s="7">
        <f>IFERROR(INDEX('Master data'!$B$2:$CL$1000,MATCH($B58,'Master data'!$A$2:$A$1000,0),MATCH(O$1,'Master data'!$B$1:$CL$1,0)),"")</f>
        <v>0</v>
      </c>
      <c r="P58" s="5">
        <f>IFERROR(INDEX('Master data'!$B$2:$CL$1000,MATCH($B58,'Master data'!$A$2:$A$1000,0),MATCH(P$1,'Master data'!$B$1:$CL$1,0)),"")</f>
        <v>5500000</v>
      </c>
      <c r="Q58" s="5">
        <f>IFERROR(INDEX('Master data'!$B$2:$CL$1000,MATCH($B58,'Master data'!$A$2:$A$1000,0),MATCH(Q$1,'Master data'!$B$1:$CL$1,0)),"")</f>
        <v>5500000</v>
      </c>
    </row>
    <row r="59" spans="1:17" hidden="1">
      <c r="A59">
        <f t="shared" si="0"/>
        <v>57</v>
      </c>
      <c r="B59" t="str">
        <f>IF('Master data'!A59="","",'Master data'!A59)</f>
        <v>Donny van de Beek</v>
      </c>
      <c r="C59" t="str">
        <f>IFERROR(INDEX('Master data'!$B$2:$CL$1000,MATCH($B59,'Master data'!$A$2:$A$1000,0),MATCH(C$1,'Master data'!$B$1:$CL$1,0)),"")</f>
        <v>Netherlands</v>
      </c>
      <c r="D59" t="str">
        <f>IFERROR(INDEX('Master data'!$B$2:$CL$1000,MATCH($B59,'Master data'!$A$2:$A$1000,0),MATCH(D$1,'Master data'!$B$1:$CL$1,0)),"")</f>
        <v>Midfield</v>
      </c>
      <c r="E59" s="5">
        <f>IFERROR(INDEX('Master data'!$B$2:$CL$1000,MATCH($B59,'Master data'!$A$2:$A$1000,0),MATCH(E$1,'Master data'!$B$1:$CL$1,0)),"")</f>
        <v>4000000</v>
      </c>
      <c r="F59" s="7">
        <f>IFERROR(INDEX('Master data'!$B$2:$CL$1000,MATCH($B59,'Master data'!$A$2:$A$1000,0),MATCH(F$1,'Master data'!$B$1:$CL$1,0)),"")</f>
        <v>-5000</v>
      </c>
      <c r="G59" s="7">
        <f>IFERROR(INDEX('Master data'!$B$2:$CL$1000,MATCH($B59,'Master data'!$A$2:$A$1000,0),MATCH(G$1,'Master data'!$B$1:$CL$1,0)),"")</f>
        <v>-5000</v>
      </c>
      <c r="H59" s="7">
        <f>IFERROR(INDEX('Master data'!$B$2:$CL$1000,MATCH($B59,'Master data'!$A$2:$A$1000,0),MATCH(H$1,'Master data'!$B$1:$CL$1,0)),"")</f>
        <v>-5000</v>
      </c>
      <c r="I59" s="7">
        <f>IFERROR(INDEX('Master data'!$B$2:$CL$1000,MATCH($B59,'Master data'!$A$2:$A$1000,0),MATCH(I$1,'Master data'!$B$1:$CL$1,0)),"")</f>
        <v>-43360.060362166922</v>
      </c>
      <c r="J59" s="7">
        <f>IFERROR(INDEX('Master data'!$B$2:$CL$1000,MATCH($B59,'Master data'!$A$2:$A$1000,0),MATCH(J$1,'Master data'!$B$1:$CL$1,0)),"")</f>
        <v>-21645.734234231637</v>
      </c>
      <c r="K59" s="7">
        <f>IFERROR(INDEX('Master data'!$B$2:$CL$1000,MATCH($B59,'Master data'!$A$2:$A$1000,0),MATCH(K$1,'Master data'!$B$1:$CL$1,0)),"")</f>
        <v>-10801.267876004487</v>
      </c>
      <c r="L59" s="7">
        <f>IFERROR(INDEX('Master data'!$B$2:$CL$1000,MATCH($B59,'Master data'!$A$2:$A$1000,0),MATCH(L$1,'Master data'!$B$1:$CL$1,0)),"")</f>
        <v>-5382.3374455553312</v>
      </c>
      <c r="M59" s="5">
        <f>IFERROR(INDEX('Master data'!$B$2:$CL$1000,MATCH($B59,'Master data'!$A$2:$A$1000,0),MATCH(M$1,'Master data'!$B$1:$CL$1,0)),"")</f>
        <v>-29573.594074855118</v>
      </c>
      <c r="N59" s="28">
        <f>IFERROR(INDEX('Master data'!$B$2:$CL$1000,MATCH($B59,'Master data'!$A$2:$A$1000,0),MATCH(N$1,'Master data'!$B$1:$CL$1,0)),"")</f>
        <v>-3.7499999999999999E-3</v>
      </c>
      <c r="O59" s="7">
        <f>IFERROR(INDEX('Master data'!$B$2:$CL$1000,MATCH($B59,'Master data'!$A$2:$A$1000,0),MATCH(O$1,'Master data'!$B$1:$CL$1,0)),"")</f>
        <v>0</v>
      </c>
      <c r="P59" s="5">
        <f>IFERROR(INDEX('Master data'!$B$2:$CL$1000,MATCH($B59,'Master data'!$A$2:$A$1000,0),MATCH(P$1,'Master data'!$B$1:$CL$1,0)),"")</f>
        <v>4000000</v>
      </c>
      <c r="Q59" s="5">
        <f>IFERROR(INDEX('Master data'!$B$2:$CL$1000,MATCH($B59,'Master data'!$A$2:$A$1000,0),MATCH(Q$1,'Master data'!$B$1:$CL$1,0)),"")</f>
        <v>4000000</v>
      </c>
    </row>
    <row r="60" spans="1:17" hidden="1">
      <c r="A60">
        <f t="shared" si="0"/>
        <v>58</v>
      </c>
      <c r="B60" t="str">
        <f>IF('Master data'!A60="","",'Master data'!A60)</f>
        <v>Donyell Malen</v>
      </c>
      <c r="C60" t="str">
        <f>IFERROR(INDEX('Master data'!$B$2:$CL$1000,MATCH($B60,'Master data'!$A$2:$A$1000,0),MATCH(C$1,'Master data'!$B$1:$CL$1,0)),"")</f>
        <v>Netherlands</v>
      </c>
      <c r="D60" t="str">
        <f>IFERROR(INDEX('Master data'!$B$2:$CL$1000,MATCH($B60,'Master data'!$A$2:$A$1000,0),MATCH(D$1,'Master data'!$B$1:$CL$1,0)),"")</f>
        <v>Striker</v>
      </c>
      <c r="E60" s="5">
        <f>IFERROR(INDEX('Master data'!$B$2:$CL$1000,MATCH($B60,'Master data'!$A$2:$A$1000,0),MATCH(E$1,'Master data'!$B$1:$CL$1,0)),"")</f>
        <v>4000000</v>
      </c>
      <c r="F60" s="7">
        <f>IFERROR(INDEX('Master data'!$B$2:$CL$1000,MATCH($B60,'Master data'!$A$2:$A$1000,0),MATCH(F$1,'Master data'!$B$1:$CL$1,0)),"")</f>
        <v>-5000</v>
      </c>
      <c r="G60" s="7">
        <f>IFERROR(INDEX('Master data'!$B$2:$CL$1000,MATCH($B60,'Master data'!$A$2:$A$1000,0),MATCH(G$1,'Master data'!$B$1:$CL$1,0)),"")</f>
        <v>-5000</v>
      </c>
      <c r="H60" s="7">
        <f>IFERROR(INDEX('Master data'!$B$2:$CL$1000,MATCH($B60,'Master data'!$A$2:$A$1000,0),MATCH(H$1,'Master data'!$B$1:$CL$1,0)),"")</f>
        <v>-5000</v>
      </c>
      <c r="I60" s="7">
        <f>IFERROR(INDEX('Master data'!$B$2:$CL$1000,MATCH($B60,'Master data'!$A$2:$A$1000,0),MATCH(I$1,'Master data'!$B$1:$CL$1,0)),"")</f>
        <v>-43360.060362166922</v>
      </c>
      <c r="J60" s="7">
        <f>IFERROR(INDEX('Master data'!$B$2:$CL$1000,MATCH($B60,'Master data'!$A$2:$A$1000,0),MATCH(J$1,'Master data'!$B$1:$CL$1,0)),"")</f>
        <v>-21645.734234231637</v>
      </c>
      <c r="K60" s="7">
        <f>IFERROR(INDEX('Master data'!$B$2:$CL$1000,MATCH($B60,'Master data'!$A$2:$A$1000,0),MATCH(K$1,'Master data'!$B$1:$CL$1,0)),"")</f>
        <v>-10801.267876004487</v>
      </c>
      <c r="L60" s="7">
        <f>IFERROR(INDEX('Master data'!$B$2:$CL$1000,MATCH($B60,'Master data'!$A$2:$A$1000,0),MATCH(L$1,'Master data'!$B$1:$CL$1,0)),"")</f>
        <v>-5382.3374455553312</v>
      </c>
      <c r="M60" s="5">
        <f>IFERROR(INDEX('Master data'!$B$2:$CL$1000,MATCH($B60,'Master data'!$A$2:$A$1000,0),MATCH(M$1,'Master data'!$B$1:$CL$1,0)),"")</f>
        <v>-29573.594074855118</v>
      </c>
      <c r="N60" s="28">
        <f>IFERROR(INDEX('Master data'!$B$2:$CL$1000,MATCH($B60,'Master data'!$A$2:$A$1000,0),MATCH(N$1,'Master data'!$B$1:$CL$1,0)),"")</f>
        <v>-3.7499999999999999E-3</v>
      </c>
      <c r="O60" s="7">
        <f>IFERROR(INDEX('Master data'!$B$2:$CL$1000,MATCH($B60,'Master data'!$A$2:$A$1000,0),MATCH(O$1,'Master data'!$B$1:$CL$1,0)),"")</f>
        <v>0</v>
      </c>
      <c r="P60" s="5">
        <f>IFERROR(INDEX('Master data'!$B$2:$CL$1000,MATCH($B60,'Master data'!$A$2:$A$1000,0),MATCH(P$1,'Master data'!$B$1:$CL$1,0)),"")</f>
        <v>4000000</v>
      </c>
      <c r="Q60" s="5">
        <f>IFERROR(INDEX('Master data'!$B$2:$CL$1000,MATCH($B60,'Master data'!$A$2:$A$1000,0),MATCH(Q$1,'Master data'!$B$1:$CL$1,0)),"")</f>
        <v>4000000</v>
      </c>
    </row>
    <row r="61" spans="1:17" hidden="1">
      <c r="A61">
        <f t="shared" si="0"/>
        <v>59</v>
      </c>
      <c r="B61" t="str">
        <f>IF('Master data'!A61="","",'Master data'!A61)</f>
        <v>Leon Goretzka</v>
      </c>
      <c r="C61" t="str">
        <f>IFERROR(INDEX('Master data'!$B$2:$CL$1000,MATCH($B61,'Master data'!$A$2:$A$1000,0),MATCH(C$1,'Master data'!$B$1:$CL$1,0)),"")</f>
        <v>Germany</v>
      </c>
      <c r="D61" t="str">
        <f>IFERROR(INDEX('Master data'!$B$2:$CL$1000,MATCH($B61,'Master data'!$A$2:$A$1000,0),MATCH(D$1,'Master data'!$B$1:$CL$1,0)),"")</f>
        <v>Midfield</v>
      </c>
      <c r="E61" s="5">
        <f>IFERROR(INDEX('Master data'!$B$2:$CL$1000,MATCH($B61,'Master data'!$A$2:$A$1000,0),MATCH(E$1,'Master data'!$B$1:$CL$1,0)),"")</f>
        <v>6000000</v>
      </c>
      <c r="F61" s="7">
        <f>IFERROR(INDEX('Master data'!$B$2:$CL$1000,MATCH($B61,'Master data'!$A$2:$A$1000,0),MATCH(F$1,'Master data'!$B$1:$CL$1,0)),"")</f>
        <v>-5000</v>
      </c>
      <c r="G61" s="7">
        <f>IFERROR(INDEX('Master data'!$B$2:$CL$1000,MATCH($B61,'Master data'!$A$2:$A$1000,0),MATCH(G$1,'Master data'!$B$1:$CL$1,0)),"")</f>
        <v>-5000</v>
      </c>
      <c r="H61" s="7">
        <f>IFERROR(INDEX('Master data'!$B$2:$CL$1000,MATCH($B61,'Master data'!$A$2:$A$1000,0),MATCH(H$1,'Master data'!$B$1:$CL$1,0)),"")</f>
        <v>-5000</v>
      </c>
      <c r="I61" s="7">
        <f>IFERROR(INDEX('Master data'!$B$2:$CL$1000,MATCH($B61,'Master data'!$A$2:$A$1000,0),MATCH(I$1,'Master data'!$B$1:$CL$1,0)),"")</f>
        <v>-57745.993667211405</v>
      </c>
      <c r="J61" s="7">
        <f>IFERROR(INDEX('Master data'!$B$2:$CL$1000,MATCH($B61,'Master data'!$A$2:$A$1000,0),MATCH(J$1,'Master data'!$B$1:$CL$1,0)),"")</f>
        <v>-29323.783776904798</v>
      </c>
      <c r="K61" s="7">
        <f>IFERROR(INDEX('Master data'!$B$2:$CL$1000,MATCH($B61,'Master data'!$A$2:$A$1000,0),MATCH(K$1,'Master data'!$B$1:$CL$1,0)),"")</f>
        <v>-15095.457106705529</v>
      </c>
      <c r="L61" s="7">
        <f>IFERROR(INDEX('Master data'!$B$2:$CL$1000,MATCH($B61,'Master data'!$A$2:$A$1000,0),MATCH(L$1,'Master data'!$B$1:$CL$1,0)),"")</f>
        <v>-8115.1162093906078</v>
      </c>
      <c r="M61" s="5">
        <f>IFERROR(INDEX('Master data'!$B$2:$CL$1000,MATCH($B61,'Master data'!$A$2:$A$1000,0),MATCH(M$1,'Master data'!$B$1:$CL$1,0)),"")</f>
        <v>-36158.149266991328</v>
      </c>
      <c r="N61" s="28">
        <f>IFERROR(INDEX('Master data'!$B$2:$CL$1000,MATCH($B61,'Master data'!$A$2:$A$1000,0),MATCH(N$1,'Master data'!$B$1:$CL$1,0)),"")</f>
        <v>-2.5000000000000001E-3</v>
      </c>
      <c r="O61" s="7">
        <f>IFERROR(INDEX('Master data'!$B$2:$CL$1000,MATCH($B61,'Master data'!$A$2:$A$1000,0),MATCH(O$1,'Master data'!$B$1:$CL$1,0)),"")</f>
        <v>0</v>
      </c>
      <c r="P61" s="5">
        <f>IFERROR(INDEX('Master data'!$B$2:$CL$1000,MATCH($B61,'Master data'!$A$2:$A$1000,0),MATCH(P$1,'Master data'!$B$1:$CL$1,0)),"")</f>
        <v>6000000</v>
      </c>
      <c r="Q61" s="5">
        <f>IFERROR(INDEX('Master data'!$B$2:$CL$1000,MATCH($B61,'Master data'!$A$2:$A$1000,0),MATCH(Q$1,'Master data'!$B$1:$CL$1,0)),"")</f>
        <v>6000000</v>
      </c>
    </row>
    <row r="62" spans="1:17" hidden="1">
      <c r="A62">
        <f t="shared" si="0"/>
        <v>60</v>
      </c>
      <c r="B62" t="str">
        <f>IF('Master data'!A62="","",'Master data'!A62)</f>
        <v>Toni Kroos</v>
      </c>
      <c r="C62" t="str">
        <f>IFERROR(INDEX('Master data'!$B$2:$CL$1000,MATCH($B62,'Master data'!$A$2:$A$1000,0),MATCH(C$1,'Master data'!$B$1:$CL$1,0)),"")</f>
        <v>Germany</v>
      </c>
      <c r="D62" t="str">
        <f>IFERROR(INDEX('Master data'!$B$2:$CL$1000,MATCH($B62,'Master data'!$A$2:$A$1000,0),MATCH(D$1,'Master data'!$B$1:$CL$1,0)),"")</f>
        <v>Midfield</v>
      </c>
      <c r="E62" s="5">
        <f>IFERROR(INDEX('Master data'!$B$2:$CL$1000,MATCH($B62,'Master data'!$A$2:$A$1000,0),MATCH(E$1,'Master data'!$B$1:$CL$1,0)),"")</f>
        <v>6000000</v>
      </c>
      <c r="F62" s="7">
        <f>IFERROR(INDEX('Master data'!$B$2:$CL$1000,MATCH($B62,'Master data'!$A$2:$A$1000,0),MATCH(F$1,'Master data'!$B$1:$CL$1,0)),"")</f>
        <v>36138.25371589142</v>
      </c>
      <c r="G62" s="7">
        <f>IFERROR(INDEX('Master data'!$B$2:$CL$1000,MATCH($B62,'Master data'!$A$2:$A$1000,0),MATCH(G$1,'Master data'!$B$1:$CL$1,0)),"")</f>
        <v>44369.911644636333</v>
      </c>
      <c r="H62" s="7">
        <f>IFERROR(INDEX('Master data'!$B$2:$CL$1000,MATCH($B62,'Master data'!$A$2:$A$1000,0),MATCH(H$1,'Master data'!$B$1:$CL$1,0)),"")</f>
        <v>91234.610242444018</v>
      </c>
      <c r="I62" s="7">
        <f>IFERROR(INDEX('Master data'!$B$2:$CL$1000,MATCH($B62,'Master data'!$A$2:$A$1000,0),MATCH(I$1,'Master data'!$B$1:$CL$1,0)),"")</f>
        <v>-3980.1868142394787</v>
      </c>
      <c r="J62" s="7">
        <f>IFERROR(INDEX('Master data'!$B$2:$CL$1000,MATCH($B62,'Master data'!$A$2:$A$1000,0),MATCH(J$1,'Master data'!$B$1:$CL$1,0)),"")</f>
        <v>-2281.7848945314799</v>
      </c>
      <c r="K62" s="7">
        <f>IFERROR(INDEX('Master data'!$B$2:$CL$1000,MATCH($B62,'Master data'!$A$2:$A$1000,0),MATCH(K$1,'Master data'!$B$1:$CL$1,0)),"")</f>
        <v>-1309.000575705752</v>
      </c>
      <c r="L62" s="7">
        <f>IFERROR(INDEX('Master data'!$B$2:$CL$1000,MATCH($B62,'Master data'!$A$2:$A$1000,0),MATCH(L$1,'Master data'!$B$1:$CL$1,0)),"")</f>
        <v>-776.04889478301789</v>
      </c>
      <c r="M62" s="5">
        <f>IFERROR(INDEX('Master data'!$B$2:$CL$1000,MATCH($B62,'Master data'!$A$2:$A$1000,0),MATCH(M$1,'Master data'!$B$1:$CL$1,0)),"")</f>
        <v>104396.36375241129</v>
      </c>
      <c r="N62" s="28">
        <f>IFERROR(INDEX('Master data'!$B$2:$CL$1000,MATCH($B62,'Master data'!$A$2:$A$1000,0),MATCH(N$1,'Master data'!$B$1:$CL$1,0)),"")</f>
        <v>2.8623795933828629E-2</v>
      </c>
      <c r="O62" s="7">
        <f>IFERROR(INDEX('Master data'!$B$2:$CL$1000,MATCH($B62,'Master data'!$A$2:$A$1000,0),MATCH(O$1,'Master data'!$B$1:$CL$1,0)),"")</f>
        <v>0</v>
      </c>
      <c r="P62" s="5">
        <f>IFERROR(INDEX('Master data'!$B$2:$CL$1000,MATCH($B62,'Master data'!$A$2:$A$1000,0),MATCH(P$1,'Master data'!$B$1:$CL$1,0)),"")</f>
        <v>6000000</v>
      </c>
      <c r="Q62" s="5">
        <f>IFERROR(INDEX('Master data'!$B$2:$CL$1000,MATCH($B62,'Master data'!$A$2:$A$1000,0),MATCH(Q$1,'Master data'!$B$1:$CL$1,0)),"")</f>
        <v>6000000</v>
      </c>
    </row>
    <row r="63" spans="1:17" hidden="1">
      <c r="A63">
        <f t="shared" si="0"/>
        <v>61</v>
      </c>
      <c r="B63" t="str">
        <f>IF('Master data'!A63="","",'Master data'!A63)</f>
        <v>Bukayo Saka</v>
      </c>
      <c r="C63" t="str">
        <f>IFERROR(INDEX('Master data'!$B$2:$CL$1000,MATCH($B63,'Master data'!$A$2:$A$1000,0),MATCH(C$1,'Master data'!$B$1:$CL$1,0)),"")</f>
        <v>England</v>
      </c>
      <c r="D63" t="str">
        <f>IFERROR(INDEX('Master data'!$B$2:$CL$1000,MATCH($B63,'Master data'!$A$2:$A$1000,0),MATCH(D$1,'Master data'!$B$1:$CL$1,0)),"")</f>
        <v>Striker</v>
      </c>
      <c r="E63" s="5">
        <f>IFERROR(INDEX('Master data'!$B$2:$CL$1000,MATCH($B63,'Master data'!$A$2:$A$1000,0),MATCH(E$1,'Master data'!$B$1:$CL$1,0)),"")</f>
        <v>3000000</v>
      </c>
      <c r="F63" s="7">
        <f>IFERROR(INDEX('Master data'!$B$2:$CL$1000,MATCH($B63,'Master data'!$A$2:$A$1000,0),MATCH(F$1,'Master data'!$B$1:$CL$1,0)),"")</f>
        <v>-5000</v>
      </c>
      <c r="G63" s="7">
        <f>IFERROR(INDEX('Master data'!$B$2:$CL$1000,MATCH($B63,'Master data'!$A$2:$A$1000,0),MATCH(G$1,'Master data'!$B$1:$CL$1,0)),"")</f>
        <v>-5000</v>
      </c>
      <c r="H63" s="7">
        <f>IFERROR(INDEX('Master data'!$B$2:$CL$1000,MATCH($B63,'Master data'!$A$2:$A$1000,0),MATCH(H$1,'Master data'!$B$1:$CL$1,0)),"")</f>
        <v>-5000</v>
      </c>
      <c r="I63" s="7">
        <f>IFERROR(INDEX('Master data'!$B$2:$CL$1000,MATCH($B63,'Master data'!$A$2:$A$1000,0),MATCH(I$1,'Master data'!$B$1:$CL$1,0)),"")</f>
        <v>-33374.413849153221</v>
      </c>
      <c r="J63" s="7">
        <f>IFERROR(INDEX('Master data'!$B$2:$CL$1000,MATCH($B63,'Master data'!$A$2:$A$1000,0),MATCH(J$1,'Master data'!$B$1:$CL$1,0)),"")</f>
        <v>-17200.501548816534</v>
      </c>
      <c r="K63" s="7">
        <f>IFERROR(INDEX('Master data'!$B$2:$CL$1000,MATCH($B63,'Master data'!$A$2:$A$1000,0),MATCH(K$1,'Master data'!$B$1:$CL$1,0)),"")</f>
        <v>-9092.8015808677956</v>
      </c>
      <c r="L63" s="7">
        <f>IFERROR(INDEX('Master data'!$B$2:$CL$1000,MATCH($B63,'Master data'!$A$2:$A$1000,0),MATCH(L$1,'Master data'!$B$1:$CL$1,0)),"")</f>
        <v>-5189.9873420250269</v>
      </c>
      <c r="M63" s="5">
        <f>IFERROR(INDEX('Master data'!$B$2:$CL$1000,MATCH($B63,'Master data'!$A$2:$A$1000,0),MATCH(M$1,'Master data'!$B$1:$CL$1,0)),"")</f>
        <v>-25494.94342400492</v>
      </c>
      <c r="N63" s="28">
        <f>IFERROR(INDEX('Master data'!$B$2:$CL$1000,MATCH($B63,'Master data'!$A$2:$A$1000,0),MATCH(N$1,'Master data'!$B$1:$CL$1,0)),"")</f>
        <v>-5.0000000000000001E-3</v>
      </c>
      <c r="O63" s="7">
        <f>IFERROR(INDEX('Master data'!$B$2:$CL$1000,MATCH($B63,'Master data'!$A$2:$A$1000,0),MATCH(O$1,'Master data'!$B$1:$CL$1,0)),"")</f>
        <v>0</v>
      </c>
      <c r="P63" s="5">
        <f>IFERROR(INDEX('Master data'!$B$2:$CL$1000,MATCH($B63,'Master data'!$A$2:$A$1000,0),MATCH(P$1,'Master data'!$B$1:$CL$1,0)),"")</f>
        <v>3000000</v>
      </c>
      <c r="Q63" s="5">
        <f>IFERROR(INDEX('Master data'!$B$2:$CL$1000,MATCH($B63,'Master data'!$A$2:$A$1000,0),MATCH(Q$1,'Master data'!$B$1:$CL$1,0)),"")</f>
        <v>3000000</v>
      </c>
    </row>
    <row r="64" spans="1:17" hidden="1">
      <c r="A64">
        <f t="shared" si="0"/>
        <v>62</v>
      </c>
      <c r="B64" t="str">
        <f>IF('Master data'!A64="","",'Master data'!A64)</f>
        <v>Rúben Neves</v>
      </c>
      <c r="C64" t="str">
        <f>IFERROR(INDEX('Master data'!$B$2:$CL$1000,MATCH($B64,'Master data'!$A$2:$A$1000,0),MATCH(C$1,'Master data'!$B$1:$CL$1,0)),"")</f>
        <v>Portugal</v>
      </c>
      <c r="D64" t="str">
        <f>IFERROR(INDEX('Master data'!$B$2:$CL$1000,MATCH($B64,'Master data'!$A$2:$A$1000,0),MATCH(D$1,'Master data'!$B$1:$CL$1,0)),"")</f>
        <v>Midfield</v>
      </c>
      <c r="E64" s="5">
        <f>IFERROR(INDEX('Master data'!$B$2:$CL$1000,MATCH($B64,'Master data'!$A$2:$A$1000,0),MATCH(E$1,'Master data'!$B$1:$CL$1,0)),"")</f>
        <v>3500000</v>
      </c>
      <c r="F64" s="7">
        <f>IFERROR(INDEX('Master data'!$B$2:$CL$1000,MATCH($B64,'Master data'!$A$2:$A$1000,0),MATCH(F$1,'Master data'!$B$1:$CL$1,0)),"")</f>
        <v>55329.325425774936</v>
      </c>
      <c r="G64" s="7">
        <f>IFERROR(INDEX('Master data'!$B$2:$CL$1000,MATCH($B64,'Master data'!$A$2:$A$1000,0),MATCH(G$1,'Master data'!$B$1:$CL$1,0)),"")</f>
        <v>23429.757662785418</v>
      </c>
      <c r="H64" s="7">
        <f>IFERROR(INDEX('Master data'!$B$2:$CL$1000,MATCH($B64,'Master data'!$A$2:$A$1000,0),MATCH(H$1,'Master data'!$B$1:$CL$1,0)),"")</f>
        <v>20688.3395518088</v>
      </c>
      <c r="I64" s="7">
        <f>IFERROR(INDEX('Master data'!$B$2:$CL$1000,MATCH($B64,'Master data'!$A$2:$A$1000,0),MATCH(I$1,'Master data'!$B$1:$CL$1,0)),"")</f>
        <v>-2139.5188393819021</v>
      </c>
      <c r="J64" s="7">
        <f>IFERROR(INDEX('Master data'!$B$2:$CL$1000,MATCH($B64,'Master data'!$A$2:$A$1000,0),MATCH(J$1,'Master data'!$B$1:$CL$1,0)),"")</f>
        <v>-1217.3391668044301</v>
      </c>
      <c r="K64" s="7">
        <f>IFERROR(INDEX('Master data'!$B$2:$CL$1000,MATCH($B64,'Master data'!$A$2:$A$1000,0),MATCH(K$1,'Master data'!$B$1:$CL$1,0)),"")</f>
        <v>-696.03512732528429</v>
      </c>
      <c r="L64" s="7">
        <f>IFERROR(INDEX('Master data'!$B$2:$CL$1000,MATCH($B64,'Master data'!$A$2:$A$1000,0),MATCH(L$1,'Master data'!$B$1:$CL$1,0)),"")</f>
        <v>-414.5646225569426</v>
      </c>
      <c r="M64" s="5">
        <f>IFERROR(INDEX('Master data'!$B$2:$CL$1000,MATCH($B64,'Master data'!$A$2:$A$1000,0),MATCH(M$1,'Master data'!$B$1:$CL$1,0)),"")</f>
        <v>79141.533685729068</v>
      </c>
      <c r="N64" s="28">
        <f>IFERROR(INDEX('Master data'!$B$2:$CL$1000,MATCH($B64,'Master data'!$A$2:$A$1000,0),MATCH(N$1,'Master data'!$B$1:$CL$1,0)),"")</f>
        <v>2.841354932581976E-2</v>
      </c>
      <c r="O64" s="7">
        <f>IFERROR(INDEX('Master data'!$B$2:$CL$1000,MATCH($B64,'Master data'!$A$2:$A$1000,0),MATCH(O$1,'Master data'!$B$1:$CL$1,0)),"")</f>
        <v>0</v>
      </c>
      <c r="P64" s="5">
        <f>IFERROR(INDEX('Master data'!$B$2:$CL$1000,MATCH($B64,'Master data'!$A$2:$A$1000,0),MATCH(P$1,'Master data'!$B$1:$CL$1,0)),"")</f>
        <v>3500000</v>
      </c>
      <c r="Q64" s="5">
        <f>IFERROR(INDEX('Master data'!$B$2:$CL$1000,MATCH($B64,'Master data'!$A$2:$A$1000,0),MATCH(Q$1,'Master data'!$B$1:$CL$1,0)),"")</f>
        <v>3500000</v>
      </c>
    </row>
    <row r="65" spans="1:17" hidden="1">
      <c r="A65">
        <f t="shared" si="0"/>
        <v>63</v>
      </c>
      <c r="B65" t="str">
        <f>IF('Master data'!A65="","",'Master data'!A65)</f>
        <v>Pablo Sarabia</v>
      </c>
      <c r="C65" t="str">
        <f>IFERROR(INDEX('Master data'!$B$2:$CL$1000,MATCH($B65,'Master data'!$A$2:$A$1000,0),MATCH(C$1,'Master data'!$B$1:$CL$1,0)),"")</f>
        <v>Spain</v>
      </c>
      <c r="D65" t="str">
        <f>IFERROR(INDEX('Master data'!$B$2:$CL$1000,MATCH($B65,'Master data'!$A$2:$A$1000,0),MATCH(D$1,'Master data'!$B$1:$CL$1,0)),"")</f>
        <v>Midfield</v>
      </c>
      <c r="E65" s="5">
        <f>IFERROR(INDEX('Master data'!$B$2:$CL$1000,MATCH($B65,'Master data'!$A$2:$A$1000,0),MATCH(E$1,'Master data'!$B$1:$CL$1,0)),"")</f>
        <v>3000000</v>
      </c>
      <c r="F65" s="7">
        <f>IFERROR(INDEX('Master data'!$B$2:$CL$1000,MATCH($B65,'Master data'!$A$2:$A$1000,0),MATCH(F$1,'Master data'!$B$1:$CL$1,0)),"")</f>
        <v>-5000</v>
      </c>
      <c r="G65" s="7">
        <f>IFERROR(INDEX('Master data'!$B$2:$CL$1000,MATCH($B65,'Master data'!$A$2:$A$1000,0),MATCH(G$1,'Master data'!$B$1:$CL$1,0)),"")</f>
        <v>-5000</v>
      </c>
      <c r="H65" s="7">
        <f>IFERROR(INDEX('Master data'!$B$2:$CL$1000,MATCH($B65,'Master data'!$A$2:$A$1000,0),MATCH(H$1,'Master data'!$B$1:$CL$1,0)),"")</f>
        <v>-5000</v>
      </c>
      <c r="I65" s="7">
        <f>IFERROR(INDEX('Master data'!$B$2:$CL$1000,MATCH($B65,'Master data'!$A$2:$A$1000,0),MATCH(I$1,'Master data'!$B$1:$CL$1,0)),"")</f>
        <v>-33692.265409621345</v>
      </c>
      <c r="J65" s="7">
        <f>IFERROR(INDEX('Master data'!$B$2:$CL$1000,MATCH($B65,'Master data'!$A$2:$A$1000,0),MATCH(J$1,'Master data'!$B$1:$CL$1,0)),"")</f>
        <v>-17048.904626288291</v>
      </c>
      <c r="K65" s="7">
        <f>IFERROR(INDEX('Master data'!$B$2:$CL$1000,MATCH($B65,'Master data'!$A$2:$A$1000,0),MATCH(K$1,'Master data'!$B$1:$CL$1,0)),"")</f>
        <v>-8725.4895661181599</v>
      </c>
      <c r="L65" s="7">
        <f>IFERROR(INDEX('Master data'!$B$2:$CL$1000,MATCH($B65,'Master data'!$A$2:$A$1000,0),MATCH(L$1,'Master data'!$B$1:$CL$1,0)),"")</f>
        <v>-4631.0971648895811</v>
      </c>
      <c r="M65" s="5">
        <f>IFERROR(INDEX('Master data'!$B$2:$CL$1000,MATCH($B65,'Master data'!$A$2:$A$1000,0),MATCH(M$1,'Master data'!$B$1:$CL$1,0)),"")</f>
        <v>-25461.740482255143</v>
      </c>
      <c r="N65" s="28">
        <f>IFERROR(INDEX('Master data'!$B$2:$CL$1000,MATCH($B65,'Master data'!$A$2:$A$1000,0),MATCH(N$1,'Master data'!$B$1:$CL$1,0)),"")</f>
        <v>-5.0000000000000001E-3</v>
      </c>
      <c r="O65" s="7">
        <f>IFERROR(INDEX('Master data'!$B$2:$CL$1000,MATCH($B65,'Master data'!$A$2:$A$1000,0),MATCH(O$1,'Master data'!$B$1:$CL$1,0)),"")</f>
        <v>0</v>
      </c>
      <c r="P65" s="5">
        <f>IFERROR(INDEX('Master data'!$B$2:$CL$1000,MATCH($B65,'Master data'!$A$2:$A$1000,0),MATCH(P$1,'Master data'!$B$1:$CL$1,0)),"")</f>
        <v>3000000</v>
      </c>
      <c r="Q65" s="5">
        <f>IFERROR(INDEX('Master data'!$B$2:$CL$1000,MATCH($B65,'Master data'!$A$2:$A$1000,0),MATCH(Q$1,'Master data'!$B$1:$CL$1,0)),"")</f>
        <v>3000000</v>
      </c>
    </row>
    <row r="66" spans="1:17" hidden="1">
      <c r="A66">
        <f t="shared" si="0"/>
        <v>64</v>
      </c>
      <c r="B66" t="str">
        <f>IF('Master data'!A66="","",'Master data'!A66)</f>
        <v>Koke</v>
      </c>
      <c r="C66" t="str">
        <f>IFERROR(INDEX('Master data'!$B$2:$CL$1000,MATCH($B66,'Master data'!$A$2:$A$1000,0),MATCH(C$1,'Master data'!$B$1:$CL$1,0)),"")</f>
        <v>Spain</v>
      </c>
      <c r="D66" t="str">
        <f>IFERROR(INDEX('Master data'!$B$2:$CL$1000,MATCH($B66,'Master data'!$A$2:$A$1000,0),MATCH(D$1,'Master data'!$B$1:$CL$1,0)),"")</f>
        <v>Midfield</v>
      </c>
      <c r="E66" s="5">
        <f>IFERROR(INDEX('Master data'!$B$2:$CL$1000,MATCH($B66,'Master data'!$A$2:$A$1000,0),MATCH(E$1,'Master data'!$B$1:$CL$1,0)),"")</f>
        <v>4000000</v>
      </c>
      <c r="F66" s="7">
        <f>IFERROR(INDEX('Master data'!$B$2:$CL$1000,MATCH($B66,'Master data'!$A$2:$A$1000,0),MATCH(F$1,'Master data'!$B$1:$CL$1,0)),"")</f>
        <v>49154.18212602158</v>
      </c>
      <c r="G66" s="7">
        <f>IFERROR(INDEX('Master data'!$B$2:$CL$1000,MATCH($B66,'Master data'!$A$2:$A$1000,0),MATCH(G$1,'Master data'!$B$1:$CL$1,0)),"")</f>
        <v>49914.145444612514</v>
      </c>
      <c r="H66" s="7">
        <f>IFERROR(INDEX('Master data'!$B$2:$CL$1000,MATCH($B66,'Master data'!$A$2:$A$1000,0),MATCH(H$1,'Master data'!$B$1:$CL$1,0)),"")</f>
        <v>63968.502446724931</v>
      </c>
      <c r="I66" s="7">
        <f>IFERROR(INDEX('Master data'!$B$2:$CL$1000,MATCH($B66,'Master data'!$A$2:$A$1000,0),MATCH(I$1,'Master data'!$B$1:$CL$1,0)),"")</f>
        <v>12292.834958192001</v>
      </c>
      <c r="J66" s="7">
        <f>IFERROR(INDEX('Master data'!$B$2:$CL$1000,MATCH($B66,'Master data'!$A$2:$A$1000,0),MATCH(J$1,'Master data'!$B$1:$CL$1,0)),"")</f>
        <v>5963.0922965728132</v>
      </c>
      <c r="K66" s="7">
        <f>IFERROR(INDEX('Master data'!$B$2:$CL$1000,MATCH($B66,'Master data'!$A$2:$A$1000,0),MATCH(K$1,'Master data'!$B$1:$CL$1,0)),"")</f>
        <v>2919.7947560172165</v>
      </c>
      <c r="L66" s="7">
        <f>IFERROR(INDEX('Master data'!$B$2:$CL$1000,MATCH($B66,'Master data'!$A$2:$A$1000,0),MATCH(L$1,'Master data'!$B$1:$CL$1,0)),"")</f>
        <v>1479.3984380717352</v>
      </c>
      <c r="M66" s="5">
        <f>IFERROR(INDEX('Master data'!$B$2:$CL$1000,MATCH($B66,'Master data'!$A$2:$A$1000,0),MATCH(M$1,'Master data'!$B$1:$CL$1,0)),"")</f>
        <v>116195.31918653016</v>
      </c>
      <c r="N66" s="28">
        <f>IFERROR(INDEX('Master data'!$B$2:$CL$1000,MATCH($B66,'Master data'!$A$2:$A$1000,0),MATCH(N$1,'Master data'!$B$1:$CL$1,0)),"")</f>
        <v>4.0759207504339756E-2</v>
      </c>
      <c r="O66" s="7">
        <f>IFERROR(INDEX('Master data'!$B$2:$CL$1000,MATCH($B66,'Master data'!$A$2:$A$1000,0),MATCH(O$1,'Master data'!$B$1:$CL$1,0)),"")</f>
        <v>0</v>
      </c>
      <c r="P66" s="5">
        <f>IFERROR(INDEX('Master data'!$B$2:$CL$1000,MATCH($B66,'Master data'!$A$2:$A$1000,0),MATCH(P$1,'Master data'!$B$1:$CL$1,0)),"")</f>
        <v>4000000</v>
      </c>
      <c r="Q66" s="5">
        <f>IFERROR(INDEX('Master data'!$B$2:$CL$1000,MATCH($B66,'Master data'!$A$2:$A$1000,0),MATCH(Q$1,'Master data'!$B$1:$CL$1,0)),"")</f>
        <v>4000000</v>
      </c>
    </row>
    <row r="67" spans="1:17" hidden="1">
      <c r="A67">
        <f t="shared" ref="A67:A130" si="1">IF(B67="","",ROW()-2)</f>
        <v>65</v>
      </c>
      <c r="B67" t="str">
        <f>IF('Master data'!A67="","",'Master data'!A67)</f>
        <v>Adama Traoré</v>
      </c>
      <c r="C67" t="str">
        <f>IFERROR(INDEX('Master data'!$B$2:$CL$1000,MATCH($B67,'Master data'!$A$2:$A$1000,0),MATCH(C$1,'Master data'!$B$1:$CL$1,0)),"")</f>
        <v>Spain</v>
      </c>
      <c r="D67" t="str">
        <f>IFERROR(INDEX('Master data'!$B$2:$CL$1000,MATCH($B67,'Master data'!$A$2:$A$1000,0),MATCH(D$1,'Master data'!$B$1:$CL$1,0)),"")</f>
        <v>Striker</v>
      </c>
      <c r="E67" s="5">
        <f>IFERROR(INDEX('Master data'!$B$2:$CL$1000,MATCH($B67,'Master data'!$A$2:$A$1000,0),MATCH(E$1,'Master data'!$B$1:$CL$1,0)),"")</f>
        <v>2500000</v>
      </c>
      <c r="F67" s="7">
        <f>IFERROR(INDEX('Master data'!$B$2:$CL$1000,MATCH($B67,'Master data'!$A$2:$A$1000,0),MATCH(F$1,'Master data'!$B$1:$CL$1,0)),"")</f>
        <v>-5000</v>
      </c>
      <c r="G67" s="7">
        <f>IFERROR(INDEX('Master data'!$B$2:$CL$1000,MATCH($B67,'Master data'!$A$2:$A$1000,0),MATCH(G$1,'Master data'!$B$1:$CL$1,0)),"")</f>
        <v>-5000</v>
      </c>
      <c r="H67" s="7">
        <f>IFERROR(INDEX('Master data'!$B$2:$CL$1000,MATCH($B67,'Master data'!$A$2:$A$1000,0),MATCH(H$1,'Master data'!$B$1:$CL$1,0)),"")</f>
        <v>-5000</v>
      </c>
      <c r="I67" s="7">
        <f>IFERROR(INDEX('Master data'!$B$2:$CL$1000,MATCH($B67,'Master data'!$A$2:$A$1000,0),MATCH(I$1,'Master data'!$B$1:$CL$1,0)),"")</f>
        <v>-28858.367933348556</v>
      </c>
      <c r="J67" s="7">
        <f>IFERROR(INDEX('Master data'!$B$2:$CL$1000,MATCH($B67,'Master data'!$A$2:$A$1000,0),MATCH(J$1,'Master data'!$B$1:$CL$1,0)),"")</f>
        <v>-14599.349363890549</v>
      </c>
      <c r="K67" s="7">
        <f>IFERROR(INDEX('Master data'!$B$2:$CL$1000,MATCH($B67,'Master data'!$A$2:$A$1000,0),MATCH(K$1,'Master data'!$B$1:$CL$1,0)),"")</f>
        <v>-7470.0234414968427</v>
      </c>
      <c r="L67" s="7">
        <f>IFERROR(INDEX('Master data'!$B$2:$CL$1000,MATCH($B67,'Master data'!$A$2:$A$1000,0),MATCH(L$1,'Master data'!$B$1:$CL$1,0)),"")</f>
        <v>-3963.7920979026098</v>
      </c>
      <c r="M67" s="5">
        <f>IFERROR(INDEX('Master data'!$B$2:$CL$1000,MATCH($B67,'Master data'!$A$2:$A$1000,0),MATCH(M$1,'Master data'!$B$1:$CL$1,0)),"")</f>
        <v>-23321.699213515763</v>
      </c>
      <c r="N67" s="28">
        <f>IFERROR(INDEX('Master data'!$B$2:$CL$1000,MATCH($B67,'Master data'!$A$2:$A$1000,0),MATCH(N$1,'Master data'!$B$1:$CL$1,0)),"")</f>
        <v>-6.0000000000000001E-3</v>
      </c>
      <c r="O67" s="7">
        <f>IFERROR(INDEX('Master data'!$B$2:$CL$1000,MATCH($B67,'Master data'!$A$2:$A$1000,0),MATCH(O$1,'Master data'!$B$1:$CL$1,0)),"")</f>
        <v>0</v>
      </c>
      <c r="P67" s="5">
        <f>IFERROR(INDEX('Master data'!$B$2:$CL$1000,MATCH($B67,'Master data'!$A$2:$A$1000,0),MATCH(P$1,'Master data'!$B$1:$CL$1,0)),"")</f>
        <v>2500000</v>
      </c>
      <c r="Q67" s="5">
        <f>IFERROR(INDEX('Master data'!$B$2:$CL$1000,MATCH($B67,'Master data'!$A$2:$A$1000,0),MATCH(Q$1,'Master data'!$B$1:$CL$1,0)),"")</f>
        <v>2500000</v>
      </c>
    </row>
    <row r="68" spans="1:17" hidden="1">
      <c r="A68">
        <f t="shared" si="1"/>
        <v>66</v>
      </c>
      <c r="B68" t="str">
        <f>IF('Master data'!A68="","",'Master data'!A68)</f>
        <v>Wissam Ben Yedder</v>
      </c>
      <c r="C68" t="str">
        <f>IFERROR(INDEX('Master data'!$B$2:$CL$1000,MATCH($B68,'Master data'!$A$2:$A$1000,0),MATCH(C$1,'Master data'!$B$1:$CL$1,0)),"")</f>
        <v>France</v>
      </c>
      <c r="D68" t="str">
        <f>IFERROR(INDEX('Master data'!$B$2:$CL$1000,MATCH($B68,'Master data'!$A$2:$A$1000,0),MATCH(D$1,'Master data'!$B$1:$CL$1,0)),"")</f>
        <v>Striker</v>
      </c>
      <c r="E68" s="5">
        <f>IFERROR(INDEX('Master data'!$B$2:$CL$1000,MATCH($B68,'Master data'!$A$2:$A$1000,0),MATCH(E$1,'Master data'!$B$1:$CL$1,0)),"")</f>
        <v>4500000</v>
      </c>
      <c r="F68" s="7">
        <f>IFERROR(INDEX('Master data'!$B$2:$CL$1000,MATCH($B68,'Master data'!$A$2:$A$1000,0),MATCH(F$1,'Master data'!$B$1:$CL$1,0)),"")</f>
        <v>-5000</v>
      </c>
      <c r="G68" s="7">
        <f>IFERROR(INDEX('Master data'!$B$2:$CL$1000,MATCH($B68,'Master data'!$A$2:$A$1000,0),MATCH(G$1,'Master data'!$B$1:$CL$1,0)),"")</f>
        <v>-5000</v>
      </c>
      <c r="H68" s="7">
        <f>IFERROR(INDEX('Master data'!$B$2:$CL$1000,MATCH($B68,'Master data'!$A$2:$A$1000,0),MATCH(H$1,'Master data'!$B$1:$CL$1,0)),"")</f>
        <v>-5000</v>
      </c>
      <c r="I68" s="7">
        <f>IFERROR(INDEX('Master data'!$B$2:$CL$1000,MATCH($B68,'Master data'!$A$2:$A$1000,0),MATCH(I$1,'Master data'!$B$1:$CL$1,0)),"")</f>
        <v>-44003.178895966703</v>
      </c>
      <c r="J68" s="7">
        <f>IFERROR(INDEX('Master data'!$B$2:$CL$1000,MATCH($B68,'Master data'!$A$2:$A$1000,0),MATCH(J$1,'Master data'!$B$1:$CL$1,0)),"")</f>
        <v>-22847.158064180912</v>
      </c>
      <c r="K68" s="7">
        <f>IFERROR(INDEX('Master data'!$B$2:$CL$1000,MATCH($B68,'Master data'!$A$2:$A$1000,0),MATCH(K$1,'Master data'!$B$1:$CL$1,0)),"")</f>
        <v>-12227.888669942871</v>
      </c>
      <c r="L68" s="7">
        <f>IFERROR(INDEX('Master data'!$B$2:$CL$1000,MATCH($B68,'Master data'!$A$2:$A$1000,0),MATCH(L$1,'Master data'!$B$1:$CL$1,0)),"")</f>
        <v>-7158.6681303248042</v>
      </c>
      <c r="M68" s="5">
        <f>IFERROR(INDEX('Master data'!$B$2:$CL$1000,MATCH($B68,'Master data'!$A$2:$A$1000,0),MATCH(M$1,'Master data'!$B$1:$CL$1,0)),"")</f>
        <v>-30345.280487553035</v>
      </c>
      <c r="N68" s="28">
        <f>IFERROR(INDEX('Master data'!$B$2:$CL$1000,MATCH($B68,'Master data'!$A$2:$A$1000,0),MATCH(N$1,'Master data'!$B$1:$CL$1,0)),"")</f>
        <v>-3.3333333333333335E-3</v>
      </c>
      <c r="O68" s="7">
        <f>IFERROR(INDEX('Master data'!$B$2:$CL$1000,MATCH($B68,'Master data'!$A$2:$A$1000,0),MATCH(O$1,'Master data'!$B$1:$CL$1,0)),"")</f>
        <v>0</v>
      </c>
      <c r="P68" s="5">
        <f>IFERROR(INDEX('Master data'!$B$2:$CL$1000,MATCH($B68,'Master data'!$A$2:$A$1000,0),MATCH(P$1,'Master data'!$B$1:$CL$1,0)),"")</f>
        <v>4500000</v>
      </c>
      <c r="Q68" s="5">
        <f>IFERROR(INDEX('Master data'!$B$2:$CL$1000,MATCH($B68,'Master data'!$A$2:$A$1000,0),MATCH(Q$1,'Master data'!$B$1:$CL$1,0)),"")</f>
        <v>4500000</v>
      </c>
    </row>
    <row r="69" spans="1:17" hidden="1">
      <c r="A69">
        <f t="shared" si="1"/>
        <v>67</v>
      </c>
      <c r="B69" t="str">
        <f>IF('Master data'!A69="","",'Master data'!A69)</f>
        <v>Martin Braithwaite</v>
      </c>
      <c r="C69" t="str">
        <f>IFERROR(INDEX('Master data'!$B$2:$CL$1000,MATCH($B69,'Master data'!$A$2:$A$1000,0),MATCH(C$1,'Master data'!$B$1:$CL$1,0)),"")</f>
        <v>Denmark</v>
      </c>
      <c r="D69" t="str">
        <f>IFERROR(INDEX('Master data'!$B$2:$CL$1000,MATCH($B69,'Master data'!$A$2:$A$1000,0),MATCH(D$1,'Master data'!$B$1:$CL$1,0)),"")</f>
        <v>Striker</v>
      </c>
      <c r="E69" s="5">
        <f>IFERROR(INDEX('Master data'!$B$2:$CL$1000,MATCH($B69,'Master data'!$A$2:$A$1000,0),MATCH(E$1,'Master data'!$B$1:$CL$1,0)),"")</f>
        <v>4500000</v>
      </c>
      <c r="F69" s="7">
        <f>IFERROR(INDEX('Master data'!$B$2:$CL$1000,MATCH($B69,'Master data'!$A$2:$A$1000,0),MATCH(F$1,'Master data'!$B$1:$CL$1,0)),"")</f>
        <v>73470.218611584947</v>
      </c>
      <c r="G69" s="7">
        <f>IFERROR(INDEX('Master data'!$B$2:$CL$1000,MATCH($B69,'Master data'!$A$2:$A$1000,0),MATCH(G$1,'Master data'!$B$1:$CL$1,0)),"")</f>
        <v>33584.973829062772</v>
      </c>
      <c r="H69" s="7">
        <f>IFERROR(INDEX('Master data'!$B$2:$CL$1000,MATCH($B69,'Master data'!$A$2:$A$1000,0),MATCH(H$1,'Master data'!$B$1:$CL$1,0)),"")</f>
        <v>59442.689970096944</v>
      </c>
      <c r="I69" s="7">
        <f>IFERROR(INDEX('Master data'!$B$2:$CL$1000,MATCH($B69,'Master data'!$A$2:$A$1000,0),MATCH(I$1,'Master data'!$B$1:$CL$1,0)),"")</f>
        <v>7174.3013151899031</v>
      </c>
      <c r="J69" s="7">
        <f>IFERROR(INDEX('Master data'!$B$2:$CL$1000,MATCH($B69,'Master data'!$A$2:$A$1000,0),MATCH(J$1,'Master data'!$B$1:$CL$1,0)),"")</f>
        <v>3336.953085349639</v>
      </c>
      <c r="K69" s="7">
        <f>IFERROR(INDEX('Master data'!$B$2:$CL$1000,MATCH($B69,'Master data'!$A$2:$A$1000,0),MATCH(K$1,'Master data'!$B$1:$CL$1,0)),"")</f>
        <v>1534.817231878483</v>
      </c>
      <c r="L69" s="7">
        <f>IFERROR(INDEX('Master data'!$B$2:$CL$1000,MATCH($B69,'Master data'!$A$2:$A$1000,0),MATCH(L$1,'Master data'!$B$1:$CL$1,0)),"")</f>
        <v>686.16123477487099</v>
      </c>
      <c r="M69" s="5">
        <f>IFERROR(INDEX('Master data'!$B$2:$CL$1000,MATCH($B69,'Master data'!$A$2:$A$1000,0),MATCH(M$1,'Master data'!$B$1:$CL$1,0)),"")</f>
        <v>125326.3995894906</v>
      </c>
      <c r="N69" s="28">
        <f>IFERROR(INDEX('Master data'!$B$2:$CL$1000,MATCH($B69,'Master data'!$A$2:$A$1000,0),MATCH(N$1,'Master data'!$B$1:$CL$1,0)),"")</f>
        <v>3.6999529424609927E-2</v>
      </c>
      <c r="O69" s="7">
        <f>IFERROR(INDEX('Master data'!$B$2:$CL$1000,MATCH($B69,'Master data'!$A$2:$A$1000,0),MATCH(O$1,'Master data'!$B$1:$CL$1,0)),"")</f>
        <v>0</v>
      </c>
      <c r="P69" s="5">
        <f>IFERROR(INDEX('Master data'!$B$2:$CL$1000,MATCH($B69,'Master data'!$A$2:$A$1000,0),MATCH(P$1,'Master data'!$B$1:$CL$1,0)),"")</f>
        <v>4500000</v>
      </c>
      <c r="Q69" s="5">
        <f>IFERROR(INDEX('Master data'!$B$2:$CL$1000,MATCH($B69,'Master data'!$A$2:$A$1000,0),MATCH(Q$1,'Master data'!$B$1:$CL$1,0)),"")</f>
        <v>4500000</v>
      </c>
    </row>
    <row r="70" spans="1:17" hidden="1">
      <c r="A70">
        <f t="shared" si="1"/>
        <v>68</v>
      </c>
      <c r="B70" t="str">
        <f>IF('Master data'!A70="","",'Master data'!A70)</f>
        <v>Mateo Kovačić</v>
      </c>
      <c r="C70" t="str">
        <f>IFERROR(INDEX('Master data'!$B$2:$CL$1000,MATCH($B70,'Master data'!$A$2:$A$1000,0),MATCH(C$1,'Master data'!$B$1:$CL$1,0)),"")</f>
        <v>Croatia</v>
      </c>
      <c r="D70" t="str">
        <f>IFERROR(INDEX('Master data'!$B$2:$CL$1000,MATCH($B70,'Master data'!$A$2:$A$1000,0),MATCH(D$1,'Master data'!$B$1:$CL$1,0)),"")</f>
        <v>Midfield</v>
      </c>
      <c r="E70" s="5">
        <f>IFERROR(INDEX('Master data'!$B$2:$CL$1000,MATCH($B70,'Master data'!$A$2:$A$1000,0),MATCH(E$1,'Master data'!$B$1:$CL$1,0)),"")</f>
        <v>3000000</v>
      </c>
      <c r="F70" s="7">
        <f>IFERROR(INDEX('Master data'!$B$2:$CL$1000,MATCH($B70,'Master data'!$A$2:$A$1000,0),MATCH(F$1,'Master data'!$B$1:$CL$1,0)),"")</f>
        <v>4838.8317329840193</v>
      </c>
      <c r="G70" s="7">
        <f>IFERROR(INDEX('Master data'!$B$2:$CL$1000,MATCH($B70,'Master data'!$A$2:$A$1000,0),MATCH(G$1,'Master data'!$B$1:$CL$1,0)),"")</f>
        <v>33233.516008880637</v>
      </c>
      <c r="H70" s="7">
        <f>IFERROR(INDEX('Master data'!$B$2:$CL$1000,MATCH($B70,'Master data'!$A$2:$A$1000,0),MATCH(H$1,'Master data'!$B$1:$CL$1,0)),"")</f>
        <v>39359.14634595353</v>
      </c>
      <c r="I70" s="7">
        <f>IFERROR(INDEX('Master data'!$B$2:$CL$1000,MATCH($B70,'Master data'!$A$2:$A$1000,0),MATCH(I$1,'Master data'!$B$1:$CL$1,0)),"")</f>
        <v>-3705.0457564373942</v>
      </c>
      <c r="J70" s="7">
        <f>IFERROR(INDEX('Master data'!$B$2:$CL$1000,MATCH($B70,'Master data'!$A$2:$A$1000,0),MATCH(J$1,'Master data'!$B$1:$CL$1,0)),"")</f>
        <v>-1926.190302761396</v>
      </c>
      <c r="K70" s="7">
        <f>IFERROR(INDEX('Master data'!$B$2:$CL$1000,MATCH($B70,'Master data'!$A$2:$A$1000,0),MATCH(K$1,'Master data'!$B$1:$CL$1,0)),"")</f>
        <v>-988.31831003764648</v>
      </c>
      <c r="L70" s="7">
        <f>IFERROR(INDEX('Master data'!$B$2:$CL$1000,MATCH($B70,'Master data'!$A$2:$A$1000,0),MATCH(L$1,'Master data'!$B$1:$CL$1,0)),"")</f>
        <v>-487.2161177335712</v>
      </c>
      <c r="M70" s="5">
        <f>IFERROR(INDEX('Master data'!$B$2:$CL$1000,MATCH($B70,'Master data'!$A$2:$A$1000,0),MATCH(M$1,'Master data'!$B$1:$CL$1,0)),"")</f>
        <v>42836.267288701791</v>
      </c>
      <c r="N70" s="28">
        <f>IFERROR(INDEX('Master data'!$B$2:$CL$1000,MATCH($B70,'Master data'!$A$2:$A$1000,0),MATCH(N$1,'Master data'!$B$1:$CL$1,0)),"")</f>
        <v>2.5810498029272731E-2</v>
      </c>
      <c r="O70" s="7">
        <f>IFERROR(INDEX('Master data'!$B$2:$CL$1000,MATCH($B70,'Master data'!$A$2:$A$1000,0),MATCH(O$1,'Master data'!$B$1:$CL$1,0)),"")</f>
        <v>0</v>
      </c>
      <c r="P70" s="5">
        <f>IFERROR(INDEX('Master data'!$B$2:$CL$1000,MATCH($B70,'Master data'!$A$2:$A$1000,0),MATCH(P$1,'Master data'!$B$1:$CL$1,0)),"")</f>
        <v>3000000</v>
      </c>
      <c r="Q70" s="5">
        <f>IFERROR(INDEX('Master data'!$B$2:$CL$1000,MATCH($B70,'Master data'!$A$2:$A$1000,0),MATCH(Q$1,'Master data'!$B$1:$CL$1,0)),"")</f>
        <v>3000000</v>
      </c>
    </row>
    <row r="71" spans="1:17" hidden="1">
      <c r="A71">
        <f t="shared" si="1"/>
        <v>69</v>
      </c>
      <c r="B71" t="str">
        <f>IF('Master data'!A71="","",'Master data'!A71)</f>
        <v>Marco Verratti</v>
      </c>
      <c r="C71" t="str">
        <f>IFERROR(INDEX('Master data'!$B$2:$CL$1000,MATCH($B71,'Master data'!$A$2:$A$1000,0),MATCH(C$1,'Master data'!$B$1:$CL$1,0)),"")</f>
        <v>Italy</v>
      </c>
      <c r="D71" t="str">
        <f>IFERROR(INDEX('Master data'!$B$2:$CL$1000,MATCH($B71,'Master data'!$A$2:$A$1000,0),MATCH(D$1,'Master data'!$B$1:$CL$1,0)),"")</f>
        <v>Midfield</v>
      </c>
      <c r="E71" s="5">
        <f>IFERROR(INDEX('Master data'!$B$2:$CL$1000,MATCH($B71,'Master data'!$A$2:$A$1000,0),MATCH(E$1,'Master data'!$B$1:$CL$1,0)),"")</f>
        <v>4500000</v>
      </c>
      <c r="F71" s="7">
        <f>IFERROR(INDEX('Master data'!$B$2:$CL$1000,MATCH($B71,'Master data'!$A$2:$A$1000,0),MATCH(F$1,'Master data'!$B$1:$CL$1,0)),"")</f>
        <v>41250.059969762435</v>
      </c>
      <c r="G71" s="7">
        <f>IFERROR(INDEX('Master data'!$B$2:$CL$1000,MATCH($B71,'Master data'!$A$2:$A$1000,0),MATCH(G$1,'Master data'!$B$1:$CL$1,0)),"")</f>
        <v>35435.028759741857</v>
      </c>
      <c r="H71" s="7">
        <f>IFERROR(INDEX('Master data'!$B$2:$CL$1000,MATCH($B71,'Master data'!$A$2:$A$1000,0),MATCH(H$1,'Master data'!$B$1:$CL$1,0)),"")</f>
        <v>46416.562876773707</v>
      </c>
      <c r="I71" s="7">
        <f>IFERROR(INDEX('Master data'!$B$2:$CL$1000,MATCH($B71,'Master data'!$A$2:$A$1000,0),MATCH(I$1,'Master data'!$B$1:$CL$1,0)),"")</f>
        <v>-4977.0805107618462</v>
      </c>
      <c r="J71" s="7">
        <f>IFERROR(INDEX('Master data'!$B$2:$CL$1000,MATCH($B71,'Master data'!$A$2:$A$1000,0),MATCH(J$1,'Master data'!$B$1:$CL$1,0)),"")</f>
        <v>-2706.7981039954561</v>
      </c>
      <c r="K71" s="7">
        <f>IFERROR(INDEX('Master data'!$B$2:$CL$1000,MATCH($B71,'Master data'!$A$2:$A$1000,0),MATCH(K$1,'Master data'!$B$1:$CL$1,0)),"")</f>
        <v>-1474.4312965187801</v>
      </c>
      <c r="L71" s="7">
        <f>IFERROR(INDEX('Master data'!$B$2:$CL$1000,MATCH($B71,'Master data'!$A$2:$A$1000,0),MATCH(L$1,'Master data'!$B$1:$CL$1,0)),"")</f>
        <v>-817.77946772207952</v>
      </c>
      <c r="M71" s="5">
        <f>IFERROR(INDEX('Master data'!$B$2:$CL$1000,MATCH($B71,'Master data'!$A$2:$A$1000,0),MATCH(M$1,'Master data'!$B$1:$CL$1,0)),"")</f>
        <v>83227.671412299198</v>
      </c>
      <c r="N71" s="28">
        <f>IFERROR(INDEX('Master data'!$B$2:$CL$1000,MATCH($B71,'Master data'!$A$2:$A$1000,0),MATCH(N$1,'Master data'!$B$1:$CL$1,0)),"")</f>
        <v>2.7355922579172888E-2</v>
      </c>
      <c r="O71" s="7">
        <f>IFERROR(INDEX('Master data'!$B$2:$CL$1000,MATCH($B71,'Master data'!$A$2:$A$1000,0),MATCH(O$1,'Master data'!$B$1:$CL$1,0)),"")</f>
        <v>0</v>
      </c>
      <c r="P71" s="5">
        <f>IFERROR(INDEX('Master data'!$B$2:$CL$1000,MATCH($B71,'Master data'!$A$2:$A$1000,0),MATCH(P$1,'Master data'!$B$1:$CL$1,0)),"")</f>
        <v>4500000</v>
      </c>
      <c r="Q71" s="5">
        <f>IFERROR(INDEX('Master data'!$B$2:$CL$1000,MATCH($B71,'Master data'!$A$2:$A$1000,0),MATCH(Q$1,'Master data'!$B$1:$CL$1,0)),"")</f>
        <v>4500000</v>
      </c>
    </row>
    <row r="72" spans="1:17" hidden="1">
      <c r="A72">
        <f t="shared" si="1"/>
        <v>70</v>
      </c>
      <c r="B72" t="str">
        <f>IF('Master data'!A72="","",'Master data'!A72)</f>
        <v>Federico Bernardeschi</v>
      </c>
      <c r="C72" t="str">
        <f>IFERROR(INDEX('Master data'!$B$2:$CL$1000,MATCH($B72,'Master data'!$A$2:$A$1000,0),MATCH(C$1,'Master data'!$B$1:$CL$1,0)),"")</f>
        <v>Italy</v>
      </c>
      <c r="D72" t="str">
        <f>IFERROR(INDEX('Master data'!$B$2:$CL$1000,MATCH($B72,'Master data'!$A$2:$A$1000,0),MATCH(D$1,'Master data'!$B$1:$CL$1,0)),"")</f>
        <v>Midfield</v>
      </c>
      <c r="E72" s="5">
        <f>IFERROR(INDEX('Master data'!$B$2:$CL$1000,MATCH($B72,'Master data'!$A$2:$A$1000,0),MATCH(E$1,'Master data'!$B$1:$CL$1,0)),"")</f>
        <v>4000000</v>
      </c>
      <c r="F72" s="7">
        <f>IFERROR(INDEX('Master data'!$B$2:$CL$1000,MATCH($B72,'Master data'!$A$2:$A$1000,0),MATCH(F$1,'Master data'!$B$1:$CL$1,0)),"")</f>
        <v>-5000</v>
      </c>
      <c r="G72" s="7">
        <f>IFERROR(INDEX('Master data'!$B$2:$CL$1000,MATCH($B72,'Master data'!$A$2:$A$1000,0),MATCH(G$1,'Master data'!$B$1:$CL$1,0)),"")</f>
        <v>-5000</v>
      </c>
      <c r="H72" s="7">
        <f>IFERROR(INDEX('Master data'!$B$2:$CL$1000,MATCH($B72,'Master data'!$A$2:$A$1000,0),MATCH(H$1,'Master data'!$B$1:$CL$1,0)),"")</f>
        <v>-5000</v>
      </c>
      <c r="I72" s="7">
        <f>IFERROR(INDEX('Master data'!$B$2:$CL$1000,MATCH($B72,'Master data'!$A$2:$A$1000,0),MATCH(I$1,'Master data'!$B$1:$CL$1,0)),"")</f>
        <v>-42951.003188938936</v>
      </c>
      <c r="J72" s="7">
        <f>IFERROR(INDEX('Master data'!$B$2:$CL$1000,MATCH($B72,'Master data'!$A$2:$A$1000,0),MATCH(J$1,'Master data'!$B$1:$CL$1,0)),"")</f>
        <v>-21625.532178263889</v>
      </c>
      <c r="K72" s="7">
        <f>IFERROR(INDEX('Master data'!$B$2:$CL$1000,MATCH($B72,'Master data'!$A$2:$A$1000,0),MATCH(K$1,'Master data'!$B$1:$CL$1,0)),"")</f>
        <v>-10964.253932802201</v>
      </c>
      <c r="L72" s="7">
        <f>IFERROR(INDEX('Master data'!$B$2:$CL$1000,MATCH($B72,'Master data'!$A$2:$A$1000,0),MATCH(L$1,'Master data'!$B$1:$CL$1,0)),"")</f>
        <v>-5686.6667649066076</v>
      </c>
      <c r="M72" s="5">
        <f>IFERROR(INDEX('Master data'!$B$2:$CL$1000,MATCH($B72,'Master data'!$A$2:$A$1000,0),MATCH(M$1,'Master data'!$B$1:$CL$1,0)),"")</f>
        <v>-29496.58213029334</v>
      </c>
      <c r="N72" s="28">
        <f>IFERROR(INDEX('Master data'!$B$2:$CL$1000,MATCH($B72,'Master data'!$A$2:$A$1000,0),MATCH(N$1,'Master data'!$B$1:$CL$1,0)),"")</f>
        <v>-3.7499999999999999E-3</v>
      </c>
      <c r="O72" s="7">
        <f>IFERROR(INDEX('Master data'!$B$2:$CL$1000,MATCH($B72,'Master data'!$A$2:$A$1000,0),MATCH(O$1,'Master data'!$B$1:$CL$1,0)),"")</f>
        <v>0</v>
      </c>
      <c r="P72" s="5">
        <f>IFERROR(INDEX('Master data'!$B$2:$CL$1000,MATCH($B72,'Master data'!$A$2:$A$1000,0),MATCH(P$1,'Master data'!$B$1:$CL$1,0)),"")</f>
        <v>4000000</v>
      </c>
      <c r="Q72" s="5">
        <f>IFERROR(INDEX('Master data'!$B$2:$CL$1000,MATCH($B72,'Master data'!$A$2:$A$1000,0),MATCH(Q$1,'Master data'!$B$1:$CL$1,0)),"")</f>
        <v>4000000</v>
      </c>
    </row>
    <row r="73" spans="1:17" hidden="1">
      <c r="A73">
        <f t="shared" si="1"/>
        <v>71</v>
      </c>
      <c r="B73" t="str">
        <f>IF('Master data'!A73="","",'Master data'!A73)</f>
        <v>Jorginho</v>
      </c>
      <c r="C73" t="str">
        <f>IFERROR(INDEX('Master data'!$B$2:$CL$1000,MATCH($B73,'Master data'!$A$2:$A$1000,0),MATCH(C$1,'Master data'!$B$1:$CL$1,0)),"")</f>
        <v>Italy</v>
      </c>
      <c r="D73" t="str">
        <f>IFERROR(INDEX('Master data'!$B$2:$CL$1000,MATCH($B73,'Master data'!$A$2:$A$1000,0),MATCH(D$1,'Master data'!$B$1:$CL$1,0)),"")</f>
        <v>Midfield</v>
      </c>
      <c r="E73" s="5">
        <f>IFERROR(INDEX('Master data'!$B$2:$CL$1000,MATCH($B73,'Master data'!$A$2:$A$1000,0),MATCH(E$1,'Master data'!$B$1:$CL$1,0)),"")</f>
        <v>4000000</v>
      </c>
      <c r="F73" s="7">
        <f>IFERROR(INDEX('Master data'!$B$2:$CL$1000,MATCH($B73,'Master data'!$A$2:$A$1000,0),MATCH(F$1,'Master data'!$B$1:$CL$1,0)),"")</f>
        <v>61142.273726117921</v>
      </c>
      <c r="G73" s="7">
        <f>IFERROR(INDEX('Master data'!$B$2:$CL$1000,MATCH($B73,'Master data'!$A$2:$A$1000,0),MATCH(G$1,'Master data'!$B$1:$CL$1,0)),"")</f>
        <v>54111.685335116672</v>
      </c>
      <c r="H73" s="7">
        <f>IFERROR(INDEX('Master data'!$B$2:$CL$1000,MATCH($B73,'Master data'!$A$2:$A$1000,0),MATCH(H$1,'Master data'!$B$1:$CL$1,0)),"")</f>
        <v>67885.035178609716</v>
      </c>
      <c r="I73" s="7">
        <f>IFERROR(INDEX('Master data'!$B$2:$CL$1000,MATCH($B73,'Master data'!$A$2:$A$1000,0),MATCH(I$1,'Master data'!$B$1:$CL$1,0)),"")</f>
        <v>18401.360365466455</v>
      </c>
      <c r="J73" s="7">
        <f>IFERROR(INDEX('Master data'!$B$2:$CL$1000,MATCH($B73,'Master data'!$A$2:$A$1000,0),MATCH(J$1,'Master data'!$B$1:$CL$1,0)),"")</f>
        <v>8980.6192196118027</v>
      </c>
      <c r="K73" s="7">
        <f>IFERROR(INDEX('Master data'!$B$2:$CL$1000,MATCH($B73,'Master data'!$A$2:$A$1000,0),MATCH(K$1,'Master data'!$B$1:$CL$1,0)),"")</f>
        <v>4408.7362682696894</v>
      </c>
      <c r="L73" s="7">
        <f>IFERROR(INDEX('Master data'!$B$2:$CL$1000,MATCH($B73,'Master data'!$A$2:$A$1000,0),MATCH(L$1,'Master data'!$B$1:$CL$1,0)),"")</f>
        <v>2211.5092781448448</v>
      </c>
      <c r="M73" s="5">
        <f>IFERROR(INDEX('Master data'!$B$2:$CL$1000,MATCH($B73,'Master data'!$A$2:$A$1000,0),MATCH(M$1,'Master data'!$B$1:$CL$1,0)),"")</f>
        <v>135388.78779039264</v>
      </c>
      <c r="N73" s="28">
        <f>IFERROR(INDEX('Master data'!$B$2:$CL$1000,MATCH($B73,'Master data'!$A$2:$A$1000,0),MATCH(N$1,'Master data'!$B$1:$CL$1,0)),"")</f>
        <v>4.5784748559961078E-2</v>
      </c>
      <c r="O73" s="7">
        <f>IFERROR(INDEX('Master data'!$B$2:$CL$1000,MATCH($B73,'Master data'!$A$2:$A$1000,0),MATCH(O$1,'Master data'!$B$1:$CL$1,0)),"")</f>
        <v>0</v>
      </c>
      <c r="P73" s="5">
        <f>IFERROR(INDEX('Master data'!$B$2:$CL$1000,MATCH($B73,'Master data'!$A$2:$A$1000,0),MATCH(P$1,'Master data'!$B$1:$CL$1,0)),"")</f>
        <v>4000000</v>
      </c>
      <c r="Q73" s="5">
        <f>IFERROR(INDEX('Master data'!$B$2:$CL$1000,MATCH($B73,'Master data'!$A$2:$A$1000,0),MATCH(Q$1,'Master data'!$B$1:$CL$1,0)),"")</f>
        <v>4000000</v>
      </c>
    </row>
    <row r="74" spans="1:17" hidden="1">
      <c r="A74">
        <f t="shared" si="1"/>
        <v>72</v>
      </c>
      <c r="B74" t="str">
        <f>IF('Master data'!A74="","",'Master data'!A74)</f>
        <v>Nicolò Barella</v>
      </c>
      <c r="C74" t="str">
        <f>IFERROR(INDEX('Master data'!$B$2:$CL$1000,MATCH($B74,'Master data'!$A$2:$A$1000,0),MATCH(C$1,'Master data'!$B$1:$CL$1,0)),"")</f>
        <v>Italy</v>
      </c>
      <c r="D74" t="str">
        <f>IFERROR(INDEX('Master data'!$B$2:$CL$1000,MATCH($B74,'Master data'!$A$2:$A$1000,0),MATCH(D$1,'Master data'!$B$1:$CL$1,0)),"")</f>
        <v>Midfield</v>
      </c>
      <c r="E74" s="5">
        <f>IFERROR(INDEX('Master data'!$B$2:$CL$1000,MATCH($B74,'Master data'!$A$2:$A$1000,0),MATCH(E$1,'Master data'!$B$1:$CL$1,0)),"")</f>
        <v>4000000</v>
      </c>
      <c r="F74" s="7">
        <f>IFERROR(INDEX('Master data'!$B$2:$CL$1000,MATCH($B74,'Master data'!$A$2:$A$1000,0),MATCH(F$1,'Master data'!$B$1:$CL$1,0)),"")</f>
        <v>57405.11291340975</v>
      </c>
      <c r="G74" s="7">
        <f>IFERROR(INDEX('Master data'!$B$2:$CL$1000,MATCH($B74,'Master data'!$A$2:$A$1000,0),MATCH(G$1,'Master data'!$B$1:$CL$1,0)),"")</f>
        <v>50709.079679686467</v>
      </c>
      <c r="H74" s="7">
        <f>IFERROR(INDEX('Master data'!$B$2:$CL$1000,MATCH($B74,'Master data'!$A$2:$A$1000,0),MATCH(H$1,'Master data'!$B$1:$CL$1,0)),"")</f>
        <v>63714.044157133801</v>
      </c>
      <c r="I74" s="7">
        <f>IFERROR(INDEX('Master data'!$B$2:$CL$1000,MATCH($B74,'Master data'!$A$2:$A$1000,0),MATCH(I$1,'Master data'!$B$1:$CL$1,0)),"")</f>
        <v>14899.06285840167</v>
      </c>
      <c r="J74" s="7">
        <f>IFERROR(INDEX('Master data'!$B$2:$CL$1000,MATCH($B74,'Master data'!$A$2:$A$1000,0),MATCH(J$1,'Master data'!$B$1:$CL$1,0)),"")</f>
        <v>7233.4681478104194</v>
      </c>
      <c r="K74" s="7">
        <f>IFERROR(INDEX('Master data'!$B$2:$CL$1000,MATCH($B74,'Master data'!$A$2:$A$1000,0),MATCH(K$1,'Master data'!$B$1:$CL$1,0)),"")</f>
        <v>3531.1696654834568</v>
      </c>
      <c r="L74" s="7">
        <f>IFERROR(INDEX('Master data'!$B$2:$CL$1000,MATCH($B74,'Master data'!$A$2:$A$1000,0),MATCH(L$1,'Master data'!$B$1:$CL$1,0)),"")</f>
        <v>1760.6421776229824</v>
      </c>
      <c r="M74" s="5">
        <f>IFERROR(INDEX('Master data'!$B$2:$CL$1000,MATCH($B74,'Master data'!$A$2:$A$1000,0),MATCH(M$1,'Master data'!$B$1:$CL$1,0)),"")</f>
        <v>125991.46875592375</v>
      </c>
      <c r="N74" s="28">
        <f>IFERROR(INDEX('Master data'!$B$2:$CL$1000,MATCH($B74,'Master data'!$A$2:$A$1000,0),MATCH(N$1,'Master data'!$B$1:$CL$1,0)),"")</f>
        <v>4.2957059187557503E-2</v>
      </c>
      <c r="O74" s="7">
        <f>IFERROR(INDEX('Master data'!$B$2:$CL$1000,MATCH($B74,'Master data'!$A$2:$A$1000,0),MATCH(O$1,'Master data'!$B$1:$CL$1,0)),"")</f>
        <v>0</v>
      </c>
      <c r="P74" s="5">
        <f>IFERROR(INDEX('Master data'!$B$2:$CL$1000,MATCH($B74,'Master data'!$A$2:$A$1000,0),MATCH(P$1,'Master data'!$B$1:$CL$1,0)),"")</f>
        <v>4000000</v>
      </c>
      <c r="Q74" s="5">
        <f>IFERROR(INDEX('Master data'!$B$2:$CL$1000,MATCH($B74,'Master data'!$A$2:$A$1000,0),MATCH(Q$1,'Master data'!$B$1:$CL$1,0)),"")</f>
        <v>4000000</v>
      </c>
    </row>
    <row r="75" spans="1:17" hidden="1">
      <c r="A75">
        <f t="shared" si="1"/>
        <v>73</v>
      </c>
      <c r="B75" t="str">
        <f>IF('Master data'!A75="","",'Master data'!A75)</f>
        <v>Thibaut Courtois</v>
      </c>
      <c r="C75" t="str">
        <f>IFERROR(INDEX('Master data'!$B$2:$CL$1000,MATCH($B75,'Master data'!$A$2:$A$1000,0),MATCH(C$1,'Master data'!$B$1:$CL$1,0)),"")</f>
        <v>Belgium</v>
      </c>
      <c r="D75" t="str">
        <f>IFERROR(INDEX('Master data'!$B$2:$CL$1000,MATCH($B75,'Master data'!$A$2:$A$1000,0),MATCH(D$1,'Master data'!$B$1:$CL$1,0)),"")</f>
        <v>Goalkeeper</v>
      </c>
      <c r="E75" s="5">
        <f>IFERROR(INDEX('Master data'!$B$2:$CL$1000,MATCH($B75,'Master data'!$A$2:$A$1000,0),MATCH(E$1,'Master data'!$B$1:$CL$1,0)),"")</f>
        <v>6000000</v>
      </c>
      <c r="F75" s="7">
        <f>IFERROR(INDEX('Master data'!$B$2:$CL$1000,MATCH($B75,'Master data'!$A$2:$A$1000,0),MATCH(F$1,'Master data'!$B$1:$CL$1,0)),"")</f>
        <v>70785.298360004585</v>
      </c>
      <c r="G75" s="7">
        <f>IFERROR(INDEX('Master data'!$B$2:$CL$1000,MATCH($B75,'Master data'!$A$2:$A$1000,0),MATCH(G$1,'Master data'!$B$1:$CL$1,0)),"")</f>
        <v>59047.865919629854</v>
      </c>
      <c r="H75" s="7">
        <f>IFERROR(INDEX('Master data'!$B$2:$CL$1000,MATCH($B75,'Master data'!$A$2:$A$1000,0),MATCH(H$1,'Master data'!$B$1:$CL$1,0)),"")</f>
        <v>92114.906857769587</v>
      </c>
      <c r="I75" s="7">
        <f>IFERROR(INDEX('Master data'!$B$2:$CL$1000,MATCH($B75,'Master data'!$A$2:$A$1000,0),MATCH(I$1,'Master data'!$B$1:$CL$1,0)),"")</f>
        <v>11265.142830594074</v>
      </c>
      <c r="J75" s="7">
        <f>IFERROR(INDEX('Master data'!$B$2:$CL$1000,MATCH($B75,'Master data'!$A$2:$A$1000,0),MATCH(J$1,'Master data'!$B$1:$CL$1,0)),"")</f>
        <v>5385.6396413407774</v>
      </c>
      <c r="K75" s="7">
        <f>IFERROR(INDEX('Master data'!$B$2:$CL$1000,MATCH($B75,'Master data'!$A$2:$A$1000,0),MATCH(K$1,'Master data'!$B$1:$CL$1,0)),"")</f>
        <v>2606.3203236611357</v>
      </c>
      <c r="L75" s="7">
        <f>IFERROR(INDEX('Master data'!$B$2:$CL$1000,MATCH($B75,'Master data'!$A$2:$A$1000,0),MATCH(L$1,'Master data'!$B$1:$CL$1,0)),"")</f>
        <v>1322.1695964314142</v>
      </c>
      <c r="M75" s="5">
        <f>IFERROR(INDEX('Master data'!$B$2:$CL$1000,MATCH($B75,'Master data'!$A$2:$A$1000,0),MATCH(M$1,'Master data'!$B$1:$CL$1,0)),"")</f>
        <v>155951.44544349142</v>
      </c>
      <c r="N75" s="28">
        <f>IFERROR(INDEX('Master data'!$B$2:$CL$1000,MATCH($B75,'Master data'!$A$2:$A$1000,0),MATCH(N$1,'Master data'!$B$1:$CL$1,0)),"")</f>
        <v>3.6991345189567336E-2</v>
      </c>
      <c r="O75" s="7">
        <f>IFERROR(INDEX('Master data'!$B$2:$CL$1000,MATCH($B75,'Master data'!$A$2:$A$1000,0),MATCH(O$1,'Master data'!$B$1:$CL$1,0)),"")</f>
        <v>0</v>
      </c>
      <c r="P75" s="5">
        <f>IFERROR(INDEX('Master data'!$B$2:$CL$1000,MATCH($B75,'Master data'!$A$2:$A$1000,0),MATCH(P$1,'Master data'!$B$1:$CL$1,0)),"")</f>
        <v>6000000</v>
      </c>
      <c r="Q75" s="5">
        <f>IFERROR(INDEX('Master data'!$B$2:$CL$1000,MATCH($B75,'Master data'!$A$2:$A$1000,0),MATCH(Q$1,'Master data'!$B$1:$CL$1,0)),"")</f>
        <v>6000000</v>
      </c>
    </row>
    <row r="76" spans="1:17" hidden="1">
      <c r="A76">
        <f t="shared" si="1"/>
        <v>74</v>
      </c>
      <c r="B76" t="str">
        <f>IF('Master data'!A76="","",'Master data'!A76)</f>
        <v>Axel Witsel</v>
      </c>
      <c r="C76" t="str">
        <f>IFERROR(INDEX('Master data'!$B$2:$CL$1000,MATCH($B76,'Master data'!$A$2:$A$1000,0),MATCH(C$1,'Master data'!$B$1:$CL$1,0)),"")</f>
        <v>Belgium</v>
      </c>
      <c r="D76" t="str">
        <f>IFERROR(INDEX('Master data'!$B$2:$CL$1000,MATCH($B76,'Master data'!$A$2:$A$1000,0),MATCH(D$1,'Master data'!$B$1:$CL$1,0)),"")</f>
        <v>Midfield</v>
      </c>
      <c r="E76" s="5">
        <f>IFERROR(INDEX('Master data'!$B$2:$CL$1000,MATCH($B76,'Master data'!$A$2:$A$1000,0),MATCH(E$1,'Master data'!$B$1:$CL$1,0)),"")</f>
        <v>2500000</v>
      </c>
      <c r="F76" s="7">
        <f>IFERROR(INDEX('Master data'!$B$2:$CL$1000,MATCH($B76,'Master data'!$A$2:$A$1000,0),MATCH(F$1,'Master data'!$B$1:$CL$1,0)),"")</f>
        <v>-5000</v>
      </c>
      <c r="G76" s="7">
        <f>IFERROR(INDEX('Master data'!$B$2:$CL$1000,MATCH($B76,'Master data'!$A$2:$A$1000,0),MATCH(G$1,'Master data'!$B$1:$CL$1,0)),"")</f>
        <v>-5000</v>
      </c>
      <c r="H76" s="7">
        <f>IFERROR(INDEX('Master data'!$B$2:$CL$1000,MATCH($B76,'Master data'!$A$2:$A$1000,0),MATCH(H$1,'Master data'!$B$1:$CL$1,0)),"")</f>
        <v>-5000</v>
      </c>
      <c r="I76" s="7">
        <f>IFERROR(INDEX('Master data'!$B$2:$CL$1000,MATCH($B76,'Master data'!$A$2:$A$1000,0),MATCH(I$1,'Master data'!$B$1:$CL$1,0)),"")</f>
        <v>-28586.119179260364</v>
      </c>
      <c r="J76" s="7">
        <f>IFERROR(INDEX('Master data'!$B$2:$CL$1000,MATCH($B76,'Master data'!$A$2:$A$1000,0),MATCH(J$1,'Master data'!$B$1:$CL$1,0)),"")</f>
        <v>-14559.238733552371</v>
      </c>
      <c r="K76" s="7">
        <f>IFERROR(INDEX('Master data'!$B$2:$CL$1000,MATCH($B76,'Master data'!$A$2:$A$1000,0),MATCH(K$1,'Master data'!$B$1:$CL$1,0)),"")</f>
        <v>-7540.0017934630214</v>
      </c>
      <c r="L76" s="7">
        <f>IFERROR(INDEX('Master data'!$B$2:$CL$1000,MATCH($B76,'Master data'!$A$2:$A$1000,0),MATCH(L$1,'Master data'!$B$1:$CL$1,0)),"")</f>
        <v>-4114.5800759288004</v>
      </c>
      <c r="M76" s="5">
        <f>IFERROR(INDEX('Master data'!$B$2:$CL$1000,MATCH($B76,'Master data'!$A$2:$A$1000,0),MATCH(M$1,'Master data'!$B$1:$CL$1,0)),"")</f>
        <v>-23255.562986808876</v>
      </c>
      <c r="N76" s="28">
        <f>IFERROR(INDEX('Master data'!$B$2:$CL$1000,MATCH($B76,'Master data'!$A$2:$A$1000,0),MATCH(N$1,'Master data'!$B$1:$CL$1,0)),"")</f>
        <v>-6.0000000000000001E-3</v>
      </c>
      <c r="O76" s="7">
        <f>IFERROR(INDEX('Master data'!$B$2:$CL$1000,MATCH($B76,'Master data'!$A$2:$A$1000,0),MATCH(O$1,'Master data'!$B$1:$CL$1,0)),"")</f>
        <v>0</v>
      </c>
      <c r="P76" s="5">
        <f>IFERROR(INDEX('Master data'!$B$2:$CL$1000,MATCH($B76,'Master data'!$A$2:$A$1000,0),MATCH(P$1,'Master data'!$B$1:$CL$1,0)),"")</f>
        <v>2500000</v>
      </c>
      <c r="Q76" s="5">
        <f>IFERROR(INDEX('Master data'!$B$2:$CL$1000,MATCH($B76,'Master data'!$A$2:$A$1000,0),MATCH(Q$1,'Master data'!$B$1:$CL$1,0)),"")</f>
        <v>2500000</v>
      </c>
    </row>
    <row r="77" spans="1:17" hidden="1">
      <c r="A77">
        <f t="shared" si="1"/>
        <v>75</v>
      </c>
      <c r="B77" t="str">
        <f>IF('Master data'!A77="","",'Master data'!A77)</f>
        <v>Youri Tielemans</v>
      </c>
      <c r="C77" t="str">
        <f>IFERROR(INDEX('Master data'!$B$2:$CL$1000,MATCH($B77,'Master data'!$A$2:$A$1000,0),MATCH(C$1,'Master data'!$B$1:$CL$1,0)),"")</f>
        <v>Belgium</v>
      </c>
      <c r="D77" t="str">
        <f>IFERROR(INDEX('Master data'!$B$2:$CL$1000,MATCH($B77,'Master data'!$A$2:$A$1000,0),MATCH(D$1,'Master data'!$B$1:$CL$1,0)),"")</f>
        <v>Midfield</v>
      </c>
      <c r="E77" s="5">
        <f>IFERROR(INDEX('Master data'!$B$2:$CL$1000,MATCH($B77,'Master data'!$A$2:$A$1000,0),MATCH(E$1,'Master data'!$B$1:$CL$1,0)),"")</f>
        <v>5000000</v>
      </c>
      <c r="F77" s="7">
        <f>IFERROR(INDEX('Master data'!$B$2:$CL$1000,MATCH($B77,'Master data'!$A$2:$A$1000,0),MATCH(F$1,'Master data'!$B$1:$CL$1,0)),"")</f>
        <v>50143.296343199734</v>
      </c>
      <c r="G77" s="7">
        <f>IFERROR(INDEX('Master data'!$B$2:$CL$1000,MATCH($B77,'Master data'!$A$2:$A$1000,0),MATCH(G$1,'Master data'!$B$1:$CL$1,0)),"")</f>
        <v>43063.858439719079</v>
      </c>
      <c r="H77" s="7">
        <f>IFERROR(INDEX('Master data'!$B$2:$CL$1000,MATCH($B77,'Master data'!$A$2:$A$1000,0),MATCH(H$1,'Master data'!$B$1:$CL$1,0)),"")</f>
        <v>77457.949224885568</v>
      </c>
      <c r="I77" s="7">
        <f>IFERROR(INDEX('Master data'!$B$2:$CL$1000,MATCH($B77,'Master data'!$A$2:$A$1000,0),MATCH(I$1,'Master data'!$B$1:$CL$1,0)),"")</f>
        <v>4962.3175425088502</v>
      </c>
      <c r="J77" s="7">
        <f>IFERROR(INDEX('Master data'!$B$2:$CL$1000,MATCH($B77,'Master data'!$A$2:$A$1000,0),MATCH(J$1,'Master data'!$B$1:$CL$1,0)),"")</f>
        <v>2253.669161005223</v>
      </c>
      <c r="K77" s="7">
        <f>IFERROR(INDEX('Master data'!$B$2:$CL$1000,MATCH($B77,'Master data'!$A$2:$A$1000,0),MATCH(K$1,'Master data'!$B$1:$CL$1,0)),"")</f>
        <v>1024.9205800103625</v>
      </c>
      <c r="L77" s="7">
        <f>IFERROR(INDEX('Master data'!$B$2:$CL$1000,MATCH($B77,'Master data'!$A$2:$A$1000,0),MATCH(L$1,'Master data'!$B$1:$CL$1,0)),"")</f>
        <v>481.42885545565179</v>
      </c>
      <c r="M77" s="5">
        <f>IFERROR(INDEX('Master data'!$B$2:$CL$1000,MATCH($B77,'Master data'!$A$2:$A$1000,0),MATCH(M$1,'Master data'!$B$1:$CL$1,0)),"")</f>
        <v>115371.0103642741</v>
      </c>
      <c r="N77" s="28">
        <f>IFERROR(INDEX('Master data'!$B$2:$CL$1000,MATCH($B77,'Master data'!$A$2:$A$1000,0),MATCH(N$1,'Master data'!$B$1:$CL$1,0)),"")</f>
        <v>3.4133020801560873E-2</v>
      </c>
      <c r="O77" s="7">
        <f>IFERROR(INDEX('Master data'!$B$2:$CL$1000,MATCH($B77,'Master data'!$A$2:$A$1000,0),MATCH(O$1,'Master data'!$B$1:$CL$1,0)),"")</f>
        <v>0</v>
      </c>
      <c r="P77" s="5">
        <f>IFERROR(INDEX('Master data'!$B$2:$CL$1000,MATCH($B77,'Master data'!$A$2:$A$1000,0),MATCH(P$1,'Master data'!$B$1:$CL$1,0)),"")</f>
        <v>5000000</v>
      </c>
      <c r="Q77" s="5">
        <f>IFERROR(INDEX('Master data'!$B$2:$CL$1000,MATCH($B77,'Master data'!$A$2:$A$1000,0),MATCH(Q$1,'Master data'!$B$1:$CL$1,0)),"")</f>
        <v>5000000</v>
      </c>
    </row>
    <row r="78" spans="1:17" hidden="1">
      <c r="A78">
        <f t="shared" si="1"/>
        <v>76</v>
      </c>
      <c r="B78" t="str">
        <f>IF('Master data'!A78="","",'Master data'!A78)</f>
        <v>Georginio Wijnaldum</v>
      </c>
      <c r="C78" t="str">
        <f>IFERROR(INDEX('Master data'!$B$2:$CL$1000,MATCH($B78,'Master data'!$A$2:$A$1000,0),MATCH(C$1,'Master data'!$B$1:$CL$1,0)),"")</f>
        <v>Netherlands</v>
      </c>
      <c r="D78" t="str">
        <f>IFERROR(INDEX('Master data'!$B$2:$CL$1000,MATCH($B78,'Master data'!$A$2:$A$1000,0),MATCH(D$1,'Master data'!$B$1:$CL$1,0)),"")</f>
        <v>Midfield</v>
      </c>
      <c r="E78" s="5">
        <f>IFERROR(INDEX('Master data'!$B$2:$CL$1000,MATCH($B78,'Master data'!$A$2:$A$1000,0),MATCH(E$1,'Master data'!$B$1:$CL$1,0)),"")</f>
        <v>5500000</v>
      </c>
      <c r="F78" s="7">
        <f>IFERROR(INDEX('Master data'!$B$2:$CL$1000,MATCH($B78,'Master data'!$A$2:$A$1000,0),MATCH(F$1,'Master data'!$B$1:$CL$1,0)),"")</f>
        <v>56771.86672630933</v>
      </c>
      <c r="G78" s="7">
        <f>IFERROR(INDEX('Master data'!$B$2:$CL$1000,MATCH($B78,'Master data'!$A$2:$A$1000,0),MATCH(G$1,'Master data'!$B$1:$CL$1,0)),"")</f>
        <v>64844.181758189668</v>
      </c>
      <c r="H78" s="7">
        <f>IFERROR(INDEX('Master data'!$B$2:$CL$1000,MATCH($B78,'Master data'!$A$2:$A$1000,0),MATCH(H$1,'Master data'!$B$1:$CL$1,0)),"")</f>
        <v>86582.783257932082</v>
      </c>
      <c r="I78" s="7">
        <f>IFERROR(INDEX('Master data'!$B$2:$CL$1000,MATCH($B78,'Master data'!$A$2:$A$1000,0),MATCH(I$1,'Master data'!$B$1:$CL$1,0)),"")</f>
        <v>11908.424634532666</v>
      </c>
      <c r="J78" s="7">
        <f>IFERROR(INDEX('Master data'!$B$2:$CL$1000,MATCH($B78,'Master data'!$A$2:$A$1000,0),MATCH(J$1,'Master data'!$B$1:$CL$1,0)),"")</f>
        <v>5616.1143447543582</v>
      </c>
      <c r="K78" s="7">
        <f>IFERROR(INDEX('Master data'!$B$2:$CL$1000,MATCH($B78,'Master data'!$A$2:$A$1000,0),MATCH(K$1,'Master data'!$B$1:$CL$1,0)),"")</f>
        <v>2638.0751279283763</v>
      </c>
      <c r="L78" s="7">
        <f>IFERROR(INDEX('Master data'!$B$2:$CL$1000,MATCH($B78,'Master data'!$A$2:$A$1000,0),MATCH(L$1,'Master data'!$B$1:$CL$1,0)),"")</f>
        <v>1232.4750753097792</v>
      </c>
      <c r="M78" s="5">
        <f>IFERROR(INDEX('Master data'!$B$2:$CL$1000,MATCH($B78,'Master data'!$A$2:$A$1000,0),MATCH(M$1,'Master data'!$B$1:$CL$1,0)),"")</f>
        <v>143575.9379387302</v>
      </c>
      <c r="N78" s="28">
        <f>IFERROR(INDEX('Master data'!$B$2:$CL$1000,MATCH($B78,'Master data'!$A$2:$A$1000,0),MATCH(N$1,'Master data'!$B$1:$CL$1,0)),"")</f>
        <v>3.7854333044078384E-2</v>
      </c>
      <c r="O78" s="7">
        <f>IFERROR(INDEX('Master data'!$B$2:$CL$1000,MATCH($B78,'Master data'!$A$2:$A$1000,0),MATCH(O$1,'Master data'!$B$1:$CL$1,0)),"")</f>
        <v>0</v>
      </c>
      <c r="P78" s="5">
        <f>IFERROR(INDEX('Master data'!$B$2:$CL$1000,MATCH($B78,'Master data'!$A$2:$A$1000,0),MATCH(P$1,'Master data'!$B$1:$CL$1,0)),"")</f>
        <v>5500000</v>
      </c>
      <c r="Q78" s="5">
        <f>IFERROR(INDEX('Master data'!$B$2:$CL$1000,MATCH($B78,'Master data'!$A$2:$A$1000,0),MATCH(Q$1,'Master data'!$B$1:$CL$1,0)),"")</f>
        <v>5500000</v>
      </c>
    </row>
    <row r="79" spans="1:17" hidden="1">
      <c r="A79">
        <f t="shared" si="1"/>
        <v>77</v>
      </c>
      <c r="B79" t="str">
        <f>IF('Master data'!A79="","",'Master data'!A79)</f>
        <v>Ryan Gravenberch</v>
      </c>
      <c r="C79" t="str">
        <f>IFERROR(INDEX('Master data'!$B$2:$CL$1000,MATCH($B79,'Master data'!$A$2:$A$1000,0),MATCH(C$1,'Master data'!$B$1:$CL$1,0)),"")</f>
        <v>Netherlands</v>
      </c>
      <c r="D79" t="str">
        <f>IFERROR(INDEX('Master data'!$B$2:$CL$1000,MATCH($B79,'Master data'!$A$2:$A$1000,0),MATCH(D$1,'Master data'!$B$1:$CL$1,0)),"")</f>
        <v>Midfield</v>
      </c>
      <c r="E79" s="5">
        <f>IFERROR(INDEX('Master data'!$B$2:$CL$1000,MATCH($B79,'Master data'!$A$2:$A$1000,0),MATCH(E$1,'Master data'!$B$1:$CL$1,0)),"")</f>
        <v>3000000</v>
      </c>
      <c r="F79" s="7">
        <f>IFERROR(INDEX('Master data'!$B$2:$CL$1000,MATCH($B79,'Master data'!$A$2:$A$1000,0),MATCH(F$1,'Master data'!$B$1:$CL$1,0)),"")</f>
        <v>-5000</v>
      </c>
      <c r="G79" s="7">
        <f>IFERROR(INDEX('Master data'!$B$2:$CL$1000,MATCH($B79,'Master data'!$A$2:$A$1000,0),MATCH(G$1,'Master data'!$B$1:$CL$1,0)),"")</f>
        <v>-5000</v>
      </c>
      <c r="H79" s="7">
        <f>IFERROR(INDEX('Master data'!$B$2:$CL$1000,MATCH($B79,'Master data'!$A$2:$A$1000,0),MATCH(H$1,'Master data'!$B$1:$CL$1,0)),"")</f>
        <v>-5000</v>
      </c>
      <c r="I79" s="7">
        <f>IFERROR(INDEX('Master data'!$B$2:$CL$1000,MATCH($B79,'Master data'!$A$2:$A$1000,0),MATCH(I$1,'Master data'!$B$1:$CL$1,0)),"")</f>
        <v>-33692.265409621345</v>
      </c>
      <c r="J79" s="7">
        <f>IFERROR(INDEX('Master data'!$B$2:$CL$1000,MATCH($B79,'Master data'!$A$2:$A$1000,0),MATCH(J$1,'Master data'!$B$1:$CL$1,0)),"")</f>
        <v>-16814.097128376361</v>
      </c>
      <c r="K79" s="7">
        <f>IFERROR(INDEX('Master data'!$B$2:$CL$1000,MATCH($B79,'Master data'!$A$2:$A$1000,0),MATCH(K$1,'Master data'!$B$1:$CL$1,0)),"")</f>
        <v>-8387.5767305286245</v>
      </c>
      <c r="L79" s="7">
        <f>IFERROR(INDEX('Master data'!$B$2:$CL$1000,MATCH($B79,'Master data'!$A$2:$A$1000,0),MATCH(L$1,'Master data'!$B$1:$CL$1,0)),"")</f>
        <v>-4178.2351087420584</v>
      </c>
      <c r="M79" s="5">
        <f>IFERROR(INDEX('Master data'!$B$2:$CL$1000,MATCH($B79,'Master data'!$A$2:$A$1000,0),MATCH(M$1,'Master data'!$B$1:$CL$1,0)),"")</f>
        <v>-25331.102507619544</v>
      </c>
      <c r="N79" s="28">
        <f>IFERROR(INDEX('Master data'!$B$2:$CL$1000,MATCH($B79,'Master data'!$A$2:$A$1000,0),MATCH(N$1,'Master data'!$B$1:$CL$1,0)),"")</f>
        <v>-5.0000000000000001E-3</v>
      </c>
      <c r="O79" s="7">
        <f>IFERROR(INDEX('Master data'!$B$2:$CL$1000,MATCH($B79,'Master data'!$A$2:$A$1000,0),MATCH(O$1,'Master data'!$B$1:$CL$1,0)),"")</f>
        <v>0</v>
      </c>
      <c r="P79" s="5">
        <f>IFERROR(INDEX('Master data'!$B$2:$CL$1000,MATCH($B79,'Master data'!$A$2:$A$1000,0),MATCH(P$1,'Master data'!$B$1:$CL$1,0)),"")</f>
        <v>3000000</v>
      </c>
      <c r="Q79" s="5">
        <f>IFERROR(INDEX('Master data'!$B$2:$CL$1000,MATCH($B79,'Master data'!$A$2:$A$1000,0),MATCH(Q$1,'Master data'!$B$1:$CL$1,0)),"")</f>
        <v>3000000</v>
      </c>
    </row>
    <row r="80" spans="1:17" hidden="1">
      <c r="A80">
        <f t="shared" si="1"/>
        <v>78</v>
      </c>
      <c r="B80" t="str">
        <f>IF('Master data'!A80="","",'Master data'!A80)</f>
        <v>Kevin  Volland</v>
      </c>
      <c r="C80" t="str">
        <f>IFERROR(INDEX('Master data'!$B$2:$CL$1000,MATCH($B80,'Master data'!$A$2:$A$1000,0),MATCH(C$1,'Master data'!$B$1:$CL$1,0)),"")</f>
        <v>Germany</v>
      </c>
      <c r="D80" t="str">
        <f>IFERROR(INDEX('Master data'!$B$2:$CL$1000,MATCH($B80,'Master data'!$A$2:$A$1000,0),MATCH(D$1,'Master data'!$B$1:$CL$1,0)),"")</f>
        <v>Striker</v>
      </c>
      <c r="E80" s="5">
        <f>IFERROR(INDEX('Master data'!$B$2:$CL$1000,MATCH($B80,'Master data'!$A$2:$A$1000,0),MATCH(E$1,'Master data'!$B$1:$CL$1,0)),"")</f>
        <v>4000000</v>
      </c>
      <c r="F80" s="7">
        <f>IFERROR(INDEX('Master data'!$B$2:$CL$1000,MATCH($B80,'Master data'!$A$2:$A$1000,0),MATCH(F$1,'Master data'!$B$1:$CL$1,0)),"")</f>
        <v>-5000</v>
      </c>
      <c r="G80" s="7">
        <f>IFERROR(INDEX('Master data'!$B$2:$CL$1000,MATCH($B80,'Master data'!$A$2:$A$1000,0),MATCH(G$1,'Master data'!$B$1:$CL$1,0)),"")</f>
        <v>-5000</v>
      </c>
      <c r="H80" s="7">
        <f>IFERROR(INDEX('Master data'!$B$2:$CL$1000,MATCH($B80,'Master data'!$A$2:$A$1000,0),MATCH(H$1,'Master data'!$B$1:$CL$1,0)),"")</f>
        <v>-5000</v>
      </c>
      <c r="I80" s="7">
        <f>IFERROR(INDEX('Master data'!$B$2:$CL$1000,MATCH($B80,'Master data'!$A$2:$A$1000,0),MATCH(I$1,'Master data'!$B$1:$CL$1,0)),"")</f>
        <v>-39936.897701995862</v>
      </c>
      <c r="J80" s="7">
        <f>IFERROR(INDEX('Master data'!$B$2:$CL$1000,MATCH($B80,'Master data'!$A$2:$A$1000,0),MATCH(J$1,'Master data'!$B$1:$CL$1,0)),"")</f>
        <v>-20273.233228477391</v>
      </c>
      <c r="K80" s="7">
        <f>IFERROR(INDEX('Master data'!$B$2:$CL$1000,MATCH($B80,'Master data'!$A$2:$A$1000,0),MATCH(K$1,'Master data'!$B$1:$CL$1,0)),"")</f>
        <v>-10432.767652896871</v>
      </c>
      <c r="L80" s="7">
        <f>IFERROR(INDEX('Master data'!$B$2:$CL$1000,MATCH($B80,'Master data'!$A$2:$A$1000,0),MATCH(L$1,'Master data'!$B$1:$CL$1,0)),"")</f>
        <v>-5606.5795140612081</v>
      </c>
      <c r="M80" s="5">
        <f>IFERROR(INDEX('Master data'!$B$2:$CL$1000,MATCH($B80,'Master data'!$A$2:$A$1000,0),MATCH(M$1,'Master data'!$B$1:$CL$1,0)),"")</f>
        <v>-28259.372115377046</v>
      </c>
      <c r="N80" s="28">
        <f>IFERROR(INDEX('Master data'!$B$2:$CL$1000,MATCH($B80,'Master data'!$A$2:$A$1000,0),MATCH(N$1,'Master data'!$B$1:$CL$1,0)),"")</f>
        <v>-3.7499999999999999E-3</v>
      </c>
      <c r="O80" s="7">
        <f>IFERROR(INDEX('Master data'!$B$2:$CL$1000,MATCH($B80,'Master data'!$A$2:$A$1000,0),MATCH(O$1,'Master data'!$B$1:$CL$1,0)),"")</f>
        <v>0</v>
      </c>
      <c r="P80" s="5">
        <f>IFERROR(INDEX('Master data'!$B$2:$CL$1000,MATCH($B80,'Master data'!$A$2:$A$1000,0),MATCH(P$1,'Master data'!$B$1:$CL$1,0)),"")</f>
        <v>4000000</v>
      </c>
      <c r="Q80" s="5">
        <f>IFERROR(INDEX('Master data'!$B$2:$CL$1000,MATCH($B80,'Master data'!$A$2:$A$1000,0),MATCH(Q$1,'Master data'!$B$1:$CL$1,0)),"")</f>
        <v>4000000</v>
      </c>
    </row>
    <row r="81" spans="1:17" hidden="1">
      <c r="A81">
        <f t="shared" si="1"/>
        <v>79</v>
      </c>
      <c r="B81" t="str">
        <f>IF('Master data'!A81="","",'Master data'!A81)</f>
        <v>Jordan Pickford</v>
      </c>
      <c r="C81" t="str">
        <f>IFERROR(INDEX('Master data'!$B$2:$CL$1000,MATCH($B81,'Master data'!$A$2:$A$1000,0),MATCH(C$1,'Master data'!$B$1:$CL$1,0)),"")</f>
        <v>England</v>
      </c>
      <c r="D81" t="str">
        <f>IFERROR(INDEX('Master data'!$B$2:$CL$1000,MATCH($B81,'Master data'!$A$2:$A$1000,0),MATCH(D$1,'Master data'!$B$1:$CL$1,0)),"")</f>
        <v>Goalkeeper</v>
      </c>
      <c r="E81" s="5">
        <f>IFERROR(INDEX('Master data'!$B$2:$CL$1000,MATCH($B81,'Master data'!$A$2:$A$1000,0),MATCH(E$1,'Master data'!$B$1:$CL$1,0)),"")</f>
        <v>6000000</v>
      </c>
      <c r="F81" s="7">
        <f>IFERROR(INDEX('Master data'!$B$2:$CL$1000,MATCH($B81,'Master data'!$A$2:$A$1000,0),MATCH(F$1,'Master data'!$B$1:$CL$1,0)),"")</f>
        <v>38990.403922652491</v>
      </c>
      <c r="G81" s="7">
        <f>IFERROR(INDEX('Master data'!$B$2:$CL$1000,MATCH($B81,'Master data'!$A$2:$A$1000,0),MATCH(G$1,'Master data'!$B$1:$CL$1,0)),"")</f>
        <v>41155.39008712049</v>
      </c>
      <c r="H81" s="7">
        <f>IFERROR(INDEX('Master data'!$B$2:$CL$1000,MATCH($B81,'Master data'!$A$2:$A$1000,0),MATCH(H$1,'Master data'!$B$1:$CL$1,0)),"")</f>
        <v>37265.820206774355</v>
      </c>
      <c r="I81" s="7">
        <f>IFERROR(INDEX('Master data'!$B$2:$CL$1000,MATCH($B81,'Master data'!$A$2:$A$1000,0),MATCH(I$1,'Master data'!$B$1:$CL$1,0)),"")</f>
        <v>-21103.845082680178</v>
      </c>
      <c r="J81" s="7">
        <f>IFERROR(INDEX('Master data'!$B$2:$CL$1000,MATCH($B81,'Master data'!$A$2:$A$1000,0),MATCH(J$1,'Master data'!$B$1:$CL$1,0)),"")</f>
        <v>-11085.566788251295</v>
      </c>
      <c r="K81" s="7">
        <f>IFERROR(INDEX('Master data'!$B$2:$CL$1000,MATCH($B81,'Master data'!$A$2:$A$1000,0),MATCH(K$1,'Master data'!$B$1:$CL$1,0)),"")</f>
        <v>-5971.0676140409105</v>
      </c>
      <c r="L81" s="7">
        <f>IFERROR(INDEX('Master data'!$B$2:$CL$1000,MATCH($B81,'Master data'!$A$2:$A$1000,0),MATCH(L$1,'Master data'!$B$1:$CL$1,0)),"")</f>
        <v>-3471.6120794364547</v>
      </c>
      <c r="M81" s="5">
        <f>IFERROR(INDEX('Master data'!$B$2:$CL$1000,MATCH($B81,'Master data'!$A$2:$A$1000,0),MATCH(M$1,'Master data'!$B$1:$CL$1,0)),"")</f>
        <v>73456.093236694302</v>
      </c>
      <c r="N81" s="28">
        <f>IFERROR(INDEX('Master data'!$B$2:$CL$1000,MATCH($B81,'Master data'!$A$2:$A$1000,0),MATCH(N$1,'Master data'!$B$1:$CL$1,0)),"")</f>
        <v>1.9568602369424558E-2</v>
      </c>
      <c r="O81" s="7">
        <f>IFERROR(INDEX('Master data'!$B$2:$CL$1000,MATCH($B81,'Master data'!$A$2:$A$1000,0),MATCH(O$1,'Master data'!$B$1:$CL$1,0)),"")</f>
        <v>0</v>
      </c>
      <c r="P81" s="5">
        <f>IFERROR(INDEX('Master data'!$B$2:$CL$1000,MATCH($B81,'Master data'!$A$2:$A$1000,0),MATCH(P$1,'Master data'!$B$1:$CL$1,0)),"")</f>
        <v>6000000</v>
      </c>
      <c r="Q81" s="5">
        <f>IFERROR(INDEX('Master data'!$B$2:$CL$1000,MATCH($B81,'Master data'!$A$2:$A$1000,0),MATCH(Q$1,'Master data'!$B$1:$CL$1,0)),"")</f>
        <v>6000000</v>
      </c>
    </row>
    <row r="82" spans="1:17" hidden="1">
      <c r="A82">
        <f t="shared" si="1"/>
        <v>80</v>
      </c>
      <c r="B82" t="str">
        <f>IF('Master data'!A82="","",'Master data'!A82)</f>
        <v>Kyle Walker</v>
      </c>
      <c r="C82" t="str">
        <f>IFERROR(INDEX('Master data'!$B$2:$CL$1000,MATCH($B82,'Master data'!$A$2:$A$1000,0),MATCH(C$1,'Master data'!$B$1:$CL$1,0)),"")</f>
        <v>England</v>
      </c>
      <c r="D82" t="str">
        <f>IFERROR(INDEX('Master data'!$B$2:$CL$1000,MATCH($B82,'Master data'!$A$2:$A$1000,0),MATCH(D$1,'Master data'!$B$1:$CL$1,0)),"")</f>
        <v>Defense</v>
      </c>
      <c r="E82" s="5">
        <f>IFERROR(INDEX('Master data'!$B$2:$CL$1000,MATCH($B82,'Master data'!$A$2:$A$1000,0),MATCH(E$1,'Master data'!$B$1:$CL$1,0)),"")</f>
        <v>4500000</v>
      </c>
      <c r="F82" s="7">
        <f>IFERROR(INDEX('Master data'!$B$2:$CL$1000,MATCH($B82,'Master data'!$A$2:$A$1000,0),MATCH(F$1,'Master data'!$B$1:$CL$1,0)),"")</f>
        <v>62425.640387048283</v>
      </c>
      <c r="G82" s="7">
        <f>IFERROR(INDEX('Master data'!$B$2:$CL$1000,MATCH($B82,'Master data'!$A$2:$A$1000,0),MATCH(G$1,'Master data'!$B$1:$CL$1,0)),"")</f>
        <v>77247.225385656246</v>
      </c>
      <c r="H82" s="7">
        <f>IFERROR(INDEX('Master data'!$B$2:$CL$1000,MATCH($B82,'Master data'!$A$2:$A$1000,0),MATCH(H$1,'Master data'!$B$1:$CL$1,0)),"")</f>
        <v>74718.935060064963</v>
      </c>
      <c r="I82" s="7">
        <f>IFERROR(INDEX('Master data'!$B$2:$CL$1000,MATCH($B82,'Master data'!$A$2:$A$1000,0),MATCH(I$1,'Master data'!$B$1:$CL$1,0)),"")</f>
        <v>23290.280216323801</v>
      </c>
      <c r="J82" s="7">
        <f>IFERROR(INDEX('Master data'!$B$2:$CL$1000,MATCH($B82,'Master data'!$A$2:$A$1000,0),MATCH(J$1,'Master data'!$B$1:$CL$1,0)),"")</f>
        <v>11667.365259542919</v>
      </c>
      <c r="K82" s="7">
        <f>IFERROR(INDEX('Master data'!$B$2:$CL$1000,MATCH($B82,'Master data'!$A$2:$A$1000,0),MATCH(K$1,'Master data'!$B$1:$CL$1,0)),"")</f>
        <v>5989.6670200794488</v>
      </c>
      <c r="L82" s="7">
        <f>IFERROR(INDEX('Master data'!$B$2:$CL$1000,MATCH($B82,'Master data'!$A$2:$A$1000,0),MATCH(L$1,'Master data'!$B$1:$CL$1,0)),"")</f>
        <v>3316.8203403389457</v>
      </c>
      <c r="M82" s="5">
        <f>IFERROR(INDEX('Master data'!$B$2:$CL$1000,MATCH($B82,'Master data'!$A$2:$A$1000,0),MATCH(M$1,'Master data'!$B$1:$CL$1,0)),"")</f>
        <v>157417.64608896794</v>
      </c>
      <c r="N82" s="28">
        <f>IFERROR(INDEX('Master data'!$B$2:$CL$1000,MATCH($B82,'Master data'!$A$2:$A$1000,0),MATCH(N$1,'Master data'!$B$1:$CL$1,0)),"")</f>
        <v>4.7642622407282106E-2</v>
      </c>
      <c r="O82" s="7">
        <f>IFERROR(INDEX('Master data'!$B$2:$CL$1000,MATCH($B82,'Master data'!$A$2:$A$1000,0),MATCH(O$1,'Master data'!$B$1:$CL$1,0)),"")</f>
        <v>0</v>
      </c>
      <c r="P82" s="5">
        <f>IFERROR(INDEX('Master data'!$B$2:$CL$1000,MATCH($B82,'Master data'!$A$2:$A$1000,0),MATCH(P$1,'Master data'!$B$1:$CL$1,0)),"")</f>
        <v>4500000</v>
      </c>
      <c r="Q82" s="5">
        <f>IFERROR(INDEX('Master data'!$B$2:$CL$1000,MATCH($B82,'Master data'!$A$2:$A$1000,0),MATCH(Q$1,'Master data'!$B$1:$CL$1,0)),"")</f>
        <v>4500000</v>
      </c>
    </row>
    <row r="83" spans="1:17" hidden="1">
      <c r="A83">
        <f t="shared" si="1"/>
        <v>81</v>
      </c>
      <c r="B83" t="str">
        <f>IF('Master data'!A83="","",'Master data'!A83)</f>
        <v>Jordan Henderson</v>
      </c>
      <c r="C83" t="str">
        <f>IFERROR(INDEX('Master data'!$B$2:$CL$1000,MATCH($B83,'Master data'!$A$2:$A$1000,0),MATCH(C$1,'Master data'!$B$1:$CL$1,0)),"")</f>
        <v>England</v>
      </c>
      <c r="D83" t="str">
        <f>IFERROR(INDEX('Master data'!$B$2:$CL$1000,MATCH($B83,'Master data'!$A$2:$A$1000,0),MATCH(D$1,'Master data'!$B$1:$CL$1,0)),"")</f>
        <v>Midfield</v>
      </c>
      <c r="E83" s="5">
        <f>IFERROR(INDEX('Master data'!$B$2:$CL$1000,MATCH($B83,'Master data'!$A$2:$A$1000,0),MATCH(E$1,'Master data'!$B$1:$CL$1,0)),"")</f>
        <v>3500000</v>
      </c>
      <c r="F83" s="7">
        <f>IFERROR(INDEX('Master data'!$B$2:$CL$1000,MATCH($B83,'Master data'!$A$2:$A$1000,0),MATCH(F$1,'Master data'!$B$1:$CL$1,0)),"")</f>
        <v>-5000</v>
      </c>
      <c r="G83" s="7">
        <f>IFERROR(INDEX('Master data'!$B$2:$CL$1000,MATCH($B83,'Master data'!$A$2:$A$1000,0),MATCH(G$1,'Master data'!$B$1:$CL$1,0)),"")</f>
        <v>-5000</v>
      </c>
      <c r="H83" s="7">
        <f>IFERROR(INDEX('Master data'!$B$2:$CL$1000,MATCH($B83,'Master data'!$A$2:$A$1000,0),MATCH(H$1,'Master data'!$B$1:$CL$1,0)),"")</f>
        <v>-5000</v>
      </c>
      <c r="I83" s="7">
        <f>IFERROR(INDEX('Master data'!$B$2:$CL$1000,MATCH($B83,'Master data'!$A$2:$A$1000,0),MATCH(I$1,'Master data'!$B$1:$CL$1,0)),"")</f>
        <v>-38162.708519046078</v>
      </c>
      <c r="J83" s="7">
        <f>IFERROR(INDEX('Master data'!$B$2:$CL$1000,MATCH($B83,'Master data'!$A$2:$A$1000,0),MATCH(J$1,'Master data'!$B$1:$CL$1,0)),"")</f>
        <v>-19671.837978244199</v>
      </c>
      <c r="K83" s="7">
        <f>IFERROR(INDEX('Master data'!$B$2:$CL$1000,MATCH($B83,'Master data'!$A$2:$A$1000,0),MATCH(K$1,'Master data'!$B$1:$CL$1,0)),"")</f>
        <v>-10401.118355093378</v>
      </c>
      <c r="L83" s="7">
        <f>IFERROR(INDEX('Master data'!$B$2:$CL$1000,MATCH($B83,'Master data'!$A$2:$A$1000,0),MATCH(L$1,'Master data'!$B$1:$CL$1,0)),"")</f>
        <v>-5937.8241348240226</v>
      </c>
      <c r="M83" s="5">
        <f>IFERROR(INDEX('Master data'!$B$2:$CL$1000,MATCH($B83,'Master data'!$A$2:$A$1000,0),MATCH(M$1,'Master data'!$B$1:$CL$1,0)),"")</f>
        <v>-27639.804959806333</v>
      </c>
      <c r="N83" s="28">
        <f>IFERROR(INDEX('Master data'!$B$2:$CL$1000,MATCH($B83,'Master data'!$A$2:$A$1000,0),MATCH(N$1,'Master data'!$B$1:$CL$1,0)),"")</f>
        <v>-4.2857142857142859E-3</v>
      </c>
      <c r="O83" s="7">
        <f>IFERROR(INDEX('Master data'!$B$2:$CL$1000,MATCH($B83,'Master data'!$A$2:$A$1000,0),MATCH(O$1,'Master data'!$B$1:$CL$1,0)),"")</f>
        <v>0</v>
      </c>
      <c r="P83" s="5">
        <f>IFERROR(INDEX('Master data'!$B$2:$CL$1000,MATCH($B83,'Master data'!$A$2:$A$1000,0),MATCH(P$1,'Master data'!$B$1:$CL$1,0)),"")</f>
        <v>3500000</v>
      </c>
      <c r="Q83" s="5">
        <f>IFERROR(INDEX('Master data'!$B$2:$CL$1000,MATCH($B83,'Master data'!$A$2:$A$1000,0),MATCH(Q$1,'Master data'!$B$1:$CL$1,0)),"")</f>
        <v>3500000</v>
      </c>
    </row>
    <row r="84" spans="1:17" hidden="1">
      <c r="A84">
        <f t="shared" si="1"/>
        <v>82</v>
      </c>
      <c r="B84" t="str">
        <f>IF('Master data'!A84="","",'Master data'!A84)</f>
        <v>João Moutinho</v>
      </c>
      <c r="C84" t="str">
        <f>IFERROR(INDEX('Master data'!$B$2:$CL$1000,MATCH($B84,'Master data'!$A$2:$A$1000,0),MATCH(C$1,'Master data'!$B$1:$CL$1,0)),"")</f>
        <v>Portugal</v>
      </c>
      <c r="D84" t="str">
        <f>IFERROR(INDEX('Master data'!$B$2:$CL$1000,MATCH($B84,'Master data'!$A$2:$A$1000,0),MATCH(D$1,'Master data'!$B$1:$CL$1,0)),"")</f>
        <v>Midfield</v>
      </c>
      <c r="E84" s="5">
        <f>IFERROR(INDEX('Master data'!$B$2:$CL$1000,MATCH($B84,'Master data'!$A$2:$A$1000,0),MATCH(E$1,'Master data'!$B$1:$CL$1,0)),"")</f>
        <v>3000000</v>
      </c>
      <c r="F84" s="7">
        <f>IFERROR(INDEX('Master data'!$B$2:$CL$1000,MATCH($B84,'Master data'!$A$2:$A$1000,0),MATCH(F$1,'Master data'!$B$1:$CL$1,0)),"")</f>
        <v>48238.795978051188</v>
      </c>
      <c r="G84" s="7">
        <f>IFERROR(INDEX('Master data'!$B$2:$CL$1000,MATCH($B84,'Master data'!$A$2:$A$1000,0),MATCH(G$1,'Master data'!$B$1:$CL$1,0)),"")</f>
        <v>18473.737369094564</v>
      </c>
      <c r="H84" s="7">
        <f>IFERROR(INDEX('Master data'!$B$2:$CL$1000,MATCH($B84,'Master data'!$A$2:$A$1000,0),MATCH(H$1,'Master data'!$B$1:$CL$1,0)),"")</f>
        <v>16266.612818071189</v>
      </c>
      <c r="I84" s="7">
        <f>IFERROR(INDEX('Master data'!$B$2:$CL$1000,MATCH($B84,'Master data'!$A$2:$A$1000,0),MATCH(I$1,'Master data'!$B$1:$CL$1,0)),"")</f>
        <v>-2383.7057580091951</v>
      </c>
      <c r="J84" s="7">
        <f>IFERROR(INDEX('Master data'!$B$2:$CL$1000,MATCH($B84,'Master data'!$A$2:$A$1000,0),MATCH(J$1,'Master data'!$B$1:$CL$1,0)),"")</f>
        <v>-1320.7433956973616</v>
      </c>
      <c r="K84" s="7">
        <f>IFERROR(INDEX('Master data'!$B$2:$CL$1000,MATCH($B84,'Master data'!$A$2:$A$1000,0),MATCH(K$1,'Master data'!$B$1:$CL$1,0)),"")</f>
        <v>-738.68113723468048</v>
      </c>
      <c r="L84" s="7">
        <f>IFERROR(INDEX('Master data'!$B$2:$CL$1000,MATCH($B84,'Master data'!$A$2:$A$1000,0),MATCH(L$1,'Master data'!$B$1:$CL$1,0)),"")</f>
        <v>-431.84548795600836</v>
      </c>
      <c r="M84" s="5">
        <f>IFERROR(INDEX('Master data'!$B$2:$CL$1000,MATCH($B84,'Master data'!$A$2:$A$1000,0),MATCH(M$1,'Master data'!$B$1:$CL$1,0)),"")</f>
        <v>66681.868572455714</v>
      </c>
      <c r="N84" s="28">
        <f>IFERROR(INDEX('Master data'!$B$2:$CL$1000,MATCH($B84,'Master data'!$A$2:$A$1000,0),MATCH(N$1,'Master data'!$B$1:$CL$1,0)),"")</f>
        <v>2.7659715388405649E-2</v>
      </c>
      <c r="O84" s="7">
        <f>IFERROR(INDEX('Master data'!$B$2:$CL$1000,MATCH($B84,'Master data'!$A$2:$A$1000,0),MATCH(O$1,'Master data'!$B$1:$CL$1,0)),"")</f>
        <v>0</v>
      </c>
      <c r="P84" s="5">
        <f>IFERROR(INDEX('Master data'!$B$2:$CL$1000,MATCH($B84,'Master data'!$A$2:$A$1000,0),MATCH(P$1,'Master data'!$B$1:$CL$1,0)),"")</f>
        <v>3000000</v>
      </c>
      <c r="Q84" s="5">
        <f>IFERROR(INDEX('Master data'!$B$2:$CL$1000,MATCH($B84,'Master data'!$A$2:$A$1000,0),MATCH(Q$1,'Master data'!$B$1:$CL$1,0)),"")</f>
        <v>3000000</v>
      </c>
    </row>
    <row r="85" spans="1:17" hidden="1">
      <c r="A85">
        <f t="shared" si="1"/>
        <v>83</v>
      </c>
      <c r="B85" t="str">
        <f>IF('Master data'!A85="","",'Master data'!A85)</f>
        <v>Thiago Alcantara</v>
      </c>
      <c r="C85" t="str">
        <f>IFERROR(INDEX('Master data'!$B$2:$CL$1000,MATCH($B85,'Master data'!$A$2:$A$1000,0),MATCH(C$1,'Master data'!$B$1:$CL$1,0)),"")</f>
        <v>Spain</v>
      </c>
      <c r="D85" t="str">
        <f>IFERROR(INDEX('Master data'!$B$2:$CL$1000,MATCH($B85,'Master data'!$A$2:$A$1000,0),MATCH(D$1,'Master data'!$B$1:$CL$1,0)),"")</f>
        <v>Midfield</v>
      </c>
      <c r="E85" s="5">
        <f>IFERROR(INDEX('Master data'!$B$2:$CL$1000,MATCH($B85,'Master data'!$A$2:$A$1000,0),MATCH(E$1,'Master data'!$B$1:$CL$1,0)),"")</f>
        <v>4500000</v>
      </c>
      <c r="F85" s="7">
        <f>IFERROR(INDEX('Master data'!$B$2:$CL$1000,MATCH($B85,'Master data'!$A$2:$A$1000,0),MATCH(F$1,'Master data'!$B$1:$CL$1,0)),"")</f>
        <v>-5000</v>
      </c>
      <c r="G85" s="7">
        <f>IFERROR(INDEX('Master data'!$B$2:$CL$1000,MATCH($B85,'Master data'!$A$2:$A$1000,0),MATCH(G$1,'Master data'!$B$1:$CL$1,0)),"")</f>
        <v>-5000</v>
      </c>
      <c r="H85" s="7">
        <f>IFERROR(INDEX('Master data'!$B$2:$CL$1000,MATCH($B85,'Master data'!$A$2:$A$1000,0),MATCH(H$1,'Master data'!$B$1:$CL$1,0)),"")</f>
        <v>-5000</v>
      </c>
      <c r="I85" s="7">
        <f>IFERROR(INDEX('Master data'!$B$2:$CL$1000,MATCH($B85,'Master data'!$A$2:$A$1000,0),MATCH(I$1,'Master data'!$B$1:$CL$1,0)),"")</f>
        <v>-48193.957838439717</v>
      </c>
      <c r="J85" s="7">
        <f>IFERROR(INDEX('Master data'!$B$2:$CL$1000,MATCH($B85,'Master data'!$A$2:$A$1000,0),MATCH(J$1,'Master data'!$B$1:$CL$1,0)),"")</f>
        <v>-24397.570413481521</v>
      </c>
      <c r="K85" s="7">
        <f>IFERROR(INDEX('Master data'!$B$2:$CL$1000,MATCH($B85,'Master data'!$A$2:$A$1000,0),MATCH(K$1,'Master data'!$B$1:$CL$1,0)),"")</f>
        <v>-12491.887939982114</v>
      </c>
      <c r="L85" s="7">
        <f>IFERROR(INDEX('Master data'!$B$2:$CL$1000,MATCH($B85,'Master data'!$A$2:$A$1000,0),MATCH(L$1,'Master data'!$B$1:$CL$1,0)),"")</f>
        <v>-6633.0123658504954</v>
      </c>
      <c r="M85" s="5">
        <f>IFERROR(INDEX('Master data'!$B$2:$CL$1000,MATCH($B85,'Master data'!$A$2:$A$1000,0),MATCH(M$1,'Master data'!$B$1:$CL$1,0)),"")</f>
        <v>-31881.864288473294</v>
      </c>
      <c r="N85" s="28">
        <f>IFERROR(INDEX('Master data'!$B$2:$CL$1000,MATCH($B85,'Master data'!$A$2:$A$1000,0),MATCH(N$1,'Master data'!$B$1:$CL$1,0)),"")</f>
        <v>-3.3333333333333335E-3</v>
      </c>
      <c r="O85" s="7">
        <f>IFERROR(INDEX('Master data'!$B$2:$CL$1000,MATCH($B85,'Master data'!$A$2:$A$1000,0),MATCH(O$1,'Master data'!$B$1:$CL$1,0)),"")</f>
        <v>0</v>
      </c>
      <c r="P85" s="5">
        <f>IFERROR(INDEX('Master data'!$B$2:$CL$1000,MATCH($B85,'Master data'!$A$2:$A$1000,0),MATCH(P$1,'Master data'!$B$1:$CL$1,0)),"")</f>
        <v>4500000</v>
      </c>
      <c r="Q85" s="5">
        <f>IFERROR(INDEX('Master data'!$B$2:$CL$1000,MATCH($B85,'Master data'!$A$2:$A$1000,0),MATCH(Q$1,'Master data'!$B$1:$CL$1,0)),"")</f>
        <v>4500000</v>
      </c>
    </row>
    <row r="86" spans="1:17" hidden="1">
      <c r="A86">
        <f t="shared" si="1"/>
        <v>84</v>
      </c>
      <c r="B86" t="str">
        <f>IF('Master data'!A86="","",'Master data'!A86)</f>
        <v>Rodrigo Hernandez</v>
      </c>
      <c r="C86" t="str">
        <f>IFERROR(INDEX('Master data'!$B$2:$CL$1000,MATCH($B86,'Master data'!$A$2:$A$1000,0),MATCH(C$1,'Master data'!$B$1:$CL$1,0)),"")</f>
        <v>Spain</v>
      </c>
      <c r="D86" t="str">
        <f>IFERROR(INDEX('Master data'!$B$2:$CL$1000,MATCH($B86,'Master data'!$A$2:$A$1000,0),MATCH(D$1,'Master data'!$B$1:$CL$1,0)),"")</f>
        <v>Midfield</v>
      </c>
      <c r="E86" s="5">
        <f>IFERROR(INDEX('Master data'!$B$2:$CL$1000,MATCH($B86,'Master data'!$A$2:$A$1000,0),MATCH(E$1,'Master data'!$B$1:$CL$1,0)),"")</f>
        <v>4000000</v>
      </c>
      <c r="F86" s="7">
        <f>IFERROR(INDEX('Master data'!$B$2:$CL$1000,MATCH($B86,'Master data'!$A$2:$A$1000,0),MATCH(F$1,'Master data'!$B$1:$CL$1,0)),"")</f>
        <v>42862.192365122959</v>
      </c>
      <c r="G86" s="7">
        <f>IFERROR(INDEX('Master data'!$B$2:$CL$1000,MATCH($B86,'Master data'!$A$2:$A$1000,0),MATCH(G$1,'Master data'!$B$1:$CL$1,0)),"")</f>
        <v>43141.158238315205</v>
      </c>
      <c r="H86" s="7">
        <f>IFERROR(INDEX('Master data'!$B$2:$CL$1000,MATCH($B86,'Master data'!$A$2:$A$1000,0),MATCH(H$1,'Master data'!$B$1:$CL$1,0)),"")</f>
        <v>55816.961965762894</v>
      </c>
      <c r="I86" s="7">
        <f>IFERROR(INDEX('Master data'!$B$2:$CL$1000,MATCH($B86,'Master data'!$A$2:$A$1000,0),MATCH(I$1,'Master data'!$B$1:$CL$1,0)),"")</f>
        <v>5660.7205552913383</v>
      </c>
      <c r="J86" s="7">
        <f>IFERROR(INDEX('Master data'!$B$2:$CL$1000,MATCH($B86,'Master data'!$A$2:$A$1000,0),MATCH(J$1,'Master data'!$B$1:$CL$1,0)),"")</f>
        <v>2636.9462508199276</v>
      </c>
      <c r="K86" s="7">
        <f>IFERROR(INDEX('Master data'!$B$2:$CL$1000,MATCH($B86,'Master data'!$A$2:$A$1000,0),MATCH(K$1,'Master data'!$B$1:$CL$1,0)),"")</f>
        <v>1232.8088899059171</v>
      </c>
      <c r="L86" s="7">
        <f>IFERROR(INDEX('Master data'!$B$2:$CL$1000,MATCH($B86,'Master data'!$A$2:$A$1000,0),MATCH(L$1,'Master data'!$B$1:$CL$1,0)),"")</f>
        <v>592.17068999474236</v>
      </c>
      <c r="M86" s="5">
        <f>IFERROR(INDEX('Master data'!$B$2:$CL$1000,MATCH($B86,'Master data'!$A$2:$A$1000,0),MATCH(M$1,'Master data'!$B$1:$CL$1,0)),"")</f>
        <v>98842.96473601459</v>
      </c>
      <c r="N86" s="28">
        <f>IFERROR(INDEX('Master data'!$B$2:$CL$1000,MATCH($B86,'Master data'!$A$2:$A$1000,0),MATCH(N$1,'Master data'!$B$1:$CL$1,0)),"")</f>
        <v>3.5455078142300263E-2</v>
      </c>
      <c r="O86" s="7">
        <f>IFERROR(INDEX('Master data'!$B$2:$CL$1000,MATCH($B86,'Master data'!$A$2:$A$1000,0),MATCH(O$1,'Master data'!$B$1:$CL$1,0)),"")</f>
        <v>0</v>
      </c>
      <c r="P86" s="5">
        <f>IFERROR(INDEX('Master data'!$B$2:$CL$1000,MATCH($B86,'Master data'!$A$2:$A$1000,0),MATCH(P$1,'Master data'!$B$1:$CL$1,0)),"")</f>
        <v>4000000</v>
      </c>
      <c r="Q86" s="5">
        <f>IFERROR(INDEX('Master data'!$B$2:$CL$1000,MATCH($B86,'Master data'!$A$2:$A$1000,0),MATCH(Q$1,'Master data'!$B$1:$CL$1,0)),"")</f>
        <v>4000000</v>
      </c>
    </row>
    <row r="87" spans="1:17" hidden="1">
      <c r="A87">
        <f t="shared" si="1"/>
        <v>85</v>
      </c>
      <c r="B87" t="str">
        <f>IF('Master data'!A87="","",'Master data'!A87)</f>
        <v>Hugo Lloris</v>
      </c>
      <c r="C87" t="str">
        <f>IFERROR(INDEX('Master data'!$B$2:$CL$1000,MATCH($B87,'Master data'!$A$2:$A$1000,0),MATCH(C$1,'Master data'!$B$1:$CL$1,0)),"")</f>
        <v>France</v>
      </c>
      <c r="D87" t="str">
        <f>IFERROR(INDEX('Master data'!$B$2:$CL$1000,MATCH($B87,'Master data'!$A$2:$A$1000,0),MATCH(D$1,'Master data'!$B$1:$CL$1,0)),"")</f>
        <v>Goalkeeper</v>
      </c>
      <c r="E87" s="5">
        <f>IFERROR(INDEX('Master data'!$B$2:$CL$1000,MATCH($B87,'Master data'!$A$2:$A$1000,0),MATCH(E$1,'Master data'!$B$1:$CL$1,0)),"")</f>
        <v>6000000</v>
      </c>
      <c r="F87" s="7">
        <f>IFERROR(INDEX('Master data'!$B$2:$CL$1000,MATCH($B87,'Master data'!$A$2:$A$1000,0),MATCH(F$1,'Master data'!$B$1:$CL$1,0)),"")</f>
        <v>49477.929279913486</v>
      </c>
      <c r="G87" s="7">
        <f>IFERROR(INDEX('Master data'!$B$2:$CL$1000,MATCH($B87,'Master data'!$A$2:$A$1000,0),MATCH(G$1,'Master data'!$B$1:$CL$1,0)),"")</f>
        <v>79981.723607047694</v>
      </c>
      <c r="H87" s="7">
        <f>IFERROR(INDEX('Master data'!$B$2:$CL$1000,MATCH($B87,'Master data'!$A$2:$A$1000,0),MATCH(H$1,'Master data'!$B$1:$CL$1,0)),"")</f>
        <v>56878.655686918966</v>
      </c>
      <c r="I87" s="7">
        <f>IFERROR(INDEX('Master data'!$B$2:$CL$1000,MATCH($B87,'Master data'!$A$2:$A$1000,0),MATCH(I$1,'Master data'!$B$1:$CL$1,0)),"")</f>
        <v>220.13633068431326</v>
      </c>
      <c r="J87" s="7">
        <f>IFERROR(INDEX('Master data'!$B$2:$CL$1000,MATCH($B87,'Master data'!$A$2:$A$1000,0),MATCH(J$1,'Master data'!$B$1:$CL$1,0)),"")</f>
        <v>-170.54681210836156</v>
      </c>
      <c r="K87" s="7">
        <f>IFERROR(INDEX('Master data'!$B$2:$CL$1000,MATCH($B87,'Master data'!$A$2:$A$1000,0),MATCH(K$1,'Master data'!$B$1:$CL$1,0)),"")</f>
        <v>-244.03399003144139</v>
      </c>
      <c r="L87" s="7">
        <f>IFERROR(INDEX('Master data'!$B$2:$CL$1000,MATCH($B87,'Master data'!$A$2:$A$1000,0),MATCH(L$1,'Master data'!$B$1:$CL$1,0)),"")</f>
        <v>-232.47618427087602</v>
      </c>
      <c r="M87" s="5">
        <f>IFERROR(INDEX('Master data'!$B$2:$CL$1000,MATCH($B87,'Master data'!$A$2:$A$1000,0),MATCH(M$1,'Master data'!$B$1:$CL$1,0)),"")</f>
        <v>128057.47260396666</v>
      </c>
      <c r="N87" s="28">
        <f>IFERROR(INDEX('Master data'!$B$2:$CL$1000,MATCH($B87,'Master data'!$A$2:$A$1000,0),MATCH(N$1,'Master data'!$B$1:$CL$1,0)),"")</f>
        <v>3.1056384762313358E-2</v>
      </c>
      <c r="O87" s="7">
        <f>IFERROR(INDEX('Master data'!$B$2:$CL$1000,MATCH($B87,'Master data'!$A$2:$A$1000,0),MATCH(O$1,'Master data'!$B$1:$CL$1,0)),"")</f>
        <v>0</v>
      </c>
      <c r="P87" s="5">
        <f>IFERROR(INDEX('Master data'!$B$2:$CL$1000,MATCH($B87,'Master data'!$A$2:$A$1000,0),MATCH(P$1,'Master data'!$B$1:$CL$1,0)),"")</f>
        <v>6000000</v>
      </c>
      <c r="Q87" s="5">
        <f>IFERROR(INDEX('Master data'!$B$2:$CL$1000,MATCH($B87,'Master data'!$A$2:$A$1000,0),MATCH(Q$1,'Master data'!$B$1:$CL$1,0)),"")</f>
        <v>6000000</v>
      </c>
    </row>
    <row r="88" spans="1:17" hidden="1">
      <c r="A88">
        <f t="shared" si="1"/>
        <v>86</v>
      </c>
      <c r="B88" t="str">
        <f>IF('Master data'!A88="","",'Master data'!A88)</f>
        <v>Corentin Tolisso</v>
      </c>
      <c r="C88" t="str">
        <f>IFERROR(INDEX('Master data'!$B$2:$CL$1000,MATCH($B88,'Master data'!$A$2:$A$1000,0),MATCH(C$1,'Master data'!$B$1:$CL$1,0)),"")</f>
        <v>France</v>
      </c>
      <c r="D88" t="str">
        <f>IFERROR(INDEX('Master data'!$B$2:$CL$1000,MATCH($B88,'Master data'!$A$2:$A$1000,0),MATCH(D$1,'Master data'!$B$1:$CL$1,0)),"")</f>
        <v>Midfield</v>
      </c>
      <c r="E88" s="5">
        <f>IFERROR(INDEX('Master data'!$B$2:$CL$1000,MATCH($B88,'Master data'!$A$2:$A$1000,0),MATCH(E$1,'Master data'!$B$1:$CL$1,0)),"")</f>
        <v>4000000</v>
      </c>
      <c r="F88" s="7">
        <f>IFERROR(INDEX('Master data'!$B$2:$CL$1000,MATCH($B88,'Master data'!$A$2:$A$1000,0),MATCH(F$1,'Master data'!$B$1:$CL$1,0)),"")</f>
        <v>-5000</v>
      </c>
      <c r="G88" s="7">
        <f>IFERROR(INDEX('Master data'!$B$2:$CL$1000,MATCH($B88,'Master data'!$A$2:$A$1000,0),MATCH(G$1,'Master data'!$B$1:$CL$1,0)),"")</f>
        <v>-5000</v>
      </c>
      <c r="H88" s="7">
        <f>IFERROR(INDEX('Master data'!$B$2:$CL$1000,MATCH($B88,'Master data'!$A$2:$A$1000,0),MATCH(H$1,'Master data'!$B$1:$CL$1,0)),"")</f>
        <v>-5000</v>
      </c>
      <c r="I88" s="7">
        <f>IFERROR(INDEX('Master data'!$B$2:$CL$1000,MATCH($B88,'Master data'!$A$2:$A$1000,0),MATCH(I$1,'Master data'!$B$1:$CL$1,0)),"")</f>
        <v>-39589.620330674152</v>
      </c>
      <c r="J88" s="7">
        <f>IFERROR(INDEX('Master data'!$B$2:$CL$1000,MATCH($B88,'Master data'!$A$2:$A$1000,0),MATCH(J$1,'Master data'!$B$1:$CL$1,0)),"")</f>
        <v>-20553.2666922752</v>
      </c>
      <c r="K88" s="7">
        <f>IFERROR(INDEX('Master data'!$B$2:$CL$1000,MATCH($B88,'Master data'!$A$2:$A$1000,0),MATCH(K$1,'Master data'!$B$1:$CL$1,0)),"")</f>
        <v>-10998.955135275246</v>
      </c>
      <c r="L88" s="7">
        <f>IFERROR(INDEX('Master data'!$B$2:$CL$1000,MATCH($B88,'Master data'!$A$2:$A$1000,0),MATCH(L$1,'Master data'!$B$1:$CL$1,0)),"")</f>
        <v>-6438.4801896482641</v>
      </c>
      <c r="M88" s="5">
        <f>IFERROR(INDEX('Master data'!$B$2:$CL$1000,MATCH($B88,'Master data'!$A$2:$A$1000,0),MATCH(M$1,'Master data'!$B$1:$CL$1,0)),"")</f>
        <v>-28359.383841203235</v>
      </c>
      <c r="N88" s="28">
        <f>IFERROR(INDEX('Master data'!$B$2:$CL$1000,MATCH($B88,'Master data'!$A$2:$A$1000,0),MATCH(N$1,'Master data'!$B$1:$CL$1,0)),"")</f>
        <v>-3.7499999999999999E-3</v>
      </c>
      <c r="O88" s="7">
        <f>IFERROR(INDEX('Master data'!$B$2:$CL$1000,MATCH($B88,'Master data'!$A$2:$A$1000,0),MATCH(O$1,'Master data'!$B$1:$CL$1,0)),"")</f>
        <v>0</v>
      </c>
      <c r="P88" s="5">
        <f>IFERROR(INDEX('Master data'!$B$2:$CL$1000,MATCH($B88,'Master data'!$A$2:$A$1000,0),MATCH(P$1,'Master data'!$B$1:$CL$1,0)),"")</f>
        <v>4000000</v>
      </c>
      <c r="Q88" s="5">
        <f>IFERROR(INDEX('Master data'!$B$2:$CL$1000,MATCH($B88,'Master data'!$A$2:$A$1000,0),MATCH(Q$1,'Master data'!$B$1:$CL$1,0)),"")</f>
        <v>4000000</v>
      </c>
    </row>
    <row r="89" spans="1:17" hidden="1">
      <c r="A89">
        <f t="shared" si="1"/>
        <v>87</v>
      </c>
      <c r="B89" t="str">
        <f>IF('Master data'!A89="","",'Master data'!A89)</f>
        <v>N'Golo Kanté</v>
      </c>
      <c r="C89" t="str">
        <f>IFERROR(INDEX('Master data'!$B$2:$CL$1000,MATCH($B89,'Master data'!$A$2:$A$1000,0),MATCH(C$1,'Master data'!$B$1:$CL$1,0)),"")</f>
        <v>France</v>
      </c>
      <c r="D89" t="str">
        <f>IFERROR(INDEX('Master data'!$B$2:$CL$1000,MATCH($B89,'Master data'!$A$2:$A$1000,0),MATCH(D$1,'Master data'!$B$1:$CL$1,0)),"")</f>
        <v>Midfield</v>
      </c>
      <c r="E89" s="5">
        <f>IFERROR(INDEX('Master data'!$B$2:$CL$1000,MATCH($B89,'Master data'!$A$2:$A$1000,0),MATCH(E$1,'Master data'!$B$1:$CL$1,0)),"")</f>
        <v>3500000</v>
      </c>
      <c r="F89" s="7">
        <f>IFERROR(INDEX('Master data'!$B$2:$CL$1000,MATCH($B89,'Master data'!$A$2:$A$1000,0),MATCH(F$1,'Master data'!$B$1:$CL$1,0)),"")</f>
        <v>-5000</v>
      </c>
      <c r="G89" s="7">
        <f>IFERROR(INDEX('Master data'!$B$2:$CL$1000,MATCH($B89,'Master data'!$A$2:$A$1000,0),MATCH(G$1,'Master data'!$B$1:$CL$1,0)),"")</f>
        <v>-5000</v>
      </c>
      <c r="H89" s="7">
        <f>IFERROR(INDEX('Master data'!$B$2:$CL$1000,MATCH($B89,'Master data'!$A$2:$A$1000,0),MATCH(H$1,'Master data'!$B$1:$CL$1,0)),"")</f>
        <v>-5000</v>
      </c>
      <c r="I89" s="7">
        <f>IFERROR(INDEX('Master data'!$B$2:$CL$1000,MATCH($B89,'Master data'!$A$2:$A$1000,0),MATCH(I$1,'Master data'!$B$1:$CL$1,0)),"")</f>
        <v>-35176.061765381608</v>
      </c>
      <c r="J89" s="7">
        <f>IFERROR(INDEX('Master data'!$B$2:$CL$1000,MATCH($B89,'Master data'!$A$2:$A$1000,0),MATCH(J$1,'Master data'!$B$1:$CL$1,0)),"")</f>
        <v>-18259.375320369483</v>
      </c>
      <c r="K89" s="7">
        <f>IFERROR(INDEX('Master data'!$B$2:$CL$1000,MATCH($B89,'Master data'!$A$2:$A$1000,0),MATCH(K$1,'Master data'!$B$1:$CL$1,0)),"")</f>
        <v>-9770.0216006076207</v>
      </c>
      <c r="L89" s="7">
        <f>IFERROR(INDEX('Master data'!$B$2:$CL$1000,MATCH($B89,'Master data'!$A$2:$A$1000,0),MATCH(L$1,'Master data'!$B$1:$CL$1,0)),"")</f>
        <v>-5718.2922489717248</v>
      </c>
      <c r="M89" s="5">
        <f>IFERROR(INDEX('Master data'!$B$2:$CL$1000,MATCH($B89,'Master data'!$A$2:$A$1000,0),MATCH(M$1,'Master data'!$B$1:$CL$1,0)),"")</f>
        <v>-26373.487194853435</v>
      </c>
      <c r="N89" s="28">
        <f>IFERROR(INDEX('Master data'!$B$2:$CL$1000,MATCH($B89,'Master data'!$A$2:$A$1000,0),MATCH(N$1,'Master data'!$B$1:$CL$1,0)),"")</f>
        <v>-4.2857142857142859E-3</v>
      </c>
      <c r="O89" s="7">
        <f>IFERROR(INDEX('Master data'!$B$2:$CL$1000,MATCH($B89,'Master data'!$A$2:$A$1000,0),MATCH(O$1,'Master data'!$B$1:$CL$1,0)),"")</f>
        <v>0</v>
      </c>
      <c r="P89" s="5">
        <f>IFERROR(INDEX('Master data'!$B$2:$CL$1000,MATCH($B89,'Master data'!$A$2:$A$1000,0),MATCH(P$1,'Master data'!$B$1:$CL$1,0)),"")</f>
        <v>3500000</v>
      </c>
      <c r="Q89" s="5">
        <f>IFERROR(INDEX('Master data'!$B$2:$CL$1000,MATCH($B89,'Master data'!$A$2:$A$1000,0),MATCH(Q$1,'Master data'!$B$1:$CL$1,0)),"")</f>
        <v>3500000</v>
      </c>
    </row>
    <row r="90" spans="1:17" hidden="1">
      <c r="A90">
        <f t="shared" si="1"/>
        <v>88</v>
      </c>
      <c r="B90" t="str">
        <f>IF('Master data'!A90="","",'Master data'!A90)</f>
        <v>Xherdan Shaqiri</v>
      </c>
      <c r="C90" t="str">
        <f>IFERROR(INDEX('Master data'!$B$2:$CL$1000,MATCH($B90,'Master data'!$A$2:$A$1000,0),MATCH(C$1,'Master data'!$B$1:$CL$1,0)),"")</f>
        <v>Switzerland</v>
      </c>
      <c r="D90" t="str">
        <f>IFERROR(INDEX('Master data'!$B$2:$CL$1000,MATCH($B90,'Master data'!$A$2:$A$1000,0),MATCH(D$1,'Master data'!$B$1:$CL$1,0)),"")</f>
        <v>Midfield</v>
      </c>
      <c r="E90" s="5">
        <f>IFERROR(INDEX('Master data'!$B$2:$CL$1000,MATCH($B90,'Master data'!$A$2:$A$1000,0),MATCH(E$1,'Master data'!$B$1:$CL$1,0)),"")</f>
        <v>4000000</v>
      </c>
      <c r="F90" s="7">
        <f>IFERROR(INDEX('Master data'!$B$2:$CL$1000,MATCH($B90,'Master data'!$A$2:$A$1000,0),MATCH(F$1,'Master data'!$B$1:$CL$1,0)),"")</f>
        <v>38274.093776090653</v>
      </c>
      <c r="G90" s="7">
        <f>IFERROR(INDEX('Master data'!$B$2:$CL$1000,MATCH($B90,'Master data'!$A$2:$A$1000,0),MATCH(G$1,'Master data'!$B$1:$CL$1,0)),"")</f>
        <v>11503.440540603677</v>
      </c>
      <c r="H90" s="7">
        <f>IFERROR(INDEX('Master data'!$B$2:$CL$1000,MATCH($B90,'Master data'!$A$2:$A$1000,0),MATCH(H$1,'Master data'!$B$1:$CL$1,0)),"")</f>
        <v>39009.052906415898</v>
      </c>
      <c r="I90" s="7">
        <f>IFERROR(INDEX('Master data'!$B$2:$CL$1000,MATCH($B90,'Master data'!$A$2:$A$1000,0),MATCH(I$1,'Master data'!$B$1:$CL$1,0)),"")</f>
        <v>-7209.4714799777257</v>
      </c>
      <c r="J90" s="7">
        <f>IFERROR(INDEX('Master data'!$B$2:$CL$1000,MATCH($B90,'Master data'!$A$2:$A$1000,0),MATCH(J$1,'Master data'!$B$1:$CL$1,0)),"")</f>
        <v>-3647.1596517044513</v>
      </c>
      <c r="K90" s="7">
        <f>IFERROR(INDEX('Master data'!$B$2:$CL$1000,MATCH($B90,'Master data'!$A$2:$A$1000,0),MATCH(K$1,'Master data'!$B$1:$CL$1,0)),"")</f>
        <v>-1819.912373888051</v>
      </c>
      <c r="L90" s="7">
        <f>IFERROR(INDEX('Master data'!$B$2:$CL$1000,MATCH($B90,'Master data'!$A$2:$A$1000,0),MATCH(L$1,'Master data'!$B$1:$CL$1,0)),"")</f>
        <v>-866.22030041967196</v>
      </c>
      <c r="M90" s="5">
        <f>IFERROR(INDEX('Master data'!$B$2:$CL$1000,MATCH($B90,'Master data'!$A$2:$A$1000,0),MATCH(M$1,'Master data'!$B$1:$CL$1,0)),"")</f>
        <v>60108.138670152919</v>
      </c>
      <c r="N90" s="28">
        <f>IFERROR(INDEX('Master data'!$B$2:$CL$1000,MATCH($B90,'Master data'!$A$2:$A$1000,0),MATCH(N$1,'Master data'!$B$1:$CL$1,0)),"")</f>
        <v>2.2196646805777556E-2</v>
      </c>
      <c r="O90" s="7">
        <f>IFERROR(INDEX('Master data'!$B$2:$CL$1000,MATCH($B90,'Master data'!$A$2:$A$1000,0),MATCH(O$1,'Master data'!$B$1:$CL$1,0)),"")</f>
        <v>0</v>
      </c>
      <c r="P90" s="5">
        <f>IFERROR(INDEX('Master data'!$B$2:$CL$1000,MATCH($B90,'Master data'!$A$2:$A$1000,0),MATCH(P$1,'Master data'!$B$1:$CL$1,0)),"")</f>
        <v>4000000</v>
      </c>
      <c r="Q90" s="5">
        <f>IFERROR(INDEX('Master data'!$B$2:$CL$1000,MATCH($B90,'Master data'!$A$2:$A$1000,0),MATCH(Q$1,'Master data'!$B$1:$CL$1,0)),"")</f>
        <v>4000000</v>
      </c>
    </row>
    <row r="91" spans="1:17" hidden="1">
      <c r="A91">
        <f t="shared" si="1"/>
        <v>89</v>
      </c>
      <c r="B91" t="str">
        <f>IF('Master data'!A91="","",'Master data'!A91)</f>
        <v>Christian Eriksen</v>
      </c>
      <c r="C91" t="str">
        <f>IFERROR(INDEX('Master data'!$B$2:$CL$1000,MATCH($B91,'Master data'!$A$2:$A$1000,0),MATCH(C$1,'Master data'!$B$1:$CL$1,0)),"")</f>
        <v>Denmark</v>
      </c>
      <c r="D91" t="str">
        <f>IFERROR(INDEX('Master data'!$B$2:$CL$1000,MATCH($B91,'Master data'!$A$2:$A$1000,0),MATCH(D$1,'Master data'!$B$1:$CL$1,0)),"")</f>
        <v>Midfield</v>
      </c>
      <c r="E91" s="5">
        <f>IFERROR(INDEX('Master data'!$B$2:$CL$1000,MATCH($B91,'Master data'!$A$2:$A$1000,0),MATCH(E$1,'Master data'!$B$1:$CL$1,0)),"")</f>
        <v>6000000</v>
      </c>
      <c r="F91" s="7">
        <f>IFERROR(INDEX('Master data'!$B$2:$CL$1000,MATCH($B91,'Master data'!$A$2:$A$1000,0),MATCH(F$1,'Master data'!$B$1:$CL$1,0)),"")</f>
        <v>74004.428740167146</v>
      </c>
      <c r="G91" s="7">
        <f>IFERROR(INDEX('Master data'!$B$2:$CL$1000,MATCH($B91,'Master data'!$A$2:$A$1000,0),MATCH(G$1,'Master data'!$B$1:$CL$1,0)),"")</f>
        <v>34463.115684161792</v>
      </c>
      <c r="H91" s="7">
        <f>IFERROR(INDEX('Master data'!$B$2:$CL$1000,MATCH($B91,'Master data'!$A$2:$A$1000,0),MATCH(H$1,'Master data'!$B$1:$CL$1,0)),"")</f>
        <v>60083.928981316545</v>
      </c>
      <c r="I91" s="7">
        <f>IFERROR(INDEX('Master data'!$B$2:$CL$1000,MATCH($B91,'Master data'!$A$2:$A$1000,0),MATCH(I$1,'Master data'!$B$1:$CL$1,0)),"")</f>
        <v>-4467.8939238651446</v>
      </c>
      <c r="J91" s="7">
        <f>IFERROR(INDEX('Master data'!$B$2:$CL$1000,MATCH($B91,'Master data'!$A$2:$A$1000,0),MATCH(J$1,'Master data'!$B$1:$CL$1,0)),"")</f>
        <v>-2443.8848087371298</v>
      </c>
      <c r="K91" s="7">
        <f>IFERROR(INDEX('Master data'!$B$2:$CL$1000,MATCH($B91,'Master data'!$A$2:$A$1000,0),MATCH(K$1,'Master data'!$B$1:$CL$1,0)),"")</f>
        <v>-1316.4543479099113</v>
      </c>
      <c r="L91" s="7">
        <f>IFERROR(INDEX('Master data'!$B$2:$CL$1000,MATCH($B91,'Master data'!$A$2:$A$1000,0),MATCH(L$1,'Master data'!$B$1:$CL$1,0)),"")</f>
        <v>-687.87139017037282</v>
      </c>
      <c r="M91" s="5">
        <f>IFERROR(INDEX('Master data'!$B$2:$CL$1000,MATCH($B91,'Master data'!$A$2:$A$1000,0),MATCH(M$1,'Master data'!$B$1:$CL$1,0)),"")</f>
        <v>121643.49503106688</v>
      </c>
      <c r="N91" s="28">
        <f>IFERROR(INDEX('Master data'!$B$2:$CL$1000,MATCH($B91,'Master data'!$A$2:$A$1000,0),MATCH(N$1,'Master data'!$B$1:$CL$1,0)),"")</f>
        <v>2.8091912234274249E-2</v>
      </c>
      <c r="O91" s="7">
        <f>IFERROR(INDEX('Master data'!$B$2:$CL$1000,MATCH($B91,'Master data'!$A$2:$A$1000,0),MATCH(O$1,'Master data'!$B$1:$CL$1,0)),"")</f>
        <v>0</v>
      </c>
      <c r="P91" s="5">
        <f>IFERROR(INDEX('Master data'!$B$2:$CL$1000,MATCH($B91,'Master data'!$A$2:$A$1000,0),MATCH(P$1,'Master data'!$B$1:$CL$1,0)),"")</f>
        <v>6000000</v>
      </c>
      <c r="Q91" s="5">
        <f>IFERROR(INDEX('Master data'!$B$2:$CL$1000,MATCH($B91,'Master data'!$A$2:$A$1000,0),MATCH(Q$1,'Master data'!$B$1:$CL$1,0)),"")</f>
        <v>6000000</v>
      </c>
    </row>
    <row r="92" spans="1:17" hidden="1">
      <c r="A92">
        <f t="shared" si="1"/>
        <v>90</v>
      </c>
      <c r="B92" t="str">
        <f>IF('Master data'!A92="","",'Master data'!A92)</f>
        <v>Marcelo Brozović</v>
      </c>
      <c r="C92" t="str">
        <f>IFERROR(INDEX('Master data'!$B$2:$CL$1000,MATCH($B92,'Master data'!$A$2:$A$1000,0),MATCH(C$1,'Master data'!$B$1:$CL$1,0)),"")</f>
        <v>Croatia</v>
      </c>
      <c r="D92" t="str">
        <f>IFERROR(INDEX('Master data'!$B$2:$CL$1000,MATCH($B92,'Master data'!$A$2:$A$1000,0),MATCH(D$1,'Master data'!$B$1:$CL$1,0)),"")</f>
        <v>Midfield</v>
      </c>
      <c r="E92" s="5">
        <f>IFERROR(INDEX('Master data'!$B$2:$CL$1000,MATCH($B92,'Master data'!$A$2:$A$1000,0),MATCH(E$1,'Master data'!$B$1:$CL$1,0)),"")</f>
        <v>3000000</v>
      </c>
      <c r="F92" s="7">
        <f>IFERROR(INDEX('Master data'!$B$2:$CL$1000,MATCH($B92,'Master data'!$A$2:$A$1000,0),MATCH(F$1,'Master data'!$B$1:$CL$1,0)),"")</f>
        <v>2897.6989814260833</v>
      </c>
      <c r="G92" s="7">
        <f>IFERROR(INDEX('Master data'!$B$2:$CL$1000,MATCH($B92,'Master data'!$A$2:$A$1000,0),MATCH(G$1,'Master data'!$B$1:$CL$1,0)),"")</f>
        <v>35741.914939835624</v>
      </c>
      <c r="H92" s="7">
        <f>IFERROR(INDEX('Master data'!$B$2:$CL$1000,MATCH($B92,'Master data'!$A$2:$A$1000,0),MATCH(H$1,'Master data'!$B$1:$CL$1,0)),"")</f>
        <v>42703.506743097132</v>
      </c>
      <c r="I92" s="7">
        <f>IFERROR(INDEX('Master data'!$B$2:$CL$1000,MATCH($B92,'Master data'!$A$2:$A$1000,0),MATCH(I$1,'Master data'!$B$1:$CL$1,0)),"")</f>
        <v>-2761.015988278773</v>
      </c>
      <c r="J92" s="7">
        <f>IFERROR(INDEX('Master data'!$B$2:$CL$1000,MATCH($B92,'Master data'!$A$2:$A$1000,0),MATCH(J$1,'Master data'!$B$1:$CL$1,0)),"")</f>
        <v>-1464.4729604811935</v>
      </c>
      <c r="K92" s="7">
        <f>IFERROR(INDEX('Master data'!$B$2:$CL$1000,MATCH($B92,'Master data'!$A$2:$A$1000,0),MATCH(K$1,'Master data'!$B$1:$CL$1,0)),"")</f>
        <v>-764.92308194238558</v>
      </c>
      <c r="L92" s="7">
        <f>IFERROR(INDEX('Master data'!$B$2:$CL$1000,MATCH($B92,'Master data'!$A$2:$A$1000,0),MATCH(L$1,'Master data'!$B$1:$CL$1,0)),"")</f>
        <v>-383.14862040041874</v>
      </c>
      <c r="M92" s="5">
        <f>IFERROR(INDEX('Master data'!$B$2:$CL$1000,MATCH($B92,'Master data'!$A$2:$A$1000,0),MATCH(M$1,'Master data'!$B$1:$CL$1,0)),"")</f>
        <v>44463.253382213428</v>
      </c>
      <c r="N92" s="28">
        <f>IFERROR(INDEX('Master data'!$B$2:$CL$1000,MATCH($B92,'Master data'!$A$2:$A$1000,0),MATCH(N$1,'Master data'!$B$1:$CL$1,0)),"")</f>
        <v>2.711437355478628E-2</v>
      </c>
      <c r="O92" s="7">
        <f>IFERROR(INDEX('Master data'!$B$2:$CL$1000,MATCH($B92,'Master data'!$A$2:$A$1000,0),MATCH(O$1,'Master data'!$B$1:$CL$1,0)),"")</f>
        <v>0</v>
      </c>
      <c r="P92" s="5">
        <f>IFERROR(INDEX('Master data'!$B$2:$CL$1000,MATCH($B92,'Master data'!$A$2:$A$1000,0),MATCH(P$1,'Master data'!$B$1:$CL$1,0)),"")</f>
        <v>3000000</v>
      </c>
      <c r="Q92" s="5">
        <f>IFERROR(INDEX('Master data'!$B$2:$CL$1000,MATCH($B92,'Master data'!$A$2:$A$1000,0),MATCH(Q$1,'Master data'!$B$1:$CL$1,0)),"")</f>
        <v>3000000</v>
      </c>
    </row>
    <row r="93" spans="1:17" hidden="1">
      <c r="A93">
        <f t="shared" si="1"/>
        <v>91</v>
      </c>
      <c r="B93" t="str">
        <f>IF('Master data'!A93="","",'Master data'!A93)</f>
        <v>Josip Brekalo</v>
      </c>
      <c r="C93" t="str">
        <f>IFERROR(INDEX('Master data'!$B$2:$CL$1000,MATCH($B93,'Master data'!$A$2:$A$1000,0),MATCH(C$1,'Master data'!$B$1:$CL$1,0)),"")</f>
        <v>Croatia</v>
      </c>
      <c r="D93" t="str">
        <f>IFERROR(INDEX('Master data'!$B$2:$CL$1000,MATCH($B93,'Master data'!$A$2:$A$1000,0),MATCH(D$1,'Master data'!$B$1:$CL$1,0)),"")</f>
        <v>Striker</v>
      </c>
      <c r="E93" s="5">
        <f>IFERROR(INDEX('Master data'!$B$2:$CL$1000,MATCH($B93,'Master data'!$A$2:$A$1000,0),MATCH(E$1,'Master data'!$B$1:$CL$1,0)),"")</f>
        <v>4000000</v>
      </c>
      <c r="F93" s="7">
        <f>IFERROR(INDEX('Master data'!$B$2:$CL$1000,MATCH($B93,'Master data'!$A$2:$A$1000,0),MATCH(F$1,'Master data'!$B$1:$CL$1,0)),"")</f>
        <v>-5000</v>
      </c>
      <c r="G93" s="7">
        <f>IFERROR(INDEX('Master data'!$B$2:$CL$1000,MATCH($B93,'Master data'!$A$2:$A$1000,0),MATCH(G$1,'Master data'!$B$1:$CL$1,0)),"")</f>
        <v>-5000</v>
      </c>
      <c r="H93" s="7">
        <f>IFERROR(INDEX('Master data'!$B$2:$CL$1000,MATCH($B93,'Master data'!$A$2:$A$1000,0),MATCH(H$1,'Master data'!$B$1:$CL$1,0)),"")</f>
        <v>-5000</v>
      </c>
      <c r="I93" s="7">
        <f>IFERROR(INDEX('Master data'!$B$2:$CL$1000,MATCH($B93,'Master data'!$A$2:$A$1000,0),MATCH(I$1,'Master data'!$B$1:$CL$1,0)),"")</f>
        <v>-33476.51719137888</v>
      </c>
      <c r="J93" s="7">
        <f>IFERROR(INDEX('Master data'!$B$2:$CL$1000,MATCH($B93,'Master data'!$A$2:$A$1000,0),MATCH(J$1,'Master data'!$B$1:$CL$1,0)),"")</f>
        <v>-16525.20419686758</v>
      </c>
      <c r="K93" s="7">
        <f>IFERROR(INDEX('Master data'!$B$2:$CL$1000,MATCH($B93,'Master data'!$A$2:$A$1000,0),MATCH(K$1,'Master data'!$B$1:$CL$1,0)),"")</f>
        <v>-8070.6254559847994</v>
      </c>
      <c r="L93" s="7">
        <f>IFERROR(INDEX('Master data'!$B$2:$CL$1000,MATCH($B93,'Master data'!$A$2:$A$1000,0),MATCH(L$1,'Master data'!$B$1:$CL$1,0)),"")</f>
        <v>-3795.4095553353718</v>
      </c>
      <c r="M93" s="5">
        <f>IFERROR(INDEX('Master data'!$B$2:$CL$1000,MATCH($B93,'Master data'!$A$2:$A$1000,0),MATCH(M$1,'Master data'!$B$1:$CL$1,0)),"")</f>
        <v>-25134.764572020267</v>
      </c>
      <c r="N93" s="28">
        <f>IFERROR(INDEX('Master data'!$B$2:$CL$1000,MATCH($B93,'Master data'!$A$2:$A$1000,0),MATCH(N$1,'Master data'!$B$1:$CL$1,0)),"")</f>
        <v>-3.7499999999999999E-3</v>
      </c>
      <c r="O93" s="7">
        <f>IFERROR(INDEX('Master data'!$B$2:$CL$1000,MATCH($B93,'Master data'!$A$2:$A$1000,0),MATCH(O$1,'Master data'!$B$1:$CL$1,0)),"")</f>
        <v>0</v>
      </c>
      <c r="P93" s="5">
        <f>IFERROR(INDEX('Master data'!$B$2:$CL$1000,MATCH($B93,'Master data'!$A$2:$A$1000,0),MATCH(P$1,'Master data'!$B$1:$CL$1,0)),"")</f>
        <v>4000000</v>
      </c>
      <c r="Q93" s="5">
        <f>IFERROR(INDEX('Master data'!$B$2:$CL$1000,MATCH($B93,'Master data'!$A$2:$A$1000,0),MATCH(Q$1,'Master data'!$B$1:$CL$1,0)),"")</f>
        <v>4000000</v>
      </c>
    </row>
    <row r="94" spans="1:17" hidden="1">
      <c r="A94">
        <f t="shared" si="1"/>
        <v>92</v>
      </c>
      <c r="B94" t="str">
        <f>IF('Master data'!A94="","",'Master data'!A94)</f>
        <v>Alessandro Florenzi</v>
      </c>
      <c r="C94" t="str">
        <f>IFERROR(INDEX('Master data'!$B$2:$CL$1000,MATCH($B94,'Master data'!$A$2:$A$1000,0),MATCH(C$1,'Master data'!$B$1:$CL$1,0)),"")</f>
        <v>Italy</v>
      </c>
      <c r="D94" t="str">
        <f>IFERROR(INDEX('Master data'!$B$2:$CL$1000,MATCH($B94,'Master data'!$A$2:$A$1000,0),MATCH(D$1,'Master data'!$B$1:$CL$1,0)),"")</f>
        <v>Defense</v>
      </c>
      <c r="E94" s="5">
        <f>IFERROR(INDEX('Master data'!$B$2:$CL$1000,MATCH($B94,'Master data'!$A$2:$A$1000,0),MATCH(E$1,'Master data'!$B$1:$CL$1,0)),"")</f>
        <v>4500000</v>
      </c>
      <c r="F94" s="7">
        <f>IFERROR(INDEX('Master data'!$B$2:$CL$1000,MATCH($B94,'Master data'!$A$2:$A$1000,0),MATCH(F$1,'Master data'!$B$1:$CL$1,0)),"")</f>
        <v>76610.817141125954</v>
      </c>
      <c r="G94" s="7">
        <f>IFERROR(INDEX('Master data'!$B$2:$CL$1000,MATCH($B94,'Master data'!$A$2:$A$1000,0),MATCH(G$1,'Master data'!$B$1:$CL$1,0)),"")</f>
        <v>67244.107162814311</v>
      </c>
      <c r="H94" s="7">
        <f>IFERROR(INDEX('Master data'!$B$2:$CL$1000,MATCH($B94,'Master data'!$A$2:$A$1000,0),MATCH(H$1,'Master data'!$B$1:$CL$1,0)),"")</f>
        <v>81958.374743486493</v>
      </c>
      <c r="I94" s="7">
        <f>IFERROR(INDEX('Master data'!$B$2:$CL$1000,MATCH($B94,'Master data'!$A$2:$A$1000,0),MATCH(I$1,'Master data'!$B$1:$CL$1,0)),"")</f>
        <v>26826.867819839215</v>
      </c>
      <c r="J94" s="7">
        <f>IFERROR(INDEX('Master data'!$B$2:$CL$1000,MATCH($B94,'Master data'!$A$2:$A$1000,0),MATCH(J$1,'Master data'!$B$1:$CL$1,0)),"")</f>
        <v>13158.87358758353</v>
      </c>
      <c r="K94" s="7">
        <f>IFERROR(INDEX('Master data'!$B$2:$CL$1000,MATCH($B94,'Master data'!$A$2:$A$1000,0),MATCH(K$1,'Master data'!$B$1:$CL$1,0)),"")</f>
        <v>6494.6469543650037</v>
      </c>
      <c r="L94" s="7">
        <f>IFERROR(INDEX('Master data'!$B$2:$CL$1000,MATCH($B94,'Master data'!$A$2:$A$1000,0),MATCH(L$1,'Master data'!$B$1:$CL$1,0)),"")</f>
        <v>3276.4912046123154</v>
      </c>
      <c r="M94" s="5">
        <f>IFERROR(INDEX('Master data'!$B$2:$CL$1000,MATCH($B94,'Master data'!$A$2:$A$1000,0),MATCH(M$1,'Master data'!$B$1:$CL$1,0)),"")</f>
        <v>169557.06170687205</v>
      </c>
      <c r="N94" s="28">
        <f>IFERROR(INDEX('Master data'!$B$2:$CL$1000,MATCH($B94,'Master data'!$A$2:$A$1000,0),MATCH(N$1,'Master data'!$B$1:$CL$1,0)),"")</f>
        <v>5.0180733121650389E-2</v>
      </c>
      <c r="O94" s="7">
        <f>IFERROR(INDEX('Master data'!$B$2:$CL$1000,MATCH($B94,'Master data'!$A$2:$A$1000,0),MATCH(O$1,'Master data'!$B$1:$CL$1,0)),"")</f>
        <v>0</v>
      </c>
      <c r="P94" s="5">
        <f>IFERROR(INDEX('Master data'!$B$2:$CL$1000,MATCH($B94,'Master data'!$A$2:$A$1000,0),MATCH(P$1,'Master data'!$B$1:$CL$1,0)),"")</f>
        <v>4500000</v>
      </c>
      <c r="Q94" s="5">
        <f>IFERROR(INDEX('Master data'!$B$2:$CL$1000,MATCH($B94,'Master data'!$A$2:$A$1000,0),MATCH(Q$1,'Master data'!$B$1:$CL$1,0)),"")</f>
        <v>4500000</v>
      </c>
    </row>
    <row r="95" spans="1:17" hidden="1">
      <c r="A95">
        <f t="shared" si="1"/>
        <v>93</v>
      </c>
      <c r="B95" t="str">
        <f>IF('Master data'!A95="","",'Master data'!A95)</f>
        <v>Lorenzo Pellegrini</v>
      </c>
      <c r="C95" t="str">
        <f>IFERROR(INDEX('Master data'!$B$2:$CL$1000,MATCH($B95,'Master data'!$A$2:$A$1000,0),MATCH(C$1,'Master data'!$B$1:$CL$1,0)),"")</f>
        <v>Italy</v>
      </c>
      <c r="D95" t="str">
        <f>IFERROR(INDEX('Master data'!$B$2:$CL$1000,MATCH($B95,'Master data'!$A$2:$A$1000,0),MATCH(D$1,'Master data'!$B$1:$CL$1,0)),"")</f>
        <v>Midfield</v>
      </c>
      <c r="E95" s="5">
        <f>IFERROR(INDEX('Master data'!$B$2:$CL$1000,MATCH($B95,'Master data'!$A$2:$A$1000,0),MATCH(E$1,'Master data'!$B$1:$CL$1,0)),"")</f>
        <v>3500000</v>
      </c>
      <c r="F95" s="7">
        <f>IFERROR(INDEX('Master data'!$B$2:$CL$1000,MATCH($B95,'Master data'!$A$2:$A$1000,0),MATCH(F$1,'Master data'!$B$1:$CL$1,0)),"")</f>
        <v>-5000</v>
      </c>
      <c r="G95" s="7">
        <f>IFERROR(INDEX('Master data'!$B$2:$CL$1000,MATCH($B95,'Master data'!$A$2:$A$1000,0),MATCH(G$1,'Master data'!$B$1:$CL$1,0)),"")</f>
        <v>-5000</v>
      </c>
      <c r="H95" s="7">
        <f>IFERROR(INDEX('Master data'!$B$2:$CL$1000,MATCH($B95,'Master data'!$A$2:$A$1000,0),MATCH(H$1,'Master data'!$B$1:$CL$1,0)),"")</f>
        <v>-5000</v>
      </c>
      <c r="I95" s="7">
        <f>IFERROR(INDEX('Master data'!$B$2:$CL$1000,MATCH($B95,'Master data'!$A$2:$A$1000,0),MATCH(I$1,'Master data'!$B$1:$CL$1,0)),"")</f>
        <v>-38162.708519046078</v>
      </c>
      <c r="J95" s="7">
        <f>IFERROR(INDEX('Master data'!$B$2:$CL$1000,MATCH($B95,'Master data'!$A$2:$A$1000,0),MATCH(J$1,'Master data'!$B$1:$CL$1,0)),"")</f>
        <v>-19211.968319082654</v>
      </c>
      <c r="K95" s="7">
        <f>IFERROR(INDEX('Master data'!$B$2:$CL$1000,MATCH($B95,'Master data'!$A$2:$A$1000,0),MATCH(K$1,'Master data'!$B$1:$CL$1,0)),"")</f>
        <v>-9739.1976274611734</v>
      </c>
      <c r="L95" s="7">
        <f>IFERROR(INDEX('Master data'!$B$2:$CL$1000,MATCH($B95,'Master data'!$A$2:$A$1000,0),MATCH(L$1,'Master data'!$B$1:$CL$1,0)),"")</f>
        <v>-5050.5742856105662</v>
      </c>
      <c r="M95" s="5">
        <f>IFERROR(INDEX('Master data'!$B$2:$CL$1000,MATCH($B95,'Master data'!$A$2:$A$1000,0),MATCH(M$1,'Master data'!$B$1:$CL$1,0)),"")</f>
        <v>-27383.907002163516</v>
      </c>
      <c r="N95" s="28">
        <f>IFERROR(INDEX('Master data'!$B$2:$CL$1000,MATCH($B95,'Master data'!$A$2:$A$1000,0),MATCH(N$1,'Master data'!$B$1:$CL$1,0)),"")</f>
        <v>-4.2857142857142859E-3</v>
      </c>
      <c r="O95" s="7">
        <f>IFERROR(INDEX('Master data'!$B$2:$CL$1000,MATCH($B95,'Master data'!$A$2:$A$1000,0),MATCH(O$1,'Master data'!$B$1:$CL$1,0)),"")</f>
        <v>0</v>
      </c>
      <c r="P95" s="5">
        <f>IFERROR(INDEX('Master data'!$B$2:$CL$1000,MATCH($B95,'Master data'!$A$2:$A$1000,0),MATCH(P$1,'Master data'!$B$1:$CL$1,0)),"")</f>
        <v>3500000</v>
      </c>
      <c r="Q95" s="5">
        <f>IFERROR(INDEX('Master data'!$B$2:$CL$1000,MATCH($B95,'Master data'!$A$2:$A$1000,0),MATCH(Q$1,'Master data'!$B$1:$CL$1,0)),"")</f>
        <v>3500000</v>
      </c>
    </row>
    <row r="96" spans="1:17" hidden="1">
      <c r="A96">
        <f t="shared" si="1"/>
        <v>94</v>
      </c>
      <c r="B96" t="str">
        <f>IF('Master data'!A96="","",'Master data'!A96)</f>
        <v>Manuel Locatelli</v>
      </c>
      <c r="C96" t="str">
        <f>IFERROR(INDEX('Master data'!$B$2:$CL$1000,MATCH($B96,'Master data'!$A$2:$A$1000,0),MATCH(C$1,'Master data'!$B$1:$CL$1,0)),"")</f>
        <v>Italy</v>
      </c>
      <c r="D96" t="str">
        <f>IFERROR(INDEX('Master data'!$B$2:$CL$1000,MATCH($B96,'Master data'!$A$2:$A$1000,0),MATCH(D$1,'Master data'!$B$1:$CL$1,0)),"")</f>
        <v>Midfield</v>
      </c>
      <c r="E96" s="5">
        <f>IFERROR(INDEX('Master data'!$B$2:$CL$1000,MATCH($B96,'Master data'!$A$2:$A$1000,0),MATCH(E$1,'Master data'!$B$1:$CL$1,0)),"")</f>
        <v>3000000</v>
      </c>
      <c r="F96" s="7">
        <f>IFERROR(INDEX('Master data'!$B$2:$CL$1000,MATCH($B96,'Master data'!$A$2:$A$1000,0),MATCH(F$1,'Master data'!$B$1:$CL$1,0)),"")</f>
        <v>-5000</v>
      </c>
      <c r="G96" s="7">
        <f>IFERROR(INDEX('Master data'!$B$2:$CL$1000,MATCH($B96,'Master data'!$A$2:$A$1000,0),MATCH(G$1,'Master data'!$B$1:$CL$1,0)),"")</f>
        <v>-5000</v>
      </c>
      <c r="H96" s="7">
        <f>IFERROR(INDEX('Master data'!$B$2:$CL$1000,MATCH($B96,'Master data'!$A$2:$A$1000,0),MATCH(H$1,'Master data'!$B$1:$CL$1,0)),"")</f>
        <v>-5000</v>
      </c>
      <c r="I96" s="7">
        <f>IFERROR(INDEX('Master data'!$B$2:$CL$1000,MATCH($B96,'Master data'!$A$2:$A$1000,0),MATCH(I$1,'Master data'!$B$1:$CL$1,0)),"")</f>
        <v>-33374.413849153221</v>
      </c>
      <c r="J96" s="7">
        <f>IFERROR(INDEX('Master data'!$B$2:$CL$1000,MATCH($B96,'Master data'!$A$2:$A$1000,0),MATCH(J$1,'Master data'!$B$1:$CL$1,0)),"")</f>
        <v>-16798.404459901416</v>
      </c>
      <c r="K96" s="7">
        <f>IFERROR(INDEX('Master data'!$B$2:$CL$1000,MATCH($B96,'Master data'!$A$2:$A$1000,0),MATCH(K$1,'Master data'!$B$1:$CL$1,0)),"")</f>
        <v>-8514.1413221201456</v>
      </c>
      <c r="L96" s="7">
        <f>IFERROR(INDEX('Master data'!$B$2:$CL$1000,MATCH($B96,'Master data'!$A$2:$A$1000,0),MATCH(L$1,'Master data'!$B$1:$CL$1,0)),"")</f>
        <v>-4414.4818063145249</v>
      </c>
      <c r="M96" s="5">
        <f>IFERROR(INDEX('Master data'!$B$2:$CL$1000,MATCH($B96,'Master data'!$A$2:$A$1000,0),MATCH(M$1,'Master data'!$B$1:$CL$1,0)),"")</f>
        <v>-25271.231874033696</v>
      </c>
      <c r="N96" s="28">
        <f>IFERROR(INDEX('Master data'!$B$2:$CL$1000,MATCH($B96,'Master data'!$A$2:$A$1000,0),MATCH(N$1,'Master data'!$B$1:$CL$1,0)),"")</f>
        <v>-5.0000000000000001E-3</v>
      </c>
      <c r="O96" s="7">
        <f>IFERROR(INDEX('Master data'!$B$2:$CL$1000,MATCH($B96,'Master data'!$A$2:$A$1000,0),MATCH(O$1,'Master data'!$B$1:$CL$1,0)),"")</f>
        <v>0</v>
      </c>
      <c r="P96" s="5">
        <f>IFERROR(INDEX('Master data'!$B$2:$CL$1000,MATCH($B96,'Master data'!$A$2:$A$1000,0),MATCH(P$1,'Master data'!$B$1:$CL$1,0)),"")</f>
        <v>3000000</v>
      </c>
      <c r="Q96" s="5">
        <f>IFERROR(INDEX('Master data'!$B$2:$CL$1000,MATCH($B96,'Master data'!$A$2:$A$1000,0),MATCH(Q$1,'Master data'!$B$1:$CL$1,0)),"")</f>
        <v>3000000</v>
      </c>
    </row>
    <row r="97" spans="1:17" hidden="1">
      <c r="A97">
        <f t="shared" si="1"/>
        <v>95</v>
      </c>
      <c r="B97" t="str">
        <f>IF('Master data'!A97="","",'Master data'!A97)</f>
        <v>Toby Alderweireld</v>
      </c>
      <c r="C97" t="str">
        <f>IFERROR(INDEX('Master data'!$B$2:$CL$1000,MATCH($B97,'Master data'!$A$2:$A$1000,0),MATCH(C$1,'Master data'!$B$1:$CL$1,0)),"")</f>
        <v>Belgium</v>
      </c>
      <c r="D97" t="str">
        <f>IFERROR(INDEX('Master data'!$B$2:$CL$1000,MATCH($B97,'Master data'!$A$2:$A$1000,0),MATCH(D$1,'Master data'!$B$1:$CL$1,0)),"")</f>
        <v>Defense</v>
      </c>
      <c r="E97" s="5">
        <f>IFERROR(INDEX('Master data'!$B$2:$CL$1000,MATCH($B97,'Master data'!$A$2:$A$1000,0),MATCH(E$1,'Master data'!$B$1:$CL$1,0)),"")</f>
        <v>4500000</v>
      </c>
      <c r="F97" s="7">
        <f>IFERROR(INDEX('Master data'!$B$2:$CL$1000,MATCH($B97,'Master data'!$A$2:$A$1000,0),MATCH(F$1,'Master data'!$B$1:$CL$1,0)),"")</f>
        <v>57393.351024934142</v>
      </c>
      <c r="G97" s="7">
        <f>IFERROR(INDEX('Master data'!$B$2:$CL$1000,MATCH($B97,'Master data'!$A$2:$A$1000,0),MATCH(G$1,'Master data'!$B$1:$CL$1,0)),"")</f>
        <v>44797.16886207174</v>
      </c>
      <c r="H97" s="7">
        <f>IFERROR(INDEX('Master data'!$B$2:$CL$1000,MATCH($B97,'Master data'!$A$2:$A$1000,0),MATCH(H$1,'Master data'!$B$1:$CL$1,0)),"")</f>
        <v>82483.293398042821</v>
      </c>
      <c r="I97" s="7">
        <f>IFERROR(INDEX('Master data'!$B$2:$CL$1000,MATCH($B97,'Master data'!$A$2:$A$1000,0),MATCH(I$1,'Master data'!$B$1:$CL$1,0)),"")</f>
        <v>14088.311754093602</v>
      </c>
      <c r="J97" s="7">
        <f>IFERROR(INDEX('Master data'!$B$2:$CL$1000,MATCH($B97,'Master data'!$A$2:$A$1000,0),MATCH(J$1,'Master data'!$B$1:$CL$1,0)),"")</f>
        <v>6886.6275280182235</v>
      </c>
      <c r="K97" s="7">
        <f>IFERROR(INDEX('Master data'!$B$2:$CL$1000,MATCH($B97,'Master data'!$A$2:$A$1000,0),MATCH(K$1,'Master data'!$B$1:$CL$1,0)),"")</f>
        <v>3416.4548693408224</v>
      </c>
      <c r="L97" s="7">
        <f>IFERROR(INDEX('Master data'!$B$2:$CL$1000,MATCH($B97,'Master data'!$A$2:$A$1000,0),MATCH(L$1,'Master data'!$B$1:$CL$1,0)),"")</f>
        <v>1782.2174060242578</v>
      </c>
      <c r="M97" s="5">
        <f>IFERROR(INDEX('Master data'!$B$2:$CL$1000,MATCH($B97,'Master data'!$A$2:$A$1000,0),MATCH(M$1,'Master data'!$B$1:$CL$1,0)),"")</f>
        <v>130058.37491011088</v>
      </c>
      <c r="N97" s="28">
        <f>IFERROR(INDEX('Master data'!$B$2:$CL$1000,MATCH($B97,'Master data'!$A$2:$A$1000,0),MATCH(N$1,'Master data'!$B$1:$CL$1,0)),"")</f>
        <v>4.1038625174455265E-2</v>
      </c>
      <c r="O97" s="7">
        <f>IFERROR(INDEX('Master data'!$B$2:$CL$1000,MATCH($B97,'Master data'!$A$2:$A$1000,0),MATCH(O$1,'Master data'!$B$1:$CL$1,0)),"")</f>
        <v>0</v>
      </c>
      <c r="P97" s="5">
        <f>IFERROR(INDEX('Master data'!$B$2:$CL$1000,MATCH($B97,'Master data'!$A$2:$A$1000,0),MATCH(P$1,'Master data'!$B$1:$CL$1,0)),"")</f>
        <v>4500000</v>
      </c>
      <c r="Q97" s="5">
        <f>IFERROR(INDEX('Master data'!$B$2:$CL$1000,MATCH($B97,'Master data'!$A$2:$A$1000,0),MATCH(Q$1,'Master data'!$B$1:$CL$1,0)),"")</f>
        <v>4500000</v>
      </c>
    </row>
    <row r="98" spans="1:17" hidden="1">
      <c r="A98">
        <f t="shared" si="1"/>
        <v>96</v>
      </c>
      <c r="B98" t="str">
        <f>IF('Master data'!A98="","",'Master data'!A98)</f>
        <v>Hans Vanaken</v>
      </c>
      <c r="C98" t="str">
        <f>IFERROR(INDEX('Master data'!$B$2:$CL$1000,MATCH($B98,'Master data'!$A$2:$A$1000,0),MATCH(C$1,'Master data'!$B$1:$CL$1,0)),"")</f>
        <v>Belgium</v>
      </c>
      <c r="D98" t="str">
        <f>IFERROR(INDEX('Master data'!$B$2:$CL$1000,MATCH($B98,'Master data'!$A$2:$A$1000,0),MATCH(D$1,'Master data'!$B$1:$CL$1,0)),"")</f>
        <v>Midfield</v>
      </c>
      <c r="E98" s="5">
        <f>IFERROR(INDEX('Master data'!$B$2:$CL$1000,MATCH($B98,'Master data'!$A$2:$A$1000,0),MATCH(E$1,'Master data'!$B$1:$CL$1,0)),"")</f>
        <v>3500000</v>
      </c>
      <c r="F98" s="7">
        <f>IFERROR(INDEX('Master data'!$B$2:$CL$1000,MATCH($B98,'Master data'!$A$2:$A$1000,0),MATCH(F$1,'Master data'!$B$1:$CL$1,0)),"")</f>
        <v>-5000</v>
      </c>
      <c r="G98" s="7">
        <f>IFERROR(INDEX('Master data'!$B$2:$CL$1000,MATCH($B98,'Master data'!$A$2:$A$1000,0),MATCH(G$1,'Master data'!$B$1:$CL$1,0)),"")</f>
        <v>-5000</v>
      </c>
      <c r="H98" s="7">
        <f>IFERROR(INDEX('Master data'!$B$2:$CL$1000,MATCH($B98,'Master data'!$A$2:$A$1000,0),MATCH(H$1,'Master data'!$B$1:$CL$1,0)),"")</f>
        <v>-5000</v>
      </c>
      <c r="I98" s="7">
        <f>IFERROR(INDEX('Master data'!$B$2:$CL$1000,MATCH($B98,'Master data'!$A$2:$A$1000,0),MATCH(I$1,'Master data'!$B$1:$CL$1,0)),"")</f>
        <v>-38162.708519046078</v>
      </c>
      <c r="J98" s="7">
        <f>IFERROR(INDEX('Master data'!$B$2:$CL$1000,MATCH($B98,'Master data'!$A$2:$A$1000,0),MATCH(J$1,'Master data'!$B$1:$CL$1,0)),"")</f>
        <v>-19444.889315281354</v>
      </c>
      <c r="K98" s="7">
        <f>IFERROR(INDEX('Master data'!$B$2:$CL$1000,MATCH($B98,'Master data'!$A$2:$A$1000,0),MATCH(K$1,'Master data'!$B$1:$CL$1,0)),"")</f>
        <v>-10074.456177820339</v>
      </c>
      <c r="L98" s="7">
        <f>IFERROR(INDEX('Master data'!$B$2:$CL$1000,MATCH($B98,'Master data'!$A$2:$A$1000,0),MATCH(L$1,'Master data'!$B$1:$CL$1,0)),"")</f>
        <v>-5499.9605728745237</v>
      </c>
      <c r="M98" s="5">
        <f>IFERROR(INDEX('Master data'!$B$2:$CL$1000,MATCH($B98,'Master data'!$A$2:$A$1000,0),MATCH(M$1,'Master data'!$B$1:$CL$1,0)),"")</f>
        <v>-27513.51765603455</v>
      </c>
      <c r="N98" s="28">
        <f>IFERROR(INDEX('Master data'!$B$2:$CL$1000,MATCH($B98,'Master data'!$A$2:$A$1000,0),MATCH(N$1,'Master data'!$B$1:$CL$1,0)),"")</f>
        <v>-4.2857142857142859E-3</v>
      </c>
      <c r="O98" s="7">
        <f>IFERROR(INDEX('Master data'!$B$2:$CL$1000,MATCH($B98,'Master data'!$A$2:$A$1000,0),MATCH(O$1,'Master data'!$B$1:$CL$1,0)),"")</f>
        <v>0</v>
      </c>
      <c r="P98" s="5">
        <f>IFERROR(INDEX('Master data'!$B$2:$CL$1000,MATCH($B98,'Master data'!$A$2:$A$1000,0),MATCH(P$1,'Master data'!$B$1:$CL$1,0)),"")</f>
        <v>3500000</v>
      </c>
      <c r="Q98" s="5">
        <f>IFERROR(INDEX('Master data'!$B$2:$CL$1000,MATCH($B98,'Master data'!$A$2:$A$1000,0),MATCH(Q$1,'Master data'!$B$1:$CL$1,0)),"")</f>
        <v>3500000</v>
      </c>
    </row>
    <row r="99" spans="1:17" hidden="1">
      <c r="A99">
        <f t="shared" si="1"/>
        <v>97</v>
      </c>
      <c r="B99" t="str">
        <f>IF('Master data'!A99="","",'Master data'!A99)</f>
        <v>Nacer Chadli</v>
      </c>
      <c r="C99" t="str">
        <f>IFERROR(INDEX('Master data'!$B$2:$CL$1000,MATCH($B99,'Master data'!$A$2:$A$1000,0),MATCH(C$1,'Master data'!$B$1:$CL$1,0)),"")</f>
        <v>Belgium</v>
      </c>
      <c r="D99" t="str">
        <f>IFERROR(INDEX('Master data'!$B$2:$CL$1000,MATCH($B99,'Master data'!$A$2:$A$1000,0),MATCH(D$1,'Master data'!$B$1:$CL$1,0)),"")</f>
        <v>Midfield</v>
      </c>
      <c r="E99" s="5">
        <f>IFERROR(INDEX('Master data'!$B$2:$CL$1000,MATCH($B99,'Master data'!$A$2:$A$1000,0),MATCH(E$1,'Master data'!$B$1:$CL$1,0)),"")</f>
        <v>4000000</v>
      </c>
      <c r="F99" s="7">
        <f>IFERROR(INDEX('Master data'!$B$2:$CL$1000,MATCH($B99,'Master data'!$A$2:$A$1000,0),MATCH(F$1,'Master data'!$B$1:$CL$1,0)),"")</f>
        <v>-5000</v>
      </c>
      <c r="G99" s="7">
        <f>IFERROR(INDEX('Master data'!$B$2:$CL$1000,MATCH($B99,'Master data'!$A$2:$A$1000,0),MATCH(G$1,'Master data'!$B$1:$CL$1,0)),"")</f>
        <v>-5000</v>
      </c>
      <c r="H99" s="7">
        <f>IFERROR(INDEX('Master data'!$B$2:$CL$1000,MATCH($B99,'Master data'!$A$2:$A$1000,0),MATCH(H$1,'Master data'!$B$1:$CL$1,0)),"")</f>
        <v>-5000</v>
      </c>
      <c r="I99" s="7">
        <f>IFERROR(INDEX('Master data'!$B$2:$CL$1000,MATCH($B99,'Master data'!$A$2:$A$1000,0),MATCH(I$1,'Master data'!$B$1:$CL$1,0)),"")</f>
        <v>-42951.003188938936</v>
      </c>
      <c r="J99" s="7">
        <f>IFERROR(INDEX('Master data'!$B$2:$CL$1000,MATCH($B99,'Master data'!$A$2:$A$1000,0),MATCH(J$1,'Master data'!$B$1:$CL$1,0)),"")</f>
        <v>-21887.714606145848</v>
      </c>
      <c r="K99" s="7">
        <f>IFERROR(INDEX('Master data'!$B$2:$CL$1000,MATCH($B99,'Master data'!$A$2:$A$1000,0),MATCH(K$1,'Master data'!$B$1:$CL$1,0)),"")</f>
        <v>-11341.683369998998</v>
      </c>
      <c r="L99" s="7">
        <f>IFERROR(INDEX('Master data'!$B$2:$CL$1000,MATCH($B99,'Master data'!$A$2:$A$1000,0),MATCH(L$1,'Master data'!$B$1:$CL$1,0)),"")</f>
        <v>-6192.6508213473862</v>
      </c>
      <c r="M99" s="5">
        <f>IFERROR(INDEX('Master data'!$B$2:$CL$1000,MATCH($B99,'Master data'!$A$2:$A$1000,0),MATCH(M$1,'Master data'!$B$1:$CL$1,0)),"")</f>
        <v>-29642.494990647392</v>
      </c>
      <c r="N99" s="28">
        <f>IFERROR(INDEX('Master data'!$B$2:$CL$1000,MATCH($B99,'Master data'!$A$2:$A$1000,0),MATCH(N$1,'Master data'!$B$1:$CL$1,0)),"")</f>
        <v>-3.7499999999999999E-3</v>
      </c>
      <c r="O99" s="7">
        <f>IFERROR(INDEX('Master data'!$B$2:$CL$1000,MATCH($B99,'Master data'!$A$2:$A$1000,0),MATCH(O$1,'Master data'!$B$1:$CL$1,0)),"")</f>
        <v>0</v>
      </c>
      <c r="P99" s="5">
        <f>IFERROR(INDEX('Master data'!$B$2:$CL$1000,MATCH($B99,'Master data'!$A$2:$A$1000,0),MATCH(P$1,'Master data'!$B$1:$CL$1,0)),"")</f>
        <v>4000000</v>
      </c>
      <c r="Q99" s="5">
        <f>IFERROR(INDEX('Master data'!$B$2:$CL$1000,MATCH($B99,'Master data'!$A$2:$A$1000,0),MATCH(Q$1,'Master data'!$B$1:$CL$1,0)),"")</f>
        <v>4000000</v>
      </c>
    </row>
    <row r="100" spans="1:17" hidden="1">
      <c r="A100">
        <f t="shared" si="1"/>
        <v>98</v>
      </c>
      <c r="B100" t="str">
        <f>IF('Master data'!A100="","",'Master data'!A100)</f>
        <v>Dennis Praet</v>
      </c>
      <c r="C100" t="str">
        <f>IFERROR(INDEX('Master data'!$B$2:$CL$1000,MATCH($B100,'Master data'!$A$2:$A$1000,0),MATCH(C$1,'Master data'!$B$1:$CL$1,0)),"")</f>
        <v>Belgium</v>
      </c>
      <c r="D100" t="str">
        <f>IFERROR(INDEX('Master data'!$B$2:$CL$1000,MATCH($B100,'Master data'!$A$2:$A$1000,0),MATCH(D$1,'Master data'!$B$1:$CL$1,0)),"")</f>
        <v>Midfield</v>
      </c>
      <c r="E100" s="5">
        <f>IFERROR(INDEX('Master data'!$B$2:$CL$1000,MATCH($B100,'Master data'!$A$2:$A$1000,0),MATCH(E$1,'Master data'!$B$1:$CL$1,0)),"")</f>
        <v>3500000</v>
      </c>
      <c r="F100" s="7">
        <f>IFERROR(INDEX('Master data'!$B$2:$CL$1000,MATCH($B100,'Master data'!$A$2:$A$1000,0),MATCH(F$1,'Master data'!$B$1:$CL$1,0)),"")</f>
        <v>-5000</v>
      </c>
      <c r="G100" s="7">
        <f>IFERROR(INDEX('Master data'!$B$2:$CL$1000,MATCH($B100,'Master data'!$A$2:$A$1000,0),MATCH(G$1,'Master data'!$B$1:$CL$1,0)),"")</f>
        <v>-5000</v>
      </c>
      <c r="H100" s="7">
        <f>IFERROR(INDEX('Master data'!$B$2:$CL$1000,MATCH($B100,'Master data'!$A$2:$A$1000,0),MATCH(H$1,'Master data'!$B$1:$CL$1,0)),"")</f>
        <v>-5000</v>
      </c>
      <c r="I100" s="7">
        <f>IFERROR(INDEX('Master data'!$B$2:$CL$1000,MATCH($B100,'Master data'!$A$2:$A$1000,0),MATCH(I$1,'Master data'!$B$1:$CL$1,0)),"")</f>
        <v>-38162.708519046078</v>
      </c>
      <c r="J100" s="7">
        <f>IFERROR(INDEX('Master data'!$B$2:$CL$1000,MATCH($B100,'Master data'!$A$2:$A$1000,0),MATCH(J$1,'Master data'!$B$1:$CL$1,0)),"")</f>
        <v>-19444.889315281354</v>
      </c>
      <c r="K100" s="7">
        <f>IFERROR(INDEX('Master data'!$B$2:$CL$1000,MATCH($B100,'Master data'!$A$2:$A$1000,0),MATCH(K$1,'Master data'!$B$1:$CL$1,0)),"")</f>
        <v>-10074.456177820339</v>
      </c>
      <c r="L100" s="7">
        <f>IFERROR(INDEX('Master data'!$B$2:$CL$1000,MATCH($B100,'Master data'!$A$2:$A$1000,0),MATCH(L$1,'Master data'!$B$1:$CL$1,0)),"")</f>
        <v>-5499.9605728745237</v>
      </c>
      <c r="M100" s="5">
        <f>IFERROR(INDEX('Master data'!$B$2:$CL$1000,MATCH($B100,'Master data'!$A$2:$A$1000,0),MATCH(M$1,'Master data'!$B$1:$CL$1,0)),"")</f>
        <v>-27513.51765603455</v>
      </c>
      <c r="N100" s="28">
        <f>IFERROR(INDEX('Master data'!$B$2:$CL$1000,MATCH($B100,'Master data'!$A$2:$A$1000,0),MATCH(N$1,'Master data'!$B$1:$CL$1,0)),"")</f>
        <v>-4.2857142857142859E-3</v>
      </c>
      <c r="O100" s="7">
        <f>IFERROR(INDEX('Master data'!$B$2:$CL$1000,MATCH($B100,'Master data'!$A$2:$A$1000,0),MATCH(O$1,'Master data'!$B$1:$CL$1,0)),"")</f>
        <v>0</v>
      </c>
      <c r="P100" s="5">
        <f>IFERROR(INDEX('Master data'!$B$2:$CL$1000,MATCH($B100,'Master data'!$A$2:$A$1000,0),MATCH(P$1,'Master data'!$B$1:$CL$1,0)),"")</f>
        <v>3500000</v>
      </c>
      <c r="Q100" s="5">
        <f>IFERROR(INDEX('Master data'!$B$2:$CL$1000,MATCH($B100,'Master data'!$A$2:$A$1000,0),MATCH(Q$1,'Master data'!$B$1:$CL$1,0)),"")</f>
        <v>3500000</v>
      </c>
    </row>
    <row r="101" spans="1:17" hidden="1">
      <c r="A101">
        <f t="shared" si="1"/>
        <v>99</v>
      </c>
      <c r="B101" t="str">
        <f>IF('Master data'!A101="","",'Master data'!A101)</f>
        <v>Leander Dendoncker</v>
      </c>
      <c r="C101" t="str">
        <f>IFERROR(INDEX('Master data'!$B$2:$CL$1000,MATCH($B101,'Master data'!$A$2:$A$1000,0),MATCH(C$1,'Master data'!$B$1:$CL$1,0)),"")</f>
        <v>Belgium</v>
      </c>
      <c r="D101" t="str">
        <f>IFERROR(INDEX('Master data'!$B$2:$CL$1000,MATCH($B101,'Master data'!$A$2:$A$1000,0),MATCH(D$1,'Master data'!$B$1:$CL$1,0)),"")</f>
        <v>Midfield</v>
      </c>
      <c r="E101" s="5">
        <f>IFERROR(INDEX('Master data'!$B$2:$CL$1000,MATCH($B101,'Master data'!$A$2:$A$1000,0),MATCH(E$1,'Master data'!$B$1:$CL$1,0)),"")</f>
        <v>3500000</v>
      </c>
      <c r="F101" s="7">
        <f>IFERROR(INDEX('Master data'!$B$2:$CL$1000,MATCH($B101,'Master data'!$A$2:$A$1000,0),MATCH(F$1,'Master data'!$B$1:$CL$1,0)),"")</f>
        <v>41709.549638862547</v>
      </c>
      <c r="G101" s="7">
        <f>IFERROR(INDEX('Master data'!$B$2:$CL$1000,MATCH($B101,'Master data'!$A$2:$A$1000,0),MATCH(G$1,'Master data'!$B$1:$CL$1,0)),"")</f>
        <v>34807.986720085071</v>
      </c>
      <c r="H101" s="7">
        <f>IFERROR(INDEX('Master data'!$B$2:$CL$1000,MATCH($B101,'Master data'!$A$2:$A$1000,0),MATCH(H$1,'Master data'!$B$1:$CL$1,0)),"")</f>
        <v>64728.373567043149</v>
      </c>
      <c r="I101" s="7">
        <f>IFERROR(INDEX('Master data'!$B$2:$CL$1000,MATCH($B101,'Master data'!$A$2:$A$1000,0),MATCH(I$1,'Master data'!$B$1:$CL$1,0)),"")</f>
        <v>10217.752411650301</v>
      </c>
      <c r="J101" s="7">
        <f>IFERROR(INDEX('Master data'!$B$2:$CL$1000,MATCH($B101,'Master data'!$A$2:$A$1000,0),MATCH(J$1,'Master data'!$B$1:$CL$1,0)),"")</f>
        <v>4982.7241478447613</v>
      </c>
      <c r="K101" s="7">
        <f>IFERROR(INDEX('Master data'!$B$2:$CL$1000,MATCH($B101,'Master data'!$A$2:$A$1000,0),MATCH(K$1,'Master data'!$B$1:$CL$1,0)),"")</f>
        <v>2465.4846514241472</v>
      </c>
      <c r="L101" s="7">
        <f>IFERROR(INDEX('Master data'!$B$2:$CL$1000,MATCH($B101,'Master data'!$A$2:$A$1000,0),MATCH(L$1,'Master data'!$B$1:$CL$1,0)),"")</f>
        <v>1282.4538990809945</v>
      </c>
      <c r="M101" s="5">
        <f>IFERROR(INDEX('Master data'!$B$2:$CL$1000,MATCH($B101,'Master data'!$A$2:$A$1000,0),MATCH(M$1,'Master data'!$B$1:$CL$1,0)),"")</f>
        <v>98132.025572974118</v>
      </c>
      <c r="N101" s="28">
        <f>IFERROR(INDEX('Master data'!$B$2:$CL$1000,MATCH($B101,'Master data'!$A$2:$A$1000,0),MATCH(N$1,'Master data'!$B$1:$CL$1,0)),"")</f>
        <v>4.0355974264568793E-2</v>
      </c>
      <c r="O101" s="7">
        <f>IFERROR(INDEX('Master data'!$B$2:$CL$1000,MATCH($B101,'Master data'!$A$2:$A$1000,0),MATCH(O$1,'Master data'!$B$1:$CL$1,0)),"")</f>
        <v>0</v>
      </c>
      <c r="P101" s="5">
        <f>IFERROR(INDEX('Master data'!$B$2:$CL$1000,MATCH($B101,'Master data'!$A$2:$A$1000,0),MATCH(P$1,'Master data'!$B$1:$CL$1,0)),"")</f>
        <v>3500000</v>
      </c>
      <c r="Q101" s="5">
        <f>IFERROR(INDEX('Master data'!$B$2:$CL$1000,MATCH($B101,'Master data'!$A$2:$A$1000,0),MATCH(Q$1,'Master data'!$B$1:$CL$1,0)),"")</f>
        <v>3500000</v>
      </c>
    </row>
    <row r="102" spans="1:17" hidden="1">
      <c r="A102">
        <f t="shared" si="1"/>
        <v>100</v>
      </c>
      <c r="B102" t="str">
        <f>IF('Master data'!A102="","",'Master data'!A102)</f>
        <v>Leandro Trossard</v>
      </c>
      <c r="C102" t="str">
        <f>IFERROR(INDEX('Master data'!$B$2:$CL$1000,MATCH($B102,'Master data'!$A$2:$A$1000,0),MATCH(C$1,'Master data'!$B$1:$CL$1,0)),"")</f>
        <v>Belgium</v>
      </c>
      <c r="D102" t="str">
        <f>IFERROR(INDEX('Master data'!$B$2:$CL$1000,MATCH($B102,'Master data'!$A$2:$A$1000,0),MATCH(D$1,'Master data'!$B$1:$CL$1,0)),"")</f>
        <v>Striker</v>
      </c>
      <c r="E102" s="5">
        <f>IFERROR(INDEX('Master data'!$B$2:$CL$1000,MATCH($B102,'Master data'!$A$2:$A$1000,0),MATCH(E$1,'Master data'!$B$1:$CL$1,0)),"")</f>
        <v>4500000</v>
      </c>
      <c r="F102" s="7">
        <f>IFERROR(INDEX('Master data'!$B$2:$CL$1000,MATCH($B102,'Master data'!$A$2:$A$1000,0),MATCH(F$1,'Master data'!$B$1:$CL$1,0)),"")</f>
        <v>-5000</v>
      </c>
      <c r="G102" s="7">
        <f>IFERROR(INDEX('Master data'!$B$2:$CL$1000,MATCH($B102,'Master data'!$A$2:$A$1000,0),MATCH(G$1,'Master data'!$B$1:$CL$1,0)),"")</f>
        <v>-5000</v>
      </c>
      <c r="H102" s="7">
        <f>IFERROR(INDEX('Master data'!$B$2:$CL$1000,MATCH($B102,'Master data'!$A$2:$A$1000,0),MATCH(H$1,'Master data'!$B$1:$CL$1,0)),"")</f>
        <v>-5000</v>
      </c>
      <c r="I102" s="7">
        <f>IFERROR(INDEX('Master data'!$B$2:$CL$1000,MATCH($B102,'Master data'!$A$2:$A$1000,0),MATCH(I$1,'Master data'!$B$1:$CL$1,0)),"")</f>
        <v>-47739.297858831793</v>
      </c>
      <c r="J102" s="7">
        <f>IFERROR(INDEX('Master data'!$B$2:$CL$1000,MATCH($B102,'Master data'!$A$2:$A$1000,0),MATCH(J$1,'Master data'!$B$1:$CL$1,0)),"")</f>
        <v>-24330.539897010338</v>
      </c>
      <c r="K102" s="7">
        <f>IFERROR(INDEX('Master data'!$B$2:$CL$1000,MATCH($B102,'Master data'!$A$2:$A$1000,0),MATCH(K$1,'Master data'!$B$1:$CL$1,0)),"")</f>
        <v>-12608.910562177658</v>
      </c>
      <c r="L102" s="7">
        <f>IFERROR(INDEX('Master data'!$B$2:$CL$1000,MATCH($B102,'Master data'!$A$2:$A$1000,0),MATCH(L$1,'Master data'!$B$1:$CL$1,0)),"")</f>
        <v>-6885.3410698202479</v>
      </c>
      <c r="M102" s="5">
        <f>IFERROR(INDEX('Master data'!$B$2:$CL$1000,MATCH($B102,'Master data'!$A$2:$A$1000,0),MATCH(M$1,'Master data'!$B$1:$CL$1,0)),"")</f>
        <v>-31771.472325260227</v>
      </c>
      <c r="N102" s="28">
        <f>IFERROR(INDEX('Master data'!$B$2:$CL$1000,MATCH($B102,'Master data'!$A$2:$A$1000,0),MATCH(N$1,'Master data'!$B$1:$CL$1,0)),"")</f>
        <v>-3.3333333333333335E-3</v>
      </c>
      <c r="O102" s="7">
        <f>IFERROR(INDEX('Master data'!$B$2:$CL$1000,MATCH($B102,'Master data'!$A$2:$A$1000,0),MATCH(O$1,'Master data'!$B$1:$CL$1,0)),"")</f>
        <v>0</v>
      </c>
      <c r="P102" s="5">
        <f>IFERROR(INDEX('Master data'!$B$2:$CL$1000,MATCH($B102,'Master data'!$A$2:$A$1000,0),MATCH(P$1,'Master data'!$B$1:$CL$1,0)),"")</f>
        <v>4500000</v>
      </c>
      <c r="Q102" s="5">
        <f>IFERROR(INDEX('Master data'!$B$2:$CL$1000,MATCH($B102,'Master data'!$A$2:$A$1000,0),MATCH(Q$1,'Master data'!$B$1:$CL$1,0)),"")</f>
        <v>4500000</v>
      </c>
    </row>
    <row r="103" spans="1:17" hidden="1">
      <c r="A103">
        <f t="shared" si="1"/>
        <v>101</v>
      </c>
      <c r="B103" t="str">
        <f>IF('Master data'!A103="","",'Master data'!A103)</f>
        <v>Patrick van Aanholt</v>
      </c>
      <c r="C103" t="str">
        <f>IFERROR(INDEX('Master data'!$B$2:$CL$1000,MATCH($B103,'Master data'!$A$2:$A$1000,0),MATCH(C$1,'Master data'!$B$1:$CL$1,0)),"")</f>
        <v>Netherlands</v>
      </c>
      <c r="D103" t="str">
        <f>IFERROR(INDEX('Master data'!$B$2:$CL$1000,MATCH($B103,'Master data'!$A$2:$A$1000,0),MATCH(D$1,'Master data'!$B$1:$CL$1,0)),"")</f>
        <v>Defense</v>
      </c>
      <c r="E103" s="5">
        <f>IFERROR(INDEX('Master data'!$B$2:$CL$1000,MATCH($B103,'Master data'!$A$2:$A$1000,0),MATCH(E$1,'Master data'!$B$1:$CL$1,0)),"")</f>
        <v>3000000</v>
      </c>
      <c r="F103" s="7">
        <f>IFERROR(INDEX('Master data'!$B$2:$CL$1000,MATCH($B103,'Master data'!$A$2:$A$1000,0),MATCH(F$1,'Master data'!$B$1:$CL$1,0)),"")</f>
        <v>18376.623376623374</v>
      </c>
      <c r="G103" s="7">
        <f>IFERROR(INDEX('Master data'!$B$2:$CL$1000,MATCH($B103,'Master data'!$A$2:$A$1000,0),MATCH(G$1,'Master data'!$B$1:$CL$1,0)),"")</f>
        <v>17516.17394848109</v>
      </c>
      <c r="H103" s="7">
        <f>IFERROR(INDEX('Master data'!$B$2:$CL$1000,MATCH($B103,'Master data'!$A$2:$A$1000,0),MATCH(H$1,'Master data'!$B$1:$CL$1,0)),"")</f>
        <v>25599.852865375004</v>
      </c>
      <c r="I103" s="7">
        <f>IFERROR(INDEX('Master data'!$B$2:$CL$1000,MATCH($B103,'Master data'!$A$2:$A$1000,0),MATCH(I$1,'Master data'!$B$1:$CL$1,0)),"")</f>
        <v>-9781.2720864279636</v>
      </c>
      <c r="J103" s="7">
        <f>IFERROR(INDEX('Master data'!$B$2:$CL$1000,MATCH($B103,'Master data'!$A$2:$A$1000,0),MATCH(J$1,'Master data'!$B$1:$CL$1,0)),"")</f>
        <v>-4987.3858648394589</v>
      </c>
      <c r="K103" s="7">
        <f>IFERROR(INDEX('Master data'!$B$2:$CL$1000,MATCH($B103,'Master data'!$A$2:$A$1000,0),MATCH(K$1,'Master data'!$B$1:$CL$1,0)),"")</f>
        <v>-2540.9717026684334</v>
      </c>
      <c r="L103" s="7">
        <f>IFERROR(INDEX('Master data'!$B$2:$CL$1000,MATCH($B103,'Master data'!$A$2:$A$1000,0),MATCH(L$1,'Master data'!$B$1:$CL$1,0)),"")</f>
        <v>-1292.2791049822983</v>
      </c>
      <c r="M103" s="5">
        <f>IFERROR(INDEX('Master data'!$B$2:$CL$1000,MATCH($B103,'Master data'!$A$2:$A$1000,0),MATCH(M$1,'Master data'!$B$1:$CL$1,0)),"")</f>
        <v>37100.403055584902</v>
      </c>
      <c r="N103" s="28">
        <f>IFERROR(INDEX('Master data'!$B$2:$CL$1000,MATCH($B103,'Master data'!$A$2:$A$1000,0),MATCH(N$1,'Master data'!$B$1:$CL$1,0)),"")</f>
        <v>2.0497550063493158E-2</v>
      </c>
      <c r="O103" s="7">
        <f>IFERROR(INDEX('Master data'!$B$2:$CL$1000,MATCH($B103,'Master data'!$A$2:$A$1000,0),MATCH(O$1,'Master data'!$B$1:$CL$1,0)),"")</f>
        <v>0</v>
      </c>
      <c r="P103" s="5">
        <f>IFERROR(INDEX('Master data'!$B$2:$CL$1000,MATCH($B103,'Master data'!$A$2:$A$1000,0),MATCH(P$1,'Master data'!$B$1:$CL$1,0)),"")</f>
        <v>3000000</v>
      </c>
      <c r="Q103" s="5">
        <f>IFERROR(INDEX('Master data'!$B$2:$CL$1000,MATCH($B103,'Master data'!$A$2:$A$1000,0),MATCH(Q$1,'Master data'!$B$1:$CL$1,0)),"")</f>
        <v>3000000</v>
      </c>
    </row>
    <row r="104" spans="1:17" hidden="1">
      <c r="A104">
        <f t="shared" si="1"/>
        <v>102</v>
      </c>
      <c r="B104" t="str">
        <f>IF('Master data'!A104="","",'Master data'!A104)</f>
        <v>Marten de Roon</v>
      </c>
      <c r="C104" t="str">
        <f>IFERROR(INDEX('Master data'!$B$2:$CL$1000,MATCH($B104,'Master data'!$A$2:$A$1000,0),MATCH(C$1,'Master data'!$B$1:$CL$1,0)),"")</f>
        <v>Netherlands</v>
      </c>
      <c r="D104" t="str">
        <f>IFERROR(INDEX('Master data'!$B$2:$CL$1000,MATCH($B104,'Master data'!$A$2:$A$1000,0),MATCH(D$1,'Master data'!$B$1:$CL$1,0)),"")</f>
        <v>Midfield</v>
      </c>
      <c r="E104" s="5">
        <f>IFERROR(INDEX('Master data'!$B$2:$CL$1000,MATCH($B104,'Master data'!$A$2:$A$1000,0),MATCH(E$1,'Master data'!$B$1:$CL$1,0)),"")</f>
        <v>3500000</v>
      </c>
      <c r="F104" s="7">
        <f>IFERROR(INDEX('Master data'!$B$2:$CL$1000,MATCH($B104,'Master data'!$A$2:$A$1000,0),MATCH(F$1,'Master data'!$B$1:$CL$1,0)),"")</f>
        <v>35469.01455080232</v>
      </c>
      <c r="G104" s="7">
        <f>IFERROR(INDEX('Master data'!$B$2:$CL$1000,MATCH($B104,'Master data'!$A$2:$A$1000,0),MATCH(G$1,'Master data'!$B$1:$CL$1,0)),"")</f>
        <v>41916.727181392584</v>
      </c>
      <c r="H104" s="7">
        <f>IFERROR(INDEX('Master data'!$B$2:$CL$1000,MATCH($B104,'Master data'!$A$2:$A$1000,0),MATCH(H$1,'Master data'!$B$1:$CL$1,0)),"")</f>
        <v>60594.538860397115</v>
      </c>
      <c r="I104" s="7">
        <f>IFERROR(INDEX('Master data'!$B$2:$CL$1000,MATCH($B104,'Master data'!$A$2:$A$1000,0),MATCH(I$1,'Master data'!$B$1:$CL$1,0)),"")</f>
        <v>9294.254614622716</v>
      </c>
      <c r="J104" s="7">
        <f>IFERROR(INDEX('Master data'!$B$2:$CL$1000,MATCH($B104,'Master data'!$A$2:$A$1000,0),MATCH(J$1,'Master data'!$B$1:$CL$1,0)),"")</f>
        <v>4422.7307243062214</v>
      </c>
      <c r="K104" s="7">
        <f>IFERROR(INDEX('Master data'!$B$2:$CL$1000,MATCH($B104,'Master data'!$A$2:$A$1000,0),MATCH(K$1,'Master data'!$B$1:$CL$1,0)),"")</f>
        <v>2098.4040721939373</v>
      </c>
      <c r="L104" s="7">
        <f>IFERROR(INDEX('Master data'!$B$2:$CL$1000,MATCH($B104,'Master data'!$A$2:$A$1000,0),MATCH(L$1,'Master data'!$B$1:$CL$1,0)),"")</f>
        <v>991.43634108520087</v>
      </c>
      <c r="M104" s="5">
        <f>IFERROR(INDEX('Master data'!$B$2:$CL$1000,MATCH($B104,'Master data'!$A$2:$A$1000,0),MATCH(M$1,'Master data'!$B$1:$CL$1,0)),"")</f>
        <v>94335.257265128967</v>
      </c>
      <c r="N104" s="28">
        <f>IFERROR(INDEX('Master data'!$B$2:$CL$1000,MATCH($B104,'Master data'!$A$2:$A$1000,0),MATCH(N$1,'Master data'!$B$1:$CL$1,0)),"")</f>
        <v>3.942293731216915E-2</v>
      </c>
      <c r="O104" s="7">
        <f>IFERROR(INDEX('Master data'!$B$2:$CL$1000,MATCH($B104,'Master data'!$A$2:$A$1000,0),MATCH(O$1,'Master data'!$B$1:$CL$1,0)),"")</f>
        <v>0</v>
      </c>
      <c r="P104" s="5">
        <f>IFERROR(INDEX('Master data'!$B$2:$CL$1000,MATCH($B104,'Master data'!$A$2:$A$1000,0),MATCH(P$1,'Master data'!$B$1:$CL$1,0)),"")</f>
        <v>3500000</v>
      </c>
      <c r="Q104" s="5">
        <f>IFERROR(INDEX('Master data'!$B$2:$CL$1000,MATCH($B104,'Master data'!$A$2:$A$1000,0),MATCH(Q$1,'Master data'!$B$1:$CL$1,0)),"")</f>
        <v>3500000</v>
      </c>
    </row>
    <row r="105" spans="1:17" hidden="1">
      <c r="A105">
        <f t="shared" si="1"/>
        <v>103</v>
      </c>
      <c r="B105" t="str">
        <f>IF('Master data'!A105="","",'Master data'!A105)</f>
        <v>Steven Berghuis</v>
      </c>
      <c r="C105" t="str">
        <f>IFERROR(INDEX('Master data'!$B$2:$CL$1000,MATCH($B105,'Master data'!$A$2:$A$1000,0),MATCH(C$1,'Master data'!$B$1:$CL$1,0)),"")</f>
        <v>Netherlands</v>
      </c>
      <c r="D105" t="str">
        <f>IFERROR(INDEX('Master data'!$B$2:$CL$1000,MATCH($B105,'Master data'!$A$2:$A$1000,0),MATCH(D$1,'Master data'!$B$1:$CL$1,0)),"")</f>
        <v>Striker</v>
      </c>
      <c r="E105" s="5">
        <f>IFERROR(INDEX('Master data'!$B$2:$CL$1000,MATCH($B105,'Master data'!$A$2:$A$1000,0),MATCH(E$1,'Master data'!$B$1:$CL$1,0)),"")</f>
        <v>4500000</v>
      </c>
      <c r="F105" s="7">
        <f>IFERROR(INDEX('Master data'!$B$2:$CL$1000,MATCH($B105,'Master data'!$A$2:$A$1000,0),MATCH(F$1,'Master data'!$B$1:$CL$1,0)),"")</f>
        <v>71217.274518339706</v>
      </c>
      <c r="G105" s="7">
        <f>IFERROR(INDEX('Master data'!$B$2:$CL$1000,MATCH($B105,'Master data'!$A$2:$A$1000,0),MATCH(G$1,'Master data'!$B$1:$CL$1,0)),"")</f>
        <v>82169.180288710108</v>
      </c>
      <c r="H105" s="7">
        <f>IFERROR(INDEX('Master data'!$B$2:$CL$1000,MATCH($B105,'Master data'!$A$2:$A$1000,0),MATCH(H$1,'Master data'!$B$1:$CL$1,0)),"")</f>
        <v>109332.99968377413</v>
      </c>
      <c r="I105" s="7">
        <f>IFERROR(INDEX('Master data'!$B$2:$CL$1000,MATCH($B105,'Master data'!$A$2:$A$1000,0),MATCH(I$1,'Master data'!$B$1:$CL$1,0)),"")</f>
        <v>38618.932099546852</v>
      </c>
      <c r="J105" s="7">
        <f>IFERROR(INDEX('Master data'!$B$2:$CL$1000,MATCH($B105,'Master data'!$A$2:$A$1000,0),MATCH(J$1,'Master data'!$B$1:$CL$1,0)),"")</f>
        <v>18877.315095584752</v>
      </c>
      <c r="K105" s="7">
        <f>IFERROR(INDEX('Master data'!$B$2:$CL$1000,MATCH($B105,'Master data'!$A$2:$A$1000,0),MATCH(K$1,'Master data'!$B$1:$CL$1,0)),"")</f>
        <v>9218.9711785690579</v>
      </c>
      <c r="L105" s="7">
        <f>IFERROR(INDEX('Master data'!$B$2:$CL$1000,MATCH($B105,'Master data'!$A$2:$A$1000,0),MATCH(L$1,'Master data'!$B$1:$CL$1,0)),"")</f>
        <v>4493.5609021398359</v>
      </c>
      <c r="M105" s="5">
        <f>IFERROR(INDEX('Master data'!$B$2:$CL$1000,MATCH($B105,'Master data'!$A$2:$A$1000,0),MATCH(M$1,'Master data'!$B$1:$CL$1,0)),"")</f>
        <v>191369.18858692929</v>
      </c>
      <c r="N105" s="28">
        <f>IFERROR(INDEX('Master data'!$B$2:$CL$1000,MATCH($B105,'Master data'!$A$2:$A$1000,0),MATCH(N$1,'Master data'!$B$1:$CL$1,0)),"")</f>
        <v>5.838210099796088E-2</v>
      </c>
      <c r="O105" s="7">
        <f>IFERROR(INDEX('Master data'!$B$2:$CL$1000,MATCH($B105,'Master data'!$A$2:$A$1000,0),MATCH(O$1,'Master data'!$B$1:$CL$1,0)),"")</f>
        <v>0</v>
      </c>
      <c r="P105" s="5">
        <f>IFERROR(INDEX('Master data'!$B$2:$CL$1000,MATCH($B105,'Master data'!$A$2:$A$1000,0),MATCH(P$1,'Master data'!$B$1:$CL$1,0)),"")</f>
        <v>4500000</v>
      </c>
      <c r="Q105" s="5">
        <f>IFERROR(INDEX('Master data'!$B$2:$CL$1000,MATCH($B105,'Master data'!$A$2:$A$1000,0),MATCH(Q$1,'Master data'!$B$1:$CL$1,0)),"")</f>
        <v>4500000</v>
      </c>
    </row>
    <row r="106" spans="1:17" hidden="1">
      <c r="A106">
        <f t="shared" si="1"/>
        <v>104</v>
      </c>
      <c r="B106" t="str">
        <f>IF('Master data'!A106="","",'Master data'!A106)</f>
        <v>Davy Klaassen</v>
      </c>
      <c r="C106" t="str">
        <f>IFERROR(INDEX('Master data'!$B$2:$CL$1000,MATCH($B106,'Master data'!$A$2:$A$1000,0),MATCH(C$1,'Master data'!$B$1:$CL$1,0)),"")</f>
        <v>Netherlands</v>
      </c>
      <c r="D106" t="str">
        <f>IFERROR(INDEX('Master data'!$B$2:$CL$1000,MATCH($B106,'Master data'!$A$2:$A$1000,0),MATCH(D$1,'Master data'!$B$1:$CL$1,0)),"")</f>
        <v>Midfield</v>
      </c>
      <c r="E106" s="5">
        <f>IFERROR(INDEX('Master data'!$B$2:$CL$1000,MATCH($B106,'Master data'!$A$2:$A$1000,0),MATCH(E$1,'Master data'!$B$1:$CL$1,0)),"")</f>
        <v>4000000</v>
      </c>
      <c r="F106" s="7">
        <f>IFERROR(INDEX('Master data'!$B$2:$CL$1000,MATCH($B106,'Master data'!$A$2:$A$1000,0),MATCH(F$1,'Master data'!$B$1:$CL$1,0)),"")</f>
        <v>-5000</v>
      </c>
      <c r="G106" s="7">
        <f>IFERROR(INDEX('Master data'!$B$2:$CL$1000,MATCH($B106,'Master data'!$A$2:$A$1000,0),MATCH(G$1,'Master data'!$B$1:$CL$1,0)),"")</f>
        <v>-5000</v>
      </c>
      <c r="H106" s="7">
        <f>IFERROR(INDEX('Master data'!$B$2:$CL$1000,MATCH($B106,'Master data'!$A$2:$A$1000,0),MATCH(H$1,'Master data'!$B$1:$CL$1,0)),"")</f>
        <v>-5000</v>
      </c>
      <c r="I106" s="7">
        <f>IFERROR(INDEX('Master data'!$B$2:$CL$1000,MATCH($B106,'Master data'!$A$2:$A$1000,0),MATCH(I$1,'Master data'!$B$1:$CL$1,0)),"")</f>
        <v>-43360.060362166922</v>
      </c>
      <c r="J106" s="7">
        <f>IFERROR(INDEX('Master data'!$B$2:$CL$1000,MATCH($B106,'Master data'!$A$2:$A$1000,0),MATCH(J$1,'Master data'!$B$1:$CL$1,0)),"")</f>
        <v>-21645.734234231637</v>
      </c>
      <c r="K106" s="7">
        <f>IFERROR(INDEX('Master data'!$B$2:$CL$1000,MATCH($B106,'Master data'!$A$2:$A$1000,0),MATCH(K$1,'Master data'!$B$1:$CL$1,0)),"")</f>
        <v>-10801.267876004487</v>
      </c>
      <c r="L106" s="7">
        <f>IFERROR(INDEX('Master data'!$B$2:$CL$1000,MATCH($B106,'Master data'!$A$2:$A$1000,0),MATCH(L$1,'Master data'!$B$1:$CL$1,0)),"")</f>
        <v>-5382.3374455553312</v>
      </c>
      <c r="M106" s="5">
        <f>IFERROR(INDEX('Master data'!$B$2:$CL$1000,MATCH($B106,'Master data'!$A$2:$A$1000,0),MATCH(M$1,'Master data'!$B$1:$CL$1,0)),"")</f>
        <v>-29573.594074855118</v>
      </c>
      <c r="N106" s="28">
        <f>IFERROR(INDEX('Master data'!$B$2:$CL$1000,MATCH($B106,'Master data'!$A$2:$A$1000,0),MATCH(N$1,'Master data'!$B$1:$CL$1,0)),"")</f>
        <v>-3.7499999999999999E-3</v>
      </c>
      <c r="O106" s="7">
        <f>IFERROR(INDEX('Master data'!$B$2:$CL$1000,MATCH($B106,'Master data'!$A$2:$A$1000,0),MATCH(O$1,'Master data'!$B$1:$CL$1,0)),"")</f>
        <v>0</v>
      </c>
      <c r="P106" s="5">
        <f>IFERROR(INDEX('Master data'!$B$2:$CL$1000,MATCH($B106,'Master data'!$A$2:$A$1000,0),MATCH(P$1,'Master data'!$B$1:$CL$1,0)),"")</f>
        <v>4000000</v>
      </c>
      <c r="Q106" s="5">
        <f>IFERROR(INDEX('Master data'!$B$2:$CL$1000,MATCH($B106,'Master data'!$A$2:$A$1000,0),MATCH(Q$1,'Master data'!$B$1:$CL$1,0)),"")</f>
        <v>4000000</v>
      </c>
    </row>
    <row r="107" spans="1:17" hidden="1">
      <c r="A107">
        <f t="shared" si="1"/>
        <v>105</v>
      </c>
      <c r="B107" t="str">
        <f>IF('Master data'!A107="","",'Master data'!A107)</f>
        <v>Manuel Neuer</v>
      </c>
      <c r="C107" t="str">
        <f>IFERROR(INDEX('Master data'!$B$2:$CL$1000,MATCH($B107,'Master data'!$A$2:$A$1000,0),MATCH(C$1,'Master data'!$B$1:$CL$1,0)),"")</f>
        <v>Germany</v>
      </c>
      <c r="D107" t="str">
        <f>IFERROR(INDEX('Master data'!$B$2:$CL$1000,MATCH($B107,'Master data'!$A$2:$A$1000,0),MATCH(D$1,'Master data'!$B$1:$CL$1,0)),"")</f>
        <v>Goalkeeper</v>
      </c>
      <c r="E107" s="5">
        <f>IFERROR(INDEX('Master data'!$B$2:$CL$1000,MATCH($B107,'Master data'!$A$2:$A$1000,0),MATCH(E$1,'Master data'!$B$1:$CL$1,0)),"")</f>
        <v>5500000</v>
      </c>
      <c r="F107" s="7">
        <f>IFERROR(INDEX('Master data'!$B$2:$CL$1000,MATCH($B107,'Master data'!$A$2:$A$1000,0),MATCH(F$1,'Master data'!$B$1:$CL$1,0)),"")</f>
        <v>45554.547367021019</v>
      </c>
      <c r="G107" s="7">
        <f>IFERROR(INDEX('Master data'!$B$2:$CL$1000,MATCH($B107,'Master data'!$A$2:$A$1000,0),MATCH(G$1,'Master data'!$B$1:$CL$1,0)),"")</f>
        <v>51964.351717912832</v>
      </c>
      <c r="H107" s="7">
        <f>IFERROR(INDEX('Master data'!$B$2:$CL$1000,MATCH($B107,'Master data'!$A$2:$A$1000,0),MATCH(H$1,'Master data'!$B$1:$CL$1,0)),"")</f>
        <v>88003.290136814787</v>
      </c>
      <c r="I107" s="7">
        <f>IFERROR(INDEX('Master data'!$B$2:$CL$1000,MATCH($B107,'Master data'!$A$2:$A$1000,0),MATCH(I$1,'Master data'!$B$1:$CL$1,0)),"")</f>
        <v>4439.3693853437208</v>
      </c>
      <c r="J107" s="7">
        <f>IFERROR(INDEX('Master data'!$B$2:$CL$1000,MATCH($B107,'Master data'!$A$2:$A$1000,0),MATCH(J$1,'Master data'!$B$1:$CL$1,0)),"")</f>
        <v>1976.2332143262354</v>
      </c>
      <c r="K107" s="7">
        <f>IFERROR(INDEX('Master data'!$B$2:$CL$1000,MATCH($B107,'Master data'!$A$2:$A$1000,0),MATCH(K$1,'Master data'!$B$1:$CL$1,0)),"")</f>
        <v>873.94962494543142</v>
      </c>
      <c r="L107" s="7">
        <f>IFERROR(INDEX('Master data'!$B$2:$CL$1000,MATCH($B107,'Master data'!$A$2:$A$1000,0),MATCH(L$1,'Master data'!$B$1:$CL$1,0)),"")</f>
        <v>392.62185939356482</v>
      </c>
      <c r="M107" s="5">
        <f>IFERROR(INDEX('Master data'!$B$2:$CL$1000,MATCH($B107,'Master data'!$A$2:$A$1000,0),MATCH(M$1,'Master data'!$B$1:$CL$1,0)),"")</f>
        <v>121165.31454442402</v>
      </c>
      <c r="N107" s="28">
        <f>IFERROR(INDEX('Master data'!$B$2:$CL$1000,MATCH($B107,'Master data'!$A$2:$A$1000,0),MATCH(N$1,'Master data'!$B$1:$CL$1,0)),"")</f>
        <v>3.3731307131227024E-2</v>
      </c>
      <c r="O107" s="7">
        <f>IFERROR(INDEX('Master data'!$B$2:$CL$1000,MATCH($B107,'Master data'!$A$2:$A$1000,0),MATCH(O$1,'Master data'!$B$1:$CL$1,0)),"")</f>
        <v>0</v>
      </c>
      <c r="P107" s="5">
        <f>IFERROR(INDEX('Master data'!$B$2:$CL$1000,MATCH($B107,'Master data'!$A$2:$A$1000,0),MATCH(P$1,'Master data'!$B$1:$CL$1,0)),"")</f>
        <v>5500000</v>
      </c>
      <c r="Q107" s="5">
        <f>IFERROR(INDEX('Master data'!$B$2:$CL$1000,MATCH($B107,'Master data'!$A$2:$A$1000,0),MATCH(Q$1,'Master data'!$B$1:$CL$1,0)),"")</f>
        <v>5500000</v>
      </c>
    </row>
    <row r="108" spans="1:17" hidden="1">
      <c r="A108">
        <f t="shared" si="1"/>
        <v>106</v>
      </c>
      <c r="B108" t="str">
        <f>IF('Master data'!A108="","",'Master data'!A108)</f>
        <v>Matthias Ginter</v>
      </c>
      <c r="C108" t="str">
        <f>IFERROR(INDEX('Master data'!$B$2:$CL$1000,MATCH($B108,'Master data'!$A$2:$A$1000,0),MATCH(C$1,'Master data'!$B$1:$CL$1,0)),"")</f>
        <v>Germany</v>
      </c>
      <c r="D108" t="str">
        <f>IFERROR(INDEX('Master data'!$B$2:$CL$1000,MATCH($B108,'Master data'!$A$2:$A$1000,0),MATCH(D$1,'Master data'!$B$1:$CL$1,0)),"")</f>
        <v>Defense</v>
      </c>
      <c r="E108" s="5">
        <f>IFERROR(INDEX('Master data'!$B$2:$CL$1000,MATCH($B108,'Master data'!$A$2:$A$1000,0),MATCH(E$1,'Master data'!$B$1:$CL$1,0)),"")</f>
        <v>4000000</v>
      </c>
      <c r="F108" s="7">
        <f>IFERROR(INDEX('Master data'!$B$2:$CL$1000,MATCH($B108,'Master data'!$A$2:$A$1000,0),MATCH(F$1,'Master data'!$B$1:$CL$1,0)),"")</f>
        <v>9489.18764664849</v>
      </c>
      <c r="G108" s="7">
        <f>IFERROR(INDEX('Master data'!$B$2:$CL$1000,MATCH($B108,'Master data'!$A$2:$A$1000,0),MATCH(G$1,'Master data'!$B$1:$CL$1,0)),"")</f>
        <v>10654.791771199194</v>
      </c>
      <c r="H108" s="7">
        <f>IFERROR(INDEX('Master data'!$B$2:$CL$1000,MATCH($B108,'Master data'!$A$2:$A$1000,0),MATCH(H$1,'Master data'!$B$1:$CL$1,0)),"")</f>
        <v>20163.959116246748</v>
      </c>
      <c r="I108" s="7">
        <f>IFERROR(INDEX('Master data'!$B$2:$CL$1000,MATCH($B108,'Master data'!$A$2:$A$1000,0),MATCH(I$1,'Master data'!$B$1:$CL$1,0)),"")</f>
        <v>-24012.983477959657</v>
      </c>
      <c r="J108" s="7">
        <f>IFERROR(INDEX('Master data'!$B$2:$CL$1000,MATCH($B108,'Master data'!$A$2:$A$1000,0),MATCH(J$1,'Master data'!$B$1:$CL$1,0)),"")</f>
        <v>-12264.156533563193</v>
      </c>
      <c r="K108" s="7">
        <f>IFERROR(INDEX('Master data'!$B$2:$CL$1000,MATCH($B108,'Master data'!$A$2:$A$1000,0),MATCH(K$1,'Master data'!$B$1:$CL$1,0)),"")</f>
        <v>-6349.6084090788963</v>
      </c>
      <c r="L108" s="7">
        <f>IFERROR(INDEX('Master data'!$B$2:$CL$1000,MATCH($B108,'Master data'!$A$2:$A$1000,0),MATCH(L$1,'Master data'!$B$1:$CL$1,0)),"")</f>
        <v>-3432.9549514870278</v>
      </c>
      <c r="M108" s="5">
        <f>IFERROR(INDEX('Master data'!$B$2:$CL$1000,MATCH($B108,'Master data'!$A$2:$A$1000,0),MATCH(M$1,'Master data'!$B$1:$CL$1,0)),"")</f>
        <v>14879.087589347562</v>
      </c>
      <c r="N108" s="28">
        <f>IFERROR(INDEX('Master data'!$B$2:$CL$1000,MATCH($B108,'Master data'!$A$2:$A$1000,0),MATCH(N$1,'Master data'!$B$1:$CL$1,0)),"")</f>
        <v>1.0076984633523607E-2</v>
      </c>
      <c r="O108" s="7">
        <f>IFERROR(INDEX('Master data'!$B$2:$CL$1000,MATCH($B108,'Master data'!$A$2:$A$1000,0),MATCH(O$1,'Master data'!$B$1:$CL$1,0)),"")</f>
        <v>0</v>
      </c>
      <c r="P108" s="5">
        <f>IFERROR(INDEX('Master data'!$B$2:$CL$1000,MATCH($B108,'Master data'!$A$2:$A$1000,0),MATCH(P$1,'Master data'!$B$1:$CL$1,0)),"")</f>
        <v>4000000</v>
      </c>
      <c r="Q108" s="5">
        <f>IFERROR(INDEX('Master data'!$B$2:$CL$1000,MATCH($B108,'Master data'!$A$2:$A$1000,0),MATCH(Q$1,'Master data'!$B$1:$CL$1,0)),"")</f>
        <v>4000000</v>
      </c>
    </row>
    <row r="109" spans="1:17" hidden="1">
      <c r="A109">
        <f t="shared" si="1"/>
        <v>107</v>
      </c>
      <c r="B109" t="str">
        <f>IF('Master data'!A109="","",'Master data'!A109)</f>
        <v>Florian Neuhaus</v>
      </c>
      <c r="C109" t="str">
        <f>IFERROR(INDEX('Master data'!$B$2:$CL$1000,MATCH($B109,'Master data'!$A$2:$A$1000,0),MATCH(C$1,'Master data'!$B$1:$CL$1,0)),"")</f>
        <v>Germany</v>
      </c>
      <c r="D109" t="str">
        <f>IFERROR(INDEX('Master data'!$B$2:$CL$1000,MATCH($B109,'Master data'!$A$2:$A$1000,0),MATCH(D$1,'Master data'!$B$1:$CL$1,0)),"")</f>
        <v>Midfield</v>
      </c>
      <c r="E109" s="5">
        <f>IFERROR(INDEX('Master data'!$B$2:$CL$1000,MATCH($B109,'Master data'!$A$2:$A$1000,0),MATCH(E$1,'Master data'!$B$1:$CL$1,0)),"")</f>
        <v>3500000</v>
      </c>
      <c r="F109" s="7">
        <f>IFERROR(INDEX('Master data'!$B$2:$CL$1000,MATCH($B109,'Master data'!$A$2:$A$1000,0),MATCH(F$1,'Master data'!$B$1:$CL$1,0)),"")</f>
        <v>-5000</v>
      </c>
      <c r="G109" s="7">
        <f>IFERROR(INDEX('Master data'!$B$2:$CL$1000,MATCH($B109,'Master data'!$A$2:$A$1000,0),MATCH(G$1,'Master data'!$B$1:$CL$1,0)),"")</f>
        <v>-5000</v>
      </c>
      <c r="H109" s="7">
        <f>IFERROR(INDEX('Master data'!$B$2:$CL$1000,MATCH($B109,'Master data'!$A$2:$A$1000,0),MATCH(H$1,'Master data'!$B$1:$CL$1,0)),"")</f>
        <v>-5000</v>
      </c>
      <c r="I109" s="7">
        <f>IFERROR(INDEX('Master data'!$B$2:$CL$1000,MATCH($B109,'Master data'!$A$2:$A$1000,0),MATCH(I$1,'Master data'!$B$1:$CL$1,0)),"")</f>
        <v>-35484.623710691973</v>
      </c>
      <c r="J109" s="7">
        <f>IFERROR(INDEX('Master data'!$B$2:$CL$1000,MATCH($B109,'Master data'!$A$2:$A$1000,0),MATCH(J$1,'Master data'!$B$1:$CL$1,0)),"")</f>
        <v>-18010.59559137054</v>
      </c>
      <c r="K109" s="7">
        <f>IFERROR(INDEX('Master data'!$B$2:$CL$1000,MATCH($B109,'Master data'!$A$2:$A$1000,0),MATCH(K$1,'Master data'!$B$1:$CL$1,0)),"")</f>
        <v>-9267.0952894447073</v>
      </c>
      <c r="L109" s="7">
        <f>IFERROR(INDEX('Master data'!$B$2:$CL$1000,MATCH($B109,'Master data'!$A$2:$A$1000,0),MATCH(L$1,'Master data'!$B$1:$CL$1,0)),"")</f>
        <v>-4979.4453402288582</v>
      </c>
      <c r="M109" s="5">
        <f>IFERROR(INDEX('Master data'!$B$2:$CL$1000,MATCH($B109,'Master data'!$A$2:$A$1000,0),MATCH(M$1,'Master data'!$B$1:$CL$1,0)),"")</f>
        <v>-26284.677827473468</v>
      </c>
      <c r="N109" s="28">
        <f>IFERROR(INDEX('Master data'!$B$2:$CL$1000,MATCH($B109,'Master data'!$A$2:$A$1000,0),MATCH(N$1,'Master data'!$B$1:$CL$1,0)),"")</f>
        <v>-4.2857142857142859E-3</v>
      </c>
      <c r="O109" s="7">
        <f>IFERROR(INDEX('Master data'!$B$2:$CL$1000,MATCH($B109,'Master data'!$A$2:$A$1000,0),MATCH(O$1,'Master data'!$B$1:$CL$1,0)),"")</f>
        <v>0</v>
      </c>
      <c r="P109" s="5">
        <f>IFERROR(INDEX('Master data'!$B$2:$CL$1000,MATCH($B109,'Master data'!$A$2:$A$1000,0),MATCH(P$1,'Master data'!$B$1:$CL$1,0)),"")</f>
        <v>3500000</v>
      </c>
      <c r="Q109" s="5">
        <f>IFERROR(INDEX('Master data'!$B$2:$CL$1000,MATCH($B109,'Master data'!$A$2:$A$1000,0),MATCH(Q$1,'Master data'!$B$1:$CL$1,0)),"")</f>
        <v>3500000</v>
      </c>
    </row>
    <row r="110" spans="1:17" hidden="1">
      <c r="A110">
        <f t="shared" si="1"/>
        <v>108</v>
      </c>
      <c r="B110" t="str">
        <f>IF('Master data'!A110="","",'Master data'!A110)</f>
        <v>Dean Henderson</v>
      </c>
      <c r="C110" t="str">
        <f>IFERROR(INDEX('Master data'!$B$2:$CL$1000,MATCH($B110,'Master data'!$A$2:$A$1000,0),MATCH(C$1,'Master data'!$B$1:$CL$1,0)),"")</f>
        <v>England</v>
      </c>
      <c r="D110" t="str">
        <f>IFERROR(INDEX('Master data'!$B$2:$CL$1000,MATCH($B110,'Master data'!$A$2:$A$1000,0),MATCH(D$1,'Master data'!$B$1:$CL$1,0)),"")</f>
        <v>Goalkeeper</v>
      </c>
      <c r="E110" s="5">
        <f>IFERROR(INDEX('Master data'!$B$2:$CL$1000,MATCH($B110,'Master data'!$A$2:$A$1000,0),MATCH(E$1,'Master data'!$B$1:$CL$1,0)),"")</f>
        <v>5000000</v>
      </c>
      <c r="F110" s="7">
        <f>IFERROR(INDEX('Master data'!$B$2:$CL$1000,MATCH($B110,'Master data'!$A$2:$A$1000,0),MATCH(F$1,'Master data'!$B$1:$CL$1,0)),"")</f>
        <v>70693.947988478481</v>
      </c>
      <c r="G110" s="7">
        <f>IFERROR(INDEX('Master data'!$B$2:$CL$1000,MATCH($B110,'Master data'!$A$2:$A$1000,0),MATCH(G$1,'Master data'!$B$1:$CL$1,0)),"")</f>
        <v>82358.026555881006</v>
      </c>
      <c r="H110" s="7">
        <f>IFERROR(INDEX('Master data'!$B$2:$CL$1000,MATCH($B110,'Master data'!$A$2:$A$1000,0),MATCH(H$1,'Master data'!$B$1:$CL$1,0)),"")</f>
        <v>78234.586091046789</v>
      </c>
      <c r="I110" s="7">
        <f>IFERROR(INDEX('Master data'!$B$2:$CL$1000,MATCH($B110,'Master data'!$A$2:$A$1000,0),MATCH(I$1,'Master data'!$B$1:$CL$1,0)),"")</f>
        <v>23733.330590612495</v>
      </c>
      <c r="J110" s="7">
        <f>IFERROR(INDEX('Master data'!$B$2:$CL$1000,MATCH($B110,'Master data'!$A$2:$A$1000,0),MATCH(J$1,'Master data'!$B$1:$CL$1,0)),"")</f>
        <v>11868.197493583188</v>
      </c>
      <c r="K110" s="7">
        <f>IFERROR(INDEX('Master data'!$B$2:$CL$1000,MATCH($B110,'Master data'!$A$2:$A$1000,0),MATCH(K$1,'Master data'!$B$1:$CL$1,0)),"")</f>
        <v>6081.2510967863163</v>
      </c>
      <c r="L110" s="7">
        <f>IFERROR(INDEX('Master data'!$B$2:$CL$1000,MATCH($B110,'Master data'!$A$2:$A$1000,0),MATCH(L$1,'Master data'!$B$1:$CL$1,0)),"")</f>
        <v>3360.7469879905152</v>
      </c>
      <c r="M110" s="5">
        <f>IFERROR(INDEX('Master data'!$B$2:$CL$1000,MATCH($B110,'Master data'!$A$2:$A$1000,0),MATCH(M$1,'Master data'!$B$1:$CL$1,0)),"")</f>
        <v>170842.52763021851</v>
      </c>
      <c r="N110" s="28">
        <f>IFERROR(INDEX('Master data'!$B$2:$CL$1000,MATCH($B110,'Master data'!$A$2:$A$1000,0),MATCH(N$1,'Master data'!$B$1:$CL$1,0)),"")</f>
        <v>4.6257312127081257E-2</v>
      </c>
      <c r="O110" s="7">
        <f>IFERROR(INDEX('Master data'!$B$2:$CL$1000,MATCH($B110,'Master data'!$A$2:$A$1000,0),MATCH(O$1,'Master data'!$B$1:$CL$1,0)),"")</f>
        <v>0</v>
      </c>
      <c r="P110" s="5">
        <f>IFERROR(INDEX('Master data'!$B$2:$CL$1000,MATCH($B110,'Master data'!$A$2:$A$1000,0),MATCH(P$1,'Master data'!$B$1:$CL$1,0)),"")</f>
        <v>5000000</v>
      </c>
      <c r="Q110" s="5">
        <f>IFERROR(INDEX('Master data'!$B$2:$CL$1000,MATCH($B110,'Master data'!$A$2:$A$1000,0),MATCH(Q$1,'Master data'!$B$1:$CL$1,0)),"")</f>
        <v>5000000</v>
      </c>
    </row>
    <row r="111" spans="1:17" hidden="1">
      <c r="A111">
        <f t="shared" si="1"/>
        <v>109</v>
      </c>
      <c r="B111" t="str">
        <f>IF('Master data'!A111="","",'Master data'!A111)</f>
        <v>Luke Shaw</v>
      </c>
      <c r="C111" t="str">
        <f>IFERROR(INDEX('Master data'!$B$2:$CL$1000,MATCH($B111,'Master data'!$A$2:$A$1000,0),MATCH(C$1,'Master data'!$B$1:$CL$1,0)),"")</f>
        <v>England</v>
      </c>
      <c r="D111" t="str">
        <f>IFERROR(INDEX('Master data'!$B$2:$CL$1000,MATCH($B111,'Master data'!$A$2:$A$1000,0),MATCH(D$1,'Master data'!$B$1:$CL$1,0)),"")</f>
        <v>Defense</v>
      </c>
      <c r="E111" s="5">
        <f>IFERROR(INDEX('Master data'!$B$2:$CL$1000,MATCH($B111,'Master data'!$A$2:$A$1000,0),MATCH(E$1,'Master data'!$B$1:$CL$1,0)),"")</f>
        <v>3500000</v>
      </c>
      <c r="F111" s="7">
        <f>IFERROR(INDEX('Master data'!$B$2:$CL$1000,MATCH($B111,'Master data'!$A$2:$A$1000,0),MATCH(F$1,'Master data'!$B$1:$CL$1,0)),"")</f>
        <v>18620.596051090095</v>
      </c>
      <c r="G111" s="7">
        <f>IFERROR(INDEX('Master data'!$B$2:$CL$1000,MATCH($B111,'Master data'!$A$2:$A$1000,0),MATCH(G$1,'Master data'!$B$1:$CL$1,0)),"")</f>
        <v>20708.441336202202</v>
      </c>
      <c r="H111" s="7">
        <f>IFERROR(INDEX('Master data'!$B$2:$CL$1000,MATCH($B111,'Master data'!$A$2:$A$1000,0),MATCH(H$1,'Master data'!$B$1:$CL$1,0)),"")</f>
        <v>16892.879847425302</v>
      </c>
      <c r="I111" s="7">
        <f>IFERROR(INDEX('Master data'!$B$2:$CL$1000,MATCH($B111,'Master data'!$A$2:$A$1000,0),MATCH(I$1,'Master data'!$B$1:$CL$1,0)),"")</f>
        <v>-16109.336460758608</v>
      </c>
      <c r="J111" s="7">
        <f>IFERROR(INDEX('Master data'!$B$2:$CL$1000,MATCH($B111,'Master data'!$A$2:$A$1000,0),MATCH(J$1,'Master data'!$B$1:$CL$1,0)),"")</f>
        <v>-8406.9855855504702</v>
      </c>
      <c r="K111" s="7">
        <f>IFERROR(INDEX('Master data'!$B$2:$CL$1000,MATCH($B111,'Master data'!$A$2:$A$1000,0),MATCH(K$1,'Master data'!$B$1:$CL$1,0)),"")</f>
        <v>-4499.665851083194</v>
      </c>
      <c r="L111" s="7">
        <f>IFERROR(INDEX('Master data'!$B$2:$CL$1000,MATCH($B111,'Master data'!$A$2:$A$1000,0),MATCH(L$1,'Master data'!$B$1:$CL$1,0)),"")</f>
        <v>-2600.0489380174699</v>
      </c>
      <c r="M111" s="5">
        <f>IFERROR(INDEX('Master data'!$B$2:$CL$1000,MATCH($B111,'Master data'!$A$2:$A$1000,0),MATCH(M$1,'Master data'!$B$1:$CL$1,0)),"")</f>
        <v>32679.58357698836</v>
      </c>
      <c r="N111" s="28">
        <f>IFERROR(INDEX('Master data'!$B$2:$CL$1000,MATCH($B111,'Master data'!$A$2:$A$1000,0),MATCH(N$1,'Master data'!$B$1:$CL$1,0)),"")</f>
        <v>1.6063404924205025E-2</v>
      </c>
      <c r="O111" s="7">
        <f>IFERROR(INDEX('Master data'!$B$2:$CL$1000,MATCH($B111,'Master data'!$A$2:$A$1000,0),MATCH(O$1,'Master data'!$B$1:$CL$1,0)),"")</f>
        <v>0</v>
      </c>
      <c r="P111" s="5">
        <f>IFERROR(INDEX('Master data'!$B$2:$CL$1000,MATCH($B111,'Master data'!$A$2:$A$1000,0),MATCH(P$1,'Master data'!$B$1:$CL$1,0)),"")</f>
        <v>3500000</v>
      </c>
      <c r="Q111" s="5">
        <f>IFERROR(INDEX('Master data'!$B$2:$CL$1000,MATCH($B111,'Master data'!$A$2:$A$1000,0),MATCH(Q$1,'Master data'!$B$1:$CL$1,0)),"")</f>
        <v>3500000</v>
      </c>
    </row>
    <row r="112" spans="1:17" hidden="1">
      <c r="A112">
        <f t="shared" si="1"/>
        <v>110</v>
      </c>
      <c r="B112" t="str">
        <f>IF('Master data'!A112="","",'Master data'!A112)</f>
        <v>Harry Maguire</v>
      </c>
      <c r="C112" t="str">
        <f>IFERROR(INDEX('Master data'!$B$2:$CL$1000,MATCH($B112,'Master data'!$A$2:$A$1000,0),MATCH(C$1,'Master data'!$B$1:$CL$1,0)),"")</f>
        <v>England</v>
      </c>
      <c r="D112" t="str">
        <f>IFERROR(INDEX('Master data'!$B$2:$CL$1000,MATCH($B112,'Master data'!$A$2:$A$1000,0),MATCH(D$1,'Master data'!$B$1:$CL$1,0)),"")</f>
        <v>Defense</v>
      </c>
      <c r="E112" s="5">
        <f>IFERROR(INDEX('Master data'!$B$2:$CL$1000,MATCH($B112,'Master data'!$A$2:$A$1000,0),MATCH(E$1,'Master data'!$B$1:$CL$1,0)),"")</f>
        <v>4500000</v>
      </c>
      <c r="F112" s="7">
        <f>IFERROR(INDEX('Master data'!$B$2:$CL$1000,MATCH($B112,'Master data'!$A$2:$A$1000,0),MATCH(F$1,'Master data'!$B$1:$CL$1,0)),"")</f>
        <v>18620.596051090095</v>
      </c>
      <c r="G112" s="7">
        <f>IFERROR(INDEX('Master data'!$B$2:$CL$1000,MATCH($B112,'Master data'!$A$2:$A$1000,0),MATCH(G$1,'Master data'!$B$1:$CL$1,0)),"")</f>
        <v>20708.441336202202</v>
      </c>
      <c r="H112" s="7">
        <f>IFERROR(INDEX('Master data'!$B$2:$CL$1000,MATCH($B112,'Master data'!$A$2:$A$1000,0),MATCH(H$1,'Master data'!$B$1:$CL$1,0)),"")</f>
        <v>16892.879847425302</v>
      </c>
      <c r="I112" s="7">
        <f>IFERROR(INDEX('Master data'!$B$2:$CL$1000,MATCH($B112,'Master data'!$A$2:$A$1000,0),MATCH(I$1,'Master data'!$B$1:$CL$1,0)),"")</f>
        <v>-25685.925800544323</v>
      </c>
      <c r="J112" s="7">
        <f>IFERROR(INDEX('Master data'!$B$2:$CL$1000,MATCH($B112,'Master data'!$A$2:$A$1000,0),MATCH(J$1,'Master data'!$B$1:$CL$1,0)),"")</f>
        <v>-13349.658444405797</v>
      </c>
      <c r="K112" s="7">
        <f>IFERROR(INDEX('Master data'!$B$2:$CL$1000,MATCH($B112,'Master data'!$A$2:$A$1000,0),MATCH(K$1,'Master data'!$B$1:$CL$1,0)),"")</f>
        <v>-7116.2993995343586</v>
      </c>
      <c r="L112" s="7">
        <f>IFERROR(INDEX('Master data'!$B$2:$CL$1000,MATCH($B112,'Master data'!$A$2:$A$1000,0),MATCH(L$1,'Master data'!$B$1:$CL$1,0)),"")</f>
        <v>-4095.7225236154595</v>
      </c>
      <c r="M112" s="5">
        <f>IFERROR(INDEX('Master data'!$B$2:$CL$1000,MATCH($B112,'Master data'!$A$2:$A$1000,0),MATCH(M$1,'Master data'!$B$1:$CL$1,0)),"")</f>
        <v>28389.860505385524</v>
      </c>
      <c r="N112" s="28">
        <f>IFERROR(INDEX('Master data'!$B$2:$CL$1000,MATCH($B112,'Master data'!$A$2:$A$1000,0),MATCH(N$1,'Master data'!$B$1:$CL$1,0)),"")</f>
        <v>1.2493759385492798E-2</v>
      </c>
      <c r="O112" s="7">
        <f>IFERROR(INDEX('Master data'!$B$2:$CL$1000,MATCH($B112,'Master data'!$A$2:$A$1000,0),MATCH(O$1,'Master data'!$B$1:$CL$1,0)),"")</f>
        <v>0</v>
      </c>
      <c r="P112" s="5">
        <f>IFERROR(INDEX('Master data'!$B$2:$CL$1000,MATCH($B112,'Master data'!$A$2:$A$1000,0),MATCH(P$1,'Master data'!$B$1:$CL$1,0)),"")</f>
        <v>4500000</v>
      </c>
      <c r="Q112" s="5">
        <f>IFERROR(INDEX('Master data'!$B$2:$CL$1000,MATCH($B112,'Master data'!$A$2:$A$1000,0),MATCH(Q$1,'Master data'!$B$1:$CL$1,0)),"")</f>
        <v>4500000</v>
      </c>
    </row>
    <row r="113" spans="1:17" hidden="1">
      <c r="A113">
        <f t="shared" si="1"/>
        <v>111</v>
      </c>
      <c r="B113" t="str">
        <f>IF('Master data'!A113="","",'Master data'!A113)</f>
        <v>Ben Chilwell</v>
      </c>
      <c r="C113" t="str">
        <f>IFERROR(INDEX('Master data'!$B$2:$CL$1000,MATCH($B113,'Master data'!$A$2:$A$1000,0),MATCH(C$1,'Master data'!$B$1:$CL$1,0)),"")</f>
        <v>England</v>
      </c>
      <c r="D113" t="str">
        <f>IFERROR(INDEX('Master data'!$B$2:$CL$1000,MATCH($B113,'Master data'!$A$2:$A$1000,0),MATCH(D$1,'Master data'!$B$1:$CL$1,0)),"")</f>
        <v>Defense</v>
      </c>
      <c r="E113" s="5">
        <f>IFERROR(INDEX('Master data'!$B$2:$CL$1000,MATCH($B113,'Master data'!$A$2:$A$1000,0),MATCH(E$1,'Master data'!$B$1:$CL$1,0)),"")</f>
        <v>4500000</v>
      </c>
      <c r="F113" s="7">
        <f>IFERROR(INDEX('Master data'!$B$2:$CL$1000,MATCH($B113,'Master data'!$A$2:$A$1000,0),MATCH(F$1,'Master data'!$B$1:$CL$1,0)),"")</f>
        <v>74053.780466892553</v>
      </c>
      <c r="G113" s="7">
        <f>IFERROR(INDEX('Master data'!$B$2:$CL$1000,MATCH($B113,'Master data'!$A$2:$A$1000,0),MATCH(G$1,'Master data'!$B$1:$CL$1,0)),"")</f>
        <v>92804.013136164067</v>
      </c>
      <c r="H113" s="7">
        <f>IFERROR(INDEX('Master data'!$B$2:$CL$1000,MATCH($B113,'Master data'!$A$2:$A$1000,0),MATCH(H$1,'Master data'!$B$1:$CL$1,0)),"")</f>
        <v>92123.228708429189</v>
      </c>
      <c r="I113" s="7">
        <f>IFERROR(INDEX('Master data'!$B$2:$CL$1000,MATCH($B113,'Master data'!$A$2:$A$1000,0),MATCH(I$1,'Master data'!$B$1:$CL$1,0)),"")</f>
        <v>37097.022989322017</v>
      </c>
      <c r="J113" s="7">
        <f>IFERROR(INDEX('Master data'!$B$2:$CL$1000,MATCH($B113,'Master data'!$A$2:$A$1000,0),MATCH(J$1,'Master data'!$B$1:$CL$1,0)),"")</f>
        <v>18719.843173153804</v>
      </c>
      <c r="K113" s="7">
        <f>IFERROR(INDEX('Master data'!$B$2:$CL$1000,MATCH($B113,'Master data'!$A$2:$A$1000,0),MATCH(K$1,'Master data'!$B$1:$CL$1,0)),"")</f>
        <v>9684.3326927295147</v>
      </c>
      <c r="L113" s="7">
        <f>IFERROR(INDEX('Master data'!$B$2:$CL$1000,MATCH($B113,'Master data'!$A$2:$A$1000,0),MATCH(L$1,'Master data'!$B$1:$CL$1,0)),"")</f>
        <v>5406.469191072576</v>
      </c>
      <c r="M113" s="5">
        <f>IFERROR(INDEX('Master data'!$B$2:$CL$1000,MATCH($B113,'Master data'!$A$2:$A$1000,0),MATCH(M$1,'Master data'!$B$1:$CL$1,0)),"")</f>
        <v>193306.18216108347</v>
      </c>
      <c r="N113" s="28">
        <f>IFERROR(INDEX('Master data'!$B$2:$CL$1000,MATCH($B113,'Master data'!$A$2:$A$1000,0),MATCH(N$1,'Master data'!$B$1:$CL$1,0)),"")</f>
        <v>5.7551338291441295E-2</v>
      </c>
      <c r="O113" s="7">
        <f>IFERROR(INDEX('Master data'!$B$2:$CL$1000,MATCH($B113,'Master data'!$A$2:$A$1000,0),MATCH(O$1,'Master data'!$B$1:$CL$1,0)),"")</f>
        <v>0</v>
      </c>
      <c r="P113" s="5">
        <f>IFERROR(INDEX('Master data'!$B$2:$CL$1000,MATCH($B113,'Master data'!$A$2:$A$1000,0),MATCH(P$1,'Master data'!$B$1:$CL$1,0)),"")</f>
        <v>4500000</v>
      </c>
      <c r="Q113" s="5">
        <f>IFERROR(INDEX('Master data'!$B$2:$CL$1000,MATCH($B113,'Master data'!$A$2:$A$1000,0),MATCH(Q$1,'Master data'!$B$1:$CL$1,0)),"")</f>
        <v>4500000</v>
      </c>
    </row>
    <row r="114" spans="1:17" hidden="1">
      <c r="A114">
        <f t="shared" si="1"/>
        <v>112</v>
      </c>
      <c r="B114" t="str">
        <f>IF('Master data'!A114="","",'Master data'!A114)</f>
        <v>Kieran Trippier</v>
      </c>
      <c r="C114" t="str">
        <f>IFERROR(INDEX('Master data'!$B$2:$CL$1000,MATCH($B114,'Master data'!$A$2:$A$1000,0),MATCH(C$1,'Master data'!$B$1:$CL$1,0)),"")</f>
        <v>England</v>
      </c>
      <c r="D114" t="str">
        <f>IFERROR(INDEX('Master data'!$B$2:$CL$1000,MATCH($B114,'Master data'!$A$2:$A$1000,0),MATCH(D$1,'Master data'!$B$1:$CL$1,0)),"")</f>
        <v>Defense</v>
      </c>
      <c r="E114" s="5">
        <f>IFERROR(INDEX('Master data'!$B$2:$CL$1000,MATCH($B114,'Master data'!$A$2:$A$1000,0),MATCH(E$1,'Master data'!$B$1:$CL$1,0)),"")</f>
        <v>3500000</v>
      </c>
      <c r="F114" s="7">
        <f>IFERROR(INDEX('Master data'!$B$2:$CL$1000,MATCH($B114,'Master data'!$A$2:$A$1000,0),MATCH(F$1,'Master data'!$B$1:$CL$1,0)),"")</f>
        <v>18620.596051090095</v>
      </c>
      <c r="G114" s="7">
        <f>IFERROR(INDEX('Master data'!$B$2:$CL$1000,MATCH($B114,'Master data'!$A$2:$A$1000,0),MATCH(G$1,'Master data'!$B$1:$CL$1,0)),"")</f>
        <v>20708.441336202202</v>
      </c>
      <c r="H114" s="7">
        <f>IFERROR(INDEX('Master data'!$B$2:$CL$1000,MATCH($B114,'Master data'!$A$2:$A$1000,0),MATCH(H$1,'Master data'!$B$1:$CL$1,0)),"")</f>
        <v>16892.879847425302</v>
      </c>
      <c r="I114" s="7">
        <f>IFERROR(INDEX('Master data'!$B$2:$CL$1000,MATCH($B114,'Master data'!$A$2:$A$1000,0),MATCH(I$1,'Master data'!$B$1:$CL$1,0)),"")</f>
        <v>-16109.336460758608</v>
      </c>
      <c r="J114" s="7">
        <f>IFERROR(INDEX('Master data'!$B$2:$CL$1000,MATCH($B114,'Master data'!$A$2:$A$1000,0),MATCH(J$1,'Master data'!$B$1:$CL$1,0)),"")</f>
        <v>-8406.9855855504702</v>
      </c>
      <c r="K114" s="7">
        <f>IFERROR(INDEX('Master data'!$B$2:$CL$1000,MATCH($B114,'Master data'!$A$2:$A$1000,0),MATCH(K$1,'Master data'!$B$1:$CL$1,0)),"")</f>
        <v>-4499.665851083194</v>
      </c>
      <c r="L114" s="7">
        <f>IFERROR(INDEX('Master data'!$B$2:$CL$1000,MATCH($B114,'Master data'!$A$2:$A$1000,0),MATCH(L$1,'Master data'!$B$1:$CL$1,0)),"")</f>
        <v>-2600.0489380174699</v>
      </c>
      <c r="M114" s="5">
        <f>IFERROR(INDEX('Master data'!$B$2:$CL$1000,MATCH($B114,'Master data'!$A$2:$A$1000,0),MATCH(M$1,'Master data'!$B$1:$CL$1,0)),"")</f>
        <v>32679.58357698836</v>
      </c>
      <c r="N114" s="28">
        <f>IFERROR(INDEX('Master data'!$B$2:$CL$1000,MATCH($B114,'Master data'!$A$2:$A$1000,0),MATCH(N$1,'Master data'!$B$1:$CL$1,0)),"")</f>
        <v>1.6063404924205025E-2</v>
      </c>
      <c r="O114" s="7">
        <f>IFERROR(INDEX('Master data'!$B$2:$CL$1000,MATCH($B114,'Master data'!$A$2:$A$1000,0),MATCH(O$1,'Master data'!$B$1:$CL$1,0)),"")</f>
        <v>0</v>
      </c>
      <c r="P114" s="5">
        <f>IFERROR(INDEX('Master data'!$B$2:$CL$1000,MATCH($B114,'Master data'!$A$2:$A$1000,0),MATCH(P$1,'Master data'!$B$1:$CL$1,0)),"")</f>
        <v>3500000</v>
      </c>
      <c r="Q114" s="5">
        <f>IFERROR(INDEX('Master data'!$B$2:$CL$1000,MATCH($B114,'Master data'!$A$2:$A$1000,0),MATCH(Q$1,'Master data'!$B$1:$CL$1,0)),"")</f>
        <v>3500000</v>
      </c>
    </row>
    <row r="115" spans="1:17" hidden="1">
      <c r="A115">
        <f t="shared" si="1"/>
        <v>113</v>
      </c>
      <c r="B115" t="str">
        <f>IF('Master data'!A115="","",'Master data'!A115)</f>
        <v xml:space="preserve"> Jude Bellingham</v>
      </c>
      <c r="C115" t="str">
        <f>IFERROR(INDEX('Master data'!$B$2:$CL$1000,MATCH($B115,'Master data'!$A$2:$A$1000,0),MATCH(C$1,'Master data'!$B$1:$CL$1,0)),"")</f>
        <v>England</v>
      </c>
      <c r="D115" t="str">
        <f>IFERROR(INDEX('Master data'!$B$2:$CL$1000,MATCH($B115,'Master data'!$A$2:$A$1000,0),MATCH(D$1,'Master data'!$B$1:$CL$1,0)),"")</f>
        <v>Midfield</v>
      </c>
      <c r="E115" s="5">
        <f>IFERROR(INDEX('Master data'!$B$2:$CL$1000,MATCH($B115,'Master data'!$A$2:$A$1000,0),MATCH(E$1,'Master data'!$B$1:$CL$1,0)),"")</f>
        <v>3000000</v>
      </c>
      <c r="F115" s="7">
        <f>IFERROR(INDEX('Master data'!$B$2:$CL$1000,MATCH($B115,'Master data'!$A$2:$A$1000,0),MATCH(F$1,'Master data'!$B$1:$CL$1,0)),"")</f>
        <v>-5000</v>
      </c>
      <c r="G115" s="7">
        <f>IFERROR(INDEX('Master data'!$B$2:$CL$1000,MATCH($B115,'Master data'!$A$2:$A$1000,0),MATCH(G$1,'Master data'!$B$1:$CL$1,0)),"")</f>
        <v>-5000</v>
      </c>
      <c r="H115" s="7">
        <f>IFERROR(INDEX('Master data'!$B$2:$CL$1000,MATCH($B115,'Master data'!$A$2:$A$1000,0),MATCH(H$1,'Master data'!$B$1:$CL$1,0)),"")</f>
        <v>-5000</v>
      </c>
      <c r="I115" s="7">
        <f>IFERROR(INDEX('Master data'!$B$2:$CL$1000,MATCH($B115,'Master data'!$A$2:$A$1000,0),MATCH(I$1,'Master data'!$B$1:$CL$1,0)),"")</f>
        <v>-33374.413849153221</v>
      </c>
      <c r="J115" s="7">
        <f>IFERROR(INDEX('Master data'!$B$2:$CL$1000,MATCH($B115,'Master data'!$A$2:$A$1000,0),MATCH(J$1,'Master data'!$B$1:$CL$1,0)),"")</f>
        <v>-17200.501548816534</v>
      </c>
      <c r="K115" s="7">
        <f>IFERROR(INDEX('Master data'!$B$2:$CL$1000,MATCH($B115,'Master data'!$A$2:$A$1000,0),MATCH(K$1,'Master data'!$B$1:$CL$1,0)),"")</f>
        <v>-9092.8015808677956</v>
      </c>
      <c r="L115" s="7">
        <f>IFERROR(INDEX('Master data'!$B$2:$CL$1000,MATCH($B115,'Master data'!$A$2:$A$1000,0),MATCH(L$1,'Master data'!$B$1:$CL$1,0)),"")</f>
        <v>-5189.9873420250269</v>
      </c>
      <c r="M115" s="5">
        <f>IFERROR(INDEX('Master data'!$B$2:$CL$1000,MATCH($B115,'Master data'!$A$2:$A$1000,0),MATCH(M$1,'Master data'!$B$1:$CL$1,0)),"")</f>
        <v>-25494.94342400492</v>
      </c>
      <c r="N115" s="28">
        <f>IFERROR(INDEX('Master data'!$B$2:$CL$1000,MATCH($B115,'Master data'!$A$2:$A$1000,0),MATCH(N$1,'Master data'!$B$1:$CL$1,0)),"")</f>
        <v>-5.0000000000000001E-3</v>
      </c>
      <c r="O115" s="7">
        <f>IFERROR(INDEX('Master data'!$B$2:$CL$1000,MATCH($B115,'Master data'!$A$2:$A$1000,0),MATCH(O$1,'Master data'!$B$1:$CL$1,0)),"")</f>
        <v>0</v>
      </c>
      <c r="P115" s="5">
        <f>IFERROR(INDEX('Master data'!$B$2:$CL$1000,MATCH($B115,'Master data'!$A$2:$A$1000,0),MATCH(P$1,'Master data'!$B$1:$CL$1,0)),"")</f>
        <v>3000000</v>
      </c>
      <c r="Q115" s="5">
        <f>IFERROR(INDEX('Master data'!$B$2:$CL$1000,MATCH($B115,'Master data'!$A$2:$A$1000,0),MATCH(Q$1,'Master data'!$B$1:$CL$1,0)),"")</f>
        <v>3000000</v>
      </c>
    </row>
    <row r="116" spans="1:17" hidden="1">
      <c r="A116">
        <f t="shared" si="1"/>
        <v>114</v>
      </c>
      <c r="B116" t="str">
        <f>IF('Master data'!A116="","",'Master data'!A116)</f>
        <v>Declan Rice</v>
      </c>
      <c r="C116" t="str">
        <f>IFERROR(INDEX('Master data'!$B$2:$CL$1000,MATCH($B116,'Master data'!$A$2:$A$1000,0),MATCH(C$1,'Master data'!$B$1:$CL$1,0)),"")</f>
        <v>England</v>
      </c>
      <c r="D116" t="str">
        <f>IFERROR(INDEX('Master data'!$B$2:$CL$1000,MATCH($B116,'Master data'!$A$2:$A$1000,0),MATCH(D$1,'Master data'!$B$1:$CL$1,0)),"")</f>
        <v>Midfield</v>
      </c>
      <c r="E116" s="5">
        <f>IFERROR(INDEX('Master data'!$B$2:$CL$1000,MATCH($B116,'Master data'!$A$2:$A$1000,0),MATCH(E$1,'Master data'!$B$1:$CL$1,0)),"")</f>
        <v>3500000</v>
      </c>
      <c r="F116" s="7">
        <f>IFERROR(INDEX('Master data'!$B$2:$CL$1000,MATCH($B116,'Master data'!$A$2:$A$1000,0),MATCH(F$1,'Master data'!$B$1:$CL$1,0)),"")</f>
        <v>43261.336684411785</v>
      </c>
      <c r="G116" s="7">
        <f>IFERROR(INDEX('Master data'!$B$2:$CL$1000,MATCH($B116,'Master data'!$A$2:$A$1000,0),MATCH(G$1,'Master data'!$B$1:$CL$1,0)),"")</f>
        <v>57465.061295375854</v>
      </c>
      <c r="H116" s="7">
        <f>IFERROR(INDEX('Master data'!$B$2:$CL$1000,MATCH($B116,'Master data'!$A$2:$A$1000,0),MATCH(H$1,'Master data'!$B$1:$CL$1,0)),"")</f>
        <v>59443.615056416224</v>
      </c>
      <c r="I116" s="7">
        <f>IFERROR(INDEX('Master data'!$B$2:$CL$1000,MATCH($B116,'Master data'!$A$2:$A$1000,0),MATCH(I$1,'Master data'!$B$1:$CL$1,0)),"")</f>
        <v>16077.469517882442</v>
      </c>
      <c r="J116" s="7">
        <f>IFERROR(INDEX('Master data'!$B$2:$CL$1000,MATCH($B116,'Master data'!$A$2:$A$1000,0),MATCH(J$1,'Master data'!$B$1:$CL$1,0)),"")</f>
        <v>8034.0202335759104</v>
      </c>
      <c r="K116" s="7">
        <f>IFERROR(INDEX('Master data'!$B$2:$CL$1000,MATCH($B116,'Master data'!$A$2:$A$1000,0),MATCH(K$1,'Master data'!$B$1:$CL$1,0)),"")</f>
        <v>4113.4798500233182</v>
      </c>
      <c r="L116" s="7">
        <f>IFERROR(INDEX('Master data'!$B$2:$CL$1000,MATCH($B116,'Master data'!$A$2:$A$1000,0),MATCH(L$1,'Master data'!$B$1:$CL$1,0)),"")</f>
        <v>2271.4202584386248</v>
      </c>
      <c r="M116" s="5">
        <f>IFERROR(INDEX('Master data'!$B$2:$CL$1000,MATCH($B116,'Master data'!$A$2:$A$1000,0),MATCH(M$1,'Master data'!$B$1:$CL$1,0)),"")</f>
        <v>115082.52784966743</v>
      </c>
      <c r="N116" s="28">
        <f>IFERROR(INDEX('Master data'!$B$2:$CL$1000,MATCH($B116,'Master data'!$A$2:$A$1000,0),MATCH(N$1,'Master data'!$B$1:$CL$1,0)),"")</f>
        <v>4.5762860867486821E-2</v>
      </c>
      <c r="O116" s="7">
        <f>IFERROR(INDEX('Master data'!$B$2:$CL$1000,MATCH($B116,'Master data'!$A$2:$A$1000,0),MATCH(O$1,'Master data'!$B$1:$CL$1,0)),"")</f>
        <v>0</v>
      </c>
      <c r="P116" s="5">
        <f>IFERROR(INDEX('Master data'!$B$2:$CL$1000,MATCH($B116,'Master data'!$A$2:$A$1000,0),MATCH(P$1,'Master data'!$B$1:$CL$1,0)),"")</f>
        <v>3500000</v>
      </c>
      <c r="Q116" s="5">
        <f>IFERROR(INDEX('Master data'!$B$2:$CL$1000,MATCH($B116,'Master data'!$A$2:$A$1000,0),MATCH(Q$1,'Master data'!$B$1:$CL$1,0)),"")</f>
        <v>3500000</v>
      </c>
    </row>
    <row r="117" spans="1:17" hidden="1">
      <c r="A117">
        <f t="shared" si="1"/>
        <v>115</v>
      </c>
      <c r="B117" t="str">
        <f>IF('Master data'!A117="","",'Master data'!A117)</f>
        <v>João Cancelo</v>
      </c>
      <c r="C117" t="str">
        <f>IFERROR(INDEX('Master data'!$B$2:$CL$1000,MATCH($B117,'Master data'!$A$2:$A$1000,0),MATCH(C$1,'Master data'!$B$1:$CL$1,0)),"")</f>
        <v>Portugal</v>
      </c>
      <c r="D117" t="str">
        <f>IFERROR(INDEX('Master data'!$B$2:$CL$1000,MATCH($B117,'Master data'!$A$2:$A$1000,0),MATCH(D$1,'Master data'!$B$1:$CL$1,0)),"")</f>
        <v>Defense</v>
      </c>
      <c r="E117" s="5">
        <f>IFERROR(INDEX('Master data'!$B$2:$CL$1000,MATCH($B117,'Master data'!$A$2:$A$1000,0),MATCH(E$1,'Master data'!$B$1:$CL$1,0)),"")</f>
        <v>5000000</v>
      </c>
      <c r="F117" s="7">
        <f>IFERROR(INDEX('Master data'!$B$2:$CL$1000,MATCH($B117,'Master data'!$A$2:$A$1000,0),MATCH(F$1,'Master data'!$B$1:$CL$1,0)),"")</f>
        <v>71291.613070535619</v>
      </c>
      <c r="G117" s="7">
        <f>IFERROR(INDEX('Master data'!$B$2:$CL$1000,MATCH($B117,'Master data'!$A$2:$A$1000,0),MATCH(G$1,'Master data'!$B$1:$CL$1,0)),"")</f>
        <v>30507.614065642232</v>
      </c>
      <c r="H117" s="7">
        <f>IFERROR(INDEX('Master data'!$B$2:$CL$1000,MATCH($B117,'Master data'!$A$2:$A$1000,0),MATCH(H$1,'Master data'!$B$1:$CL$1,0)),"")</f>
        <v>29464.126773401065</v>
      </c>
      <c r="I117" s="7">
        <f>IFERROR(INDEX('Master data'!$B$2:$CL$1000,MATCH($B117,'Master data'!$A$2:$A$1000,0),MATCH(I$1,'Master data'!$B$1:$CL$1,0)),"")</f>
        <v>-5683.2965832751815</v>
      </c>
      <c r="J117" s="7">
        <f>IFERROR(INDEX('Master data'!$B$2:$CL$1000,MATCH($B117,'Master data'!$A$2:$A$1000,0),MATCH(J$1,'Master data'!$B$1:$CL$1,0)),"")</f>
        <v>-3063.9119526419299</v>
      </c>
      <c r="K117" s="7">
        <f>IFERROR(INDEX('Master data'!$B$2:$CL$1000,MATCH($B117,'Master data'!$A$2:$A$1000,0),MATCH(K$1,'Master data'!$B$1:$CL$1,0)),"")</f>
        <v>-1673.1254432025657</v>
      </c>
      <c r="L117" s="7">
        <f>IFERROR(INDEX('Master data'!$B$2:$CL$1000,MATCH($B117,'Master data'!$A$2:$A$1000,0),MATCH(L$1,'Master data'!$B$1:$CL$1,0)),"")</f>
        <v>-957.73715841796172</v>
      </c>
      <c r="M117" s="5">
        <f>IFERROR(INDEX('Master data'!$B$2:$CL$1000,MATCH($B117,'Master data'!$A$2:$A$1000,0),MATCH(M$1,'Master data'!$B$1:$CL$1,0)),"")</f>
        <v>102131.62254465083</v>
      </c>
      <c r="N117" s="28">
        <f>IFERROR(INDEX('Master data'!$B$2:$CL$1000,MATCH($B117,'Master data'!$A$2:$A$1000,0),MATCH(N$1,'Master data'!$B$1:$CL$1,0)),"")</f>
        <v>2.6252670781915788E-2</v>
      </c>
      <c r="O117" s="7">
        <f>IFERROR(INDEX('Master data'!$B$2:$CL$1000,MATCH($B117,'Master data'!$A$2:$A$1000,0),MATCH(O$1,'Master data'!$B$1:$CL$1,0)),"")</f>
        <v>0</v>
      </c>
      <c r="P117" s="5">
        <f>IFERROR(INDEX('Master data'!$B$2:$CL$1000,MATCH($B117,'Master data'!$A$2:$A$1000,0),MATCH(P$1,'Master data'!$B$1:$CL$1,0)),"")</f>
        <v>5000000</v>
      </c>
      <c r="Q117" s="5">
        <f>IFERROR(INDEX('Master data'!$B$2:$CL$1000,MATCH($B117,'Master data'!$A$2:$A$1000,0),MATCH(Q$1,'Master data'!$B$1:$CL$1,0)),"")</f>
        <v>5000000</v>
      </c>
    </row>
    <row r="118" spans="1:17" hidden="1">
      <c r="A118">
        <f t="shared" si="1"/>
        <v>116</v>
      </c>
      <c r="B118" t="str">
        <f>IF('Master data'!A118="","",'Master data'!A118)</f>
        <v>Nélson N. Semedo</v>
      </c>
      <c r="C118" t="str">
        <f>IFERROR(INDEX('Master data'!$B$2:$CL$1000,MATCH($B118,'Master data'!$A$2:$A$1000,0),MATCH(C$1,'Master data'!$B$1:$CL$1,0)),"")</f>
        <v>Portugal</v>
      </c>
      <c r="D118" t="str">
        <f>IFERROR(INDEX('Master data'!$B$2:$CL$1000,MATCH($B118,'Master data'!$A$2:$A$1000,0),MATCH(D$1,'Master data'!$B$1:$CL$1,0)),"")</f>
        <v>Defense</v>
      </c>
      <c r="E118" s="5">
        <f>IFERROR(INDEX('Master data'!$B$2:$CL$1000,MATCH($B118,'Master data'!$A$2:$A$1000,0),MATCH(E$1,'Master data'!$B$1:$CL$1,0)),"")</f>
        <v>2500000</v>
      </c>
      <c r="F118" s="7">
        <f>IFERROR(INDEX('Master data'!$B$2:$CL$1000,MATCH($B118,'Master data'!$A$2:$A$1000,0),MATCH(F$1,'Master data'!$B$1:$CL$1,0)),"")</f>
        <v>18595.505617977524</v>
      </c>
      <c r="G118" s="7">
        <f>IFERROR(INDEX('Master data'!$B$2:$CL$1000,MATCH($B118,'Master data'!$A$2:$A$1000,0),MATCH(G$1,'Master data'!$B$1:$CL$1,0)),"")</f>
        <v>7523.8334169593545</v>
      </c>
      <c r="H118" s="7">
        <f>IFERROR(INDEX('Master data'!$B$2:$CL$1000,MATCH($B118,'Master data'!$A$2:$A$1000,0),MATCH(H$1,'Master data'!$B$1:$CL$1,0)),"")</f>
        <v>8674.2712646233358</v>
      </c>
      <c r="I118" s="7">
        <f>IFERROR(INDEX('Master data'!$B$2:$CL$1000,MATCH($B118,'Master data'!$A$2:$A$1000,0),MATCH(I$1,'Master data'!$B$1:$CL$1,0)),"")</f>
        <v>-10339.219232404743</v>
      </c>
      <c r="J118" s="7">
        <f>IFERROR(INDEX('Master data'!$B$2:$CL$1000,MATCH($B118,'Master data'!$A$2:$A$1000,0),MATCH(J$1,'Master data'!$B$1:$CL$1,0)),"")</f>
        <v>-5313.3806893218607</v>
      </c>
      <c r="K118" s="7">
        <f>IFERROR(INDEX('Master data'!$B$2:$CL$1000,MATCH($B118,'Master data'!$A$2:$A$1000,0),MATCH(K$1,'Master data'!$B$1:$CL$1,0)),"")</f>
        <v>-2773.9744613808107</v>
      </c>
      <c r="L118" s="7">
        <f>IFERROR(INDEX('Master data'!$B$2:$CL$1000,MATCH($B118,'Master data'!$A$2:$A$1000,0),MATCH(L$1,'Master data'!$B$1:$CL$1,0)),"")</f>
        <v>-1522.0900556358338</v>
      </c>
      <c r="M118" s="5">
        <f>IFERROR(INDEX('Master data'!$B$2:$CL$1000,MATCH($B118,'Master data'!$A$2:$A$1000,0),MATCH(M$1,'Master data'!$B$1:$CL$1,0)),"")</f>
        <v>22854.673581029896</v>
      </c>
      <c r="N118" s="28">
        <f>IFERROR(INDEX('Master data'!$B$2:$CL$1000,MATCH($B118,'Master data'!$A$2:$A$1000,0),MATCH(N$1,'Master data'!$B$1:$CL$1,0)),"")</f>
        <v>1.3917444119824086E-2</v>
      </c>
      <c r="O118" s="7">
        <f>IFERROR(INDEX('Master data'!$B$2:$CL$1000,MATCH($B118,'Master data'!$A$2:$A$1000,0),MATCH(O$1,'Master data'!$B$1:$CL$1,0)),"")</f>
        <v>0</v>
      </c>
      <c r="P118" s="5">
        <f>IFERROR(INDEX('Master data'!$B$2:$CL$1000,MATCH($B118,'Master data'!$A$2:$A$1000,0),MATCH(P$1,'Master data'!$B$1:$CL$1,0)),"")</f>
        <v>2500000</v>
      </c>
      <c r="Q118" s="5">
        <f>IFERROR(INDEX('Master data'!$B$2:$CL$1000,MATCH($B118,'Master data'!$A$2:$A$1000,0),MATCH(Q$1,'Master data'!$B$1:$CL$1,0)),"")</f>
        <v>2500000</v>
      </c>
    </row>
    <row r="119" spans="1:17" hidden="1">
      <c r="A119">
        <f t="shared" si="1"/>
        <v>117</v>
      </c>
      <c r="B119" t="str">
        <f>IF('Master data'!A119="","",'Master data'!A119)</f>
        <v>Gonçalo  Guedes</v>
      </c>
      <c r="C119" t="str">
        <f>IFERROR(INDEX('Master data'!$B$2:$CL$1000,MATCH($B119,'Master data'!$A$2:$A$1000,0),MATCH(C$1,'Master data'!$B$1:$CL$1,0)),"")</f>
        <v>Portugal</v>
      </c>
      <c r="D119" t="str">
        <f>IFERROR(INDEX('Master data'!$B$2:$CL$1000,MATCH($B119,'Master data'!$A$2:$A$1000,0),MATCH(D$1,'Master data'!$B$1:$CL$1,0)),"")</f>
        <v>Striker</v>
      </c>
      <c r="E119" s="5">
        <f>IFERROR(INDEX('Master data'!$B$2:$CL$1000,MATCH($B119,'Master data'!$A$2:$A$1000,0),MATCH(E$1,'Master data'!$B$1:$CL$1,0)),"")</f>
        <v>3000000</v>
      </c>
      <c r="F119" s="7">
        <f>IFERROR(INDEX('Master data'!$B$2:$CL$1000,MATCH($B119,'Master data'!$A$2:$A$1000,0),MATCH(F$1,'Master data'!$B$1:$CL$1,0)),"")</f>
        <v>-5000</v>
      </c>
      <c r="G119" s="7">
        <f>IFERROR(INDEX('Master data'!$B$2:$CL$1000,MATCH($B119,'Master data'!$A$2:$A$1000,0),MATCH(G$1,'Master data'!$B$1:$CL$1,0)),"")</f>
        <v>-5000</v>
      </c>
      <c r="H119" s="7">
        <f>IFERROR(INDEX('Master data'!$B$2:$CL$1000,MATCH($B119,'Master data'!$A$2:$A$1000,0),MATCH(H$1,'Master data'!$B$1:$CL$1,0)),"")</f>
        <v>-5000</v>
      </c>
      <c r="I119" s="7">
        <f>IFERROR(INDEX('Master data'!$B$2:$CL$1000,MATCH($B119,'Master data'!$A$2:$A$1000,0),MATCH(I$1,'Master data'!$B$1:$CL$1,0)),"")</f>
        <v>-26205.095318594376</v>
      </c>
      <c r="J119" s="7">
        <f>IFERROR(INDEX('Master data'!$B$2:$CL$1000,MATCH($B119,'Master data'!$A$2:$A$1000,0),MATCH(J$1,'Master data'!$B$1:$CL$1,0)),"")</f>
        <v>-13335.140044167281</v>
      </c>
      <c r="K119" s="7">
        <f>IFERROR(INDEX('Master data'!$B$2:$CL$1000,MATCH($B119,'Master data'!$A$2:$A$1000,0),MATCH(K$1,'Master data'!$B$1:$CL$1,0)),"")</f>
        <v>-6894.2534095281053</v>
      </c>
      <c r="L119" s="7">
        <f>IFERROR(INDEX('Master data'!$B$2:$CL$1000,MATCH($B119,'Master data'!$A$2:$A$1000,0),MATCH(L$1,'Master data'!$B$1:$CL$1,0)),"")</f>
        <v>-3746.3836742916124</v>
      </c>
      <c r="M119" s="5">
        <f>IFERROR(INDEX('Master data'!$B$2:$CL$1000,MATCH($B119,'Master data'!$A$2:$A$1000,0),MATCH(M$1,'Master data'!$B$1:$CL$1,0)),"")</f>
        <v>-22190.915826674667</v>
      </c>
      <c r="N119" s="28">
        <f>IFERROR(INDEX('Master data'!$B$2:$CL$1000,MATCH($B119,'Master data'!$A$2:$A$1000,0),MATCH(N$1,'Master data'!$B$1:$CL$1,0)),"")</f>
        <v>-5.0000000000000001E-3</v>
      </c>
      <c r="O119" s="7">
        <f>IFERROR(INDEX('Master data'!$B$2:$CL$1000,MATCH($B119,'Master data'!$A$2:$A$1000,0),MATCH(O$1,'Master data'!$B$1:$CL$1,0)),"")</f>
        <v>0</v>
      </c>
      <c r="P119" s="5">
        <f>IFERROR(INDEX('Master data'!$B$2:$CL$1000,MATCH($B119,'Master data'!$A$2:$A$1000,0),MATCH(P$1,'Master data'!$B$1:$CL$1,0)),"")</f>
        <v>3000000</v>
      </c>
      <c r="Q119" s="5">
        <f>IFERROR(INDEX('Master data'!$B$2:$CL$1000,MATCH($B119,'Master data'!$A$2:$A$1000,0),MATCH(Q$1,'Master data'!$B$1:$CL$1,0)),"")</f>
        <v>3000000</v>
      </c>
    </row>
    <row r="120" spans="1:17" hidden="1">
      <c r="A120">
        <f t="shared" si="1"/>
        <v>118</v>
      </c>
      <c r="B120" t="str">
        <f>IF('Master data'!A120="","",'Master data'!A120)</f>
        <v>Pedro  Gonçalves</v>
      </c>
      <c r="C120" t="str">
        <f>IFERROR(INDEX('Master data'!$B$2:$CL$1000,MATCH($B120,'Master data'!$A$2:$A$1000,0),MATCH(C$1,'Master data'!$B$1:$CL$1,0)),"")</f>
        <v>Portugal</v>
      </c>
      <c r="D120" t="str">
        <f>IFERROR(INDEX('Master data'!$B$2:$CL$1000,MATCH($B120,'Master data'!$A$2:$A$1000,0),MATCH(D$1,'Master data'!$B$1:$CL$1,0)),"")</f>
        <v>Striker</v>
      </c>
      <c r="E120" s="5">
        <f>IFERROR(INDEX('Master data'!$B$2:$CL$1000,MATCH($B120,'Master data'!$A$2:$A$1000,0),MATCH(E$1,'Master data'!$B$1:$CL$1,0)),"")</f>
        <v>3000000</v>
      </c>
      <c r="F120" s="7">
        <f>IFERROR(INDEX('Master data'!$B$2:$CL$1000,MATCH($B120,'Master data'!$A$2:$A$1000,0),MATCH(F$1,'Master data'!$B$1:$CL$1,0)),"")</f>
        <v>-5000</v>
      </c>
      <c r="G120" s="7">
        <f>IFERROR(INDEX('Master data'!$B$2:$CL$1000,MATCH($B120,'Master data'!$A$2:$A$1000,0),MATCH(G$1,'Master data'!$B$1:$CL$1,0)),"")</f>
        <v>-5000</v>
      </c>
      <c r="H120" s="7">
        <f>IFERROR(INDEX('Master data'!$B$2:$CL$1000,MATCH($B120,'Master data'!$A$2:$A$1000,0),MATCH(H$1,'Master data'!$B$1:$CL$1,0)),"")</f>
        <v>-5000</v>
      </c>
      <c r="I120" s="7">
        <f>IFERROR(INDEX('Master data'!$B$2:$CL$1000,MATCH($B120,'Master data'!$A$2:$A$1000,0),MATCH(I$1,'Master data'!$B$1:$CL$1,0)),"")</f>
        <v>-26205.095318594376</v>
      </c>
      <c r="J120" s="7">
        <f>IFERROR(INDEX('Master data'!$B$2:$CL$1000,MATCH($B120,'Master data'!$A$2:$A$1000,0),MATCH(J$1,'Master data'!$B$1:$CL$1,0)),"")</f>
        <v>-13335.140044167281</v>
      </c>
      <c r="K120" s="7">
        <f>IFERROR(INDEX('Master data'!$B$2:$CL$1000,MATCH($B120,'Master data'!$A$2:$A$1000,0),MATCH(K$1,'Master data'!$B$1:$CL$1,0)),"")</f>
        <v>-6894.2534095281053</v>
      </c>
      <c r="L120" s="7">
        <f>IFERROR(INDEX('Master data'!$B$2:$CL$1000,MATCH($B120,'Master data'!$A$2:$A$1000,0),MATCH(L$1,'Master data'!$B$1:$CL$1,0)),"")</f>
        <v>-3746.3836742916124</v>
      </c>
      <c r="M120" s="5">
        <f>IFERROR(INDEX('Master data'!$B$2:$CL$1000,MATCH($B120,'Master data'!$A$2:$A$1000,0),MATCH(M$1,'Master data'!$B$1:$CL$1,0)),"")</f>
        <v>-22190.915826674667</v>
      </c>
      <c r="N120" s="28">
        <f>IFERROR(INDEX('Master data'!$B$2:$CL$1000,MATCH($B120,'Master data'!$A$2:$A$1000,0),MATCH(N$1,'Master data'!$B$1:$CL$1,0)),"")</f>
        <v>-5.0000000000000001E-3</v>
      </c>
      <c r="O120" s="7">
        <f>IFERROR(INDEX('Master data'!$B$2:$CL$1000,MATCH($B120,'Master data'!$A$2:$A$1000,0),MATCH(O$1,'Master data'!$B$1:$CL$1,0)),"")</f>
        <v>0</v>
      </c>
      <c r="P120" s="5">
        <f>IFERROR(INDEX('Master data'!$B$2:$CL$1000,MATCH($B120,'Master data'!$A$2:$A$1000,0),MATCH(P$1,'Master data'!$B$1:$CL$1,0)),"")</f>
        <v>3000000</v>
      </c>
      <c r="Q120" s="5">
        <f>IFERROR(INDEX('Master data'!$B$2:$CL$1000,MATCH($B120,'Master data'!$A$2:$A$1000,0),MATCH(Q$1,'Master data'!$B$1:$CL$1,0)),"")</f>
        <v>3000000</v>
      </c>
    </row>
    <row r="121" spans="1:17" hidden="1">
      <c r="A121">
        <f t="shared" si="1"/>
        <v>119</v>
      </c>
      <c r="B121" t="str">
        <f>IF('Master data'!A121="","",'Master data'!A121)</f>
        <v>Sergio Oliveira</v>
      </c>
      <c r="C121" t="str">
        <f>IFERROR(INDEX('Master data'!$B$2:$CL$1000,MATCH($B121,'Master data'!$A$2:$A$1000,0),MATCH(C$1,'Master data'!$B$1:$CL$1,0)),"")</f>
        <v>Portugal</v>
      </c>
      <c r="D121" t="str">
        <f>IFERROR(INDEX('Master data'!$B$2:$CL$1000,MATCH($B121,'Master data'!$A$2:$A$1000,0),MATCH(D$1,'Master data'!$B$1:$CL$1,0)),"")</f>
        <v>Midfield</v>
      </c>
      <c r="E121" s="5">
        <f>IFERROR(INDEX('Master data'!$B$2:$CL$1000,MATCH($B121,'Master data'!$A$2:$A$1000,0),MATCH(E$1,'Master data'!$B$1:$CL$1,0)),"")</f>
        <v>4000000</v>
      </c>
      <c r="F121" s="7">
        <f>IFERROR(INDEX('Master data'!$B$2:$CL$1000,MATCH($B121,'Master data'!$A$2:$A$1000,0),MATCH(F$1,'Master data'!$B$1:$CL$1,0)),"")</f>
        <v>-5000</v>
      </c>
      <c r="G121" s="7">
        <f>IFERROR(INDEX('Master data'!$B$2:$CL$1000,MATCH($B121,'Master data'!$A$2:$A$1000,0),MATCH(G$1,'Master data'!$B$1:$CL$1,0)),"")</f>
        <v>-5000</v>
      </c>
      <c r="H121" s="7">
        <f>IFERROR(INDEX('Master data'!$B$2:$CL$1000,MATCH($B121,'Master data'!$A$2:$A$1000,0),MATCH(H$1,'Master data'!$B$1:$CL$1,0)),"")</f>
        <v>-5000</v>
      </c>
      <c r="I121" s="7">
        <f>IFERROR(INDEX('Master data'!$B$2:$CL$1000,MATCH($B121,'Master data'!$A$2:$A$1000,0),MATCH(I$1,'Master data'!$B$1:$CL$1,0)),"")</f>
        <v>-33724.491392796495</v>
      </c>
      <c r="J121" s="7">
        <f>IFERROR(INDEX('Master data'!$B$2:$CL$1000,MATCH($B121,'Master data'!$A$2:$A$1000,0),MATCH(J$1,'Master data'!$B$1:$CL$1,0)),"")</f>
        <v>-17167.076838468223</v>
      </c>
      <c r="K121" s="7">
        <f>IFERROR(INDEX('Master data'!$B$2:$CL$1000,MATCH($B121,'Master data'!$A$2:$A$1000,0),MATCH(K$1,'Master data'!$B$1:$CL$1,0)),"")</f>
        <v>-8878.2112252196457</v>
      </c>
      <c r="L121" s="7">
        <f>IFERROR(INDEX('Master data'!$B$2:$CL$1000,MATCH($B121,'Master data'!$A$2:$A$1000,0),MATCH(L$1,'Master data'!$B$1:$CL$1,0)),"")</f>
        <v>-4826.0331481508665</v>
      </c>
      <c r="M121" s="5">
        <f>IFERROR(INDEX('Master data'!$B$2:$CL$1000,MATCH($B121,'Master data'!$A$2:$A$1000,0),MATCH(M$1,'Master data'!$B$1:$CL$1,0)),"")</f>
        <v>-25531.856796551725</v>
      </c>
      <c r="N121" s="28">
        <f>IFERROR(INDEX('Master data'!$B$2:$CL$1000,MATCH($B121,'Master data'!$A$2:$A$1000,0),MATCH(N$1,'Master data'!$B$1:$CL$1,0)),"")</f>
        <v>-3.7499999999999999E-3</v>
      </c>
      <c r="O121" s="7">
        <f>IFERROR(INDEX('Master data'!$B$2:$CL$1000,MATCH($B121,'Master data'!$A$2:$A$1000,0),MATCH(O$1,'Master data'!$B$1:$CL$1,0)),"")</f>
        <v>0</v>
      </c>
      <c r="P121" s="5">
        <f>IFERROR(INDEX('Master data'!$B$2:$CL$1000,MATCH($B121,'Master data'!$A$2:$A$1000,0),MATCH(P$1,'Master data'!$B$1:$CL$1,0)),"")</f>
        <v>4000000</v>
      </c>
      <c r="Q121" s="5">
        <f>IFERROR(INDEX('Master data'!$B$2:$CL$1000,MATCH($B121,'Master data'!$A$2:$A$1000,0),MATCH(Q$1,'Master data'!$B$1:$CL$1,0)),"")</f>
        <v>4000000</v>
      </c>
    </row>
    <row r="122" spans="1:17" hidden="1">
      <c r="A122">
        <f t="shared" si="1"/>
        <v>120</v>
      </c>
      <c r="B122" t="str">
        <f>IF('Master data'!A122="","",'Master data'!A122)</f>
        <v>Raphaël Guerreiro</v>
      </c>
      <c r="C122" t="str">
        <f>IFERROR(INDEX('Master data'!$B$2:$CL$1000,MATCH($B122,'Master data'!$A$2:$A$1000,0),MATCH(C$1,'Master data'!$B$1:$CL$1,0)),"")</f>
        <v>Portugal</v>
      </c>
      <c r="D122" t="str">
        <f>IFERROR(INDEX('Master data'!$B$2:$CL$1000,MATCH($B122,'Master data'!$A$2:$A$1000,0),MATCH(D$1,'Master data'!$B$1:$CL$1,0)),"")</f>
        <v>Defense</v>
      </c>
      <c r="E122" s="5">
        <f>IFERROR(INDEX('Master data'!$B$2:$CL$1000,MATCH($B122,'Master data'!$A$2:$A$1000,0),MATCH(E$1,'Master data'!$B$1:$CL$1,0)),"")</f>
        <v>4000000</v>
      </c>
      <c r="F122" s="7">
        <f>IFERROR(INDEX('Master data'!$B$2:$CL$1000,MATCH($B122,'Master data'!$A$2:$A$1000,0),MATCH(F$1,'Master data'!$B$1:$CL$1,0)),"")</f>
        <v>18595.505617977524</v>
      </c>
      <c r="G122" s="7">
        <f>IFERROR(INDEX('Master data'!$B$2:$CL$1000,MATCH($B122,'Master data'!$A$2:$A$1000,0),MATCH(G$1,'Master data'!$B$1:$CL$1,0)),"")</f>
        <v>7523.8334169593545</v>
      </c>
      <c r="H122" s="7">
        <f>IFERROR(INDEX('Master data'!$B$2:$CL$1000,MATCH($B122,'Master data'!$A$2:$A$1000,0),MATCH(H$1,'Master data'!$B$1:$CL$1,0)),"")</f>
        <v>8674.2712646233358</v>
      </c>
      <c r="I122" s="7">
        <f>IFERROR(INDEX('Master data'!$B$2:$CL$1000,MATCH($B122,'Master data'!$A$2:$A$1000,0),MATCH(I$1,'Master data'!$B$1:$CL$1,0)),"")</f>
        <v>-21618.313343707923</v>
      </c>
      <c r="J122" s="7">
        <f>IFERROR(INDEX('Master data'!$B$2:$CL$1000,MATCH($B122,'Master data'!$A$2:$A$1000,0),MATCH(J$1,'Master data'!$B$1:$CL$1,0)),"")</f>
        <v>-11061.285880773275</v>
      </c>
      <c r="K122" s="7">
        <f>IFERROR(INDEX('Master data'!$B$2:$CL$1000,MATCH($B122,'Master data'!$A$2:$A$1000,0),MATCH(K$1,'Master data'!$B$1:$CL$1,0)),"")</f>
        <v>-5749.9111849181227</v>
      </c>
      <c r="L122" s="7">
        <f>IFERROR(INDEX('Master data'!$B$2:$CL$1000,MATCH($B122,'Master data'!$A$2:$A$1000,0),MATCH(L$1,'Master data'!$B$1:$CL$1,0)),"")</f>
        <v>-3141.5642664247148</v>
      </c>
      <c r="M122" s="5">
        <f>IFERROR(INDEX('Master data'!$B$2:$CL$1000,MATCH($B122,'Master data'!$A$2:$A$1000,0),MATCH(M$1,'Master data'!$B$1:$CL$1,0)),"")</f>
        <v>17843.262126214315</v>
      </c>
      <c r="N122" s="28">
        <f>IFERROR(INDEX('Master data'!$B$2:$CL$1000,MATCH($B122,'Master data'!$A$2:$A$1000,0),MATCH(N$1,'Master data'!$B$1:$CL$1,0)),"")</f>
        <v>8.6984025748900531E-3</v>
      </c>
      <c r="O122" s="7">
        <f>IFERROR(INDEX('Master data'!$B$2:$CL$1000,MATCH($B122,'Master data'!$A$2:$A$1000,0),MATCH(O$1,'Master data'!$B$1:$CL$1,0)),"")</f>
        <v>0</v>
      </c>
      <c r="P122" s="5">
        <f>IFERROR(INDEX('Master data'!$B$2:$CL$1000,MATCH($B122,'Master data'!$A$2:$A$1000,0),MATCH(P$1,'Master data'!$B$1:$CL$1,0)),"")</f>
        <v>4000000</v>
      </c>
      <c r="Q122" s="5">
        <f>IFERROR(INDEX('Master data'!$B$2:$CL$1000,MATCH($B122,'Master data'!$A$2:$A$1000,0),MATCH(Q$1,'Master data'!$B$1:$CL$1,0)),"")</f>
        <v>4000000</v>
      </c>
    </row>
    <row r="123" spans="1:17" hidden="1">
      <c r="A123">
        <f t="shared" si="1"/>
        <v>121</v>
      </c>
      <c r="B123" t="str">
        <f>IF('Master data'!A123="","",'Master data'!A123)</f>
        <v>André A. Silva</v>
      </c>
      <c r="C123" t="str">
        <f>IFERROR(INDEX('Master data'!$B$2:$CL$1000,MATCH($B123,'Master data'!$A$2:$A$1000,0),MATCH(C$1,'Master data'!$B$1:$CL$1,0)),"")</f>
        <v>Portugal</v>
      </c>
      <c r="D123" t="str">
        <f>IFERROR(INDEX('Master data'!$B$2:$CL$1000,MATCH($B123,'Master data'!$A$2:$A$1000,0),MATCH(D$1,'Master data'!$B$1:$CL$1,0)),"")</f>
        <v>Striker</v>
      </c>
      <c r="E123" s="5">
        <f>IFERROR(INDEX('Master data'!$B$2:$CL$1000,MATCH($B123,'Master data'!$A$2:$A$1000,0),MATCH(E$1,'Master data'!$B$1:$CL$1,0)),"")</f>
        <v>5000000</v>
      </c>
      <c r="F123" s="7">
        <f>IFERROR(INDEX('Master data'!$B$2:$CL$1000,MATCH($B123,'Master data'!$A$2:$A$1000,0),MATCH(F$1,'Master data'!$B$1:$CL$1,0)),"")</f>
        <v>-5000</v>
      </c>
      <c r="G123" s="7">
        <f>IFERROR(INDEX('Master data'!$B$2:$CL$1000,MATCH($B123,'Master data'!$A$2:$A$1000,0),MATCH(G$1,'Master data'!$B$1:$CL$1,0)),"")</f>
        <v>-5000</v>
      </c>
      <c r="H123" s="7">
        <f>IFERROR(INDEX('Master data'!$B$2:$CL$1000,MATCH($B123,'Master data'!$A$2:$A$1000,0),MATCH(H$1,'Master data'!$B$1:$CL$1,0)),"")</f>
        <v>-5000</v>
      </c>
      <c r="I123" s="7">
        <f>IFERROR(INDEX('Master data'!$B$2:$CL$1000,MATCH($B123,'Master data'!$A$2:$A$1000,0),MATCH(I$1,'Master data'!$B$1:$CL$1,0)),"")</f>
        <v>-41243.887466998611</v>
      </c>
      <c r="J123" s="7">
        <f>IFERROR(INDEX('Master data'!$B$2:$CL$1000,MATCH($B123,'Master data'!$A$2:$A$1000,0),MATCH(J$1,'Master data'!$B$1:$CL$1,0)),"")</f>
        <v>-20999.013632769169</v>
      </c>
      <c r="K123" s="7">
        <f>IFERROR(INDEX('Master data'!$B$2:$CL$1000,MATCH($B123,'Master data'!$A$2:$A$1000,0),MATCH(K$1,'Master data'!$B$1:$CL$1,0)),"")</f>
        <v>-10862.169040911187</v>
      </c>
      <c r="L123" s="7">
        <f>IFERROR(INDEX('Master data'!$B$2:$CL$1000,MATCH($B123,'Master data'!$A$2:$A$1000,0),MATCH(L$1,'Master data'!$B$1:$CL$1,0)),"")</f>
        <v>-5905.6826220101202</v>
      </c>
      <c r="M123" s="5">
        <f>IFERROR(INDEX('Master data'!$B$2:$CL$1000,MATCH($B123,'Master data'!$A$2:$A$1000,0),MATCH(M$1,'Master data'!$B$1:$CL$1,0)),"")</f>
        <v>-28872.797766428776</v>
      </c>
      <c r="N123" s="28">
        <f>IFERROR(INDEX('Master data'!$B$2:$CL$1000,MATCH($B123,'Master data'!$A$2:$A$1000,0),MATCH(N$1,'Master data'!$B$1:$CL$1,0)),"")</f>
        <v>-3.0000000000000001E-3</v>
      </c>
      <c r="O123" s="7">
        <f>IFERROR(INDEX('Master data'!$B$2:$CL$1000,MATCH($B123,'Master data'!$A$2:$A$1000,0),MATCH(O$1,'Master data'!$B$1:$CL$1,0)),"")</f>
        <v>0</v>
      </c>
      <c r="P123" s="5">
        <f>IFERROR(INDEX('Master data'!$B$2:$CL$1000,MATCH($B123,'Master data'!$A$2:$A$1000,0),MATCH(P$1,'Master data'!$B$1:$CL$1,0)),"")</f>
        <v>5000000</v>
      </c>
      <c r="Q123" s="5">
        <f>IFERROR(INDEX('Master data'!$B$2:$CL$1000,MATCH($B123,'Master data'!$A$2:$A$1000,0),MATCH(Q$1,'Master data'!$B$1:$CL$1,0)),"")</f>
        <v>5000000</v>
      </c>
    </row>
    <row r="124" spans="1:17" hidden="1">
      <c r="A124">
        <f t="shared" si="1"/>
        <v>122</v>
      </c>
      <c r="B124" t="str">
        <f>IF('Master data'!A124="","",'Master data'!A124)</f>
        <v>David de Gea</v>
      </c>
      <c r="C124" t="str">
        <f>IFERROR(INDEX('Master data'!$B$2:$CL$1000,MATCH($B124,'Master data'!$A$2:$A$1000,0),MATCH(C$1,'Master data'!$B$1:$CL$1,0)),"")</f>
        <v>Spain</v>
      </c>
      <c r="D124" t="str">
        <f>IFERROR(INDEX('Master data'!$B$2:$CL$1000,MATCH($B124,'Master data'!$A$2:$A$1000,0),MATCH(D$1,'Master data'!$B$1:$CL$1,0)),"")</f>
        <v>Goalkeeper</v>
      </c>
      <c r="E124" s="5">
        <f>IFERROR(INDEX('Master data'!$B$2:$CL$1000,MATCH($B124,'Master data'!$A$2:$A$1000,0),MATCH(E$1,'Master data'!$B$1:$CL$1,0)),"")</f>
        <v>5000000</v>
      </c>
      <c r="F124" s="7">
        <f>IFERROR(INDEX('Master data'!$B$2:$CL$1000,MATCH($B124,'Master data'!$A$2:$A$1000,0),MATCH(F$1,'Master data'!$B$1:$CL$1,0)),"")</f>
        <v>82622.488713159255</v>
      </c>
      <c r="G124" s="7">
        <f>IFERROR(INDEX('Master data'!$B$2:$CL$1000,MATCH($B124,'Master data'!$A$2:$A$1000,0),MATCH(G$1,'Master data'!$B$1:$CL$1,0)),"")</f>
        <v>78309.636790052071</v>
      </c>
      <c r="H124" s="7">
        <f>IFERROR(INDEX('Master data'!$B$2:$CL$1000,MATCH($B124,'Master data'!$A$2:$A$1000,0),MATCH(H$1,'Master data'!$B$1:$CL$1,0)),"")</f>
        <v>94080.332151104041</v>
      </c>
      <c r="I124" s="7">
        <f>IFERROR(INDEX('Master data'!$B$2:$CL$1000,MATCH($B124,'Master data'!$A$2:$A$1000,0),MATCH(I$1,'Master data'!$B$1:$CL$1,0)),"")</f>
        <v>31375.888784546602</v>
      </c>
      <c r="J124" s="7">
        <f>IFERROR(INDEX('Master data'!$B$2:$CL$1000,MATCH($B124,'Master data'!$A$2:$A$1000,0),MATCH(J$1,'Master data'!$B$1:$CL$1,0)),"")</f>
        <v>15483.142263965605</v>
      </c>
      <c r="K124" s="7">
        <f>IFERROR(INDEX('Master data'!$B$2:$CL$1000,MATCH($B124,'Master data'!$A$2:$A$1000,0),MATCH(K$1,'Master data'!$B$1:$CL$1,0)),"")</f>
        <v>7722.1072100768379</v>
      </c>
      <c r="L124" s="7">
        <f>IFERROR(INDEX('Master data'!$B$2:$CL$1000,MATCH($B124,'Master data'!$A$2:$A$1000,0),MATCH(L$1,'Master data'!$B$1:$CL$1,0)),"")</f>
        <v>3991.0052520818617</v>
      </c>
      <c r="M124" s="5">
        <f>IFERROR(INDEX('Master data'!$B$2:$CL$1000,MATCH($B124,'Master data'!$A$2:$A$1000,0),MATCH(M$1,'Master data'!$B$1:$CL$1,0)),"")</f>
        <v>190364.6316331822</v>
      </c>
      <c r="N124" s="28">
        <f>IFERROR(INDEX('Master data'!$B$2:$CL$1000,MATCH($B124,'Master data'!$A$2:$A$1000,0),MATCH(N$1,'Master data'!$B$1:$CL$1,0)),"")</f>
        <v>5.100249153086308E-2</v>
      </c>
      <c r="O124" s="7">
        <f>IFERROR(INDEX('Master data'!$B$2:$CL$1000,MATCH($B124,'Master data'!$A$2:$A$1000,0),MATCH(O$1,'Master data'!$B$1:$CL$1,0)),"")</f>
        <v>0</v>
      </c>
      <c r="P124" s="5">
        <f>IFERROR(INDEX('Master data'!$B$2:$CL$1000,MATCH($B124,'Master data'!$A$2:$A$1000,0),MATCH(P$1,'Master data'!$B$1:$CL$1,0)),"")</f>
        <v>5000000</v>
      </c>
      <c r="Q124" s="5">
        <f>IFERROR(INDEX('Master data'!$B$2:$CL$1000,MATCH($B124,'Master data'!$A$2:$A$1000,0),MATCH(Q$1,'Master data'!$B$1:$CL$1,0)),"")</f>
        <v>5000000</v>
      </c>
    </row>
    <row r="125" spans="1:17" hidden="1">
      <c r="A125">
        <f t="shared" si="1"/>
        <v>123</v>
      </c>
      <c r="B125" t="str">
        <f>IF('Master data'!A125="","",'Master data'!A125)</f>
        <v>César Azpilicueta</v>
      </c>
      <c r="C125" t="str">
        <f>IFERROR(INDEX('Master data'!$B$2:$CL$1000,MATCH($B125,'Master data'!$A$2:$A$1000,0),MATCH(C$1,'Master data'!$B$1:$CL$1,0)),"")</f>
        <v>Spain</v>
      </c>
      <c r="D125" t="str">
        <f>IFERROR(INDEX('Master data'!$B$2:$CL$1000,MATCH($B125,'Master data'!$A$2:$A$1000,0),MATCH(D$1,'Master data'!$B$1:$CL$1,0)),"")</f>
        <v>Defense</v>
      </c>
      <c r="E125" s="5">
        <f>IFERROR(INDEX('Master data'!$B$2:$CL$1000,MATCH($B125,'Master data'!$A$2:$A$1000,0),MATCH(E$1,'Master data'!$B$1:$CL$1,0)),"")</f>
        <v>3500000</v>
      </c>
      <c r="F125" s="7">
        <f>IFERROR(INDEX('Master data'!$B$2:$CL$1000,MATCH($B125,'Master data'!$A$2:$A$1000,0),MATCH(F$1,'Master data'!$B$1:$CL$1,0)),"")</f>
        <v>21459.763254749829</v>
      </c>
      <c r="G125" s="7">
        <f>IFERROR(INDEX('Master data'!$B$2:$CL$1000,MATCH($B125,'Master data'!$A$2:$A$1000,0),MATCH(G$1,'Master data'!$B$1:$CL$1,0)),"")</f>
        <v>17962.072677306249</v>
      </c>
      <c r="H125" s="7">
        <f>IFERROR(INDEX('Master data'!$B$2:$CL$1000,MATCH($B125,'Master data'!$A$2:$A$1000,0),MATCH(H$1,'Master data'!$B$1:$CL$1,0)),"")</f>
        <v>23514.3997718848</v>
      </c>
      <c r="I125" s="7">
        <f>IFERROR(INDEX('Master data'!$B$2:$CL$1000,MATCH($B125,'Master data'!$A$2:$A$1000,0),MATCH(I$1,'Master data'!$B$1:$CL$1,0)),"")</f>
        <v>-14163.916226754358</v>
      </c>
      <c r="J125" s="7">
        <f>IFERROR(INDEX('Master data'!$B$2:$CL$1000,MATCH($B125,'Master data'!$A$2:$A$1000,0),MATCH(J$1,'Master data'!$B$1:$CL$1,0)),"")</f>
        <v>-7280.2764454822409</v>
      </c>
      <c r="K125" s="7">
        <f>IFERROR(INDEX('Master data'!$B$2:$CL$1000,MATCH($B125,'Master data'!$A$2:$A$1000,0),MATCH(K$1,'Master data'!$B$1:$CL$1,0)),"")</f>
        <v>-3784.0231163087947</v>
      </c>
      <c r="L125" s="7">
        <f>IFERROR(INDEX('Master data'!$B$2:$CL$1000,MATCH($B125,'Master data'!$A$2:$A$1000,0),MATCH(L$1,'Master data'!$B$1:$CL$1,0)),"")</f>
        <v>-2039.2815460163645</v>
      </c>
      <c r="M125" s="5">
        <f>IFERROR(INDEX('Master data'!$B$2:$CL$1000,MATCH($B125,'Master data'!$A$2:$A$1000,0),MATCH(M$1,'Master data'!$B$1:$CL$1,0)),"")</f>
        <v>37573.1883521743</v>
      </c>
      <c r="N125" s="28">
        <f>IFERROR(INDEX('Master data'!$B$2:$CL$1000,MATCH($B125,'Master data'!$A$2:$A$1000,0),MATCH(N$1,'Master data'!$B$1:$CL$1,0)),"")</f>
        <v>1.7981781629697394E-2</v>
      </c>
      <c r="O125" s="7">
        <f>IFERROR(INDEX('Master data'!$B$2:$CL$1000,MATCH($B125,'Master data'!$A$2:$A$1000,0),MATCH(O$1,'Master data'!$B$1:$CL$1,0)),"")</f>
        <v>0</v>
      </c>
      <c r="P125" s="5">
        <f>IFERROR(INDEX('Master data'!$B$2:$CL$1000,MATCH($B125,'Master data'!$A$2:$A$1000,0),MATCH(P$1,'Master data'!$B$1:$CL$1,0)),"")</f>
        <v>3500000</v>
      </c>
      <c r="Q125" s="5">
        <f>IFERROR(INDEX('Master data'!$B$2:$CL$1000,MATCH($B125,'Master data'!$A$2:$A$1000,0),MATCH(Q$1,'Master data'!$B$1:$CL$1,0)),"")</f>
        <v>3500000</v>
      </c>
    </row>
    <row r="126" spans="1:17" hidden="1">
      <c r="A126">
        <f t="shared" si="1"/>
        <v>124</v>
      </c>
      <c r="B126" t="str">
        <f>IF('Master data'!A126="","",'Master data'!A126)</f>
        <v>Jordi Alba</v>
      </c>
      <c r="C126" t="str">
        <f>IFERROR(INDEX('Master data'!$B$2:$CL$1000,MATCH($B126,'Master data'!$A$2:$A$1000,0),MATCH(C$1,'Master data'!$B$1:$CL$1,0)),"")</f>
        <v>Spain</v>
      </c>
      <c r="D126" t="str">
        <f>IFERROR(INDEX('Master data'!$B$2:$CL$1000,MATCH($B126,'Master data'!$A$2:$A$1000,0),MATCH(D$1,'Master data'!$B$1:$CL$1,0)),"")</f>
        <v>Defense</v>
      </c>
      <c r="E126" s="5">
        <f>IFERROR(INDEX('Master data'!$B$2:$CL$1000,MATCH($B126,'Master data'!$A$2:$A$1000,0),MATCH(E$1,'Master data'!$B$1:$CL$1,0)),"")</f>
        <v>4500000</v>
      </c>
      <c r="F126" s="7">
        <f>IFERROR(INDEX('Master data'!$B$2:$CL$1000,MATCH($B126,'Master data'!$A$2:$A$1000,0),MATCH(F$1,'Master data'!$B$1:$CL$1,0)),"")</f>
        <v>75603.989088420058</v>
      </c>
      <c r="G126" s="7">
        <f>IFERROR(INDEX('Master data'!$B$2:$CL$1000,MATCH($B126,'Master data'!$A$2:$A$1000,0),MATCH(G$1,'Master data'!$B$1:$CL$1,0)),"")</f>
        <v>73137.461888123275</v>
      </c>
      <c r="H126" s="7">
        <f>IFERROR(INDEX('Master data'!$B$2:$CL$1000,MATCH($B126,'Master data'!$A$2:$A$1000,0),MATCH(H$1,'Master data'!$B$1:$CL$1,0)),"")</f>
        <v>93521.413582361711</v>
      </c>
      <c r="I126" s="7">
        <f>IFERROR(INDEX('Master data'!$B$2:$CL$1000,MATCH($B126,'Master data'!$A$2:$A$1000,0),MATCH(I$1,'Master data'!$B$1:$CL$1,0)),"")</f>
        <v>32224.364986766926</v>
      </c>
      <c r="J126" s="7">
        <f>IFERROR(INDEX('Master data'!$B$2:$CL$1000,MATCH($B126,'Master data'!$A$2:$A$1000,0),MATCH(J$1,'Master data'!$B$1:$CL$1,0)),"")</f>
        <v>15933.924223304635</v>
      </c>
      <c r="K126" s="7">
        <f>IFERROR(INDEX('Master data'!$B$2:$CL$1000,MATCH($B126,'Master data'!$A$2:$A$1000,0),MATCH(K$1,'Master data'!$B$1:$CL$1,0)),"")</f>
        <v>7963.8167932118968</v>
      </c>
      <c r="L126" s="7">
        <f>IFERROR(INDEX('Master data'!$B$2:$CL$1000,MATCH($B126,'Master data'!$A$2:$A$1000,0),MATCH(L$1,'Master data'!$B$1:$CL$1,0)),"")</f>
        <v>4125.1505863945613</v>
      </c>
      <c r="M126" s="5">
        <f>IFERROR(INDEX('Master data'!$B$2:$CL$1000,MATCH($B126,'Master data'!$A$2:$A$1000,0),MATCH(M$1,'Master data'!$B$1:$CL$1,0)),"")</f>
        <v>180033.65774862337</v>
      </c>
      <c r="N126" s="28">
        <f>IFERROR(INDEX('Master data'!$B$2:$CL$1000,MATCH($B126,'Master data'!$A$2:$A$1000,0),MATCH(N$1,'Master data'!$B$1:$CL$1,0)),"")</f>
        <v>5.383619212420112E-2</v>
      </c>
      <c r="O126" s="7">
        <f>IFERROR(INDEX('Master data'!$B$2:$CL$1000,MATCH($B126,'Master data'!$A$2:$A$1000,0),MATCH(O$1,'Master data'!$B$1:$CL$1,0)),"")</f>
        <v>0</v>
      </c>
      <c r="P126" s="5">
        <f>IFERROR(INDEX('Master data'!$B$2:$CL$1000,MATCH($B126,'Master data'!$A$2:$A$1000,0),MATCH(P$1,'Master data'!$B$1:$CL$1,0)),"")</f>
        <v>4500000</v>
      </c>
      <c r="Q126" s="5">
        <f>IFERROR(INDEX('Master data'!$B$2:$CL$1000,MATCH($B126,'Master data'!$A$2:$A$1000,0),MATCH(Q$1,'Master data'!$B$1:$CL$1,0)),"")</f>
        <v>4500000</v>
      </c>
    </row>
    <row r="127" spans="1:17" hidden="1">
      <c r="A127">
        <f t="shared" si="1"/>
        <v>125</v>
      </c>
      <c r="B127" t="str">
        <f>IF('Master data'!A127="","",'Master data'!A127)</f>
        <v>José Gayà</v>
      </c>
      <c r="C127" t="str">
        <f>IFERROR(INDEX('Master data'!$B$2:$CL$1000,MATCH($B127,'Master data'!$A$2:$A$1000,0),MATCH(C$1,'Master data'!$B$1:$CL$1,0)),"")</f>
        <v>Spain</v>
      </c>
      <c r="D127" t="str">
        <f>IFERROR(INDEX('Master data'!$B$2:$CL$1000,MATCH($B127,'Master data'!$A$2:$A$1000,0),MATCH(D$1,'Master data'!$B$1:$CL$1,0)),"")</f>
        <v>Defense</v>
      </c>
      <c r="E127" s="5">
        <f>IFERROR(INDEX('Master data'!$B$2:$CL$1000,MATCH($B127,'Master data'!$A$2:$A$1000,0),MATCH(E$1,'Master data'!$B$1:$CL$1,0)),"")</f>
        <v>4000000</v>
      </c>
      <c r="F127" s="7">
        <f>IFERROR(INDEX('Master data'!$B$2:$CL$1000,MATCH($B127,'Master data'!$A$2:$A$1000,0),MATCH(F$1,'Master data'!$B$1:$CL$1,0)),"")</f>
        <v>77861.345973906122</v>
      </c>
      <c r="G127" s="7">
        <f>IFERROR(INDEX('Master data'!$B$2:$CL$1000,MATCH($B127,'Master data'!$A$2:$A$1000,0),MATCH(G$1,'Master data'!$B$1:$CL$1,0)),"")</f>
        <v>75234.327421879134</v>
      </c>
      <c r="H127" s="7">
        <f>IFERROR(INDEX('Master data'!$B$2:$CL$1000,MATCH($B127,'Master data'!$A$2:$A$1000,0),MATCH(H$1,'Master data'!$B$1:$CL$1,0)),"")</f>
        <v>95158.306031853688</v>
      </c>
      <c r="I127" s="7">
        <f>IFERROR(INDEX('Master data'!$B$2:$CL$1000,MATCH($B127,'Master data'!$A$2:$A$1000,0),MATCH(I$1,'Master data'!$B$1:$CL$1,0)),"")</f>
        <v>38931.037262553866</v>
      </c>
      <c r="J127" s="7">
        <f>IFERROR(INDEX('Master data'!$B$2:$CL$1000,MATCH($B127,'Master data'!$A$2:$A$1000,0),MATCH(J$1,'Master data'!$B$1:$CL$1,0)),"")</f>
        <v>19322.71577077992</v>
      </c>
      <c r="K127" s="7">
        <f>IFERROR(INDEX('Master data'!$B$2:$CL$1000,MATCH($B127,'Master data'!$A$2:$A$1000,0),MATCH(K$1,'Master data'!$B$1:$CL$1,0)),"")</f>
        <v>9695.6535630392154</v>
      </c>
      <c r="L127" s="7">
        <f>IFERROR(INDEX('Master data'!$B$2:$CL$1000,MATCH($B127,'Master data'!$A$2:$A$1000,0),MATCH(L$1,'Master data'!$B$1:$CL$1,0)),"")</f>
        <v>5042.9908020667808</v>
      </c>
      <c r="M127" s="5">
        <f>IFERROR(INDEX('Master data'!$B$2:$CL$1000,MATCH($B127,'Master data'!$A$2:$A$1000,0),MATCH(M$1,'Master data'!$B$1:$CL$1,0)),"")</f>
        <v>187381.62519810617</v>
      </c>
      <c r="N127" s="28">
        <f>IFERROR(INDEX('Master data'!$B$2:$CL$1000,MATCH($B127,'Master data'!$A$2:$A$1000,0),MATCH(N$1,'Master data'!$B$1:$CL$1,0)),"")</f>
        <v>6.2063494856909748E-2</v>
      </c>
      <c r="O127" s="7">
        <f>IFERROR(INDEX('Master data'!$B$2:$CL$1000,MATCH($B127,'Master data'!$A$2:$A$1000,0),MATCH(O$1,'Master data'!$B$1:$CL$1,0)),"")</f>
        <v>0</v>
      </c>
      <c r="P127" s="5">
        <f>IFERROR(INDEX('Master data'!$B$2:$CL$1000,MATCH($B127,'Master data'!$A$2:$A$1000,0),MATCH(P$1,'Master data'!$B$1:$CL$1,0)),"")</f>
        <v>4000000</v>
      </c>
      <c r="Q127" s="5">
        <f>IFERROR(INDEX('Master data'!$B$2:$CL$1000,MATCH($B127,'Master data'!$A$2:$A$1000,0),MATCH(Q$1,'Master data'!$B$1:$CL$1,0)),"")</f>
        <v>4000000</v>
      </c>
    </row>
    <row r="128" spans="1:17" hidden="1">
      <c r="A128">
        <f t="shared" si="1"/>
        <v>126</v>
      </c>
      <c r="B128" t="str">
        <f>IF('Master data'!A128="","",'Master data'!A128)</f>
        <v>Fabián Ruiz</v>
      </c>
      <c r="C128" t="str">
        <f>IFERROR(INDEX('Master data'!$B$2:$CL$1000,MATCH($B128,'Master data'!$A$2:$A$1000,0),MATCH(C$1,'Master data'!$B$1:$CL$1,0)),"")</f>
        <v>Spain</v>
      </c>
      <c r="D128" t="str">
        <f>IFERROR(INDEX('Master data'!$B$2:$CL$1000,MATCH($B128,'Master data'!$A$2:$A$1000,0),MATCH(D$1,'Master data'!$B$1:$CL$1,0)),"")</f>
        <v>Midfield</v>
      </c>
      <c r="E128" s="5">
        <f>IFERROR(INDEX('Master data'!$B$2:$CL$1000,MATCH($B128,'Master data'!$A$2:$A$1000,0),MATCH(E$1,'Master data'!$B$1:$CL$1,0)),"")</f>
        <v>3000000</v>
      </c>
      <c r="F128" s="7">
        <f>IFERROR(INDEX('Master data'!$B$2:$CL$1000,MATCH($B128,'Master data'!$A$2:$A$1000,0),MATCH(F$1,'Master data'!$B$1:$CL$1,0)),"")</f>
        <v>-5000</v>
      </c>
      <c r="G128" s="7">
        <f>IFERROR(INDEX('Master data'!$B$2:$CL$1000,MATCH($B128,'Master data'!$A$2:$A$1000,0),MATCH(G$1,'Master data'!$B$1:$CL$1,0)),"")</f>
        <v>-5000</v>
      </c>
      <c r="H128" s="7">
        <f>IFERROR(INDEX('Master data'!$B$2:$CL$1000,MATCH($B128,'Master data'!$A$2:$A$1000,0),MATCH(H$1,'Master data'!$B$1:$CL$1,0)),"")</f>
        <v>-5000</v>
      </c>
      <c r="I128" s="7">
        <f>IFERROR(INDEX('Master data'!$B$2:$CL$1000,MATCH($B128,'Master data'!$A$2:$A$1000,0),MATCH(I$1,'Master data'!$B$1:$CL$1,0)),"")</f>
        <v>-33692.265409621345</v>
      </c>
      <c r="J128" s="7">
        <f>IFERROR(INDEX('Master data'!$B$2:$CL$1000,MATCH($B128,'Master data'!$A$2:$A$1000,0),MATCH(J$1,'Master data'!$B$1:$CL$1,0)),"")</f>
        <v>-17048.904626288291</v>
      </c>
      <c r="K128" s="7">
        <f>IFERROR(INDEX('Master data'!$B$2:$CL$1000,MATCH($B128,'Master data'!$A$2:$A$1000,0),MATCH(K$1,'Master data'!$B$1:$CL$1,0)),"")</f>
        <v>-8725.4895661181599</v>
      </c>
      <c r="L128" s="7">
        <f>IFERROR(INDEX('Master data'!$B$2:$CL$1000,MATCH($B128,'Master data'!$A$2:$A$1000,0),MATCH(L$1,'Master data'!$B$1:$CL$1,0)),"")</f>
        <v>-4631.0971648895811</v>
      </c>
      <c r="M128" s="5">
        <f>IFERROR(INDEX('Master data'!$B$2:$CL$1000,MATCH($B128,'Master data'!$A$2:$A$1000,0),MATCH(M$1,'Master data'!$B$1:$CL$1,0)),"")</f>
        <v>-25461.740482255143</v>
      </c>
      <c r="N128" s="28">
        <f>IFERROR(INDEX('Master data'!$B$2:$CL$1000,MATCH($B128,'Master data'!$A$2:$A$1000,0),MATCH(N$1,'Master data'!$B$1:$CL$1,0)),"")</f>
        <v>-5.0000000000000001E-3</v>
      </c>
      <c r="O128" s="7">
        <f>IFERROR(INDEX('Master data'!$B$2:$CL$1000,MATCH($B128,'Master data'!$A$2:$A$1000,0),MATCH(O$1,'Master data'!$B$1:$CL$1,0)),"")</f>
        <v>0</v>
      </c>
      <c r="P128" s="5">
        <f>IFERROR(INDEX('Master data'!$B$2:$CL$1000,MATCH($B128,'Master data'!$A$2:$A$1000,0),MATCH(P$1,'Master data'!$B$1:$CL$1,0)),"")</f>
        <v>3000000</v>
      </c>
      <c r="Q128" s="5">
        <f>IFERROR(INDEX('Master data'!$B$2:$CL$1000,MATCH($B128,'Master data'!$A$2:$A$1000,0),MATCH(Q$1,'Master data'!$B$1:$CL$1,0)),"")</f>
        <v>3000000</v>
      </c>
    </row>
    <row r="129" spans="1:17" hidden="1">
      <c r="A129">
        <f t="shared" si="1"/>
        <v>127</v>
      </c>
      <c r="B129" t="str">
        <f>IF('Master data'!A129="","",'Master data'!A129)</f>
        <v>Steve Mandanda</v>
      </c>
      <c r="C129" t="str">
        <f>IFERROR(INDEX('Master data'!$B$2:$CL$1000,MATCH($B129,'Master data'!$A$2:$A$1000,0),MATCH(C$1,'Master data'!$B$1:$CL$1,0)),"")</f>
        <v>France</v>
      </c>
      <c r="D129" t="str">
        <f>IFERROR(INDEX('Master data'!$B$2:$CL$1000,MATCH($B129,'Master data'!$A$2:$A$1000,0),MATCH(D$1,'Master data'!$B$1:$CL$1,0)),"")</f>
        <v>Goalkeeper</v>
      </c>
      <c r="E129" s="5">
        <f>IFERROR(INDEX('Master data'!$B$2:$CL$1000,MATCH($B129,'Master data'!$A$2:$A$1000,0),MATCH(E$1,'Master data'!$B$1:$CL$1,0)),"")</f>
        <v>5500000</v>
      </c>
      <c r="F129" s="7">
        <f>IFERROR(INDEX('Master data'!$B$2:$CL$1000,MATCH($B129,'Master data'!$A$2:$A$1000,0),MATCH(F$1,'Master data'!$B$1:$CL$1,0)),"")</f>
        <v>29341.166805851564</v>
      </c>
      <c r="G129" s="7">
        <f>IFERROR(INDEX('Master data'!$B$2:$CL$1000,MATCH($B129,'Master data'!$A$2:$A$1000,0),MATCH(G$1,'Master data'!$B$1:$CL$1,0)),"")</f>
        <v>36774.009509566014</v>
      </c>
      <c r="H129" s="7">
        <f>IFERROR(INDEX('Master data'!$B$2:$CL$1000,MATCH($B129,'Master data'!$A$2:$A$1000,0),MATCH(H$1,'Master data'!$B$1:$CL$1,0)),"")</f>
        <v>32584.314472556543</v>
      </c>
      <c r="I129" s="7">
        <f>IFERROR(INDEX('Master data'!$B$2:$CL$1000,MATCH($B129,'Master data'!$A$2:$A$1000,0),MATCH(I$1,'Master data'!$B$1:$CL$1,0)),"")</f>
        <v>-20379.310653647506</v>
      </c>
      <c r="J129" s="7">
        <f>IFERROR(INDEX('Master data'!$B$2:$CL$1000,MATCH($B129,'Master data'!$A$2:$A$1000,0),MATCH(J$1,'Master data'!$B$1:$CL$1,0)),"")</f>
        <v>-10742.826829841488</v>
      </c>
      <c r="K129" s="7">
        <f>IFERROR(INDEX('Master data'!$B$2:$CL$1000,MATCH($B129,'Master data'!$A$2:$A$1000,0),MATCH(K$1,'Master data'!$B$1:$CL$1,0)),"")</f>
        <v>-5836.2449893597604</v>
      </c>
      <c r="L129" s="7">
        <f>IFERROR(INDEX('Master data'!$B$2:$CL$1000,MATCH($B129,'Master data'!$A$2:$A$1000,0),MATCH(L$1,'Master data'!$B$1:$CL$1,0)),"")</f>
        <v>-3467.5838784133139</v>
      </c>
      <c r="M129" s="5">
        <f>IFERROR(INDEX('Master data'!$B$2:$CL$1000,MATCH($B129,'Master data'!$A$2:$A$1000,0),MATCH(M$1,'Master data'!$B$1:$CL$1,0)),"")</f>
        <v>59105.753169192263</v>
      </c>
      <c r="N129" s="28">
        <f>IFERROR(INDEX('Master data'!$B$2:$CL$1000,MATCH($B129,'Master data'!$A$2:$A$1000,0),MATCH(N$1,'Master data'!$B$1:$CL$1,0)),"")</f>
        <v>1.794536196144984E-2</v>
      </c>
      <c r="O129" s="7">
        <f>IFERROR(INDEX('Master data'!$B$2:$CL$1000,MATCH($B129,'Master data'!$A$2:$A$1000,0),MATCH(O$1,'Master data'!$B$1:$CL$1,0)),"")</f>
        <v>0</v>
      </c>
      <c r="P129" s="5">
        <f>IFERROR(INDEX('Master data'!$B$2:$CL$1000,MATCH($B129,'Master data'!$A$2:$A$1000,0),MATCH(P$1,'Master data'!$B$1:$CL$1,0)),"")</f>
        <v>5500000</v>
      </c>
      <c r="Q129" s="5">
        <f>IFERROR(INDEX('Master data'!$B$2:$CL$1000,MATCH($B129,'Master data'!$A$2:$A$1000,0),MATCH(Q$1,'Master data'!$B$1:$CL$1,0)),"")</f>
        <v>5500000</v>
      </c>
    </row>
    <row r="130" spans="1:17" hidden="1">
      <c r="A130">
        <f t="shared" si="1"/>
        <v>128</v>
      </c>
      <c r="B130" t="str">
        <f>IF('Master data'!A130="","",'Master data'!A130)</f>
        <v>Benjamin Pavard</v>
      </c>
      <c r="C130" t="str">
        <f>IFERROR(INDEX('Master data'!$B$2:$CL$1000,MATCH($B130,'Master data'!$A$2:$A$1000,0),MATCH(C$1,'Master data'!$B$1:$CL$1,0)),"")</f>
        <v>France</v>
      </c>
      <c r="D130" t="str">
        <f>IFERROR(INDEX('Master data'!$B$2:$CL$1000,MATCH($B130,'Master data'!$A$2:$A$1000,0),MATCH(D$1,'Master data'!$B$1:$CL$1,0)),"")</f>
        <v>Defense</v>
      </c>
      <c r="E130" s="5">
        <f>IFERROR(INDEX('Master data'!$B$2:$CL$1000,MATCH($B130,'Master data'!$A$2:$A$1000,0),MATCH(E$1,'Master data'!$B$1:$CL$1,0)),"")</f>
        <v>4000000</v>
      </c>
      <c r="F130" s="7">
        <f>IFERROR(INDEX('Master data'!$B$2:$CL$1000,MATCH($B130,'Master data'!$A$2:$A$1000,0),MATCH(F$1,'Master data'!$B$1:$CL$1,0)),"")</f>
        <v>32887.98278563744</v>
      </c>
      <c r="G130" s="7">
        <f>IFERROR(INDEX('Master data'!$B$2:$CL$1000,MATCH($B130,'Master data'!$A$2:$A$1000,0),MATCH(G$1,'Master data'!$B$1:$CL$1,0)),"")</f>
        <v>68276.724860690272</v>
      </c>
      <c r="H130" s="7">
        <f>IFERROR(INDEX('Master data'!$B$2:$CL$1000,MATCH($B130,'Master data'!$A$2:$A$1000,0),MATCH(H$1,'Master data'!$B$1:$CL$1,0)),"")</f>
        <v>41036.895109741017</v>
      </c>
      <c r="I130" s="7">
        <f>IFERROR(INDEX('Master data'!$B$2:$CL$1000,MATCH($B130,'Master data'!$A$2:$A$1000,0),MATCH(I$1,'Master data'!$B$1:$CL$1,0)),"")</f>
        <v>5277.3080634665712</v>
      </c>
      <c r="J130" s="7">
        <f>IFERROR(INDEX('Master data'!$B$2:$CL$1000,MATCH($B130,'Master data'!$A$2:$A$1000,0),MATCH(J$1,'Master data'!$B$1:$CL$1,0)),"")</f>
        <v>2525.3509212861181</v>
      </c>
      <c r="K130" s="7">
        <f>IFERROR(INDEX('Master data'!$B$2:$CL$1000,MATCH($B130,'Master data'!$A$2:$A$1000,0),MATCH(K$1,'Master data'!$B$1:$CL$1,0)),"")</f>
        <v>1236.4318823187452</v>
      </c>
      <c r="L130" s="7">
        <f>IFERROR(INDEX('Master data'!$B$2:$CL$1000,MATCH($B130,'Master data'!$A$2:$A$1000,0),MATCH(L$1,'Master data'!$B$1:$CL$1,0)),"")</f>
        <v>656.30758677492918</v>
      </c>
      <c r="M130" s="5">
        <f>IFERROR(INDEX('Master data'!$B$2:$CL$1000,MATCH($B130,'Master data'!$A$2:$A$1000,0),MATCH(M$1,'Master data'!$B$1:$CL$1,0)),"")</f>
        <v>98927.341521552036</v>
      </c>
      <c r="N130" s="28">
        <f>IFERROR(INDEX('Master data'!$B$2:$CL$1000,MATCH($B130,'Master data'!$A$2:$A$1000,0),MATCH(N$1,'Master data'!$B$1:$CL$1,0)),"")</f>
        <v>3.5550400689017179E-2</v>
      </c>
      <c r="O130" s="7">
        <f>IFERROR(INDEX('Master data'!$B$2:$CL$1000,MATCH($B130,'Master data'!$A$2:$A$1000,0),MATCH(O$1,'Master data'!$B$1:$CL$1,0)),"")</f>
        <v>0</v>
      </c>
      <c r="P130" s="5">
        <f>IFERROR(INDEX('Master data'!$B$2:$CL$1000,MATCH($B130,'Master data'!$A$2:$A$1000,0),MATCH(P$1,'Master data'!$B$1:$CL$1,0)),"")</f>
        <v>4000000</v>
      </c>
      <c r="Q130" s="5">
        <f>IFERROR(INDEX('Master data'!$B$2:$CL$1000,MATCH($B130,'Master data'!$A$2:$A$1000,0),MATCH(Q$1,'Master data'!$B$1:$CL$1,0)),"")</f>
        <v>4000000</v>
      </c>
    </row>
    <row r="131" spans="1:17" hidden="1">
      <c r="A131">
        <f t="shared" ref="A131:A194" si="2">IF(B131="","",ROW()-2)</f>
        <v>129</v>
      </c>
      <c r="B131" t="str">
        <f>IF('Master data'!A131="","",'Master data'!A131)</f>
        <v>Clément Lenglet</v>
      </c>
      <c r="C131" t="str">
        <f>IFERROR(INDEX('Master data'!$B$2:$CL$1000,MATCH($B131,'Master data'!$A$2:$A$1000,0),MATCH(C$1,'Master data'!$B$1:$CL$1,0)),"")</f>
        <v>France</v>
      </c>
      <c r="D131" t="str">
        <f>IFERROR(INDEX('Master data'!$B$2:$CL$1000,MATCH($B131,'Master data'!$A$2:$A$1000,0),MATCH(D$1,'Master data'!$B$1:$CL$1,0)),"")</f>
        <v>Defense</v>
      </c>
      <c r="E131" s="5">
        <f>IFERROR(INDEX('Master data'!$B$2:$CL$1000,MATCH($B131,'Master data'!$A$2:$A$1000,0),MATCH(E$1,'Master data'!$B$1:$CL$1,0)),"")</f>
        <v>3500000</v>
      </c>
      <c r="F131" s="7">
        <f>IFERROR(INDEX('Master data'!$B$2:$CL$1000,MATCH($B131,'Master data'!$A$2:$A$1000,0),MATCH(F$1,'Master data'!$B$1:$CL$1,0)),"")</f>
        <v>9489.18764664849</v>
      </c>
      <c r="G131" s="7">
        <f>IFERROR(INDEX('Master data'!$B$2:$CL$1000,MATCH($B131,'Master data'!$A$2:$A$1000,0),MATCH(G$1,'Master data'!$B$1:$CL$1,0)),"")</f>
        <v>17400.959215099116</v>
      </c>
      <c r="H131" s="7">
        <f>IFERROR(INDEX('Master data'!$B$2:$CL$1000,MATCH($B131,'Master data'!$A$2:$A$1000,0),MATCH(H$1,'Master data'!$B$1:$CL$1,0)),"")</f>
        <v>13197.699401589991</v>
      </c>
      <c r="I131" s="7">
        <f>IFERROR(INDEX('Master data'!$B$2:$CL$1000,MATCH($B131,'Master data'!$A$2:$A$1000,0),MATCH(I$1,'Master data'!$B$1:$CL$1,0)),"")</f>
        <v>-19453.432922214903</v>
      </c>
      <c r="J131" s="7">
        <f>IFERROR(INDEX('Master data'!$B$2:$CL$1000,MATCH($B131,'Master data'!$A$2:$A$1000,0),MATCH(J$1,'Master data'!$B$1:$CL$1,0)),"")</f>
        <v>-10171.981064987818</v>
      </c>
      <c r="K131" s="7">
        <f>IFERROR(INDEX('Master data'!$B$2:$CL$1000,MATCH($B131,'Master data'!$A$2:$A$1000,0),MATCH(K$1,'Master data'!$B$1:$CL$1,0)),"")</f>
        <v>-5482.3991643177087</v>
      </c>
      <c r="L131" s="7">
        <f>IFERROR(INDEX('Master data'!$B$2:$CL$1000,MATCH($B131,'Master data'!$A$2:$A$1000,0),MATCH(L$1,'Master data'!$B$1:$CL$1,0)),"")</f>
        <v>-3232.0798220852594</v>
      </c>
      <c r="M131" s="5">
        <f>IFERROR(INDEX('Master data'!$B$2:$CL$1000,MATCH($B131,'Master data'!$A$2:$A$1000,0),MATCH(M$1,'Master data'!$B$1:$CL$1,0)),"")</f>
        <v>18176.499816344931</v>
      </c>
      <c r="N131" s="28">
        <f>IFERROR(INDEX('Master data'!$B$2:$CL$1000,MATCH($B131,'Master data'!$A$2:$A$1000,0),MATCH(N$1,'Master data'!$B$1:$CL$1,0)),"")</f>
        <v>1.1453670360953599E-2</v>
      </c>
      <c r="O131" s="7">
        <f>IFERROR(INDEX('Master data'!$B$2:$CL$1000,MATCH($B131,'Master data'!$A$2:$A$1000,0),MATCH(O$1,'Master data'!$B$1:$CL$1,0)),"")</f>
        <v>0</v>
      </c>
      <c r="P131" s="5">
        <f>IFERROR(INDEX('Master data'!$B$2:$CL$1000,MATCH($B131,'Master data'!$A$2:$A$1000,0),MATCH(P$1,'Master data'!$B$1:$CL$1,0)),"")</f>
        <v>3500000</v>
      </c>
      <c r="Q131" s="5">
        <f>IFERROR(INDEX('Master data'!$B$2:$CL$1000,MATCH($B131,'Master data'!$A$2:$A$1000,0),MATCH(Q$1,'Master data'!$B$1:$CL$1,0)),"")</f>
        <v>3500000</v>
      </c>
    </row>
    <row r="132" spans="1:17" hidden="1">
      <c r="A132">
        <f t="shared" si="2"/>
        <v>130</v>
      </c>
      <c r="B132" t="str">
        <f>IF('Master data'!A132="","",'Master data'!A132)</f>
        <v>Lucas Digne</v>
      </c>
      <c r="C132" t="str">
        <f>IFERROR(INDEX('Master data'!$B$2:$CL$1000,MATCH($B132,'Master data'!$A$2:$A$1000,0),MATCH(C$1,'Master data'!$B$1:$CL$1,0)),"")</f>
        <v>France</v>
      </c>
      <c r="D132" t="str">
        <f>IFERROR(INDEX('Master data'!$B$2:$CL$1000,MATCH($B132,'Master data'!$A$2:$A$1000,0),MATCH(D$1,'Master data'!$B$1:$CL$1,0)),"")</f>
        <v>Defense</v>
      </c>
      <c r="E132" s="5">
        <f>IFERROR(INDEX('Master data'!$B$2:$CL$1000,MATCH($B132,'Master data'!$A$2:$A$1000,0),MATCH(E$1,'Master data'!$B$1:$CL$1,0)),"")</f>
        <v>3500000</v>
      </c>
      <c r="F132" s="7">
        <f>IFERROR(INDEX('Master data'!$B$2:$CL$1000,MATCH($B132,'Master data'!$A$2:$A$1000,0),MATCH(F$1,'Master data'!$B$1:$CL$1,0)),"")</f>
        <v>9489.18764664849</v>
      </c>
      <c r="G132" s="7">
        <f>IFERROR(INDEX('Master data'!$B$2:$CL$1000,MATCH($B132,'Master data'!$A$2:$A$1000,0),MATCH(G$1,'Master data'!$B$1:$CL$1,0)),"")</f>
        <v>17400.959215099116</v>
      </c>
      <c r="H132" s="7">
        <f>IFERROR(INDEX('Master data'!$B$2:$CL$1000,MATCH($B132,'Master data'!$A$2:$A$1000,0),MATCH(H$1,'Master data'!$B$1:$CL$1,0)),"")</f>
        <v>13197.699401589991</v>
      </c>
      <c r="I132" s="7">
        <f>IFERROR(INDEX('Master data'!$B$2:$CL$1000,MATCH($B132,'Master data'!$A$2:$A$1000,0),MATCH(I$1,'Master data'!$B$1:$CL$1,0)),"")</f>
        <v>-19453.432922214903</v>
      </c>
      <c r="J132" s="7">
        <f>IFERROR(INDEX('Master data'!$B$2:$CL$1000,MATCH($B132,'Master data'!$A$2:$A$1000,0),MATCH(J$1,'Master data'!$B$1:$CL$1,0)),"")</f>
        <v>-10171.981064987818</v>
      </c>
      <c r="K132" s="7">
        <f>IFERROR(INDEX('Master data'!$B$2:$CL$1000,MATCH($B132,'Master data'!$A$2:$A$1000,0),MATCH(K$1,'Master data'!$B$1:$CL$1,0)),"")</f>
        <v>-5482.3991643177087</v>
      </c>
      <c r="L132" s="7">
        <f>IFERROR(INDEX('Master data'!$B$2:$CL$1000,MATCH($B132,'Master data'!$A$2:$A$1000,0),MATCH(L$1,'Master data'!$B$1:$CL$1,0)),"")</f>
        <v>-3232.0798220852594</v>
      </c>
      <c r="M132" s="5">
        <f>IFERROR(INDEX('Master data'!$B$2:$CL$1000,MATCH($B132,'Master data'!$A$2:$A$1000,0),MATCH(M$1,'Master data'!$B$1:$CL$1,0)),"")</f>
        <v>18176.499816344931</v>
      </c>
      <c r="N132" s="28">
        <f>IFERROR(INDEX('Master data'!$B$2:$CL$1000,MATCH($B132,'Master data'!$A$2:$A$1000,0),MATCH(N$1,'Master data'!$B$1:$CL$1,0)),"")</f>
        <v>1.1453670360953599E-2</v>
      </c>
      <c r="O132" s="7">
        <f>IFERROR(INDEX('Master data'!$B$2:$CL$1000,MATCH($B132,'Master data'!$A$2:$A$1000,0),MATCH(O$1,'Master data'!$B$1:$CL$1,0)),"")</f>
        <v>0</v>
      </c>
      <c r="P132" s="5">
        <f>IFERROR(INDEX('Master data'!$B$2:$CL$1000,MATCH($B132,'Master data'!$A$2:$A$1000,0),MATCH(P$1,'Master data'!$B$1:$CL$1,0)),"")</f>
        <v>3500000</v>
      </c>
      <c r="Q132" s="5">
        <f>IFERROR(INDEX('Master data'!$B$2:$CL$1000,MATCH($B132,'Master data'!$A$2:$A$1000,0),MATCH(Q$1,'Master data'!$B$1:$CL$1,0)),"")</f>
        <v>3500000</v>
      </c>
    </row>
    <row r="133" spans="1:17" hidden="1">
      <c r="A133">
        <f t="shared" si="2"/>
        <v>131</v>
      </c>
      <c r="B133" t="str">
        <f>IF('Master data'!A133="","",'Master data'!A133)</f>
        <v>Lucas Hernández</v>
      </c>
      <c r="C133" t="str">
        <f>IFERROR(INDEX('Master data'!$B$2:$CL$1000,MATCH($B133,'Master data'!$A$2:$A$1000,0),MATCH(C$1,'Master data'!$B$1:$CL$1,0)),"")</f>
        <v>France</v>
      </c>
      <c r="D133" t="str">
        <f>IFERROR(INDEX('Master data'!$B$2:$CL$1000,MATCH($B133,'Master data'!$A$2:$A$1000,0),MATCH(D$1,'Master data'!$B$1:$CL$1,0)),"")</f>
        <v>Defense</v>
      </c>
      <c r="E133" s="5">
        <f>IFERROR(INDEX('Master data'!$B$2:$CL$1000,MATCH($B133,'Master data'!$A$2:$A$1000,0),MATCH(E$1,'Master data'!$B$1:$CL$1,0)),"")</f>
        <v>4000000</v>
      </c>
      <c r="F133" s="7">
        <f>IFERROR(INDEX('Master data'!$B$2:$CL$1000,MATCH($B133,'Master data'!$A$2:$A$1000,0),MATCH(F$1,'Master data'!$B$1:$CL$1,0)),"")</f>
        <v>30293.694001840806</v>
      </c>
      <c r="G133" s="7">
        <f>IFERROR(INDEX('Master data'!$B$2:$CL$1000,MATCH($B133,'Master data'!$A$2:$A$1000,0),MATCH(G$1,'Master data'!$B$1:$CL$1,0)),"")</f>
        <v>67261.565662175723</v>
      </c>
      <c r="H133" s="7">
        <f>IFERROR(INDEX('Master data'!$B$2:$CL$1000,MATCH($B133,'Master data'!$A$2:$A$1000,0),MATCH(H$1,'Master data'!$B$1:$CL$1,0)),"")</f>
        <v>38543.970466489394</v>
      </c>
      <c r="I133" s="7">
        <f>IFERROR(INDEX('Master data'!$B$2:$CL$1000,MATCH($B133,'Master data'!$A$2:$A$1000,0),MATCH(I$1,'Master data'!$B$1:$CL$1,0)),"")</f>
        <v>3535.6291567295862</v>
      </c>
      <c r="J133" s="7">
        <f>IFERROR(INDEX('Master data'!$B$2:$CL$1000,MATCH($B133,'Master data'!$A$2:$A$1000,0),MATCH(J$1,'Master data'!$B$1:$CL$1,0)),"")</f>
        <v>1629.4674067944597</v>
      </c>
      <c r="K133" s="7">
        <f>IFERROR(INDEX('Master data'!$B$2:$CL$1000,MATCH($B133,'Master data'!$A$2:$A$1000,0),MATCH(K$1,'Master data'!$B$1:$CL$1,0)),"")</f>
        <v>761.46922614792561</v>
      </c>
      <c r="L133" s="7">
        <f>IFERROR(INDEX('Master data'!$B$2:$CL$1000,MATCH($B133,'Master data'!$A$2:$A$1000,0),MATCH(L$1,'Master data'!$B$1:$CL$1,0)),"")</f>
        <v>380.89666250971135</v>
      </c>
      <c r="M133" s="5">
        <f>IFERROR(INDEX('Master data'!$B$2:$CL$1000,MATCH($B133,'Master data'!$A$2:$A$1000,0),MATCH(M$1,'Master data'!$B$1:$CL$1,0)),"")</f>
        <v>93768.570516933789</v>
      </c>
      <c r="N133" s="28">
        <f>IFERROR(INDEX('Master data'!$B$2:$CL$1000,MATCH($B133,'Master data'!$A$2:$A$1000,0),MATCH(N$1,'Master data'!$B$1:$CL$1,0)),"")</f>
        <v>3.4024807532626482E-2</v>
      </c>
      <c r="O133" s="7">
        <f>IFERROR(INDEX('Master data'!$B$2:$CL$1000,MATCH($B133,'Master data'!$A$2:$A$1000,0),MATCH(O$1,'Master data'!$B$1:$CL$1,0)),"")</f>
        <v>0</v>
      </c>
      <c r="P133" s="5">
        <f>IFERROR(INDEX('Master data'!$B$2:$CL$1000,MATCH($B133,'Master data'!$A$2:$A$1000,0),MATCH(P$1,'Master data'!$B$1:$CL$1,0)),"")</f>
        <v>4000000</v>
      </c>
      <c r="Q133" s="5">
        <f>IFERROR(INDEX('Master data'!$B$2:$CL$1000,MATCH($B133,'Master data'!$A$2:$A$1000,0),MATCH(Q$1,'Master data'!$B$1:$CL$1,0)),"")</f>
        <v>4000000</v>
      </c>
    </row>
    <row r="134" spans="1:17" hidden="1">
      <c r="A134">
        <f t="shared" si="2"/>
        <v>132</v>
      </c>
      <c r="B134" t="str">
        <f>IF('Master data'!A134="","",'Master data'!A134)</f>
        <v>Raphaël Varane</v>
      </c>
      <c r="C134" t="str">
        <f>IFERROR(INDEX('Master data'!$B$2:$CL$1000,MATCH($B134,'Master data'!$A$2:$A$1000,0),MATCH(C$1,'Master data'!$B$1:$CL$1,0)),"")</f>
        <v>France</v>
      </c>
      <c r="D134" t="str">
        <f>IFERROR(INDEX('Master data'!$B$2:$CL$1000,MATCH($B134,'Master data'!$A$2:$A$1000,0),MATCH(D$1,'Master data'!$B$1:$CL$1,0)),"")</f>
        <v>Defense</v>
      </c>
      <c r="E134" s="5">
        <f>IFERROR(INDEX('Master data'!$B$2:$CL$1000,MATCH($B134,'Master data'!$A$2:$A$1000,0),MATCH(E$1,'Master data'!$B$1:$CL$1,0)),"")</f>
        <v>4500000</v>
      </c>
      <c r="F134" s="7">
        <f>IFERROR(INDEX('Master data'!$B$2:$CL$1000,MATCH($B134,'Master data'!$A$2:$A$1000,0),MATCH(F$1,'Master data'!$B$1:$CL$1,0)),"")</f>
        <v>35774.613178411615</v>
      </c>
      <c r="G134" s="7">
        <f>IFERROR(INDEX('Master data'!$B$2:$CL$1000,MATCH($B134,'Master data'!$A$2:$A$1000,0),MATCH(G$1,'Master data'!$B$1:$CL$1,0)),"")</f>
        <v>72517.396318608749</v>
      </c>
      <c r="H134" s="7">
        <f>IFERROR(INDEX('Master data'!$B$2:$CL$1000,MATCH($B134,'Master data'!$A$2:$A$1000,0),MATCH(H$1,'Master data'!$B$1:$CL$1,0)),"")</f>
        <v>44010.441237683626</v>
      </c>
      <c r="I134" s="7">
        <f>IFERROR(INDEX('Master data'!$B$2:$CL$1000,MATCH($B134,'Master data'!$A$2:$A$1000,0),MATCH(I$1,'Master data'!$B$1:$CL$1,0)),"")</f>
        <v>3746.6337374699415</v>
      </c>
      <c r="J134" s="7">
        <f>IFERROR(INDEX('Master data'!$B$2:$CL$1000,MATCH($B134,'Master data'!$A$2:$A$1000,0),MATCH(J$1,'Master data'!$B$1:$CL$1,0)),"")</f>
        <v>1714.3554231162534</v>
      </c>
      <c r="K134" s="7">
        <f>IFERROR(INDEX('Master data'!$B$2:$CL$1000,MATCH($B134,'Master data'!$A$2:$A$1000,0),MATCH(K$1,'Master data'!$B$1:$CL$1,0)),"")</f>
        <v>793.67216558767427</v>
      </c>
      <c r="L134" s="7">
        <f>IFERROR(INDEX('Master data'!$B$2:$CL$1000,MATCH($B134,'Master data'!$A$2:$A$1000,0),MATCH(L$1,'Master data'!$B$1:$CL$1,0)),"")</f>
        <v>391.98887080044915</v>
      </c>
      <c r="M134" s="5">
        <f>IFERROR(INDEX('Master data'!$B$2:$CL$1000,MATCH($B134,'Master data'!$A$2:$A$1000,0),MATCH(M$1,'Master data'!$B$1:$CL$1,0)),"")</f>
        <v>105267.42175962319</v>
      </c>
      <c r="N134" s="28">
        <f>IFERROR(INDEX('Master data'!$B$2:$CL$1000,MATCH($B134,'Master data'!$A$2:$A$1000,0),MATCH(N$1,'Master data'!$B$1:$CL$1,0)),"")</f>
        <v>3.3844989052156438E-2</v>
      </c>
      <c r="O134" s="7">
        <f>IFERROR(INDEX('Master data'!$B$2:$CL$1000,MATCH($B134,'Master data'!$A$2:$A$1000,0),MATCH(O$1,'Master data'!$B$1:$CL$1,0)),"")</f>
        <v>0</v>
      </c>
      <c r="P134" s="5">
        <f>IFERROR(INDEX('Master data'!$B$2:$CL$1000,MATCH($B134,'Master data'!$A$2:$A$1000,0),MATCH(P$1,'Master data'!$B$1:$CL$1,0)),"")</f>
        <v>4500000</v>
      </c>
      <c r="Q134" s="5">
        <f>IFERROR(INDEX('Master data'!$B$2:$CL$1000,MATCH($B134,'Master data'!$A$2:$A$1000,0),MATCH(Q$1,'Master data'!$B$1:$CL$1,0)),"")</f>
        <v>4500000</v>
      </c>
    </row>
    <row r="135" spans="1:17" hidden="1">
      <c r="A135">
        <f t="shared" si="2"/>
        <v>133</v>
      </c>
      <c r="B135" t="str">
        <f>IF('Master data'!A135="","",'Master data'!A135)</f>
        <v>Thomas Lemar</v>
      </c>
      <c r="C135" t="str">
        <f>IFERROR(INDEX('Master data'!$B$2:$CL$1000,MATCH($B135,'Master data'!$A$2:$A$1000,0),MATCH(C$1,'Master data'!$B$1:$CL$1,0)),"")</f>
        <v>France</v>
      </c>
      <c r="D135" t="str">
        <f>IFERROR(INDEX('Master data'!$B$2:$CL$1000,MATCH($B135,'Master data'!$A$2:$A$1000,0),MATCH(D$1,'Master data'!$B$1:$CL$1,0)),"")</f>
        <v>Striker</v>
      </c>
      <c r="E135" s="5">
        <f>IFERROR(INDEX('Master data'!$B$2:$CL$1000,MATCH($B135,'Master data'!$A$2:$A$1000,0),MATCH(E$1,'Master data'!$B$1:$CL$1,0)),"")</f>
        <v>3500000</v>
      </c>
      <c r="F135" s="7">
        <f>IFERROR(INDEX('Master data'!$B$2:$CL$1000,MATCH($B135,'Master data'!$A$2:$A$1000,0),MATCH(F$1,'Master data'!$B$1:$CL$1,0)),"")</f>
        <v>-5000</v>
      </c>
      <c r="G135" s="7">
        <f>IFERROR(INDEX('Master data'!$B$2:$CL$1000,MATCH($B135,'Master data'!$A$2:$A$1000,0),MATCH(G$1,'Master data'!$B$1:$CL$1,0)),"")</f>
        <v>-5000</v>
      </c>
      <c r="H135" s="7">
        <f>IFERROR(INDEX('Master data'!$B$2:$CL$1000,MATCH($B135,'Master data'!$A$2:$A$1000,0),MATCH(H$1,'Master data'!$B$1:$CL$1,0)),"")</f>
        <v>-5000</v>
      </c>
      <c r="I135" s="7">
        <f>IFERROR(INDEX('Master data'!$B$2:$CL$1000,MATCH($B135,'Master data'!$A$2:$A$1000,0),MATCH(I$1,'Master data'!$B$1:$CL$1,0)),"")</f>
        <v>-35176.061765381608</v>
      </c>
      <c r="J135" s="7">
        <f>IFERROR(INDEX('Master data'!$B$2:$CL$1000,MATCH($B135,'Master data'!$A$2:$A$1000,0),MATCH(J$1,'Master data'!$B$1:$CL$1,0)),"")</f>
        <v>-18259.375320369483</v>
      </c>
      <c r="K135" s="7">
        <f>IFERROR(INDEX('Master data'!$B$2:$CL$1000,MATCH($B135,'Master data'!$A$2:$A$1000,0),MATCH(K$1,'Master data'!$B$1:$CL$1,0)),"")</f>
        <v>-9770.0216006076207</v>
      </c>
      <c r="L135" s="7">
        <f>IFERROR(INDEX('Master data'!$B$2:$CL$1000,MATCH($B135,'Master data'!$A$2:$A$1000,0),MATCH(L$1,'Master data'!$B$1:$CL$1,0)),"")</f>
        <v>-5718.2922489717248</v>
      </c>
      <c r="M135" s="5">
        <f>IFERROR(INDEX('Master data'!$B$2:$CL$1000,MATCH($B135,'Master data'!$A$2:$A$1000,0),MATCH(M$1,'Master data'!$B$1:$CL$1,0)),"")</f>
        <v>-26373.487194853435</v>
      </c>
      <c r="N135" s="28">
        <f>IFERROR(INDEX('Master data'!$B$2:$CL$1000,MATCH($B135,'Master data'!$A$2:$A$1000,0),MATCH(N$1,'Master data'!$B$1:$CL$1,0)),"")</f>
        <v>-4.2857142857142859E-3</v>
      </c>
      <c r="O135" s="7">
        <f>IFERROR(INDEX('Master data'!$B$2:$CL$1000,MATCH($B135,'Master data'!$A$2:$A$1000,0),MATCH(O$1,'Master data'!$B$1:$CL$1,0)),"")</f>
        <v>0</v>
      </c>
      <c r="P135" s="5">
        <f>IFERROR(INDEX('Master data'!$B$2:$CL$1000,MATCH($B135,'Master data'!$A$2:$A$1000,0),MATCH(P$1,'Master data'!$B$1:$CL$1,0)),"")</f>
        <v>3500000</v>
      </c>
      <c r="Q135" s="5">
        <f>IFERROR(INDEX('Master data'!$B$2:$CL$1000,MATCH($B135,'Master data'!$A$2:$A$1000,0),MATCH(Q$1,'Master data'!$B$1:$CL$1,0)),"")</f>
        <v>3500000</v>
      </c>
    </row>
    <row r="136" spans="1:17" hidden="1">
      <c r="A136">
        <f t="shared" si="2"/>
        <v>134</v>
      </c>
      <c r="B136" t="str">
        <f>IF('Master data'!A136="","",'Master data'!A136)</f>
        <v>Moussa Sissoko</v>
      </c>
      <c r="C136" t="str">
        <f>IFERROR(INDEX('Master data'!$B$2:$CL$1000,MATCH($B136,'Master data'!$A$2:$A$1000,0),MATCH(C$1,'Master data'!$B$1:$CL$1,0)),"")</f>
        <v>France</v>
      </c>
      <c r="D136" t="str">
        <f>IFERROR(INDEX('Master data'!$B$2:$CL$1000,MATCH($B136,'Master data'!$A$2:$A$1000,0),MATCH(D$1,'Master data'!$B$1:$CL$1,0)),"")</f>
        <v>Midfield</v>
      </c>
      <c r="E136" s="5">
        <f>IFERROR(INDEX('Master data'!$B$2:$CL$1000,MATCH($B136,'Master data'!$A$2:$A$1000,0),MATCH(E$1,'Master data'!$B$1:$CL$1,0)),"")</f>
        <v>3000000</v>
      </c>
      <c r="F136" s="7">
        <f>IFERROR(INDEX('Master data'!$B$2:$CL$1000,MATCH($B136,'Master data'!$A$2:$A$1000,0),MATCH(F$1,'Master data'!$B$1:$CL$1,0)),"")</f>
        <v>-5000</v>
      </c>
      <c r="G136" s="7">
        <f>IFERROR(INDEX('Master data'!$B$2:$CL$1000,MATCH($B136,'Master data'!$A$2:$A$1000,0),MATCH(G$1,'Master data'!$B$1:$CL$1,0)),"")</f>
        <v>-5000</v>
      </c>
      <c r="H136" s="7">
        <f>IFERROR(INDEX('Master data'!$B$2:$CL$1000,MATCH($B136,'Master data'!$A$2:$A$1000,0),MATCH(H$1,'Master data'!$B$1:$CL$1,0)),"")</f>
        <v>-5000</v>
      </c>
      <c r="I136" s="7">
        <f>IFERROR(INDEX('Master data'!$B$2:$CL$1000,MATCH($B136,'Master data'!$A$2:$A$1000,0),MATCH(I$1,'Master data'!$B$1:$CL$1,0)),"")</f>
        <v>-30762.503200089061</v>
      </c>
      <c r="J136" s="7">
        <f>IFERROR(INDEX('Master data'!$B$2:$CL$1000,MATCH($B136,'Master data'!$A$2:$A$1000,0),MATCH(J$1,'Master data'!$B$1:$CL$1,0)),"")</f>
        <v>-15965.483948463771</v>
      </c>
      <c r="K136" s="7">
        <f>IFERROR(INDEX('Master data'!$B$2:$CL$1000,MATCH($B136,'Master data'!$A$2:$A$1000,0),MATCH(K$1,'Master data'!$B$1:$CL$1,0)),"")</f>
        <v>-8541.0880659399954</v>
      </c>
      <c r="L136" s="7">
        <f>IFERROR(INDEX('Master data'!$B$2:$CL$1000,MATCH($B136,'Master data'!$A$2:$A$1000,0),MATCH(L$1,'Master data'!$B$1:$CL$1,0)),"")</f>
        <v>-4998.1043082951846</v>
      </c>
      <c r="M136" s="5">
        <f>IFERROR(INDEX('Master data'!$B$2:$CL$1000,MATCH($B136,'Master data'!$A$2:$A$1000,0),MATCH(M$1,'Master data'!$B$1:$CL$1,0)),"")</f>
        <v>-24387.590548503635</v>
      </c>
      <c r="N136" s="28">
        <f>IFERROR(INDEX('Master data'!$B$2:$CL$1000,MATCH($B136,'Master data'!$A$2:$A$1000,0),MATCH(N$1,'Master data'!$B$1:$CL$1,0)),"")</f>
        <v>-5.0000000000000001E-3</v>
      </c>
      <c r="O136" s="7">
        <f>IFERROR(INDEX('Master data'!$B$2:$CL$1000,MATCH($B136,'Master data'!$A$2:$A$1000,0),MATCH(O$1,'Master data'!$B$1:$CL$1,0)),"")</f>
        <v>0</v>
      </c>
      <c r="P136" s="5">
        <f>IFERROR(INDEX('Master data'!$B$2:$CL$1000,MATCH($B136,'Master data'!$A$2:$A$1000,0),MATCH(P$1,'Master data'!$B$1:$CL$1,0)),"")</f>
        <v>3000000</v>
      </c>
      <c r="Q136" s="5">
        <f>IFERROR(INDEX('Master data'!$B$2:$CL$1000,MATCH($B136,'Master data'!$A$2:$A$1000,0),MATCH(Q$1,'Master data'!$B$1:$CL$1,0)),"")</f>
        <v>3000000</v>
      </c>
    </row>
    <row r="137" spans="1:17" hidden="1">
      <c r="A137">
        <f t="shared" si="2"/>
        <v>135</v>
      </c>
      <c r="B137" t="str">
        <f>IF('Master data'!A137="","",'Master data'!A137)</f>
        <v>Haris Seferovic</v>
      </c>
      <c r="C137" t="str">
        <f>IFERROR(INDEX('Master data'!$B$2:$CL$1000,MATCH($B137,'Master data'!$A$2:$A$1000,0),MATCH(C$1,'Master data'!$B$1:$CL$1,0)),"")</f>
        <v>Switzerland</v>
      </c>
      <c r="D137" t="str">
        <f>IFERROR(INDEX('Master data'!$B$2:$CL$1000,MATCH($B137,'Master data'!$A$2:$A$1000,0),MATCH(D$1,'Master data'!$B$1:$CL$1,0)),"")</f>
        <v>Striker</v>
      </c>
      <c r="E137" s="5">
        <f>IFERROR(INDEX('Master data'!$B$2:$CL$1000,MATCH($B137,'Master data'!$A$2:$A$1000,0),MATCH(E$1,'Master data'!$B$1:$CL$1,0)),"")</f>
        <v>4000000</v>
      </c>
      <c r="F137" s="7">
        <f>IFERROR(INDEX('Master data'!$B$2:$CL$1000,MATCH($B137,'Master data'!$A$2:$A$1000,0),MATCH(F$1,'Master data'!$B$1:$CL$1,0)),"")</f>
        <v>53845.189102098229</v>
      </c>
      <c r="G137" s="7">
        <f>IFERROR(INDEX('Master data'!$B$2:$CL$1000,MATCH($B137,'Master data'!$A$2:$A$1000,0),MATCH(G$1,'Master data'!$B$1:$CL$1,0)),"")</f>
        <v>22828.291000281512</v>
      </c>
      <c r="H137" s="7">
        <f>IFERROR(INDEX('Master data'!$B$2:$CL$1000,MATCH($B137,'Master data'!$A$2:$A$1000,0),MATCH(H$1,'Master data'!$B$1:$CL$1,0)),"")</f>
        <v>56968.404600910784</v>
      </c>
      <c r="I137" s="7">
        <f>IFERROR(INDEX('Master data'!$B$2:$CL$1000,MATCH($B137,'Master data'!$A$2:$A$1000,0),MATCH(I$1,'Master data'!$B$1:$CL$1,0)),"")</f>
        <v>2049.9494260481265</v>
      </c>
      <c r="J137" s="7">
        <f>IFERROR(INDEX('Master data'!$B$2:$CL$1000,MATCH($B137,'Master data'!$A$2:$A$1000,0),MATCH(J$1,'Master data'!$B$1:$CL$1,0)),"")</f>
        <v>870.34970712942743</v>
      </c>
      <c r="K137" s="7">
        <f>IFERROR(INDEX('Master data'!$B$2:$CL$1000,MATCH($B137,'Master data'!$A$2:$A$1000,0),MATCH(K$1,'Master data'!$B$1:$CL$1,0)),"")</f>
        <v>355.2660477998524</v>
      </c>
      <c r="L137" s="7">
        <f>IFERROR(INDEX('Master data'!$B$2:$CL$1000,MATCH($B137,'Master data'!$A$2:$A$1000,0),MATCH(L$1,'Master data'!$B$1:$CL$1,0)),"")</f>
        <v>133.30590048268525</v>
      </c>
      <c r="M137" s="5">
        <f>IFERROR(INDEX('Master data'!$B$2:$CL$1000,MATCH($B137,'Master data'!$A$2:$A$1000,0),MATCH(M$1,'Master data'!$B$1:$CL$1,0)),"")</f>
        <v>95221.141185643661</v>
      </c>
      <c r="N137" s="28">
        <f>IFERROR(INDEX('Master data'!$B$2:$CL$1000,MATCH($B137,'Master data'!$A$2:$A$1000,0),MATCH(N$1,'Master data'!$B$1:$CL$1,0)),"")</f>
        <v>3.3410471175822631E-2</v>
      </c>
      <c r="O137" s="7">
        <f>IFERROR(INDEX('Master data'!$B$2:$CL$1000,MATCH($B137,'Master data'!$A$2:$A$1000,0),MATCH(O$1,'Master data'!$B$1:$CL$1,0)),"")</f>
        <v>0</v>
      </c>
      <c r="P137" s="5">
        <f>IFERROR(INDEX('Master data'!$B$2:$CL$1000,MATCH($B137,'Master data'!$A$2:$A$1000,0),MATCH(P$1,'Master data'!$B$1:$CL$1,0)),"")</f>
        <v>4000000</v>
      </c>
      <c r="Q137" s="5">
        <f>IFERROR(INDEX('Master data'!$B$2:$CL$1000,MATCH($B137,'Master data'!$A$2:$A$1000,0),MATCH(Q$1,'Master data'!$B$1:$CL$1,0)),"")</f>
        <v>4000000</v>
      </c>
    </row>
    <row r="138" spans="1:17" hidden="1">
      <c r="A138">
        <f t="shared" si="2"/>
        <v>136</v>
      </c>
      <c r="B138" t="str">
        <f>IF('Master data'!A138="","",'Master data'!A138)</f>
        <v>Pierre-Emile Höjbjerg</v>
      </c>
      <c r="C138" t="str">
        <f>IFERROR(INDEX('Master data'!$B$2:$CL$1000,MATCH($B138,'Master data'!$A$2:$A$1000,0),MATCH(C$1,'Master data'!$B$1:$CL$1,0)),"")</f>
        <v>Denmark</v>
      </c>
      <c r="D138" t="str">
        <f>IFERROR(INDEX('Master data'!$B$2:$CL$1000,MATCH($B138,'Master data'!$A$2:$A$1000,0),MATCH(D$1,'Master data'!$B$1:$CL$1,0)),"")</f>
        <v>Midfield</v>
      </c>
      <c r="E138" s="5">
        <f>IFERROR(INDEX('Master data'!$B$2:$CL$1000,MATCH($B138,'Master data'!$A$2:$A$1000,0),MATCH(E$1,'Master data'!$B$1:$CL$1,0)),"")</f>
        <v>4000000</v>
      </c>
      <c r="F138" s="7">
        <f>IFERROR(INDEX('Master data'!$B$2:$CL$1000,MATCH($B138,'Master data'!$A$2:$A$1000,0),MATCH(F$1,'Master data'!$B$1:$CL$1,0)),"")</f>
        <v>53689.259624407321</v>
      </c>
      <c r="G138" s="7">
        <f>IFERROR(INDEX('Master data'!$B$2:$CL$1000,MATCH($B138,'Master data'!$A$2:$A$1000,0),MATCH(G$1,'Master data'!$B$1:$CL$1,0)),"")</f>
        <v>19743.609815506134</v>
      </c>
      <c r="H138" s="7">
        <f>IFERROR(INDEX('Master data'!$B$2:$CL$1000,MATCH($B138,'Master data'!$A$2:$A$1000,0),MATCH(H$1,'Master data'!$B$1:$CL$1,0)),"")</f>
        <v>41510.086817327407</v>
      </c>
      <c r="I138" s="7">
        <f>IFERROR(INDEX('Master data'!$B$2:$CL$1000,MATCH($B138,'Master data'!$A$2:$A$1000,0),MATCH(I$1,'Master data'!$B$1:$CL$1,0)),"")</f>
        <v>-2302.3786783502865</v>
      </c>
      <c r="J138" s="7">
        <f>IFERROR(INDEX('Master data'!$B$2:$CL$1000,MATCH($B138,'Master data'!$A$2:$A$1000,0),MATCH(J$1,'Master data'!$B$1:$CL$1,0)),"")</f>
        <v>-1297.1064690093976</v>
      </c>
      <c r="K138" s="7">
        <f>IFERROR(INDEX('Master data'!$B$2:$CL$1000,MATCH($B138,'Master data'!$A$2:$A$1000,0),MATCH(K$1,'Master data'!$B$1:$CL$1,0)),"")</f>
        <v>-715.59434495079324</v>
      </c>
      <c r="L138" s="7">
        <f>IFERROR(INDEX('Master data'!$B$2:$CL$1000,MATCH($B138,'Master data'!$A$2:$A$1000,0),MATCH(L$1,'Master data'!$B$1:$CL$1,0)),"")</f>
        <v>-381.35148858933212</v>
      </c>
      <c r="M138" s="5">
        <f>IFERROR(INDEX('Master data'!$B$2:$CL$1000,MATCH($B138,'Master data'!$A$2:$A$1000,0),MATCH(M$1,'Master data'!$B$1:$CL$1,0)),"")</f>
        <v>84234.474741971193</v>
      </c>
      <c r="N138" s="28">
        <f>IFERROR(INDEX('Master data'!$B$2:$CL$1000,MATCH($B138,'Master data'!$A$2:$A$1000,0),MATCH(N$1,'Master data'!$B$1:$CL$1,0)),"")</f>
        <v>2.873573906431022E-2</v>
      </c>
      <c r="O138" s="7">
        <f>IFERROR(INDEX('Master data'!$B$2:$CL$1000,MATCH($B138,'Master data'!$A$2:$A$1000,0),MATCH(O$1,'Master data'!$B$1:$CL$1,0)),"")</f>
        <v>0</v>
      </c>
      <c r="P138" s="5">
        <f>IFERROR(INDEX('Master data'!$B$2:$CL$1000,MATCH($B138,'Master data'!$A$2:$A$1000,0),MATCH(P$1,'Master data'!$B$1:$CL$1,0)),"")</f>
        <v>4000000</v>
      </c>
      <c r="Q138" s="5">
        <f>IFERROR(INDEX('Master data'!$B$2:$CL$1000,MATCH($B138,'Master data'!$A$2:$A$1000,0),MATCH(Q$1,'Master data'!$B$1:$CL$1,0)),"")</f>
        <v>4000000</v>
      </c>
    </row>
    <row r="139" spans="1:17" hidden="1">
      <c r="A139">
        <f t="shared" si="2"/>
        <v>137</v>
      </c>
      <c r="B139" t="str">
        <f>IF('Master data'!A139="","",'Master data'!A139)</f>
        <v>Thomas Delaney</v>
      </c>
      <c r="C139" t="str">
        <f>IFERROR(INDEX('Master data'!$B$2:$CL$1000,MATCH($B139,'Master data'!$A$2:$A$1000,0),MATCH(C$1,'Master data'!$B$1:$CL$1,0)),"")</f>
        <v>Denmark</v>
      </c>
      <c r="D139" t="str">
        <f>IFERROR(INDEX('Master data'!$B$2:$CL$1000,MATCH($B139,'Master data'!$A$2:$A$1000,0),MATCH(D$1,'Master data'!$B$1:$CL$1,0)),"")</f>
        <v>Midfield</v>
      </c>
      <c r="E139" s="5">
        <f>IFERROR(INDEX('Master data'!$B$2:$CL$1000,MATCH($B139,'Master data'!$A$2:$A$1000,0),MATCH(E$1,'Master data'!$B$1:$CL$1,0)),"")</f>
        <v>4000000</v>
      </c>
      <c r="F139" s="7">
        <f>IFERROR(INDEX('Master data'!$B$2:$CL$1000,MATCH($B139,'Master data'!$A$2:$A$1000,0),MATCH(F$1,'Master data'!$B$1:$CL$1,0)),"")</f>
        <v>51807.883975811346</v>
      </c>
      <c r="G139" s="7">
        <f>IFERROR(INDEX('Master data'!$B$2:$CL$1000,MATCH($B139,'Master data'!$A$2:$A$1000,0),MATCH(G$1,'Master data'!$B$1:$CL$1,0)),"")</f>
        <v>17878.483239515524</v>
      </c>
      <c r="H139" s="7">
        <f>IFERROR(INDEX('Master data'!$B$2:$CL$1000,MATCH($B139,'Master data'!$A$2:$A$1000,0),MATCH(H$1,'Master data'!$B$1:$CL$1,0)),"")</f>
        <v>39633.767753951004</v>
      </c>
      <c r="I139" s="7">
        <f>IFERROR(INDEX('Master data'!$B$2:$CL$1000,MATCH($B139,'Master data'!$A$2:$A$1000,0),MATCH(I$1,'Master data'!$B$1:$CL$1,0)),"")</f>
        <v>-3778.8039718775058</v>
      </c>
      <c r="J139" s="7">
        <f>IFERROR(INDEX('Master data'!$B$2:$CL$1000,MATCH($B139,'Master data'!$A$2:$A$1000,0),MATCH(J$1,'Master data'!$B$1:$CL$1,0)),"")</f>
        <v>-2022.3094265834529</v>
      </c>
      <c r="K139" s="7">
        <f>IFERROR(INDEX('Master data'!$B$2:$CL$1000,MATCH($B139,'Master data'!$A$2:$A$1000,0),MATCH(K$1,'Master data'!$B$1:$CL$1,0)),"")</f>
        <v>-1069.3900122008561</v>
      </c>
      <c r="L139" s="7">
        <f>IFERROR(INDEX('Master data'!$B$2:$CL$1000,MATCH($B139,'Master data'!$A$2:$A$1000,0),MATCH(L$1,'Master data'!$B$1:$CL$1,0)),"")</f>
        <v>-549.97110370114899</v>
      </c>
      <c r="M139" s="5">
        <f>IFERROR(INDEX('Master data'!$B$2:$CL$1000,MATCH($B139,'Master data'!$A$2:$A$1000,0),MATCH(M$1,'Master data'!$B$1:$CL$1,0)),"")</f>
        <v>79633.658735102086</v>
      </c>
      <c r="N139" s="28">
        <f>IFERROR(INDEX('Master data'!$B$2:$CL$1000,MATCH($B139,'Master data'!$A$2:$A$1000,0),MATCH(N$1,'Master data'!$B$1:$CL$1,0)),"")</f>
        <v>2.733003374231947E-2</v>
      </c>
      <c r="O139" s="7">
        <f>IFERROR(INDEX('Master data'!$B$2:$CL$1000,MATCH($B139,'Master data'!$A$2:$A$1000,0),MATCH(O$1,'Master data'!$B$1:$CL$1,0)),"")</f>
        <v>0</v>
      </c>
      <c r="P139" s="5">
        <f>IFERROR(INDEX('Master data'!$B$2:$CL$1000,MATCH($B139,'Master data'!$A$2:$A$1000,0),MATCH(P$1,'Master data'!$B$1:$CL$1,0)),"")</f>
        <v>4000000</v>
      </c>
      <c r="Q139" s="5">
        <f>IFERROR(INDEX('Master data'!$B$2:$CL$1000,MATCH($B139,'Master data'!$A$2:$A$1000,0),MATCH(Q$1,'Master data'!$B$1:$CL$1,0)),"")</f>
        <v>4000000</v>
      </c>
    </row>
    <row r="140" spans="1:17" hidden="1">
      <c r="A140">
        <f t="shared" si="2"/>
        <v>138</v>
      </c>
      <c r="B140" t="str">
        <f>IF('Master data'!A140="","",'Master data'!A140)</f>
        <v>Jonas Wind</v>
      </c>
      <c r="C140" t="str">
        <f>IFERROR(INDEX('Master data'!$B$2:$CL$1000,MATCH($B140,'Master data'!$A$2:$A$1000,0),MATCH(C$1,'Master data'!$B$1:$CL$1,0)),"")</f>
        <v>Denmark</v>
      </c>
      <c r="D140" t="str">
        <f>IFERROR(INDEX('Master data'!$B$2:$CL$1000,MATCH($B140,'Master data'!$A$2:$A$1000,0),MATCH(D$1,'Master data'!$B$1:$CL$1,0)),"")</f>
        <v>Striker</v>
      </c>
      <c r="E140" s="5">
        <f>IFERROR(INDEX('Master data'!$B$2:$CL$1000,MATCH($B140,'Master data'!$A$2:$A$1000,0),MATCH(E$1,'Master data'!$B$1:$CL$1,0)),"")</f>
        <v>3500000</v>
      </c>
      <c r="F140" s="7">
        <f>IFERROR(INDEX('Master data'!$B$2:$CL$1000,MATCH($B140,'Master data'!$A$2:$A$1000,0),MATCH(F$1,'Master data'!$B$1:$CL$1,0)),"")</f>
        <v>-5000</v>
      </c>
      <c r="G140" s="7">
        <f>IFERROR(INDEX('Master data'!$B$2:$CL$1000,MATCH($B140,'Master data'!$A$2:$A$1000,0),MATCH(G$1,'Master data'!$B$1:$CL$1,0)),"")</f>
        <v>-5000</v>
      </c>
      <c r="H140" s="7">
        <f>IFERROR(INDEX('Master data'!$B$2:$CL$1000,MATCH($B140,'Master data'!$A$2:$A$1000,0),MATCH(H$1,'Master data'!$B$1:$CL$1,0)),"")</f>
        <v>-5000</v>
      </c>
      <c r="I140" s="7">
        <f>IFERROR(INDEX('Master data'!$B$2:$CL$1000,MATCH($B140,'Master data'!$A$2:$A$1000,0),MATCH(I$1,'Master data'!$B$1:$CL$1,0)),"")</f>
        <v>-32361.976824151079</v>
      </c>
      <c r="J140" s="7">
        <f>IFERROR(INDEX('Master data'!$B$2:$CL$1000,MATCH($B140,'Master data'!$A$2:$A$1000,0),MATCH(J$1,'Master data'!$B$1:$CL$1,0)),"")</f>
        <v>-16041.256378068008</v>
      </c>
      <c r="K140" s="7">
        <f>IFERROR(INDEX('Master data'!$B$2:$CL$1000,MATCH($B140,'Master data'!$A$2:$A$1000,0),MATCH(K$1,'Master data'!$B$1:$CL$1,0)),"")</f>
        <v>-7898.2888442943586</v>
      </c>
      <c r="L140" s="7">
        <f>IFERROR(INDEX('Master data'!$B$2:$CL$1000,MATCH($B140,'Master data'!$A$2:$A$1000,0),MATCH(L$1,'Master data'!$B$1:$CL$1,0)),"")</f>
        <v>-3799.5986188537595</v>
      </c>
      <c r="M140" s="5">
        <f>IFERROR(INDEX('Master data'!$B$2:$CL$1000,MATCH($B140,'Master data'!$A$2:$A$1000,0),MATCH(M$1,'Master data'!$B$1:$CL$1,0)),"")</f>
        <v>-24686.608989187</v>
      </c>
      <c r="N140" s="28">
        <f>IFERROR(INDEX('Master data'!$B$2:$CL$1000,MATCH($B140,'Master data'!$A$2:$A$1000,0),MATCH(N$1,'Master data'!$B$1:$CL$1,0)),"")</f>
        <v>-4.2857142857142859E-3</v>
      </c>
      <c r="O140" s="7">
        <f>IFERROR(INDEX('Master data'!$B$2:$CL$1000,MATCH($B140,'Master data'!$A$2:$A$1000,0),MATCH(O$1,'Master data'!$B$1:$CL$1,0)),"")</f>
        <v>0</v>
      </c>
      <c r="P140" s="5">
        <f>IFERROR(INDEX('Master data'!$B$2:$CL$1000,MATCH($B140,'Master data'!$A$2:$A$1000,0),MATCH(P$1,'Master data'!$B$1:$CL$1,0)),"")</f>
        <v>3500000</v>
      </c>
      <c r="Q140" s="5">
        <f>IFERROR(INDEX('Master data'!$B$2:$CL$1000,MATCH($B140,'Master data'!$A$2:$A$1000,0),MATCH(Q$1,'Master data'!$B$1:$CL$1,0)),"")</f>
        <v>3500000</v>
      </c>
    </row>
    <row r="141" spans="1:17" hidden="1">
      <c r="A141">
        <f t="shared" si="2"/>
        <v>139</v>
      </c>
      <c r="B141" t="str">
        <f>IF('Master data'!A141="","",'Master data'!A141)</f>
        <v>Yussuf Poulsen</v>
      </c>
      <c r="C141" t="str">
        <f>IFERROR(INDEX('Master data'!$B$2:$CL$1000,MATCH($B141,'Master data'!$A$2:$A$1000,0),MATCH(C$1,'Master data'!$B$1:$CL$1,0)),"")</f>
        <v>Denmark</v>
      </c>
      <c r="D141" t="str">
        <f>IFERROR(INDEX('Master data'!$B$2:$CL$1000,MATCH($B141,'Master data'!$A$2:$A$1000,0),MATCH(D$1,'Master data'!$B$1:$CL$1,0)),"")</f>
        <v>Striker</v>
      </c>
      <c r="E141" s="5">
        <f>IFERROR(INDEX('Master data'!$B$2:$CL$1000,MATCH($B141,'Master data'!$A$2:$A$1000,0),MATCH(E$1,'Master data'!$B$1:$CL$1,0)),"")</f>
        <v>4500000</v>
      </c>
      <c r="F141" s="7">
        <f>IFERROR(INDEX('Master data'!$B$2:$CL$1000,MATCH($B141,'Master data'!$A$2:$A$1000,0),MATCH(F$1,'Master data'!$B$1:$CL$1,0)),"")</f>
        <v>92526.960015600605</v>
      </c>
      <c r="G141" s="7">
        <f>IFERROR(INDEX('Master data'!$B$2:$CL$1000,MATCH($B141,'Master data'!$A$2:$A$1000,0),MATCH(G$1,'Master data'!$B$1:$CL$1,0)),"")</f>
        <v>46953.950657455091</v>
      </c>
      <c r="H141" s="7">
        <f>IFERROR(INDEX('Master data'!$B$2:$CL$1000,MATCH($B141,'Master data'!$A$2:$A$1000,0),MATCH(H$1,'Master data'!$B$1:$CL$1,0)),"")</f>
        <v>76729.443204080206</v>
      </c>
      <c r="I141" s="7">
        <f>IFERROR(INDEX('Master data'!$B$2:$CL$1000,MATCH($B141,'Master data'!$A$2:$A$1000,0),MATCH(I$1,'Master data'!$B$1:$CL$1,0)),"")</f>
        <v>20227.668391581585</v>
      </c>
      <c r="J141" s="7">
        <f>IFERROR(INDEX('Master data'!$B$2:$CL$1000,MATCH($B141,'Master data'!$A$2:$A$1000,0),MATCH(J$1,'Master data'!$B$1:$CL$1,0)),"")</f>
        <v>9748.6153967447917</v>
      </c>
      <c r="K141" s="7">
        <f>IFERROR(INDEX('Master data'!$B$2:$CL$1000,MATCH($B141,'Master data'!$A$2:$A$1000,0),MATCH(K$1,'Master data'!$B$1:$CL$1,0)),"")</f>
        <v>4662.7944718368435</v>
      </c>
      <c r="L141" s="7">
        <f>IFERROR(INDEX('Master data'!$B$2:$CL$1000,MATCH($B141,'Master data'!$A$2:$A$1000,0),MATCH(L$1,'Master data'!$B$1:$CL$1,0)),"")</f>
        <v>2176.9604929452867</v>
      </c>
      <c r="M141" s="5">
        <f>IFERROR(INDEX('Master data'!$B$2:$CL$1000,MATCH($B141,'Master data'!$A$2:$A$1000,0),MATCH(M$1,'Master data'!$B$1:$CL$1,0)),"")</f>
        <v>166655.75336018618</v>
      </c>
      <c r="N141" s="28">
        <f>IFERROR(INDEX('Master data'!$B$2:$CL$1000,MATCH($B141,'Master data'!$A$2:$A$1000,0),MATCH(N$1,'Master data'!$B$1:$CL$1,0)),"")</f>
        <v>4.8046745306030203E-2</v>
      </c>
      <c r="O141" s="7">
        <f>IFERROR(INDEX('Master data'!$B$2:$CL$1000,MATCH($B141,'Master data'!$A$2:$A$1000,0),MATCH(O$1,'Master data'!$B$1:$CL$1,0)),"")</f>
        <v>0</v>
      </c>
      <c r="P141" s="5">
        <f>IFERROR(INDEX('Master data'!$B$2:$CL$1000,MATCH($B141,'Master data'!$A$2:$A$1000,0),MATCH(P$1,'Master data'!$B$1:$CL$1,0)),"")</f>
        <v>4500000</v>
      </c>
      <c r="Q141" s="5">
        <f>IFERROR(INDEX('Master data'!$B$2:$CL$1000,MATCH($B141,'Master data'!$A$2:$A$1000,0),MATCH(Q$1,'Master data'!$B$1:$CL$1,0)),"")</f>
        <v>4500000</v>
      </c>
    </row>
    <row r="142" spans="1:17" hidden="1">
      <c r="A142">
        <f t="shared" si="2"/>
        <v>140</v>
      </c>
      <c r="B142" t="str">
        <f>IF('Master data'!A142="","",'Master data'!A142)</f>
        <v>Bruno Petković</v>
      </c>
      <c r="C142" t="str">
        <f>IFERROR(INDEX('Master data'!$B$2:$CL$1000,MATCH($B142,'Master data'!$A$2:$A$1000,0),MATCH(C$1,'Master data'!$B$1:$CL$1,0)),"")</f>
        <v>Croatia</v>
      </c>
      <c r="D142" t="str">
        <f>IFERROR(INDEX('Master data'!$B$2:$CL$1000,MATCH($B142,'Master data'!$A$2:$A$1000,0),MATCH(D$1,'Master data'!$B$1:$CL$1,0)),"")</f>
        <v>Striker</v>
      </c>
      <c r="E142" s="5">
        <f>IFERROR(INDEX('Master data'!$B$2:$CL$1000,MATCH($B142,'Master data'!$A$2:$A$1000,0),MATCH(E$1,'Master data'!$B$1:$CL$1,0)),"")</f>
        <v>3500000</v>
      </c>
      <c r="F142" s="7">
        <f>IFERROR(INDEX('Master data'!$B$2:$CL$1000,MATCH($B142,'Master data'!$A$2:$A$1000,0),MATCH(F$1,'Master data'!$B$1:$CL$1,0)),"")</f>
        <v>-5000</v>
      </c>
      <c r="G142" s="7">
        <f>IFERROR(INDEX('Master data'!$B$2:$CL$1000,MATCH($B142,'Master data'!$A$2:$A$1000,0),MATCH(G$1,'Master data'!$B$1:$CL$1,0)),"")</f>
        <v>-5000</v>
      </c>
      <c r="H142" s="7">
        <f>IFERROR(INDEX('Master data'!$B$2:$CL$1000,MATCH($B142,'Master data'!$A$2:$A$1000,0),MATCH(H$1,'Master data'!$B$1:$CL$1,0)),"")</f>
        <v>-5000</v>
      </c>
      <c r="I142" s="7">
        <f>IFERROR(INDEX('Master data'!$B$2:$CL$1000,MATCH($B142,'Master data'!$A$2:$A$1000,0),MATCH(I$1,'Master data'!$B$1:$CL$1,0)),"")</f>
        <v>-29744.463992785913</v>
      </c>
      <c r="J142" s="7">
        <f>IFERROR(INDEX('Master data'!$B$2:$CL$1000,MATCH($B142,'Master data'!$A$2:$A$1000,0),MATCH(J$1,'Master data'!$B$1:$CL$1,0)),"")</f>
        <v>-14680.873371324324</v>
      </c>
      <c r="K142" s="7">
        <f>IFERROR(INDEX('Master data'!$B$2:$CL$1000,MATCH($B142,'Master data'!$A$2:$A$1000,0),MATCH(K$1,'Master data'!$B$1:$CL$1,0)),"")</f>
        <v>-7168.8795949809119</v>
      </c>
      <c r="L142" s="7">
        <f>IFERROR(INDEX('Master data'!$B$2:$CL$1000,MATCH($B142,'Master data'!$A$2:$A$1000,0),MATCH(L$1,'Master data'!$B$1:$CL$1,0)),"")</f>
        <v>-3370.8670994813033</v>
      </c>
      <c r="M142" s="5">
        <f>IFERROR(INDEX('Master data'!$B$2:$CL$1000,MATCH($B142,'Master data'!$A$2:$A$1000,0),MATCH(M$1,'Master data'!$B$1:$CL$1,0)),"")</f>
        <v>-23508.639126745446</v>
      </c>
      <c r="N142" s="28">
        <f>IFERROR(INDEX('Master data'!$B$2:$CL$1000,MATCH($B142,'Master data'!$A$2:$A$1000,0),MATCH(N$1,'Master data'!$B$1:$CL$1,0)),"")</f>
        <v>-4.2857142857142859E-3</v>
      </c>
      <c r="O142" s="7">
        <f>IFERROR(INDEX('Master data'!$B$2:$CL$1000,MATCH($B142,'Master data'!$A$2:$A$1000,0),MATCH(O$1,'Master data'!$B$1:$CL$1,0)),"")</f>
        <v>0</v>
      </c>
      <c r="P142" s="5">
        <f>IFERROR(INDEX('Master data'!$B$2:$CL$1000,MATCH($B142,'Master data'!$A$2:$A$1000,0),MATCH(P$1,'Master data'!$B$1:$CL$1,0)),"")</f>
        <v>3500000</v>
      </c>
      <c r="Q142" s="5">
        <f>IFERROR(INDEX('Master data'!$B$2:$CL$1000,MATCH($B142,'Master data'!$A$2:$A$1000,0),MATCH(Q$1,'Master data'!$B$1:$CL$1,0)),"")</f>
        <v>3500000</v>
      </c>
    </row>
    <row r="143" spans="1:17" hidden="1">
      <c r="A143">
        <f t="shared" si="2"/>
        <v>141</v>
      </c>
      <c r="B143" t="str">
        <f>IF('Master data'!A143="","",'Master data'!A143)</f>
        <v>Ante Budimir</v>
      </c>
      <c r="C143" t="str">
        <f>IFERROR(INDEX('Master data'!$B$2:$CL$1000,MATCH($B143,'Master data'!$A$2:$A$1000,0),MATCH(C$1,'Master data'!$B$1:$CL$1,0)),"")</f>
        <v>Croatia</v>
      </c>
      <c r="D143" t="str">
        <f>IFERROR(INDEX('Master data'!$B$2:$CL$1000,MATCH($B143,'Master data'!$A$2:$A$1000,0),MATCH(D$1,'Master data'!$B$1:$CL$1,0)),"")</f>
        <v>Striker</v>
      </c>
      <c r="E143" s="5">
        <f>IFERROR(INDEX('Master data'!$B$2:$CL$1000,MATCH($B143,'Master data'!$A$2:$A$1000,0),MATCH(E$1,'Master data'!$B$1:$CL$1,0)),"")</f>
        <v>3000000</v>
      </c>
      <c r="F143" s="7">
        <f>IFERROR(INDEX('Master data'!$B$2:$CL$1000,MATCH($B143,'Master data'!$A$2:$A$1000,0),MATCH(F$1,'Master data'!$B$1:$CL$1,0)),"")</f>
        <v>-5000</v>
      </c>
      <c r="G143" s="7">
        <f>IFERROR(INDEX('Master data'!$B$2:$CL$1000,MATCH($B143,'Master data'!$A$2:$A$1000,0),MATCH(G$1,'Master data'!$B$1:$CL$1,0)),"")</f>
        <v>-5000</v>
      </c>
      <c r="H143" s="7">
        <f>IFERROR(INDEX('Master data'!$B$2:$CL$1000,MATCH($B143,'Master data'!$A$2:$A$1000,0),MATCH(H$1,'Master data'!$B$1:$CL$1,0)),"")</f>
        <v>-5000</v>
      </c>
      <c r="I143" s="7">
        <f>IFERROR(INDEX('Master data'!$B$2:$CL$1000,MATCH($B143,'Master data'!$A$2:$A$1000,0),MATCH(I$1,'Master data'!$B$1:$CL$1,0)),"")</f>
        <v>-26012.410794192951</v>
      </c>
      <c r="J143" s="7">
        <f>IFERROR(INDEX('Master data'!$B$2:$CL$1000,MATCH($B143,'Master data'!$A$2:$A$1000,0),MATCH(J$1,'Master data'!$B$1:$CL$1,0)),"")</f>
        <v>-12836.542545781067</v>
      </c>
      <c r="K143" s="7">
        <f>IFERROR(INDEX('Master data'!$B$2:$CL$1000,MATCH($B143,'Master data'!$A$2:$A$1000,0),MATCH(K$1,'Master data'!$B$1:$CL$1,0)),"")</f>
        <v>-6267.1337339770234</v>
      </c>
      <c r="L143" s="7">
        <f>IFERROR(INDEX('Master data'!$B$2:$CL$1000,MATCH($B143,'Master data'!$A$2:$A$1000,0),MATCH(L$1,'Master data'!$B$1:$CL$1,0)),"")</f>
        <v>-2946.3246436272348</v>
      </c>
      <c r="M143" s="5">
        <f>IFERROR(INDEX('Master data'!$B$2:$CL$1000,MATCH($B143,'Master data'!$A$2:$A$1000,0),MATCH(M$1,'Master data'!$B$1:$CL$1,0)),"")</f>
        <v>-21882.513681470627</v>
      </c>
      <c r="N143" s="28">
        <f>IFERROR(INDEX('Master data'!$B$2:$CL$1000,MATCH($B143,'Master data'!$A$2:$A$1000,0),MATCH(N$1,'Master data'!$B$1:$CL$1,0)),"")</f>
        <v>-5.0000000000000001E-3</v>
      </c>
      <c r="O143" s="7">
        <f>IFERROR(INDEX('Master data'!$B$2:$CL$1000,MATCH($B143,'Master data'!$A$2:$A$1000,0),MATCH(O$1,'Master data'!$B$1:$CL$1,0)),"")</f>
        <v>0</v>
      </c>
      <c r="P143" s="5">
        <f>IFERROR(INDEX('Master data'!$B$2:$CL$1000,MATCH($B143,'Master data'!$A$2:$A$1000,0),MATCH(P$1,'Master data'!$B$1:$CL$1,0)),"")</f>
        <v>3000000</v>
      </c>
      <c r="Q143" s="5">
        <f>IFERROR(INDEX('Master data'!$B$2:$CL$1000,MATCH($B143,'Master data'!$A$2:$A$1000,0),MATCH(Q$1,'Master data'!$B$1:$CL$1,0)),"")</f>
        <v>3000000</v>
      </c>
    </row>
    <row r="144" spans="1:17" hidden="1">
      <c r="A144">
        <f t="shared" si="2"/>
        <v>142</v>
      </c>
      <c r="B144" t="str">
        <f>IF('Master data'!A144="","",'Master data'!A144)</f>
        <v>Gianluigi Donnarumma</v>
      </c>
      <c r="C144" t="str">
        <f>IFERROR(INDEX('Master data'!$B$2:$CL$1000,MATCH($B144,'Master data'!$A$2:$A$1000,0),MATCH(C$1,'Master data'!$B$1:$CL$1,0)),"")</f>
        <v>Italy</v>
      </c>
      <c r="D144" t="str">
        <f>IFERROR(INDEX('Master data'!$B$2:$CL$1000,MATCH($B144,'Master data'!$A$2:$A$1000,0),MATCH(D$1,'Master data'!$B$1:$CL$1,0)),"")</f>
        <v>Goalkeeper</v>
      </c>
      <c r="E144" s="5">
        <f>IFERROR(INDEX('Master data'!$B$2:$CL$1000,MATCH($B144,'Master data'!$A$2:$A$1000,0),MATCH(E$1,'Master data'!$B$1:$CL$1,0)),"")</f>
        <v>5000000</v>
      </c>
      <c r="F144" s="7">
        <f>IFERROR(INDEX('Master data'!$B$2:$CL$1000,MATCH($B144,'Master data'!$A$2:$A$1000,0),MATCH(F$1,'Master data'!$B$1:$CL$1,0)),"")</f>
        <v>77102.145176126287</v>
      </c>
      <c r="G144" s="7">
        <f>IFERROR(INDEX('Master data'!$B$2:$CL$1000,MATCH($B144,'Master data'!$A$2:$A$1000,0),MATCH(G$1,'Master data'!$B$1:$CL$1,0)),"")</f>
        <v>69173.218782697528</v>
      </c>
      <c r="H144" s="7">
        <f>IFERROR(INDEX('Master data'!$B$2:$CL$1000,MATCH($B144,'Master data'!$A$2:$A$1000,0),MATCH(H$1,'Master data'!$B$1:$CL$1,0)),"")</f>
        <v>80458.360918982362</v>
      </c>
      <c r="I144" s="7">
        <f>IFERROR(INDEX('Master data'!$B$2:$CL$1000,MATCH($B144,'Master data'!$A$2:$A$1000,0),MATCH(I$1,'Master data'!$B$1:$CL$1,0)),"")</f>
        <v>22323.576616260249</v>
      </c>
      <c r="J144" s="7">
        <f>IFERROR(INDEX('Master data'!$B$2:$CL$1000,MATCH($B144,'Master data'!$A$2:$A$1000,0),MATCH(J$1,'Master data'!$B$1:$CL$1,0)),"")</f>
        <v>10887.486145634977</v>
      </c>
      <c r="K144" s="7">
        <f>IFERROR(INDEX('Master data'!$B$2:$CL$1000,MATCH($B144,'Master data'!$A$2:$A$1000,0),MATCH(K$1,'Master data'!$B$1:$CL$1,0)),"")</f>
        <v>5341.0036352739644</v>
      </c>
      <c r="L144" s="7">
        <f>IFERROR(INDEX('Master data'!$B$2:$CL$1000,MATCH($B144,'Master data'!$A$2:$A$1000,0),MATCH(L$1,'Master data'!$B$1:$CL$1,0)),"")</f>
        <v>2677.0885514194015</v>
      </c>
      <c r="M144" s="5">
        <f>IFERROR(INDEX('Master data'!$B$2:$CL$1000,MATCH($B144,'Master data'!$A$2:$A$1000,0),MATCH(M$1,'Master data'!$B$1:$CL$1,0)),"")</f>
        <v>168680.27115212366</v>
      </c>
      <c r="N144" s="28">
        <f>IFERROR(INDEX('Master data'!$B$2:$CL$1000,MATCH($B144,'Master data'!$A$2:$A$1000,0),MATCH(N$1,'Master data'!$B$1:$CL$1,0)),"")</f>
        <v>4.5346744975561244E-2</v>
      </c>
      <c r="O144" s="7">
        <f>IFERROR(INDEX('Master data'!$B$2:$CL$1000,MATCH($B144,'Master data'!$A$2:$A$1000,0),MATCH(O$1,'Master data'!$B$1:$CL$1,0)),"")</f>
        <v>0</v>
      </c>
      <c r="P144" s="5">
        <f>IFERROR(INDEX('Master data'!$B$2:$CL$1000,MATCH($B144,'Master data'!$A$2:$A$1000,0),MATCH(P$1,'Master data'!$B$1:$CL$1,0)),"")</f>
        <v>5000000</v>
      </c>
      <c r="Q144" s="5">
        <f>IFERROR(INDEX('Master data'!$B$2:$CL$1000,MATCH($B144,'Master data'!$A$2:$A$1000,0),MATCH(Q$1,'Master data'!$B$1:$CL$1,0)),"")</f>
        <v>5000000</v>
      </c>
    </row>
    <row r="145" spans="1:17" hidden="1">
      <c r="A145">
        <f t="shared" si="2"/>
        <v>143</v>
      </c>
      <c r="B145" t="str">
        <f>IF('Master data'!A145="","",'Master data'!A145)</f>
        <v>Emerson</v>
      </c>
      <c r="C145" t="str">
        <f>IFERROR(INDEX('Master data'!$B$2:$CL$1000,MATCH($B145,'Master data'!$A$2:$A$1000,0),MATCH(C$1,'Master data'!$B$1:$CL$1,0)),"")</f>
        <v>Italy</v>
      </c>
      <c r="D145" t="str">
        <f>IFERROR(INDEX('Master data'!$B$2:$CL$1000,MATCH($B145,'Master data'!$A$2:$A$1000,0),MATCH(D$1,'Master data'!$B$1:$CL$1,0)),"")</f>
        <v>Defense</v>
      </c>
      <c r="E145" s="5">
        <f>IFERROR(INDEX('Master data'!$B$2:$CL$1000,MATCH($B145,'Master data'!$A$2:$A$1000,0),MATCH(E$1,'Master data'!$B$1:$CL$1,0)),"")</f>
        <v>4000000</v>
      </c>
      <c r="F145" s="7">
        <f>IFERROR(INDEX('Master data'!$B$2:$CL$1000,MATCH($B145,'Master data'!$A$2:$A$1000,0),MATCH(F$1,'Master data'!$B$1:$CL$1,0)),"")</f>
        <v>20992.218095072385</v>
      </c>
      <c r="G145" s="7">
        <f>IFERROR(INDEX('Master data'!$B$2:$CL$1000,MATCH($B145,'Master data'!$A$2:$A$1000,0),MATCH(G$1,'Master data'!$B$1:$CL$1,0)),"")</f>
        <v>17551.857211770384</v>
      </c>
      <c r="H145" s="7">
        <f>IFERROR(INDEX('Master data'!$B$2:$CL$1000,MATCH($B145,'Master data'!$A$2:$A$1000,0),MATCH(H$1,'Master data'!$B$1:$CL$1,0)),"")</f>
        <v>21028.92271769431</v>
      </c>
      <c r="I145" s="7">
        <f>IFERROR(INDEX('Master data'!$B$2:$CL$1000,MATCH($B145,'Master data'!$A$2:$A$1000,0),MATCH(I$1,'Master data'!$B$1:$CL$1,0)),"")</f>
        <v>-19859.992236268474</v>
      </c>
      <c r="J145" s="7">
        <f>IFERROR(INDEX('Master data'!$B$2:$CL$1000,MATCH($B145,'Master data'!$A$2:$A$1000,0),MATCH(J$1,'Master data'!$B$1:$CL$1,0)),"")</f>
        <v>-10106.383832483634</v>
      </c>
      <c r="K145" s="7">
        <f>IFERROR(INDEX('Master data'!$B$2:$CL$1000,MATCH($B145,'Master data'!$A$2:$A$1000,0),MATCH(K$1,'Master data'!$B$1:$CL$1,0)),"")</f>
        <v>-5178.3662417198002</v>
      </c>
      <c r="L145" s="7">
        <f>IFERROR(INDEX('Master data'!$B$2:$CL$1000,MATCH($B145,'Master data'!$A$2:$A$1000,0),MATCH(L$1,'Master data'!$B$1:$CL$1,0)),"")</f>
        <v>-2714.0531775833688</v>
      </c>
      <c r="M145" s="5">
        <f>IFERROR(INDEX('Master data'!$B$2:$CL$1000,MATCH($B145,'Master data'!$A$2:$A$1000,0),MATCH(M$1,'Master data'!$B$1:$CL$1,0)),"")</f>
        <v>33238.683675279921</v>
      </c>
      <c r="N145" s="28">
        <f>IFERROR(INDEX('Master data'!$B$2:$CL$1000,MATCH($B145,'Master data'!$A$2:$A$1000,0),MATCH(N$1,'Master data'!$B$1:$CL$1,0)),"")</f>
        <v>1.4893249506134271E-2</v>
      </c>
      <c r="O145" s="7">
        <f>IFERROR(INDEX('Master data'!$B$2:$CL$1000,MATCH($B145,'Master data'!$A$2:$A$1000,0),MATCH(O$1,'Master data'!$B$1:$CL$1,0)),"")</f>
        <v>0</v>
      </c>
      <c r="P145" s="5">
        <f>IFERROR(INDEX('Master data'!$B$2:$CL$1000,MATCH($B145,'Master data'!$A$2:$A$1000,0),MATCH(P$1,'Master data'!$B$1:$CL$1,0)),"")</f>
        <v>4000000</v>
      </c>
      <c r="Q145" s="5">
        <f>IFERROR(INDEX('Master data'!$B$2:$CL$1000,MATCH($B145,'Master data'!$A$2:$A$1000,0),MATCH(Q$1,'Master data'!$B$1:$CL$1,0)),"")</f>
        <v>4000000</v>
      </c>
    </row>
    <row r="146" spans="1:17" hidden="1">
      <c r="A146">
        <f t="shared" si="2"/>
        <v>144</v>
      </c>
      <c r="B146" t="str">
        <f>IF('Master data'!A146="","",'Master data'!A146)</f>
        <v>Dedryck Boyata</v>
      </c>
      <c r="C146" t="str">
        <f>IFERROR(INDEX('Master data'!$B$2:$CL$1000,MATCH($B146,'Master data'!$A$2:$A$1000,0),MATCH(C$1,'Master data'!$B$1:$CL$1,0)),"")</f>
        <v>Belgium</v>
      </c>
      <c r="D146" t="str">
        <f>IFERROR(INDEX('Master data'!$B$2:$CL$1000,MATCH($B146,'Master data'!$A$2:$A$1000,0),MATCH(D$1,'Master data'!$B$1:$CL$1,0)),"")</f>
        <v>Defense</v>
      </c>
      <c r="E146" s="5">
        <f>IFERROR(INDEX('Master data'!$B$2:$CL$1000,MATCH($B146,'Master data'!$A$2:$A$1000,0),MATCH(E$1,'Master data'!$B$1:$CL$1,0)),"")</f>
        <v>3500000</v>
      </c>
      <c r="F146" s="7">
        <f>IFERROR(INDEX('Master data'!$B$2:$CL$1000,MATCH($B146,'Master data'!$A$2:$A$1000,0),MATCH(F$1,'Master data'!$B$1:$CL$1,0)),"")</f>
        <v>16486.225321156548</v>
      </c>
      <c r="G146" s="7">
        <f>IFERROR(INDEX('Master data'!$B$2:$CL$1000,MATCH($B146,'Master data'!$A$2:$A$1000,0),MATCH(G$1,'Master data'!$B$1:$CL$1,0)),"")</f>
        <v>10658.451580781673</v>
      </c>
      <c r="H146" s="7">
        <f>IFERROR(INDEX('Master data'!$B$2:$CL$1000,MATCH($B146,'Master data'!$A$2:$A$1000,0),MATCH(H$1,'Master data'!$B$1:$CL$1,0)),"")</f>
        <v>21773.135696615507</v>
      </c>
      <c r="I146" s="7">
        <f>IFERROR(INDEX('Master data'!$B$2:$CL$1000,MATCH($B146,'Master data'!$A$2:$A$1000,0),MATCH(I$1,'Master data'!$B$1:$CL$1,0)),"")</f>
        <v>-18371.001736675458</v>
      </c>
      <c r="J146" s="7">
        <f>IFERROR(INDEX('Master data'!$B$2:$CL$1000,MATCH($B146,'Master data'!$A$2:$A$1000,0),MATCH(J$1,'Master data'!$B$1:$CL$1,0)),"")</f>
        <v>-9451.926169522374</v>
      </c>
      <c r="K146" s="7">
        <f>IFERROR(INDEX('Master data'!$B$2:$CL$1000,MATCH($B146,'Master data'!$A$2:$A$1000,0),MATCH(K$1,'Master data'!$B$1:$CL$1,0)),"")</f>
        <v>-4944.5581324874329</v>
      </c>
      <c r="L146" s="7">
        <f>IFERROR(INDEX('Master data'!$B$2:$CL$1000,MATCH($B146,'Master data'!$A$2:$A$1000,0),MATCH(L$1,'Master data'!$B$1:$CL$1,0)),"")</f>
        <v>-2725.37852212186</v>
      </c>
      <c r="M146" s="5">
        <f>IFERROR(INDEX('Master data'!$B$2:$CL$1000,MATCH($B146,'Master data'!$A$2:$A$1000,0),MATCH(M$1,'Master data'!$B$1:$CL$1,0)),"")</f>
        <v>25068.101705649831</v>
      </c>
      <c r="N146" s="28">
        <f>IFERROR(INDEX('Master data'!$B$2:$CL$1000,MATCH($B146,'Master data'!$A$2:$A$1000,0),MATCH(N$1,'Master data'!$B$1:$CL$1,0)),"")</f>
        <v>1.3976517885301064E-2</v>
      </c>
      <c r="O146" s="7">
        <f>IFERROR(INDEX('Master data'!$B$2:$CL$1000,MATCH($B146,'Master data'!$A$2:$A$1000,0),MATCH(O$1,'Master data'!$B$1:$CL$1,0)),"")</f>
        <v>0</v>
      </c>
      <c r="P146" s="5">
        <f>IFERROR(INDEX('Master data'!$B$2:$CL$1000,MATCH($B146,'Master data'!$A$2:$A$1000,0),MATCH(P$1,'Master data'!$B$1:$CL$1,0)),"")</f>
        <v>3500000</v>
      </c>
      <c r="Q146" s="5">
        <f>IFERROR(INDEX('Master data'!$B$2:$CL$1000,MATCH($B146,'Master data'!$A$2:$A$1000,0),MATCH(Q$1,'Master data'!$B$1:$CL$1,0)),"")</f>
        <v>3500000</v>
      </c>
    </row>
    <row r="147" spans="1:17" hidden="1">
      <c r="A147">
        <f t="shared" si="2"/>
        <v>145</v>
      </c>
      <c r="B147" t="str">
        <f>IF('Master data'!A147="","",'Master data'!A147)</f>
        <v>Jason Denayer</v>
      </c>
      <c r="C147" t="str">
        <f>IFERROR(INDEX('Master data'!$B$2:$CL$1000,MATCH($B147,'Master data'!$A$2:$A$1000,0),MATCH(C$1,'Master data'!$B$1:$CL$1,0)),"")</f>
        <v>Belgium</v>
      </c>
      <c r="D147" t="str">
        <f>IFERROR(INDEX('Master data'!$B$2:$CL$1000,MATCH($B147,'Master data'!$A$2:$A$1000,0),MATCH(D$1,'Master data'!$B$1:$CL$1,0)),"")</f>
        <v>Defense</v>
      </c>
      <c r="E147" s="5">
        <f>IFERROR(INDEX('Master data'!$B$2:$CL$1000,MATCH($B147,'Master data'!$A$2:$A$1000,0),MATCH(E$1,'Master data'!$B$1:$CL$1,0)),"")</f>
        <v>4000000</v>
      </c>
      <c r="F147" s="7">
        <f>IFERROR(INDEX('Master data'!$B$2:$CL$1000,MATCH($B147,'Master data'!$A$2:$A$1000,0),MATCH(F$1,'Master data'!$B$1:$CL$1,0)),"")</f>
        <v>16486.225321156548</v>
      </c>
      <c r="G147" s="7">
        <f>IFERROR(INDEX('Master data'!$B$2:$CL$1000,MATCH($B147,'Master data'!$A$2:$A$1000,0),MATCH(G$1,'Master data'!$B$1:$CL$1,0)),"")</f>
        <v>10658.451580781673</v>
      </c>
      <c r="H147" s="7">
        <f>IFERROR(INDEX('Master data'!$B$2:$CL$1000,MATCH($B147,'Master data'!$A$2:$A$1000,0),MATCH(H$1,'Master data'!$B$1:$CL$1,0)),"")</f>
        <v>21773.135696615507</v>
      </c>
      <c r="I147" s="7">
        <f>IFERROR(INDEX('Master data'!$B$2:$CL$1000,MATCH($B147,'Master data'!$A$2:$A$1000,0),MATCH(I$1,'Master data'!$B$1:$CL$1,0)),"")</f>
        <v>-23159.296406568315</v>
      </c>
      <c r="J147" s="7">
        <f>IFERROR(INDEX('Master data'!$B$2:$CL$1000,MATCH($B147,'Master data'!$A$2:$A$1000,0),MATCH(J$1,'Master data'!$B$1:$CL$1,0)),"")</f>
        <v>-11894.751460386866</v>
      </c>
      <c r="K147" s="7">
        <f>IFERROR(INDEX('Master data'!$B$2:$CL$1000,MATCH($B147,'Master data'!$A$2:$A$1000,0),MATCH(K$1,'Master data'!$B$1:$CL$1,0)),"")</f>
        <v>-6211.7853246660916</v>
      </c>
      <c r="L147" s="7">
        <f>IFERROR(INDEX('Master data'!$B$2:$CL$1000,MATCH($B147,'Master data'!$A$2:$A$1000,0),MATCH(L$1,'Master data'!$B$1:$CL$1,0)),"")</f>
        <v>-3418.0687705947221</v>
      </c>
      <c r="M147" s="5">
        <f>IFERROR(INDEX('Master data'!$B$2:$CL$1000,MATCH($B147,'Master data'!$A$2:$A$1000,0),MATCH(M$1,'Master data'!$B$1:$CL$1,0)),"")</f>
        <v>22939.124371036993</v>
      </c>
      <c r="N147" s="28">
        <f>IFERROR(INDEX('Master data'!$B$2:$CL$1000,MATCH($B147,'Master data'!$A$2:$A$1000,0),MATCH(N$1,'Master data'!$B$1:$CL$1,0)),"")</f>
        <v>1.2229453149638431E-2</v>
      </c>
      <c r="O147" s="7">
        <f>IFERROR(INDEX('Master data'!$B$2:$CL$1000,MATCH($B147,'Master data'!$A$2:$A$1000,0),MATCH(O$1,'Master data'!$B$1:$CL$1,0)),"")</f>
        <v>0</v>
      </c>
      <c r="P147" s="5">
        <f>IFERROR(INDEX('Master data'!$B$2:$CL$1000,MATCH($B147,'Master data'!$A$2:$A$1000,0),MATCH(P$1,'Master data'!$B$1:$CL$1,0)),"")</f>
        <v>4000000</v>
      </c>
      <c r="Q147" s="5">
        <f>IFERROR(INDEX('Master data'!$B$2:$CL$1000,MATCH($B147,'Master data'!$A$2:$A$1000,0),MATCH(Q$1,'Master data'!$B$1:$CL$1,0)),"")</f>
        <v>4000000</v>
      </c>
    </row>
    <row r="148" spans="1:17" hidden="1">
      <c r="A148">
        <f t="shared" si="2"/>
        <v>146</v>
      </c>
      <c r="B148" t="str">
        <f>IF('Master data'!A148="","",'Master data'!A148)</f>
        <v>Tim Krul</v>
      </c>
      <c r="C148" t="str">
        <f>IFERROR(INDEX('Master data'!$B$2:$CL$1000,MATCH($B148,'Master data'!$A$2:$A$1000,0),MATCH(C$1,'Master data'!$B$1:$CL$1,0)),"")</f>
        <v>Netherlands</v>
      </c>
      <c r="D148" t="str">
        <f>IFERROR(INDEX('Master data'!$B$2:$CL$1000,MATCH($B148,'Master data'!$A$2:$A$1000,0),MATCH(D$1,'Master data'!$B$1:$CL$1,0)),"")</f>
        <v>Goalkeeper</v>
      </c>
      <c r="E148" s="5">
        <f>IFERROR(INDEX('Master data'!$B$2:$CL$1000,MATCH($B148,'Master data'!$A$2:$A$1000,0),MATCH(E$1,'Master data'!$B$1:$CL$1,0)),"")</f>
        <v>5000000</v>
      </c>
      <c r="F148" s="7">
        <f>IFERROR(INDEX('Master data'!$B$2:$CL$1000,MATCH($B148,'Master data'!$A$2:$A$1000,0),MATCH(F$1,'Master data'!$B$1:$CL$1,0)),"")</f>
        <v>71475.736216007135</v>
      </c>
      <c r="G148" s="7">
        <f>IFERROR(INDEX('Master data'!$B$2:$CL$1000,MATCH($B148,'Master data'!$A$2:$A$1000,0),MATCH(G$1,'Master data'!$B$1:$CL$1,0)),"")</f>
        <v>74622.702399570218</v>
      </c>
      <c r="H148" s="7">
        <f>IFERROR(INDEX('Master data'!$B$2:$CL$1000,MATCH($B148,'Master data'!$A$2:$A$1000,0),MATCH(H$1,'Master data'!$B$1:$CL$1,0)),"")</f>
        <v>97331.115289323643</v>
      </c>
      <c r="I148" s="7">
        <f>IFERROR(INDEX('Master data'!$B$2:$CL$1000,MATCH($B148,'Master data'!$A$2:$A$1000,0),MATCH(I$1,'Master data'!$B$1:$CL$1,0)),"")</f>
        <v>27755.165309470663</v>
      </c>
      <c r="J148" s="7">
        <f>IFERROR(INDEX('Master data'!$B$2:$CL$1000,MATCH($B148,'Master data'!$A$2:$A$1000,0),MATCH(J$1,'Master data'!$B$1:$CL$1,0)),"")</f>
        <v>13479.038960602553</v>
      </c>
      <c r="K148" s="7">
        <f>IFERROR(INDEX('Master data'!$B$2:$CL$1000,MATCH($B148,'Master data'!$A$2:$A$1000,0),MATCH(K$1,'Master data'!$B$1:$CL$1,0)),"")</f>
        <v>6537.7299681883133</v>
      </c>
      <c r="L148" s="7">
        <f>IFERROR(INDEX('Master data'!$B$2:$CL$1000,MATCH($B148,'Master data'!$A$2:$A$1000,0),MATCH(L$1,'Master data'!$B$1:$CL$1,0)),"")</f>
        <v>3163.7299500644904</v>
      </c>
      <c r="M148" s="5">
        <f>IFERROR(INDEX('Master data'!$B$2:$CL$1000,MATCH($B148,'Master data'!$A$2:$A$1000,0),MATCH(M$1,'Master data'!$B$1:$CL$1,0)),"")</f>
        <v>176507.44105942911</v>
      </c>
      <c r="N148" s="28">
        <f>IFERROR(INDEX('Master data'!$B$2:$CL$1000,MATCH($B148,'Master data'!$A$2:$A$1000,0),MATCH(N$1,'Master data'!$B$1:$CL$1,0)),"")</f>
        <v>4.8685910780980196E-2</v>
      </c>
      <c r="O148" s="7">
        <f>IFERROR(INDEX('Master data'!$B$2:$CL$1000,MATCH($B148,'Master data'!$A$2:$A$1000,0),MATCH(O$1,'Master data'!$B$1:$CL$1,0)),"")</f>
        <v>0</v>
      </c>
      <c r="P148" s="5">
        <f>IFERROR(INDEX('Master data'!$B$2:$CL$1000,MATCH($B148,'Master data'!$A$2:$A$1000,0),MATCH(P$1,'Master data'!$B$1:$CL$1,0)),"")</f>
        <v>5000000</v>
      </c>
      <c r="Q148" s="5">
        <f>IFERROR(INDEX('Master data'!$B$2:$CL$1000,MATCH($B148,'Master data'!$A$2:$A$1000,0),MATCH(Q$1,'Master data'!$B$1:$CL$1,0)),"")</f>
        <v>5000000</v>
      </c>
    </row>
    <row r="149" spans="1:17" hidden="1">
      <c r="A149">
        <f t="shared" si="2"/>
        <v>147</v>
      </c>
      <c r="B149" t="str">
        <f>IF('Master data'!A149="","",'Master data'!A149)</f>
        <v>Nathan Aké</v>
      </c>
      <c r="C149" t="str">
        <f>IFERROR(INDEX('Master data'!$B$2:$CL$1000,MATCH($B149,'Master data'!$A$2:$A$1000,0),MATCH(C$1,'Master data'!$B$1:$CL$1,0)),"")</f>
        <v>Netherlands</v>
      </c>
      <c r="D149" t="str">
        <f>IFERROR(INDEX('Master data'!$B$2:$CL$1000,MATCH($B149,'Master data'!$A$2:$A$1000,0),MATCH(D$1,'Master data'!$B$1:$CL$1,0)),"")</f>
        <v>Defense</v>
      </c>
      <c r="E149" s="5">
        <f>IFERROR(INDEX('Master data'!$B$2:$CL$1000,MATCH($B149,'Master data'!$A$2:$A$1000,0),MATCH(E$1,'Master data'!$B$1:$CL$1,0)),"")</f>
        <v>3500000</v>
      </c>
      <c r="F149" s="7">
        <f>IFERROR(INDEX('Master data'!$B$2:$CL$1000,MATCH($B149,'Master data'!$A$2:$A$1000,0),MATCH(F$1,'Master data'!$B$1:$CL$1,0)),"")</f>
        <v>18376.623376623374</v>
      </c>
      <c r="G149" s="7">
        <f>IFERROR(INDEX('Master data'!$B$2:$CL$1000,MATCH($B149,'Master data'!$A$2:$A$1000,0),MATCH(G$1,'Master data'!$B$1:$CL$1,0)),"")</f>
        <v>17516.17394848109</v>
      </c>
      <c r="H149" s="7">
        <f>IFERROR(INDEX('Master data'!$B$2:$CL$1000,MATCH($B149,'Master data'!$A$2:$A$1000,0),MATCH(H$1,'Master data'!$B$1:$CL$1,0)),"")</f>
        <v>25599.852865375004</v>
      </c>
      <c r="I149" s="7">
        <f>IFERROR(INDEX('Master data'!$B$2:$CL$1000,MATCH($B149,'Master data'!$A$2:$A$1000,0),MATCH(I$1,'Master data'!$B$1:$CL$1,0)),"")</f>
        <v>-14615.169562700752</v>
      </c>
      <c r="J149" s="7">
        <f>IFERROR(INDEX('Master data'!$B$2:$CL$1000,MATCH($B149,'Master data'!$A$2:$A$1000,0),MATCH(J$1,'Master data'!$B$1:$CL$1,0)),"")</f>
        <v>-7403.204417767095</v>
      </c>
      <c r="K149" s="7">
        <f>IFERROR(INDEX('Master data'!$B$2:$CL$1000,MATCH($B149,'Master data'!$A$2:$A$1000,0),MATCH(K$1,'Master data'!$B$1:$CL$1,0)),"")</f>
        <v>-3747.8172754063658</v>
      </c>
      <c r="L149" s="7">
        <f>IFERROR(INDEX('Master data'!$B$2:$CL$1000,MATCH($B149,'Master data'!$A$2:$A$1000,0),MATCH(L$1,'Master data'!$B$1:$CL$1,0)),"")</f>
        <v>-1894.330273388935</v>
      </c>
      <c r="M149" s="5">
        <f>IFERROR(INDEX('Master data'!$B$2:$CL$1000,MATCH($B149,'Master data'!$A$2:$A$1000,0),MATCH(M$1,'Master data'!$B$1:$CL$1,0)),"")</f>
        <v>34979.157271967117</v>
      </c>
      <c r="N149" s="28">
        <f>IFERROR(INDEX('Master data'!$B$2:$CL$1000,MATCH($B149,'Master data'!$A$2:$A$1000,0),MATCH(N$1,'Master data'!$B$1:$CL$1,0)),"")</f>
        <v>1.7569328625851279E-2</v>
      </c>
      <c r="O149" s="7">
        <f>IFERROR(INDEX('Master data'!$B$2:$CL$1000,MATCH($B149,'Master data'!$A$2:$A$1000,0),MATCH(O$1,'Master data'!$B$1:$CL$1,0)),"")</f>
        <v>0</v>
      </c>
      <c r="P149" s="5">
        <f>IFERROR(INDEX('Master data'!$B$2:$CL$1000,MATCH($B149,'Master data'!$A$2:$A$1000,0),MATCH(P$1,'Master data'!$B$1:$CL$1,0)),"")</f>
        <v>3500000</v>
      </c>
      <c r="Q149" s="5">
        <f>IFERROR(INDEX('Master data'!$B$2:$CL$1000,MATCH($B149,'Master data'!$A$2:$A$1000,0),MATCH(Q$1,'Master data'!$B$1:$CL$1,0)),"")</f>
        <v>3500000</v>
      </c>
    </row>
    <row r="150" spans="1:17" hidden="1">
      <c r="A150">
        <f t="shared" si="2"/>
        <v>148</v>
      </c>
      <c r="B150" t="str">
        <f>IF('Master data'!A150="","",'Master data'!A150)</f>
        <v>Matthijs de Ligt</v>
      </c>
      <c r="C150" t="str">
        <f>IFERROR(INDEX('Master data'!$B$2:$CL$1000,MATCH($B150,'Master data'!$A$2:$A$1000,0),MATCH(C$1,'Master data'!$B$1:$CL$1,0)),"")</f>
        <v>Netherlands</v>
      </c>
      <c r="D150" t="str">
        <f>IFERROR(INDEX('Master data'!$B$2:$CL$1000,MATCH($B150,'Master data'!$A$2:$A$1000,0),MATCH(D$1,'Master data'!$B$1:$CL$1,0)),"")</f>
        <v>Defense</v>
      </c>
      <c r="E150" s="5">
        <f>IFERROR(INDEX('Master data'!$B$2:$CL$1000,MATCH($B150,'Master data'!$A$2:$A$1000,0),MATCH(E$1,'Master data'!$B$1:$CL$1,0)),"")</f>
        <v>4000000</v>
      </c>
      <c r="F150" s="7">
        <f>IFERROR(INDEX('Master data'!$B$2:$CL$1000,MATCH($B150,'Master data'!$A$2:$A$1000,0),MATCH(F$1,'Master data'!$B$1:$CL$1,0)),"")</f>
        <v>68932.291454252016</v>
      </c>
      <c r="G150" s="7">
        <f>IFERROR(INDEX('Master data'!$B$2:$CL$1000,MATCH($B150,'Master data'!$A$2:$A$1000,0),MATCH(G$1,'Master data'!$B$1:$CL$1,0)),"")</f>
        <v>74402.770087753917</v>
      </c>
      <c r="H150" s="7">
        <f>IFERROR(INDEX('Master data'!$B$2:$CL$1000,MATCH($B150,'Master data'!$A$2:$A$1000,0),MATCH(H$1,'Master data'!$B$1:$CL$1,0)),"")</f>
        <v>100944.2357596675</v>
      </c>
      <c r="I150" s="7">
        <f>IFERROR(INDEX('Master data'!$B$2:$CL$1000,MATCH($B150,'Master data'!$A$2:$A$1000,0),MATCH(I$1,'Master data'!$B$1:$CL$1,0)),"")</f>
        <v>37688.583281169827</v>
      </c>
      <c r="J150" s="7">
        <f>IFERROR(INDEX('Master data'!$B$2:$CL$1000,MATCH($B150,'Master data'!$A$2:$A$1000,0),MATCH(J$1,'Master data'!$B$1:$CL$1,0)),"")</f>
        <v>18442.05692169947</v>
      </c>
      <c r="K150" s="7">
        <f>IFERROR(INDEX('Master data'!$B$2:$CL$1000,MATCH($B150,'Master data'!$A$2:$A$1000,0),MATCH(K$1,'Master data'!$B$1:$CL$1,0)),"")</f>
        <v>9016.3700205668556</v>
      </c>
      <c r="L150" s="7">
        <f>IFERROR(INDEX('Master data'!$B$2:$CL$1000,MATCH($B150,'Master data'!$A$2:$A$1000,0),MATCH(L$1,'Master data'!$B$1:$CL$1,0)),"")</f>
        <v>4399.8918645164504</v>
      </c>
      <c r="M150" s="5">
        <f>IFERROR(INDEX('Master data'!$B$2:$CL$1000,MATCH($B150,'Master data'!$A$2:$A$1000,0),MATCH(M$1,'Master data'!$B$1:$CL$1,0)),"")</f>
        <v>179781.7200352418</v>
      </c>
      <c r="N150" s="28">
        <f>IFERROR(INDEX('Master data'!$B$2:$CL$1000,MATCH($B150,'Master data'!$A$2:$A$1000,0),MATCH(N$1,'Master data'!$B$1:$CL$1,0)),"")</f>
        <v>6.1069824325418354E-2</v>
      </c>
      <c r="O150" s="7">
        <f>IFERROR(INDEX('Master data'!$B$2:$CL$1000,MATCH($B150,'Master data'!$A$2:$A$1000,0),MATCH(O$1,'Master data'!$B$1:$CL$1,0)),"")</f>
        <v>0</v>
      </c>
      <c r="P150" s="5">
        <f>IFERROR(INDEX('Master data'!$B$2:$CL$1000,MATCH($B150,'Master data'!$A$2:$A$1000,0),MATCH(P$1,'Master data'!$B$1:$CL$1,0)),"")</f>
        <v>4000000</v>
      </c>
      <c r="Q150" s="5">
        <f>IFERROR(INDEX('Master data'!$B$2:$CL$1000,MATCH($B150,'Master data'!$A$2:$A$1000,0),MATCH(Q$1,'Master data'!$B$1:$CL$1,0)),"")</f>
        <v>4000000</v>
      </c>
    </row>
    <row r="151" spans="1:17" hidden="1">
      <c r="A151">
        <f t="shared" si="2"/>
        <v>149</v>
      </c>
      <c r="B151" t="str">
        <f>IF('Master data'!A151="","",'Master data'!A151)</f>
        <v>Stefan de Vrij</v>
      </c>
      <c r="C151" t="str">
        <f>IFERROR(INDEX('Master data'!$B$2:$CL$1000,MATCH($B151,'Master data'!$A$2:$A$1000,0),MATCH(C$1,'Master data'!$B$1:$CL$1,0)),"")</f>
        <v>Netherlands</v>
      </c>
      <c r="D151" t="str">
        <f>IFERROR(INDEX('Master data'!$B$2:$CL$1000,MATCH($B151,'Master data'!$A$2:$A$1000,0),MATCH(D$1,'Master data'!$B$1:$CL$1,0)),"")</f>
        <v>Defense</v>
      </c>
      <c r="E151" s="5">
        <f>IFERROR(INDEX('Master data'!$B$2:$CL$1000,MATCH($B151,'Master data'!$A$2:$A$1000,0),MATCH(E$1,'Master data'!$B$1:$CL$1,0)),"")</f>
        <v>3500000</v>
      </c>
      <c r="F151" s="7">
        <f>IFERROR(INDEX('Master data'!$B$2:$CL$1000,MATCH($B151,'Master data'!$A$2:$A$1000,0),MATCH(F$1,'Master data'!$B$1:$CL$1,0)),"")</f>
        <v>18376.623376623374</v>
      </c>
      <c r="G151" s="7">
        <f>IFERROR(INDEX('Master data'!$B$2:$CL$1000,MATCH($B151,'Master data'!$A$2:$A$1000,0),MATCH(G$1,'Master data'!$B$1:$CL$1,0)),"")</f>
        <v>17516.17394848109</v>
      </c>
      <c r="H151" s="7">
        <f>IFERROR(INDEX('Master data'!$B$2:$CL$1000,MATCH($B151,'Master data'!$A$2:$A$1000,0),MATCH(H$1,'Master data'!$B$1:$CL$1,0)),"")</f>
        <v>25599.852865375004</v>
      </c>
      <c r="I151" s="7">
        <f>IFERROR(INDEX('Master data'!$B$2:$CL$1000,MATCH($B151,'Master data'!$A$2:$A$1000,0),MATCH(I$1,'Master data'!$B$1:$CL$1,0)),"")</f>
        <v>-14615.169562700752</v>
      </c>
      <c r="J151" s="7">
        <f>IFERROR(INDEX('Master data'!$B$2:$CL$1000,MATCH($B151,'Master data'!$A$2:$A$1000,0),MATCH(J$1,'Master data'!$B$1:$CL$1,0)),"")</f>
        <v>-7403.204417767095</v>
      </c>
      <c r="K151" s="7">
        <f>IFERROR(INDEX('Master data'!$B$2:$CL$1000,MATCH($B151,'Master data'!$A$2:$A$1000,0),MATCH(K$1,'Master data'!$B$1:$CL$1,0)),"")</f>
        <v>-3747.8172754063658</v>
      </c>
      <c r="L151" s="7">
        <f>IFERROR(INDEX('Master data'!$B$2:$CL$1000,MATCH($B151,'Master data'!$A$2:$A$1000,0),MATCH(L$1,'Master data'!$B$1:$CL$1,0)),"")</f>
        <v>-1894.330273388935</v>
      </c>
      <c r="M151" s="5">
        <f>IFERROR(INDEX('Master data'!$B$2:$CL$1000,MATCH($B151,'Master data'!$A$2:$A$1000,0),MATCH(M$1,'Master data'!$B$1:$CL$1,0)),"")</f>
        <v>34979.157271967117</v>
      </c>
      <c r="N151" s="28">
        <f>IFERROR(INDEX('Master data'!$B$2:$CL$1000,MATCH($B151,'Master data'!$A$2:$A$1000,0),MATCH(N$1,'Master data'!$B$1:$CL$1,0)),"")</f>
        <v>1.7569328625851279E-2</v>
      </c>
      <c r="O151" s="7">
        <f>IFERROR(INDEX('Master data'!$B$2:$CL$1000,MATCH($B151,'Master data'!$A$2:$A$1000,0),MATCH(O$1,'Master data'!$B$1:$CL$1,0)),"")</f>
        <v>0</v>
      </c>
      <c r="P151" s="5">
        <f>IFERROR(INDEX('Master data'!$B$2:$CL$1000,MATCH($B151,'Master data'!$A$2:$A$1000,0),MATCH(P$1,'Master data'!$B$1:$CL$1,0)),"")</f>
        <v>3500000</v>
      </c>
      <c r="Q151" s="5">
        <f>IFERROR(INDEX('Master data'!$B$2:$CL$1000,MATCH($B151,'Master data'!$A$2:$A$1000,0),MATCH(Q$1,'Master data'!$B$1:$CL$1,0)),"")</f>
        <v>3500000</v>
      </c>
    </row>
    <row r="152" spans="1:17" hidden="1">
      <c r="A152">
        <f t="shared" si="2"/>
        <v>150</v>
      </c>
      <c r="B152" t="str">
        <f>IF('Master data'!A152="","",'Master data'!A152)</f>
        <v>Joël Veltman</v>
      </c>
      <c r="C152" t="str">
        <f>IFERROR(INDEX('Master data'!$B$2:$CL$1000,MATCH($B152,'Master data'!$A$2:$A$1000,0),MATCH(C$1,'Master data'!$B$1:$CL$1,0)),"")</f>
        <v>Netherlands</v>
      </c>
      <c r="D152" t="str">
        <f>IFERROR(INDEX('Master data'!$B$2:$CL$1000,MATCH($B152,'Master data'!$A$2:$A$1000,0),MATCH(D$1,'Master data'!$B$1:$CL$1,0)),"")</f>
        <v>Defense</v>
      </c>
      <c r="E152" s="5">
        <f>IFERROR(INDEX('Master data'!$B$2:$CL$1000,MATCH($B152,'Master data'!$A$2:$A$1000,0),MATCH(E$1,'Master data'!$B$1:$CL$1,0)),"")</f>
        <v>3000000</v>
      </c>
      <c r="F152" s="7">
        <f>IFERROR(INDEX('Master data'!$B$2:$CL$1000,MATCH($B152,'Master data'!$A$2:$A$1000,0),MATCH(F$1,'Master data'!$B$1:$CL$1,0)),"")</f>
        <v>18376.623376623374</v>
      </c>
      <c r="G152" s="7">
        <f>IFERROR(INDEX('Master data'!$B$2:$CL$1000,MATCH($B152,'Master data'!$A$2:$A$1000,0),MATCH(G$1,'Master data'!$B$1:$CL$1,0)),"")</f>
        <v>17516.17394848109</v>
      </c>
      <c r="H152" s="7">
        <f>IFERROR(INDEX('Master data'!$B$2:$CL$1000,MATCH($B152,'Master data'!$A$2:$A$1000,0),MATCH(H$1,'Master data'!$B$1:$CL$1,0)),"")</f>
        <v>25599.852865375004</v>
      </c>
      <c r="I152" s="7">
        <f>IFERROR(INDEX('Master data'!$B$2:$CL$1000,MATCH($B152,'Master data'!$A$2:$A$1000,0),MATCH(I$1,'Master data'!$B$1:$CL$1,0)),"")</f>
        <v>-9781.2720864279636</v>
      </c>
      <c r="J152" s="7">
        <f>IFERROR(INDEX('Master data'!$B$2:$CL$1000,MATCH($B152,'Master data'!$A$2:$A$1000,0),MATCH(J$1,'Master data'!$B$1:$CL$1,0)),"")</f>
        <v>-4987.3858648394589</v>
      </c>
      <c r="K152" s="7">
        <f>IFERROR(INDEX('Master data'!$B$2:$CL$1000,MATCH($B152,'Master data'!$A$2:$A$1000,0),MATCH(K$1,'Master data'!$B$1:$CL$1,0)),"")</f>
        <v>-2540.9717026684334</v>
      </c>
      <c r="L152" s="7">
        <f>IFERROR(INDEX('Master data'!$B$2:$CL$1000,MATCH($B152,'Master data'!$A$2:$A$1000,0),MATCH(L$1,'Master data'!$B$1:$CL$1,0)),"")</f>
        <v>-1292.2791049822983</v>
      </c>
      <c r="M152" s="5">
        <f>IFERROR(INDEX('Master data'!$B$2:$CL$1000,MATCH($B152,'Master data'!$A$2:$A$1000,0),MATCH(M$1,'Master data'!$B$1:$CL$1,0)),"")</f>
        <v>37100.403055584902</v>
      </c>
      <c r="N152" s="28">
        <f>IFERROR(INDEX('Master data'!$B$2:$CL$1000,MATCH($B152,'Master data'!$A$2:$A$1000,0),MATCH(N$1,'Master data'!$B$1:$CL$1,0)),"")</f>
        <v>2.0497550063493158E-2</v>
      </c>
      <c r="O152" s="7">
        <f>IFERROR(INDEX('Master data'!$B$2:$CL$1000,MATCH($B152,'Master data'!$A$2:$A$1000,0),MATCH(O$1,'Master data'!$B$1:$CL$1,0)),"")</f>
        <v>0</v>
      </c>
      <c r="P152" s="5">
        <f>IFERROR(INDEX('Master data'!$B$2:$CL$1000,MATCH($B152,'Master data'!$A$2:$A$1000,0),MATCH(P$1,'Master data'!$B$1:$CL$1,0)),"")</f>
        <v>3000000</v>
      </c>
      <c r="Q152" s="5">
        <f>IFERROR(INDEX('Master data'!$B$2:$CL$1000,MATCH($B152,'Master data'!$A$2:$A$1000,0),MATCH(Q$1,'Master data'!$B$1:$CL$1,0)),"")</f>
        <v>3000000</v>
      </c>
    </row>
    <row r="153" spans="1:17" hidden="1">
      <c r="A153">
        <f t="shared" si="2"/>
        <v>151</v>
      </c>
      <c r="B153" t="str">
        <f>IF('Master data'!A153="","",'Master data'!A153)</f>
        <v>Daley Blind</v>
      </c>
      <c r="C153" t="str">
        <f>IFERROR(INDEX('Master data'!$B$2:$CL$1000,MATCH($B153,'Master data'!$A$2:$A$1000,0),MATCH(C$1,'Master data'!$B$1:$CL$1,0)),"")</f>
        <v>Netherlands</v>
      </c>
      <c r="D153" t="str">
        <f>IFERROR(INDEX('Master data'!$B$2:$CL$1000,MATCH($B153,'Master data'!$A$2:$A$1000,0),MATCH(D$1,'Master data'!$B$1:$CL$1,0)),"")</f>
        <v>Defense</v>
      </c>
      <c r="E153" s="5">
        <f>IFERROR(INDEX('Master data'!$B$2:$CL$1000,MATCH($B153,'Master data'!$A$2:$A$1000,0),MATCH(E$1,'Master data'!$B$1:$CL$1,0)),"")</f>
        <v>4000000</v>
      </c>
      <c r="F153" s="7">
        <f>IFERROR(INDEX('Master data'!$B$2:$CL$1000,MATCH($B153,'Master data'!$A$2:$A$1000,0),MATCH(F$1,'Master data'!$B$1:$CL$1,0)),"")</f>
        <v>62144.238246206056</v>
      </c>
      <c r="G153" s="7">
        <f>IFERROR(INDEX('Master data'!$B$2:$CL$1000,MATCH($B153,'Master data'!$A$2:$A$1000,0),MATCH(G$1,'Master data'!$B$1:$CL$1,0)),"")</f>
        <v>66604.102436685993</v>
      </c>
      <c r="H153" s="7">
        <f>IFERROR(INDEX('Master data'!$B$2:$CL$1000,MATCH($B153,'Master data'!$A$2:$A$1000,0),MATCH(H$1,'Master data'!$B$1:$CL$1,0)),"")</f>
        <v>91241.546301518654</v>
      </c>
      <c r="I153" s="7">
        <f>IFERROR(INDEX('Master data'!$B$2:$CL$1000,MATCH($B153,'Master data'!$A$2:$A$1000,0),MATCH(I$1,'Master data'!$B$1:$CL$1,0)),"")</f>
        <v>30095.907037450663</v>
      </c>
      <c r="J153" s="7">
        <f>IFERROR(INDEX('Master data'!$B$2:$CL$1000,MATCH($B153,'Master data'!$A$2:$A$1000,0),MATCH(J$1,'Master data'!$B$1:$CL$1,0)),"")</f>
        <v>14686.613204316092</v>
      </c>
      <c r="K153" s="7">
        <f>IFERROR(INDEX('Master data'!$B$2:$CL$1000,MATCH($B153,'Master data'!$A$2:$A$1000,0),MATCH(K$1,'Master data'!$B$1:$CL$1,0)),"")</f>
        <v>7159.8440911992984</v>
      </c>
      <c r="L153" s="7">
        <f>IFERROR(INDEX('Master data'!$B$2:$CL$1000,MATCH($B153,'Master data'!$A$2:$A$1000,0),MATCH(L$1,'Master data'!$B$1:$CL$1,0)),"")</f>
        <v>3483.4878785343667</v>
      </c>
      <c r="M153" s="5">
        <f>IFERROR(INDEX('Master data'!$B$2:$CL$1000,MATCH($B153,'Master data'!$A$2:$A$1000,0),MATCH(M$1,'Master data'!$B$1:$CL$1,0)),"")</f>
        <v>160165.81748408484</v>
      </c>
      <c r="N153" s="28">
        <f>IFERROR(INDEX('Master data'!$B$2:$CL$1000,MATCH($B153,'Master data'!$A$2:$A$1000,0),MATCH(N$1,'Master data'!$B$1:$CL$1,0)),"")</f>
        <v>5.4997471746102672E-2</v>
      </c>
      <c r="O153" s="7">
        <f>IFERROR(INDEX('Master data'!$B$2:$CL$1000,MATCH($B153,'Master data'!$A$2:$A$1000,0),MATCH(O$1,'Master data'!$B$1:$CL$1,0)),"")</f>
        <v>0</v>
      </c>
      <c r="P153" s="5">
        <f>IFERROR(INDEX('Master data'!$B$2:$CL$1000,MATCH($B153,'Master data'!$A$2:$A$1000,0),MATCH(P$1,'Master data'!$B$1:$CL$1,0)),"")</f>
        <v>4000000</v>
      </c>
      <c r="Q153" s="5">
        <f>IFERROR(INDEX('Master data'!$B$2:$CL$1000,MATCH($B153,'Master data'!$A$2:$A$1000,0),MATCH(Q$1,'Master data'!$B$1:$CL$1,0)),"")</f>
        <v>4000000</v>
      </c>
    </row>
    <row r="154" spans="1:17" hidden="1">
      <c r="A154">
        <f t="shared" si="2"/>
        <v>152</v>
      </c>
      <c r="B154" t="str">
        <f>IF('Master data'!A154="","",'Master data'!A154)</f>
        <v>Bernd Leno</v>
      </c>
      <c r="C154" t="str">
        <f>IFERROR(INDEX('Master data'!$B$2:$CL$1000,MATCH($B154,'Master data'!$A$2:$A$1000,0),MATCH(C$1,'Master data'!$B$1:$CL$1,0)),"")</f>
        <v>Germany</v>
      </c>
      <c r="D154" t="str">
        <f>IFERROR(INDEX('Master data'!$B$2:$CL$1000,MATCH($B154,'Master data'!$A$2:$A$1000,0),MATCH(D$1,'Master data'!$B$1:$CL$1,0)),"")</f>
        <v>Goalkeeper</v>
      </c>
      <c r="E154" s="5">
        <f>IFERROR(INDEX('Master data'!$B$2:$CL$1000,MATCH($B154,'Master data'!$A$2:$A$1000,0),MATCH(E$1,'Master data'!$B$1:$CL$1,0)),"")</f>
        <v>4500000</v>
      </c>
      <c r="F154" s="7">
        <f>IFERROR(INDEX('Master data'!$B$2:$CL$1000,MATCH($B154,'Master data'!$A$2:$A$1000,0),MATCH(F$1,'Master data'!$B$1:$CL$1,0)),"")</f>
        <v>27039.858889311741</v>
      </c>
      <c r="G154" s="7">
        <f>IFERROR(INDEX('Master data'!$B$2:$CL$1000,MATCH($B154,'Master data'!$A$2:$A$1000,0),MATCH(G$1,'Master data'!$B$1:$CL$1,0)),"")</f>
        <v>28144.463133968795</v>
      </c>
      <c r="H154" s="7">
        <f>IFERROR(INDEX('Master data'!$B$2:$CL$1000,MATCH($B154,'Master data'!$A$2:$A$1000,0),MATCH(H$1,'Master data'!$B$1:$CL$1,0)),"")</f>
        <v>38458.955078729494</v>
      </c>
      <c r="I154" s="7">
        <f>IFERROR(INDEX('Master data'!$B$2:$CL$1000,MATCH($B154,'Master data'!$A$2:$A$1000,0),MATCH(I$1,'Master data'!$B$1:$CL$1,0)),"")</f>
        <v>-13109.281835822329</v>
      </c>
      <c r="J154" s="7">
        <f>IFERROR(INDEX('Master data'!$B$2:$CL$1000,MATCH($B154,'Master data'!$A$2:$A$1000,0),MATCH(J$1,'Master data'!$B$1:$CL$1,0)),"")</f>
        <v>-6803.3673270474837</v>
      </c>
      <c r="K154" s="7">
        <f>IFERROR(INDEX('Master data'!$B$2:$CL$1000,MATCH($B154,'Master data'!$A$2:$A$1000,0),MATCH(K$1,'Master data'!$B$1:$CL$1,0)),"")</f>
        <v>-3577.7505288121006</v>
      </c>
      <c r="L154" s="7">
        <f>IFERROR(INDEX('Master data'!$B$2:$CL$1000,MATCH($B154,'Master data'!$A$2:$A$1000,0),MATCH(L$1,'Master data'!$B$1:$CL$1,0)),"")</f>
        <v>-1963.9885466842493</v>
      </c>
      <c r="M154" s="5">
        <f>IFERROR(INDEX('Master data'!$B$2:$CL$1000,MATCH($B154,'Master data'!$A$2:$A$1000,0),MATCH(M$1,'Master data'!$B$1:$CL$1,0)),"")</f>
        <v>57024.030959587421</v>
      </c>
      <c r="N154" s="28">
        <f>IFERROR(INDEX('Master data'!$B$2:$CL$1000,MATCH($B154,'Master data'!$A$2:$A$1000,0),MATCH(N$1,'Master data'!$B$1:$CL$1,0)),"")</f>
        <v>2.0809617133780007E-2</v>
      </c>
      <c r="O154" s="7">
        <f>IFERROR(INDEX('Master data'!$B$2:$CL$1000,MATCH($B154,'Master data'!$A$2:$A$1000,0),MATCH(O$1,'Master data'!$B$1:$CL$1,0)),"")</f>
        <v>0</v>
      </c>
      <c r="P154" s="5">
        <f>IFERROR(INDEX('Master data'!$B$2:$CL$1000,MATCH($B154,'Master data'!$A$2:$A$1000,0),MATCH(P$1,'Master data'!$B$1:$CL$1,0)),"")</f>
        <v>4500000</v>
      </c>
      <c r="Q154" s="5">
        <f>IFERROR(INDEX('Master data'!$B$2:$CL$1000,MATCH($B154,'Master data'!$A$2:$A$1000,0),MATCH(Q$1,'Master data'!$B$1:$CL$1,0)),"")</f>
        <v>4500000</v>
      </c>
    </row>
    <row r="155" spans="1:17" hidden="1">
      <c r="A155">
        <f t="shared" si="2"/>
        <v>153</v>
      </c>
      <c r="B155" t="str">
        <f>IF('Master data'!A155="","",'Master data'!A155)</f>
        <v>Mats  Hummels</v>
      </c>
      <c r="C155" t="str">
        <f>IFERROR(INDEX('Master data'!$B$2:$CL$1000,MATCH($B155,'Master data'!$A$2:$A$1000,0),MATCH(C$1,'Master data'!$B$1:$CL$1,0)),"")</f>
        <v>Germany</v>
      </c>
      <c r="D155" t="str">
        <f>IFERROR(INDEX('Master data'!$B$2:$CL$1000,MATCH($B155,'Master data'!$A$2:$A$1000,0),MATCH(D$1,'Master data'!$B$1:$CL$1,0)),"")</f>
        <v>Defense</v>
      </c>
      <c r="E155" s="5">
        <f>IFERROR(INDEX('Master data'!$B$2:$CL$1000,MATCH($B155,'Master data'!$A$2:$A$1000,0),MATCH(E$1,'Master data'!$B$1:$CL$1,0)),"")</f>
        <v>3500000</v>
      </c>
      <c r="F155" s="7">
        <f>IFERROR(INDEX('Master data'!$B$2:$CL$1000,MATCH($B155,'Master data'!$A$2:$A$1000,0),MATCH(F$1,'Master data'!$B$1:$CL$1,0)),"")</f>
        <v>9489.18764664849</v>
      </c>
      <c r="G155" s="7">
        <f>IFERROR(INDEX('Master data'!$B$2:$CL$1000,MATCH($B155,'Master data'!$A$2:$A$1000,0),MATCH(G$1,'Master data'!$B$1:$CL$1,0)),"")</f>
        <v>10654.791771199194</v>
      </c>
      <c r="H155" s="7">
        <f>IFERROR(INDEX('Master data'!$B$2:$CL$1000,MATCH($B155,'Master data'!$A$2:$A$1000,0),MATCH(H$1,'Master data'!$B$1:$CL$1,0)),"")</f>
        <v>20163.959116246748</v>
      </c>
      <c r="I155" s="7">
        <f>IFERROR(INDEX('Master data'!$B$2:$CL$1000,MATCH($B155,'Master data'!$A$2:$A$1000,0),MATCH(I$1,'Master data'!$B$1:$CL$1,0)),"")</f>
        <v>-19560.709486655771</v>
      </c>
      <c r="J155" s="7">
        <f>IFERROR(INDEX('Master data'!$B$2:$CL$1000,MATCH($B155,'Master data'!$A$2:$A$1000,0),MATCH(J$1,'Master data'!$B$1:$CL$1,0)),"")</f>
        <v>-10001.51889645634</v>
      </c>
      <c r="K155" s="7">
        <f>IFERROR(INDEX('Master data'!$B$2:$CL$1000,MATCH($B155,'Master data'!$A$2:$A$1000,0),MATCH(K$1,'Master data'!$B$1:$CL$1,0)),"")</f>
        <v>-5183.9360456267323</v>
      </c>
      <c r="L155" s="7">
        <f>IFERROR(INDEX('Master data'!$B$2:$CL$1000,MATCH($B155,'Master data'!$A$2:$A$1000,0),MATCH(L$1,'Master data'!$B$1:$CL$1,0)),"")</f>
        <v>-2805.8207776546778</v>
      </c>
      <c r="M155" s="5">
        <f>IFERROR(INDEX('Master data'!$B$2:$CL$1000,MATCH($B155,'Master data'!$A$2:$A$1000,0),MATCH(M$1,'Master data'!$B$1:$CL$1,0)),"")</f>
        <v>16853.781877251135</v>
      </c>
      <c r="N155" s="28">
        <f>IFERROR(INDEX('Master data'!$B$2:$CL$1000,MATCH($B155,'Master data'!$A$2:$A$1000,0),MATCH(N$1,'Master data'!$B$1:$CL$1,0)),"")</f>
        <v>1.1516553866884122E-2</v>
      </c>
      <c r="O155" s="7">
        <f>IFERROR(INDEX('Master data'!$B$2:$CL$1000,MATCH($B155,'Master data'!$A$2:$A$1000,0),MATCH(O$1,'Master data'!$B$1:$CL$1,0)),"")</f>
        <v>0</v>
      </c>
      <c r="P155" s="5">
        <f>IFERROR(INDEX('Master data'!$B$2:$CL$1000,MATCH($B155,'Master data'!$A$2:$A$1000,0),MATCH(P$1,'Master data'!$B$1:$CL$1,0)),"")</f>
        <v>3500000</v>
      </c>
      <c r="Q155" s="5">
        <f>IFERROR(INDEX('Master data'!$B$2:$CL$1000,MATCH($B155,'Master data'!$A$2:$A$1000,0),MATCH(Q$1,'Master data'!$B$1:$CL$1,0)),"")</f>
        <v>3500000</v>
      </c>
    </row>
    <row r="156" spans="1:17" hidden="1">
      <c r="A156">
        <f t="shared" si="2"/>
        <v>154</v>
      </c>
      <c r="B156" t="str">
        <f>IF('Master data'!A156="","",'Master data'!A156)</f>
        <v>Antonio Rüdiger</v>
      </c>
      <c r="C156" t="str">
        <f>IFERROR(INDEX('Master data'!$B$2:$CL$1000,MATCH($B156,'Master data'!$A$2:$A$1000,0),MATCH(C$1,'Master data'!$B$1:$CL$1,0)),"")</f>
        <v>Germany</v>
      </c>
      <c r="D156" t="str">
        <f>IFERROR(INDEX('Master data'!$B$2:$CL$1000,MATCH($B156,'Master data'!$A$2:$A$1000,0),MATCH(D$1,'Master data'!$B$1:$CL$1,0)),"")</f>
        <v>Defense</v>
      </c>
      <c r="E156" s="5">
        <f>IFERROR(INDEX('Master data'!$B$2:$CL$1000,MATCH($B156,'Master data'!$A$2:$A$1000,0),MATCH(E$1,'Master data'!$B$1:$CL$1,0)),"")</f>
        <v>4000000</v>
      </c>
      <c r="F156" s="7">
        <f>IFERROR(INDEX('Master data'!$B$2:$CL$1000,MATCH($B156,'Master data'!$A$2:$A$1000,0),MATCH(F$1,'Master data'!$B$1:$CL$1,0)),"")</f>
        <v>38216.035147486575</v>
      </c>
      <c r="G156" s="7">
        <f>IFERROR(INDEX('Master data'!$B$2:$CL$1000,MATCH($B156,'Master data'!$A$2:$A$1000,0),MATCH(G$1,'Master data'!$B$1:$CL$1,0)),"")</f>
        <v>45853.012454701362</v>
      </c>
      <c r="H156" s="7">
        <f>IFERROR(INDEX('Master data'!$B$2:$CL$1000,MATCH($B156,'Master data'!$A$2:$A$1000,0),MATCH(H$1,'Master data'!$B$1:$CL$1,0)),"")</f>
        <v>89510.869625670864</v>
      </c>
      <c r="I156" s="7">
        <f>IFERROR(INDEX('Master data'!$B$2:$CL$1000,MATCH($B156,'Master data'!$A$2:$A$1000,0),MATCH(I$1,'Master data'!$B$1:$CL$1,0)),"")</f>
        <v>14357.847426881495</v>
      </c>
      <c r="J156" s="7">
        <f>IFERROR(INDEX('Master data'!$B$2:$CL$1000,MATCH($B156,'Master data'!$A$2:$A$1000,0),MATCH(J$1,'Master data'!$B$1:$CL$1,0)),"")</f>
        <v>7034.7999441464881</v>
      </c>
      <c r="K156" s="7">
        <f>IFERROR(INDEX('Master data'!$B$2:$CL$1000,MATCH($B156,'Master data'!$A$2:$A$1000,0),MATCH(K$1,'Master data'!$B$1:$CL$1,0)),"")</f>
        <v>3489.3175420285347</v>
      </c>
      <c r="L156" s="7">
        <f>IFERROR(INDEX('Master data'!$B$2:$CL$1000,MATCH($B156,'Master data'!$A$2:$A$1000,0),MATCH(L$1,'Master data'!$B$1:$CL$1,0)),"")</f>
        <v>1804.6882163749378</v>
      </c>
      <c r="M156" s="5">
        <f>IFERROR(INDEX('Master data'!$B$2:$CL$1000,MATCH($B156,'Master data'!$A$2:$A$1000,0),MATCH(M$1,'Master data'!$B$1:$CL$1,0)),"")</f>
        <v>114829.02085084522</v>
      </c>
      <c r="N156" s="28">
        <f>IFERROR(INDEX('Master data'!$B$2:$CL$1000,MATCH($B156,'Master data'!$A$2:$A$1000,0),MATCH(N$1,'Master data'!$B$1:$CL$1,0)),"")</f>
        <v>4.3394979306964697E-2</v>
      </c>
      <c r="O156" s="7">
        <f>IFERROR(INDEX('Master data'!$B$2:$CL$1000,MATCH($B156,'Master data'!$A$2:$A$1000,0),MATCH(O$1,'Master data'!$B$1:$CL$1,0)),"")</f>
        <v>0</v>
      </c>
      <c r="P156" s="5">
        <f>IFERROR(INDEX('Master data'!$B$2:$CL$1000,MATCH($B156,'Master data'!$A$2:$A$1000,0),MATCH(P$1,'Master data'!$B$1:$CL$1,0)),"")</f>
        <v>4000000</v>
      </c>
      <c r="Q156" s="5">
        <f>IFERROR(INDEX('Master data'!$B$2:$CL$1000,MATCH($B156,'Master data'!$A$2:$A$1000,0),MATCH(Q$1,'Master data'!$B$1:$CL$1,0)),"")</f>
        <v>4000000</v>
      </c>
    </row>
    <row r="157" spans="1:17" hidden="1">
      <c r="A157">
        <f t="shared" si="2"/>
        <v>155</v>
      </c>
      <c r="B157" t="str">
        <f>IF('Master data'!A157="","",'Master data'!A157)</f>
        <v>Niklas Süle</v>
      </c>
      <c r="C157" t="str">
        <f>IFERROR(INDEX('Master data'!$B$2:$CL$1000,MATCH($B157,'Master data'!$A$2:$A$1000,0),MATCH(C$1,'Master data'!$B$1:$CL$1,0)),"")</f>
        <v>Germany</v>
      </c>
      <c r="D157" t="str">
        <f>IFERROR(INDEX('Master data'!$B$2:$CL$1000,MATCH($B157,'Master data'!$A$2:$A$1000,0),MATCH(D$1,'Master data'!$B$1:$CL$1,0)),"")</f>
        <v>Defense</v>
      </c>
      <c r="E157" s="5">
        <f>IFERROR(INDEX('Master data'!$B$2:$CL$1000,MATCH($B157,'Master data'!$A$2:$A$1000,0),MATCH(E$1,'Master data'!$B$1:$CL$1,0)),"")</f>
        <v>3500000</v>
      </c>
      <c r="F157" s="7">
        <f>IFERROR(INDEX('Master data'!$B$2:$CL$1000,MATCH($B157,'Master data'!$A$2:$A$1000,0),MATCH(F$1,'Master data'!$B$1:$CL$1,0)),"")</f>
        <v>36681.718755385868</v>
      </c>
      <c r="G157" s="7">
        <f>IFERROR(INDEX('Master data'!$B$2:$CL$1000,MATCH($B157,'Master data'!$A$2:$A$1000,0),MATCH(G$1,'Master data'!$B$1:$CL$1,0)),"")</f>
        <v>44208.598468088196</v>
      </c>
      <c r="H157" s="7">
        <f>IFERROR(INDEX('Master data'!$B$2:$CL$1000,MATCH($B157,'Master data'!$A$2:$A$1000,0),MATCH(H$1,'Master data'!$B$1:$CL$1,0)),"")</f>
        <v>87071.128643978605</v>
      </c>
      <c r="I157" s="7">
        <f>IFERROR(INDEX('Master data'!$B$2:$CL$1000,MATCH($B157,'Master data'!$A$2:$A$1000,0),MATCH(I$1,'Master data'!$B$1:$CL$1,0)),"")</f>
        <v>17192.486438748219</v>
      </c>
      <c r="J157" s="7">
        <f>IFERROR(INDEX('Master data'!$B$2:$CL$1000,MATCH($B157,'Master data'!$A$2:$A$1000,0),MATCH(J$1,'Master data'!$B$1:$CL$1,0)),"")</f>
        <v>8483.8334364173788</v>
      </c>
      <c r="K157" s="7">
        <f>IFERROR(INDEX('Master data'!$B$2:$CL$1000,MATCH($B157,'Master data'!$A$2:$A$1000,0),MATCH(K$1,'Master data'!$B$1:$CL$1,0)),"")</f>
        <v>4240.2011088014142</v>
      </c>
      <c r="L157" s="7">
        <f>IFERROR(INDEX('Master data'!$B$2:$CL$1000,MATCH($B157,'Master data'!$A$2:$A$1000,0),MATCH(L$1,'Master data'!$B$1:$CL$1,0)),"")</f>
        <v>2211.0141721325876</v>
      </c>
      <c r="M157" s="5">
        <f>IFERROR(INDEX('Master data'!$B$2:$CL$1000,MATCH($B157,'Master data'!$A$2:$A$1000,0),MATCH(M$1,'Master data'!$B$1:$CL$1,0)),"")</f>
        <v>112374.77477077005</v>
      </c>
      <c r="N157" s="28">
        <f>IFERROR(INDEX('Master data'!$B$2:$CL$1000,MATCH($B157,'Master data'!$A$2:$A$1000,0),MATCH(N$1,'Master data'!$B$1:$CL$1,0)),"")</f>
        <v>4.7988984533557905E-2</v>
      </c>
      <c r="O157" s="7">
        <f>IFERROR(INDEX('Master data'!$B$2:$CL$1000,MATCH($B157,'Master data'!$A$2:$A$1000,0),MATCH(O$1,'Master data'!$B$1:$CL$1,0)),"")</f>
        <v>0</v>
      </c>
      <c r="P157" s="5">
        <f>IFERROR(INDEX('Master data'!$B$2:$CL$1000,MATCH($B157,'Master data'!$A$2:$A$1000,0),MATCH(P$1,'Master data'!$B$1:$CL$1,0)),"")</f>
        <v>3500000</v>
      </c>
      <c r="Q157" s="5">
        <f>IFERROR(INDEX('Master data'!$B$2:$CL$1000,MATCH($B157,'Master data'!$A$2:$A$1000,0),MATCH(Q$1,'Master data'!$B$1:$CL$1,0)),"")</f>
        <v>3500000</v>
      </c>
    </row>
    <row r="158" spans="1:17" hidden="1">
      <c r="A158">
        <f t="shared" si="2"/>
        <v>156</v>
      </c>
      <c r="B158" t="str">
        <f>IF('Master data'!A158="","",'Master data'!A158)</f>
        <v>Jonas  Hofmann</v>
      </c>
      <c r="C158" t="str">
        <f>IFERROR(INDEX('Master data'!$B$2:$CL$1000,MATCH($B158,'Master data'!$A$2:$A$1000,0),MATCH(C$1,'Master data'!$B$1:$CL$1,0)),"")</f>
        <v>Germany</v>
      </c>
      <c r="D158" t="str">
        <f>IFERROR(INDEX('Master data'!$B$2:$CL$1000,MATCH($B158,'Master data'!$A$2:$A$1000,0),MATCH(D$1,'Master data'!$B$1:$CL$1,0)),"")</f>
        <v>Midfield</v>
      </c>
      <c r="E158" s="5">
        <f>IFERROR(INDEX('Master data'!$B$2:$CL$1000,MATCH($B158,'Master data'!$A$2:$A$1000,0),MATCH(E$1,'Master data'!$B$1:$CL$1,0)),"")</f>
        <v>3000000</v>
      </c>
      <c r="F158" s="7">
        <f>IFERROR(INDEX('Master data'!$B$2:$CL$1000,MATCH($B158,'Master data'!$A$2:$A$1000,0),MATCH(F$1,'Master data'!$B$1:$CL$1,0)),"")</f>
        <v>-5000</v>
      </c>
      <c r="G158" s="7">
        <f>IFERROR(INDEX('Master data'!$B$2:$CL$1000,MATCH($B158,'Master data'!$A$2:$A$1000,0),MATCH(G$1,'Master data'!$B$1:$CL$1,0)),"")</f>
        <v>-5000</v>
      </c>
      <c r="H158" s="7">
        <f>IFERROR(INDEX('Master data'!$B$2:$CL$1000,MATCH($B158,'Master data'!$A$2:$A$1000,0),MATCH(H$1,'Master data'!$B$1:$CL$1,0)),"")</f>
        <v>-5000</v>
      </c>
      <c r="I158" s="7">
        <f>IFERROR(INDEX('Master data'!$B$2:$CL$1000,MATCH($B158,'Master data'!$A$2:$A$1000,0),MATCH(I$1,'Master data'!$B$1:$CL$1,0)),"")</f>
        <v>-31032.349719388087</v>
      </c>
      <c r="J158" s="7">
        <f>IFERROR(INDEX('Master data'!$B$2:$CL$1000,MATCH($B158,'Master data'!$A$2:$A$1000,0),MATCH(J$1,'Master data'!$B$1:$CL$1,0)),"")</f>
        <v>-15747.957954263689</v>
      </c>
      <c r="K158" s="7">
        <f>IFERROR(INDEX('Master data'!$B$2:$CL$1000,MATCH($B158,'Master data'!$A$2:$A$1000,0),MATCH(K$1,'Master data'!$B$1:$CL$1,0)),"")</f>
        <v>-8101.4229259925432</v>
      </c>
      <c r="L158" s="7">
        <f>IFERROR(INDEX('Master data'!$B$2:$CL$1000,MATCH($B158,'Master data'!$A$2:$A$1000,0),MATCH(L$1,'Master data'!$B$1:$CL$1,0)),"")</f>
        <v>-4352.3111663965083</v>
      </c>
      <c r="M158" s="5">
        <f>IFERROR(INDEX('Master data'!$B$2:$CL$1000,MATCH($B158,'Master data'!$A$2:$A$1000,0),MATCH(M$1,'Master data'!$B$1:$CL$1,0)),"")</f>
        <v>-24309.983539569905</v>
      </c>
      <c r="N158" s="28">
        <f>IFERROR(INDEX('Master data'!$B$2:$CL$1000,MATCH($B158,'Master data'!$A$2:$A$1000,0),MATCH(N$1,'Master data'!$B$1:$CL$1,0)),"")</f>
        <v>-5.0000000000000001E-3</v>
      </c>
      <c r="O158" s="7">
        <f>IFERROR(INDEX('Master data'!$B$2:$CL$1000,MATCH($B158,'Master data'!$A$2:$A$1000,0),MATCH(O$1,'Master data'!$B$1:$CL$1,0)),"")</f>
        <v>0</v>
      </c>
      <c r="P158" s="5">
        <f>IFERROR(INDEX('Master data'!$B$2:$CL$1000,MATCH($B158,'Master data'!$A$2:$A$1000,0),MATCH(P$1,'Master data'!$B$1:$CL$1,0)),"")</f>
        <v>3000000</v>
      </c>
      <c r="Q158" s="5">
        <f>IFERROR(INDEX('Master data'!$B$2:$CL$1000,MATCH($B158,'Master data'!$A$2:$A$1000,0),MATCH(Q$1,'Master data'!$B$1:$CL$1,0)),"")</f>
        <v>3000000</v>
      </c>
    </row>
    <row r="159" spans="1:17" hidden="1">
      <c r="A159">
        <f t="shared" si="2"/>
        <v>157</v>
      </c>
      <c r="B159" t="str">
        <f>IF('Master data'!A159="","",'Master data'!A159)</f>
        <v>Jamal Musiala</v>
      </c>
      <c r="C159" t="str">
        <f>IFERROR(INDEX('Master data'!$B$2:$CL$1000,MATCH($B159,'Master data'!$A$2:$A$1000,0),MATCH(C$1,'Master data'!$B$1:$CL$1,0)),"")</f>
        <v>Germany</v>
      </c>
      <c r="D159" t="str">
        <f>IFERROR(INDEX('Master data'!$B$2:$CL$1000,MATCH($B159,'Master data'!$A$2:$A$1000,0),MATCH(D$1,'Master data'!$B$1:$CL$1,0)),"")</f>
        <v>Midfield</v>
      </c>
      <c r="E159" s="5">
        <f>IFERROR(INDEX('Master data'!$B$2:$CL$1000,MATCH($B159,'Master data'!$A$2:$A$1000,0),MATCH(E$1,'Master data'!$B$1:$CL$1,0)),"")</f>
        <v>3500000</v>
      </c>
      <c r="F159" s="7">
        <f>IFERROR(INDEX('Master data'!$B$2:$CL$1000,MATCH($B159,'Master data'!$A$2:$A$1000,0),MATCH(F$1,'Master data'!$B$1:$CL$1,0)),"")</f>
        <v>-5000</v>
      </c>
      <c r="G159" s="7">
        <f>IFERROR(INDEX('Master data'!$B$2:$CL$1000,MATCH($B159,'Master data'!$A$2:$A$1000,0),MATCH(G$1,'Master data'!$B$1:$CL$1,0)),"")</f>
        <v>-5000</v>
      </c>
      <c r="H159" s="7">
        <f>IFERROR(INDEX('Master data'!$B$2:$CL$1000,MATCH($B159,'Master data'!$A$2:$A$1000,0),MATCH(H$1,'Master data'!$B$1:$CL$1,0)),"")</f>
        <v>-5000</v>
      </c>
      <c r="I159" s="7">
        <f>IFERROR(INDEX('Master data'!$B$2:$CL$1000,MATCH($B159,'Master data'!$A$2:$A$1000,0),MATCH(I$1,'Master data'!$B$1:$CL$1,0)),"")</f>
        <v>-35484.623710691973</v>
      </c>
      <c r="J159" s="7">
        <f>IFERROR(INDEX('Master data'!$B$2:$CL$1000,MATCH($B159,'Master data'!$A$2:$A$1000,0),MATCH(J$1,'Master data'!$B$1:$CL$1,0)),"")</f>
        <v>-18010.59559137054</v>
      </c>
      <c r="K159" s="7">
        <f>IFERROR(INDEX('Master data'!$B$2:$CL$1000,MATCH($B159,'Master data'!$A$2:$A$1000,0),MATCH(K$1,'Master data'!$B$1:$CL$1,0)),"")</f>
        <v>-9267.0952894447073</v>
      </c>
      <c r="L159" s="7">
        <f>IFERROR(INDEX('Master data'!$B$2:$CL$1000,MATCH($B159,'Master data'!$A$2:$A$1000,0),MATCH(L$1,'Master data'!$B$1:$CL$1,0)),"")</f>
        <v>-4979.4453402288582</v>
      </c>
      <c r="M159" s="5">
        <f>IFERROR(INDEX('Master data'!$B$2:$CL$1000,MATCH($B159,'Master data'!$A$2:$A$1000,0),MATCH(M$1,'Master data'!$B$1:$CL$1,0)),"")</f>
        <v>-26284.677827473468</v>
      </c>
      <c r="N159" s="28">
        <f>IFERROR(INDEX('Master data'!$B$2:$CL$1000,MATCH($B159,'Master data'!$A$2:$A$1000,0),MATCH(N$1,'Master data'!$B$1:$CL$1,0)),"")</f>
        <v>-4.2857142857142859E-3</v>
      </c>
      <c r="O159" s="7">
        <f>IFERROR(INDEX('Master data'!$B$2:$CL$1000,MATCH($B159,'Master data'!$A$2:$A$1000,0),MATCH(O$1,'Master data'!$B$1:$CL$1,0)),"")</f>
        <v>0</v>
      </c>
      <c r="P159" s="5">
        <f>IFERROR(INDEX('Master data'!$B$2:$CL$1000,MATCH($B159,'Master data'!$A$2:$A$1000,0),MATCH(P$1,'Master data'!$B$1:$CL$1,0)),"")</f>
        <v>3500000</v>
      </c>
      <c r="Q159" s="5">
        <f>IFERROR(INDEX('Master data'!$B$2:$CL$1000,MATCH($B159,'Master data'!$A$2:$A$1000,0),MATCH(Q$1,'Master data'!$B$1:$CL$1,0)),"")</f>
        <v>3500000</v>
      </c>
    </row>
    <row r="160" spans="1:17" hidden="1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data'!$B$2:$CL$1000,MATCH($B160,'Master data'!$A$2:$A$1000,0),MATCH(C$1,'Master data'!$B$1:$CL$1,0)),"")</f>
        <v>England</v>
      </c>
      <c r="D160" t="str">
        <f>IFERROR(INDEX('Master data'!$B$2:$CL$1000,MATCH($B160,'Master data'!$A$2:$A$1000,0),MATCH(D$1,'Master data'!$B$1:$CL$1,0)),"")</f>
        <v>Defense</v>
      </c>
      <c r="E160" s="5">
        <f>IFERROR(INDEX('Master data'!$B$2:$CL$1000,MATCH($B160,'Master data'!$A$2:$A$1000,0),MATCH(E$1,'Master data'!$B$1:$CL$1,0)),"")</f>
        <v>2500000</v>
      </c>
      <c r="F160" s="7">
        <f>IFERROR(INDEX('Master data'!$B$2:$CL$1000,MATCH($B160,'Master data'!$A$2:$A$1000,0),MATCH(F$1,'Master data'!$B$1:$CL$1,0)),"")</f>
        <v>18620.596051090095</v>
      </c>
      <c r="G160" s="7">
        <f>IFERROR(INDEX('Master data'!$B$2:$CL$1000,MATCH($B160,'Master data'!$A$2:$A$1000,0),MATCH(G$1,'Master data'!$B$1:$CL$1,0)),"")</f>
        <v>20708.441336202202</v>
      </c>
      <c r="H160" s="7">
        <f>IFERROR(INDEX('Master data'!$B$2:$CL$1000,MATCH($B160,'Master data'!$A$2:$A$1000,0),MATCH(H$1,'Master data'!$B$1:$CL$1,0)),"")</f>
        <v>16892.879847425302</v>
      </c>
      <c r="I160" s="7">
        <f>IFERROR(INDEX('Master data'!$B$2:$CL$1000,MATCH($B160,'Master data'!$A$2:$A$1000,0),MATCH(I$1,'Master data'!$B$1:$CL$1,0)),"")</f>
        <v>-6532.7471209728883</v>
      </c>
      <c r="J160" s="7">
        <f>IFERROR(INDEX('Master data'!$B$2:$CL$1000,MATCH($B160,'Master data'!$A$2:$A$1000,0),MATCH(J$1,'Master data'!$B$1:$CL$1,0)),"")</f>
        <v>-3464.3127266951433</v>
      </c>
      <c r="K160" s="7">
        <f>IFERROR(INDEX('Master data'!$B$2:$CL$1000,MATCH($B160,'Master data'!$A$2:$A$1000,0),MATCH(K$1,'Master data'!$B$1:$CL$1,0)),"")</f>
        <v>-1883.0323026320298</v>
      </c>
      <c r="L160" s="7">
        <f>IFERROR(INDEX('Master data'!$B$2:$CL$1000,MATCH($B160,'Master data'!$A$2:$A$1000,0),MATCH(L$1,'Master data'!$B$1:$CL$1,0)),"")</f>
        <v>-1104.3753524194797</v>
      </c>
      <c r="M160" s="5">
        <f>IFERROR(INDEX('Master data'!$B$2:$CL$1000,MATCH($B160,'Master data'!$A$2:$A$1000,0),MATCH(M$1,'Master data'!$B$1:$CL$1,0)),"")</f>
        <v>36969.306648591191</v>
      </c>
      <c r="N160" s="28">
        <f>IFERROR(INDEX('Master data'!$B$2:$CL$1000,MATCH($B160,'Master data'!$A$2:$A$1000,0),MATCH(N$1,'Master data'!$B$1:$CL$1,0)),"")</f>
        <v>2.2488766893887038E-2</v>
      </c>
      <c r="O160" s="7">
        <f>IFERROR(INDEX('Master data'!$B$2:$CL$1000,MATCH($B160,'Master data'!$A$2:$A$1000,0),MATCH(O$1,'Master data'!$B$1:$CL$1,0)),"")</f>
        <v>0</v>
      </c>
      <c r="P160" s="5">
        <f>IFERROR(INDEX('Master data'!$B$2:$CL$1000,MATCH($B160,'Master data'!$A$2:$A$1000,0),MATCH(P$1,'Master data'!$B$1:$CL$1,0)),"")</f>
        <v>2500000</v>
      </c>
      <c r="Q160" s="5">
        <f>IFERROR(INDEX('Master data'!$B$2:$CL$1000,MATCH($B160,'Master data'!$A$2:$A$1000,0),MATCH(Q$1,'Master data'!$B$1:$CL$1,0)),"")</f>
        <v>2500000</v>
      </c>
    </row>
    <row r="161" spans="1:17" hidden="1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data'!$B$2:$CL$1000,MATCH($B161,'Master data'!$A$2:$A$1000,0),MATCH(C$1,'Master data'!$B$1:$CL$1,0)),"")</f>
        <v>England</v>
      </c>
      <c r="D161" t="str">
        <f>IFERROR(INDEX('Master data'!$B$2:$CL$1000,MATCH($B161,'Master data'!$A$2:$A$1000,0),MATCH(D$1,'Master data'!$B$1:$CL$1,0)),"")</f>
        <v>Defense</v>
      </c>
      <c r="E161" s="5">
        <f>IFERROR(INDEX('Master data'!$B$2:$CL$1000,MATCH($B161,'Master data'!$A$2:$A$1000,0),MATCH(E$1,'Master data'!$B$1:$CL$1,0)),"")</f>
        <v>3000000</v>
      </c>
      <c r="F161" s="7">
        <f>IFERROR(INDEX('Master data'!$B$2:$CL$1000,MATCH($B161,'Master data'!$A$2:$A$1000,0),MATCH(F$1,'Master data'!$B$1:$CL$1,0)),"")</f>
        <v>18620.596051090095</v>
      </c>
      <c r="G161" s="7">
        <f>IFERROR(INDEX('Master data'!$B$2:$CL$1000,MATCH($B161,'Master data'!$A$2:$A$1000,0),MATCH(G$1,'Master data'!$B$1:$CL$1,0)),"")</f>
        <v>20708.441336202202</v>
      </c>
      <c r="H161" s="7">
        <f>IFERROR(INDEX('Master data'!$B$2:$CL$1000,MATCH($B161,'Master data'!$A$2:$A$1000,0),MATCH(H$1,'Master data'!$B$1:$CL$1,0)),"")</f>
        <v>16892.879847425302</v>
      </c>
      <c r="I161" s="7">
        <f>IFERROR(INDEX('Master data'!$B$2:$CL$1000,MATCH($B161,'Master data'!$A$2:$A$1000,0),MATCH(I$1,'Master data'!$B$1:$CL$1,0)),"")</f>
        <v>-11321.041790865747</v>
      </c>
      <c r="J161" s="7">
        <f>IFERROR(INDEX('Master data'!$B$2:$CL$1000,MATCH($B161,'Master data'!$A$2:$A$1000,0),MATCH(J$1,'Master data'!$B$1:$CL$1,0)),"")</f>
        <v>-5935.6491561228058</v>
      </c>
      <c r="K161" s="7">
        <f>IFERROR(INDEX('Master data'!$B$2:$CL$1000,MATCH($B161,'Master data'!$A$2:$A$1000,0),MATCH(K$1,'Master data'!$B$1:$CL$1,0)),"")</f>
        <v>-3191.3490768576121</v>
      </c>
      <c r="L161" s="7">
        <f>IFERROR(INDEX('Master data'!$B$2:$CL$1000,MATCH($B161,'Master data'!$A$2:$A$1000,0),MATCH(L$1,'Master data'!$B$1:$CL$1,0)),"")</f>
        <v>-1852.2121452184749</v>
      </c>
      <c r="M161" s="5">
        <f>IFERROR(INDEX('Master data'!$B$2:$CL$1000,MATCH($B161,'Master data'!$A$2:$A$1000,0),MATCH(M$1,'Master data'!$B$1:$CL$1,0)),"")</f>
        <v>34824.445112789777</v>
      </c>
      <c r="N161" s="28">
        <f>IFERROR(INDEX('Master data'!$B$2:$CL$1000,MATCH($B161,'Master data'!$A$2:$A$1000,0),MATCH(N$1,'Master data'!$B$1:$CL$1,0)),"")</f>
        <v>1.8740639078239196E-2</v>
      </c>
      <c r="O161" s="7">
        <f>IFERROR(INDEX('Master data'!$B$2:$CL$1000,MATCH($B161,'Master data'!$A$2:$A$1000,0),MATCH(O$1,'Master data'!$B$1:$CL$1,0)),"")</f>
        <v>0</v>
      </c>
      <c r="P161" s="5">
        <f>IFERROR(INDEX('Master data'!$B$2:$CL$1000,MATCH($B161,'Master data'!$A$2:$A$1000,0),MATCH(P$1,'Master data'!$B$1:$CL$1,0)),"")</f>
        <v>3000000</v>
      </c>
      <c r="Q161" s="5">
        <f>IFERROR(INDEX('Master data'!$B$2:$CL$1000,MATCH($B161,'Master data'!$A$2:$A$1000,0),MATCH(Q$1,'Master data'!$B$1:$CL$1,0)),"")</f>
        <v>3000000</v>
      </c>
    </row>
    <row r="162" spans="1:17" hidden="1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data'!$B$2:$CL$1000,MATCH($B162,'Master data'!$A$2:$A$1000,0),MATCH(C$1,'Master data'!$B$1:$CL$1,0)),"")</f>
        <v>England</v>
      </c>
      <c r="D162" t="str">
        <f>IFERROR(INDEX('Master data'!$B$2:$CL$1000,MATCH($B162,'Master data'!$A$2:$A$1000,0),MATCH(D$1,'Master data'!$B$1:$CL$1,0)),"")</f>
        <v>Defense</v>
      </c>
      <c r="E162" s="5">
        <f>IFERROR(INDEX('Master data'!$B$2:$CL$1000,MATCH($B162,'Master data'!$A$2:$A$1000,0),MATCH(E$1,'Master data'!$B$1:$CL$1,0)),"")</f>
        <v>3500000</v>
      </c>
      <c r="F162" s="7">
        <f>IFERROR(INDEX('Master data'!$B$2:$CL$1000,MATCH($B162,'Master data'!$A$2:$A$1000,0),MATCH(F$1,'Master data'!$B$1:$CL$1,0)),"")</f>
        <v>44093.371358648154</v>
      </c>
      <c r="G162" s="7">
        <f>IFERROR(INDEX('Master data'!$B$2:$CL$1000,MATCH($B162,'Master data'!$A$2:$A$1000,0),MATCH(G$1,'Master data'!$B$1:$CL$1,0)),"")</f>
        <v>59534.240035080482</v>
      </c>
      <c r="H162" s="7">
        <f>IFERROR(INDEX('Master data'!$B$2:$CL$1000,MATCH($B162,'Master data'!$A$2:$A$1000,0),MATCH(H$1,'Master data'!$B$1:$CL$1,0)),"")</f>
        <v>57297.177211453876</v>
      </c>
      <c r="I162" s="7">
        <f>IFERROR(INDEX('Master data'!$B$2:$CL$1000,MATCH($B162,'Master data'!$A$2:$A$1000,0),MATCH(I$1,'Master data'!$B$1:$CL$1,0)),"")</f>
        <v>16311.180531141696</v>
      </c>
      <c r="J162" s="7">
        <f>IFERROR(INDEX('Master data'!$B$2:$CL$1000,MATCH($B162,'Master data'!$A$2:$A$1000,0),MATCH(J$1,'Master data'!$B$1:$CL$1,0)),"")</f>
        <v>8153.3997125940859</v>
      </c>
      <c r="K162" s="7">
        <f>IFERROR(INDEX('Master data'!$B$2:$CL$1000,MATCH($B162,'Master data'!$A$2:$A$1000,0),MATCH(K$1,'Master data'!$B$1:$CL$1,0)),"")</f>
        <v>4176.0206007424458</v>
      </c>
      <c r="L162" s="7">
        <f>IFERROR(INDEX('Master data'!$B$2:$CL$1000,MATCH($B162,'Master data'!$A$2:$A$1000,0),MATCH(L$1,'Master data'!$B$1:$CL$1,0)),"")</f>
        <v>2306.792392061343</v>
      </c>
      <c r="M162" s="5">
        <f>IFERROR(INDEX('Master data'!$B$2:$CL$1000,MATCH($B162,'Master data'!$A$2:$A$1000,0),MATCH(M$1,'Master data'!$B$1:$CL$1,0)),"")</f>
        <v>116444.21267231554</v>
      </c>
      <c r="N162" s="28">
        <f>IFERROR(INDEX('Master data'!$B$2:$CL$1000,MATCH($B162,'Master data'!$A$2:$A$1000,0),MATCH(N$1,'Master data'!$B$1:$CL$1,0)),"")</f>
        <v>4.5978511030052148E-2</v>
      </c>
      <c r="O162" s="7">
        <f>IFERROR(INDEX('Master data'!$B$2:$CL$1000,MATCH($B162,'Master data'!$A$2:$A$1000,0),MATCH(O$1,'Master data'!$B$1:$CL$1,0)),"")</f>
        <v>0</v>
      </c>
      <c r="P162" s="5">
        <f>IFERROR(INDEX('Master data'!$B$2:$CL$1000,MATCH($B162,'Master data'!$A$2:$A$1000,0),MATCH(P$1,'Master data'!$B$1:$CL$1,0)),"")</f>
        <v>3500000</v>
      </c>
      <c r="Q162" s="5">
        <f>IFERROR(INDEX('Master data'!$B$2:$CL$1000,MATCH($B162,'Master data'!$A$2:$A$1000,0),MATCH(Q$1,'Master data'!$B$1:$CL$1,0)),"")</f>
        <v>3500000</v>
      </c>
    </row>
    <row r="163" spans="1:17" hidden="1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data'!$B$2:$CL$1000,MATCH($B163,'Master data'!$A$2:$A$1000,0),MATCH(C$1,'Master data'!$B$1:$CL$1,0)),"")</f>
        <v>England</v>
      </c>
      <c r="D163" t="str">
        <f>IFERROR(INDEX('Master data'!$B$2:$CL$1000,MATCH($B163,'Master data'!$A$2:$A$1000,0),MATCH(D$1,'Master data'!$B$1:$CL$1,0)),"")</f>
        <v>Defense</v>
      </c>
      <c r="E163" s="5">
        <f>IFERROR(INDEX('Master data'!$B$2:$CL$1000,MATCH($B163,'Master data'!$A$2:$A$1000,0),MATCH(E$1,'Master data'!$B$1:$CL$1,0)),"")</f>
        <v>4000000</v>
      </c>
      <c r="F163" s="7">
        <f>IFERROR(INDEX('Master data'!$B$2:$CL$1000,MATCH($B163,'Master data'!$A$2:$A$1000,0),MATCH(F$1,'Master data'!$B$1:$CL$1,0)),"")</f>
        <v>66728.559096597397</v>
      </c>
      <c r="G163" s="7">
        <f>IFERROR(INDEX('Master data'!$B$2:$CL$1000,MATCH($B163,'Master data'!$A$2:$A$1000,0),MATCH(G$1,'Master data'!$B$1:$CL$1,0)),"")</f>
        <v>83512.835109499414</v>
      </c>
      <c r="H163" s="7">
        <f>IFERROR(INDEX('Master data'!$B$2:$CL$1000,MATCH($B163,'Master data'!$A$2:$A$1000,0),MATCH(H$1,'Master data'!$B$1:$CL$1,0)),"")</f>
        <v>81907.529874084357</v>
      </c>
      <c r="I163" s="7">
        <f>IFERROR(INDEX('Master data'!$B$2:$CL$1000,MATCH($B163,'Master data'!$A$2:$A$1000,0),MATCH(I$1,'Master data'!$B$1:$CL$1,0)),"")</f>
        <v>33576.944782234372</v>
      </c>
      <c r="J163" s="7">
        <f>IFERROR(INDEX('Master data'!$B$2:$CL$1000,MATCH($B163,'Master data'!$A$2:$A$1000,0),MATCH(J$1,'Master data'!$B$1:$CL$1,0)),"")</f>
        <v>16947.266525013165</v>
      </c>
      <c r="K163" s="7">
        <f>IFERROR(INDEX('Master data'!$B$2:$CL$1000,MATCH($B163,'Master data'!$A$2:$A$1000,0),MATCH(K$1,'Master data'!$B$1:$CL$1,0)),"")</f>
        <v>8769.3401340550827</v>
      </c>
      <c r="L163" s="7">
        <f>IFERROR(INDEX('Master data'!$B$2:$CL$1000,MATCH($B163,'Master data'!$A$2:$A$1000,0),MATCH(L$1,'Master data'!$B$1:$CL$1,0)),"")</f>
        <v>4896.8347526552734</v>
      </c>
      <c r="M163" s="5">
        <f>IFERROR(INDEX('Master data'!$B$2:$CL$1000,MATCH($B163,'Master data'!$A$2:$A$1000,0),MATCH(M$1,'Master data'!$B$1:$CL$1,0)),"")</f>
        <v>173688.17236411976</v>
      </c>
      <c r="N163" s="28">
        <f>IFERROR(INDEX('Master data'!$B$2:$CL$1000,MATCH($B163,'Master data'!$A$2:$A$1000,0),MATCH(N$1,'Master data'!$B$1:$CL$1,0)),"")</f>
        <v>5.8037231020045293E-2</v>
      </c>
      <c r="O163" s="7">
        <f>IFERROR(INDEX('Master data'!$B$2:$CL$1000,MATCH($B163,'Master data'!$A$2:$A$1000,0),MATCH(O$1,'Master data'!$B$1:$CL$1,0)),"")</f>
        <v>0</v>
      </c>
      <c r="P163" s="5">
        <f>IFERROR(INDEX('Master data'!$B$2:$CL$1000,MATCH($B163,'Master data'!$A$2:$A$1000,0),MATCH(P$1,'Master data'!$B$1:$CL$1,0)),"")</f>
        <v>4000000</v>
      </c>
      <c r="Q163" s="5">
        <f>IFERROR(INDEX('Master data'!$B$2:$CL$1000,MATCH($B163,'Master data'!$A$2:$A$1000,0),MATCH(Q$1,'Master data'!$B$1:$CL$1,0)),"")</f>
        <v>4000000</v>
      </c>
    </row>
    <row r="164" spans="1:17" hidden="1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data'!$B$2:$CL$1000,MATCH($B164,'Master data'!$A$2:$A$1000,0),MATCH(C$1,'Master data'!$B$1:$CL$1,0)),"")</f>
        <v>England</v>
      </c>
      <c r="D164" t="str">
        <f>IFERROR(INDEX('Master data'!$B$2:$CL$1000,MATCH($B164,'Master data'!$A$2:$A$1000,0),MATCH(D$1,'Master data'!$B$1:$CL$1,0)),"")</f>
        <v>Midfield</v>
      </c>
      <c r="E164" s="5">
        <f>IFERROR(INDEX('Master data'!$B$2:$CL$1000,MATCH($B164,'Master data'!$A$2:$A$1000,0),MATCH(E$1,'Master data'!$B$1:$CL$1,0)),"")</f>
        <v>3500000</v>
      </c>
      <c r="F164" s="7">
        <f>IFERROR(INDEX('Master data'!$B$2:$CL$1000,MATCH($B164,'Master data'!$A$2:$A$1000,0),MATCH(F$1,'Master data'!$B$1:$CL$1,0)),"")</f>
        <v>40847.597407030546</v>
      </c>
      <c r="G164" s="7">
        <f>IFERROR(INDEX('Master data'!$B$2:$CL$1000,MATCH($B164,'Master data'!$A$2:$A$1000,0),MATCH(G$1,'Master data'!$B$1:$CL$1,0)),"")</f>
        <v>55263.36038829256</v>
      </c>
      <c r="H164" s="7">
        <f>IFERROR(INDEX('Master data'!$B$2:$CL$1000,MATCH($B164,'Master data'!$A$2:$A$1000,0),MATCH(H$1,'Master data'!$B$1:$CL$1,0)),"")</f>
        <v>57341.628395184656</v>
      </c>
      <c r="I164" s="7">
        <f>IFERROR(INDEX('Master data'!$B$2:$CL$1000,MATCH($B164,'Master data'!$A$2:$A$1000,0),MATCH(I$1,'Master data'!$B$1:$CL$1,0)),"")</f>
        <v>13997.464945494266</v>
      </c>
      <c r="J164" s="7">
        <f>IFERROR(INDEX('Master data'!$B$2:$CL$1000,MATCH($B164,'Master data'!$A$2:$A$1000,0),MATCH(J$1,'Master data'!$B$1:$CL$1,0)),"")</f>
        <v>6971.5548463257246</v>
      </c>
      <c r="K164" s="7">
        <f>IFERROR(INDEX('Master data'!$B$2:$CL$1000,MATCH($B164,'Master data'!$A$2:$A$1000,0),MATCH(K$1,'Master data'!$B$1:$CL$1,0)),"")</f>
        <v>3556.873442639011</v>
      </c>
      <c r="L164" s="7">
        <f>IFERROR(INDEX('Master data'!$B$2:$CL$1000,MATCH($B164,'Master data'!$A$2:$A$1000,0),MATCH(L$1,'Master data'!$B$1:$CL$1,0)),"")</f>
        <v>1956.6118176880639</v>
      </c>
      <c r="M164" s="5">
        <f>IFERROR(INDEX('Master data'!$B$2:$CL$1000,MATCH($B164,'Master data'!$A$2:$A$1000,0),MATCH(M$1,'Master data'!$B$1:$CL$1,0)),"")</f>
        <v>109339.66884965476</v>
      </c>
      <c r="N164" s="28">
        <f>IFERROR(INDEX('Master data'!$B$2:$CL$1000,MATCH($B164,'Master data'!$A$2:$A$1000,0),MATCH(N$1,'Master data'!$B$1:$CL$1,0)),"")</f>
        <v>4.3843596054430785E-2</v>
      </c>
      <c r="O164" s="7">
        <f>IFERROR(INDEX('Master data'!$B$2:$CL$1000,MATCH($B164,'Master data'!$A$2:$A$1000,0),MATCH(O$1,'Master data'!$B$1:$CL$1,0)),"")</f>
        <v>0</v>
      </c>
      <c r="P164" s="5">
        <f>IFERROR(INDEX('Master data'!$B$2:$CL$1000,MATCH($B164,'Master data'!$A$2:$A$1000,0),MATCH(P$1,'Master data'!$B$1:$CL$1,0)),"")</f>
        <v>3500000</v>
      </c>
      <c r="Q164" s="5">
        <f>IFERROR(INDEX('Master data'!$B$2:$CL$1000,MATCH($B164,'Master data'!$A$2:$A$1000,0),MATCH(Q$1,'Master data'!$B$1:$CL$1,0)),"")</f>
        <v>3500000</v>
      </c>
    </row>
    <row r="165" spans="1:17" hidden="1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data'!$B$2:$CL$1000,MATCH($B165,'Master data'!$A$2:$A$1000,0),MATCH(C$1,'Master data'!$B$1:$CL$1,0)),"")</f>
        <v>Portugal</v>
      </c>
      <c r="D165" t="str">
        <f>IFERROR(INDEX('Master data'!$B$2:$CL$1000,MATCH($B165,'Master data'!$A$2:$A$1000,0),MATCH(D$1,'Master data'!$B$1:$CL$1,0)),"")</f>
        <v>Goalkeeper</v>
      </c>
      <c r="E165" s="5">
        <f>IFERROR(INDEX('Master data'!$B$2:$CL$1000,MATCH($B165,'Master data'!$A$2:$A$1000,0),MATCH(E$1,'Master data'!$B$1:$CL$1,0)),"")</f>
        <v>4500000</v>
      </c>
      <c r="F165" s="7">
        <f>IFERROR(INDEX('Master data'!$B$2:$CL$1000,MATCH($B165,'Master data'!$A$2:$A$1000,0),MATCH(F$1,'Master data'!$B$1:$CL$1,0)),"")</f>
        <v>37136.093695256313</v>
      </c>
      <c r="G165" s="7">
        <f>IFERROR(INDEX('Master data'!$B$2:$CL$1000,MATCH($B165,'Master data'!$A$2:$A$1000,0),MATCH(G$1,'Master data'!$B$1:$CL$1,0)),"")</f>
        <v>26216.007988297555</v>
      </c>
      <c r="H165" s="7">
        <f>IFERROR(INDEX('Master data'!$B$2:$CL$1000,MATCH($B165,'Master data'!$A$2:$A$1000,0),MATCH(H$1,'Master data'!$B$1:$CL$1,0)),"")</f>
        <v>27152.578438396748</v>
      </c>
      <c r="I165" s="7">
        <f>IFERROR(INDEX('Master data'!$B$2:$CL$1000,MATCH($B165,'Master data'!$A$2:$A$1000,0),MATCH(I$1,'Master data'!$B$1:$CL$1,0)),"")</f>
        <v>-11833.138323451649</v>
      </c>
      <c r="J165" s="7">
        <f>IFERROR(INDEX('Master data'!$B$2:$CL$1000,MATCH($B165,'Master data'!$A$2:$A$1000,0),MATCH(J$1,'Master data'!$B$1:$CL$1,0)),"")</f>
        <v>-6145.8527322505724</v>
      </c>
      <c r="K165" s="7">
        <f>IFERROR(INDEX('Master data'!$B$2:$CL$1000,MATCH($B165,'Master data'!$A$2:$A$1000,0),MATCH(K$1,'Master data'!$B$1:$CL$1,0)),"")</f>
        <v>-3241.8237002660539</v>
      </c>
      <c r="L165" s="7">
        <f>IFERROR(INDEX('Master data'!$B$2:$CL$1000,MATCH($B165,'Master data'!$A$2:$A$1000,0),MATCH(L$1,'Master data'!$B$1:$CL$1,0)),"")</f>
        <v>-1796.7382837354364</v>
      </c>
      <c r="M165" s="5">
        <f>IFERROR(INDEX('Master data'!$B$2:$CL$1000,MATCH($B165,'Master data'!$A$2:$A$1000,0),MATCH(M$1,'Master data'!$B$1:$CL$1,0)),"")</f>
        <v>61376.489168039458</v>
      </c>
      <c r="N165" s="28">
        <f>IFERROR(INDEX('Master data'!$B$2:$CL$1000,MATCH($B165,'Master data'!$A$2:$A$1000,0),MATCH(N$1,'Master data'!$B$1:$CL$1,0)),"")</f>
        <v>2.011215113821125E-2</v>
      </c>
      <c r="O165" s="7">
        <f>IFERROR(INDEX('Master data'!$B$2:$CL$1000,MATCH($B165,'Master data'!$A$2:$A$1000,0),MATCH(O$1,'Master data'!$B$1:$CL$1,0)),"")</f>
        <v>0</v>
      </c>
      <c r="P165" s="5">
        <f>IFERROR(INDEX('Master data'!$B$2:$CL$1000,MATCH($B165,'Master data'!$A$2:$A$1000,0),MATCH(P$1,'Master data'!$B$1:$CL$1,0)),"")</f>
        <v>4500000</v>
      </c>
      <c r="Q165" s="5">
        <f>IFERROR(INDEX('Master data'!$B$2:$CL$1000,MATCH($B165,'Master data'!$A$2:$A$1000,0),MATCH(Q$1,'Master data'!$B$1:$CL$1,0)),"")</f>
        <v>4500000</v>
      </c>
    </row>
    <row r="166" spans="1:17" hidden="1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data'!$B$2:$CL$1000,MATCH($B166,'Master data'!$A$2:$A$1000,0),MATCH(C$1,'Master data'!$B$1:$CL$1,0)),"")</f>
        <v>Portugal</v>
      </c>
      <c r="D166" t="str">
        <f>IFERROR(INDEX('Master data'!$B$2:$CL$1000,MATCH($B166,'Master data'!$A$2:$A$1000,0),MATCH(D$1,'Master data'!$B$1:$CL$1,0)),"")</f>
        <v>Defense</v>
      </c>
      <c r="E166" s="5">
        <f>IFERROR(INDEX('Master data'!$B$2:$CL$1000,MATCH($B166,'Master data'!$A$2:$A$1000,0),MATCH(E$1,'Master data'!$B$1:$CL$1,0)),"")</f>
        <v>4500000</v>
      </c>
      <c r="F166" s="7">
        <f>IFERROR(INDEX('Master data'!$B$2:$CL$1000,MATCH($B166,'Master data'!$A$2:$A$1000,0),MATCH(F$1,'Master data'!$B$1:$CL$1,0)),"")</f>
        <v>62413.301936118078</v>
      </c>
      <c r="G166" s="7">
        <f>IFERROR(INDEX('Master data'!$B$2:$CL$1000,MATCH($B166,'Master data'!$A$2:$A$1000,0),MATCH(G$1,'Master data'!$B$1:$CL$1,0)),"")</f>
        <v>24707.466451039105</v>
      </c>
      <c r="H166" s="7">
        <f>IFERROR(INDEX('Master data'!$B$2:$CL$1000,MATCH($B166,'Master data'!$A$2:$A$1000,0),MATCH(H$1,'Master data'!$B$1:$CL$1,0)),"")</f>
        <v>24434.480865015725</v>
      </c>
      <c r="I166" s="7">
        <f>IFERROR(INDEX('Master data'!$B$2:$CL$1000,MATCH($B166,'Master data'!$A$2:$A$1000,0),MATCH(I$1,'Master data'!$B$1:$CL$1,0)),"")</f>
        <v>-6715.1736610787066</v>
      </c>
      <c r="J166" s="7">
        <f>IFERROR(INDEX('Master data'!$B$2:$CL$1000,MATCH($B166,'Master data'!$A$2:$A$1000,0),MATCH(J$1,'Master data'!$B$1:$CL$1,0)),"")</f>
        <v>-3564.5903197361936</v>
      </c>
      <c r="K166" s="7">
        <f>IFERROR(INDEX('Master data'!$B$2:$CL$1000,MATCH($B166,'Master data'!$A$2:$A$1000,0),MATCH(K$1,'Master data'!$B$1:$CL$1,0)),"")</f>
        <v>-1919.3147304951676</v>
      </c>
      <c r="L166" s="7">
        <f>IFERROR(INDEX('Master data'!$B$2:$CL$1000,MATCH($B166,'Master data'!$A$2:$A$1000,0),MATCH(L$1,'Master data'!$B$1:$CL$1,0)),"")</f>
        <v>-1084.61822597779</v>
      </c>
      <c r="M166" s="5">
        <f>IFERROR(INDEX('Master data'!$B$2:$CL$1000,MATCH($B166,'Master data'!$A$2:$A$1000,0),MATCH(M$1,'Master data'!$B$1:$CL$1,0)),"")</f>
        <v>86702.948298319679</v>
      </c>
      <c r="N166" s="28">
        <f>IFERROR(INDEX('Master data'!$B$2:$CL$1000,MATCH($B166,'Master data'!$A$2:$A$1000,0),MATCH(N$1,'Master data'!$B$1:$CL$1,0)),"")</f>
        <v>2.4790055389371752E-2</v>
      </c>
      <c r="O166" s="7">
        <f>IFERROR(INDEX('Master data'!$B$2:$CL$1000,MATCH($B166,'Master data'!$A$2:$A$1000,0),MATCH(O$1,'Master data'!$B$1:$CL$1,0)),"")</f>
        <v>0</v>
      </c>
      <c r="P166" s="5">
        <f>IFERROR(INDEX('Master data'!$B$2:$CL$1000,MATCH($B166,'Master data'!$A$2:$A$1000,0),MATCH(P$1,'Master data'!$B$1:$CL$1,0)),"")</f>
        <v>4500000</v>
      </c>
      <c r="Q166" s="5">
        <f>IFERROR(INDEX('Master data'!$B$2:$CL$1000,MATCH($B166,'Master data'!$A$2:$A$1000,0),MATCH(Q$1,'Master data'!$B$1:$CL$1,0)),"")</f>
        <v>4500000</v>
      </c>
    </row>
    <row r="167" spans="1:17" hidden="1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data'!$B$2:$CL$1000,MATCH($B167,'Master data'!$A$2:$A$1000,0),MATCH(C$1,'Master data'!$B$1:$CL$1,0)),"")</f>
        <v>Portugal</v>
      </c>
      <c r="D167" t="str">
        <f>IFERROR(INDEX('Master data'!$B$2:$CL$1000,MATCH($B167,'Master data'!$A$2:$A$1000,0),MATCH(D$1,'Master data'!$B$1:$CL$1,0)),"")</f>
        <v>Midfield</v>
      </c>
      <c r="E167" s="5">
        <f>IFERROR(INDEX('Master data'!$B$2:$CL$1000,MATCH($B167,'Master data'!$A$2:$A$1000,0),MATCH(E$1,'Master data'!$B$1:$CL$1,0)),"")</f>
        <v>2500000</v>
      </c>
      <c r="F167" s="7">
        <f>IFERROR(INDEX('Master data'!$B$2:$CL$1000,MATCH($B167,'Master data'!$A$2:$A$1000,0),MATCH(F$1,'Master data'!$B$1:$CL$1,0)),"")</f>
        <v>-5000</v>
      </c>
      <c r="G167" s="7">
        <f>IFERROR(INDEX('Master data'!$B$2:$CL$1000,MATCH($B167,'Master data'!$A$2:$A$1000,0),MATCH(G$1,'Master data'!$B$1:$CL$1,0)),"")</f>
        <v>-5000</v>
      </c>
      <c r="H167" s="7">
        <f>IFERROR(INDEX('Master data'!$B$2:$CL$1000,MATCH($B167,'Master data'!$A$2:$A$1000,0),MATCH(H$1,'Master data'!$B$1:$CL$1,0)),"")</f>
        <v>-5000</v>
      </c>
      <c r="I167" s="7">
        <f>IFERROR(INDEX('Master data'!$B$2:$CL$1000,MATCH($B167,'Master data'!$A$2:$A$1000,0),MATCH(I$1,'Master data'!$B$1:$CL$1,0)),"")</f>
        <v>-22445.397281493319</v>
      </c>
      <c r="J167" s="7">
        <f>IFERROR(INDEX('Master data'!$B$2:$CL$1000,MATCH($B167,'Master data'!$A$2:$A$1000,0),MATCH(J$1,'Master data'!$B$1:$CL$1,0)),"")</f>
        <v>-11419.17164701681</v>
      </c>
      <c r="K167" s="7">
        <f>IFERROR(INDEX('Master data'!$B$2:$CL$1000,MATCH($B167,'Master data'!$A$2:$A$1000,0),MATCH(K$1,'Master data'!$B$1:$CL$1,0)),"")</f>
        <v>-5902.2745016823346</v>
      </c>
      <c r="L167" s="7">
        <f>IFERROR(INDEX('Master data'!$B$2:$CL$1000,MATCH($B167,'Master data'!$A$2:$A$1000,0),MATCH(L$1,'Master data'!$B$1:$CL$1,0)),"")</f>
        <v>-3206.558937361985</v>
      </c>
      <c r="M167" s="5">
        <f>IFERROR(INDEX('Master data'!$B$2:$CL$1000,MATCH($B167,'Master data'!$A$2:$A$1000,0),MATCH(M$1,'Master data'!$B$1:$CL$1,0)),"")</f>
        <v>-20520.44534173614</v>
      </c>
      <c r="N167" s="28">
        <f>IFERROR(INDEX('Master data'!$B$2:$CL$1000,MATCH($B167,'Master data'!$A$2:$A$1000,0),MATCH(N$1,'Master data'!$B$1:$CL$1,0)),"")</f>
        <v>-6.0000000000000001E-3</v>
      </c>
      <c r="O167" s="7">
        <f>IFERROR(INDEX('Master data'!$B$2:$CL$1000,MATCH($B167,'Master data'!$A$2:$A$1000,0),MATCH(O$1,'Master data'!$B$1:$CL$1,0)),"")</f>
        <v>0</v>
      </c>
      <c r="P167" s="5">
        <f>IFERROR(INDEX('Master data'!$B$2:$CL$1000,MATCH($B167,'Master data'!$A$2:$A$1000,0),MATCH(P$1,'Master data'!$B$1:$CL$1,0)),"")</f>
        <v>2500000</v>
      </c>
      <c r="Q167" s="5">
        <f>IFERROR(INDEX('Master data'!$B$2:$CL$1000,MATCH($B167,'Master data'!$A$2:$A$1000,0),MATCH(Q$1,'Master data'!$B$1:$CL$1,0)),"")</f>
        <v>2500000</v>
      </c>
    </row>
    <row r="168" spans="1:17" hidden="1">
      <c r="A168">
        <f t="shared" si="2"/>
        <v>166</v>
      </c>
      <c r="B168" t="str">
        <f>IF('Master data'!A168="","",'Master data'!A168)</f>
        <v>Rafa Ra. Silva</v>
      </c>
      <c r="C168" t="str">
        <f>IFERROR(INDEX('Master data'!$B$2:$CL$1000,MATCH($B168,'Master data'!$A$2:$A$1000,0),MATCH(C$1,'Master data'!$B$1:$CL$1,0)),"")</f>
        <v>Portugal</v>
      </c>
      <c r="D168" t="str">
        <f>IFERROR(INDEX('Master data'!$B$2:$CL$1000,MATCH($B168,'Master data'!$A$2:$A$1000,0),MATCH(D$1,'Master data'!$B$1:$CL$1,0)),"")</f>
        <v>Striker</v>
      </c>
      <c r="E168" s="5">
        <f>IFERROR(INDEX('Master data'!$B$2:$CL$1000,MATCH($B168,'Master data'!$A$2:$A$1000,0),MATCH(E$1,'Master data'!$B$1:$CL$1,0)),"")</f>
        <v>3500000</v>
      </c>
      <c r="F168" s="7">
        <f>IFERROR(INDEX('Master data'!$B$2:$CL$1000,MATCH($B168,'Master data'!$A$2:$A$1000,0),MATCH(F$1,'Master data'!$B$1:$CL$1,0)),"")</f>
        <v>-5000</v>
      </c>
      <c r="G168" s="7">
        <f>IFERROR(INDEX('Master data'!$B$2:$CL$1000,MATCH($B168,'Master data'!$A$2:$A$1000,0),MATCH(G$1,'Master data'!$B$1:$CL$1,0)),"")</f>
        <v>-5000</v>
      </c>
      <c r="H168" s="7">
        <f>IFERROR(INDEX('Master data'!$B$2:$CL$1000,MATCH($B168,'Master data'!$A$2:$A$1000,0),MATCH(H$1,'Master data'!$B$1:$CL$1,0)),"")</f>
        <v>-5000</v>
      </c>
      <c r="I168" s="7">
        <f>IFERROR(INDEX('Master data'!$B$2:$CL$1000,MATCH($B168,'Master data'!$A$2:$A$1000,0),MATCH(I$1,'Master data'!$B$1:$CL$1,0)),"")</f>
        <v>-29964.793355695438</v>
      </c>
      <c r="J168" s="7">
        <f>IFERROR(INDEX('Master data'!$B$2:$CL$1000,MATCH($B168,'Master data'!$A$2:$A$1000,0),MATCH(J$1,'Master data'!$B$1:$CL$1,0)),"")</f>
        <v>-15251.108441317754</v>
      </c>
      <c r="K168" s="7">
        <f>IFERROR(INDEX('Master data'!$B$2:$CL$1000,MATCH($B168,'Master data'!$A$2:$A$1000,0),MATCH(K$1,'Master data'!$B$1:$CL$1,0)),"")</f>
        <v>-7886.232317373876</v>
      </c>
      <c r="L168" s="7">
        <f>IFERROR(INDEX('Master data'!$B$2:$CL$1000,MATCH($B168,'Master data'!$A$2:$A$1000,0),MATCH(L$1,'Master data'!$B$1:$CL$1,0)),"")</f>
        <v>-4286.2084112212397</v>
      </c>
      <c r="M168" s="5">
        <f>IFERROR(INDEX('Master data'!$B$2:$CL$1000,MATCH($B168,'Master data'!$A$2:$A$1000,0),MATCH(M$1,'Master data'!$B$1:$CL$1,0)),"")</f>
        <v>-23861.386311613198</v>
      </c>
      <c r="N168" s="28">
        <f>IFERROR(INDEX('Master data'!$B$2:$CL$1000,MATCH($B168,'Master data'!$A$2:$A$1000,0),MATCH(N$1,'Master data'!$B$1:$CL$1,0)),"")</f>
        <v>-4.2857142857142859E-3</v>
      </c>
      <c r="O168" s="7">
        <f>IFERROR(INDEX('Master data'!$B$2:$CL$1000,MATCH($B168,'Master data'!$A$2:$A$1000,0),MATCH(O$1,'Master data'!$B$1:$CL$1,0)),"")</f>
        <v>0</v>
      </c>
      <c r="P168" s="5">
        <f>IFERROR(INDEX('Master data'!$B$2:$CL$1000,MATCH($B168,'Master data'!$A$2:$A$1000,0),MATCH(P$1,'Master data'!$B$1:$CL$1,0)),"")</f>
        <v>3500000</v>
      </c>
      <c r="Q168" s="5">
        <f>IFERROR(INDEX('Master data'!$B$2:$CL$1000,MATCH($B168,'Master data'!$A$2:$A$1000,0),MATCH(Q$1,'Master data'!$B$1:$CL$1,0)),"")</f>
        <v>3500000</v>
      </c>
    </row>
    <row r="169" spans="1:17" hidden="1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data'!$B$2:$CL$1000,MATCH($B169,'Master data'!$A$2:$A$1000,0),MATCH(C$1,'Master data'!$B$1:$CL$1,0)),"")</f>
        <v>Spain</v>
      </c>
      <c r="D169" t="str">
        <f>IFERROR(INDEX('Master data'!$B$2:$CL$1000,MATCH($B169,'Master data'!$A$2:$A$1000,0),MATCH(D$1,'Master data'!$B$1:$CL$1,0)),"")</f>
        <v>Goalkeeper</v>
      </c>
      <c r="E169" s="5">
        <f>IFERROR(INDEX('Master data'!$B$2:$CL$1000,MATCH($B169,'Master data'!$A$2:$A$1000,0),MATCH(E$1,'Master data'!$B$1:$CL$1,0)),"")</f>
        <v>5500000</v>
      </c>
      <c r="F169" s="7">
        <f>IFERROR(INDEX('Master data'!$B$2:$CL$1000,MATCH($B169,'Master data'!$A$2:$A$1000,0),MATCH(F$1,'Master data'!$B$1:$CL$1,0)),"")</f>
        <v>41953.579299284291</v>
      </c>
      <c r="G169" s="7">
        <f>IFERROR(INDEX('Master data'!$B$2:$CL$1000,MATCH($B169,'Master data'!$A$2:$A$1000,0),MATCH(G$1,'Master data'!$B$1:$CL$1,0)),"")</f>
        <v>38325.356046805362</v>
      </c>
      <c r="H169" s="7">
        <f>IFERROR(INDEX('Master data'!$B$2:$CL$1000,MATCH($B169,'Master data'!$A$2:$A$1000,0),MATCH(H$1,'Master data'!$B$1:$CL$1,0)),"")</f>
        <v>44181.938883845869</v>
      </c>
      <c r="I169" s="7">
        <f>IFERROR(INDEX('Master data'!$B$2:$CL$1000,MATCH($B169,'Master data'!$A$2:$A$1000,0),MATCH(I$1,'Master data'!$B$1:$CL$1,0)),"")</f>
        <v>-14267.394061684243</v>
      </c>
      <c r="J169" s="7">
        <f>IFERROR(INDEX('Master data'!$B$2:$CL$1000,MATCH($B169,'Master data'!$A$2:$A$1000,0),MATCH(J$1,'Master data'!$B$1:$CL$1,0)),"")</f>
        <v>-7433.1853626911916</v>
      </c>
      <c r="K169" s="7">
        <f>IFERROR(INDEX('Master data'!$B$2:$CL$1000,MATCH($B169,'Master data'!$A$2:$A$1000,0),MATCH(K$1,'Master data'!$B$1:$CL$1,0)),"")</f>
        <v>-3913.8879798600656</v>
      </c>
      <c r="L169" s="7">
        <f>IFERROR(INDEX('Master data'!$B$2:$CL$1000,MATCH($B169,'Master data'!$A$2:$A$1000,0),MATCH(L$1,'Master data'!$B$1:$CL$1,0)),"")</f>
        <v>-2135.6777572334649</v>
      </c>
      <c r="M169" s="5">
        <f>IFERROR(INDEX('Master data'!$B$2:$CL$1000,MATCH($B169,'Master data'!$A$2:$A$1000,0),MATCH(M$1,'Master data'!$B$1:$CL$1,0)),"")</f>
        <v>80741.67093856087</v>
      </c>
      <c r="N169" s="28">
        <f>IFERROR(INDEX('Master data'!$B$2:$CL$1000,MATCH($B169,'Master data'!$A$2:$A$1000,0),MATCH(N$1,'Master data'!$B$1:$CL$1,0)),"")</f>
        <v>2.2629249859988276E-2</v>
      </c>
      <c r="O169" s="7">
        <f>IFERROR(INDEX('Master data'!$B$2:$CL$1000,MATCH($B169,'Master data'!$A$2:$A$1000,0),MATCH(O$1,'Master data'!$B$1:$CL$1,0)),"")</f>
        <v>0</v>
      </c>
      <c r="P169" s="5">
        <f>IFERROR(INDEX('Master data'!$B$2:$CL$1000,MATCH($B169,'Master data'!$A$2:$A$1000,0),MATCH(P$1,'Master data'!$B$1:$CL$1,0)),"")</f>
        <v>5500000</v>
      </c>
      <c r="Q169" s="5">
        <f>IFERROR(INDEX('Master data'!$B$2:$CL$1000,MATCH($B169,'Master data'!$A$2:$A$1000,0),MATCH(Q$1,'Master data'!$B$1:$CL$1,0)),"")</f>
        <v>5500000</v>
      </c>
    </row>
    <row r="170" spans="1:17" hidden="1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data'!$B$2:$CL$1000,MATCH($B170,'Master data'!$A$2:$A$1000,0),MATCH(C$1,'Master data'!$B$1:$CL$1,0)),"")</f>
        <v>Spain</v>
      </c>
      <c r="D170" t="str">
        <f>IFERROR(INDEX('Master data'!$B$2:$CL$1000,MATCH($B170,'Master data'!$A$2:$A$1000,0),MATCH(D$1,'Master data'!$B$1:$CL$1,0)),"")</f>
        <v>Defense</v>
      </c>
      <c r="E170" s="5">
        <f>IFERROR(INDEX('Master data'!$B$2:$CL$1000,MATCH($B170,'Master data'!$A$2:$A$1000,0),MATCH(E$1,'Master data'!$B$1:$CL$1,0)),"")</f>
        <v>3500000</v>
      </c>
      <c r="F170" s="7">
        <f>IFERROR(INDEX('Master data'!$B$2:$CL$1000,MATCH($B170,'Master data'!$A$2:$A$1000,0),MATCH(F$1,'Master data'!$B$1:$CL$1,0)),"")</f>
        <v>21459.763254749829</v>
      </c>
      <c r="G170" s="7">
        <f>IFERROR(INDEX('Master data'!$B$2:$CL$1000,MATCH($B170,'Master data'!$A$2:$A$1000,0),MATCH(G$1,'Master data'!$B$1:$CL$1,0)),"")</f>
        <v>17962.072677306249</v>
      </c>
      <c r="H170" s="7">
        <f>IFERROR(INDEX('Master data'!$B$2:$CL$1000,MATCH($B170,'Master data'!$A$2:$A$1000,0),MATCH(H$1,'Master data'!$B$1:$CL$1,0)),"")</f>
        <v>23514.3997718848</v>
      </c>
      <c r="I170" s="7">
        <f>IFERROR(INDEX('Master data'!$B$2:$CL$1000,MATCH($B170,'Master data'!$A$2:$A$1000,0),MATCH(I$1,'Master data'!$B$1:$CL$1,0)),"")</f>
        <v>-14163.916226754358</v>
      </c>
      <c r="J170" s="7">
        <f>IFERROR(INDEX('Master data'!$B$2:$CL$1000,MATCH($B170,'Master data'!$A$2:$A$1000,0),MATCH(J$1,'Master data'!$B$1:$CL$1,0)),"")</f>
        <v>-7280.2764454822409</v>
      </c>
      <c r="K170" s="7">
        <f>IFERROR(INDEX('Master data'!$B$2:$CL$1000,MATCH($B170,'Master data'!$A$2:$A$1000,0),MATCH(K$1,'Master data'!$B$1:$CL$1,0)),"")</f>
        <v>-3784.0231163087947</v>
      </c>
      <c r="L170" s="7">
        <f>IFERROR(INDEX('Master data'!$B$2:$CL$1000,MATCH($B170,'Master data'!$A$2:$A$1000,0),MATCH(L$1,'Master data'!$B$1:$CL$1,0)),"")</f>
        <v>-2039.2815460163645</v>
      </c>
      <c r="M170" s="5">
        <f>IFERROR(INDEX('Master data'!$B$2:$CL$1000,MATCH($B170,'Master data'!$A$2:$A$1000,0),MATCH(M$1,'Master data'!$B$1:$CL$1,0)),"")</f>
        <v>37573.1883521743</v>
      </c>
      <c r="N170" s="28">
        <f>IFERROR(INDEX('Master data'!$B$2:$CL$1000,MATCH($B170,'Master data'!$A$2:$A$1000,0),MATCH(N$1,'Master data'!$B$1:$CL$1,0)),"")</f>
        <v>1.7981781629697394E-2</v>
      </c>
      <c r="O170" s="7">
        <f>IFERROR(INDEX('Master data'!$B$2:$CL$1000,MATCH($B170,'Master data'!$A$2:$A$1000,0),MATCH(O$1,'Master data'!$B$1:$CL$1,0)),"")</f>
        <v>0</v>
      </c>
      <c r="P170" s="5">
        <f>IFERROR(INDEX('Master data'!$B$2:$CL$1000,MATCH($B170,'Master data'!$A$2:$A$1000,0),MATCH(P$1,'Master data'!$B$1:$CL$1,0)),"")</f>
        <v>3500000</v>
      </c>
      <c r="Q170" s="5">
        <f>IFERROR(INDEX('Master data'!$B$2:$CL$1000,MATCH($B170,'Master data'!$A$2:$A$1000,0),MATCH(Q$1,'Master data'!$B$1:$CL$1,0)),"")</f>
        <v>3500000</v>
      </c>
    </row>
    <row r="171" spans="1:17" hidden="1">
      <c r="A171">
        <f t="shared" si="2"/>
        <v>169</v>
      </c>
      <c r="B171" t="str">
        <f>IF('Master data'!A171="","",'Master data'!A171)</f>
        <v>Diego Llorente</v>
      </c>
      <c r="C171" t="str">
        <f>IFERROR(INDEX('Master data'!$B$2:$CL$1000,MATCH($B171,'Master data'!$A$2:$A$1000,0),MATCH(C$1,'Master data'!$B$1:$CL$1,0)),"")</f>
        <v>Spain</v>
      </c>
      <c r="D171" t="str">
        <f>IFERROR(INDEX('Master data'!$B$2:$CL$1000,MATCH($B171,'Master data'!$A$2:$A$1000,0),MATCH(D$1,'Master data'!$B$1:$CL$1,0)),"")</f>
        <v>Defense</v>
      </c>
      <c r="E171" s="5">
        <f>IFERROR(INDEX('Master data'!$B$2:$CL$1000,MATCH($B171,'Master data'!$A$2:$A$1000,0),MATCH(E$1,'Master data'!$B$1:$CL$1,0)),"")</f>
        <v>3000000</v>
      </c>
      <c r="F171" s="7">
        <f>IFERROR(INDEX('Master data'!$B$2:$CL$1000,MATCH($B171,'Master data'!$A$2:$A$1000,0),MATCH(F$1,'Master data'!$B$1:$CL$1,0)),"")</f>
        <v>21459.763254749829</v>
      </c>
      <c r="G171" s="7">
        <f>IFERROR(INDEX('Master data'!$B$2:$CL$1000,MATCH($B171,'Master data'!$A$2:$A$1000,0),MATCH(G$1,'Master data'!$B$1:$CL$1,0)),"")</f>
        <v>17962.072677306249</v>
      </c>
      <c r="H171" s="7">
        <f>IFERROR(INDEX('Master data'!$B$2:$CL$1000,MATCH($B171,'Master data'!$A$2:$A$1000,0),MATCH(H$1,'Master data'!$B$1:$CL$1,0)),"")</f>
        <v>23514.3997718848</v>
      </c>
      <c r="I171" s="7">
        <f>IFERROR(INDEX('Master data'!$B$2:$CL$1000,MATCH($B171,'Master data'!$A$2:$A$1000,0),MATCH(I$1,'Master data'!$B$1:$CL$1,0)),"")</f>
        <v>-9330.0187504815676</v>
      </c>
      <c r="J171" s="7">
        <f>IFERROR(INDEX('Master data'!$B$2:$CL$1000,MATCH($B171,'Master data'!$A$2:$A$1000,0),MATCH(J$1,'Master data'!$B$1:$CL$1,0)),"")</f>
        <v>-4830.721183084499</v>
      </c>
      <c r="K171" s="7">
        <f>IFERROR(INDEX('Master data'!$B$2:$CL$1000,MATCH($B171,'Master data'!$A$2:$A$1000,0),MATCH(K$1,'Master data'!$B$1:$CL$1,0)),"")</f>
        <v>-2528.5569916874765</v>
      </c>
      <c r="L171" s="7">
        <f>IFERROR(INDEX('Master data'!$B$2:$CL$1000,MATCH($B171,'Master data'!$A$2:$A$1000,0),MATCH(L$1,'Master data'!$B$1:$CL$1,0)),"")</f>
        <v>-1371.9764790293934</v>
      </c>
      <c r="M171" s="5">
        <f>IFERROR(INDEX('Master data'!$B$2:$CL$1000,MATCH($B171,'Master data'!$A$2:$A$1000,0),MATCH(M$1,'Master data'!$B$1:$CL$1,0)),"")</f>
        <v>39713.229620913677</v>
      </c>
      <c r="N171" s="28">
        <f>IFERROR(INDEX('Master data'!$B$2:$CL$1000,MATCH($B171,'Master data'!$A$2:$A$1000,0),MATCH(N$1,'Master data'!$B$1:$CL$1,0)),"")</f>
        <v>2.0978745234646962E-2</v>
      </c>
      <c r="O171" s="7">
        <f>IFERROR(INDEX('Master data'!$B$2:$CL$1000,MATCH($B171,'Master data'!$A$2:$A$1000,0),MATCH(O$1,'Master data'!$B$1:$CL$1,0)),"")</f>
        <v>0</v>
      </c>
      <c r="P171" s="5">
        <f>IFERROR(INDEX('Master data'!$B$2:$CL$1000,MATCH($B171,'Master data'!$A$2:$A$1000,0),MATCH(P$1,'Master data'!$B$1:$CL$1,0)),"")</f>
        <v>3000000</v>
      </c>
      <c r="Q171" s="5">
        <f>IFERROR(INDEX('Master data'!$B$2:$CL$1000,MATCH($B171,'Master data'!$A$2:$A$1000,0),MATCH(Q$1,'Master data'!$B$1:$CL$1,0)),"")</f>
        <v>3000000</v>
      </c>
    </row>
    <row r="172" spans="1:17" hidden="1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data'!$B$2:$CL$1000,MATCH($B172,'Master data'!$A$2:$A$1000,0),MATCH(C$1,'Master data'!$B$1:$CL$1,0)),"")</f>
        <v>Spain</v>
      </c>
      <c r="D172" t="str">
        <f>IFERROR(INDEX('Master data'!$B$2:$CL$1000,MATCH($B172,'Master data'!$A$2:$A$1000,0),MATCH(D$1,'Master data'!$B$1:$CL$1,0)),"")</f>
        <v>Defense</v>
      </c>
      <c r="E172" s="5">
        <f>IFERROR(INDEX('Master data'!$B$2:$CL$1000,MATCH($B172,'Master data'!$A$2:$A$1000,0),MATCH(E$1,'Master data'!$B$1:$CL$1,0)),"")</f>
        <v>4000000</v>
      </c>
      <c r="F172" s="7">
        <f>IFERROR(INDEX('Master data'!$B$2:$CL$1000,MATCH($B172,'Master data'!$A$2:$A$1000,0),MATCH(F$1,'Master data'!$B$1:$CL$1,0)),"")</f>
        <v>21459.763254749829</v>
      </c>
      <c r="G172" s="7">
        <f>IFERROR(INDEX('Master data'!$B$2:$CL$1000,MATCH($B172,'Master data'!$A$2:$A$1000,0),MATCH(G$1,'Master data'!$B$1:$CL$1,0)),"")</f>
        <v>17962.072677306249</v>
      </c>
      <c r="H172" s="7">
        <f>IFERROR(INDEX('Master data'!$B$2:$CL$1000,MATCH($B172,'Master data'!$A$2:$A$1000,0),MATCH(H$1,'Master data'!$B$1:$CL$1,0)),"")</f>
        <v>23514.3997718848</v>
      </c>
      <c r="I172" s="7">
        <f>IFERROR(INDEX('Master data'!$B$2:$CL$1000,MATCH($B172,'Master data'!$A$2:$A$1000,0),MATCH(I$1,'Master data'!$B$1:$CL$1,0)),"")</f>
        <v>-18997.813703027146</v>
      </c>
      <c r="J172" s="7">
        <f>IFERROR(INDEX('Master data'!$B$2:$CL$1000,MATCH($B172,'Master data'!$A$2:$A$1000,0),MATCH(J$1,'Master data'!$B$1:$CL$1,0)),"")</f>
        <v>-9729.8317078799846</v>
      </c>
      <c r="K172" s="7">
        <f>IFERROR(INDEX('Master data'!$B$2:$CL$1000,MATCH($B172,'Master data'!$A$2:$A$1000,0),MATCH(K$1,'Master data'!$B$1:$CL$1,0)),"")</f>
        <v>-5039.4892409301128</v>
      </c>
      <c r="L172" s="7">
        <f>IFERROR(INDEX('Master data'!$B$2:$CL$1000,MATCH($B172,'Master data'!$A$2:$A$1000,0),MATCH(L$1,'Master data'!$B$1:$CL$1,0)),"")</f>
        <v>-2706.586613003336</v>
      </c>
      <c r="M172" s="5">
        <f>IFERROR(INDEX('Master data'!$B$2:$CL$1000,MATCH($B172,'Master data'!$A$2:$A$1000,0),MATCH(M$1,'Master data'!$B$1:$CL$1,0)),"")</f>
        <v>35433.147083434917</v>
      </c>
      <c r="N172" s="28">
        <f>IFERROR(INDEX('Master data'!$B$2:$CL$1000,MATCH($B172,'Master data'!$A$2:$A$1000,0),MATCH(N$1,'Master data'!$B$1:$CL$1,0)),"")</f>
        <v>1.5734058925985221E-2</v>
      </c>
      <c r="O172" s="7">
        <f>IFERROR(INDEX('Master data'!$B$2:$CL$1000,MATCH($B172,'Master data'!$A$2:$A$1000,0),MATCH(O$1,'Master data'!$B$1:$CL$1,0)),"")</f>
        <v>0</v>
      </c>
      <c r="P172" s="5">
        <f>IFERROR(INDEX('Master data'!$B$2:$CL$1000,MATCH($B172,'Master data'!$A$2:$A$1000,0),MATCH(P$1,'Master data'!$B$1:$CL$1,0)),"")</f>
        <v>4000000</v>
      </c>
      <c r="Q172" s="5">
        <f>IFERROR(INDEX('Master data'!$B$2:$CL$1000,MATCH($B172,'Master data'!$A$2:$A$1000,0),MATCH(Q$1,'Master data'!$B$1:$CL$1,0)),"")</f>
        <v>4000000</v>
      </c>
    </row>
    <row r="173" spans="1:17" hidden="1">
      <c r="A173">
        <f t="shared" si="2"/>
        <v>171</v>
      </c>
      <c r="B173" t="str">
        <f>IF('Master data'!A173="","",'Master data'!A173)</f>
        <v>Pau Torres</v>
      </c>
      <c r="C173" t="str">
        <f>IFERROR(INDEX('Master data'!$B$2:$CL$1000,MATCH($B173,'Master data'!$A$2:$A$1000,0),MATCH(C$1,'Master data'!$B$1:$CL$1,0)),"")</f>
        <v>Spain</v>
      </c>
      <c r="D173" t="str">
        <f>IFERROR(INDEX('Master data'!$B$2:$CL$1000,MATCH($B173,'Master data'!$A$2:$A$1000,0),MATCH(D$1,'Master data'!$B$1:$CL$1,0)),"")</f>
        <v>Defense</v>
      </c>
      <c r="E173" s="5">
        <f>IFERROR(INDEX('Master data'!$B$2:$CL$1000,MATCH($B173,'Master data'!$A$2:$A$1000,0),MATCH(E$1,'Master data'!$B$1:$CL$1,0)),"")</f>
        <v>3000000</v>
      </c>
      <c r="F173" s="7">
        <f>IFERROR(INDEX('Master data'!$B$2:$CL$1000,MATCH($B173,'Master data'!$A$2:$A$1000,0),MATCH(F$1,'Master data'!$B$1:$CL$1,0)),"")</f>
        <v>73026.620211010028</v>
      </c>
      <c r="G173" s="7">
        <f>IFERROR(INDEX('Master data'!$B$2:$CL$1000,MATCH($B173,'Master data'!$A$2:$A$1000,0),MATCH(G$1,'Master data'!$B$1:$CL$1,0)),"")</f>
        <v>69859.207033009588</v>
      </c>
      <c r="H173" s="7">
        <f>IFERROR(INDEX('Master data'!$B$2:$CL$1000,MATCH($B173,'Master data'!$A$2:$A$1000,0),MATCH(H$1,'Master data'!$B$1:$CL$1,0)),"")</f>
        <v>88234.398246349519</v>
      </c>
      <c r="I173" s="7">
        <f>IFERROR(INDEX('Master data'!$B$2:$CL$1000,MATCH($B173,'Master data'!$A$2:$A$1000,0),MATCH(I$1,'Master data'!$B$1:$CL$1,0)),"")</f>
        <v>43242.957173835835</v>
      </c>
      <c r="J173" s="7">
        <f>IFERROR(INDEX('Master data'!$B$2:$CL$1000,MATCH($B173,'Master data'!$A$2:$A$1000,0),MATCH(J$1,'Master data'!$B$1:$CL$1,0)),"")</f>
        <v>21535.741359788692</v>
      </c>
      <c r="K173" s="7">
        <f>IFERROR(INDEX('Master data'!$B$2:$CL$1000,MATCH($B173,'Master data'!$A$2:$A$1000,0),MATCH(K$1,'Master data'!$B$1:$CL$1,0)),"")</f>
        <v>10844.23212741202</v>
      </c>
      <c r="L173" s="7">
        <f>IFERROR(INDEX('Master data'!$B$2:$CL$1000,MATCH($B173,'Master data'!$A$2:$A$1000,0),MATCH(L$1,'Master data'!$B$1:$CL$1,0)),"")</f>
        <v>5661.1053113929065</v>
      </c>
      <c r="M173" s="5">
        <f>IFERROR(INDEX('Master data'!$B$2:$CL$1000,MATCH($B173,'Master data'!$A$2:$A$1000,0),MATCH(M$1,'Master data'!$B$1:$CL$1,0)),"")</f>
        <v>177806.4585915021</v>
      </c>
      <c r="N173" s="28">
        <f>IFERROR(INDEX('Master data'!$B$2:$CL$1000,MATCH($B173,'Master data'!$A$2:$A$1000,0),MATCH(N$1,'Master data'!$B$1:$CL$1,0)),"")</f>
        <v>7.7040075163456373E-2</v>
      </c>
      <c r="O173" s="7">
        <f>IFERROR(INDEX('Master data'!$B$2:$CL$1000,MATCH($B173,'Master data'!$A$2:$A$1000,0),MATCH(O$1,'Master data'!$B$1:$CL$1,0)),"")</f>
        <v>0</v>
      </c>
      <c r="P173" s="5">
        <f>IFERROR(INDEX('Master data'!$B$2:$CL$1000,MATCH($B173,'Master data'!$A$2:$A$1000,0),MATCH(P$1,'Master data'!$B$1:$CL$1,0)),"")</f>
        <v>3000000</v>
      </c>
      <c r="Q173" s="5">
        <f>IFERROR(INDEX('Master data'!$B$2:$CL$1000,MATCH($B173,'Master data'!$A$2:$A$1000,0),MATCH(Q$1,'Master data'!$B$1:$CL$1,0)),"")</f>
        <v>3000000</v>
      </c>
    </row>
    <row r="174" spans="1:17" hidden="1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data'!$B$2:$CL$1000,MATCH($B174,'Master data'!$A$2:$A$1000,0),MATCH(C$1,'Master data'!$B$1:$CL$1,0)),"")</f>
        <v>Spain</v>
      </c>
      <c r="D174" t="str">
        <f>IFERROR(INDEX('Master data'!$B$2:$CL$1000,MATCH($B174,'Master data'!$A$2:$A$1000,0),MATCH(D$1,'Master data'!$B$1:$CL$1,0)),"")</f>
        <v>Midfield</v>
      </c>
      <c r="E174" s="5">
        <f>IFERROR(INDEX('Master data'!$B$2:$CL$1000,MATCH($B174,'Master data'!$A$2:$A$1000,0),MATCH(E$1,'Master data'!$B$1:$CL$1,0)),"")</f>
        <v>3500000</v>
      </c>
      <c r="F174" s="7">
        <f>IFERROR(INDEX('Master data'!$B$2:$CL$1000,MATCH($B174,'Master data'!$A$2:$A$1000,0),MATCH(F$1,'Master data'!$B$1:$CL$1,0)),"")</f>
        <v>-5000</v>
      </c>
      <c r="G174" s="7">
        <f>IFERROR(INDEX('Master data'!$B$2:$CL$1000,MATCH($B174,'Master data'!$A$2:$A$1000,0),MATCH(G$1,'Master data'!$B$1:$CL$1,0)),"")</f>
        <v>-5000</v>
      </c>
      <c r="H174" s="7">
        <f>IFERROR(INDEX('Master data'!$B$2:$CL$1000,MATCH($B174,'Master data'!$A$2:$A$1000,0),MATCH(H$1,'Master data'!$B$1:$CL$1,0)),"")</f>
        <v>-5000</v>
      </c>
      <c r="I174" s="7">
        <f>IFERROR(INDEX('Master data'!$B$2:$CL$1000,MATCH($B174,'Master data'!$A$2:$A$1000,0),MATCH(I$1,'Master data'!$B$1:$CL$1,0)),"")</f>
        <v>-38526.162885894133</v>
      </c>
      <c r="J174" s="7">
        <f>IFERROR(INDEX('Master data'!$B$2:$CL$1000,MATCH($B174,'Master data'!$A$2:$A$1000,0),MATCH(J$1,'Master data'!$B$1:$CL$1,0)),"")</f>
        <v>-19498.459888686037</v>
      </c>
      <c r="K174" s="7">
        <f>IFERROR(INDEX('Master data'!$B$2:$CL$1000,MATCH($B174,'Master data'!$A$2:$A$1000,0),MATCH(K$1,'Master data'!$B$1:$CL$1,0)),"")</f>
        <v>-9980.9556907394781</v>
      </c>
      <c r="L174" s="7">
        <f>IFERROR(INDEX('Master data'!$B$2:$CL$1000,MATCH($B174,'Master data'!$A$2:$A$1000,0),MATCH(L$1,'Master data'!$B$1:$CL$1,0)),"")</f>
        <v>-5298.4022318765528</v>
      </c>
      <c r="M174" s="5">
        <f>IFERROR(INDEX('Master data'!$B$2:$CL$1000,MATCH($B174,'Master data'!$A$2:$A$1000,0),MATCH(M$1,'Master data'!$B$1:$CL$1,0)),"")</f>
        <v>-27601.781750994527</v>
      </c>
      <c r="N174" s="28">
        <f>IFERROR(INDEX('Master data'!$B$2:$CL$1000,MATCH($B174,'Master data'!$A$2:$A$1000,0),MATCH(N$1,'Master data'!$B$1:$CL$1,0)),"")</f>
        <v>-4.2857142857142859E-3</v>
      </c>
      <c r="O174" s="7">
        <f>IFERROR(INDEX('Master data'!$B$2:$CL$1000,MATCH($B174,'Master data'!$A$2:$A$1000,0),MATCH(O$1,'Master data'!$B$1:$CL$1,0)),"")</f>
        <v>0</v>
      </c>
      <c r="P174" s="5">
        <f>IFERROR(INDEX('Master data'!$B$2:$CL$1000,MATCH($B174,'Master data'!$A$2:$A$1000,0),MATCH(P$1,'Master data'!$B$1:$CL$1,0)),"")</f>
        <v>3500000</v>
      </c>
      <c r="Q174" s="5">
        <f>IFERROR(INDEX('Master data'!$B$2:$CL$1000,MATCH($B174,'Master data'!$A$2:$A$1000,0),MATCH(Q$1,'Master data'!$B$1:$CL$1,0)),"")</f>
        <v>3500000</v>
      </c>
    </row>
    <row r="175" spans="1:17" hidden="1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data'!$B$2:$CL$1000,MATCH($B175,'Master data'!$A$2:$A$1000,0),MATCH(C$1,'Master data'!$B$1:$CL$1,0)),"")</f>
        <v>Spain</v>
      </c>
      <c r="D175" t="str">
        <f>IFERROR(INDEX('Master data'!$B$2:$CL$1000,MATCH($B175,'Master data'!$A$2:$A$1000,0),MATCH(D$1,'Master data'!$B$1:$CL$1,0)),"")</f>
        <v>Midfield</v>
      </c>
      <c r="E175" s="5">
        <f>IFERROR(INDEX('Master data'!$B$2:$CL$1000,MATCH($B175,'Master data'!$A$2:$A$1000,0),MATCH(E$1,'Master data'!$B$1:$CL$1,0)),"")</f>
        <v>4500000</v>
      </c>
      <c r="F175" s="7">
        <f>IFERROR(INDEX('Master data'!$B$2:$CL$1000,MATCH($B175,'Master data'!$A$2:$A$1000,0),MATCH(F$1,'Master data'!$B$1:$CL$1,0)),"")</f>
        <v>-5000</v>
      </c>
      <c r="G175" s="7">
        <f>IFERROR(INDEX('Master data'!$B$2:$CL$1000,MATCH($B175,'Master data'!$A$2:$A$1000,0),MATCH(G$1,'Master data'!$B$1:$CL$1,0)),"")</f>
        <v>-5000</v>
      </c>
      <c r="H175" s="7">
        <f>IFERROR(INDEX('Master data'!$B$2:$CL$1000,MATCH($B175,'Master data'!$A$2:$A$1000,0),MATCH(H$1,'Master data'!$B$1:$CL$1,0)),"")</f>
        <v>-5000</v>
      </c>
      <c r="I175" s="7">
        <f>IFERROR(INDEX('Master data'!$B$2:$CL$1000,MATCH($B175,'Master data'!$A$2:$A$1000,0),MATCH(I$1,'Master data'!$B$1:$CL$1,0)),"")</f>
        <v>-48193.957838439717</v>
      </c>
      <c r="J175" s="7">
        <f>IFERROR(INDEX('Master data'!$B$2:$CL$1000,MATCH($B175,'Master data'!$A$2:$A$1000,0),MATCH(J$1,'Master data'!$B$1:$CL$1,0)),"")</f>
        <v>-24397.570413481521</v>
      </c>
      <c r="K175" s="7">
        <f>IFERROR(INDEX('Master data'!$B$2:$CL$1000,MATCH($B175,'Master data'!$A$2:$A$1000,0),MATCH(K$1,'Master data'!$B$1:$CL$1,0)),"")</f>
        <v>-12491.887939982114</v>
      </c>
      <c r="L175" s="7">
        <f>IFERROR(INDEX('Master data'!$B$2:$CL$1000,MATCH($B175,'Master data'!$A$2:$A$1000,0),MATCH(L$1,'Master data'!$B$1:$CL$1,0)),"")</f>
        <v>-6633.0123658504954</v>
      </c>
      <c r="M175" s="5">
        <f>IFERROR(INDEX('Master data'!$B$2:$CL$1000,MATCH($B175,'Master data'!$A$2:$A$1000,0),MATCH(M$1,'Master data'!$B$1:$CL$1,0)),"")</f>
        <v>-31881.864288473294</v>
      </c>
      <c r="N175" s="28">
        <f>IFERROR(INDEX('Master data'!$B$2:$CL$1000,MATCH($B175,'Master data'!$A$2:$A$1000,0),MATCH(N$1,'Master data'!$B$1:$CL$1,0)),"")</f>
        <v>-3.3333333333333335E-3</v>
      </c>
      <c r="O175" s="7">
        <f>IFERROR(INDEX('Master data'!$B$2:$CL$1000,MATCH($B175,'Master data'!$A$2:$A$1000,0),MATCH(O$1,'Master data'!$B$1:$CL$1,0)),"")</f>
        <v>0</v>
      </c>
      <c r="P175" s="5">
        <f>IFERROR(INDEX('Master data'!$B$2:$CL$1000,MATCH($B175,'Master data'!$A$2:$A$1000,0),MATCH(P$1,'Master data'!$B$1:$CL$1,0)),"")</f>
        <v>4500000</v>
      </c>
      <c r="Q175" s="5">
        <f>IFERROR(INDEX('Master data'!$B$2:$CL$1000,MATCH($B175,'Master data'!$A$2:$A$1000,0),MATCH(Q$1,'Master data'!$B$1:$CL$1,0)),"")</f>
        <v>4500000</v>
      </c>
    </row>
    <row r="176" spans="1:17" hidden="1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data'!$B$2:$CL$1000,MATCH($B176,'Master data'!$A$2:$A$1000,0),MATCH(C$1,'Master data'!$B$1:$CL$1,0)),"")</f>
        <v>Ukraine</v>
      </c>
      <c r="D176" t="str">
        <f>IFERROR(INDEX('Master data'!$B$2:$CL$1000,MATCH($B176,'Master data'!$A$2:$A$1000,0),MATCH(D$1,'Master data'!$B$1:$CL$1,0)),"")</f>
        <v>Midfield</v>
      </c>
      <c r="E176" s="5">
        <f>IFERROR(INDEX('Master data'!$B$2:$CL$1000,MATCH($B176,'Master data'!$A$2:$A$1000,0),MATCH(E$1,'Master data'!$B$1:$CL$1,0)),"")</f>
        <v>3500000</v>
      </c>
      <c r="F176" s="7">
        <f>IFERROR(INDEX('Master data'!$B$2:$CL$1000,MATCH($B176,'Master data'!$A$2:$A$1000,0),MATCH(F$1,'Master data'!$B$1:$CL$1,0)),"")</f>
        <v>7058.1808186115377</v>
      </c>
      <c r="G176" s="7">
        <f>IFERROR(INDEX('Master data'!$B$2:$CL$1000,MATCH($B176,'Master data'!$A$2:$A$1000,0),MATCH(G$1,'Master data'!$B$1:$CL$1,0)),"")</f>
        <v>51060.05629582909</v>
      </c>
      <c r="H176" s="7">
        <f>IFERROR(INDEX('Master data'!$B$2:$CL$1000,MATCH($B176,'Master data'!$A$2:$A$1000,0),MATCH(H$1,'Master data'!$B$1:$CL$1,0)),"")</f>
        <v>28461.836939107816</v>
      </c>
      <c r="I176" s="7">
        <f>IFERROR(INDEX('Master data'!$B$2:$CL$1000,MATCH($B176,'Master data'!$A$2:$A$1000,0),MATCH(I$1,'Master data'!$B$1:$CL$1,0)),"")</f>
        <v>-5229.1857876985869</v>
      </c>
      <c r="J176" s="7">
        <f>IFERROR(INDEX('Master data'!$B$2:$CL$1000,MATCH($B176,'Master data'!$A$2:$A$1000,0),MATCH(J$1,'Master data'!$B$1:$CL$1,0)),"")</f>
        <v>-2675.2201018800056</v>
      </c>
      <c r="K176" s="7">
        <f>IFERROR(INDEX('Master data'!$B$2:$CL$1000,MATCH($B176,'Master data'!$A$2:$A$1000,0),MATCH(K$1,'Master data'!$B$1:$CL$1,0)),"")</f>
        <v>-1344.4686046777017</v>
      </c>
      <c r="L176" s="7">
        <f>IFERROR(INDEX('Master data'!$B$2:$CL$1000,MATCH($B176,'Master data'!$A$2:$A$1000,0),MATCH(L$1,'Master data'!$B$1:$CL$1,0)),"")</f>
        <v>-636.16033663480289</v>
      </c>
      <c r="M176" s="5">
        <f>IFERROR(INDEX('Master data'!$B$2:$CL$1000,MATCH($B176,'Master data'!$A$2:$A$1000,0),MATCH(M$1,'Master data'!$B$1:$CL$1,0)),"")</f>
        <v>51437.197904532753</v>
      </c>
      <c r="N176" s="28">
        <f>IFERROR(INDEX('Master data'!$B$2:$CL$1000,MATCH($B176,'Master data'!$A$2:$A$1000,0),MATCH(N$1,'Master data'!$B$1:$CL$1,0)),"")</f>
        <v>2.4737164015299556E-2</v>
      </c>
      <c r="O176" s="7">
        <f>IFERROR(INDEX('Master data'!$B$2:$CL$1000,MATCH($B176,'Master data'!$A$2:$A$1000,0),MATCH(O$1,'Master data'!$B$1:$CL$1,0)),"")</f>
        <v>0</v>
      </c>
      <c r="P176" s="5">
        <f>IFERROR(INDEX('Master data'!$B$2:$CL$1000,MATCH($B176,'Master data'!$A$2:$A$1000,0),MATCH(P$1,'Master data'!$B$1:$CL$1,0)),"")</f>
        <v>3500000</v>
      </c>
      <c r="Q176" s="5">
        <f>IFERROR(INDEX('Master data'!$B$2:$CL$1000,MATCH($B176,'Master data'!$A$2:$A$1000,0),MATCH(Q$1,'Master data'!$B$1:$CL$1,0)),"")</f>
        <v>3500000</v>
      </c>
    </row>
    <row r="177" spans="1:17" hidden="1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data'!$B$2:$CL$1000,MATCH($B177,'Master data'!$A$2:$A$1000,0),MATCH(C$1,'Master data'!$B$1:$CL$1,0)),"")</f>
        <v>Ukraine</v>
      </c>
      <c r="D177" t="str">
        <f>IFERROR(INDEX('Master data'!$B$2:$CL$1000,MATCH($B177,'Master data'!$A$2:$A$1000,0),MATCH(D$1,'Master data'!$B$1:$CL$1,0)),"")</f>
        <v>Midfield</v>
      </c>
      <c r="E177" s="5">
        <f>IFERROR(INDEX('Master data'!$B$2:$CL$1000,MATCH($B177,'Master data'!$A$2:$A$1000,0),MATCH(E$1,'Master data'!$B$1:$CL$1,0)),"")</f>
        <v>4500000</v>
      </c>
      <c r="F177" s="7">
        <f>IFERROR(INDEX('Master data'!$B$2:$CL$1000,MATCH($B177,'Master data'!$A$2:$A$1000,0),MATCH(F$1,'Master data'!$B$1:$CL$1,0)),"")</f>
        <v>-5000</v>
      </c>
      <c r="G177" s="7">
        <f>IFERROR(INDEX('Master data'!$B$2:$CL$1000,MATCH($B177,'Master data'!$A$2:$A$1000,0),MATCH(G$1,'Master data'!$B$1:$CL$1,0)),"")</f>
        <v>-5000</v>
      </c>
      <c r="H177" s="7">
        <f>IFERROR(INDEX('Master data'!$B$2:$CL$1000,MATCH($B177,'Master data'!$A$2:$A$1000,0),MATCH(H$1,'Master data'!$B$1:$CL$1,0)),"")</f>
        <v>-5000</v>
      </c>
      <c r="I177" s="7">
        <f>IFERROR(INDEX('Master data'!$B$2:$CL$1000,MATCH($B177,'Master data'!$A$2:$A$1000,0),MATCH(I$1,'Master data'!$B$1:$CL$1,0)),"")</f>
        <v>-37208.570389971836</v>
      </c>
      <c r="J177" s="7">
        <f>IFERROR(INDEX('Master data'!$B$2:$CL$1000,MATCH($B177,'Master data'!$A$2:$A$1000,0),MATCH(J$1,'Master data'!$B$1:$CL$1,0)),"")</f>
        <v>-18264.201837421875</v>
      </c>
      <c r="K177" s="7">
        <f>IFERROR(INDEX('Master data'!$B$2:$CL$1000,MATCH($B177,'Master data'!$A$2:$A$1000,0),MATCH(K$1,'Master data'!$B$1:$CL$1,0)),"")</f>
        <v>-8820.7200225717042</v>
      </c>
      <c r="L177" s="7">
        <f>IFERROR(INDEX('Master data'!$B$2:$CL$1000,MATCH($B177,'Master data'!$A$2:$A$1000,0),MATCH(L$1,'Master data'!$B$1:$CL$1,0)),"")</f>
        <v>-4016.6245655619728</v>
      </c>
      <c r="M177" s="5">
        <f>IFERROR(INDEX('Master data'!$B$2:$CL$1000,MATCH($B177,'Master data'!$A$2:$A$1000,0),MATCH(M$1,'Master data'!$B$1:$CL$1,0)),"")</f>
        <v>-26702.262500940353</v>
      </c>
      <c r="N177" s="28">
        <f>IFERROR(INDEX('Master data'!$B$2:$CL$1000,MATCH($B177,'Master data'!$A$2:$A$1000,0),MATCH(N$1,'Master data'!$B$1:$CL$1,0)),"")</f>
        <v>-3.3333333333333335E-3</v>
      </c>
      <c r="O177" s="7">
        <f>IFERROR(INDEX('Master data'!$B$2:$CL$1000,MATCH($B177,'Master data'!$A$2:$A$1000,0),MATCH(O$1,'Master data'!$B$1:$CL$1,0)),"")</f>
        <v>0</v>
      </c>
      <c r="P177" s="5">
        <f>IFERROR(INDEX('Master data'!$B$2:$CL$1000,MATCH($B177,'Master data'!$A$2:$A$1000,0),MATCH(P$1,'Master data'!$B$1:$CL$1,0)),"")</f>
        <v>4500000</v>
      </c>
      <c r="Q177" s="5">
        <f>IFERROR(INDEX('Master data'!$B$2:$CL$1000,MATCH($B177,'Master data'!$A$2:$A$1000,0),MATCH(Q$1,'Master data'!$B$1:$CL$1,0)),"")</f>
        <v>4500000</v>
      </c>
    </row>
    <row r="178" spans="1:17" hidden="1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data'!$B$2:$CL$1000,MATCH($B178,'Master data'!$A$2:$A$1000,0),MATCH(C$1,'Master data'!$B$1:$CL$1,0)),"")</f>
        <v>Russia</v>
      </c>
      <c r="D178" t="str">
        <f>IFERROR(INDEX('Master data'!$B$2:$CL$1000,MATCH($B178,'Master data'!$A$2:$A$1000,0),MATCH(D$1,'Master data'!$B$1:$CL$1,0)),"")</f>
        <v>Midfield</v>
      </c>
      <c r="E178" s="5">
        <f>IFERROR(INDEX('Master data'!$B$2:$CL$1000,MATCH($B178,'Master data'!$A$2:$A$1000,0),MATCH(E$1,'Master data'!$B$1:$CL$1,0)),"")</f>
        <v>4000000</v>
      </c>
      <c r="F178" s="7">
        <f>IFERROR(INDEX('Master data'!$B$2:$CL$1000,MATCH($B178,'Master data'!$A$2:$A$1000,0),MATCH(F$1,'Master data'!$B$1:$CL$1,0)),"")</f>
        <v>38713.121837394123</v>
      </c>
      <c r="G178" s="7">
        <f>IFERROR(INDEX('Master data'!$B$2:$CL$1000,MATCH($B178,'Master data'!$A$2:$A$1000,0),MATCH(G$1,'Master data'!$B$1:$CL$1,0)),"")</f>
        <v>106471.59331982018</v>
      </c>
      <c r="H178" s="7">
        <f>IFERROR(INDEX('Master data'!$B$2:$CL$1000,MATCH($B178,'Master data'!$A$2:$A$1000,0),MATCH(H$1,'Master data'!$B$1:$CL$1,0)),"")</f>
        <v>49248.911444980928</v>
      </c>
      <c r="I178" s="7">
        <f>IFERROR(INDEX('Master data'!$B$2:$CL$1000,MATCH($B178,'Master data'!$A$2:$A$1000,0),MATCH(I$1,'Master data'!$B$1:$CL$1,0)),"")</f>
        <v>14691.509322271821</v>
      </c>
      <c r="J178" s="7">
        <f>IFERROR(INDEX('Master data'!$B$2:$CL$1000,MATCH($B178,'Master data'!$A$2:$A$1000,0),MATCH(J$1,'Master data'!$B$1:$CL$1,0)),"")</f>
        <v>7007.0609598837937</v>
      </c>
      <c r="K178" s="7">
        <f>IFERROR(INDEX('Master data'!$B$2:$CL$1000,MATCH($B178,'Master data'!$A$2:$A$1000,0),MATCH(K$1,'Master data'!$B$1:$CL$1,0)),"")</f>
        <v>3282.0984584140642</v>
      </c>
      <c r="L178" s="7">
        <f>IFERROR(INDEX('Master data'!$B$2:$CL$1000,MATCH($B178,'Master data'!$A$2:$A$1000,0),MATCH(L$1,'Master data'!$B$1:$CL$1,0)),"")</f>
        <v>1442.6108253453931</v>
      </c>
      <c r="M178" s="5">
        <f>IFERROR(INDEX('Master data'!$B$2:$CL$1000,MATCH($B178,'Master data'!$A$2:$A$1000,0),MATCH(M$1,'Master data'!$B$1:$CL$1,0)),"")</f>
        <v>137878.59920127649</v>
      </c>
      <c r="N178" s="28">
        <f>IFERROR(INDEX('Master data'!$B$2:$CL$1000,MATCH($B178,'Master data'!$A$2:$A$1000,0),MATCH(N$1,'Master data'!$B$1:$CL$1,0)),"")</f>
        <v>4.8608406650548816E-2</v>
      </c>
      <c r="O178" s="7">
        <f>IFERROR(INDEX('Master data'!$B$2:$CL$1000,MATCH($B178,'Master data'!$A$2:$A$1000,0),MATCH(O$1,'Master data'!$B$1:$CL$1,0)),"")</f>
        <v>0</v>
      </c>
      <c r="P178" s="5">
        <f>IFERROR(INDEX('Master data'!$B$2:$CL$1000,MATCH($B178,'Master data'!$A$2:$A$1000,0),MATCH(P$1,'Master data'!$B$1:$CL$1,0)),"")</f>
        <v>4000000</v>
      </c>
      <c r="Q178" s="5">
        <f>IFERROR(INDEX('Master data'!$B$2:$CL$1000,MATCH($B178,'Master data'!$A$2:$A$1000,0),MATCH(Q$1,'Master data'!$B$1:$CL$1,0)),"")</f>
        <v>4000000</v>
      </c>
    </row>
    <row r="179" spans="1:17" hidden="1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data'!$B$2:$CL$1000,MATCH($B179,'Master data'!$A$2:$A$1000,0),MATCH(C$1,'Master data'!$B$1:$CL$1,0)),"")</f>
        <v>France</v>
      </c>
      <c r="D179" t="str">
        <f>IFERROR(INDEX('Master data'!$B$2:$CL$1000,MATCH($B179,'Master data'!$A$2:$A$1000,0),MATCH(D$1,'Master data'!$B$1:$CL$1,0)),"")</f>
        <v>Defense</v>
      </c>
      <c r="E179" s="5">
        <f>IFERROR(INDEX('Master data'!$B$2:$CL$1000,MATCH($B179,'Master data'!$A$2:$A$1000,0),MATCH(E$1,'Master data'!$B$1:$CL$1,0)),"")</f>
        <v>3000000</v>
      </c>
      <c r="F179" s="7">
        <f>IFERROR(INDEX('Master data'!$B$2:$CL$1000,MATCH($B179,'Master data'!$A$2:$A$1000,0),MATCH(F$1,'Master data'!$B$1:$CL$1,0)),"")</f>
        <v>9489.18764664849</v>
      </c>
      <c r="G179" s="7">
        <f>IFERROR(INDEX('Master data'!$B$2:$CL$1000,MATCH($B179,'Master data'!$A$2:$A$1000,0),MATCH(G$1,'Master data'!$B$1:$CL$1,0)),"")</f>
        <v>17400.959215099116</v>
      </c>
      <c r="H179" s="7">
        <f>IFERROR(INDEX('Master data'!$B$2:$CL$1000,MATCH($B179,'Master data'!$A$2:$A$1000,0),MATCH(H$1,'Master data'!$B$1:$CL$1,0)),"")</f>
        <v>13197.699401589991</v>
      </c>
      <c r="I179" s="7">
        <f>IFERROR(INDEX('Master data'!$B$2:$CL$1000,MATCH($B179,'Master data'!$A$2:$A$1000,0),MATCH(I$1,'Master data'!$B$1:$CL$1,0)),"")</f>
        <v>-15039.874356922357</v>
      </c>
      <c r="J179" s="7">
        <f>IFERROR(INDEX('Master data'!$B$2:$CL$1000,MATCH($B179,'Master data'!$A$2:$A$1000,0),MATCH(J$1,'Master data'!$B$1:$CL$1,0)),"")</f>
        <v>-7878.0896930821027</v>
      </c>
      <c r="K179" s="7">
        <f>IFERROR(INDEX('Master data'!$B$2:$CL$1000,MATCH($B179,'Master data'!$A$2:$A$1000,0),MATCH(K$1,'Master data'!$B$1:$CL$1,0)),"")</f>
        <v>-4253.4656296500834</v>
      </c>
      <c r="L179" s="7">
        <f>IFERROR(INDEX('Master data'!$B$2:$CL$1000,MATCH($B179,'Master data'!$A$2:$A$1000,0),MATCH(L$1,'Master data'!$B$1:$CL$1,0)),"")</f>
        <v>-2511.8918814087201</v>
      </c>
      <c r="M179" s="5">
        <f>IFERROR(INDEX('Master data'!$B$2:$CL$1000,MATCH($B179,'Master data'!$A$2:$A$1000,0),MATCH(M$1,'Master data'!$B$1:$CL$1,0)),"")</f>
        <v>20162.396462694731</v>
      </c>
      <c r="N179" s="28">
        <f>IFERROR(INDEX('Master data'!$B$2:$CL$1000,MATCH($B179,'Master data'!$A$2:$A$1000,0),MATCH(N$1,'Master data'!$B$1:$CL$1,0)),"")</f>
        <v>1.3362615421112532E-2</v>
      </c>
      <c r="O179" s="7">
        <f>IFERROR(INDEX('Master data'!$B$2:$CL$1000,MATCH($B179,'Master data'!$A$2:$A$1000,0),MATCH(O$1,'Master data'!$B$1:$CL$1,0)),"")</f>
        <v>0</v>
      </c>
      <c r="P179" s="5">
        <f>IFERROR(INDEX('Master data'!$B$2:$CL$1000,MATCH($B179,'Master data'!$A$2:$A$1000,0),MATCH(P$1,'Master data'!$B$1:$CL$1,0)),"")</f>
        <v>3000000</v>
      </c>
      <c r="Q179" s="5">
        <f>IFERROR(INDEX('Master data'!$B$2:$CL$1000,MATCH($B179,'Master data'!$A$2:$A$1000,0),MATCH(Q$1,'Master data'!$B$1:$CL$1,0)),"")</f>
        <v>3000000</v>
      </c>
    </row>
    <row r="180" spans="1:17" hidden="1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data'!$B$2:$CL$1000,MATCH($B180,'Master data'!$A$2:$A$1000,0),MATCH(C$1,'Master data'!$B$1:$CL$1,0)),"")</f>
        <v>France</v>
      </c>
      <c r="D180" t="str">
        <f>IFERROR(INDEX('Master data'!$B$2:$CL$1000,MATCH($B180,'Master data'!$A$2:$A$1000,0),MATCH(D$1,'Master data'!$B$1:$CL$1,0)),"")</f>
        <v>Defense</v>
      </c>
      <c r="E180" s="5">
        <f>IFERROR(INDEX('Master data'!$B$2:$CL$1000,MATCH($B180,'Master data'!$A$2:$A$1000,0),MATCH(E$1,'Master data'!$B$1:$CL$1,0)),"")</f>
        <v>3500000</v>
      </c>
      <c r="F180" s="7">
        <f>IFERROR(INDEX('Master data'!$B$2:$CL$1000,MATCH($B180,'Master data'!$A$2:$A$1000,0),MATCH(F$1,'Master data'!$B$1:$CL$1,0)),"")</f>
        <v>9489.18764664849</v>
      </c>
      <c r="G180" s="7">
        <f>IFERROR(INDEX('Master data'!$B$2:$CL$1000,MATCH($B180,'Master data'!$A$2:$A$1000,0),MATCH(G$1,'Master data'!$B$1:$CL$1,0)),"")</f>
        <v>17400.959215099116</v>
      </c>
      <c r="H180" s="7">
        <f>IFERROR(INDEX('Master data'!$B$2:$CL$1000,MATCH($B180,'Master data'!$A$2:$A$1000,0),MATCH(H$1,'Master data'!$B$1:$CL$1,0)),"")</f>
        <v>13197.699401589991</v>
      </c>
      <c r="I180" s="7">
        <f>IFERROR(INDEX('Master data'!$B$2:$CL$1000,MATCH($B180,'Master data'!$A$2:$A$1000,0),MATCH(I$1,'Master data'!$B$1:$CL$1,0)),"")</f>
        <v>-19453.432922214903</v>
      </c>
      <c r="J180" s="7">
        <f>IFERROR(INDEX('Master data'!$B$2:$CL$1000,MATCH($B180,'Master data'!$A$2:$A$1000,0),MATCH(J$1,'Master data'!$B$1:$CL$1,0)),"")</f>
        <v>-10171.981064987818</v>
      </c>
      <c r="K180" s="7">
        <f>IFERROR(INDEX('Master data'!$B$2:$CL$1000,MATCH($B180,'Master data'!$A$2:$A$1000,0),MATCH(K$1,'Master data'!$B$1:$CL$1,0)),"")</f>
        <v>-5482.3991643177087</v>
      </c>
      <c r="L180" s="7">
        <f>IFERROR(INDEX('Master data'!$B$2:$CL$1000,MATCH($B180,'Master data'!$A$2:$A$1000,0),MATCH(L$1,'Master data'!$B$1:$CL$1,0)),"")</f>
        <v>-3232.0798220852594</v>
      </c>
      <c r="M180" s="5">
        <f>IFERROR(INDEX('Master data'!$B$2:$CL$1000,MATCH($B180,'Master data'!$A$2:$A$1000,0),MATCH(M$1,'Master data'!$B$1:$CL$1,0)),"")</f>
        <v>18176.499816344931</v>
      </c>
      <c r="N180" s="28">
        <f>IFERROR(INDEX('Master data'!$B$2:$CL$1000,MATCH($B180,'Master data'!$A$2:$A$1000,0),MATCH(N$1,'Master data'!$B$1:$CL$1,0)),"")</f>
        <v>1.1453670360953599E-2</v>
      </c>
      <c r="O180" s="7">
        <f>IFERROR(INDEX('Master data'!$B$2:$CL$1000,MATCH($B180,'Master data'!$A$2:$A$1000,0),MATCH(O$1,'Master data'!$B$1:$CL$1,0)),"")</f>
        <v>0</v>
      </c>
      <c r="P180" s="5">
        <f>IFERROR(INDEX('Master data'!$B$2:$CL$1000,MATCH($B180,'Master data'!$A$2:$A$1000,0),MATCH(P$1,'Master data'!$B$1:$CL$1,0)),"")</f>
        <v>3500000</v>
      </c>
      <c r="Q180" s="5">
        <f>IFERROR(INDEX('Master data'!$B$2:$CL$1000,MATCH($B180,'Master data'!$A$2:$A$1000,0),MATCH(Q$1,'Master data'!$B$1:$CL$1,0)),"")</f>
        <v>3500000</v>
      </c>
    </row>
    <row r="181" spans="1:17" hidden="1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data'!$B$2:$CL$1000,MATCH($B181,'Master data'!$A$2:$A$1000,0),MATCH(C$1,'Master data'!$B$1:$CL$1,0)),"")</f>
        <v>France</v>
      </c>
      <c r="D181" t="str">
        <f>IFERROR(INDEX('Master data'!$B$2:$CL$1000,MATCH($B181,'Master data'!$A$2:$A$1000,0),MATCH(D$1,'Master data'!$B$1:$CL$1,0)),"")</f>
        <v>Defense</v>
      </c>
      <c r="E181" s="5">
        <f>IFERROR(INDEX('Master data'!$B$2:$CL$1000,MATCH($B181,'Master data'!$A$2:$A$1000,0),MATCH(E$1,'Master data'!$B$1:$CL$1,0)),"")</f>
        <v>3500000</v>
      </c>
      <c r="F181" s="7">
        <f>IFERROR(INDEX('Master data'!$B$2:$CL$1000,MATCH($B181,'Master data'!$A$2:$A$1000,0),MATCH(F$1,'Master data'!$B$1:$CL$1,0)),"")</f>
        <v>9489.18764664849</v>
      </c>
      <c r="G181" s="7">
        <f>IFERROR(INDEX('Master data'!$B$2:$CL$1000,MATCH($B181,'Master data'!$A$2:$A$1000,0),MATCH(G$1,'Master data'!$B$1:$CL$1,0)),"")</f>
        <v>17400.959215099116</v>
      </c>
      <c r="H181" s="7">
        <f>IFERROR(INDEX('Master data'!$B$2:$CL$1000,MATCH($B181,'Master data'!$A$2:$A$1000,0),MATCH(H$1,'Master data'!$B$1:$CL$1,0)),"")</f>
        <v>13197.699401589991</v>
      </c>
      <c r="I181" s="7">
        <f>IFERROR(INDEX('Master data'!$B$2:$CL$1000,MATCH($B181,'Master data'!$A$2:$A$1000,0),MATCH(I$1,'Master data'!$B$1:$CL$1,0)),"")</f>
        <v>-19453.432922214903</v>
      </c>
      <c r="J181" s="7">
        <f>IFERROR(INDEX('Master data'!$B$2:$CL$1000,MATCH($B181,'Master data'!$A$2:$A$1000,0),MATCH(J$1,'Master data'!$B$1:$CL$1,0)),"")</f>
        <v>-10171.981064987818</v>
      </c>
      <c r="K181" s="7">
        <f>IFERROR(INDEX('Master data'!$B$2:$CL$1000,MATCH($B181,'Master data'!$A$2:$A$1000,0),MATCH(K$1,'Master data'!$B$1:$CL$1,0)),"")</f>
        <v>-5482.3991643177087</v>
      </c>
      <c r="L181" s="7">
        <f>IFERROR(INDEX('Master data'!$B$2:$CL$1000,MATCH($B181,'Master data'!$A$2:$A$1000,0),MATCH(L$1,'Master data'!$B$1:$CL$1,0)),"")</f>
        <v>-3232.0798220852594</v>
      </c>
      <c r="M181" s="5">
        <f>IFERROR(INDEX('Master data'!$B$2:$CL$1000,MATCH($B181,'Master data'!$A$2:$A$1000,0),MATCH(M$1,'Master data'!$B$1:$CL$1,0)),"")</f>
        <v>18176.499816344931</v>
      </c>
      <c r="N181" s="28">
        <f>IFERROR(INDEX('Master data'!$B$2:$CL$1000,MATCH($B181,'Master data'!$A$2:$A$1000,0),MATCH(N$1,'Master data'!$B$1:$CL$1,0)),"")</f>
        <v>1.1453670360953599E-2</v>
      </c>
      <c r="O181" s="7">
        <f>IFERROR(INDEX('Master data'!$B$2:$CL$1000,MATCH($B181,'Master data'!$A$2:$A$1000,0),MATCH(O$1,'Master data'!$B$1:$CL$1,0)),"")</f>
        <v>0</v>
      </c>
      <c r="P181" s="5">
        <f>IFERROR(INDEX('Master data'!$B$2:$CL$1000,MATCH($B181,'Master data'!$A$2:$A$1000,0),MATCH(P$1,'Master data'!$B$1:$CL$1,0)),"")</f>
        <v>3500000</v>
      </c>
      <c r="Q181" s="5">
        <f>IFERROR(INDEX('Master data'!$B$2:$CL$1000,MATCH($B181,'Master data'!$A$2:$A$1000,0),MATCH(Q$1,'Master data'!$B$1:$CL$1,0)),"")</f>
        <v>3500000</v>
      </c>
    </row>
    <row r="182" spans="1:17" hidden="1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data'!$B$2:$CL$1000,MATCH($B182,'Master data'!$A$2:$A$1000,0),MATCH(C$1,'Master data'!$B$1:$CL$1,0)),"")</f>
        <v>France</v>
      </c>
      <c r="D182" t="str">
        <f>IFERROR(INDEX('Master data'!$B$2:$CL$1000,MATCH($B182,'Master data'!$A$2:$A$1000,0),MATCH(D$1,'Master data'!$B$1:$CL$1,0)),"")</f>
        <v>Defense</v>
      </c>
      <c r="E182" s="5">
        <f>IFERROR(INDEX('Master data'!$B$2:$CL$1000,MATCH($B182,'Master data'!$A$2:$A$1000,0),MATCH(E$1,'Master data'!$B$1:$CL$1,0)),"")</f>
        <v>4000000</v>
      </c>
      <c r="F182" s="7">
        <f>IFERROR(INDEX('Master data'!$B$2:$CL$1000,MATCH($B182,'Master data'!$A$2:$A$1000,0),MATCH(F$1,'Master data'!$B$1:$CL$1,0)),"")</f>
        <v>30132.644110904657</v>
      </c>
      <c r="G182" s="7">
        <f>IFERROR(INDEX('Master data'!$B$2:$CL$1000,MATCH($B182,'Master data'!$A$2:$A$1000,0),MATCH(G$1,'Master data'!$B$1:$CL$1,0)),"")</f>
        <v>64608.636767633026</v>
      </c>
      <c r="H182" s="7">
        <f>IFERROR(INDEX('Master data'!$B$2:$CL$1000,MATCH($B182,'Master data'!$A$2:$A$1000,0),MATCH(H$1,'Master data'!$B$1:$CL$1,0)),"")</f>
        <v>38222.96715824226</v>
      </c>
      <c r="I182" s="7">
        <f>IFERROR(INDEX('Master data'!$B$2:$CL$1000,MATCH($B182,'Master data'!$A$2:$A$1000,0),MATCH(I$1,'Master data'!$B$1:$CL$1,0)),"")</f>
        <v>2640.873539419651</v>
      </c>
      <c r="J182" s="7">
        <f>IFERROR(INDEX('Master data'!$B$2:$CL$1000,MATCH($B182,'Master data'!$A$2:$A$1000,0),MATCH(J$1,'Master data'!$B$1:$CL$1,0)),"")</f>
        <v>1169.2236707383345</v>
      </c>
      <c r="K182" s="7">
        <f>IFERROR(INDEX('Master data'!$B$2:$CL$1000,MATCH($B182,'Master data'!$A$2:$A$1000,0),MATCH(K$1,'Master data'!$B$1:$CL$1,0)),"")</f>
        <v>517.46586652897611</v>
      </c>
      <c r="L182" s="7">
        <f>IFERROR(INDEX('Master data'!$B$2:$CL$1000,MATCH($B182,'Master data'!$A$2:$A$1000,0),MATCH(L$1,'Master data'!$B$1:$CL$1,0)),"")</f>
        <v>239.40934782637524</v>
      </c>
      <c r="M182" s="5">
        <f>IFERROR(INDEX('Master data'!$B$2:$CL$1000,MATCH($B182,'Master data'!$A$2:$A$1000,0),MATCH(M$1,'Master data'!$B$1:$CL$1,0)),"")</f>
        <v>91295.654594977037</v>
      </c>
      <c r="N182" s="28">
        <f>IFERROR(INDEX('Master data'!$B$2:$CL$1000,MATCH($B182,'Master data'!$A$2:$A$1000,0),MATCH(N$1,'Master data'!$B$1:$CL$1,0)),"")</f>
        <v>3.324106200919498E-2</v>
      </c>
      <c r="O182" s="7">
        <f>IFERROR(INDEX('Master data'!$B$2:$CL$1000,MATCH($B182,'Master data'!$A$2:$A$1000,0),MATCH(O$1,'Master data'!$B$1:$CL$1,0)),"")</f>
        <v>0</v>
      </c>
      <c r="P182" s="5">
        <f>IFERROR(INDEX('Master data'!$B$2:$CL$1000,MATCH($B182,'Master data'!$A$2:$A$1000,0),MATCH(P$1,'Master data'!$B$1:$CL$1,0)),"")</f>
        <v>4000000</v>
      </c>
      <c r="Q182" s="5">
        <f>IFERROR(INDEX('Master data'!$B$2:$CL$1000,MATCH($B182,'Master data'!$A$2:$A$1000,0),MATCH(Q$1,'Master data'!$B$1:$CL$1,0)),"")</f>
        <v>4000000</v>
      </c>
    </row>
    <row r="183" spans="1:17" hidden="1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data'!$B$2:$CL$1000,MATCH($B183,'Master data'!$A$2:$A$1000,0),MATCH(C$1,'Master data'!$B$1:$CL$1,0)),"")</f>
        <v>France</v>
      </c>
      <c r="D183" t="str">
        <f>IFERROR(INDEX('Master data'!$B$2:$CL$1000,MATCH($B183,'Master data'!$A$2:$A$1000,0),MATCH(D$1,'Master data'!$B$1:$CL$1,0)),"")</f>
        <v>Midfield</v>
      </c>
      <c r="E183" s="5">
        <f>IFERROR(INDEX('Master data'!$B$2:$CL$1000,MATCH($B183,'Master data'!$A$2:$A$1000,0),MATCH(E$1,'Master data'!$B$1:$CL$1,0)),"")</f>
        <v>4000000</v>
      </c>
      <c r="F183" s="7">
        <f>IFERROR(INDEX('Master data'!$B$2:$CL$1000,MATCH($B183,'Master data'!$A$2:$A$1000,0),MATCH(F$1,'Master data'!$B$1:$CL$1,0)),"")</f>
        <v>24475.794756125426</v>
      </c>
      <c r="G183" s="7">
        <f>IFERROR(INDEX('Master data'!$B$2:$CL$1000,MATCH($B183,'Master data'!$A$2:$A$1000,0),MATCH(G$1,'Master data'!$B$1:$CL$1,0)),"")</f>
        <v>57980.059261881288</v>
      </c>
      <c r="H183" s="7">
        <f>IFERROR(INDEX('Master data'!$B$2:$CL$1000,MATCH($B183,'Master data'!$A$2:$A$1000,0),MATCH(H$1,'Master data'!$B$1:$CL$1,0)),"")</f>
        <v>29303.086611303897</v>
      </c>
      <c r="I183" s="7">
        <f>IFERROR(INDEX('Master data'!$B$2:$CL$1000,MATCH($B183,'Master data'!$A$2:$A$1000,0),MATCH(I$1,'Master data'!$B$1:$CL$1,0)),"")</f>
        <v>-3411.3358041644046</v>
      </c>
      <c r="J183" s="7">
        <f>IFERROR(INDEX('Master data'!$B$2:$CL$1000,MATCH($B183,'Master data'!$A$2:$A$1000,0),MATCH(J$1,'Master data'!$B$1:$CL$1,0)),"")</f>
        <v>-1943.9073181002079</v>
      </c>
      <c r="K183" s="7">
        <f>IFERROR(INDEX('Master data'!$B$2:$CL$1000,MATCH($B183,'Master data'!$A$2:$A$1000,0),MATCH(K$1,'Master data'!$B$1:$CL$1,0)),"")</f>
        <v>-1132.9953145827672</v>
      </c>
      <c r="L183" s="7">
        <f>IFERROR(INDEX('Master data'!$B$2:$CL$1000,MATCH($B183,'Master data'!$A$2:$A$1000,0),MATCH(L$1,'Master data'!$B$1:$CL$1,0)),"")</f>
        <v>-717.62387036071902</v>
      </c>
      <c r="M183" s="5">
        <f>IFERROR(INDEX('Master data'!$B$2:$CL$1000,MATCH($B183,'Master data'!$A$2:$A$1000,0),MATCH(M$1,'Master data'!$B$1:$CL$1,0)),"")</f>
        <v>74545.811488536667</v>
      </c>
      <c r="N183" s="28">
        <f>IFERROR(INDEX('Master data'!$B$2:$CL$1000,MATCH($B183,'Master data'!$A$2:$A$1000,0),MATCH(N$1,'Master data'!$B$1:$CL$1,0)),"")</f>
        <v>2.7939735157327648E-2</v>
      </c>
      <c r="O183" s="7">
        <f>IFERROR(INDEX('Master data'!$B$2:$CL$1000,MATCH($B183,'Master data'!$A$2:$A$1000,0),MATCH(O$1,'Master data'!$B$1:$CL$1,0)),"")</f>
        <v>0</v>
      </c>
      <c r="P183" s="5">
        <f>IFERROR(INDEX('Master data'!$B$2:$CL$1000,MATCH($B183,'Master data'!$A$2:$A$1000,0),MATCH(P$1,'Master data'!$B$1:$CL$1,0)),"")</f>
        <v>4000000</v>
      </c>
      <c r="Q183" s="5">
        <f>IFERROR(INDEX('Master data'!$B$2:$CL$1000,MATCH($B183,'Master data'!$A$2:$A$1000,0),MATCH(Q$1,'Master data'!$B$1:$CL$1,0)),"")</f>
        <v>4000000</v>
      </c>
    </row>
    <row r="184" spans="1:17" hidden="1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data'!$B$2:$CL$1000,MATCH($B184,'Master data'!$A$2:$A$1000,0),MATCH(C$1,'Master data'!$B$1:$CL$1,0)),"")</f>
        <v>Wales</v>
      </c>
      <c r="D184" t="str">
        <f>IFERROR(INDEX('Master data'!$B$2:$CL$1000,MATCH($B184,'Master data'!$A$2:$A$1000,0),MATCH(D$1,'Master data'!$B$1:$CL$1,0)),"")</f>
        <v>Striker</v>
      </c>
      <c r="E184" s="5">
        <f>IFERROR(INDEX('Master data'!$B$2:$CL$1000,MATCH($B184,'Master data'!$A$2:$A$1000,0),MATCH(E$1,'Master data'!$B$1:$CL$1,0)),"")</f>
        <v>5000000</v>
      </c>
      <c r="F184" s="7">
        <f>IFERROR(INDEX('Master data'!$B$2:$CL$1000,MATCH($B184,'Master data'!$A$2:$A$1000,0),MATCH(F$1,'Master data'!$B$1:$CL$1,0)),"")</f>
        <v>63827.922054000337</v>
      </c>
      <c r="G184" s="7">
        <f>IFERROR(INDEX('Master data'!$B$2:$CL$1000,MATCH($B184,'Master data'!$A$2:$A$1000,0),MATCH(G$1,'Master data'!$B$1:$CL$1,0)),"")</f>
        <v>75167.948997723739</v>
      </c>
      <c r="H184" s="7">
        <f>IFERROR(INDEX('Master data'!$B$2:$CL$1000,MATCH($B184,'Master data'!$A$2:$A$1000,0),MATCH(H$1,'Master data'!$B$1:$CL$1,0)),"")</f>
        <v>33580.809581417358</v>
      </c>
      <c r="I184" s="7">
        <f>IFERROR(INDEX('Master data'!$B$2:$CL$1000,MATCH($B184,'Master data'!$A$2:$A$1000,0),MATCH(I$1,'Master data'!$B$1:$CL$1,0)),"")</f>
        <v>2857.9987414618313</v>
      </c>
      <c r="J184" s="7">
        <f>IFERROR(INDEX('Master data'!$B$2:$CL$1000,MATCH($B184,'Master data'!$A$2:$A$1000,0),MATCH(J$1,'Master data'!$B$1:$CL$1,0)),"")</f>
        <v>1264.5449655139125</v>
      </c>
      <c r="K184" s="7">
        <f>IFERROR(INDEX('Master data'!$B$2:$CL$1000,MATCH($B184,'Master data'!$A$2:$A$1000,0),MATCH(K$1,'Master data'!$B$1:$CL$1,0)),"")</f>
        <v>543.62749515076098</v>
      </c>
      <c r="L184" s="7">
        <f>IFERROR(INDEX('Master data'!$B$2:$CL$1000,MATCH($B184,'Master data'!$A$2:$A$1000,0),MATCH(L$1,'Master data'!$B$1:$CL$1,0)),"")</f>
        <v>216.6823527235378</v>
      </c>
      <c r="M184" s="5">
        <f>IFERROR(INDEX('Master data'!$B$2:$CL$1000,MATCH($B184,'Master data'!$A$2:$A$1000,0),MATCH(M$1,'Master data'!$B$1:$CL$1,0)),"")</f>
        <v>130051.90508633434</v>
      </c>
      <c r="N184" s="28">
        <f>IFERROR(INDEX('Master data'!$B$2:$CL$1000,MATCH($B184,'Master data'!$A$2:$A$1000,0),MATCH(N$1,'Master data'!$B$1:$CL$1,0)),"")</f>
        <v>3.4515336126628285E-2</v>
      </c>
      <c r="O184" s="7">
        <f>IFERROR(INDEX('Master data'!$B$2:$CL$1000,MATCH($B184,'Master data'!$A$2:$A$1000,0),MATCH(O$1,'Master data'!$B$1:$CL$1,0)),"")</f>
        <v>0</v>
      </c>
      <c r="P184" s="5">
        <f>IFERROR(INDEX('Master data'!$B$2:$CL$1000,MATCH($B184,'Master data'!$A$2:$A$1000,0),MATCH(P$1,'Master data'!$B$1:$CL$1,0)),"")</f>
        <v>5000000</v>
      </c>
      <c r="Q184" s="5">
        <f>IFERROR(INDEX('Master data'!$B$2:$CL$1000,MATCH($B184,'Master data'!$A$2:$A$1000,0),MATCH(Q$1,'Master data'!$B$1:$CL$1,0)),"")</f>
        <v>5000000</v>
      </c>
    </row>
    <row r="185" spans="1:17" hidden="1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data'!$B$2:$CL$1000,MATCH($B185,'Master data'!$A$2:$A$1000,0),MATCH(C$1,'Master data'!$B$1:$CL$1,0)),"")</f>
        <v>Sweden</v>
      </c>
      <c r="D185" t="str">
        <f>IFERROR(INDEX('Master data'!$B$2:$CL$1000,MATCH($B185,'Master data'!$A$2:$A$1000,0),MATCH(D$1,'Master data'!$B$1:$CL$1,0)),"")</f>
        <v>Midfield</v>
      </c>
      <c r="E185" s="5">
        <f>IFERROR(INDEX('Master data'!$B$2:$CL$1000,MATCH($B185,'Master data'!$A$2:$A$1000,0),MATCH(E$1,'Master data'!$B$1:$CL$1,0)),"")</f>
        <v>4000000</v>
      </c>
      <c r="F185" s="7">
        <f>IFERROR(INDEX('Master data'!$B$2:$CL$1000,MATCH($B185,'Master data'!$A$2:$A$1000,0),MATCH(F$1,'Master data'!$B$1:$CL$1,0)),"")</f>
        <v>8288.1998182550342</v>
      </c>
      <c r="G185" s="7">
        <f>IFERROR(INDEX('Master data'!$B$2:$CL$1000,MATCH($B185,'Master data'!$A$2:$A$1000,0),MATCH(G$1,'Master data'!$B$1:$CL$1,0)),"")</f>
        <v>62123.449014981066</v>
      </c>
      <c r="H185" s="7">
        <f>IFERROR(INDEX('Master data'!$B$2:$CL$1000,MATCH($B185,'Master data'!$A$2:$A$1000,0),MATCH(H$1,'Master data'!$B$1:$CL$1,0)),"")</f>
        <v>49212.068918847282</v>
      </c>
      <c r="I185" s="7">
        <f>IFERROR(INDEX('Master data'!$B$2:$CL$1000,MATCH($B185,'Master data'!$A$2:$A$1000,0),MATCH(I$1,'Master data'!$B$1:$CL$1,0)),"")</f>
        <v>-865.5781548533339</v>
      </c>
      <c r="J185" s="7">
        <f>IFERROR(INDEX('Master data'!$B$2:$CL$1000,MATCH($B185,'Master data'!$A$2:$A$1000,0),MATCH(J$1,'Master data'!$B$1:$CL$1,0)),"")</f>
        <v>-554.21349102714521</v>
      </c>
      <c r="K185" s="7">
        <f>IFERROR(INDEX('Master data'!$B$2:$CL$1000,MATCH($B185,'Master data'!$A$2:$A$1000,0),MATCH(K$1,'Master data'!$B$1:$CL$1,0)),"")</f>
        <v>-330.72747661257438</v>
      </c>
      <c r="L185" s="7">
        <f>IFERROR(INDEX('Master data'!$B$2:$CL$1000,MATCH($B185,'Master data'!$A$2:$A$1000,0),MATCH(L$1,'Master data'!$B$1:$CL$1,0)),"")</f>
        <v>-180.23056583265119</v>
      </c>
      <c r="M185" s="5">
        <f>IFERROR(INDEX('Master data'!$B$2:$CL$1000,MATCH($B185,'Master data'!$A$2:$A$1000,0),MATCH(M$1,'Master data'!$B$1:$CL$1,0)),"")</f>
        <v>71150.545953869558</v>
      </c>
      <c r="N185" s="28">
        <f>IFERROR(INDEX('Master data'!$B$2:$CL$1000,MATCH($B185,'Master data'!$A$2:$A$1000,0),MATCH(N$1,'Master data'!$B$1:$CL$1,0)),"")</f>
        <v>2.9905929438020847E-2</v>
      </c>
      <c r="O185" s="7">
        <f>IFERROR(INDEX('Master data'!$B$2:$CL$1000,MATCH($B185,'Master data'!$A$2:$A$1000,0),MATCH(O$1,'Master data'!$B$1:$CL$1,0)),"")</f>
        <v>0</v>
      </c>
      <c r="P185" s="5">
        <f>IFERROR(INDEX('Master data'!$B$2:$CL$1000,MATCH($B185,'Master data'!$A$2:$A$1000,0),MATCH(P$1,'Master data'!$B$1:$CL$1,0)),"")</f>
        <v>4000000</v>
      </c>
      <c r="Q185" s="5">
        <f>IFERROR(INDEX('Master data'!$B$2:$CL$1000,MATCH($B185,'Master data'!$A$2:$A$1000,0),MATCH(Q$1,'Master data'!$B$1:$CL$1,0)),"")</f>
        <v>4000000</v>
      </c>
    </row>
    <row r="186" spans="1:17" hidden="1">
      <c r="A186">
        <f t="shared" si="2"/>
        <v>184</v>
      </c>
      <c r="B186" t="str">
        <f>IF('Master data'!A186="","",'Master data'!A186)</f>
        <v>Arkadiusz Milik</v>
      </c>
      <c r="C186" t="str">
        <f>IFERROR(INDEX('Master data'!$B$2:$CL$1000,MATCH($B186,'Master data'!$A$2:$A$1000,0),MATCH(C$1,'Master data'!$B$1:$CL$1,0)),"")</f>
        <v>Poland</v>
      </c>
      <c r="D186" t="str">
        <f>IFERROR(INDEX('Master data'!$B$2:$CL$1000,MATCH($B186,'Master data'!$A$2:$A$1000,0),MATCH(D$1,'Master data'!$B$1:$CL$1,0)),"")</f>
        <v>Striker</v>
      </c>
      <c r="E186" s="5">
        <f>IFERROR(INDEX('Master data'!$B$2:$CL$1000,MATCH($B186,'Master data'!$A$2:$A$1000,0),MATCH(E$1,'Master data'!$B$1:$CL$1,0)),"")</f>
        <v>4000000</v>
      </c>
      <c r="F186" s="7">
        <f>IFERROR(INDEX('Master data'!$B$2:$CL$1000,MATCH($B186,'Master data'!$A$2:$A$1000,0),MATCH(F$1,'Master data'!$B$1:$CL$1,0)),"")</f>
        <v>89684.54984803492</v>
      </c>
      <c r="G186" s="7">
        <f>IFERROR(INDEX('Master data'!$B$2:$CL$1000,MATCH($B186,'Master data'!$A$2:$A$1000,0),MATCH(G$1,'Master data'!$B$1:$CL$1,0)),"")</f>
        <v>24847.085904291642</v>
      </c>
      <c r="H186" s="7">
        <f>IFERROR(INDEX('Master data'!$B$2:$CL$1000,MATCH($B186,'Master data'!$A$2:$A$1000,0),MATCH(H$1,'Master data'!$B$1:$CL$1,0)),"")</f>
        <v>62036.560340699725</v>
      </c>
      <c r="I186" s="7">
        <f>IFERROR(INDEX('Master data'!$B$2:$CL$1000,MATCH($B186,'Master data'!$A$2:$A$1000,0),MATCH(I$1,'Master data'!$B$1:$CL$1,0)),"")</f>
        <v>11339.061341490351</v>
      </c>
      <c r="J186" s="7">
        <f>IFERROR(INDEX('Master data'!$B$2:$CL$1000,MATCH($B186,'Master data'!$A$2:$A$1000,0),MATCH(J$1,'Master data'!$B$1:$CL$1,0)),"")</f>
        <v>5389.6031946815456</v>
      </c>
      <c r="K186" s="7">
        <f>IFERROR(INDEX('Master data'!$B$2:$CL$1000,MATCH($B186,'Master data'!$A$2:$A$1000,0),MATCH(K$1,'Master data'!$B$1:$CL$1,0)),"")</f>
        <v>2521.8319143747235</v>
      </c>
      <c r="L186" s="7">
        <f>IFERROR(INDEX('Master data'!$B$2:$CL$1000,MATCH($B186,'Master data'!$A$2:$A$1000,0),MATCH(L$1,'Master data'!$B$1:$CL$1,0)),"")</f>
        <v>1118.8421558150972</v>
      </c>
      <c r="M186" s="5">
        <f>IFERROR(INDEX('Master data'!$B$2:$CL$1000,MATCH($B186,'Master data'!$A$2:$A$1000,0),MATCH(M$1,'Master data'!$B$1:$CL$1,0)),"")</f>
        <v>138675.73115313871</v>
      </c>
      <c r="N186" s="28">
        <f>IFERROR(INDEX('Master data'!$B$2:$CL$1000,MATCH($B186,'Master data'!$A$2:$A$1000,0),MATCH(N$1,'Master data'!$B$1:$CL$1,0)),"")</f>
        <v>4.4142049023256573E-2</v>
      </c>
      <c r="O186" s="7">
        <f>IFERROR(INDEX('Master data'!$B$2:$CL$1000,MATCH($B186,'Master data'!$A$2:$A$1000,0),MATCH(O$1,'Master data'!$B$1:$CL$1,0)),"")</f>
        <v>0</v>
      </c>
      <c r="P186" s="5">
        <f>IFERROR(INDEX('Master data'!$B$2:$CL$1000,MATCH($B186,'Master data'!$A$2:$A$1000,0),MATCH(P$1,'Master data'!$B$1:$CL$1,0)),"")</f>
        <v>4000000</v>
      </c>
      <c r="Q186" s="5">
        <f>IFERROR(INDEX('Master data'!$B$2:$CL$1000,MATCH($B186,'Master data'!$A$2:$A$1000,0),MATCH(Q$1,'Master data'!$B$1:$CL$1,0)),"")</f>
        <v>4000000</v>
      </c>
    </row>
    <row r="187" spans="1:17" hidden="1">
      <c r="A187">
        <f t="shared" si="2"/>
        <v>185</v>
      </c>
      <c r="B187" t="str">
        <f>IF('Master data'!A187="","",'Master data'!A187)</f>
        <v>Granit Xhaka</v>
      </c>
      <c r="C187" t="str">
        <f>IFERROR(INDEX('Master data'!$B$2:$CL$1000,MATCH($B187,'Master data'!$A$2:$A$1000,0),MATCH(C$1,'Master data'!$B$1:$CL$1,0)),"")</f>
        <v>Switzerland</v>
      </c>
      <c r="D187" t="str">
        <f>IFERROR(INDEX('Master data'!$B$2:$CL$1000,MATCH($B187,'Master data'!$A$2:$A$1000,0),MATCH(D$1,'Master data'!$B$1:$CL$1,0)),"")</f>
        <v>Midfield</v>
      </c>
      <c r="E187" s="5">
        <f>IFERROR(INDEX('Master data'!$B$2:$CL$1000,MATCH($B187,'Master data'!$A$2:$A$1000,0),MATCH(E$1,'Master data'!$B$1:$CL$1,0)),"")</f>
        <v>3500000</v>
      </c>
      <c r="F187" s="7">
        <f>IFERROR(INDEX('Master data'!$B$2:$CL$1000,MATCH($B187,'Master data'!$A$2:$A$1000,0),MATCH(F$1,'Master data'!$B$1:$CL$1,0)),"")</f>
        <v>32937.770551547495</v>
      </c>
      <c r="G187" s="7">
        <f>IFERROR(INDEX('Master data'!$B$2:$CL$1000,MATCH($B187,'Master data'!$A$2:$A$1000,0),MATCH(G$1,'Master data'!$B$1:$CL$1,0)),"")</f>
        <v>6705.1326593054891</v>
      </c>
      <c r="H187" s="7">
        <f>IFERROR(INDEX('Master data'!$B$2:$CL$1000,MATCH($B187,'Master data'!$A$2:$A$1000,0),MATCH(H$1,'Master data'!$B$1:$CL$1,0)),"")</f>
        <v>33370.128534200521</v>
      </c>
      <c r="I187" s="7">
        <f>IFERROR(INDEX('Master data'!$B$2:$CL$1000,MATCH($B187,'Master data'!$A$2:$A$1000,0),MATCH(I$1,'Master data'!$B$1:$CL$1,0)),"")</f>
        <v>-7273.389641036405</v>
      </c>
      <c r="J187" s="7">
        <f>IFERROR(INDEX('Master data'!$B$2:$CL$1000,MATCH($B187,'Master data'!$A$2:$A$1000,0),MATCH(J$1,'Master data'!$B$1:$CL$1,0)),"")</f>
        <v>-3662.1211122258937</v>
      </c>
      <c r="K187" s="7">
        <f>IFERROR(INDEX('Master data'!$B$2:$CL$1000,MATCH($B187,'Master data'!$A$2:$A$1000,0),MATCH(K$1,'Master data'!$B$1:$CL$1,0)),"")</f>
        <v>-1819.1404485975534</v>
      </c>
      <c r="L187" s="7">
        <f>IFERROR(INDEX('Master data'!$B$2:$CL$1000,MATCH($B187,'Master data'!$A$2:$A$1000,0),MATCH(L$1,'Master data'!$B$1:$CL$1,0)),"")</f>
        <v>-862.12258591920056</v>
      </c>
      <c r="M187" s="5">
        <f>IFERROR(INDEX('Master data'!$B$2:$CL$1000,MATCH($B187,'Master data'!$A$2:$A$1000,0),MATCH(M$1,'Master data'!$B$1:$CL$1,0)),"")</f>
        <v>49045.322247452656</v>
      </c>
      <c r="N187" s="28">
        <f>IFERROR(INDEX('Master data'!$B$2:$CL$1000,MATCH($B187,'Master data'!$A$2:$A$1000,0),MATCH(N$1,'Master data'!$B$1:$CL$1,0)),"")</f>
        <v>2.086086621287243E-2</v>
      </c>
      <c r="O187" s="7">
        <f>IFERROR(INDEX('Master data'!$B$2:$CL$1000,MATCH($B187,'Master data'!$A$2:$A$1000,0),MATCH(O$1,'Master data'!$B$1:$CL$1,0)),"")</f>
        <v>0</v>
      </c>
      <c r="P187" s="5">
        <f>IFERROR(INDEX('Master data'!$B$2:$CL$1000,MATCH($B187,'Master data'!$A$2:$A$1000,0),MATCH(P$1,'Master data'!$B$1:$CL$1,0)),"")</f>
        <v>3500000</v>
      </c>
      <c r="Q187" s="5">
        <f>IFERROR(INDEX('Master data'!$B$2:$CL$1000,MATCH($B187,'Master data'!$A$2:$A$1000,0),MATCH(Q$1,'Master data'!$B$1:$CL$1,0)),"")</f>
        <v>3500000</v>
      </c>
    </row>
    <row r="188" spans="1:17" hidden="1">
      <c r="A188">
        <f t="shared" si="2"/>
        <v>186</v>
      </c>
      <c r="B188" t="str">
        <f>IF('Master data'!A188="","",'Master data'!A188)</f>
        <v>Breel Embolo</v>
      </c>
      <c r="C188" t="str">
        <f>IFERROR(INDEX('Master data'!$B$2:$CL$1000,MATCH($B188,'Master data'!$A$2:$A$1000,0),MATCH(C$1,'Master data'!$B$1:$CL$1,0)),"")</f>
        <v>Switzerland</v>
      </c>
      <c r="D188" t="str">
        <f>IFERROR(INDEX('Master data'!$B$2:$CL$1000,MATCH($B188,'Master data'!$A$2:$A$1000,0),MATCH(D$1,'Master data'!$B$1:$CL$1,0)),"")</f>
        <v>Striker</v>
      </c>
      <c r="E188" s="5">
        <f>IFERROR(INDEX('Master data'!$B$2:$CL$1000,MATCH($B188,'Master data'!$A$2:$A$1000,0),MATCH(E$1,'Master data'!$B$1:$CL$1,0)),"")</f>
        <v>4000000</v>
      </c>
      <c r="F188" s="7">
        <f>IFERROR(INDEX('Master data'!$B$2:$CL$1000,MATCH($B188,'Master data'!$A$2:$A$1000,0),MATCH(F$1,'Master data'!$B$1:$CL$1,0)),"")</f>
        <v>67755.918199999724</v>
      </c>
      <c r="G188" s="7">
        <f>IFERROR(INDEX('Master data'!$B$2:$CL$1000,MATCH($B188,'Master data'!$A$2:$A$1000,0),MATCH(G$1,'Master data'!$B$1:$CL$1,0)),"")</f>
        <v>31372.164477012855</v>
      </c>
      <c r="H188" s="7">
        <f>IFERROR(INDEX('Master data'!$B$2:$CL$1000,MATCH($B188,'Master data'!$A$2:$A$1000,0),MATCH(H$1,'Master data'!$B$1:$CL$1,0)),"")</f>
        <v>73897.665959550737</v>
      </c>
      <c r="I188" s="7">
        <f>IFERROR(INDEX('Master data'!$B$2:$CL$1000,MATCH($B188,'Master data'!$A$2:$A$1000,0),MATCH(I$1,'Master data'!$B$1:$CL$1,0)),"")</f>
        <v>10179.909398445079</v>
      </c>
      <c r="J188" s="7">
        <f>IFERROR(INDEX('Master data'!$B$2:$CL$1000,MATCH($B188,'Master data'!$A$2:$A$1000,0),MATCH(J$1,'Master data'!$B$1:$CL$1,0)),"")</f>
        <v>4836.8148494955876</v>
      </c>
      <c r="K188" s="7">
        <f>IFERROR(INDEX('Master data'!$B$2:$CL$1000,MATCH($B188,'Master data'!$A$2:$A$1000,0),MATCH(K$1,'Master data'!$B$1:$CL$1,0)),"")</f>
        <v>2265.1169640310982</v>
      </c>
      <c r="L188" s="7">
        <f>IFERROR(INDEX('Master data'!$B$2:$CL$1000,MATCH($B188,'Master data'!$A$2:$A$1000,0),MATCH(L$1,'Master data'!$B$1:$CL$1,0)),"")</f>
        <v>1010.9102439044036</v>
      </c>
      <c r="M188" s="5">
        <f>IFERROR(INDEX('Master data'!$B$2:$CL$1000,MATCH($B188,'Master data'!$A$2:$A$1000,0),MATCH(M$1,'Master data'!$B$1:$CL$1,0)),"")</f>
        <v>125872.8276091507</v>
      </c>
      <c r="N188" s="28">
        <f>IFERROR(INDEX('Master data'!$B$2:$CL$1000,MATCH($B188,'Master data'!$A$2:$A$1000,0),MATCH(N$1,'Master data'!$B$1:$CL$1,0)),"")</f>
        <v>4.3256437159140827E-2</v>
      </c>
      <c r="O188" s="7">
        <f>IFERROR(INDEX('Master data'!$B$2:$CL$1000,MATCH($B188,'Master data'!$A$2:$A$1000,0),MATCH(O$1,'Master data'!$B$1:$CL$1,0)),"")</f>
        <v>0</v>
      </c>
      <c r="P188" s="5">
        <f>IFERROR(INDEX('Master data'!$B$2:$CL$1000,MATCH($B188,'Master data'!$A$2:$A$1000,0),MATCH(P$1,'Master data'!$B$1:$CL$1,0)),"")</f>
        <v>4000000</v>
      </c>
      <c r="Q188" s="5">
        <f>IFERROR(INDEX('Master data'!$B$2:$CL$1000,MATCH($B188,'Master data'!$A$2:$A$1000,0),MATCH(Q$1,'Master data'!$B$1:$CL$1,0)),"")</f>
        <v>4000000</v>
      </c>
    </row>
    <row r="189" spans="1:17" hidden="1">
      <c r="A189">
        <f t="shared" si="2"/>
        <v>187</v>
      </c>
      <c r="B189" t="str">
        <f>IF('Master data'!A189="","",'Master data'!A189)</f>
        <v>Sasa  Kalajdzic</v>
      </c>
      <c r="C189" t="str">
        <f>IFERROR(INDEX('Master data'!$B$2:$CL$1000,MATCH($B189,'Master data'!$A$2:$A$1000,0),MATCH(C$1,'Master data'!$B$1:$CL$1,0)),"")</f>
        <v>Austria</v>
      </c>
      <c r="D189" t="str">
        <f>IFERROR(INDEX('Master data'!$B$2:$CL$1000,MATCH($B189,'Master data'!$A$2:$A$1000,0),MATCH(D$1,'Master data'!$B$1:$CL$1,0)),"")</f>
        <v>Striker</v>
      </c>
      <c r="E189" s="5">
        <f>IFERROR(INDEX('Master data'!$B$2:$CL$1000,MATCH($B189,'Master data'!$A$2:$A$1000,0),MATCH(E$1,'Master data'!$B$1:$CL$1,0)),"")</f>
        <v>4000000</v>
      </c>
      <c r="F189" s="7">
        <f>IFERROR(INDEX('Master data'!$B$2:$CL$1000,MATCH($B189,'Master data'!$A$2:$A$1000,0),MATCH(F$1,'Master data'!$B$1:$CL$1,0)),"")</f>
        <v>111658.38793596716</v>
      </c>
      <c r="G189" s="7">
        <f>IFERROR(INDEX('Master data'!$B$2:$CL$1000,MATCH($B189,'Master data'!$A$2:$A$1000,0),MATCH(G$1,'Master data'!$B$1:$CL$1,0)),"")</f>
        <v>36765.127496177614</v>
      </c>
      <c r="H189" s="7">
        <f>IFERROR(INDEX('Master data'!$B$2:$CL$1000,MATCH($B189,'Master data'!$A$2:$A$1000,0),MATCH(H$1,'Master data'!$B$1:$CL$1,0)),"")</f>
        <v>73669.743022852403</v>
      </c>
      <c r="I189" s="7">
        <f>IFERROR(INDEX('Master data'!$B$2:$CL$1000,MATCH($B189,'Master data'!$A$2:$A$1000,0),MATCH(I$1,'Master data'!$B$1:$CL$1,0)),"")</f>
        <v>22740.193253567231</v>
      </c>
      <c r="J189" s="7">
        <f>IFERROR(INDEX('Master data'!$B$2:$CL$1000,MATCH($B189,'Master data'!$A$2:$A$1000,0),MATCH(J$1,'Master data'!$B$1:$CL$1,0)),"")</f>
        <v>10903.084256117734</v>
      </c>
      <c r="K189" s="7">
        <f>IFERROR(INDEX('Master data'!$B$2:$CL$1000,MATCH($B189,'Master data'!$A$2:$A$1000,0),MATCH(K$1,'Master data'!$B$1:$CL$1,0)),"")</f>
        <v>5135.6926988867217</v>
      </c>
      <c r="L189" s="7">
        <f>IFERROR(INDEX('Master data'!$B$2:$CL$1000,MATCH($B189,'Master data'!$A$2:$A$1000,0),MATCH(L$1,'Master data'!$B$1:$CL$1,0)),"")</f>
        <v>2271.2382768123034</v>
      </c>
      <c r="M189" s="5">
        <f>IFERROR(INDEX('Master data'!$B$2:$CL$1000,MATCH($B189,'Master data'!$A$2:$A$1000,0),MATCH(M$1,'Master data'!$B$1:$CL$1,0)),"")</f>
        <v>178677.81225284931</v>
      </c>
      <c r="N189" s="28">
        <f>IFERROR(INDEX('Master data'!$B$2:$CL$1000,MATCH($B189,'Master data'!$A$2:$A$1000,0),MATCH(N$1,'Master data'!$B$1:$CL$1,0)),"")</f>
        <v>5.5523314613749306E-2</v>
      </c>
      <c r="O189" s="7">
        <f>IFERROR(INDEX('Master data'!$B$2:$CL$1000,MATCH($B189,'Master data'!$A$2:$A$1000,0),MATCH(O$1,'Master data'!$B$1:$CL$1,0)),"")</f>
        <v>0</v>
      </c>
      <c r="P189" s="5">
        <f>IFERROR(INDEX('Master data'!$B$2:$CL$1000,MATCH($B189,'Master data'!$A$2:$A$1000,0),MATCH(P$1,'Master data'!$B$1:$CL$1,0)),"")</f>
        <v>4000000</v>
      </c>
      <c r="Q189" s="5">
        <f>IFERROR(INDEX('Master data'!$B$2:$CL$1000,MATCH($B189,'Master data'!$A$2:$A$1000,0),MATCH(Q$1,'Master data'!$B$1:$CL$1,0)),"")</f>
        <v>4000000</v>
      </c>
    </row>
    <row r="190" spans="1:17" hidden="1">
      <c r="A190">
        <f t="shared" si="2"/>
        <v>188</v>
      </c>
      <c r="B190" t="str">
        <f>IF('Master data'!A190="","",'Master data'!A190)</f>
        <v>Daniel Wass</v>
      </c>
      <c r="C190" t="str">
        <f>IFERROR(INDEX('Master data'!$B$2:$CL$1000,MATCH($B190,'Master data'!$A$2:$A$1000,0),MATCH(C$1,'Master data'!$B$1:$CL$1,0)),"")</f>
        <v>Denmark</v>
      </c>
      <c r="D190" t="str">
        <f>IFERROR(INDEX('Master data'!$B$2:$CL$1000,MATCH($B190,'Master data'!$A$2:$A$1000,0),MATCH(D$1,'Master data'!$B$1:$CL$1,0)),"")</f>
        <v>Midfield</v>
      </c>
      <c r="E190" s="5">
        <f>IFERROR(INDEX('Master data'!$B$2:$CL$1000,MATCH($B190,'Master data'!$A$2:$A$1000,0),MATCH(E$1,'Master data'!$B$1:$CL$1,0)),"")</f>
        <v>4000000</v>
      </c>
      <c r="F190" s="7">
        <f>IFERROR(INDEX('Master data'!$B$2:$CL$1000,MATCH($B190,'Master data'!$A$2:$A$1000,0),MATCH(F$1,'Master data'!$B$1:$CL$1,0)),"")</f>
        <v>65179.252619613922</v>
      </c>
      <c r="G190" s="7">
        <f>IFERROR(INDEX('Master data'!$B$2:$CL$1000,MATCH($B190,'Master data'!$A$2:$A$1000,0),MATCH(G$1,'Master data'!$B$1:$CL$1,0)),"")</f>
        <v>27763.764082310299</v>
      </c>
      <c r="H190" s="7">
        <f>IFERROR(INDEX('Master data'!$B$2:$CL$1000,MATCH($B190,'Master data'!$A$2:$A$1000,0),MATCH(H$1,'Master data'!$B$1:$CL$1,0)),"")</f>
        <v>51920.2929438028</v>
      </c>
      <c r="I190" s="7">
        <f>IFERROR(INDEX('Master data'!$B$2:$CL$1000,MATCH($B190,'Master data'!$A$2:$A$1000,0),MATCH(I$1,'Master data'!$B$1:$CL$1,0)),"")</f>
        <v>5554.0272559093664</v>
      </c>
      <c r="J190" s="7">
        <f>IFERROR(INDEX('Master data'!$B$2:$CL$1000,MATCH($B190,'Master data'!$A$2:$A$1000,0),MATCH(J$1,'Master data'!$B$1:$CL$1,0)),"")</f>
        <v>2561.8688847763469</v>
      </c>
      <c r="K190" s="7">
        <f>IFERROR(INDEX('Master data'!$B$2:$CL$1000,MATCH($B190,'Master data'!$A$2:$A$1000,0),MATCH(K$1,'Master data'!$B$1:$CL$1,0)),"")</f>
        <v>1167.0355394629917</v>
      </c>
      <c r="L190" s="7">
        <f>IFERROR(INDEX('Master data'!$B$2:$CL$1000,MATCH($B190,'Master data'!$A$2:$A$1000,0),MATCH(L$1,'Master data'!$B$1:$CL$1,0)),"")</f>
        <v>515.91310759771977</v>
      </c>
      <c r="M190" s="5">
        <f>IFERROR(INDEX('Master data'!$B$2:$CL$1000,MATCH($B190,'Master data'!$A$2:$A$1000,0),MATCH(M$1,'Master data'!$B$1:$CL$1,0)),"")</f>
        <v>109114.77678306226</v>
      </c>
      <c r="N190" s="28">
        <f>IFERROR(INDEX('Master data'!$B$2:$CL$1000,MATCH($B190,'Master data'!$A$2:$A$1000,0),MATCH(N$1,'Master data'!$B$1:$CL$1,0)),"")</f>
        <v>3.6215827411431756E-2</v>
      </c>
      <c r="O190" s="7">
        <f>IFERROR(INDEX('Master data'!$B$2:$CL$1000,MATCH($B190,'Master data'!$A$2:$A$1000,0),MATCH(O$1,'Master data'!$B$1:$CL$1,0)),"")</f>
        <v>0</v>
      </c>
      <c r="P190" s="5">
        <f>IFERROR(INDEX('Master data'!$B$2:$CL$1000,MATCH($B190,'Master data'!$A$2:$A$1000,0),MATCH(P$1,'Master data'!$B$1:$CL$1,0)),"")</f>
        <v>4000000</v>
      </c>
      <c r="Q190" s="5">
        <f>IFERROR(INDEX('Master data'!$B$2:$CL$1000,MATCH($B190,'Master data'!$A$2:$A$1000,0),MATCH(Q$1,'Master data'!$B$1:$CL$1,0)),"")</f>
        <v>4000000</v>
      </c>
    </row>
    <row r="191" spans="1:17" hidden="1">
      <c r="A191">
        <f t="shared" si="2"/>
        <v>189</v>
      </c>
      <c r="B191" t="str">
        <f>IF('Master data'!A191="","",'Master data'!A191)</f>
        <v>Andreas  Skov Olsen</v>
      </c>
      <c r="C191" t="str">
        <f>IFERROR(INDEX('Master data'!$B$2:$CL$1000,MATCH($B191,'Master data'!$A$2:$A$1000,0),MATCH(C$1,'Master data'!$B$1:$CL$1,0)),"")</f>
        <v>Denmark</v>
      </c>
      <c r="D191" t="str">
        <f>IFERROR(INDEX('Master data'!$B$2:$CL$1000,MATCH($B191,'Master data'!$A$2:$A$1000,0),MATCH(D$1,'Master data'!$B$1:$CL$1,0)),"")</f>
        <v>Striker</v>
      </c>
      <c r="E191" s="5">
        <f>IFERROR(INDEX('Master data'!$B$2:$CL$1000,MATCH($B191,'Master data'!$A$2:$A$1000,0),MATCH(E$1,'Master data'!$B$1:$CL$1,0)),"")</f>
        <v>4000000</v>
      </c>
      <c r="F191" s="7">
        <f>IFERROR(INDEX('Master data'!$B$2:$CL$1000,MATCH($B191,'Master data'!$A$2:$A$1000,0),MATCH(F$1,'Master data'!$B$1:$CL$1,0)),"")</f>
        <v>-5000</v>
      </c>
      <c r="G191" s="7">
        <f>IFERROR(INDEX('Master data'!$B$2:$CL$1000,MATCH($B191,'Master data'!$A$2:$A$1000,0),MATCH(G$1,'Master data'!$B$1:$CL$1,0)),"")</f>
        <v>-5000</v>
      </c>
      <c r="H191" s="7">
        <f>IFERROR(INDEX('Master data'!$B$2:$CL$1000,MATCH($B191,'Master data'!$A$2:$A$1000,0),MATCH(H$1,'Master data'!$B$1:$CL$1,0)),"")</f>
        <v>-5000</v>
      </c>
      <c r="I191" s="7">
        <f>IFERROR(INDEX('Master data'!$B$2:$CL$1000,MATCH($B191,'Master data'!$A$2:$A$1000,0),MATCH(I$1,'Master data'!$B$1:$CL$1,0)),"")</f>
        <v>-36422.450704220224</v>
      </c>
      <c r="J191" s="7">
        <f>IFERROR(INDEX('Master data'!$B$2:$CL$1000,MATCH($B191,'Master data'!$A$2:$A$1000,0),MATCH(J$1,'Master data'!$B$1:$CL$1,0)),"")</f>
        <v>-18056.489591393136</v>
      </c>
      <c r="K191" s="7">
        <f>IFERROR(INDEX('Master data'!$B$2:$CL$1000,MATCH($B191,'Master data'!$A$2:$A$1000,0),MATCH(K$1,'Master data'!$B$1:$CL$1,0)),"")</f>
        <v>-8891.7842964068568</v>
      </c>
      <c r="L191" s="7">
        <f>IFERROR(INDEX('Master data'!$B$2:$CL$1000,MATCH($B191,'Master data'!$A$2:$A$1000,0),MATCH(L$1,'Master data'!$B$1:$CL$1,0)),"")</f>
        <v>-4278.1374877270291</v>
      </c>
      <c r="M191" s="5">
        <f>IFERROR(INDEX('Master data'!$B$2:$CL$1000,MATCH($B191,'Master data'!$A$2:$A$1000,0),MATCH(M$1,'Master data'!$B$1:$CL$1,0)),"")</f>
        <v>-26460.625438877592</v>
      </c>
      <c r="N191" s="28">
        <f>IFERROR(INDEX('Master data'!$B$2:$CL$1000,MATCH($B191,'Master data'!$A$2:$A$1000,0),MATCH(N$1,'Master data'!$B$1:$CL$1,0)),"")</f>
        <v>-3.7499999999999999E-3</v>
      </c>
      <c r="O191" s="7">
        <f>IFERROR(INDEX('Master data'!$B$2:$CL$1000,MATCH($B191,'Master data'!$A$2:$A$1000,0),MATCH(O$1,'Master data'!$B$1:$CL$1,0)),"")</f>
        <v>0</v>
      </c>
      <c r="P191" s="5">
        <f>IFERROR(INDEX('Master data'!$B$2:$CL$1000,MATCH($B191,'Master data'!$A$2:$A$1000,0),MATCH(P$1,'Master data'!$B$1:$CL$1,0)),"")</f>
        <v>4000000</v>
      </c>
      <c r="Q191" s="5">
        <f>IFERROR(INDEX('Master data'!$B$2:$CL$1000,MATCH($B191,'Master data'!$A$2:$A$1000,0),MATCH(Q$1,'Master data'!$B$1:$CL$1,0)),"")</f>
        <v>4000000</v>
      </c>
    </row>
    <row r="192" spans="1:17" hidden="1">
      <c r="A192">
        <f t="shared" si="2"/>
        <v>190</v>
      </c>
      <c r="B192" t="str">
        <f>IF('Master data'!A192="","",'Master data'!A192)</f>
        <v>Mathias Jensen</v>
      </c>
      <c r="C192" t="str">
        <f>IFERROR(INDEX('Master data'!$B$2:$CL$1000,MATCH($B192,'Master data'!$A$2:$A$1000,0),MATCH(C$1,'Master data'!$B$1:$CL$1,0)),"")</f>
        <v>Denmark</v>
      </c>
      <c r="D192" t="str">
        <f>IFERROR(INDEX('Master data'!$B$2:$CL$1000,MATCH($B192,'Master data'!$A$2:$A$1000,0),MATCH(D$1,'Master data'!$B$1:$CL$1,0)),"")</f>
        <v>Midfield</v>
      </c>
      <c r="E192" s="5">
        <f>IFERROR(INDEX('Master data'!$B$2:$CL$1000,MATCH($B192,'Master data'!$A$2:$A$1000,0),MATCH(E$1,'Master data'!$B$1:$CL$1,0)),"")</f>
        <v>3000000</v>
      </c>
      <c r="F192" s="7">
        <f>IFERROR(INDEX('Master data'!$B$2:$CL$1000,MATCH($B192,'Master data'!$A$2:$A$1000,0),MATCH(F$1,'Master data'!$B$1:$CL$1,0)),"")</f>
        <v>-5000</v>
      </c>
      <c r="G192" s="7">
        <f>IFERROR(INDEX('Master data'!$B$2:$CL$1000,MATCH($B192,'Master data'!$A$2:$A$1000,0),MATCH(G$1,'Master data'!$B$1:$CL$1,0)),"")</f>
        <v>-5000</v>
      </c>
      <c r="H192" s="7">
        <f>IFERROR(INDEX('Master data'!$B$2:$CL$1000,MATCH($B192,'Master data'!$A$2:$A$1000,0),MATCH(H$1,'Master data'!$B$1:$CL$1,0)),"")</f>
        <v>-5000</v>
      </c>
      <c r="I192" s="7">
        <f>IFERROR(INDEX('Master data'!$B$2:$CL$1000,MATCH($B192,'Master data'!$A$2:$A$1000,0),MATCH(I$1,'Master data'!$B$1:$CL$1,0)),"")</f>
        <v>-28301.502944081934</v>
      </c>
      <c r="J192" s="7">
        <f>IFERROR(INDEX('Master data'!$B$2:$CL$1000,MATCH($B192,'Master data'!$A$2:$A$1000,0),MATCH(J$1,'Master data'!$B$1:$CL$1,0)),"")</f>
        <v>-14026.023164742881</v>
      </c>
      <c r="K192" s="7">
        <f>IFERROR(INDEX('Master data'!$B$2:$CL$1000,MATCH($B192,'Master data'!$A$2:$A$1000,0),MATCH(K$1,'Master data'!$B$1:$CL$1,0)),"")</f>
        <v>-6904.7933921818603</v>
      </c>
      <c r="L192" s="7">
        <f>IFERROR(INDEX('Master data'!$B$2:$CL$1000,MATCH($B192,'Master data'!$A$2:$A$1000,0),MATCH(L$1,'Master data'!$B$1:$CL$1,0)),"")</f>
        <v>-3321.0597499804899</v>
      </c>
      <c r="M192" s="5">
        <f>IFERROR(INDEX('Master data'!$B$2:$CL$1000,MATCH($B192,'Master data'!$A$2:$A$1000,0),MATCH(M$1,'Master data'!$B$1:$CL$1,0)),"")</f>
        <v>-22912.592539496411</v>
      </c>
      <c r="N192" s="28">
        <f>IFERROR(INDEX('Master data'!$B$2:$CL$1000,MATCH($B192,'Master data'!$A$2:$A$1000,0),MATCH(N$1,'Master data'!$B$1:$CL$1,0)),"")</f>
        <v>-5.0000000000000001E-3</v>
      </c>
      <c r="O192" s="7">
        <f>IFERROR(INDEX('Master data'!$B$2:$CL$1000,MATCH($B192,'Master data'!$A$2:$A$1000,0),MATCH(O$1,'Master data'!$B$1:$CL$1,0)),"")</f>
        <v>0</v>
      </c>
      <c r="P192" s="5">
        <f>IFERROR(INDEX('Master data'!$B$2:$CL$1000,MATCH($B192,'Master data'!$A$2:$A$1000,0),MATCH(P$1,'Master data'!$B$1:$CL$1,0)),"")</f>
        <v>3000000</v>
      </c>
      <c r="Q192" s="5">
        <f>IFERROR(INDEX('Master data'!$B$2:$CL$1000,MATCH($B192,'Master data'!$A$2:$A$1000,0),MATCH(Q$1,'Master data'!$B$1:$CL$1,0)),"")</f>
        <v>3000000</v>
      </c>
    </row>
    <row r="193" spans="1:17" hidden="1">
      <c r="A193">
        <f t="shared" si="2"/>
        <v>191</v>
      </c>
      <c r="B193" t="str">
        <f>IF('Master data'!A193="","",'Master data'!A193)</f>
        <v xml:space="preserve">Andreas  Cornelius </v>
      </c>
      <c r="C193" t="str">
        <f>IFERROR(INDEX('Master data'!$B$2:$CL$1000,MATCH($B193,'Master data'!$A$2:$A$1000,0),MATCH(C$1,'Master data'!$B$1:$CL$1,0)),"")</f>
        <v>Denmark</v>
      </c>
      <c r="D193" t="str">
        <f>IFERROR(INDEX('Master data'!$B$2:$CL$1000,MATCH($B193,'Master data'!$A$2:$A$1000,0),MATCH(D$1,'Master data'!$B$1:$CL$1,0)),"")</f>
        <v>Striker</v>
      </c>
      <c r="E193" s="5">
        <f>IFERROR(INDEX('Master data'!$B$2:$CL$1000,MATCH($B193,'Master data'!$A$2:$A$1000,0),MATCH(E$1,'Master data'!$B$1:$CL$1,0)),"")</f>
        <v>2500000</v>
      </c>
      <c r="F193" s="7">
        <f>IFERROR(INDEX('Master data'!$B$2:$CL$1000,MATCH($B193,'Master data'!$A$2:$A$1000,0),MATCH(F$1,'Master data'!$B$1:$CL$1,0)),"")</f>
        <v>-5000</v>
      </c>
      <c r="G193" s="7">
        <f>IFERROR(INDEX('Master data'!$B$2:$CL$1000,MATCH($B193,'Master data'!$A$2:$A$1000,0),MATCH(G$1,'Master data'!$B$1:$CL$1,0)),"")</f>
        <v>-5000</v>
      </c>
      <c r="H193" s="7">
        <f>IFERROR(INDEX('Master data'!$B$2:$CL$1000,MATCH($B193,'Master data'!$A$2:$A$1000,0),MATCH(H$1,'Master data'!$B$1:$CL$1,0)),"")</f>
        <v>-5000</v>
      </c>
      <c r="I193" s="7">
        <f>IFERROR(INDEX('Master data'!$B$2:$CL$1000,MATCH($B193,'Master data'!$A$2:$A$1000,0),MATCH(I$1,'Master data'!$B$1:$CL$1,0)),"")</f>
        <v>-24241.02906401279</v>
      </c>
      <c r="J193" s="7">
        <f>IFERROR(INDEX('Master data'!$B$2:$CL$1000,MATCH($B193,'Master data'!$A$2:$A$1000,0),MATCH(J$1,'Master data'!$B$1:$CL$1,0)),"")</f>
        <v>-12010.789951417755</v>
      </c>
      <c r="K193" s="7">
        <f>IFERROR(INDEX('Master data'!$B$2:$CL$1000,MATCH($B193,'Master data'!$A$2:$A$1000,0),MATCH(K$1,'Master data'!$B$1:$CL$1,0)),"")</f>
        <v>-5911.297940069363</v>
      </c>
      <c r="L193" s="7">
        <f>IFERROR(INDEX('Master data'!$B$2:$CL$1000,MATCH($B193,'Master data'!$A$2:$A$1000,0),MATCH(L$1,'Master data'!$B$1:$CL$1,0)),"")</f>
        <v>-2842.5208811072207</v>
      </c>
      <c r="M193" s="5">
        <f>IFERROR(INDEX('Master data'!$B$2:$CL$1000,MATCH($B193,'Master data'!$A$2:$A$1000,0),MATCH(M$1,'Master data'!$B$1:$CL$1,0)),"")</f>
        <v>-21138.576089805811</v>
      </c>
      <c r="N193" s="28">
        <f>IFERROR(INDEX('Master data'!$B$2:$CL$1000,MATCH($B193,'Master data'!$A$2:$A$1000,0),MATCH(N$1,'Master data'!$B$1:$CL$1,0)),"")</f>
        <v>-6.0000000000000001E-3</v>
      </c>
      <c r="O193" s="7">
        <f>IFERROR(INDEX('Master data'!$B$2:$CL$1000,MATCH($B193,'Master data'!$A$2:$A$1000,0),MATCH(O$1,'Master data'!$B$1:$CL$1,0)),"")</f>
        <v>0</v>
      </c>
      <c r="P193" s="5">
        <f>IFERROR(INDEX('Master data'!$B$2:$CL$1000,MATCH($B193,'Master data'!$A$2:$A$1000,0),MATCH(P$1,'Master data'!$B$1:$CL$1,0)),"")</f>
        <v>2500000</v>
      </c>
      <c r="Q193" s="5">
        <f>IFERROR(INDEX('Master data'!$B$2:$CL$1000,MATCH($B193,'Master data'!$A$2:$A$1000,0),MATCH(Q$1,'Master data'!$B$1:$CL$1,0)),"")</f>
        <v>2500000</v>
      </c>
    </row>
    <row r="194" spans="1:17" hidden="1">
      <c r="A194">
        <f t="shared" si="2"/>
        <v>192</v>
      </c>
      <c r="B194" t="str">
        <f>IF('Master data'!A194="","",'Master data'!A194)</f>
        <v>Kasper Dolberg</v>
      </c>
      <c r="C194" t="str">
        <f>IFERROR(INDEX('Master data'!$B$2:$CL$1000,MATCH($B194,'Master data'!$A$2:$A$1000,0),MATCH(C$1,'Master data'!$B$1:$CL$1,0)),"")</f>
        <v>Denmark</v>
      </c>
      <c r="D194" t="str">
        <f>IFERROR(INDEX('Master data'!$B$2:$CL$1000,MATCH($B194,'Master data'!$A$2:$A$1000,0),MATCH(D$1,'Master data'!$B$1:$CL$1,0)),"")</f>
        <v>Striker</v>
      </c>
      <c r="E194" s="5">
        <f>IFERROR(INDEX('Master data'!$B$2:$CL$1000,MATCH($B194,'Master data'!$A$2:$A$1000,0),MATCH(E$1,'Master data'!$B$1:$CL$1,0)),"")</f>
        <v>4000000</v>
      </c>
      <c r="F194" s="7">
        <f>IFERROR(INDEX('Master data'!$B$2:$CL$1000,MATCH($B194,'Master data'!$A$2:$A$1000,0),MATCH(F$1,'Master data'!$B$1:$CL$1,0)),"")</f>
        <v>82524.739461480465</v>
      </c>
      <c r="G194" s="7">
        <f>IFERROR(INDEX('Master data'!$B$2:$CL$1000,MATCH($B194,'Master data'!$A$2:$A$1000,0),MATCH(G$1,'Master data'!$B$1:$CL$1,0)),"")</f>
        <v>40332.844134825864</v>
      </c>
      <c r="H194" s="7">
        <f>IFERROR(INDEX('Master data'!$B$2:$CL$1000,MATCH($B194,'Master data'!$A$2:$A$1000,0),MATCH(H$1,'Master data'!$B$1:$CL$1,0)),"")</f>
        <v>67779.399081966054</v>
      </c>
      <c r="I194" s="7">
        <f>IFERROR(INDEX('Master data'!$B$2:$CL$1000,MATCH($B194,'Master data'!$A$2:$A$1000,0),MATCH(I$1,'Master data'!$B$1:$CL$1,0)),"")</f>
        <v>17573.155231320805</v>
      </c>
      <c r="J194" s="7">
        <f>IFERROR(INDEX('Master data'!$B$2:$CL$1000,MATCH($B194,'Master data'!$A$2:$A$1000,0),MATCH(J$1,'Master data'!$B$1:$CL$1,0)),"")</f>
        <v>8465.5249610048359</v>
      </c>
      <c r="K194" s="7">
        <f>IFERROR(INDEX('Master data'!$B$2:$CL$1000,MATCH($B194,'Master data'!$A$2:$A$1000,0),MATCH(K$1,'Master data'!$B$1:$CL$1,0)),"")</f>
        <v>4047.1781518031521</v>
      </c>
      <c r="L194" s="7">
        <f>IFERROR(INDEX('Master data'!$B$2:$CL$1000,MATCH($B194,'Master data'!$A$2:$A$1000,0),MATCH(L$1,'Master data'!$B$1:$CL$1,0)),"")</f>
        <v>1888.5939618736525</v>
      </c>
      <c r="M194" s="5">
        <f>IFERROR(INDEX('Master data'!$B$2:$CL$1000,MATCH($B194,'Master data'!$A$2:$A$1000,0),MATCH(M$1,'Master data'!$B$1:$CL$1,0)),"")</f>
        <v>147115.30707816823</v>
      </c>
      <c r="N194" s="28">
        <f>IFERROR(INDEX('Master data'!$B$2:$CL$1000,MATCH($B194,'Master data'!$A$2:$A$1000,0),MATCH(N$1,'Master data'!$B$1:$CL$1,0)),"")</f>
        <v>4.7659245669568098E-2</v>
      </c>
      <c r="O194" s="7">
        <f>IFERROR(INDEX('Master data'!$B$2:$CL$1000,MATCH($B194,'Master data'!$A$2:$A$1000,0),MATCH(O$1,'Master data'!$B$1:$CL$1,0)),"")</f>
        <v>0</v>
      </c>
      <c r="P194" s="5">
        <f>IFERROR(INDEX('Master data'!$B$2:$CL$1000,MATCH($B194,'Master data'!$A$2:$A$1000,0),MATCH(P$1,'Master data'!$B$1:$CL$1,0)),"")</f>
        <v>4000000</v>
      </c>
      <c r="Q194" s="5">
        <f>IFERROR(INDEX('Master data'!$B$2:$CL$1000,MATCH($B194,'Master data'!$A$2:$A$1000,0),MATCH(Q$1,'Master data'!$B$1:$CL$1,0)),"")</f>
        <v>4000000</v>
      </c>
    </row>
    <row r="195" spans="1:17" hidden="1">
      <c r="A195">
        <f t="shared" ref="A195:A258" si="3">IF(B195="","",ROW()-2)</f>
        <v>193</v>
      </c>
      <c r="B195" t="str">
        <f>IF('Master data'!A195="","",'Master data'!A195)</f>
        <v>Dominik Livaković</v>
      </c>
      <c r="C195" t="str">
        <f>IFERROR(INDEX('Master data'!$B$2:$CL$1000,MATCH($B195,'Master data'!$A$2:$A$1000,0),MATCH(C$1,'Master data'!$B$1:$CL$1,0)),"")</f>
        <v>Croatia</v>
      </c>
      <c r="D195" t="str">
        <f>IFERROR(INDEX('Master data'!$B$2:$CL$1000,MATCH($B195,'Master data'!$A$2:$A$1000,0),MATCH(D$1,'Master data'!$B$1:$CL$1,0)),"")</f>
        <v>Goalkeeper</v>
      </c>
      <c r="E195" s="5">
        <f>IFERROR(INDEX('Master data'!$B$2:$CL$1000,MATCH($B195,'Master data'!$A$2:$A$1000,0),MATCH(E$1,'Master data'!$B$1:$CL$1,0)),"")</f>
        <v>4500000</v>
      </c>
      <c r="F195" s="7">
        <f>IFERROR(INDEX('Master data'!$B$2:$CL$1000,MATCH($B195,'Master data'!$A$2:$A$1000,0),MATCH(F$1,'Master data'!$B$1:$CL$1,0)),"")</f>
        <v>32434.511264081055</v>
      </c>
      <c r="G195" s="7">
        <f>IFERROR(INDEX('Master data'!$B$2:$CL$1000,MATCH($B195,'Master data'!$A$2:$A$1000,0),MATCH(G$1,'Master data'!$B$1:$CL$1,0)),"")</f>
        <v>61857.319198697813</v>
      </c>
      <c r="H195" s="7">
        <f>IFERROR(INDEX('Master data'!$B$2:$CL$1000,MATCH($B195,'Master data'!$A$2:$A$1000,0),MATCH(H$1,'Master data'!$B$1:$CL$1,0)),"")</f>
        <v>70028.961571010776</v>
      </c>
      <c r="I195" s="7">
        <f>IFERROR(INDEX('Master data'!$B$2:$CL$1000,MATCH($B195,'Master data'!$A$2:$A$1000,0),MATCH(I$1,'Master data'!$B$1:$CL$1,0)),"")</f>
        <v>6068.6091713221758</v>
      </c>
      <c r="J195" s="7">
        <f>IFERROR(INDEX('Master data'!$B$2:$CL$1000,MATCH($B195,'Master data'!$A$2:$A$1000,0),MATCH(J$1,'Master data'!$B$1:$CL$1,0)),"")</f>
        <v>2796.9842997491542</v>
      </c>
      <c r="K195" s="7">
        <f>IFERROR(INDEX('Master data'!$B$2:$CL$1000,MATCH($B195,'Master data'!$A$2:$A$1000,0),MATCH(K$1,'Master data'!$B$1:$CL$1,0)),"")</f>
        <v>1268.7415435438706</v>
      </c>
      <c r="L195" s="7">
        <f>IFERROR(INDEX('Master data'!$B$2:$CL$1000,MATCH($B195,'Master data'!$A$2:$A$1000,0),MATCH(L$1,'Master data'!$B$1:$CL$1,0)),"")</f>
        <v>550.81679344912084</v>
      </c>
      <c r="M195" s="5">
        <f>IFERROR(INDEX('Master data'!$B$2:$CL$1000,MATCH($B195,'Master data'!$A$2:$A$1000,0),MATCH(M$1,'Master data'!$B$1:$CL$1,0)),"")</f>
        <v>107362.7382362416</v>
      </c>
      <c r="N195" s="28">
        <f>IFERROR(INDEX('Master data'!$B$2:$CL$1000,MATCH($B195,'Master data'!$A$2:$A$1000,0),MATCH(N$1,'Master data'!$B$1:$CL$1,0)),"")</f>
        <v>3.6515731563064362E-2</v>
      </c>
      <c r="O195" s="7">
        <f>IFERROR(INDEX('Master data'!$B$2:$CL$1000,MATCH($B195,'Master data'!$A$2:$A$1000,0),MATCH(O$1,'Master data'!$B$1:$CL$1,0)),"")</f>
        <v>0</v>
      </c>
      <c r="P195" s="5">
        <f>IFERROR(INDEX('Master data'!$B$2:$CL$1000,MATCH($B195,'Master data'!$A$2:$A$1000,0),MATCH(P$1,'Master data'!$B$1:$CL$1,0)),"")</f>
        <v>4500000</v>
      </c>
      <c r="Q195" s="5">
        <f>IFERROR(INDEX('Master data'!$B$2:$CL$1000,MATCH($B195,'Master data'!$A$2:$A$1000,0),MATCH(Q$1,'Master data'!$B$1:$CL$1,0)),"")</f>
        <v>4500000</v>
      </c>
    </row>
    <row r="196" spans="1:17" hidden="1">
      <c r="A196">
        <f t="shared" si="3"/>
        <v>194</v>
      </c>
      <c r="B196" t="str">
        <f>IF('Master data'!A196="","",'Master data'!A196)</f>
        <v>Domagoj Bradarić</v>
      </c>
      <c r="C196" t="str">
        <f>IFERROR(INDEX('Master data'!$B$2:$CL$1000,MATCH($B196,'Master data'!$A$2:$A$1000,0),MATCH(C$1,'Master data'!$B$1:$CL$1,0)),"")</f>
        <v>Croatia</v>
      </c>
      <c r="D196" t="str">
        <f>IFERROR(INDEX('Master data'!$B$2:$CL$1000,MATCH($B196,'Master data'!$A$2:$A$1000,0),MATCH(D$1,'Master data'!$B$1:$CL$1,0)),"")</f>
        <v>Defense</v>
      </c>
      <c r="E196" s="5">
        <f>IFERROR(INDEX('Master data'!$B$2:$CL$1000,MATCH($B196,'Master data'!$A$2:$A$1000,0),MATCH(E$1,'Master data'!$B$1:$CL$1,0)),"")</f>
        <v>2000000</v>
      </c>
      <c r="F196" s="7">
        <f>IFERROR(INDEX('Master data'!$B$2:$CL$1000,MATCH($B196,'Master data'!$A$2:$A$1000,0),MATCH(F$1,'Master data'!$B$1:$CL$1,0)),"")</f>
        <v>5910.2060282171351</v>
      </c>
      <c r="G196" s="7">
        <f>IFERROR(INDEX('Master data'!$B$2:$CL$1000,MATCH($B196,'Master data'!$A$2:$A$1000,0),MATCH(G$1,'Master data'!$B$1:$CL$1,0)),"")</f>
        <v>13780.487804878048</v>
      </c>
      <c r="H196" s="7">
        <f>IFERROR(INDEX('Master data'!$B$2:$CL$1000,MATCH($B196,'Master data'!$A$2:$A$1000,0),MATCH(H$1,'Master data'!$B$1:$CL$1,0)),"")</f>
        <v>16871.9742227438</v>
      </c>
      <c r="I196" s="7">
        <f>IFERROR(INDEX('Master data'!$B$2:$CL$1000,MATCH($B196,'Master data'!$A$2:$A$1000,0),MATCH(I$1,'Master data'!$B$1:$CL$1,0)),"")</f>
        <v>-6104.1989544465177</v>
      </c>
      <c r="J196" s="7">
        <f>IFERROR(INDEX('Master data'!$B$2:$CL$1000,MATCH($B196,'Master data'!$A$2:$A$1000,0),MATCH(J$1,'Master data'!$B$1:$CL$1,0)),"")</f>
        <v>-3061.5693335656952</v>
      </c>
      <c r="K196" s="7">
        <f>IFERROR(INDEX('Master data'!$B$2:$CL$1000,MATCH($B196,'Master data'!$A$2:$A$1000,0),MATCH(K$1,'Master data'!$B$1:$CL$1,0)),"")</f>
        <v>-1518.8685868634675</v>
      </c>
      <c r="L196" s="7">
        <f>IFERROR(INDEX('Master data'!$B$2:$CL$1000,MATCH($B196,'Master data'!$A$2:$A$1000,0),MATCH(L$1,'Master data'!$B$1:$CL$1,0)),"")</f>
        <v>-725.43245037208726</v>
      </c>
      <c r="M196" s="5">
        <f>IFERROR(INDEX('Master data'!$B$2:$CL$1000,MATCH($B196,'Master data'!$A$2:$A$1000,0),MATCH(M$1,'Master data'!$B$1:$CL$1,0)),"")</f>
        <v>19918.744714065022</v>
      </c>
      <c r="N196" s="28">
        <f>IFERROR(INDEX('Master data'!$B$2:$CL$1000,MATCH($B196,'Master data'!$A$2:$A$1000,0),MATCH(N$1,'Master data'!$B$1:$CL$1,0)),"")</f>
        <v>1.8281334027919489E-2</v>
      </c>
      <c r="O196" s="7">
        <f>IFERROR(INDEX('Master data'!$B$2:$CL$1000,MATCH($B196,'Master data'!$A$2:$A$1000,0),MATCH(O$1,'Master data'!$B$1:$CL$1,0)),"")</f>
        <v>0</v>
      </c>
      <c r="P196" s="5">
        <f>IFERROR(INDEX('Master data'!$B$2:$CL$1000,MATCH($B196,'Master data'!$A$2:$A$1000,0),MATCH(P$1,'Master data'!$B$1:$CL$1,0)),"")</f>
        <v>2000000</v>
      </c>
      <c r="Q196" s="5">
        <f>IFERROR(INDEX('Master data'!$B$2:$CL$1000,MATCH($B196,'Master data'!$A$2:$A$1000,0),MATCH(Q$1,'Master data'!$B$1:$CL$1,0)),"")</f>
        <v>2000000</v>
      </c>
    </row>
    <row r="197" spans="1:17" hidden="1">
      <c r="A197">
        <f t="shared" si="3"/>
        <v>195</v>
      </c>
      <c r="B197" t="str">
        <f>IF('Master data'!A197="","",'Master data'!A197)</f>
        <v>Andrej Kramaric</v>
      </c>
      <c r="C197" t="str">
        <f>IFERROR(INDEX('Master data'!$B$2:$CL$1000,MATCH($B197,'Master data'!$A$2:$A$1000,0),MATCH(C$1,'Master data'!$B$1:$CL$1,0)),"")</f>
        <v>Croatia</v>
      </c>
      <c r="D197" t="str">
        <f>IFERROR(INDEX('Master data'!$B$2:$CL$1000,MATCH($B197,'Master data'!$A$2:$A$1000,0),MATCH(D$1,'Master data'!$B$1:$CL$1,0)),"")</f>
        <v>Striker</v>
      </c>
      <c r="E197" s="5">
        <f>IFERROR(INDEX('Master data'!$B$2:$CL$1000,MATCH($B197,'Master data'!$A$2:$A$1000,0),MATCH(E$1,'Master data'!$B$1:$CL$1,0)),"")</f>
        <v>5000000</v>
      </c>
      <c r="F197" s="7">
        <f>IFERROR(INDEX('Master data'!$B$2:$CL$1000,MATCH($B197,'Master data'!$A$2:$A$1000,0),MATCH(F$1,'Master data'!$B$1:$CL$1,0)),"")</f>
        <v>31684.294981926258</v>
      </c>
      <c r="G197" s="7">
        <f>IFERROR(INDEX('Master data'!$B$2:$CL$1000,MATCH($B197,'Master data'!$A$2:$A$1000,0),MATCH(G$1,'Master data'!$B$1:$CL$1,0)),"")</f>
        <v>81766.6798109027</v>
      </c>
      <c r="H197" s="7">
        <f>IFERROR(INDEX('Master data'!$B$2:$CL$1000,MATCH($B197,'Master data'!$A$2:$A$1000,0),MATCH(H$1,'Master data'!$B$1:$CL$1,0)),"")</f>
        <v>91966.914678574918</v>
      </c>
      <c r="I197" s="7">
        <f>IFERROR(INDEX('Master data'!$B$2:$CL$1000,MATCH($B197,'Master data'!$A$2:$A$1000,0),MATCH(I$1,'Master data'!$B$1:$CL$1,0)),"")</f>
        <v>12254.906461168337</v>
      </c>
      <c r="J197" s="7">
        <f>IFERROR(INDEX('Master data'!$B$2:$CL$1000,MATCH($B197,'Master data'!$A$2:$A$1000,0),MATCH(J$1,'Master data'!$B$1:$CL$1,0)),"")</f>
        <v>5803.6386674568894</v>
      </c>
      <c r="K197" s="7">
        <f>IFERROR(INDEX('Master data'!$B$2:$CL$1000,MATCH($B197,'Master data'!$A$2:$A$1000,0),MATCH(K$1,'Master data'!$B$1:$CL$1,0)),"")</f>
        <v>2714.0743917373193</v>
      </c>
      <c r="L197" s="7">
        <f>IFERROR(INDEX('Master data'!$B$2:$CL$1000,MATCH($B197,'Master data'!$A$2:$A$1000,0),MATCH(L$1,'Master data'!$B$1:$CL$1,0)),"")</f>
        <v>1219.6486652057447</v>
      </c>
      <c r="M197" s="5">
        <f>IFERROR(INDEX('Master data'!$B$2:$CL$1000,MATCH($B197,'Master data'!$A$2:$A$1000,0),MATCH(M$1,'Master data'!$B$1:$CL$1,0)),"")</f>
        <v>132311.56406815822</v>
      </c>
      <c r="N197" s="28">
        <f>IFERROR(INDEX('Master data'!$B$2:$CL$1000,MATCH($B197,'Master data'!$A$2:$A$1000,0),MATCH(N$1,'Master data'!$B$1:$CL$1,0)),"")</f>
        <v>4.1083577894280784E-2</v>
      </c>
      <c r="O197" s="7">
        <f>IFERROR(INDEX('Master data'!$B$2:$CL$1000,MATCH($B197,'Master data'!$A$2:$A$1000,0),MATCH(O$1,'Master data'!$B$1:$CL$1,0)),"")</f>
        <v>0</v>
      </c>
      <c r="P197" s="5">
        <f>IFERROR(INDEX('Master data'!$B$2:$CL$1000,MATCH($B197,'Master data'!$A$2:$A$1000,0),MATCH(P$1,'Master data'!$B$1:$CL$1,0)),"")</f>
        <v>5000000</v>
      </c>
      <c r="Q197" s="5">
        <f>IFERROR(INDEX('Master data'!$B$2:$CL$1000,MATCH($B197,'Master data'!$A$2:$A$1000,0),MATCH(Q$1,'Master data'!$B$1:$CL$1,0)),"")</f>
        <v>5000000</v>
      </c>
    </row>
    <row r="198" spans="1:17" hidden="1">
      <c r="A198">
        <f t="shared" si="3"/>
        <v>196</v>
      </c>
      <c r="B198" t="str">
        <f>IF('Master data'!A198="","",'Master data'!A198)</f>
        <v>Mislav Oršić</v>
      </c>
      <c r="C198" t="str">
        <f>IFERROR(INDEX('Master data'!$B$2:$CL$1000,MATCH($B198,'Master data'!$A$2:$A$1000,0),MATCH(C$1,'Master data'!$B$1:$CL$1,0)),"")</f>
        <v>Croatia</v>
      </c>
      <c r="D198" t="str">
        <f>IFERROR(INDEX('Master data'!$B$2:$CL$1000,MATCH($B198,'Master data'!$A$2:$A$1000,0),MATCH(D$1,'Master data'!$B$1:$CL$1,0)),"")</f>
        <v>Striker</v>
      </c>
      <c r="E198" s="5">
        <f>IFERROR(INDEX('Master data'!$B$2:$CL$1000,MATCH($B198,'Master data'!$A$2:$A$1000,0),MATCH(E$1,'Master data'!$B$1:$CL$1,0)),"")</f>
        <v>3000000</v>
      </c>
      <c r="F198" s="7">
        <f>IFERROR(INDEX('Master data'!$B$2:$CL$1000,MATCH($B198,'Master data'!$A$2:$A$1000,0),MATCH(F$1,'Master data'!$B$1:$CL$1,0)),"")</f>
        <v>-5000</v>
      </c>
      <c r="G198" s="7">
        <f>IFERROR(INDEX('Master data'!$B$2:$CL$1000,MATCH($B198,'Master data'!$A$2:$A$1000,0),MATCH(G$1,'Master data'!$B$1:$CL$1,0)),"")</f>
        <v>-5000</v>
      </c>
      <c r="H198" s="7">
        <f>IFERROR(INDEX('Master data'!$B$2:$CL$1000,MATCH($B198,'Master data'!$A$2:$A$1000,0),MATCH(H$1,'Master data'!$B$1:$CL$1,0)),"")</f>
        <v>-5000</v>
      </c>
      <c r="I198" s="7">
        <f>IFERROR(INDEX('Master data'!$B$2:$CL$1000,MATCH($B198,'Master data'!$A$2:$A$1000,0),MATCH(I$1,'Master data'!$B$1:$CL$1,0)),"")</f>
        <v>-26012.410794192951</v>
      </c>
      <c r="J198" s="7">
        <f>IFERROR(INDEX('Master data'!$B$2:$CL$1000,MATCH($B198,'Master data'!$A$2:$A$1000,0),MATCH(J$1,'Master data'!$B$1:$CL$1,0)),"")</f>
        <v>-12836.542545781067</v>
      </c>
      <c r="K198" s="7">
        <f>IFERROR(INDEX('Master data'!$B$2:$CL$1000,MATCH($B198,'Master data'!$A$2:$A$1000,0),MATCH(K$1,'Master data'!$B$1:$CL$1,0)),"")</f>
        <v>-6267.1337339770234</v>
      </c>
      <c r="L198" s="7">
        <f>IFERROR(INDEX('Master data'!$B$2:$CL$1000,MATCH($B198,'Master data'!$A$2:$A$1000,0),MATCH(L$1,'Master data'!$B$1:$CL$1,0)),"")</f>
        <v>-2946.3246436272348</v>
      </c>
      <c r="M198" s="5">
        <f>IFERROR(INDEX('Master data'!$B$2:$CL$1000,MATCH($B198,'Master data'!$A$2:$A$1000,0),MATCH(M$1,'Master data'!$B$1:$CL$1,0)),"")</f>
        <v>-21882.513681470627</v>
      </c>
      <c r="N198" s="28">
        <f>IFERROR(INDEX('Master data'!$B$2:$CL$1000,MATCH($B198,'Master data'!$A$2:$A$1000,0),MATCH(N$1,'Master data'!$B$1:$CL$1,0)),"")</f>
        <v>-5.0000000000000001E-3</v>
      </c>
      <c r="O198" s="7">
        <f>IFERROR(INDEX('Master data'!$B$2:$CL$1000,MATCH($B198,'Master data'!$A$2:$A$1000,0),MATCH(O$1,'Master data'!$B$1:$CL$1,0)),"")</f>
        <v>0</v>
      </c>
      <c r="P198" s="5">
        <f>IFERROR(INDEX('Master data'!$B$2:$CL$1000,MATCH($B198,'Master data'!$A$2:$A$1000,0),MATCH(P$1,'Master data'!$B$1:$CL$1,0)),"")</f>
        <v>3000000</v>
      </c>
      <c r="Q198" s="5">
        <f>IFERROR(INDEX('Master data'!$B$2:$CL$1000,MATCH($B198,'Master data'!$A$2:$A$1000,0),MATCH(Q$1,'Master data'!$B$1:$CL$1,0)),"")</f>
        <v>3000000</v>
      </c>
    </row>
    <row r="199" spans="1:17" hidden="1">
      <c r="A199">
        <f t="shared" si="3"/>
        <v>197</v>
      </c>
      <c r="B199" t="str">
        <f>IF('Master data'!A199="","",'Master data'!A199)</f>
        <v>Salvatore Sirigu</v>
      </c>
      <c r="C199" t="str">
        <f>IFERROR(INDEX('Master data'!$B$2:$CL$1000,MATCH($B199,'Master data'!$A$2:$A$1000,0),MATCH(C$1,'Master data'!$B$1:$CL$1,0)),"")</f>
        <v>Italy</v>
      </c>
      <c r="D199" t="str">
        <f>IFERROR(INDEX('Master data'!$B$2:$CL$1000,MATCH($B199,'Master data'!$A$2:$A$1000,0),MATCH(D$1,'Master data'!$B$1:$CL$1,0)),"")</f>
        <v>Goalkeeper</v>
      </c>
      <c r="E199" s="5">
        <f>IFERROR(INDEX('Master data'!$B$2:$CL$1000,MATCH($B199,'Master data'!$A$2:$A$1000,0),MATCH(E$1,'Master data'!$B$1:$CL$1,0)),"")</f>
        <v>4500000</v>
      </c>
      <c r="F199" s="7">
        <f>IFERROR(INDEX('Master data'!$B$2:$CL$1000,MATCH($B199,'Master data'!$A$2:$A$1000,0),MATCH(F$1,'Master data'!$B$1:$CL$1,0)),"")</f>
        <v>41455.75312598524</v>
      </c>
      <c r="G199" s="7">
        <f>IFERROR(INDEX('Master data'!$B$2:$CL$1000,MATCH($B199,'Master data'!$A$2:$A$1000,0),MATCH(G$1,'Master data'!$B$1:$CL$1,0)),"")</f>
        <v>37915.788938425416</v>
      </c>
      <c r="H199" s="7">
        <f>IFERROR(INDEX('Master data'!$B$2:$CL$1000,MATCH($B199,'Master data'!$A$2:$A$1000,0),MATCH(H$1,'Master data'!$B$1:$CL$1,0)),"")</f>
        <v>41494.703076636477</v>
      </c>
      <c r="I199" s="7">
        <f>IFERROR(INDEX('Master data'!$B$2:$CL$1000,MATCH($B199,'Master data'!$A$2:$A$1000,0),MATCH(I$1,'Master data'!$B$1:$CL$1,0)),"")</f>
        <v>-5669.258598537428</v>
      </c>
      <c r="J199" s="7">
        <f>IFERROR(INDEX('Master data'!$B$2:$CL$1000,MATCH($B199,'Master data'!$A$2:$A$1000,0),MATCH(J$1,'Master data'!$B$1:$CL$1,0)),"")</f>
        <v>-3052.0970643193778</v>
      </c>
      <c r="K199" s="7">
        <f>IFERROR(INDEX('Master data'!$B$2:$CL$1000,MATCH($B199,'Master data'!$A$2:$A$1000,0),MATCH(K$1,'Master data'!$B$1:$CL$1,0)),"")</f>
        <v>-1647.8695529167528</v>
      </c>
      <c r="L199" s="7">
        <f>IFERROR(INDEX('Master data'!$B$2:$CL$1000,MATCH($B199,'Master data'!$A$2:$A$1000,0),MATCH(L$1,'Master data'!$B$1:$CL$1,0)),"")</f>
        <v>-906.88678280613942</v>
      </c>
      <c r="M199" s="5">
        <f>IFERROR(INDEX('Master data'!$B$2:$CL$1000,MATCH($B199,'Master data'!$A$2:$A$1000,0),MATCH(M$1,'Master data'!$B$1:$CL$1,0)),"")</f>
        <v>82595.751967109099</v>
      </c>
      <c r="N199" s="28">
        <f>IFERROR(INDEX('Master data'!$B$2:$CL$1000,MATCH($B199,'Master data'!$A$2:$A$1000,0),MATCH(N$1,'Master data'!$B$1:$CL$1,0)),"")</f>
        <v>2.6859165586899363E-2</v>
      </c>
      <c r="O199" s="7">
        <f>IFERROR(INDEX('Master data'!$B$2:$CL$1000,MATCH($B199,'Master data'!$A$2:$A$1000,0),MATCH(O$1,'Master data'!$B$1:$CL$1,0)),"")</f>
        <v>0</v>
      </c>
      <c r="P199" s="5">
        <f>IFERROR(INDEX('Master data'!$B$2:$CL$1000,MATCH($B199,'Master data'!$A$2:$A$1000,0),MATCH(P$1,'Master data'!$B$1:$CL$1,0)),"")</f>
        <v>4500000</v>
      </c>
      <c r="Q199" s="5">
        <f>IFERROR(INDEX('Master data'!$B$2:$CL$1000,MATCH($B199,'Master data'!$A$2:$A$1000,0),MATCH(Q$1,'Master data'!$B$1:$CL$1,0)),"")</f>
        <v>4500000</v>
      </c>
    </row>
    <row r="200" spans="1:17" hidden="1">
      <c r="A200">
        <f t="shared" si="3"/>
        <v>198</v>
      </c>
      <c r="B200" t="str">
        <f>IF('Master data'!A200="","",'Master data'!A200)</f>
        <v>Alex Meret</v>
      </c>
      <c r="C200" t="str">
        <f>IFERROR(INDEX('Master data'!$B$2:$CL$1000,MATCH($B200,'Master data'!$A$2:$A$1000,0),MATCH(C$1,'Master data'!$B$1:$CL$1,0)),"")</f>
        <v>Italy</v>
      </c>
      <c r="D200" t="str">
        <f>IFERROR(INDEX('Master data'!$B$2:$CL$1000,MATCH($B200,'Master data'!$A$2:$A$1000,0),MATCH(D$1,'Master data'!$B$1:$CL$1,0)),"")</f>
        <v>Goalkeeper</v>
      </c>
      <c r="E200" s="5">
        <f>IFERROR(INDEX('Master data'!$B$2:$CL$1000,MATCH($B200,'Master data'!$A$2:$A$1000,0),MATCH(E$1,'Master data'!$B$1:$CL$1,0)),"")</f>
        <v>4500000</v>
      </c>
      <c r="F200" s="7">
        <f>IFERROR(INDEX('Master data'!$B$2:$CL$1000,MATCH($B200,'Master data'!$A$2:$A$1000,0),MATCH(F$1,'Master data'!$B$1:$CL$1,0)),"")</f>
        <v>41455.75312598524</v>
      </c>
      <c r="G200" s="7">
        <f>IFERROR(INDEX('Master data'!$B$2:$CL$1000,MATCH($B200,'Master data'!$A$2:$A$1000,0),MATCH(G$1,'Master data'!$B$1:$CL$1,0)),"")</f>
        <v>37915.788938425416</v>
      </c>
      <c r="H200" s="7">
        <f>IFERROR(INDEX('Master data'!$B$2:$CL$1000,MATCH($B200,'Master data'!$A$2:$A$1000,0),MATCH(H$1,'Master data'!$B$1:$CL$1,0)),"")</f>
        <v>41494.703076636477</v>
      </c>
      <c r="I200" s="7">
        <f>IFERROR(INDEX('Master data'!$B$2:$CL$1000,MATCH($B200,'Master data'!$A$2:$A$1000,0),MATCH(I$1,'Master data'!$B$1:$CL$1,0)),"")</f>
        <v>-5669.258598537428</v>
      </c>
      <c r="J200" s="7">
        <f>IFERROR(INDEX('Master data'!$B$2:$CL$1000,MATCH($B200,'Master data'!$A$2:$A$1000,0),MATCH(J$1,'Master data'!$B$1:$CL$1,0)),"")</f>
        <v>-3052.0970643193778</v>
      </c>
      <c r="K200" s="7">
        <f>IFERROR(INDEX('Master data'!$B$2:$CL$1000,MATCH($B200,'Master data'!$A$2:$A$1000,0),MATCH(K$1,'Master data'!$B$1:$CL$1,0)),"")</f>
        <v>-1647.8695529167528</v>
      </c>
      <c r="L200" s="7">
        <f>IFERROR(INDEX('Master data'!$B$2:$CL$1000,MATCH($B200,'Master data'!$A$2:$A$1000,0),MATCH(L$1,'Master data'!$B$1:$CL$1,0)),"")</f>
        <v>-906.88678280613942</v>
      </c>
      <c r="M200" s="5">
        <f>IFERROR(INDEX('Master data'!$B$2:$CL$1000,MATCH($B200,'Master data'!$A$2:$A$1000,0),MATCH(M$1,'Master data'!$B$1:$CL$1,0)),"")</f>
        <v>82595.751967109099</v>
      </c>
      <c r="N200" s="28">
        <f>IFERROR(INDEX('Master data'!$B$2:$CL$1000,MATCH($B200,'Master data'!$A$2:$A$1000,0),MATCH(N$1,'Master data'!$B$1:$CL$1,0)),"")</f>
        <v>2.6859165586899363E-2</v>
      </c>
      <c r="O200" s="7">
        <f>IFERROR(INDEX('Master data'!$B$2:$CL$1000,MATCH($B200,'Master data'!$A$2:$A$1000,0),MATCH(O$1,'Master data'!$B$1:$CL$1,0)),"")</f>
        <v>0</v>
      </c>
      <c r="P200" s="5">
        <f>IFERROR(INDEX('Master data'!$B$2:$CL$1000,MATCH($B200,'Master data'!$A$2:$A$1000,0),MATCH(P$1,'Master data'!$B$1:$CL$1,0)),"")</f>
        <v>4500000</v>
      </c>
      <c r="Q200" s="5">
        <f>IFERROR(INDEX('Master data'!$B$2:$CL$1000,MATCH($B200,'Master data'!$A$2:$A$1000,0),MATCH(Q$1,'Master data'!$B$1:$CL$1,0)),"")</f>
        <v>4500000</v>
      </c>
    </row>
    <row r="201" spans="1:17" hidden="1">
      <c r="A201">
        <f t="shared" si="3"/>
        <v>199</v>
      </c>
      <c r="B201" t="str">
        <f>IF('Master data'!A201="","",'Master data'!A201)</f>
        <v>Leonardo Bonucci</v>
      </c>
      <c r="C201" t="str">
        <f>IFERROR(INDEX('Master data'!$B$2:$CL$1000,MATCH($B201,'Master data'!$A$2:$A$1000,0),MATCH(C$1,'Master data'!$B$1:$CL$1,0)),"")</f>
        <v>Italy</v>
      </c>
      <c r="D201" t="str">
        <f>IFERROR(INDEX('Master data'!$B$2:$CL$1000,MATCH($B201,'Master data'!$A$2:$A$1000,0),MATCH(D$1,'Master data'!$B$1:$CL$1,0)),"")</f>
        <v>Defense</v>
      </c>
      <c r="E201" s="5">
        <f>IFERROR(INDEX('Master data'!$B$2:$CL$1000,MATCH($B201,'Master data'!$A$2:$A$1000,0),MATCH(E$1,'Master data'!$B$1:$CL$1,0)),"")</f>
        <v>4000000</v>
      </c>
      <c r="F201" s="7">
        <f>IFERROR(INDEX('Master data'!$B$2:$CL$1000,MATCH($B201,'Master data'!$A$2:$A$1000,0),MATCH(F$1,'Master data'!$B$1:$CL$1,0)),"")</f>
        <v>74743.143264932616</v>
      </c>
      <c r="G201" s="7">
        <f>IFERROR(INDEX('Master data'!$B$2:$CL$1000,MATCH($B201,'Master data'!$A$2:$A$1000,0),MATCH(G$1,'Master data'!$B$1:$CL$1,0)),"")</f>
        <v>65332.686480826604</v>
      </c>
      <c r="H201" s="7">
        <f>IFERROR(INDEX('Master data'!$B$2:$CL$1000,MATCH($B201,'Master data'!$A$2:$A$1000,0),MATCH(H$1,'Master data'!$B$1:$CL$1,0)),"")</f>
        <v>80147.428989630629</v>
      </c>
      <c r="I201" s="7">
        <f>IFERROR(INDEX('Master data'!$B$2:$CL$1000,MATCH($B201,'Master data'!$A$2:$A$1000,0),MATCH(I$1,'Master data'!$B$1:$CL$1,0)),"")</f>
        <v>29884.245328152469</v>
      </c>
      <c r="J201" s="7">
        <f>IFERROR(INDEX('Master data'!$B$2:$CL$1000,MATCH($B201,'Master data'!$A$2:$A$1000,0),MATCH(J$1,'Master data'!$B$1:$CL$1,0)),"")</f>
        <v>14708.954613580869</v>
      </c>
      <c r="K201" s="7">
        <f>IFERROR(INDEX('Master data'!$B$2:$CL$1000,MATCH($B201,'Master data'!$A$2:$A$1000,0),MATCH(K$1,'Master data'!$B$1:$CL$1,0)),"")</f>
        <v>7285.989364719182</v>
      </c>
      <c r="L201" s="7">
        <f>IFERROR(INDEX('Master data'!$B$2:$CL$1000,MATCH($B201,'Master data'!$A$2:$A$1000,0),MATCH(L$1,'Master data'!$B$1:$CL$1,0)),"")</f>
        <v>3689.7546408842582</v>
      </c>
      <c r="M201" s="5">
        <f>IFERROR(INDEX('Master data'!$B$2:$CL$1000,MATCH($B201,'Master data'!$A$2:$A$1000,0),MATCH(M$1,'Master data'!$B$1:$CL$1,0)),"")</f>
        <v>166962.81178837328</v>
      </c>
      <c r="N201" s="28">
        <f>IFERROR(INDEX('Master data'!$B$2:$CL$1000,MATCH($B201,'Master data'!$A$2:$A$1000,0),MATCH(N$1,'Master data'!$B$1:$CL$1,0)),"")</f>
        <v>5.5055814683847466E-2</v>
      </c>
      <c r="O201" s="7">
        <f>IFERROR(INDEX('Master data'!$B$2:$CL$1000,MATCH($B201,'Master data'!$A$2:$A$1000,0),MATCH(O$1,'Master data'!$B$1:$CL$1,0)),"")</f>
        <v>0</v>
      </c>
      <c r="P201" s="5">
        <f>IFERROR(INDEX('Master data'!$B$2:$CL$1000,MATCH($B201,'Master data'!$A$2:$A$1000,0),MATCH(P$1,'Master data'!$B$1:$CL$1,0)),"")</f>
        <v>4000000</v>
      </c>
      <c r="Q201" s="5">
        <f>IFERROR(INDEX('Master data'!$B$2:$CL$1000,MATCH($B201,'Master data'!$A$2:$A$1000,0),MATCH(Q$1,'Master data'!$B$1:$CL$1,0)),"")</f>
        <v>4000000</v>
      </c>
    </row>
    <row r="202" spans="1:17" hidden="1">
      <c r="A202">
        <f t="shared" si="3"/>
        <v>200</v>
      </c>
      <c r="B202" t="str">
        <f>IF('Master data'!A202="","",'Master data'!A202)</f>
        <v>Giorgio Chiellini</v>
      </c>
      <c r="C202" t="str">
        <f>IFERROR(INDEX('Master data'!$B$2:$CL$1000,MATCH($B202,'Master data'!$A$2:$A$1000,0),MATCH(C$1,'Master data'!$B$1:$CL$1,0)),"")</f>
        <v>Italy</v>
      </c>
      <c r="D202" t="str">
        <f>IFERROR(INDEX('Master data'!$B$2:$CL$1000,MATCH($B202,'Master data'!$A$2:$A$1000,0),MATCH(D$1,'Master data'!$B$1:$CL$1,0)),"")</f>
        <v>Defense</v>
      </c>
      <c r="E202" s="5">
        <f>IFERROR(INDEX('Master data'!$B$2:$CL$1000,MATCH($B202,'Master data'!$A$2:$A$1000,0),MATCH(E$1,'Master data'!$B$1:$CL$1,0)),"")</f>
        <v>4500000</v>
      </c>
      <c r="F202" s="7">
        <f>IFERROR(INDEX('Master data'!$B$2:$CL$1000,MATCH($B202,'Master data'!$A$2:$A$1000,0),MATCH(F$1,'Master data'!$B$1:$CL$1,0)),"")</f>
        <v>20992.218095072385</v>
      </c>
      <c r="G202" s="7">
        <f>IFERROR(INDEX('Master data'!$B$2:$CL$1000,MATCH($B202,'Master data'!$A$2:$A$1000,0),MATCH(G$1,'Master data'!$B$1:$CL$1,0)),"")</f>
        <v>17551.857211770384</v>
      </c>
      <c r="H202" s="7">
        <f>IFERROR(INDEX('Master data'!$B$2:$CL$1000,MATCH($B202,'Master data'!$A$2:$A$1000,0),MATCH(H$1,'Master data'!$B$1:$CL$1,0)),"")</f>
        <v>21028.92271769431</v>
      </c>
      <c r="I202" s="7">
        <f>IFERROR(INDEX('Master data'!$B$2:$CL$1000,MATCH($B202,'Master data'!$A$2:$A$1000,0),MATCH(I$1,'Master data'!$B$1:$CL$1,0)),"")</f>
        <v>-24648.286906161335</v>
      </c>
      <c r="J202" s="7">
        <f>IFERROR(INDEX('Master data'!$B$2:$CL$1000,MATCH($B202,'Master data'!$A$2:$A$1000,0),MATCH(J$1,'Master data'!$B$1:$CL$1,0)),"")</f>
        <v>-12519.947691664871</v>
      </c>
      <c r="K202" s="7">
        <f>IFERROR(INDEX('Master data'!$B$2:$CL$1000,MATCH($B202,'Master data'!$A$2:$A$1000,0),MATCH(K$1,'Master data'!$B$1:$CL$1,0)),"")</f>
        <v>-6403.422547060828</v>
      </c>
      <c r="L202" s="7">
        <f>IFERROR(INDEX('Master data'!$B$2:$CL$1000,MATCH($B202,'Master data'!$A$2:$A$1000,0),MATCH(L$1,'Master data'!$B$1:$CL$1,0)),"")</f>
        <v>-3350.145656879411</v>
      </c>
      <c r="M202" s="5">
        <f>IFERROR(INDEX('Master data'!$B$2:$CL$1000,MATCH($B202,'Master data'!$A$2:$A$1000,0),MATCH(M$1,'Master data'!$B$1:$CL$1,0)),"")</f>
        <v>31126.008547150104</v>
      </c>
      <c r="N202" s="28">
        <f>IFERROR(INDEX('Master data'!$B$2:$CL$1000,MATCH($B202,'Master data'!$A$2:$A$1000,0),MATCH(N$1,'Master data'!$B$1:$CL$1,0)),"")</f>
        <v>1.3238444005452685E-2</v>
      </c>
      <c r="O202" s="7">
        <f>IFERROR(INDEX('Master data'!$B$2:$CL$1000,MATCH($B202,'Master data'!$A$2:$A$1000,0),MATCH(O$1,'Master data'!$B$1:$CL$1,0)),"")</f>
        <v>0</v>
      </c>
      <c r="P202" s="5">
        <f>IFERROR(INDEX('Master data'!$B$2:$CL$1000,MATCH($B202,'Master data'!$A$2:$A$1000,0),MATCH(P$1,'Master data'!$B$1:$CL$1,0)),"")</f>
        <v>4500000</v>
      </c>
      <c r="Q202" s="5">
        <f>IFERROR(INDEX('Master data'!$B$2:$CL$1000,MATCH($B202,'Master data'!$A$2:$A$1000,0),MATCH(Q$1,'Master data'!$B$1:$CL$1,0)),"")</f>
        <v>4500000</v>
      </c>
    </row>
    <row r="203" spans="1:17" hidden="1">
      <c r="A203">
        <f t="shared" si="3"/>
        <v>201</v>
      </c>
      <c r="B203" t="str">
        <f>IF('Master data'!A203="","",'Master data'!A203)</f>
        <v>Leonardo Spinazzola</v>
      </c>
      <c r="C203" t="str">
        <f>IFERROR(INDEX('Master data'!$B$2:$CL$1000,MATCH($B203,'Master data'!$A$2:$A$1000,0),MATCH(C$1,'Master data'!$B$1:$CL$1,0)),"")</f>
        <v>Italy</v>
      </c>
      <c r="D203" t="str">
        <f>IFERROR(INDEX('Master data'!$B$2:$CL$1000,MATCH($B203,'Master data'!$A$2:$A$1000,0),MATCH(D$1,'Master data'!$B$1:$CL$1,0)),"")</f>
        <v>Defense</v>
      </c>
      <c r="E203" s="5">
        <f>IFERROR(INDEX('Master data'!$B$2:$CL$1000,MATCH($B203,'Master data'!$A$2:$A$1000,0),MATCH(E$1,'Master data'!$B$1:$CL$1,0)),"")</f>
        <v>3500000</v>
      </c>
      <c r="F203" s="7">
        <f>IFERROR(INDEX('Master data'!$B$2:$CL$1000,MATCH($B203,'Master data'!$A$2:$A$1000,0),MATCH(F$1,'Master data'!$B$1:$CL$1,0)),"")</f>
        <v>79494.686154368159</v>
      </c>
      <c r="G203" s="7">
        <f>IFERROR(INDEX('Master data'!$B$2:$CL$1000,MATCH($B203,'Master data'!$A$2:$A$1000,0),MATCH(G$1,'Master data'!$B$1:$CL$1,0)),"")</f>
        <v>69934.582686758673</v>
      </c>
      <c r="H203" s="7">
        <f>IFERROR(INDEX('Master data'!$B$2:$CL$1000,MATCH($B203,'Master data'!$A$2:$A$1000,0),MATCH(H$1,'Master data'!$B$1:$CL$1,0)),"")</f>
        <v>85093.02434106954</v>
      </c>
      <c r="I203" s="7">
        <f>IFERROR(INDEX('Master data'!$B$2:$CL$1000,MATCH($B203,'Master data'!$A$2:$A$1000,0),MATCH(I$1,'Master data'!$B$1:$CL$1,0)),"")</f>
        <v>39100.136712276668</v>
      </c>
      <c r="J203" s="7">
        <f>IFERROR(INDEX('Master data'!$B$2:$CL$1000,MATCH($B203,'Master data'!$A$2:$A$1000,0),MATCH(J$1,'Master data'!$B$1:$CL$1,0)),"")</f>
        <v>19331.262969530086</v>
      </c>
      <c r="K203" s="7">
        <f>IFERROR(INDEX('Master data'!$B$2:$CL$1000,MATCH($B203,'Master data'!$A$2:$A$1000,0),MATCH(K$1,'Master data'!$B$1:$CL$1,0)),"")</f>
        <v>9620.4634163189694</v>
      </c>
      <c r="L203" s="7">
        <f>IFERROR(INDEX('Master data'!$B$2:$CL$1000,MATCH($B203,'Master data'!$A$2:$A$1000,0),MATCH(L$1,'Master data'!$B$1:$CL$1,0)),"")</f>
        <v>4895.8323052763071</v>
      </c>
      <c r="M203" s="5">
        <f>IFERROR(INDEX('Master data'!$B$2:$CL$1000,MATCH($B203,'Master data'!$A$2:$A$1000,0),MATCH(M$1,'Master data'!$B$1:$CL$1,0)),"")</f>
        <v>181037.31472122634</v>
      </c>
      <c r="N203" s="28">
        <f>IFERROR(INDEX('Master data'!$B$2:$CL$1000,MATCH($B203,'Master data'!$A$2:$A$1000,0),MATCH(N$1,'Master data'!$B$1:$CL$1,0)),"")</f>
        <v>6.700636948062752E-2</v>
      </c>
      <c r="O203" s="7">
        <f>IFERROR(INDEX('Master data'!$B$2:$CL$1000,MATCH($B203,'Master data'!$A$2:$A$1000,0),MATCH(O$1,'Master data'!$B$1:$CL$1,0)),"")</f>
        <v>0</v>
      </c>
      <c r="P203" s="5">
        <f>IFERROR(INDEX('Master data'!$B$2:$CL$1000,MATCH($B203,'Master data'!$A$2:$A$1000,0),MATCH(P$1,'Master data'!$B$1:$CL$1,0)),"")</f>
        <v>3500000</v>
      </c>
      <c r="Q203" s="5">
        <f>IFERROR(INDEX('Master data'!$B$2:$CL$1000,MATCH($B203,'Master data'!$A$2:$A$1000,0),MATCH(Q$1,'Master data'!$B$1:$CL$1,0)),"")</f>
        <v>3500000</v>
      </c>
    </row>
    <row r="204" spans="1:17" hidden="1">
      <c r="A204">
        <f t="shared" si="3"/>
        <v>202</v>
      </c>
      <c r="B204" t="str">
        <f>IF('Master data'!A204="","",'Master data'!A204)</f>
        <v>Francesco Acerbi</v>
      </c>
      <c r="C204" t="str">
        <f>IFERROR(INDEX('Master data'!$B$2:$CL$1000,MATCH($B204,'Master data'!$A$2:$A$1000,0),MATCH(C$1,'Master data'!$B$1:$CL$1,0)),"")</f>
        <v>Italy</v>
      </c>
      <c r="D204" t="str">
        <f>IFERROR(INDEX('Master data'!$B$2:$CL$1000,MATCH($B204,'Master data'!$A$2:$A$1000,0),MATCH(D$1,'Master data'!$B$1:$CL$1,0)),"")</f>
        <v>Defense</v>
      </c>
      <c r="E204" s="5">
        <f>IFERROR(INDEX('Master data'!$B$2:$CL$1000,MATCH($B204,'Master data'!$A$2:$A$1000,0),MATCH(E$1,'Master data'!$B$1:$CL$1,0)),"")</f>
        <v>3500000</v>
      </c>
      <c r="F204" s="7">
        <f>IFERROR(INDEX('Master data'!$B$2:$CL$1000,MATCH($B204,'Master data'!$A$2:$A$1000,0),MATCH(F$1,'Master data'!$B$1:$CL$1,0)),"")</f>
        <v>63027.142699840821</v>
      </c>
      <c r="G204" s="7">
        <f>IFERROR(INDEX('Master data'!$B$2:$CL$1000,MATCH($B204,'Master data'!$A$2:$A$1000,0),MATCH(G$1,'Master data'!$B$1:$CL$1,0)),"")</f>
        <v>54529.004316327519</v>
      </c>
      <c r="H204" s="7">
        <f>IFERROR(INDEX('Master data'!$B$2:$CL$1000,MATCH($B204,'Master data'!$A$2:$A$1000,0),MATCH(H$1,'Master data'!$B$1:$CL$1,0)),"")</f>
        <v>67248.390968437248</v>
      </c>
      <c r="I204" s="7">
        <f>IFERROR(INDEX('Master data'!$B$2:$CL$1000,MATCH($B204,'Master data'!$A$2:$A$1000,0),MATCH(I$1,'Master data'!$B$1:$CL$1,0)),"")</f>
        <v>23705.379089255872</v>
      </c>
      <c r="J204" s="7">
        <f>IFERROR(INDEX('Master data'!$B$2:$CL$1000,MATCH($B204,'Master data'!$A$2:$A$1000,0),MATCH(J$1,'Master data'!$B$1:$CL$1,0)),"")</f>
        <v>11651.456434840477</v>
      </c>
      <c r="K204" s="7">
        <f>IFERROR(INDEX('Master data'!$B$2:$CL$1000,MATCH($B204,'Master data'!$A$2:$A$1000,0),MATCH(K$1,'Master data'!$B$1:$CL$1,0)),"")</f>
        <v>5763.0169484789885</v>
      </c>
      <c r="L204" s="7">
        <f>IFERROR(INDEX('Master data'!$B$2:$CL$1000,MATCH($B204,'Master data'!$A$2:$A$1000,0),MATCH(L$1,'Master data'!$B$1:$CL$1,0)),"")</f>
        <v>2913.9933213730415</v>
      </c>
      <c r="M204" s="5">
        <f>IFERROR(INDEX('Master data'!$B$2:$CL$1000,MATCH($B204,'Master data'!$A$2:$A$1000,0),MATCH(M$1,'Master data'!$B$1:$CL$1,0)),"")</f>
        <v>139608.06393581751</v>
      </c>
      <c r="N204" s="28">
        <f>IFERROR(INDEX('Master data'!$B$2:$CL$1000,MATCH($B204,'Master data'!$A$2:$A$1000,0),MATCH(N$1,'Master data'!$B$1:$CL$1,0)),"")</f>
        <v>5.280129656703017E-2</v>
      </c>
      <c r="O204" s="7">
        <f>IFERROR(INDEX('Master data'!$B$2:$CL$1000,MATCH($B204,'Master data'!$A$2:$A$1000,0),MATCH(O$1,'Master data'!$B$1:$CL$1,0)),"")</f>
        <v>0</v>
      </c>
      <c r="P204" s="5">
        <f>IFERROR(INDEX('Master data'!$B$2:$CL$1000,MATCH($B204,'Master data'!$A$2:$A$1000,0),MATCH(P$1,'Master data'!$B$1:$CL$1,0)),"")</f>
        <v>3500000</v>
      </c>
      <c r="Q204" s="5">
        <f>IFERROR(INDEX('Master data'!$B$2:$CL$1000,MATCH($B204,'Master data'!$A$2:$A$1000,0),MATCH(Q$1,'Master data'!$B$1:$CL$1,0)),"")</f>
        <v>3500000</v>
      </c>
    </row>
    <row r="205" spans="1:17" hidden="1">
      <c r="A205">
        <f t="shared" si="3"/>
        <v>203</v>
      </c>
      <c r="B205" t="str">
        <f>IF('Master data'!A205="","",'Master data'!A205)</f>
        <v>Giovanni Di Lorenzo</v>
      </c>
      <c r="C205" t="str">
        <f>IFERROR(INDEX('Master data'!$B$2:$CL$1000,MATCH($B205,'Master data'!$A$2:$A$1000,0),MATCH(C$1,'Master data'!$B$1:$CL$1,0)),"")</f>
        <v>Italy</v>
      </c>
      <c r="D205" t="str">
        <f>IFERROR(INDEX('Master data'!$B$2:$CL$1000,MATCH($B205,'Master data'!$A$2:$A$1000,0),MATCH(D$1,'Master data'!$B$1:$CL$1,0)),"")</f>
        <v>Defense</v>
      </c>
      <c r="E205" s="5">
        <f>IFERROR(INDEX('Master data'!$B$2:$CL$1000,MATCH($B205,'Master data'!$A$2:$A$1000,0),MATCH(E$1,'Master data'!$B$1:$CL$1,0)),"")</f>
        <v>2500000</v>
      </c>
      <c r="F205" s="7">
        <f>IFERROR(INDEX('Master data'!$B$2:$CL$1000,MATCH($B205,'Master data'!$A$2:$A$1000,0),MATCH(F$1,'Master data'!$B$1:$CL$1,0)),"")</f>
        <v>20992.218095072385</v>
      </c>
      <c r="G205" s="7">
        <f>IFERROR(INDEX('Master data'!$B$2:$CL$1000,MATCH($B205,'Master data'!$A$2:$A$1000,0),MATCH(G$1,'Master data'!$B$1:$CL$1,0)),"")</f>
        <v>17551.857211770384</v>
      </c>
      <c r="H205" s="7">
        <f>IFERROR(INDEX('Master data'!$B$2:$CL$1000,MATCH($B205,'Master data'!$A$2:$A$1000,0),MATCH(H$1,'Master data'!$B$1:$CL$1,0)),"")</f>
        <v>21028.92271769431</v>
      </c>
      <c r="I205" s="7">
        <f>IFERROR(INDEX('Master data'!$B$2:$CL$1000,MATCH($B205,'Master data'!$A$2:$A$1000,0),MATCH(I$1,'Master data'!$B$1:$CL$1,0)),"")</f>
        <v>-5495.1082265899049</v>
      </c>
      <c r="J205" s="7">
        <f>IFERROR(INDEX('Master data'!$B$2:$CL$1000,MATCH($B205,'Master data'!$A$2:$A$1000,0),MATCH(J$1,'Master data'!$B$1:$CL$1,0)),"")</f>
        <v>-2865.6922549399183</v>
      </c>
      <c r="K205" s="7">
        <f>IFERROR(INDEX('Master data'!$B$2:$CL$1000,MATCH($B205,'Master data'!$A$2:$A$1000,0),MATCH(K$1,'Master data'!$B$1:$CL$1,0)),"")</f>
        <v>-1503.1973256967158</v>
      </c>
      <c r="L205" s="7">
        <f>IFERROR(INDEX('Master data'!$B$2:$CL$1000,MATCH($B205,'Master data'!$A$2:$A$1000,0),MATCH(L$1,'Master data'!$B$1:$CL$1,0)),"")</f>
        <v>-805.77573969524576</v>
      </c>
      <c r="M205" s="5">
        <f>IFERROR(INDEX('Master data'!$B$2:$CL$1000,MATCH($B205,'Master data'!$A$2:$A$1000,0),MATCH(M$1,'Master data'!$B$1:$CL$1,0)),"")</f>
        <v>39576.709059669396</v>
      </c>
      <c r="N205" s="28">
        <f>IFERROR(INDEX('Master data'!$B$2:$CL$1000,MATCH($B205,'Master data'!$A$2:$A$1000,0),MATCH(N$1,'Master data'!$B$1:$CL$1,0)),"")</f>
        <v>2.3829199209814834E-2</v>
      </c>
      <c r="O205" s="7">
        <f>IFERROR(INDEX('Master data'!$B$2:$CL$1000,MATCH($B205,'Master data'!$A$2:$A$1000,0),MATCH(O$1,'Master data'!$B$1:$CL$1,0)),"")</f>
        <v>0</v>
      </c>
      <c r="P205" s="5">
        <f>IFERROR(INDEX('Master data'!$B$2:$CL$1000,MATCH($B205,'Master data'!$A$2:$A$1000,0),MATCH(P$1,'Master data'!$B$1:$CL$1,0)),"")</f>
        <v>2500000</v>
      </c>
      <c r="Q205" s="5">
        <f>IFERROR(INDEX('Master data'!$B$2:$CL$1000,MATCH($B205,'Master data'!$A$2:$A$1000,0),MATCH(Q$1,'Master data'!$B$1:$CL$1,0)),"")</f>
        <v>2500000</v>
      </c>
    </row>
    <row r="206" spans="1:17" hidden="1">
      <c r="A206">
        <f t="shared" si="3"/>
        <v>204</v>
      </c>
      <c r="B206" t="str">
        <f>IF('Master data'!A206="","",'Master data'!A206)</f>
        <v>Alessandro Bastoni</v>
      </c>
      <c r="C206" t="str">
        <f>IFERROR(INDEX('Master data'!$B$2:$CL$1000,MATCH($B206,'Master data'!$A$2:$A$1000,0),MATCH(C$1,'Master data'!$B$1:$CL$1,0)),"")</f>
        <v>Italy</v>
      </c>
      <c r="D206" t="str">
        <f>IFERROR(INDEX('Master data'!$B$2:$CL$1000,MATCH($B206,'Master data'!$A$2:$A$1000,0),MATCH(D$1,'Master data'!$B$1:$CL$1,0)),"")</f>
        <v>Defense</v>
      </c>
      <c r="E206" s="5">
        <f>IFERROR(INDEX('Master data'!$B$2:$CL$1000,MATCH($B206,'Master data'!$A$2:$A$1000,0),MATCH(E$1,'Master data'!$B$1:$CL$1,0)),"")</f>
        <v>3500000</v>
      </c>
      <c r="F206" s="7">
        <f>IFERROR(INDEX('Master data'!$B$2:$CL$1000,MATCH($B206,'Master data'!$A$2:$A$1000,0),MATCH(F$1,'Master data'!$B$1:$CL$1,0)),"")</f>
        <v>20992.218095072385</v>
      </c>
      <c r="G206" s="7">
        <f>IFERROR(INDEX('Master data'!$B$2:$CL$1000,MATCH($B206,'Master data'!$A$2:$A$1000,0),MATCH(G$1,'Master data'!$B$1:$CL$1,0)),"")</f>
        <v>17551.857211770384</v>
      </c>
      <c r="H206" s="7">
        <f>IFERROR(INDEX('Master data'!$B$2:$CL$1000,MATCH($B206,'Master data'!$A$2:$A$1000,0),MATCH(H$1,'Master data'!$B$1:$CL$1,0)),"")</f>
        <v>21028.92271769431</v>
      </c>
      <c r="I206" s="7">
        <f>IFERROR(INDEX('Master data'!$B$2:$CL$1000,MATCH($B206,'Master data'!$A$2:$A$1000,0),MATCH(I$1,'Master data'!$B$1:$CL$1,0)),"")</f>
        <v>-15071.697566375617</v>
      </c>
      <c r="J206" s="7">
        <f>IFERROR(INDEX('Master data'!$B$2:$CL$1000,MATCH($B206,'Master data'!$A$2:$A$1000,0),MATCH(J$1,'Master data'!$B$1:$CL$1,0)),"")</f>
        <v>-7692.8199733023957</v>
      </c>
      <c r="K206" s="7">
        <f>IFERROR(INDEX('Master data'!$B$2:$CL$1000,MATCH($B206,'Master data'!$A$2:$A$1000,0),MATCH(K$1,'Master data'!$B$1:$CL$1,0)),"")</f>
        <v>-3953.3099363787719</v>
      </c>
      <c r="L206" s="7">
        <f>IFERROR(INDEX('Master data'!$B$2:$CL$1000,MATCH($B206,'Master data'!$A$2:$A$1000,0),MATCH(L$1,'Master data'!$B$1:$CL$1,0)),"")</f>
        <v>-2077.9606982873279</v>
      </c>
      <c r="M206" s="5">
        <f>IFERROR(INDEX('Master data'!$B$2:$CL$1000,MATCH($B206,'Master data'!$A$2:$A$1000,0),MATCH(M$1,'Master data'!$B$1:$CL$1,0)),"")</f>
        <v>35351.358803409748</v>
      </c>
      <c r="N206" s="28">
        <f>IFERROR(INDEX('Master data'!$B$2:$CL$1000,MATCH($B206,'Master data'!$A$2:$A$1000,0),MATCH(N$1,'Master data'!$B$1:$CL$1,0)),"")</f>
        <v>1.7020856578439165E-2</v>
      </c>
      <c r="O206" s="7">
        <f>IFERROR(INDEX('Master data'!$B$2:$CL$1000,MATCH($B206,'Master data'!$A$2:$A$1000,0),MATCH(O$1,'Master data'!$B$1:$CL$1,0)),"")</f>
        <v>0</v>
      </c>
      <c r="P206" s="5">
        <f>IFERROR(INDEX('Master data'!$B$2:$CL$1000,MATCH($B206,'Master data'!$A$2:$A$1000,0),MATCH(P$1,'Master data'!$B$1:$CL$1,0)),"")</f>
        <v>3500000</v>
      </c>
      <c r="Q206" s="5">
        <f>IFERROR(INDEX('Master data'!$B$2:$CL$1000,MATCH($B206,'Master data'!$A$2:$A$1000,0),MATCH(Q$1,'Master data'!$B$1:$CL$1,0)),"")</f>
        <v>3500000</v>
      </c>
    </row>
    <row r="207" spans="1:17" hidden="1">
      <c r="A207">
        <f t="shared" si="3"/>
        <v>205</v>
      </c>
      <c r="B207" t="str">
        <f>IF('Master data'!A207="","",'Master data'!A207)</f>
        <v>Bryan Cristante</v>
      </c>
      <c r="C207" t="str">
        <f>IFERROR(INDEX('Master data'!$B$2:$CL$1000,MATCH($B207,'Master data'!$A$2:$A$1000,0),MATCH(C$1,'Master data'!$B$1:$CL$1,0)),"")</f>
        <v>Italy</v>
      </c>
      <c r="D207" t="str">
        <f>IFERROR(INDEX('Master data'!$B$2:$CL$1000,MATCH($B207,'Master data'!$A$2:$A$1000,0),MATCH(D$1,'Master data'!$B$1:$CL$1,0)),"")</f>
        <v>Midfield</v>
      </c>
      <c r="E207" s="5">
        <f>IFERROR(INDEX('Master data'!$B$2:$CL$1000,MATCH($B207,'Master data'!$A$2:$A$1000,0),MATCH(E$1,'Master data'!$B$1:$CL$1,0)),"")</f>
        <v>3000000</v>
      </c>
      <c r="F207" s="7">
        <f>IFERROR(INDEX('Master data'!$B$2:$CL$1000,MATCH($B207,'Master data'!$A$2:$A$1000,0),MATCH(F$1,'Master data'!$B$1:$CL$1,0)),"")</f>
        <v>-5000</v>
      </c>
      <c r="G207" s="7">
        <f>IFERROR(INDEX('Master data'!$B$2:$CL$1000,MATCH($B207,'Master data'!$A$2:$A$1000,0),MATCH(G$1,'Master data'!$B$1:$CL$1,0)),"")</f>
        <v>-5000</v>
      </c>
      <c r="H207" s="7">
        <f>IFERROR(INDEX('Master data'!$B$2:$CL$1000,MATCH($B207,'Master data'!$A$2:$A$1000,0),MATCH(H$1,'Master data'!$B$1:$CL$1,0)),"")</f>
        <v>-5000</v>
      </c>
      <c r="I207" s="7">
        <f>IFERROR(INDEX('Master data'!$B$2:$CL$1000,MATCH($B207,'Master data'!$A$2:$A$1000,0),MATCH(I$1,'Master data'!$B$1:$CL$1,0)),"")</f>
        <v>-33374.413849153221</v>
      </c>
      <c r="J207" s="7">
        <f>IFERROR(INDEX('Master data'!$B$2:$CL$1000,MATCH($B207,'Master data'!$A$2:$A$1000,0),MATCH(J$1,'Master data'!$B$1:$CL$1,0)),"")</f>
        <v>-16798.404459901416</v>
      </c>
      <c r="K207" s="7">
        <f>IFERROR(INDEX('Master data'!$B$2:$CL$1000,MATCH($B207,'Master data'!$A$2:$A$1000,0),MATCH(K$1,'Master data'!$B$1:$CL$1,0)),"")</f>
        <v>-8514.1413221201456</v>
      </c>
      <c r="L207" s="7">
        <f>IFERROR(INDEX('Master data'!$B$2:$CL$1000,MATCH($B207,'Master data'!$A$2:$A$1000,0),MATCH(L$1,'Master data'!$B$1:$CL$1,0)),"")</f>
        <v>-4414.4818063145249</v>
      </c>
      <c r="M207" s="5">
        <f>IFERROR(INDEX('Master data'!$B$2:$CL$1000,MATCH($B207,'Master data'!$A$2:$A$1000,0),MATCH(M$1,'Master data'!$B$1:$CL$1,0)),"")</f>
        <v>-25271.231874033696</v>
      </c>
      <c r="N207" s="28">
        <f>IFERROR(INDEX('Master data'!$B$2:$CL$1000,MATCH($B207,'Master data'!$A$2:$A$1000,0),MATCH(N$1,'Master data'!$B$1:$CL$1,0)),"")</f>
        <v>-5.0000000000000001E-3</v>
      </c>
      <c r="O207" s="7">
        <f>IFERROR(INDEX('Master data'!$B$2:$CL$1000,MATCH($B207,'Master data'!$A$2:$A$1000,0),MATCH(O$1,'Master data'!$B$1:$CL$1,0)),"")</f>
        <v>0</v>
      </c>
      <c r="P207" s="5">
        <f>IFERROR(INDEX('Master data'!$B$2:$CL$1000,MATCH($B207,'Master data'!$A$2:$A$1000,0),MATCH(P$1,'Master data'!$B$1:$CL$1,0)),"")</f>
        <v>3000000</v>
      </c>
      <c r="Q207" s="5">
        <f>IFERROR(INDEX('Master data'!$B$2:$CL$1000,MATCH($B207,'Master data'!$A$2:$A$1000,0),MATCH(Q$1,'Master data'!$B$1:$CL$1,0)),"")</f>
        <v>3000000</v>
      </c>
    </row>
    <row r="208" spans="1:17" hidden="1">
      <c r="A208">
        <f t="shared" si="3"/>
        <v>206</v>
      </c>
      <c r="B208" t="str">
        <f>IF('Master data'!A208="","",'Master data'!A208)</f>
        <v>Stefano Sensi</v>
      </c>
      <c r="C208" t="str">
        <f>IFERROR(INDEX('Master data'!$B$2:$CL$1000,MATCH($B208,'Master data'!$A$2:$A$1000,0),MATCH(C$1,'Master data'!$B$1:$CL$1,0)),"")</f>
        <v>Italy</v>
      </c>
      <c r="D208" t="str">
        <f>IFERROR(INDEX('Master data'!$B$2:$CL$1000,MATCH($B208,'Master data'!$A$2:$A$1000,0),MATCH(D$1,'Master data'!$B$1:$CL$1,0)),"")</f>
        <v>Midfield</v>
      </c>
      <c r="E208" s="5">
        <f>IFERROR(INDEX('Master data'!$B$2:$CL$1000,MATCH($B208,'Master data'!$A$2:$A$1000,0),MATCH(E$1,'Master data'!$B$1:$CL$1,0)),"")</f>
        <v>3500000</v>
      </c>
      <c r="F208" s="7">
        <f>IFERROR(INDEX('Master data'!$B$2:$CL$1000,MATCH($B208,'Master data'!$A$2:$A$1000,0),MATCH(F$1,'Master data'!$B$1:$CL$1,0)),"")</f>
        <v>-5000</v>
      </c>
      <c r="G208" s="7">
        <f>IFERROR(INDEX('Master data'!$B$2:$CL$1000,MATCH($B208,'Master data'!$A$2:$A$1000,0),MATCH(G$1,'Master data'!$B$1:$CL$1,0)),"")</f>
        <v>-5000</v>
      </c>
      <c r="H208" s="7">
        <f>IFERROR(INDEX('Master data'!$B$2:$CL$1000,MATCH($B208,'Master data'!$A$2:$A$1000,0),MATCH(H$1,'Master data'!$B$1:$CL$1,0)),"")</f>
        <v>-5000</v>
      </c>
      <c r="I208" s="7">
        <f>IFERROR(INDEX('Master data'!$B$2:$CL$1000,MATCH($B208,'Master data'!$A$2:$A$1000,0),MATCH(I$1,'Master data'!$B$1:$CL$1,0)),"")</f>
        <v>-38162.708519046078</v>
      </c>
      <c r="J208" s="7">
        <f>IFERROR(INDEX('Master data'!$B$2:$CL$1000,MATCH($B208,'Master data'!$A$2:$A$1000,0),MATCH(J$1,'Master data'!$B$1:$CL$1,0)),"")</f>
        <v>-19211.968319082654</v>
      </c>
      <c r="K208" s="7">
        <f>IFERROR(INDEX('Master data'!$B$2:$CL$1000,MATCH($B208,'Master data'!$A$2:$A$1000,0),MATCH(K$1,'Master data'!$B$1:$CL$1,0)),"")</f>
        <v>-9739.1976274611734</v>
      </c>
      <c r="L208" s="7">
        <f>IFERROR(INDEX('Master data'!$B$2:$CL$1000,MATCH($B208,'Master data'!$A$2:$A$1000,0),MATCH(L$1,'Master data'!$B$1:$CL$1,0)),"")</f>
        <v>-5050.5742856105662</v>
      </c>
      <c r="M208" s="5">
        <f>IFERROR(INDEX('Master data'!$B$2:$CL$1000,MATCH($B208,'Master data'!$A$2:$A$1000,0),MATCH(M$1,'Master data'!$B$1:$CL$1,0)),"")</f>
        <v>-27383.907002163516</v>
      </c>
      <c r="N208" s="28">
        <f>IFERROR(INDEX('Master data'!$B$2:$CL$1000,MATCH($B208,'Master data'!$A$2:$A$1000,0),MATCH(N$1,'Master data'!$B$1:$CL$1,0)),"")</f>
        <v>-4.2857142857142859E-3</v>
      </c>
      <c r="O208" s="7">
        <f>IFERROR(INDEX('Master data'!$B$2:$CL$1000,MATCH($B208,'Master data'!$A$2:$A$1000,0),MATCH(O$1,'Master data'!$B$1:$CL$1,0)),"")</f>
        <v>0</v>
      </c>
      <c r="P208" s="5">
        <f>IFERROR(INDEX('Master data'!$B$2:$CL$1000,MATCH($B208,'Master data'!$A$2:$A$1000,0),MATCH(P$1,'Master data'!$B$1:$CL$1,0)),"")</f>
        <v>3500000</v>
      </c>
      <c r="Q208" s="5">
        <f>IFERROR(INDEX('Master data'!$B$2:$CL$1000,MATCH($B208,'Master data'!$A$2:$A$1000,0),MATCH(Q$1,'Master data'!$B$1:$CL$1,0)),"")</f>
        <v>3500000</v>
      </c>
    </row>
    <row r="209" spans="1:17" hidden="1">
      <c r="A209">
        <f t="shared" si="3"/>
        <v>207</v>
      </c>
      <c r="B209" t="str">
        <f>IF('Master data'!A209="","",'Master data'!A209)</f>
        <v>Giacomo Raspadori</v>
      </c>
      <c r="C209" t="str">
        <f>IFERROR(INDEX('Master data'!$B$2:$CL$1000,MATCH($B209,'Master data'!$A$2:$A$1000,0),MATCH(C$1,'Master data'!$B$1:$CL$1,0)),"")</f>
        <v>Italy</v>
      </c>
      <c r="D209" t="str">
        <f>IFERROR(INDEX('Master data'!$B$2:$CL$1000,MATCH($B209,'Master data'!$A$2:$A$1000,0),MATCH(D$1,'Master data'!$B$1:$CL$1,0)),"")</f>
        <v>Striker</v>
      </c>
      <c r="E209" s="5">
        <f>IFERROR(INDEX('Master data'!$B$2:$CL$1000,MATCH($B209,'Master data'!$A$2:$A$1000,0),MATCH(E$1,'Master data'!$B$1:$CL$1,0)),"")</f>
        <v>3000000</v>
      </c>
      <c r="F209" s="7">
        <f>IFERROR(INDEX('Master data'!$B$2:$CL$1000,MATCH($B209,'Master data'!$A$2:$A$1000,0),MATCH(F$1,'Master data'!$B$1:$CL$1,0)),"")</f>
        <v>-5000</v>
      </c>
      <c r="G209" s="7">
        <f>IFERROR(INDEX('Master data'!$B$2:$CL$1000,MATCH($B209,'Master data'!$A$2:$A$1000,0),MATCH(G$1,'Master data'!$B$1:$CL$1,0)),"")</f>
        <v>-5000</v>
      </c>
      <c r="H209" s="7">
        <f>IFERROR(INDEX('Master data'!$B$2:$CL$1000,MATCH($B209,'Master data'!$A$2:$A$1000,0),MATCH(H$1,'Master data'!$B$1:$CL$1,0)),"")</f>
        <v>-5000</v>
      </c>
      <c r="I209" s="7">
        <f>IFERROR(INDEX('Master data'!$B$2:$CL$1000,MATCH($B209,'Master data'!$A$2:$A$1000,0),MATCH(I$1,'Master data'!$B$1:$CL$1,0)),"")</f>
        <v>-33374.413849153221</v>
      </c>
      <c r="J209" s="7">
        <f>IFERROR(INDEX('Master data'!$B$2:$CL$1000,MATCH($B209,'Master data'!$A$2:$A$1000,0),MATCH(J$1,'Master data'!$B$1:$CL$1,0)),"")</f>
        <v>-16798.404459901416</v>
      </c>
      <c r="K209" s="7">
        <f>IFERROR(INDEX('Master data'!$B$2:$CL$1000,MATCH($B209,'Master data'!$A$2:$A$1000,0),MATCH(K$1,'Master data'!$B$1:$CL$1,0)),"")</f>
        <v>-8514.1413221201456</v>
      </c>
      <c r="L209" s="7">
        <f>IFERROR(INDEX('Master data'!$B$2:$CL$1000,MATCH($B209,'Master data'!$A$2:$A$1000,0),MATCH(L$1,'Master data'!$B$1:$CL$1,0)),"")</f>
        <v>-4414.4818063145249</v>
      </c>
      <c r="M209" s="5">
        <f>IFERROR(INDEX('Master data'!$B$2:$CL$1000,MATCH($B209,'Master data'!$A$2:$A$1000,0),MATCH(M$1,'Master data'!$B$1:$CL$1,0)),"")</f>
        <v>-25271.231874033696</v>
      </c>
      <c r="N209" s="28">
        <f>IFERROR(INDEX('Master data'!$B$2:$CL$1000,MATCH($B209,'Master data'!$A$2:$A$1000,0),MATCH(N$1,'Master data'!$B$1:$CL$1,0)),"")</f>
        <v>-5.0000000000000001E-3</v>
      </c>
      <c r="O209" s="7">
        <f>IFERROR(INDEX('Master data'!$B$2:$CL$1000,MATCH($B209,'Master data'!$A$2:$A$1000,0),MATCH(O$1,'Master data'!$B$1:$CL$1,0)),"")</f>
        <v>0</v>
      </c>
      <c r="P209" s="5">
        <f>IFERROR(INDEX('Master data'!$B$2:$CL$1000,MATCH($B209,'Master data'!$A$2:$A$1000,0),MATCH(P$1,'Master data'!$B$1:$CL$1,0)),"")</f>
        <v>3000000</v>
      </c>
      <c r="Q209" s="5">
        <f>IFERROR(INDEX('Master data'!$B$2:$CL$1000,MATCH($B209,'Master data'!$A$2:$A$1000,0),MATCH(Q$1,'Master data'!$B$1:$CL$1,0)),"")</f>
        <v>3000000</v>
      </c>
    </row>
    <row r="210" spans="1:17" hidden="1">
      <c r="A210">
        <f t="shared" si="3"/>
        <v>208</v>
      </c>
      <c r="B210" t="str">
        <f>IF('Master data'!A210="","",'Master data'!A210)</f>
        <v>Simon Mignolet</v>
      </c>
      <c r="C210" t="str">
        <f>IFERROR(INDEX('Master data'!$B$2:$CL$1000,MATCH($B210,'Master data'!$A$2:$A$1000,0),MATCH(C$1,'Master data'!$B$1:$CL$1,0)),"")</f>
        <v>Belgium</v>
      </c>
      <c r="D210" t="str">
        <f>IFERROR(INDEX('Master data'!$B$2:$CL$1000,MATCH($B210,'Master data'!$A$2:$A$1000,0),MATCH(D$1,'Master data'!$B$1:$CL$1,0)),"")</f>
        <v>Goalkeeper</v>
      </c>
      <c r="E210" s="5">
        <f>IFERROR(INDEX('Master data'!$B$2:$CL$1000,MATCH($B210,'Master data'!$A$2:$A$1000,0),MATCH(E$1,'Master data'!$B$1:$CL$1,0)),"")</f>
        <v>5500000</v>
      </c>
      <c r="F210" s="7">
        <f>IFERROR(INDEX('Master data'!$B$2:$CL$1000,MATCH($B210,'Master data'!$A$2:$A$1000,0),MATCH(F$1,'Master data'!$B$1:$CL$1,0)),"")</f>
        <v>36869.84690034738</v>
      </c>
      <c r="G210" s="7">
        <f>IFERROR(INDEX('Master data'!$B$2:$CL$1000,MATCH($B210,'Master data'!$A$2:$A$1000,0),MATCH(G$1,'Master data'!$B$1:$CL$1,0)),"")</f>
        <v>31739.634772402344</v>
      </c>
      <c r="H210" s="7">
        <f>IFERROR(INDEX('Master data'!$B$2:$CL$1000,MATCH($B210,'Master data'!$A$2:$A$1000,0),MATCH(H$1,'Master data'!$B$1:$CL$1,0)),"")</f>
        <v>42289.250440210657</v>
      </c>
      <c r="I210" s="7">
        <f>IFERROR(INDEX('Master data'!$B$2:$CL$1000,MATCH($B210,'Master data'!$A$2:$A$1000,0),MATCH(I$1,'Master data'!$B$1:$CL$1,0)),"")</f>
        <v>-18332.219126279222</v>
      </c>
      <c r="J210" s="7">
        <f>IFERROR(INDEX('Master data'!$B$2:$CL$1000,MATCH($B210,'Master data'!$A$2:$A$1000,0),MATCH(J$1,'Master data'!$B$1:$CL$1,0)),"")</f>
        <v>-9533.0796375672835</v>
      </c>
      <c r="K210" s="7">
        <f>IFERROR(INDEX('Master data'!$B$2:$CL$1000,MATCH($B210,'Master data'!$A$2:$A$1000,0),MATCH(K$1,'Master data'!$B$1:$CL$1,0)),"")</f>
        <v>-5039.0194828921794</v>
      </c>
      <c r="L210" s="7">
        <f>IFERROR(INDEX('Master data'!$B$2:$CL$1000,MATCH($B210,'Master data'!$A$2:$A$1000,0),MATCH(L$1,'Master data'!$B$1:$CL$1,0)),"")</f>
        <v>-2805.6352609019641</v>
      </c>
      <c r="M210" s="5">
        <f>IFERROR(INDEX('Master data'!$B$2:$CL$1000,MATCH($B210,'Master data'!$A$2:$A$1000,0),MATCH(M$1,'Master data'!$B$1:$CL$1,0)),"")</f>
        <v>68600.094247225861</v>
      </c>
      <c r="N210" s="28">
        <f>IFERROR(INDEX('Master data'!$B$2:$CL$1000,MATCH($B210,'Master data'!$A$2:$A$1000,0),MATCH(N$1,'Master data'!$B$1:$CL$1,0)),"")</f>
        <v>2.0163405838720068E-2</v>
      </c>
      <c r="O210" s="7">
        <f>IFERROR(INDEX('Master data'!$B$2:$CL$1000,MATCH($B210,'Master data'!$A$2:$A$1000,0),MATCH(O$1,'Master data'!$B$1:$CL$1,0)),"")</f>
        <v>0</v>
      </c>
      <c r="P210" s="5">
        <f>IFERROR(INDEX('Master data'!$B$2:$CL$1000,MATCH($B210,'Master data'!$A$2:$A$1000,0),MATCH(P$1,'Master data'!$B$1:$CL$1,0)),"")</f>
        <v>5500000</v>
      </c>
      <c r="Q210" s="5">
        <f>IFERROR(INDEX('Master data'!$B$2:$CL$1000,MATCH($B210,'Master data'!$A$2:$A$1000,0),MATCH(Q$1,'Master data'!$B$1:$CL$1,0)),"")</f>
        <v>5500000</v>
      </c>
    </row>
    <row r="211" spans="1:17" hidden="1">
      <c r="A211">
        <f t="shared" si="3"/>
        <v>209</v>
      </c>
      <c r="B211" t="str">
        <f>IF('Master data'!A211="","",'Master data'!A211)</f>
        <v>Timothy Castagne</v>
      </c>
      <c r="C211" t="str">
        <f>IFERROR(INDEX('Master data'!$B$2:$CL$1000,MATCH($B211,'Master data'!$A$2:$A$1000,0),MATCH(C$1,'Master data'!$B$1:$CL$1,0)),"")</f>
        <v>Belgium</v>
      </c>
      <c r="D211" t="str">
        <f>IFERROR(INDEX('Master data'!$B$2:$CL$1000,MATCH($B211,'Master data'!$A$2:$A$1000,0),MATCH(D$1,'Master data'!$B$1:$CL$1,0)),"")</f>
        <v>Defense</v>
      </c>
      <c r="E211" s="5">
        <f>IFERROR(INDEX('Master data'!$B$2:$CL$1000,MATCH($B211,'Master data'!$A$2:$A$1000,0),MATCH(E$1,'Master data'!$B$1:$CL$1,0)),"")</f>
        <v>4500000</v>
      </c>
      <c r="F211" s="7">
        <f>IFERROR(INDEX('Master data'!$B$2:$CL$1000,MATCH($B211,'Master data'!$A$2:$A$1000,0),MATCH(F$1,'Master data'!$B$1:$CL$1,0)),"")</f>
        <v>16486.225321156548</v>
      </c>
      <c r="G211" s="7">
        <f>IFERROR(INDEX('Master data'!$B$2:$CL$1000,MATCH($B211,'Master data'!$A$2:$A$1000,0),MATCH(G$1,'Master data'!$B$1:$CL$1,0)),"")</f>
        <v>10658.451580781673</v>
      </c>
      <c r="H211" s="7">
        <f>IFERROR(INDEX('Master data'!$B$2:$CL$1000,MATCH($B211,'Master data'!$A$2:$A$1000,0),MATCH(H$1,'Master data'!$B$1:$CL$1,0)),"")</f>
        <v>21773.135696615507</v>
      </c>
      <c r="I211" s="7">
        <f>IFERROR(INDEX('Master data'!$B$2:$CL$1000,MATCH($B211,'Master data'!$A$2:$A$1000,0),MATCH(I$1,'Master data'!$B$1:$CL$1,0)),"")</f>
        <v>-27947.591076461165</v>
      </c>
      <c r="J211" s="7">
        <f>IFERROR(INDEX('Master data'!$B$2:$CL$1000,MATCH($B211,'Master data'!$A$2:$A$1000,0),MATCH(J$1,'Master data'!$B$1:$CL$1,0)),"")</f>
        <v>-14337.576751251358</v>
      </c>
      <c r="K211" s="7">
        <f>IFERROR(INDEX('Master data'!$B$2:$CL$1000,MATCH($B211,'Master data'!$A$2:$A$1000,0),MATCH(K$1,'Master data'!$B$1:$CL$1,0)),"")</f>
        <v>-7479.0125168447503</v>
      </c>
      <c r="L211" s="7">
        <f>IFERROR(INDEX('Master data'!$B$2:$CL$1000,MATCH($B211,'Master data'!$A$2:$A$1000,0),MATCH(L$1,'Master data'!$B$1:$CL$1,0)),"")</f>
        <v>-4110.7590190675846</v>
      </c>
      <c r="M211" s="5">
        <f>IFERROR(INDEX('Master data'!$B$2:$CL$1000,MATCH($B211,'Master data'!$A$2:$A$1000,0),MATCH(M$1,'Master data'!$B$1:$CL$1,0)),"")</f>
        <v>20810.147036424161</v>
      </c>
      <c r="N211" s="28">
        <f>IFERROR(INDEX('Master data'!$B$2:$CL$1000,MATCH($B211,'Master data'!$A$2:$A$1000,0),MATCH(N$1,'Master data'!$B$1:$CL$1,0)),"")</f>
        <v>1.0870625021900828E-2</v>
      </c>
      <c r="O211" s="7">
        <f>IFERROR(INDEX('Master data'!$B$2:$CL$1000,MATCH($B211,'Master data'!$A$2:$A$1000,0),MATCH(O$1,'Master data'!$B$1:$CL$1,0)),"")</f>
        <v>0</v>
      </c>
      <c r="P211" s="5">
        <f>IFERROR(INDEX('Master data'!$B$2:$CL$1000,MATCH($B211,'Master data'!$A$2:$A$1000,0),MATCH(P$1,'Master data'!$B$1:$CL$1,0)),"")</f>
        <v>4500000</v>
      </c>
      <c r="Q211" s="5">
        <f>IFERROR(INDEX('Master data'!$B$2:$CL$1000,MATCH($B211,'Master data'!$A$2:$A$1000,0),MATCH(Q$1,'Master data'!$B$1:$CL$1,0)),"")</f>
        <v>4500000</v>
      </c>
    </row>
    <row r="212" spans="1:17" hidden="1">
      <c r="A212">
        <f t="shared" si="3"/>
        <v>210</v>
      </c>
      <c r="B212" t="str">
        <f>IF('Master data'!A212="","",'Master data'!A212)</f>
        <v>Thomas Meunier</v>
      </c>
      <c r="C212" t="str">
        <f>IFERROR(INDEX('Master data'!$B$2:$CL$1000,MATCH($B212,'Master data'!$A$2:$A$1000,0),MATCH(C$1,'Master data'!$B$1:$CL$1,0)),"")</f>
        <v>Belgium</v>
      </c>
      <c r="D212" t="str">
        <f>IFERROR(INDEX('Master data'!$B$2:$CL$1000,MATCH($B212,'Master data'!$A$2:$A$1000,0),MATCH(D$1,'Master data'!$B$1:$CL$1,0)),"")</f>
        <v>Defense</v>
      </c>
      <c r="E212" s="5">
        <f>IFERROR(INDEX('Master data'!$B$2:$CL$1000,MATCH($B212,'Master data'!$A$2:$A$1000,0),MATCH(E$1,'Master data'!$B$1:$CL$1,0)),"")</f>
        <v>5000000</v>
      </c>
      <c r="F212" s="7">
        <f>IFERROR(INDEX('Master data'!$B$2:$CL$1000,MATCH($B212,'Master data'!$A$2:$A$1000,0),MATCH(F$1,'Master data'!$B$1:$CL$1,0)),"")</f>
        <v>59616.148003287344</v>
      </c>
      <c r="G212" s="7">
        <f>IFERROR(INDEX('Master data'!$B$2:$CL$1000,MATCH($B212,'Master data'!$A$2:$A$1000,0),MATCH(G$1,'Master data'!$B$1:$CL$1,0)),"")</f>
        <v>46952.732479461039</v>
      </c>
      <c r="H212" s="7">
        <f>IFERROR(INDEX('Master data'!$B$2:$CL$1000,MATCH($B212,'Master data'!$A$2:$A$1000,0),MATCH(H$1,'Master data'!$B$1:$CL$1,0)),"")</f>
        <v>86329.83201242295</v>
      </c>
      <c r="I212" s="7">
        <f>IFERROR(INDEX('Master data'!$B$2:$CL$1000,MATCH($B212,'Master data'!$A$2:$A$1000,0),MATCH(I$1,'Master data'!$B$1:$CL$1,0)),"")</f>
        <v>11846.800005320021</v>
      </c>
      <c r="J212" s="7">
        <f>IFERROR(INDEX('Master data'!$B$2:$CL$1000,MATCH($B212,'Master data'!$A$2:$A$1000,0),MATCH(J$1,'Master data'!$B$1:$CL$1,0)),"")</f>
        <v>5729.6897126928689</v>
      </c>
      <c r="K212" s="7">
        <f>IFERROR(INDEX('Master data'!$B$2:$CL$1000,MATCH($B212,'Master data'!$A$2:$A$1000,0),MATCH(K$1,'Master data'!$B$1:$CL$1,0)),"")</f>
        <v>2809.3393528552556</v>
      </c>
      <c r="L212" s="7">
        <f>IFERROR(INDEX('Master data'!$B$2:$CL$1000,MATCH($B212,'Master data'!$A$2:$A$1000,0),MATCH(L$1,'Master data'!$B$1:$CL$1,0)),"")</f>
        <v>1446.5584261429046</v>
      </c>
      <c r="M212" s="5">
        <f>IFERROR(INDEX('Master data'!$B$2:$CL$1000,MATCH($B212,'Master data'!$A$2:$A$1000,0),MATCH(M$1,'Master data'!$B$1:$CL$1,0)),"")</f>
        <v>134425.68708966215</v>
      </c>
      <c r="N212" s="28">
        <f>IFERROR(INDEX('Master data'!$B$2:$CL$1000,MATCH($B212,'Master data'!$A$2:$A$1000,0),MATCH(N$1,'Master data'!$B$1:$CL$1,0)),"")</f>
        <v>3.8579742499034272E-2</v>
      </c>
      <c r="O212" s="7">
        <f>IFERROR(INDEX('Master data'!$B$2:$CL$1000,MATCH($B212,'Master data'!$A$2:$A$1000,0),MATCH(O$1,'Master data'!$B$1:$CL$1,0)),"")</f>
        <v>0</v>
      </c>
      <c r="P212" s="5">
        <f>IFERROR(INDEX('Master data'!$B$2:$CL$1000,MATCH($B212,'Master data'!$A$2:$A$1000,0),MATCH(P$1,'Master data'!$B$1:$CL$1,0)),"")</f>
        <v>5000000</v>
      </c>
      <c r="Q212" s="5">
        <f>IFERROR(INDEX('Master data'!$B$2:$CL$1000,MATCH($B212,'Master data'!$A$2:$A$1000,0),MATCH(Q$1,'Master data'!$B$1:$CL$1,0)),"")</f>
        <v>5000000</v>
      </c>
    </row>
    <row r="213" spans="1:17" hidden="1">
      <c r="A213">
        <f t="shared" si="3"/>
        <v>211</v>
      </c>
      <c r="B213" t="str">
        <f>IF('Master data'!A213="","",'Master data'!A213)</f>
        <v>Jan Vertonghen</v>
      </c>
      <c r="C213" t="str">
        <f>IFERROR(INDEX('Master data'!$B$2:$CL$1000,MATCH($B213,'Master data'!$A$2:$A$1000,0),MATCH(C$1,'Master data'!$B$1:$CL$1,0)),"")</f>
        <v>Belgium</v>
      </c>
      <c r="D213" t="str">
        <f>IFERROR(INDEX('Master data'!$B$2:$CL$1000,MATCH($B213,'Master data'!$A$2:$A$1000,0),MATCH(D$1,'Master data'!$B$1:$CL$1,0)),"")</f>
        <v>Defense</v>
      </c>
      <c r="E213" s="5">
        <f>IFERROR(INDEX('Master data'!$B$2:$CL$1000,MATCH($B213,'Master data'!$A$2:$A$1000,0),MATCH(E$1,'Master data'!$B$1:$CL$1,0)),"")</f>
        <v>4000000</v>
      </c>
      <c r="F213" s="7">
        <f>IFERROR(INDEX('Master data'!$B$2:$CL$1000,MATCH($B213,'Master data'!$A$2:$A$1000,0),MATCH(F$1,'Master data'!$B$1:$CL$1,0)),"")</f>
        <v>81394.286871314092</v>
      </c>
      <c r="G213" s="7">
        <f>IFERROR(INDEX('Master data'!$B$2:$CL$1000,MATCH($B213,'Master data'!$A$2:$A$1000,0),MATCH(G$1,'Master data'!$B$1:$CL$1,0)),"")</f>
        <v>68282.250938487894</v>
      </c>
      <c r="H213" s="7">
        <f>IFERROR(INDEX('Master data'!$B$2:$CL$1000,MATCH($B213,'Master data'!$A$2:$A$1000,0),MATCH(H$1,'Master data'!$B$1:$CL$1,0)),"")</f>
        <v>118942.5272141078</v>
      </c>
      <c r="I213" s="7">
        <f>IFERROR(INDEX('Master data'!$B$2:$CL$1000,MATCH($B213,'Master data'!$A$2:$A$1000,0),MATCH(I$1,'Master data'!$B$1:$CL$1,0)),"")</f>
        <v>44869.670651991968</v>
      </c>
      <c r="J213" s="7">
        <f>IFERROR(INDEX('Master data'!$B$2:$CL$1000,MATCH($B213,'Master data'!$A$2:$A$1000,0),MATCH(J$1,'Master data'!$B$1:$CL$1,0)),"")</f>
        <v>22453.522194606001</v>
      </c>
      <c r="K213" s="7">
        <f>IFERROR(INDEX('Master data'!$B$2:$CL$1000,MATCH($B213,'Master data'!$A$2:$A$1000,0),MATCH(K$1,'Master data'!$B$1:$CL$1,0)),"")</f>
        <v>11420.936753178099</v>
      </c>
      <c r="L213" s="7">
        <f>IFERROR(INDEX('Master data'!$B$2:$CL$1000,MATCH($B213,'Master data'!$A$2:$A$1000,0),MATCH(L$1,'Master data'!$B$1:$CL$1,0)),"")</f>
        <v>6118.8525776972601</v>
      </c>
      <c r="M213" s="5">
        <f>IFERROR(INDEX('Master data'!$B$2:$CL$1000,MATCH($B213,'Master data'!$A$2:$A$1000,0),MATCH(M$1,'Master data'!$B$1:$CL$1,0)),"")</f>
        <v>199550.28868696195</v>
      </c>
      <c r="N213" s="28">
        <f>IFERROR(INDEX('Master data'!$B$2:$CL$1000,MATCH($B213,'Master data'!$A$2:$A$1000,0),MATCH(N$1,'Master data'!$B$1:$CL$1,0)),"")</f>
        <v>6.7154766255977452E-2</v>
      </c>
      <c r="O213" s="7">
        <f>IFERROR(INDEX('Master data'!$B$2:$CL$1000,MATCH($B213,'Master data'!$A$2:$A$1000,0),MATCH(O$1,'Master data'!$B$1:$CL$1,0)),"")</f>
        <v>0</v>
      </c>
      <c r="P213" s="5">
        <f>IFERROR(INDEX('Master data'!$B$2:$CL$1000,MATCH($B213,'Master data'!$A$2:$A$1000,0),MATCH(P$1,'Master data'!$B$1:$CL$1,0)),"")</f>
        <v>4000000</v>
      </c>
      <c r="Q213" s="5">
        <f>IFERROR(INDEX('Master data'!$B$2:$CL$1000,MATCH($B213,'Master data'!$A$2:$A$1000,0),MATCH(Q$1,'Master data'!$B$1:$CL$1,0)),"")</f>
        <v>4000000</v>
      </c>
    </row>
    <row r="214" spans="1:17" hidden="1">
      <c r="A214">
        <f t="shared" si="3"/>
        <v>212</v>
      </c>
      <c r="B214" t="str">
        <f>IF('Master data'!A214="","",'Master data'!A214)</f>
        <v>Jérémy Doku</v>
      </c>
      <c r="C214" t="str">
        <f>IFERROR(INDEX('Master data'!$B$2:$CL$1000,MATCH($B214,'Master data'!$A$2:$A$1000,0),MATCH(C$1,'Master data'!$B$1:$CL$1,0)),"")</f>
        <v>Belgium</v>
      </c>
      <c r="D214" t="str">
        <f>IFERROR(INDEX('Master data'!$B$2:$CL$1000,MATCH($B214,'Master data'!$A$2:$A$1000,0),MATCH(D$1,'Master data'!$B$1:$CL$1,0)),"")</f>
        <v>Striker</v>
      </c>
      <c r="E214" s="5">
        <f>IFERROR(INDEX('Master data'!$B$2:$CL$1000,MATCH($B214,'Master data'!$A$2:$A$1000,0),MATCH(E$1,'Master data'!$B$1:$CL$1,0)),"")</f>
        <v>3500000</v>
      </c>
      <c r="F214" s="7">
        <f>IFERROR(INDEX('Master data'!$B$2:$CL$1000,MATCH($B214,'Master data'!$A$2:$A$1000,0),MATCH(F$1,'Master data'!$B$1:$CL$1,0)),"")</f>
        <v>-5000</v>
      </c>
      <c r="G214" s="7">
        <f>IFERROR(INDEX('Master data'!$B$2:$CL$1000,MATCH($B214,'Master data'!$A$2:$A$1000,0),MATCH(G$1,'Master data'!$B$1:$CL$1,0)),"")</f>
        <v>-5000</v>
      </c>
      <c r="H214" s="7">
        <f>IFERROR(INDEX('Master data'!$B$2:$CL$1000,MATCH($B214,'Master data'!$A$2:$A$1000,0),MATCH(H$1,'Master data'!$B$1:$CL$1,0)),"")</f>
        <v>-5000</v>
      </c>
      <c r="I214" s="7">
        <f>IFERROR(INDEX('Master data'!$B$2:$CL$1000,MATCH($B214,'Master data'!$A$2:$A$1000,0),MATCH(I$1,'Master data'!$B$1:$CL$1,0)),"")</f>
        <v>-38162.708519046078</v>
      </c>
      <c r="J214" s="7">
        <f>IFERROR(INDEX('Master data'!$B$2:$CL$1000,MATCH($B214,'Master data'!$A$2:$A$1000,0),MATCH(J$1,'Master data'!$B$1:$CL$1,0)),"")</f>
        <v>-19444.889315281354</v>
      </c>
      <c r="K214" s="7">
        <f>IFERROR(INDEX('Master data'!$B$2:$CL$1000,MATCH($B214,'Master data'!$A$2:$A$1000,0),MATCH(K$1,'Master data'!$B$1:$CL$1,0)),"")</f>
        <v>-10074.456177820339</v>
      </c>
      <c r="L214" s="7">
        <f>IFERROR(INDEX('Master data'!$B$2:$CL$1000,MATCH($B214,'Master data'!$A$2:$A$1000,0),MATCH(L$1,'Master data'!$B$1:$CL$1,0)),"")</f>
        <v>-5499.9605728745237</v>
      </c>
      <c r="M214" s="5">
        <f>IFERROR(INDEX('Master data'!$B$2:$CL$1000,MATCH($B214,'Master data'!$A$2:$A$1000,0),MATCH(M$1,'Master data'!$B$1:$CL$1,0)),"")</f>
        <v>-27513.51765603455</v>
      </c>
      <c r="N214" s="28">
        <f>IFERROR(INDEX('Master data'!$B$2:$CL$1000,MATCH($B214,'Master data'!$A$2:$A$1000,0),MATCH(N$1,'Master data'!$B$1:$CL$1,0)),"")</f>
        <v>-4.2857142857142859E-3</v>
      </c>
      <c r="O214" s="7">
        <f>IFERROR(INDEX('Master data'!$B$2:$CL$1000,MATCH($B214,'Master data'!$A$2:$A$1000,0),MATCH(O$1,'Master data'!$B$1:$CL$1,0)),"")</f>
        <v>0</v>
      </c>
      <c r="P214" s="5">
        <f>IFERROR(INDEX('Master data'!$B$2:$CL$1000,MATCH($B214,'Master data'!$A$2:$A$1000,0),MATCH(P$1,'Master data'!$B$1:$CL$1,0)),"")</f>
        <v>3500000</v>
      </c>
      <c r="Q214" s="5">
        <f>IFERROR(INDEX('Master data'!$B$2:$CL$1000,MATCH($B214,'Master data'!$A$2:$A$1000,0),MATCH(Q$1,'Master data'!$B$1:$CL$1,0)),"")</f>
        <v>3500000</v>
      </c>
    </row>
    <row r="215" spans="1:17" hidden="1">
      <c r="A215">
        <f t="shared" si="3"/>
        <v>213</v>
      </c>
      <c r="B215" t="str">
        <f>IF('Master data'!A215="","",'Master data'!A215)</f>
        <v>Owen Wijndal</v>
      </c>
      <c r="C215" t="str">
        <f>IFERROR(INDEX('Master data'!$B$2:$CL$1000,MATCH($B215,'Master data'!$A$2:$A$1000,0),MATCH(C$1,'Master data'!$B$1:$CL$1,0)),"")</f>
        <v>Netherlands</v>
      </c>
      <c r="D215" t="str">
        <f>IFERROR(INDEX('Master data'!$B$2:$CL$1000,MATCH($B215,'Master data'!$A$2:$A$1000,0),MATCH(D$1,'Master data'!$B$1:$CL$1,0)),"")</f>
        <v>Defense</v>
      </c>
      <c r="E215" s="5">
        <f>IFERROR(INDEX('Master data'!$B$2:$CL$1000,MATCH($B215,'Master data'!$A$2:$A$1000,0),MATCH(E$1,'Master data'!$B$1:$CL$1,0)),"")</f>
        <v>3500000</v>
      </c>
      <c r="F215" s="7">
        <f>IFERROR(INDEX('Master data'!$B$2:$CL$1000,MATCH($B215,'Master data'!$A$2:$A$1000,0),MATCH(F$1,'Master data'!$B$1:$CL$1,0)),"")</f>
        <v>59946.334464895532</v>
      </c>
      <c r="G215" s="7">
        <f>IFERROR(INDEX('Master data'!$B$2:$CL$1000,MATCH($B215,'Master data'!$A$2:$A$1000,0),MATCH(G$1,'Master data'!$B$1:$CL$1,0)),"")</f>
        <v>63773.287262097998</v>
      </c>
      <c r="H215" s="7">
        <f>IFERROR(INDEX('Master data'!$B$2:$CL$1000,MATCH($B215,'Master data'!$A$2:$A$1000,0),MATCH(H$1,'Master data'!$B$1:$CL$1,0)),"")</f>
        <v>87218.310908645683</v>
      </c>
      <c r="I215" s="7">
        <f>IFERROR(INDEX('Master data'!$B$2:$CL$1000,MATCH($B215,'Master data'!$A$2:$A$1000,0),MATCH(I$1,'Master data'!$B$1:$CL$1,0)),"")</f>
        <v>32100.235666829652</v>
      </c>
      <c r="J215" s="7">
        <f>IFERROR(INDEX('Master data'!$B$2:$CL$1000,MATCH($B215,'Master data'!$A$2:$A$1000,0),MATCH(J$1,'Master data'!$B$1:$CL$1,0)),"")</f>
        <v>15702.887484858698</v>
      </c>
      <c r="K215" s="7">
        <f>IFERROR(INDEX('Master data'!$B$2:$CL$1000,MATCH($B215,'Master data'!$A$2:$A$1000,0),MATCH(K$1,'Master data'!$B$1:$CL$1,0)),"")</f>
        <v>7674.8166320093169</v>
      </c>
      <c r="L215" s="7">
        <f>IFERROR(INDEX('Master data'!$B$2:$CL$1000,MATCH($B215,'Master data'!$A$2:$A$1000,0),MATCH(L$1,'Master data'!$B$1:$CL$1,0)),"")</f>
        <v>3744.022026239742</v>
      </c>
      <c r="M215" s="5">
        <f>IFERROR(INDEX('Master data'!$B$2:$CL$1000,MATCH($B215,'Master data'!$A$2:$A$1000,0),MATCH(M$1,'Master data'!$B$1:$CL$1,0)),"")</f>
        <v>155177.90765006412</v>
      </c>
      <c r="N215" s="28">
        <f>IFERROR(INDEX('Master data'!$B$2:$CL$1000,MATCH($B215,'Master data'!$A$2:$A$1000,0),MATCH(N$1,'Master data'!$B$1:$CL$1,0)),"")</f>
        <v>6.0267980753039775E-2</v>
      </c>
      <c r="O215" s="7">
        <f>IFERROR(INDEX('Master data'!$B$2:$CL$1000,MATCH($B215,'Master data'!$A$2:$A$1000,0),MATCH(O$1,'Master data'!$B$1:$CL$1,0)),"")</f>
        <v>0</v>
      </c>
      <c r="P215" s="5">
        <f>IFERROR(INDEX('Master data'!$B$2:$CL$1000,MATCH($B215,'Master data'!$A$2:$A$1000,0),MATCH(P$1,'Master data'!$B$1:$CL$1,0)),"")</f>
        <v>3500000</v>
      </c>
      <c r="Q215" s="5">
        <f>IFERROR(INDEX('Master data'!$B$2:$CL$1000,MATCH($B215,'Master data'!$A$2:$A$1000,0),MATCH(Q$1,'Master data'!$B$1:$CL$1,0)),"")</f>
        <v>3500000</v>
      </c>
    </row>
    <row r="216" spans="1:17" hidden="1">
      <c r="A216">
        <f t="shared" si="3"/>
        <v>214</v>
      </c>
      <c r="B216" t="str">
        <f>IF('Master data'!A216="","",'Master data'!A216)</f>
        <v>Denzel Dumfries</v>
      </c>
      <c r="C216" t="str">
        <f>IFERROR(INDEX('Master data'!$B$2:$CL$1000,MATCH($B216,'Master data'!$A$2:$A$1000,0),MATCH(C$1,'Master data'!$B$1:$CL$1,0)),"")</f>
        <v>Netherlands</v>
      </c>
      <c r="D216" t="str">
        <f>IFERROR(INDEX('Master data'!$B$2:$CL$1000,MATCH($B216,'Master data'!$A$2:$A$1000,0),MATCH(D$1,'Master data'!$B$1:$CL$1,0)),"")</f>
        <v>Defense</v>
      </c>
      <c r="E216" s="5">
        <f>IFERROR(INDEX('Master data'!$B$2:$CL$1000,MATCH($B216,'Master data'!$A$2:$A$1000,0),MATCH(E$1,'Master data'!$B$1:$CL$1,0)),"")</f>
        <v>3500000</v>
      </c>
      <c r="F216" s="7">
        <f>IFERROR(INDEX('Master data'!$B$2:$CL$1000,MATCH($B216,'Master data'!$A$2:$A$1000,0),MATCH(F$1,'Master data'!$B$1:$CL$1,0)),"")</f>
        <v>61520.325792946831</v>
      </c>
      <c r="G216" s="7">
        <f>IFERROR(INDEX('Master data'!$B$2:$CL$1000,MATCH($B216,'Master data'!$A$2:$A$1000,0),MATCH(G$1,'Master data'!$B$1:$CL$1,0)),"")</f>
        <v>65624.161215420812</v>
      </c>
      <c r="H216" s="7">
        <f>IFERROR(INDEX('Master data'!$B$2:$CL$1000,MATCH($B216,'Master data'!$A$2:$A$1000,0),MATCH(H$1,'Master data'!$B$1:$CL$1,0)),"")</f>
        <v>89590.838357185101</v>
      </c>
      <c r="I216" s="7">
        <f>IFERROR(INDEX('Master data'!$B$2:$CL$1000,MATCH($B216,'Master data'!$A$2:$A$1000,0),MATCH(I$1,'Master data'!$B$1:$CL$1,0)),"")</f>
        <v>33912.454468396885</v>
      </c>
      <c r="J216" s="7">
        <f>IFERROR(INDEX('Master data'!$B$2:$CL$1000,MATCH($B216,'Master data'!$A$2:$A$1000,0),MATCH(J$1,'Master data'!$B$1:$CL$1,0)),"")</f>
        <v>16599.236215452802</v>
      </c>
      <c r="K216" s="7">
        <f>IFERROR(INDEX('Master data'!$B$2:$CL$1000,MATCH($B216,'Master data'!$A$2:$A$1000,0),MATCH(K$1,'Master data'!$B$1:$CL$1,0)),"")</f>
        <v>8117.931956145535</v>
      </c>
      <c r="L216" s="7">
        <f>IFERROR(INDEX('Master data'!$B$2:$CL$1000,MATCH($B216,'Master data'!$A$2:$A$1000,0),MATCH(L$1,'Master data'!$B$1:$CL$1,0)),"")</f>
        <v>3962.7491890898209</v>
      </c>
      <c r="M216" s="5">
        <f>IFERROR(INDEX('Master data'!$B$2:$CL$1000,MATCH($B216,'Master data'!$A$2:$A$1000,0),MATCH(M$1,'Master data'!$B$1:$CL$1,0)),"")</f>
        <v>159831.83686909653</v>
      </c>
      <c r="N216" s="28">
        <f>IFERROR(INDEX('Master data'!$B$2:$CL$1000,MATCH($B216,'Master data'!$A$2:$A$1000,0),MATCH(N$1,'Master data'!$B$1:$CL$1,0)),"")</f>
        <v>6.1924378675872208E-2</v>
      </c>
      <c r="O216" s="7">
        <f>IFERROR(INDEX('Master data'!$B$2:$CL$1000,MATCH($B216,'Master data'!$A$2:$A$1000,0),MATCH(O$1,'Master data'!$B$1:$CL$1,0)),"")</f>
        <v>0</v>
      </c>
      <c r="P216" s="5">
        <f>IFERROR(INDEX('Master data'!$B$2:$CL$1000,MATCH($B216,'Master data'!$A$2:$A$1000,0),MATCH(P$1,'Master data'!$B$1:$CL$1,0)),"")</f>
        <v>3500000</v>
      </c>
      <c r="Q216" s="5">
        <f>IFERROR(INDEX('Master data'!$B$2:$CL$1000,MATCH($B216,'Master data'!$A$2:$A$1000,0),MATCH(Q$1,'Master data'!$B$1:$CL$1,0)),"")</f>
        <v>3500000</v>
      </c>
    </row>
    <row r="217" spans="1:17" hidden="1">
      <c r="A217">
        <f t="shared" si="3"/>
        <v>215</v>
      </c>
      <c r="B217" t="str">
        <f>IF('Master data'!A217="","",'Master data'!A217)</f>
        <v>Teun Koopmeiners</v>
      </c>
      <c r="C217" t="str">
        <f>IFERROR(INDEX('Master data'!$B$2:$CL$1000,MATCH($B217,'Master data'!$A$2:$A$1000,0),MATCH(C$1,'Master data'!$B$1:$CL$1,0)),"")</f>
        <v>Netherlands</v>
      </c>
      <c r="D217" t="str">
        <f>IFERROR(INDEX('Master data'!$B$2:$CL$1000,MATCH($B217,'Master data'!$A$2:$A$1000,0),MATCH(D$1,'Master data'!$B$1:$CL$1,0)),"")</f>
        <v>Midfield</v>
      </c>
      <c r="E217" s="5">
        <f>IFERROR(INDEX('Master data'!$B$2:$CL$1000,MATCH($B217,'Master data'!$A$2:$A$1000,0),MATCH(E$1,'Master data'!$B$1:$CL$1,0)),"")</f>
        <v>2500000</v>
      </c>
      <c r="F217" s="7">
        <f>IFERROR(INDEX('Master data'!$B$2:$CL$1000,MATCH($B217,'Master data'!$A$2:$A$1000,0),MATCH(F$1,'Master data'!$B$1:$CL$1,0)),"")</f>
        <v>-5000</v>
      </c>
      <c r="G217" s="7">
        <f>IFERROR(INDEX('Master data'!$B$2:$CL$1000,MATCH($B217,'Master data'!$A$2:$A$1000,0),MATCH(G$1,'Master data'!$B$1:$CL$1,0)),"")</f>
        <v>-5000</v>
      </c>
      <c r="H217" s="7">
        <f>IFERROR(INDEX('Master data'!$B$2:$CL$1000,MATCH($B217,'Master data'!$A$2:$A$1000,0),MATCH(H$1,'Master data'!$B$1:$CL$1,0)),"")</f>
        <v>-5000</v>
      </c>
      <c r="I217" s="7">
        <f>IFERROR(INDEX('Master data'!$B$2:$CL$1000,MATCH($B217,'Master data'!$A$2:$A$1000,0),MATCH(I$1,'Master data'!$B$1:$CL$1,0)),"")</f>
        <v>-28858.367933348556</v>
      </c>
      <c r="J217" s="7">
        <f>IFERROR(INDEX('Master data'!$B$2:$CL$1000,MATCH($B217,'Master data'!$A$2:$A$1000,0),MATCH(J$1,'Master data'!$B$1:$CL$1,0)),"")</f>
        <v>-14398.278575448723</v>
      </c>
      <c r="K217" s="7">
        <f>IFERROR(INDEX('Master data'!$B$2:$CL$1000,MATCH($B217,'Master data'!$A$2:$A$1000,0),MATCH(K$1,'Master data'!$B$1:$CL$1,0)),"")</f>
        <v>-7180.731157790693</v>
      </c>
      <c r="L217" s="7">
        <f>IFERROR(INDEX('Master data'!$B$2:$CL$1000,MATCH($B217,'Master data'!$A$2:$A$1000,0),MATCH(L$1,'Master data'!$B$1:$CL$1,0)),"")</f>
        <v>-3576.1839403354215</v>
      </c>
      <c r="M217" s="5">
        <f>IFERROR(INDEX('Master data'!$B$2:$CL$1000,MATCH($B217,'Master data'!$A$2:$A$1000,0),MATCH(M$1,'Master data'!$B$1:$CL$1,0)),"")</f>
        <v>-23209.856724001755</v>
      </c>
      <c r="N217" s="28">
        <f>IFERROR(INDEX('Master data'!$B$2:$CL$1000,MATCH($B217,'Master data'!$A$2:$A$1000,0),MATCH(N$1,'Master data'!$B$1:$CL$1,0)),"")</f>
        <v>-6.0000000000000001E-3</v>
      </c>
      <c r="O217" s="7">
        <f>IFERROR(INDEX('Master data'!$B$2:$CL$1000,MATCH($B217,'Master data'!$A$2:$A$1000,0),MATCH(O$1,'Master data'!$B$1:$CL$1,0)),"")</f>
        <v>0</v>
      </c>
      <c r="P217" s="5">
        <f>IFERROR(INDEX('Master data'!$B$2:$CL$1000,MATCH($B217,'Master data'!$A$2:$A$1000,0),MATCH(P$1,'Master data'!$B$1:$CL$1,0)),"")</f>
        <v>2500000</v>
      </c>
      <c r="Q217" s="5">
        <f>IFERROR(INDEX('Master data'!$B$2:$CL$1000,MATCH($B217,'Master data'!$A$2:$A$1000,0),MATCH(Q$1,'Master data'!$B$1:$CL$1,0)),"")</f>
        <v>2500000</v>
      </c>
    </row>
    <row r="218" spans="1:17" hidden="1">
      <c r="A218">
        <f t="shared" si="3"/>
        <v>216</v>
      </c>
      <c r="B218" t="str">
        <f>IF('Master data'!A218="","",'Master data'!A218)</f>
        <v>Wout Weghorst</v>
      </c>
      <c r="C218" t="str">
        <f>IFERROR(INDEX('Master data'!$B$2:$CL$1000,MATCH($B218,'Master data'!$A$2:$A$1000,0),MATCH(C$1,'Master data'!$B$1:$CL$1,0)),"")</f>
        <v>Netherlands</v>
      </c>
      <c r="D218" t="str">
        <f>IFERROR(INDEX('Master data'!$B$2:$CL$1000,MATCH($B218,'Master data'!$A$2:$A$1000,0),MATCH(D$1,'Master data'!$B$1:$CL$1,0)),"")</f>
        <v>Striker</v>
      </c>
      <c r="E218" s="5">
        <f>IFERROR(INDEX('Master data'!$B$2:$CL$1000,MATCH($B218,'Master data'!$A$2:$A$1000,0),MATCH(E$1,'Master data'!$B$1:$CL$1,0)),"")</f>
        <v>5000000</v>
      </c>
      <c r="F218" s="7">
        <f>IFERROR(INDEX('Master data'!$B$2:$CL$1000,MATCH($B218,'Master data'!$A$2:$A$1000,0),MATCH(F$1,'Master data'!$B$1:$CL$1,0)),"")</f>
        <v>-5000</v>
      </c>
      <c r="G218" s="7">
        <f>IFERROR(INDEX('Master data'!$B$2:$CL$1000,MATCH($B218,'Master data'!$A$2:$A$1000,0),MATCH(G$1,'Master data'!$B$1:$CL$1,0)),"")</f>
        <v>-5000</v>
      </c>
      <c r="H218" s="7">
        <f>IFERROR(INDEX('Master data'!$B$2:$CL$1000,MATCH($B218,'Master data'!$A$2:$A$1000,0),MATCH(H$1,'Master data'!$B$1:$CL$1,0)),"")</f>
        <v>-5000</v>
      </c>
      <c r="I218" s="7">
        <f>IFERROR(INDEX('Master data'!$B$2:$CL$1000,MATCH($B218,'Master data'!$A$2:$A$1000,0),MATCH(I$1,'Master data'!$B$1:$CL$1,0)),"")</f>
        <v>-53027.855314712506</v>
      </c>
      <c r="J218" s="7">
        <f>IFERROR(INDEX('Master data'!$B$2:$CL$1000,MATCH($B218,'Master data'!$A$2:$A$1000,0),MATCH(J$1,'Master data'!$B$1:$CL$1,0)),"")</f>
        <v>-26477.371340086916</v>
      </c>
      <c r="K218" s="7">
        <f>IFERROR(INDEX('Master data'!$B$2:$CL$1000,MATCH($B218,'Master data'!$A$2:$A$1000,0),MATCH(K$1,'Master data'!$B$1:$CL$1,0)),"")</f>
        <v>-13214.95902148035</v>
      </c>
      <c r="L218" s="7">
        <f>IFERROR(INDEX('Master data'!$B$2:$CL$1000,MATCH($B218,'Master data'!$A$2:$A$1000,0),MATCH(L$1,'Master data'!$B$1:$CL$1,0)),"")</f>
        <v>-6586.439782368604</v>
      </c>
      <c r="M218" s="5">
        <f>IFERROR(INDEX('Master data'!$B$2:$CL$1000,MATCH($B218,'Master data'!$A$2:$A$1000,0),MATCH(M$1,'Master data'!$B$1:$CL$1,0)),"")</f>
        <v>-33816.085642090693</v>
      </c>
      <c r="N218" s="28">
        <f>IFERROR(INDEX('Master data'!$B$2:$CL$1000,MATCH($B218,'Master data'!$A$2:$A$1000,0),MATCH(N$1,'Master data'!$B$1:$CL$1,0)),"")</f>
        <v>-3.0000000000000001E-3</v>
      </c>
      <c r="O218" s="7">
        <f>IFERROR(INDEX('Master data'!$B$2:$CL$1000,MATCH($B218,'Master data'!$A$2:$A$1000,0),MATCH(O$1,'Master data'!$B$1:$CL$1,0)),"")</f>
        <v>0</v>
      </c>
      <c r="P218" s="5">
        <f>IFERROR(INDEX('Master data'!$B$2:$CL$1000,MATCH($B218,'Master data'!$A$2:$A$1000,0),MATCH(P$1,'Master data'!$B$1:$CL$1,0)),"")</f>
        <v>5000000</v>
      </c>
      <c r="Q218" s="5">
        <f>IFERROR(INDEX('Master data'!$B$2:$CL$1000,MATCH($B218,'Master data'!$A$2:$A$1000,0),MATCH(Q$1,'Master data'!$B$1:$CL$1,0)),"")</f>
        <v>5000000</v>
      </c>
    </row>
    <row r="219" spans="1:17" hidden="1">
      <c r="A219">
        <f t="shared" si="3"/>
        <v>217</v>
      </c>
      <c r="B219" t="str">
        <f>IF('Master data'!A219="","",'Master data'!A219)</f>
        <v>Robin Gosens</v>
      </c>
      <c r="C219" t="str">
        <f>IFERROR(INDEX('Master data'!$B$2:$CL$1000,MATCH($B219,'Master data'!$A$2:$A$1000,0),MATCH(C$1,'Master data'!$B$1:$CL$1,0)),"")</f>
        <v>Germany</v>
      </c>
      <c r="D219" t="str">
        <f>IFERROR(INDEX('Master data'!$B$2:$CL$1000,MATCH($B219,'Master data'!$A$2:$A$1000,0),MATCH(D$1,'Master data'!$B$1:$CL$1,0)),"")</f>
        <v>Defense</v>
      </c>
      <c r="E219" s="5">
        <f>IFERROR(INDEX('Master data'!$B$2:$CL$1000,MATCH($B219,'Master data'!$A$2:$A$1000,0),MATCH(E$1,'Master data'!$B$1:$CL$1,0)),"")</f>
        <v>5000000</v>
      </c>
      <c r="F219" s="7">
        <f>IFERROR(INDEX('Master data'!$B$2:$CL$1000,MATCH($B219,'Master data'!$A$2:$A$1000,0),MATCH(F$1,'Master data'!$B$1:$CL$1,0)),"")</f>
        <v>51138.104365527091</v>
      </c>
      <c r="G219" s="7">
        <f>IFERROR(INDEX('Master data'!$B$2:$CL$1000,MATCH($B219,'Master data'!$A$2:$A$1000,0),MATCH(G$1,'Master data'!$B$1:$CL$1,0)),"")</f>
        <v>60797.225204365015</v>
      </c>
      <c r="H219" s="7">
        <f>IFERROR(INDEX('Master data'!$B$2:$CL$1000,MATCH($B219,'Master data'!$A$2:$A$1000,0),MATCH(H$1,'Master data'!$B$1:$CL$1,0)),"")</f>
        <v>119062.7161365097</v>
      </c>
      <c r="I219" s="7">
        <f>IFERROR(INDEX('Master data'!$B$2:$CL$1000,MATCH($B219,'Master data'!$A$2:$A$1000,0),MATCH(I$1,'Master data'!$B$1:$CL$1,0)),"")</f>
        <v>21984.766301122469</v>
      </c>
      <c r="J219" s="7">
        <f>IFERROR(INDEX('Master data'!$B$2:$CL$1000,MATCH($B219,'Master data'!$A$2:$A$1000,0),MATCH(J$1,'Master data'!$B$1:$CL$1,0)),"")</f>
        <v>10824.175456991228</v>
      </c>
      <c r="K219" s="7">
        <f>IFERROR(INDEX('Master data'!$B$2:$CL$1000,MATCH($B219,'Master data'!$A$2:$A$1000,0),MATCH(K$1,'Master data'!$B$1:$CL$1,0)),"")</f>
        <v>5396.9187652678138</v>
      </c>
      <c r="L219" s="7">
        <f>IFERROR(INDEX('Master data'!$B$2:$CL$1000,MATCH($B219,'Master data'!$A$2:$A$1000,0),MATCH(L$1,'Master data'!$B$1:$CL$1,0)),"")</f>
        <v>2806.9757575373951</v>
      </c>
      <c r="M219" s="5">
        <f>IFERROR(INDEX('Master data'!$B$2:$CL$1000,MATCH($B219,'Master data'!$A$2:$A$1000,0),MATCH(M$1,'Master data'!$B$1:$CL$1,0)),"")</f>
        <v>154195.5980751949</v>
      </c>
      <c r="N219" s="28">
        <f>IFERROR(INDEX('Master data'!$B$2:$CL$1000,MATCH($B219,'Master data'!$A$2:$A$1000,0),MATCH(N$1,'Master data'!$B$1:$CL$1,0)),"")</f>
        <v>4.6199609141280365E-2</v>
      </c>
      <c r="O219" s="7">
        <f>IFERROR(INDEX('Master data'!$B$2:$CL$1000,MATCH($B219,'Master data'!$A$2:$A$1000,0),MATCH(O$1,'Master data'!$B$1:$CL$1,0)),"")</f>
        <v>0</v>
      </c>
      <c r="P219" s="5">
        <f>IFERROR(INDEX('Master data'!$B$2:$CL$1000,MATCH($B219,'Master data'!$A$2:$A$1000,0),MATCH(P$1,'Master data'!$B$1:$CL$1,0)),"")</f>
        <v>5000000</v>
      </c>
      <c r="Q219" s="5">
        <f>IFERROR(INDEX('Master data'!$B$2:$CL$1000,MATCH($B219,'Master data'!$A$2:$A$1000,0),MATCH(Q$1,'Master data'!$B$1:$CL$1,0)),"")</f>
        <v>5000000</v>
      </c>
    </row>
    <row r="220" spans="1:17" hidden="1">
      <c r="A220">
        <f t="shared" si="3"/>
        <v>218</v>
      </c>
      <c r="B220" t="str">
        <f>IF('Master data'!A220="","",'Master data'!A220)</f>
        <v>Emre Can</v>
      </c>
      <c r="C220" t="str">
        <f>IFERROR(INDEX('Master data'!$B$2:$CL$1000,MATCH($B220,'Master data'!$A$2:$A$1000,0),MATCH(C$1,'Master data'!$B$1:$CL$1,0)),"")</f>
        <v>Germany</v>
      </c>
      <c r="D220" t="str">
        <f>IFERROR(INDEX('Master data'!$B$2:$CL$1000,MATCH($B220,'Master data'!$A$2:$A$1000,0),MATCH(D$1,'Master data'!$B$1:$CL$1,0)),"")</f>
        <v>Defense</v>
      </c>
      <c r="E220" s="5">
        <f>IFERROR(INDEX('Master data'!$B$2:$CL$1000,MATCH($B220,'Master data'!$A$2:$A$1000,0),MATCH(E$1,'Master data'!$B$1:$CL$1,0)),"")</f>
        <v>4000000</v>
      </c>
      <c r="F220" s="7">
        <f>IFERROR(INDEX('Master data'!$B$2:$CL$1000,MATCH($B220,'Master data'!$A$2:$A$1000,0),MATCH(F$1,'Master data'!$B$1:$CL$1,0)),"")</f>
        <v>9489.18764664849</v>
      </c>
      <c r="G220" s="7">
        <f>IFERROR(INDEX('Master data'!$B$2:$CL$1000,MATCH($B220,'Master data'!$A$2:$A$1000,0),MATCH(G$1,'Master data'!$B$1:$CL$1,0)),"")</f>
        <v>10654.791771199194</v>
      </c>
      <c r="H220" s="7">
        <f>IFERROR(INDEX('Master data'!$B$2:$CL$1000,MATCH($B220,'Master data'!$A$2:$A$1000,0),MATCH(H$1,'Master data'!$B$1:$CL$1,0)),"")</f>
        <v>20163.959116246748</v>
      </c>
      <c r="I220" s="7">
        <f>IFERROR(INDEX('Master data'!$B$2:$CL$1000,MATCH($B220,'Master data'!$A$2:$A$1000,0),MATCH(I$1,'Master data'!$B$1:$CL$1,0)),"")</f>
        <v>-24012.983477959657</v>
      </c>
      <c r="J220" s="7">
        <f>IFERROR(INDEX('Master data'!$B$2:$CL$1000,MATCH($B220,'Master data'!$A$2:$A$1000,0),MATCH(J$1,'Master data'!$B$1:$CL$1,0)),"")</f>
        <v>-12264.156533563193</v>
      </c>
      <c r="K220" s="7">
        <f>IFERROR(INDEX('Master data'!$B$2:$CL$1000,MATCH($B220,'Master data'!$A$2:$A$1000,0),MATCH(K$1,'Master data'!$B$1:$CL$1,0)),"")</f>
        <v>-6349.6084090788963</v>
      </c>
      <c r="L220" s="7">
        <f>IFERROR(INDEX('Master data'!$B$2:$CL$1000,MATCH($B220,'Master data'!$A$2:$A$1000,0),MATCH(L$1,'Master data'!$B$1:$CL$1,0)),"")</f>
        <v>-3432.9549514870278</v>
      </c>
      <c r="M220" s="5">
        <f>IFERROR(INDEX('Master data'!$B$2:$CL$1000,MATCH($B220,'Master data'!$A$2:$A$1000,0),MATCH(M$1,'Master data'!$B$1:$CL$1,0)),"")</f>
        <v>14879.087589347562</v>
      </c>
      <c r="N220" s="28">
        <f>IFERROR(INDEX('Master data'!$B$2:$CL$1000,MATCH($B220,'Master data'!$A$2:$A$1000,0),MATCH(N$1,'Master data'!$B$1:$CL$1,0)),"")</f>
        <v>1.0076984633523607E-2</v>
      </c>
      <c r="O220" s="7">
        <f>IFERROR(INDEX('Master data'!$B$2:$CL$1000,MATCH($B220,'Master data'!$A$2:$A$1000,0),MATCH(O$1,'Master data'!$B$1:$CL$1,0)),"")</f>
        <v>0</v>
      </c>
      <c r="P220" s="5">
        <f>IFERROR(INDEX('Master data'!$B$2:$CL$1000,MATCH($B220,'Master data'!$A$2:$A$1000,0),MATCH(P$1,'Master data'!$B$1:$CL$1,0)),"")</f>
        <v>4000000</v>
      </c>
      <c r="Q220" s="5">
        <f>IFERROR(INDEX('Master data'!$B$2:$CL$1000,MATCH($B220,'Master data'!$A$2:$A$1000,0),MATCH(Q$1,'Master data'!$B$1:$CL$1,0)),"")</f>
        <v>4000000</v>
      </c>
    </row>
    <row r="221" spans="1:17" hidden="1">
      <c r="A221">
        <f t="shared" si="3"/>
        <v>219</v>
      </c>
      <c r="B221" t="str">
        <f>IF('Master data'!A221="","",'Master data'!A221)</f>
        <v>Lukas Klostermann</v>
      </c>
      <c r="C221" t="str">
        <f>IFERROR(INDEX('Master data'!$B$2:$CL$1000,MATCH($B221,'Master data'!$A$2:$A$1000,0),MATCH(C$1,'Master data'!$B$1:$CL$1,0)),"")</f>
        <v>Germany</v>
      </c>
      <c r="D221" t="str">
        <f>IFERROR(INDEX('Master data'!$B$2:$CL$1000,MATCH($B221,'Master data'!$A$2:$A$1000,0),MATCH(D$1,'Master data'!$B$1:$CL$1,0)),"")</f>
        <v>Defense</v>
      </c>
      <c r="E221" s="5">
        <f>IFERROR(INDEX('Master data'!$B$2:$CL$1000,MATCH($B221,'Master data'!$A$2:$A$1000,0),MATCH(E$1,'Master data'!$B$1:$CL$1,0)),"")</f>
        <v>3500000</v>
      </c>
      <c r="F221" s="7">
        <f>IFERROR(INDEX('Master data'!$B$2:$CL$1000,MATCH($B221,'Master data'!$A$2:$A$1000,0),MATCH(F$1,'Master data'!$B$1:$CL$1,0)),"")</f>
        <v>9489.18764664849</v>
      </c>
      <c r="G221" s="7">
        <f>IFERROR(INDEX('Master data'!$B$2:$CL$1000,MATCH($B221,'Master data'!$A$2:$A$1000,0),MATCH(G$1,'Master data'!$B$1:$CL$1,0)),"")</f>
        <v>10654.791771199194</v>
      </c>
      <c r="H221" s="7">
        <f>IFERROR(INDEX('Master data'!$B$2:$CL$1000,MATCH($B221,'Master data'!$A$2:$A$1000,0),MATCH(H$1,'Master data'!$B$1:$CL$1,0)),"")</f>
        <v>20163.959116246748</v>
      </c>
      <c r="I221" s="7">
        <f>IFERROR(INDEX('Master data'!$B$2:$CL$1000,MATCH($B221,'Master data'!$A$2:$A$1000,0),MATCH(I$1,'Master data'!$B$1:$CL$1,0)),"")</f>
        <v>-19560.709486655771</v>
      </c>
      <c r="J221" s="7">
        <f>IFERROR(INDEX('Master data'!$B$2:$CL$1000,MATCH($B221,'Master data'!$A$2:$A$1000,0),MATCH(J$1,'Master data'!$B$1:$CL$1,0)),"")</f>
        <v>-10001.51889645634</v>
      </c>
      <c r="K221" s="7">
        <f>IFERROR(INDEX('Master data'!$B$2:$CL$1000,MATCH($B221,'Master data'!$A$2:$A$1000,0),MATCH(K$1,'Master data'!$B$1:$CL$1,0)),"")</f>
        <v>-5183.9360456267323</v>
      </c>
      <c r="L221" s="7">
        <f>IFERROR(INDEX('Master data'!$B$2:$CL$1000,MATCH($B221,'Master data'!$A$2:$A$1000,0),MATCH(L$1,'Master data'!$B$1:$CL$1,0)),"")</f>
        <v>-2805.8207776546778</v>
      </c>
      <c r="M221" s="5">
        <f>IFERROR(INDEX('Master data'!$B$2:$CL$1000,MATCH($B221,'Master data'!$A$2:$A$1000,0),MATCH(M$1,'Master data'!$B$1:$CL$1,0)),"")</f>
        <v>16853.781877251135</v>
      </c>
      <c r="N221" s="28">
        <f>IFERROR(INDEX('Master data'!$B$2:$CL$1000,MATCH($B221,'Master data'!$A$2:$A$1000,0),MATCH(N$1,'Master data'!$B$1:$CL$1,0)),"")</f>
        <v>1.1516553866884122E-2</v>
      </c>
      <c r="O221" s="7">
        <f>IFERROR(INDEX('Master data'!$B$2:$CL$1000,MATCH($B221,'Master data'!$A$2:$A$1000,0),MATCH(O$1,'Master data'!$B$1:$CL$1,0)),"")</f>
        <v>0</v>
      </c>
      <c r="P221" s="5">
        <f>IFERROR(INDEX('Master data'!$B$2:$CL$1000,MATCH($B221,'Master data'!$A$2:$A$1000,0),MATCH(P$1,'Master data'!$B$1:$CL$1,0)),"")</f>
        <v>3500000</v>
      </c>
      <c r="Q221" s="5">
        <f>IFERROR(INDEX('Master data'!$B$2:$CL$1000,MATCH($B221,'Master data'!$A$2:$A$1000,0),MATCH(Q$1,'Master data'!$B$1:$CL$1,0)),"")</f>
        <v>3500000</v>
      </c>
    </row>
    <row r="222" spans="1:17" hidden="1">
      <c r="A222">
        <f t="shared" si="3"/>
        <v>220</v>
      </c>
      <c r="B222" t="str">
        <f>IF('Master data'!A222="","",'Master data'!A222)</f>
        <v xml:space="preserve">Sam  Johnstone </v>
      </c>
      <c r="C222" t="str">
        <f>IFERROR(INDEX('Master data'!$B$2:$CL$1000,MATCH($B222,'Master data'!$A$2:$A$1000,0),MATCH(C$1,'Master data'!$B$1:$CL$1,0)),"")</f>
        <v>England</v>
      </c>
      <c r="D222" t="str">
        <f>IFERROR(INDEX('Master data'!$B$2:$CL$1000,MATCH($B222,'Master data'!$A$2:$A$1000,0),MATCH(D$1,'Master data'!$B$1:$CL$1,0)),"")</f>
        <v>Goalkeeper</v>
      </c>
      <c r="E222" s="5">
        <f>IFERROR(INDEX('Master data'!$B$2:$CL$1000,MATCH($B222,'Master data'!$A$2:$A$1000,0),MATCH(E$1,'Master data'!$B$1:$CL$1,0)),"")</f>
        <v>5000000</v>
      </c>
      <c r="F222" s="7">
        <f>IFERROR(INDEX('Master data'!$B$2:$CL$1000,MATCH($B222,'Master data'!$A$2:$A$1000,0),MATCH(F$1,'Master data'!$B$1:$CL$1,0)),"")</f>
        <v>38990.403922652491</v>
      </c>
      <c r="G222" s="7">
        <f>IFERROR(INDEX('Master data'!$B$2:$CL$1000,MATCH($B222,'Master data'!$A$2:$A$1000,0),MATCH(G$1,'Master data'!$B$1:$CL$1,0)),"")</f>
        <v>41155.39008712049</v>
      </c>
      <c r="H222" s="7">
        <f>IFERROR(INDEX('Master data'!$B$2:$CL$1000,MATCH($B222,'Master data'!$A$2:$A$1000,0),MATCH(H$1,'Master data'!$B$1:$CL$1,0)),"")</f>
        <v>37265.820206774355</v>
      </c>
      <c r="I222" s="7">
        <f>IFERROR(INDEX('Master data'!$B$2:$CL$1000,MATCH($B222,'Master data'!$A$2:$A$1000,0),MATCH(I$1,'Master data'!$B$1:$CL$1,0)),"")</f>
        <v>-11527.255742894462</v>
      </c>
      <c r="J222" s="7">
        <f>IFERROR(INDEX('Master data'!$B$2:$CL$1000,MATCH($B222,'Master data'!$A$2:$A$1000,0),MATCH(J$1,'Master data'!$B$1:$CL$1,0)),"")</f>
        <v>-6142.8939293959693</v>
      </c>
      <c r="K222" s="7">
        <f>IFERROR(INDEX('Master data'!$B$2:$CL$1000,MATCH($B222,'Master data'!$A$2:$A$1000,0),MATCH(K$1,'Master data'!$B$1:$CL$1,0)),"")</f>
        <v>-3354.4340655897463</v>
      </c>
      <c r="L222" s="7">
        <f>IFERROR(INDEX('Master data'!$B$2:$CL$1000,MATCH($B222,'Master data'!$A$2:$A$1000,0),MATCH(L$1,'Master data'!$B$1:$CL$1,0)),"")</f>
        <v>-1975.9384938384644</v>
      </c>
      <c r="M222" s="5">
        <f>IFERROR(INDEX('Master data'!$B$2:$CL$1000,MATCH($B222,'Master data'!$A$2:$A$1000,0),MATCH(M$1,'Master data'!$B$1:$CL$1,0)),"")</f>
        <v>77745.81630829713</v>
      </c>
      <c r="N222" s="28">
        <f>IFERROR(INDEX('Master data'!$B$2:$CL$1000,MATCH($B222,'Master data'!$A$2:$A$1000,0),MATCH(N$1,'Master data'!$B$1:$CL$1,0)),"")</f>
        <v>2.3482322843309467E-2</v>
      </c>
      <c r="O222" s="7">
        <f>IFERROR(INDEX('Master data'!$B$2:$CL$1000,MATCH($B222,'Master data'!$A$2:$A$1000,0),MATCH(O$1,'Master data'!$B$1:$CL$1,0)),"")</f>
        <v>0</v>
      </c>
      <c r="P222" s="5">
        <f>IFERROR(INDEX('Master data'!$B$2:$CL$1000,MATCH($B222,'Master data'!$A$2:$A$1000,0),MATCH(P$1,'Master data'!$B$1:$CL$1,0)),"")</f>
        <v>5000000</v>
      </c>
      <c r="Q222" s="5">
        <f>IFERROR(INDEX('Master data'!$B$2:$CL$1000,MATCH($B222,'Master data'!$A$2:$A$1000,0),MATCH(Q$1,'Master data'!$B$1:$CL$1,0)),"")</f>
        <v>5000000</v>
      </c>
    </row>
    <row r="223" spans="1:17" hidden="1">
      <c r="A223">
        <f t="shared" si="3"/>
        <v>221</v>
      </c>
      <c r="B223" t="str">
        <f>IF('Master data'!A223="","",'Master data'!A223)</f>
        <v>Anthony Lopes</v>
      </c>
      <c r="C223" t="str">
        <f>IFERROR(INDEX('Master data'!$B$2:$CL$1000,MATCH($B223,'Master data'!$A$2:$A$1000,0),MATCH(C$1,'Master data'!$B$1:$CL$1,0)),"")</f>
        <v>Portugal</v>
      </c>
      <c r="D223" t="str">
        <f>IFERROR(INDEX('Master data'!$B$2:$CL$1000,MATCH($B223,'Master data'!$A$2:$A$1000,0),MATCH(D$1,'Master data'!$B$1:$CL$1,0)),"")</f>
        <v>Goalkeeper</v>
      </c>
      <c r="E223" s="5">
        <f>IFERROR(INDEX('Master data'!$B$2:$CL$1000,MATCH($B223,'Master data'!$A$2:$A$1000,0),MATCH(E$1,'Master data'!$B$1:$CL$1,0)),"")</f>
        <v>5000000</v>
      </c>
      <c r="F223" s="7">
        <f>IFERROR(INDEX('Master data'!$B$2:$CL$1000,MATCH($B223,'Master data'!$A$2:$A$1000,0),MATCH(F$1,'Master data'!$B$1:$CL$1,0)),"")</f>
        <v>75115.360974903175</v>
      </c>
      <c r="G223" s="7">
        <f>IFERROR(INDEX('Master data'!$B$2:$CL$1000,MATCH($B223,'Master data'!$A$2:$A$1000,0),MATCH(G$1,'Master data'!$B$1:$CL$1,0)),"")</f>
        <v>40658.044221851422</v>
      </c>
      <c r="H223" s="7">
        <f>IFERROR(INDEX('Master data'!$B$2:$CL$1000,MATCH($B223,'Master data'!$A$2:$A$1000,0),MATCH(H$1,'Master data'!$B$1:$CL$1,0)),"")</f>
        <v>40946.39098253769</v>
      </c>
      <c r="I223" s="7">
        <f>IFERROR(INDEX('Master data'!$B$2:$CL$1000,MATCH($B223,'Master data'!$A$2:$A$1000,0),MATCH(I$1,'Master data'!$B$1:$CL$1,0)),"")</f>
        <v>505.85541352662892</v>
      </c>
      <c r="J223" s="7">
        <f>IFERROR(INDEX('Master data'!$B$2:$CL$1000,MATCH($B223,'Master data'!$A$2:$A$1000,0),MATCH(J$1,'Master data'!$B$1:$CL$1,0)),"")</f>
        <v>57.607336488066856</v>
      </c>
      <c r="K223" s="7">
        <f>IFERROR(INDEX('Master data'!$B$2:$CL$1000,MATCH($B223,'Master data'!$A$2:$A$1000,0),MATCH(K$1,'Master data'!$B$1:$CL$1,0)),"")</f>
        <v>-73.816035847117064</v>
      </c>
      <c r="L223" s="7">
        <f>IFERROR(INDEX('Master data'!$B$2:$CL$1000,MATCH($B223,'Master data'!$A$2:$A$1000,0),MATCH(L$1,'Master data'!$B$1:$CL$1,0)),"")</f>
        <v>-96.570743996126922</v>
      </c>
      <c r="M223" s="5">
        <f>IFERROR(INDEX('Master data'!$B$2:$CL$1000,MATCH($B223,'Master data'!$A$2:$A$1000,0),MATCH(M$1,'Master data'!$B$1:$CL$1,0)),"")</f>
        <v>120562.18337391685</v>
      </c>
      <c r="N223" s="28">
        <f>IFERROR(INDEX('Master data'!$B$2:$CL$1000,MATCH($B223,'Master data'!$A$2:$A$1000,0),MATCH(N$1,'Master data'!$B$1:$CL$1,0)),"")</f>
        <v>3.1343959235858455E-2</v>
      </c>
      <c r="O223" s="7">
        <f>IFERROR(INDEX('Master data'!$B$2:$CL$1000,MATCH($B223,'Master data'!$A$2:$A$1000,0),MATCH(O$1,'Master data'!$B$1:$CL$1,0)),"")</f>
        <v>0</v>
      </c>
      <c r="P223" s="5">
        <f>IFERROR(INDEX('Master data'!$B$2:$CL$1000,MATCH($B223,'Master data'!$A$2:$A$1000,0),MATCH(P$1,'Master data'!$B$1:$CL$1,0)),"")</f>
        <v>5000000</v>
      </c>
      <c r="Q223" s="5">
        <f>IFERROR(INDEX('Master data'!$B$2:$CL$1000,MATCH($B223,'Master data'!$A$2:$A$1000,0),MATCH(Q$1,'Master data'!$B$1:$CL$1,0)),"")</f>
        <v>5000000</v>
      </c>
    </row>
    <row r="224" spans="1:17" hidden="1">
      <c r="A224">
        <f t="shared" si="3"/>
        <v>222</v>
      </c>
      <c r="B224" t="str">
        <f>IF('Master data'!A224="","",'Master data'!A224)</f>
        <v>Nuno Mendes</v>
      </c>
      <c r="C224" t="str">
        <f>IFERROR(INDEX('Master data'!$B$2:$CL$1000,MATCH($B224,'Master data'!$A$2:$A$1000,0),MATCH(C$1,'Master data'!$B$1:$CL$1,0)),"")</f>
        <v>Portugal</v>
      </c>
      <c r="D224" t="str">
        <f>IFERROR(INDEX('Master data'!$B$2:$CL$1000,MATCH($B224,'Master data'!$A$2:$A$1000,0),MATCH(D$1,'Master data'!$B$1:$CL$1,0)),"")</f>
        <v>Defense</v>
      </c>
      <c r="E224" s="5">
        <f>IFERROR(INDEX('Master data'!$B$2:$CL$1000,MATCH($B224,'Master data'!$A$2:$A$1000,0),MATCH(E$1,'Master data'!$B$1:$CL$1,0)),"")</f>
        <v>3500000</v>
      </c>
      <c r="F224" s="7">
        <f>IFERROR(INDEX('Master data'!$B$2:$CL$1000,MATCH($B224,'Master data'!$A$2:$A$1000,0),MATCH(F$1,'Master data'!$B$1:$CL$1,0)),"")</f>
        <v>75656.039846247397</v>
      </c>
      <c r="G224" s="7">
        <f>IFERROR(INDEX('Master data'!$B$2:$CL$1000,MATCH($B224,'Master data'!$A$2:$A$1000,0),MATCH(G$1,'Master data'!$B$1:$CL$1,0)),"")</f>
        <v>33773.869711670559</v>
      </c>
      <c r="H224" s="7">
        <f>IFERROR(INDEX('Master data'!$B$2:$CL$1000,MATCH($B224,'Master data'!$A$2:$A$1000,0),MATCH(H$1,'Master data'!$B$1:$CL$1,0)),"")</f>
        <v>32455.496850909887</v>
      </c>
      <c r="I224" s="7">
        <f>IFERROR(INDEX('Master data'!$B$2:$CL$1000,MATCH($B224,'Master data'!$A$2:$A$1000,0),MATCH(I$1,'Master data'!$B$1:$CL$1,0)),"")</f>
        <v>8178.3067702592116</v>
      </c>
      <c r="J224" s="7">
        <f>IFERROR(INDEX('Master data'!$B$2:$CL$1000,MATCH($B224,'Master data'!$A$2:$A$1000,0),MATCH(J$1,'Master data'!$B$1:$CL$1,0)),"")</f>
        <v>3986.4903205012665</v>
      </c>
      <c r="K224" s="7">
        <f>IFERROR(INDEX('Master data'!$B$2:$CL$1000,MATCH($B224,'Master data'!$A$2:$A$1000,0),MATCH(K$1,'Master data'!$B$1:$CL$1,0)),"")</f>
        <v>1970.1452426961534</v>
      </c>
      <c r="L224" s="7">
        <f>IFERROR(INDEX('Master data'!$B$2:$CL$1000,MATCH($B224,'Master data'!$A$2:$A$1000,0),MATCH(L$1,'Master data'!$B$1:$CL$1,0)),"")</f>
        <v>1021.0706453239967</v>
      </c>
      <c r="M224" s="5">
        <f>IFERROR(INDEX('Master data'!$B$2:$CL$1000,MATCH($B224,'Master data'!$A$2:$A$1000,0),MATCH(M$1,'Master data'!$B$1:$CL$1,0)),"")</f>
        <v>116156.35945213826</v>
      </c>
      <c r="N224" s="28">
        <f>IFERROR(INDEX('Master data'!$B$2:$CL$1000,MATCH($B224,'Master data'!$A$2:$A$1000,0),MATCH(N$1,'Master data'!$B$1:$CL$1,0)),"")</f>
        <v>4.0538687545379384E-2</v>
      </c>
      <c r="O224" s="7">
        <f>IFERROR(INDEX('Master data'!$B$2:$CL$1000,MATCH($B224,'Master data'!$A$2:$A$1000,0),MATCH(O$1,'Master data'!$B$1:$CL$1,0)),"")</f>
        <v>0</v>
      </c>
      <c r="P224" s="5">
        <f>IFERROR(INDEX('Master data'!$B$2:$CL$1000,MATCH($B224,'Master data'!$A$2:$A$1000,0),MATCH(P$1,'Master data'!$B$1:$CL$1,0)),"")</f>
        <v>3500000</v>
      </c>
      <c r="Q224" s="5">
        <f>IFERROR(INDEX('Master data'!$B$2:$CL$1000,MATCH($B224,'Master data'!$A$2:$A$1000,0),MATCH(Q$1,'Master data'!$B$1:$CL$1,0)),"")</f>
        <v>3500000</v>
      </c>
    </row>
    <row r="225" spans="1:17" hidden="1">
      <c r="A225">
        <f t="shared" si="3"/>
        <v>223</v>
      </c>
      <c r="B225" t="str">
        <f>IF('Master data'!A225="","",'Master data'!A225)</f>
        <v>Pepe</v>
      </c>
      <c r="C225" t="str">
        <f>IFERROR(INDEX('Master data'!$B$2:$CL$1000,MATCH($B225,'Master data'!$A$2:$A$1000,0),MATCH(C$1,'Master data'!$B$1:$CL$1,0)),"")</f>
        <v>Portugal</v>
      </c>
      <c r="D225" t="str">
        <f>IFERROR(INDEX('Master data'!$B$2:$CL$1000,MATCH($B225,'Master data'!$A$2:$A$1000,0),MATCH(D$1,'Master data'!$B$1:$CL$1,0)),"")</f>
        <v>Defense</v>
      </c>
      <c r="E225" s="5">
        <f>IFERROR(INDEX('Master data'!$B$2:$CL$1000,MATCH($B225,'Master data'!$A$2:$A$1000,0),MATCH(E$1,'Master data'!$B$1:$CL$1,0)),"")</f>
        <v>2500000</v>
      </c>
      <c r="F225" s="7">
        <f>IFERROR(INDEX('Master data'!$B$2:$CL$1000,MATCH($B225,'Master data'!$A$2:$A$1000,0),MATCH(F$1,'Master data'!$B$1:$CL$1,0)),"")</f>
        <v>65322.51642827109</v>
      </c>
      <c r="G225" s="7">
        <f>IFERROR(INDEX('Master data'!$B$2:$CL$1000,MATCH($B225,'Master data'!$A$2:$A$1000,0),MATCH(G$1,'Master data'!$B$1:$CL$1,0)),"")</f>
        <v>27908.771641205927</v>
      </c>
      <c r="H225" s="7">
        <f>IFERROR(INDEX('Master data'!$B$2:$CL$1000,MATCH($B225,'Master data'!$A$2:$A$1000,0),MATCH(H$1,'Master data'!$B$1:$CL$1,0)),"")</f>
        <v>27708.899903664369</v>
      </c>
      <c r="I225" s="7">
        <f>IFERROR(INDEX('Master data'!$B$2:$CL$1000,MATCH($B225,'Master data'!$A$2:$A$1000,0),MATCH(I$1,'Master data'!$B$1:$CL$1,0)),"")</f>
        <v>10605.351795119714</v>
      </c>
      <c r="J225" s="7">
        <f>IFERROR(INDEX('Master data'!$B$2:$CL$1000,MATCH($B225,'Master data'!$A$2:$A$1000,0),MATCH(J$1,'Master data'!$B$1:$CL$1,0)),"")</f>
        <v>5250.0830127741328</v>
      </c>
      <c r="K225" s="7">
        <f>IFERROR(INDEX('Master data'!$B$2:$CL$1000,MATCH($B225,'Master data'!$A$2:$A$1000,0),MATCH(K$1,'Master data'!$B$1:$CL$1,0)),"")</f>
        <v>2638.2127808542155</v>
      </c>
      <c r="L225" s="7">
        <f>IFERROR(INDEX('Master data'!$B$2:$CL$1000,MATCH($B225,'Master data'!$A$2:$A$1000,0),MATCH(L$1,'Master data'!$B$1:$CL$1,0)),"")</f>
        <v>1392.163971845961</v>
      </c>
      <c r="M225" s="5">
        <f>IFERROR(INDEX('Master data'!$B$2:$CL$1000,MATCH($B225,'Master data'!$A$2:$A$1000,0),MATCH(M$1,'Master data'!$B$1:$CL$1,0)),"")</f>
        <v>100892.44982903764</v>
      </c>
      <c r="N225" s="28">
        <f>IFERROR(INDEX('Master data'!$B$2:$CL$1000,MATCH($B225,'Master data'!$A$2:$A$1000,0),MATCH(N$1,'Master data'!$B$1:$CL$1,0)),"")</f>
        <v>4.8376075189256552E-2</v>
      </c>
      <c r="O225" s="7">
        <f>IFERROR(INDEX('Master data'!$B$2:$CL$1000,MATCH($B225,'Master data'!$A$2:$A$1000,0),MATCH(O$1,'Master data'!$B$1:$CL$1,0)),"")</f>
        <v>0</v>
      </c>
      <c r="P225" s="5">
        <f>IFERROR(INDEX('Master data'!$B$2:$CL$1000,MATCH($B225,'Master data'!$A$2:$A$1000,0),MATCH(P$1,'Master data'!$B$1:$CL$1,0)),"")</f>
        <v>2500000</v>
      </c>
      <c r="Q225" s="5">
        <f>IFERROR(INDEX('Master data'!$B$2:$CL$1000,MATCH($B225,'Master data'!$A$2:$A$1000,0),MATCH(Q$1,'Master data'!$B$1:$CL$1,0)),"")</f>
        <v>2500000</v>
      </c>
    </row>
    <row r="226" spans="1:17" hidden="1">
      <c r="A226">
        <f t="shared" si="3"/>
        <v>224</v>
      </c>
      <c r="B226" t="str">
        <f>IF('Master data'!A226="","",'Master data'!A226)</f>
        <v>José Fonte</v>
      </c>
      <c r="C226" t="str">
        <f>IFERROR(INDEX('Master data'!$B$2:$CL$1000,MATCH($B226,'Master data'!$A$2:$A$1000,0),MATCH(C$1,'Master data'!$B$1:$CL$1,0)),"")</f>
        <v>Portugal</v>
      </c>
      <c r="D226" t="str">
        <f>IFERROR(INDEX('Master data'!$B$2:$CL$1000,MATCH($B226,'Master data'!$A$2:$A$1000,0),MATCH(D$1,'Master data'!$B$1:$CL$1,0)),"")</f>
        <v>Defense</v>
      </c>
      <c r="E226" s="5">
        <f>IFERROR(INDEX('Master data'!$B$2:$CL$1000,MATCH($B226,'Master data'!$A$2:$A$1000,0),MATCH(E$1,'Master data'!$B$1:$CL$1,0)),"")</f>
        <v>3500000</v>
      </c>
      <c r="F226" s="7">
        <f>IFERROR(INDEX('Master data'!$B$2:$CL$1000,MATCH($B226,'Master data'!$A$2:$A$1000,0),MATCH(F$1,'Master data'!$B$1:$CL$1,0)),"")</f>
        <v>18595.505617977524</v>
      </c>
      <c r="G226" s="7">
        <f>IFERROR(INDEX('Master data'!$B$2:$CL$1000,MATCH($B226,'Master data'!$A$2:$A$1000,0),MATCH(G$1,'Master data'!$B$1:$CL$1,0)),"")</f>
        <v>7523.8334169593545</v>
      </c>
      <c r="H226" s="7">
        <f>IFERROR(INDEX('Master data'!$B$2:$CL$1000,MATCH($B226,'Master data'!$A$2:$A$1000,0),MATCH(H$1,'Master data'!$B$1:$CL$1,0)),"")</f>
        <v>8674.2712646233358</v>
      </c>
      <c r="I226" s="7">
        <f>IFERROR(INDEX('Master data'!$B$2:$CL$1000,MATCH($B226,'Master data'!$A$2:$A$1000,0),MATCH(I$1,'Master data'!$B$1:$CL$1,0)),"")</f>
        <v>-17858.615306606862</v>
      </c>
      <c r="J226" s="7">
        <f>IFERROR(INDEX('Master data'!$B$2:$CL$1000,MATCH($B226,'Master data'!$A$2:$A$1000,0),MATCH(J$1,'Master data'!$B$1:$CL$1,0)),"")</f>
        <v>-9145.3174836228027</v>
      </c>
      <c r="K226" s="7">
        <f>IFERROR(INDEX('Master data'!$B$2:$CL$1000,MATCH($B226,'Master data'!$A$2:$A$1000,0),MATCH(K$1,'Master data'!$B$1:$CL$1,0)),"")</f>
        <v>-4757.932277072352</v>
      </c>
      <c r="L226" s="7">
        <f>IFERROR(INDEX('Master data'!$B$2:$CL$1000,MATCH($B226,'Master data'!$A$2:$A$1000,0),MATCH(L$1,'Master data'!$B$1:$CL$1,0)),"")</f>
        <v>-2601.7395294950875</v>
      </c>
      <c r="M226" s="5">
        <f>IFERROR(INDEX('Master data'!$B$2:$CL$1000,MATCH($B226,'Master data'!$A$2:$A$1000,0),MATCH(M$1,'Master data'!$B$1:$CL$1,0)),"")</f>
        <v>19513.732611152845</v>
      </c>
      <c r="N226" s="28">
        <f>IFERROR(INDEX('Master data'!$B$2:$CL$1000,MATCH($B226,'Master data'!$A$2:$A$1000,0),MATCH(N$1,'Master data'!$B$1:$CL$1,0)),"")</f>
        <v>9.9410315141600612E-3</v>
      </c>
      <c r="O226" s="7">
        <f>IFERROR(INDEX('Master data'!$B$2:$CL$1000,MATCH($B226,'Master data'!$A$2:$A$1000,0),MATCH(O$1,'Master data'!$B$1:$CL$1,0)),"")</f>
        <v>0</v>
      </c>
      <c r="P226" s="5">
        <f>IFERROR(INDEX('Master data'!$B$2:$CL$1000,MATCH($B226,'Master data'!$A$2:$A$1000,0),MATCH(P$1,'Master data'!$B$1:$CL$1,0)),"")</f>
        <v>3500000</v>
      </c>
      <c r="Q226" s="5">
        <f>IFERROR(INDEX('Master data'!$B$2:$CL$1000,MATCH($B226,'Master data'!$A$2:$A$1000,0),MATCH(Q$1,'Master data'!$B$1:$CL$1,0)),"")</f>
        <v>3500000</v>
      </c>
    </row>
    <row r="227" spans="1:17" hidden="1">
      <c r="A227">
        <f t="shared" si="3"/>
        <v>225</v>
      </c>
      <c r="B227" t="str">
        <f>IF('Master data'!A227="","",'Master data'!A227)</f>
        <v>João  Palhinha</v>
      </c>
      <c r="C227" t="str">
        <f>IFERROR(INDEX('Master data'!$B$2:$CL$1000,MATCH($B227,'Master data'!$A$2:$A$1000,0),MATCH(C$1,'Master data'!$B$1:$CL$1,0)),"")</f>
        <v>Portugal</v>
      </c>
      <c r="D227" t="str">
        <f>IFERROR(INDEX('Master data'!$B$2:$CL$1000,MATCH($B227,'Master data'!$A$2:$A$1000,0),MATCH(D$1,'Master data'!$B$1:$CL$1,0)),"")</f>
        <v>Midfield</v>
      </c>
      <c r="E227" s="5">
        <f>IFERROR(INDEX('Master data'!$B$2:$CL$1000,MATCH($B227,'Master data'!$A$2:$A$1000,0),MATCH(E$1,'Master data'!$B$1:$CL$1,0)),"")</f>
        <v>3500000</v>
      </c>
      <c r="F227" s="7">
        <f>IFERROR(INDEX('Master data'!$B$2:$CL$1000,MATCH($B227,'Master data'!$A$2:$A$1000,0),MATCH(F$1,'Master data'!$B$1:$CL$1,0)),"")</f>
        <v>-5000</v>
      </c>
      <c r="G227" s="7">
        <f>IFERROR(INDEX('Master data'!$B$2:$CL$1000,MATCH($B227,'Master data'!$A$2:$A$1000,0),MATCH(G$1,'Master data'!$B$1:$CL$1,0)),"")</f>
        <v>-5000</v>
      </c>
      <c r="H227" s="7">
        <f>IFERROR(INDEX('Master data'!$B$2:$CL$1000,MATCH($B227,'Master data'!$A$2:$A$1000,0),MATCH(H$1,'Master data'!$B$1:$CL$1,0)),"")</f>
        <v>-5000</v>
      </c>
      <c r="I227" s="7">
        <f>IFERROR(INDEX('Master data'!$B$2:$CL$1000,MATCH($B227,'Master data'!$A$2:$A$1000,0),MATCH(I$1,'Master data'!$B$1:$CL$1,0)),"")</f>
        <v>-29964.793355695438</v>
      </c>
      <c r="J227" s="7">
        <f>IFERROR(INDEX('Master data'!$B$2:$CL$1000,MATCH($B227,'Master data'!$A$2:$A$1000,0),MATCH(J$1,'Master data'!$B$1:$CL$1,0)),"")</f>
        <v>-15251.108441317754</v>
      </c>
      <c r="K227" s="7">
        <f>IFERROR(INDEX('Master data'!$B$2:$CL$1000,MATCH($B227,'Master data'!$A$2:$A$1000,0),MATCH(K$1,'Master data'!$B$1:$CL$1,0)),"")</f>
        <v>-7886.232317373876</v>
      </c>
      <c r="L227" s="7">
        <f>IFERROR(INDEX('Master data'!$B$2:$CL$1000,MATCH($B227,'Master data'!$A$2:$A$1000,0),MATCH(L$1,'Master data'!$B$1:$CL$1,0)),"")</f>
        <v>-4286.2084112212397</v>
      </c>
      <c r="M227" s="5">
        <f>IFERROR(INDEX('Master data'!$B$2:$CL$1000,MATCH($B227,'Master data'!$A$2:$A$1000,0),MATCH(M$1,'Master data'!$B$1:$CL$1,0)),"")</f>
        <v>-23861.386311613198</v>
      </c>
      <c r="N227" s="28">
        <f>IFERROR(INDEX('Master data'!$B$2:$CL$1000,MATCH($B227,'Master data'!$A$2:$A$1000,0),MATCH(N$1,'Master data'!$B$1:$CL$1,0)),"")</f>
        <v>-4.2857142857142859E-3</v>
      </c>
      <c r="O227" s="7">
        <f>IFERROR(INDEX('Master data'!$B$2:$CL$1000,MATCH($B227,'Master data'!$A$2:$A$1000,0),MATCH(O$1,'Master data'!$B$1:$CL$1,0)),"")</f>
        <v>0</v>
      </c>
      <c r="P227" s="5">
        <f>IFERROR(INDEX('Master data'!$B$2:$CL$1000,MATCH($B227,'Master data'!$A$2:$A$1000,0),MATCH(P$1,'Master data'!$B$1:$CL$1,0)),"")</f>
        <v>3500000</v>
      </c>
      <c r="Q227" s="5">
        <f>IFERROR(INDEX('Master data'!$B$2:$CL$1000,MATCH($B227,'Master data'!$A$2:$A$1000,0),MATCH(Q$1,'Master data'!$B$1:$CL$1,0)),"")</f>
        <v>3500000</v>
      </c>
    </row>
    <row r="228" spans="1:17" hidden="1">
      <c r="A228">
        <f t="shared" si="3"/>
        <v>226</v>
      </c>
      <c r="B228" t="str">
        <f>IF('Master data'!A228="","",'Master data'!A228)</f>
        <v>Renato Sanches</v>
      </c>
      <c r="C228" t="str">
        <f>IFERROR(INDEX('Master data'!$B$2:$CL$1000,MATCH($B228,'Master data'!$A$2:$A$1000,0),MATCH(C$1,'Master data'!$B$1:$CL$1,0)),"")</f>
        <v>Portugal</v>
      </c>
      <c r="D228" t="str">
        <f>IFERROR(INDEX('Master data'!$B$2:$CL$1000,MATCH($B228,'Master data'!$A$2:$A$1000,0),MATCH(D$1,'Master data'!$B$1:$CL$1,0)),"")</f>
        <v>Midfield</v>
      </c>
      <c r="E228" s="5">
        <f>IFERROR(INDEX('Master data'!$B$2:$CL$1000,MATCH($B228,'Master data'!$A$2:$A$1000,0),MATCH(E$1,'Master data'!$B$1:$CL$1,0)),"")</f>
        <v>3500000</v>
      </c>
      <c r="F228" s="7">
        <f>IFERROR(INDEX('Master data'!$B$2:$CL$1000,MATCH($B228,'Master data'!$A$2:$A$1000,0),MATCH(F$1,'Master data'!$B$1:$CL$1,0)),"")</f>
        <v>-5000</v>
      </c>
      <c r="G228" s="7">
        <f>IFERROR(INDEX('Master data'!$B$2:$CL$1000,MATCH($B228,'Master data'!$A$2:$A$1000,0),MATCH(G$1,'Master data'!$B$1:$CL$1,0)),"")</f>
        <v>-5000</v>
      </c>
      <c r="H228" s="7">
        <f>IFERROR(INDEX('Master data'!$B$2:$CL$1000,MATCH($B228,'Master data'!$A$2:$A$1000,0),MATCH(H$1,'Master data'!$B$1:$CL$1,0)),"")</f>
        <v>-5000</v>
      </c>
      <c r="I228" s="7">
        <f>IFERROR(INDEX('Master data'!$B$2:$CL$1000,MATCH($B228,'Master data'!$A$2:$A$1000,0),MATCH(I$1,'Master data'!$B$1:$CL$1,0)),"")</f>
        <v>-29964.793355695438</v>
      </c>
      <c r="J228" s="7">
        <f>IFERROR(INDEX('Master data'!$B$2:$CL$1000,MATCH($B228,'Master data'!$A$2:$A$1000,0),MATCH(J$1,'Master data'!$B$1:$CL$1,0)),"")</f>
        <v>-15251.108441317754</v>
      </c>
      <c r="K228" s="7">
        <f>IFERROR(INDEX('Master data'!$B$2:$CL$1000,MATCH($B228,'Master data'!$A$2:$A$1000,0),MATCH(K$1,'Master data'!$B$1:$CL$1,0)),"")</f>
        <v>-7886.232317373876</v>
      </c>
      <c r="L228" s="7">
        <f>IFERROR(INDEX('Master data'!$B$2:$CL$1000,MATCH($B228,'Master data'!$A$2:$A$1000,0),MATCH(L$1,'Master data'!$B$1:$CL$1,0)),"")</f>
        <v>-4286.2084112212397</v>
      </c>
      <c r="M228" s="5">
        <f>IFERROR(INDEX('Master data'!$B$2:$CL$1000,MATCH($B228,'Master data'!$A$2:$A$1000,0),MATCH(M$1,'Master data'!$B$1:$CL$1,0)),"")</f>
        <v>-23861.386311613198</v>
      </c>
      <c r="N228" s="28">
        <f>IFERROR(INDEX('Master data'!$B$2:$CL$1000,MATCH($B228,'Master data'!$A$2:$A$1000,0),MATCH(N$1,'Master data'!$B$1:$CL$1,0)),"")</f>
        <v>-4.2857142857142859E-3</v>
      </c>
      <c r="O228" s="7">
        <f>IFERROR(INDEX('Master data'!$B$2:$CL$1000,MATCH($B228,'Master data'!$A$2:$A$1000,0),MATCH(O$1,'Master data'!$B$1:$CL$1,0)),"")</f>
        <v>0</v>
      </c>
      <c r="P228" s="5">
        <f>IFERROR(INDEX('Master data'!$B$2:$CL$1000,MATCH($B228,'Master data'!$A$2:$A$1000,0),MATCH(P$1,'Master data'!$B$1:$CL$1,0)),"")</f>
        <v>3500000</v>
      </c>
      <c r="Q228" s="5">
        <f>IFERROR(INDEX('Master data'!$B$2:$CL$1000,MATCH($B228,'Master data'!$A$2:$A$1000,0),MATCH(Q$1,'Master data'!$B$1:$CL$1,0)),"")</f>
        <v>3500000</v>
      </c>
    </row>
    <row r="229" spans="1:17" hidden="1">
      <c r="A229">
        <f t="shared" si="3"/>
        <v>227</v>
      </c>
      <c r="B229" t="str">
        <f>IF('Master data'!A229="","",'Master data'!A229)</f>
        <v>Danilo Pereira</v>
      </c>
      <c r="C229" t="str">
        <f>IFERROR(INDEX('Master data'!$B$2:$CL$1000,MATCH($B229,'Master data'!$A$2:$A$1000,0),MATCH(C$1,'Master data'!$B$1:$CL$1,0)),"")</f>
        <v>Portugal</v>
      </c>
      <c r="D229" t="str">
        <f>IFERROR(INDEX('Master data'!$B$2:$CL$1000,MATCH($B229,'Master data'!$A$2:$A$1000,0),MATCH(D$1,'Master data'!$B$1:$CL$1,0)),"")</f>
        <v>Midfield</v>
      </c>
      <c r="E229" s="5">
        <f>IFERROR(INDEX('Master data'!$B$2:$CL$1000,MATCH($B229,'Master data'!$A$2:$A$1000,0),MATCH(E$1,'Master data'!$B$1:$CL$1,0)),"")</f>
        <v>4000000</v>
      </c>
      <c r="F229" s="7">
        <f>IFERROR(INDEX('Master data'!$B$2:$CL$1000,MATCH($B229,'Master data'!$A$2:$A$1000,0),MATCH(F$1,'Master data'!$B$1:$CL$1,0)),"")</f>
        <v>-5000</v>
      </c>
      <c r="G229" s="7">
        <f>IFERROR(INDEX('Master data'!$B$2:$CL$1000,MATCH($B229,'Master data'!$A$2:$A$1000,0),MATCH(G$1,'Master data'!$B$1:$CL$1,0)),"")</f>
        <v>-5000</v>
      </c>
      <c r="H229" s="7">
        <f>IFERROR(INDEX('Master data'!$B$2:$CL$1000,MATCH($B229,'Master data'!$A$2:$A$1000,0),MATCH(H$1,'Master data'!$B$1:$CL$1,0)),"")</f>
        <v>-5000</v>
      </c>
      <c r="I229" s="7">
        <f>IFERROR(INDEX('Master data'!$B$2:$CL$1000,MATCH($B229,'Master data'!$A$2:$A$1000,0),MATCH(I$1,'Master data'!$B$1:$CL$1,0)),"")</f>
        <v>-33724.491392796495</v>
      </c>
      <c r="J229" s="7">
        <f>IFERROR(INDEX('Master data'!$B$2:$CL$1000,MATCH($B229,'Master data'!$A$2:$A$1000,0),MATCH(J$1,'Master data'!$B$1:$CL$1,0)),"")</f>
        <v>-17167.076838468223</v>
      </c>
      <c r="K229" s="7">
        <f>IFERROR(INDEX('Master data'!$B$2:$CL$1000,MATCH($B229,'Master data'!$A$2:$A$1000,0),MATCH(K$1,'Master data'!$B$1:$CL$1,0)),"")</f>
        <v>-8878.2112252196457</v>
      </c>
      <c r="L229" s="7">
        <f>IFERROR(INDEX('Master data'!$B$2:$CL$1000,MATCH($B229,'Master data'!$A$2:$A$1000,0),MATCH(L$1,'Master data'!$B$1:$CL$1,0)),"")</f>
        <v>-4826.0331481508665</v>
      </c>
      <c r="M229" s="5">
        <f>IFERROR(INDEX('Master data'!$B$2:$CL$1000,MATCH($B229,'Master data'!$A$2:$A$1000,0),MATCH(M$1,'Master data'!$B$1:$CL$1,0)),"")</f>
        <v>-25531.856796551725</v>
      </c>
      <c r="N229" s="28">
        <f>IFERROR(INDEX('Master data'!$B$2:$CL$1000,MATCH($B229,'Master data'!$A$2:$A$1000,0),MATCH(N$1,'Master data'!$B$1:$CL$1,0)),"")</f>
        <v>-3.7499999999999999E-3</v>
      </c>
      <c r="O229" s="7">
        <f>IFERROR(INDEX('Master data'!$B$2:$CL$1000,MATCH($B229,'Master data'!$A$2:$A$1000,0),MATCH(O$1,'Master data'!$B$1:$CL$1,0)),"")</f>
        <v>0</v>
      </c>
      <c r="P229" s="5">
        <f>IFERROR(INDEX('Master data'!$B$2:$CL$1000,MATCH($B229,'Master data'!$A$2:$A$1000,0),MATCH(P$1,'Master data'!$B$1:$CL$1,0)),"")</f>
        <v>4000000</v>
      </c>
      <c r="Q229" s="5">
        <f>IFERROR(INDEX('Master data'!$B$2:$CL$1000,MATCH($B229,'Master data'!$A$2:$A$1000,0),MATCH(Q$1,'Master data'!$B$1:$CL$1,0)),"")</f>
        <v>4000000</v>
      </c>
    </row>
    <row r="230" spans="1:17" hidden="1">
      <c r="A230">
        <f t="shared" si="3"/>
        <v>228</v>
      </c>
      <c r="B230" t="str">
        <f>IF('Master data'!A230="","",'Master data'!A230)</f>
        <v>Mykola Shaparenko</v>
      </c>
      <c r="C230" t="str">
        <f>IFERROR(INDEX('Master data'!$B$2:$CL$1000,MATCH($B230,'Master data'!$A$2:$A$1000,0),MATCH(C$1,'Master data'!$B$1:$CL$1,0)),"")</f>
        <v>Ukraine</v>
      </c>
      <c r="D230" t="str">
        <f>IFERROR(INDEX('Master data'!$B$2:$CL$1000,MATCH($B230,'Master data'!$A$2:$A$1000,0),MATCH(D$1,'Master data'!$B$1:$CL$1,0)),"")</f>
        <v>Midfield</v>
      </c>
      <c r="E230" s="5">
        <f>IFERROR(INDEX('Master data'!$B$2:$CL$1000,MATCH($B230,'Master data'!$A$2:$A$1000,0),MATCH(E$1,'Master data'!$B$1:$CL$1,0)),"")</f>
        <v>3000000</v>
      </c>
      <c r="F230" s="7">
        <f>IFERROR(INDEX('Master data'!$B$2:$CL$1000,MATCH($B230,'Master data'!$A$2:$A$1000,0),MATCH(F$1,'Master data'!$B$1:$CL$1,0)),"")</f>
        <v>-5000</v>
      </c>
      <c r="G230" s="7">
        <f>IFERROR(INDEX('Master data'!$B$2:$CL$1000,MATCH($B230,'Master data'!$A$2:$A$1000,0),MATCH(G$1,'Master data'!$B$1:$CL$1,0)),"")</f>
        <v>-5000</v>
      </c>
      <c r="H230" s="7">
        <f>IFERROR(INDEX('Master data'!$B$2:$CL$1000,MATCH($B230,'Master data'!$A$2:$A$1000,0),MATCH(H$1,'Master data'!$B$1:$CL$1,0)),"")</f>
        <v>-5000</v>
      </c>
      <c r="I230" s="7">
        <f>IFERROR(INDEX('Master data'!$B$2:$CL$1000,MATCH($B230,'Master data'!$A$2:$A$1000,0),MATCH(I$1,'Master data'!$B$1:$CL$1,0)),"")</f>
        <v>-26012.410794192951</v>
      </c>
      <c r="J230" s="7">
        <f>IFERROR(INDEX('Master data'!$B$2:$CL$1000,MATCH($B230,'Master data'!$A$2:$A$1000,0),MATCH(J$1,'Master data'!$B$1:$CL$1,0)),"")</f>
        <v>-12762.936223740589</v>
      </c>
      <c r="K230" s="7">
        <f>IFERROR(INDEX('Master data'!$B$2:$CL$1000,MATCH($B230,'Master data'!$A$2:$A$1000,0),MATCH(K$1,'Master data'!$B$1:$CL$1,0)),"")</f>
        <v>-6161.2064479269693</v>
      </c>
      <c r="L230" s="7">
        <f>IFERROR(INDEX('Master data'!$B$2:$CL$1000,MATCH($B230,'Master data'!$A$2:$A$1000,0),MATCH(L$1,'Master data'!$B$1:$CL$1,0)),"")</f>
        <v>-2804.3636302816994</v>
      </c>
      <c r="M230" s="5">
        <f>IFERROR(INDEX('Master data'!$B$2:$CL$1000,MATCH($B230,'Master data'!$A$2:$A$1000,0),MATCH(M$1,'Master data'!$B$1:$CL$1,0)),"")</f>
        <v>-21841.561919208969</v>
      </c>
      <c r="N230" s="28">
        <f>IFERROR(INDEX('Master data'!$B$2:$CL$1000,MATCH($B230,'Master data'!$A$2:$A$1000,0),MATCH(N$1,'Master data'!$B$1:$CL$1,0)),"")</f>
        <v>-5.0000000000000001E-3</v>
      </c>
      <c r="O230" s="7">
        <f>IFERROR(INDEX('Master data'!$B$2:$CL$1000,MATCH($B230,'Master data'!$A$2:$A$1000,0),MATCH(O$1,'Master data'!$B$1:$CL$1,0)),"")</f>
        <v>0</v>
      </c>
      <c r="P230" s="5">
        <f>IFERROR(INDEX('Master data'!$B$2:$CL$1000,MATCH($B230,'Master data'!$A$2:$A$1000,0),MATCH(P$1,'Master data'!$B$1:$CL$1,0)),"")</f>
        <v>3000000</v>
      </c>
      <c r="Q230" s="5">
        <f>IFERROR(INDEX('Master data'!$B$2:$CL$1000,MATCH($B230,'Master data'!$A$2:$A$1000,0),MATCH(Q$1,'Master data'!$B$1:$CL$1,0)),"")</f>
        <v>3000000</v>
      </c>
    </row>
    <row r="231" spans="1:17" hidden="1">
      <c r="A231">
        <f t="shared" si="3"/>
        <v>229</v>
      </c>
      <c r="B231" t="str">
        <f>IF('Master data'!A231="","",'Master data'!A231)</f>
        <v>Marlos</v>
      </c>
      <c r="C231" t="str">
        <f>IFERROR(INDEX('Master data'!$B$2:$CL$1000,MATCH($B231,'Master data'!$A$2:$A$1000,0),MATCH(C$1,'Master data'!$B$1:$CL$1,0)),"")</f>
        <v>Ukraine</v>
      </c>
      <c r="D231" t="str">
        <f>IFERROR(INDEX('Master data'!$B$2:$CL$1000,MATCH($B231,'Master data'!$A$2:$A$1000,0),MATCH(D$1,'Master data'!$B$1:$CL$1,0)),"")</f>
        <v>Midfield</v>
      </c>
      <c r="E231" s="5">
        <f>IFERROR(INDEX('Master data'!$B$2:$CL$1000,MATCH($B231,'Master data'!$A$2:$A$1000,0),MATCH(E$1,'Master data'!$B$1:$CL$1,0)),"")</f>
        <v>2500000</v>
      </c>
      <c r="F231" s="7">
        <f>IFERROR(INDEX('Master data'!$B$2:$CL$1000,MATCH($B231,'Master data'!$A$2:$A$1000,0),MATCH(F$1,'Master data'!$B$1:$CL$1,0)),"")</f>
        <v>5504.1588969210206</v>
      </c>
      <c r="G231" s="7">
        <f>IFERROR(INDEX('Master data'!$B$2:$CL$1000,MATCH($B231,'Master data'!$A$2:$A$1000,0),MATCH(G$1,'Master data'!$B$1:$CL$1,0)),"")</f>
        <v>49726.297541168802</v>
      </c>
      <c r="H231" s="7">
        <f>IFERROR(INDEX('Master data'!$B$2:$CL$1000,MATCH($B231,'Master data'!$A$2:$A$1000,0),MATCH(H$1,'Master data'!$B$1:$CL$1,0)),"")</f>
        <v>27012.622823982747</v>
      </c>
      <c r="I231" s="7">
        <f>IFERROR(INDEX('Master data'!$B$2:$CL$1000,MATCH($B231,'Master data'!$A$2:$A$1000,0),MATCH(I$1,'Master data'!$B$1:$CL$1,0)),"")</f>
        <v>1188.2327144677145</v>
      </c>
      <c r="J231" s="7">
        <f>IFERROR(INDEX('Master data'!$B$2:$CL$1000,MATCH($B231,'Master data'!$A$2:$A$1000,0),MATCH(J$1,'Master data'!$B$1:$CL$1,0)),"")</f>
        <v>483.29915389554861</v>
      </c>
      <c r="K231" s="7">
        <f>IFERROR(INDEX('Master data'!$B$2:$CL$1000,MATCH($B231,'Master data'!$A$2:$A$1000,0),MATCH(K$1,'Master data'!$B$1:$CL$1,0)),"")</f>
        <v>185.03862964014499</v>
      </c>
      <c r="L231" s="7">
        <f>IFERROR(INDEX('Master data'!$B$2:$CL$1000,MATCH($B231,'Master data'!$A$2:$A$1000,0),MATCH(L$1,'Master data'!$B$1:$CL$1,0)),"")</f>
        <v>62.188837985667732</v>
      </c>
      <c r="M231" s="5">
        <f>IFERROR(INDEX('Master data'!$B$2:$CL$1000,MATCH($B231,'Master data'!$A$2:$A$1000,0),MATCH(M$1,'Master data'!$B$1:$CL$1,0)),"")</f>
        <v>51137.996398348958</v>
      </c>
      <c r="N231" s="28">
        <f>IFERROR(INDEX('Master data'!$B$2:$CL$1000,MATCH($B231,'Master data'!$A$2:$A$1000,0),MATCH(N$1,'Master data'!$B$1:$CL$1,0)),"")</f>
        <v>3.2897231704829027E-2</v>
      </c>
      <c r="O231" s="7">
        <f>IFERROR(INDEX('Master data'!$B$2:$CL$1000,MATCH($B231,'Master data'!$A$2:$A$1000,0),MATCH(O$1,'Master data'!$B$1:$CL$1,0)),"")</f>
        <v>0</v>
      </c>
      <c r="P231" s="5">
        <f>IFERROR(INDEX('Master data'!$B$2:$CL$1000,MATCH($B231,'Master data'!$A$2:$A$1000,0),MATCH(P$1,'Master data'!$B$1:$CL$1,0)),"")</f>
        <v>2500000</v>
      </c>
      <c r="Q231" s="5">
        <f>IFERROR(INDEX('Master data'!$B$2:$CL$1000,MATCH($B231,'Master data'!$A$2:$A$1000,0),MATCH(Q$1,'Master data'!$B$1:$CL$1,0)),"")</f>
        <v>2500000</v>
      </c>
    </row>
    <row r="232" spans="1:17" hidden="1">
      <c r="A232">
        <f t="shared" si="3"/>
        <v>230</v>
      </c>
      <c r="B232" t="str">
        <f>IF('Master data'!A232="","",'Master data'!A232)</f>
        <v>Ruslan Malinovskyi</v>
      </c>
      <c r="C232" t="str">
        <f>IFERROR(INDEX('Master data'!$B$2:$CL$1000,MATCH($B232,'Master data'!$A$2:$A$1000,0),MATCH(C$1,'Master data'!$B$1:$CL$1,0)),"")</f>
        <v>Ukraine</v>
      </c>
      <c r="D232" t="str">
        <f>IFERROR(INDEX('Master data'!$B$2:$CL$1000,MATCH($B232,'Master data'!$A$2:$A$1000,0),MATCH(D$1,'Master data'!$B$1:$CL$1,0)),"")</f>
        <v>Midfield</v>
      </c>
      <c r="E232" s="5">
        <f>IFERROR(INDEX('Master data'!$B$2:$CL$1000,MATCH($B232,'Master data'!$A$2:$A$1000,0),MATCH(E$1,'Master data'!$B$1:$CL$1,0)),"")</f>
        <v>3500000</v>
      </c>
      <c r="F232" s="7">
        <f>IFERROR(INDEX('Master data'!$B$2:$CL$1000,MATCH($B232,'Master data'!$A$2:$A$1000,0),MATCH(F$1,'Master data'!$B$1:$CL$1,0)),"")</f>
        <v>36052.819989079624</v>
      </c>
      <c r="G232" s="7">
        <f>IFERROR(INDEX('Master data'!$B$2:$CL$1000,MATCH($B232,'Master data'!$A$2:$A$1000,0),MATCH(G$1,'Master data'!$B$1:$CL$1,0)),"")</f>
        <v>109417.74220954323</v>
      </c>
      <c r="H232" s="7">
        <f>IFERROR(INDEX('Master data'!$B$2:$CL$1000,MATCH($B232,'Master data'!$A$2:$A$1000,0),MATCH(H$1,'Master data'!$B$1:$CL$1,0)),"")</f>
        <v>71428.292481469878</v>
      </c>
      <c r="I232" s="7">
        <f>IFERROR(INDEX('Master data'!$B$2:$CL$1000,MATCH($B232,'Master data'!$A$2:$A$1000,0),MATCH(I$1,'Master data'!$B$1:$CL$1,0)),"")</f>
        <v>26221.875773088628</v>
      </c>
      <c r="J232" s="7">
        <f>IFERROR(INDEX('Master data'!$B$2:$CL$1000,MATCH($B232,'Master data'!$A$2:$A$1000,0),MATCH(J$1,'Master data'!$B$1:$CL$1,0)),"")</f>
        <v>12619.035400577233</v>
      </c>
      <c r="K232" s="7">
        <f>IFERROR(INDEX('Master data'!$B$2:$CL$1000,MATCH($B232,'Master data'!$A$2:$A$1000,0),MATCH(K$1,'Master data'!$B$1:$CL$1,0)),"")</f>
        <v>5972.3166798127768</v>
      </c>
      <c r="L232" s="7">
        <f>IFERROR(INDEX('Master data'!$B$2:$CL$1000,MATCH($B232,'Master data'!$A$2:$A$1000,0),MATCH(L$1,'Master data'!$B$1:$CL$1,0)),"")</f>
        <v>2663.8739938919562</v>
      </c>
      <c r="M232" s="5">
        <f>IFERROR(INDEX('Master data'!$B$2:$CL$1000,MATCH($B232,'Master data'!$A$2:$A$1000,0),MATCH(M$1,'Master data'!$B$1:$CL$1,0)),"")</f>
        <v>152026.32627080198</v>
      </c>
      <c r="N232" s="28">
        <f>IFERROR(INDEX('Master data'!$B$2:$CL$1000,MATCH($B232,'Master data'!$A$2:$A$1000,0),MATCH(N$1,'Master data'!$B$1:$CL$1,0)),"")</f>
        <v>6.1971101337169349E-2</v>
      </c>
      <c r="O232" s="7">
        <f>IFERROR(INDEX('Master data'!$B$2:$CL$1000,MATCH($B232,'Master data'!$A$2:$A$1000,0),MATCH(O$1,'Master data'!$B$1:$CL$1,0)),"")</f>
        <v>0</v>
      </c>
      <c r="P232" s="5">
        <f>IFERROR(INDEX('Master data'!$B$2:$CL$1000,MATCH($B232,'Master data'!$A$2:$A$1000,0),MATCH(P$1,'Master data'!$B$1:$CL$1,0)),"")</f>
        <v>3500000</v>
      </c>
      <c r="Q232" s="5">
        <f>IFERROR(INDEX('Master data'!$B$2:$CL$1000,MATCH($B232,'Master data'!$A$2:$A$1000,0),MATCH(Q$1,'Master data'!$B$1:$CL$1,0)),"")</f>
        <v>3500000</v>
      </c>
    </row>
    <row r="233" spans="1:17" hidden="1">
      <c r="A233">
        <f t="shared" si="3"/>
        <v>231</v>
      </c>
      <c r="B233" t="str">
        <f>IF('Master data'!A233="","",'Master data'!A233)</f>
        <v>Roman Yaremchuk</v>
      </c>
      <c r="C233" t="str">
        <f>IFERROR(INDEX('Master data'!$B$2:$CL$1000,MATCH($B233,'Master data'!$A$2:$A$1000,0),MATCH(C$1,'Master data'!$B$1:$CL$1,0)),"")</f>
        <v>Ukraine</v>
      </c>
      <c r="D233" t="str">
        <f>IFERROR(INDEX('Master data'!$B$2:$CL$1000,MATCH($B233,'Master data'!$A$2:$A$1000,0),MATCH(D$1,'Master data'!$B$1:$CL$1,0)),"")</f>
        <v>Striker</v>
      </c>
      <c r="E233" s="5">
        <f>IFERROR(INDEX('Master data'!$B$2:$CL$1000,MATCH($B233,'Master data'!$A$2:$A$1000,0),MATCH(E$1,'Master data'!$B$1:$CL$1,0)),"")</f>
        <v>4000000</v>
      </c>
      <c r="F233" s="7">
        <f>IFERROR(INDEX('Master data'!$B$2:$CL$1000,MATCH($B233,'Master data'!$A$2:$A$1000,0),MATCH(F$1,'Master data'!$B$1:$CL$1,0)),"")</f>
        <v>28142.97016130207</v>
      </c>
      <c r="G233" s="7">
        <f>IFERROR(INDEX('Master data'!$B$2:$CL$1000,MATCH($B233,'Master data'!$A$2:$A$1000,0),MATCH(G$1,'Master data'!$B$1:$CL$1,0)),"")</f>
        <v>91540.948917400397</v>
      </c>
      <c r="H233" s="7">
        <f>IFERROR(INDEX('Master data'!$B$2:$CL$1000,MATCH($B233,'Master data'!$A$2:$A$1000,0),MATCH(H$1,'Master data'!$B$1:$CL$1,0)),"")</f>
        <v>58775.872678211439</v>
      </c>
      <c r="I233" s="7">
        <f>IFERROR(INDEX('Master data'!$B$2:$CL$1000,MATCH($B233,'Master data'!$A$2:$A$1000,0),MATCH(I$1,'Master data'!$B$1:$CL$1,0)),"")</f>
        <v>13212.960647738022</v>
      </c>
      <c r="J233" s="7">
        <f>IFERROR(INDEX('Master data'!$B$2:$CL$1000,MATCH($B233,'Master data'!$A$2:$A$1000,0),MATCH(J$1,'Master data'!$B$1:$CL$1,0)),"")</f>
        <v>6274.0589676132877</v>
      </c>
      <c r="K233" s="7">
        <f>IFERROR(INDEX('Master data'!$B$2:$CL$1000,MATCH($B233,'Master data'!$A$2:$A$1000,0),MATCH(K$1,'Master data'!$B$1:$CL$1,0)),"")</f>
        <v>2927.6399514028371</v>
      </c>
      <c r="L233" s="7">
        <f>IFERROR(INDEX('Master data'!$B$2:$CL$1000,MATCH($B233,'Master data'!$A$2:$A$1000,0),MATCH(L$1,'Master data'!$B$1:$CL$1,0)),"")</f>
        <v>1286.4029286137095</v>
      </c>
      <c r="M233" s="5">
        <f>IFERROR(INDEX('Master data'!$B$2:$CL$1000,MATCH($B233,'Master data'!$A$2:$A$1000,0),MATCH(M$1,'Master data'!$B$1:$CL$1,0)),"")</f>
        <v>120945.6191813443</v>
      </c>
      <c r="N233" s="28">
        <f>IFERROR(INDEX('Master data'!$B$2:$CL$1000,MATCH($B233,'Master data'!$A$2:$A$1000,0),MATCH(N$1,'Master data'!$B$1:$CL$1,0)),"")</f>
        <v>4.4614947939228475E-2</v>
      </c>
      <c r="O233" s="7">
        <f>IFERROR(INDEX('Master data'!$B$2:$CL$1000,MATCH($B233,'Master data'!$A$2:$A$1000,0),MATCH(O$1,'Master data'!$B$1:$CL$1,0)),"")</f>
        <v>0</v>
      </c>
      <c r="P233" s="5">
        <f>IFERROR(INDEX('Master data'!$B$2:$CL$1000,MATCH($B233,'Master data'!$A$2:$A$1000,0),MATCH(P$1,'Master data'!$B$1:$CL$1,0)),"")</f>
        <v>4000000</v>
      </c>
      <c r="Q233" s="5">
        <f>IFERROR(INDEX('Master data'!$B$2:$CL$1000,MATCH($B233,'Master data'!$A$2:$A$1000,0),MATCH(Q$1,'Master data'!$B$1:$CL$1,0)),"")</f>
        <v>4000000</v>
      </c>
    </row>
    <row r="234" spans="1:17" hidden="1">
      <c r="A234">
        <f t="shared" si="3"/>
        <v>232</v>
      </c>
      <c r="B234" t="str">
        <f>IF('Master data'!A234="","",'Master data'!A234)</f>
        <v>Hakan Calhanoglu</v>
      </c>
      <c r="C234" t="str">
        <f>IFERROR(INDEX('Master data'!$B$2:$CL$1000,MATCH($B234,'Master data'!$A$2:$A$1000,0),MATCH(C$1,'Master data'!$B$1:$CL$1,0)),"")</f>
        <v>Turkey</v>
      </c>
      <c r="D234" t="str">
        <f>IFERROR(INDEX('Master data'!$B$2:$CL$1000,MATCH($B234,'Master data'!$A$2:$A$1000,0),MATCH(D$1,'Master data'!$B$1:$CL$1,0)),"")</f>
        <v>Midfield</v>
      </c>
      <c r="E234" s="5">
        <f>IFERROR(INDEX('Master data'!$B$2:$CL$1000,MATCH($B234,'Master data'!$A$2:$A$1000,0),MATCH(E$1,'Master data'!$B$1:$CL$1,0)),"")</f>
        <v>4500000</v>
      </c>
      <c r="F234" s="7">
        <f>IFERROR(INDEX('Master data'!$B$2:$CL$1000,MATCH($B234,'Master data'!$A$2:$A$1000,0),MATCH(F$1,'Master data'!$B$1:$CL$1,0)),"")</f>
        <v>11268.345696299784</v>
      </c>
      <c r="G234" s="7">
        <f>IFERROR(INDEX('Master data'!$B$2:$CL$1000,MATCH($B234,'Master data'!$A$2:$A$1000,0),MATCH(G$1,'Master data'!$B$1:$CL$1,0)),"")</f>
        <v>51673.814443107847</v>
      </c>
      <c r="H234" s="7">
        <f>IFERROR(INDEX('Master data'!$B$2:$CL$1000,MATCH($B234,'Master data'!$A$2:$A$1000,0),MATCH(H$1,'Master data'!$B$1:$CL$1,0)),"")</f>
        <v>42414.44460620734</v>
      </c>
      <c r="I234" s="7">
        <f>IFERROR(INDEX('Master data'!$B$2:$CL$1000,MATCH($B234,'Master data'!$A$2:$A$1000,0),MATCH(I$1,'Master data'!$B$1:$CL$1,0)),"")</f>
        <v>-6607.1510117493153</v>
      </c>
      <c r="J234" s="7">
        <f>IFERROR(INDEX('Master data'!$B$2:$CL$1000,MATCH($B234,'Master data'!$A$2:$A$1000,0),MATCH(J$1,'Master data'!$B$1:$CL$1,0)),"")</f>
        <v>-3361.8479760246623</v>
      </c>
      <c r="K234" s="7">
        <f>IFERROR(INDEX('Master data'!$B$2:$CL$1000,MATCH($B234,'Master data'!$A$2:$A$1000,0),MATCH(K$1,'Master data'!$B$1:$CL$1,0)),"")</f>
        <v>-1686.814670964656</v>
      </c>
      <c r="L234" s="7">
        <f>IFERROR(INDEX('Master data'!$B$2:$CL$1000,MATCH($B234,'Master data'!$A$2:$A$1000,0),MATCH(L$1,'Master data'!$B$1:$CL$1,0)),"")</f>
        <v>-807.20227338345489</v>
      </c>
      <c r="M234" s="5">
        <f>IFERROR(INDEX('Master data'!$B$2:$CL$1000,MATCH($B234,'Master data'!$A$2:$A$1000,0),MATCH(M$1,'Master data'!$B$1:$CL$1,0)),"")</f>
        <v>61653.679016967879</v>
      </c>
      <c r="N234" s="28">
        <f>IFERROR(INDEX('Master data'!$B$2:$CL$1000,MATCH($B234,'Master data'!$A$2:$A$1000,0),MATCH(N$1,'Master data'!$B$1:$CL$1,0)),"")</f>
        <v>2.3412578832358887E-2</v>
      </c>
      <c r="O234" s="7">
        <f>IFERROR(INDEX('Master data'!$B$2:$CL$1000,MATCH($B234,'Master data'!$A$2:$A$1000,0),MATCH(O$1,'Master data'!$B$1:$CL$1,0)),"")</f>
        <v>0</v>
      </c>
      <c r="P234" s="5">
        <f>IFERROR(INDEX('Master data'!$B$2:$CL$1000,MATCH($B234,'Master data'!$A$2:$A$1000,0),MATCH(P$1,'Master data'!$B$1:$CL$1,0)),"")</f>
        <v>4500000</v>
      </c>
      <c r="Q234" s="5">
        <f>IFERROR(INDEX('Master data'!$B$2:$CL$1000,MATCH($B234,'Master data'!$A$2:$A$1000,0),MATCH(Q$1,'Master data'!$B$1:$CL$1,0)),"")</f>
        <v>4500000</v>
      </c>
    </row>
    <row r="235" spans="1:17" hidden="1">
      <c r="A235">
        <f t="shared" si="3"/>
        <v>233</v>
      </c>
      <c r="B235" t="str">
        <f>IF('Master data'!A235="","",'Master data'!A235)</f>
        <v>Aleksey Miranchuk</v>
      </c>
      <c r="C235" t="str">
        <f>IFERROR(INDEX('Master data'!$B$2:$CL$1000,MATCH($B235,'Master data'!$A$2:$A$1000,0),MATCH(C$1,'Master data'!$B$1:$CL$1,0)),"")</f>
        <v>Russia</v>
      </c>
      <c r="D235" t="str">
        <f>IFERROR(INDEX('Master data'!$B$2:$CL$1000,MATCH($B235,'Master data'!$A$2:$A$1000,0),MATCH(D$1,'Master data'!$B$1:$CL$1,0)),"")</f>
        <v>Midfield</v>
      </c>
      <c r="E235" s="5">
        <f>IFERROR(INDEX('Master data'!$B$2:$CL$1000,MATCH($B235,'Master data'!$A$2:$A$1000,0),MATCH(E$1,'Master data'!$B$1:$CL$1,0)),"")</f>
        <v>3000000</v>
      </c>
      <c r="F235" s="7">
        <f>IFERROR(INDEX('Master data'!$B$2:$CL$1000,MATCH($B235,'Master data'!$A$2:$A$1000,0),MATCH(F$1,'Master data'!$B$1:$CL$1,0)),"")</f>
        <v>-5000</v>
      </c>
      <c r="G235" s="7">
        <f>IFERROR(INDEX('Master data'!$B$2:$CL$1000,MATCH($B235,'Master data'!$A$2:$A$1000,0),MATCH(G$1,'Master data'!$B$1:$CL$1,0)),"")</f>
        <v>-5000</v>
      </c>
      <c r="H235" s="7">
        <f>IFERROR(INDEX('Master data'!$B$2:$CL$1000,MATCH($B235,'Master data'!$A$2:$A$1000,0),MATCH(H$1,'Master data'!$B$1:$CL$1,0)),"")</f>
        <v>-5000</v>
      </c>
      <c r="I235" s="7">
        <f>IFERROR(INDEX('Master data'!$B$2:$CL$1000,MATCH($B235,'Master data'!$A$2:$A$1000,0),MATCH(I$1,'Master data'!$B$1:$CL$1,0)),"")</f>
        <v>-22390.429544368617</v>
      </c>
      <c r="J235" s="7">
        <f>IFERROR(INDEX('Master data'!$B$2:$CL$1000,MATCH($B235,'Master data'!$A$2:$A$1000,0),MATCH(J$1,'Master data'!$B$1:$CL$1,0)),"")</f>
        <v>-10974.767078683311</v>
      </c>
      <c r="K235" s="7">
        <f>IFERROR(INDEX('Master data'!$B$2:$CL$1000,MATCH($B235,'Master data'!$A$2:$A$1000,0),MATCH(K$1,'Master data'!$B$1:$CL$1,0)),"")</f>
        <v>-5287.4127466117425</v>
      </c>
      <c r="L235" s="7">
        <f>IFERROR(INDEX('Master data'!$B$2:$CL$1000,MATCH($B235,'Master data'!$A$2:$A$1000,0),MATCH(L$1,'Master data'!$B$1:$CL$1,0)),"")</f>
        <v>-2392.5682258176826</v>
      </c>
      <c r="M235" s="5">
        <f>IFERROR(INDEX('Master data'!$B$2:$CL$1000,MATCH($B235,'Master data'!$A$2:$A$1000,0),MATCH(M$1,'Master data'!$B$1:$CL$1,0)),"")</f>
        <v>-20263.944075502161</v>
      </c>
      <c r="N235" s="28">
        <f>IFERROR(INDEX('Master data'!$B$2:$CL$1000,MATCH($B235,'Master data'!$A$2:$A$1000,0),MATCH(N$1,'Master data'!$B$1:$CL$1,0)),"")</f>
        <v>-5.0000000000000001E-3</v>
      </c>
      <c r="O235" s="7">
        <f>IFERROR(INDEX('Master data'!$B$2:$CL$1000,MATCH($B235,'Master data'!$A$2:$A$1000,0),MATCH(O$1,'Master data'!$B$1:$CL$1,0)),"")</f>
        <v>0</v>
      </c>
      <c r="P235" s="5">
        <f>IFERROR(INDEX('Master data'!$B$2:$CL$1000,MATCH($B235,'Master data'!$A$2:$A$1000,0),MATCH(P$1,'Master data'!$B$1:$CL$1,0)),"")</f>
        <v>3000000</v>
      </c>
      <c r="Q235" s="5">
        <f>IFERROR(INDEX('Master data'!$B$2:$CL$1000,MATCH($B235,'Master data'!$A$2:$A$1000,0),MATCH(Q$1,'Master data'!$B$1:$CL$1,0)),"")</f>
        <v>3000000</v>
      </c>
    </row>
    <row r="236" spans="1:17" hidden="1">
      <c r="A236">
        <f t="shared" si="3"/>
        <v>234</v>
      </c>
      <c r="B236" t="str">
        <f>IF('Master data'!A236="","",'Master data'!A236)</f>
        <v>Artem Dzyuba</v>
      </c>
      <c r="C236" t="str">
        <f>IFERROR(INDEX('Master data'!$B$2:$CL$1000,MATCH($B236,'Master data'!$A$2:$A$1000,0),MATCH(C$1,'Master data'!$B$1:$CL$1,0)),"")</f>
        <v>Russia</v>
      </c>
      <c r="D236" t="str">
        <f>IFERROR(INDEX('Master data'!$B$2:$CL$1000,MATCH($B236,'Master data'!$A$2:$A$1000,0),MATCH(D$1,'Master data'!$B$1:$CL$1,0)),"")</f>
        <v>Striker</v>
      </c>
      <c r="E236" s="5">
        <f>IFERROR(INDEX('Master data'!$B$2:$CL$1000,MATCH($B236,'Master data'!$A$2:$A$1000,0),MATCH(E$1,'Master data'!$B$1:$CL$1,0)),"")</f>
        <v>4000000</v>
      </c>
      <c r="F236" s="7">
        <f>IFERROR(INDEX('Master data'!$B$2:$CL$1000,MATCH($B236,'Master data'!$A$2:$A$1000,0),MATCH(F$1,'Master data'!$B$1:$CL$1,0)),"")</f>
        <v>31787.098657786806</v>
      </c>
      <c r="G236" s="7">
        <f>IFERROR(INDEX('Master data'!$B$2:$CL$1000,MATCH($B236,'Master data'!$A$2:$A$1000,0),MATCH(G$1,'Master data'!$B$1:$CL$1,0)),"")</f>
        <v>89706.820474817549</v>
      </c>
      <c r="H236" s="7">
        <f>IFERROR(INDEX('Master data'!$B$2:$CL$1000,MATCH($B236,'Master data'!$A$2:$A$1000,0),MATCH(H$1,'Master data'!$B$1:$CL$1,0)),"")</f>
        <v>40809.140845194066</v>
      </c>
      <c r="I236" s="7">
        <f>IFERROR(INDEX('Master data'!$B$2:$CL$1000,MATCH($B236,'Master data'!$A$2:$A$1000,0),MATCH(I$1,'Master data'!$B$1:$CL$1,0)),"")</f>
        <v>8016.8591780587794</v>
      </c>
      <c r="J236" s="7">
        <f>IFERROR(INDEX('Master data'!$B$2:$CL$1000,MATCH($B236,'Master data'!$A$2:$A$1000,0),MATCH(J$1,'Master data'!$B$1:$CL$1,0)),"")</f>
        <v>3764.527766238999</v>
      </c>
      <c r="K236" s="7">
        <f>IFERROR(INDEX('Master data'!$B$2:$CL$1000,MATCH($B236,'Master data'!$A$2:$A$1000,0),MATCH(K$1,'Master data'!$B$1:$CL$1,0)),"")</f>
        <v>1733.9623514652985</v>
      </c>
      <c r="L236" s="7">
        <f>IFERROR(INDEX('Master data'!$B$2:$CL$1000,MATCH($B236,'Master data'!$A$2:$A$1000,0),MATCH(L$1,'Master data'!$B$1:$CL$1,0)),"")</f>
        <v>748.45041789037919</v>
      </c>
      <c r="M236" s="5">
        <f>IFERROR(INDEX('Master data'!$B$2:$CL$1000,MATCH($B236,'Master data'!$A$2:$A$1000,0),MATCH(M$1,'Master data'!$B$1:$CL$1,0)),"")</f>
        <v>113142.06597999389</v>
      </c>
      <c r="N236" s="28">
        <f>IFERROR(INDEX('Master data'!$B$2:$CL$1000,MATCH($B236,'Master data'!$A$2:$A$1000,0),MATCH(N$1,'Master data'!$B$1:$CL$1,0)),"")</f>
        <v>4.0575764994449606E-2</v>
      </c>
      <c r="O236" s="7">
        <f>IFERROR(INDEX('Master data'!$B$2:$CL$1000,MATCH($B236,'Master data'!$A$2:$A$1000,0),MATCH(O$1,'Master data'!$B$1:$CL$1,0)),"")</f>
        <v>0</v>
      </c>
      <c r="P236" s="5">
        <f>IFERROR(INDEX('Master data'!$B$2:$CL$1000,MATCH($B236,'Master data'!$A$2:$A$1000,0),MATCH(P$1,'Master data'!$B$1:$CL$1,0)),"")</f>
        <v>4000000</v>
      </c>
      <c r="Q236" s="5">
        <f>IFERROR(INDEX('Master data'!$B$2:$CL$1000,MATCH($B236,'Master data'!$A$2:$A$1000,0),MATCH(Q$1,'Master data'!$B$1:$CL$1,0)),"")</f>
        <v>4000000</v>
      </c>
    </row>
    <row r="237" spans="1:17" hidden="1">
      <c r="A237">
        <f t="shared" si="3"/>
        <v>235</v>
      </c>
      <c r="B237" t="str">
        <f>IF('Master data'!A237="","",'Master data'!A237)</f>
        <v>Anton Zabolotny</v>
      </c>
      <c r="C237" t="str">
        <f>IFERROR(INDEX('Master data'!$B$2:$CL$1000,MATCH($B237,'Master data'!$A$2:$A$1000,0),MATCH(C$1,'Master data'!$B$1:$CL$1,0)),"")</f>
        <v>Russia</v>
      </c>
      <c r="D237" t="str">
        <f>IFERROR(INDEX('Master data'!$B$2:$CL$1000,MATCH($B237,'Master data'!$A$2:$A$1000,0),MATCH(D$1,'Master data'!$B$1:$CL$1,0)),"")</f>
        <v>Striker</v>
      </c>
      <c r="E237" s="5">
        <f>IFERROR(INDEX('Master data'!$B$2:$CL$1000,MATCH($B237,'Master data'!$A$2:$A$1000,0),MATCH(E$1,'Master data'!$B$1:$CL$1,0)),"")</f>
        <v>2500000</v>
      </c>
      <c r="F237" s="7">
        <f>IFERROR(INDEX('Master data'!$B$2:$CL$1000,MATCH($B237,'Master data'!$A$2:$A$1000,0),MATCH(F$1,'Master data'!$B$1:$CL$1,0)),"")</f>
        <v>-5000</v>
      </c>
      <c r="G237" s="7">
        <f>IFERROR(INDEX('Master data'!$B$2:$CL$1000,MATCH($B237,'Master data'!$A$2:$A$1000,0),MATCH(G$1,'Master data'!$B$1:$CL$1,0)),"")</f>
        <v>-5000</v>
      </c>
      <c r="H237" s="7">
        <f>IFERROR(INDEX('Master data'!$B$2:$CL$1000,MATCH($B237,'Master data'!$A$2:$A$1000,0),MATCH(H$1,'Master data'!$B$1:$CL$1,0)),"")</f>
        <v>-5000</v>
      </c>
      <c r="I237" s="7">
        <f>IFERROR(INDEX('Master data'!$B$2:$CL$1000,MATCH($B237,'Master data'!$A$2:$A$1000,0),MATCH(I$1,'Master data'!$B$1:$CL$1,0)),"")</f>
        <v>-19178.029322794926</v>
      </c>
      <c r="J237" s="7">
        <f>IFERROR(INDEX('Master data'!$B$2:$CL$1000,MATCH($B237,'Master data'!$A$2:$A$1000,0),MATCH(J$1,'Master data'!$B$1:$CL$1,0)),"")</f>
        <v>-9397.9327282977792</v>
      </c>
      <c r="K237" s="7">
        <f>IFERROR(INDEX('Master data'!$B$2:$CL$1000,MATCH($B237,'Master data'!$A$2:$A$1000,0),MATCH(K$1,'Master data'!$B$1:$CL$1,0)),"")</f>
        <v>-4526.6339341496214</v>
      </c>
      <c r="L237" s="7">
        <f>IFERROR(INDEX('Master data'!$B$2:$CL$1000,MATCH($B237,'Master data'!$A$2:$A$1000,0),MATCH(L$1,'Master data'!$B$1:$CL$1,0)),"")</f>
        <v>-2047.8177610024545</v>
      </c>
      <c r="M237" s="5">
        <f>IFERROR(INDEX('Master data'!$B$2:$CL$1000,MATCH($B237,'Master data'!$A$2:$A$1000,0),MATCH(M$1,'Master data'!$B$1:$CL$1,0)),"")</f>
        <v>-18870.197312731281</v>
      </c>
      <c r="N237" s="28">
        <f>IFERROR(INDEX('Master data'!$B$2:$CL$1000,MATCH($B237,'Master data'!$A$2:$A$1000,0),MATCH(N$1,'Master data'!$B$1:$CL$1,0)),"")</f>
        <v>-6.0000000000000001E-3</v>
      </c>
      <c r="O237" s="7">
        <f>IFERROR(INDEX('Master data'!$B$2:$CL$1000,MATCH($B237,'Master data'!$A$2:$A$1000,0),MATCH(O$1,'Master data'!$B$1:$CL$1,0)),"")</f>
        <v>0</v>
      </c>
      <c r="P237" s="5">
        <f>IFERROR(INDEX('Master data'!$B$2:$CL$1000,MATCH($B237,'Master data'!$A$2:$A$1000,0),MATCH(P$1,'Master data'!$B$1:$CL$1,0)),"")</f>
        <v>2500000</v>
      </c>
      <c r="Q237" s="5">
        <f>IFERROR(INDEX('Master data'!$B$2:$CL$1000,MATCH($B237,'Master data'!$A$2:$A$1000,0),MATCH(Q$1,'Master data'!$B$1:$CL$1,0)),"")</f>
        <v>2500000</v>
      </c>
    </row>
    <row r="238" spans="1:17" hidden="1">
      <c r="A238">
        <f t="shared" si="3"/>
        <v>236</v>
      </c>
      <c r="B238" t="str">
        <f>IF('Master data'!A238="","",'Master data'!A238)</f>
        <v>Harry Wilson</v>
      </c>
      <c r="C238" t="str">
        <f>IFERROR(INDEX('Master data'!$B$2:$CL$1000,MATCH($B238,'Master data'!$A$2:$A$1000,0),MATCH(C$1,'Master data'!$B$1:$CL$1,0)),"")</f>
        <v>Wales</v>
      </c>
      <c r="D238" t="str">
        <f>IFERROR(INDEX('Master data'!$B$2:$CL$1000,MATCH($B238,'Master data'!$A$2:$A$1000,0),MATCH(D$1,'Master data'!$B$1:$CL$1,0)),"")</f>
        <v>Midfield</v>
      </c>
      <c r="E238" s="5">
        <f>IFERROR(INDEX('Master data'!$B$2:$CL$1000,MATCH($B238,'Master data'!$A$2:$A$1000,0),MATCH(E$1,'Master data'!$B$1:$CL$1,0)),"")</f>
        <v>3500000</v>
      </c>
      <c r="F238" s="7">
        <f>IFERROR(INDEX('Master data'!$B$2:$CL$1000,MATCH($B238,'Master data'!$A$2:$A$1000,0),MATCH(F$1,'Master data'!$B$1:$CL$1,0)),"")</f>
        <v>17429.311796297086</v>
      </c>
      <c r="G238" s="7">
        <f>IFERROR(INDEX('Master data'!$B$2:$CL$1000,MATCH($B238,'Master data'!$A$2:$A$1000,0),MATCH(G$1,'Master data'!$B$1:$CL$1,0)),"")</f>
        <v>21313.561777837305</v>
      </c>
      <c r="H238" s="7">
        <f>IFERROR(INDEX('Master data'!$B$2:$CL$1000,MATCH($B238,'Master data'!$A$2:$A$1000,0),MATCH(H$1,'Master data'!$B$1:$CL$1,0)),"")</f>
        <v>-2062.8659926644577</v>
      </c>
      <c r="I238" s="7">
        <f>IFERROR(INDEX('Master data'!$B$2:$CL$1000,MATCH($B238,'Master data'!$A$2:$A$1000,0),MATCH(I$1,'Master data'!$B$1:$CL$1,0)),"")</f>
        <v>-11402.900124721771</v>
      </c>
      <c r="J238" s="7">
        <f>IFERROR(INDEX('Master data'!$B$2:$CL$1000,MATCH($B238,'Master data'!$A$2:$A$1000,0),MATCH(J$1,'Master data'!$B$1:$CL$1,0)),"")</f>
        <v>-5630.4210725065523</v>
      </c>
      <c r="K238" s="7">
        <f>IFERROR(INDEX('Master data'!$B$2:$CL$1000,MATCH($B238,'Master data'!$A$2:$A$1000,0),MATCH(K$1,'Master data'!$B$1:$CL$1,0)),"")</f>
        <v>-2734.303041110808</v>
      </c>
      <c r="L238" s="7">
        <f>IFERROR(INDEX('Master data'!$B$2:$CL$1000,MATCH($B238,'Master data'!$A$2:$A$1000,0),MATCH(L$1,'Master data'!$B$1:$CL$1,0)),"")</f>
        <v>-1250.2464042005017</v>
      </c>
      <c r="M238" s="5">
        <f>IFERROR(INDEX('Master data'!$B$2:$CL$1000,MATCH($B238,'Master data'!$A$2:$A$1000,0),MATCH(M$1,'Master data'!$B$1:$CL$1,0)),"")</f>
        <v>25760.870807558171</v>
      </c>
      <c r="N238" s="28">
        <f>IFERROR(INDEX('Master data'!$B$2:$CL$1000,MATCH($B238,'Master data'!$A$2:$A$1000,0),MATCH(N$1,'Master data'!$B$1:$CL$1,0)),"")</f>
        <v>1.0480002166134268E-2</v>
      </c>
      <c r="O238" s="7">
        <f>IFERROR(INDEX('Master data'!$B$2:$CL$1000,MATCH($B238,'Master data'!$A$2:$A$1000,0),MATCH(O$1,'Master data'!$B$1:$CL$1,0)),"")</f>
        <v>0</v>
      </c>
      <c r="P238" s="5">
        <f>IFERROR(INDEX('Master data'!$B$2:$CL$1000,MATCH($B238,'Master data'!$A$2:$A$1000,0),MATCH(P$1,'Master data'!$B$1:$CL$1,0)),"")</f>
        <v>3500000</v>
      </c>
      <c r="Q238" s="5">
        <f>IFERROR(INDEX('Master data'!$B$2:$CL$1000,MATCH($B238,'Master data'!$A$2:$A$1000,0),MATCH(Q$1,'Master data'!$B$1:$CL$1,0)),"")</f>
        <v>3500000</v>
      </c>
    </row>
    <row r="239" spans="1:17" hidden="1">
      <c r="A239">
        <f t="shared" si="3"/>
        <v>237</v>
      </c>
      <c r="B239" t="str">
        <f>IF('Master data'!A239="","",'Master data'!A239)</f>
        <v>Emil Forsberg</v>
      </c>
      <c r="C239" t="str">
        <f>IFERROR(INDEX('Master data'!$B$2:$CL$1000,MATCH($B239,'Master data'!$A$2:$A$1000,0),MATCH(C$1,'Master data'!$B$1:$CL$1,0)),"")</f>
        <v>Sweden</v>
      </c>
      <c r="D239" t="str">
        <f>IFERROR(INDEX('Master data'!$B$2:$CL$1000,MATCH($B239,'Master data'!$A$2:$A$1000,0),MATCH(D$1,'Master data'!$B$1:$CL$1,0)),"")</f>
        <v>Midfield</v>
      </c>
      <c r="E239" s="5">
        <f>IFERROR(INDEX('Master data'!$B$2:$CL$1000,MATCH($B239,'Master data'!$A$2:$A$1000,0),MATCH(E$1,'Master data'!$B$1:$CL$1,0)),"")</f>
        <v>4000000</v>
      </c>
      <c r="F239" s="7">
        <f>IFERROR(INDEX('Master data'!$B$2:$CL$1000,MATCH($B239,'Master data'!$A$2:$A$1000,0),MATCH(F$1,'Master data'!$B$1:$CL$1,0)),"")</f>
        <v>-5000</v>
      </c>
      <c r="G239" s="7">
        <f>IFERROR(INDEX('Master data'!$B$2:$CL$1000,MATCH($B239,'Master data'!$A$2:$A$1000,0),MATCH(G$1,'Master data'!$B$1:$CL$1,0)),"")</f>
        <v>-5000</v>
      </c>
      <c r="H239" s="7">
        <f>IFERROR(INDEX('Master data'!$B$2:$CL$1000,MATCH($B239,'Master data'!$A$2:$A$1000,0),MATCH(H$1,'Master data'!$B$1:$CL$1,0)),"")</f>
        <v>-5000</v>
      </c>
      <c r="I239" s="7">
        <f>IFERROR(INDEX('Master data'!$B$2:$CL$1000,MATCH($B239,'Master data'!$A$2:$A$1000,0),MATCH(I$1,'Master data'!$B$1:$CL$1,0)),"")</f>
        <v>-29372.944116306626</v>
      </c>
      <c r="J239" s="7">
        <f>IFERROR(INDEX('Master data'!$B$2:$CL$1000,MATCH($B239,'Master data'!$A$2:$A$1000,0),MATCH(J$1,'Master data'!$B$1:$CL$1,0)),"")</f>
        <v>-14431.885300268161</v>
      </c>
      <c r="K239" s="7">
        <f>IFERROR(INDEX('Master data'!$B$2:$CL$1000,MATCH($B239,'Master data'!$A$2:$A$1000,0),MATCH(K$1,'Master data'!$B$1:$CL$1,0)),"")</f>
        <v>-6983.9380691761853</v>
      </c>
      <c r="L239" s="7">
        <f>IFERROR(INDEX('Master data'!$B$2:$CL$1000,MATCH($B239,'Master data'!$A$2:$A$1000,0),MATCH(L$1,'Master data'!$B$1:$CL$1,0)),"")</f>
        <v>-3199.6110354517568</v>
      </c>
      <c r="M239" s="5">
        <f>IFERROR(INDEX('Master data'!$B$2:$CL$1000,MATCH($B239,'Master data'!$A$2:$A$1000,0),MATCH(M$1,'Master data'!$B$1:$CL$1,0)),"")</f>
        <v>-23309.987068958399</v>
      </c>
      <c r="N239" s="28">
        <f>IFERROR(INDEX('Master data'!$B$2:$CL$1000,MATCH($B239,'Master data'!$A$2:$A$1000,0),MATCH(N$1,'Master data'!$B$1:$CL$1,0)),"")</f>
        <v>-3.7499999999999999E-3</v>
      </c>
      <c r="O239" s="7">
        <f>IFERROR(INDEX('Master data'!$B$2:$CL$1000,MATCH($B239,'Master data'!$A$2:$A$1000,0),MATCH(O$1,'Master data'!$B$1:$CL$1,0)),"")</f>
        <v>0</v>
      </c>
      <c r="P239" s="5">
        <f>IFERROR(INDEX('Master data'!$B$2:$CL$1000,MATCH($B239,'Master data'!$A$2:$A$1000,0),MATCH(P$1,'Master data'!$B$1:$CL$1,0)),"")</f>
        <v>4000000</v>
      </c>
      <c r="Q239" s="5">
        <f>IFERROR(INDEX('Master data'!$B$2:$CL$1000,MATCH($B239,'Master data'!$A$2:$A$1000,0),MATCH(Q$1,'Master data'!$B$1:$CL$1,0)),"")</f>
        <v>4000000</v>
      </c>
    </row>
    <row r="240" spans="1:17" hidden="1">
      <c r="A240">
        <f t="shared" si="3"/>
        <v>238</v>
      </c>
      <c r="B240" t="str">
        <f>IF('Master data'!A240="","",'Master data'!A240)</f>
        <v>Alexander Isak</v>
      </c>
      <c r="C240" t="str">
        <f>IFERROR(INDEX('Master data'!$B$2:$CL$1000,MATCH($B240,'Master data'!$A$2:$A$1000,0),MATCH(C$1,'Master data'!$B$1:$CL$1,0)),"")</f>
        <v>Sweden</v>
      </c>
      <c r="D240" t="str">
        <f>IFERROR(INDEX('Master data'!$B$2:$CL$1000,MATCH($B240,'Master data'!$A$2:$A$1000,0),MATCH(D$1,'Master data'!$B$1:$CL$1,0)),"")</f>
        <v>Striker</v>
      </c>
      <c r="E240" s="5">
        <f>IFERROR(INDEX('Master data'!$B$2:$CL$1000,MATCH($B240,'Master data'!$A$2:$A$1000,0),MATCH(E$1,'Master data'!$B$1:$CL$1,0)),"")</f>
        <v>5000000</v>
      </c>
      <c r="F240" s="7">
        <f>IFERROR(INDEX('Master data'!$B$2:$CL$1000,MATCH($B240,'Master data'!$A$2:$A$1000,0),MATCH(F$1,'Master data'!$B$1:$CL$1,0)),"")</f>
        <v>24100.093053780576</v>
      </c>
      <c r="G240" s="7">
        <f>IFERROR(INDEX('Master data'!$B$2:$CL$1000,MATCH($B240,'Master data'!$A$2:$A$1000,0),MATCH(G$1,'Master data'!$B$1:$CL$1,0)),"")</f>
        <v>94472.989169086199</v>
      </c>
      <c r="H240" s="7">
        <f>IFERROR(INDEX('Master data'!$B$2:$CL$1000,MATCH($B240,'Master data'!$A$2:$A$1000,0),MATCH(H$1,'Master data'!$B$1:$CL$1,0)),"")</f>
        <v>78989.249389933597</v>
      </c>
      <c r="I240" s="7">
        <f>IFERROR(INDEX('Master data'!$B$2:$CL$1000,MATCH($B240,'Master data'!$A$2:$A$1000,0),MATCH(I$1,'Master data'!$B$1:$CL$1,0)),"")</f>
        <v>9089.2314286549863</v>
      </c>
      <c r="J240" s="7">
        <f>IFERROR(INDEX('Master data'!$B$2:$CL$1000,MATCH($B240,'Master data'!$A$2:$A$1000,0),MATCH(J$1,'Master data'!$B$1:$CL$1,0)),"")</f>
        <v>4258.6773665898345</v>
      </c>
      <c r="K240" s="7">
        <f>IFERROR(INDEX('Master data'!$B$2:$CL$1000,MATCH($B240,'Master data'!$A$2:$A$1000,0),MATCH(K$1,'Master data'!$B$1:$CL$1,0)),"")</f>
        <v>1960.4039029432104</v>
      </c>
      <c r="L240" s="7">
        <f>IFERROR(INDEX('Master data'!$B$2:$CL$1000,MATCH($B240,'Master data'!$A$2:$A$1000,0),MATCH(L$1,'Master data'!$B$1:$CL$1,0)),"")</f>
        <v>852.0030135351102</v>
      </c>
      <c r="M240" s="5">
        <f>IFERROR(INDEX('Master data'!$B$2:$CL$1000,MATCH($B240,'Master data'!$A$2:$A$1000,0),MATCH(M$1,'Master data'!$B$1:$CL$1,0)),"")</f>
        <v>126055.70352763736</v>
      </c>
      <c r="N240" s="28">
        <f>IFERROR(INDEX('Master data'!$B$2:$CL$1000,MATCH($B240,'Master data'!$A$2:$A$1000,0),MATCH(N$1,'Master data'!$B$1:$CL$1,0)),"")</f>
        <v>3.9512466322560072E-2</v>
      </c>
      <c r="O240" s="7">
        <f>IFERROR(INDEX('Master data'!$B$2:$CL$1000,MATCH($B240,'Master data'!$A$2:$A$1000,0),MATCH(O$1,'Master data'!$B$1:$CL$1,0)),"")</f>
        <v>0</v>
      </c>
      <c r="P240" s="5">
        <f>IFERROR(INDEX('Master data'!$B$2:$CL$1000,MATCH($B240,'Master data'!$A$2:$A$1000,0),MATCH(P$1,'Master data'!$B$1:$CL$1,0)),"")</f>
        <v>5000000</v>
      </c>
      <c r="Q240" s="5">
        <f>IFERROR(INDEX('Master data'!$B$2:$CL$1000,MATCH($B240,'Master data'!$A$2:$A$1000,0),MATCH(Q$1,'Master data'!$B$1:$CL$1,0)),"")</f>
        <v>5000000</v>
      </c>
    </row>
    <row r="241" spans="1:17" hidden="1">
      <c r="A241">
        <f t="shared" si="3"/>
        <v>239</v>
      </c>
      <c r="B241" t="str">
        <f>IF('Master data'!A241="","",'Master data'!A241)</f>
        <v>Remo Freuler</v>
      </c>
      <c r="C241" t="str">
        <f>IFERROR(INDEX('Master data'!$B$2:$CL$1000,MATCH($B241,'Master data'!$A$2:$A$1000,0),MATCH(C$1,'Master data'!$B$1:$CL$1,0)),"")</f>
        <v>Switzerland</v>
      </c>
      <c r="D241" t="str">
        <f>IFERROR(INDEX('Master data'!$B$2:$CL$1000,MATCH($B241,'Master data'!$A$2:$A$1000,0),MATCH(D$1,'Master data'!$B$1:$CL$1,0)),"")</f>
        <v>Midfield</v>
      </c>
      <c r="E241" s="5">
        <f>IFERROR(INDEX('Master data'!$B$2:$CL$1000,MATCH($B241,'Master data'!$A$2:$A$1000,0),MATCH(E$1,'Master data'!$B$1:$CL$1,0)),"")</f>
        <v>3500000</v>
      </c>
      <c r="F241" s="7">
        <f>IFERROR(INDEX('Master data'!$B$2:$CL$1000,MATCH($B241,'Master data'!$A$2:$A$1000,0),MATCH(F$1,'Master data'!$B$1:$CL$1,0)),"")</f>
        <v>39107.718784494748</v>
      </c>
      <c r="G241" s="7">
        <f>IFERROR(INDEX('Master data'!$B$2:$CL$1000,MATCH($B241,'Master data'!$A$2:$A$1000,0),MATCH(G$1,'Master data'!$B$1:$CL$1,0)),"")</f>
        <v>12578.509729161035</v>
      </c>
      <c r="H241" s="7">
        <f>IFERROR(INDEX('Master data'!$B$2:$CL$1000,MATCH($B241,'Master data'!$A$2:$A$1000,0),MATCH(H$1,'Master data'!$B$1:$CL$1,0)),"")</f>
        <v>39706.880140777896</v>
      </c>
      <c r="I241" s="7">
        <f>IFERROR(INDEX('Master data'!$B$2:$CL$1000,MATCH($B241,'Master data'!$A$2:$A$1000,0),MATCH(I$1,'Master data'!$B$1:$CL$1,0)),"")</f>
        <v>-3479.21419354824</v>
      </c>
      <c r="J241" s="7">
        <f>IFERROR(INDEX('Master data'!$B$2:$CL$1000,MATCH($B241,'Master data'!$A$2:$A$1000,0),MATCH(J$1,'Master data'!$B$1:$CL$1,0)),"")</f>
        <v>-1811.0093346058732</v>
      </c>
      <c r="K241" s="7">
        <f>IFERROR(INDEX('Master data'!$B$2:$CL$1000,MATCH($B241,'Master data'!$A$2:$A$1000,0),MATCH(K$1,'Master data'!$B$1:$CL$1,0)),"")</f>
        <v>-927.83108430421953</v>
      </c>
      <c r="L241" s="7">
        <f>IFERROR(INDEX('Master data'!$B$2:$CL$1000,MATCH($B241,'Master data'!$A$2:$A$1000,0),MATCH(L$1,'Master data'!$B$1:$CL$1,0)),"")</f>
        <v>-452.55293690185846</v>
      </c>
      <c r="M241" s="5">
        <f>IFERROR(INDEX('Master data'!$B$2:$CL$1000,MATCH($B241,'Master data'!$A$2:$A$1000,0),MATCH(M$1,'Master data'!$B$1:$CL$1,0)),"")</f>
        <v>63590.371887292698</v>
      </c>
      <c r="N241" s="28">
        <f>IFERROR(INDEX('Master data'!$B$2:$CL$1000,MATCH($B241,'Master data'!$A$2:$A$1000,0),MATCH(N$1,'Master data'!$B$1:$CL$1,0)),"")</f>
        <v>2.6112316758409623E-2</v>
      </c>
      <c r="O241" s="7">
        <f>IFERROR(INDEX('Master data'!$B$2:$CL$1000,MATCH($B241,'Master data'!$A$2:$A$1000,0),MATCH(O$1,'Master data'!$B$1:$CL$1,0)),"")</f>
        <v>0</v>
      </c>
      <c r="P241" s="5">
        <f>IFERROR(INDEX('Master data'!$B$2:$CL$1000,MATCH($B241,'Master data'!$A$2:$A$1000,0),MATCH(P$1,'Master data'!$B$1:$CL$1,0)),"")</f>
        <v>3500000</v>
      </c>
      <c r="Q241" s="5">
        <f>IFERROR(INDEX('Master data'!$B$2:$CL$1000,MATCH($B241,'Master data'!$A$2:$A$1000,0),MATCH(Q$1,'Master data'!$B$1:$CL$1,0)),"")</f>
        <v>3500000</v>
      </c>
    </row>
    <row r="242" spans="1:17" hidden="1">
      <c r="A242">
        <f t="shared" si="3"/>
        <v>240</v>
      </c>
      <c r="B242" t="str">
        <f>IF('Master data'!A242="","",'Master data'!A242)</f>
        <v>Marcel Sabitzer</v>
      </c>
      <c r="C242" t="str">
        <f>IFERROR(INDEX('Master data'!$B$2:$CL$1000,MATCH($B242,'Master data'!$A$2:$A$1000,0),MATCH(C$1,'Master data'!$B$1:$CL$1,0)),"")</f>
        <v>Austria</v>
      </c>
      <c r="D242" t="str">
        <f>IFERROR(INDEX('Master data'!$B$2:$CL$1000,MATCH($B242,'Master data'!$A$2:$A$1000,0),MATCH(D$1,'Master data'!$B$1:$CL$1,0)),"")</f>
        <v>Striker</v>
      </c>
      <c r="E242" s="5">
        <f>IFERROR(INDEX('Master data'!$B$2:$CL$1000,MATCH($B242,'Master data'!$A$2:$A$1000,0),MATCH(E$1,'Master data'!$B$1:$CL$1,0)),"")</f>
        <v>4000000</v>
      </c>
      <c r="F242" s="7">
        <f>IFERROR(INDEX('Master data'!$B$2:$CL$1000,MATCH($B242,'Master data'!$A$2:$A$1000,0),MATCH(F$1,'Master data'!$B$1:$CL$1,0)),"")</f>
        <v>-5000</v>
      </c>
      <c r="G242" s="7">
        <f>IFERROR(INDEX('Master data'!$B$2:$CL$1000,MATCH($B242,'Master data'!$A$2:$A$1000,0),MATCH(G$1,'Master data'!$B$1:$CL$1,0)),"")</f>
        <v>-5000</v>
      </c>
      <c r="H242" s="7">
        <f>IFERROR(INDEX('Master data'!$B$2:$CL$1000,MATCH($B242,'Master data'!$A$2:$A$1000,0),MATCH(H$1,'Master data'!$B$1:$CL$1,0)),"")</f>
        <v>-5000</v>
      </c>
      <c r="I242" s="7">
        <f>IFERROR(INDEX('Master data'!$B$2:$CL$1000,MATCH($B242,'Master data'!$A$2:$A$1000,0),MATCH(I$1,'Master data'!$B$1:$CL$1,0)),"")</f>
        <v>-32062.016464982593</v>
      </c>
      <c r="J242" s="7">
        <f>IFERROR(INDEX('Master data'!$B$2:$CL$1000,MATCH($B242,'Master data'!$A$2:$A$1000,0),MATCH(J$1,'Master data'!$B$1:$CL$1,0)),"")</f>
        <v>-15721.29538287136</v>
      </c>
      <c r="K242" s="7">
        <f>IFERROR(INDEX('Master data'!$B$2:$CL$1000,MATCH($B242,'Master data'!$A$2:$A$1000,0),MATCH(K$1,'Master data'!$B$1:$CL$1,0)),"")</f>
        <v>-7577.5072776146772</v>
      </c>
      <c r="L242" s="7">
        <f>IFERROR(INDEX('Master data'!$B$2:$CL$1000,MATCH($B242,'Master data'!$A$2:$A$1000,0),MATCH(L$1,'Master data'!$B$1:$CL$1,0)),"")</f>
        <v>-3431.1261872466644</v>
      </c>
      <c r="M242" s="5">
        <f>IFERROR(INDEX('Master data'!$B$2:$CL$1000,MATCH($B242,'Master data'!$A$2:$A$1000,0),MATCH(M$1,'Master data'!$B$1:$CL$1,0)),"")</f>
        <v>-24459.938088072035</v>
      </c>
      <c r="N242" s="28">
        <f>IFERROR(INDEX('Master data'!$B$2:$CL$1000,MATCH($B242,'Master data'!$A$2:$A$1000,0),MATCH(N$1,'Master data'!$B$1:$CL$1,0)),"")</f>
        <v>-3.7499999999999999E-3</v>
      </c>
      <c r="O242" s="7">
        <f>IFERROR(INDEX('Master data'!$B$2:$CL$1000,MATCH($B242,'Master data'!$A$2:$A$1000,0),MATCH(O$1,'Master data'!$B$1:$CL$1,0)),"")</f>
        <v>0</v>
      </c>
      <c r="P242" s="5">
        <f>IFERROR(INDEX('Master data'!$B$2:$CL$1000,MATCH($B242,'Master data'!$A$2:$A$1000,0),MATCH(P$1,'Master data'!$B$1:$CL$1,0)),"")</f>
        <v>4000000</v>
      </c>
      <c r="Q242" s="5">
        <f>IFERROR(INDEX('Master data'!$B$2:$CL$1000,MATCH($B242,'Master data'!$A$2:$A$1000,0),MATCH(Q$1,'Master data'!$B$1:$CL$1,0)),"")</f>
        <v>4000000</v>
      </c>
    </row>
    <row r="243" spans="1:17" hidden="1">
      <c r="A243">
        <f t="shared" si="3"/>
        <v>241</v>
      </c>
      <c r="B243" t="str">
        <f>IF('Master data'!A243="","",'Master data'!A243)</f>
        <v>Marko Arnautovic</v>
      </c>
      <c r="C243" t="str">
        <f>IFERROR(INDEX('Master data'!$B$2:$CL$1000,MATCH($B243,'Master data'!$A$2:$A$1000,0),MATCH(C$1,'Master data'!$B$1:$CL$1,0)),"")</f>
        <v>Austria</v>
      </c>
      <c r="D243" t="str">
        <f>IFERROR(INDEX('Master data'!$B$2:$CL$1000,MATCH($B243,'Master data'!$A$2:$A$1000,0),MATCH(D$1,'Master data'!$B$1:$CL$1,0)),"")</f>
        <v>Striker</v>
      </c>
      <c r="E243" s="5">
        <f>IFERROR(INDEX('Master data'!$B$2:$CL$1000,MATCH($B243,'Master data'!$A$2:$A$1000,0),MATCH(E$1,'Master data'!$B$1:$CL$1,0)),"")</f>
        <v>4500000</v>
      </c>
      <c r="F243" s="7">
        <f>IFERROR(INDEX('Master data'!$B$2:$CL$1000,MATCH($B243,'Master data'!$A$2:$A$1000,0),MATCH(F$1,'Master data'!$B$1:$CL$1,0)),"")</f>
        <v>58027.74318570664</v>
      </c>
      <c r="G243" s="7">
        <f>IFERROR(INDEX('Master data'!$B$2:$CL$1000,MATCH($B243,'Master data'!$A$2:$A$1000,0),MATCH(G$1,'Master data'!$B$1:$CL$1,0)),"")</f>
        <v>8259.6365812710537</v>
      </c>
      <c r="H243" s="7">
        <f>IFERROR(INDEX('Master data'!$B$2:$CL$1000,MATCH($B243,'Master data'!$A$2:$A$1000,0),MATCH(H$1,'Master data'!$B$1:$CL$1,0)),"")</f>
        <v>33624.978378689077</v>
      </c>
      <c r="I243" s="7">
        <f>IFERROR(INDEX('Master data'!$B$2:$CL$1000,MATCH($B243,'Master data'!$A$2:$A$1000,0),MATCH(I$1,'Master data'!$B$1:$CL$1,0)),"")</f>
        <v>-9075.3050985410136</v>
      </c>
      <c r="J243" s="7">
        <f>IFERROR(INDEX('Master data'!$B$2:$CL$1000,MATCH($B243,'Master data'!$A$2:$A$1000,0),MATCH(J$1,'Master data'!$B$1:$CL$1,0)),"")</f>
        <v>-4571.8247743501752</v>
      </c>
      <c r="K243" s="7">
        <f>IFERROR(INDEX('Master data'!$B$2:$CL$1000,MATCH($B243,'Master data'!$A$2:$A$1000,0),MATCH(K$1,'Master data'!$B$1:$CL$1,0)),"")</f>
        <v>-2262.42973969586</v>
      </c>
      <c r="L243" s="7">
        <f>IFERROR(INDEX('Master data'!$B$2:$CL$1000,MATCH($B243,'Master data'!$A$2:$A$1000,0),MATCH(L$1,'Master data'!$B$1:$CL$1,0)),"")</f>
        <v>-1051.147213444629</v>
      </c>
      <c r="M243" s="5">
        <f>IFERROR(INDEX('Master data'!$B$2:$CL$1000,MATCH($B243,'Master data'!$A$2:$A$1000,0),MATCH(M$1,'Master data'!$B$1:$CL$1,0)),"")</f>
        <v>74496.331701111922</v>
      </c>
      <c r="N243" s="28">
        <f>IFERROR(INDEX('Master data'!$B$2:$CL$1000,MATCH($B243,'Master data'!$A$2:$A$1000,0),MATCH(N$1,'Master data'!$B$1:$CL$1,0)),"")</f>
        <v>2.2202746254592617E-2</v>
      </c>
      <c r="O243" s="7">
        <f>IFERROR(INDEX('Master data'!$B$2:$CL$1000,MATCH($B243,'Master data'!$A$2:$A$1000,0),MATCH(O$1,'Master data'!$B$1:$CL$1,0)),"")</f>
        <v>0</v>
      </c>
      <c r="P243" s="5">
        <f>IFERROR(INDEX('Master data'!$B$2:$CL$1000,MATCH($B243,'Master data'!$A$2:$A$1000,0),MATCH(P$1,'Master data'!$B$1:$CL$1,0)),"")</f>
        <v>4500000</v>
      </c>
      <c r="Q243" s="5">
        <f>IFERROR(INDEX('Master data'!$B$2:$CL$1000,MATCH($B243,'Master data'!$A$2:$A$1000,0),MATCH(Q$1,'Master data'!$B$1:$CL$1,0)),"")</f>
        <v>4500000</v>
      </c>
    </row>
    <row r="244" spans="1:17" hidden="1">
      <c r="A244">
        <f t="shared" si="3"/>
        <v>242</v>
      </c>
      <c r="B244" t="str">
        <f>IF('Master data'!A244="","",'Master data'!A244)</f>
        <v>Kasper Schmeichel</v>
      </c>
      <c r="C244" t="str">
        <f>IFERROR(INDEX('Master data'!$B$2:$CL$1000,MATCH($B244,'Master data'!$A$2:$A$1000,0),MATCH(C$1,'Master data'!$B$1:$CL$1,0)),"")</f>
        <v>Denmark</v>
      </c>
      <c r="D244" t="str">
        <f>IFERROR(INDEX('Master data'!$B$2:$CL$1000,MATCH($B244,'Master data'!$A$2:$A$1000,0),MATCH(D$1,'Master data'!$B$1:$CL$1,0)),"")</f>
        <v>Goalkeeper</v>
      </c>
      <c r="E244" s="5">
        <f>IFERROR(INDEX('Master data'!$B$2:$CL$1000,MATCH($B244,'Master data'!$A$2:$A$1000,0),MATCH(E$1,'Master data'!$B$1:$CL$1,0)),"")</f>
        <v>5000000</v>
      </c>
      <c r="F244" s="7">
        <f>IFERROR(INDEX('Master data'!$B$2:$CL$1000,MATCH($B244,'Master data'!$A$2:$A$1000,0),MATCH(F$1,'Master data'!$B$1:$CL$1,0)),"")</f>
        <v>80276.703087976057</v>
      </c>
      <c r="G244" s="7">
        <f>IFERROR(INDEX('Master data'!$B$2:$CL$1000,MATCH($B244,'Master data'!$A$2:$A$1000,0),MATCH(G$1,'Master data'!$B$1:$CL$1,0)),"")</f>
        <v>36970.012357312415</v>
      </c>
      <c r="H244" s="7">
        <f>IFERROR(INDEX('Master data'!$B$2:$CL$1000,MATCH($B244,'Master data'!$A$2:$A$1000,0),MATCH(H$1,'Master data'!$B$1:$CL$1,0)),"")</f>
        <v>61246.542300980909</v>
      </c>
      <c r="I244" s="7">
        <f>IFERROR(INDEX('Master data'!$B$2:$CL$1000,MATCH($B244,'Master data'!$A$2:$A$1000,0),MATCH(I$1,'Master data'!$B$1:$CL$1,0)),"")</f>
        <v>6263.5408340926242</v>
      </c>
      <c r="J244" s="7">
        <f>IFERROR(INDEX('Master data'!$B$2:$CL$1000,MATCH($B244,'Master data'!$A$2:$A$1000,0),MATCH(J$1,'Master data'!$B$1:$CL$1,0)),"")</f>
        <v>2868.8225141013422</v>
      </c>
      <c r="K244" s="7">
        <f>IFERROR(INDEX('Master data'!$B$2:$CL$1000,MATCH($B244,'Master data'!$A$2:$A$1000,0),MATCH(K$1,'Master data'!$B$1:$CL$1,0)),"")</f>
        <v>1296.0873331069809</v>
      </c>
      <c r="L244" s="7">
        <f>IFERROR(INDEX('Master data'!$B$2:$CL$1000,MATCH($B244,'Master data'!$A$2:$A$1000,0),MATCH(L$1,'Master data'!$B$1:$CL$1,0)),"")</f>
        <v>567.34490884066565</v>
      </c>
      <c r="M244" s="5">
        <f>IFERROR(INDEX('Master data'!$B$2:$CL$1000,MATCH($B244,'Master data'!$A$2:$A$1000,0),MATCH(M$1,'Master data'!$B$1:$CL$1,0)),"")</f>
        <v>134787.09462639899</v>
      </c>
      <c r="N244" s="28">
        <f>IFERROR(INDEX('Master data'!$B$2:$CL$1000,MATCH($B244,'Master data'!$A$2:$A$1000,0),MATCH(N$1,'Master data'!$B$1:$CL$1,0)),"")</f>
        <v>3.5698651549253876E-2</v>
      </c>
      <c r="O244" s="7">
        <f>IFERROR(INDEX('Master data'!$B$2:$CL$1000,MATCH($B244,'Master data'!$A$2:$A$1000,0),MATCH(O$1,'Master data'!$B$1:$CL$1,0)),"")</f>
        <v>0</v>
      </c>
      <c r="P244" s="5">
        <f>IFERROR(INDEX('Master data'!$B$2:$CL$1000,MATCH($B244,'Master data'!$A$2:$A$1000,0),MATCH(P$1,'Master data'!$B$1:$CL$1,0)),"")</f>
        <v>5000000</v>
      </c>
      <c r="Q244" s="5">
        <f>IFERROR(INDEX('Master data'!$B$2:$CL$1000,MATCH($B244,'Master data'!$A$2:$A$1000,0),MATCH(Q$1,'Master data'!$B$1:$CL$1,0)),"")</f>
        <v>5000000</v>
      </c>
    </row>
    <row r="245" spans="1:17" hidden="1">
      <c r="A245">
        <f t="shared" si="3"/>
        <v>243</v>
      </c>
      <c r="B245" t="str">
        <f>IF('Master data'!A245="","",'Master data'!A245)</f>
        <v>Joachim Andersen</v>
      </c>
      <c r="C245" t="str">
        <f>IFERROR(INDEX('Master data'!$B$2:$CL$1000,MATCH($B245,'Master data'!$A$2:$A$1000,0),MATCH(C$1,'Master data'!$B$1:$CL$1,0)),"")</f>
        <v>Denmark</v>
      </c>
      <c r="D245" t="str">
        <f>IFERROR(INDEX('Master data'!$B$2:$CL$1000,MATCH($B245,'Master data'!$A$2:$A$1000,0),MATCH(D$1,'Master data'!$B$1:$CL$1,0)),"")</f>
        <v>Defense</v>
      </c>
      <c r="E245" s="5">
        <f>IFERROR(INDEX('Master data'!$B$2:$CL$1000,MATCH($B245,'Master data'!$A$2:$A$1000,0),MATCH(E$1,'Master data'!$B$1:$CL$1,0)),"")</f>
        <v>2500000</v>
      </c>
      <c r="F245" s="7">
        <f>IFERROR(INDEX('Master data'!$B$2:$CL$1000,MATCH($B245,'Master data'!$A$2:$A$1000,0),MATCH(F$1,'Master data'!$B$1:$CL$1,0)),"")</f>
        <v>22453.548168242014</v>
      </c>
      <c r="G245" s="7">
        <f>IFERROR(INDEX('Master data'!$B$2:$CL$1000,MATCH($B245,'Master data'!$A$2:$A$1000,0),MATCH(G$1,'Master data'!$B$1:$CL$1,0)),"")</f>
        <v>5848.8117187863809</v>
      </c>
      <c r="H245" s="7">
        <f>IFERROR(INDEX('Master data'!$B$2:$CL$1000,MATCH($B245,'Master data'!$A$2:$A$1000,0),MATCH(H$1,'Master data'!$B$1:$CL$1,0)),"")</f>
        <v>14220.924995669495</v>
      </c>
      <c r="I245" s="7">
        <f>IFERROR(INDEX('Master data'!$B$2:$CL$1000,MATCH($B245,'Master data'!$A$2:$A$1000,0),MATCH(I$1,'Master data'!$B$1:$CL$1,0)),"")</f>
        <v>-9136.7196047386624</v>
      </c>
      <c r="J245" s="7">
        <f>IFERROR(INDEX('Master data'!$B$2:$CL$1000,MATCH($B245,'Master data'!$A$2:$A$1000,0),MATCH(J$1,'Master data'!$B$1:$CL$1,0)),"")</f>
        <v>-4591.7285603664941</v>
      </c>
      <c r="K245" s="7">
        <f>IFERROR(INDEX('Master data'!$B$2:$CL$1000,MATCH($B245,'Master data'!$A$2:$A$1000,0),MATCH(K$1,'Master data'!$B$1:$CL$1,0)),"")</f>
        <v>-2291.853551705673</v>
      </c>
      <c r="L245" s="7">
        <f>IFERROR(INDEX('Master data'!$B$2:$CL$1000,MATCH($B245,'Master data'!$A$2:$A$1000,0),MATCH(L$1,'Master data'!$B$1:$CL$1,0)),"")</f>
        <v>-1117.4875463910457</v>
      </c>
      <c r="M245" s="5">
        <f>IFERROR(INDEX('Master data'!$B$2:$CL$1000,MATCH($B245,'Master data'!$A$2:$A$1000,0),MATCH(M$1,'Master data'!$B$1:$CL$1,0)),"")</f>
        <v>28659.069022395644</v>
      </c>
      <c r="N245" s="28">
        <f>IFERROR(INDEX('Master data'!$B$2:$CL$1000,MATCH($B245,'Master data'!$A$2:$A$1000,0),MATCH(N$1,'Master data'!$B$1:$CL$1,0)),"")</f>
        <v>1.7009313953079155E-2</v>
      </c>
      <c r="O245" s="7">
        <f>IFERROR(INDEX('Master data'!$B$2:$CL$1000,MATCH($B245,'Master data'!$A$2:$A$1000,0),MATCH(O$1,'Master data'!$B$1:$CL$1,0)),"")</f>
        <v>0</v>
      </c>
      <c r="P245" s="5">
        <f>IFERROR(INDEX('Master data'!$B$2:$CL$1000,MATCH($B245,'Master data'!$A$2:$A$1000,0),MATCH(P$1,'Master data'!$B$1:$CL$1,0)),"")</f>
        <v>2500000</v>
      </c>
      <c r="Q245" s="5">
        <f>IFERROR(INDEX('Master data'!$B$2:$CL$1000,MATCH($B245,'Master data'!$A$2:$A$1000,0),MATCH(Q$1,'Master data'!$B$1:$CL$1,0)),"")</f>
        <v>2500000</v>
      </c>
    </row>
    <row r="246" spans="1:17" hidden="1">
      <c r="A246">
        <f t="shared" si="3"/>
        <v>244</v>
      </c>
      <c r="B246" t="str">
        <f>IF('Master data'!A246="","",'Master data'!A246)</f>
        <v>Andreas Christensen</v>
      </c>
      <c r="C246" t="str">
        <f>IFERROR(INDEX('Master data'!$B$2:$CL$1000,MATCH($B246,'Master data'!$A$2:$A$1000,0),MATCH(C$1,'Master data'!$B$1:$CL$1,0)),"")</f>
        <v>Denmark</v>
      </c>
      <c r="D246" t="str">
        <f>IFERROR(INDEX('Master data'!$B$2:$CL$1000,MATCH($B246,'Master data'!$A$2:$A$1000,0),MATCH(D$1,'Master data'!$B$1:$CL$1,0)),"")</f>
        <v>Defense</v>
      </c>
      <c r="E246" s="5">
        <f>IFERROR(INDEX('Master data'!$B$2:$CL$1000,MATCH($B246,'Master data'!$A$2:$A$1000,0),MATCH(E$1,'Master data'!$B$1:$CL$1,0)),"")</f>
        <v>3500000</v>
      </c>
      <c r="F246" s="7">
        <f>IFERROR(INDEX('Master data'!$B$2:$CL$1000,MATCH($B246,'Master data'!$A$2:$A$1000,0),MATCH(F$1,'Master data'!$B$1:$CL$1,0)),"")</f>
        <v>65384.179832051857</v>
      </c>
      <c r="G246" s="7">
        <f>IFERROR(INDEX('Master data'!$B$2:$CL$1000,MATCH($B246,'Master data'!$A$2:$A$1000,0),MATCH(G$1,'Master data'!$B$1:$CL$1,0)),"")</f>
        <v>18991.165813123407</v>
      </c>
      <c r="H246" s="7">
        <f>IFERROR(INDEX('Master data'!$B$2:$CL$1000,MATCH($B246,'Master data'!$A$2:$A$1000,0),MATCH(H$1,'Master data'!$B$1:$CL$1,0)),"")</f>
        <v>46266.125811014659</v>
      </c>
      <c r="I246" s="7">
        <f>IFERROR(INDEX('Master data'!$B$2:$CL$1000,MATCH($B246,'Master data'!$A$2:$A$1000,0),MATCH(I$1,'Master data'!$B$1:$CL$1,0)),"")</f>
        <v>5880.1691079565317</v>
      </c>
      <c r="J246" s="7">
        <f>IFERROR(INDEX('Master data'!$B$2:$CL$1000,MATCH($B246,'Master data'!$A$2:$A$1000,0),MATCH(J$1,'Master data'!$B$1:$CL$1,0)),"")</f>
        <v>2742.8415749596611</v>
      </c>
      <c r="K246" s="7">
        <f>IFERROR(INDEX('Master data'!$B$2:$CL$1000,MATCH($B246,'Master data'!$A$2:$A$1000,0),MATCH(K$1,'Master data'!$B$1:$CL$1,0)),"")</f>
        <v>1265.6733259831101</v>
      </c>
      <c r="L246" s="7">
        <f>IFERROR(INDEX('Master data'!$B$2:$CL$1000,MATCH($B246,'Master data'!$A$2:$A$1000,0),MATCH(L$1,'Master data'!$B$1:$CL$1,0)),"")</f>
        <v>567.96129521175158</v>
      </c>
      <c r="M246" s="5">
        <f>IFERROR(INDEX('Master data'!$B$2:$CL$1000,MATCH($B246,'Master data'!$A$2:$A$1000,0),MATCH(M$1,'Master data'!$B$1:$CL$1,0)),"")</f>
        <v>101108.28302031998</v>
      </c>
      <c r="N246" s="28">
        <f>IFERROR(INDEX('Master data'!$B$2:$CL$1000,MATCH($B246,'Master data'!$A$2:$A$1000,0),MATCH(N$1,'Master data'!$B$1:$CL$1,0)),"")</f>
        <v>3.732613470176855E-2</v>
      </c>
      <c r="O246" s="7">
        <f>IFERROR(INDEX('Master data'!$B$2:$CL$1000,MATCH($B246,'Master data'!$A$2:$A$1000,0),MATCH(O$1,'Master data'!$B$1:$CL$1,0)),"")</f>
        <v>0</v>
      </c>
      <c r="P246" s="5">
        <f>IFERROR(INDEX('Master data'!$B$2:$CL$1000,MATCH($B246,'Master data'!$A$2:$A$1000,0),MATCH(P$1,'Master data'!$B$1:$CL$1,0)),"")</f>
        <v>3500000</v>
      </c>
      <c r="Q246" s="5">
        <f>IFERROR(INDEX('Master data'!$B$2:$CL$1000,MATCH($B246,'Master data'!$A$2:$A$1000,0),MATCH(Q$1,'Master data'!$B$1:$CL$1,0)),"")</f>
        <v>3500000</v>
      </c>
    </row>
    <row r="247" spans="1:17" hidden="1">
      <c r="A247">
        <f t="shared" si="3"/>
        <v>245</v>
      </c>
      <c r="B247" t="str">
        <f>IF('Master data'!A247="","",'Master data'!A247)</f>
        <v>Jannik Vestergaard</v>
      </c>
      <c r="C247" t="str">
        <f>IFERROR(INDEX('Master data'!$B$2:$CL$1000,MATCH($B247,'Master data'!$A$2:$A$1000,0),MATCH(C$1,'Master data'!$B$1:$CL$1,0)),"")</f>
        <v>Denmark</v>
      </c>
      <c r="D247" t="str">
        <f>IFERROR(INDEX('Master data'!$B$2:$CL$1000,MATCH($B247,'Master data'!$A$2:$A$1000,0),MATCH(D$1,'Master data'!$B$1:$CL$1,0)),"")</f>
        <v>Defense</v>
      </c>
      <c r="E247" s="5">
        <f>IFERROR(INDEX('Master data'!$B$2:$CL$1000,MATCH($B247,'Master data'!$A$2:$A$1000,0),MATCH(E$1,'Master data'!$B$1:$CL$1,0)),"")</f>
        <v>3000000</v>
      </c>
      <c r="F247" s="7">
        <f>IFERROR(INDEX('Master data'!$B$2:$CL$1000,MATCH($B247,'Master data'!$A$2:$A$1000,0),MATCH(F$1,'Master data'!$B$1:$CL$1,0)),"")</f>
        <v>22453.548168242014</v>
      </c>
      <c r="G247" s="7">
        <f>IFERROR(INDEX('Master data'!$B$2:$CL$1000,MATCH($B247,'Master data'!$A$2:$A$1000,0),MATCH(G$1,'Master data'!$B$1:$CL$1,0)),"")</f>
        <v>5848.8117187863809</v>
      </c>
      <c r="H247" s="7">
        <f>IFERROR(INDEX('Master data'!$B$2:$CL$1000,MATCH($B247,'Master data'!$A$2:$A$1000,0),MATCH(H$1,'Master data'!$B$1:$CL$1,0)),"")</f>
        <v>14220.924995669495</v>
      </c>
      <c r="I247" s="7">
        <f>IFERROR(INDEX('Master data'!$B$2:$CL$1000,MATCH($B247,'Master data'!$A$2:$A$1000,0),MATCH(I$1,'Master data'!$B$1:$CL$1,0)),"")</f>
        <v>-13197.193484807807</v>
      </c>
      <c r="J247" s="7">
        <f>IFERROR(INDEX('Master data'!$B$2:$CL$1000,MATCH($B247,'Master data'!$A$2:$A$1000,0),MATCH(J$1,'Master data'!$B$1:$CL$1,0)),"")</f>
        <v>-6606.9617736916216</v>
      </c>
      <c r="K247" s="7">
        <f>IFERROR(INDEX('Master data'!$B$2:$CL$1000,MATCH($B247,'Master data'!$A$2:$A$1000,0),MATCH(K$1,'Master data'!$B$1:$CL$1,0)),"")</f>
        <v>-3285.3490038181712</v>
      </c>
      <c r="L247" s="7">
        <f>IFERROR(INDEX('Master data'!$B$2:$CL$1000,MATCH($B247,'Master data'!$A$2:$A$1000,0),MATCH(L$1,'Master data'!$B$1:$CL$1,0)),"")</f>
        <v>-1596.0264152643153</v>
      </c>
      <c r="M247" s="5">
        <f>IFERROR(INDEX('Master data'!$B$2:$CL$1000,MATCH($B247,'Master data'!$A$2:$A$1000,0),MATCH(M$1,'Master data'!$B$1:$CL$1,0)),"")</f>
        <v>26885.052572705052</v>
      </c>
      <c r="N247" s="28">
        <f>IFERROR(INDEX('Master data'!$B$2:$CL$1000,MATCH($B247,'Master data'!$A$2:$A$1000,0),MATCH(N$1,'Master data'!$B$1:$CL$1,0)),"")</f>
        <v>1.4174428294232629E-2</v>
      </c>
      <c r="O247" s="7">
        <f>IFERROR(INDEX('Master data'!$B$2:$CL$1000,MATCH($B247,'Master data'!$A$2:$A$1000,0),MATCH(O$1,'Master data'!$B$1:$CL$1,0)),"")</f>
        <v>0</v>
      </c>
      <c r="P247" s="5">
        <f>IFERROR(INDEX('Master data'!$B$2:$CL$1000,MATCH($B247,'Master data'!$A$2:$A$1000,0),MATCH(P$1,'Master data'!$B$1:$CL$1,0)),"")</f>
        <v>3000000</v>
      </c>
      <c r="Q247" s="5">
        <f>IFERROR(INDEX('Master data'!$B$2:$CL$1000,MATCH($B247,'Master data'!$A$2:$A$1000,0),MATCH(Q$1,'Master data'!$B$1:$CL$1,0)),"")</f>
        <v>3000000</v>
      </c>
    </row>
    <row r="248" spans="1:17" hidden="1">
      <c r="A248">
        <f t="shared" si="3"/>
        <v>246</v>
      </c>
      <c r="B248" t="str">
        <f>IF('Master data'!A248="","",'Master data'!A248)</f>
        <v>Mikkel Damsgaard</v>
      </c>
      <c r="C248" t="str">
        <f>IFERROR(INDEX('Master data'!$B$2:$CL$1000,MATCH($B248,'Master data'!$A$2:$A$1000,0),MATCH(C$1,'Master data'!$B$1:$CL$1,0)),"")</f>
        <v>Denmark</v>
      </c>
      <c r="D248" t="str">
        <f>IFERROR(INDEX('Master data'!$B$2:$CL$1000,MATCH($B248,'Master data'!$A$2:$A$1000,0),MATCH(D$1,'Master data'!$B$1:$CL$1,0)),"")</f>
        <v>Midfield</v>
      </c>
      <c r="E248" s="5">
        <f>IFERROR(INDEX('Master data'!$B$2:$CL$1000,MATCH($B248,'Master data'!$A$2:$A$1000,0),MATCH(E$1,'Master data'!$B$1:$CL$1,0)),"")</f>
        <v>3500000</v>
      </c>
      <c r="F248" s="7">
        <f>IFERROR(INDEX('Master data'!$B$2:$CL$1000,MATCH($B248,'Master data'!$A$2:$A$1000,0),MATCH(F$1,'Master data'!$B$1:$CL$1,0)),"")</f>
        <v>-5000</v>
      </c>
      <c r="G248" s="7">
        <f>IFERROR(INDEX('Master data'!$B$2:$CL$1000,MATCH($B248,'Master data'!$A$2:$A$1000,0),MATCH(G$1,'Master data'!$B$1:$CL$1,0)),"")</f>
        <v>-5000</v>
      </c>
      <c r="H248" s="7">
        <f>IFERROR(INDEX('Master data'!$B$2:$CL$1000,MATCH($B248,'Master data'!$A$2:$A$1000,0),MATCH(H$1,'Master data'!$B$1:$CL$1,0)),"")</f>
        <v>-5000</v>
      </c>
      <c r="I248" s="7">
        <f>IFERROR(INDEX('Master data'!$B$2:$CL$1000,MATCH($B248,'Master data'!$A$2:$A$1000,0),MATCH(I$1,'Master data'!$B$1:$CL$1,0)),"")</f>
        <v>-32361.976824151079</v>
      </c>
      <c r="J248" s="7">
        <f>IFERROR(INDEX('Master data'!$B$2:$CL$1000,MATCH($B248,'Master data'!$A$2:$A$1000,0),MATCH(J$1,'Master data'!$B$1:$CL$1,0)),"")</f>
        <v>-16041.256378068008</v>
      </c>
      <c r="K248" s="7">
        <f>IFERROR(INDEX('Master data'!$B$2:$CL$1000,MATCH($B248,'Master data'!$A$2:$A$1000,0),MATCH(K$1,'Master data'!$B$1:$CL$1,0)),"")</f>
        <v>-7898.2888442943586</v>
      </c>
      <c r="L248" s="7">
        <f>IFERROR(INDEX('Master data'!$B$2:$CL$1000,MATCH($B248,'Master data'!$A$2:$A$1000,0),MATCH(L$1,'Master data'!$B$1:$CL$1,0)),"")</f>
        <v>-3799.5986188537595</v>
      </c>
      <c r="M248" s="5">
        <f>IFERROR(INDEX('Master data'!$B$2:$CL$1000,MATCH($B248,'Master data'!$A$2:$A$1000,0),MATCH(M$1,'Master data'!$B$1:$CL$1,0)),"")</f>
        <v>-24686.608989187</v>
      </c>
      <c r="N248" s="28">
        <f>IFERROR(INDEX('Master data'!$B$2:$CL$1000,MATCH($B248,'Master data'!$A$2:$A$1000,0),MATCH(N$1,'Master data'!$B$1:$CL$1,0)),"")</f>
        <v>-4.2857142857142859E-3</v>
      </c>
      <c r="O248" s="7">
        <f>IFERROR(INDEX('Master data'!$B$2:$CL$1000,MATCH($B248,'Master data'!$A$2:$A$1000,0),MATCH(O$1,'Master data'!$B$1:$CL$1,0)),"")</f>
        <v>0</v>
      </c>
      <c r="P248" s="5">
        <f>IFERROR(INDEX('Master data'!$B$2:$CL$1000,MATCH($B248,'Master data'!$A$2:$A$1000,0),MATCH(P$1,'Master data'!$B$1:$CL$1,0)),"")</f>
        <v>3500000</v>
      </c>
      <c r="Q248" s="5">
        <f>IFERROR(INDEX('Master data'!$B$2:$CL$1000,MATCH($B248,'Master data'!$A$2:$A$1000,0),MATCH(Q$1,'Master data'!$B$1:$CL$1,0)),"")</f>
        <v>3500000</v>
      </c>
    </row>
    <row r="249" spans="1:17" hidden="1">
      <c r="A249">
        <f t="shared" si="3"/>
        <v>247</v>
      </c>
      <c r="B249" t="str">
        <f>IF('Master data'!A249="","",'Master data'!A249)</f>
        <v>Domagoj Vida</v>
      </c>
      <c r="C249" t="str">
        <f>IFERROR(INDEX('Master data'!$B$2:$CL$1000,MATCH($B249,'Master data'!$A$2:$A$1000,0),MATCH(C$1,'Master data'!$B$1:$CL$1,0)),"")</f>
        <v>Croatia</v>
      </c>
      <c r="D249" t="str">
        <f>IFERROR(INDEX('Master data'!$B$2:$CL$1000,MATCH($B249,'Master data'!$A$2:$A$1000,0),MATCH(D$1,'Master data'!$B$1:$CL$1,0)),"")</f>
        <v>Defense</v>
      </c>
      <c r="E249" s="5">
        <f>IFERROR(INDEX('Master data'!$B$2:$CL$1000,MATCH($B249,'Master data'!$A$2:$A$1000,0),MATCH(E$1,'Master data'!$B$1:$CL$1,0)),"")</f>
        <v>2500000</v>
      </c>
      <c r="F249" s="7">
        <f>IFERROR(INDEX('Master data'!$B$2:$CL$1000,MATCH($B249,'Master data'!$A$2:$A$1000,0),MATCH(F$1,'Master data'!$B$1:$CL$1,0)),"")</f>
        <v>10820.59618365317</v>
      </c>
      <c r="G249" s="7">
        <f>IFERROR(INDEX('Master data'!$B$2:$CL$1000,MATCH($B249,'Master data'!$A$2:$A$1000,0),MATCH(G$1,'Master data'!$B$1:$CL$1,0)),"")</f>
        <v>47301.682960353581</v>
      </c>
      <c r="H249" s="7">
        <f>IFERROR(INDEX('Master data'!$B$2:$CL$1000,MATCH($B249,'Master data'!$A$2:$A$1000,0),MATCH(H$1,'Master data'!$B$1:$CL$1,0)),"")</f>
        <v>56559.403673263419</v>
      </c>
      <c r="I249" s="7">
        <f>IFERROR(INDEX('Master data'!$B$2:$CL$1000,MATCH($B249,'Master data'!$A$2:$A$1000,0),MATCH(I$1,'Master data'!$B$1:$CL$1,0)),"")</f>
        <v>9016.9471365598693</v>
      </c>
      <c r="J249" s="7">
        <f>IFERROR(INDEX('Master data'!$B$2:$CL$1000,MATCH($B249,'Master data'!$A$2:$A$1000,0),MATCH(J$1,'Master data'!$B$1:$CL$1,0)),"")</f>
        <v>4315.0474879679277</v>
      </c>
      <c r="K249" s="7">
        <f>IFERROR(INDEX('Master data'!$B$2:$CL$1000,MATCH($B249,'Master data'!$A$2:$A$1000,0),MATCH(K$1,'Master data'!$B$1:$CL$1,0)),"")</f>
        <v>2040.8071064980513</v>
      </c>
      <c r="L249" s="7">
        <f>IFERROR(INDEX('Master data'!$B$2:$CL$1000,MATCH($B249,'Master data'!$A$2:$A$1000,0),MATCH(L$1,'Master data'!$B$1:$CL$1,0)),"")</f>
        <v>928.35496531885292</v>
      </c>
      <c r="M249" s="5">
        <f>IFERROR(INDEX('Master data'!$B$2:$CL$1000,MATCH($B249,'Master data'!$A$2:$A$1000,0),MATCH(M$1,'Master data'!$B$1:$CL$1,0)),"")</f>
        <v>71366.857265460712</v>
      </c>
      <c r="N249" s="28">
        <f>IFERROR(INDEX('Master data'!$B$2:$CL$1000,MATCH($B249,'Master data'!$A$2:$A$1000,0),MATCH(N$1,'Master data'!$B$1:$CL$1,0)),"")</f>
        <v>4.5872673126908063E-2</v>
      </c>
      <c r="O249" s="7">
        <f>IFERROR(INDEX('Master data'!$B$2:$CL$1000,MATCH($B249,'Master data'!$A$2:$A$1000,0),MATCH(O$1,'Master data'!$B$1:$CL$1,0)),"")</f>
        <v>0</v>
      </c>
      <c r="P249" s="5">
        <f>IFERROR(INDEX('Master data'!$B$2:$CL$1000,MATCH($B249,'Master data'!$A$2:$A$1000,0),MATCH(P$1,'Master data'!$B$1:$CL$1,0)),"")</f>
        <v>2500000</v>
      </c>
      <c r="Q249" s="5">
        <f>IFERROR(INDEX('Master data'!$B$2:$CL$1000,MATCH($B249,'Master data'!$A$2:$A$1000,0),MATCH(Q$1,'Master data'!$B$1:$CL$1,0)),"")</f>
        <v>2500000</v>
      </c>
    </row>
    <row r="250" spans="1:17" hidden="1">
      <c r="A250">
        <f t="shared" si="3"/>
        <v>248</v>
      </c>
      <c r="B250" t="str">
        <f>IF('Master data'!A250="","",'Master data'!A250)</f>
        <v>Duje Ćaleta-Car</v>
      </c>
      <c r="C250" t="str">
        <f>IFERROR(INDEX('Master data'!$B$2:$CL$1000,MATCH($B250,'Master data'!$A$2:$A$1000,0),MATCH(C$1,'Master data'!$B$1:$CL$1,0)),"")</f>
        <v>Croatia</v>
      </c>
      <c r="D250" t="str">
        <f>IFERROR(INDEX('Master data'!$B$2:$CL$1000,MATCH($B250,'Master data'!$A$2:$A$1000,0),MATCH(D$1,'Master data'!$B$1:$CL$1,0)),"")</f>
        <v>Defense</v>
      </c>
      <c r="E250" s="5">
        <f>IFERROR(INDEX('Master data'!$B$2:$CL$1000,MATCH($B250,'Master data'!$A$2:$A$1000,0),MATCH(E$1,'Master data'!$B$1:$CL$1,0)),"")</f>
        <v>2500000</v>
      </c>
      <c r="F250" s="7">
        <f>IFERROR(INDEX('Master data'!$B$2:$CL$1000,MATCH($B250,'Master data'!$A$2:$A$1000,0),MATCH(F$1,'Master data'!$B$1:$CL$1,0)),"")</f>
        <v>5910.2060282171351</v>
      </c>
      <c r="G250" s="7">
        <f>IFERROR(INDEX('Master data'!$B$2:$CL$1000,MATCH($B250,'Master data'!$A$2:$A$1000,0),MATCH(G$1,'Master data'!$B$1:$CL$1,0)),"")</f>
        <v>13780.487804878048</v>
      </c>
      <c r="H250" s="7">
        <f>IFERROR(INDEX('Master data'!$B$2:$CL$1000,MATCH($B250,'Master data'!$A$2:$A$1000,0),MATCH(H$1,'Master data'!$B$1:$CL$1,0)),"")</f>
        <v>16871.9742227438</v>
      </c>
      <c r="I250" s="7">
        <f>IFERROR(INDEX('Master data'!$B$2:$CL$1000,MATCH($B250,'Master data'!$A$2:$A$1000,0),MATCH(I$1,'Master data'!$B$1:$CL$1,0)),"")</f>
        <v>-9836.2521530394806</v>
      </c>
      <c r="J250" s="7">
        <f>IFERROR(INDEX('Master data'!$B$2:$CL$1000,MATCH($B250,'Master data'!$A$2:$A$1000,0),MATCH(J$1,'Master data'!$B$1:$CL$1,0)),"")</f>
        <v>-4905.9001591089518</v>
      </c>
      <c r="K250" s="7">
        <f>IFERROR(INDEX('Master data'!$B$2:$CL$1000,MATCH($B250,'Master data'!$A$2:$A$1000,0),MATCH(K$1,'Master data'!$B$1:$CL$1,0)),"")</f>
        <v>-2420.6144478673559</v>
      </c>
      <c r="L250" s="7">
        <f>IFERROR(INDEX('Master data'!$B$2:$CL$1000,MATCH($B250,'Master data'!$A$2:$A$1000,0),MATCH(L$1,'Master data'!$B$1:$CL$1,0)),"")</f>
        <v>-1149.9749062261553</v>
      </c>
      <c r="M250" s="5">
        <f>IFERROR(INDEX('Master data'!$B$2:$CL$1000,MATCH($B250,'Master data'!$A$2:$A$1000,0),MATCH(M$1,'Master data'!$B$1:$CL$1,0)),"")</f>
        <v>18292.6192687902</v>
      </c>
      <c r="N250" s="28">
        <f>IFERROR(INDEX('Master data'!$B$2:$CL$1000,MATCH($B250,'Master data'!$A$2:$A$1000,0),MATCH(N$1,'Master data'!$B$1:$CL$1,0)),"")</f>
        <v>1.4625067222335591E-2</v>
      </c>
      <c r="O250" s="7">
        <f>IFERROR(INDEX('Master data'!$B$2:$CL$1000,MATCH($B250,'Master data'!$A$2:$A$1000,0),MATCH(O$1,'Master data'!$B$1:$CL$1,0)),"")</f>
        <v>0</v>
      </c>
      <c r="P250" s="5">
        <f>IFERROR(INDEX('Master data'!$B$2:$CL$1000,MATCH($B250,'Master data'!$A$2:$A$1000,0),MATCH(P$1,'Master data'!$B$1:$CL$1,0)),"")</f>
        <v>2500000</v>
      </c>
      <c r="Q250" s="5">
        <f>IFERROR(INDEX('Master data'!$B$2:$CL$1000,MATCH($B250,'Master data'!$A$2:$A$1000,0),MATCH(Q$1,'Master data'!$B$1:$CL$1,0)),"")</f>
        <v>2500000</v>
      </c>
    </row>
    <row r="251" spans="1:17" hidden="1">
      <c r="A251">
        <f t="shared" si="3"/>
        <v>249</v>
      </c>
      <c r="B251" t="str">
        <f>IF('Master data'!A251="","",'Master data'!A251)</f>
        <v>Šime Vrsaljko</v>
      </c>
      <c r="C251" t="str">
        <f>IFERROR(INDEX('Master data'!$B$2:$CL$1000,MATCH($B251,'Master data'!$A$2:$A$1000,0),MATCH(C$1,'Master data'!$B$1:$CL$1,0)),"")</f>
        <v>Croatia</v>
      </c>
      <c r="D251" t="str">
        <f>IFERROR(INDEX('Master data'!$B$2:$CL$1000,MATCH($B251,'Master data'!$A$2:$A$1000,0),MATCH(D$1,'Master data'!$B$1:$CL$1,0)),"")</f>
        <v>Defense</v>
      </c>
      <c r="E251" s="5">
        <f>IFERROR(INDEX('Master data'!$B$2:$CL$1000,MATCH($B251,'Master data'!$A$2:$A$1000,0),MATCH(E$1,'Master data'!$B$1:$CL$1,0)),"")</f>
        <v>3000000</v>
      </c>
      <c r="F251" s="7">
        <f>IFERROR(INDEX('Master data'!$B$2:$CL$1000,MATCH($B251,'Master data'!$A$2:$A$1000,0),MATCH(F$1,'Master data'!$B$1:$CL$1,0)),"")</f>
        <v>10589.589468815788</v>
      </c>
      <c r="G251" s="7">
        <f>IFERROR(INDEX('Master data'!$B$2:$CL$1000,MATCH($B251,'Master data'!$A$2:$A$1000,0),MATCH(G$1,'Master data'!$B$1:$CL$1,0)),"")</f>
        <v>43746.820136696741</v>
      </c>
      <c r="H251" s="7">
        <f>IFERROR(INDEX('Master data'!$B$2:$CL$1000,MATCH($B251,'Master data'!$A$2:$A$1000,0),MATCH(H$1,'Master data'!$B$1:$CL$1,0)),"")</f>
        <v>52380.067124192072</v>
      </c>
      <c r="I251" s="7">
        <f>IFERROR(INDEX('Master data'!$B$2:$CL$1000,MATCH($B251,'Master data'!$A$2:$A$1000,0),MATCH(I$1,'Master data'!$B$1:$CL$1,0)),"")</f>
        <v>3362.5755599099271</v>
      </c>
      <c r="J251" s="7">
        <f>IFERROR(INDEX('Master data'!$B$2:$CL$1000,MATCH($B251,'Master data'!$A$2:$A$1000,0),MATCH(J$1,'Master data'!$B$1:$CL$1,0)),"")</f>
        <v>1530.5262548021442</v>
      </c>
      <c r="K251" s="7">
        <f>IFERROR(INDEX('Master data'!$B$2:$CL$1000,MATCH($B251,'Master data'!$A$2:$A$1000,0),MATCH(K$1,'Master data'!$B$1:$CL$1,0)),"")</f>
        <v>684.16377613216582</v>
      </c>
      <c r="L251" s="7">
        <f>IFERROR(INDEX('Master data'!$B$2:$CL$1000,MATCH($B251,'Master data'!$A$2:$A$1000,0),MATCH(L$1,'Master data'!$B$1:$CL$1,0)),"")</f>
        <v>291.90090516005597</v>
      </c>
      <c r="M251" s="5">
        <f>IFERROR(INDEX('Master data'!$B$2:$CL$1000,MATCH($B251,'Master data'!$A$2:$A$1000,0),MATCH(M$1,'Master data'!$B$1:$CL$1,0)),"")</f>
        <v>64448.532976008966</v>
      </c>
      <c r="N251" s="28">
        <f>IFERROR(INDEX('Master data'!$B$2:$CL$1000,MATCH($B251,'Master data'!$A$2:$A$1000,0),MATCH(N$1,'Master data'!$B$1:$CL$1,0)),"")</f>
        <v>3.5572158909901529E-2</v>
      </c>
      <c r="O251" s="7">
        <f>IFERROR(INDEX('Master data'!$B$2:$CL$1000,MATCH($B251,'Master data'!$A$2:$A$1000,0),MATCH(O$1,'Master data'!$B$1:$CL$1,0)),"")</f>
        <v>0</v>
      </c>
      <c r="P251" s="5">
        <f>IFERROR(INDEX('Master data'!$B$2:$CL$1000,MATCH($B251,'Master data'!$A$2:$A$1000,0),MATCH(P$1,'Master data'!$B$1:$CL$1,0)),"")</f>
        <v>3000000</v>
      </c>
      <c r="Q251" s="5">
        <f>IFERROR(INDEX('Master data'!$B$2:$CL$1000,MATCH($B251,'Master data'!$A$2:$A$1000,0),MATCH(Q$1,'Master data'!$B$1:$CL$1,0)),"")</f>
        <v>3000000</v>
      </c>
    </row>
    <row r="252" spans="1:17" hidden="1">
      <c r="A252">
        <f t="shared" si="3"/>
        <v>250</v>
      </c>
      <c r="B252" t="str">
        <f>IF('Master data'!A252="","",'Master data'!A252)</f>
        <v>Dejan Lovren</v>
      </c>
      <c r="C252" t="str">
        <f>IFERROR(INDEX('Master data'!$B$2:$CL$1000,MATCH($B252,'Master data'!$A$2:$A$1000,0),MATCH(C$1,'Master data'!$B$1:$CL$1,0)),"")</f>
        <v>Croatia</v>
      </c>
      <c r="D252" t="str">
        <f>IFERROR(INDEX('Master data'!$B$2:$CL$1000,MATCH($B252,'Master data'!$A$2:$A$1000,0),MATCH(D$1,'Master data'!$B$1:$CL$1,0)),"")</f>
        <v>Defense</v>
      </c>
      <c r="E252" s="5">
        <f>IFERROR(INDEX('Master data'!$B$2:$CL$1000,MATCH($B252,'Master data'!$A$2:$A$1000,0),MATCH(E$1,'Master data'!$B$1:$CL$1,0)),"")</f>
        <v>3000000</v>
      </c>
      <c r="F252" s="7">
        <f>IFERROR(INDEX('Master data'!$B$2:$CL$1000,MATCH($B252,'Master data'!$A$2:$A$1000,0),MATCH(F$1,'Master data'!$B$1:$CL$1,0)),"")</f>
        <v>9054.4906365754086</v>
      </c>
      <c r="G252" s="7">
        <f>IFERROR(INDEX('Master data'!$B$2:$CL$1000,MATCH($B252,'Master data'!$A$2:$A$1000,0),MATCH(G$1,'Master data'!$B$1:$CL$1,0)),"")</f>
        <v>43422.972155478434</v>
      </c>
      <c r="H252" s="7">
        <f>IFERROR(INDEX('Master data'!$B$2:$CL$1000,MATCH($B252,'Master data'!$A$2:$A$1000,0),MATCH(H$1,'Master data'!$B$1:$CL$1,0)),"")</f>
        <v>52283.784448626509</v>
      </c>
      <c r="I252" s="7">
        <f>IFERROR(INDEX('Master data'!$B$2:$CL$1000,MATCH($B252,'Master data'!$A$2:$A$1000,0),MATCH(I$1,'Master data'!$B$1:$CL$1,0)),"")</f>
        <v>2890.7015696138383</v>
      </c>
      <c r="J252" s="7">
        <f>IFERROR(INDEX('Master data'!$B$2:$CL$1000,MATCH($B252,'Master data'!$A$2:$A$1000,0),MATCH(J$1,'Master data'!$B$1:$CL$1,0)),"")</f>
        <v>1299.7364936745519</v>
      </c>
      <c r="K252" s="7">
        <f>IFERROR(INDEX('Master data'!$B$2:$CL$1000,MATCH($B252,'Master data'!$A$2:$A$1000,0),MATCH(K$1,'Master data'!$B$1:$CL$1,0)),"")</f>
        <v>572.49950319294271</v>
      </c>
      <c r="L252" s="7">
        <f>IFERROR(INDEX('Master data'!$B$2:$CL$1000,MATCH($B252,'Master data'!$A$2:$A$1000,0),MATCH(L$1,'Master data'!$B$1:$CL$1,0)),"")</f>
        <v>239.88268827426043</v>
      </c>
      <c r="M252" s="5">
        <f>IFERROR(INDEX('Master data'!$B$2:$CL$1000,MATCH($B252,'Master data'!$A$2:$A$1000,0),MATCH(M$1,'Master data'!$B$1:$CL$1,0)),"")</f>
        <v>62450.069055504493</v>
      </c>
      <c r="N252" s="28">
        <f>IFERROR(INDEX('Master data'!$B$2:$CL$1000,MATCH($B252,'Master data'!$A$2:$A$1000,0),MATCH(N$1,'Master data'!$B$1:$CL$1,0)),"")</f>
        <v>3.4920415746893453E-2</v>
      </c>
      <c r="O252" s="7">
        <f>IFERROR(INDEX('Master data'!$B$2:$CL$1000,MATCH($B252,'Master data'!$A$2:$A$1000,0),MATCH(O$1,'Master data'!$B$1:$CL$1,0)),"")</f>
        <v>0</v>
      </c>
      <c r="P252" s="5">
        <f>IFERROR(INDEX('Master data'!$B$2:$CL$1000,MATCH($B252,'Master data'!$A$2:$A$1000,0),MATCH(P$1,'Master data'!$B$1:$CL$1,0)),"")</f>
        <v>3000000</v>
      </c>
      <c r="Q252" s="5">
        <f>IFERROR(INDEX('Master data'!$B$2:$CL$1000,MATCH($B252,'Master data'!$A$2:$A$1000,0),MATCH(Q$1,'Master data'!$B$1:$CL$1,0)),"")</f>
        <v>3000000</v>
      </c>
    </row>
    <row r="253" spans="1:17" hidden="1">
      <c r="A253">
        <f t="shared" si="3"/>
        <v>251</v>
      </c>
      <c r="B253" t="str">
        <f>IF('Master data'!A253="","",'Master data'!A253)</f>
        <v>Mile Škorić</v>
      </c>
      <c r="C253" t="str">
        <f>IFERROR(INDEX('Master data'!$B$2:$CL$1000,MATCH($B253,'Master data'!$A$2:$A$1000,0),MATCH(C$1,'Master data'!$B$1:$CL$1,0)),"")</f>
        <v>Croatia</v>
      </c>
      <c r="D253" t="str">
        <f>IFERROR(INDEX('Master data'!$B$2:$CL$1000,MATCH($B253,'Master data'!$A$2:$A$1000,0),MATCH(D$1,'Master data'!$B$1:$CL$1,0)),"")</f>
        <v>Defense</v>
      </c>
      <c r="E253" s="5">
        <f>IFERROR(INDEX('Master data'!$B$2:$CL$1000,MATCH($B253,'Master data'!$A$2:$A$1000,0),MATCH(E$1,'Master data'!$B$1:$CL$1,0)),"")</f>
        <v>2000000</v>
      </c>
      <c r="F253" s="7">
        <f>IFERROR(INDEX('Master data'!$B$2:$CL$1000,MATCH($B253,'Master data'!$A$2:$A$1000,0),MATCH(F$1,'Master data'!$B$1:$CL$1,0)),"")</f>
        <v>5910.2060282171351</v>
      </c>
      <c r="G253" s="7">
        <f>IFERROR(INDEX('Master data'!$B$2:$CL$1000,MATCH($B253,'Master data'!$A$2:$A$1000,0),MATCH(G$1,'Master data'!$B$1:$CL$1,0)),"")</f>
        <v>13780.487804878048</v>
      </c>
      <c r="H253" s="7">
        <f>IFERROR(INDEX('Master data'!$B$2:$CL$1000,MATCH($B253,'Master data'!$A$2:$A$1000,0),MATCH(H$1,'Master data'!$B$1:$CL$1,0)),"")</f>
        <v>16871.9742227438</v>
      </c>
      <c r="I253" s="7">
        <f>IFERROR(INDEX('Master data'!$B$2:$CL$1000,MATCH($B253,'Master data'!$A$2:$A$1000,0),MATCH(I$1,'Master data'!$B$1:$CL$1,0)),"")</f>
        <v>-6104.1989544465177</v>
      </c>
      <c r="J253" s="7">
        <f>IFERROR(INDEX('Master data'!$B$2:$CL$1000,MATCH($B253,'Master data'!$A$2:$A$1000,0),MATCH(J$1,'Master data'!$B$1:$CL$1,0)),"")</f>
        <v>-3061.5693335656952</v>
      </c>
      <c r="K253" s="7">
        <f>IFERROR(INDEX('Master data'!$B$2:$CL$1000,MATCH($B253,'Master data'!$A$2:$A$1000,0),MATCH(K$1,'Master data'!$B$1:$CL$1,0)),"")</f>
        <v>-1518.8685868634675</v>
      </c>
      <c r="L253" s="7">
        <f>IFERROR(INDEX('Master data'!$B$2:$CL$1000,MATCH($B253,'Master data'!$A$2:$A$1000,0),MATCH(L$1,'Master data'!$B$1:$CL$1,0)),"")</f>
        <v>-725.43245037208726</v>
      </c>
      <c r="M253" s="5">
        <f>IFERROR(INDEX('Master data'!$B$2:$CL$1000,MATCH($B253,'Master data'!$A$2:$A$1000,0),MATCH(M$1,'Master data'!$B$1:$CL$1,0)),"")</f>
        <v>19918.744714065022</v>
      </c>
      <c r="N253" s="28">
        <f>IFERROR(INDEX('Master data'!$B$2:$CL$1000,MATCH($B253,'Master data'!$A$2:$A$1000,0),MATCH(N$1,'Master data'!$B$1:$CL$1,0)),"")</f>
        <v>1.8281334027919489E-2</v>
      </c>
      <c r="O253" s="7">
        <f>IFERROR(INDEX('Master data'!$B$2:$CL$1000,MATCH($B253,'Master data'!$A$2:$A$1000,0),MATCH(O$1,'Master data'!$B$1:$CL$1,0)),"")</f>
        <v>0</v>
      </c>
      <c r="P253" s="5">
        <f>IFERROR(INDEX('Master data'!$B$2:$CL$1000,MATCH($B253,'Master data'!$A$2:$A$1000,0),MATCH(P$1,'Master data'!$B$1:$CL$1,0)),"")</f>
        <v>2000000</v>
      </c>
      <c r="Q253" s="5">
        <f>IFERROR(INDEX('Master data'!$B$2:$CL$1000,MATCH($B253,'Master data'!$A$2:$A$1000,0),MATCH(Q$1,'Master data'!$B$1:$CL$1,0)),"")</f>
        <v>2000000</v>
      </c>
    </row>
    <row r="254" spans="1:17" hidden="1">
      <c r="A254">
        <f t="shared" si="3"/>
        <v>252</v>
      </c>
      <c r="B254" t="str">
        <f>IF('Master data'!A254="","",'Master data'!A254)</f>
        <v>Josip Juranović</v>
      </c>
      <c r="C254" t="str">
        <f>IFERROR(INDEX('Master data'!$B$2:$CL$1000,MATCH($B254,'Master data'!$A$2:$A$1000,0),MATCH(C$1,'Master data'!$B$1:$CL$1,0)),"")</f>
        <v>Croatia</v>
      </c>
      <c r="D254" t="str">
        <f>IFERROR(INDEX('Master data'!$B$2:$CL$1000,MATCH($B254,'Master data'!$A$2:$A$1000,0),MATCH(D$1,'Master data'!$B$1:$CL$1,0)),"")</f>
        <v>Defense</v>
      </c>
      <c r="E254" s="5">
        <f>IFERROR(INDEX('Master data'!$B$2:$CL$1000,MATCH($B254,'Master data'!$A$2:$A$1000,0),MATCH(E$1,'Master data'!$B$1:$CL$1,0)),"")</f>
        <v>2500000</v>
      </c>
      <c r="F254" s="7">
        <f>IFERROR(INDEX('Master data'!$B$2:$CL$1000,MATCH($B254,'Master data'!$A$2:$A$1000,0),MATCH(F$1,'Master data'!$B$1:$CL$1,0)),"")</f>
        <v>5910.2060282171351</v>
      </c>
      <c r="G254" s="7">
        <f>IFERROR(INDEX('Master data'!$B$2:$CL$1000,MATCH($B254,'Master data'!$A$2:$A$1000,0),MATCH(G$1,'Master data'!$B$1:$CL$1,0)),"")</f>
        <v>13780.487804878048</v>
      </c>
      <c r="H254" s="7">
        <f>IFERROR(INDEX('Master data'!$B$2:$CL$1000,MATCH($B254,'Master data'!$A$2:$A$1000,0),MATCH(H$1,'Master data'!$B$1:$CL$1,0)),"")</f>
        <v>16871.9742227438</v>
      </c>
      <c r="I254" s="7">
        <f>IFERROR(INDEX('Master data'!$B$2:$CL$1000,MATCH($B254,'Master data'!$A$2:$A$1000,0),MATCH(I$1,'Master data'!$B$1:$CL$1,0)),"")</f>
        <v>-9836.2521530394806</v>
      </c>
      <c r="J254" s="7">
        <f>IFERROR(INDEX('Master data'!$B$2:$CL$1000,MATCH($B254,'Master data'!$A$2:$A$1000,0),MATCH(J$1,'Master data'!$B$1:$CL$1,0)),"")</f>
        <v>-4905.9001591089518</v>
      </c>
      <c r="K254" s="7">
        <f>IFERROR(INDEX('Master data'!$B$2:$CL$1000,MATCH($B254,'Master data'!$A$2:$A$1000,0),MATCH(K$1,'Master data'!$B$1:$CL$1,0)),"")</f>
        <v>-2420.6144478673559</v>
      </c>
      <c r="L254" s="7">
        <f>IFERROR(INDEX('Master data'!$B$2:$CL$1000,MATCH($B254,'Master data'!$A$2:$A$1000,0),MATCH(L$1,'Master data'!$B$1:$CL$1,0)),"")</f>
        <v>-1149.9749062261553</v>
      </c>
      <c r="M254" s="5">
        <f>IFERROR(INDEX('Master data'!$B$2:$CL$1000,MATCH($B254,'Master data'!$A$2:$A$1000,0),MATCH(M$1,'Master data'!$B$1:$CL$1,0)),"")</f>
        <v>18292.6192687902</v>
      </c>
      <c r="N254" s="28">
        <f>IFERROR(INDEX('Master data'!$B$2:$CL$1000,MATCH($B254,'Master data'!$A$2:$A$1000,0),MATCH(N$1,'Master data'!$B$1:$CL$1,0)),"")</f>
        <v>1.4625067222335591E-2</v>
      </c>
      <c r="O254" s="7">
        <f>IFERROR(INDEX('Master data'!$B$2:$CL$1000,MATCH($B254,'Master data'!$A$2:$A$1000,0),MATCH(O$1,'Master data'!$B$1:$CL$1,0)),"")</f>
        <v>0</v>
      </c>
      <c r="P254" s="5">
        <f>IFERROR(INDEX('Master data'!$B$2:$CL$1000,MATCH($B254,'Master data'!$A$2:$A$1000,0),MATCH(P$1,'Master data'!$B$1:$CL$1,0)),"")</f>
        <v>2500000</v>
      </c>
      <c r="Q254" s="5">
        <f>IFERROR(INDEX('Master data'!$B$2:$CL$1000,MATCH($B254,'Master data'!$A$2:$A$1000,0),MATCH(Q$1,'Master data'!$B$1:$CL$1,0)),"")</f>
        <v>2500000</v>
      </c>
    </row>
    <row r="255" spans="1:17" hidden="1">
      <c r="A255">
        <f t="shared" si="3"/>
        <v>253</v>
      </c>
      <c r="B255" t="str">
        <f>IF('Master data'!A255="","",'Master data'!A255)</f>
        <v>Rafael Toloi</v>
      </c>
      <c r="C255" t="str">
        <f>IFERROR(INDEX('Master data'!$B$2:$CL$1000,MATCH($B255,'Master data'!$A$2:$A$1000,0),MATCH(C$1,'Master data'!$B$1:$CL$1,0)),"")</f>
        <v>Italy</v>
      </c>
      <c r="D255" t="str">
        <f>IFERROR(INDEX('Master data'!$B$2:$CL$1000,MATCH($B255,'Master data'!$A$2:$A$1000,0),MATCH(D$1,'Master data'!$B$1:$CL$1,0)),"")</f>
        <v>Defense</v>
      </c>
      <c r="E255" s="5">
        <f>IFERROR(INDEX('Master data'!$B$2:$CL$1000,MATCH($B255,'Master data'!$A$2:$A$1000,0),MATCH(E$1,'Master data'!$B$1:$CL$1,0)),"")</f>
        <v>2500000</v>
      </c>
      <c r="F255" s="7">
        <f>IFERROR(INDEX('Master data'!$B$2:$CL$1000,MATCH($B255,'Master data'!$A$2:$A$1000,0),MATCH(F$1,'Master data'!$B$1:$CL$1,0)),"")</f>
        <v>20992.218095072385</v>
      </c>
      <c r="G255" s="7">
        <f>IFERROR(INDEX('Master data'!$B$2:$CL$1000,MATCH($B255,'Master data'!$A$2:$A$1000,0),MATCH(G$1,'Master data'!$B$1:$CL$1,0)),"")</f>
        <v>17551.857211770384</v>
      </c>
      <c r="H255" s="7">
        <f>IFERROR(INDEX('Master data'!$B$2:$CL$1000,MATCH($B255,'Master data'!$A$2:$A$1000,0),MATCH(H$1,'Master data'!$B$1:$CL$1,0)),"")</f>
        <v>21028.92271769431</v>
      </c>
      <c r="I255" s="7">
        <f>IFERROR(INDEX('Master data'!$B$2:$CL$1000,MATCH($B255,'Master data'!$A$2:$A$1000,0),MATCH(I$1,'Master data'!$B$1:$CL$1,0)),"")</f>
        <v>-5495.1082265899049</v>
      </c>
      <c r="J255" s="7">
        <f>IFERROR(INDEX('Master data'!$B$2:$CL$1000,MATCH($B255,'Master data'!$A$2:$A$1000,0),MATCH(J$1,'Master data'!$B$1:$CL$1,0)),"")</f>
        <v>-2865.6922549399183</v>
      </c>
      <c r="K255" s="7">
        <f>IFERROR(INDEX('Master data'!$B$2:$CL$1000,MATCH($B255,'Master data'!$A$2:$A$1000,0),MATCH(K$1,'Master data'!$B$1:$CL$1,0)),"")</f>
        <v>-1503.1973256967158</v>
      </c>
      <c r="L255" s="7">
        <f>IFERROR(INDEX('Master data'!$B$2:$CL$1000,MATCH($B255,'Master data'!$A$2:$A$1000,0),MATCH(L$1,'Master data'!$B$1:$CL$1,0)),"")</f>
        <v>-805.77573969524576</v>
      </c>
      <c r="M255" s="5">
        <f>IFERROR(INDEX('Master data'!$B$2:$CL$1000,MATCH($B255,'Master data'!$A$2:$A$1000,0),MATCH(M$1,'Master data'!$B$1:$CL$1,0)),"")</f>
        <v>39576.709059669396</v>
      </c>
      <c r="N255" s="28">
        <f>IFERROR(INDEX('Master data'!$B$2:$CL$1000,MATCH($B255,'Master data'!$A$2:$A$1000,0),MATCH(N$1,'Master data'!$B$1:$CL$1,0)),"")</f>
        <v>2.3829199209814834E-2</v>
      </c>
      <c r="O255" s="7">
        <f>IFERROR(INDEX('Master data'!$B$2:$CL$1000,MATCH($B255,'Master data'!$A$2:$A$1000,0),MATCH(O$1,'Master data'!$B$1:$CL$1,0)),"")</f>
        <v>0</v>
      </c>
      <c r="P255" s="5">
        <f>IFERROR(INDEX('Master data'!$B$2:$CL$1000,MATCH($B255,'Master data'!$A$2:$A$1000,0),MATCH(P$1,'Master data'!$B$1:$CL$1,0)),"")</f>
        <v>2500000</v>
      </c>
      <c r="Q255" s="5">
        <f>IFERROR(INDEX('Master data'!$B$2:$CL$1000,MATCH($B255,'Master data'!$A$2:$A$1000,0),MATCH(Q$1,'Master data'!$B$1:$CL$1,0)),"")</f>
        <v>2500000</v>
      </c>
    </row>
    <row r="256" spans="1:17" hidden="1">
      <c r="A256">
        <f t="shared" si="3"/>
        <v>254</v>
      </c>
      <c r="B256" t="str">
        <f>IF('Master data'!A256="","",'Master data'!A256)</f>
        <v>Matz Sels</v>
      </c>
      <c r="C256" t="str">
        <f>IFERROR(INDEX('Master data'!$B$2:$CL$1000,MATCH($B256,'Master data'!$A$2:$A$1000,0),MATCH(C$1,'Master data'!$B$1:$CL$1,0)),"")</f>
        <v>Belgium</v>
      </c>
      <c r="D256" t="str">
        <f>IFERROR(INDEX('Master data'!$B$2:$CL$1000,MATCH($B256,'Master data'!$A$2:$A$1000,0),MATCH(D$1,'Master data'!$B$1:$CL$1,0)),"")</f>
        <v>Goalkeeper</v>
      </c>
      <c r="E256" s="5">
        <f>IFERROR(INDEX('Master data'!$B$2:$CL$1000,MATCH($B256,'Master data'!$A$2:$A$1000,0),MATCH(E$1,'Master data'!$B$1:$CL$1,0)),"")</f>
        <v>5000000</v>
      </c>
      <c r="F256" s="7">
        <f>IFERROR(INDEX('Master data'!$B$2:$CL$1000,MATCH($B256,'Master data'!$A$2:$A$1000,0),MATCH(F$1,'Master data'!$B$1:$CL$1,0)),"")</f>
        <v>36869.84690034738</v>
      </c>
      <c r="G256" s="7">
        <f>IFERROR(INDEX('Master data'!$B$2:$CL$1000,MATCH($B256,'Master data'!$A$2:$A$1000,0),MATCH(G$1,'Master data'!$B$1:$CL$1,0)),"")</f>
        <v>31739.634772402344</v>
      </c>
      <c r="H256" s="7">
        <f>IFERROR(INDEX('Master data'!$B$2:$CL$1000,MATCH($B256,'Master data'!$A$2:$A$1000,0),MATCH(H$1,'Master data'!$B$1:$CL$1,0)),"")</f>
        <v>42289.250440210657</v>
      </c>
      <c r="I256" s="7">
        <f>IFERROR(INDEX('Master data'!$B$2:$CL$1000,MATCH($B256,'Master data'!$A$2:$A$1000,0),MATCH(I$1,'Master data'!$B$1:$CL$1,0)),"")</f>
        <v>-13543.924456386365</v>
      </c>
      <c r="J256" s="7">
        <f>IFERROR(INDEX('Master data'!$B$2:$CL$1000,MATCH($B256,'Master data'!$A$2:$A$1000,0),MATCH(J$1,'Master data'!$B$1:$CL$1,0)),"")</f>
        <v>-7090.2543467027917</v>
      </c>
      <c r="K256" s="7">
        <f>IFERROR(INDEX('Master data'!$B$2:$CL$1000,MATCH($B256,'Master data'!$A$2:$A$1000,0),MATCH(K$1,'Master data'!$B$1:$CL$1,0)),"")</f>
        <v>-3771.7922907135207</v>
      </c>
      <c r="L256" s="7">
        <f>IFERROR(INDEX('Master data'!$B$2:$CL$1000,MATCH($B256,'Master data'!$A$2:$A$1000,0),MATCH(L$1,'Master data'!$B$1:$CL$1,0)),"")</f>
        <v>-2112.945012429102</v>
      </c>
      <c r="M256" s="5">
        <f>IFERROR(INDEX('Master data'!$B$2:$CL$1000,MATCH($B256,'Master data'!$A$2:$A$1000,0),MATCH(M$1,'Master data'!$B$1:$CL$1,0)),"")</f>
        <v>70729.071581838711</v>
      </c>
      <c r="N256" s="28">
        <f>IFERROR(INDEX('Master data'!$B$2:$CL$1000,MATCH($B256,'Master data'!$A$2:$A$1000,0),MATCH(N$1,'Master data'!$B$1:$CL$1,0)),"")</f>
        <v>2.2179746422592073E-2</v>
      </c>
      <c r="O256" s="7">
        <f>IFERROR(INDEX('Master data'!$B$2:$CL$1000,MATCH($B256,'Master data'!$A$2:$A$1000,0),MATCH(O$1,'Master data'!$B$1:$CL$1,0)),"")</f>
        <v>0</v>
      </c>
      <c r="P256" s="5">
        <f>IFERROR(INDEX('Master data'!$B$2:$CL$1000,MATCH($B256,'Master data'!$A$2:$A$1000,0),MATCH(P$1,'Master data'!$B$1:$CL$1,0)),"")</f>
        <v>5000000</v>
      </c>
      <c r="Q256" s="5">
        <f>IFERROR(INDEX('Master data'!$B$2:$CL$1000,MATCH($B256,'Master data'!$A$2:$A$1000,0),MATCH(Q$1,'Master data'!$B$1:$CL$1,0)),"")</f>
        <v>5000000</v>
      </c>
    </row>
    <row r="257" spans="1:17" hidden="1">
      <c r="A257">
        <f t="shared" si="3"/>
        <v>255</v>
      </c>
      <c r="B257" t="str">
        <f>IF('Master data'!A257="","",'Master data'!A257)</f>
        <v>Thomas Vermaelen</v>
      </c>
      <c r="C257" t="str">
        <f>IFERROR(INDEX('Master data'!$B$2:$CL$1000,MATCH($B257,'Master data'!$A$2:$A$1000,0),MATCH(C$1,'Master data'!$B$1:$CL$1,0)),"")</f>
        <v>Belgium</v>
      </c>
      <c r="D257" t="str">
        <f>IFERROR(INDEX('Master data'!$B$2:$CL$1000,MATCH($B257,'Master data'!$A$2:$A$1000,0),MATCH(D$1,'Master data'!$B$1:$CL$1,0)),"")</f>
        <v>Defense</v>
      </c>
      <c r="E257" s="5">
        <f>IFERROR(INDEX('Master data'!$B$2:$CL$1000,MATCH($B257,'Master data'!$A$2:$A$1000,0),MATCH(E$1,'Master data'!$B$1:$CL$1,0)),"")</f>
        <v>4000000</v>
      </c>
      <c r="F257" s="7">
        <f>IFERROR(INDEX('Master data'!$B$2:$CL$1000,MATCH($B257,'Master data'!$A$2:$A$1000,0),MATCH(F$1,'Master data'!$B$1:$CL$1,0)),"")</f>
        <v>62274.194956473897</v>
      </c>
      <c r="G257" s="7">
        <f>IFERROR(INDEX('Master data'!$B$2:$CL$1000,MATCH($B257,'Master data'!$A$2:$A$1000,0),MATCH(G$1,'Master data'!$B$1:$CL$1,0)),"")</f>
        <v>49496.047977285118</v>
      </c>
      <c r="H257" s="7">
        <f>IFERROR(INDEX('Master data'!$B$2:$CL$1000,MATCH($B257,'Master data'!$A$2:$A$1000,0),MATCH(H$1,'Master data'!$B$1:$CL$1,0)),"")</f>
        <v>91758.739121388979</v>
      </c>
      <c r="I257" s="7">
        <f>IFERROR(INDEX('Master data'!$B$2:$CL$1000,MATCH($B257,'Master data'!$A$2:$A$1000,0),MATCH(I$1,'Master data'!$B$1:$CL$1,0)),"")</f>
        <v>24714.978490529324</v>
      </c>
      <c r="J257" s="7">
        <f>IFERROR(INDEX('Master data'!$B$2:$CL$1000,MATCH($B257,'Master data'!$A$2:$A$1000,0),MATCH(J$1,'Master data'!$B$1:$CL$1,0)),"")</f>
        <v>12277.285339530201</v>
      </c>
      <c r="K257" s="7">
        <f>IFERROR(INDEX('Master data'!$B$2:$CL$1000,MATCH($B257,'Master data'!$A$2:$A$1000,0),MATCH(K$1,'Master data'!$B$1:$CL$1,0)),"")</f>
        <v>6196.9549581633682</v>
      </c>
      <c r="L257" s="7">
        <f>IFERROR(INDEX('Master data'!$B$2:$CL$1000,MATCH($B257,'Master data'!$A$2:$A$1000,0),MATCH(L$1,'Master data'!$B$1:$CL$1,0)),"")</f>
        <v>3293.383924359543</v>
      </c>
      <c r="M257" s="5">
        <f>IFERROR(INDEX('Master data'!$B$2:$CL$1000,MATCH($B257,'Master data'!$A$2:$A$1000,0),MATCH(M$1,'Master data'!$B$1:$CL$1,0)),"")</f>
        <v>146906.51249046557</v>
      </c>
      <c r="N257" s="28">
        <f>IFERROR(INDEX('Master data'!$B$2:$CL$1000,MATCH($B257,'Master data'!$A$2:$A$1000,0),MATCH(N$1,'Master data'!$B$1:$CL$1,0)),"")</f>
        <v>5.0882245513786999E-2</v>
      </c>
      <c r="O257" s="7">
        <f>IFERROR(INDEX('Master data'!$B$2:$CL$1000,MATCH($B257,'Master data'!$A$2:$A$1000,0),MATCH(O$1,'Master data'!$B$1:$CL$1,0)),"")</f>
        <v>0</v>
      </c>
      <c r="P257" s="5">
        <f>IFERROR(INDEX('Master data'!$B$2:$CL$1000,MATCH($B257,'Master data'!$A$2:$A$1000,0),MATCH(P$1,'Master data'!$B$1:$CL$1,0)),"")</f>
        <v>4000000</v>
      </c>
      <c r="Q257" s="5">
        <f>IFERROR(INDEX('Master data'!$B$2:$CL$1000,MATCH($B257,'Master data'!$A$2:$A$1000,0),MATCH(Q$1,'Master data'!$B$1:$CL$1,0)),"")</f>
        <v>4000000</v>
      </c>
    </row>
    <row r="258" spans="1:17" hidden="1">
      <c r="A258">
        <f t="shared" si="3"/>
        <v>256</v>
      </c>
      <c r="B258" t="str">
        <f>IF('Master data'!A258="","",'Master data'!A258)</f>
        <v>Marco Bizot</v>
      </c>
      <c r="C258" t="str">
        <f>IFERROR(INDEX('Master data'!$B$2:$CL$1000,MATCH($B258,'Master data'!$A$2:$A$1000,0),MATCH(C$1,'Master data'!$B$1:$CL$1,0)),"")</f>
        <v>Netherlands</v>
      </c>
      <c r="D258" t="str">
        <f>IFERROR(INDEX('Master data'!$B$2:$CL$1000,MATCH($B258,'Master data'!$A$2:$A$1000,0),MATCH(D$1,'Master data'!$B$1:$CL$1,0)),"")</f>
        <v>Goalkeeper</v>
      </c>
      <c r="E258" s="5">
        <f>IFERROR(INDEX('Master data'!$B$2:$CL$1000,MATCH($B258,'Master data'!$A$2:$A$1000,0),MATCH(E$1,'Master data'!$B$1:$CL$1,0)),"")</f>
        <v>4500000</v>
      </c>
      <c r="F258" s="7">
        <f>IFERROR(INDEX('Master data'!$B$2:$CL$1000,MATCH($B258,'Master data'!$A$2:$A$1000,0),MATCH(F$1,'Master data'!$B$1:$CL$1,0)),"")</f>
        <v>38742.952501695254</v>
      </c>
      <c r="G258" s="7">
        <f>IFERROR(INDEX('Master data'!$B$2:$CL$1000,MATCH($B258,'Master data'!$A$2:$A$1000,0),MATCH(G$1,'Master data'!$B$1:$CL$1,0)),"")</f>
        <v>37880.338669248413</v>
      </c>
      <c r="H258" s="7">
        <f>IFERROR(INDEX('Master data'!$B$2:$CL$1000,MATCH($B258,'Master data'!$A$2:$A$1000,0),MATCH(H$1,'Master data'!$B$1:$CL$1,0)),"")</f>
        <v>46504.440100353095</v>
      </c>
      <c r="I258" s="7">
        <f>IFERROR(INDEX('Master data'!$B$2:$CL$1000,MATCH($B258,'Master data'!$A$2:$A$1000,0),MATCH(I$1,'Master data'!$B$1:$CL$1,0)),"")</f>
        <v>-5016.3289819237607</v>
      </c>
      <c r="J258" s="7">
        <f>IFERROR(INDEX('Master data'!$B$2:$CL$1000,MATCH($B258,'Master data'!$A$2:$A$1000,0),MATCH(J$1,'Master data'!$B$1:$CL$1,0)),"")</f>
        <v>-2705.2944909031567</v>
      </c>
      <c r="K258" s="7">
        <f>IFERROR(INDEX('Master data'!$B$2:$CL$1000,MATCH($B258,'Master data'!$A$2:$A$1000,0),MATCH(K$1,'Master data'!$B$1:$CL$1,0)),"")</f>
        <v>-1450.5201881261339</v>
      </c>
      <c r="L258" s="7">
        <f>IFERROR(INDEX('Master data'!$B$2:$CL$1000,MATCH($B258,'Master data'!$A$2:$A$1000,0),MATCH(L$1,'Master data'!$B$1:$CL$1,0)),"")</f>
        <v>-773.03099521746105</v>
      </c>
      <c r="M258" s="5">
        <f>IFERROR(INDEX('Master data'!$B$2:$CL$1000,MATCH($B258,'Master data'!$A$2:$A$1000,0),MATCH(M$1,'Master data'!$B$1:$CL$1,0)),"")</f>
        <v>82385.572250981291</v>
      </c>
      <c r="N258" s="28">
        <f>IFERROR(INDEX('Master data'!$B$2:$CL$1000,MATCH($B258,'Master data'!$A$2:$A$1000,0),MATCH(N$1,'Master data'!$B$1:$CL$1,0)),"")</f>
        <v>2.736171806028817E-2</v>
      </c>
      <c r="O258" s="7">
        <f>IFERROR(INDEX('Master data'!$B$2:$CL$1000,MATCH($B258,'Master data'!$A$2:$A$1000,0),MATCH(O$1,'Master data'!$B$1:$CL$1,0)),"")</f>
        <v>0</v>
      </c>
      <c r="P258" s="5">
        <f>IFERROR(INDEX('Master data'!$B$2:$CL$1000,MATCH($B258,'Master data'!$A$2:$A$1000,0),MATCH(P$1,'Master data'!$B$1:$CL$1,0)),"")</f>
        <v>4500000</v>
      </c>
      <c r="Q258" s="5">
        <f>IFERROR(INDEX('Master data'!$B$2:$CL$1000,MATCH($B258,'Master data'!$A$2:$A$1000,0),MATCH(Q$1,'Master data'!$B$1:$CL$1,0)),"")</f>
        <v>4500000</v>
      </c>
    </row>
    <row r="259" spans="1:17" hidden="1">
      <c r="A259">
        <f t="shared" ref="A259:A322" si="4">IF(B259="","",ROW()-2)</f>
        <v>257</v>
      </c>
      <c r="B259" t="str">
        <f>IF('Master data'!A259="","",'Master data'!A259)</f>
        <v>Jurriën Timber</v>
      </c>
      <c r="C259" t="str">
        <f>IFERROR(INDEX('Master data'!$B$2:$CL$1000,MATCH($B259,'Master data'!$A$2:$A$1000,0),MATCH(C$1,'Master data'!$B$1:$CL$1,0)),"")</f>
        <v>Netherlands</v>
      </c>
      <c r="D259" t="str">
        <f>IFERROR(INDEX('Master data'!$B$2:$CL$1000,MATCH($B259,'Master data'!$A$2:$A$1000,0),MATCH(D$1,'Master data'!$B$1:$CL$1,0)),"")</f>
        <v>Defense</v>
      </c>
      <c r="E259" s="5">
        <f>IFERROR(INDEX('Master data'!$B$2:$CL$1000,MATCH($B259,'Master data'!$A$2:$A$1000,0),MATCH(E$1,'Master data'!$B$1:$CL$1,0)),"")</f>
        <v>2500000</v>
      </c>
      <c r="F259" s="7">
        <f>IFERROR(INDEX('Master data'!$B$2:$CL$1000,MATCH($B259,'Master data'!$A$2:$A$1000,0),MATCH(F$1,'Master data'!$B$1:$CL$1,0)),"")</f>
        <v>18376.623376623374</v>
      </c>
      <c r="G259" s="7">
        <f>IFERROR(INDEX('Master data'!$B$2:$CL$1000,MATCH($B259,'Master data'!$A$2:$A$1000,0),MATCH(G$1,'Master data'!$B$1:$CL$1,0)),"")</f>
        <v>17516.17394848109</v>
      </c>
      <c r="H259" s="7">
        <f>IFERROR(INDEX('Master data'!$B$2:$CL$1000,MATCH($B259,'Master data'!$A$2:$A$1000,0),MATCH(H$1,'Master data'!$B$1:$CL$1,0)),"")</f>
        <v>25599.852865375004</v>
      </c>
      <c r="I259" s="7">
        <f>IFERROR(INDEX('Master data'!$B$2:$CL$1000,MATCH($B259,'Master data'!$A$2:$A$1000,0),MATCH(I$1,'Master data'!$B$1:$CL$1,0)),"")</f>
        <v>-4947.3746101551733</v>
      </c>
      <c r="J259" s="7">
        <f>IFERROR(INDEX('Master data'!$B$2:$CL$1000,MATCH($B259,'Master data'!$A$2:$A$1000,0),MATCH(J$1,'Master data'!$B$1:$CL$1,0)),"")</f>
        <v>-2571.5673119118205</v>
      </c>
      <c r="K259" s="7">
        <f>IFERROR(INDEX('Master data'!$B$2:$CL$1000,MATCH($B259,'Master data'!$A$2:$A$1000,0),MATCH(K$1,'Master data'!$B$1:$CL$1,0)),"")</f>
        <v>-1334.1261299305017</v>
      </c>
      <c r="L259" s="7">
        <f>IFERROR(INDEX('Master data'!$B$2:$CL$1000,MATCH($B259,'Master data'!$A$2:$A$1000,0),MATCH(L$1,'Master data'!$B$1:$CL$1,0)),"")</f>
        <v>-690.22793657566183</v>
      </c>
      <c r="M259" s="5">
        <f>IFERROR(INDEX('Master data'!$B$2:$CL$1000,MATCH($B259,'Master data'!$A$2:$A$1000,0),MATCH(M$1,'Master data'!$B$1:$CL$1,0)),"")</f>
        <v>39221.648839202695</v>
      </c>
      <c r="N259" s="28">
        <f>IFERROR(INDEX('Master data'!$B$2:$CL$1000,MATCH($B259,'Master data'!$A$2:$A$1000,0),MATCH(N$1,'Master data'!$B$1:$CL$1,0)),"")</f>
        <v>2.4597060076191789E-2</v>
      </c>
      <c r="O259" s="7">
        <f>IFERROR(INDEX('Master data'!$B$2:$CL$1000,MATCH($B259,'Master data'!$A$2:$A$1000,0),MATCH(O$1,'Master data'!$B$1:$CL$1,0)),"")</f>
        <v>0</v>
      </c>
      <c r="P259" s="5">
        <f>IFERROR(INDEX('Master data'!$B$2:$CL$1000,MATCH($B259,'Master data'!$A$2:$A$1000,0),MATCH(P$1,'Master data'!$B$1:$CL$1,0)),"")</f>
        <v>2500000</v>
      </c>
      <c r="Q259" s="5">
        <f>IFERROR(INDEX('Master data'!$B$2:$CL$1000,MATCH($B259,'Master data'!$A$2:$A$1000,0),MATCH(Q$1,'Master data'!$B$1:$CL$1,0)),"")</f>
        <v>2500000</v>
      </c>
    </row>
    <row r="260" spans="1:17" hidden="1">
      <c r="A260">
        <f t="shared" si="4"/>
        <v>258</v>
      </c>
      <c r="B260" t="str">
        <f>IF('Master data'!A260="","",'Master data'!A260)</f>
        <v>Cody Gakpo</v>
      </c>
      <c r="C260" t="str">
        <f>IFERROR(INDEX('Master data'!$B$2:$CL$1000,MATCH($B260,'Master data'!$A$2:$A$1000,0),MATCH(C$1,'Master data'!$B$1:$CL$1,0)),"")</f>
        <v>Netherlands</v>
      </c>
      <c r="D260" t="str">
        <f>IFERROR(INDEX('Master data'!$B$2:$CL$1000,MATCH($B260,'Master data'!$A$2:$A$1000,0),MATCH(D$1,'Master data'!$B$1:$CL$1,0)),"")</f>
        <v>Striker</v>
      </c>
      <c r="E260" s="5">
        <f>IFERROR(INDEX('Master data'!$B$2:$CL$1000,MATCH($B260,'Master data'!$A$2:$A$1000,0),MATCH(E$1,'Master data'!$B$1:$CL$1,0)),"")</f>
        <v>3000000</v>
      </c>
      <c r="F260" s="7">
        <f>IFERROR(INDEX('Master data'!$B$2:$CL$1000,MATCH($B260,'Master data'!$A$2:$A$1000,0),MATCH(F$1,'Master data'!$B$1:$CL$1,0)),"")</f>
        <v>-5000</v>
      </c>
      <c r="G260" s="7">
        <f>IFERROR(INDEX('Master data'!$B$2:$CL$1000,MATCH($B260,'Master data'!$A$2:$A$1000,0),MATCH(G$1,'Master data'!$B$1:$CL$1,0)),"")</f>
        <v>-5000</v>
      </c>
      <c r="H260" s="7">
        <f>IFERROR(INDEX('Master data'!$B$2:$CL$1000,MATCH($B260,'Master data'!$A$2:$A$1000,0),MATCH(H$1,'Master data'!$B$1:$CL$1,0)),"")</f>
        <v>-5000</v>
      </c>
      <c r="I260" s="7">
        <f>IFERROR(INDEX('Master data'!$B$2:$CL$1000,MATCH($B260,'Master data'!$A$2:$A$1000,0),MATCH(I$1,'Master data'!$B$1:$CL$1,0)),"")</f>
        <v>-33692.265409621345</v>
      </c>
      <c r="J260" s="7">
        <f>IFERROR(INDEX('Master data'!$B$2:$CL$1000,MATCH($B260,'Master data'!$A$2:$A$1000,0),MATCH(J$1,'Master data'!$B$1:$CL$1,0)),"")</f>
        <v>-16814.097128376361</v>
      </c>
      <c r="K260" s="7">
        <f>IFERROR(INDEX('Master data'!$B$2:$CL$1000,MATCH($B260,'Master data'!$A$2:$A$1000,0),MATCH(K$1,'Master data'!$B$1:$CL$1,0)),"")</f>
        <v>-8387.5767305286245</v>
      </c>
      <c r="L260" s="7">
        <f>IFERROR(INDEX('Master data'!$B$2:$CL$1000,MATCH($B260,'Master data'!$A$2:$A$1000,0),MATCH(L$1,'Master data'!$B$1:$CL$1,0)),"")</f>
        <v>-4178.2351087420584</v>
      </c>
      <c r="M260" s="5">
        <f>IFERROR(INDEX('Master data'!$B$2:$CL$1000,MATCH($B260,'Master data'!$A$2:$A$1000,0),MATCH(M$1,'Master data'!$B$1:$CL$1,0)),"")</f>
        <v>-25331.102507619544</v>
      </c>
      <c r="N260" s="28">
        <f>IFERROR(INDEX('Master data'!$B$2:$CL$1000,MATCH($B260,'Master data'!$A$2:$A$1000,0),MATCH(N$1,'Master data'!$B$1:$CL$1,0)),"")</f>
        <v>-5.0000000000000001E-3</v>
      </c>
      <c r="O260" s="7">
        <f>IFERROR(INDEX('Master data'!$B$2:$CL$1000,MATCH($B260,'Master data'!$A$2:$A$1000,0),MATCH(O$1,'Master data'!$B$1:$CL$1,0)),"")</f>
        <v>0</v>
      </c>
      <c r="P260" s="5">
        <f>IFERROR(INDEX('Master data'!$B$2:$CL$1000,MATCH($B260,'Master data'!$A$2:$A$1000,0),MATCH(P$1,'Master data'!$B$1:$CL$1,0)),"")</f>
        <v>3000000</v>
      </c>
      <c r="Q260" s="5">
        <f>IFERROR(INDEX('Master data'!$B$2:$CL$1000,MATCH($B260,'Master data'!$A$2:$A$1000,0),MATCH(Q$1,'Master data'!$B$1:$CL$1,0)),"")</f>
        <v>3000000</v>
      </c>
    </row>
    <row r="261" spans="1:17" hidden="1">
      <c r="A261">
        <f t="shared" si="4"/>
        <v>259</v>
      </c>
      <c r="B261" t="str">
        <f>IF('Master data'!A261="","",'Master data'!A261)</f>
        <v>Kevin Trapp</v>
      </c>
      <c r="C261" t="str">
        <f>IFERROR(INDEX('Master data'!$B$2:$CL$1000,MATCH($B261,'Master data'!$A$2:$A$1000,0),MATCH(C$1,'Master data'!$B$1:$CL$1,0)),"")</f>
        <v>Germany</v>
      </c>
      <c r="D261" t="str">
        <f>IFERROR(INDEX('Master data'!$B$2:$CL$1000,MATCH($B261,'Master data'!$A$2:$A$1000,0),MATCH(D$1,'Master data'!$B$1:$CL$1,0)),"")</f>
        <v>Goalkeeper</v>
      </c>
      <c r="E261" s="5">
        <f>IFERROR(INDEX('Master data'!$B$2:$CL$1000,MATCH($B261,'Master data'!$A$2:$A$1000,0),MATCH(E$1,'Master data'!$B$1:$CL$1,0)),"")</f>
        <v>4500000</v>
      </c>
      <c r="F261" s="7">
        <f>IFERROR(INDEX('Master data'!$B$2:$CL$1000,MATCH($B261,'Master data'!$A$2:$A$1000,0),MATCH(F$1,'Master data'!$B$1:$CL$1,0)),"")</f>
        <v>27039.858889311741</v>
      </c>
      <c r="G261" s="7">
        <f>IFERROR(INDEX('Master data'!$B$2:$CL$1000,MATCH($B261,'Master data'!$A$2:$A$1000,0),MATCH(G$1,'Master data'!$B$1:$CL$1,0)),"")</f>
        <v>28144.463133968795</v>
      </c>
      <c r="H261" s="7">
        <f>IFERROR(INDEX('Master data'!$B$2:$CL$1000,MATCH($B261,'Master data'!$A$2:$A$1000,0),MATCH(H$1,'Master data'!$B$1:$CL$1,0)),"")</f>
        <v>38458.955078729494</v>
      </c>
      <c r="I261" s="7">
        <f>IFERROR(INDEX('Master data'!$B$2:$CL$1000,MATCH($B261,'Master data'!$A$2:$A$1000,0),MATCH(I$1,'Master data'!$B$1:$CL$1,0)),"")</f>
        <v>-13109.281835822329</v>
      </c>
      <c r="J261" s="7">
        <f>IFERROR(INDEX('Master data'!$B$2:$CL$1000,MATCH($B261,'Master data'!$A$2:$A$1000,0),MATCH(J$1,'Master data'!$B$1:$CL$1,0)),"")</f>
        <v>-6803.3673270474837</v>
      </c>
      <c r="K261" s="7">
        <f>IFERROR(INDEX('Master data'!$B$2:$CL$1000,MATCH($B261,'Master data'!$A$2:$A$1000,0),MATCH(K$1,'Master data'!$B$1:$CL$1,0)),"")</f>
        <v>-3577.7505288121006</v>
      </c>
      <c r="L261" s="7">
        <f>IFERROR(INDEX('Master data'!$B$2:$CL$1000,MATCH($B261,'Master data'!$A$2:$A$1000,0),MATCH(L$1,'Master data'!$B$1:$CL$1,0)),"")</f>
        <v>-1963.9885466842493</v>
      </c>
      <c r="M261" s="5">
        <f>IFERROR(INDEX('Master data'!$B$2:$CL$1000,MATCH($B261,'Master data'!$A$2:$A$1000,0),MATCH(M$1,'Master data'!$B$1:$CL$1,0)),"")</f>
        <v>57024.030959587421</v>
      </c>
      <c r="N261" s="28">
        <f>IFERROR(INDEX('Master data'!$B$2:$CL$1000,MATCH($B261,'Master data'!$A$2:$A$1000,0),MATCH(N$1,'Master data'!$B$1:$CL$1,0)),"")</f>
        <v>2.0809617133780007E-2</v>
      </c>
      <c r="O261" s="7">
        <f>IFERROR(INDEX('Master data'!$B$2:$CL$1000,MATCH($B261,'Master data'!$A$2:$A$1000,0),MATCH(O$1,'Master data'!$B$1:$CL$1,0)),"")</f>
        <v>0</v>
      </c>
      <c r="P261" s="5">
        <f>IFERROR(INDEX('Master data'!$B$2:$CL$1000,MATCH($B261,'Master data'!$A$2:$A$1000,0),MATCH(P$1,'Master data'!$B$1:$CL$1,0)),"")</f>
        <v>4500000</v>
      </c>
      <c r="Q261" s="5">
        <f>IFERROR(INDEX('Master data'!$B$2:$CL$1000,MATCH($B261,'Master data'!$A$2:$A$1000,0),MATCH(Q$1,'Master data'!$B$1:$CL$1,0)),"")</f>
        <v>4500000</v>
      </c>
    </row>
    <row r="262" spans="1:17" hidden="1">
      <c r="A262">
        <f t="shared" si="4"/>
        <v>260</v>
      </c>
      <c r="B262" t="str">
        <f>IF('Master data'!A262="","",'Master data'!A262)</f>
        <v>Robin  Koch</v>
      </c>
      <c r="C262" t="str">
        <f>IFERROR(INDEX('Master data'!$B$2:$CL$1000,MATCH($B262,'Master data'!$A$2:$A$1000,0),MATCH(C$1,'Master data'!$B$1:$CL$1,0)),"")</f>
        <v>Germany</v>
      </c>
      <c r="D262" t="str">
        <f>IFERROR(INDEX('Master data'!$B$2:$CL$1000,MATCH($B262,'Master data'!$A$2:$A$1000,0),MATCH(D$1,'Master data'!$B$1:$CL$1,0)),"")</f>
        <v>Defense</v>
      </c>
      <c r="E262" s="5">
        <f>IFERROR(INDEX('Master data'!$B$2:$CL$1000,MATCH($B262,'Master data'!$A$2:$A$1000,0),MATCH(E$1,'Master data'!$B$1:$CL$1,0)),"")</f>
        <v>3000000</v>
      </c>
      <c r="F262" s="7">
        <f>IFERROR(INDEX('Master data'!$B$2:$CL$1000,MATCH($B262,'Master data'!$A$2:$A$1000,0),MATCH(F$1,'Master data'!$B$1:$CL$1,0)),"")</f>
        <v>9489.18764664849</v>
      </c>
      <c r="G262" s="7">
        <f>IFERROR(INDEX('Master data'!$B$2:$CL$1000,MATCH($B262,'Master data'!$A$2:$A$1000,0),MATCH(G$1,'Master data'!$B$1:$CL$1,0)),"")</f>
        <v>10654.791771199194</v>
      </c>
      <c r="H262" s="7">
        <f>IFERROR(INDEX('Master data'!$B$2:$CL$1000,MATCH($B262,'Master data'!$A$2:$A$1000,0),MATCH(H$1,'Master data'!$B$1:$CL$1,0)),"")</f>
        <v>20163.959116246748</v>
      </c>
      <c r="I262" s="7">
        <f>IFERROR(INDEX('Master data'!$B$2:$CL$1000,MATCH($B262,'Master data'!$A$2:$A$1000,0),MATCH(I$1,'Master data'!$B$1:$CL$1,0)),"")</f>
        <v>-15108.435495351878</v>
      </c>
      <c r="J262" s="7">
        <f>IFERROR(INDEX('Master data'!$B$2:$CL$1000,MATCH($B262,'Master data'!$A$2:$A$1000,0),MATCH(J$1,'Master data'!$B$1:$CL$1,0)),"")</f>
        <v>-7738.8812593494858</v>
      </c>
      <c r="K262" s="7">
        <f>IFERROR(INDEX('Master data'!$B$2:$CL$1000,MATCH($B262,'Master data'!$A$2:$A$1000,0),MATCH(K$1,'Master data'!$B$1:$CL$1,0)),"")</f>
        <v>-4018.2636821745677</v>
      </c>
      <c r="L262" s="7">
        <f>IFERROR(INDEX('Master data'!$B$2:$CL$1000,MATCH($B262,'Master data'!$A$2:$A$1000,0),MATCH(L$1,'Master data'!$B$1:$CL$1,0)),"")</f>
        <v>-2178.6866038223279</v>
      </c>
      <c r="M262" s="5">
        <f>IFERROR(INDEX('Master data'!$B$2:$CL$1000,MATCH($B262,'Master data'!$A$2:$A$1000,0),MATCH(M$1,'Master data'!$B$1:$CL$1,0)),"")</f>
        <v>18828.476165154709</v>
      </c>
      <c r="N262" s="28">
        <f>IFERROR(INDEX('Master data'!$B$2:$CL$1000,MATCH($B262,'Master data'!$A$2:$A$1000,0),MATCH(N$1,'Master data'!$B$1:$CL$1,0)),"")</f>
        <v>1.3435979511364809E-2</v>
      </c>
      <c r="O262" s="7">
        <f>IFERROR(INDEX('Master data'!$B$2:$CL$1000,MATCH($B262,'Master data'!$A$2:$A$1000,0),MATCH(O$1,'Master data'!$B$1:$CL$1,0)),"")</f>
        <v>0</v>
      </c>
      <c r="P262" s="5">
        <f>IFERROR(INDEX('Master data'!$B$2:$CL$1000,MATCH($B262,'Master data'!$A$2:$A$1000,0),MATCH(P$1,'Master data'!$B$1:$CL$1,0)),"")</f>
        <v>3000000</v>
      </c>
      <c r="Q262" s="5">
        <f>IFERROR(INDEX('Master data'!$B$2:$CL$1000,MATCH($B262,'Master data'!$A$2:$A$1000,0),MATCH(Q$1,'Master data'!$B$1:$CL$1,0)),"")</f>
        <v>3000000</v>
      </c>
    </row>
    <row r="263" spans="1:17" hidden="1">
      <c r="A263">
        <f t="shared" si="4"/>
        <v>261</v>
      </c>
      <c r="B263" t="str">
        <f>IF('Master data'!A263="","",'Master data'!A263)</f>
        <v>Marcel Halstenberg</v>
      </c>
      <c r="C263" t="str">
        <f>IFERROR(INDEX('Master data'!$B$2:$CL$1000,MATCH($B263,'Master data'!$A$2:$A$1000,0),MATCH(C$1,'Master data'!$B$1:$CL$1,0)),"")</f>
        <v>Germany</v>
      </c>
      <c r="D263" t="str">
        <f>IFERROR(INDEX('Master data'!$B$2:$CL$1000,MATCH($B263,'Master data'!$A$2:$A$1000,0),MATCH(D$1,'Master data'!$B$1:$CL$1,0)),"")</f>
        <v>Defense</v>
      </c>
      <c r="E263" s="5">
        <f>IFERROR(INDEX('Master data'!$B$2:$CL$1000,MATCH($B263,'Master data'!$A$2:$A$1000,0),MATCH(E$1,'Master data'!$B$1:$CL$1,0)),"")</f>
        <v>3000000</v>
      </c>
      <c r="F263" s="7">
        <f>IFERROR(INDEX('Master data'!$B$2:$CL$1000,MATCH($B263,'Master data'!$A$2:$A$1000,0),MATCH(F$1,'Master data'!$B$1:$CL$1,0)),"")</f>
        <v>9489.18764664849</v>
      </c>
      <c r="G263" s="7">
        <f>IFERROR(INDEX('Master data'!$B$2:$CL$1000,MATCH($B263,'Master data'!$A$2:$A$1000,0),MATCH(G$1,'Master data'!$B$1:$CL$1,0)),"")</f>
        <v>10654.791771199194</v>
      </c>
      <c r="H263" s="7">
        <f>IFERROR(INDEX('Master data'!$B$2:$CL$1000,MATCH($B263,'Master data'!$A$2:$A$1000,0),MATCH(H$1,'Master data'!$B$1:$CL$1,0)),"")</f>
        <v>20163.959116246748</v>
      </c>
      <c r="I263" s="7">
        <f>IFERROR(INDEX('Master data'!$B$2:$CL$1000,MATCH($B263,'Master data'!$A$2:$A$1000,0),MATCH(I$1,'Master data'!$B$1:$CL$1,0)),"")</f>
        <v>-15108.435495351878</v>
      </c>
      <c r="J263" s="7">
        <f>IFERROR(INDEX('Master data'!$B$2:$CL$1000,MATCH($B263,'Master data'!$A$2:$A$1000,0),MATCH(J$1,'Master data'!$B$1:$CL$1,0)),"")</f>
        <v>-7738.8812593494858</v>
      </c>
      <c r="K263" s="7">
        <f>IFERROR(INDEX('Master data'!$B$2:$CL$1000,MATCH($B263,'Master data'!$A$2:$A$1000,0),MATCH(K$1,'Master data'!$B$1:$CL$1,0)),"")</f>
        <v>-4018.2636821745677</v>
      </c>
      <c r="L263" s="7">
        <f>IFERROR(INDEX('Master data'!$B$2:$CL$1000,MATCH($B263,'Master data'!$A$2:$A$1000,0),MATCH(L$1,'Master data'!$B$1:$CL$1,0)),"")</f>
        <v>-2178.6866038223279</v>
      </c>
      <c r="M263" s="5">
        <f>IFERROR(INDEX('Master data'!$B$2:$CL$1000,MATCH($B263,'Master data'!$A$2:$A$1000,0),MATCH(M$1,'Master data'!$B$1:$CL$1,0)),"")</f>
        <v>18828.476165154709</v>
      </c>
      <c r="N263" s="28">
        <f>IFERROR(INDEX('Master data'!$B$2:$CL$1000,MATCH($B263,'Master data'!$A$2:$A$1000,0),MATCH(N$1,'Master data'!$B$1:$CL$1,0)),"")</f>
        <v>1.3435979511364809E-2</v>
      </c>
      <c r="O263" s="7">
        <f>IFERROR(INDEX('Master data'!$B$2:$CL$1000,MATCH($B263,'Master data'!$A$2:$A$1000,0),MATCH(O$1,'Master data'!$B$1:$CL$1,0)),"")</f>
        <v>0</v>
      </c>
      <c r="P263" s="5">
        <f>IFERROR(INDEX('Master data'!$B$2:$CL$1000,MATCH($B263,'Master data'!$A$2:$A$1000,0),MATCH(P$1,'Master data'!$B$1:$CL$1,0)),"")</f>
        <v>3000000</v>
      </c>
      <c r="Q263" s="5">
        <f>IFERROR(INDEX('Master data'!$B$2:$CL$1000,MATCH($B263,'Master data'!$A$2:$A$1000,0),MATCH(Q$1,'Master data'!$B$1:$CL$1,0)),"")</f>
        <v>3000000</v>
      </c>
    </row>
    <row r="264" spans="1:17" hidden="1">
      <c r="A264">
        <f t="shared" si="4"/>
        <v>262</v>
      </c>
      <c r="B264" t="str">
        <f>IF('Master data'!A264="","",'Master data'!A264)</f>
        <v>Christian  Gunter</v>
      </c>
      <c r="C264" t="str">
        <f>IFERROR(INDEX('Master data'!$B$2:$CL$1000,MATCH($B264,'Master data'!$A$2:$A$1000,0),MATCH(C$1,'Master data'!$B$1:$CL$1,0)),"")</f>
        <v>Germany</v>
      </c>
      <c r="D264" t="str">
        <f>IFERROR(INDEX('Master data'!$B$2:$CL$1000,MATCH($B264,'Master data'!$A$2:$A$1000,0),MATCH(D$1,'Master data'!$B$1:$CL$1,0)),"")</f>
        <v>Defense</v>
      </c>
      <c r="E264" s="5">
        <f>IFERROR(INDEX('Master data'!$B$2:$CL$1000,MATCH($B264,'Master data'!$A$2:$A$1000,0),MATCH(E$1,'Master data'!$B$1:$CL$1,0)),"")</f>
        <v>3000000</v>
      </c>
      <c r="F264" s="7">
        <f>IFERROR(INDEX('Master data'!$B$2:$CL$1000,MATCH($B264,'Master data'!$A$2:$A$1000,0),MATCH(F$1,'Master data'!$B$1:$CL$1,0)),"")</f>
        <v>28644.259528961804</v>
      </c>
      <c r="G264" s="7">
        <f>IFERROR(INDEX('Master data'!$B$2:$CL$1000,MATCH($B264,'Master data'!$A$2:$A$1000,0),MATCH(G$1,'Master data'!$B$1:$CL$1,0)),"")</f>
        <v>36400.860663905092</v>
      </c>
      <c r="H264" s="7">
        <f>IFERROR(INDEX('Master data'!$B$2:$CL$1000,MATCH($B264,'Master data'!$A$2:$A$1000,0),MATCH(H$1,'Master data'!$B$1:$CL$1,0)),"")</f>
        <v>80922.860778854971</v>
      </c>
      <c r="I264" s="7">
        <f>IFERROR(INDEX('Master data'!$B$2:$CL$1000,MATCH($B264,'Master data'!$A$2:$A$1000,0),MATCH(I$1,'Master data'!$B$1:$CL$1,0)),"")</f>
        <v>15312.540177925459</v>
      </c>
      <c r="J264" s="7">
        <f>IFERROR(INDEX('Master data'!$B$2:$CL$1000,MATCH($B264,'Master data'!$A$2:$A$1000,0),MATCH(J$1,'Master data'!$B$1:$CL$1,0)),"")</f>
        <v>7561.6236211422274</v>
      </c>
      <c r="K264" s="7">
        <f>IFERROR(INDEX('Master data'!$B$2:$CL$1000,MATCH($B264,'Master data'!$A$2:$A$1000,0),MATCH(K$1,'Master data'!$B$1:$CL$1,0)),"")</f>
        <v>3782.1857725713603</v>
      </c>
      <c r="L264" s="7">
        <f>IFERROR(INDEX('Master data'!$B$2:$CL$1000,MATCH($B264,'Master data'!$A$2:$A$1000,0),MATCH(L$1,'Master data'!$B$1:$CL$1,0)),"")</f>
        <v>1973.7961972403232</v>
      </c>
      <c r="M264" s="5">
        <f>IFERROR(INDEX('Master data'!$B$2:$CL$1000,MATCH($B264,'Master data'!$A$2:$A$1000,0),MATCH(M$1,'Master data'!$B$1:$CL$1,0)),"")</f>
        <v>95579.266999021449</v>
      </c>
      <c r="N264" s="28">
        <f>IFERROR(INDEX('Master data'!$B$2:$CL$1000,MATCH($B264,'Master data'!$A$2:$A$1000,0),MATCH(N$1,'Master data'!$B$1:$CL$1,0)),"")</f>
        <v>4.8655993657240625E-2</v>
      </c>
      <c r="O264" s="7">
        <f>IFERROR(INDEX('Master data'!$B$2:$CL$1000,MATCH($B264,'Master data'!$A$2:$A$1000,0),MATCH(O$1,'Master data'!$B$1:$CL$1,0)),"")</f>
        <v>0</v>
      </c>
      <c r="P264" s="5">
        <f>IFERROR(INDEX('Master data'!$B$2:$CL$1000,MATCH($B264,'Master data'!$A$2:$A$1000,0),MATCH(P$1,'Master data'!$B$1:$CL$1,0)),"")</f>
        <v>3000000</v>
      </c>
      <c r="Q264" s="5">
        <f>IFERROR(INDEX('Master data'!$B$2:$CL$1000,MATCH($B264,'Master data'!$A$2:$A$1000,0),MATCH(Q$1,'Master data'!$B$1:$CL$1,0)),"")</f>
        <v>3000000</v>
      </c>
    </row>
    <row r="265" spans="1:17" hidden="1">
      <c r="A265">
        <f t="shared" si="4"/>
        <v>263</v>
      </c>
      <c r="B265" t="str">
        <f>IF('Master data'!A265="","",'Master data'!A265)</f>
        <v>Robert Sánchez</v>
      </c>
      <c r="C265" t="str">
        <f>IFERROR(INDEX('Master data'!$B$2:$CL$1000,MATCH($B265,'Master data'!$A$2:$A$1000,0),MATCH(C$1,'Master data'!$B$1:$CL$1,0)),"")</f>
        <v>Spain</v>
      </c>
      <c r="D265" t="str">
        <f>IFERROR(INDEX('Master data'!$B$2:$CL$1000,MATCH($B265,'Master data'!$A$2:$A$1000,0),MATCH(D$1,'Master data'!$B$1:$CL$1,0)),"")</f>
        <v>Goalkeeper</v>
      </c>
      <c r="E265" s="5">
        <f>IFERROR(INDEX('Master data'!$B$2:$CL$1000,MATCH($B265,'Master data'!$A$2:$A$1000,0),MATCH(E$1,'Master data'!$B$1:$CL$1,0)),"")</f>
        <v>4500000</v>
      </c>
      <c r="F265" s="7">
        <f>IFERROR(INDEX('Master data'!$B$2:$CL$1000,MATCH($B265,'Master data'!$A$2:$A$1000,0),MATCH(F$1,'Master data'!$B$1:$CL$1,0)),"")</f>
        <v>41953.579299284291</v>
      </c>
      <c r="G265" s="7">
        <f>IFERROR(INDEX('Master data'!$B$2:$CL$1000,MATCH($B265,'Master data'!$A$2:$A$1000,0),MATCH(G$1,'Master data'!$B$1:$CL$1,0)),"")</f>
        <v>38325.356046805362</v>
      </c>
      <c r="H265" s="7">
        <f>IFERROR(INDEX('Master data'!$B$2:$CL$1000,MATCH($B265,'Master data'!$A$2:$A$1000,0),MATCH(H$1,'Master data'!$B$1:$CL$1,0)),"")</f>
        <v>44181.938883845869</v>
      </c>
      <c r="I265" s="7">
        <f>IFERROR(INDEX('Master data'!$B$2:$CL$1000,MATCH($B265,'Master data'!$A$2:$A$1000,0),MATCH(I$1,'Master data'!$B$1:$CL$1,0)),"")</f>
        <v>-4599.5991091386622</v>
      </c>
      <c r="J265" s="7">
        <f>IFERROR(INDEX('Master data'!$B$2:$CL$1000,MATCH($B265,'Master data'!$A$2:$A$1000,0),MATCH(J$1,'Master data'!$B$1:$CL$1,0)),"")</f>
        <v>-2534.0748378957055</v>
      </c>
      <c r="K265" s="7">
        <f>IFERROR(INDEX('Master data'!$B$2:$CL$1000,MATCH($B265,'Master data'!$A$2:$A$1000,0),MATCH(K$1,'Master data'!$B$1:$CL$1,0)),"")</f>
        <v>-1402.9557306174293</v>
      </c>
      <c r="L265" s="7">
        <f>IFERROR(INDEX('Master data'!$B$2:$CL$1000,MATCH($B265,'Master data'!$A$2:$A$1000,0),MATCH(L$1,'Master data'!$B$1:$CL$1,0)),"")</f>
        <v>-801.06762325952241</v>
      </c>
      <c r="M265" s="5">
        <f>IFERROR(INDEX('Master data'!$B$2:$CL$1000,MATCH($B265,'Master data'!$A$2:$A$1000,0),MATCH(M$1,'Master data'!$B$1:$CL$1,0)),"")</f>
        <v>85021.753476039652</v>
      </c>
      <c r="N265" s="28">
        <f>IFERROR(INDEX('Master data'!$B$2:$CL$1000,MATCH($B265,'Master data'!$A$2:$A$1000,0),MATCH(N$1,'Master data'!$B$1:$CL$1,0)),"")</f>
        <v>2.7657972051096782E-2</v>
      </c>
      <c r="O265" s="7">
        <f>IFERROR(INDEX('Master data'!$B$2:$CL$1000,MATCH($B265,'Master data'!$A$2:$A$1000,0),MATCH(O$1,'Master data'!$B$1:$CL$1,0)),"")</f>
        <v>0</v>
      </c>
      <c r="P265" s="5">
        <f>IFERROR(INDEX('Master data'!$B$2:$CL$1000,MATCH($B265,'Master data'!$A$2:$A$1000,0),MATCH(P$1,'Master data'!$B$1:$CL$1,0)),"")</f>
        <v>4500000</v>
      </c>
      <c r="Q265" s="5">
        <f>IFERROR(INDEX('Master data'!$B$2:$CL$1000,MATCH($B265,'Master data'!$A$2:$A$1000,0),MATCH(Q$1,'Master data'!$B$1:$CL$1,0)),"")</f>
        <v>4500000</v>
      </c>
    </row>
    <row r="266" spans="1:17" hidden="1">
      <c r="A266">
        <f t="shared" si="4"/>
        <v>264</v>
      </c>
      <c r="B266" t="str">
        <f>IF('Master data'!A266="","",'Master data'!A266)</f>
        <v>Andriy Pyatov</v>
      </c>
      <c r="C266" t="str">
        <f>IFERROR(INDEX('Master data'!$B$2:$CL$1000,MATCH($B266,'Master data'!$A$2:$A$1000,0),MATCH(C$1,'Master data'!$B$1:$CL$1,0)),"")</f>
        <v>Ukraine</v>
      </c>
      <c r="D266" t="str">
        <f>IFERROR(INDEX('Master data'!$B$2:$CL$1000,MATCH($B266,'Master data'!$A$2:$A$1000,0),MATCH(D$1,'Master data'!$B$1:$CL$1,0)),"")</f>
        <v>Goalkeeper</v>
      </c>
      <c r="E266" s="5">
        <f>IFERROR(INDEX('Master data'!$B$2:$CL$1000,MATCH($B266,'Master data'!$A$2:$A$1000,0),MATCH(E$1,'Master data'!$B$1:$CL$1,0)),"")</f>
        <v>3500000</v>
      </c>
      <c r="F266" s="7">
        <f>IFERROR(INDEX('Master data'!$B$2:$CL$1000,MATCH($B266,'Master data'!$A$2:$A$1000,0),MATCH(F$1,'Master data'!$B$1:$CL$1,0)),"")</f>
        <v>29482.966097254131</v>
      </c>
      <c r="G266" s="7">
        <f>IFERROR(INDEX('Master data'!$B$2:$CL$1000,MATCH($B266,'Master data'!$A$2:$A$1000,0),MATCH(G$1,'Master data'!$B$1:$CL$1,0)),"")</f>
        <v>39209.639620486305</v>
      </c>
      <c r="H266" s="7">
        <f>IFERROR(INDEX('Master data'!$B$2:$CL$1000,MATCH($B266,'Master data'!$A$2:$A$1000,0),MATCH(H$1,'Master data'!$B$1:$CL$1,0)),"")</f>
        <v>32625.207009134581</v>
      </c>
      <c r="I266" s="7">
        <f>IFERROR(INDEX('Master data'!$B$2:$CL$1000,MATCH($B266,'Master data'!$A$2:$A$1000,0),MATCH(I$1,'Master data'!$B$1:$CL$1,0)),"")</f>
        <v>-1672.3881868225135</v>
      </c>
      <c r="J266" s="7">
        <f>IFERROR(INDEX('Master data'!$B$2:$CL$1000,MATCH($B266,'Master data'!$A$2:$A$1000,0),MATCH(J$1,'Master data'!$B$1:$CL$1,0)),"")</f>
        <v>-945.59418215750395</v>
      </c>
      <c r="K266" s="7">
        <f>IFERROR(INDEX('Master data'!$B$2:$CL$1000,MATCH($B266,'Master data'!$A$2:$A$1000,0),MATCH(K$1,'Master data'!$B$1:$CL$1,0)),"")</f>
        <v>-517.01404338404109</v>
      </c>
      <c r="L266" s="7">
        <f>IFERROR(INDEX('Master data'!$B$2:$CL$1000,MATCH($B266,'Master data'!$A$2:$A$1000,0),MATCH(L$1,'Master data'!$B$1:$CL$1,0)),"")</f>
        <v>-262.95976383568012</v>
      </c>
      <c r="M266" s="5">
        <f>IFERROR(INDEX('Master data'!$B$2:$CL$1000,MATCH($B266,'Master data'!$A$2:$A$1000,0),MATCH(M$1,'Master data'!$B$1:$CL$1,0)),"")</f>
        <v>69349.341601892331</v>
      </c>
      <c r="N266" s="28">
        <f>IFERROR(INDEX('Master data'!$B$2:$CL$1000,MATCH($B266,'Master data'!$A$2:$A$1000,0),MATCH(N$1,'Master data'!$B$1:$CL$1,0)),"")</f>
        <v>2.894794649339286E-2</v>
      </c>
      <c r="O266" s="7">
        <f>IFERROR(INDEX('Master data'!$B$2:$CL$1000,MATCH($B266,'Master data'!$A$2:$A$1000,0),MATCH(O$1,'Master data'!$B$1:$CL$1,0)),"")</f>
        <v>0</v>
      </c>
      <c r="P266" s="5">
        <f>IFERROR(INDEX('Master data'!$B$2:$CL$1000,MATCH($B266,'Master data'!$A$2:$A$1000,0),MATCH(P$1,'Master data'!$B$1:$CL$1,0)),"")</f>
        <v>3500000</v>
      </c>
      <c r="Q266" s="5">
        <f>IFERROR(INDEX('Master data'!$B$2:$CL$1000,MATCH($B266,'Master data'!$A$2:$A$1000,0),MATCH(Q$1,'Master data'!$B$1:$CL$1,0)),"")</f>
        <v>3500000</v>
      </c>
    </row>
    <row r="267" spans="1:17" hidden="1">
      <c r="A267">
        <f t="shared" si="4"/>
        <v>265</v>
      </c>
      <c r="B267" t="str">
        <f>IF('Master data'!A267="","",'Master data'!A267)</f>
        <v>Roman Bezus</v>
      </c>
      <c r="C267" t="str">
        <f>IFERROR(INDEX('Master data'!$B$2:$CL$1000,MATCH($B267,'Master data'!$A$2:$A$1000,0),MATCH(C$1,'Master data'!$B$1:$CL$1,0)),"")</f>
        <v>Ukraine</v>
      </c>
      <c r="D267" t="str">
        <f>IFERROR(INDEX('Master data'!$B$2:$CL$1000,MATCH($B267,'Master data'!$A$2:$A$1000,0),MATCH(D$1,'Master data'!$B$1:$CL$1,0)),"")</f>
        <v>Midfield</v>
      </c>
      <c r="E267" s="5">
        <f>IFERROR(INDEX('Master data'!$B$2:$CL$1000,MATCH($B267,'Master data'!$A$2:$A$1000,0),MATCH(E$1,'Master data'!$B$1:$CL$1,0)),"")</f>
        <v>2000000</v>
      </c>
      <c r="F267" s="7">
        <f>IFERROR(INDEX('Master data'!$B$2:$CL$1000,MATCH($B267,'Master data'!$A$2:$A$1000,0),MATCH(F$1,'Master data'!$B$1:$CL$1,0)),"")</f>
        <v>-5000</v>
      </c>
      <c r="G267" s="7">
        <f>IFERROR(INDEX('Master data'!$B$2:$CL$1000,MATCH($B267,'Master data'!$A$2:$A$1000,0),MATCH(G$1,'Master data'!$B$1:$CL$1,0)),"")</f>
        <v>-5000</v>
      </c>
      <c r="H267" s="7">
        <f>IFERROR(INDEX('Master data'!$B$2:$CL$1000,MATCH($B267,'Master data'!$A$2:$A$1000,0),MATCH(H$1,'Master data'!$B$1:$CL$1,0)),"")</f>
        <v>-5000</v>
      </c>
      <c r="I267" s="7">
        <f>IFERROR(INDEX('Master data'!$B$2:$CL$1000,MATCH($B267,'Master data'!$A$2:$A$1000,0),MATCH(I$1,'Master data'!$B$1:$CL$1,0)),"")</f>
        <v>-18548.304397007025</v>
      </c>
      <c r="J267" s="7">
        <f>IFERROR(INDEX('Master data'!$B$2:$CL$1000,MATCH($B267,'Master data'!$A$2:$A$1000,0),MATCH(J$1,'Master data'!$B$1:$CL$1,0)),"")</f>
        <v>-9095.4258146197299</v>
      </c>
      <c r="K267" s="7">
        <f>IFERROR(INDEX('Master data'!$B$2:$CL$1000,MATCH($B267,'Master data'!$A$2:$A$1000,0),MATCH(K$1,'Master data'!$B$1:$CL$1,0)),"")</f>
        <v>-4388.197398163813</v>
      </c>
      <c r="L267" s="7">
        <f>IFERROR(INDEX('Master data'!$B$2:$CL$1000,MATCH($B267,'Master data'!$A$2:$A$1000,0),MATCH(L$1,'Master data'!$B$1:$CL$1,0)),"")</f>
        <v>-1996.1896734281838</v>
      </c>
      <c r="M267" s="5">
        <f>IFERROR(INDEX('Master data'!$B$2:$CL$1000,MATCH($B267,'Master data'!$A$2:$A$1000,0),MATCH(M$1,'Master data'!$B$1:$CL$1,0)),"")</f>
        <v>-18601.094864721385</v>
      </c>
      <c r="N267" s="28">
        <f>IFERROR(INDEX('Master data'!$B$2:$CL$1000,MATCH($B267,'Master data'!$A$2:$A$1000,0),MATCH(N$1,'Master data'!$B$1:$CL$1,0)),"")</f>
        <v>-7.4999999999999997E-3</v>
      </c>
      <c r="O267" s="7">
        <f>IFERROR(INDEX('Master data'!$B$2:$CL$1000,MATCH($B267,'Master data'!$A$2:$A$1000,0),MATCH(O$1,'Master data'!$B$1:$CL$1,0)),"")</f>
        <v>0</v>
      </c>
      <c r="P267" s="5">
        <f>IFERROR(INDEX('Master data'!$B$2:$CL$1000,MATCH($B267,'Master data'!$A$2:$A$1000,0),MATCH(P$1,'Master data'!$B$1:$CL$1,0)),"")</f>
        <v>2000000</v>
      </c>
      <c r="Q267" s="5">
        <f>IFERROR(INDEX('Master data'!$B$2:$CL$1000,MATCH($B267,'Master data'!$A$2:$A$1000,0),MATCH(Q$1,'Master data'!$B$1:$CL$1,0)),"")</f>
        <v>2000000</v>
      </c>
    </row>
    <row r="268" spans="1:17" hidden="1">
      <c r="A268">
        <f t="shared" si="4"/>
        <v>266</v>
      </c>
      <c r="B268" t="str">
        <f>IF('Master data'!A268="","",'Master data'!A268)</f>
        <v>Yevhen Makarenko</v>
      </c>
      <c r="C268" t="str">
        <f>IFERROR(INDEX('Master data'!$B$2:$CL$1000,MATCH($B268,'Master data'!$A$2:$A$1000,0),MATCH(C$1,'Master data'!$B$1:$CL$1,0)),"")</f>
        <v>Ukraine</v>
      </c>
      <c r="D268" t="str">
        <f>IFERROR(INDEX('Master data'!$B$2:$CL$1000,MATCH($B268,'Master data'!$A$2:$A$1000,0),MATCH(D$1,'Master data'!$B$1:$CL$1,0)),"")</f>
        <v>Midfield</v>
      </c>
      <c r="E268" s="5">
        <f>IFERROR(INDEX('Master data'!$B$2:$CL$1000,MATCH($B268,'Master data'!$A$2:$A$1000,0),MATCH(E$1,'Master data'!$B$1:$CL$1,0)),"")</f>
        <v>2500000</v>
      </c>
      <c r="F268" s="7">
        <f>IFERROR(INDEX('Master data'!$B$2:$CL$1000,MATCH($B268,'Master data'!$A$2:$A$1000,0),MATCH(F$1,'Master data'!$B$1:$CL$1,0)),"")</f>
        <v>-5000</v>
      </c>
      <c r="G268" s="7">
        <f>IFERROR(INDEX('Master data'!$B$2:$CL$1000,MATCH($B268,'Master data'!$A$2:$A$1000,0),MATCH(G$1,'Master data'!$B$1:$CL$1,0)),"")</f>
        <v>-5000</v>
      </c>
      <c r="H268" s="7">
        <f>IFERROR(INDEX('Master data'!$B$2:$CL$1000,MATCH($B268,'Master data'!$A$2:$A$1000,0),MATCH(H$1,'Master data'!$B$1:$CL$1,0)),"")</f>
        <v>-5000</v>
      </c>
      <c r="I268" s="7">
        <f>IFERROR(INDEX('Master data'!$B$2:$CL$1000,MATCH($B268,'Master data'!$A$2:$A$1000,0),MATCH(I$1,'Master data'!$B$1:$CL$1,0)),"")</f>
        <v>-22280.357595599988</v>
      </c>
      <c r="J268" s="7">
        <f>IFERROR(INDEX('Master data'!$B$2:$CL$1000,MATCH($B268,'Master data'!$A$2:$A$1000,0),MATCH(J$1,'Master data'!$B$1:$CL$1,0)),"")</f>
        <v>-10929.18101918016</v>
      </c>
      <c r="K268" s="7">
        <f>IFERROR(INDEX('Master data'!$B$2:$CL$1000,MATCH($B268,'Master data'!$A$2:$A$1000,0),MATCH(K$1,'Master data'!$B$1:$CL$1,0)),"")</f>
        <v>-5274.7019230453916</v>
      </c>
      <c r="L268" s="7">
        <f>IFERROR(INDEX('Master data'!$B$2:$CL$1000,MATCH($B268,'Master data'!$A$2:$A$1000,0),MATCH(L$1,'Master data'!$B$1:$CL$1,0)),"")</f>
        <v>-2400.2766518549415</v>
      </c>
      <c r="M268" s="5">
        <f>IFERROR(INDEX('Master data'!$B$2:$CL$1000,MATCH($B268,'Master data'!$A$2:$A$1000,0),MATCH(M$1,'Master data'!$B$1:$CL$1,0)),"")</f>
        <v>-20221.328391965177</v>
      </c>
      <c r="N268" s="28">
        <f>IFERROR(INDEX('Master data'!$B$2:$CL$1000,MATCH($B268,'Master data'!$A$2:$A$1000,0),MATCH(N$1,'Master data'!$B$1:$CL$1,0)),"")</f>
        <v>-6.0000000000000001E-3</v>
      </c>
      <c r="O268" s="7">
        <f>IFERROR(INDEX('Master data'!$B$2:$CL$1000,MATCH($B268,'Master data'!$A$2:$A$1000,0),MATCH(O$1,'Master data'!$B$1:$CL$1,0)),"")</f>
        <v>0</v>
      </c>
      <c r="P268" s="5">
        <f>IFERROR(INDEX('Master data'!$B$2:$CL$1000,MATCH($B268,'Master data'!$A$2:$A$1000,0),MATCH(P$1,'Master data'!$B$1:$CL$1,0)),"")</f>
        <v>2500000</v>
      </c>
      <c r="Q268" s="5">
        <f>IFERROR(INDEX('Master data'!$B$2:$CL$1000,MATCH($B268,'Master data'!$A$2:$A$1000,0),MATCH(Q$1,'Master data'!$B$1:$CL$1,0)),"")</f>
        <v>2500000</v>
      </c>
    </row>
    <row r="269" spans="1:17" hidden="1">
      <c r="A269">
        <f t="shared" si="4"/>
        <v>267</v>
      </c>
      <c r="B269" t="str">
        <f>IF('Master data'!A269="","",'Master data'!A269)</f>
        <v>Viktor Tsygankov</v>
      </c>
      <c r="C269" t="str">
        <f>IFERROR(INDEX('Master data'!$B$2:$CL$1000,MATCH($B269,'Master data'!$A$2:$A$1000,0),MATCH(C$1,'Master data'!$B$1:$CL$1,0)),"")</f>
        <v>Ukraine</v>
      </c>
      <c r="D269" t="str">
        <f>IFERROR(INDEX('Master data'!$B$2:$CL$1000,MATCH($B269,'Master data'!$A$2:$A$1000,0),MATCH(D$1,'Master data'!$B$1:$CL$1,0)),"")</f>
        <v>Midfield</v>
      </c>
      <c r="E269" s="5">
        <f>IFERROR(INDEX('Master data'!$B$2:$CL$1000,MATCH($B269,'Master data'!$A$2:$A$1000,0),MATCH(E$1,'Master data'!$B$1:$CL$1,0)),"")</f>
        <v>3000000</v>
      </c>
      <c r="F269" s="7">
        <f>IFERROR(INDEX('Master data'!$B$2:$CL$1000,MATCH($B269,'Master data'!$A$2:$A$1000,0),MATCH(F$1,'Master data'!$B$1:$CL$1,0)),"")</f>
        <v>9254.9629268727476</v>
      </c>
      <c r="G269" s="7">
        <f>IFERROR(INDEX('Master data'!$B$2:$CL$1000,MATCH($B269,'Master data'!$A$2:$A$1000,0),MATCH(G$1,'Master data'!$B$1:$CL$1,0)),"")</f>
        <v>52506.778197250191</v>
      </c>
      <c r="H269" s="7">
        <f>IFERROR(INDEX('Master data'!$B$2:$CL$1000,MATCH($B269,'Master data'!$A$2:$A$1000,0),MATCH(H$1,'Master data'!$B$1:$CL$1,0)),"")</f>
        <v>30301.71795432271</v>
      </c>
      <c r="I269" s="7">
        <f>IFERROR(INDEX('Master data'!$B$2:$CL$1000,MATCH($B269,'Master data'!$A$2:$A$1000,0),MATCH(I$1,'Master data'!$B$1:$CL$1,0)),"")</f>
        <v>-173.77551692923763</v>
      </c>
      <c r="J269" s="7">
        <f>IFERROR(INDEX('Master data'!$B$2:$CL$1000,MATCH($B269,'Master data'!$A$2:$A$1000,0),MATCH(J$1,'Master data'!$B$1:$CL$1,0)),"")</f>
        <v>-197.93300432668275</v>
      </c>
      <c r="K269" s="7">
        <f>IFERROR(INDEX('Master data'!$B$2:$CL$1000,MATCH($B269,'Master data'!$A$2:$A$1000,0),MATCH(K$1,'Master data'!$B$1:$CL$1,0)),"")</f>
        <v>-150.0978561676371</v>
      </c>
      <c r="L269" s="7">
        <f>IFERROR(INDEX('Master data'!$B$2:$CL$1000,MATCH($B269,'Master data'!$A$2:$A$1000,0),MATCH(L$1,'Master data'!$B$1:$CL$1,0)),"")</f>
        <v>-93.218783735673682</v>
      </c>
      <c r="M269" s="5">
        <f>IFERROR(INDEX('Master data'!$B$2:$CL$1000,MATCH($B269,'Master data'!$A$2:$A$1000,0),MATCH(M$1,'Master data'!$B$1:$CL$1,0)),"")</f>
        <v>57608.375218276335</v>
      </c>
      <c r="N269" s="28">
        <f>IFERROR(INDEX('Master data'!$B$2:$CL$1000,MATCH($B269,'Master data'!$A$2:$A$1000,0),MATCH(N$1,'Master data'!$B$1:$CL$1,0)),"")</f>
        <v>3.0687819692815217E-2</v>
      </c>
      <c r="O269" s="7">
        <f>IFERROR(INDEX('Master data'!$B$2:$CL$1000,MATCH($B269,'Master data'!$A$2:$A$1000,0),MATCH(O$1,'Master data'!$B$1:$CL$1,0)),"")</f>
        <v>0</v>
      </c>
      <c r="P269" s="5">
        <f>IFERROR(INDEX('Master data'!$B$2:$CL$1000,MATCH($B269,'Master data'!$A$2:$A$1000,0),MATCH(P$1,'Master data'!$B$1:$CL$1,0)),"")</f>
        <v>3000000</v>
      </c>
      <c r="Q269" s="5">
        <f>IFERROR(INDEX('Master data'!$B$2:$CL$1000,MATCH($B269,'Master data'!$A$2:$A$1000,0),MATCH(Q$1,'Master data'!$B$1:$CL$1,0)),"")</f>
        <v>3000000</v>
      </c>
    </row>
    <row r="270" spans="1:17" hidden="1">
      <c r="A270">
        <f t="shared" si="4"/>
        <v>268</v>
      </c>
      <c r="B270" t="str">
        <f>IF('Master data'!A270="","",'Master data'!A270)</f>
        <v>Artem Dovbyk</v>
      </c>
      <c r="C270" t="str">
        <f>IFERROR(INDEX('Master data'!$B$2:$CL$1000,MATCH($B270,'Master data'!$A$2:$A$1000,0),MATCH(C$1,'Master data'!$B$1:$CL$1,0)),"")</f>
        <v>Ukraine</v>
      </c>
      <c r="D270" t="str">
        <f>IFERROR(INDEX('Master data'!$B$2:$CL$1000,MATCH($B270,'Master data'!$A$2:$A$1000,0),MATCH(D$1,'Master data'!$B$1:$CL$1,0)),"")</f>
        <v>Striker</v>
      </c>
      <c r="E270" s="5">
        <f>IFERROR(INDEX('Master data'!$B$2:$CL$1000,MATCH($B270,'Master data'!$A$2:$A$1000,0),MATCH(E$1,'Master data'!$B$1:$CL$1,0)),"")</f>
        <v>2500000</v>
      </c>
      <c r="F270" s="7">
        <f>IFERROR(INDEX('Master data'!$B$2:$CL$1000,MATCH($B270,'Master data'!$A$2:$A$1000,0),MATCH(F$1,'Master data'!$B$1:$CL$1,0)),"")</f>
        <v>-5000</v>
      </c>
      <c r="G270" s="7">
        <f>IFERROR(INDEX('Master data'!$B$2:$CL$1000,MATCH($B270,'Master data'!$A$2:$A$1000,0),MATCH(G$1,'Master data'!$B$1:$CL$1,0)),"")</f>
        <v>-5000</v>
      </c>
      <c r="H270" s="7">
        <f>IFERROR(INDEX('Master data'!$B$2:$CL$1000,MATCH($B270,'Master data'!$A$2:$A$1000,0),MATCH(H$1,'Master data'!$B$1:$CL$1,0)),"")</f>
        <v>-5000</v>
      </c>
      <c r="I270" s="7">
        <f>IFERROR(INDEX('Master data'!$B$2:$CL$1000,MATCH($B270,'Master data'!$A$2:$A$1000,0),MATCH(I$1,'Master data'!$B$1:$CL$1,0)),"")</f>
        <v>-22280.357595599988</v>
      </c>
      <c r="J270" s="7">
        <f>IFERROR(INDEX('Master data'!$B$2:$CL$1000,MATCH($B270,'Master data'!$A$2:$A$1000,0),MATCH(J$1,'Master data'!$B$1:$CL$1,0)),"")</f>
        <v>-10929.18101918016</v>
      </c>
      <c r="K270" s="7">
        <f>IFERROR(INDEX('Master data'!$B$2:$CL$1000,MATCH($B270,'Master data'!$A$2:$A$1000,0),MATCH(K$1,'Master data'!$B$1:$CL$1,0)),"")</f>
        <v>-5274.7019230453916</v>
      </c>
      <c r="L270" s="7">
        <f>IFERROR(INDEX('Master data'!$B$2:$CL$1000,MATCH($B270,'Master data'!$A$2:$A$1000,0),MATCH(L$1,'Master data'!$B$1:$CL$1,0)),"")</f>
        <v>-2400.2766518549415</v>
      </c>
      <c r="M270" s="5">
        <f>IFERROR(INDEX('Master data'!$B$2:$CL$1000,MATCH($B270,'Master data'!$A$2:$A$1000,0),MATCH(M$1,'Master data'!$B$1:$CL$1,0)),"")</f>
        <v>-20221.328391965177</v>
      </c>
      <c r="N270" s="28">
        <f>IFERROR(INDEX('Master data'!$B$2:$CL$1000,MATCH($B270,'Master data'!$A$2:$A$1000,0),MATCH(N$1,'Master data'!$B$1:$CL$1,0)),"")</f>
        <v>-6.0000000000000001E-3</v>
      </c>
      <c r="O270" s="7">
        <f>IFERROR(INDEX('Master data'!$B$2:$CL$1000,MATCH($B270,'Master data'!$A$2:$A$1000,0),MATCH(O$1,'Master data'!$B$1:$CL$1,0)),"")</f>
        <v>0</v>
      </c>
      <c r="P270" s="5">
        <f>IFERROR(INDEX('Master data'!$B$2:$CL$1000,MATCH($B270,'Master data'!$A$2:$A$1000,0),MATCH(P$1,'Master data'!$B$1:$CL$1,0)),"")</f>
        <v>2500000</v>
      </c>
      <c r="Q270" s="5">
        <f>IFERROR(INDEX('Master data'!$B$2:$CL$1000,MATCH($B270,'Master data'!$A$2:$A$1000,0),MATCH(Q$1,'Master data'!$B$1:$CL$1,0)),"")</f>
        <v>2500000</v>
      </c>
    </row>
    <row r="271" spans="1:17" hidden="1">
      <c r="A271">
        <f t="shared" si="4"/>
        <v>269</v>
      </c>
      <c r="B271" t="str">
        <f>IF('Master data'!A271="","",'Master data'!A271)</f>
        <v>Artem Besedin</v>
      </c>
      <c r="C271" t="str">
        <f>IFERROR(INDEX('Master data'!$B$2:$CL$1000,MATCH($B271,'Master data'!$A$2:$A$1000,0),MATCH(C$1,'Master data'!$B$1:$CL$1,0)),"")</f>
        <v>Ukraine</v>
      </c>
      <c r="D271" t="str">
        <f>IFERROR(INDEX('Master data'!$B$2:$CL$1000,MATCH($B271,'Master data'!$A$2:$A$1000,0),MATCH(D$1,'Master data'!$B$1:$CL$1,0)),"")</f>
        <v>Striker</v>
      </c>
      <c r="E271" s="5">
        <f>IFERROR(INDEX('Master data'!$B$2:$CL$1000,MATCH($B271,'Master data'!$A$2:$A$1000,0),MATCH(E$1,'Master data'!$B$1:$CL$1,0)),"")</f>
        <v>2000000</v>
      </c>
      <c r="F271" s="7">
        <f>IFERROR(INDEX('Master data'!$B$2:$CL$1000,MATCH($B271,'Master data'!$A$2:$A$1000,0),MATCH(F$1,'Master data'!$B$1:$CL$1,0)),"")</f>
        <v>-5000</v>
      </c>
      <c r="G271" s="7">
        <f>IFERROR(INDEX('Master data'!$B$2:$CL$1000,MATCH($B271,'Master data'!$A$2:$A$1000,0),MATCH(G$1,'Master data'!$B$1:$CL$1,0)),"")</f>
        <v>-5000</v>
      </c>
      <c r="H271" s="7">
        <f>IFERROR(INDEX('Master data'!$B$2:$CL$1000,MATCH($B271,'Master data'!$A$2:$A$1000,0),MATCH(H$1,'Master data'!$B$1:$CL$1,0)),"")</f>
        <v>-5000</v>
      </c>
      <c r="I271" s="7">
        <f>IFERROR(INDEX('Master data'!$B$2:$CL$1000,MATCH($B271,'Master data'!$A$2:$A$1000,0),MATCH(I$1,'Master data'!$B$1:$CL$1,0)),"")</f>
        <v>-18548.304397007025</v>
      </c>
      <c r="J271" s="7">
        <f>IFERROR(INDEX('Master data'!$B$2:$CL$1000,MATCH($B271,'Master data'!$A$2:$A$1000,0),MATCH(J$1,'Master data'!$B$1:$CL$1,0)),"")</f>
        <v>-9095.4258146197299</v>
      </c>
      <c r="K271" s="7">
        <f>IFERROR(INDEX('Master data'!$B$2:$CL$1000,MATCH($B271,'Master data'!$A$2:$A$1000,0),MATCH(K$1,'Master data'!$B$1:$CL$1,0)),"")</f>
        <v>-4388.197398163813</v>
      </c>
      <c r="L271" s="7">
        <f>IFERROR(INDEX('Master data'!$B$2:$CL$1000,MATCH($B271,'Master data'!$A$2:$A$1000,0),MATCH(L$1,'Master data'!$B$1:$CL$1,0)),"")</f>
        <v>-1996.1896734281838</v>
      </c>
      <c r="M271" s="5">
        <f>IFERROR(INDEX('Master data'!$B$2:$CL$1000,MATCH($B271,'Master data'!$A$2:$A$1000,0),MATCH(M$1,'Master data'!$B$1:$CL$1,0)),"")</f>
        <v>-18601.094864721385</v>
      </c>
      <c r="N271" s="28">
        <f>IFERROR(INDEX('Master data'!$B$2:$CL$1000,MATCH($B271,'Master data'!$A$2:$A$1000,0),MATCH(N$1,'Master data'!$B$1:$CL$1,0)),"")</f>
        <v>-7.4999999999999997E-3</v>
      </c>
      <c r="O271" s="7">
        <f>IFERROR(INDEX('Master data'!$B$2:$CL$1000,MATCH($B271,'Master data'!$A$2:$A$1000,0),MATCH(O$1,'Master data'!$B$1:$CL$1,0)),"")</f>
        <v>0</v>
      </c>
      <c r="P271" s="5">
        <f>IFERROR(INDEX('Master data'!$B$2:$CL$1000,MATCH($B271,'Master data'!$A$2:$A$1000,0),MATCH(P$1,'Master data'!$B$1:$CL$1,0)),"")</f>
        <v>2000000</v>
      </c>
      <c r="Q271" s="5">
        <f>IFERROR(INDEX('Master data'!$B$2:$CL$1000,MATCH($B271,'Master data'!$A$2:$A$1000,0),MATCH(Q$1,'Master data'!$B$1:$CL$1,0)),"")</f>
        <v>2000000</v>
      </c>
    </row>
    <row r="272" spans="1:17" hidden="1">
      <c r="A272">
        <f t="shared" si="4"/>
        <v>270</v>
      </c>
      <c r="B272" t="str">
        <f>IF('Master data'!A272="","",'Master data'!A272)</f>
        <v>Kieran Tierney</v>
      </c>
      <c r="C272" t="str">
        <f>IFERROR(INDEX('Master data'!$B$2:$CL$1000,MATCH($B272,'Master data'!$A$2:$A$1000,0),MATCH(C$1,'Master data'!$B$1:$CL$1,0)),"")</f>
        <v>Scotland</v>
      </c>
      <c r="D272" t="str">
        <f>IFERROR(INDEX('Master data'!$B$2:$CL$1000,MATCH($B272,'Master data'!$A$2:$A$1000,0),MATCH(D$1,'Master data'!$B$1:$CL$1,0)),"")</f>
        <v>Defense</v>
      </c>
      <c r="E272" s="5">
        <f>IFERROR(INDEX('Master data'!$B$2:$CL$1000,MATCH($B272,'Master data'!$A$2:$A$1000,0),MATCH(E$1,'Master data'!$B$1:$CL$1,0)),"")</f>
        <v>3000000</v>
      </c>
      <c r="F272" s="7">
        <f>IFERROR(INDEX('Master data'!$B$2:$CL$1000,MATCH($B272,'Master data'!$A$2:$A$1000,0),MATCH(F$1,'Master data'!$B$1:$CL$1,0)),"")</f>
        <v>45274.63435885551</v>
      </c>
      <c r="G272" s="7">
        <f>IFERROR(INDEX('Master data'!$B$2:$CL$1000,MATCH($B272,'Master data'!$A$2:$A$1000,0),MATCH(G$1,'Master data'!$B$1:$CL$1,0)),"")</f>
        <v>6709.379994701987</v>
      </c>
      <c r="H272" s="7">
        <f>IFERROR(INDEX('Master data'!$B$2:$CL$1000,MATCH($B272,'Master data'!$A$2:$A$1000,0),MATCH(H$1,'Master data'!$B$1:$CL$1,0)),"")</f>
        <v>25105.498670846544</v>
      </c>
      <c r="I272" s="7">
        <f>IFERROR(INDEX('Master data'!$B$2:$CL$1000,MATCH($B272,'Master data'!$A$2:$A$1000,0),MATCH(I$1,'Master data'!$B$1:$CL$1,0)),"")</f>
        <v>-2093.9462657610306</v>
      </c>
      <c r="J272" s="7">
        <f>IFERROR(INDEX('Master data'!$B$2:$CL$1000,MATCH($B272,'Master data'!$A$2:$A$1000,0),MATCH(J$1,'Master data'!$B$1:$CL$1,0)),"")</f>
        <v>-1080.6515720036609</v>
      </c>
      <c r="K272" s="7">
        <f>IFERROR(INDEX('Master data'!$B$2:$CL$1000,MATCH($B272,'Master data'!$A$2:$A$1000,0),MATCH(K$1,'Master data'!$B$1:$CL$1,0)),"")</f>
        <v>-547.28931693841275</v>
      </c>
      <c r="L272" s="7">
        <f>IFERROR(INDEX('Master data'!$B$2:$CL$1000,MATCH($B272,'Master data'!$A$2:$A$1000,0),MATCH(L$1,'Master data'!$B$1:$CL$1,0)),"")</f>
        <v>-260.49368520066935</v>
      </c>
      <c r="M272" s="5">
        <f>IFERROR(INDEX('Master data'!$B$2:$CL$1000,MATCH($B272,'Master data'!$A$2:$A$1000,0),MATCH(M$1,'Master data'!$B$1:$CL$1,0)),"")</f>
        <v>59976.723051211622</v>
      </c>
      <c r="N272" s="28">
        <f>IFERROR(INDEX('Master data'!$B$2:$CL$1000,MATCH($B272,'Master data'!$A$2:$A$1000,0),MATCH(N$1,'Master data'!$B$1:$CL$1,0)),"")</f>
        <v>2.5696504341468012E-2</v>
      </c>
      <c r="O272" s="7">
        <f>IFERROR(INDEX('Master data'!$B$2:$CL$1000,MATCH($B272,'Master data'!$A$2:$A$1000,0),MATCH(O$1,'Master data'!$B$1:$CL$1,0)),"")</f>
        <v>0</v>
      </c>
      <c r="P272" s="5">
        <f>IFERROR(INDEX('Master data'!$B$2:$CL$1000,MATCH($B272,'Master data'!$A$2:$A$1000,0),MATCH(P$1,'Master data'!$B$1:$CL$1,0)),"")</f>
        <v>3000000</v>
      </c>
      <c r="Q272" s="5">
        <f>IFERROR(INDEX('Master data'!$B$2:$CL$1000,MATCH($B272,'Master data'!$A$2:$A$1000,0),MATCH(Q$1,'Master data'!$B$1:$CL$1,0)),"")</f>
        <v>3000000</v>
      </c>
    </row>
    <row r="273" spans="1:17" hidden="1">
      <c r="A273">
        <f t="shared" si="4"/>
        <v>271</v>
      </c>
      <c r="B273" t="str">
        <f>IF('Master data'!A273="","",'Master data'!A273)</f>
        <v>Andrew Robertson</v>
      </c>
      <c r="C273" t="str">
        <f>IFERROR(INDEX('Master data'!$B$2:$CL$1000,MATCH($B273,'Master data'!$A$2:$A$1000,0),MATCH(C$1,'Master data'!$B$1:$CL$1,0)),"")</f>
        <v>Scotland</v>
      </c>
      <c r="D273" t="str">
        <f>IFERROR(INDEX('Master data'!$B$2:$CL$1000,MATCH($B273,'Master data'!$A$2:$A$1000,0),MATCH(D$1,'Master data'!$B$1:$CL$1,0)),"")</f>
        <v>Defense</v>
      </c>
      <c r="E273" s="5">
        <f>IFERROR(INDEX('Master data'!$B$2:$CL$1000,MATCH($B273,'Master data'!$A$2:$A$1000,0),MATCH(E$1,'Master data'!$B$1:$CL$1,0)),"")</f>
        <v>3500000</v>
      </c>
      <c r="F273" s="7">
        <f>IFERROR(INDEX('Master data'!$B$2:$CL$1000,MATCH($B273,'Master data'!$A$2:$A$1000,0),MATCH(F$1,'Master data'!$B$1:$CL$1,0)),"")</f>
        <v>46316.13700742738</v>
      </c>
      <c r="G273" s="7">
        <f>IFERROR(INDEX('Master data'!$B$2:$CL$1000,MATCH($B273,'Master data'!$A$2:$A$1000,0),MATCH(G$1,'Master data'!$B$1:$CL$1,0)),"")</f>
        <v>7747.8276149136109</v>
      </c>
      <c r="H273" s="7">
        <f>IFERROR(INDEX('Master data'!$B$2:$CL$1000,MATCH($B273,'Master data'!$A$2:$A$1000,0),MATCH(H$1,'Master data'!$B$1:$CL$1,0)),"")</f>
        <v>26145.323402129507</v>
      </c>
      <c r="I273" s="7">
        <f>IFERROR(INDEX('Master data'!$B$2:$CL$1000,MATCH($B273,'Master data'!$A$2:$A$1000,0),MATCH(I$1,'Master data'!$B$1:$CL$1,0)),"")</f>
        <v>-3740.944106159352</v>
      </c>
      <c r="J273" s="7">
        <f>IFERROR(INDEX('Master data'!$B$2:$CL$1000,MATCH($B273,'Master data'!$A$2:$A$1000,0),MATCH(J$1,'Master data'!$B$1:$CL$1,0)),"")</f>
        <v>-1891.7797865770081</v>
      </c>
      <c r="K273" s="7">
        <f>IFERROR(INDEX('Master data'!$B$2:$CL$1000,MATCH($B273,'Master data'!$A$2:$A$1000,0),MATCH(K$1,'Master data'!$B$1:$CL$1,0)),"")</f>
        <v>-940.20944138838092</v>
      </c>
      <c r="L273" s="7">
        <f>IFERROR(INDEX('Master data'!$B$2:$CL$1000,MATCH($B273,'Master data'!$A$2:$A$1000,0),MATCH(L$1,'Master data'!$B$1:$CL$1,0)),"")</f>
        <v>-439.75406333563961</v>
      </c>
      <c r="M273" s="5">
        <f>IFERROR(INDEX('Master data'!$B$2:$CL$1000,MATCH($B273,'Master data'!$A$2:$A$1000,0),MATCH(M$1,'Master data'!$B$1:$CL$1,0)),"")</f>
        <v>61456.966116499665</v>
      </c>
      <c r="N273" s="28">
        <f>IFERROR(INDEX('Master data'!$B$2:$CL$1000,MATCH($B273,'Master data'!$A$2:$A$1000,0),MATCH(N$1,'Master data'!$B$1:$CL$1,0)),"")</f>
        <v>2.2916939435563E-2</v>
      </c>
      <c r="O273" s="7">
        <f>IFERROR(INDEX('Master data'!$B$2:$CL$1000,MATCH($B273,'Master data'!$A$2:$A$1000,0),MATCH(O$1,'Master data'!$B$1:$CL$1,0)),"")</f>
        <v>0</v>
      </c>
      <c r="P273" s="5">
        <f>IFERROR(INDEX('Master data'!$B$2:$CL$1000,MATCH($B273,'Master data'!$A$2:$A$1000,0),MATCH(P$1,'Master data'!$B$1:$CL$1,0)),"")</f>
        <v>3500000</v>
      </c>
      <c r="Q273" s="5">
        <f>IFERROR(INDEX('Master data'!$B$2:$CL$1000,MATCH($B273,'Master data'!$A$2:$A$1000,0),MATCH(Q$1,'Master data'!$B$1:$CL$1,0)),"")</f>
        <v>3500000</v>
      </c>
    </row>
    <row r="274" spans="1:17" hidden="1">
      <c r="A274">
        <f t="shared" si="4"/>
        <v>272</v>
      </c>
      <c r="B274" t="str">
        <f>IF('Master data'!A274="","",'Master data'!A274)</f>
        <v>Ché Adams</v>
      </c>
      <c r="C274" t="str">
        <f>IFERROR(INDEX('Master data'!$B$2:$CL$1000,MATCH($B274,'Master data'!$A$2:$A$1000,0),MATCH(C$1,'Master data'!$B$1:$CL$1,0)),"")</f>
        <v>Scotland</v>
      </c>
      <c r="D274" t="str">
        <f>IFERROR(INDEX('Master data'!$B$2:$CL$1000,MATCH($B274,'Master data'!$A$2:$A$1000,0),MATCH(D$1,'Master data'!$B$1:$CL$1,0)),"")</f>
        <v>Striker</v>
      </c>
      <c r="E274" s="5">
        <f>IFERROR(INDEX('Master data'!$B$2:$CL$1000,MATCH($B274,'Master data'!$A$2:$A$1000,0),MATCH(E$1,'Master data'!$B$1:$CL$1,0)),"")</f>
        <v>3000000</v>
      </c>
      <c r="F274" s="7">
        <f>IFERROR(INDEX('Master data'!$B$2:$CL$1000,MATCH($B274,'Master data'!$A$2:$A$1000,0),MATCH(F$1,'Master data'!$B$1:$CL$1,0)),"")</f>
        <v>-5000</v>
      </c>
      <c r="G274" s="7">
        <f>IFERROR(INDEX('Master data'!$B$2:$CL$1000,MATCH($B274,'Master data'!$A$2:$A$1000,0),MATCH(G$1,'Master data'!$B$1:$CL$1,0)),"")</f>
        <v>-5000</v>
      </c>
      <c r="H274" s="7">
        <f>IFERROR(INDEX('Master data'!$B$2:$CL$1000,MATCH($B274,'Master data'!$A$2:$A$1000,0),MATCH(H$1,'Master data'!$B$1:$CL$1,0)),"")</f>
        <v>-5000</v>
      </c>
      <c r="I274" s="7">
        <f>IFERROR(INDEX('Master data'!$B$2:$CL$1000,MATCH($B274,'Master data'!$A$2:$A$1000,0),MATCH(I$1,'Master data'!$B$1:$CL$1,0)),"")</f>
        <v>-14380.84499191155</v>
      </c>
      <c r="J274" s="7">
        <f>IFERROR(INDEX('Master data'!$B$2:$CL$1000,MATCH($B274,'Master data'!$A$2:$A$1000,0),MATCH(J$1,'Master data'!$B$1:$CL$1,0)),"")</f>
        <v>-7053.8669504403424</v>
      </c>
      <c r="K274" s="7">
        <f>IFERROR(INDEX('Master data'!$B$2:$CL$1000,MATCH($B274,'Master data'!$A$2:$A$1000,0),MATCH(K$1,'Master data'!$B$1:$CL$1,0)),"")</f>
        <v>-3403.2232913879643</v>
      </c>
      <c r="L274" s="7">
        <f>IFERROR(INDEX('Master data'!$B$2:$CL$1000,MATCH($B274,'Master data'!$A$2:$A$1000,0),MATCH(L$1,'Master data'!$B$1:$CL$1,0)),"")</f>
        <v>-1546.3967035471533</v>
      </c>
      <c r="M274" s="5">
        <f>IFERROR(INDEX('Master data'!$B$2:$CL$1000,MATCH($B274,'Master data'!$A$2:$A$1000,0),MATCH(M$1,'Master data'!$B$1:$CL$1,0)),"")</f>
        <v>-16793.824669570047</v>
      </c>
      <c r="N274" s="28">
        <f>IFERROR(INDEX('Master data'!$B$2:$CL$1000,MATCH($B274,'Master data'!$A$2:$A$1000,0),MATCH(N$1,'Master data'!$B$1:$CL$1,0)),"")</f>
        <v>-5.0000000000000001E-3</v>
      </c>
      <c r="O274" s="7">
        <f>IFERROR(INDEX('Master data'!$B$2:$CL$1000,MATCH($B274,'Master data'!$A$2:$A$1000,0),MATCH(O$1,'Master data'!$B$1:$CL$1,0)),"")</f>
        <v>0</v>
      </c>
      <c r="P274" s="5">
        <f>IFERROR(INDEX('Master data'!$B$2:$CL$1000,MATCH($B274,'Master data'!$A$2:$A$1000,0),MATCH(P$1,'Master data'!$B$1:$CL$1,0)),"")</f>
        <v>3000000</v>
      </c>
      <c r="Q274" s="5">
        <f>IFERROR(INDEX('Master data'!$B$2:$CL$1000,MATCH($B274,'Master data'!$A$2:$A$1000,0),MATCH(Q$1,'Master data'!$B$1:$CL$1,0)),"")</f>
        <v>3000000</v>
      </c>
    </row>
    <row r="275" spans="1:17" hidden="1">
      <c r="A275">
        <f t="shared" si="4"/>
        <v>273</v>
      </c>
      <c r="B275" t="str">
        <f>IF('Master data'!A275="","",'Master data'!A275)</f>
        <v>Lyndon Dykes</v>
      </c>
      <c r="C275" t="str">
        <f>IFERROR(INDEX('Master data'!$B$2:$CL$1000,MATCH($B275,'Master data'!$A$2:$A$1000,0),MATCH(C$1,'Master data'!$B$1:$CL$1,0)),"")</f>
        <v>Scotland</v>
      </c>
      <c r="D275" t="str">
        <f>IFERROR(INDEX('Master data'!$B$2:$CL$1000,MATCH($B275,'Master data'!$A$2:$A$1000,0),MATCH(D$1,'Master data'!$B$1:$CL$1,0)),"")</f>
        <v>Striker</v>
      </c>
      <c r="E275" s="5">
        <f>IFERROR(INDEX('Master data'!$B$2:$CL$1000,MATCH($B275,'Master data'!$A$2:$A$1000,0),MATCH(E$1,'Master data'!$B$1:$CL$1,0)),"")</f>
        <v>2500000</v>
      </c>
      <c r="F275" s="7">
        <f>IFERROR(INDEX('Master data'!$B$2:$CL$1000,MATCH($B275,'Master data'!$A$2:$A$1000,0),MATCH(F$1,'Master data'!$B$1:$CL$1,0)),"")</f>
        <v>42035.969206383568</v>
      </c>
      <c r="G275" s="7">
        <f>IFERROR(INDEX('Master data'!$B$2:$CL$1000,MATCH($B275,'Master data'!$A$2:$A$1000,0),MATCH(G$1,'Master data'!$B$1:$CL$1,0)),"")</f>
        <v>9239.8775607884781</v>
      </c>
      <c r="H275" s="7">
        <f>IFERROR(INDEX('Master data'!$B$2:$CL$1000,MATCH($B275,'Master data'!$A$2:$A$1000,0),MATCH(H$1,'Master data'!$B$1:$CL$1,0)),"")</f>
        <v>25357.647108388992</v>
      </c>
      <c r="I275" s="7">
        <f>IFERROR(INDEX('Master data'!$B$2:$CL$1000,MATCH($B275,'Master data'!$A$2:$A$1000,0),MATCH(I$1,'Master data'!$B$1:$CL$1,0)),"")</f>
        <v>-91.540982101494549</v>
      </c>
      <c r="J275" s="7">
        <f>IFERROR(INDEX('Master data'!$B$2:$CL$1000,MATCH($B275,'Master data'!$A$2:$A$1000,0),MATCH(J$1,'Master data'!$B$1:$CL$1,0)),"")</f>
        <v>-96.743777081005931</v>
      </c>
      <c r="K275" s="7">
        <f>IFERROR(INDEX('Master data'!$B$2:$CL$1000,MATCH($B275,'Master data'!$A$2:$A$1000,0),MATCH(K$1,'Master data'!$B$1:$CL$1,0)),"")</f>
        <v>-71.759234141375828</v>
      </c>
      <c r="L275" s="7">
        <f>IFERROR(INDEX('Master data'!$B$2:$CL$1000,MATCH($B275,'Master data'!$A$2:$A$1000,0),MATCH(L$1,'Master data'!$B$1:$CL$1,0)),"")</f>
        <v>-44.037631068165872</v>
      </c>
      <c r="M275" s="5">
        <f>IFERROR(INDEX('Master data'!$B$2:$CL$1000,MATCH($B275,'Master data'!$A$2:$A$1000,0),MATCH(M$1,'Master data'!$B$1:$CL$1,0)),"")</f>
        <v>59406.403920734338</v>
      </c>
      <c r="N275" s="28">
        <f>IFERROR(INDEX('Master data'!$B$2:$CL$1000,MATCH($B275,'Master data'!$A$2:$A$1000,0),MATCH(N$1,'Master data'!$B$1:$CL$1,0)),"")</f>
        <v>3.0653397550224414E-2</v>
      </c>
      <c r="O275" s="7">
        <f>IFERROR(INDEX('Master data'!$B$2:$CL$1000,MATCH($B275,'Master data'!$A$2:$A$1000,0),MATCH(O$1,'Master data'!$B$1:$CL$1,0)),"")</f>
        <v>0</v>
      </c>
      <c r="P275" s="5">
        <f>IFERROR(INDEX('Master data'!$B$2:$CL$1000,MATCH($B275,'Master data'!$A$2:$A$1000,0),MATCH(P$1,'Master data'!$B$1:$CL$1,0)),"")</f>
        <v>2500000</v>
      </c>
      <c r="Q275" s="5">
        <f>IFERROR(INDEX('Master data'!$B$2:$CL$1000,MATCH($B275,'Master data'!$A$2:$A$1000,0),MATCH(Q$1,'Master data'!$B$1:$CL$1,0)),"")</f>
        <v>2500000</v>
      </c>
    </row>
    <row r="276" spans="1:17" hidden="1">
      <c r="A276">
        <f t="shared" si="4"/>
        <v>274</v>
      </c>
      <c r="B276" t="str">
        <f>IF('Master data'!A276="","",'Master data'!A276)</f>
        <v>Vladimir Coufal</v>
      </c>
      <c r="C276" t="str">
        <f>IFERROR(INDEX('Master data'!$B$2:$CL$1000,MATCH($B276,'Master data'!$A$2:$A$1000,0),MATCH(C$1,'Master data'!$B$1:$CL$1,0)),"")</f>
        <v>Czech Republic</v>
      </c>
      <c r="D276" t="str">
        <f>IFERROR(INDEX('Master data'!$B$2:$CL$1000,MATCH($B276,'Master data'!$A$2:$A$1000,0),MATCH(D$1,'Master data'!$B$1:$CL$1,0)),"")</f>
        <v>Defense</v>
      </c>
      <c r="E276" s="5">
        <f>IFERROR(INDEX('Master data'!$B$2:$CL$1000,MATCH($B276,'Master data'!$A$2:$A$1000,0),MATCH(E$1,'Master data'!$B$1:$CL$1,0)),"")</f>
        <v>3000000</v>
      </c>
      <c r="F276" s="7">
        <f>IFERROR(INDEX('Master data'!$B$2:$CL$1000,MATCH($B276,'Master data'!$A$2:$A$1000,0),MATCH(F$1,'Master data'!$B$1:$CL$1,0)),"")</f>
        <v>45823.821393109472</v>
      </c>
      <c r="G276" s="7">
        <f>IFERROR(INDEX('Master data'!$B$2:$CL$1000,MATCH($B276,'Master data'!$A$2:$A$1000,0),MATCH(G$1,'Master data'!$B$1:$CL$1,0)),"")</f>
        <v>31223.089032381329</v>
      </c>
      <c r="H276" s="7">
        <f>IFERROR(INDEX('Master data'!$B$2:$CL$1000,MATCH($B276,'Master data'!$A$2:$A$1000,0),MATCH(H$1,'Master data'!$B$1:$CL$1,0)),"")</f>
        <v>6719.5938737277902</v>
      </c>
      <c r="I276" s="7">
        <f>IFERROR(INDEX('Master data'!$B$2:$CL$1000,MATCH($B276,'Master data'!$A$2:$A$1000,0),MATCH(I$1,'Master data'!$B$1:$CL$1,0)),"")</f>
        <v>-1479.7873981873549</v>
      </c>
      <c r="J276" s="7">
        <f>IFERROR(INDEX('Master data'!$B$2:$CL$1000,MATCH($B276,'Master data'!$A$2:$A$1000,0),MATCH(J$1,'Master data'!$B$1:$CL$1,0)),"")</f>
        <v>-797.11679105146038</v>
      </c>
      <c r="K276" s="7">
        <f>IFERROR(INDEX('Master data'!$B$2:$CL$1000,MATCH($B276,'Master data'!$A$2:$A$1000,0),MATCH(K$1,'Master data'!$B$1:$CL$1,0)),"")</f>
        <v>-419.4355120243336</v>
      </c>
      <c r="L276" s="7">
        <f>IFERROR(INDEX('Master data'!$B$2:$CL$1000,MATCH($B276,'Master data'!$A$2:$A$1000,0),MATCH(L$1,'Master data'!$B$1:$CL$1,0)),"")</f>
        <v>-207.12990671572206</v>
      </c>
      <c r="M276" s="5">
        <f>IFERROR(INDEX('Master data'!$B$2:$CL$1000,MATCH($B276,'Master data'!$A$2:$A$1000,0),MATCH(M$1,'Master data'!$B$1:$CL$1,0)),"")</f>
        <v>68956.371003152162</v>
      </c>
      <c r="N276" s="28">
        <f>IFERROR(INDEX('Master data'!$B$2:$CL$1000,MATCH($B276,'Master data'!$A$2:$A$1000,0),MATCH(N$1,'Master data'!$B$1:$CL$1,0)),"")</f>
        <v>2.792216809973953E-2</v>
      </c>
      <c r="O276" s="7">
        <f>IFERROR(INDEX('Master data'!$B$2:$CL$1000,MATCH($B276,'Master data'!$A$2:$A$1000,0),MATCH(O$1,'Master data'!$B$1:$CL$1,0)),"")</f>
        <v>0</v>
      </c>
      <c r="P276" s="5">
        <f>IFERROR(INDEX('Master data'!$B$2:$CL$1000,MATCH($B276,'Master data'!$A$2:$A$1000,0),MATCH(P$1,'Master data'!$B$1:$CL$1,0)),"")</f>
        <v>3000000</v>
      </c>
      <c r="Q276" s="5">
        <f>IFERROR(INDEX('Master data'!$B$2:$CL$1000,MATCH($B276,'Master data'!$A$2:$A$1000,0),MATCH(Q$1,'Master data'!$B$1:$CL$1,0)),"")</f>
        <v>3000000</v>
      </c>
    </row>
    <row r="277" spans="1:17" hidden="1">
      <c r="A277">
        <f t="shared" si="4"/>
        <v>275</v>
      </c>
      <c r="B277" t="str">
        <f>IF('Master data'!A277="","",'Master data'!A277)</f>
        <v>Antonín Barák</v>
      </c>
      <c r="C277" t="str">
        <f>IFERROR(INDEX('Master data'!$B$2:$CL$1000,MATCH($B277,'Master data'!$A$2:$A$1000,0),MATCH(C$1,'Master data'!$B$1:$CL$1,0)),"")</f>
        <v>Czech Republic</v>
      </c>
      <c r="D277" t="str">
        <f>IFERROR(INDEX('Master data'!$B$2:$CL$1000,MATCH($B277,'Master data'!$A$2:$A$1000,0),MATCH(D$1,'Master data'!$B$1:$CL$1,0)),"")</f>
        <v>Midfield</v>
      </c>
      <c r="E277" s="5">
        <f>IFERROR(INDEX('Master data'!$B$2:$CL$1000,MATCH($B277,'Master data'!$A$2:$A$1000,0),MATCH(E$1,'Master data'!$B$1:$CL$1,0)),"")</f>
        <v>3500000</v>
      </c>
      <c r="F277" s="7">
        <f>IFERROR(INDEX('Master data'!$B$2:$CL$1000,MATCH($B277,'Master data'!$A$2:$A$1000,0),MATCH(F$1,'Master data'!$B$1:$CL$1,0)),"")</f>
        <v>-5000</v>
      </c>
      <c r="G277" s="7">
        <f>IFERROR(INDEX('Master data'!$B$2:$CL$1000,MATCH($B277,'Master data'!$A$2:$A$1000,0),MATCH(G$1,'Master data'!$B$1:$CL$1,0)),"")</f>
        <v>-5000</v>
      </c>
      <c r="H277" s="7">
        <f>IFERROR(INDEX('Master data'!$B$2:$CL$1000,MATCH($B277,'Master data'!$A$2:$A$1000,0),MATCH(H$1,'Master data'!$B$1:$CL$1,0)),"")</f>
        <v>-5000</v>
      </c>
      <c r="I277" s="7">
        <f>IFERROR(INDEX('Master data'!$B$2:$CL$1000,MATCH($B277,'Master data'!$A$2:$A$1000,0),MATCH(I$1,'Master data'!$B$1:$CL$1,0)),"")</f>
        <v>-20226.235515094424</v>
      </c>
      <c r="J277" s="7">
        <f>IFERROR(INDEX('Master data'!$B$2:$CL$1000,MATCH($B277,'Master data'!$A$2:$A$1000,0),MATCH(J$1,'Master data'!$B$1:$CL$1,0)),"")</f>
        <v>-9930.529732112318</v>
      </c>
      <c r="K277" s="7">
        <f>IFERROR(INDEX('Master data'!$B$2:$CL$1000,MATCH($B277,'Master data'!$A$2:$A$1000,0),MATCH(K$1,'Master data'!$B$1:$CL$1,0)),"")</f>
        <v>-4799.3229986661199</v>
      </c>
      <c r="L277" s="7">
        <f>IFERROR(INDEX('Master data'!$B$2:$CL$1000,MATCH($B277,'Master data'!$A$2:$A$1000,0),MATCH(L$1,'Master data'!$B$1:$CL$1,0)),"")</f>
        <v>-2190.9678630315648</v>
      </c>
      <c r="M277" s="5">
        <f>IFERROR(INDEX('Master data'!$B$2:$CL$1000,MATCH($B277,'Master data'!$A$2:$A$1000,0),MATCH(M$1,'Master data'!$B$1:$CL$1,0)),"")</f>
        <v>-19334.458304239415</v>
      </c>
      <c r="N277" s="28">
        <f>IFERROR(INDEX('Master data'!$B$2:$CL$1000,MATCH($B277,'Master data'!$A$2:$A$1000,0),MATCH(N$1,'Master data'!$B$1:$CL$1,0)),"")</f>
        <v>-4.2857142857142859E-3</v>
      </c>
      <c r="O277" s="7">
        <f>IFERROR(INDEX('Master data'!$B$2:$CL$1000,MATCH($B277,'Master data'!$A$2:$A$1000,0),MATCH(O$1,'Master data'!$B$1:$CL$1,0)),"")</f>
        <v>0</v>
      </c>
      <c r="P277" s="5">
        <f>IFERROR(INDEX('Master data'!$B$2:$CL$1000,MATCH($B277,'Master data'!$A$2:$A$1000,0),MATCH(P$1,'Master data'!$B$1:$CL$1,0)),"")</f>
        <v>3500000</v>
      </c>
      <c r="Q277" s="5">
        <f>IFERROR(INDEX('Master data'!$B$2:$CL$1000,MATCH($B277,'Master data'!$A$2:$A$1000,0),MATCH(Q$1,'Master data'!$B$1:$CL$1,0)),"")</f>
        <v>3500000</v>
      </c>
    </row>
    <row r="278" spans="1:17" hidden="1">
      <c r="A278">
        <f t="shared" si="4"/>
        <v>276</v>
      </c>
      <c r="B278" t="str">
        <f>IF('Master data'!A278="","",'Master data'!A278)</f>
        <v>Tomas Soucek</v>
      </c>
      <c r="C278" t="str">
        <f>IFERROR(INDEX('Master data'!$B$2:$CL$1000,MATCH($B278,'Master data'!$A$2:$A$1000,0),MATCH(C$1,'Master data'!$B$1:$CL$1,0)),"")</f>
        <v>Czech Republic</v>
      </c>
      <c r="D278" t="str">
        <f>IFERROR(INDEX('Master data'!$B$2:$CL$1000,MATCH($B278,'Master data'!$A$2:$A$1000,0),MATCH(D$1,'Master data'!$B$1:$CL$1,0)),"")</f>
        <v>Midfield</v>
      </c>
      <c r="E278" s="5">
        <f>IFERROR(INDEX('Master data'!$B$2:$CL$1000,MATCH($B278,'Master data'!$A$2:$A$1000,0),MATCH(E$1,'Master data'!$B$1:$CL$1,0)),"")</f>
        <v>5000000</v>
      </c>
      <c r="F278" s="7">
        <f>IFERROR(INDEX('Master data'!$B$2:$CL$1000,MATCH($B278,'Master data'!$A$2:$A$1000,0),MATCH(F$1,'Master data'!$B$1:$CL$1,0)),"")</f>
        <v>44309.387549183157</v>
      </c>
      <c r="G278" s="7">
        <f>IFERROR(INDEX('Master data'!$B$2:$CL$1000,MATCH($B278,'Master data'!$A$2:$A$1000,0),MATCH(G$1,'Master data'!$B$1:$CL$1,0)),"")</f>
        <v>33588.633407754191</v>
      </c>
      <c r="H278" s="7">
        <f>IFERROR(INDEX('Master data'!$B$2:$CL$1000,MATCH($B278,'Master data'!$A$2:$A$1000,0),MATCH(H$1,'Master data'!$B$1:$CL$1,0)),"")</f>
        <v>13566.482429702479</v>
      </c>
      <c r="I278" s="7">
        <f>IFERROR(INDEX('Master data'!$B$2:$CL$1000,MATCH($B278,'Master data'!$A$2:$A$1000,0),MATCH(I$1,'Master data'!$B$1:$CL$1,0)),"")</f>
        <v>-10367.647161003053</v>
      </c>
      <c r="J278" s="7">
        <f>IFERROR(INDEX('Master data'!$B$2:$CL$1000,MATCH($B278,'Master data'!$A$2:$A$1000,0),MATCH(J$1,'Master data'!$B$1:$CL$1,0)),"")</f>
        <v>-5172.697892089529</v>
      </c>
      <c r="K278" s="7">
        <f>IFERROR(INDEX('Master data'!$B$2:$CL$1000,MATCH($B278,'Master data'!$A$2:$A$1000,0),MATCH(K$1,'Master data'!$B$1:$CL$1,0)),"")</f>
        <v>-2539.867000990324</v>
      </c>
      <c r="L278" s="7">
        <f>IFERROR(INDEX('Master data'!$B$2:$CL$1000,MATCH($B278,'Master data'!$A$2:$A$1000,0),MATCH(L$1,'Master data'!$B$1:$CL$1,0)),"")</f>
        <v>-1177.7761475916152</v>
      </c>
      <c r="M278" s="5">
        <f>IFERROR(INDEX('Master data'!$B$2:$CL$1000,MATCH($B278,'Master data'!$A$2:$A$1000,0),MATCH(M$1,'Master data'!$B$1:$CL$1,0)),"")</f>
        <v>68199.827816142904</v>
      </c>
      <c r="N278" s="28">
        <f>IFERROR(INDEX('Master data'!$B$2:$CL$1000,MATCH($B278,'Master data'!$A$2:$A$1000,0),MATCH(N$1,'Master data'!$B$1:$CL$1,0)),"")</f>
        <v>1.8292900677327962E-2</v>
      </c>
      <c r="O278" s="7">
        <f>IFERROR(INDEX('Master data'!$B$2:$CL$1000,MATCH($B278,'Master data'!$A$2:$A$1000,0),MATCH(O$1,'Master data'!$B$1:$CL$1,0)),"")</f>
        <v>0</v>
      </c>
      <c r="P278" s="5">
        <f>IFERROR(INDEX('Master data'!$B$2:$CL$1000,MATCH($B278,'Master data'!$A$2:$A$1000,0),MATCH(P$1,'Master data'!$B$1:$CL$1,0)),"")</f>
        <v>5000000</v>
      </c>
      <c r="Q278" s="5">
        <f>IFERROR(INDEX('Master data'!$B$2:$CL$1000,MATCH($B278,'Master data'!$A$2:$A$1000,0),MATCH(Q$1,'Master data'!$B$1:$CL$1,0)),"")</f>
        <v>5000000</v>
      </c>
    </row>
    <row r="279" spans="1:17" hidden="1">
      <c r="A279">
        <f t="shared" si="4"/>
        <v>277</v>
      </c>
      <c r="B279" t="str">
        <f>IF('Master data'!A279="","",'Master data'!A279)</f>
        <v>Vladimir Darida</v>
      </c>
      <c r="C279" t="str">
        <f>IFERROR(INDEX('Master data'!$B$2:$CL$1000,MATCH($B279,'Master data'!$A$2:$A$1000,0),MATCH(C$1,'Master data'!$B$1:$CL$1,0)),"")</f>
        <v>Czech Republic</v>
      </c>
      <c r="D279" t="str">
        <f>IFERROR(INDEX('Master data'!$B$2:$CL$1000,MATCH($B279,'Master data'!$A$2:$A$1000,0),MATCH(D$1,'Master data'!$B$1:$CL$1,0)),"")</f>
        <v>Midfield</v>
      </c>
      <c r="E279" s="5">
        <f>IFERROR(INDEX('Master data'!$B$2:$CL$1000,MATCH($B279,'Master data'!$A$2:$A$1000,0),MATCH(E$1,'Master data'!$B$1:$CL$1,0)),"")</f>
        <v>4000000</v>
      </c>
      <c r="F279" s="7">
        <f>IFERROR(INDEX('Master data'!$B$2:$CL$1000,MATCH($B279,'Master data'!$A$2:$A$1000,0),MATCH(F$1,'Master data'!$B$1:$CL$1,0)),"")</f>
        <v>34592.089600148916</v>
      </c>
      <c r="G279" s="7">
        <f>IFERROR(INDEX('Master data'!$B$2:$CL$1000,MATCH($B279,'Master data'!$A$2:$A$1000,0),MATCH(G$1,'Master data'!$B$1:$CL$1,0)),"")</f>
        <v>24553.172473351638</v>
      </c>
      <c r="H279" s="7">
        <f>IFERROR(INDEX('Master data'!$B$2:$CL$1000,MATCH($B279,'Master data'!$A$2:$A$1000,0),MATCH(H$1,'Master data'!$B$1:$CL$1,0)),"")</f>
        <v>5703.8938669554118</v>
      </c>
      <c r="I279" s="7">
        <f>IFERROR(INDEX('Master data'!$B$2:$CL$1000,MATCH($B279,'Master data'!$A$2:$A$1000,0),MATCH(I$1,'Master data'!$B$1:$CL$1,0)),"")</f>
        <v>-9659.9212867819842</v>
      </c>
      <c r="J279" s="7">
        <f>IFERROR(INDEX('Master data'!$B$2:$CL$1000,MATCH($B279,'Master data'!$A$2:$A$1000,0),MATCH(J$1,'Master data'!$B$1:$CL$1,0)),"")</f>
        <v>-4802.6512188538982</v>
      </c>
      <c r="K279" s="7">
        <f>IFERROR(INDEX('Master data'!$B$2:$CL$1000,MATCH($B279,'Master data'!$A$2:$A$1000,0),MATCH(K$1,'Master data'!$B$1:$CL$1,0)),"")</f>
        <v>-2350.0907049750463</v>
      </c>
      <c r="L279" s="7">
        <f>IFERROR(INDEX('Master data'!$B$2:$CL$1000,MATCH($B279,'Master data'!$A$2:$A$1000,0),MATCH(L$1,'Master data'!$B$1:$CL$1,0)),"")</f>
        <v>-1086.1349450053901</v>
      </c>
      <c r="M279" s="5">
        <f>IFERROR(INDEX('Master data'!$B$2:$CL$1000,MATCH($B279,'Master data'!$A$2:$A$1000,0),MATCH(M$1,'Master data'!$B$1:$CL$1,0)),"")</f>
        <v>49280.234068358273</v>
      </c>
      <c r="N279" s="28">
        <f>IFERROR(INDEX('Master data'!$B$2:$CL$1000,MATCH($B279,'Master data'!$A$2:$A$1000,0),MATCH(N$1,'Master data'!$B$1:$CL$1,0)),"")</f>
        <v>1.6212288985113992E-2</v>
      </c>
      <c r="O279" s="7">
        <f>IFERROR(INDEX('Master data'!$B$2:$CL$1000,MATCH($B279,'Master data'!$A$2:$A$1000,0),MATCH(O$1,'Master data'!$B$1:$CL$1,0)),"")</f>
        <v>0</v>
      </c>
      <c r="P279" s="5">
        <f>IFERROR(INDEX('Master data'!$B$2:$CL$1000,MATCH($B279,'Master data'!$A$2:$A$1000,0),MATCH(P$1,'Master data'!$B$1:$CL$1,0)),"")</f>
        <v>4000000</v>
      </c>
      <c r="Q279" s="5">
        <f>IFERROR(INDEX('Master data'!$B$2:$CL$1000,MATCH($B279,'Master data'!$A$2:$A$1000,0),MATCH(Q$1,'Master data'!$B$1:$CL$1,0)),"")</f>
        <v>4000000</v>
      </c>
    </row>
    <row r="280" spans="1:17" hidden="1">
      <c r="A280">
        <f t="shared" si="4"/>
        <v>278</v>
      </c>
      <c r="B280" t="str">
        <f>IF('Master data'!A280="","",'Master data'!A280)</f>
        <v>Patrik Schick</v>
      </c>
      <c r="C280" t="str">
        <f>IFERROR(INDEX('Master data'!$B$2:$CL$1000,MATCH($B280,'Master data'!$A$2:$A$1000,0),MATCH(C$1,'Master data'!$B$1:$CL$1,0)),"")</f>
        <v>Czech Republic</v>
      </c>
      <c r="D280" t="str">
        <f>IFERROR(INDEX('Master data'!$B$2:$CL$1000,MATCH($B280,'Master data'!$A$2:$A$1000,0),MATCH(D$1,'Master data'!$B$1:$CL$1,0)),"")</f>
        <v>Striker</v>
      </c>
      <c r="E280" s="5">
        <f>IFERROR(INDEX('Master data'!$B$2:$CL$1000,MATCH($B280,'Master data'!$A$2:$A$1000,0),MATCH(E$1,'Master data'!$B$1:$CL$1,0)),"")</f>
        <v>4500000</v>
      </c>
      <c r="F280" s="7">
        <f>IFERROR(INDEX('Master data'!$B$2:$CL$1000,MATCH($B280,'Master data'!$A$2:$A$1000,0),MATCH(F$1,'Master data'!$B$1:$CL$1,0)),"")</f>
        <v>56431.044586066571</v>
      </c>
      <c r="G280" s="7">
        <f>IFERROR(INDEX('Master data'!$B$2:$CL$1000,MATCH($B280,'Master data'!$A$2:$A$1000,0),MATCH(G$1,'Master data'!$B$1:$CL$1,0)),"")</f>
        <v>44475.933160582703</v>
      </c>
      <c r="H280" s="7">
        <f>IFERROR(INDEX('Master data'!$B$2:$CL$1000,MATCH($B280,'Master data'!$A$2:$A$1000,0),MATCH(H$1,'Master data'!$B$1:$CL$1,0)),"")</f>
        <v>22330.483616814759</v>
      </c>
      <c r="I280" s="7">
        <f>IFERROR(INDEX('Master data'!$B$2:$CL$1000,MATCH($B280,'Master data'!$A$2:$A$1000,0),MATCH(I$1,'Master data'!$B$1:$CL$1,0)),"")</f>
        <v>-2615.5648201804038</v>
      </c>
      <c r="J280" s="7">
        <f>IFERROR(INDEX('Master data'!$B$2:$CL$1000,MATCH($B280,'Master data'!$A$2:$A$1000,0),MATCH(J$1,'Master data'!$B$1:$CL$1,0)),"")</f>
        <v>-1388.2811609919363</v>
      </c>
      <c r="K280" s="7">
        <f>IFERROR(INDEX('Master data'!$B$2:$CL$1000,MATCH($B280,'Master data'!$A$2:$A$1000,0),MATCH(K$1,'Master data'!$B$1:$CL$1,0)),"")</f>
        <v>-721.38399439807961</v>
      </c>
      <c r="L280" s="7">
        <f>IFERROR(INDEX('Master data'!$B$2:$CL$1000,MATCH($B280,'Master data'!$A$2:$A$1000,0),MATCH(L$1,'Master data'!$B$1:$CL$1,0)),"")</f>
        <v>-352.40892680482023</v>
      </c>
      <c r="M280" s="5">
        <f>IFERROR(INDEX('Master data'!$B$2:$CL$1000,MATCH($B280,'Master data'!$A$2:$A$1000,0),MATCH(M$1,'Master data'!$B$1:$CL$1,0)),"")</f>
        <v>94831.179956123684</v>
      </c>
      <c r="N280" s="28">
        <f>IFERROR(INDEX('Master data'!$B$2:$CL$1000,MATCH($B280,'Master data'!$A$2:$A$1000,0),MATCH(N$1,'Master data'!$B$1:$CL$1,0)),"")</f>
        <v>2.7386102525214229E-2</v>
      </c>
      <c r="O280" s="7">
        <f>IFERROR(INDEX('Master data'!$B$2:$CL$1000,MATCH($B280,'Master data'!$A$2:$A$1000,0),MATCH(O$1,'Master data'!$B$1:$CL$1,0)),"")</f>
        <v>0</v>
      </c>
      <c r="P280" s="5">
        <f>IFERROR(INDEX('Master data'!$B$2:$CL$1000,MATCH($B280,'Master data'!$A$2:$A$1000,0),MATCH(P$1,'Master data'!$B$1:$CL$1,0)),"")</f>
        <v>4500000</v>
      </c>
      <c r="Q280" s="5">
        <f>IFERROR(INDEX('Master data'!$B$2:$CL$1000,MATCH($B280,'Master data'!$A$2:$A$1000,0),MATCH(Q$1,'Master data'!$B$1:$CL$1,0)),"")</f>
        <v>4500000</v>
      </c>
    </row>
    <row r="281" spans="1:17" hidden="1">
      <c r="A281">
        <f t="shared" si="4"/>
        <v>279</v>
      </c>
      <c r="B281" t="str">
        <f>IF('Master data'!A281="","",'Master data'!A281)</f>
        <v>Matěj Vydra</v>
      </c>
      <c r="C281" t="str">
        <f>IFERROR(INDEX('Master data'!$B$2:$CL$1000,MATCH($B281,'Master data'!$A$2:$A$1000,0),MATCH(C$1,'Master data'!$B$1:$CL$1,0)),"")</f>
        <v>Czech Republic</v>
      </c>
      <c r="D281" t="str">
        <f>IFERROR(INDEX('Master data'!$B$2:$CL$1000,MATCH($B281,'Master data'!$A$2:$A$1000,0),MATCH(D$1,'Master data'!$B$1:$CL$1,0)),"")</f>
        <v>Striker</v>
      </c>
      <c r="E281" s="5">
        <f>IFERROR(INDEX('Master data'!$B$2:$CL$1000,MATCH($B281,'Master data'!$A$2:$A$1000,0),MATCH(E$1,'Master data'!$B$1:$CL$1,0)),"")</f>
        <v>2500000</v>
      </c>
      <c r="F281" s="7">
        <f>IFERROR(INDEX('Master data'!$B$2:$CL$1000,MATCH($B281,'Master data'!$A$2:$A$1000,0),MATCH(F$1,'Master data'!$B$1:$CL$1,0)),"")</f>
        <v>-5000</v>
      </c>
      <c r="G281" s="7">
        <f>IFERROR(INDEX('Master data'!$B$2:$CL$1000,MATCH($B281,'Master data'!$A$2:$A$1000,0),MATCH(G$1,'Master data'!$B$1:$CL$1,0)),"")</f>
        <v>-5000</v>
      </c>
      <c r="H281" s="7">
        <f>IFERROR(INDEX('Master data'!$B$2:$CL$1000,MATCH($B281,'Master data'!$A$2:$A$1000,0),MATCH(H$1,'Master data'!$B$1:$CL$1,0)),"")</f>
        <v>-5000</v>
      </c>
      <c r="I281" s="7">
        <f>IFERROR(INDEX('Master data'!$B$2:$CL$1000,MATCH($B281,'Master data'!$A$2:$A$1000,0),MATCH(I$1,'Master data'!$B$1:$CL$1,0)),"")</f>
        <v>-15150.643165007992</v>
      </c>
      <c r="J281" s="7">
        <f>IFERROR(INDEX('Master data'!$B$2:$CL$1000,MATCH($B281,'Master data'!$A$2:$A$1000,0),MATCH(J$1,'Master data'!$B$1:$CL$1,0)),"")</f>
        <v>-7435.4217592197765</v>
      </c>
      <c r="K281" s="7">
        <f>IFERROR(INDEX('Master data'!$B$2:$CL$1000,MATCH($B281,'Master data'!$A$2:$A$1000,0),MATCH(K$1,'Master data'!$B$1:$CL$1,0)),"")</f>
        <v>-3591.9461436557754</v>
      </c>
      <c r="L281" s="7">
        <f>IFERROR(INDEX('Master data'!$B$2:$CL$1000,MATCH($B281,'Master data'!$A$2:$A$1000,0),MATCH(L$1,'Master data'!$B$1:$CL$1,0)),"")</f>
        <v>-1639.0867892200877</v>
      </c>
      <c r="M281" s="5">
        <f>IFERROR(INDEX('Master data'!$B$2:$CL$1000,MATCH($B281,'Master data'!$A$2:$A$1000,0),MATCH(M$1,'Master data'!$B$1:$CL$1,0)),"")</f>
        <v>-17130.271661550636</v>
      </c>
      <c r="N281" s="28">
        <f>IFERROR(INDEX('Master data'!$B$2:$CL$1000,MATCH($B281,'Master data'!$A$2:$A$1000,0),MATCH(N$1,'Master data'!$B$1:$CL$1,0)),"")</f>
        <v>-6.0000000000000001E-3</v>
      </c>
      <c r="O281" s="7">
        <f>IFERROR(INDEX('Master data'!$B$2:$CL$1000,MATCH($B281,'Master data'!$A$2:$A$1000,0),MATCH(O$1,'Master data'!$B$1:$CL$1,0)),"")</f>
        <v>0</v>
      </c>
      <c r="P281" s="5">
        <f>IFERROR(INDEX('Master data'!$B$2:$CL$1000,MATCH($B281,'Master data'!$A$2:$A$1000,0),MATCH(P$1,'Master data'!$B$1:$CL$1,0)),"")</f>
        <v>2500000</v>
      </c>
      <c r="Q281" s="5">
        <f>IFERROR(INDEX('Master data'!$B$2:$CL$1000,MATCH($B281,'Master data'!$A$2:$A$1000,0),MATCH(Q$1,'Master data'!$B$1:$CL$1,0)),"")</f>
        <v>2500000</v>
      </c>
    </row>
    <row r="282" spans="1:17" hidden="1">
      <c r="A282">
        <f t="shared" si="4"/>
        <v>280</v>
      </c>
      <c r="B282" t="str">
        <f>IF('Master data'!A282="","",'Master data'!A282)</f>
        <v>Çağlar Söyüncü</v>
      </c>
      <c r="C282" t="str">
        <f>IFERROR(INDEX('Master data'!$B$2:$CL$1000,MATCH($B282,'Master data'!$A$2:$A$1000,0),MATCH(C$1,'Master data'!$B$1:$CL$1,0)),"")</f>
        <v>Turkey</v>
      </c>
      <c r="D282" t="str">
        <f>IFERROR(INDEX('Master data'!$B$2:$CL$1000,MATCH($B282,'Master data'!$A$2:$A$1000,0),MATCH(D$1,'Master data'!$B$1:$CL$1,0)),"")</f>
        <v>Defense</v>
      </c>
      <c r="E282" s="5">
        <f>IFERROR(INDEX('Master data'!$B$2:$CL$1000,MATCH($B282,'Master data'!$A$2:$A$1000,0),MATCH(E$1,'Master data'!$B$1:$CL$1,0)),"")</f>
        <v>3000000</v>
      </c>
      <c r="F282" s="7">
        <f>IFERROR(INDEX('Master data'!$B$2:$CL$1000,MATCH($B282,'Master data'!$A$2:$A$1000,0),MATCH(F$1,'Master data'!$B$1:$CL$1,0)),"")</f>
        <v>5962.1099043840804</v>
      </c>
      <c r="G282" s="7">
        <f>IFERROR(INDEX('Master data'!$B$2:$CL$1000,MATCH($B282,'Master data'!$A$2:$A$1000,0),MATCH(G$1,'Master data'!$B$1:$CL$1,0)),"")</f>
        <v>42888.312832216798</v>
      </c>
      <c r="H282" s="7">
        <f>IFERROR(INDEX('Master data'!$B$2:$CL$1000,MATCH($B282,'Master data'!$A$2:$A$1000,0),MATCH(H$1,'Master data'!$B$1:$CL$1,0)),"")</f>
        <v>29603.69648307126</v>
      </c>
      <c r="I282" s="7">
        <f>IFERROR(INDEX('Master data'!$B$2:$CL$1000,MATCH($B282,'Master data'!$A$2:$A$1000,0),MATCH(I$1,'Master data'!$B$1:$CL$1,0)),"")</f>
        <v>-2799.5324596811947</v>
      </c>
      <c r="J282" s="7">
        <f>IFERROR(INDEX('Master data'!$B$2:$CL$1000,MATCH($B282,'Master data'!$A$2:$A$1000,0),MATCH(J$1,'Master data'!$B$1:$CL$1,0)),"")</f>
        <v>-1458.031347101517</v>
      </c>
      <c r="K282" s="7">
        <f>IFERROR(INDEX('Master data'!$B$2:$CL$1000,MATCH($B282,'Master data'!$A$2:$A$1000,0),MATCH(K$1,'Master data'!$B$1:$CL$1,0)),"")</f>
        <v>-747.39968840574068</v>
      </c>
      <c r="L282" s="7">
        <f>IFERROR(INDEX('Master data'!$B$2:$CL$1000,MATCH($B282,'Master data'!$A$2:$A$1000,0),MATCH(L$1,'Master data'!$B$1:$CL$1,0)),"")</f>
        <v>-364.78904106113623</v>
      </c>
      <c r="M282" s="5">
        <f>IFERROR(INDEX('Master data'!$B$2:$CL$1000,MATCH($B282,'Master data'!$A$2:$A$1000,0),MATCH(M$1,'Master data'!$B$1:$CL$1,0)),"")</f>
        <v>46463.571225349551</v>
      </c>
      <c r="N282" s="28">
        <f>IFERROR(INDEX('Master data'!$B$2:$CL$1000,MATCH($B282,'Master data'!$A$2:$A$1000,0),MATCH(N$1,'Master data'!$B$1:$CL$1,0)),"")</f>
        <v>2.6151373073224047E-2</v>
      </c>
      <c r="O282" s="7">
        <f>IFERROR(INDEX('Master data'!$B$2:$CL$1000,MATCH($B282,'Master data'!$A$2:$A$1000,0),MATCH(O$1,'Master data'!$B$1:$CL$1,0)),"")</f>
        <v>0</v>
      </c>
      <c r="P282" s="5">
        <f>IFERROR(INDEX('Master data'!$B$2:$CL$1000,MATCH($B282,'Master data'!$A$2:$A$1000,0),MATCH(P$1,'Master data'!$B$1:$CL$1,0)),"")</f>
        <v>3000000</v>
      </c>
      <c r="Q282" s="5">
        <f>IFERROR(INDEX('Master data'!$B$2:$CL$1000,MATCH($B282,'Master data'!$A$2:$A$1000,0),MATCH(Q$1,'Master data'!$B$1:$CL$1,0)),"")</f>
        <v>3000000</v>
      </c>
    </row>
    <row r="283" spans="1:17" hidden="1">
      <c r="A283">
        <f t="shared" si="4"/>
        <v>281</v>
      </c>
      <c r="B283" t="str">
        <f>IF('Master data'!A283="","",'Master data'!A283)</f>
        <v>Ozan Kabak</v>
      </c>
      <c r="C283" t="str">
        <f>IFERROR(INDEX('Master data'!$B$2:$CL$1000,MATCH($B283,'Master data'!$A$2:$A$1000,0),MATCH(C$1,'Master data'!$B$1:$CL$1,0)),"")</f>
        <v>Turkey</v>
      </c>
      <c r="D283" t="str">
        <f>IFERROR(INDEX('Master data'!$B$2:$CL$1000,MATCH($B283,'Master data'!$A$2:$A$1000,0),MATCH(D$1,'Master data'!$B$1:$CL$1,0)),"")</f>
        <v>Defense</v>
      </c>
      <c r="E283" s="5">
        <f>IFERROR(INDEX('Master data'!$B$2:$CL$1000,MATCH($B283,'Master data'!$A$2:$A$1000,0),MATCH(E$1,'Master data'!$B$1:$CL$1,0)),"")</f>
        <v>3000000</v>
      </c>
      <c r="F283" s="7">
        <f>IFERROR(INDEX('Master data'!$B$2:$CL$1000,MATCH($B283,'Master data'!$A$2:$A$1000,0),MATCH(F$1,'Master data'!$B$1:$CL$1,0)),"")</f>
        <v>4513.1518227964898</v>
      </c>
      <c r="G283" s="7">
        <f>IFERROR(INDEX('Master data'!$B$2:$CL$1000,MATCH($B283,'Master data'!$A$2:$A$1000,0),MATCH(G$1,'Master data'!$B$1:$CL$1,0)),"")</f>
        <v>12887.358351155748</v>
      </c>
      <c r="H283" s="7">
        <f>IFERROR(INDEX('Master data'!$B$2:$CL$1000,MATCH($B283,'Master data'!$A$2:$A$1000,0),MATCH(H$1,'Master data'!$B$1:$CL$1,0)),"")</f>
        <v>7733.4782895170301</v>
      </c>
      <c r="I283" s="7">
        <f>IFERROR(INDEX('Master data'!$B$2:$CL$1000,MATCH($B283,'Master data'!$A$2:$A$1000,0),MATCH(I$1,'Master data'!$B$1:$CL$1,0)),"")</f>
        <v>-13216.68763184936</v>
      </c>
      <c r="J283" s="7">
        <f>IFERROR(INDEX('Master data'!$B$2:$CL$1000,MATCH($B283,'Master data'!$A$2:$A$1000,0),MATCH(J$1,'Master data'!$B$1:$CL$1,0)),"")</f>
        <v>-6540.6037854327942</v>
      </c>
      <c r="K283" s="7">
        <f>IFERROR(INDEX('Master data'!$B$2:$CL$1000,MATCH($B283,'Master data'!$A$2:$A$1000,0),MATCH(K$1,'Master data'!$B$1:$CL$1,0)),"")</f>
        <v>-3194.8680506048472</v>
      </c>
      <c r="L283" s="7">
        <f>IFERROR(INDEX('Master data'!$B$2:$CL$1000,MATCH($B283,'Master data'!$A$2:$A$1000,0),MATCH(L$1,'Master data'!$B$1:$CL$1,0)),"")</f>
        <v>-1489.7148695256274</v>
      </c>
      <c r="M283" s="5">
        <f>IFERROR(INDEX('Master data'!$B$2:$CL$1000,MATCH($B283,'Master data'!$A$2:$A$1000,0),MATCH(M$1,'Master data'!$B$1:$CL$1,0)),"")</f>
        <v>10782.291145671279</v>
      </c>
      <c r="N283" s="28">
        <f>IFERROR(INDEX('Master data'!$B$2:$CL$1000,MATCH($B283,'Master data'!$A$2:$A$1000,0),MATCH(N$1,'Master data'!$B$1:$CL$1,0)),"")</f>
        <v>8.3779961544897547E-3</v>
      </c>
      <c r="O283" s="7">
        <f>IFERROR(INDEX('Master data'!$B$2:$CL$1000,MATCH($B283,'Master data'!$A$2:$A$1000,0),MATCH(O$1,'Master data'!$B$1:$CL$1,0)),"")</f>
        <v>0</v>
      </c>
      <c r="P283" s="5">
        <f>IFERROR(INDEX('Master data'!$B$2:$CL$1000,MATCH($B283,'Master data'!$A$2:$A$1000,0),MATCH(P$1,'Master data'!$B$1:$CL$1,0)),"")</f>
        <v>3000000</v>
      </c>
      <c r="Q283" s="5">
        <f>IFERROR(INDEX('Master data'!$B$2:$CL$1000,MATCH($B283,'Master data'!$A$2:$A$1000,0),MATCH(Q$1,'Master data'!$B$1:$CL$1,0)),"")</f>
        <v>3000000</v>
      </c>
    </row>
    <row r="284" spans="1:17" hidden="1">
      <c r="A284">
        <f t="shared" si="4"/>
        <v>282</v>
      </c>
      <c r="B284" t="str">
        <f>IF('Master data'!A284="","",'Master data'!A284)</f>
        <v>Merih Demiral</v>
      </c>
      <c r="C284" t="str">
        <f>IFERROR(INDEX('Master data'!$B$2:$CL$1000,MATCH($B284,'Master data'!$A$2:$A$1000,0),MATCH(C$1,'Master data'!$B$1:$CL$1,0)),"")</f>
        <v>Turkey</v>
      </c>
      <c r="D284" t="str">
        <f>IFERROR(INDEX('Master data'!$B$2:$CL$1000,MATCH($B284,'Master data'!$A$2:$A$1000,0),MATCH(D$1,'Master data'!$B$1:$CL$1,0)),"")</f>
        <v>Defense</v>
      </c>
      <c r="E284" s="5">
        <f>IFERROR(INDEX('Master data'!$B$2:$CL$1000,MATCH($B284,'Master data'!$A$2:$A$1000,0),MATCH(E$1,'Master data'!$B$1:$CL$1,0)),"")</f>
        <v>3000000</v>
      </c>
      <c r="F284" s="7">
        <f>IFERROR(INDEX('Master data'!$B$2:$CL$1000,MATCH($B284,'Master data'!$A$2:$A$1000,0),MATCH(F$1,'Master data'!$B$1:$CL$1,0)),"")</f>
        <v>4513.1518227964898</v>
      </c>
      <c r="G284" s="7">
        <f>IFERROR(INDEX('Master data'!$B$2:$CL$1000,MATCH($B284,'Master data'!$A$2:$A$1000,0),MATCH(G$1,'Master data'!$B$1:$CL$1,0)),"")</f>
        <v>12887.358351155748</v>
      </c>
      <c r="H284" s="7">
        <f>IFERROR(INDEX('Master data'!$B$2:$CL$1000,MATCH($B284,'Master data'!$A$2:$A$1000,0),MATCH(H$1,'Master data'!$B$1:$CL$1,0)),"")</f>
        <v>7733.4782895170301</v>
      </c>
      <c r="I284" s="7">
        <f>IFERROR(INDEX('Master data'!$B$2:$CL$1000,MATCH($B284,'Master data'!$A$2:$A$1000,0),MATCH(I$1,'Master data'!$B$1:$CL$1,0)),"")</f>
        <v>-13216.68763184936</v>
      </c>
      <c r="J284" s="7">
        <f>IFERROR(INDEX('Master data'!$B$2:$CL$1000,MATCH($B284,'Master data'!$A$2:$A$1000,0),MATCH(J$1,'Master data'!$B$1:$CL$1,0)),"")</f>
        <v>-6540.6037854327942</v>
      </c>
      <c r="K284" s="7">
        <f>IFERROR(INDEX('Master data'!$B$2:$CL$1000,MATCH($B284,'Master data'!$A$2:$A$1000,0),MATCH(K$1,'Master data'!$B$1:$CL$1,0)),"")</f>
        <v>-3194.8680506048472</v>
      </c>
      <c r="L284" s="7">
        <f>IFERROR(INDEX('Master data'!$B$2:$CL$1000,MATCH($B284,'Master data'!$A$2:$A$1000,0),MATCH(L$1,'Master data'!$B$1:$CL$1,0)),"")</f>
        <v>-1489.7148695256274</v>
      </c>
      <c r="M284" s="5">
        <f>IFERROR(INDEX('Master data'!$B$2:$CL$1000,MATCH($B284,'Master data'!$A$2:$A$1000,0),MATCH(M$1,'Master data'!$B$1:$CL$1,0)),"")</f>
        <v>10782.291145671279</v>
      </c>
      <c r="N284" s="28">
        <f>IFERROR(INDEX('Master data'!$B$2:$CL$1000,MATCH($B284,'Master data'!$A$2:$A$1000,0),MATCH(N$1,'Master data'!$B$1:$CL$1,0)),"")</f>
        <v>8.3779961544897547E-3</v>
      </c>
      <c r="O284" s="7">
        <f>IFERROR(INDEX('Master data'!$B$2:$CL$1000,MATCH($B284,'Master data'!$A$2:$A$1000,0),MATCH(O$1,'Master data'!$B$1:$CL$1,0)),"")</f>
        <v>0</v>
      </c>
      <c r="P284" s="5">
        <f>IFERROR(INDEX('Master data'!$B$2:$CL$1000,MATCH($B284,'Master data'!$A$2:$A$1000,0),MATCH(P$1,'Master data'!$B$1:$CL$1,0)),"")</f>
        <v>3000000</v>
      </c>
      <c r="Q284" s="5">
        <f>IFERROR(INDEX('Master data'!$B$2:$CL$1000,MATCH($B284,'Master data'!$A$2:$A$1000,0),MATCH(Q$1,'Master data'!$B$1:$CL$1,0)),"")</f>
        <v>3000000</v>
      </c>
    </row>
    <row r="285" spans="1:17" hidden="1">
      <c r="A285">
        <f t="shared" si="4"/>
        <v>283</v>
      </c>
      <c r="B285" t="str">
        <f>IF('Master data'!A285="","",'Master data'!A285)</f>
        <v>Cengiz Ünder</v>
      </c>
      <c r="C285" t="str">
        <f>IFERROR(INDEX('Master data'!$B$2:$CL$1000,MATCH($B285,'Master data'!$A$2:$A$1000,0),MATCH(C$1,'Master data'!$B$1:$CL$1,0)),"")</f>
        <v>Turkey</v>
      </c>
      <c r="D285" t="str">
        <f>IFERROR(INDEX('Master data'!$B$2:$CL$1000,MATCH($B285,'Master data'!$A$2:$A$1000,0),MATCH(D$1,'Master data'!$B$1:$CL$1,0)),"")</f>
        <v>Striker</v>
      </c>
      <c r="E285" s="5">
        <f>IFERROR(INDEX('Master data'!$B$2:$CL$1000,MATCH($B285,'Master data'!$A$2:$A$1000,0),MATCH(E$1,'Master data'!$B$1:$CL$1,0)),"")</f>
        <v>3500000</v>
      </c>
      <c r="F285" s="7">
        <f>IFERROR(INDEX('Master data'!$B$2:$CL$1000,MATCH($B285,'Master data'!$A$2:$A$1000,0),MATCH(F$1,'Master data'!$B$1:$CL$1,0)),"")</f>
        <v>-5000</v>
      </c>
      <c r="G285" s="7">
        <f>IFERROR(INDEX('Master data'!$B$2:$CL$1000,MATCH($B285,'Master data'!$A$2:$A$1000,0),MATCH(G$1,'Master data'!$B$1:$CL$1,0)),"")</f>
        <v>-5000</v>
      </c>
      <c r="H285" s="7">
        <f>IFERROR(INDEX('Master data'!$B$2:$CL$1000,MATCH($B285,'Master data'!$A$2:$A$1000,0),MATCH(H$1,'Master data'!$B$1:$CL$1,0)),"")</f>
        <v>-5000</v>
      </c>
      <c r="I285" s="7">
        <f>IFERROR(INDEX('Master data'!$B$2:$CL$1000,MATCH($B285,'Master data'!$A$2:$A$1000,0),MATCH(I$1,'Master data'!$B$1:$CL$1,0)),"")</f>
        <v>-24078.851803683836</v>
      </c>
      <c r="J285" s="7">
        <f>IFERROR(INDEX('Master data'!$B$2:$CL$1000,MATCH($B285,'Master data'!$A$2:$A$1000,0),MATCH(J$1,'Master data'!$B$1:$CL$1,0)),"")</f>
        <v>-11855.652603475908</v>
      </c>
      <c r="K285" s="7">
        <f>IFERROR(INDEX('Master data'!$B$2:$CL$1000,MATCH($B285,'Master data'!$A$2:$A$1000,0),MATCH(K$1,'Master data'!$B$1:$CL$1,0)),"")</f>
        <v>-5761.8329542901793</v>
      </c>
      <c r="L285" s="7">
        <f>IFERROR(INDEX('Master data'!$B$2:$CL$1000,MATCH($B285,'Master data'!$A$2:$A$1000,0),MATCH(L$1,'Master data'!$B$1:$CL$1,0)),"")</f>
        <v>-2673.1085221331637</v>
      </c>
      <c r="M285" s="5">
        <f>IFERROR(INDEX('Master data'!$B$2:$CL$1000,MATCH($B285,'Master data'!$A$2:$A$1000,0),MATCH(M$1,'Master data'!$B$1:$CL$1,0)),"")</f>
        <v>-21025.323557646934</v>
      </c>
      <c r="N285" s="28">
        <f>IFERROR(INDEX('Master data'!$B$2:$CL$1000,MATCH($B285,'Master data'!$A$2:$A$1000,0),MATCH(N$1,'Master data'!$B$1:$CL$1,0)),"")</f>
        <v>-4.2857142857142859E-3</v>
      </c>
      <c r="O285" s="7">
        <f>IFERROR(INDEX('Master data'!$B$2:$CL$1000,MATCH($B285,'Master data'!$A$2:$A$1000,0),MATCH(O$1,'Master data'!$B$1:$CL$1,0)),"")</f>
        <v>0</v>
      </c>
      <c r="P285" s="5">
        <f>IFERROR(INDEX('Master data'!$B$2:$CL$1000,MATCH($B285,'Master data'!$A$2:$A$1000,0),MATCH(P$1,'Master data'!$B$1:$CL$1,0)),"")</f>
        <v>3500000</v>
      </c>
      <c r="Q285" s="5">
        <f>IFERROR(INDEX('Master data'!$B$2:$CL$1000,MATCH($B285,'Master data'!$A$2:$A$1000,0),MATCH(Q$1,'Master data'!$B$1:$CL$1,0)),"")</f>
        <v>3500000</v>
      </c>
    </row>
    <row r="286" spans="1:17" hidden="1">
      <c r="A286">
        <f t="shared" si="4"/>
        <v>284</v>
      </c>
      <c r="B286" t="str">
        <f>IF('Master data'!A286="","",'Master data'!A286)</f>
        <v>Enes Ünal</v>
      </c>
      <c r="C286" t="str">
        <f>IFERROR(INDEX('Master data'!$B$2:$CL$1000,MATCH($B286,'Master data'!$A$2:$A$1000,0),MATCH(C$1,'Master data'!$B$1:$CL$1,0)),"")</f>
        <v>Turkey</v>
      </c>
      <c r="D286" t="str">
        <f>IFERROR(INDEX('Master data'!$B$2:$CL$1000,MATCH($B286,'Master data'!$A$2:$A$1000,0),MATCH(D$1,'Master data'!$B$1:$CL$1,0)),"")</f>
        <v>Striker</v>
      </c>
      <c r="E286" s="5">
        <f>IFERROR(INDEX('Master data'!$B$2:$CL$1000,MATCH($B286,'Master data'!$A$2:$A$1000,0),MATCH(E$1,'Master data'!$B$1:$CL$1,0)),"")</f>
        <v>2500000</v>
      </c>
      <c r="F286" s="7">
        <f>IFERROR(INDEX('Master data'!$B$2:$CL$1000,MATCH($B286,'Master data'!$A$2:$A$1000,0),MATCH(F$1,'Master data'!$B$1:$CL$1,0)),"")</f>
        <v>-5000</v>
      </c>
      <c r="G286" s="7">
        <f>IFERROR(INDEX('Master data'!$B$2:$CL$1000,MATCH($B286,'Master data'!$A$2:$A$1000,0),MATCH(G$1,'Master data'!$B$1:$CL$1,0)),"")</f>
        <v>-5000</v>
      </c>
      <c r="H286" s="7">
        <f>IFERROR(INDEX('Master data'!$B$2:$CL$1000,MATCH($B286,'Master data'!$A$2:$A$1000,0),MATCH(H$1,'Master data'!$B$1:$CL$1,0)),"")</f>
        <v>-5000</v>
      </c>
      <c r="I286" s="7">
        <f>IFERROR(INDEX('Master data'!$B$2:$CL$1000,MATCH($B286,'Master data'!$A$2:$A$1000,0),MATCH(I$1,'Master data'!$B$1:$CL$1,0)),"")</f>
        <v>-18036.47995834285</v>
      </c>
      <c r="J286" s="7">
        <f>IFERROR(INDEX('Master data'!$B$2:$CL$1000,MATCH($B286,'Master data'!$A$2:$A$1000,0),MATCH(J$1,'Master data'!$B$1:$CL$1,0)),"")</f>
        <v>-8876.8454166729152</v>
      </c>
      <c r="K286" s="7">
        <f>IFERROR(INDEX('Master data'!$B$2:$CL$1000,MATCH($B286,'Master data'!$A$2:$A$1000,0),MATCH(K$1,'Master data'!$B$1:$CL$1,0)),"")</f>
        <v>-4312.3152299404483</v>
      </c>
      <c r="L286" s="7">
        <f>IFERROR(INDEX('Master data'!$B$2:$CL$1000,MATCH($B286,'Master data'!$A$2:$A$1000,0),MATCH(L$1,'Master data'!$B$1:$CL$1,0)),"")</f>
        <v>-1999.781438472417</v>
      </c>
      <c r="M286" s="5">
        <f>IFERROR(INDEX('Master data'!$B$2:$CL$1000,MATCH($B286,'Master data'!$A$2:$A$1000,0),MATCH(M$1,'Master data'!$B$1:$CL$1,0)),"")</f>
        <v>-18396.589417200921</v>
      </c>
      <c r="N286" s="28">
        <f>IFERROR(INDEX('Master data'!$B$2:$CL$1000,MATCH($B286,'Master data'!$A$2:$A$1000,0),MATCH(N$1,'Master data'!$B$1:$CL$1,0)),"")</f>
        <v>-6.0000000000000001E-3</v>
      </c>
      <c r="O286" s="7">
        <f>IFERROR(INDEX('Master data'!$B$2:$CL$1000,MATCH($B286,'Master data'!$A$2:$A$1000,0),MATCH(O$1,'Master data'!$B$1:$CL$1,0)),"")</f>
        <v>0</v>
      </c>
      <c r="P286" s="5">
        <f>IFERROR(INDEX('Master data'!$B$2:$CL$1000,MATCH($B286,'Master data'!$A$2:$A$1000,0),MATCH(P$1,'Master data'!$B$1:$CL$1,0)),"")</f>
        <v>2500000</v>
      </c>
      <c r="Q286" s="5">
        <f>IFERROR(INDEX('Master data'!$B$2:$CL$1000,MATCH($B286,'Master data'!$A$2:$A$1000,0),MATCH(Q$1,'Master data'!$B$1:$CL$1,0)),"")</f>
        <v>2500000</v>
      </c>
    </row>
    <row r="287" spans="1:17" hidden="1">
      <c r="A287">
        <f t="shared" si="4"/>
        <v>285</v>
      </c>
      <c r="B287" t="str">
        <f>IF('Master data'!A287="","",'Master data'!A287)</f>
        <v>Vyacheslav Karavayev</v>
      </c>
      <c r="C287" t="str">
        <f>IFERROR(INDEX('Master data'!$B$2:$CL$1000,MATCH($B287,'Master data'!$A$2:$A$1000,0),MATCH(C$1,'Master data'!$B$1:$CL$1,0)),"")</f>
        <v>Russia</v>
      </c>
      <c r="D287" t="str">
        <f>IFERROR(INDEX('Master data'!$B$2:$CL$1000,MATCH($B287,'Master data'!$A$2:$A$1000,0),MATCH(D$1,'Master data'!$B$1:$CL$1,0)),"")</f>
        <v>Defense</v>
      </c>
      <c r="E287" s="5">
        <f>IFERROR(INDEX('Master data'!$B$2:$CL$1000,MATCH($B287,'Master data'!$A$2:$A$1000,0),MATCH(E$1,'Master data'!$B$1:$CL$1,0)),"")</f>
        <v>2500000</v>
      </c>
      <c r="F287" s="7">
        <f>IFERROR(INDEX('Master data'!$B$2:$CL$1000,MATCH($B287,'Master data'!$A$2:$A$1000,0),MATCH(F$1,'Master data'!$B$1:$CL$1,0)),"")</f>
        <v>5504.3768236765354</v>
      </c>
      <c r="G287" s="7">
        <f>IFERROR(INDEX('Master data'!$B$2:$CL$1000,MATCH($B287,'Master data'!$A$2:$A$1000,0),MATCH(G$1,'Master data'!$B$1:$CL$1,0)),"")</f>
        <v>18434.415441982888</v>
      </c>
      <c r="H287" s="7">
        <f>IFERROR(INDEX('Master data'!$B$2:$CL$1000,MATCH($B287,'Master data'!$A$2:$A$1000,0),MATCH(H$1,'Master data'!$B$1:$CL$1,0)),"")</f>
        <v>6097.5317526960152</v>
      </c>
      <c r="I287" s="7">
        <f>IFERROR(INDEX('Master data'!$B$2:$CL$1000,MATCH($B287,'Master data'!$A$2:$A$1000,0),MATCH(I$1,'Master data'!$B$1:$CL$1,0)),"")</f>
        <v>-9822.3989002771559</v>
      </c>
      <c r="J287" s="7">
        <f>IFERROR(INDEX('Master data'!$B$2:$CL$1000,MATCH($B287,'Master data'!$A$2:$A$1000,0),MATCH(J$1,'Master data'!$B$1:$CL$1,0)),"")</f>
        <v>-4852.984073754682</v>
      </c>
      <c r="K287" s="7">
        <f>IFERROR(INDEX('Master data'!$B$2:$CL$1000,MATCH($B287,'Master data'!$A$2:$A$1000,0),MATCH(K$1,'Master data'!$B$1:$CL$1,0)),"")</f>
        <v>-2356.664130874517</v>
      </c>
      <c r="L287" s="7">
        <f>IFERROR(INDEX('Master data'!$B$2:$CL$1000,MATCH($B287,'Master data'!$A$2:$A$1000,0),MATCH(L$1,'Master data'!$B$1:$CL$1,0)),"")</f>
        <v>-1074.8366929648932</v>
      </c>
      <c r="M287" s="5">
        <f>IFERROR(INDEX('Master data'!$B$2:$CL$1000,MATCH($B287,'Master data'!$A$2:$A$1000,0),MATCH(M$1,'Master data'!$B$1:$CL$1,0)),"")</f>
        <v>16230.342555751911</v>
      </c>
      <c r="N287" s="28">
        <f>IFERROR(INDEX('Master data'!$B$2:$CL$1000,MATCH($B287,'Master data'!$A$2:$A$1000,0),MATCH(N$1,'Master data'!$B$1:$CL$1,0)),"")</f>
        <v>1.2014529607342174E-2</v>
      </c>
      <c r="O287" s="7">
        <f>IFERROR(INDEX('Master data'!$B$2:$CL$1000,MATCH($B287,'Master data'!$A$2:$A$1000,0),MATCH(O$1,'Master data'!$B$1:$CL$1,0)),"")</f>
        <v>0</v>
      </c>
      <c r="P287" s="5">
        <f>IFERROR(INDEX('Master data'!$B$2:$CL$1000,MATCH($B287,'Master data'!$A$2:$A$1000,0),MATCH(P$1,'Master data'!$B$1:$CL$1,0)),"")</f>
        <v>2500000</v>
      </c>
      <c r="Q287" s="5">
        <f>IFERROR(INDEX('Master data'!$B$2:$CL$1000,MATCH($B287,'Master data'!$A$2:$A$1000,0),MATCH(Q$1,'Master data'!$B$1:$CL$1,0)),"")</f>
        <v>2500000</v>
      </c>
    </row>
    <row r="288" spans="1:17" hidden="1">
      <c r="A288">
        <f t="shared" si="4"/>
        <v>286</v>
      </c>
      <c r="B288" t="str">
        <f>IF('Master data'!A288="","",'Master data'!A288)</f>
        <v>Rifat Zhemaletdinov</v>
      </c>
      <c r="C288" t="str">
        <f>IFERROR(INDEX('Master data'!$B$2:$CL$1000,MATCH($B288,'Master data'!$A$2:$A$1000,0),MATCH(C$1,'Master data'!$B$1:$CL$1,0)),"")</f>
        <v>Russia</v>
      </c>
      <c r="D288" t="str">
        <f>IFERROR(INDEX('Master data'!$B$2:$CL$1000,MATCH($B288,'Master data'!$A$2:$A$1000,0),MATCH(D$1,'Master data'!$B$1:$CL$1,0)),"")</f>
        <v>Midfield</v>
      </c>
      <c r="E288" s="5">
        <f>IFERROR(INDEX('Master data'!$B$2:$CL$1000,MATCH($B288,'Master data'!$A$2:$A$1000,0),MATCH(E$1,'Master data'!$B$1:$CL$1,0)),"")</f>
        <v>3500000</v>
      </c>
      <c r="F288" s="7">
        <f>IFERROR(INDEX('Master data'!$B$2:$CL$1000,MATCH($B288,'Master data'!$A$2:$A$1000,0),MATCH(F$1,'Master data'!$B$1:$CL$1,0)),"")</f>
        <v>11626.119134491641</v>
      </c>
      <c r="G288" s="7">
        <f>IFERROR(INDEX('Master data'!$B$2:$CL$1000,MATCH($B288,'Master data'!$A$2:$A$1000,0),MATCH(G$1,'Master data'!$B$1:$CL$1,0)),"")</f>
        <v>52585.191407066479</v>
      </c>
      <c r="H288" s="7">
        <f>IFERROR(INDEX('Master data'!$B$2:$CL$1000,MATCH($B288,'Master data'!$A$2:$A$1000,0),MATCH(H$1,'Master data'!$B$1:$CL$1,0)),"")</f>
        <v>18038.669225277121</v>
      </c>
      <c r="I288" s="7">
        <f>IFERROR(INDEX('Master data'!$B$2:$CL$1000,MATCH($B288,'Master data'!$A$2:$A$1000,0),MATCH(I$1,'Master data'!$B$1:$CL$1,0)),"")</f>
        <v>-5400.5843756431232</v>
      </c>
      <c r="J288" s="7">
        <f>IFERROR(INDEX('Master data'!$B$2:$CL$1000,MATCH($B288,'Master data'!$A$2:$A$1000,0),MATCH(J$1,'Master data'!$B$1:$CL$1,0)),"")</f>
        <v>-2737.3864741476359</v>
      </c>
      <c r="K288" s="7">
        <f>IFERROR(INDEX('Master data'!$B$2:$CL$1000,MATCH($B288,'Master data'!$A$2:$A$1000,0),MATCH(K$1,'Master data'!$B$1:$CL$1,0)),"")</f>
        <v>-1362.4290315385751</v>
      </c>
      <c r="L288" s="7">
        <f>IFERROR(INDEX('Master data'!$B$2:$CL$1000,MATCH($B288,'Master data'!$A$2:$A$1000,0),MATCH(L$1,'Master data'!$B$1:$CL$1,0)),"")</f>
        <v>-636.29487835193095</v>
      </c>
      <c r="M288" s="5">
        <f>IFERROR(INDEX('Master data'!$B$2:$CL$1000,MATCH($B288,'Master data'!$A$2:$A$1000,0),MATCH(M$1,'Master data'!$B$1:$CL$1,0)),"")</f>
        <v>52323.932462565288</v>
      </c>
      <c r="N288" s="28">
        <f>IFERROR(INDEX('Master data'!$B$2:$CL$1000,MATCH($B288,'Master data'!$A$2:$A$1000,0),MATCH(N$1,'Master data'!$B$1:$CL$1,0)),"")</f>
        <v>2.3499994219095783E-2</v>
      </c>
      <c r="O288" s="7">
        <f>IFERROR(INDEX('Master data'!$B$2:$CL$1000,MATCH($B288,'Master data'!$A$2:$A$1000,0),MATCH(O$1,'Master data'!$B$1:$CL$1,0)),"")</f>
        <v>0</v>
      </c>
      <c r="P288" s="5">
        <f>IFERROR(INDEX('Master data'!$B$2:$CL$1000,MATCH($B288,'Master data'!$A$2:$A$1000,0),MATCH(P$1,'Master data'!$B$1:$CL$1,0)),"")</f>
        <v>3500000</v>
      </c>
      <c r="Q288" s="5">
        <f>IFERROR(INDEX('Master data'!$B$2:$CL$1000,MATCH($B288,'Master data'!$A$2:$A$1000,0),MATCH(Q$1,'Master data'!$B$1:$CL$1,0)),"")</f>
        <v>3500000</v>
      </c>
    </row>
    <row r="289" spans="1:17" hidden="1">
      <c r="A289">
        <f t="shared" si="4"/>
        <v>287</v>
      </c>
      <c r="B289" t="str">
        <f>IF('Master data'!A289="","",'Master data'!A289)</f>
        <v>Andrey Mostovoy</v>
      </c>
      <c r="C289" t="str">
        <f>IFERROR(INDEX('Master data'!$B$2:$CL$1000,MATCH($B289,'Master data'!$A$2:$A$1000,0),MATCH(C$1,'Master data'!$B$1:$CL$1,0)),"")</f>
        <v>Russia</v>
      </c>
      <c r="D289" t="str">
        <f>IFERROR(INDEX('Master data'!$B$2:$CL$1000,MATCH($B289,'Master data'!$A$2:$A$1000,0),MATCH(D$1,'Master data'!$B$1:$CL$1,0)),"")</f>
        <v>Midfield</v>
      </c>
      <c r="E289" s="5">
        <f>IFERROR(INDEX('Master data'!$B$2:$CL$1000,MATCH($B289,'Master data'!$A$2:$A$1000,0),MATCH(E$1,'Master data'!$B$1:$CL$1,0)),"")</f>
        <v>2500000</v>
      </c>
      <c r="F289" s="7">
        <f>IFERROR(INDEX('Master data'!$B$2:$CL$1000,MATCH($B289,'Master data'!$A$2:$A$1000,0),MATCH(F$1,'Master data'!$B$1:$CL$1,0)),"")</f>
        <v>-5000</v>
      </c>
      <c r="G289" s="7">
        <f>IFERROR(INDEX('Master data'!$B$2:$CL$1000,MATCH($B289,'Master data'!$A$2:$A$1000,0),MATCH(G$1,'Master data'!$B$1:$CL$1,0)),"")</f>
        <v>-5000</v>
      </c>
      <c r="H289" s="7">
        <f>IFERROR(INDEX('Master data'!$B$2:$CL$1000,MATCH($B289,'Master data'!$A$2:$A$1000,0),MATCH(H$1,'Master data'!$B$1:$CL$1,0)),"")</f>
        <v>-5000</v>
      </c>
      <c r="I289" s="7">
        <f>IFERROR(INDEX('Master data'!$B$2:$CL$1000,MATCH($B289,'Master data'!$A$2:$A$1000,0),MATCH(I$1,'Master data'!$B$1:$CL$1,0)),"")</f>
        <v>-19178.029322794926</v>
      </c>
      <c r="J289" s="7">
        <f>IFERROR(INDEX('Master data'!$B$2:$CL$1000,MATCH($B289,'Master data'!$A$2:$A$1000,0),MATCH(J$1,'Master data'!$B$1:$CL$1,0)),"")</f>
        <v>-9397.9327282977792</v>
      </c>
      <c r="K289" s="7">
        <f>IFERROR(INDEX('Master data'!$B$2:$CL$1000,MATCH($B289,'Master data'!$A$2:$A$1000,0),MATCH(K$1,'Master data'!$B$1:$CL$1,0)),"")</f>
        <v>-4526.6339341496214</v>
      </c>
      <c r="L289" s="7">
        <f>IFERROR(INDEX('Master data'!$B$2:$CL$1000,MATCH($B289,'Master data'!$A$2:$A$1000,0),MATCH(L$1,'Master data'!$B$1:$CL$1,0)),"")</f>
        <v>-2047.8177610024545</v>
      </c>
      <c r="M289" s="5">
        <f>IFERROR(INDEX('Master data'!$B$2:$CL$1000,MATCH($B289,'Master data'!$A$2:$A$1000,0),MATCH(M$1,'Master data'!$B$1:$CL$1,0)),"")</f>
        <v>-18870.197312731281</v>
      </c>
      <c r="N289" s="28">
        <f>IFERROR(INDEX('Master data'!$B$2:$CL$1000,MATCH($B289,'Master data'!$A$2:$A$1000,0),MATCH(N$1,'Master data'!$B$1:$CL$1,0)),"")</f>
        <v>-6.0000000000000001E-3</v>
      </c>
      <c r="O289" s="7">
        <f>IFERROR(INDEX('Master data'!$B$2:$CL$1000,MATCH($B289,'Master data'!$A$2:$A$1000,0),MATCH(O$1,'Master data'!$B$1:$CL$1,0)),"")</f>
        <v>0</v>
      </c>
      <c r="P289" s="5">
        <f>IFERROR(INDEX('Master data'!$B$2:$CL$1000,MATCH($B289,'Master data'!$A$2:$A$1000,0),MATCH(P$1,'Master data'!$B$1:$CL$1,0)),"")</f>
        <v>2500000</v>
      </c>
      <c r="Q289" s="5">
        <f>IFERROR(INDEX('Master data'!$B$2:$CL$1000,MATCH($B289,'Master data'!$A$2:$A$1000,0),MATCH(Q$1,'Master data'!$B$1:$CL$1,0)),"")</f>
        <v>2500000</v>
      </c>
    </row>
    <row r="290" spans="1:17" hidden="1">
      <c r="A290">
        <f t="shared" si="4"/>
        <v>288</v>
      </c>
      <c r="B290" t="str">
        <f>IF('Master data'!A290="","",'Master data'!A290)</f>
        <v>Denis Cheryshev</v>
      </c>
      <c r="C290" t="str">
        <f>IFERROR(INDEX('Master data'!$B$2:$CL$1000,MATCH($B290,'Master data'!$A$2:$A$1000,0),MATCH(C$1,'Master data'!$B$1:$CL$1,0)),"")</f>
        <v>Russia</v>
      </c>
      <c r="D290" t="str">
        <f>IFERROR(INDEX('Master data'!$B$2:$CL$1000,MATCH($B290,'Master data'!$A$2:$A$1000,0),MATCH(D$1,'Master data'!$B$1:$CL$1,0)),"")</f>
        <v>Midfield</v>
      </c>
      <c r="E290" s="5">
        <f>IFERROR(INDEX('Master data'!$B$2:$CL$1000,MATCH($B290,'Master data'!$A$2:$A$1000,0),MATCH(E$1,'Master data'!$B$1:$CL$1,0)),"")</f>
        <v>2500000</v>
      </c>
      <c r="F290" s="7">
        <f>IFERROR(INDEX('Master data'!$B$2:$CL$1000,MATCH($B290,'Master data'!$A$2:$A$1000,0),MATCH(F$1,'Master data'!$B$1:$CL$1,0)),"")</f>
        <v>18133.820989470594</v>
      </c>
      <c r="G290" s="7">
        <f>IFERROR(INDEX('Master data'!$B$2:$CL$1000,MATCH($B290,'Master data'!$A$2:$A$1000,0),MATCH(G$1,'Master data'!$B$1:$CL$1,0)),"")</f>
        <v>67794.844770704818</v>
      </c>
      <c r="H290" s="7">
        <f>IFERROR(INDEX('Master data'!$B$2:$CL$1000,MATCH($B290,'Master data'!$A$2:$A$1000,0),MATCH(H$1,'Master data'!$B$1:$CL$1,0)),"")</f>
        <v>25885.215658555575</v>
      </c>
      <c r="I290" s="7">
        <f>IFERROR(INDEX('Master data'!$B$2:$CL$1000,MATCH($B290,'Master data'!$A$2:$A$1000,0),MATCH(I$1,'Master data'!$B$1:$CL$1,0)),"")</f>
        <v>7165.6795135455077</v>
      </c>
      <c r="J290" s="7">
        <f>IFERROR(INDEX('Master data'!$B$2:$CL$1000,MATCH($B290,'Master data'!$A$2:$A$1000,0),MATCH(J$1,'Master data'!$B$1:$CL$1,0)),"")</f>
        <v>3399.7942686156766</v>
      </c>
      <c r="K290" s="7">
        <f>IFERROR(INDEX('Master data'!$B$2:$CL$1000,MATCH($B290,'Master data'!$A$2:$A$1000,0),MATCH(K$1,'Master data'!$B$1:$CL$1,0)),"")</f>
        <v>1583.595959449159</v>
      </c>
      <c r="L290" s="7">
        <f>IFERROR(INDEX('Master data'!$B$2:$CL$1000,MATCH($B290,'Master data'!$A$2:$A$1000,0),MATCH(L$1,'Master data'!$B$1:$CL$1,0)),"")</f>
        <v>691.91529834973733</v>
      </c>
      <c r="M290" s="5">
        <f>IFERROR(INDEX('Master data'!$B$2:$CL$1000,MATCH($B290,'Master data'!$A$2:$A$1000,0),MATCH(M$1,'Master data'!$B$1:$CL$1,0)),"")</f>
        <v>77898.936727114691</v>
      </c>
      <c r="N290" s="28">
        <f>IFERROR(INDEX('Master data'!$B$2:$CL$1000,MATCH($B290,'Master data'!$A$2:$A$1000,0),MATCH(N$1,'Master data'!$B$1:$CL$1,0)),"")</f>
        <v>4.4725552567492402E-2</v>
      </c>
      <c r="O290" s="7">
        <f>IFERROR(INDEX('Master data'!$B$2:$CL$1000,MATCH($B290,'Master data'!$A$2:$A$1000,0),MATCH(O$1,'Master data'!$B$1:$CL$1,0)),"")</f>
        <v>0</v>
      </c>
      <c r="P290" s="5">
        <f>IFERROR(INDEX('Master data'!$B$2:$CL$1000,MATCH($B290,'Master data'!$A$2:$A$1000,0),MATCH(P$1,'Master data'!$B$1:$CL$1,0)),"")</f>
        <v>2500000</v>
      </c>
      <c r="Q290" s="5">
        <f>IFERROR(INDEX('Master data'!$B$2:$CL$1000,MATCH($B290,'Master data'!$A$2:$A$1000,0),MATCH(Q$1,'Master data'!$B$1:$CL$1,0)),"")</f>
        <v>2500000</v>
      </c>
    </row>
    <row r="291" spans="1:17" hidden="1">
      <c r="A291">
        <f t="shared" si="4"/>
        <v>289</v>
      </c>
      <c r="B291" t="str">
        <f>IF('Master data'!A291="","",'Master data'!A291)</f>
        <v>Magomed Ozdoyev</v>
      </c>
      <c r="C291" t="str">
        <f>IFERROR(INDEX('Master data'!$B$2:$CL$1000,MATCH($B291,'Master data'!$A$2:$A$1000,0),MATCH(C$1,'Master data'!$B$1:$CL$1,0)),"")</f>
        <v>Russia</v>
      </c>
      <c r="D291" t="str">
        <f>IFERROR(INDEX('Master data'!$B$2:$CL$1000,MATCH($B291,'Master data'!$A$2:$A$1000,0),MATCH(D$1,'Master data'!$B$1:$CL$1,0)),"")</f>
        <v>Midfield</v>
      </c>
      <c r="E291" s="5">
        <f>IFERROR(INDEX('Master data'!$B$2:$CL$1000,MATCH($B291,'Master data'!$A$2:$A$1000,0),MATCH(E$1,'Master data'!$B$1:$CL$1,0)),"")</f>
        <v>3000000</v>
      </c>
      <c r="F291" s="7">
        <f>IFERROR(INDEX('Master data'!$B$2:$CL$1000,MATCH($B291,'Master data'!$A$2:$A$1000,0),MATCH(F$1,'Master data'!$B$1:$CL$1,0)),"")</f>
        <v>9962.6831477176638</v>
      </c>
      <c r="G291" s="7">
        <f>IFERROR(INDEX('Master data'!$B$2:$CL$1000,MATCH($B291,'Master data'!$A$2:$A$1000,0),MATCH(G$1,'Master data'!$B$1:$CL$1,0)),"")</f>
        <v>50524.423435252407</v>
      </c>
      <c r="H291" s="7">
        <f>IFERROR(INDEX('Master data'!$B$2:$CL$1000,MATCH($B291,'Master data'!$A$2:$A$1000,0),MATCH(H$1,'Master data'!$B$1:$CL$1,0)),"")</f>
        <v>16314.101459795056</v>
      </c>
      <c r="I291" s="7">
        <f>IFERROR(INDEX('Master data'!$B$2:$CL$1000,MATCH($B291,'Master data'!$A$2:$A$1000,0),MATCH(I$1,'Master data'!$B$1:$CL$1,0)),"")</f>
        <v>-3320.0859159958363</v>
      </c>
      <c r="J291" s="7">
        <f>IFERROR(INDEX('Master data'!$B$2:$CL$1000,MATCH($B291,'Master data'!$A$2:$A$1000,0),MATCH(J$1,'Master data'!$B$1:$CL$1,0)),"")</f>
        <v>-1710.4279907651849</v>
      </c>
      <c r="K291" s="7">
        <f>IFERROR(INDEX('Master data'!$B$2:$CL$1000,MATCH($B291,'Master data'!$A$2:$A$1000,0),MATCH(K$1,'Master data'!$B$1:$CL$1,0)),"")</f>
        <v>-864.18652424542086</v>
      </c>
      <c r="L291" s="7">
        <f>IFERROR(INDEX('Master data'!$B$2:$CL$1000,MATCH($B291,'Master data'!$A$2:$A$1000,0),MATCH(L$1,'Master data'!$B$1:$CL$1,0)),"")</f>
        <v>-409.26165283487165</v>
      </c>
      <c r="M291" s="5">
        <f>IFERROR(INDEX('Master data'!$B$2:$CL$1000,MATCH($B291,'Master data'!$A$2:$A$1000,0),MATCH(M$1,'Master data'!$B$1:$CL$1,0)),"")</f>
        <v>49425.020351931635</v>
      </c>
      <c r="N291" s="28">
        <f>IFERROR(INDEX('Master data'!$B$2:$CL$1000,MATCH($B291,'Master data'!$A$2:$A$1000,0),MATCH(N$1,'Master data'!$B$1:$CL$1,0)),"")</f>
        <v>2.5600402680921709E-2</v>
      </c>
      <c r="O291" s="7">
        <f>IFERROR(INDEX('Master data'!$B$2:$CL$1000,MATCH($B291,'Master data'!$A$2:$A$1000,0),MATCH(O$1,'Master data'!$B$1:$CL$1,0)),"")</f>
        <v>0</v>
      </c>
      <c r="P291" s="5">
        <f>IFERROR(INDEX('Master data'!$B$2:$CL$1000,MATCH($B291,'Master data'!$A$2:$A$1000,0),MATCH(P$1,'Master data'!$B$1:$CL$1,0)),"")</f>
        <v>3000000</v>
      </c>
      <c r="Q291" s="5">
        <f>IFERROR(INDEX('Master data'!$B$2:$CL$1000,MATCH($B291,'Master data'!$A$2:$A$1000,0),MATCH(Q$1,'Master data'!$B$1:$CL$1,0)),"")</f>
        <v>3000000</v>
      </c>
    </row>
    <row r="292" spans="1:17" hidden="1">
      <c r="A292">
        <f t="shared" si="4"/>
        <v>290</v>
      </c>
      <c r="B292" t="str">
        <f>IF('Master data'!A292="","",'Master data'!A292)</f>
        <v>Mike Maignan</v>
      </c>
      <c r="C292" t="str">
        <f>IFERROR(INDEX('Master data'!$B$2:$CL$1000,MATCH($B292,'Master data'!$A$2:$A$1000,0),MATCH(C$1,'Master data'!$B$1:$CL$1,0)),"")</f>
        <v>France</v>
      </c>
      <c r="D292" t="str">
        <f>IFERROR(INDEX('Master data'!$B$2:$CL$1000,MATCH($B292,'Master data'!$A$2:$A$1000,0),MATCH(D$1,'Master data'!$B$1:$CL$1,0)),"")</f>
        <v>Goalkeeper</v>
      </c>
      <c r="E292" s="5">
        <f>IFERROR(INDEX('Master data'!$B$2:$CL$1000,MATCH($B292,'Master data'!$A$2:$A$1000,0),MATCH(E$1,'Master data'!$B$1:$CL$1,0)),"")</f>
        <v>5000000</v>
      </c>
      <c r="F292" s="7">
        <f>IFERROR(INDEX('Master data'!$B$2:$CL$1000,MATCH($B292,'Master data'!$A$2:$A$1000,0),MATCH(F$1,'Master data'!$B$1:$CL$1,0)),"")</f>
        <v>29341.166805851564</v>
      </c>
      <c r="G292" s="7">
        <f>IFERROR(INDEX('Master data'!$B$2:$CL$1000,MATCH($B292,'Master data'!$A$2:$A$1000,0),MATCH(G$1,'Master data'!$B$1:$CL$1,0)),"")</f>
        <v>36774.009509566014</v>
      </c>
      <c r="H292" s="7">
        <f>IFERROR(INDEX('Master data'!$B$2:$CL$1000,MATCH($B292,'Master data'!$A$2:$A$1000,0),MATCH(H$1,'Master data'!$B$1:$CL$1,0)),"")</f>
        <v>32584.314472556543</v>
      </c>
      <c r="I292" s="7">
        <f>IFERROR(INDEX('Master data'!$B$2:$CL$1000,MATCH($B292,'Master data'!$A$2:$A$1000,0),MATCH(I$1,'Master data'!$B$1:$CL$1,0)),"")</f>
        <v>-15965.752088354959</v>
      </c>
      <c r="J292" s="7">
        <f>IFERROR(INDEX('Master data'!$B$2:$CL$1000,MATCH($B292,'Master data'!$A$2:$A$1000,0),MATCH(J$1,'Master data'!$B$1:$CL$1,0)),"")</f>
        <v>-8448.9354579357732</v>
      </c>
      <c r="K292" s="7">
        <f>IFERROR(INDEX('Master data'!$B$2:$CL$1000,MATCH($B292,'Master data'!$A$2:$A$1000,0),MATCH(K$1,'Master data'!$B$1:$CL$1,0)),"")</f>
        <v>-4607.3114546921352</v>
      </c>
      <c r="L292" s="7">
        <f>IFERROR(INDEX('Master data'!$B$2:$CL$1000,MATCH($B292,'Master data'!$A$2:$A$1000,0),MATCH(L$1,'Master data'!$B$1:$CL$1,0)),"")</f>
        <v>-2747.3959377367742</v>
      </c>
      <c r="M292" s="5">
        <f>IFERROR(INDEX('Master data'!$B$2:$CL$1000,MATCH($B292,'Master data'!$A$2:$A$1000,0),MATCH(M$1,'Master data'!$B$1:$CL$1,0)),"")</f>
        <v>61091.64981554207</v>
      </c>
      <c r="N292" s="28">
        <f>IFERROR(INDEX('Master data'!$B$2:$CL$1000,MATCH($B292,'Master data'!$A$2:$A$1000,0),MATCH(N$1,'Master data'!$B$1:$CL$1,0)),"")</f>
        <v>1.9739898157594825E-2</v>
      </c>
      <c r="O292" s="7">
        <f>IFERROR(INDEX('Master data'!$B$2:$CL$1000,MATCH($B292,'Master data'!$A$2:$A$1000,0),MATCH(O$1,'Master data'!$B$1:$CL$1,0)),"")</f>
        <v>0</v>
      </c>
      <c r="P292" s="5">
        <f>IFERROR(INDEX('Master data'!$B$2:$CL$1000,MATCH($B292,'Master data'!$A$2:$A$1000,0),MATCH(P$1,'Master data'!$B$1:$CL$1,0)),"")</f>
        <v>5000000</v>
      </c>
      <c r="Q292" s="5">
        <f>IFERROR(INDEX('Master data'!$B$2:$CL$1000,MATCH($B292,'Master data'!$A$2:$A$1000,0),MATCH(Q$1,'Master data'!$B$1:$CL$1,0)),"")</f>
        <v>5000000</v>
      </c>
    </row>
    <row r="293" spans="1:17" hidden="1">
      <c r="A293">
        <f t="shared" si="4"/>
        <v>291</v>
      </c>
      <c r="B293" t="str">
        <f>IF('Master data'!A293="","",'Master data'!A293)</f>
        <v>Ben B. Davies</v>
      </c>
      <c r="C293" t="str">
        <f>IFERROR(INDEX('Master data'!$B$2:$CL$1000,MATCH($B293,'Master data'!$A$2:$A$1000,0),MATCH(C$1,'Master data'!$B$1:$CL$1,0)),"")</f>
        <v>Wales</v>
      </c>
      <c r="D293" t="str">
        <f>IFERROR(INDEX('Master data'!$B$2:$CL$1000,MATCH($B293,'Master data'!$A$2:$A$1000,0),MATCH(D$1,'Master data'!$B$1:$CL$1,0)),"")</f>
        <v>Defense</v>
      </c>
      <c r="E293" s="5">
        <f>IFERROR(INDEX('Master data'!$B$2:$CL$1000,MATCH($B293,'Master data'!$A$2:$A$1000,0),MATCH(E$1,'Master data'!$B$1:$CL$1,0)),"")</f>
        <v>3000000</v>
      </c>
      <c r="F293" s="7">
        <f>IFERROR(INDEX('Master data'!$B$2:$CL$1000,MATCH($B293,'Master data'!$A$2:$A$1000,0),MATCH(F$1,'Master data'!$B$1:$CL$1,0)),"")</f>
        <v>32254.569407956362</v>
      </c>
      <c r="G293" s="7">
        <f>IFERROR(INDEX('Master data'!$B$2:$CL$1000,MATCH($B293,'Master data'!$A$2:$A$1000,0),MATCH(G$1,'Master data'!$B$1:$CL$1,0)),"")</f>
        <v>33231.060807072223</v>
      </c>
      <c r="H293" s="7">
        <f>IFERROR(INDEX('Master data'!$B$2:$CL$1000,MATCH($B293,'Master data'!$A$2:$A$1000,0),MATCH(H$1,'Master data'!$B$1:$CL$1,0)),"")</f>
        <v>6647.8978353790226</v>
      </c>
      <c r="I293" s="7">
        <f>IFERROR(INDEX('Master data'!$B$2:$CL$1000,MATCH($B293,'Master data'!$A$2:$A$1000,0),MATCH(I$1,'Master data'!$B$1:$CL$1,0)),"")</f>
        <v>-3290.1792830131644</v>
      </c>
      <c r="J293" s="7">
        <f>IFERROR(INDEX('Master data'!$B$2:$CL$1000,MATCH($B293,'Master data'!$A$2:$A$1000,0),MATCH(J$1,'Master data'!$B$1:$CL$1,0)),"")</f>
        <v>-1674.2534131856905</v>
      </c>
      <c r="K293" s="7">
        <f>IFERROR(INDEX('Master data'!$B$2:$CL$1000,MATCH($B293,'Master data'!$A$2:$A$1000,0),MATCH(K$1,'Master data'!$B$1:$CL$1,0)),"")</f>
        <v>-836.93161999770234</v>
      </c>
      <c r="L293" s="7">
        <f>IFERROR(INDEX('Master data'!$B$2:$CL$1000,MATCH($B293,'Master data'!$A$2:$A$1000,0),MATCH(L$1,'Master data'!$B$1:$CL$1,0)),"")</f>
        <v>-393.48073417968493</v>
      </c>
      <c r="M293" s="5">
        <f>IFERROR(INDEX('Master data'!$B$2:$CL$1000,MATCH($B293,'Master data'!$A$2:$A$1000,0),MATCH(M$1,'Master data'!$B$1:$CL$1,0)),"")</f>
        <v>55912.889067439275</v>
      </c>
      <c r="N293" s="28">
        <f>IFERROR(INDEX('Master data'!$B$2:$CL$1000,MATCH($B293,'Master data'!$A$2:$A$1000,0),MATCH(N$1,'Master data'!$B$1:$CL$1,0)),"")</f>
        <v>2.404450935013587E-2</v>
      </c>
      <c r="O293" s="7">
        <f>IFERROR(INDEX('Master data'!$B$2:$CL$1000,MATCH($B293,'Master data'!$A$2:$A$1000,0),MATCH(O$1,'Master data'!$B$1:$CL$1,0)),"")</f>
        <v>0</v>
      </c>
      <c r="P293" s="5">
        <f>IFERROR(INDEX('Master data'!$B$2:$CL$1000,MATCH($B293,'Master data'!$A$2:$A$1000,0),MATCH(P$1,'Master data'!$B$1:$CL$1,0)),"")</f>
        <v>3000000</v>
      </c>
      <c r="Q293" s="5">
        <f>IFERROR(INDEX('Master data'!$B$2:$CL$1000,MATCH($B293,'Master data'!$A$2:$A$1000,0),MATCH(Q$1,'Master data'!$B$1:$CL$1,0)),"")</f>
        <v>3000000</v>
      </c>
    </row>
    <row r="294" spans="1:17" hidden="1">
      <c r="A294">
        <f t="shared" si="4"/>
        <v>292</v>
      </c>
      <c r="B294" t="str">
        <f>IF('Master data'!A294="","",'Master data'!A294)</f>
        <v>Aaron Ramsey</v>
      </c>
      <c r="C294" t="str">
        <f>IFERROR(INDEX('Master data'!$B$2:$CL$1000,MATCH($B294,'Master data'!$A$2:$A$1000,0),MATCH(C$1,'Master data'!$B$1:$CL$1,0)),"")</f>
        <v>Wales</v>
      </c>
      <c r="D294" t="str">
        <f>IFERROR(INDEX('Master data'!$B$2:$CL$1000,MATCH($B294,'Master data'!$A$2:$A$1000,0),MATCH(D$1,'Master data'!$B$1:$CL$1,0)),"")</f>
        <v>Midfield</v>
      </c>
      <c r="E294" s="5">
        <f>IFERROR(INDEX('Master data'!$B$2:$CL$1000,MATCH($B294,'Master data'!$A$2:$A$1000,0),MATCH(E$1,'Master data'!$B$1:$CL$1,0)),"")</f>
        <v>4000000</v>
      </c>
      <c r="F294" s="7">
        <f>IFERROR(INDEX('Master data'!$B$2:$CL$1000,MATCH($B294,'Master data'!$A$2:$A$1000,0),MATCH(F$1,'Master data'!$B$1:$CL$1,0)),"")</f>
        <v>-5000</v>
      </c>
      <c r="G294" s="7">
        <f>IFERROR(INDEX('Master data'!$B$2:$CL$1000,MATCH($B294,'Master data'!$A$2:$A$1000,0),MATCH(G$1,'Master data'!$B$1:$CL$1,0)),"")</f>
        <v>-5000</v>
      </c>
      <c r="H294" s="7">
        <f>IFERROR(INDEX('Master data'!$B$2:$CL$1000,MATCH($B294,'Master data'!$A$2:$A$1000,0),MATCH(H$1,'Master data'!$B$1:$CL$1,0)),"")</f>
        <v>-5000</v>
      </c>
      <c r="I294" s="7">
        <f>IFERROR(INDEX('Master data'!$B$2:$CL$1000,MATCH($B294,'Master data'!$A$2:$A$1000,0),MATCH(I$1,'Master data'!$B$1:$CL$1,0)),"")</f>
        <v>-22101.001640910326</v>
      </c>
      <c r="J294" s="7">
        <f>IFERROR(INDEX('Master data'!$B$2:$CL$1000,MATCH($B294,'Master data'!$A$2:$A$1000,0),MATCH(J$1,'Master data'!$B$1:$CL$1,0)),"")</f>
        <v>-10843.373441909718</v>
      </c>
      <c r="K294" s="7">
        <f>IFERROR(INDEX('Master data'!$B$2:$CL$1000,MATCH($B294,'Master data'!$A$2:$A$1000,0),MATCH(K$1,'Master data'!$B$1:$CL$1,0)),"")</f>
        <v>-5232.4916748240357</v>
      </c>
      <c r="L294" s="7">
        <f>IFERROR(INDEX('Master data'!$B$2:$CL$1000,MATCH($B294,'Master data'!$A$2:$A$1000,0),MATCH(L$1,'Master data'!$B$1:$CL$1,0)),"")</f>
        <v>-2377.4270817434817</v>
      </c>
      <c r="M294" s="5">
        <f>IFERROR(INDEX('Master data'!$B$2:$CL$1000,MATCH($B294,'Master data'!$A$2:$A$1000,0),MATCH(M$1,'Master data'!$B$1:$CL$1,0)),"")</f>
        <v>-20143.671692848173</v>
      </c>
      <c r="N294" s="28">
        <f>IFERROR(INDEX('Master data'!$B$2:$CL$1000,MATCH($B294,'Master data'!$A$2:$A$1000,0),MATCH(N$1,'Master data'!$B$1:$CL$1,0)),"")</f>
        <v>-3.7499999999999999E-3</v>
      </c>
      <c r="O294" s="7">
        <f>IFERROR(INDEX('Master data'!$B$2:$CL$1000,MATCH($B294,'Master data'!$A$2:$A$1000,0),MATCH(O$1,'Master data'!$B$1:$CL$1,0)),"")</f>
        <v>0</v>
      </c>
      <c r="P294" s="5">
        <f>IFERROR(INDEX('Master data'!$B$2:$CL$1000,MATCH($B294,'Master data'!$A$2:$A$1000,0),MATCH(P$1,'Master data'!$B$1:$CL$1,0)),"")</f>
        <v>4000000</v>
      </c>
      <c r="Q294" s="5">
        <f>IFERROR(INDEX('Master data'!$B$2:$CL$1000,MATCH($B294,'Master data'!$A$2:$A$1000,0),MATCH(Q$1,'Master data'!$B$1:$CL$1,0)),"")</f>
        <v>4000000</v>
      </c>
    </row>
    <row r="295" spans="1:17" hidden="1">
      <c r="A295">
        <f t="shared" si="4"/>
        <v>293</v>
      </c>
      <c r="B295" t="str">
        <f>IF('Master data'!A295="","",'Master data'!A295)</f>
        <v>Joe Allen</v>
      </c>
      <c r="C295" t="str">
        <f>IFERROR(INDEX('Master data'!$B$2:$CL$1000,MATCH($B295,'Master data'!$A$2:$A$1000,0),MATCH(C$1,'Master data'!$B$1:$CL$1,0)),"")</f>
        <v>Wales</v>
      </c>
      <c r="D295" t="str">
        <f>IFERROR(INDEX('Master data'!$B$2:$CL$1000,MATCH($B295,'Master data'!$A$2:$A$1000,0),MATCH(D$1,'Master data'!$B$1:$CL$1,0)),"")</f>
        <v>Midfield</v>
      </c>
      <c r="E295" s="5">
        <f>IFERROR(INDEX('Master data'!$B$2:$CL$1000,MATCH($B295,'Master data'!$A$2:$A$1000,0),MATCH(E$1,'Master data'!$B$1:$CL$1,0)),"")</f>
        <v>3000000</v>
      </c>
      <c r="F295" s="7">
        <f>IFERROR(INDEX('Master data'!$B$2:$CL$1000,MATCH($B295,'Master data'!$A$2:$A$1000,0),MATCH(F$1,'Master data'!$B$1:$CL$1,0)),"")</f>
        <v>14433.32293120611</v>
      </c>
      <c r="G295" s="7">
        <f>IFERROR(INDEX('Master data'!$B$2:$CL$1000,MATCH($B295,'Master data'!$A$2:$A$1000,0),MATCH(G$1,'Master data'!$B$1:$CL$1,0)),"")</f>
        <v>17290.475273358286</v>
      </c>
      <c r="H295" s="7">
        <f>IFERROR(INDEX('Master data'!$B$2:$CL$1000,MATCH($B295,'Master data'!$A$2:$A$1000,0),MATCH(H$1,'Master data'!$B$1:$CL$1,0)),"")</f>
        <v>-3577.269761882937</v>
      </c>
      <c r="I295" s="7">
        <f>IFERROR(INDEX('Master data'!$B$2:$CL$1000,MATCH($B295,'Master data'!$A$2:$A$1000,0),MATCH(I$1,'Master data'!$B$1:$CL$1,0)),"")</f>
        <v>-10298.667190808072</v>
      </c>
      <c r="J295" s="7">
        <f>IFERROR(INDEX('Master data'!$B$2:$CL$1000,MATCH($B295,'Master data'!$A$2:$A$1000,0),MATCH(J$1,'Master data'!$B$1:$CL$1,0)),"")</f>
        <v>-5081.163865583625</v>
      </c>
      <c r="K295" s="7">
        <f>IFERROR(INDEX('Master data'!$B$2:$CL$1000,MATCH($B295,'Master data'!$A$2:$A$1000,0),MATCH(K$1,'Master data'!$B$1:$CL$1,0)),"")</f>
        <v>-2465.6357450295045</v>
      </c>
      <c r="L295" s="7">
        <f>IFERROR(INDEX('Master data'!$B$2:$CL$1000,MATCH($B295,'Master data'!$A$2:$A$1000,0),MATCH(L$1,'Master data'!$B$1:$CL$1,0)),"")</f>
        <v>-1126.5257085668973</v>
      </c>
      <c r="M295" s="5">
        <f>IFERROR(INDEX('Master data'!$B$2:$CL$1000,MATCH($B295,'Master data'!$A$2:$A$1000,0),MATCH(M$1,'Master data'!$B$1:$CL$1,0)),"")</f>
        <v>19891.672990564624</v>
      </c>
      <c r="N295" s="28">
        <f>IFERROR(INDEX('Master data'!$B$2:$CL$1000,MATCH($B295,'Master data'!$A$2:$A$1000,0),MATCH(N$1,'Master data'!$B$1:$CL$1,0)),"")</f>
        <v>9.3821761475604854E-3</v>
      </c>
      <c r="O295" s="7">
        <f>IFERROR(INDEX('Master data'!$B$2:$CL$1000,MATCH($B295,'Master data'!$A$2:$A$1000,0),MATCH(O$1,'Master data'!$B$1:$CL$1,0)),"")</f>
        <v>0</v>
      </c>
      <c r="P295" s="5">
        <f>IFERROR(INDEX('Master data'!$B$2:$CL$1000,MATCH($B295,'Master data'!$A$2:$A$1000,0),MATCH(P$1,'Master data'!$B$1:$CL$1,0)),"")</f>
        <v>3000000</v>
      </c>
      <c r="Q295" s="5">
        <f>IFERROR(INDEX('Master data'!$B$2:$CL$1000,MATCH($B295,'Master data'!$A$2:$A$1000,0),MATCH(Q$1,'Master data'!$B$1:$CL$1,0)),"")</f>
        <v>3000000</v>
      </c>
    </row>
    <row r="296" spans="1:17" hidden="1">
      <c r="A296">
        <f t="shared" si="4"/>
        <v>294</v>
      </c>
      <c r="B296" t="str">
        <f>IF('Master data'!A296="","",'Master data'!A296)</f>
        <v>Daniel James</v>
      </c>
      <c r="C296" t="str">
        <f>IFERROR(INDEX('Master data'!$B$2:$CL$1000,MATCH($B296,'Master data'!$A$2:$A$1000,0),MATCH(C$1,'Master data'!$B$1:$CL$1,0)),"")</f>
        <v>Wales</v>
      </c>
      <c r="D296" t="str">
        <f>IFERROR(INDEX('Master data'!$B$2:$CL$1000,MATCH($B296,'Master data'!$A$2:$A$1000,0),MATCH(D$1,'Master data'!$B$1:$CL$1,0)),"")</f>
        <v>Midfield</v>
      </c>
      <c r="E296" s="5">
        <f>IFERROR(INDEX('Master data'!$B$2:$CL$1000,MATCH($B296,'Master data'!$A$2:$A$1000,0),MATCH(E$1,'Master data'!$B$1:$CL$1,0)),"")</f>
        <v>3500000</v>
      </c>
      <c r="F296" s="7">
        <f>IFERROR(INDEX('Master data'!$B$2:$CL$1000,MATCH($B296,'Master data'!$A$2:$A$1000,0),MATCH(F$1,'Master data'!$B$1:$CL$1,0)),"")</f>
        <v>38532.429725875787</v>
      </c>
      <c r="G296" s="7">
        <f>IFERROR(INDEX('Master data'!$B$2:$CL$1000,MATCH($B296,'Master data'!$A$2:$A$1000,0),MATCH(G$1,'Master data'!$B$1:$CL$1,0)),"")</f>
        <v>46007.001877649091</v>
      </c>
      <c r="H296" s="7">
        <f>IFERROR(INDEX('Master data'!$B$2:$CL$1000,MATCH($B296,'Master data'!$A$2:$A$1000,0),MATCH(H$1,'Master data'!$B$1:$CL$1,0)),"")</f>
        <v>13861.223563363201</v>
      </c>
      <c r="I296" s="7">
        <f>IFERROR(INDEX('Master data'!$B$2:$CL$1000,MATCH($B296,'Master data'!$A$2:$A$1000,0),MATCH(I$1,'Master data'!$B$1:$CL$1,0)),"")</f>
        <v>-1568.8942565948787</v>
      </c>
      <c r="J296" s="7">
        <f>IFERROR(INDEX('Master data'!$B$2:$CL$1000,MATCH($B296,'Master data'!$A$2:$A$1000,0),MATCH(J$1,'Master data'!$B$1:$CL$1,0)),"")</f>
        <v>-849.99228075517658</v>
      </c>
      <c r="K296" s="7">
        <f>IFERROR(INDEX('Master data'!$B$2:$CL$1000,MATCH($B296,'Master data'!$A$2:$A$1000,0),MATCH(K$1,'Master data'!$B$1:$CL$1,0)),"")</f>
        <v>-448.9761441076335</v>
      </c>
      <c r="L296" s="7">
        <f>IFERROR(INDEX('Master data'!$B$2:$CL$1000,MATCH($B296,'Master data'!$A$2:$A$1000,0),MATCH(L$1,'Master data'!$B$1:$CL$1,0)),"")</f>
        <v>-221.66953076292208</v>
      </c>
      <c r="M296" s="5">
        <f>IFERROR(INDEX('Master data'!$B$2:$CL$1000,MATCH($B296,'Master data'!$A$2:$A$1000,0),MATCH(M$1,'Master data'!$B$1:$CL$1,0)),"")</f>
        <v>74652.965719580519</v>
      </c>
      <c r="N296" s="28">
        <f>IFERROR(INDEX('Master data'!$B$2:$CL$1000,MATCH($B296,'Master data'!$A$2:$A$1000,0),MATCH(N$1,'Master data'!$B$1:$CL$1,0)),"")</f>
        <v>2.8114472904825168E-2</v>
      </c>
      <c r="O296" s="7">
        <f>IFERROR(INDEX('Master data'!$B$2:$CL$1000,MATCH($B296,'Master data'!$A$2:$A$1000,0),MATCH(O$1,'Master data'!$B$1:$CL$1,0)),"")</f>
        <v>0</v>
      </c>
      <c r="P296" s="5">
        <f>IFERROR(INDEX('Master data'!$B$2:$CL$1000,MATCH($B296,'Master data'!$A$2:$A$1000,0),MATCH(P$1,'Master data'!$B$1:$CL$1,0)),"")</f>
        <v>3500000</v>
      </c>
      <c r="Q296" s="5">
        <f>IFERROR(INDEX('Master data'!$B$2:$CL$1000,MATCH($B296,'Master data'!$A$2:$A$1000,0),MATCH(Q$1,'Master data'!$B$1:$CL$1,0)),"")</f>
        <v>3500000</v>
      </c>
    </row>
    <row r="297" spans="1:17" hidden="1">
      <c r="A297">
        <f t="shared" si="4"/>
        <v>295</v>
      </c>
      <c r="B297" t="str">
        <f>IF('Master data'!A297="","",'Master data'!A297)</f>
        <v>David Brooks</v>
      </c>
      <c r="C297" t="str">
        <f>IFERROR(INDEX('Master data'!$B$2:$CL$1000,MATCH($B297,'Master data'!$A$2:$A$1000,0),MATCH(C$1,'Master data'!$B$1:$CL$1,0)),"")</f>
        <v>Wales</v>
      </c>
      <c r="D297" t="str">
        <f>IFERROR(INDEX('Master data'!$B$2:$CL$1000,MATCH($B297,'Master data'!$A$2:$A$1000,0),MATCH(D$1,'Master data'!$B$1:$CL$1,0)),"")</f>
        <v>Midfield</v>
      </c>
      <c r="E297" s="5">
        <f>IFERROR(INDEX('Master data'!$B$2:$CL$1000,MATCH($B297,'Master data'!$A$2:$A$1000,0),MATCH(E$1,'Master data'!$B$1:$CL$1,0)),"")</f>
        <v>3000000</v>
      </c>
      <c r="F297" s="7">
        <f>IFERROR(INDEX('Master data'!$B$2:$CL$1000,MATCH($B297,'Master data'!$A$2:$A$1000,0),MATCH(F$1,'Master data'!$B$1:$CL$1,0)),"")</f>
        <v>-5000</v>
      </c>
      <c r="G297" s="7">
        <f>IFERROR(INDEX('Master data'!$B$2:$CL$1000,MATCH($B297,'Master data'!$A$2:$A$1000,0),MATCH(G$1,'Master data'!$B$1:$CL$1,0)),"")</f>
        <v>-5000</v>
      </c>
      <c r="H297" s="7">
        <f>IFERROR(INDEX('Master data'!$B$2:$CL$1000,MATCH($B297,'Master data'!$A$2:$A$1000,0),MATCH(H$1,'Master data'!$B$1:$CL$1,0)),"")</f>
        <v>-5000</v>
      </c>
      <c r="I297" s="7">
        <f>IFERROR(INDEX('Master data'!$B$2:$CL$1000,MATCH($B297,'Master data'!$A$2:$A$1000,0),MATCH(I$1,'Master data'!$B$1:$CL$1,0)),"")</f>
        <v>-17173.24207771962</v>
      </c>
      <c r="J297" s="7">
        <f>IFERROR(INDEX('Master data'!$B$2:$CL$1000,MATCH($B297,'Master data'!$A$2:$A$1000,0),MATCH(J$1,'Master data'!$B$1:$CL$1,0)),"")</f>
        <v>-8422.977584340586</v>
      </c>
      <c r="K297" s="7">
        <f>IFERROR(INDEX('Master data'!$B$2:$CL$1000,MATCH($B297,'Master data'!$A$2:$A$1000,0),MATCH(K$1,'Master data'!$B$1:$CL$1,0)),"")</f>
        <v>-4063.2197921817929</v>
      </c>
      <c r="L297" s="7">
        <f>IFERROR(INDEX('Master data'!$B$2:$CL$1000,MATCH($B297,'Master data'!$A$2:$A$1000,0),MATCH(L$1,'Master data'!$B$1:$CL$1,0)),"")</f>
        <v>-1845.5641999216737</v>
      </c>
      <c r="M297" s="5">
        <f>IFERROR(INDEX('Master data'!$B$2:$CL$1000,MATCH($B297,'Master data'!$A$2:$A$1000,0),MATCH(M$1,'Master data'!$B$1:$CL$1,0)),"")</f>
        <v>-18004.820671847629</v>
      </c>
      <c r="N297" s="28">
        <f>IFERROR(INDEX('Master data'!$B$2:$CL$1000,MATCH($B297,'Master data'!$A$2:$A$1000,0),MATCH(N$1,'Master data'!$B$1:$CL$1,0)),"")</f>
        <v>-5.0000000000000001E-3</v>
      </c>
      <c r="O297" s="7">
        <f>IFERROR(INDEX('Master data'!$B$2:$CL$1000,MATCH($B297,'Master data'!$A$2:$A$1000,0),MATCH(O$1,'Master data'!$B$1:$CL$1,0)),"")</f>
        <v>0</v>
      </c>
      <c r="P297" s="5">
        <f>IFERROR(INDEX('Master data'!$B$2:$CL$1000,MATCH($B297,'Master data'!$A$2:$A$1000,0),MATCH(P$1,'Master data'!$B$1:$CL$1,0)),"")</f>
        <v>3000000</v>
      </c>
      <c r="Q297" s="5">
        <f>IFERROR(INDEX('Master data'!$B$2:$CL$1000,MATCH($B297,'Master data'!$A$2:$A$1000,0),MATCH(Q$1,'Master data'!$B$1:$CL$1,0)),"")</f>
        <v>3000000</v>
      </c>
    </row>
    <row r="298" spans="1:17" hidden="1">
      <c r="A298">
        <f t="shared" si="4"/>
        <v>296</v>
      </c>
      <c r="B298" t="str">
        <f>IF('Master data'!A298="","",'Master data'!A298)</f>
        <v>Viktor Claesson</v>
      </c>
      <c r="C298" t="str">
        <f>IFERROR(INDEX('Master data'!$B$2:$CL$1000,MATCH($B298,'Master data'!$A$2:$A$1000,0),MATCH(C$1,'Master data'!$B$1:$CL$1,0)),"")</f>
        <v>Sweden</v>
      </c>
      <c r="D298" t="str">
        <f>IFERROR(INDEX('Master data'!$B$2:$CL$1000,MATCH($B298,'Master data'!$A$2:$A$1000,0),MATCH(D$1,'Master data'!$B$1:$CL$1,0)),"")</f>
        <v>Midfield</v>
      </c>
      <c r="E298" s="5">
        <f>IFERROR(INDEX('Master data'!$B$2:$CL$1000,MATCH($B298,'Master data'!$A$2:$A$1000,0),MATCH(E$1,'Master data'!$B$1:$CL$1,0)),"")</f>
        <v>4000000</v>
      </c>
      <c r="F298" s="7">
        <f>IFERROR(INDEX('Master data'!$B$2:$CL$1000,MATCH($B298,'Master data'!$A$2:$A$1000,0),MATCH(F$1,'Master data'!$B$1:$CL$1,0)),"")</f>
        <v>1586.9306336777845</v>
      </c>
      <c r="G298" s="7">
        <f>IFERROR(INDEX('Master data'!$B$2:$CL$1000,MATCH($B298,'Master data'!$A$2:$A$1000,0),MATCH(G$1,'Master data'!$B$1:$CL$1,0)),"")</f>
        <v>49093.639191542155</v>
      </c>
      <c r="H298" s="7">
        <f>IFERROR(INDEX('Master data'!$B$2:$CL$1000,MATCH($B298,'Master data'!$A$2:$A$1000,0),MATCH(H$1,'Master data'!$B$1:$CL$1,0)),"")</f>
        <v>37166.636308920199</v>
      </c>
      <c r="I298" s="7">
        <f>IFERROR(INDEX('Master data'!$B$2:$CL$1000,MATCH($B298,'Master data'!$A$2:$A$1000,0),MATCH(I$1,'Master data'!$B$1:$CL$1,0)),"")</f>
        <v>-7594.4418409630707</v>
      </c>
      <c r="J298" s="7">
        <f>IFERROR(INDEX('Master data'!$B$2:$CL$1000,MATCH($B298,'Master data'!$A$2:$A$1000,0),MATCH(J$1,'Master data'!$B$1:$CL$1,0)),"")</f>
        <v>-3829.8918546899727</v>
      </c>
      <c r="K298" s="7">
        <f>IFERROR(INDEX('Master data'!$B$2:$CL$1000,MATCH($B298,'Master data'!$A$2:$A$1000,0),MATCH(K$1,'Master data'!$B$1:$CL$1,0)),"")</f>
        <v>-1901.1478098301873</v>
      </c>
      <c r="L298" s="7">
        <f>IFERROR(INDEX('Master data'!$B$2:$CL$1000,MATCH($B298,'Master data'!$A$2:$A$1000,0),MATCH(L$1,'Master data'!$B$1:$CL$1,0)),"")</f>
        <v>-892.92354574671674</v>
      </c>
      <c r="M298" s="5">
        <f>IFERROR(INDEX('Master data'!$B$2:$CL$1000,MATCH($B298,'Master data'!$A$2:$A$1000,0),MATCH(M$1,'Master data'!$B$1:$CL$1,0)),"")</f>
        <v>47499.053610062925</v>
      </c>
      <c r="N298" s="28">
        <f>IFERROR(INDEX('Master data'!$B$2:$CL$1000,MATCH($B298,'Master data'!$A$2:$A$1000,0),MATCH(N$1,'Master data'!$B$1:$CL$1,0)),"")</f>
        <v>2.1961801533535035E-2</v>
      </c>
      <c r="O298" s="7">
        <f>IFERROR(INDEX('Master data'!$B$2:$CL$1000,MATCH($B298,'Master data'!$A$2:$A$1000,0),MATCH(O$1,'Master data'!$B$1:$CL$1,0)),"")</f>
        <v>0</v>
      </c>
      <c r="P298" s="5">
        <f>IFERROR(INDEX('Master data'!$B$2:$CL$1000,MATCH($B298,'Master data'!$A$2:$A$1000,0),MATCH(P$1,'Master data'!$B$1:$CL$1,0)),"")</f>
        <v>4000000</v>
      </c>
      <c r="Q298" s="5">
        <f>IFERROR(INDEX('Master data'!$B$2:$CL$1000,MATCH($B298,'Master data'!$A$2:$A$1000,0),MATCH(Q$1,'Master data'!$B$1:$CL$1,0)),"")</f>
        <v>4000000</v>
      </c>
    </row>
    <row r="299" spans="1:17" hidden="1">
      <c r="A299">
        <f t="shared" si="4"/>
        <v>297</v>
      </c>
      <c r="B299" t="str">
        <f>IF('Master data'!A299="","",'Master data'!A299)</f>
        <v>Marcus Berg</v>
      </c>
      <c r="C299" t="str">
        <f>IFERROR(INDEX('Master data'!$B$2:$CL$1000,MATCH($B299,'Master data'!$A$2:$A$1000,0),MATCH(C$1,'Master data'!$B$1:$CL$1,0)),"")</f>
        <v>Sweden</v>
      </c>
      <c r="D299" t="str">
        <f>IFERROR(INDEX('Master data'!$B$2:$CL$1000,MATCH($B299,'Master data'!$A$2:$A$1000,0),MATCH(D$1,'Master data'!$B$1:$CL$1,0)),"")</f>
        <v>Striker</v>
      </c>
      <c r="E299" s="5">
        <f>IFERROR(INDEX('Master data'!$B$2:$CL$1000,MATCH($B299,'Master data'!$A$2:$A$1000,0),MATCH(E$1,'Master data'!$B$1:$CL$1,0)),"")</f>
        <v>3500000</v>
      </c>
      <c r="F299" s="7">
        <f>IFERROR(INDEX('Master data'!$B$2:$CL$1000,MATCH($B299,'Master data'!$A$2:$A$1000,0),MATCH(F$1,'Master data'!$B$1:$CL$1,0)),"")</f>
        <v>12530.467496057841</v>
      </c>
      <c r="G299" s="7">
        <f>IFERROR(INDEX('Master data'!$B$2:$CL$1000,MATCH($B299,'Master data'!$A$2:$A$1000,0),MATCH(G$1,'Master data'!$B$1:$CL$1,0)),"")</f>
        <v>70118.792714977113</v>
      </c>
      <c r="H299" s="7">
        <f>IFERROR(INDEX('Master data'!$B$2:$CL$1000,MATCH($B299,'Master data'!$A$2:$A$1000,0),MATCH(H$1,'Master data'!$B$1:$CL$1,0)),"")</f>
        <v>56623.637823412901</v>
      </c>
      <c r="I299" s="7">
        <f>IFERROR(INDEX('Master data'!$B$2:$CL$1000,MATCH($B299,'Master data'!$A$2:$A$1000,0),MATCH(I$1,'Master data'!$B$1:$CL$1,0)),"")</f>
        <v>6569.8273291955029</v>
      </c>
      <c r="J299" s="7">
        <f>IFERROR(INDEX('Master data'!$B$2:$CL$1000,MATCH($B299,'Master data'!$A$2:$A$1000,0),MATCH(J$1,'Master data'!$B$1:$CL$1,0)),"")</f>
        <v>3082.0216796590303</v>
      </c>
      <c r="K299" s="7">
        <f>IFERROR(INDEX('Master data'!$B$2:$CL$1000,MATCH($B299,'Master data'!$A$2:$A$1000,0),MATCH(K$1,'Master data'!$B$1:$CL$1,0)),"")</f>
        <v>1420.6788275188856</v>
      </c>
      <c r="L299" s="7">
        <f>IFERROR(INDEX('Master data'!$B$2:$CL$1000,MATCH($B299,'Master data'!$A$2:$A$1000,0),MATCH(L$1,'Master data'!$B$1:$CL$1,0)),"")</f>
        <v>618.3653741872497</v>
      </c>
      <c r="M299" s="5">
        <f>IFERROR(INDEX('Master data'!$B$2:$CL$1000,MATCH($B299,'Master data'!$A$2:$A$1000,0),MATCH(M$1,'Master data'!$B$1:$CL$1,0)),"")</f>
        <v>87239.172970175234</v>
      </c>
      <c r="N299" s="28">
        <f>IFERROR(INDEX('Master data'!$B$2:$CL$1000,MATCH($B299,'Master data'!$A$2:$A$1000,0),MATCH(N$1,'Master data'!$B$1:$CL$1,0)),"")</f>
        <v>3.9792256581270821E-2</v>
      </c>
      <c r="O299" s="7">
        <f>IFERROR(INDEX('Master data'!$B$2:$CL$1000,MATCH($B299,'Master data'!$A$2:$A$1000,0),MATCH(O$1,'Master data'!$B$1:$CL$1,0)),"")</f>
        <v>0</v>
      </c>
      <c r="P299" s="5">
        <f>IFERROR(INDEX('Master data'!$B$2:$CL$1000,MATCH($B299,'Master data'!$A$2:$A$1000,0),MATCH(P$1,'Master data'!$B$1:$CL$1,0)),"")</f>
        <v>3500000</v>
      </c>
      <c r="Q299" s="5">
        <f>IFERROR(INDEX('Master data'!$B$2:$CL$1000,MATCH($B299,'Master data'!$A$2:$A$1000,0),MATCH(Q$1,'Master data'!$B$1:$CL$1,0)),"")</f>
        <v>3500000</v>
      </c>
    </row>
    <row r="300" spans="1:17" hidden="1">
      <c r="A300">
        <f t="shared" si="4"/>
        <v>298</v>
      </c>
      <c r="B300" t="str">
        <f>IF('Master data'!A300="","",'Master data'!A300)</f>
        <v>Wojciech Szczesny</v>
      </c>
      <c r="C300" t="str">
        <f>IFERROR(INDEX('Master data'!$B$2:$CL$1000,MATCH($B300,'Master data'!$A$2:$A$1000,0),MATCH(C$1,'Master data'!$B$1:$CL$1,0)),"")</f>
        <v>Poland</v>
      </c>
      <c r="D300" t="str">
        <f>IFERROR(INDEX('Master data'!$B$2:$CL$1000,MATCH($B300,'Master data'!$A$2:$A$1000,0),MATCH(D$1,'Master data'!$B$1:$CL$1,0)),"")</f>
        <v>Goalkeeper</v>
      </c>
      <c r="E300" s="5">
        <f>IFERROR(INDEX('Master data'!$B$2:$CL$1000,MATCH($B300,'Master data'!$A$2:$A$1000,0),MATCH(E$1,'Master data'!$B$1:$CL$1,0)),"")</f>
        <v>4000000</v>
      </c>
      <c r="F300" s="7">
        <f>IFERROR(INDEX('Master data'!$B$2:$CL$1000,MATCH($B300,'Master data'!$A$2:$A$1000,0),MATCH(F$1,'Master data'!$B$1:$CL$1,0)),"")</f>
        <v>68732.080299571797</v>
      </c>
      <c r="G300" s="7">
        <f>IFERROR(INDEX('Master data'!$B$2:$CL$1000,MATCH($B300,'Master data'!$A$2:$A$1000,0),MATCH(G$1,'Master data'!$B$1:$CL$1,0)),"")</f>
        <v>20837.180958927878</v>
      </c>
      <c r="H300" s="7">
        <f>IFERROR(INDEX('Master data'!$B$2:$CL$1000,MATCH($B300,'Master data'!$A$2:$A$1000,0),MATCH(H$1,'Master data'!$B$1:$CL$1,0)),"")</f>
        <v>45073.110587271032</v>
      </c>
      <c r="I300" s="7">
        <f>IFERROR(INDEX('Master data'!$B$2:$CL$1000,MATCH($B300,'Master data'!$A$2:$A$1000,0),MATCH(I$1,'Master data'!$B$1:$CL$1,0)),"")</f>
        <v>2344.9680501689786</v>
      </c>
      <c r="J300" s="7">
        <f>IFERROR(INDEX('Master data'!$B$2:$CL$1000,MATCH($B300,'Master data'!$A$2:$A$1000,0),MATCH(J$1,'Master data'!$B$1:$CL$1,0)),"")</f>
        <v>1007.763738923979</v>
      </c>
      <c r="K300" s="7">
        <f>IFERROR(INDEX('Master data'!$B$2:$CL$1000,MATCH($B300,'Master data'!$A$2:$A$1000,0),MATCH(K$1,'Master data'!$B$1:$CL$1,0)),"")</f>
        <v>417.8554337239546</v>
      </c>
      <c r="L300" s="7">
        <f>IFERROR(INDEX('Master data'!$B$2:$CL$1000,MATCH($B300,'Master data'!$A$2:$A$1000,0),MATCH(L$1,'Master data'!$B$1:$CL$1,0)),"")</f>
        <v>159.73969030616988</v>
      </c>
      <c r="M300" s="5">
        <f>IFERROR(INDEX('Master data'!$B$2:$CL$1000,MATCH($B300,'Master data'!$A$2:$A$1000,0),MATCH(M$1,'Master data'!$B$1:$CL$1,0)),"")</f>
        <v>103618.94767319788</v>
      </c>
      <c r="N300" s="28">
        <f>IFERROR(INDEX('Master data'!$B$2:$CL$1000,MATCH($B300,'Master data'!$A$2:$A$1000,0),MATCH(N$1,'Master data'!$B$1:$CL$1,0)),"")</f>
        <v>3.3660592961442672E-2</v>
      </c>
      <c r="O300" s="7">
        <f>IFERROR(INDEX('Master data'!$B$2:$CL$1000,MATCH($B300,'Master data'!$A$2:$A$1000,0),MATCH(O$1,'Master data'!$B$1:$CL$1,0)),"")</f>
        <v>0</v>
      </c>
      <c r="P300" s="5">
        <f>IFERROR(INDEX('Master data'!$B$2:$CL$1000,MATCH($B300,'Master data'!$A$2:$A$1000,0),MATCH(P$1,'Master data'!$B$1:$CL$1,0)),"")</f>
        <v>4000000</v>
      </c>
      <c r="Q300" s="5">
        <f>IFERROR(INDEX('Master data'!$B$2:$CL$1000,MATCH($B300,'Master data'!$A$2:$A$1000,0),MATCH(Q$1,'Master data'!$B$1:$CL$1,0)),"")</f>
        <v>4000000</v>
      </c>
    </row>
    <row r="301" spans="1:17" hidden="1">
      <c r="A301">
        <f t="shared" si="4"/>
        <v>299</v>
      </c>
      <c r="B301" t="str">
        <f>IF('Master data'!A301="","",'Master data'!A301)</f>
        <v>Piotr Zielinski</v>
      </c>
      <c r="C301" t="str">
        <f>IFERROR(INDEX('Master data'!$B$2:$CL$1000,MATCH($B301,'Master data'!$A$2:$A$1000,0),MATCH(C$1,'Master data'!$B$1:$CL$1,0)),"")</f>
        <v>Poland</v>
      </c>
      <c r="D301" t="str">
        <f>IFERROR(INDEX('Master data'!$B$2:$CL$1000,MATCH($B301,'Master data'!$A$2:$A$1000,0),MATCH(D$1,'Master data'!$B$1:$CL$1,0)),"")</f>
        <v>Midfield</v>
      </c>
      <c r="E301" s="5">
        <f>IFERROR(INDEX('Master data'!$B$2:$CL$1000,MATCH($B301,'Master data'!$A$2:$A$1000,0),MATCH(E$1,'Master data'!$B$1:$CL$1,0)),"")</f>
        <v>4000000</v>
      </c>
      <c r="F301" s="7">
        <f>IFERROR(INDEX('Master data'!$B$2:$CL$1000,MATCH($B301,'Master data'!$A$2:$A$1000,0),MATCH(F$1,'Master data'!$B$1:$CL$1,0)),"")</f>
        <v>66123.004398369943</v>
      </c>
      <c r="G301" s="7">
        <f>IFERROR(INDEX('Master data'!$B$2:$CL$1000,MATCH($B301,'Master data'!$A$2:$A$1000,0),MATCH(G$1,'Master data'!$B$1:$CL$1,0)),"")</f>
        <v>13294.802653040548</v>
      </c>
      <c r="H301" s="7">
        <f>IFERROR(INDEX('Master data'!$B$2:$CL$1000,MATCH($B301,'Master data'!$A$2:$A$1000,0),MATCH(H$1,'Master data'!$B$1:$CL$1,0)),"")</f>
        <v>43432.697425436534</v>
      </c>
      <c r="I301" s="7">
        <f>IFERROR(INDEX('Master data'!$B$2:$CL$1000,MATCH($B301,'Master data'!$A$2:$A$1000,0),MATCH(I$1,'Master data'!$B$1:$CL$1,0)),"")</f>
        <v>-184.66987822380733</v>
      </c>
      <c r="J301" s="7">
        <f>IFERROR(INDEX('Master data'!$B$2:$CL$1000,MATCH($B301,'Master data'!$A$2:$A$1000,0),MATCH(J$1,'Master data'!$B$1:$CL$1,0)),"")</f>
        <v>-224.65257302466722</v>
      </c>
      <c r="K301" s="7">
        <f>IFERROR(INDEX('Master data'!$B$2:$CL$1000,MATCH($B301,'Master data'!$A$2:$A$1000,0),MATCH(K$1,'Master data'!$B$1:$CL$1,0)),"")</f>
        <v>-173.89945846025034</v>
      </c>
      <c r="L301" s="7">
        <f>IFERROR(INDEX('Master data'!$B$2:$CL$1000,MATCH($B301,'Master data'!$A$2:$A$1000,0),MATCH(L$1,'Master data'!$B$1:$CL$1,0)),"")</f>
        <v>-110.01312361088216</v>
      </c>
      <c r="M301" s="5">
        <f>IFERROR(INDEX('Master data'!$B$2:$CL$1000,MATCH($B301,'Master data'!$A$2:$A$1000,0),MATCH(M$1,'Master data'!$B$1:$CL$1,0)),"")</f>
        <v>94157.975870364404</v>
      </c>
      <c r="N301" s="28">
        <f>IFERROR(INDEX('Master data'!$B$2:$CL$1000,MATCH($B301,'Master data'!$A$2:$A$1000,0),MATCH(N$1,'Master data'!$B$1:$CL$1,0)),"")</f>
        <v>3.0712626119211758E-2</v>
      </c>
      <c r="O301" s="7">
        <f>IFERROR(INDEX('Master data'!$B$2:$CL$1000,MATCH($B301,'Master data'!$A$2:$A$1000,0),MATCH(O$1,'Master data'!$B$1:$CL$1,0)),"")</f>
        <v>0</v>
      </c>
      <c r="P301" s="5">
        <f>IFERROR(INDEX('Master data'!$B$2:$CL$1000,MATCH($B301,'Master data'!$A$2:$A$1000,0),MATCH(P$1,'Master data'!$B$1:$CL$1,0)),"")</f>
        <v>4000000</v>
      </c>
      <c r="Q301" s="5">
        <f>IFERROR(INDEX('Master data'!$B$2:$CL$1000,MATCH($B301,'Master data'!$A$2:$A$1000,0),MATCH(Q$1,'Master data'!$B$1:$CL$1,0)),"")</f>
        <v>4000000</v>
      </c>
    </row>
    <row r="302" spans="1:17" hidden="1">
      <c r="A302">
        <f t="shared" si="4"/>
        <v>300</v>
      </c>
      <c r="B302" t="str">
        <f>IF('Master data'!A302="","",'Master data'!A302)</f>
        <v>Enis Bardhi</v>
      </c>
      <c r="C302" t="str">
        <f>IFERROR(INDEX('Master data'!$B$2:$CL$1000,MATCH($B302,'Master data'!$A$2:$A$1000,0),MATCH(C$1,'Master data'!$B$1:$CL$1,0)),"")</f>
        <v>North Macedonia</v>
      </c>
      <c r="D302" t="str">
        <f>IFERROR(INDEX('Master data'!$B$2:$CL$1000,MATCH($B302,'Master data'!$A$2:$A$1000,0),MATCH(D$1,'Master data'!$B$1:$CL$1,0)),"")</f>
        <v>Midfield</v>
      </c>
      <c r="E302" s="5">
        <f>IFERROR(INDEX('Master data'!$B$2:$CL$1000,MATCH($B302,'Master data'!$A$2:$A$1000,0),MATCH(E$1,'Master data'!$B$1:$CL$1,0)),"")</f>
        <v>2500000</v>
      </c>
      <c r="F302" s="7">
        <f>IFERROR(INDEX('Master data'!$B$2:$CL$1000,MATCH($B302,'Master data'!$A$2:$A$1000,0),MATCH(F$1,'Master data'!$B$1:$CL$1,0)),"")</f>
        <v>9605.2635267276019</v>
      </c>
      <c r="G302" s="7">
        <f>IFERROR(INDEX('Master data'!$B$2:$CL$1000,MATCH($B302,'Master data'!$A$2:$A$1000,0),MATCH(G$1,'Master data'!$B$1:$CL$1,0)),"")</f>
        <v>13716.056384512296</v>
      </c>
      <c r="H302" s="7">
        <f>IFERROR(INDEX('Master data'!$B$2:$CL$1000,MATCH($B302,'Master data'!$A$2:$A$1000,0),MATCH(H$1,'Master data'!$B$1:$CL$1,0)),"")</f>
        <v>-8767.2560865353553</v>
      </c>
      <c r="I302" s="7">
        <f>IFERROR(INDEX('Master data'!$B$2:$CL$1000,MATCH($B302,'Master data'!$A$2:$A$1000,0),MATCH(I$1,'Master data'!$B$1:$CL$1,0)),"")</f>
        <v>-5150.2507682580399</v>
      </c>
      <c r="J302" s="7">
        <f>IFERROR(INDEX('Master data'!$B$2:$CL$1000,MATCH($B302,'Master data'!$A$2:$A$1000,0),MATCH(J$1,'Master data'!$B$1:$CL$1,0)),"")</f>
        <v>-2533.3573082360158</v>
      </c>
      <c r="K302" s="7">
        <f>IFERROR(INDEX('Master data'!$B$2:$CL$1000,MATCH($B302,'Master data'!$A$2:$A$1000,0),MATCH(K$1,'Master data'!$B$1:$CL$1,0)),"")</f>
        <v>-1224.4869852346621</v>
      </c>
      <c r="L302" s="7">
        <f>IFERROR(INDEX('Master data'!$B$2:$CL$1000,MATCH($B302,'Master data'!$A$2:$A$1000,0),MATCH(L$1,'Master data'!$B$1:$CL$1,0)),"")</f>
        <v>-555.26112186097419</v>
      </c>
      <c r="M302" s="5">
        <f>IFERROR(INDEX('Master data'!$B$2:$CL$1000,MATCH($B302,'Master data'!$A$2:$A$1000,0),MATCH(M$1,'Master data'!$B$1:$CL$1,0)),"")</f>
        <v>12616.329850629065</v>
      </c>
      <c r="N302" s="28">
        <f>IFERROR(INDEX('Master data'!$B$2:$CL$1000,MATCH($B302,'Master data'!$A$2:$A$1000,0),MATCH(N$1,'Master data'!$B$1:$CL$1,0)),"")</f>
        <v>5.8216255298818168E-3</v>
      </c>
      <c r="O302" s="7">
        <f>IFERROR(INDEX('Master data'!$B$2:$CL$1000,MATCH($B302,'Master data'!$A$2:$A$1000,0),MATCH(O$1,'Master data'!$B$1:$CL$1,0)),"")</f>
        <v>0</v>
      </c>
      <c r="P302" s="5">
        <f>IFERROR(INDEX('Master data'!$B$2:$CL$1000,MATCH($B302,'Master data'!$A$2:$A$1000,0),MATCH(P$1,'Master data'!$B$1:$CL$1,0)),"")</f>
        <v>2500000</v>
      </c>
      <c r="Q302" s="5">
        <f>IFERROR(INDEX('Master data'!$B$2:$CL$1000,MATCH($B302,'Master data'!$A$2:$A$1000,0),MATCH(Q$1,'Master data'!$B$1:$CL$1,0)),"")</f>
        <v>2500000</v>
      </c>
    </row>
    <row r="303" spans="1:17" hidden="1">
      <c r="A303">
        <f t="shared" si="4"/>
        <v>301</v>
      </c>
      <c r="B303" t="str">
        <f>IF('Master data'!A303="","",'Master data'!A303)</f>
        <v>Elif Elmas</v>
      </c>
      <c r="C303" t="str">
        <f>IFERROR(INDEX('Master data'!$B$2:$CL$1000,MATCH($B303,'Master data'!$A$2:$A$1000,0),MATCH(C$1,'Master data'!$B$1:$CL$1,0)),"")</f>
        <v>North Macedonia</v>
      </c>
      <c r="D303" t="str">
        <f>IFERROR(INDEX('Master data'!$B$2:$CL$1000,MATCH($B303,'Master data'!$A$2:$A$1000,0),MATCH(D$1,'Master data'!$B$1:$CL$1,0)),"")</f>
        <v>Midfield</v>
      </c>
      <c r="E303" s="5">
        <f>IFERROR(INDEX('Master data'!$B$2:$CL$1000,MATCH($B303,'Master data'!$A$2:$A$1000,0),MATCH(E$1,'Master data'!$B$1:$CL$1,0)),"")</f>
        <v>2500000</v>
      </c>
      <c r="F303" s="7">
        <f>IFERROR(INDEX('Master data'!$B$2:$CL$1000,MATCH($B303,'Master data'!$A$2:$A$1000,0),MATCH(F$1,'Master data'!$B$1:$CL$1,0)),"")</f>
        <v>15436.856376498901</v>
      </c>
      <c r="G303" s="7">
        <f>IFERROR(INDEX('Master data'!$B$2:$CL$1000,MATCH($B303,'Master data'!$A$2:$A$1000,0),MATCH(G$1,'Master data'!$B$1:$CL$1,0)),"")</f>
        <v>20150.128251912996</v>
      </c>
      <c r="H303" s="7">
        <f>IFERROR(INDEX('Master data'!$B$2:$CL$1000,MATCH($B303,'Master data'!$A$2:$A$1000,0),MATCH(H$1,'Master data'!$B$1:$CL$1,0)),"")</f>
        <v>-3896.7949567350024</v>
      </c>
      <c r="I303" s="7">
        <f>IFERROR(INDEX('Master data'!$B$2:$CL$1000,MATCH($B303,'Master data'!$A$2:$A$1000,0),MATCH(I$1,'Master data'!$B$1:$CL$1,0)),"")</f>
        <v>-3744.1389419040261</v>
      </c>
      <c r="J303" s="7">
        <f>IFERROR(INDEX('Master data'!$B$2:$CL$1000,MATCH($B303,'Master data'!$A$2:$A$1000,0),MATCH(J$1,'Master data'!$B$1:$CL$1,0)),"")</f>
        <v>-1850.4677322578978</v>
      </c>
      <c r="K303" s="7">
        <f>IFERROR(INDEX('Master data'!$B$2:$CL$1000,MATCH($B303,'Master data'!$A$2:$A$1000,0),MATCH(K$1,'Master data'!$B$1:$CL$1,0)),"")</f>
        <v>-898.6306992668359</v>
      </c>
      <c r="L303" s="7">
        <f>IFERROR(INDEX('Master data'!$B$2:$CL$1000,MATCH($B303,'Master data'!$A$2:$A$1000,0),MATCH(L$1,'Master data'!$B$1:$CL$1,0)),"")</f>
        <v>-409.39937038753015</v>
      </c>
      <c r="M303" s="5">
        <f>IFERROR(INDEX('Master data'!$B$2:$CL$1000,MATCH($B303,'Master data'!$A$2:$A$1000,0),MATCH(M$1,'Master data'!$B$1:$CL$1,0)),"")</f>
        <v>25509.187367879906</v>
      </c>
      <c r="N303" s="28">
        <f>IFERROR(INDEX('Master data'!$B$2:$CL$1000,MATCH($B303,'Master data'!$A$2:$A$1000,0),MATCH(N$1,'Master data'!$B$1:$CL$1,0)),"")</f>
        <v>1.2676075868670759E-2</v>
      </c>
      <c r="O303" s="7">
        <f>IFERROR(INDEX('Master data'!$B$2:$CL$1000,MATCH($B303,'Master data'!$A$2:$A$1000,0),MATCH(O$1,'Master data'!$B$1:$CL$1,0)),"")</f>
        <v>0</v>
      </c>
      <c r="P303" s="5">
        <f>IFERROR(INDEX('Master data'!$B$2:$CL$1000,MATCH($B303,'Master data'!$A$2:$A$1000,0),MATCH(P$1,'Master data'!$B$1:$CL$1,0)),"")</f>
        <v>2500000</v>
      </c>
      <c r="Q303" s="5">
        <f>IFERROR(INDEX('Master data'!$B$2:$CL$1000,MATCH($B303,'Master data'!$A$2:$A$1000,0),MATCH(Q$1,'Master data'!$B$1:$CL$1,0)),"")</f>
        <v>2500000</v>
      </c>
    </row>
    <row r="304" spans="1:17" hidden="1">
      <c r="A304">
        <f t="shared" si="4"/>
        <v>302</v>
      </c>
      <c r="B304" t="str">
        <f>IF('Master data'!A304="","",'Master data'!A304)</f>
        <v>Ivan Trichkovski</v>
      </c>
      <c r="C304" t="str">
        <f>IFERROR(INDEX('Master data'!$B$2:$CL$1000,MATCH($B304,'Master data'!$A$2:$A$1000,0),MATCH(C$1,'Master data'!$B$1:$CL$1,0)),"")</f>
        <v>North Macedonia</v>
      </c>
      <c r="D304" t="str">
        <f>IFERROR(INDEX('Master data'!$B$2:$CL$1000,MATCH($B304,'Master data'!$A$2:$A$1000,0),MATCH(D$1,'Master data'!$B$1:$CL$1,0)),"")</f>
        <v>Striker</v>
      </c>
      <c r="E304" s="5">
        <f>IFERROR(INDEX('Master data'!$B$2:$CL$1000,MATCH($B304,'Master data'!$A$2:$A$1000,0),MATCH(E$1,'Master data'!$B$1:$CL$1,0)),"")</f>
        <v>2000000</v>
      </c>
      <c r="F304" s="7">
        <f>IFERROR(INDEX('Master data'!$B$2:$CL$1000,MATCH($B304,'Master data'!$A$2:$A$1000,0),MATCH(F$1,'Master data'!$B$1:$CL$1,0)),"")</f>
        <v>-5000</v>
      </c>
      <c r="G304" s="7">
        <f>IFERROR(INDEX('Master data'!$B$2:$CL$1000,MATCH($B304,'Master data'!$A$2:$A$1000,0),MATCH(G$1,'Master data'!$B$1:$CL$1,0)),"")</f>
        <v>-5000</v>
      </c>
      <c r="H304" s="7">
        <f>IFERROR(INDEX('Master data'!$B$2:$CL$1000,MATCH($B304,'Master data'!$A$2:$A$1000,0),MATCH(H$1,'Master data'!$B$1:$CL$1,0)),"")</f>
        <v>-5000</v>
      </c>
      <c r="I304" s="7">
        <f>IFERROR(INDEX('Master data'!$B$2:$CL$1000,MATCH($B304,'Master data'!$A$2:$A$1000,0),MATCH(I$1,'Master data'!$B$1:$CL$1,0)),"")</f>
        <v>-6306.4234949823885</v>
      </c>
      <c r="J304" s="7">
        <f>IFERROR(INDEX('Master data'!$B$2:$CL$1000,MATCH($B304,'Master data'!$A$2:$A$1000,0),MATCH(J$1,'Master data'!$B$1:$CL$1,0)),"")</f>
        <v>-3088.4426626485606</v>
      </c>
      <c r="K304" s="7">
        <f>IFERROR(INDEX('Master data'!$B$2:$CL$1000,MATCH($B304,'Master data'!$A$2:$A$1000,0),MATCH(K$1,'Master data'!$B$1:$CL$1,0)),"")</f>
        <v>-1486.2309909162739</v>
      </c>
      <c r="L304" s="7">
        <f>IFERROR(INDEX('Master data'!$B$2:$CL$1000,MATCH($B304,'Master data'!$A$2:$A$1000,0),MATCH(L$1,'Master data'!$B$1:$CL$1,0)),"")</f>
        <v>-670.99477075023424</v>
      </c>
      <c r="M304" s="5">
        <f>IFERROR(INDEX('Master data'!$B$2:$CL$1000,MATCH($B304,'Master data'!$A$2:$A$1000,0),MATCH(M$1,'Master data'!$B$1:$CL$1,0)),"")</f>
        <v>-13288.81352372231</v>
      </c>
      <c r="N304" s="28">
        <f>IFERROR(INDEX('Master data'!$B$2:$CL$1000,MATCH($B304,'Master data'!$A$2:$A$1000,0),MATCH(N$1,'Master data'!$B$1:$CL$1,0)),"")</f>
        <v>-7.4999999999999997E-3</v>
      </c>
      <c r="O304" s="7">
        <f>IFERROR(INDEX('Master data'!$B$2:$CL$1000,MATCH($B304,'Master data'!$A$2:$A$1000,0),MATCH(O$1,'Master data'!$B$1:$CL$1,0)),"")</f>
        <v>0</v>
      </c>
      <c r="P304" s="5">
        <f>IFERROR(INDEX('Master data'!$B$2:$CL$1000,MATCH($B304,'Master data'!$A$2:$A$1000,0),MATCH(P$1,'Master data'!$B$1:$CL$1,0)),"")</f>
        <v>2000000</v>
      </c>
      <c r="Q304" s="5">
        <f>IFERROR(INDEX('Master data'!$B$2:$CL$1000,MATCH($B304,'Master data'!$A$2:$A$1000,0),MATCH(Q$1,'Master data'!$B$1:$CL$1,0)),"")</f>
        <v>2000000</v>
      </c>
    </row>
    <row r="305" spans="1:17" hidden="1">
      <c r="A305">
        <f t="shared" si="4"/>
        <v>303</v>
      </c>
      <c r="B305" t="str">
        <f>IF('Master data'!A305="","",'Master data'!A305)</f>
        <v>Yann Sommer</v>
      </c>
      <c r="C305" t="str">
        <f>IFERROR(INDEX('Master data'!$B$2:$CL$1000,MATCH($B305,'Master data'!$A$2:$A$1000,0),MATCH(C$1,'Master data'!$B$1:$CL$1,0)),"")</f>
        <v>Switzerland</v>
      </c>
      <c r="D305" t="str">
        <f>IFERROR(INDEX('Master data'!$B$2:$CL$1000,MATCH($B305,'Master data'!$A$2:$A$1000,0),MATCH(D$1,'Master data'!$B$1:$CL$1,0)),"")</f>
        <v>Goalkeeper</v>
      </c>
      <c r="E305" s="5">
        <f>IFERROR(INDEX('Master data'!$B$2:$CL$1000,MATCH($B305,'Master data'!$A$2:$A$1000,0),MATCH(E$1,'Master data'!$B$1:$CL$1,0)),"")</f>
        <v>4000000</v>
      </c>
      <c r="F305" s="7">
        <f>IFERROR(INDEX('Master data'!$B$2:$CL$1000,MATCH($B305,'Master data'!$A$2:$A$1000,0),MATCH(F$1,'Master data'!$B$1:$CL$1,0)),"")</f>
        <v>56880.387947278941</v>
      </c>
      <c r="G305" s="7">
        <f>IFERROR(INDEX('Master data'!$B$2:$CL$1000,MATCH($B305,'Master data'!$A$2:$A$1000,0),MATCH(G$1,'Master data'!$B$1:$CL$1,0)),"")</f>
        <v>27459.194055040665</v>
      </c>
      <c r="H305" s="7">
        <f>IFERROR(INDEX('Master data'!$B$2:$CL$1000,MATCH($B305,'Master data'!$A$2:$A$1000,0),MATCH(H$1,'Master data'!$B$1:$CL$1,0)),"")</f>
        <v>47564.798705998342</v>
      </c>
      <c r="I305" s="7">
        <f>IFERROR(INDEX('Master data'!$B$2:$CL$1000,MATCH($B305,'Master data'!$A$2:$A$1000,0),MATCH(I$1,'Master data'!$B$1:$CL$1,0)),"")</f>
        <v>1691.2787289590847</v>
      </c>
      <c r="J305" s="7">
        <f>IFERROR(INDEX('Master data'!$B$2:$CL$1000,MATCH($B305,'Master data'!$A$2:$A$1000,0),MATCH(J$1,'Master data'!$B$1:$CL$1,0)),"")</f>
        <v>695.36055313333134</v>
      </c>
      <c r="K305" s="7">
        <f>IFERROR(INDEX('Master data'!$B$2:$CL$1000,MATCH($B305,'Master data'!$A$2:$A$1000,0),MATCH(K$1,'Master data'!$B$1:$CL$1,0)),"")</f>
        <v>271.00886058287205</v>
      </c>
      <c r="L305" s="7">
        <f>IFERROR(INDEX('Master data'!$B$2:$CL$1000,MATCH($B305,'Master data'!$A$2:$A$1000,0),MATCH(L$1,'Master data'!$B$1:$CL$1,0)),"")</f>
        <v>94.588494407851528</v>
      </c>
      <c r="M305" s="5">
        <f>IFERROR(INDEX('Master data'!$B$2:$CL$1000,MATCH($B305,'Master data'!$A$2:$A$1000,0),MATCH(M$1,'Master data'!$B$1:$CL$1,0)),"")</f>
        <v>97008.895122666654</v>
      </c>
      <c r="N305" s="28">
        <f>IFERROR(INDEX('Master data'!$B$2:$CL$1000,MATCH($B305,'Master data'!$A$2:$A$1000,0),MATCH(N$1,'Master data'!$B$1:$CL$1,0)),"")</f>
        <v>3.2976095177079487E-2</v>
      </c>
      <c r="O305" s="7">
        <f>IFERROR(INDEX('Master data'!$B$2:$CL$1000,MATCH($B305,'Master data'!$A$2:$A$1000,0),MATCH(O$1,'Master data'!$B$1:$CL$1,0)),"")</f>
        <v>0</v>
      </c>
      <c r="P305" s="5">
        <f>IFERROR(INDEX('Master data'!$B$2:$CL$1000,MATCH($B305,'Master data'!$A$2:$A$1000,0),MATCH(P$1,'Master data'!$B$1:$CL$1,0)),"")</f>
        <v>4000000</v>
      </c>
      <c r="Q305" s="5">
        <f>IFERROR(INDEX('Master data'!$B$2:$CL$1000,MATCH($B305,'Master data'!$A$2:$A$1000,0),MATCH(Q$1,'Master data'!$B$1:$CL$1,0)),"")</f>
        <v>4000000</v>
      </c>
    </row>
    <row r="306" spans="1:17" hidden="1">
      <c r="A306">
        <f t="shared" si="4"/>
        <v>304</v>
      </c>
      <c r="B306" t="str">
        <f>IF('Master data'!A306="","",'Master data'!A306)</f>
        <v>Ricardo Rodríguez</v>
      </c>
      <c r="C306" t="str">
        <f>IFERROR(INDEX('Master data'!$B$2:$CL$1000,MATCH($B306,'Master data'!$A$2:$A$1000,0),MATCH(C$1,'Master data'!$B$1:$CL$1,0)),"")</f>
        <v>Switzerland</v>
      </c>
      <c r="D306" t="str">
        <f>IFERROR(INDEX('Master data'!$B$2:$CL$1000,MATCH($B306,'Master data'!$A$2:$A$1000,0),MATCH(D$1,'Master data'!$B$1:$CL$1,0)),"")</f>
        <v>Defense</v>
      </c>
      <c r="E306" s="5">
        <f>IFERROR(INDEX('Master data'!$B$2:$CL$1000,MATCH($B306,'Master data'!$A$2:$A$1000,0),MATCH(E$1,'Master data'!$B$1:$CL$1,0)),"")</f>
        <v>3500000</v>
      </c>
      <c r="F306" s="7">
        <f>IFERROR(INDEX('Master data'!$B$2:$CL$1000,MATCH($B306,'Master data'!$A$2:$A$1000,0),MATCH(F$1,'Master data'!$B$1:$CL$1,0)),"")</f>
        <v>49355.508607584954</v>
      </c>
      <c r="G306" s="7">
        <f>IFERROR(INDEX('Master data'!$B$2:$CL$1000,MATCH($B306,'Master data'!$A$2:$A$1000,0),MATCH(G$1,'Master data'!$B$1:$CL$1,0)),"")</f>
        <v>16540.149552410956</v>
      </c>
      <c r="H306" s="7">
        <f>IFERROR(INDEX('Master data'!$B$2:$CL$1000,MATCH($B306,'Master data'!$A$2:$A$1000,0),MATCH(H$1,'Master data'!$B$1:$CL$1,0)),"")</f>
        <v>41747.105798610384</v>
      </c>
      <c r="I306" s="7">
        <f>IFERROR(INDEX('Master data'!$B$2:$CL$1000,MATCH($B306,'Master data'!$A$2:$A$1000,0),MATCH(I$1,'Master data'!$B$1:$CL$1,0)),"")</f>
        <v>-124.81891603050896</v>
      </c>
      <c r="J306" s="7">
        <f>IFERROR(INDEX('Master data'!$B$2:$CL$1000,MATCH($B306,'Master data'!$A$2:$A$1000,0),MATCH(J$1,'Master data'!$B$1:$CL$1,0)),"")</f>
        <v>-174.45860284759326</v>
      </c>
      <c r="K306" s="7">
        <f>IFERROR(INDEX('Master data'!$B$2:$CL$1000,MATCH($B306,'Master data'!$A$2:$A$1000,0),MATCH(K$1,'Master data'!$B$1:$CL$1,0)),"")</f>
        <v>-139.83275271093405</v>
      </c>
      <c r="L306" s="7">
        <f>IFERROR(INDEX('Master data'!$B$2:$CL$1000,MATCH($B306,'Master data'!$A$2:$A$1000,0),MATCH(L$1,'Master data'!$B$1:$CL$1,0)),"")</f>
        <v>-90.456213781716173</v>
      </c>
      <c r="M306" s="5">
        <f>IFERROR(INDEX('Master data'!$B$2:$CL$1000,MATCH($B306,'Master data'!$A$2:$A$1000,0),MATCH(M$1,'Master data'!$B$1:$CL$1,0)),"")</f>
        <v>78838.744402655677</v>
      </c>
      <c r="N306" s="28">
        <f>IFERROR(INDEX('Master data'!$B$2:$CL$1000,MATCH($B306,'Master data'!$A$2:$A$1000,0),MATCH(N$1,'Master data'!$B$1:$CL$1,0)),"")</f>
        <v>3.0755075416744652E-2</v>
      </c>
      <c r="O306" s="7">
        <f>IFERROR(INDEX('Master data'!$B$2:$CL$1000,MATCH($B306,'Master data'!$A$2:$A$1000,0),MATCH(O$1,'Master data'!$B$1:$CL$1,0)),"")</f>
        <v>0</v>
      </c>
      <c r="P306" s="5">
        <f>IFERROR(INDEX('Master data'!$B$2:$CL$1000,MATCH($B306,'Master data'!$A$2:$A$1000,0),MATCH(P$1,'Master data'!$B$1:$CL$1,0)),"")</f>
        <v>3500000</v>
      </c>
      <c r="Q306" s="5">
        <f>IFERROR(INDEX('Master data'!$B$2:$CL$1000,MATCH($B306,'Master data'!$A$2:$A$1000,0),MATCH(Q$1,'Master data'!$B$1:$CL$1,0)),"")</f>
        <v>3500000</v>
      </c>
    </row>
    <row r="307" spans="1:17" hidden="1">
      <c r="A307">
        <f t="shared" si="4"/>
        <v>305</v>
      </c>
      <c r="B307" t="str">
        <f>IF('Master data'!A307="","",'Master data'!A307)</f>
        <v>Fabian Schär</v>
      </c>
      <c r="C307" t="str">
        <f>IFERROR(INDEX('Master data'!$B$2:$CL$1000,MATCH($B307,'Master data'!$A$2:$A$1000,0),MATCH(C$1,'Master data'!$B$1:$CL$1,0)),"")</f>
        <v>Switzerland</v>
      </c>
      <c r="D307" t="str">
        <f>IFERROR(INDEX('Master data'!$B$2:$CL$1000,MATCH($B307,'Master data'!$A$2:$A$1000,0),MATCH(D$1,'Master data'!$B$1:$CL$1,0)),"")</f>
        <v>Defense</v>
      </c>
      <c r="E307" s="5">
        <f>IFERROR(INDEX('Master data'!$B$2:$CL$1000,MATCH($B307,'Master data'!$A$2:$A$1000,0),MATCH(E$1,'Master data'!$B$1:$CL$1,0)),"")</f>
        <v>2500000</v>
      </c>
      <c r="F307" s="7">
        <f>IFERROR(INDEX('Master data'!$B$2:$CL$1000,MATCH($B307,'Master data'!$A$2:$A$1000,0),MATCH(F$1,'Master data'!$B$1:$CL$1,0)),"")</f>
        <v>15856.639937414435</v>
      </c>
      <c r="G307" s="7">
        <f>IFERROR(INDEX('Master data'!$B$2:$CL$1000,MATCH($B307,'Master data'!$A$2:$A$1000,0),MATCH(G$1,'Master data'!$B$1:$CL$1,0)),"")</f>
        <v>5937.3903336530748</v>
      </c>
      <c r="H307" s="7">
        <f>IFERROR(INDEX('Master data'!$B$2:$CL$1000,MATCH($B307,'Master data'!$A$2:$A$1000,0),MATCH(H$1,'Master data'!$B$1:$CL$1,0)),"")</f>
        <v>9692.4749494427251</v>
      </c>
      <c r="I307" s="7">
        <f>IFERROR(INDEX('Master data'!$B$2:$CL$1000,MATCH($B307,'Master data'!$A$2:$A$1000,0),MATCH(I$1,'Master data'!$B$1:$CL$1,0)),"")</f>
        <v>-9461.2637810964134</v>
      </c>
      <c r="J307" s="7">
        <f>IFERROR(INDEX('Master data'!$B$2:$CL$1000,MATCH($B307,'Master data'!$A$2:$A$1000,0),MATCH(J$1,'Master data'!$B$1:$CL$1,0)),"")</f>
        <v>-4697.1004203319608</v>
      </c>
      <c r="K307" s="7">
        <f>IFERROR(INDEX('Master data'!$B$2:$CL$1000,MATCH($B307,'Master data'!$A$2:$A$1000,0),MATCH(K$1,'Master data'!$B$1:$CL$1,0)),"")</f>
        <v>-2301.530728987294</v>
      </c>
      <c r="L307" s="7">
        <f>IFERROR(INDEX('Master data'!$B$2:$CL$1000,MATCH($B307,'Master data'!$A$2:$A$1000,0),MATCH(L$1,'Master data'!$B$1:$CL$1,0)),"")</f>
        <v>-1076.3019463117719</v>
      </c>
      <c r="M307" s="5">
        <f>IFERROR(INDEX('Master data'!$B$2:$CL$1000,MATCH($B307,'Master data'!$A$2:$A$1000,0),MATCH(M$1,'Master data'!$B$1:$CL$1,0)),"")</f>
        <v>19993.934689106449</v>
      </c>
      <c r="N307" s="28">
        <f>IFERROR(INDEX('Master data'!$B$2:$CL$1000,MATCH($B307,'Master data'!$A$2:$A$1000,0),MATCH(N$1,'Master data'!$B$1:$CL$1,0)),"")</f>
        <v>1.2594602088204093E-2</v>
      </c>
      <c r="O307" s="7">
        <f>IFERROR(INDEX('Master data'!$B$2:$CL$1000,MATCH($B307,'Master data'!$A$2:$A$1000,0),MATCH(O$1,'Master data'!$B$1:$CL$1,0)),"")</f>
        <v>0</v>
      </c>
      <c r="P307" s="5">
        <f>IFERROR(INDEX('Master data'!$B$2:$CL$1000,MATCH($B307,'Master data'!$A$2:$A$1000,0),MATCH(P$1,'Master data'!$B$1:$CL$1,0)),"")</f>
        <v>2500000</v>
      </c>
      <c r="Q307" s="5">
        <f>IFERROR(INDEX('Master data'!$B$2:$CL$1000,MATCH($B307,'Master data'!$A$2:$A$1000,0),MATCH(Q$1,'Master data'!$B$1:$CL$1,0)),"")</f>
        <v>2500000</v>
      </c>
    </row>
    <row r="308" spans="1:17" hidden="1">
      <c r="A308">
        <f t="shared" si="4"/>
        <v>306</v>
      </c>
      <c r="B308" t="str">
        <f>IF('Master data'!A308="","",'Master data'!A308)</f>
        <v>Manuel Akanji</v>
      </c>
      <c r="C308" t="str">
        <f>IFERROR(INDEX('Master data'!$B$2:$CL$1000,MATCH($B308,'Master data'!$A$2:$A$1000,0),MATCH(C$1,'Master data'!$B$1:$CL$1,0)),"")</f>
        <v>Switzerland</v>
      </c>
      <c r="D308" t="str">
        <f>IFERROR(INDEX('Master data'!$B$2:$CL$1000,MATCH($B308,'Master data'!$A$2:$A$1000,0),MATCH(D$1,'Master data'!$B$1:$CL$1,0)),"")</f>
        <v>Defense</v>
      </c>
      <c r="E308" s="5">
        <f>IFERROR(INDEX('Master data'!$B$2:$CL$1000,MATCH($B308,'Master data'!$A$2:$A$1000,0),MATCH(E$1,'Master data'!$B$1:$CL$1,0)),"")</f>
        <v>3500000</v>
      </c>
      <c r="F308" s="7">
        <f>IFERROR(INDEX('Master data'!$B$2:$CL$1000,MATCH($B308,'Master data'!$A$2:$A$1000,0),MATCH(F$1,'Master data'!$B$1:$CL$1,0)),"")</f>
        <v>51487.878389210615</v>
      </c>
      <c r="G308" s="7">
        <f>IFERROR(INDEX('Master data'!$B$2:$CL$1000,MATCH($B308,'Master data'!$A$2:$A$1000,0),MATCH(G$1,'Master data'!$B$1:$CL$1,0)),"")</f>
        <v>16802.275569475554</v>
      </c>
      <c r="H308" s="7">
        <f>IFERROR(INDEX('Master data'!$B$2:$CL$1000,MATCH($B308,'Master data'!$A$2:$A$1000,0),MATCH(H$1,'Master data'!$B$1:$CL$1,0)),"")</f>
        <v>44931.374781046216</v>
      </c>
      <c r="I308" s="7">
        <f>IFERROR(INDEX('Master data'!$B$2:$CL$1000,MATCH($B308,'Master data'!$A$2:$A$1000,0),MATCH(I$1,'Master data'!$B$1:$CL$1,0)),"")</f>
        <v>1026.7982651281761</v>
      </c>
      <c r="J308" s="7">
        <f>IFERROR(INDEX('Master data'!$B$2:$CL$1000,MATCH($B308,'Master data'!$A$2:$A$1000,0),MATCH(J$1,'Master data'!$B$1:$CL$1,0)),"")</f>
        <v>387.39525890877235</v>
      </c>
      <c r="K308" s="7">
        <f>IFERROR(INDEX('Master data'!$B$2:$CL$1000,MATCH($B308,'Master data'!$A$2:$A$1000,0),MATCH(K$1,'Master data'!$B$1:$CL$1,0)),"")</f>
        <v>130.69959136592212</v>
      </c>
      <c r="L308" s="7">
        <f>IFERROR(INDEX('Master data'!$B$2:$CL$1000,MATCH($B308,'Master data'!$A$2:$A$1000,0),MATCH(L$1,'Master data'!$B$1:$CL$1,0)),"")</f>
        <v>33.857342936320826</v>
      </c>
      <c r="M308" s="5">
        <f>IFERROR(INDEX('Master data'!$B$2:$CL$1000,MATCH($B308,'Master data'!$A$2:$A$1000,0),MATCH(M$1,'Master data'!$B$1:$CL$1,0)),"")</f>
        <v>83059.838237075761</v>
      </c>
      <c r="N308" s="28">
        <f>IFERROR(INDEX('Master data'!$B$2:$CL$1000,MATCH($B308,'Master data'!$A$2:$A$1000,0),MATCH(N$1,'Master data'!$B$1:$CL$1,0)),"")</f>
        <v>3.2349008211352108E-2</v>
      </c>
      <c r="O308" s="7">
        <f>IFERROR(INDEX('Master data'!$B$2:$CL$1000,MATCH($B308,'Master data'!$A$2:$A$1000,0),MATCH(O$1,'Master data'!$B$1:$CL$1,0)),"")</f>
        <v>0</v>
      </c>
      <c r="P308" s="5">
        <f>IFERROR(INDEX('Master data'!$B$2:$CL$1000,MATCH($B308,'Master data'!$A$2:$A$1000,0),MATCH(P$1,'Master data'!$B$1:$CL$1,0)),"")</f>
        <v>3500000</v>
      </c>
      <c r="Q308" s="5">
        <f>IFERROR(INDEX('Master data'!$B$2:$CL$1000,MATCH($B308,'Master data'!$A$2:$A$1000,0),MATCH(Q$1,'Master data'!$B$1:$CL$1,0)),"")</f>
        <v>3500000</v>
      </c>
    </row>
    <row r="309" spans="1:17" hidden="1">
      <c r="A309">
        <f t="shared" si="4"/>
        <v>307</v>
      </c>
      <c r="B309" t="str">
        <f>IF('Master data'!A309="","",'Master data'!A309)</f>
        <v>Djibril Sow</v>
      </c>
      <c r="C309" t="str">
        <f>IFERROR(INDEX('Master data'!$B$2:$CL$1000,MATCH($B309,'Master data'!$A$2:$A$1000,0),MATCH(C$1,'Master data'!$B$1:$CL$1,0)),"")</f>
        <v>Switzerland</v>
      </c>
      <c r="D309" t="str">
        <f>IFERROR(INDEX('Master data'!$B$2:$CL$1000,MATCH($B309,'Master data'!$A$2:$A$1000,0),MATCH(D$1,'Master data'!$B$1:$CL$1,0)),"")</f>
        <v>Midfield</v>
      </c>
      <c r="E309" s="5">
        <f>IFERROR(INDEX('Master data'!$B$2:$CL$1000,MATCH($B309,'Master data'!$A$2:$A$1000,0),MATCH(E$1,'Master data'!$B$1:$CL$1,0)),"")</f>
        <v>3000000</v>
      </c>
      <c r="F309" s="7">
        <f>IFERROR(INDEX('Master data'!$B$2:$CL$1000,MATCH($B309,'Master data'!$A$2:$A$1000,0),MATCH(F$1,'Master data'!$B$1:$CL$1,0)),"")</f>
        <v>-5000</v>
      </c>
      <c r="G309" s="7">
        <f>IFERROR(INDEX('Master data'!$B$2:$CL$1000,MATCH($B309,'Master data'!$A$2:$A$1000,0),MATCH(G$1,'Master data'!$B$1:$CL$1,0)),"")</f>
        <v>-5000</v>
      </c>
      <c r="H309" s="7">
        <f>IFERROR(INDEX('Master data'!$B$2:$CL$1000,MATCH($B309,'Master data'!$A$2:$A$1000,0),MATCH(H$1,'Master data'!$B$1:$CL$1,0)),"")</f>
        <v>-5000</v>
      </c>
      <c r="I309" s="7">
        <f>IFERROR(INDEX('Master data'!$B$2:$CL$1000,MATCH($B309,'Master data'!$A$2:$A$1000,0),MATCH(I$1,'Master data'!$B$1:$CL$1,0)),"")</f>
        <v>-22249.609232768817</v>
      </c>
      <c r="J309" s="7">
        <f>IFERROR(INDEX('Master data'!$B$2:$CL$1000,MATCH($B309,'Master data'!$A$2:$A$1000,0),MATCH(J$1,'Master data'!$B$1:$CL$1,0)),"")</f>
        <v>-10952.533376693362</v>
      </c>
      <c r="K309" s="7">
        <f>IFERROR(INDEX('Master data'!$B$2:$CL$1000,MATCH($B309,'Master data'!$A$2:$A$1000,0),MATCH(K$1,'Master data'!$B$1:$CL$1,0)),"")</f>
        <v>-5321.4943255478656</v>
      </c>
      <c r="L309" s="7">
        <f>IFERROR(INDEX('Master data'!$B$2:$CL$1000,MATCH($B309,'Master data'!$A$2:$A$1000,0),MATCH(L$1,'Master data'!$B$1:$CL$1,0)),"")</f>
        <v>-2467.7622564005537</v>
      </c>
      <c r="M309" s="5">
        <f>IFERROR(INDEX('Master data'!$B$2:$CL$1000,MATCH($B309,'Master data'!$A$2:$A$1000,0),MATCH(M$1,'Master data'!$B$1:$CL$1,0)),"")</f>
        <v>-20228.917201898679</v>
      </c>
      <c r="N309" s="28">
        <f>IFERROR(INDEX('Master data'!$B$2:$CL$1000,MATCH($B309,'Master data'!$A$2:$A$1000,0),MATCH(N$1,'Master data'!$B$1:$CL$1,0)),"")</f>
        <v>-5.0000000000000001E-3</v>
      </c>
      <c r="O309" s="7">
        <f>IFERROR(INDEX('Master data'!$B$2:$CL$1000,MATCH($B309,'Master data'!$A$2:$A$1000,0),MATCH(O$1,'Master data'!$B$1:$CL$1,0)),"")</f>
        <v>0</v>
      </c>
      <c r="P309" s="5">
        <f>IFERROR(INDEX('Master data'!$B$2:$CL$1000,MATCH($B309,'Master data'!$A$2:$A$1000,0),MATCH(P$1,'Master data'!$B$1:$CL$1,0)),"")</f>
        <v>3000000</v>
      </c>
      <c r="Q309" s="5">
        <f>IFERROR(INDEX('Master data'!$B$2:$CL$1000,MATCH($B309,'Master data'!$A$2:$A$1000,0),MATCH(Q$1,'Master data'!$B$1:$CL$1,0)),"")</f>
        <v>3000000</v>
      </c>
    </row>
    <row r="310" spans="1:17" hidden="1">
      <c r="A310">
        <f t="shared" si="4"/>
        <v>308</v>
      </c>
      <c r="B310" t="str">
        <f>IF('Master data'!A310="","",'Master data'!A310)</f>
        <v>Admir Mehmedi</v>
      </c>
      <c r="C310" t="str">
        <f>IFERROR(INDEX('Master data'!$B$2:$CL$1000,MATCH($B310,'Master data'!$A$2:$A$1000,0),MATCH(C$1,'Master data'!$B$1:$CL$1,0)),"")</f>
        <v>Switzerland</v>
      </c>
      <c r="D310" t="str">
        <f>IFERROR(INDEX('Master data'!$B$2:$CL$1000,MATCH($B310,'Master data'!$A$2:$A$1000,0),MATCH(D$1,'Master data'!$B$1:$CL$1,0)),"")</f>
        <v>Striker</v>
      </c>
      <c r="E310" s="5">
        <f>IFERROR(INDEX('Master data'!$B$2:$CL$1000,MATCH($B310,'Master data'!$A$2:$A$1000,0),MATCH(E$1,'Master data'!$B$1:$CL$1,0)),"")</f>
        <v>3000000</v>
      </c>
      <c r="F310" s="7">
        <f>IFERROR(INDEX('Master data'!$B$2:$CL$1000,MATCH($B310,'Master data'!$A$2:$A$1000,0),MATCH(F$1,'Master data'!$B$1:$CL$1,0)),"")</f>
        <v>-5000</v>
      </c>
      <c r="G310" s="7">
        <f>IFERROR(INDEX('Master data'!$B$2:$CL$1000,MATCH($B310,'Master data'!$A$2:$A$1000,0),MATCH(G$1,'Master data'!$B$1:$CL$1,0)),"")</f>
        <v>-5000</v>
      </c>
      <c r="H310" s="7">
        <f>IFERROR(INDEX('Master data'!$B$2:$CL$1000,MATCH($B310,'Master data'!$A$2:$A$1000,0),MATCH(H$1,'Master data'!$B$1:$CL$1,0)),"")</f>
        <v>-5000</v>
      </c>
      <c r="I310" s="7">
        <f>IFERROR(INDEX('Master data'!$B$2:$CL$1000,MATCH($B310,'Master data'!$A$2:$A$1000,0),MATCH(I$1,'Master data'!$B$1:$CL$1,0)),"")</f>
        <v>-22249.609232768817</v>
      </c>
      <c r="J310" s="7">
        <f>IFERROR(INDEX('Master data'!$B$2:$CL$1000,MATCH($B310,'Master data'!$A$2:$A$1000,0),MATCH(J$1,'Master data'!$B$1:$CL$1,0)),"")</f>
        <v>-10952.533376693362</v>
      </c>
      <c r="K310" s="7">
        <f>IFERROR(INDEX('Master data'!$B$2:$CL$1000,MATCH($B310,'Master data'!$A$2:$A$1000,0),MATCH(K$1,'Master data'!$B$1:$CL$1,0)),"")</f>
        <v>-5321.4943255478656</v>
      </c>
      <c r="L310" s="7">
        <f>IFERROR(INDEX('Master data'!$B$2:$CL$1000,MATCH($B310,'Master data'!$A$2:$A$1000,0),MATCH(L$1,'Master data'!$B$1:$CL$1,0)),"")</f>
        <v>-2467.7622564005537</v>
      </c>
      <c r="M310" s="5">
        <f>IFERROR(INDEX('Master data'!$B$2:$CL$1000,MATCH($B310,'Master data'!$A$2:$A$1000,0),MATCH(M$1,'Master data'!$B$1:$CL$1,0)),"")</f>
        <v>-20228.917201898679</v>
      </c>
      <c r="N310" s="28">
        <f>IFERROR(INDEX('Master data'!$B$2:$CL$1000,MATCH($B310,'Master data'!$A$2:$A$1000,0),MATCH(N$1,'Master data'!$B$1:$CL$1,0)),"")</f>
        <v>-5.0000000000000001E-3</v>
      </c>
      <c r="O310" s="7">
        <f>IFERROR(INDEX('Master data'!$B$2:$CL$1000,MATCH($B310,'Master data'!$A$2:$A$1000,0),MATCH(O$1,'Master data'!$B$1:$CL$1,0)),"")</f>
        <v>0</v>
      </c>
      <c r="P310" s="5">
        <f>IFERROR(INDEX('Master data'!$B$2:$CL$1000,MATCH($B310,'Master data'!$A$2:$A$1000,0),MATCH(P$1,'Master data'!$B$1:$CL$1,0)),"")</f>
        <v>3000000</v>
      </c>
      <c r="Q310" s="5">
        <f>IFERROR(INDEX('Master data'!$B$2:$CL$1000,MATCH($B310,'Master data'!$A$2:$A$1000,0),MATCH(Q$1,'Master data'!$B$1:$CL$1,0)),"")</f>
        <v>3000000</v>
      </c>
    </row>
    <row r="311" spans="1:17" hidden="1">
      <c r="A311">
        <f t="shared" si="4"/>
        <v>309</v>
      </c>
      <c r="B311" t="str">
        <f>IF('Master data'!A311="","",'Master data'!A311)</f>
        <v>Pavao Pervan</v>
      </c>
      <c r="C311" t="str">
        <f>IFERROR(INDEX('Master data'!$B$2:$CL$1000,MATCH($B311,'Master data'!$A$2:$A$1000,0),MATCH(C$1,'Master data'!$B$1:$CL$1,0)),"")</f>
        <v>Austria</v>
      </c>
      <c r="D311" t="str">
        <f>IFERROR(INDEX('Master data'!$B$2:$CL$1000,MATCH($B311,'Master data'!$A$2:$A$1000,0),MATCH(D$1,'Master data'!$B$1:$CL$1,0)),"")</f>
        <v>Goalkeeper</v>
      </c>
      <c r="E311" s="5">
        <f>IFERROR(INDEX('Master data'!$B$2:$CL$1000,MATCH($B311,'Master data'!$A$2:$A$1000,0),MATCH(E$1,'Master data'!$B$1:$CL$1,0)),"")</f>
        <v>3500000</v>
      </c>
      <c r="F311" s="7">
        <f>IFERROR(INDEX('Master data'!$B$2:$CL$1000,MATCH($B311,'Master data'!$A$2:$A$1000,0),MATCH(F$1,'Master data'!$B$1:$CL$1,0)),"")</f>
        <v>40528.461539913384</v>
      </c>
      <c r="G311" s="7">
        <f>IFERROR(INDEX('Master data'!$B$2:$CL$1000,MATCH($B311,'Master data'!$A$2:$A$1000,0),MATCH(G$1,'Master data'!$B$1:$CL$1,0)),"")</f>
        <v>25479.433747266281</v>
      </c>
      <c r="H311" s="7">
        <f>IFERROR(INDEX('Master data'!$B$2:$CL$1000,MATCH($B311,'Master data'!$A$2:$A$1000,0),MATCH(H$1,'Master data'!$B$1:$CL$1,0)),"")</f>
        <v>30413.951175470946</v>
      </c>
      <c r="I311" s="7">
        <f>IFERROR(INDEX('Master data'!$B$2:$CL$1000,MATCH($B311,'Master data'!$A$2:$A$1000,0),MATCH(I$1,'Master data'!$B$1:$CL$1,0)),"")</f>
        <v>-2733.3873267910162</v>
      </c>
      <c r="J311" s="7">
        <f>IFERROR(INDEX('Master data'!$B$2:$CL$1000,MATCH($B311,'Master data'!$A$2:$A$1000,0),MATCH(J$1,'Master data'!$B$1:$CL$1,0)),"")</f>
        <v>-1454.5739492882492</v>
      </c>
      <c r="K311" s="7">
        <f>IFERROR(INDEX('Master data'!$B$2:$CL$1000,MATCH($B311,'Master data'!$A$2:$A$1000,0),MATCH(K$1,'Master data'!$B$1:$CL$1,0)),"")</f>
        <v>-756.29708024096988</v>
      </c>
      <c r="L311" s="7">
        <f>IFERROR(INDEX('Master data'!$B$2:$CL$1000,MATCH($B311,'Master data'!$A$2:$A$1000,0),MATCH(L$1,'Master data'!$B$1:$CL$1,0)),"")</f>
        <v>-367.50826685654619</v>
      </c>
      <c r="M311" s="5">
        <f>IFERROR(INDEX('Master data'!$B$2:$CL$1000,MATCH($B311,'Master data'!$A$2:$A$1000,0),MATCH(M$1,'Master data'!$B$1:$CL$1,0)),"")</f>
        <v>69802.987770307998</v>
      </c>
      <c r="N311" s="28">
        <f>IFERROR(INDEX('Master data'!$B$2:$CL$1000,MATCH($B311,'Master data'!$A$2:$A$1000,0),MATCH(N$1,'Master data'!$B$1:$CL$1,0)),"")</f>
        <v>2.7549098989328745E-2</v>
      </c>
      <c r="O311" s="7">
        <f>IFERROR(INDEX('Master data'!$B$2:$CL$1000,MATCH($B311,'Master data'!$A$2:$A$1000,0),MATCH(O$1,'Master data'!$B$1:$CL$1,0)),"")</f>
        <v>0</v>
      </c>
      <c r="P311" s="5">
        <f>IFERROR(INDEX('Master data'!$B$2:$CL$1000,MATCH($B311,'Master data'!$A$2:$A$1000,0),MATCH(P$1,'Master data'!$B$1:$CL$1,0)),"")</f>
        <v>3500000</v>
      </c>
      <c r="Q311" s="5">
        <f>IFERROR(INDEX('Master data'!$B$2:$CL$1000,MATCH($B311,'Master data'!$A$2:$A$1000,0),MATCH(Q$1,'Master data'!$B$1:$CL$1,0)),"")</f>
        <v>3500000</v>
      </c>
    </row>
    <row r="312" spans="1:17" hidden="1">
      <c r="A312">
        <f t="shared" si="4"/>
        <v>310</v>
      </c>
      <c r="B312" t="str">
        <f>IF('Master data'!A312="","",'Master data'!A312)</f>
        <v>Stefan Lainer</v>
      </c>
      <c r="C312" t="str">
        <f>IFERROR(INDEX('Master data'!$B$2:$CL$1000,MATCH($B312,'Master data'!$A$2:$A$1000,0),MATCH(C$1,'Master data'!$B$1:$CL$1,0)),"")</f>
        <v>Austria</v>
      </c>
      <c r="D312" t="str">
        <f>IFERROR(INDEX('Master data'!$B$2:$CL$1000,MATCH($B312,'Master data'!$A$2:$A$1000,0),MATCH(D$1,'Master data'!$B$1:$CL$1,0)),"")</f>
        <v>Defense</v>
      </c>
      <c r="E312" s="5">
        <f>IFERROR(INDEX('Master data'!$B$2:$CL$1000,MATCH($B312,'Master data'!$A$2:$A$1000,0),MATCH(E$1,'Master data'!$B$1:$CL$1,0)),"")</f>
        <v>3500000</v>
      </c>
      <c r="F312" s="7">
        <f>IFERROR(INDEX('Master data'!$B$2:$CL$1000,MATCH($B312,'Master data'!$A$2:$A$1000,0),MATCH(F$1,'Master data'!$B$1:$CL$1,0)),"")</f>
        <v>78438.7946571332</v>
      </c>
      <c r="G312" s="7">
        <f>IFERROR(INDEX('Master data'!$B$2:$CL$1000,MATCH($B312,'Master data'!$A$2:$A$1000,0),MATCH(G$1,'Master data'!$B$1:$CL$1,0)),"")</f>
        <v>14212.136265180659</v>
      </c>
      <c r="H312" s="7">
        <f>IFERROR(INDEX('Master data'!$B$2:$CL$1000,MATCH($B312,'Master data'!$A$2:$A$1000,0),MATCH(H$1,'Master data'!$B$1:$CL$1,0)),"")</f>
        <v>45939.548307390287</v>
      </c>
      <c r="I312" s="7">
        <f>IFERROR(INDEX('Master data'!$B$2:$CL$1000,MATCH($B312,'Master data'!$A$2:$A$1000,0),MATCH(I$1,'Master data'!$B$1:$CL$1,0)),"")</f>
        <v>7013.5547478324143</v>
      </c>
      <c r="J312" s="7">
        <f>IFERROR(INDEX('Master data'!$B$2:$CL$1000,MATCH($B312,'Master data'!$A$2:$A$1000,0),MATCH(J$1,'Master data'!$B$1:$CL$1,0)),"")</f>
        <v>3280.751276588011</v>
      </c>
      <c r="K312" s="7">
        <f>IFERROR(INDEX('Master data'!$B$2:$CL$1000,MATCH($B312,'Master data'!$A$2:$A$1000,0),MATCH(K$1,'Master data'!$B$1:$CL$1,0)),"")</f>
        <v>1504.8311551068023</v>
      </c>
      <c r="L312" s="7">
        <f>IFERROR(INDEX('Master data'!$B$2:$CL$1000,MATCH($B312,'Master data'!$A$2:$A$1000,0),MATCH(L$1,'Master data'!$B$1:$CL$1,0)),"")</f>
        <v>646.69565676298885</v>
      </c>
      <c r="M312" s="5">
        <f>IFERROR(INDEX('Master data'!$B$2:$CL$1000,MATCH($B312,'Master data'!$A$2:$A$1000,0),MATCH(M$1,'Master data'!$B$1:$CL$1,0)),"")</f>
        <v>111312.210567635</v>
      </c>
      <c r="N312" s="28">
        <f>IFERROR(INDEX('Master data'!$B$2:$CL$1000,MATCH($B312,'Master data'!$A$2:$A$1000,0),MATCH(N$1,'Master data'!$B$1:$CL$1,0)),"")</f>
        <v>3.9597279779915465E-2</v>
      </c>
      <c r="O312" s="7">
        <f>IFERROR(INDEX('Master data'!$B$2:$CL$1000,MATCH($B312,'Master data'!$A$2:$A$1000,0),MATCH(O$1,'Master data'!$B$1:$CL$1,0)),"")</f>
        <v>0</v>
      </c>
      <c r="P312" s="5">
        <f>IFERROR(INDEX('Master data'!$B$2:$CL$1000,MATCH($B312,'Master data'!$A$2:$A$1000,0),MATCH(P$1,'Master data'!$B$1:$CL$1,0)),"")</f>
        <v>3500000</v>
      </c>
      <c r="Q312" s="5">
        <f>IFERROR(INDEX('Master data'!$B$2:$CL$1000,MATCH($B312,'Master data'!$A$2:$A$1000,0),MATCH(Q$1,'Master data'!$B$1:$CL$1,0)),"")</f>
        <v>3500000</v>
      </c>
    </row>
    <row r="313" spans="1:17" hidden="1">
      <c r="A313">
        <f t="shared" si="4"/>
        <v>311</v>
      </c>
      <c r="B313" t="str">
        <f>IF('Master data'!A313="","",'Master data'!A313)</f>
        <v>David Alaba</v>
      </c>
      <c r="C313" t="str">
        <f>IFERROR(INDEX('Master data'!$B$2:$CL$1000,MATCH($B313,'Master data'!$A$2:$A$1000,0),MATCH(C$1,'Master data'!$B$1:$CL$1,0)),"")</f>
        <v>Austria</v>
      </c>
      <c r="D313" t="str">
        <f>IFERROR(INDEX('Master data'!$B$2:$CL$1000,MATCH($B313,'Master data'!$A$2:$A$1000,0),MATCH(D$1,'Master data'!$B$1:$CL$1,0)),"")</f>
        <v>Midfield</v>
      </c>
      <c r="E313" s="5">
        <f>IFERROR(INDEX('Master data'!$B$2:$CL$1000,MATCH($B313,'Master data'!$A$2:$A$1000,0),MATCH(E$1,'Master data'!$B$1:$CL$1,0)),"")</f>
        <v>4000000</v>
      </c>
      <c r="F313" s="7">
        <f>IFERROR(INDEX('Master data'!$B$2:$CL$1000,MATCH($B313,'Master data'!$A$2:$A$1000,0),MATCH(F$1,'Master data'!$B$1:$CL$1,0)),"")</f>
        <v>53076.800423901746</v>
      </c>
      <c r="G313" s="7">
        <f>IFERROR(INDEX('Master data'!$B$2:$CL$1000,MATCH($B313,'Master data'!$A$2:$A$1000,0),MATCH(G$1,'Master data'!$B$1:$CL$1,0)),"")</f>
        <v>5309.7086478704186</v>
      </c>
      <c r="H313" s="7">
        <f>IFERROR(INDEX('Master data'!$B$2:$CL$1000,MATCH($B313,'Master data'!$A$2:$A$1000,0),MATCH(H$1,'Master data'!$B$1:$CL$1,0)),"")</f>
        <v>29756.040834737607</v>
      </c>
      <c r="I313" s="7">
        <f>IFERROR(INDEX('Master data'!$B$2:$CL$1000,MATCH($B313,'Master data'!$A$2:$A$1000,0),MATCH(I$1,'Master data'!$B$1:$CL$1,0)),"")</f>
        <v>-8221.4412933547937</v>
      </c>
      <c r="J313" s="7">
        <f>IFERROR(INDEX('Master data'!$B$2:$CL$1000,MATCH($B313,'Master data'!$A$2:$A$1000,0),MATCH(J$1,'Master data'!$B$1:$CL$1,0)),"")</f>
        <v>-4138.906142708569</v>
      </c>
      <c r="K313" s="7">
        <f>IFERROR(INDEX('Master data'!$B$2:$CL$1000,MATCH($B313,'Master data'!$A$2:$A$1000,0),MATCH(K$1,'Master data'!$B$1:$CL$1,0)),"")</f>
        <v>-2046.8908796936553</v>
      </c>
      <c r="L313" s="7">
        <f>IFERROR(INDEX('Master data'!$B$2:$CL$1000,MATCH($B313,'Master data'!$A$2:$A$1000,0),MATCH(L$1,'Master data'!$B$1:$CL$1,0)),"")</f>
        <v>-950.42970877235916</v>
      </c>
      <c r="M313" s="5">
        <f>IFERROR(INDEX('Master data'!$B$2:$CL$1000,MATCH($B313,'Master data'!$A$2:$A$1000,0),MATCH(M$1,'Master data'!$B$1:$CL$1,0)),"")</f>
        <v>66234.979852699165</v>
      </c>
      <c r="N313" s="28">
        <f>IFERROR(INDEX('Master data'!$B$2:$CL$1000,MATCH($B313,'Master data'!$A$2:$A$1000,0),MATCH(N$1,'Master data'!$B$1:$CL$1,0)),"")</f>
        <v>2.2035637476627443E-2</v>
      </c>
      <c r="O313" s="7">
        <f>IFERROR(INDEX('Master data'!$B$2:$CL$1000,MATCH($B313,'Master data'!$A$2:$A$1000,0),MATCH(O$1,'Master data'!$B$1:$CL$1,0)),"")</f>
        <v>0</v>
      </c>
      <c r="P313" s="5">
        <f>IFERROR(INDEX('Master data'!$B$2:$CL$1000,MATCH($B313,'Master data'!$A$2:$A$1000,0),MATCH(P$1,'Master data'!$B$1:$CL$1,0)),"")</f>
        <v>4000000</v>
      </c>
      <c r="Q313" s="5">
        <f>IFERROR(INDEX('Master data'!$B$2:$CL$1000,MATCH($B313,'Master data'!$A$2:$A$1000,0),MATCH(Q$1,'Master data'!$B$1:$CL$1,0)),"")</f>
        <v>4000000</v>
      </c>
    </row>
    <row r="314" spans="1:17" hidden="1">
      <c r="A314">
        <f t="shared" si="4"/>
        <v>312</v>
      </c>
      <c r="B314" t="str">
        <f>IF('Master data'!A314="","",'Master data'!A314)</f>
        <v>Cristoph Baumgartner</v>
      </c>
      <c r="C314" t="str">
        <f>IFERROR(INDEX('Master data'!$B$2:$CL$1000,MATCH($B314,'Master data'!$A$2:$A$1000,0),MATCH(C$1,'Master data'!$B$1:$CL$1,0)),"")</f>
        <v>Austria</v>
      </c>
      <c r="D314" t="str">
        <f>IFERROR(INDEX('Master data'!$B$2:$CL$1000,MATCH($B314,'Master data'!$A$2:$A$1000,0),MATCH(D$1,'Master data'!$B$1:$CL$1,0)),"")</f>
        <v>Midfield</v>
      </c>
      <c r="E314" s="5">
        <f>IFERROR(INDEX('Master data'!$B$2:$CL$1000,MATCH($B314,'Master data'!$A$2:$A$1000,0),MATCH(E$1,'Master data'!$B$1:$CL$1,0)),"")</f>
        <v>3500000</v>
      </c>
      <c r="F314" s="7">
        <f>IFERROR(INDEX('Master data'!$B$2:$CL$1000,MATCH($B314,'Master data'!$A$2:$A$1000,0),MATCH(F$1,'Master data'!$B$1:$CL$1,0)),"")</f>
        <v>67239.482078360787</v>
      </c>
      <c r="G314" s="7">
        <f>IFERROR(INDEX('Master data'!$B$2:$CL$1000,MATCH($B314,'Master data'!$A$2:$A$1000,0),MATCH(G$1,'Master data'!$B$1:$CL$1,0)),"")</f>
        <v>12226.661023943143</v>
      </c>
      <c r="H314" s="7">
        <f>IFERROR(INDEX('Master data'!$B$2:$CL$1000,MATCH($B314,'Master data'!$A$2:$A$1000,0),MATCH(H$1,'Master data'!$B$1:$CL$1,0)),"")</f>
        <v>40000.752079842234</v>
      </c>
      <c r="I314" s="7">
        <f>IFERROR(INDEX('Master data'!$B$2:$CL$1000,MATCH($B314,'Master data'!$A$2:$A$1000,0),MATCH(I$1,'Master data'!$B$1:$CL$1,0)),"")</f>
        <v>2593.2913022418306</v>
      </c>
      <c r="J314" s="7">
        <f>IFERROR(INDEX('Master data'!$B$2:$CL$1000,MATCH($B314,'Master data'!$A$2:$A$1000,0),MATCH(J$1,'Master data'!$B$1:$CL$1,0)),"")</f>
        <v>1133.2690366535442</v>
      </c>
      <c r="K314" s="7">
        <f>IFERROR(INDEX('Master data'!$B$2:$CL$1000,MATCH($B314,'Master data'!$A$2:$A$1000,0),MATCH(K$1,'Master data'!$B$1:$CL$1,0)),"")</f>
        <v>479.403650974779</v>
      </c>
      <c r="L314" s="7">
        <f>IFERROR(INDEX('Master data'!$B$2:$CL$1000,MATCH($B314,'Master data'!$A$2:$A$1000,0),MATCH(L$1,'Master data'!$B$1:$CL$1,0)),"")</f>
        <v>186.75155371740101</v>
      </c>
      <c r="M314" s="5">
        <f>IFERROR(INDEX('Master data'!$B$2:$CL$1000,MATCH($B314,'Master data'!$A$2:$A$1000,0),MATCH(M$1,'Master data'!$B$1:$CL$1,0)),"")</f>
        <v>94240.466226507677</v>
      </c>
      <c r="N314" s="28">
        <f>IFERROR(INDEX('Master data'!$B$2:$CL$1000,MATCH($B314,'Master data'!$A$2:$A$1000,0),MATCH(N$1,'Master data'!$B$1:$CL$1,0)),"")</f>
        <v>3.4133398623470333E-2</v>
      </c>
      <c r="O314" s="7">
        <f>IFERROR(INDEX('Master data'!$B$2:$CL$1000,MATCH($B314,'Master data'!$A$2:$A$1000,0),MATCH(O$1,'Master data'!$B$1:$CL$1,0)),"")</f>
        <v>0</v>
      </c>
      <c r="P314" s="5">
        <f>IFERROR(INDEX('Master data'!$B$2:$CL$1000,MATCH($B314,'Master data'!$A$2:$A$1000,0),MATCH(P$1,'Master data'!$B$1:$CL$1,0)),"")</f>
        <v>3500000</v>
      </c>
      <c r="Q314" s="5">
        <f>IFERROR(INDEX('Master data'!$B$2:$CL$1000,MATCH($B314,'Master data'!$A$2:$A$1000,0),MATCH(Q$1,'Master data'!$B$1:$CL$1,0)),"")</f>
        <v>3500000</v>
      </c>
    </row>
    <row r="315" spans="1:17" hidden="1">
      <c r="A315">
        <f t="shared" si="4"/>
        <v>313</v>
      </c>
      <c r="B315" t="str">
        <f>IF('Master data'!A315="","",'Master data'!A315)</f>
        <v>Jonas Lössl</v>
      </c>
      <c r="C315" t="str">
        <f>IFERROR(INDEX('Master data'!$B$2:$CL$1000,MATCH($B315,'Master data'!$A$2:$A$1000,0),MATCH(C$1,'Master data'!$B$1:$CL$1,0)),"")</f>
        <v>Denmark</v>
      </c>
      <c r="D315" t="str">
        <f>IFERROR(INDEX('Master data'!$B$2:$CL$1000,MATCH($B315,'Master data'!$A$2:$A$1000,0),MATCH(D$1,'Master data'!$B$1:$CL$1,0)),"")</f>
        <v>Goalkeeper</v>
      </c>
      <c r="E315" s="5">
        <f>IFERROR(INDEX('Master data'!$B$2:$CL$1000,MATCH($B315,'Master data'!$A$2:$A$1000,0),MATCH(E$1,'Master data'!$B$1:$CL$1,0)),"")</f>
        <v>4500000</v>
      </c>
      <c r="F315" s="7">
        <f>IFERROR(INDEX('Master data'!$B$2:$CL$1000,MATCH($B315,'Master data'!$A$2:$A$1000,0),MATCH(F$1,'Master data'!$B$1:$CL$1,0)),"")</f>
        <v>42037.245597491594</v>
      </c>
      <c r="G315" s="7">
        <f>IFERROR(INDEX('Master data'!$B$2:$CL$1000,MATCH($B315,'Master data'!$A$2:$A$1000,0),MATCH(G$1,'Master data'!$B$1:$CL$1,0)),"")</f>
        <v>26200.284209451765</v>
      </c>
      <c r="H315" s="7">
        <f>IFERROR(INDEX('Master data'!$B$2:$CL$1000,MATCH($B315,'Master data'!$A$2:$A$1000,0),MATCH(H$1,'Master data'!$B$1:$CL$1,0)),"")</f>
        <v>33171.001454459678</v>
      </c>
      <c r="I315" s="7">
        <f>IFERROR(INDEX('Master data'!$B$2:$CL$1000,MATCH($B315,'Master data'!$A$2:$A$1000,0),MATCH(I$1,'Master data'!$B$1:$CL$1,0)),"")</f>
        <v>-9916.6854785550204</v>
      </c>
      <c r="J315" s="7">
        <f>IFERROR(INDEX('Master data'!$B$2:$CL$1000,MATCH($B315,'Master data'!$A$2:$A$1000,0),MATCH(J$1,'Master data'!$B$1:$CL$1,0)),"")</f>
        <v>-5057.9411399262181</v>
      </c>
      <c r="K315" s="7">
        <f>IFERROR(INDEX('Master data'!$B$2:$CL$1000,MATCH($B315,'Master data'!$A$2:$A$1000,0),MATCH(K$1,'Master data'!$B$1:$CL$1,0)),"")</f>
        <v>-2560.6944768170551</v>
      </c>
      <c r="L315" s="7">
        <f>IFERROR(INDEX('Master data'!$B$2:$CL$1000,MATCH($B315,'Master data'!$A$2:$A$1000,0),MATCH(L$1,'Master data'!$B$1:$CL$1,0)),"")</f>
        <v>-1265.7665923063914</v>
      </c>
      <c r="M315" s="5">
        <f>IFERROR(INDEX('Master data'!$B$2:$CL$1000,MATCH($B315,'Master data'!$A$2:$A$1000,0),MATCH(M$1,'Master data'!$B$1:$CL$1,0)),"")</f>
        <v>69861.058049945903</v>
      </c>
      <c r="N315" s="28">
        <f>IFERROR(INDEX('Master data'!$B$2:$CL$1000,MATCH($B315,'Master data'!$A$2:$A$1000,0),MATCH(N$1,'Master data'!$B$1:$CL$1,0)),"")</f>
        <v>2.2535229169200671E-2</v>
      </c>
      <c r="O315" s="7">
        <f>IFERROR(INDEX('Master data'!$B$2:$CL$1000,MATCH($B315,'Master data'!$A$2:$A$1000,0),MATCH(O$1,'Master data'!$B$1:$CL$1,0)),"")</f>
        <v>0</v>
      </c>
      <c r="P315" s="5">
        <f>IFERROR(INDEX('Master data'!$B$2:$CL$1000,MATCH($B315,'Master data'!$A$2:$A$1000,0),MATCH(P$1,'Master data'!$B$1:$CL$1,0)),"")</f>
        <v>4500000</v>
      </c>
      <c r="Q315" s="5">
        <f>IFERROR(INDEX('Master data'!$B$2:$CL$1000,MATCH($B315,'Master data'!$A$2:$A$1000,0),MATCH(Q$1,'Master data'!$B$1:$CL$1,0)),"")</f>
        <v>4500000</v>
      </c>
    </row>
    <row r="316" spans="1:17" hidden="1">
      <c r="A316">
        <f t="shared" si="4"/>
        <v>314</v>
      </c>
      <c r="B316" t="str">
        <f>IF('Master data'!A316="","",'Master data'!A316)</f>
        <v>Simon Kjaer</v>
      </c>
      <c r="C316" t="str">
        <f>IFERROR(INDEX('Master data'!$B$2:$CL$1000,MATCH($B316,'Master data'!$A$2:$A$1000,0),MATCH(C$1,'Master data'!$B$1:$CL$1,0)),"")</f>
        <v>Denmark</v>
      </c>
      <c r="D316" t="str">
        <f>IFERROR(INDEX('Master data'!$B$2:$CL$1000,MATCH($B316,'Master data'!$A$2:$A$1000,0),MATCH(D$1,'Master data'!$B$1:$CL$1,0)),"")</f>
        <v>Defense</v>
      </c>
      <c r="E316" s="5">
        <f>IFERROR(INDEX('Master data'!$B$2:$CL$1000,MATCH($B316,'Master data'!$A$2:$A$1000,0),MATCH(E$1,'Master data'!$B$1:$CL$1,0)),"")</f>
        <v>4000000</v>
      </c>
      <c r="F316" s="7">
        <f>IFERROR(INDEX('Master data'!$B$2:$CL$1000,MATCH($B316,'Master data'!$A$2:$A$1000,0),MATCH(F$1,'Master data'!$B$1:$CL$1,0)),"")</f>
        <v>76320.189115506859</v>
      </c>
      <c r="G316" s="7">
        <f>IFERROR(INDEX('Master data'!$B$2:$CL$1000,MATCH($B316,'Master data'!$A$2:$A$1000,0),MATCH(G$1,'Master data'!$B$1:$CL$1,0)),"")</f>
        <v>27173.484717809886</v>
      </c>
      <c r="H316" s="7">
        <f>IFERROR(INDEX('Master data'!$B$2:$CL$1000,MATCH($B316,'Master data'!$A$2:$A$1000,0),MATCH(H$1,'Master data'!$B$1:$CL$1,0)),"")</f>
        <v>56345.208031201022</v>
      </c>
      <c r="I316" s="7">
        <f>IFERROR(INDEX('Master data'!$B$2:$CL$1000,MATCH($B316,'Master data'!$A$2:$A$1000,0),MATCH(I$1,'Master data'!$B$1:$CL$1,0)),"")</f>
        <v>9486.272738474976</v>
      </c>
      <c r="J316" s="7">
        <f>IFERROR(INDEX('Master data'!$B$2:$CL$1000,MATCH($B316,'Master data'!$A$2:$A$1000,0),MATCH(J$1,'Master data'!$B$1:$CL$1,0)),"")</f>
        <v>4493.3421983031412</v>
      </c>
      <c r="K316" s="7">
        <f>IFERROR(INDEX('Master data'!$B$2:$CL$1000,MATCH($B316,'Master data'!$A$2:$A$1000,0),MATCH(K$1,'Master data'!$B$1:$CL$1,0)),"")</f>
        <v>2109.3191892992122</v>
      </c>
      <c r="L316" s="7">
        <f>IFERROR(INDEX('Master data'!$B$2:$CL$1000,MATCH($B316,'Master data'!$A$2:$A$1000,0),MATCH(L$1,'Master data'!$B$1:$CL$1,0)),"")</f>
        <v>965.00709339048353</v>
      </c>
      <c r="M316" s="5">
        <f>IFERROR(INDEX('Master data'!$B$2:$CL$1000,MATCH($B316,'Master data'!$A$2:$A$1000,0),MATCH(M$1,'Master data'!$B$1:$CL$1,0)),"")</f>
        <v>123538.97136404004</v>
      </c>
      <c r="N316" s="28">
        <f>IFERROR(INDEX('Master data'!$B$2:$CL$1000,MATCH($B316,'Master data'!$A$2:$A$1000,0),MATCH(N$1,'Master data'!$B$1:$CL$1,0)),"")</f>
        <v>3.9959720466129438E-2</v>
      </c>
      <c r="O316" s="7">
        <f>IFERROR(INDEX('Master data'!$B$2:$CL$1000,MATCH($B316,'Master data'!$A$2:$A$1000,0),MATCH(O$1,'Master data'!$B$1:$CL$1,0)),"")</f>
        <v>0</v>
      </c>
      <c r="P316" s="5">
        <f>IFERROR(INDEX('Master data'!$B$2:$CL$1000,MATCH($B316,'Master data'!$A$2:$A$1000,0),MATCH(P$1,'Master data'!$B$1:$CL$1,0)),"")</f>
        <v>4000000</v>
      </c>
      <c r="Q316" s="5">
        <f>IFERROR(INDEX('Master data'!$B$2:$CL$1000,MATCH($B316,'Master data'!$A$2:$A$1000,0),MATCH(Q$1,'Master data'!$B$1:$CL$1,0)),"")</f>
        <v>4000000</v>
      </c>
    </row>
    <row r="317" spans="1:17" hidden="1">
      <c r="A317">
        <f t="shared" si="4"/>
        <v>315</v>
      </c>
      <c r="B317" t="str">
        <f>IF('Master data'!A317="","",'Master data'!A317)</f>
        <v xml:space="preserve">Anders  Christiansen </v>
      </c>
      <c r="C317" t="str">
        <f>IFERROR(INDEX('Master data'!$B$2:$CL$1000,MATCH($B317,'Master data'!$A$2:$A$1000,0),MATCH(C$1,'Master data'!$B$1:$CL$1,0)),"")</f>
        <v>Denmark</v>
      </c>
      <c r="D317" t="str">
        <f>IFERROR(INDEX('Master data'!$B$2:$CL$1000,MATCH($B317,'Master data'!$A$2:$A$1000,0),MATCH(D$1,'Master data'!$B$1:$CL$1,0)),"")</f>
        <v>Midfield</v>
      </c>
      <c r="E317" s="5">
        <f>IFERROR(INDEX('Master data'!$B$2:$CL$1000,MATCH($B317,'Master data'!$A$2:$A$1000,0),MATCH(E$1,'Master data'!$B$1:$CL$1,0)),"")</f>
        <v>3000000</v>
      </c>
      <c r="F317" s="7">
        <f>IFERROR(INDEX('Master data'!$B$2:$CL$1000,MATCH($B317,'Master data'!$A$2:$A$1000,0),MATCH(F$1,'Master data'!$B$1:$CL$1,0)),"")</f>
        <v>-5000</v>
      </c>
      <c r="G317" s="7">
        <f>IFERROR(INDEX('Master data'!$B$2:$CL$1000,MATCH($B317,'Master data'!$A$2:$A$1000,0),MATCH(G$1,'Master data'!$B$1:$CL$1,0)),"")</f>
        <v>-5000</v>
      </c>
      <c r="H317" s="7">
        <f>IFERROR(INDEX('Master data'!$B$2:$CL$1000,MATCH($B317,'Master data'!$A$2:$A$1000,0),MATCH(H$1,'Master data'!$B$1:$CL$1,0)),"")</f>
        <v>-5000</v>
      </c>
      <c r="I317" s="7">
        <f>IFERROR(INDEX('Master data'!$B$2:$CL$1000,MATCH($B317,'Master data'!$A$2:$A$1000,0),MATCH(I$1,'Master data'!$B$1:$CL$1,0)),"")</f>
        <v>-28301.502944081934</v>
      </c>
      <c r="J317" s="7">
        <f>IFERROR(INDEX('Master data'!$B$2:$CL$1000,MATCH($B317,'Master data'!$A$2:$A$1000,0),MATCH(J$1,'Master data'!$B$1:$CL$1,0)),"")</f>
        <v>-14026.023164742881</v>
      </c>
      <c r="K317" s="7">
        <f>IFERROR(INDEX('Master data'!$B$2:$CL$1000,MATCH($B317,'Master data'!$A$2:$A$1000,0),MATCH(K$1,'Master data'!$B$1:$CL$1,0)),"")</f>
        <v>-6904.7933921818603</v>
      </c>
      <c r="L317" s="7">
        <f>IFERROR(INDEX('Master data'!$B$2:$CL$1000,MATCH($B317,'Master data'!$A$2:$A$1000,0),MATCH(L$1,'Master data'!$B$1:$CL$1,0)),"")</f>
        <v>-3321.0597499804899</v>
      </c>
      <c r="M317" s="5">
        <f>IFERROR(INDEX('Master data'!$B$2:$CL$1000,MATCH($B317,'Master data'!$A$2:$A$1000,0),MATCH(M$1,'Master data'!$B$1:$CL$1,0)),"")</f>
        <v>-22912.592539496411</v>
      </c>
      <c r="N317" s="28">
        <f>IFERROR(INDEX('Master data'!$B$2:$CL$1000,MATCH($B317,'Master data'!$A$2:$A$1000,0),MATCH(N$1,'Master data'!$B$1:$CL$1,0)),"")</f>
        <v>-5.0000000000000001E-3</v>
      </c>
      <c r="O317" s="7">
        <f>IFERROR(INDEX('Master data'!$B$2:$CL$1000,MATCH($B317,'Master data'!$A$2:$A$1000,0),MATCH(O$1,'Master data'!$B$1:$CL$1,0)),"")</f>
        <v>0</v>
      </c>
      <c r="P317" s="5">
        <f>IFERROR(INDEX('Master data'!$B$2:$CL$1000,MATCH($B317,'Master data'!$A$2:$A$1000,0),MATCH(P$1,'Master data'!$B$1:$CL$1,0)),"")</f>
        <v>3000000</v>
      </c>
      <c r="Q317" s="5">
        <f>IFERROR(INDEX('Master data'!$B$2:$CL$1000,MATCH($B317,'Master data'!$A$2:$A$1000,0),MATCH(Q$1,'Master data'!$B$1:$CL$1,0)),"")</f>
        <v>3000000</v>
      </c>
    </row>
    <row r="318" spans="1:17" hidden="1">
      <c r="A318">
        <f t="shared" si="4"/>
        <v>316</v>
      </c>
      <c r="B318" t="str">
        <f>IF('Master data'!A318="","",'Master data'!A318)</f>
        <v>Christian  Nørgaard</v>
      </c>
      <c r="C318" t="str">
        <f>IFERROR(INDEX('Master data'!$B$2:$CL$1000,MATCH($B318,'Master data'!$A$2:$A$1000,0),MATCH(C$1,'Master data'!$B$1:$CL$1,0)),"")</f>
        <v>Denmark</v>
      </c>
      <c r="D318" t="str">
        <f>IFERROR(INDEX('Master data'!$B$2:$CL$1000,MATCH($B318,'Master data'!$A$2:$A$1000,0),MATCH(D$1,'Master data'!$B$1:$CL$1,0)),"")</f>
        <v>Midfield</v>
      </c>
      <c r="E318" s="5">
        <f>IFERROR(INDEX('Master data'!$B$2:$CL$1000,MATCH($B318,'Master data'!$A$2:$A$1000,0),MATCH(E$1,'Master data'!$B$1:$CL$1,0)),"")</f>
        <v>2500000</v>
      </c>
      <c r="F318" s="7">
        <f>IFERROR(INDEX('Master data'!$B$2:$CL$1000,MATCH($B318,'Master data'!$A$2:$A$1000,0),MATCH(F$1,'Master data'!$B$1:$CL$1,0)),"")</f>
        <v>-5000</v>
      </c>
      <c r="G318" s="7">
        <f>IFERROR(INDEX('Master data'!$B$2:$CL$1000,MATCH($B318,'Master data'!$A$2:$A$1000,0),MATCH(G$1,'Master data'!$B$1:$CL$1,0)),"")</f>
        <v>-5000</v>
      </c>
      <c r="H318" s="7">
        <f>IFERROR(INDEX('Master data'!$B$2:$CL$1000,MATCH($B318,'Master data'!$A$2:$A$1000,0),MATCH(H$1,'Master data'!$B$1:$CL$1,0)),"")</f>
        <v>-5000</v>
      </c>
      <c r="I318" s="7">
        <f>IFERROR(INDEX('Master data'!$B$2:$CL$1000,MATCH($B318,'Master data'!$A$2:$A$1000,0),MATCH(I$1,'Master data'!$B$1:$CL$1,0)),"")</f>
        <v>-24241.02906401279</v>
      </c>
      <c r="J318" s="7">
        <f>IFERROR(INDEX('Master data'!$B$2:$CL$1000,MATCH($B318,'Master data'!$A$2:$A$1000,0),MATCH(J$1,'Master data'!$B$1:$CL$1,0)),"")</f>
        <v>-12010.789951417755</v>
      </c>
      <c r="K318" s="7">
        <f>IFERROR(INDEX('Master data'!$B$2:$CL$1000,MATCH($B318,'Master data'!$A$2:$A$1000,0),MATCH(K$1,'Master data'!$B$1:$CL$1,0)),"")</f>
        <v>-5911.297940069363</v>
      </c>
      <c r="L318" s="7">
        <f>IFERROR(INDEX('Master data'!$B$2:$CL$1000,MATCH($B318,'Master data'!$A$2:$A$1000,0),MATCH(L$1,'Master data'!$B$1:$CL$1,0)),"")</f>
        <v>-2842.5208811072207</v>
      </c>
      <c r="M318" s="5">
        <f>IFERROR(INDEX('Master data'!$B$2:$CL$1000,MATCH($B318,'Master data'!$A$2:$A$1000,0),MATCH(M$1,'Master data'!$B$1:$CL$1,0)),"")</f>
        <v>-21138.576089805811</v>
      </c>
      <c r="N318" s="28">
        <f>IFERROR(INDEX('Master data'!$B$2:$CL$1000,MATCH($B318,'Master data'!$A$2:$A$1000,0),MATCH(N$1,'Master data'!$B$1:$CL$1,0)),"")</f>
        <v>-6.0000000000000001E-3</v>
      </c>
      <c r="O318" s="7">
        <f>IFERROR(INDEX('Master data'!$B$2:$CL$1000,MATCH($B318,'Master data'!$A$2:$A$1000,0),MATCH(O$1,'Master data'!$B$1:$CL$1,0)),"")</f>
        <v>0</v>
      </c>
      <c r="P318" s="5">
        <f>IFERROR(INDEX('Master data'!$B$2:$CL$1000,MATCH($B318,'Master data'!$A$2:$A$1000,0),MATCH(P$1,'Master data'!$B$1:$CL$1,0)),"")</f>
        <v>2500000</v>
      </c>
      <c r="Q318" s="5">
        <f>IFERROR(INDEX('Master data'!$B$2:$CL$1000,MATCH($B318,'Master data'!$A$2:$A$1000,0),MATCH(Q$1,'Master data'!$B$1:$CL$1,0)),"")</f>
        <v>2500000</v>
      </c>
    </row>
    <row r="319" spans="1:17" hidden="1">
      <c r="A319">
        <f t="shared" si="4"/>
        <v>317</v>
      </c>
      <c r="B319" t="str">
        <f>IF('Master data'!A319="","",'Master data'!A319)</f>
        <v>Fredrik  Jensen</v>
      </c>
      <c r="C319" t="str">
        <f>IFERROR(INDEX('Master data'!$B$2:$CL$1000,MATCH($B319,'Master data'!$A$2:$A$1000,0),MATCH(C$1,'Master data'!$B$1:$CL$1,0)),"")</f>
        <v>Finland</v>
      </c>
      <c r="D319" t="str">
        <f>IFERROR(INDEX('Master data'!$B$2:$CL$1000,MATCH($B319,'Master data'!$A$2:$A$1000,0),MATCH(D$1,'Master data'!$B$1:$CL$1,0)),"")</f>
        <v>Midfield</v>
      </c>
      <c r="E319" s="5">
        <f>IFERROR(INDEX('Master data'!$B$2:$CL$1000,MATCH($B319,'Master data'!$A$2:$A$1000,0),MATCH(E$1,'Master data'!$B$1:$CL$1,0)),"")</f>
        <v>2500000</v>
      </c>
      <c r="F319" s="7">
        <f>IFERROR(INDEX('Master data'!$B$2:$CL$1000,MATCH($B319,'Master data'!$A$2:$A$1000,0),MATCH(F$1,'Master data'!$B$1:$CL$1,0)),"")</f>
        <v>-5000</v>
      </c>
      <c r="G319" s="7">
        <f>IFERROR(INDEX('Master data'!$B$2:$CL$1000,MATCH($B319,'Master data'!$A$2:$A$1000,0),MATCH(G$1,'Master data'!$B$1:$CL$1,0)),"")</f>
        <v>-5000</v>
      </c>
      <c r="H319" s="7">
        <f>IFERROR(INDEX('Master data'!$B$2:$CL$1000,MATCH($B319,'Master data'!$A$2:$A$1000,0),MATCH(H$1,'Master data'!$B$1:$CL$1,0)),"")</f>
        <v>-5000</v>
      </c>
      <c r="I319" s="7">
        <f>IFERROR(INDEX('Master data'!$B$2:$CL$1000,MATCH($B319,'Master data'!$A$2:$A$1000,0),MATCH(I$1,'Master data'!$B$1:$CL$1,0)),"")</f>
        <v>-8080.343021337595</v>
      </c>
      <c r="J319" s="7">
        <f>IFERROR(INDEX('Master data'!$B$2:$CL$1000,MATCH($B319,'Master data'!$A$2:$A$1000,0),MATCH(J$1,'Master data'!$B$1:$CL$1,0)),"")</f>
        <v>-3957.4314360337198</v>
      </c>
      <c r="K319" s="7">
        <f>IFERROR(INDEX('Master data'!$B$2:$CL$1000,MATCH($B319,'Master data'!$A$2:$A$1000,0),MATCH(K$1,'Master data'!$B$1:$CL$1,0)),"")</f>
        <v>-1904.0120571238031</v>
      </c>
      <c r="L319" s="7">
        <f>IFERROR(INDEX('Master data'!$B$2:$CL$1000,MATCH($B319,'Master data'!$A$2:$A$1000,0),MATCH(L$1,'Master data'!$B$1:$CL$1,0)),"")</f>
        <v>-858.51335840923593</v>
      </c>
      <c r="M319" s="5">
        <f>IFERROR(INDEX('Master data'!$B$2:$CL$1000,MATCH($B319,'Master data'!$A$2:$A$1000,0),MATCH(M$1,'Master data'!$B$1:$CL$1,0)),"")</f>
        <v>-14057.550386584157</v>
      </c>
      <c r="N319" s="28">
        <f>IFERROR(INDEX('Master data'!$B$2:$CL$1000,MATCH($B319,'Master data'!$A$2:$A$1000,0),MATCH(N$1,'Master data'!$B$1:$CL$1,0)),"")</f>
        <v>-6.0000000000000001E-3</v>
      </c>
      <c r="O319" s="7">
        <f>IFERROR(INDEX('Master data'!$B$2:$CL$1000,MATCH($B319,'Master data'!$A$2:$A$1000,0),MATCH(O$1,'Master data'!$B$1:$CL$1,0)),"")</f>
        <v>0</v>
      </c>
      <c r="P319" s="5">
        <f>IFERROR(INDEX('Master data'!$B$2:$CL$1000,MATCH($B319,'Master data'!$A$2:$A$1000,0),MATCH(P$1,'Master data'!$B$1:$CL$1,0)),"")</f>
        <v>2500000</v>
      </c>
      <c r="Q319" s="5">
        <f>IFERROR(INDEX('Master data'!$B$2:$CL$1000,MATCH($B319,'Master data'!$A$2:$A$1000,0),MATCH(Q$1,'Master data'!$B$1:$CL$1,0)),"")</f>
        <v>2500000</v>
      </c>
    </row>
    <row r="320" spans="1:17" hidden="1">
      <c r="A320">
        <f t="shared" si="4"/>
        <v>318</v>
      </c>
      <c r="B320" t="str">
        <f>IF('Master data'!A320="","",'Master data'!A320)</f>
        <v>Robert Taylor</v>
      </c>
      <c r="C320" t="str">
        <f>IFERROR(INDEX('Master data'!$B$2:$CL$1000,MATCH($B320,'Master data'!$A$2:$A$1000,0),MATCH(C$1,'Master data'!$B$1:$CL$1,0)),"")</f>
        <v>Finland</v>
      </c>
      <c r="D320" t="str">
        <f>IFERROR(INDEX('Master data'!$B$2:$CL$1000,MATCH($B320,'Master data'!$A$2:$A$1000,0),MATCH(D$1,'Master data'!$B$1:$CL$1,0)),"")</f>
        <v>Midfield</v>
      </c>
      <c r="E320" s="5">
        <f>IFERROR(INDEX('Master data'!$B$2:$CL$1000,MATCH($B320,'Master data'!$A$2:$A$1000,0),MATCH(E$1,'Master data'!$B$1:$CL$1,0)),"")</f>
        <v>2500000</v>
      </c>
      <c r="F320" s="7">
        <f>IFERROR(INDEX('Master data'!$B$2:$CL$1000,MATCH($B320,'Master data'!$A$2:$A$1000,0),MATCH(F$1,'Master data'!$B$1:$CL$1,0)),"")</f>
        <v>-5000</v>
      </c>
      <c r="G320" s="7">
        <f>IFERROR(INDEX('Master data'!$B$2:$CL$1000,MATCH($B320,'Master data'!$A$2:$A$1000,0),MATCH(G$1,'Master data'!$B$1:$CL$1,0)),"")</f>
        <v>-5000</v>
      </c>
      <c r="H320" s="7">
        <f>IFERROR(INDEX('Master data'!$B$2:$CL$1000,MATCH($B320,'Master data'!$A$2:$A$1000,0),MATCH(H$1,'Master data'!$B$1:$CL$1,0)),"")</f>
        <v>-5000</v>
      </c>
      <c r="I320" s="7">
        <f>IFERROR(INDEX('Master data'!$B$2:$CL$1000,MATCH($B320,'Master data'!$A$2:$A$1000,0),MATCH(I$1,'Master data'!$B$1:$CL$1,0)),"")</f>
        <v>-8080.343021337595</v>
      </c>
      <c r="J320" s="7">
        <f>IFERROR(INDEX('Master data'!$B$2:$CL$1000,MATCH($B320,'Master data'!$A$2:$A$1000,0),MATCH(J$1,'Master data'!$B$1:$CL$1,0)),"")</f>
        <v>-3957.4314360337198</v>
      </c>
      <c r="K320" s="7">
        <f>IFERROR(INDEX('Master data'!$B$2:$CL$1000,MATCH($B320,'Master data'!$A$2:$A$1000,0),MATCH(K$1,'Master data'!$B$1:$CL$1,0)),"")</f>
        <v>-1904.0120571238031</v>
      </c>
      <c r="L320" s="7">
        <f>IFERROR(INDEX('Master data'!$B$2:$CL$1000,MATCH($B320,'Master data'!$A$2:$A$1000,0),MATCH(L$1,'Master data'!$B$1:$CL$1,0)),"")</f>
        <v>-858.51335840923593</v>
      </c>
      <c r="M320" s="5">
        <f>IFERROR(INDEX('Master data'!$B$2:$CL$1000,MATCH($B320,'Master data'!$A$2:$A$1000,0),MATCH(M$1,'Master data'!$B$1:$CL$1,0)),"")</f>
        <v>-14057.550386584157</v>
      </c>
      <c r="N320" s="28">
        <f>IFERROR(INDEX('Master data'!$B$2:$CL$1000,MATCH($B320,'Master data'!$A$2:$A$1000,0),MATCH(N$1,'Master data'!$B$1:$CL$1,0)),"")</f>
        <v>-6.0000000000000001E-3</v>
      </c>
      <c r="O320" s="7">
        <f>IFERROR(INDEX('Master data'!$B$2:$CL$1000,MATCH($B320,'Master data'!$A$2:$A$1000,0),MATCH(O$1,'Master data'!$B$1:$CL$1,0)),"")</f>
        <v>0</v>
      </c>
      <c r="P320" s="5">
        <f>IFERROR(INDEX('Master data'!$B$2:$CL$1000,MATCH($B320,'Master data'!$A$2:$A$1000,0),MATCH(P$1,'Master data'!$B$1:$CL$1,0)),"")</f>
        <v>2500000</v>
      </c>
      <c r="Q320" s="5">
        <f>IFERROR(INDEX('Master data'!$B$2:$CL$1000,MATCH($B320,'Master data'!$A$2:$A$1000,0),MATCH(Q$1,'Master data'!$B$1:$CL$1,0)),"")</f>
        <v>2500000</v>
      </c>
    </row>
    <row r="321" spans="1:17" hidden="1">
      <c r="A321">
        <f t="shared" si="4"/>
        <v>319</v>
      </c>
      <c r="B321" t="str">
        <f>IF('Master data'!A321="","",'Master data'!A321)</f>
        <v>Robin Lod</v>
      </c>
      <c r="C321" t="str">
        <f>IFERROR(INDEX('Master data'!$B$2:$CL$1000,MATCH($B321,'Master data'!$A$2:$A$1000,0),MATCH(C$1,'Master data'!$B$1:$CL$1,0)),"")</f>
        <v>Finland</v>
      </c>
      <c r="D321" t="str">
        <f>IFERROR(INDEX('Master data'!$B$2:$CL$1000,MATCH($B321,'Master data'!$A$2:$A$1000,0),MATCH(D$1,'Master data'!$B$1:$CL$1,0)),"")</f>
        <v>Midfield</v>
      </c>
      <c r="E321" s="5">
        <f>IFERROR(INDEX('Master data'!$B$2:$CL$1000,MATCH($B321,'Master data'!$A$2:$A$1000,0),MATCH(E$1,'Master data'!$B$1:$CL$1,0)),"")</f>
        <v>3000000</v>
      </c>
      <c r="F321" s="7">
        <f>IFERROR(INDEX('Master data'!$B$2:$CL$1000,MATCH($B321,'Master data'!$A$2:$A$1000,0),MATCH(F$1,'Master data'!$B$1:$CL$1,0)),"")</f>
        <v>17428.747142162025</v>
      </c>
      <c r="G321" s="7">
        <f>IFERROR(INDEX('Master data'!$B$2:$CL$1000,MATCH($B321,'Master data'!$A$2:$A$1000,0),MATCH(G$1,'Master data'!$B$1:$CL$1,0)),"")</f>
        <v>29220.045864047479</v>
      </c>
      <c r="H321" s="7">
        <f>IFERROR(INDEX('Master data'!$B$2:$CL$1000,MATCH($B321,'Master data'!$A$2:$A$1000,0),MATCH(H$1,'Master data'!$B$1:$CL$1,0)),"")</f>
        <v>9586.0963908908343</v>
      </c>
      <c r="I321" s="7">
        <f>IFERROR(INDEX('Master data'!$B$2:$CL$1000,MATCH($B321,'Master data'!$A$2:$A$1000,0),MATCH(I$1,'Master data'!$B$1:$CL$1,0)),"")</f>
        <v>-3198.9457477129972</v>
      </c>
      <c r="J321" s="7">
        <f>IFERROR(INDEX('Master data'!$B$2:$CL$1000,MATCH($B321,'Master data'!$A$2:$A$1000,0),MATCH(J$1,'Master data'!$B$1:$CL$1,0)),"")</f>
        <v>-1594.2386902141959</v>
      </c>
      <c r="K321" s="7">
        <f>IFERROR(INDEX('Master data'!$B$2:$CL$1000,MATCH($B321,'Master data'!$A$2:$A$1000,0),MATCH(K$1,'Master data'!$B$1:$CL$1,0)),"")</f>
        <v>-780.31118285932598</v>
      </c>
      <c r="L321" s="7">
        <f>IFERROR(INDEX('Master data'!$B$2:$CL$1000,MATCH($B321,'Master data'!$A$2:$A$1000,0),MATCH(L$1,'Master data'!$B$1:$CL$1,0)),"")</f>
        <v>-357.85076011357216</v>
      </c>
      <c r="M321" s="5">
        <f>IFERROR(INDEX('Master data'!$B$2:$CL$1000,MATCH($B321,'Master data'!$A$2:$A$1000,0),MATCH(M$1,'Master data'!$B$1:$CL$1,0)),"")</f>
        <v>39772.344598234842</v>
      </c>
      <c r="N321" s="28">
        <f>IFERROR(INDEX('Master data'!$B$2:$CL$1000,MATCH($B321,'Master data'!$A$2:$A$1000,0),MATCH(N$1,'Master data'!$B$1:$CL$1,0)),"")</f>
        <v>1.8744963132366781E-2</v>
      </c>
      <c r="O321" s="7">
        <f>IFERROR(INDEX('Master data'!$B$2:$CL$1000,MATCH($B321,'Master data'!$A$2:$A$1000,0),MATCH(O$1,'Master data'!$B$1:$CL$1,0)),"")</f>
        <v>0</v>
      </c>
      <c r="P321" s="5">
        <f>IFERROR(INDEX('Master data'!$B$2:$CL$1000,MATCH($B321,'Master data'!$A$2:$A$1000,0),MATCH(P$1,'Master data'!$B$1:$CL$1,0)),"")</f>
        <v>3000000</v>
      </c>
      <c r="Q321" s="5">
        <f>IFERROR(INDEX('Master data'!$B$2:$CL$1000,MATCH($B321,'Master data'!$A$2:$A$1000,0),MATCH(Q$1,'Master data'!$B$1:$CL$1,0)),"")</f>
        <v>3000000</v>
      </c>
    </row>
    <row r="322" spans="1:17" hidden="1">
      <c r="A322">
        <f t="shared" si="4"/>
        <v>320</v>
      </c>
      <c r="B322" t="str">
        <f>IF('Master data'!A322="","",'Master data'!A322)</f>
        <v>Teemu Pukki</v>
      </c>
      <c r="C322" t="str">
        <f>IFERROR(INDEX('Master data'!$B$2:$CL$1000,MATCH($B322,'Master data'!$A$2:$A$1000,0),MATCH(C$1,'Master data'!$B$1:$CL$1,0)),"")</f>
        <v>Finland</v>
      </c>
      <c r="D322" t="str">
        <f>IFERROR(INDEX('Master data'!$B$2:$CL$1000,MATCH($B322,'Master data'!$A$2:$A$1000,0),MATCH(D$1,'Master data'!$B$1:$CL$1,0)),"")</f>
        <v>Striker</v>
      </c>
      <c r="E322" s="5">
        <f>IFERROR(INDEX('Master data'!$B$2:$CL$1000,MATCH($B322,'Master data'!$A$2:$A$1000,0),MATCH(E$1,'Master data'!$B$1:$CL$1,0)),"")</f>
        <v>4000000</v>
      </c>
      <c r="F322" s="7">
        <f>IFERROR(INDEX('Master data'!$B$2:$CL$1000,MATCH($B322,'Master data'!$A$2:$A$1000,0),MATCH(F$1,'Master data'!$B$1:$CL$1,0)),"")</f>
        <v>7163.3377398109769</v>
      </c>
      <c r="G322" s="7">
        <f>IFERROR(INDEX('Master data'!$B$2:$CL$1000,MATCH($B322,'Master data'!$A$2:$A$1000,0),MATCH(G$1,'Master data'!$B$1:$CL$1,0)),"")</f>
        <v>16488.085789368142</v>
      </c>
      <c r="H322" s="7">
        <f>IFERROR(INDEX('Master data'!$B$2:$CL$1000,MATCH($B322,'Master data'!$A$2:$A$1000,0),MATCH(H$1,'Master data'!$B$1:$CL$1,0)),"")</f>
        <v>-1070.3783340450318</v>
      </c>
      <c r="I322" s="7">
        <f>IFERROR(INDEX('Master data'!$B$2:$CL$1000,MATCH($B322,'Master data'!$A$2:$A$1000,0),MATCH(I$1,'Master data'!$B$1:$CL$1,0)),"")</f>
        <v>-8851.5069718839877</v>
      </c>
      <c r="J322" s="7">
        <f>IFERROR(INDEX('Master data'!$B$2:$CL$1000,MATCH($B322,'Master data'!$A$2:$A$1000,0),MATCH(J$1,'Master data'!$B$1:$CL$1,0)),"")</f>
        <v>-4352.3864847301284</v>
      </c>
      <c r="K322" s="7">
        <f>IFERROR(INDEX('Master data'!$B$2:$CL$1000,MATCH($B322,'Master data'!$A$2:$A$1000,0),MATCH(K$1,'Master data'!$B$1:$CL$1,0)),"")</f>
        <v>-2102.3707972724164</v>
      </c>
      <c r="L322" s="7">
        <f>IFERROR(INDEX('Master data'!$B$2:$CL$1000,MATCH($B322,'Master data'!$A$2:$A$1000,0),MATCH(L$1,'Master data'!$B$1:$CL$1,0)),"")</f>
        <v>-951.7243748491012</v>
      </c>
      <c r="M322" s="5">
        <f>IFERROR(INDEX('Master data'!$B$2:$CL$1000,MATCH($B322,'Master data'!$A$2:$A$1000,0),MATCH(M$1,'Master data'!$B$1:$CL$1,0)),"")</f>
        <v>13836.863113124768</v>
      </c>
      <c r="N322" s="28">
        <f>IFERROR(INDEX('Master data'!$B$2:$CL$1000,MATCH($B322,'Master data'!$A$2:$A$1000,0),MATCH(N$1,'Master data'!$B$1:$CL$1,0)),"")</f>
        <v>5.6452612987835217E-3</v>
      </c>
      <c r="O322" s="7">
        <f>IFERROR(INDEX('Master data'!$B$2:$CL$1000,MATCH($B322,'Master data'!$A$2:$A$1000,0),MATCH(O$1,'Master data'!$B$1:$CL$1,0)),"")</f>
        <v>0</v>
      </c>
      <c r="P322" s="5">
        <f>IFERROR(INDEX('Master data'!$B$2:$CL$1000,MATCH($B322,'Master data'!$A$2:$A$1000,0),MATCH(P$1,'Master data'!$B$1:$CL$1,0)),"")</f>
        <v>4000000</v>
      </c>
      <c r="Q322" s="5">
        <f>IFERROR(INDEX('Master data'!$B$2:$CL$1000,MATCH($B322,'Master data'!$A$2:$A$1000,0),MATCH(Q$1,'Master data'!$B$1:$CL$1,0)),"")</f>
        <v>4000000</v>
      </c>
    </row>
    <row r="323" spans="1:17" hidden="1">
      <c r="A323">
        <f t="shared" ref="A323:A386" si="5">IF(B323="","",ROW()-2)</f>
        <v>321</v>
      </c>
      <c r="B323" t="str">
        <f>IF('Master data'!A323="","",'Master data'!A323)</f>
        <v>Simon Sluga</v>
      </c>
      <c r="C323" t="str">
        <f>IFERROR(INDEX('Master data'!$B$2:$CL$1000,MATCH($B323,'Master data'!$A$2:$A$1000,0),MATCH(C$1,'Master data'!$B$1:$CL$1,0)),"")</f>
        <v>Croatia</v>
      </c>
      <c r="D323" t="str">
        <f>IFERROR(INDEX('Master data'!$B$2:$CL$1000,MATCH($B323,'Master data'!$A$2:$A$1000,0),MATCH(D$1,'Master data'!$B$1:$CL$1,0)),"")</f>
        <v>Goalkeeper</v>
      </c>
      <c r="E323" s="5">
        <f>IFERROR(INDEX('Master data'!$B$2:$CL$1000,MATCH($B323,'Master data'!$A$2:$A$1000,0),MATCH(E$1,'Master data'!$B$1:$CL$1,0)),"")</f>
        <v>3500000</v>
      </c>
      <c r="F323" s="7">
        <f>IFERROR(INDEX('Master data'!$B$2:$CL$1000,MATCH($B323,'Master data'!$A$2:$A$1000,0),MATCH(F$1,'Master data'!$B$1:$CL$1,0)),"")</f>
        <v>28491.457658247433</v>
      </c>
      <c r="G323" s="7">
        <f>IFERROR(INDEX('Master data'!$B$2:$CL$1000,MATCH($B323,'Master data'!$A$2:$A$1000,0),MATCH(G$1,'Master data'!$B$1:$CL$1,0)),"")</f>
        <v>34186.782976770221</v>
      </c>
      <c r="H323" s="7">
        <f>IFERROR(INDEX('Master data'!$B$2:$CL$1000,MATCH($B323,'Master data'!$A$2:$A$1000,0),MATCH(H$1,'Master data'!$B$1:$CL$1,0)),"")</f>
        <v>37109.65150409018</v>
      </c>
      <c r="I323" s="7">
        <f>IFERROR(INDEX('Master data'!$B$2:$CL$1000,MATCH($B323,'Master data'!$A$2:$A$1000,0),MATCH(I$1,'Master data'!$B$1:$CL$1,0)),"")</f>
        <v>-2041.6183649874918</v>
      </c>
      <c r="J323" s="7">
        <f>IFERROR(INDEX('Master data'!$B$2:$CL$1000,MATCH($B323,'Master data'!$A$2:$A$1000,0),MATCH(J$1,'Master data'!$B$1:$CL$1,0)),"")</f>
        <v>-1131.6351075616976</v>
      </c>
      <c r="K323" s="7">
        <f>IFERROR(INDEX('Master data'!$B$2:$CL$1000,MATCH($B323,'Master data'!$A$2:$A$1000,0),MATCH(K$1,'Master data'!$B$1:$CL$1,0)),"")</f>
        <v>-613.27750842683258</v>
      </c>
      <c r="L323" s="7">
        <f>IFERROR(INDEX('Master data'!$B$2:$CL$1000,MATCH($B323,'Master data'!$A$2:$A$1000,0),MATCH(L$1,'Master data'!$B$1:$CL$1,0)),"")</f>
        <v>-316.97419193558159</v>
      </c>
      <c r="M323" s="5">
        <f>IFERROR(INDEX('Master data'!$B$2:$CL$1000,MATCH($B323,'Master data'!$A$2:$A$1000,0),MATCH(M$1,'Master data'!$B$1:$CL$1,0)),"")</f>
        <v>66838.779472536204</v>
      </c>
      <c r="N323" s="28">
        <f>IFERROR(INDEX('Master data'!$B$2:$CL$1000,MATCH($B323,'Master data'!$A$2:$A$1000,0),MATCH(N$1,'Master data'!$B$1:$CL$1,0)),"")</f>
        <v>2.8510826325459381E-2</v>
      </c>
      <c r="O323" s="7">
        <f>IFERROR(INDEX('Master data'!$B$2:$CL$1000,MATCH($B323,'Master data'!$A$2:$A$1000,0),MATCH(O$1,'Master data'!$B$1:$CL$1,0)),"")</f>
        <v>0</v>
      </c>
      <c r="P323" s="5">
        <f>IFERROR(INDEX('Master data'!$B$2:$CL$1000,MATCH($B323,'Master data'!$A$2:$A$1000,0),MATCH(P$1,'Master data'!$B$1:$CL$1,0)),"")</f>
        <v>3500000</v>
      </c>
      <c r="Q323" s="5">
        <f>IFERROR(INDEX('Master data'!$B$2:$CL$1000,MATCH($B323,'Master data'!$A$2:$A$1000,0),MATCH(Q$1,'Master data'!$B$1:$CL$1,0)),"")</f>
        <v>3500000</v>
      </c>
    </row>
    <row r="324" spans="1:17" hidden="1">
      <c r="A324">
        <f t="shared" si="5"/>
        <v>322</v>
      </c>
      <c r="B324" t="str">
        <f>IF('Master data'!A324="","",'Master data'!A324)</f>
        <v>Lovre Kalinić</v>
      </c>
      <c r="C324" t="str">
        <f>IFERROR(INDEX('Master data'!$B$2:$CL$1000,MATCH($B324,'Master data'!$A$2:$A$1000,0),MATCH(C$1,'Master data'!$B$1:$CL$1,0)),"")</f>
        <v>Croatia</v>
      </c>
      <c r="D324" t="str">
        <f>IFERROR(INDEX('Master data'!$B$2:$CL$1000,MATCH($B324,'Master data'!$A$2:$A$1000,0),MATCH(D$1,'Master data'!$B$1:$CL$1,0)),"")</f>
        <v>Goalkeeper</v>
      </c>
      <c r="E324" s="5">
        <f>IFERROR(INDEX('Master data'!$B$2:$CL$1000,MATCH($B324,'Master data'!$A$2:$A$1000,0),MATCH(E$1,'Master data'!$B$1:$CL$1,0)),"")</f>
        <v>4000000</v>
      </c>
      <c r="F324" s="7">
        <f>IFERROR(INDEX('Master data'!$B$2:$CL$1000,MATCH($B324,'Master data'!$A$2:$A$1000,0),MATCH(F$1,'Master data'!$B$1:$CL$1,0)),"")</f>
        <v>28491.457658247433</v>
      </c>
      <c r="G324" s="7">
        <f>IFERROR(INDEX('Master data'!$B$2:$CL$1000,MATCH($B324,'Master data'!$A$2:$A$1000,0),MATCH(G$1,'Master data'!$B$1:$CL$1,0)),"")</f>
        <v>34186.782976770221</v>
      </c>
      <c r="H324" s="7">
        <f>IFERROR(INDEX('Master data'!$B$2:$CL$1000,MATCH($B324,'Master data'!$A$2:$A$1000,0),MATCH(H$1,'Master data'!$B$1:$CL$1,0)),"")</f>
        <v>37109.65150409018</v>
      </c>
      <c r="I324" s="7">
        <f>IFERROR(INDEX('Master data'!$B$2:$CL$1000,MATCH($B324,'Master data'!$A$2:$A$1000,0),MATCH(I$1,'Master data'!$B$1:$CL$1,0)),"")</f>
        <v>-5773.6715635804549</v>
      </c>
      <c r="J324" s="7">
        <f>IFERROR(INDEX('Master data'!$B$2:$CL$1000,MATCH($B324,'Master data'!$A$2:$A$1000,0),MATCH(J$1,'Master data'!$B$1:$CL$1,0)),"")</f>
        <v>-2975.9659331049543</v>
      </c>
      <c r="K324" s="7">
        <f>IFERROR(INDEX('Master data'!$B$2:$CL$1000,MATCH($B324,'Master data'!$A$2:$A$1000,0),MATCH(K$1,'Master data'!$B$1:$CL$1,0)),"")</f>
        <v>-1515.0233694307208</v>
      </c>
      <c r="L324" s="7">
        <f>IFERROR(INDEX('Master data'!$B$2:$CL$1000,MATCH($B324,'Master data'!$A$2:$A$1000,0),MATCH(L$1,'Master data'!$B$1:$CL$1,0)),"")</f>
        <v>-741.51664778964994</v>
      </c>
      <c r="M324" s="5">
        <f>IFERROR(INDEX('Master data'!$B$2:$CL$1000,MATCH($B324,'Master data'!$A$2:$A$1000,0),MATCH(M$1,'Master data'!$B$1:$CL$1,0)),"")</f>
        <v>65212.654027261378</v>
      </c>
      <c r="N324" s="28">
        <f>IFERROR(INDEX('Master data'!$B$2:$CL$1000,MATCH($B324,'Master data'!$A$2:$A$1000,0),MATCH(N$1,'Master data'!$B$1:$CL$1,0)),"")</f>
        <v>2.494697303477696E-2</v>
      </c>
      <c r="O324" s="7">
        <f>IFERROR(INDEX('Master data'!$B$2:$CL$1000,MATCH($B324,'Master data'!$A$2:$A$1000,0),MATCH(O$1,'Master data'!$B$1:$CL$1,0)),"")</f>
        <v>0</v>
      </c>
      <c r="P324" s="5">
        <f>IFERROR(INDEX('Master data'!$B$2:$CL$1000,MATCH($B324,'Master data'!$A$2:$A$1000,0),MATCH(P$1,'Master data'!$B$1:$CL$1,0)),"")</f>
        <v>4000000</v>
      </c>
      <c r="Q324" s="5">
        <f>IFERROR(INDEX('Master data'!$B$2:$CL$1000,MATCH($B324,'Master data'!$A$2:$A$1000,0),MATCH(Q$1,'Master data'!$B$1:$CL$1,0)),"")</f>
        <v>4000000</v>
      </c>
    </row>
    <row r="325" spans="1:17" hidden="1">
      <c r="A325">
        <f t="shared" si="5"/>
        <v>323</v>
      </c>
      <c r="B325" t="str">
        <f>IF('Master data'!A325="","",'Master data'!A325)</f>
        <v>Josko Gvardiol</v>
      </c>
      <c r="C325" t="str">
        <f>IFERROR(INDEX('Master data'!$B$2:$CL$1000,MATCH($B325,'Master data'!$A$2:$A$1000,0),MATCH(C$1,'Master data'!$B$1:$CL$1,0)),"")</f>
        <v>Croatia</v>
      </c>
      <c r="D325" t="str">
        <f>IFERROR(INDEX('Master data'!$B$2:$CL$1000,MATCH($B325,'Master data'!$A$2:$A$1000,0),MATCH(D$1,'Master data'!$B$1:$CL$1,0)),"")</f>
        <v>Defense</v>
      </c>
      <c r="E325" s="5">
        <f>IFERROR(INDEX('Master data'!$B$2:$CL$1000,MATCH($B325,'Master data'!$A$2:$A$1000,0),MATCH(E$1,'Master data'!$B$1:$CL$1,0)),"")</f>
        <v>2000000</v>
      </c>
      <c r="F325" s="7">
        <f>IFERROR(INDEX('Master data'!$B$2:$CL$1000,MATCH($B325,'Master data'!$A$2:$A$1000,0),MATCH(F$1,'Master data'!$B$1:$CL$1,0)),"")</f>
        <v>5910.2060282171351</v>
      </c>
      <c r="G325" s="7">
        <f>IFERROR(INDEX('Master data'!$B$2:$CL$1000,MATCH($B325,'Master data'!$A$2:$A$1000,0),MATCH(G$1,'Master data'!$B$1:$CL$1,0)),"")</f>
        <v>13780.487804878048</v>
      </c>
      <c r="H325" s="7">
        <f>IFERROR(INDEX('Master data'!$B$2:$CL$1000,MATCH($B325,'Master data'!$A$2:$A$1000,0),MATCH(H$1,'Master data'!$B$1:$CL$1,0)),"")</f>
        <v>16871.9742227438</v>
      </c>
      <c r="I325" s="7">
        <f>IFERROR(INDEX('Master data'!$B$2:$CL$1000,MATCH($B325,'Master data'!$A$2:$A$1000,0),MATCH(I$1,'Master data'!$B$1:$CL$1,0)),"")</f>
        <v>-6104.1989544465177</v>
      </c>
      <c r="J325" s="7">
        <f>IFERROR(INDEX('Master data'!$B$2:$CL$1000,MATCH($B325,'Master data'!$A$2:$A$1000,0),MATCH(J$1,'Master data'!$B$1:$CL$1,0)),"")</f>
        <v>-3061.5693335656952</v>
      </c>
      <c r="K325" s="7">
        <f>IFERROR(INDEX('Master data'!$B$2:$CL$1000,MATCH($B325,'Master data'!$A$2:$A$1000,0),MATCH(K$1,'Master data'!$B$1:$CL$1,0)),"")</f>
        <v>-1518.8685868634675</v>
      </c>
      <c r="L325" s="7">
        <f>IFERROR(INDEX('Master data'!$B$2:$CL$1000,MATCH($B325,'Master data'!$A$2:$A$1000,0),MATCH(L$1,'Master data'!$B$1:$CL$1,0)),"")</f>
        <v>-725.43245037208726</v>
      </c>
      <c r="M325" s="5">
        <f>IFERROR(INDEX('Master data'!$B$2:$CL$1000,MATCH($B325,'Master data'!$A$2:$A$1000,0),MATCH(M$1,'Master data'!$B$1:$CL$1,0)),"")</f>
        <v>19918.744714065022</v>
      </c>
      <c r="N325" s="28">
        <f>IFERROR(INDEX('Master data'!$B$2:$CL$1000,MATCH($B325,'Master data'!$A$2:$A$1000,0),MATCH(N$1,'Master data'!$B$1:$CL$1,0)),"")</f>
        <v>1.8281334027919489E-2</v>
      </c>
      <c r="O325" s="7">
        <f>IFERROR(INDEX('Master data'!$B$2:$CL$1000,MATCH($B325,'Master data'!$A$2:$A$1000,0),MATCH(O$1,'Master data'!$B$1:$CL$1,0)),"")</f>
        <v>0</v>
      </c>
      <c r="P325" s="5">
        <f>IFERROR(INDEX('Master data'!$B$2:$CL$1000,MATCH($B325,'Master data'!$A$2:$A$1000,0),MATCH(P$1,'Master data'!$B$1:$CL$1,0)),"")</f>
        <v>2000000</v>
      </c>
      <c r="Q325" s="5">
        <f>IFERROR(INDEX('Master data'!$B$2:$CL$1000,MATCH($B325,'Master data'!$A$2:$A$1000,0),MATCH(Q$1,'Master data'!$B$1:$CL$1,0)),"")</f>
        <v>2000000</v>
      </c>
    </row>
    <row r="326" spans="1:17" hidden="1">
      <c r="A326">
        <f t="shared" si="5"/>
        <v>324</v>
      </c>
      <c r="B326" t="str">
        <f>IF('Master data'!A326="","",'Master data'!A326)</f>
        <v>Borna Barišić</v>
      </c>
      <c r="C326" t="str">
        <f>IFERROR(INDEX('Master data'!$B$2:$CL$1000,MATCH($B326,'Master data'!$A$2:$A$1000,0),MATCH(C$1,'Master data'!$B$1:$CL$1,0)),"")</f>
        <v>Croatia</v>
      </c>
      <c r="D326" t="str">
        <f>IFERROR(INDEX('Master data'!$B$2:$CL$1000,MATCH($B326,'Master data'!$A$2:$A$1000,0),MATCH(D$1,'Master data'!$B$1:$CL$1,0)),"")</f>
        <v>Defense</v>
      </c>
      <c r="E326" s="5">
        <f>IFERROR(INDEX('Master data'!$B$2:$CL$1000,MATCH($B326,'Master data'!$A$2:$A$1000,0),MATCH(E$1,'Master data'!$B$1:$CL$1,0)),"")</f>
        <v>3500000</v>
      </c>
      <c r="F326" s="7">
        <f>IFERROR(INDEX('Master data'!$B$2:$CL$1000,MATCH($B326,'Master data'!$A$2:$A$1000,0),MATCH(F$1,'Master data'!$B$1:$CL$1,0)),"")</f>
        <v>15781.034708954781</v>
      </c>
      <c r="G326" s="7">
        <f>IFERROR(INDEX('Master data'!$B$2:$CL$1000,MATCH($B326,'Master data'!$A$2:$A$1000,0),MATCH(G$1,'Master data'!$B$1:$CL$1,0)),"")</f>
        <v>51581.969020386976</v>
      </c>
      <c r="H326" s="7">
        <f>IFERROR(INDEX('Master data'!$B$2:$CL$1000,MATCH($B326,'Master data'!$A$2:$A$1000,0),MATCH(H$1,'Master data'!$B$1:$CL$1,0)),"")</f>
        <v>60711.905217382024</v>
      </c>
      <c r="I326" s="7">
        <f>IFERROR(INDEX('Master data'!$B$2:$CL$1000,MATCH($B326,'Master data'!$A$2:$A$1000,0),MATCH(I$1,'Master data'!$B$1:$CL$1,0)),"")</f>
        <v>4785.1544356025443</v>
      </c>
      <c r="J326" s="7">
        <f>IFERROR(INDEX('Master data'!$B$2:$CL$1000,MATCH($B326,'Master data'!$A$2:$A$1000,0),MATCH(J$1,'Master data'!$B$1:$CL$1,0)),"")</f>
        <v>2207.2843843388673</v>
      </c>
      <c r="K326" s="7">
        <f>IFERROR(INDEX('Master data'!$B$2:$CL$1000,MATCH($B326,'Master data'!$A$2:$A$1000,0),MATCH(K$1,'Master data'!$B$1:$CL$1,0)),"")</f>
        <v>1002.2101789127906</v>
      </c>
      <c r="L326" s="7">
        <f>IFERROR(INDEX('Master data'!$B$2:$CL$1000,MATCH($B326,'Master data'!$A$2:$A$1000,0),MATCH(L$1,'Master data'!$B$1:$CL$1,0)),"")</f>
        <v>435.59228867996205</v>
      </c>
      <c r="M326" s="5">
        <f>IFERROR(INDEX('Master data'!$B$2:$CL$1000,MATCH($B326,'Master data'!$A$2:$A$1000,0),MATCH(M$1,'Master data'!$B$1:$CL$1,0)),"")</f>
        <v>79176.132963311335</v>
      </c>
      <c r="N326" s="28">
        <f>IFERROR(INDEX('Master data'!$B$2:$CL$1000,MATCH($B326,'Master data'!$A$2:$A$1000,0),MATCH(N$1,'Master data'!$B$1:$CL$1,0)),"")</f>
        <v>3.6592831127635367E-2</v>
      </c>
      <c r="O326" s="7">
        <f>IFERROR(INDEX('Master data'!$B$2:$CL$1000,MATCH($B326,'Master data'!$A$2:$A$1000,0),MATCH(O$1,'Master data'!$B$1:$CL$1,0)),"")</f>
        <v>0</v>
      </c>
      <c r="P326" s="5">
        <f>IFERROR(INDEX('Master data'!$B$2:$CL$1000,MATCH($B326,'Master data'!$A$2:$A$1000,0),MATCH(P$1,'Master data'!$B$1:$CL$1,0)),"")</f>
        <v>3500000</v>
      </c>
      <c r="Q326" s="5">
        <f>IFERROR(INDEX('Master data'!$B$2:$CL$1000,MATCH($B326,'Master data'!$A$2:$A$1000,0),MATCH(Q$1,'Master data'!$B$1:$CL$1,0)),"")</f>
        <v>3500000</v>
      </c>
    </row>
    <row r="327" spans="1:17" hidden="1">
      <c r="A327">
        <f t="shared" si="5"/>
        <v>325</v>
      </c>
      <c r="B327" t="str">
        <f>IF('Master data'!A327="","",'Master data'!A327)</f>
        <v>Luka Ivanušec</v>
      </c>
      <c r="C327" t="str">
        <f>IFERROR(INDEX('Master data'!$B$2:$CL$1000,MATCH($B327,'Master data'!$A$2:$A$1000,0),MATCH(C$1,'Master data'!$B$1:$CL$1,0)),"")</f>
        <v>Croatia</v>
      </c>
      <c r="D327" t="str">
        <f>IFERROR(INDEX('Master data'!$B$2:$CL$1000,MATCH($B327,'Master data'!$A$2:$A$1000,0),MATCH(D$1,'Master data'!$B$1:$CL$1,0)),"")</f>
        <v>Midfield</v>
      </c>
      <c r="E327" s="5">
        <f>IFERROR(INDEX('Master data'!$B$2:$CL$1000,MATCH($B327,'Master data'!$A$2:$A$1000,0),MATCH(E$1,'Master data'!$B$1:$CL$1,0)),"")</f>
        <v>2000000</v>
      </c>
      <c r="F327" s="7">
        <f>IFERROR(INDEX('Master data'!$B$2:$CL$1000,MATCH($B327,'Master data'!$A$2:$A$1000,0),MATCH(F$1,'Master data'!$B$1:$CL$1,0)),"")</f>
        <v>-5000</v>
      </c>
      <c r="G327" s="7">
        <f>IFERROR(INDEX('Master data'!$B$2:$CL$1000,MATCH($B327,'Master data'!$A$2:$A$1000,0),MATCH(G$1,'Master data'!$B$1:$CL$1,0)),"")</f>
        <v>-5000</v>
      </c>
      <c r="H327" s="7">
        <f>IFERROR(INDEX('Master data'!$B$2:$CL$1000,MATCH($B327,'Master data'!$A$2:$A$1000,0),MATCH(H$1,'Master data'!$B$1:$CL$1,0)),"")</f>
        <v>-5000</v>
      </c>
      <c r="I327" s="7">
        <f>IFERROR(INDEX('Master data'!$B$2:$CL$1000,MATCH($B327,'Master data'!$A$2:$A$1000,0),MATCH(I$1,'Master data'!$B$1:$CL$1,0)),"")</f>
        <v>-18548.304397007025</v>
      </c>
      <c r="J327" s="7">
        <f>IFERROR(INDEX('Master data'!$B$2:$CL$1000,MATCH($B327,'Master data'!$A$2:$A$1000,0),MATCH(J$1,'Master data'!$B$1:$CL$1,0)),"")</f>
        <v>-9147.8808946945537</v>
      </c>
      <c r="K327" s="7">
        <f>IFERROR(INDEX('Master data'!$B$2:$CL$1000,MATCH($B327,'Master data'!$A$2:$A$1000,0),MATCH(K$1,'Master data'!$B$1:$CL$1,0)),"")</f>
        <v>-4463.6420119692466</v>
      </c>
      <c r="L327" s="7">
        <f>IFERROR(INDEX('Master data'!$B$2:$CL$1000,MATCH($B327,'Master data'!$A$2:$A$1000,0),MATCH(L$1,'Master data'!$B$1:$CL$1,0)),"")</f>
        <v>-2097.2397319190982</v>
      </c>
      <c r="M327" s="5">
        <f>IFERROR(INDEX('Master data'!$B$2:$CL$1000,MATCH($B327,'Master data'!$A$2:$A$1000,0),MATCH(M$1,'Master data'!$B$1:$CL$1,0)),"")</f>
        <v>-18630.262790920991</v>
      </c>
      <c r="N327" s="28">
        <f>IFERROR(INDEX('Master data'!$B$2:$CL$1000,MATCH($B327,'Master data'!$A$2:$A$1000,0),MATCH(N$1,'Master data'!$B$1:$CL$1,0)),"")</f>
        <v>-7.4999999999999997E-3</v>
      </c>
      <c r="O327" s="7">
        <f>IFERROR(INDEX('Master data'!$B$2:$CL$1000,MATCH($B327,'Master data'!$A$2:$A$1000,0),MATCH(O$1,'Master data'!$B$1:$CL$1,0)),"")</f>
        <v>0</v>
      </c>
      <c r="P327" s="5">
        <f>IFERROR(INDEX('Master data'!$B$2:$CL$1000,MATCH($B327,'Master data'!$A$2:$A$1000,0),MATCH(P$1,'Master data'!$B$1:$CL$1,0)),"")</f>
        <v>2000000</v>
      </c>
      <c r="Q327" s="5">
        <f>IFERROR(INDEX('Master data'!$B$2:$CL$1000,MATCH($B327,'Master data'!$A$2:$A$1000,0),MATCH(Q$1,'Master data'!$B$1:$CL$1,0)),"")</f>
        <v>2000000</v>
      </c>
    </row>
    <row r="328" spans="1:17" hidden="1">
      <c r="A328">
        <f t="shared" si="5"/>
        <v>326</v>
      </c>
      <c r="B328" t="str">
        <f>IF('Master data'!A328="","",'Master data'!A328)</f>
        <v>Milan Badelj</v>
      </c>
      <c r="C328" t="str">
        <f>IFERROR(INDEX('Master data'!$B$2:$CL$1000,MATCH($B328,'Master data'!$A$2:$A$1000,0),MATCH(C$1,'Master data'!$B$1:$CL$1,0)),"")</f>
        <v>Croatia</v>
      </c>
      <c r="D328" t="str">
        <f>IFERROR(INDEX('Master data'!$B$2:$CL$1000,MATCH($B328,'Master data'!$A$2:$A$1000,0),MATCH(D$1,'Master data'!$B$1:$CL$1,0)),"")</f>
        <v>Midfield</v>
      </c>
      <c r="E328" s="5">
        <f>IFERROR(INDEX('Master data'!$B$2:$CL$1000,MATCH($B328,'Master data'!$A$2:$A$1000,0),MATCH(E$1,'Master data'!$B$1:$CL$1,0)),"")</f>
        <v>2500000</v>
      </c>
      <c r="F328" s="7">
        <f>IFERROR(INDEX('Master data'!$B$2:$CL$1000,MATCH($B328,'Master data'!$A$2:$A$1000,0),MATCH(F$1,'Master data'!$B$1:$CL$1,0)),"")</f>
        <v>-5000</v>
      </c>
      <c r="G328" s="7">
        <f>IFERROR(INDEX('Master data'!$B$2:$CL$1000,MATCH($B328,'Master data'!$A$2:$A$1000,0),MATCH(G$1,'Master data'!$B$1:$CL$1,0)),"")</f>
        <v>-5000</v>
      </c>
      <c r="H328" s="7">
        <f>IFERROR(INDEX('Master data'!$B$2:$CL$1000,MATCH($B328,'Master data'!$A$2:$A$1000,0),MATCH(H$1,'Master data'!$B$1:$CL$1,0)),"")</f>
        <v>-5000</v>
      </c>
      <c r="I328" s="7">
        <f>IFERROR(INDEX('Master data'!$B$2:$CL$1000,MATCH($B328,'Master data'!$A$2:$A$1000,0),MATCH(I$1,'Master data'!$B$1:$CL$1,0)),"")</f>
        <v>-22280.357595599988</v>
      </c>
      <c r="J328" s="7">
        <f>IFERROR(INDEX('Master data'!$B$2:$CL$1000,MATCH($B328,'Master data'!$A$2:$A$1000,0),MATCH(J$1,'Master data'!$B$1:$CL$1,0)),"")</f>
        <v>-10992.21172023781</v>
      </c>
      <c r="K328" s="7">
        <f>IFERROR(INDEX('Master data'!$B$2:$CL$1000,MATCH($B328,'Master data'!$A$2:$A$1000,0),MATCH(K$1,'Master data'!$B$1:$CL$1,0)),"")</f>
        <v>-5365.387872973135</v>
      </c>
      <c r="L328" s="7">
        <f>IFERROR(INDEX('Master data'!$B$2:$CL$1000,MATCH($B328,'Master data'!$A$2:$A$1000,0),MATCH(L$1,'Master data'!$B$1:$CL$1,0)),"")</f>
        <v>-2521.7821877731662</v>
      </c>
      <c r="M328" s="5">
        <f>IFERROR(INDEX('Master data'!$B$2:$CL$1000,MATCH($B328,'Master data'!$A$2:$A$1000,0),MATCH(M$1,'Master data'!$B$1:$CL$1,0)),"")</f>
        <v>-20256.388236195809</v>
      </c>
      <c r="N328" s="28">
        <f>IFERROR(INDEX('Master data'!$B$2:$CL$1000,MATCH($B328,'Master data'!$A$2:$A$1000,0),MATCH(N$1,'Master data'!$B$1:$CL$1,0)),"")</f>
        <v>-6.0000000000000001E-3</v>
      </c>
      <c r="O328" s="7">
        <f>IFERROR(INDEX('Master data'!$B$2:$CL$1000,MATCH($B328,'Master data'!$A$2:$A$1000,0),MATCH(O$1,'Master data'!$B$1:$CL$1,0)),"")</f>
        <v>0</v>
      </c>
      <c r="P328" s="5">
        <f>IFERROR(INDEX('Master data'!$B$2:$CL$1000,MATCH($B328,'Master data'!$A$2:$A$1000,0),MATCH(P$1,'Master data'!$B$1:$CL$1,0)),"")</f>
        <v>2500000</v>
      </c>
      <c r="Q328" s="5">
        <f>IFERROR(INDEX('Master data'!$B$2:$CL$1000,MATCH($B328,'Master data'!$A$2:$A$1000,0),MATCH(Q$1,'Master data'!$B$1:$CL$1,0)),"")</f>
        <v>2500000</v>
      </c>
    </row>
    <row r="329" spans="1:17" hidden="1">
      <c r="A329">
        <f t="shared" si="5"/>
        <v>327</v>
      </c>
      <c r="B329" t="str">
        <f>IF('Master data'!A329="","",'Master data'!A329)</f>
        <v>Maarten Stekelenburg</v>
      </c>
      <c r="C329" t="str">
        <f>IFERROR(INDEX('Master data'!$B$2:$CL$1000,MATCH($B329,'Master data'!$A$2:$A$1000,0),MATCH(C$1,'Master data'!$B$1:$CL$1,0)),"")</f>
        <v>Netherlands</v>
      </c>
      <c r="D329" t="str">
        <f>IFERROR(INDEX('Master data'!$B$2:$CL$1000,MATCH($B329,'Master data'!$A$2:$A$1000,0),MATCH(D$1,'Master data'!$B$1:$CL$1,0)),"")</f>
        <v>Goalkeeper</v>
      </c>
      <c r="E329" s="5">
        <f>IFERROR(INDEX('Master data'!$B$2:$CL$1000,MATCH($B329,'Master data'!$A$2:$A$1000,0),MATCH(E$1,'Master data'!$B$1:$CL$1,0)),"")</f>
        <v>5000000</v>
      </c>
      <c r="F329" s="7">
        <f>IFERROR(INDEX('Master data'!$B$2:$CL$1000,MATCH($B329,'Master data'!$A$2:$A$1000,0),MATCH(F$1,'Master data'!$B$1:$CL$1,0)),"")</f>
        <v>38742.952501695254</v>
      </c>
      <c r="G329" s="7">
        <f>IFERROR(INDEX('Master data'!$B$2:$CL$1000,MATCH($B329,'Master data'!$A$2:$A$1000,0),MATCH(G$1,'Master data'!$B$1:$CL$1,0)),"")</f>
        <v>37880.338669248413</v>
      </c>
      <c r="H329" s="7">
        <f>IFERROR(INDEX('Master data'!$B$2:$CL$1000,MATCH($B329,'Master data'!$A$2:$A$1000,0),MATCH(H$1,'Master data'!$B$1:$CL$1,0)),"")</f>
        <v>46504.440100353095</v>
      </c>
      <c r="I329" s="7">
        <f>IFERROR(INDEX('Master data'!$B$2:$CL$1000,MATCH($B329,'Master data'!$A$2:$A$1000,0),MATCH(I$1,'Master data'!$B$1:$CL$1,0)),"")</f>
        <v>-9850.2264581965501</v>
      </c>
      <c r="J329" s="7">
        <f>IFERROR(INDEX('Master data'!$B$2:$CL$1000,MATCH($B329,'Master data'!$A$2:$A$1000,0),MATCH(J$1,'Master data'!$B$1:$CL$1,0)),"")</f>
        <v>-5121.1130438307946</v>
      </c>
      <c r="K329" s="7">
        <f>IFERROR(INDEX('Master data'!$B$2:$CL$1000,MATCH($B329,'Master data'!$A$2:$A$1000,0),MATCH(K$1,'Master data'!$B$1:$CL$1,0)),"")</f>
        <v>-2657.3657608640656</v>
      </c>
      <c r="L329" s="7">
        <f>IFERROR(INDEX('Master data'!$B$2:$CL$1000,MATCH($B329,'Master data'!$A$2:$A$1000,0),MATCH(L$1,'Master data'!$B$1:$CL$1,0)),"")</f>
        <v>-1375.0821636240976</v>
      </c>
      <c r="M329" s="5">
        <f>IFERROR(INDEX('Master data'!$B$2:$CL$1000,MATCH($B329,'Master data'!$A$2:$A$1000,0),MATCH(M$1,'Master data'!$B$1:$CL$1,0)),"")</f>
        <v>80264.326467363484</v>
      </c>
      <c r="N329" s="28">
        <f>IFERROR(INDEX('Master data'!$B$2:$CL$1000,MATCH($B329,'Master data'!$A$2:$A$1000,0),MATCH(N$1,'Master data'!$B$1:$CL$1,0)),"")</f>
        <v>2.4625546254259355E-2</v>
      </c>
      <c r="O329" s="7">
        <f>IFERROR(INDEX('Master data'!$B$2:$CL$1000,MATCH($B329,'Master data'!$A$2:$A$1000,0),MATCH(O$1,'Master data'!$B$1:$CL$1,0)),"")</f>
        <v>0</v>
      </c>
      <c r="P329" s="5">
        <f>IFERROR(INDEX('Master data'!$B$2:$CL$1000,MATCH($B329,'Master data'!$A$2:$A$1000,0),MATCH(P$1,'Master data'!$B$1:$CL$1,0)),"")</f>
        <v>5000000</v>
      </c>
      <c r="Q329" s="5">
        <f>IFERROR(INDEX('Master data'!$B$2:$CL$1000,MATCH($B329,'Master data'!$A$2:$A$1000,0),MATCH(Q$1,'Master data'!$B$1:$CL$1,0)),"")</f>
        <v>5000000</v>
      </c>
    </row>
    <row r="330" spans="1:17" hidden="1">
      <c r="A330">
        <f t="shared" si="5"/>
        <v>328</v>
      </c>
      <c r="B330" t="str">
        <f>IF('Master data'!A330="","",'Master data'!A330)</f>
        <v>Rui Ru. Silva</v>
      </c>
      <c r="C330" t="str">
        <f>IFERROR(INDEX('Master data'!$B$2:$CL$1000,MATCH($B330,'Master data'!$A$2:$A$1000,0),MATCH(C$1,'Master data'!$B$1:$CL$1,0)),"")</f>
        <v>Portugal</v>
      </c>
      <c r="D330" t="str">
        <f>IFERROR(INDEX('Master data'!$B$2:$CL$1000,MATCH($B330,'Master data'!$A$2:$A$1000,0),MATCH(D$1,'Master data'!$B$1:$CL$1,0)),"")</f>
        <v>Goalkeeper</v>
      </c>
      <c r="E330" s="5">
        <f>IFERROR(INDEX('Master data'!$B$2:$CL$1000,MATCH($B330,'Master data'!$A$2:$A$1000,0),MATCH(E$1,'Master data'!$B$1:$CL$1,0)),"")</f>
        <v>4000000</v>
      </c>
      <c r="F330" s="7">
        <f>IFERROR(INDEX('Master data'!$B$2:$CL$1000,MATCH($B330,'Master data'!$A$2:$A$1000,0),MATCH(F$1,'Master data'!$B$1:$CL$1,0)),"")</f>
        <v>37136.093695256313</v>
      </c>
      <c r="G330" s="7">
        <f>IFERROR(INDEX('Master data'!$B$2:$CL$1000,MATCH($B330,'Master data'!$A$2:$A$1000,0),MATCH(G$1,'Master data'!$B$1:$CL$1,0)),"")</f>
        <v>26216.007988297555</v>
      </c>
      <c r="H330" s="7">
        <f>IFERROR(INDEX('Master data'!$B$2:$CL$1000,MATCH($B330,'Master data'!$A$2:$A$1000,0),MATCH(H$1,'Master data'!$B$1:$CL$1,0)),"")</f>
        <v>27152.578438396748</v>
      </c>
      <c r="I330" s="7">
        <f>IFERROR(INDEX('Master data'!$B$2:$CL$1000,MATCH($B330,'Master data'!$A$2:$A$1000,0),MATCH(I$1,'Master data'!$B$1:$CL$1,0)),"")</f>
        <v>-8073.4402863505911</v>
      </c>
      <c r="J330" s="7">
        <f>IFERROR(INDEX('Master data'!$B$2:$CL$1000,MATCH($B330,'Master data'!$A$2:$A$1000,0),MATCH(J$1,'Master data'!$B$1:$CL$1,0)),"")</f>
        <v>-4229.8843351001005</v>
      </c>
      <c r="K330" s="7">
        <f>IFERROR(INDEX('Master data'!$B$2:$CL$1000,MATCH($B330,'Master data'!$A$2:$A$1000,0),MATCH(K$1,'Master data'!$B$1:$CL$1,0)),"")</f>
        <v>-2249.8447924202819</v>
      </c>
      <c r="L330" s="7">
        <f>IFERROR(INDEX('Master data'!$B$2:$CL$1000,MATCH($B330,'Master data'!$A$2:$A$1000,0),MATCH(L$1,'Master data'!$B$1:$CL$1,0)),"")</f>
        <v>-1256.9135468058084</v>
      </c>
      <c r="M330" s="5">
        <f>IFERROR(INDEX('Master data'!$B$2:$CL$1000,MATCH($B330,'Master data'!$A$2:$A$1000,0),MATCH(M$1,'Master data'!$B$1:$CL$1,0)),"")</f>
        <v>63046.959652977981</v>
      </c>
      <c r="N330" s="28">
        <f>IFERROR(INDEX('Master data'!$B$2:$CL$1000,MATCH($B330,'Master data'!$A$2:$A$1000,0),MATCH(N$1,'Master data'!$B$1:$CL$1,0)),"")</f>
        <v>2.2626170030487655E-2</v>
      </c>
      <c r="O330" s="7">
        <f>IFERROR(INDEX('Master data'!$B$2:$CL$1000,MATCH($B330,'Master data'!$A$2:$A$1000,0),MATCH(O$1,'Master data'!$B$1:$CL$1,0)),"")</f>
        <v>0</v>
      </c>
      <c r="P330" s="5">
        <f>IFERROR(INDEX('Master data'!$B$2:$CL$1000,MATCH($B330,'Master data'!$A$2:$A$1000,0),MATCH(P$1,'Master data'!$B$1:$CL$1,0)),"")</f>
        <v>4000000</v>
      </c>
      <c r="Q330" s="5">
        <f>IFERROR(INDEX('Master data'!$B$2:$CL$1000,MATCH($B330,'Master data'!$A$2:$A$1000,0),MATCH(Q$1,'Master data'!$B$1:$CL$1,0)),"")</f>
        <v>4000000</v>
      </c>
    </row>
    <row r="331" spans="1:17" hidden="1">
      <c r="A331">
        <f t="shared" si="5"/>
        <v>329</v>
      </c>
      <c r="B331" t="str">
        <f>IF('Master data'!A331="","",'Master data'!A331)</f>
        <v>Anatolii Trubin</v>
      </c>
      <c r="C331" t="str">
        <f>IFERROR(INDEX('Master data'!$B$2:$CL$1000,MATCH($B331,'Master data'!$A$2:$A$1000,0),MATCH(C$1,'Master data'!$B$1:$CL$1,0)),"")</f>
        <v>Ukraine</v>
      </c>
      <c r="D331" t="str">
        <f>IFERROR(INDEX('Master data'!$B$2:$CL$1000,MATCH($B331,'Master data'!$A$2:$A$1000,0),MATCH(D$1,'Master data'!$B$1:$CL$1,0)),"")</f>
        <v>Goalkeeper</v>
      </c>
      <c r="E331" s="5">
        <f>IFERROR(INDEX('Master data'!$B$2:$CL$1000,MATCH($B331,'Master data'!$A$2:$A$1000,0),MATCH(E$1,'Master data'!$B$1:$CL$1,0)),"")</f>
        <v>3500000</v>
      </c>
      <c r="F331" s="7">
        <f>IFERROR(INDEX('Master data'!$B$2:$CL$1000,MATCH($B331,'Master data'!$A$2:$A$1000,0),MATCH(F$1,'Master data'!$B$1:$CL$1,0)),"")</f>
        <v>29482.966097254131</v>
      </c>
      <c r="G331" s="7">
        <f>IFERROR(INDEX('Master data'!$B$2:$CL$1000,MATCH($B331,'Master data'!$A$2:$A$1000,0),MATCH(G$1,'Master data'!$B$1:$CL$1,0)),"")</f>
        <v>39209.639620486305</v>
      </c>
      <c r="H331" s="7">
        <f>IFERROR(INDEX('Master data'!$B$2:$CL$1000,MATCH($B331,'Master data'!$A$2:$A$1000,0),MATCH(H$1,'Master data'!$B$1:$CL$1,0)),"")</f>
        <v>32625.207009134581</v>
      </c>
      <c r="I331" s="7">
        <f>IFERROR(INDEX('Master data'!$B$2:$CL$1000,MATCH($B331,'Master data'!$A$2:$A$1000,0),MATCH(I$1,'Master data'!$B$1:$CL$1,0)),"")</f>
        <v>-1672.3881868225135</v>
      </c>
      <c r="J331" s="7">
        <f>IFERROR(INDEX('Master data'!$B$2:$CL$1000,MATCH($B331,'Master data'!$A$2:$A$1000,0),MATCH(J$1,'Master data'!$B$1:$CL$1,0)),"")</f>
        <v>-945.59418215750395</v>
      </c>
      <c r="K331" s="7">
        <f>IFERROR(INDEX('Master data'!$B$2:$CL$1000,MATCH($B331,'Master data'!$A$2:$A$1000,0),MATCH(K$1,'Master data'!$B$1:$CL$1,0)),"")</f>
        <v>-517.01404338404109</v>
      </c>
      <c r="L331" s="7">
        <f>IFERROR(INDEX('Master data'!$B$2:$CL$1000,MATCH($B331,'Master data'!$A$2:$A$1000,0),MATCH(L$1,'Master data'!$B$1:$CL$1,0)),"")</f>
        <v>-262.95976383568012</v>
      </c>
      <c r="M331" s="5">
        <f>IFERROR(INDEX('Master data'!$B$2:$CL$1000,MATCH($B331,'Master data'!$A$2:$A$1000,0),MATCH(M$1,'Master data'!$B$1:$CL$1,0)),"")</f>
        <v>69349.341601892331</v>
      </c>
      <c r="N331" s="28">
        <f>IFERROR(INDEX('Master data'!$B$2:$CL$1000,MATCH($B331,'Master data'!$A$2:$A$1000,0),MATCH(N$1,'Master data'!$B$1:$CL$1,0)),"")</f>
        <v>2.894794649339286E-2</v>
      </c>
      <c r="O331" s="7">
        <f>IFERROR(INDEX('Master data'!$B$2:$CL$1000,MATCH($B331,'Master data'!$A$2:$A$1000,0),MATCH(O$1,'Master data'!$B$1:$CL$1,0)),"")</f>
        <v>0</v>
      </c>
      <c r="P331" s="5">
        <f>IFERROR(INDEX('Master data'!$B$2:$CL$1000,MATCH($B331,'Master data'!$A$2:$A$1000,0),MATCH(P$1,'Master data'!$B$1:$CL$1,0)),"")</f>
        <v>3500000</v>
      </c>
      <c r="Q331" s="5">
        <f>IFERROR(INDEX('Master data'!$B$2:$CL$1000,MATCH($B331,'Master data'!$A$2:$A$1000,0),MATCH(Q$1,'Master data'!$B$1:$CL$1,0)),"")</f>
        <v>3500000</v>
      </c>
    </row>
    <row r="332" spans="1:17" hidden="1">
      <c r="A332">
        <f t="shared" si="5"/>
        <v>330</v>
      </c>
      <c r="B332" t="str">
        <f>IF('Master data'!A332="","",'Master data'!A332)</f>
        <v>Georgiy Bushchan</v>
      </c>
      <c r="C332" t="str">
        <f>IFERROR(INDEX('Master data'!$B$2:$CL$1000,MATCH($B332,'Master data'!$A$2:$A$1000,0),MATCH(C$1,'Master data'!$B$1:$CL$1,0)),"")</f>
        <v>Ukraine</v>
      </c>
      <c r="D332" t="str">
        <f>IFERROR(INDEX('Master data'!$B$2:$CL$1000,MATCH($B332,'Master data'!$A$2:$A$1000,0),MATCH(D$1,'Master data'!$B$1:$CL$1,0)),"")</f>
        <v>Goalkeeper</v>
      </c>
      <c r="E332" s="5">
        <f>IFERROR(INDEX('Master data'!$B$2:$CL$1000,MATCH($B332,'Master data'!$A$2:$A$1000,0),MATCH(E$1,'Master data'!$B$1:$CL$1,0)),"")</f>
        <v>4000000</v>
      </c>
      <c r="F332" s="7">
        <f>IFERROR(INDEX('Master data'!$B$2:$CL$1000,MATCH($B332,'Master data'!$A$2:$A$1000,0),MATCH(F$1,'Master data'!$B$1:$CL$1,0)),"")</f>
        <v>32944.668762890084</v>
      </c>
      <c r="G332" s="7">
        <f>IFERROR(INDEX('Master data'!$B$2:$CL$1000,MATCH($B332,'Master data'!$A$2:$A$1000,0),MATCH(G$1,'Master data'!$B$1:$CL$1,0)),"")</f>
        <v>74410.94332087331</v>
      </c>
      <c r="H332" s="7">
        <f>IFERROR(INDEX('Master data'!$B$2:$CL$1000,MATCH($B332,'Master data'!$A$2:$A$1000,0),MATCH(H$1,'Master data'!$B$1:$CL$1,0)),"")</f>
        <v>51655.808649320505</v>
      </c>
      <c r="I332" s="7">
        <f>IFERROR(INDEX('Master data'!$B$2:$CL$1000,MATCH($B332,'Master data'!$A$2:$A$1000,0),MATCH(I$1,'Master data'!$B$1:$CL$1,0)),"")</f>
        <v>8519.3016725180023</v>
      </c>
      <c r="J332" s="7">
        <f>IFERROR(INDEX('Master data'!$B$2:$CL$1000,MATCH($B332,'Master data'!$A$2:$A$1000,0),MATCH(J$1,'Master data'!$B$1:$CL$1,0)),"")</f>
        <v>3991.5916661623742</v>
      </c>
      <c r="K332" s="7">
        <f>IFERROR(INDEX('Master data'!$B$2:$CL$1000,MATCH($B332,'Master data'!$A$2:$A$1000,0),MATCH(K$1,'Master data'!$B$1:$CL$1,0)),"")</f>
        <v>1835.7055868367684</v>
      </c>
      <c r="L332" s="7">
        <f>IFERROR(INDEX('Master data'!$B$2:$CL$1000,MATCH($B332,'Master data'!$A$2:$A$1000,0),MATCH(L$1,'Master data'!$B$1:$CL$1,0)),"")</f>
        <v>793.91603038694529</v>
      </c>
      <c r="M332" s="5">
        <f>IFERROR(INDEX('Master data'!$B$2:$CL$1000,MATCH($B332,'Master data'!$A$2:$A$1000,0),MATCH(M$1,'Master data'!$B$1:$CL$1,0)),"")</f>
        <v>109134.2396542435</v>
      </c>
      <c r="N332" s="28">
        <f>IFERROR(INDEX('Master data'!$B$2:$CL$1000,MATCH($B332,'Master data'!$A$2:$A$1000,0),MATCH(N$1,'Master data'!$B$1:$CL$1,0)),"")</f>
        <v>3.9752855183270978E-2</v>
      </c>
      <c r="O332" s="7">
        <f>IFERROR(INDEX('Master data'!$B$2:$CL$1000,MATCH($B332,'Master data'!$A$2:$A$1000,0),MATCH(O$1,'Master data'!$B$1:$CL$1,0)),"")</f>
        <v>0</v>
      </c>
      <c r="P332" s="5">
        <f>IFERROR(INDEX('Master data'!$B$2:$CL$1000,MATCH($B332,'Master data'!$A$2:$A$1000,0),MATCH(P$1,'Master data'!$B$1:$CL$1,0)),"")</f>
        <v>4000000</v>
      </c>
      <c r="Q332" s="5">
        <f>IFERROR(INDEX('Master data'!$B$2:$CL$1000,MATCH($B332,'Master data'!$A$2:$A$1000,0),MATCH(Q$1,'Master data'!$B$1:$CL$1,0)),"")</f>
        <v>4000000</v>
      </c>
    </row>
    <row r="333" spans="1:17" hidden="1">
      <c r="A333">
        <f t="shared" si="5"/>
        <v>331</v>
      </c>
      <c r="B333" t="str">
        <f>IF('Master data'!A333="","",'Master data'!A333)</f>
        <v>Denys Popov</v>
      </c>
      <c r="C333" t="str">
        <f>IFERROR(INDEX('Master data'!$B$2:$CL$1000,MATCH($B333,'Master data'!$A$2:$A$1000,0),MATCH(C$1,'Master data'!$B$1:$CL$1,0)),"")</f>
        <v>Ukraine</v>
      </c>
      <c r="D333" t="str">
        <f>IFERROR(INDEX('Master data'!$B$2:$CL$1000,MATCH($B333,'Master data'!$A$2:$A$1000,0),MATCH(D$1,'Master data'!$B$1:$CL$1,0)),"")</f>
        <v>Defense</v>
      </c>
      <c r="E333" s="5">
        <f>IFERROR(INDEX('Master data'!$B$2:$CL$1000,MATCH($B333,'Master data'!$A$2:$A$1000,0),MATCH(E$1,'Master data'!$B$1:$CL$1,0)),"")</f>
        <v>2000000</v>
      </c>
      <c r="F333" s="7">
        <f>IFERROR(INDEX('Master data'!$B$2:$CL$1000,MATCH($B333,'Master data'!$A$2:$A$1000,0),MATCH(F$1,'Master data'!$B$1:$CL$1,0)),"")</f>
        <v>5389.6103896103905</v>
      </c>
      <c r="G333" s="7">
        <f>IFERROR(INDEX('Master data'!$B$2:$CL$1000,MATCH($B333,'Master data'!$A$2:$A$1000,0),MATCH(G$1,'Master data'!$B$1:$CL$1,0)),"")</f>
        <v>18376.623376623374</v>
      </c>
      <c r="H333" s="7">
        <f>IFERROR(INDEX('Master data'!$B$2:$CL$1000,MATCH($B333,'Master data'!$A$2:$A$1000,0),MATCH(H$1,'Master data'!$B$1:$CL$1,0)),"")</f>
        <v>10892.887099479949</v>
      </c>
      <c r="I333" s="7">
        <f>IFERROR(INDEX('Master data'!$B$2:$CL$1000,MATCH($B333,'Master data'!$A$2:$A$1000,0),MATCH(I$1,'Master data'!$B$1:$CL$1,0)),"")</f>
        <v>-6563.5999676593328</v>
      </c>
      <c r="J333" s="7">
        <f>IFERROR(INDEX('Master data'!$B$2:$CL$1000,MATCH($B333,'Master data'!$A$2:$A$1000,0),MATCH(J$1,'Master data'!$B$1:$CL$1,0)),"")</f>
        <v>-3267.4148487702614</v>
      </c>
      <c r="K333" s="7">
        <f>IFERROR(INDEX('Master data'!$B$2:$CL$1000,MATCH($B333,'Master data'!$A$2:$A$1000,0),MATCH(K$1,'Master data'!$B$1:$CL$1,0)),"")</f>
        <v>-1600.0718260543731</v>
      </c>
      <c r="L333" s="7">
        <f>IFERROR(INDEX('Master data'!$B$2:$CL$1000,MATCH($B333,'Master data'!$A$2:$A$1000,0),MATCH(L$1,'Master data'!$B$1:$CL$1,0)),"")</f>
        <v>-738.68248303897747</v>
      </c>
      <c r="M333" s="5">
        <f>IFERROR(INDEX('Master data'!$B$2:$CL$1000,MATCH($B333,'Master data'!$A$2:$A$1000,0),MATCH(M$1,'Master data'!$B$1:$CL$1,0)),"")</f>
        <v>19616.231069744019</v>
      </c>
      <c r="N333" s="28">
        <f>IFERROR(INDEX('Master data'!$B$2:$CL$1000,MATCH($B333,'Master data'!$A$2:$A$1000,0),MATCH(N$1,'Master data'!$B$1:$CL$1,0)),"")</f>
        <v>1.7329560432856859E-2</v>
      </c>
      <c r="O333" s="7">
        <f>IFERROR(INDEX('Master data'!$B$2:$CL$1000,MATCH($B333,'Master data'!$A$2:$A$1000,0),MATCH(O$1,'Master data'!$B$1:$CL$1,0)),"")</f>
        <v>0</v>
      </c>
      <c r="P333" s="5">
        <f>IFERROR(INDEX('Master data'!$B$2:$CL$1000,MATCH($B333,'Master data'!$A$2:$A$1000,0),MATCH(P$1,'Master data'!$B$1:$CL$1,0)),"")</f>
        <v>2000000</v>
      </c>
      <c r="Q333" s="5">
        <f>IFERROR(INDEX('Master data'!$B$2:$CL$1000,MATCH($B333,'Master data'!$A$2:$A$1000,0),MATCH(Q$1,'Master data'!$B$1:$CL$1,0)),"")</f>
        <v>2000000</v>
      </c>
    </row>
    <row r="334" spans="1:17" hidden="1">
      <c r="A334">
        <f t="shared" si="5"/>
        <v>332</v>
      </c>
      <c r="B334" t="str">
        <f>IF('Master data'!A334="","",'Master data'!A334)</f>
        <v>Eduard Sobol</v>
      </c>
      <c r="C334" t="str">
        <f>IFERROR(INDEX('Master data'!$B$2:$CL$1000,MATCH($B334,'Master data'!$A$2:$A$1000,0),MATCH(C$1,'Master data'!$B$1:$CL$1,0)),"")</f>
        <v>Ukraine</v>
      </c>
      <c r="D334" t="str">
        <f>IFERROR(INDEX('Master data'!$B$2:$CL$1000,MATCH($B334,'Master data'!$A$2:$A$1000,0),MATCH(D$1,'Master data'!$B$1:$CL$1,0)),"")</f>
        <v>Defense</v>
      </c>
      <c r="E334" s="5">
        <f>IFERROR(INDEX('Master data'!$B$2:$CL$1000,MATCH($B334,'Master data'!$A$2:$A$1000,0),MATCH(E$1,'Master data'!$B$1:$CL$1,0)),"")</f>
        <v>2500000</v>
      </c>
      <c r="F334" s="7">
        <f>IFERROR(INDEX('Master data'!$B$2:$CL$1000,MATCH($B334,'Master data'!$A$2:$A$1000,0),MATCH(F$1,'Master data'!$B$1:$CL$1,0)),"")</f>
        <v>5389.6103896103905</v>
      </c>
      <c r="G334" s="7">
        <f>IFERROR(INDEX('Master data'!$B$2:$CL$1000,MATCH($B334,'Master data'!$A$2:$A$1000,0),MATCH(G$1,'Master data'!$B$1:$CL$1,0)),"")</f>
        <v>18376.623376623374</v>
      </c>
      <c r="H334" s="7">
        <f>IFERROR(INDEX('Master data'!$B$2:$CL$1000,MATCH($B334,'Master data'!$A$2:$A$1000,0),MATCH(H$1,'Master data'!$B$1:$CL$1,0)),"")</f>
        <v>10892.887099479949</v>
      </c>
      <c r="I334" s="7">
        <f>IFERROR(INDEX('Master data'!$B$2:$CL$1000,MATCH($B334,'Master data'!$A$2:$A$1000,0),MATCH(I$1,'Master data'!$B$1:$CL$1,0)),"")</f>
        <v>-10295.653166252296</v>
      </c>
      <c r="J334" s="7">
        <f>IFERROR(INDEX('Master data'!$B$2:$CL$1000,MATCH($B334,'Master data'!$A$2:$A$1000,0),MATCH(J$1,'Master data'!$B$1:$CL$1,0)),"")</f>
        <v>-5101.1700533306912</v>
      </c>
      <c r="K334" s="7">
        <f>IFERROR(INDEX('Master data'!$B$2:$CL$1000,MATCH($B334,'Master data'!$A$2:$A$1000,0),MATCH(K$1,'Master data'!$B$1:$CL$1,0)),"")</f>
        <v>-2486.5763509359522</v>
      </c>
      <c r="L334" s="7">
        <f>IFERROR(INDEX('Master data'!$B$2:$CL$1000,MATCH($B334,'Master data'!$A$2:$A$1000,0),MATCH(L$1,'Master data'!$B$1:$CL$1,0)),"")</f>
        <v>-1142.7694614657355</v>
      </c>
      <c r="M334" s="5">
        <f>IFERROR(INDEX('Master data'!$B$2:$CL$1000,MATCH($B334,'Master data'!$A$2:$A$1000,0),MATCH(M$1,'Master data'!$B$1:$CL$1,0)),"")</f>
        <v>17995.997542500227</v>
      </c>
      <c r="N334" s="28">
        <f>IFERROR(INDEX('Master data'!$B$2:$CL$1000,MATCH($B334,'Master data'!$A$2:$A$1000,0),MATCH(N$1,'Master data'!$B$1:$CL$1,0)),"")</f>
        <v>1.3863648346285487E-2</v>
      </c>
      <c r="O334" s="7">
        <f>IFERROR(INDEX('Master data'!$B$2:$CL$1000,MATCH($B334,'Master data'!$A$2:$A$1000,0),MATCH(O$1,'Master data'!$B$1:$CL$1,0)),"")</f>
        <v>0</v>
      </c>
      <c r="P334" s="5">
        <f>IFERROR(INDEX('Master data'!$B$2:$CL$1000,MATCH($B334,'Master data'!$A$2:$A$1000,0),MATCH(P$1,'Master data'!$B$1:$CL$1,0)),"")</f>
        <v>2500000</v>
      </c>
      <c r="Q334" s="5">
        <f>IFERROR(INDEX('Master data'!$B$2:$CL$1000,MATCH($B334,'Master data'!$A$2:$A$1000,0),MATCH(Q$1,'Master data'!$B$1:$CL$1,0)),"")</f>
        <v>2500000</v>
      </c>
    </row>
    <row r="335" spans="1:17" hidden="1">
      <c r="A335">
        <f t="shared" si="5"/>
        <v>333</v>
      </c>
      <c r="B335" t="str">
        <f>IF('Master data'!A335="","",'Master data'!A335)</f>
        <v>Oleksandr Karavayev</v>
      </c>
      <c r="C335" t="str">
        <f>IFERROR(INDEX('Master data'!$B$2:$CL$1000,MATCH($B335,'Master data'!$A$2:$A$1000,0),MATCH(C$1,'Master data'!$B$1:$CL$1,0)),"")</f>
        <v>Ukraine</v>
      </c>
      <c r="D335" t="str">
        <f>IFERROR(INDEX('Master data'!$B$2:$CL$1000,MATCH($B335,'Master data'!$A$2:$A$1000,0),MATCH(D$1,'Master data'!$B$1:$CL$1,0)),"")</f>
        <v>Defense</v>
      </c>
      <c r="E335" s="5">
        <f>IFERROR(INDEX('Master data'!$B$2:$CL$1000,MATCH($B335,'Master data'!$A$2:$A$1000,0),MATCH(E$1,'Master data'!$B$1:$CL$1,0)),"")</f>
        <v>3000000</v>
      </c>
      <c r="F335" s="7">
        <f>IFERROR(INDEX('Master data'!$B$2:$CL$1000,MATCH($B335,'Master data'!$A$2:$A$1000,0),MATCH(F$1,'Master data'!$B$1:$CL$1,0)),"")</f>
        <v>21078.711220255751</v>
      </c>
      <c r="G335" s="7">
        <f>IFERROR(INDEX('Master data'!$B$2:$CL$1000,MATCH($B335,'Master data'!$A$2:$A$1000,0),MATCH(G$1,'Master data'!$B$1:$CL$1,0)),"")</f>
        <v>80980.430050655006</v>
      </c>
      <c r="H335" s="7">
        <f>IFERROR(INDEX('Master data'!$B$2:$CL$1000,MATCH($B335,'Master data'!$A$2:$A$1000,0),MATCH(H$1,'Master data'!$B$1:$CL$1,0)),"")</f>
        <v>49371.655909487949</v>
      </c>
      <c r="I335" s="7">
        <f>IFERROR(INDEX('Master data'!$B$2:$CL$1000,MATCH($B335,'Master data'!$A$2:$A$1000,0),MATCH(I$1,'Master data'!$B$1:$CL$1,0)),"")</f>
        <v>14153.904625316327</v>
      </c>
      <c r="J335" s="7">
        <f>IFERROR(INDEX('Master data'!$B$2:$CL$1000,MATCH($B335,'Master data'!$A$2:$A$1000,0),MATCH(J$1,'Master data'!$B$1:$CL$1,0)),"")</f>
        <v>6769.4375700960436</v>
      </c>
      <c r="K335" s="7">
        <f>IFERROR(INDEX('Master data'!$B$2:$CL$1000,MATCH($B335,'Master data'!$A$2:$A$1000,0),MATCH(K$1,'Master data'!$B$1:$CL$1,0)),"")</f>
        <v>3183.0983548109048</v>
      </c>
      <c r="L335" s="7">
        <f>IFERROR(INDEX('Master data'!$B$2:$CL$1000,MATCH($B335,'Master data'!$A$2:$A$1000,0),MATCH(L$1,'Master data'!$B$1:$CL$1,0)),"")</f>
        <v>1410.127494571424</v>
      </c>
      <c r="M335" s="5">
        <f>IFERROR(INDEX('Master data'!$B$2:$CL$1000,MATCH($B335,'Master data'!$A$2:$A$1000,0),MATCH(M$1,'Master data'!$B$1:$CL$1,0)),"")</f>
        <v>103082.5157883888</v>
      </c>
      <c r="N335" s="28">
        <f>IFERROR(INDEX('Master data'!$B$2:$CL$1000,MATCH($B335,'Master data'!$A$2:$A$1000,0),MATCH(N$1,'Master data'!$B$1:$CL$1,0)),"")</f>
        <v>5.0476932393466241E-2</v>
      </c>
      <c r="O335" s="7">
        <f>IFERROR(INDEX('Master data'!$B$2:$CL$1000,MATCH($B335,'Master data'!$A$2:$A$1000,0),MATCH(O$1,'Master data'!$B$1:$CL$1,0)),"")</f>
        <v>0</v>
      </c>
      <c r="P335" s="5">
        <f>IFERROR(INDEX('Master data'!$B$2:$CL$1000,MATCH($B335,'Master data'!$A$2:$A$1000,0),MATCH(P$1,'Master data'!$B$1:$CL$1,0)),"")</f>
        <v>3000000</v>
      </c>
      <c r="Q335" s="5">
        <f>IFERROR(INDEX('Master data'!$B$2:$CL$1000,MATCH($B335,'Master data'!$A$2:$A$1000,0),MATCH(Q$1,'Master data'!$B$1:$CL$1,0)),"")</f>
        <v>3000000</v>
      </c>
    </row>
    <row r="336" spans="1:17" hidden="1">
      <c r="A336">
        <f t="shared" si="5"/>
        <v>334</v>
      </c>
      <c r="B336" t="str">
        <f>IF('Master data'!A336="","",'Master data'!A336)</f>
        <v>Sergiy Kryvtsov</v>
      </c>
      <c r="C336" t="str">
        <f>IFERROR(INDEX('Master data'!$B$2:$CL$1000,MATCH($B336,'Master data'!$A$2:$A$1000,0),MATCH(C$1,'Master data'!$B$1:$CL$1,0)),"")</f>
        <v>Ukraine</v>
      </c>
      <c r="D336" t="str">
        <f>IFERROR(INDEX('Master data'!$B$2:$CL$1000,MATCH($B336,'Master data'!$A$2:$A$1000,0),MATCH(D$1,'Master data'!$B$1:$CL$1,0)),"")</f>
        <v>Defense</v>
      </c>
      <c r="E336" s="5">
        <f>IFERROR(INDEX('Master data'!$B$2:$CL$1000,MATCH($B336,'Master data'!$A$2:$A$1000,0),MATCH(E$1,'Master data'!$B$1:$CL$1,0)),"")</f>
        <v>3000000</v>
      </c>
      <c r="F336" s="7">
        <f>IFERROR(INDEX('Master data'!$B$2:$CL$1000,MATCH($B336,'Master data'!$A$2:$A$1000,0),MATCH(F$1,'Master data'!$B$1:$CL$1,0)),"")</f>
        <v>5389.6103896103905</v>
      </c>
      <c r="G336" s="7">
        <f>IFERROR(INDEX('Master data'!$B$2:$CL$1000,MATCH($B336,'Master data'!$A$2:$A$1000,0),MATCH(G$1,'Master data'!$B$1:$CL$1,0)),"")</f>
        <v>18376.623376623374</v>
      </c>
      <c r="H336" s="7">
        <f>IFERROR(INDEX('Master data'!$B$2:$CL$1000,MATCH($B336,'Master data'!$A$2:$A$1000,0),MATCH(H$1,'Master data'!$B$1:$CL$1,0)),"")</f>
        <v>10892.887099479949</v>
      </c>
      <c r="I336" s="7">
        <f>IFERROR(INDEX('Master data'!$B$2:$CL$1000,MATCH($B336,'Master data'!$A$2:$A$1000,0),MATCH(I$1,'Master data'!$B$1:$CL$1,0)),"")</f>
        <v>-14027.706364845259</v>
      </c>
      <c r="J336" s="7">
        <f>IFERROR(INDEX('Master data'!$B$2:$CL$1000,MATCH($B336,'Master data'!$A$2:$A$1000,0),MATCH(J$1,'Master data'!$B$1:$CL$1,0)),"")</f>
        <v>-6934.9252578911201</v>
      </c>
      <c r="K336" s="7">
        <f>IFERROR(INDEX('Master data'!$B$2:$CL$1000,MATCH($B336,'Master data'!$A$2:$A$1000,0),MATCH(K$1,'Master data'!$B$1:$CL$1,0)),"")</f>
        <v>-3373.0808758175303</v>
      </c>
      <c r="L336" s="7">
        <f>IFERROR(INDEX('Master data'!$B$2:$CL$1000,MATCH($B336,'Master data'!$A$2:$A$1000,0),MATCH(L$1,'Master data'!$B$1:$CL$1,0)),"")</f>
        <v>-1546.8564398924934</v>
      </c>
      <c r="M336" s="5">
        <f>IFERROR(INDEX('Master data'!$B$2:$CL$1000,MATCH($B336,'Master data'!$A$2:$A$1000,0),MATCH(M$1,'Master data'!$B$1:$CL$1,0)),"")</f>
        <v>16375.764015256425</v>
      </c>
      <c r="N336" s="28">
        <f>IFERROR(INDEX('Master data'!$B$2:$CL$1000,MATCH($B336,'Master data'!$A$2:$A$1000,0),MATCH(N$1,'Master data'!$B$1:$CL$1,0)),"")</f>
        <v>1.1553040288571239E-2</v>
      </c>
      <c r="O336" s="7">
        <f>IFERROR(INDEX('Master data'!$B$2:$CL$1000,MATCH($B336,'Master data'!$A$2:$A$1000,0),MATCH(O$1,'Master data'!$B$1:$CL$1,0)),"")</f>
        <v>0</v>
      </c>
      <c r="P336" s="5">
        <f>IFERROR(INDEX('Master data'!$B$2:$CL$1000,MATCH($B336,'Master data'!$A$2:$A$1000,0),MATCH(P$1,'Master data'!$B$1:$CL$1,0)),"")</f>
        <v>3000000</v>
      </c>
      <c r="Q336" s="5">
        <f>IFERROR(INDEX('Master data'!$B$2:$CL$1000,MATCH($B336,'Master data'!$A$2:$A$1000,0),MATCH(Q$1,'Master data'!$B$1:$CL$1,0)),"")</f>
        <v>3000000</v>
      </c>
    </row>
    <row r="337" spans="1:17" hidden="1">
      <c r="A337">
        <f t="shared" si="5"/>
        <v>335</v>
      </c>
      <c r="B337" t="str">
        <f>IF('Master data'!A337="","",'Master data'!A337)</f>
        <v>Vitaliy Mykolenko</v>
      </c>
      <c r="C337" t="str">
        <f>IFERROR(INDEX('Master data'!$B$2:$CL$1000,MATCH($B337,'Master data'!$A$2:$A$1000,0),MATCH(C$1,'Master data'!$B$1:$CL$1,0)),"")</f>
        <v>Ukraine</v>
      </c>
      <c r="D337" t="str">
        <f>IFERROR(INDEX('Master data'!$B$2:$CL$1000,MATCH($B337,'Master data'!$A$2:$A$1000,0),MATCH(D$1,'Master data'!$B$1:$CL$1,0)),"")</f>
        <v>Defense</v>
      </c>
      <c r="E337" s="5">
        <f>IFERROR(INDEX('Master data'!$B$2:$CL$1000,MATCH($B337,'Master data'!$A$2:$A$1000,0),MATCH(E$1,'Master data'!$B$1:$CL$1,0)),"")</f>
        <v>2500000</v>
      </c>
      <c r="F337" s="7">
        <f>IFERROR(INDEX('Master data'!$B$2:$CL$1000,MATCH($B337,'Master data'!$A$2:$A$1000,0),MATCH(F$1,'Master data'!$B$1:$CL$1,0)),"")</f>
        <v>11202.147398825968</v>
      </c>
      <c r="G337" s="7">
        <f>IFERROR(INDEX('Master data'!$B$2:$CL$1000,MATCH($B337,'Master data'!$A$2:$A$1000,0),MATCH(G$1,'Master data'!$B$1:$CL$1,0)),"")</f>
        <v>62879.027515301226</v>
      </c>
      <c r="H337" s="7">
        <f>IFERROR(INDEX('Master data'!$B$2:$CL$1000,MATCH($B337,'Master data'!$A$2:$A$1000,0),MATCH(H$1,'Master data'!$B$1:$CL$1,0)),"")</f>
        <v>35581.467687830576</v>
      </c>
      <c r="I337" s="7">
        <f>IFERROR(INDEX('Master data'!$B$2:$CL$1000,MATCH($B337,'Master data'!$A$2:$A$1000,0),MATCH(I$1,'Master data'!$B$1:$CL$1,0)),"")</f>
        <v>7805.6547807771612</v>
      </c>
      <c r="J337" s="7">
        <f>IFERROR(INDEX('Master data'!$B$2:$CL$1000,MATCH($B337,'Master data'!$A$2:$A$1000,0),MATCH(J$1,'Master data'!$B$1:$CL$1,0)),"")</f>
        <v>3701.2682406980343</v>
      </c>
      <c r="K337" s="7">
        <f>IFERROR(INDEX('Master data'!$B$2:$CL$1000,MATCH($B337,'Master data'!$A$2:$A$1000,0),MATCH(K$1,'Master data'!$B$1:$CL$1,0)),"")</f>
        <v>1724.5178711422125</v>
      </c>
      <c r="L337" s="7">
        <f>IFERROR(INDEX('Master data'!$B$2:$CL$1000,MATCH($B337,'Master data'!$A$2:$A$1000,0),MATCH(L$1,'Master data'!$B$1:$CL$1,0)),"")</f>
        <v>756.52851730617408</v>
      </c>
      <c r="M337" s="5">
        <f>IFERROR(INDEX('Master data'!$B$2:$CL$1000,MATCH($B337,'Master data'!$A$2:$A$1000,0),MATCH(M$1,'Master data'!$B$1:$CL$1,0)),"")</f>
        <v>72272.899803955093</v>
      </c>
      <c r="N337" s="28">
        <f>IFERROR(INDEX('Master data'!$B$2:$CL$1000,MATCH($B337,'Master data'!$A$2:$A$1000,0),MATCH(N$1,'Master data'!$B$1:$CL$1,0)),"")</f>
        <v>4.3865057040783112E-2</v>
      </c>
      <c r="O337" s="7">
        <f>IFERROR(INDEX('Master data'!$B$2:$CL$1000,MATCH($B337,'Master data'!$A$2:$A$1000,0),MATCH(O$1,'Master data'!$B$1:$CL$1,0)),"")</f>
        <v>0</v>
      </c>
      <c r="P337" s="5">
        <f>IFERROR(INDEX('Master data'!$B$2:$CL$1000,MATCH($B337,'Master data'!$A$2:$A$1000,0),MATCH(P$1,'Master data'!$B$1:$CL$1,0)),"")</f>
        <v>2500000</v>
      </c>
      <c r="Q337" s="5">
        <f>IFERROR(INDEX('Master data'!$B$2:$CL$1000,MATCH($B337,'Master data'!$A$2:$A$1000,0),MATCH(Q$1,'Master data'!$B$1:$CL$1,0)),"")</f>
        <v>2500000</v>
      </c>
    </row>
    <row r="338" spans="1:17" hidden="1">
      <c r="A338">
        <f t="shared" si="5"/>
        <v>336</v>
      </c>
      <c r="B338" t="str">
        <f>IF('Master data'!A338="","",'Master data'!A338)</f>
        <v>Mykola Matvienko</v>
      </c>
      <c r="C338" t="str">
        <f>IFERROR(INDEX('Master data'!$B$2:$CL$1000,MATCH($B338,'Master data'!$A$2:$A$1000,0),MATCH(C$1,'Master data'!$B$1:$CL$1,0)),"")</f>
        <v>Ukraine</v>
      </c>
      <c r="D338" t="str">
        <f>IFERROR(INDEX('Master data'!$B$2:$CL$1000,MATCH($B338,'Master data'!$A$2:$A$1000,0),MATCH(D$1,'Master data'!$B$1:$CL$1,0)),"")</f>
        <v>Defense</v>
      </c>
      <c r="E338" s="5">
        <f>IFERROR(INDEX('Master data'!$B$2:$CL$1000,MATCH($B338,'Master data'!$A$2:$A$1000,0),MATCH(E$1,'Master data'!$B$1:$CL$1,0)),"")</f>
        <v>3000000</v>
      </c>
      <c r="F338" s="7">
        <f>IFERROR(INDEX('Master data'!$B$2:$CL$1000,MATCH($B338,'Master data'!$A$2:$A$1000,0),MATCH(F$1,'Master data'!$B$1:$CL$1,0)),"")</f>
        <v>14740.975231266231</v>
      </c>
      <c r="G338" s="7">
        <f>IFERROR(INDEX('Master data'!$B$2:$CL$1000,MATCH($B338,'Master data'!$A$2:$A$1000,0),MATCH(G$1,'Master data'!$B$1:$CL$1,0)),"")</f>
        <v>70930.434493184672</v>
      </c>
      <c r="H338" s="7">
        <f>IFERROR(INDEX('Master data'!$B$2:$CL$1000,MATCH($B338,'Master data'!$A$2:$A$1000,0),MATCH(H$1,'Master data'!$B$1:$CL$1,0)),"")</f>
        <v>41267.515723101897</v>
      </c>
      <c r="I338" s="7">
        <f>IFERROR(INDEX('Master data'!$B$2:$CL$1000,MATCH($B338,'Master data'!$A$2:$A$1000,0),MATCH(I$1,'Master data'!$B$1:$CL$1,0)),"")</f>
        <v>8243.0500124567752</v>
      </c>
      <c r="J338" s="7">
        <f>IFERROR(INDEX('Master data'!$B$2:$CL$1000,MATCH($B338,'Master data'!$A$2:$A$1000,0),MATCH(J$1,'Master data'!$B$1:$CL$1,0)),"")</f>
        <v>3895.0633454859549</v>
      </c>
      <c r="K338" s="7">
        <f>IFERROR(INDEX('Master data'!$B$2:$CL$1000,MATCH($B338,'Master data'!$A$2:$A$1000,0),MATCH(K$1,'Master data'!$B$1:$CL$1,0)),"")</f>
        <v>1807.9951975917199</v>
      </c>
      <c r="L338" s="7">
        <f>IFERROR(INDEX('Master data'!$B$2:$CL$1000,MATCH($B338,'Master data'!$A$2:$A$1000,0),MATCH(L$1,'Master data'!$B$1:$CL$1,0)),"")</f>
        <v>789.92511738016128</v>
      </c>
      <c r="M338" s="5">
        <f>IFERROR(INDEX('Master data'!$B$2:$CL$1000,MATCH($B338,'Master data'!$A$2:$A$1000,0),MATCH(M$1,'Master data'!$B$1:$CL$1,0)),"")</f>
        <v>83888.268686539945</v>
      </c>
      <c r="N338" s="28">
        <f>IFERROR(INDEX('Master data'!$B$2:$CL$1000,MATCH($B338,'Master data'!$A$2:$A$1000,0),MATCH(N$1,'Master data'!$B$1:$CL$1,0)),"")</f>
        <v>4.2312975149184272E-2</v>
      </c>
      <c r="O338" s="7">
        <f>IFERROR(INDEX('Master data'!$B$2:$CL$1000,MATCH($B338,'Master data'!$A$2:$A$1000,0),MATCH(O$1,'Master data'!$B$1:$CL$1,0)),"")</f>
        <v>0</v>
      </c>
      <c r="P338" s="5">
        <f>IFERROR(INDEX('Master data'!$B$2:$CL$1000,MATCH($B338,'Master data'!$A$2:$A$1000,0),MATCH(P$1,'Master data'!$B$1:$CL$1,0)),"")</f>
        <v>3000000</v>
      </c>
      <c r="Q338" s="5">
        <f>IFERROR(INDEX('Master data'!$B$2:$CL$1000,MATCH($B338,'Master data'!$A$2:$A$1000,0),MATCH(Q$1,'Master data'!$B$1:$CL$1,0)),"")</f>
        <v>3000000</v>
      </c>
    </row>
    <row r="339" spans="1:17" hidden="1">
      <c r="A339">
        <f t="shared" si="5"/>
        <v>337</v>
      </c>
      <c r="B339" t="str">
        <f>IF('Master data'!A339="","",'Master data'!A339)</f>
        <v>Heorhii Sudakov</v>
      </c>
      <c r="C339" t="str">
        <f>IFERROR(INDEX('Master data'!$B$2:$CL$1000,MATCH($B339,'Master data'!$A$2:$A$1000,0),MATCH(C$1,'Master data'!$B$1:$CL$1,0)),"")</f>
        <v>Ukraine</v>
      </c>
      <c r="D339" t="str">
        <f>IFERROR(INDEX('Master data'!$B$2:$CL$1000,MATCH($B339,'Master data'!$A$2:$A$1000,0),MATCH(D$1,'Master data'!$B$1:$CL$1,0)),"")</f>
        <v>Midfield</v>
      </c>
      <c r="E339" s="5">
        <f>IFERROR(INDEX('Master data'!$B$2:$CL$1000,MATCH($B339,'Master data'!$A$2:$A$1000,0),MATCH(E$1,'Master data'!$B$1:$CL$1,0)),"")</f>
        <v>2000000</v>
      </c>
      <c r="F339" s="7">
        <f>IFERROR(INDEX('Master data'!$B$2:$CL$1000,MATCH($B339,'Master data'!$A$2:$A$1000,0),MATCH(F$1,'Master data'!$B$1:$CL$1,0)),"")</f>
        <v>-5000</v>
      </c>
      <c r="G339" s="7">
        <f>IFERROR(INDEX('Master data'!$B$2:$CL$1000,MATCH($B339,'Master data'!$A$2:$A$1000,0),MATCH(G$1,'Master data'!$B$1:$CL$1,0)),"")</f>
        <v>-5000</v>
      </c>
      <c r="H339" s="7">
        <f>IFERROR(INDEX('Master data'!$B$2:$CL$1000,MATCH($B339,'Master data'!$A$2:$A$1000,0),MATCH(H$1,'Master data'!$B$1:$CL$1,0)),"")</f>
        <v>-5000</v>
      </c>
      <c r="I339" s="7">
        <f>IFERROR(INDEX('Master data'!$B$2:$CL$1000,MATCH($B339,'Master data'!$A$2:$A$1000,0),MATCH(I$1,'Master data'!$B$1:$CL$1,0)),"")</f>
        <v>-18548.304397007025</v>
      </c>
      <c r="J339" s="7">
        <f>IFERROR(INDEX('Master data'!$B$2:$CL$1000,MATCH($B339,'Master data'!$A$2:$A$1000,0),MATCH(J$1,'Master data'!$B$1:$CL$1,0)),"")</f>
        <v>-9095.4258146197299</v>
      </c>
      <c r="K339" s="7">
        <f>IFERROR(INDEX('Master data'!$B$2:$CL$1000,MATCH($B339,'Master data'!$A$2:$A$1000,0),MATCH(K$1,'Master data'!$B$1:$CL$1,0)),"")</f>
        <v>-4388.197398163813</v>
      </c>
      <c r="L339" s="7">
        <f>IFERROR(INDEX('Master data'!$B$2:$CL$1000,MATCH($B339,'Master data'!$A$2:$A$1000,0),MATCH(L$1,'Master data'!$B$1:$CL$1,0)),"")</f>
        <v>-1996.1896734281838</v>
      </c>
      <c r="M339" s="5">
        <f>IFERROR(INDEX('Master data'!$B$2:$CL$1000,MATCH($B339,'Master data'!$A$2:$A$1000,0),MATCH(M$1,'Master data'!$B$1:$CL$1,0)),"")</f>
        <v>-18601.094864721385</v>
      </c>
      <c r="N339" s="28">
        <f>IFERROR(INDEX('Master data'!$B$2:$CL$1000,MATCH($B339,'Master data'!$A$2:$A$1000,0),MATCH(N$1,'Master data'!$B$1:$CL$1,0)),"")</f>
        <v>-7.4999999999999997E-3</v>
      </c>
      <c r="O339" s="7">
        <f>IFERROR(INDEX('Master data'!$B$2:$CL$1000,MATCH($B339,'Master data'!$A$2:$A$1000,0),MATCH(O$1,'Master data'!$B$1:$CL$1,0)),"")</f>
        <v>0</v>
      </c>
      <c r="P339" s="5">
        <f>IFERROR(INDEX('Master data'!$B$2:$CL$1000,MATCH($B339,'Master data'!$A$2:$A$1000,0),MATCH(P$1,'Master data'!$B$1:$CL$1,0)),"")</f>
        <v>2000000</v>
      </c>
      <c r="Q339" s="5">
        <f>IFERROR(INDEX('Master data'!$B$2:$CL$1000,MATCH($B339,'Master data'!$A$2:$A$1000,0),MATCH(Q$1,'Master data'!$B$1:$CL$1,0)),"")</f>
        <v>2000000</v>
      </c>
    </row>
    <row r="340" spans="1:17" hidden="1">
      <c r="A340">
        <f t="shared" si="5"/>
        <v>338</v>
      </c>
      <c r="B340" t="str">
        <f>IF('Master data'!A340="","",'Master data'!A340)</f>
        <v>Serhiy Sydorchuk</v>
      </c>
      <c r="C340" t="str">
        <f>IFERROR(INDEX('Master data'!$B$2:$CL$1000,MATCH($B340,'Master data'!$A$2:$A$1000,0),MATCH(C$1,'Master data'!$B$1:$CL$1,0)),"")</f>
        <v>Ukraine</v>
      </c>
      <c r="D340" t="str">
        <f>IFERROR(INDEX('Master data'!$B$2:$CL$1000,MATCH($B340,'Master data'!$A$2:$A$1000,0),MATCH(D$1,'Master data'!$B$1:$CL$1,0)),"")</f>
        <v>Midfield</v>
      </c>
      <c r="E340" s="5">
        <f>IFERROR(INDEX('Master data'!$B$2:$CL$1000,MATCH($B340,'Master data'!$A$2:$A$1000,0),MATCH(E$1,'Master data'!$B$1:$CL$1,0)),"")</f>
        <v>3000000</v>
      </c>
      <c r="F340" s="7">
        <f>IFERROR(INDEX('Master data'!$B$2:$CL$1000,MATCH($B340,'Master data'!$A$2:$A$1000,0),MATCH(F$1,'Master data'!$B$1:$CL$1,0)),"")</f>
        <v>-5000</v>
      </c>
      <c r="G340" s="7">
        <f>IFERROR(INDEX('Master data'!$B$2:$CL$1000,MATCH($B340,'Master data'!$A$2:$A$1000,0),MATCH(G$1,'Master data'!$B$1:$CL$1,0)),"")</f>
        <v>-5000</v>
      </c>
      <c r="H340" s="7">
        <f>IFERROR(INDEX('Master data'!$B$2:$CL$1000,MATCH($B340,'Master data'!$A$2:$A$1000,0),MATCH(H$1,'Master data'!$B$1:$CL$1,0)),"")</f>
        <v>-5000</v>
      </c>
      <c r="I340" s="7">
        <f>IFERROR(INDEX('Master data'!$B$2:$CL$1000,MATCH($B340,'Master data'!$A$2:$A$1000,0),MATCH(I$1,'Master data'!$B$1:$CL$1,0)),"")</f>
        <v>-26012.410794192951</v>
      </c>
      <c r="J340" s="7">
        <f>IFERROR(INDEX('Master data'!$B$2:$CL$1000,MATCH($B340,'Master data'!$A$2:$A$1000,0),MATCH(J$1,'Master data'!$B$1:$CL$1,0)),"")</f>
        <v>-12762.936223740589</v>
      </c>
      <c r="K340" s="7">
        <f>IFERROR(INDEX('Master data'!$B$2:$CL$1000,MATCH($B340,'Master data'!$A$2:$A$1000,0),MATCH(K$1,'Master data'!$B$1:$CL$1,0)),"")</f>
        <v>-6161.2064479269693</v>
      </c>
      <c r="L340" s="7">
        <f>IFERROR(INDEX('Master data'!$B$2:$CL$1000,MATCH($B340,'Master data'!$A$2:$A$1000,0),MATCH(L$1,'Master data'!$B$1:$CL$1,0)),"")</f>
        <v>-2804.3636302816994</v>
      </c>
      <c r="M340" s="5">
        <f>IFERROR(INDEX('Master data'!$B$2:$CL$1000,MATCH($B340,'Master data'!$A$2:$A$1000,0),MATCH(M$1,'Master data'!$B$1:$CL$1,0)),"")</f>
        <v>-21841.561919208969</v>
      </c>
      <c r="N340" s="28">
        <f>IFERROR(INDEX('Master data'!$B$2:$CL$1000,MATCH($B340,'Master data'!$A$2:$A$1000,0),MATCH(N$1,'Master data'!$B$1:$CL$1,0)),"")</f>
        <v>-5.0000000000000001E-3</v>
      </c>
      <c r="O340" s="7">
        <f>IFERROR(INDEX('Master data'!$B$2:$CL$1000,MATCH($B340,'Master data'!$A$2:$A$1000,0),MATCH(O$1,'Master data'!$B$1:$CL$1,0)),"")</f>
        <v>0</v>
      </c>
      <c r="P340" s="5">
        <f>IFERROR(INDEX('Master data'!$B$2:$CL$1000,MATCH($B340,'Master data'!$A$2:$A$1000,0),MATCH(P$1,'Master data'!$B$1:$CL$1,0)),"")</f>
        <v>3000000</v>
      </c>
      <c r="Q340" s="5">
        <f>IFERROR(INDEX('Master data'!$B$2:$CL$1000,MATCH($B340,'Master data'!$A$2:$A$1000,0),MATCH(Q$1,'Master data'!$B$1:$CL$1,0)),"")</f>
        <v>3000000</v>
      </c>
    </row>
    <row r="341" spans="1:17" hidden="1">
      <c r="A341">
        <f t="shared" si="5"/>
        <v>339</v>
      </c>
      <c r="B341" t="str">
        <f>IF('Master data'!A341="","",'Master data'!A341)</f>
        <v>Oleksandr Zubkov</v>
      </c>
      <c r="C341" t="str">
        <f>IFERROR(INDEX('Master data'!$B$2:$CL$1000,MATCH($B341,'Master data'!$A$2:$A$1000,0),MATCH(C$1,'Master data'!$B$1:$CL$1,0)),"")</f>
        <v>Ukraine</v>
      </c>
      <c r="D341" t="str">
        <f>IFERROR(INDEX('Master data'!$B$2:$CL$1000,MATCH($B341,'Master data'!$A$2:$A$1000,0),MATCH(D$1,'Master data'!$B$1:$CL$1,0)),"")</f>
        <v>Midfield</v>
      </c>
      <c r="E341" s="5">
        <f>IFERROR(INDEX('Master data'!$B$2:$CL$1000,MATCH($B341,'Master data'!$A$2:$A$1000,0),MATCH(E$1,'Master data'!$B$1:$CL$1,0)),"")</f>
        <v>2500000</v>
      </c>
      <c r="F341" s="7">
        <f>IFERROR(INDEX('Master data'!$B$2:$CL$1000,MATCH($B341,'Master data'!$A$2:$A$1000,0),MATCH(F$1,'Master data'!$B$1:$CL$1,0)),"")</f>
        <v>-5000</v>
      </c>
      <c r="G341" s="7">
        <f>IFERROR(INDEX('Master data'!$B$2:$CL$1000,MATCH($B341,'Master data'!$A$2:$A$1000,0),MATCH(G$1,'Master data'!$B$1:$CL$1,0)),"")</f>
        <v>-5000</v>
      </c>
      <c r="H341" s="7">
        <f>IFERROR(INDEX('Master data'!$B$2:$CL$1000,MATCH($B341,'Master data'!$A$2:$A$1000,0),MATCH(H$1,'Master data'!$B$1:$CL$1,0)),"")</f>
        <v>-5000</v>
      </c>
      <c r="I341" s="7">
        <f>IFERROR(INDEX('Master data'!$B$2:$CL$1000,MATCH($B341,'Master data'!$A$2:$A$1000,0),MATCH(I$1,'Master data'!$B$1:$CL$1,0)),"")</f>
        <v>-22280.357595599988</v>
      </c>
      <c r="J341" s="7">
        <f>IFERROR(INDEX('Master data'!$B$2:$CL$1000,MATCH($B341,'Master data'!$A$2:$A$1000,0),MATCH(J$1,'Master data'!$B$1:$CL$1,0)),"")</f>
        <v>-10929.18101918016</v>
      </c>
      <c r="K341" s="7">
        <f>IFERROR(INDEX('Master data'!$B$2:$CL$1000,MATCH($B341,'Master data'!$A$2:$A$1000,0),MATCH(K$1,'Master data'!$B$1:$CL$1,0)),"")</f>
        <v>-5274.7019230453916</v>
      </c>
      <c r="L341" s="7">
        <f>IFERROR(INDEX('Master data'!$B$2:$CL$1000,MATCH($B341,'Master data'!$A$2:$A$1000,0),MATCH(L$1,'Master data'!$B$1:$CL$1,0)),"")</f>
        <v>-2400.2766518549415</v>
      </c>
      <c r="M341" s="5">
        <f>IFERROR(INDEX('Master data'!$B$2:$CL$1000,MATCH($B341,'Master data'!$A$2:$A$1000,0),MATCH(M$1,'Master data'!$B$1:$CL$1,0)),"")</f>
        <v>-20221.328391965177</v>
      </c>
      <c r="N341" s="28">
        <f>IFERROR(INDEX('Master data'!$B$2:$CL$1000,MATCH($B341,'Master data'!$A$2:$A$1000,0),MATCH(N$1,'Master data'!$B$1:$CL$1,0)),"")</f>
        <v>-6.0000000000000001E-3</v>
      </c>
      <c r="O341" s="7">
        <f>IFERROR(INDEX('Master data'!$B$2:$CL$1000,MATCH($B341,'Master data'!$A$2:$A$1000,0),MATCH(O$1,'Master data'!$B$1:$CL$1,0)),"")</f>
        <v>0</v>
      </c>
      <c r="P341" s="5">
        <f>IFERROR(INDEX('Master data'!$B$2:$CL$1000,MATCH($B341,'Master data'!$A$2:$A$1000,0),MATCH(P$1,'Master data'!$B$1:$CL$1,0)),"")</f>
        <v>2500000</v>
      </c>
      <c r="Q341" s="5">
        <f>IFERROR(INDEX('Master data'!$B$2:$CL$1000,MATCH($B341,'Master data'!$A$2:$A$1000,0),MATCH(Q$1,'Master data'!$B$1:$CL$1,0)),"")</f>
        <v>2500000</v>
      </c>
    </row>
    <row r="342" spans="1:17" hidden="1">
      <c r="A342">
        <f t="shared" si="5"/>
        <v>340</v>
      </c>
      <c r="B342" t="str">
        <f>IF('Master data'!A342="","",'Master data'!A342)</f>
        <v>Taras Stepanenko</v>
      </c>
      <c r="C342" t="str">
        <f>IFERROR(INDEX('Master data'!$B$2:$CL$1000,MATCH($B342,'Master data'!$A$2:$A$1000,0),MATCH(C$1,'Master data'!$B$1:$CL$1,0)),"")</f>
        <v>Ukraine</v>
      </c>
      <c r="D342" t="str">
        <f>IFERROR(INDEX('Master data'!$B$2:$CL$1000,MATCH($B342,'Master data'!$A$2:$A$1000,0),MATCH(D$1,'Master data'!$B$1:$CL$1,0)),"")</f>
        <v>Midfield</v>
      </c>
      <c r="E342" s="5">
        <f>IFERROR(INDEX('Master data'!$B$2:$CL$1000,MATCH($B342,'Master data'!$A$2:$A$1000,0),MATCH(E$1,'Master data'!$B$1:$CL$1,0)),"")</f>
        <v>2000000</v>
      </c>
      <c r="F342" s="7">
        <f>IFERROR(INDEX('Master data'!$B$2:$CL$1000,MATCH($B342,'Master data'!$A$2:$A$1000,0),MATCH(F$1,'Master data'!$B$1:$CL$1,0)),"")</f>
        <v>1421.0535899010029</v>
      </c>
      <c r="G342" s="7">
        <f>IFERROR(INDEX('Master data'!$B$2:$CL$1000,MATCH($B342,'Master data'!$A$2:$A$1000,0),MATCH(G$1,'Master data'!$B$1:$CL$1,0)),"")</f>
        <v>45925.27404876997</v>
      </c>
      <c r="H342" s="7">
        <f>IFERROR(INDEX('Master data'!$B$2:$CL$1000,MATCH($B342,'Master data'!$A$2:$A$1000,0),MATCH(H$1,'Master data'!$B$1:$CL$1,0)),"")</f>
        <v>23063.740486064005</v>
      </c>
      <c r="I342" s="7">
        <f>IFERROR(INDEX('Master data'!$B$2:$CL$1000,MATCH($B342,'Master data'!$A$2:$A$1000,0),MATCH(I$1,'Master data'!$B$1:$CL$1,0)),"")</f>
        <v>2064.5136295830598</v>
      </c>
      <c r="J342" s="7">
        <f>IFERROR(INDEX('Master data'!$B$2:$CL$1000,MATCH($B342,'Master data'!$A$2:$A$1000,0),MATCH(J$1,'Master data'!$B$1:$CL$1,0)),"")</f>
        <v>928.32822989826241</v>
      </c>
      <c r="K342" s="7">
        <f>IFERROR(INDEX('Master data'!$B$2:$CL$1000,MATCH($B342,'Master data'!$A$2:$A$1000,0),MATCH(K$1,'Master data'!$B$1:$CL$1,0)),"")</f>
        <v>407.17535316087765</v>
      </c>
      <c r="L342" s="7">
        <f>IFERROR(INDEX('Master data'!$B$2:$CL$1000,MATCH($B342,'Master data'!$A$2:$A$1000,0),MATCH(L$1,'Master data'!$B$1:$CL$1,0)),"")</f>
        <v>166.63103153200581</v>
      </c>
      <c r="M342" s="5">
        <f>IFERROR(INDEX('Master data'!$B$2:$CL$1000,MATCH($B342,'Master data'!$A$2:$A$1000,0),MATCH(M$1,'Master data'!$B$1:$CL$1,0)),"")</f>
        <v>43151.784089494591</v>
      </c>
      <c r="N342" s="28">
        <f>IFERROR(INDEX('Master data'!$B$2:$CL$1000,MATCH($B342,'Master data'!$A$2:$A$1000,0),MATCH(N$1,'Master data'!$B$1:$CL$1,0)),"")</f>
        <v>3.5205034062367496E-2</v>
      </c>
      <c r="O342" s="7">
        <f>IFERROR(INDEX('Master data'!$B$2:$CL$1000,MATCH($B342,'Master data'!$A$2:$A$1000,0),MATCH(O$1,'Master data'!$B$1:$CL$1,0)),"")</f>
        <v>0</v>
      </c>
      <c r="P342" s="5">
        <f>IFERROR(INDEX('Master data'!$B$2:$CL$1000,MATCH($B342,'Master data'!$A$2:$A$1000,0),MATCH(P$1,'Master data'!$B$1:$CL$1,0)),"")</f>
        <v>2000000</v>
      </c>
      <c r="Q342" s="5">
        <f>IFERROR(INDEX('Master data'!$B$2:$CL$1000,MATCH($B342,'Master data'!$A$2:$A$1000,0),MATCH(Q$1,'Master data'!$B$1:$CL$1,0)),"")</f>
        <v>2000000</v>
      </c>
    </row>
    <row r="343" spans="1:17" hidden="1">
      <c r="A343">
        <f t="shared" si="5"/>
        <v>341</v>
      </c>
      <c r="B343" t="str">
        <f>IF('Master data'!A343="","",'Master data'!A343)</f>
        <v>David Marshall</v>
      </c>
      <c r="C343" t="str">
        <f>IFERROR(INDEX('Master data'!$B$2:$CL$1000,MATCH($B343,'Master data'!$A$2:$A$1000,0),MATCH(C$1,'Master data'!$B$1:$CL$1,0)),"")</f>
        <v>Scotland</v>
      </c>
      <c r="D343" t="str">
        <f>IFERROR(INDEX('Master data'!$B$2:$CL$1000,MATCH($B343,'Master data'!$A$2:$A$1000,0),MATCH(D$1,'Master data'!$B$1:$CL$1,0)),"")</f>
        <v>Goalkeeper</v>
      </c>
      <c r="E343" s="5">
        <f>IFERROR(INDEX('Master data'!$B$2:$CL$1000,MATCH($B343,'Master data'!$A$2:$A$1000,0),MATCH(E$1,'Master data'!$B$1:$CL$1,0)),"")</f>
        <v>3500000</v>
      </c>
      <c r="F343" s="7">
        <f>IFERROR(INDEX('Master data'!$B$2:$CL$1000,MATCH($B343,'Master data'!$A$2:$A$1000,0),MATCH(F$1,'Master data'!$B$1:$CL$1,0)),"")</f>
        <v>48044.940059156688</v>
      </c>
      <c r="G343" s="7">
        <f>IFERROR(INDEX('Master data'!$B$2:$CL$1000,MATCH($B343,'Master data'!$A$2:$A$1000,0),MATCH(G$1,'Master data'!$B$1:$CL$1,0)),"")</f>
        <v>18207.841157071369</v>
      </c>
      <c r="H343" s="7">
        <f>IFERROR(INDEX('Master data'!$B$2:$CL$1000,MATCH($B343,'Master data'!$A$2:$A$1000,0),MATCH(H$1,'Master data'!$B$1:$CL$1,0)),"")</f>
        <v>31816.750754052082</v>
      </c>
      <c r="I343" s="7">
        <f>IFERROR(INDEX('Master data'!$B$2:$CL$1000,MATCH($B343,'Master data'!$A$2:$A$1000,0),MATCH(I$1,'Master data'!$B$1:$CL$1,0)),"")</f>
        <v>-1357.9690921818999</v>
      </c>
      <c r="J343" s="7">
        <f>IFERROR(INDEX('Master data'!$B$2:$CL$1000,MATCH($B343,'Master data'!$A$2:$A$1000,0),MATCH(J$1,'Master data'!$B$1:$CL$1,0)),"")</f>
        <v>-733.30820500322602</v>
      </c>
      <c r="K343" s="7">
        <f>IFERROR(INDEX('Master data'!$B$2:$CL$1000,MATCH($B343,'Master data'!$A$2:$A$1000,0),MATCH(K$1,'Master data'!$B$1:$CL$1,0)),"")</f>
        <v>-386.3170838158369</v>
      </c>
      <c r="L343" s="7">
        <f>IFERROR(INDEX('Master data'!$B$2:$CL$1000,MATCH($B343,'Master data'!$A$2:$A$1000,0),MATCH(L$1,'Master data'!$B$1:$CL$1,0)),"")</f>
        <v>-190.36039358917333</v>
      </c>
      <c r="M343" s="5">
        <f>IFERROR(INDEX('Master data'!$B$2:$CL$1000,MATCH($B343,'Master data'!$A$2:$A$1000,0),MATCH(M$1,'Master data'!$B$1:$CL$1,0)),"")</f>
        <v>73709.481672300419</v>
      </c>
      <c r="N343" s="28">
        <f>IFERROR(INDEX('Master data'!$B$2:$CL$1000,MATCH($B343,'Master data'!$A$2:$A$1000,0),MATCH(N$1,'Master data'!$B$1:$CL$1,0)),"")</f>
        <v>2.8019866277222895E-2</v>
      </c>
      <c r="O343" s="7">
        <f>IFERROR(INDEX('Master data'!$B$2:$CL$1000,MATCH($B343,'Master data'!$A$2:$A$1000,0),MATCH(O$1,'Master data'!$B$1:$CL$1,0)),"")</f>
        <v>0</v>
      </c>
      <c r="P343" s="5">
        <f>IFERROR(INDEX('Master data'!$B$2:$CL$1000,MATCH($B343,'Master data'!$A$2:$A$1000,0),MATCH(P$1,'Master data'!$B$1:$CL$1,0)),"")</f>
        <v>3500000</v>
      </c>
      <c r="Q343" s="5">
        <f>IFERROR(INDEX('Master data'!$B$2:$CL$1000,MATCH($B343,'Master data'!$A$2:$A$1000,0),MATCH(Q$1,'Master data'!$B$1:$CL$1,0)),"")</f>
        <v>3500000</v>
      </c>
    </row>
    <row r="344" spans="1:17" hidden="1">
      <c r="A344">
        <f t="shared" si="5"/>
        <v>342</v>
      </c>
      <c r="B344" t="str">
        <f>IF('Master data'!A344="","",'Master data'!A344)</f>
        <v>Stephen O'Donnell</v>
      </c>
      <c r="C344" t="str">
        <f>IFERROR(INDEX('Master data'!$B$2:$CL$1000,MATCH($B344,'Master data'!$A$2:$A$1000,0),MATCH(C$1,'Master data'!$B$1:$CL$1,0)),"")</f>
        <v>Scotland</v>
      </c>
      <c r="D344" t="str">
        <f>IFERROR(INDEX('Master data'!$B$2:$CL$1000,MATCH($B344,'Master data'!$A$2:$A$1000,0),MATCH(D$1,'Master data'!$B$1:$CL$1,0)),"")</f>
        <v>Defense</v>
      </c>
      <c r="E344" s="5">
        <f>IFERROR(INDEX('Master data'!$B$2:$CL$1000,MATCH($B344,'Master data'!$A$2:$A$1000,0),MATCH(E$1,'Master data'!$B$1:$CL$1,0)),"")</f>
        <v>2500000</v>
      </c>
      <c r="F344" s="7">
        <f>IFERROR(INDEX('Master data'!$B$2:$CL$1000,MATCH($B344,'Master data'!$A$2:$A$1000,0),MATCH(F$1,'Master data'!$B$1:$CL$1,0)),"")</f>
        <v>38518.47726090881</v>
      </c>
      <c r="G344" s="7">
        <f>IFERROR(INDEX('Master data'!$B$2:$CL$1000,MATCH($B344,'Master data'!$A$2:$A$1000,0),MATCH(G$1,'Master data'!$B$1:$CL$1,0)),"")</f>
        <v>1658.3840493974603</v>
      </c>
      <c r="H344" s="7">
        <f>IFERROR(INDEX('Master data'!$B$2:$CL$1000,MATCH($B344,'Master data'!$A$2:$A$1000,0),MATCH(H$1,'Master data'!$B$1:$CL$1,0)),"")</f>
        <v>19285.869500306049</v>
      </c>
      <c r="I344" s="7">
        <f>IFERROR(INDEX('Master data'!$B$2:$CL$1000,MATCH($B344,'Master data'!$A$2:$A$1000,0),MATCH(I$1,'Master data'!$B$1:$CL$1,0)),"")</f>
        <v>-2382.5230917999334</v>
      </c>
      <c r="J344" s="7">
        <f>IFERROR(INDEX('Master data'!$B$2:$CL$1000,MATCH($B344,'Master data'!$A$2:$A$1000,0),MATCH(J$1,'Master data'!$B$1:$CL$1,0)),"")</f>
        <v>-1210.493460737865</v>
      </c>
      <c r="K344" s="7">
        <f>IFERROR(INDEX('Master data'!$B$2:$CL$1000,MATCH($B344,'Master data'!$A$2:$A$1000,0),MATCH(K$1,'Master data'!$B$1:$CL$1,0)),"")</f>
        <v>-604.26900636066364</v>
      </c>
      <c r="L344" s="7">
        <f>IFERROR(INDEX('Master data'!$B$2:$CL$1000,MATCH($B344,'Master data'!$A$2:$A$1000,0),MATCH(L$1,'Master data'!$B$1:$CL$1,0)),"")</f>
        <v>-283.80365140403859</v>
      </c>
      <c r="M344" s="5">
        <f>IFERROR(INDEX('Master data'!$B$2:$CL$1000,MATCH($B344,'Master data'!$A$2:$A$1000,0),MATCH(M$1,'Master data'!$B$1:$CL$1,0)),"")</f>
        <v>47146.031529263819</v>
      </c>
      <c r="N344" s="28">
        <f>IFERROR(INDEX('Master data'!$B$2:$CL$1000,MATCH($B344,'Master data'!$A$2:$A$1000,0),MATCH(N$1,'Master data'!$B$1:$CL$1,0)),"")</f>
        <v>2.3785092324244927E-2</v>
      </c>
      <c r="O344" s="7">
        <f>IFERROR(INDEX('Master data'!$B$2:$CL$1000,MATCH($B344,'Master data'!$A$2:$A$1000,0),MATCH(O$1,'Master data'!$B$1:$CL$1,0)),"")</f>
        <v>0</v>
      </c>
      <c r="P344" s="5">
        <f>IFERROR(INDEX('Master data'!$B$2:$CL$1000,MATCH($B344,'Master data'!$A$2:$A$1000,0),MATCH(P$1,'Master data'!$B$1:$CL$1,0)),"")</f>
        <v>2500000</v>
      </c>
      <c r="Q344" s="5">
        <f>IFERROR(INDEX('Master data'!$B$2:$CL$1000,MATCH($B344,'Master data'!$A$2:$A$1000,0),MATCH(Q$1,'Master data'!$B$1:$CL$1,0)),"")</f>
        <v>2500000</v>
      </c>
    </row>
    <row r="345" spans="1:17" hidden="1">
      <c r="A345">
        <f t="shared" si="5"/>
        <v>343</v>
      </c>
      <c r="B345" t="str">
        <f>IF('Master data'!A345="","",'Master data'!A345)</f>
        <v>John Fleck</v>
      </c>
      <c r="C345" t="str">
        <f>IFERROR(INDEX('Master data'!$B$2:$CL$1000,MATCH($B345,'Master data'!$A$2:$A$1000,0),MATCH(C$1,'Master data'!$B$1:$CL$1,0)),"")</f>
        <v>Scotland</v>
      </c>
      <c r="D345" t="str">
        <f>IFERROR(INDEX('Master data'!$B$2:$CL$1000,MATCH($B345,'Master data'!$A$2:$A$1000,0),MATCH(D$1,'Master data'!$B$1:$CL$1,0)),"")</f>
        <v>Midfield</v>
      </c>
      <c r="E345" s="5">
        <f>IFERROR(INDEX('Master data'!$B$2:$CL$1000,MATCH($B345,'Master data'!$A$2:$A$1000,0),MATCH(E$1,'Master data'!$B$1:$CL$1,0)),"")</f>
        <v>2000000</v>
      </c>
      <c r="F345" s="7">
        <f>IFERROR(INDEX('Master data'!$B$2:$CL$1000,MATCH($B345,'Master data'!$A$2:$A$1000,0),MATCH(F$1,'Master data'!$B$1:$CL$1,0)),"")</f>
        <v>-5000</v>
      </c>
      <c r="G345" s="7">
        <f>IFERROR(INDEX('Master data'!$B$2:$CL$1000,MATCH($B345,'Master data'!$A$2:$A$1000,0),MATCH(G$1,'Master data'!$B$1:$CL$1,0)),"")</f>
        <v>-5000</v>
      </c>
      <c r="H345" s="7">
        <f>IFERROR(INDEX('Master data'!$B$2:$CL$1000,MATCH($B345,'Master data'!$A$2:$A$1000,0),MATCH(H$1,'Master data'!$B$1:$CL$1,0)),"")</f>
        <v>-5000</v>
      </c>
      <c r="I345" s="7">
        <f>IFERROR(INDEX('Master data'!$B$2:$CL$1000,MATCH($B345,'Master data'!$A$2:$A$1000,0),MATCH(I$1,'Master data'!$B$1:$CL$1,0)),"")</f>
        <v>-10254.347146312828</v>
      </c>
      <c r="J345" s="7">
        <f>IFERROR(INDEX('Master data'!$B$2:$CL$1000,MATCH($B345,'Master data'!$A$2:$A$1000,0),MATCH(J$1,'Master data'!$B$1:$CL$1,0)),"")</f>
        <v>-5026.893688819554</v>
      </c>
      <c r="K345" s="7">
        <f>IFERROR(INDEX('Master data'!$B$2:$CL$1000,MATCH($B345,'Master data'!$A$2:$A$1000,0),MATCH(K$1,'Master data'!$B$1:$CL$1,0)),"")</f>
        <v>-2423.8784593338737</v>
      </c>
      <c r="L345" s="7">
        <f>IFERROR(INDEX('Master data'!$B$2:$CL$1000,MATCH($B345,'Master data'!$A$2:$A$1000,0),MATCH(L$1,'Master data'!$B$1:$CL$1,0)),"")</f>
        <v>-1100.7492385479736</v>
      </c>
      <c r="M345" s="5">
        <f>IFERROR(INDEX('Master data'!$B$2:$CL$1000,MATCH($B345,'Master data'!$A$2:$A$1000,0),MATCH(M$1,'Master data'!$B$1:$CL$1,0)),"")</f>
        <v>-15002.677583205361</v>
      </c>
      <c r="N345" s="28">
        <f>IFERROR(INDEX('Master data'!$B$2:$CL$1000,MATCH($B345,'Master data'!$A$2:$A$1000,0),MATCH(N$1,'Master data'!$B$1:$CL$1,0)),"")</f>
        <v>-7.4999999999999997E-3</v>
      </c>
      <c r="O345" s="7">
        <f>IFERROR(INDEX('Master data'!$B$2:$CL$1000,MATCH($B345,'Master data'!$A$2:$A$1000,0),MATCH(O$1,'Master data'!$B$1:$CL$1,0)),"")</f>
        <v>0</v>
      </c>
      <c r="P345" s="5">
        <f>IFERROR(INDEX('Master data'!$B$2:$CL$1000,MATCH($B345,'Master data'!$A$2:$A$1000,0),MATCH(P$1,'Master data'!$B$1:$CL$1,0)),"")</f>
        <v>2000000</v>
      </c>
      <c r="Q345" s="5">
        <f>IFERROR(INDEX('Master data'!$B$2:$CL$1000,MATCH($B345,'Master data'!$A$2:$A$1000,0),MATCH(Q$1,'Master data'!$B$1:$CL$1,0)),"")</f>
        <v>2000000</v>
      </c>
    </row>
    <row r="346" spans="1:17" hidden="1">
      <c r="A346">
        <f t="shared" si="5"/>
        <v>344</v>
      </c>
      <c r="B346" t="str">
        <f>IF('Master data'!A346="","",'Master data'!A346)</f>
        <v>Ryan Fraser</v>
      </c>
      <c r="C346" t="str">
        <f>IFERROR(INDEX('Master data'!$B$2:$CL$1000,MATCH($B346,'Master data'!$A$2:$A$1000,0),MATCH(C$1,'Master data'!$B$1:$CL$1,0)),"")</f>
        <v>Scotland</v>
      </c>
      <c r="D346" t="str">
        <f>IFERROR(INDEX('Master data'!$B$2:$CL$1000,MATCH($B346,'Master data'!$A$2:$A$1000,0),MATCH(D$1,'Master data'!$B$1:$CL$1,0)),"")</f>
        <v>Striker</v>
      </c>
      <c r="E346" s="5">
        <f>IFERROR(INDEX('Master data'!$B$2:$CL$1000,MATCH($B346,'Master data'!$A$2:$A$1000,0),MATCH(E$1,'Master data'!$B$1:$CL$1,0)),"")</f>
        <v>3000000</v>
      </c>
      <c r="F346" s="7">
        <f>IFERROR(INDEX('Master data'!$B$2:$CL$1000,MATCH($B346,'Master data'!$A$2:$A$1000,0),MATCH(F$1,'Master data'!$B$1:$CL$1,0)),"")</f>
        <v>-5000</v>
      </c>
      <c r="G346" s="7">
        <f>IFERROR(INDEX('Master data'!$B$2:$CL$1000,MATCH($B346,'Master data'!$A$2:$A$1000,0),MATCH(G$1,'Master data'!$B$1:$CL$1,0)),"")</f>
        <v>-5000</v>
      </c>
      <c r="H346" s="7">
        <f>IFERROR(INDEX('Master data'!$B$2:$CL$1000,MATCH($B346,'Master data'!$A$2:$A$1000,0),MATCH(H$1,'Master data'!$B$1:$CL$1,0)),"")</f>
        <v>-5000</v>
      </c>
      <c r="I346" s="7">
        <f>IFERROR(INDEX('Master data'!$B$2:$CL$1000,MATCH($B346,'Master data'!$A$2:$A$1000,0),MATCH(I$1,'Master data'!$B$1:$CL$1,0)),"")</f>
        <v>-14380.84499191155</v>
      </c>
      <c r="J346" s="7">
        <f>IFERROR(INDEX('Master data'!$B$2:$CL$1000,MATCH($B346,'Master data'!$A$2:$A$1000,0),MATCH(J$1,'Master data'!$B$1:$CL$1,0)),"")</f>
        <v>-7053.8669504403424</v>
      </c>
      <c r="K346" s="7">
        <f>IFERROR(INDEX('Master data'!$B$2:$CL$1000,MATCH($B346,'Master data'!$A$2:$A$1000,0),MATCH(K$1,'Master data'!$B$1:$CL$1,0)),"")</f>
        <v>-3403.2232913879643</v>
      </c>
      <c r="L346" s="7">
        <f>IFERROR(INDEX('Master data'!$B$2:$CL$1000,MATCH($B346,'Master data'!$A$2:$A$1000,0),MATCH(L$1,'Master data'!$B$1:$CL$1,0)),"")</f>
        <v>-1546.3967035471533</v>
      </c>
      <c r="M346" s="5">
        <f>IFERROR(INDEX('Master data'!$B$2:$CL$1000,MATCH($B346,'Master data'!$A$2:$A$1000,0),MATCH(M$1,'Master data'!$B$1:$CL$1,0)),"")</f>
        <v>-16793.824669570047</v>
      </c>
      <c r="N346" s="28">
        <f>IFERROR(INDEX('Master data'!$B$2:$CL$1000,MATCH($B346,'Master data'!$A$2:$A$1000,0),MATCH(N$1,'Master data'!$B$1:$CL$1,0)),"")</f>
        <v>-5.0000000000000001E-3</v>
      </c>
      <c r="O346" s="7">
        <f>IFERROR(INDEX('Master data'!$B$2:$CL$1000,MATCH($B346,'Master data'!$A$2:$A$1000,0),MATCH(O$1,'Master data'!$B$1:$CL$1,0)),"")</f>
        <v>0</v>
      </c>
      <c r="P346" s="5">
        <f>IFERROR(INDEX('Master data'!$B$2:$CL$1000,MATCH($B346,'Master data'!$A$2:$A$1000,0),MATCH(P$1,'Master data'!$B$1:$CL$1,0)),"")</f>
        <v>3000000</v>
      </c>
      <c r="Q346" s="5">
        <f>IFERROR(INDEX('Master data'!$B$2:$CL$1000,MATCH($B346,'Master data'!$A$2:$A$1000,0),MATCH(Q$1,'Master data'!$B$1:$CL$1,0)),"")</f>
        <v>3000000</v>
      </c>
    </row>
    <row r="347" spans="1:17" hidden="1">
      <c r="A347">
        <f t="shared" si="5"/>
        <v>345</v>
      </c>
      <c r="B347" t="str">
        <f>IF('Master data'!A347="","",'Master data'!A347)</f>
        <v>Scott McTominay</v>
      </c>
      <c r="C347" t="str">
        <f>IFERROR(INDEX('Master data'!$B$2:$CL$1000,MATCH($B347,'Master data'!$A$2:$A$1000,0),MATCH(C$1,'Master data'!$B$1:$CL$1,0)),"")</f>
        <v>Scotland</v>
      </c>
      <c r="D347" t="str">
        <f>IFERROR(INDEX('Master data'!$B$2:$CL$1000,MATCH($B347,'Master data'!$A$2:$A$1000,0),MATCH(D$1,'Master data'!$B$1:$CL$1,0)),"")</f>
        <v>Midfield</v>
      </c>
      <c r="E347" s="5">
        <f>IFERROR(INDEX('Master data'!$B$2:$CL$1000,MATCH($B347,'Master data'!$A$2:$A$1000,0),MATCH(E$1,'Master data'!$B$1:$CL$1,0)),"")</f>
        <v>3000000</v>
      </c>
      <c r="F347" s="7">
        <f>IFERROR(INDEX('Master data'!$B$2:$CL$1000,MATCH($B347,'Master data'!$A$2:$A$1000,0),MATCH(F$1,'Master data'!$B$1:$CL$1,0)),"")</f>
        <v>34862.447246535019</v>
      </c>
      <c r="G347" s="7">
        <f>IFERROR(INDEX('Master data'!$B$2:$CL$1000,MATCH($B347,'Master data'!$A$2:$A$1000,0),MATCH(G$1,'Master data'!$B$1:$CL$1,0)),"")</f>
        <v>2352.3083958506504</v>
      </c>
      <c r="H347" s="7">
        <f>IFERROR(INDEX('Master data'!$B$2:$CL$1000,MATCH($B347,'Master data'!$A$2:$A$1000,0),MATCH(H$1,'Master data'!$B$1:$CL$1,0)),"")</f>
        <v>18341.17938235218</v>
      </c>
      <c r="I347" s="7">
        <f>IFERROR(INDEX('Master data'!$B$2:$CL$1000,MATCH($B347,'Master data'!$A$2:$A$1000,0),MATCH(I$1,'Master data'!$B$1:$CL$1,0)),"")</f>
        <v>-4967.0301099925264</v>
      </c>
      <c r="J347" s="7">
        <f>IFERROR(INDEX('Master data'!$B$2:$CL$1000,MATCH($B347,'Master data'!$A$2:$A$1000,0),MATCH(J$1,'Master data'!$B$1:$CL$1,0)),"")</f>
        <v>-2477.3871506388291</v>
      </c>
      <c r="K347" s="7">
        <f>IFERROR(INDEX('Master data'!$B$2:$CL$1000,MATCH($B347,'Master data'!$A$2:$A$1000,0),MATCH(K$1,'Master data'!$B$1:$CL$1,0)),"")</f>
        <v>-1215.1012640426259</v>
      </c>
      <c r="L347" s="7">
        <f>IFERROR(INDEX('Master data'!$B$2:$CL$1000,MATCH($B347,'Master data'!$A$2:$A$1000,0),MATCH(L$1,'Master data'!$B$1:$CL$1,0)),"")</f>
        <v>-561.18039790195394</v>
      </c>
      <c r="M347" s="5">
        <f>IFERROR(INDEX('Master data'!$B$2:$CL$1000,MATCH($B347,'Master data'!$A$2:$A$1000,0),MATCH(M$1,'Master data'!$B$1:$CL$1,0)),"")</f>
        <v>42411.934873422986</v>
      </c>
      <c r="N347" s="28">
        <f>IFERROR(INDEX('Master data'!$B$2:$CL$1000,MATCH($B347,'Master data'!$A$2:$A$1000,0),MATCH(N$1,'Master data'!$B$1:$CL$1,0)),"")</f>
        <v>1.8518645008245953E-2</v>
      </c>
      <c r="O347" s="7">
        <f>IFERROR(INDEX('Master data'!$B$2:$CL$1000,MATCH($B347,'Master data'!$A$2:$A$1000,0),MATCH(O$1,'Master data'!$B$1:$CL$1,0)),"")</f>
        <v>0</v>
      </c>
      <c r="P347" s="5">
        <f>IFERROR(INDEX('Master data'!$B$2:$CL$1000,MATCH($B347,'Master data'!$A$2:$A$1000,0),MATCH(P$1,'Master data'!$B$1:$CL$1,0)),"")</f>
        <v>3000000</v>
      </c>
      <c r="Q347" s="5">
        <f>IFERROR(INDEX('Master data'!$B$2:$CL$1000,MATCH($B347,'Master data'!$A$2:$A$1000,0),MATCH(Q$1,'Master data'!$B$1:$CL$1,0)),"")</f>
        <v>3000000</v>
      </c>
    </row>
    <row r="348" spans="1:17" hidden="1">
      <c r="A348">
        <f t="shared" si="5"/>
        <v>346</v>
      </c>
      <c r="B348" t="str">
        <f>IF('Master data'!A348="","",'Master data'!A348)</f>
        <v>Ryan Christie</v>
      </c>
      <c r="C348" t="str">
        <f>IFERROR(INDEX('Master data'!$B$2:$CL$1000,MATCH($B348,'Master data'!$A$2:$A$1000,0),MATCH(C$1,'Master data'!$B$1:$CL$1,0)),"")</f>
        <v>Scotland</v>
      </c>
      <c r="D348" t="str">
        <f>IFERROR(INDEX('Master data'!$B$2:$CL$1000,MATCH($B348,'Master data'!$A$2:$A$1000,0),MATCH(D$1,'Master data'!$B$1:$CL$1,0)),"")</f>
        <v>Midfield</v>
      </c>
      <c r="E348" s="5">
        <f>IFERROR(INDEX('Master data'!$B$2:$CL$1000,MATCH($B348,'Master data'!$A$2:$A$1000,0),MATCH(E$1,'Master data'!$B$1:$CL$1,0)),"")</f>
        <v>3000000</v>
      </c>
      <c r="F348" s="7">
        <f>IFERROR(INDEX('Master data'!$B$2:$CL$1000,MATCH($B348,'Master data'!$A$2:$A$1000,0),MATCH(F$1,'Master data'!$B$1:$CL$1,0)),"")</f>
        <v>37797.632073162</v>
      </c>
      <c r="G348" s="7">
        <f>IFERROR(INDEX('Master data'!$B$2:$CL$1000,MATCH($B348,'Master data'!$A$2:$A$1000,0),MATCH(G$1,'Master data'!$B$1:$CL$1,0)),"")</f>
        <v>6277.2443291234558</v>
      </c>
      <c r="H348" s="7">
        <f>IFERROR(INDEX('Master data'!$B$2:$CL$1000,MATCH($B348,'Master data'!$A$2:$A$1000,0),MATCH(H$1,'Master data'!$B$1:$CL$1,0)),"")</f>
        <v>21819.966525463271</v>
      </c>
      <c r="I348" s="7">
        <f>IFERROR(INDEX('Master data'!$B$2:$CL$1000,MATCH($B348,'Master data'!$A$2:$A$1000,0),MATCH(I$1,'Master data'!$B$1:$CL$1,0)),"")</f>
        <v>-3587.5775515928781</v>
      </c>
      <c r="J348" s="7">
        <f>IFERROR(INDEX('Master data'!$B$2:$CL$1000,MATCH($B348,'Master data'!$A$2:$A$1000,0),MATCH(J$1,'Master data'!$B$1:$CL$1,0)),"")</f>
        <v>-1806.7730746784173</v>
      </c>
      <c r="K348" s="7">
        <f>IFERROR(INDEX('Master data'!$B$2:$CL$1000,MATCH($B348,'Master data'!$A$2:$A$1000,0),MATCH(K$1,'Master data'!$B$1:$CL$1,0)),"")</f>
        <v>-894.46498995255774</v>
      </c>
      <c r="L348" s="7">
        <f>IFERROR(INDEX('Master data'!$B$2:$CL$1000,MATCH($B348,'Master data'!$A$2:$A$1000,0),MATCH(L$1,'Master data'!$B$1:$CL$1,0)),"")</f>
        <v>-416.81181083640172</v>
      </c>
      <c r="M348" s="5">
        <f>IFERROR(INDEX('Master data'!$B$2:$CL$1000,MATCH($B348,'Master data'!$A$2:$A$1000,0),MATCH(M$1,'Master data'!$B$1:$CL$1,0)),"")</f>
        <v>50105.962977657699</v>
      </c>
      <c r="N348" s="28">
        <f>IFERROR(INDEX('Master data'!$B$2:$CL$1000,MATCH($B348,'Master data'!$A$2:$A$1000,0),MATCH(N$1,'Master data'!$B$1:$CL$1,0)),"")</f>
        <v>2.1964947642582909E-2</v>
      </c>
      <c r="O348" s="7">
        <f>IFERROR(INDEX('Master data'!$B$2:$CL$1000,MATCH($B348,'Master data'!$A$2:$A$1000,0),MATCH(O$1,'Master data'!$B$1:$CL$1,0)),"")</f>
        <v>0</v>
      </c>
      <c r="P348" s="5">
        <f>IFERROR(INDEX('Master data'!$B$2:$CL$1000,MATCH($B348,'Master data'!$A$2:$A$1000,0),MATCH(P$1,'Master data'!$B$1:$CL$1,0)),"")</f>
        <v>3000000</v>
      </c>
      <c r="Q348" s="5">
        <f>IFERROR(INDEX('Master data'!$B$2:$CL$1000,MATCH($B348,'Master data'!$A$2:$A$1000,0),MATCH(Q$1,'Master data'!$B$1:$CL$1,0)),"")</f>
        <v>3000000</v>
      </c>
    </row>
    <row r="349" spans="1:17" hidden="1">
      <c r="A349">
        <f t="shared" si="5"/>
        <v>347</v>
      </c>
      <c r="B349" t="str">
        <f>IF('Master data'!A349="","",'Master data'!A349)</f>
        <v>Callum McGregor</v>
      </c>
      <c r="C349" t="str">
        <f>IFERROR(INDEX('Master data'!$B$2:$CL$1000,MATCH($B349,'Master data'!$A$2:$A$1000,0),MATCH(C$1,'Master data'!$B$1:$CL$1,0)),"")</f>
        <v>Scotland</v>
      </c>
      <c r="D349" t="str">
        <f>IFERROR(INDEX('Master data'!$B$2:$CL$1000,MATCH($B349,'Master data'!$A$2:$A$1000,0),MATCH(D$1,'Master data'!$B$1:$CL$1,0)),"")</f>
        <v>Midfield</v>
      </c>
      <c r="E349" s="5">
        <f>IFERROR(INDEX('Master data'!$B$2:$CL$1000,MATCH($B349,'Master data'!$A$2:$A$1000,0),MATCH(E$1,'Master data'!$B$1:$CL$1,0)),"")</f>
        <v>3000000</v>
      </c>
      <c r="F349" s="7">
        <f>IFERROR(INDEX('Master data'!$B$2:$CL$1000,MATCH($B349,'Master data'!$A$2:$A$1000,0),MATCH(F$1,'Master data'!$B$1:$CL$1,0)),"")</f>
        <v>-5000</v>
      </c>
      <c r="G349" s="7">
        <f>IFERROR(INDEX('Master data'!$B$2:$CL$1000,MATCH($B349,'Master data'!$A$2:$A$1000,0),MATCH(G$1,'Master data'!$B$1:$CL$1,0)),"")</f>
        <v>-5000</v>
      </c>
      <c r="H349" s="7">
        <f>IFERROR(INDEX('Master data'!$B$2:$CL$1000,MATCH($B349,'Master data'!$A$2:$A$1000,0),MATCH(H$1,'Master data'!$B$1:$CL$1,0)),"")</f>
        <v>-5000</v>
      </c>
      <c r="I349" s="7">
        <f>IFERROR(INDEX('Master data'!$B$2:$CL$1000,MATCH($B349,'Master data'!$A$2:$A$1000,0),MATCH(I$1,'Master data'!$B$1:$CL$1,0)),"")</f>
        <v>-14380.84499191155</v>
      </c>
      <c r="J349" s="7">
        <f>IFERROR(INDEX('Master data'!$B$2:$CL$1000,MATCH($B349,'Master data'!$A$2:$A$1000,0),MATCH(J$1,'Master data'!$B$1:$CL$1,0)),"")</f>
        <v>-7053.8669504403424</v>
      </c>
      <c r="K349" s="7">
        <f>IFERROR(INDEX('Master data'!$B$2:$CL$1000,MATCH($B349,'Master data'!$A$2:$A$1000,0),MATCH(K$1,'Master data'!$B$1:$CL$1,0)),"")</f>
        <v>-3403.2232913879643</v>
      </c>
      <c r="L349" s="7">
        <f>IFERROR(INDEX('Master data'!$B$2:$CL$1000,MATCH($B349,'Master data'!$A$2:$A$1000,0),MATCH(L$1,'Master data'!$B$1:$CL$1,0)),"")</f>
        <v>-1546.3967035471533</v>
      </c>
      <c r="M349" s="5">
        <f>IFERROR(INDEX('Master data'!$B$2:$CL$1000,MATCH($B349,'Master data'!$A$2:$A$1000,0),MATCH(M$1,'Master data'!$B$1:$CL$1,0)),"")</f>
        <v>-16793.824669570047</v>
      </c>
      <c r="N349" s="28">
        <f>IFERROR(INDEX('Master data'!$B$2:$CL$1000,MATCH($B349,'Master data'!$A$2:$A$1000,0),MATCH(N$1,'Master data'!$B$1:$CL$1,0)),"")</f>
        <v>-5.0000000000000001E-3</v>
      </c>
      <c r="O349" s="7">
        <f>IFERROR(INDEX('Master data'!$B$2:$CL$1000,MATCH($B349,'Master data'!$A$2:$A$1000,0),MATCH(O$1,'Master data'!$B$1:$CL$1,0)),"")</f>
        <v>0</v>
      </c>
      <c r="P349" s="5">
        <f>IFERROR(INDEX('Master data'!$B$2:$CL$1000,MATCH($B349,'Master data'!$A$2:$A$1000,0),MATCH(P$1,'Master data'!$B$1:$CL$1,0)),"")</f>
        <v>3000000</v>
      </c>
      <c r="Q349" s="5">
        <f>IFERROR(INDEX('Master data'!$B$2:$CL$1000,MATCH($B349,'Master data'!$A$2:$A$1000,0),MATCH(Q$1,'Master data'!$B$1:$CL$1,0)),"")</f>
        <v>3000000</v>
      </c>
    </row>
    <row r="350" spans="1:17" hidden="1">
      <c r="A350">
        <f t="shared" si="5"/>
        <v>348</v>
      </c>
      <c r="B350" t="str">
        <f>IF('Master data'!A350="","",'Master data'!A350)</f>
        <v>John McGinn</v>
      </c>
      <c r="C350" t="str">
        <f>IFERROR(INDEX('Master data'!$B$2:$CL$1000,MATCH($B350,'Master data'!$A$2:$A$1000,0),MATCH(C$1,'Master data'!$B$1:$CL$1,0)),"")</f>
        <v>Scotland</v>
      </c>
      <c r="D350" t="str">
        <f>IFERROR(INDEX('Master data'!$B$2:$CL$1000,MATCH($B350,'Master data'!$A$2:$A$1000,0),MATCH(D$1,'Master data'!$B$1:$CL$1,0)),"")</f>
        <v>Midfield</v>
      </c>
      <c r="E350" s="5">
        <f>IFERROR(INDEX('Master data'!$B$2:$CL$1000,MATCH($B350,'Master data'!$A$2:$A$1000,0),MATCH(E$1,'Master data'!$B$1:$CL$1,0)),"")</f>
        <v>4000000</v>
      </c>
      <c r="F350" s="7">
        <f>IFERROR(INDEX('Master data'!$B$2:$CL$1000,MATCH($B350,'Master data'!$A$2:$A$1000,0),MATCH(F$1,'Master data'!$B$1:$CL$1,0)),"")</f>
        <v>39817.83710944403</v>
      </c>
      <c r="G350" s="7">
        <f>IFERROR(INDEX('Master data'!$B$2:$CL$1000,MATCH($B350,'Master data'!$A$2:$A$1000,0),MATCH(G$1,'Master data'!$B$1:$CL$1,0)),"")</f>
        <v>6141.7421654489117</v>
      </c>
      <c r="H350" s="7">
        <f>IFERROR(INDEX('Master data'!$B$2:$CL$1000,MATCH($B350,'Master data'!$A$2:$A$1000,0),MATCH(H$1,'Master data'!$B$1:$CL$1,0)),"")</f>
        <v>22656.189629631925</v>
      </c>
      <c r="I350" s="7">
        <f>IFERROR(INDEX('Master data'!$B$2:$CL$1000,MATCH($B350,'Master data'!$A$2:$A$1000,0),MATCH(I$1,'Master data'!$B$1:$CL$1,0)),"")</f>
        <v>-7351.0401196661251</v>
      </c>
      <c r="J350" s="7">
        <f>IFERROR(INDEX('Master data'!$B$2:$CL$1000,MATCH($B350,'Master data'!$A$2:$A$1000,0),MATCH(J$1,'Master data'!$B$1:$CL$1,0)),"")</f>
        <v>-3657.2585218424169</v>
      </c>
      <c r="K350" s="7">
        <f>IFERROR(INDEX('Master data'!$B$2:$CL$1000,MATCH($B350,'Master data'!$A$2:$A$1000,0),MATCH(K$1,'Master data'!$B$1:$CL$1,0)),"")</f>
        <v>-1789.4268702043298</v>
      </c>
      <c r="L350" s="7">
        <f>IFERROR(INDEX('Master data'!$B$2:$CL$1000,MATCH($B350,'Master data'!$A$2:$A$1000,0),MATCH(L$1,'Master data'!$B$1:$CL$1,0)),"")</f>
        <v>-824.46529789689259</v>
      </c>
      <c r="M350" s="5">
        <f>IFERROR(INDEX('Master data'!$B$2:$CL$1000,MATCH($B350,'Master data'!$A$2:$A$1000,0),MATCH(M$1,'Master data'!$B$1:$CL$1,0)),"")</f>
        <v>50773.216369815374</v>
      </c>
      <c r="N350" s="28">
        <f>IFERROR(INDEX('Master data'!$B$2:$CL$1000,MATCH($B350,'Master data'!$A$2:$A$1000,0),MATCH(N$1,'Master data'!$B$1:$CL$1,0)),"")</f>
        <v>1.7153942226131213E-2</v>
      </c>
      <c r="O350" s="7">
        <f>IFERROR(INDEX('Master data'!$B$2:$CL$1000,MATCH($B350,'Master data'!$A$2:$A$1000,0),MATCH(O$1,'Master data'!$B$1:$CL$1,0)),"")</f>
        <v>0</v>
      </c>
      <c r="P350" s="5">
        <f>IFERROR(INDEX('Master data'!$B$2:$CL$1000,MATCH($B350,'Master data'!$A$2:$A$1000,0),MATCH(P$1,'Master data'!$B$1:$CL$1,0)),"")</f>
        <v>4000000</v>
      </c>
      <c r="Q350" s="5">
        <f>IFERROR(INDEX('Master data'!$B$2:$CL$1000,MATCH($B350,'Master data'!$A$2:$A$1000,0),MATCH(Q$1,'Master data'!$B$1:$CL$1,0)),"")</f>
        <v>4000000</v>
      </c>
    </row>
    <row r="351" spans="1:17" hidden="1">
      <c r="A351">
        <f t="shared" si="5"/>
        <v>349</v>
      </c>
      <c r="B351" t="str">
        <f>IF('Master data'!A351="","",'Master data'!A351)</f>
        <v>Stuart Armstrong</v>
      </c>
      <c r="C351" t="str">
        <f>IFERROR(INDEX('Master data'!$B$2:$CL$1000,MATCH($B351,'Master data'!$A$2:$A$1000,0),MATCH(C$1,'Master data'!$B$1:$CL$1,0)),"")</f>
        <v>Scotland</v>
      </c>
      <c r="D351" t="str">
        <f>IFERROR(INDEX('Master data'!$B$2:$CL$1000,MATCH($B351,'Master data'!$A$2:$A$1000,0),MATCH(D$1,'Master data'!$B$1:$CL$1,0)),"")</f>
        <v>Midfield</v>
      </c>
      <c r="E351" s="5">
        <f>IFERROR(INDEX('Master data'!$B$2:$CL$1000,MATCH($B351,'Master data'!$A$2:$A$1000,0),MATCH(E$1,'Master data'!$B$1:$CL$1,0)),"")</f>
        <v>2500000</v>
      </c>
      <c r="F351" s="7">
        <f>IFERROR(INDEX('Master data'!$B$2:$CL$1000,MATCH($B351,'Master data'!$A$2:$A$1000,0),MATCH(F$1,'Master data'!$B$1:$CL$1,0)),"")</f>
        <v>43347.147103656098</v>
      </c>
      <c r="G351" s="7">
        <f>IFERROR(INDEX('Master data'!$B$2:$CL$1000,MATCH($B351,'Master data'!$A$2:$A$1000,0),MATCH(G$1,'Master data'!$B$1:$CL$1,0)),"")</f>
        <v>10105.165584001308</v>
      </c>
      <c r="H351" s="7">
        <f>IFERROR(INDEX('Master data'!$B$2:$CL$1000,MATCH($B351,'Master data'!$A$2:$A$1000,0),MATCH(H$1,'Master data'!$B$1:$CL$1,0)),"")</f>
        <v>26423.92831718285</v>
      </c>
      <c r="I351" s="7">
        <f>IFERROR(INDEX('Master data'!$B$2:$CL$1000,MATCH($B351,'Master data'!$A$2:$A$1000,0),MATCH(I$1,'Master data'!$B$1:$CL$1,0)),"")</f>
        <v>341.1174636154513</v>
      </c>
      <c r="J351" s="7">
        <f>IFERROR(INDEX('Master data'!$B$2:$CL$1000,MATCH($B351,'Master data'!$A$2:$A$1000,0),MATCH(J$1,'Master data'!$B$1:$CL$1,0)),"")</f>
        <v>113.59099812688456</v>
      </c>
      <c r="K351" s="7">
        <f>IFERROR(INDEX('Master data'!$B$2:$CL$1000,MATCH($B351,'Master data'!$A$2:$A$1000,0),MATCH(K$1,'Master data'!$B$1:$CL$1,0)),"")</f>
        <v>28.806741211356446</v>
      </c>
      <c r="L351" s="7">
        <f>IFERROR(INDEX('Master data'!$B$2:$CL$1000,MATCH($B351,'Master data'!$A$2:$A$1000,0),MATCH(L$1,'Master data'!$B$1:$CL$1,0)),"")</f>
        <v>1.2428594494627356</v>
      </c>
      <c r="M351" s="5">
        <f>IFERROR(INDEX('Master data'!$B$2:$CL$1000,MATCH($B351,'Master data'!$A$2:$A$1000,0),MATCH(M$1,'Master data'!$B$1:$CL$1,0)),"")</f>
        <v>61955.304462536951</v>
      </c>
      <c r="N351" s="28">
        <f>IFERROR(INDEX('Master data'!$B$2:$CL$1000,MATCH($B351,'Master data'!$A$2:$A$1000,0),MATCH(N$1,'Master data'!$B$1:$CL$1,0)),"")</f>
        <v>3.1950496401936104E-2</v>
      </c>
      <c r="O351" s="7">
        <f>IFERROR(INDEX('Master data'!$B$2:$CL$1000,MATCH($B351,'Master data'!$A$2:$A$1000,0),MATCH(O$1,'Master data'!$B$1:$CL$1,0)),"")</f>
        <v>0</v>
      </c>
      <c r="P351" s="5">
        <f>IFERROR(INDEX('Master data'!$B$2:$CL$1000,MATCH($B351,'Master data'!$A$2:$A$1000,0),MATCH(P$1,'Master data'!$B$1:$CL$1,0)),"")</f>
        <v>2500000</v>
      </c>
      <c r="Q351" s="5">
        <f>IFERROR(INDEX('Master data'!$B$2:$CL$1000,MATCH($B351,'Master data'!$A$2:$A$1000,0),MATCH(Q$1,'Master data'!$B$1:$CL$1,0)),"")</f>
        <v>2500000</v>
      </c>
    </row>
    <row r="352" spans="1:17" hidden="1">
      <c r="A352">
        <f t="shared" si="5"/>
        <v>350</v>
      </c>
      <c r="B352" t="str">
        <f>IF('Master data'!A352="","",'Master data'!A352)</f>
        <v>Kevin  Nisbet</v>
      </c>
      <c r="C352" t="str">
        <f>IFERROR(INDEX('Master data'!$B$2:$CL$1000,MATCH($B352,'Master data'!$A$2:$A$1000,0),MATCH(C$1,'Master data'!$B$1:$CL$1,0)),"")</f>
        <v>Scotland</v>
      </c>
      <c r="D352" t="str">
        <f>IFERROR(INDEX('Master data'!$B$2:$CL$1000,MATCH($B352,'Master data'!$A$2:$A$1000,0),MATCH(D$1,'Master data'!$B$1:$CL$1,0)),"")</f>
        <v>Striker</v>
      </c>
      <c r="E352" s="5">
        <f>IFERROR(INDEX('Master data'!$B$2:$CL$1000,MATCH($B352,'Master data'!$A$2:$A$1000,0),MATCH(E$1,'Master data'!$B$1:$CL$1,0)),"")</f>
        <v>2500000</v>
      </c>
      <c r="F352" s="7">
        <f>IFERROR(INDEX('Master data'!$B$2:$CL$1000,MATCH($B352,'Master data'!$A$2:$A$1000,0),MATCH(F$1,'Master data'!$B$1:$CL$1,0)),"")</f>
        <v>-5000</v>
      </c>
      <c r="G352" s="7">
        <f>IFERROR(INDEX('Master data'!$B$2:$CL$1000,MATCH($B352,'Master data'!$A$2:$A$1000,0),MATCH(G$1,'Master data'!$B$1:$CL$1,0)),"")</f>
        <v>-5000</v>
      </c>
      <c r="H352" s="7">
        <f>IFERROR(INDEX('Master data'!$B$2:$CL$1000,MATCH($B352,'Master data'!$A$2:$A$1000,0),MATCH(H$1,'Master data'!$B$1:$CL$1,0)),"")</f>
        <v>-5000</v>
      </c>
      <c r="I352" s="7">
        <f>IFERROR(INDEX('Master data'!$B$2:$CL$1000,MATCH($B352,'Master data'!$A$2:$A$1000,0),MATCH(I$1,'Master data'!$B$1:$CL$1,0)),"")</f>
        <v>-12317.596069112189</v>
      </c>
      <c r="J352" s="7">
        <f>IFERROR(INDEX('Master data'!$B$2:$CL$1000,MATCH($B352,'Master data'!$A$2:$A$1000,0),MATCH(J$1,'Master data'!$B$1:$CL$1,0)),"")</f>
        <v>-6040.3803196299486</v>
      </c>
      <c r="K352" s="7">
        <f>IFERROR(INDEX('Master data'!$B$2:$CL$1000,MATCH($B352,'Master data'!$A$2:$A$1000,0),MATCH(K$1,'Master data'!$B$1:$CL$1,0)),"")</f>
        <v>-2913.5508753609188</v>
      </c>
      <c r="L352" s="7">
        <f>IFERROR(INDEX('Master data'!$B$2:$CL$1000,MATCH($B352,'Master data'!$A$2:$A$1000,0),MATCH(L$1,'Master data'!$B$1:$CL$1,0)),"")</f>
        <v>-1323.5729710475634</v>
      </c>
      <c r="M352" s="5">
        <f>IFERROR(INDEX('Master data'!$B$2:$CL$1000,MATCH($B352,'Master data'!$A$2:$A$1000,0),MATCH(M$1,'Master data'!$B$1:$CL$1,0)),"")</f>
        <v>-15898.251126387706</v>
      </c>
      <c r="N352" s="28">
        <f>IFERROR(INDEX('Master data'!$B$2:$CL$1000,MATCH($B352,'Master data'!$A$2:$A$1000,0),MATCH(N$1,'Master data'!$B$1:$CL$1,0)),"")</f>
        <v>-6.0000000000000001E-3</v>
      </c>
      <c r="O352" s="7">
        <f>IFERROR(INDEX('Master data'!$B$2:$CL$1000,MATCH($B352,'Master data'!$A$2:$A$1000,0),MATCH(O$1,'Master data'!$B$1:$CL$1,0)),"")</f>
        <v>0</v>
      </c>
      <c r="P352" s="5">
        <f>IFERROR(INDEX('Master data'!$B$2:$CL$1000,MATCH($B352,'Master data'!$A$2:$A$1000,0),MATCH(P$1,'Master data'!$B$1:$CL$1,0)),"")</f>
        <v>2500000</v>
      </c>
      <c r="Q352" s="5">
        <f>IFERROR(INDEX('Master data'!$B$2:$CL$1000,MATCH($B352,'Master data'!$A$2:$A$1000,0),MATCH(Q$1,'Master data'!$B$1:$CL$1,0)),"")</f>
        <v>2500000</v>
      </c>
    </row>
    <row r="353" spans="1:17" hidden="1">
      <c r="A353">
        <f t="shared" si="5"/>
        <v>351</v>
      </c>
      <c r="B353" t="str">
        <f>IF('Master data'!A353="","",'Master data'!A353)</f>
        <v>Tomas Vaclík</v>
      </c>
      <c r="C353" t="str">
        <f>IFERROR(INDEX('Master data'!$B$2:$CL$1000,MATCH($B353,'Master data'!$A$2:$A$1000,0),MATCH(C$1,'Master data'!$B$1:$CL$1,0)),"")</f>
        <v>Czech Republic</v>
      </c>
      <c r="D353" t="str">
        <f>IFERROR(INDEX('Master data'!$B$2:$CL$1000,MATCH($B353,'Master data'!$A$2:$A$1000,0),MATCH(D$1,'Master data'!$B$1:$CL$1,0)),"")</f>
        <v>Goalkeeper</v>
      </c>
      <c r="E353" s="5">
        <f>IFERROR(INDEX('Master data'!$B$2:$CL$1000,MATCH($B353,'Master data'!$A$2:$A$1000,0),MATCH(E$1,'Master data'!$B$1:$CL$1,0)),"")</f>
        <v>4000000</v>
      </c>
      <c r="F353" s="7">
        <f>IFERROR(INDEX('Master data'!$B$2:$CL$1000,MATCH($B353,'Master data'!$A$2:$A$1000,0),MATCH(F$1,'Master data'!$B$1:$CL$1,0)),"")</f>
        <v>30252.057883858426</v>
      </c>
      <c r="G353" s="7">
        <f>IFERROR(INDEX('Master data'!$B$2:$CL$1000,MATCH($B353,'Master data'!$A$2:$A$1000,0),MATCH(G$1,'Master data'!$B$1:$CL$1,0)),"")</f>
        <v>25017.882325528884</v>
      </c>
      <c r="H353" s="7">
        <f>IFERROR(INDEX('Master data'!$B$2:$CL$1000,MATCH($B353,'Master data'!$A$2:$A$1000,0),MATCH(H$1,'Master data'!$B$1:$CL$1,0)),"")</f>
        <v>21162.693029622496</v>
      </c>
      <c r="I353" s="7">
        <f>IFERROR(INDEX('Master data'!$B$2:$CL$1000,MATCH($B353,'Master data'!$A$2:$A$1000,0),MATCH(I$1,'Master data'!$B$1:$CL$1,0)),"")</f>
        <v>-7758.947336747935</v>
      </c>
      <c r="J353" s="7">
        <f>IFERROR(INDEX('Master data'!$B$2:$CL$1000,MATCH($B353,'Master data'!$A$2:$A$1000,0),MATCH(J$1,'Master data'!$B$1:$CL$1,0)),"")</f>
        <v>-3877.7863688877733</v>
      </c>
      <c r="K353" s="7">
        <f>IFERROR(INDEX('Master data'!$B$2:$CL$1000,MATCH($B353,'Master data'!$A$2:$A$1000,0),MATCH(K$1,'Master data'!$B$1:$CL$1,0)),"")</f>
        <v>-1907.2126625993433</v>
      </c>
      <c r="L353" s="7">
        <f>IFERROR(INDEX('Master data'!$B$2:$CL$1000,MATCH($B353,'Master data'!$A$2:$A$1000,0),MATCH(L$1,'Master data'!$B$1:$CL$1,0)),"")</f>
        <v>-885.83028578549192</v>
      </c>
      <c r="M353" s="5">
        <f>IFERROR(INDEX('Master data'!$B$2:$CL$1000,MATCH($B353,'Master data'!$A$2:$A$1000,0),MATCH(M$1,'Master data'!$B$1:$CL$1,0)),"")</f>
        <v>52942.433653470944</v>
      </c>
      <c r="N353" s="28">
        <f>IFERROR(INDEX('Master data'!$B$2:$CL$1000,MATCH($B353,'Master data'!$A$2:$A$1000,0),MATCH(N$1,'Master data'!$B$1:$CL$1,0)),"")</f>
        <v>1.9108158309752449E-2</v>
      </c>
      <c r="O353" s="7">
        <f>IFERROR(INDEX('Master data'!$B$2:$CL$1000,MATCH($B353,'Master data'!$A$2:$A$1000,0),MATCH(O$1,'Master data'!$B$1:$CL$1,0)),"")</f>
        <v>0</v>
      </c>
      <c r="P353" s="5">
        <f>IFERROR(INDEX('Master data'!$B$2:$CL$1000,MATCH($B353,'Master data'!$A$2:$A$1000,0),MATCH(P$1,'Master data'!$B$1:$CL$1,0)),"")</f>
        <v>4000000</v>
      </c>
      <c r="Q353" s="5">
        <f>IFERROR(INDEX('Master data'!$B$2:$CL$1000,MATCH($B353,'Master data'!$A$2:$A$1000,0),MATCH(Q$1,'Master data'!$B$1:$CL$1,0)),"")</f>
        <v>4000000</v>
      </c>
    </row>
    <row r="354" spans="1:17" hidden="1">
      <c r="A354">
        <f t="shared" si="5"/>
        <v>352</v>
      </c>
      <c r="B354" t="str">
        <f>IF('Master data'!A354="","",'Master data'!A354)</f>
        <v>Ondrej Celustka</v>
      </c>
      <c r="C354" t="str">
        <f>IFERROR(INDEX('Master data'!$B$2:$CL$1000,MATCH($B354,'Master data'!$A$2:$A$1000,0),MATCH(C$1,'Master data'!$B$1:$CL$1,0)),"")</f>
        <v>Czech Republic</v>
      </c>
      <c r="D354" t="str">
        <f>IFERROR(INDEX('Master data'!$B$2:$CL$1000,MATCH($B354,'Master data'!$A$2:$A$1000,0),MATCH(D$1,'Master data'!$B$1:$CL$1,0)),"")</f>
        <v>Defense</v>
      </c>
      <c r="E354" s="5">
        <f>IFERROR(INDEX('Master data'!$B$2:$CL$1000,MATCH($B354,'Master data'!$A$2:$A$1000,0),MATCH(E$1,'Master data'!$B$1:$CL$1,0)),"")</f>
        <v>3000000</v>
      </c>
      <c r="F354" s="7">
        <f>IFERROR(INDEX('Master data'!$B$2:$CL$1000,MATCH($B354,'Master data'!$A$2:$A$1000,0),MATCH(F$1,'Master data'!$B$1:$CL$1,0)),"")</f>
        <v>12962.588264442336</v>
      </c>
      <c r="G354" s="7">
        <f>IFERROR(INDEX('Master data'!$B$2:$CL$1000,MATCH($B354,'Master data'!$A$2:$A$1000,0),MATCH(G$1,'Master data'!$B$1:$CL$1,0)),"")</f>
        <v>7520.3252032520359</v>
      </c>
      <c r="H354" s="7">
        <f>IFERROR(INDEX('Master data'!$B$2:$CL$1000,MATCH($B354,'Master data'!$A$2:$A$1000,0),MATCH(H$1,'Master data'!$B$1:$CL$1,0)),"")</f>
        <v>351.59285159284991</v>
      </c>
      <c r="I354" s="7">
        <f>IFERROR(INDEX('Master data'!$B$2:$CL$1000,MATCH($B354,'Master data'!$A$2:$A$1000,0),MATCH(I$1,'Master data'!$B$1:$CL$1,0)),"")</f>
        <v>-11807.609148084572</v>
      </c>
      <c r="J354" s="7">
        <f>IFERROR(INDEX('Master data'!$B$2:$CL$1000,MATCH($B354,'Master data'!$A$2:$A$1000,0),MATCH(J$1,'Master data'!$B$1:$CL$1,0)),"")</f>
        <v>-5821.8249481645526</v>
      </c>
      <c r="K354" s="7">
        <f>IFERROR(INDEX('Master data'!$B$2:$CL$1000,MATCH($B354,'Master data'!$A$2:$A$1000,0),MATCH(K$1,'Master data'!$B$1:$CL$1,0)),"")</f>
        <v>-2825.5523757076858</v>
      </c>
      <c r="L354" s="7">
        <f>IFERROR(INDEX('Master data'!$B$2:$CL$1000,MATCH($B354,'Master data'!$A$2:$A$1000,0),MATCH(L$1,'Master data'!$B$1:$CL$1,0)),"")</f>
        <v>-1295.3672368800644</v>
      </c>
      <c r="M354" s="5">
        <f>IFERROR(INDEX('Master data'!$B$2:$CL$1000,MATCH($B354,'Master data'!$A$2:$A$1000,0),MATCH(M$1,'Master data'!$B$1:$CL$1,0)),"")</f>
        <v>12998.049489334448</v>
      </c>
      <c r="N354" s="28">
        <f>IFERROR(INDEX('Master data'!$B$2:$CL$1000,MATCH($B354,'Master data'!$A$2:$A$1000,0),MATCH(N$1,'Master data'!$B$1:$CL$1,0)),"")</f>
        <v>6.9448354397624078E-3</v>
      </c>
      <c r="O354" s="7">
        <f>IFERROR(INDEX('Master data'!$B$2:$CL$1000,MATCH($B354,'Master data'!$A$2:$A$1000,0),MATCH(O$1,'Master data'!$B$1:$CL$1,0)),"")</f>
        <v>0</v>
      </c>
      <c r="P354" s="5">
        <f>IFERROR(INDEX('Master data'!$B$2:$CL$1000,MATCH($B354,'Master data'!$A$2:$A$1000,0),MATCH(P$1,'Master data'!$B$1:$CL$1,0)),"")</f>
        <v>3000000</v>
      </c>
      <c r="Q354" s="5">
        <f>IFERROR(INDEX('Master data'!$B$2:$CL$1000,MATCH($B354,'Master data'!$A$2:$A$1000,0),MATCH(Q$1,'Master data'!$B$1:$CL$1,0)),"")</f>
        <v>3000000</v>
      </c>
    </row>
    <row r="355" spans="1:17" hidden="1">
      <c r="A355">
        <f t="shared" si="5"/>
        <v>353</v>
      </c>
      <c r="B355" t="str">
        <f>IF('Master data'!A355="","",'Master data'!A355)</f>
        <v>Jan Boril</v>
      </c>
      <c r="C355" t="str">
        <f>IFERROR(INDEX('Master data'!$B$2:$CL$1000,MATCH($B355,'Master data'!$A$2:$A$1000,0),MATCH(C$1,'Master data'!$B$1:$CL$1,0)),"")</f>
        <v>Czech Republic</v>
      </c>
      <c r="D355" t="str">
        <f>IFERROR(INDEX('Master data'!$B$2:$CL$1000,MATCH($B355,'Master data'!$A$2:$A$1000,0),MATCH(D$1,'Master data'!$B$1:$CL$1,0)),"")</f>
        <v>Defense</v>
      </c>
      <c r="E355" s="5">
        <f>IFERROR(INDEX('Master data'!$B$2:$CL$1000,MATCH($B355,'Master data'!$A$2:$A$1000,0),MATCH(E$1,'Master data'!$B$1:$CL$1,0)),"")</f>
        <v>2500000</v>
      </c>
      <c r="F355" s="7">
        <f>IFERROR(INDEX('Master data'!$B$2:$CL$1000,MATCH($B355,'Master data'!$A$2:$A$1000,0),MATCH(F$1,'Master data'!$B$1:$CL$1,0)),"")</f>
        <v>12962.588264442336</v>
      </c>
      <c r="G355" s="7">
        <f>IFERROR(INDEX('Master data'!$B$2:$CL$1000,MATCH($B355,'Master data'!$A$2:$A$1000,0),MATCH(G$1,'Master data'!$B$1:$CL$1,0)),"")</f>
        <v>7520.3252032520359</v>
      </c>
      <c r="H355" s="7">
        <f>IFERROR(INDEX('Master data'!$B$2:$CL$1000,MATCH($B355,'Master data'!$A$2:$A$1000,0),MATCH(H$1,'Master data'!$B$1:$CL$1,0)),"")</f>
        <v>351.59285159284991</v>
      </c>
      <c r="I355" s="7">
        <f>IFERROR(INDEX('Master data'!$B$2:$CL$1000,MATCH($B355,'Master data'!$A$2:$A$1000,0),MATCH(I$1,'Master data'!$B$1:$CL$1,0)),"")</f>
        <v>-9269.8129730413566</v>
      </c>
      <c r="J355" s="7">
        <f>IFERROR(INDEX('Master data'!$B$2:$CL$1000,MATCH($B355,'Master data'!$A$2:$A$1000,0),MATCH(J$1,'Master data'!$B$1:$CL$1,0)),"")</f>
        <v>-4574.2709617182818</v>
      </c>
      <c r="K355" s="7">
        <f>IFERROR(INDEX('Master data'!$B$2:$CL$1000,MATCH($B355,'Master data'!$A$2:$A$1000,0),MATCH(K$1,'Master data'!$B$1:$CL$1,0)),"")</f>
        <v>-2221.8639482025133</v>
      </c>
      <c r="L355" s="7">
        <f>IFERROR(INDEX('Master data'!$B$2:$CL$1000,MATCH($B355,'Master data'!$A$2:$A$1000,0),MATCH(L$1,'Master data'!$B$1:$CL$1,0)),"")</f>
        <v>-1019.4266999743257</v>
      </c>
      <c r="M355" s="5">
        <f>IFERROR(INDEX('Master data'!$B$2:$CL$1000,MATCH($B355,'Master data'!$A$2:$A$1000,0),MATCH(M$1,'Master data'!$B$1:$CL$1,0)),"")</f>
        <v>14100.142810678837</v>
      </c>
      <c r="N355" s="28">
        <f>IFERROR(INDEX('Master data'!$B$2:$CL$1000,MATCH($B355,'Master data'!$A$2:$A$1000,0),MATCH(N$1,'Master data'!$B$1:$CL$1,0)),"")</f>
        <v>8.3338025277148887E-3</v>
      </c>
      <c r="O355" s="7">
        <f>IFERROR(INDEX('Master data'!$B$2:$CL$1000,MATCH($B355,'Master data'!$A$2:$A$1000,0),MATCH(O$1,'Master data'!$B$1:$CL$1,0)),"")</f>
        <v>0</v>
      </c>
      <c r="P355" s="5">
        <f>IFERROR(INDEX('Master data'!$B$2:$CL$1000,MATCH($B355,'Master data'!$A$2:$A$1000,0),MATCH(P$1,'Master data'!$B$1:$CL$1,0)),"")</f>
        <v>2500000</v>
      </c>
      <c r="Q355" s="5">
        <f>IFERROR(INDEX('Master data'!$B$2:$CL$1000,MATCH($B355,'Master data'!$A$2:$A$1000,0),MATCH(Q$1,'Master data'!$B$1:$CL$1,0)),"")</f>
        <v>2500000</v>
      </c>
    </row>
    <row r="356" spans="1:17" hidden="1">
      <c r="A356">
        <f t="shared" si="5"/>
        <v>354</v>
      </c>
      <c r="B356" t="str">
        <f>IF('Master data'!A356="","",'Master data'!A356)</f>
        <v>David Zima</v>
      </c>
      <c r="C356" t="str">
        <f>IFERROR(INDEX('Master data'!$B$2:$CL$1000,MATCH($B356,'Master data'!$A$2:$A$1000,0),MATCH(C$1,'Master data'!$B$1:$CL$1,0)),"")</f>
        <v>Czech Republic</v>
      </c>
      <c r="D356" t="str">
        <f>IFERROR(INDEX('Master data'!$B$2:$CL$1000,MATCH($B356,'Master data'!$A$2:$A$1000,0),MATCH(D$1,'Master data'!$B$1:$CL$1,0)),"")</f>
        <v>Defense</v>
      </c>
      <c r="E356" s="5">
        <f>IFERROR(INDEX('Master data'!$B$2:$CL$1000,MATCH($B356,'Master data'!$A$2:$A$1000,0),MATCH(E$1,'Master data'!$B$1:$CL$1,0)),"")</f>
        <v>2000000</v>
      </c>
      <c r="F356" s="7">
        <f>IFERROR(INDEX('Master data'!$B$2:$CL$1000,MATCH($B356,'Master data'!$A$2:$A$1000,0),MATCH(F$1,'Master data'!$B$1:$CL$1,0)),"")</f>
        <v>12962.588264442336</v>
      </c>
      <c r="G356" s="7">
        <f>IFERROR(INDEX('Master data'!$B$2:$CL$1000,MATCH($B356,'Master data'!$A$2:$A$1000,0),MATCH(G$1,'Master data'!$B$1:$CL$1,0)),"")</f>
        <v>7520.3252032520359</v>
      </c>
      <c r="H356" s="7">
        <f>IFERROR(INDEX('Master data'!$B$2:$CL$1000,MATCH($B356,'Master data'!$A$2:$A$1000,0),MATCH(H$1,'Master data'!$B$1:$CL$1,0)),"")</f>
        <v>351.59285159284991</v>
      </c>
      <c r="I356" s="7">
        <f>IFERROR(INDEX('Master data'!$B$2:$CL$1000,MATCH($B356,'Master data'!$A$2:$A$1000,0),MATCH(I$1,'Master data'!$B$1:$CL$1,0)),"")</f>
        <v>-6732.0167979981416</v>
      </c>
      <c r="J356" s="7">
        <f>IFERROR(INDEX('Master data'!$B$2:$CL$1000,MATCH($B356,'Master data'!$A$2:$A$1000,0),MATCH(J$1,'Master data'!$B$1:$CL$1,0)),"")</f>
        <v>-3326.7169752720097</v>
      </c>
      <c r="K356" s="7">
        <f>IFERROR(INDEX('Master data'!$B$2:$CL$1000,MATCH($B356,'Master data'!$A$2:$A$1000,0),MATCH(K$1,'Master data'!$B$1:$CL$1,0)),"")</f>
        <v>-1618.1755206973414</v>
      </c>
      <c r="L356" s="7">
        <f>IFERROR(INDEX('Master data'!$B$2:$CL$1000,MATCH($B356,'Master data'!$A$2:$A$1000,0),MATCH(L$1,'Master data'!$B$1:$CL$1,0)),"")</f>
        <v>-743.48616306858708</v>
      </c>
      <c r="M356" s="5">
        <f>IFERROR(INDEX('Master data'!$B$2:$CL$1000,MATCH($B356,'Master data'!$A$2:$A$1000,0),MATCH(M$1,'Master data'!$B$1:$CL$1,0)),"")</f>
        <v>15202.23613202323</v>
      </c>
      <c r="N356" s="28">
        <f>IFERROR(INDEX('Master data'!$B$2:$CL$1000,MATCH($B356,'Master data'!$A$2:$A$1000,0),MATCH(N$1,'Master data'!$B$1:$CL$1,0)),"")</f>
        <v>1.041725315964361E-2</v>
      </c>
      <c r="O356" s="7">
        <f>IFERROR(INDEX('Master data'!$B$2:$CL$1000,MATCH($B356,'Master data'!$A$2:$A$1000,0),MATCH(O$1,'Master data'!$B$1:$CL$1,0)),"")</f>
        <v>0</v>
      </c>
      <c r="P356" s="5">
        <f>IFERROR(INDEX('Master data'!$B$2:$CL$1000,MATCH($B356,'Master data'!$A$2:$A$1000,0),MATCH(P$1,'Master data'!$B$1:$CL$1,0)),"")</f>
        <v>2000000</v>
      </c>
      <c r="Q356" s="5">
        <f>IFERROR(INDEX('Master data'!$B$2:$CL$1000,MATCH($B356,'Master data'!$A$2:$A$1000,0),MATCH(Q$1,'Master data'!$B$1:$CL$1,0)),"")</f>
        <v>2000000</v>
      </c>
    </row>
    <row r="357" spans="1:17" hidden="1">
      <c r="A357">
        <f t="shared" si="5"/>
        <v>355</v>
      </c>
      <c r="B357" t="str">
        <f>IF('Master data'!A357="","",'Master data'!A357)</f>
        <v>Ales Mateju</v>
      </c>
      <c r="C357" t="str">
        <f>IFERROR(INDEX('Master data'!$B$2:$CL$1000,MATCH($B357,'Master data'!$A$2:$A$1000,0),MATCH(C$1,'Master data'!$B$1:$CL$1,0)),"")</f>
        <v>Czech Republic</v>
      </c>
      <c r="D357" t="str">
        <f>IFERROR(INDEX('Master data'!$B$2:$CL$1000,MATCH($B357,'Master data'!$A$2:$A$1000,0),MATCH(D$1,'Master data'!$B$1:$CL$1,0)),"")</f>
        <v>Defense</v>
      </c>
      <c r="E357" s="5">
        <f>IFERROR(INDEX('Master data'!$B$2:$CL$1000,MATCH($B357,'Master data'!$A$2:$A$1000,0),MATCH(E$1,'Master data'!$B$1:$CL$1,0)),"")</f>
        <v>2000000</v>
      </c>
      <c r="F357" s="7">
        <f>IFERROR(INDEX('Master data'!$B$2:$CL$1000,MATCH($B357,'Master data'!$A$2:$A$1000,0),MATCH(F$1,'Master data'!$B$1:$CL$1,0)),"")</f>
        <v>12962.588264442336</v>
      </c>
      <c r="G357" s="7">
        <f>IFERROR(INDEX('Master data'!$B$2:$CL$1000,MATCH($B357,'Master data'!$A$2:$A$1000,0),MATCH(G$1,'Master data'!$B$1:$CL$1,0)),"")</f>
        <v>7520.3252032520359</v>
      </c>
      <c r="H357" s="7">
        <f>IFERROR(INDEX('Master data'!$B$2:$CL$1000,MATCH($B357,'Master data'!$A$2:$A$1000,0),MATCH(H$1,'Master data'!$B$1:$CL$1,0)),"")</f>
        <v>351.59285159284991</v>
      </c>
      <c r="I357" s="7">
        <f>IFERROR(INDEX('Master data'!$B$2:$CL$1000,MATCH($B357,'Master data'!$A$2:$A$1000,0),MATCH(I$1,'Master data'!$B$1:$CL$1,0)),"")</f>
        <v>-6732.0167979981416</v>
      </c>
      <c r="J357" s="7">
        <f>IFERROR(INDEX('Master data'!$B$2:$CL$1000,MATCH($B357,'Master data'!$A$2:$A$1000,0),MATCH(J$1,'Master data'!$B$1:$CL$1,0)),"")</f>
        <v>-3326.7169752720097</v>
      </c>
      <c r="K357" s="7">
        <f>IFERROR(INDEX('Master data'!$B$2:$CL$1000,MATCH($B357,'Master data'!$A$2:$A$1000,0),MATCH(K$1,'Master data'!$B$1:$CL$1,0)),"")</f>
        <v>-1618.1755206973414</v>
      </c>
      <c r="L357" s="7">
        <f>IFERROR(INDEX('Master data'!$B$2:$CL$1000,MATCH($B357,'Master data'!$A$2:$A$1000,0),MATCH(L$1,'Master data'!$B$1:$CL$1,0)),"")</f>
        <v>-743.48616306858708</v>
      </c>
      <c r="M357" s="5">
        <f>IFERROR(INDEX('Master data'!$B$2:$CL$1000,MATCH($B357,'Master data'!$A$2:$A$1000,0),MATCH(M$1,'Master data'!$B$1:$CL$1,0)),"")</f>
        <v>15202.23613202323</v>
      </c>
      <c r="N357" s="28">
        <f>IFERROR(INDEX('Master data'!$B$2:$CL$1000,MATCH($B357,'Master data'!$A$2:$A$1000,0),MATCH(N$1,'Master data'!$B$1:$CL$1,0)),"")</f>
        <v>1.041725315964361E-2</v>
      </c>
      <c r="O357" s="7">
        <f>IFERROR(INDEX('Master data'!$B$2:$CL$1000,MATCH($B357,'Master data'!$A$2:$A$1000,0),MATCH(O$1,'Master data'!$B$1:$CL$1,0)),"")</f>
        <v>0</v>
      </c>
      <c r="P357" s="5">
        <f>IFERROR(INDEX('Master data'!$B$2:$CL$1000,MATCH($B357,'Master data'!$A$2:$A$1000,0),MATCH(P$1,'Master data'!$B$1:$CL$1,0)),"")</f>
        <v>2000000</v>
      </c>
      <c r="Q357" s="5">
        <f>IFERROR(INDEX('Master data'!$B$2:$CL$1000,MATCH($B357,'Master data'!$A$2:$A$1000,0),MATCH(Q$1,'Master data'!$B$1:$CL$1,0)),"")</f>
        <v>2000000</v>
      </c>
    </row>
    <row r="358" spans="1:17" hidden="1">
      <c r="A358">
        <f t="shared" si="5"/>
        <v>356</v>
      </c>
      <c r="B358" t="str">
        <f>IF('Master data'!A358="","",'Master data'!A358)</f>
        <v>Petr Sevcik</v>
      </c>
      <c r="C358" t="str">
        <f>IFERROR(INDEX('Master data'!$B$2:$CL$1000,MATCH($B358,'Master data'!$A$2:$A$1000,0),MATCH(C$1,'Master data'!$B$1:$CL$1,0)),"")</f>
        <v>Czech Republic</v>
      </c>
      <c r="D358" t="str">
        <f>IFERROR(INDEX('Master data'!$B$2:$CL$1000,MATCH($B358,'Master data'!$A$2:$A$1000,0),MATCH(D$1,'Master data'!$B$1:$CL$1,0)),"")</f>
        <v>Midfield</v>
      </c>
      <c r="E358" s="5">
        <f>IFERROR(INDEX('Master data'!$B$2:$CL$1000,MATCH($B358,'Master data'!$A$2:$A$1000,0),MATCH(E$1,'Master data'!$B$1:$CL$1,0)),"")</f>
        <v>2000000</v>
      </c>
      <c r="F358" s="7">
        <f>IFERROR(INDEX('Master data'!$B$2:$CL$1000,MATCH($B358,'Master data'!$A$2:$A$1000,0),MATCH(F$1,'Master data'!$B$1:$CL$1,0)),"")</f>
        <v>-5000</v>
      </c>
      <c r="G358" s="7">
        <f>IFERROR(INDEX('Master data'!$B$2:$CL$1000,MATCH($B358,'Master data'!$A$2:$A$1000,0),MATCH(G$1,'Master data'!$B$1:$CL$1,0)),"")</f>
        <v>-5000</v>
      </c>
      <c r="H358" s="7">
        <f>IFERROR(INDEX('Master data'!$B$2:$CL$1000,MATCH($B358,'Master data'!$A$2:$A$1000,0),MATCH(H$1,'Master data'!$B$1:$CL$1,0)),"")</f>
        <v>-5000</v>
      </c>
      <c r="I358" s="7">
        <f>IFERROR(INDEX('Master data'!$B$2:$CL$1000,MATCH($B358,'Master data'!$A$2:$A$1000,0),MATCH(I$1,'Master data'!$B$1:$CL$1,0)),"")</f>
        <v>-12612.846989964777</v>
      </c>
      <c r="J358" s="7">
        <f>IFERROR(INDEX('Master data'!$B$2:$CL$1000,MATCH($B358,'Master data'!$A$2:$A$1000,0),MATCH(J$1,'Master data'!$B$1:$CL$1,0)),"")</f>
        <v>-6187.8677727735048</v>
      </c>
      <c r="K358" s="7">
        <f>IFERROR(INDEX('Master data'!$B$2:$CL$1000,MATCH($B358,'Master data'!$A$2:$A$1000,0),MATCH(K$1,'Master data'!$B$1:$CL$1,0)),"")</f>
        <v>-2988.2577161506028</v>
      </c>
      <c r="L358" s="7">
        <f>IFERROR(INDEX('Master data'!$B$2:$CL$1000,MATCH($B358,'Master data'!$A$2:$A$1000,0),MATCH(L$1,'Master data'!$B$1:$CL$1,0)),"")</f>
        <v>-1363.1462523143489</v>
      </c>
      <c r="M358" s="5">
        <f>IFERROR(INDEX('Master data'!$B$2:$CL$1000,MATCH($B358,'Master data'!$A$2:$A$1000,0),MATCH(M$1,'Master data'!$B$1:$CL$1,0)),"")</f>
        <v>-16028.178340206243</v>
      </c>
      <c r="N358" s="28">
        <f>IFERROR(INDEX('Master data'!$B$2:$CL$1000,MATCH($B358,'Master data'!$A$2:$A$1000,0),MATCH(N$1,'Master data'!$B$1:$CL$1,0)),"")</f>
        <v>-7.4999999999999997E-3</v>
      </c>
      <c r="O358" s="7">
        <f>IFERROR(INDEX('Master data'!$B$2:$CL$1000,MATCH($B358,'Master data'!$A$2:$A$1000,0),MATCH(O$1,'Master data'!$B$1:$CL$1,0)),"")</f>
        <v>0</v>
      </c>
      <c r="P358" s="5">
        <f>IFERROR(INDEX('Master data'!$B$2:$CL$1000,MATCH($B358,'Master data'!$A$2:$A$1000,0),MATCH(P$1,'Master data'!$B$1:$CL$1,0)),"")</f>
        <v>2000000</v>
      </c>
      <c r="Q358" s="5">
        <f>IFERROR(INDEX('Master data'!$B$2:$CL$1000,MATCH($B358,'Master data'!$A$2:$A$1000,0),MATCH(Q$1,'Master data'!$B$1:$CL$1,0)),"")</f>
        <v>2000000</v>
      </c>
    </row>
    <row r="359" spans="1:17" hidden="1">
      <c r="A359">
        <f t="shared" si="5"/>
        <v>357</v>
      </c>
      <c r="B359" t="str">
        <f>IF('Master data'!A359="","",'Master data'!A359)</f>
        <v>Adam Hlozek</v>
      </c>
      <c r="C359" t="str">
        <f>IFERROR(INDEX('Master data'!$B$2:$CL$1000,MATCH($B359,'Master data'!$A$2:$A$1000,0),MATCH(C$1,'Master data'!$B$1:$CL$1,0)),"")</f>
        <v>Czech Republic</v>
      </c>
      <c r="D359" t="str">
        <f>IFERROR(INDEX('Master data'!$B$2:$CL$1000,MATCH($B359,'Master data'!$A$2:$A$1000,0),MATCH(D$1,'Master data'!$B$1:$CL$1,0)),"")</f>
        <v>Striker</v>
      </c>
      <c r="E359" s="5">
        <f>IFERROR(INDEX('Master data'!$B$2:$CL$1000,MATCH($B359,'Master data'!$A$2:$A$1000,0),MATCH(E$1,'Master data'!$B$1:$CL$1,0)),"")</f>
        <v>2500000</v>
      </c>
      <c r="F359" s="7">
        <f>IFERROR(INDEX('Master data'!$B$2:$CL$1000,MATCH($B359,'Master data'!$A$2:$A$1000,0),MATCH(F$1,'Master data'!$B$1:$CL$1,0)),"")</f>
        <v>-5000</v>
      </c>
      <c r="G359" s="7">
        <f>IFERROR(INDEX('Master data'!$B$2:$CL$1000,MATCH($B359,'Master data'!$A$2:$A$1000,0),MATCH(G$1,'Master data'!$B$1:$CL$1,0)),"")</f>
        <v>-5000</v>
      </c>
      <c r="H359" s="7">
        <f>IFERROR(INDEX('Master data'!$B$2:$CL$1000,MATCH($B359,'Master data'!$A$2:$A$1000,0),MATCH(H$1,'Master data'!$B$1:$CL$1,0)),"")</f>
        <v>-5000</v>
      </c>
      <c r="I359" s="7">
        <f>IFERROR(INDEX('Master data'!$B$2:$CL$1000,MATCH($B359,'Master data'!$A$2:$A$1000,0),MATCH(I$1,'Master data'!$B$1:$CL$1,0)),"")</f>
        <v>-15150.643165007992</v>
      </c>
      <c r="J359" s="7">
        <f>IFERROR(INDEX('Master data'!$B$2:$CL$1000,MATCH($B359,'Master data'!$A$2:$A$1000,0),MATCH(J$1,'Master data'!$B$1:$CL$1,0)),"")</f>
        <v>-7435.4217592197765</v>
      </c>
      <c r="K359" s="7">
        <f>IFERROR(INDEX('Master data'!$B$2:$CL$1000,MATCH($B359,'Master data'!$A$2:$A$1000,0),MATCH(K$1,'Master data'!$B$1:$CL$1,0)),"")</f>
        <v>-3591.9461436557754</v>
      </c>
      <c r="L359" s="7">
        <f>IFERROR(INDEX('Master data'!$B$2:$CL$1000,MATCH($B359,'Master data'!$A$2:$A$1000,0),MATCH(L$1,'Master data'!$B$1:$CL$1,0)),"")</f>
        <v>-1639.0867892200877</v>
      </c>
      <c r="M359" s="5">
        <f>IFERROR(INDEX('Master data'!$B$2:$CL$1000,MATCH($B359,'Master data'!$A$2:$A$1000,0),MATCH(M$1,'Master data'!$B$1:$CL$1,0)),"")</f>
        <v>-17130.271661550636</v>
      </c>
      <c r="N359" s="28">
        <f>IFERROR(INDEX('Master data'!$B$2:$CL$1000,MATCH($B359,'Master data'!$A$2:$A$1000,0),MATCH(N$1,'Master data'!$B$1:$CL$1,0)),"")</f>
        <v>-6.0000000000000001E-3</v>
      </c>
      <c r="O359" s="7">
        <f>IFERROR(INDEX('Master data'!$B$2:$CL$1000,MATCH($B359,'Master data'!$A$2:$A$1000,0),MATCH(O$1,'Master data'!$B$1:$CL$1,0)),"")</f>
        <v>0</v>
      </c>
      <c r="P359" s="5">
        <f>IFERROR(INDEX('Master data'!$B$2:$CL$1000,MATCH($B359,'Master data'!$A$2:$A$1000,0),MATCH(P$1,'Master data'!$B$1:$CL$1,0)),"")</f>
        <v>2500000</v>
      </c>
      <c r="Q359" s="5">
        <f>IFERROR(INDEX('Master data'!$B$2:$CL$1000,MATCH($B359,'Master data'!$A$2:$A$1000,0),MATCH(Q$1,'Master data'!$B$1:$CL$1,0)),"")</f>
        <v>2500000</v>
      </c>
    </row>
    <row r="360" spans="1:17" hidden="1">
      <c r="A360">
        <f t="shared" si="5"/>
        <v>358</v>
      </c>
      <c r="B360" t="str">
        <f>IF('Master data'!A360="","",'Master data'!A360)</f>
        <v>Jakub Pesek</v>
      </c>
      <c r="C360" t="str">
        <f>IFERROR(INDEX('Master data'!$B$2:$CL$1000,MATCH($B360,'Master data'!$A$2:$A$1000,0),MATCH(C$1,'Master data'!$B$1:$CL$1,0)),"")</f>
        <v>Czech Republic</v>
      </c>
      <c r="D360" t="str">
        <f>IFERROR(INDEX('Master data'!$B$2:$CL$1000,MATCH($B360,'Master data'!$A$2:$A$1000,0),MATCH(D$1,'Master data'!$B$1:$CL$1,0)),"")</f>
        <v>Midfield</v>
      </c>
      <c r="E360" s="5">
        <f>IFERROR(INDEX('Master data'!$B$2:$CL$1000,MATCH($B360,'Master data'!$A$2:$A$1000,0),MATCH(E$1,'Master data'!$B$1:$CL$1,0)),"")</f>
        <v>2500000</v>
      </c>
      <c r="F360" s="7">
        <f>IFERROR(INDEX('Master data'!$B$2:$CL$1000,MATCH($B360,'Master data'!$A$2:$A$1000,0),MATCH(F$1,'Master data'!$B$1:$CL$1,0)),"")</f>
        <v>-5000</v>
      </c>
      <c r="G360" s="7">
        <f>IFERROR(INDEX('Master data'!$B$2:$CL$1000,MATCH($B360,'Master data'!$A$2:$A$1000,0),MATCH(G$1,'Master data'!$B$1:$CL$1,0)),"")</f>
        <v>-5000</v>
      </c>
      <c r="H360" s="7">
        <f>IFERROR(INDEX('Master data'!$B$2:$CL$1000,MATCH($B360,'Master data'!$A$2:$A$1000,0),MATCH(H$1,'Master data'!$B$1:$CL$1,0)),"")</f>
        <v>-5000</v>
      </c>
      <c r="I360" s="7">
        <f>IFERROR(INDEX('Master data'!$B$2:$CL$1000,MATCH($B360,'Master data'!$A$2:$A$1000,0),MATCH(I$1,'Master data'!$B$1:$CL$1,0)),"")</f>
        <v>-15150.643165007992</v>
      </c>
      <c r="J360" s="7">
        <f>IFERROR(INDEX('Master data'!$B$2:$CL$1000,MATCH($B360,'Master data'!$A$2:$A$1000,0),MATCH(J$1,'Master data'!$B$1:$CL$1,0)),"")</f>
        <v>-7435.4217592197765</v>
      </c>
      <c r="K360" s="7">
        <f>IFERROR(INDEX('Master data'!$B$2:$CL$1000,MATCH($B360,'Master data'!$A$2:$A$1000,0),MATCH(K$1,'Master data'!$B$1:$CL$1,0)),"")</f>
        <v>-3591.9461436557754</v>
      </c>
      <c r="L360" s="7">
        <f>IFERROR(INDEX('Master data'!$B$2:$CL$1000,MATCH($B360,'Master data'!$A$2:$A$1000,0),MATCH(L$1,'Master data'!$B$1:$CL$1,0)),"")</f>
        <v>-1639.0867892200877</v>
      </c>
      <c r="M360" s="5">
        <f>IFERROR(INDEX('Master data'!$B$2:$CL$1000,MATCH($B360,'Master data'!$A$2:$A$1000,0),MATCH(M$1,'Master data'!$B$1:$CL$1,0)),"")</f>
        <v>-17130.271661550636</v>
      </c>
      <c r="N360" s="28">
        <f>IFERROR(INDEX('Master data'!$B$2:$CL$1000,MATCH($B360,'Master data'!$A$2:$A$1000,0),MATCH(N$1,'Master data'!$B$1:$CL$1,0)),"")</f>
        <v>-6.0000000000000001E-3</v>
      </c>
      <c r="O360" s="7">
        <f>IFERROR(INDEX('Master data'!$B$2:$CL$1000,MATCH($B360,'Master data'!$A$2:$A$1000,0),MATCH(O$1,'Master data'!$B$1:$CL$1,0)),"")</f>
        <v>0</v>
      </c>
      <c r="P360" s="5">
        <f>IFERROR(INDEX('Master data'!$B$2:$CL$1000,MATCH($B360,'Master data'!$A$2:$A$1000,0),MATCH(P$1,'Master data'!$B$1:$CL$1,0)),"")</f>
        <v>2500000</v>
      </c>
      <c r="Q360" s="5">
        <f>IFERROR(INDEX('Master data'!$B$2:$CL$1000,MATCH($B360,'Master data'!$A$2:$A$1000,0),MATCH(Q$1,'Master data'!$B$1:$CL$1,0)),"")</f>
        <v>2500000</v>
      </c>
    </row>
    <row r="361" spans="1:17" hidden="1">
      <c r="A361">
        <f t="shared" si="5"/>
        <v>359</v>
      </c>
      <c r="B361" t="str">
        <f>IF('Master data'!A361="","",'Master data'!A361)</f>
        <v>Lukas Masopust</v>
      </c>
      <c r="C361" t="str">
        <f>IFERROR(INDEX('Master data'!$B$2:$CL$1000,MATCH($B361,'Master data'!$A$2:$A$1000,0),MATCH(C$1,'Master data'!$B$1:$CL$1,0)),"")</f>
        <v>Czech Republic</v>
      </c>
      <c r="D361" t="str">
        <f>IFERROR(INDEX('Master data'!$B$2:$CL$1000,MATCH($B361,'Master data'!$A$2:$A$1000,0),MATCH(D$1,'Master data'!$B$1:$CL$1,0)),"")</f>
        <v>Midfield</v>
      </c>
      <c r="E361" s="5">
        <f>IFERROR(INDEX('Master data'!$B$2:$CL$1000,MATCH($B361,'Master data'!$A$2:$A$1000,0),MATCH(E$1,'Master data'!$B$1:$CL$1,0)),"")</f>
        <v>3000000</v>
      </c>
      <c r="F361" s="7">
        <f>IFERROR(INDEX('Master data'!$B$2:$CL$1000,MATCH($B361,'Master data'!$A$2:$A$1000,0),MATCH(F$1,'Master data'!$B$1:$CL$1,0)),"")</f>
        <v>28979.468369422699</v>
      </c>
      <c r="G361" s="7">
        <f>IFERROR(INDEX('Master data'!$B$2:$CL$1000,MATCH($B361,'Master data'!$A$2:$A$1000,0),MATCH(G$1,'Master data'!$B$1:$CL$1,0)),"")</f>
        <v>19391.977792990911</v>
      </c>
      <c r="H361" s="7">
        <f>IFERROR(INDEX('Master data'!$B$2:$CL$1000,MATCH($B361,'Master data'!$A$2:$A$1000,0),MATCH(H$1,'Master data'!$B$1:$CL$1,0)),"")</f>
        <v>1319.2274732577753</v>
      </c>
      <c r="I361" s="7">
        <f>IFERROR(INDEX('Master data'!$B$2:$CL$1000,MATCH($B361,'Master data'!$A$2:$A$1000,0),MATCH(I$1,'Master data'!$B$1:$CL$1,0)),"")</f>
        <v>-7071.9998873733084</v>
      </c>
      <c r="J361" s="7">
        <f>IFERROR(INDEX('Master data'!$B$2:$CL$1000,MATCH($B361,'Master data'!$A$2:$A$1000,0),MATCH(J$1,'Master data'!$B$1:$CL$1,0)),"")</f>
        <v>-3517.8488477411502</v>
      </c>
      <c r="K361" s="7">
        <f>IFERROR(INDEX('Master data'!$B$2:$CL$1000,MATCH($B361,'Master data'!$A$2:$A$1000,0),MATCH(K$1,'Master data'!$B$1:$CL$1,0)),"")</f>
        <v>-1722.2772052075925</v>
      </c>
      <c r="L361" s="7">
        <f>IFERROR(INDEX('Master data'!$B$2:$CL$1000,MATCH($B361,'Master data'!$A$2:$A$1000,0),MATCH(L$1,'Master data'!$B$1:$CL$1,0)),"")</f>
        <v>-796.37849526770572</v>
      </c>
      <c r="M361" s="5">
        <f>IFERROR(INDEX('Master data'!$B$2:$CL$1000,MATCH($B361,'Master data'!$A$2:$A$1000,0),MATCH(M$1,'Master data'!$B$1:$CL$1,0)),"")</f>
        <v>39406.768593818691</v>
      </c>
      <c r="N361" s="28">
        <f>IFERROR(INDEX('Master data'!$B$2:$CL$1000,MATCH($B361,'Master data'!$A$2:$A$1000,0),MATCH(N$1,'Master data'!$B$1:$CL$1,0)),"")</f>
        <v>1.6563557878557126E-2</v>
      </c>
      <c r="O361" s="7">
        <f>IFERROR(INDEX('Master data'!$B$2:$CL$1000,MATCH($B361,'Master data'!$A$2:$A$1000,0),MATCH(O$1,'Master data'!$B$1:$CL$1,0)),"")</f>
        <v>0</v>
      </c>
      <c r="P361" s="5">
        <f>IFERROR(INDEX('Master data'!$B$2:$CL$1000,MATCH($B361,'Master data'!$A$2:$A$1000,0),MATCH(P$1,'Master data'!$B$1:$CL$1,0)),"")</f>
        <v>3000000</v>
      </c>
      <c r="Q361" s="5">
        <f>IFERROR(INDEX('Master data'!$B$2:$CL$1000,MATCH($B361,'Master data'!$A$2:$A$1000,0),MATCH(Q$1,'Master data'!$B$1:$CL$1,0)),"")</f>
        <v>3000000</v>
      </c>
    </row>
    <row r="362" spans="1:17" hidden="1">
      <c r="A362">
        <f t="shared" si="5"/>
        <v>360</v>
      </c>
      <c r="B362" t="str">
        <f>IF('Master data'!A362="","",'Master data'!A362)</f>
        <v>Jakub Jankto</v>
      </c>
      <c r="C362" t="str">
        <f>IFERROR(INDEX('Master data'!$B$2:$CL$1000,MATCH($B362,'Master data'!$A$2:$A$1000,0),MATCH(C$1,'Master data'!$B$1:$CL$1,0)),"")</f>
        <v>Czech Republic</v>
      </c>
      <c r="D362" t="str">
        <f>IFERROR(INDEX('Master data'!$B$2:$CL$1000,MATCH($B362,'Master data'!$A$2:$A$1000,0),MATCH(D$1,'Master data'!$B$1:$CL$1,0)),"")</f>
        <v>Midfield</v>
      </c>
      <c r="E362" s="5">
        <f>IFERROR(INDEX('Master data'!$B$2:$CL$1000,MATCH($B362,'Master data'!$A$2:$A$1000,0),MATCH(E$1,'Master data'!$B$1:$CL$1,0)),"")</f>
        <v>4000000</v>
      </c>
      <c r="F362" s="7">
        <f>IFERROR(INDEX('Master data'!$B$2:$CL$1000,MATCH($B362,'Master data'!$A$2:$A$1000,0),MATCH(F$1,'Master data'!$B$1:$CL$1,0)),"")</f>
        <v>43214.858936041514</v>
      </c>
      <c r="G362" s="7">
        <f>IFERROR(INDEX('Master data'!$B$2:$CL$1000,MATCH($B362,'Master data'!$A$2:$A$1000,0),MATCH(G$1,'Master data'!$B$1:$CL$1,0)),"")</f>
        <v>32312.287984256327</v>
      </c>
      <c r="H362" s="7">
        <f>IFERROR(INDEX('Master data'!$B$2:$CL$1000,MATCH($B362,'Master data'!$A$2:$A$1000,0),MATCH(H$1,'Master data'!$B$1:$CL$1,0)),"")</f>
        <v>11977.382038384989</v>
      </c>
      <c r="I362" s="7">
        <f>IFERROR(INDEX('Master data'!$B$2:$CL$1000,MATCH($B362,'Master data'!$A$2:$A$1000,0),MATCH(I$1,'Master data'!$B$1:$CL$1,0)),"")</f>
        <v>-5941.9294587727554</v>
      </c>
      <c r="J362" s="7">
        <f>IFERROR(INDEX('Master data'!$B$2:$CL$1000,MATCH($B362,'Master data'!$A$2:$A$1000,0),MATCH(J$1,'Master data'!$B$1:$CL$1,0)),"")</f>
        <v>-2993.7679597616593</v>
      </c>
      <c r="K362" s="7">
        <f>IFERROR(INDEX('Master data'!$B$2:$CL$1000,MATCH($B362,'Master data'!$A$2:$A$1000,0),MATCH(K$1,'Master data'!$B$1:$CL$1,0)),"")</f>
        <v>-1483.8942258870018</v>
      </c>
      <c r="L362" s="7">
        <f>IFERROR(INDEX('Master data'!$B$2:$CL$1000,MATCH($B362,'Master data'!$A$2:$A$1000,0),MATCH(L$1,'Master data'!$B$1:$CL$1,0)),"")</f>
        <v>-694.37203521990011</v>
      </c>
      <c r="M362" s="5">
        <f>IFERROR(INDEX('Master data'!$B$2:$CL$1000,MATCH($B362,'Master data'!$A$2:$A$1000,0),MATCH(M$1,'Master data'!$B$1:$CL$1,0)),"")</f>
        <v>67471.36200263341</v>
      </c>
      <c r="N362" s="28">
        <f>IFERROR(INDEX('Master data'!$B$2:$CL$1000,MATCH($B362,'Master data'!$A$2:$A$1000,0),MATCH(N$1,'Master data'!$B$1:$CL$1,0)),"")</f>
        <v>2.187613223967071E-2</v>
      </c>
      <c r="O362" s="7">
        <f>IFERROR(INDEX('Master data'!$B$2:$CL$1000,MATCH($B362,'Master data'!$A$2:$A$1000,0),MATCH(O$1,'Master data'!$B$1:$CL$1,0)),"")</f>
        <v>0</v>
      </c>
      <c r="P362" s="5">
        <f>IFERROR(INDEX('Master data'!$B$2:$CL$1000,MATCH($B362,'Master data'!$A$2:$A$1000,0),MATCH(P$1,'Master data'!$B$1:$CL$1,0)),"")</f>
        <v>4000000</v>
      </c>
      <c r="Q362" s="5">
        <f>IFERROR(INDEX('Master data'!$B$2:$CL$1000,MATCH($B362,'Master data'!$A$2:$A$1000,0),MATCH(Q$1,'Master data'!$B$1:$CL$1,0)),"")</f>
        <v>4000000</v>
      </c>
    </row>
    <row r="363" spans="1:17" hidden="1">
      <c r="A363">
        <f t="shared" si="5"/>
        <v>361</v>
      </c>
      <c r="B363" t="str">
        <f>IF('Master data'!A363="","",'Master data'!A363)</f>
        <v>Tomáš Pekhart</v>
      </c>
      <c r="C363" t="str">
        <f>IFERROR(INDEX('Master data'!$B$2:$CL$1000,MATCH($B363,'Master data'!$A$2:$A$1000,0),MATCH(C$1,'Master data'!$B$1:$CL$1,0)),"")</f>
        <v>Czech Republic</v>
      </c>
      <c r="D363" t="str">
        <f>IFERROR(INDEX('Master data'!$B$2:$CL$1000,MATCH($B363,'Master data'!$A$2:$A$1000,0),MATCH(D$1,'Master data'!$B$1:$CL$1,0)),"")</f>
        <v>Striker</v>
      </c>
      <c r="E363" s="5">
        <f>IFERROR(INDEX('Master data'!$B$2:$CL$1000,MATCH($B363,'Master data'!$A$2:$A$1000,0),MATCH(E$1,'Master data'!$B$1:$CL$1,0)),"")</f>
        <v>3000000</v>
      </c>
      <c r="F363" s="7">
        <f>IFERROR(INDEX('Master data'!$B$2:$CL$1000,MATCH($B363,'Master data'!$A$2:$A$1000,0),MATCH(F$1,'Master data'!$B$1:$CL$1,0)),"")</f>
        <v>-5000</v>
      </c>
      <c r="G363" s="7">
        <f>IFERROR(INDEX('Master data'!$B$2:$CL$1000,MATCH($B363,'Master data'!$A$2:$A$1000,0),MATCH(G$1,'Master data'!$B$1:$CL$1,0)),"")</f>
        <v>-5000</v>
      </c>
      <c r="H363" s="7">
        <f>IFERROR(INDEX('Master data'!$B$2:$CL$1000,MATCH($B363,'Master data'!$A$2:$A$1000,0),MATCH(H$1,'Master data'!$B$1:$CL$1,0)),"")</f>
        <v>-5000</v>
      </c>
      <c r="I363" s="7">
        <f>IFERROR(INDEX('Master data'!$B$2:$CL$1000,MATCH($B363,'Master data'!$A$2:$A$1000,0),MATCH(I$1,'Master data'!$B$1:$CL$1,0)),"")</f>
        <v>-17688.439340051209</v>
      </c>
      <c r="J363" s="7">
        <f>IFERROR(INDEX('Master data'!$B$2:$CL$1000,MATCH($B363,'Master data'!$A$2:$A$1000,0),MATCH(J$1,'Master data'!$B$1:$CL$1,0)),"")</f>
        <v>-8682.9757456660482</v>
      </c>
      <c r="K363" s="7">
        <f>IFERROR(INDEX('Master data'!$B$2:$CL$1000,MATCH($B363,'Master data'!$A$2:$A$1000,0),MATCH(K$1,'Master data'!$B$1:$CL$1,0)),"")</f>
        <v>-4195.6345711609474</v>
      </c>
      <c r="L363" s="7">
        <f>IFERROR(INDEX('Master data'!$B$2:$CL$1000,MATCH($B363,'Master data'!$A$2:$A$1000,0),MATCH(L$1,'Master data'!$B$1:$CL$1,0)),"")</f>
        <v>-1915.0273261258262</v>
      </c>
      <c r="M363" s="5">
        <f>IFERROR(INDEX('Master data'!$B$2:$CL$1000,MATCH($B363,'Master data'!$A$2:$A$1000,0),MATCH(M$1,'Master data'!$B$1:$CL$1,0)),"")</f>
        <v>-18232.364982895022</v>
      </c>
      <c r="N363" s="28">
        <f>IFERROR(INDEX('Master data'!$B$2:$CL$1000,MATCH($B363,'Master data'!$A$2:$A$1000,0),MATCH(N$1,'Master data'!$B$1:$CL$1,0)),"")</f>
        <v>-5.0000000000000001E-3</v>
      </c>
      <c r="O363" s="7">
        <f>IFERROR(INDEX('Master data'!$B$2:$CL$1000,MATCH($B363,'Master data'!$A$2:$A$1000,0),MATCH(O$1,'Master data'!$B$1:$CL$1,0)),"")</f>
        <v>0</v>
      </c>
      <c r="P363" s="5">
        <f>IFERROR(INDEX('Master data'!$B$2:$CL$1000,MATCH($B363,'Master data'!$A$2:$A$1000,0),MATCH(P$1,'Master data'!$B$1:$CL$1,0)),"")</f>
        <v>3000000</v>
      </c>
      <c r="Q363" s="5">
        <f>IFERROR(INDEX('Master data'!$B$2:$CL$1000,MATCH($B363,'Master data'!$A$2:$A$1000,0),MATCH(Q$1,'Master data'!$B$1:$CL$1,0)),"")</f>
        <v>3000000</v>
      </c>
    </row>
    <row r="364" spans="1:17" hidden="1">
      <c r="A364">
        <f t="shared" si="5"/>
        <v>362</v>
      </c>
      <c r="B364" t="str">
        <f>IF('Master data'!A364="","",'Master data'!A364)</f>
        <v>Michael Krmencik</v>
      </c>
      <c r="C364" t="str">
        <f>IFERROR(INDEX('Master data'!$B$2:$CL$1000,MATCH($B364,'Master data'!$A$2:$A$1000,0),MATCH(C$1,'Master data'!$B$1:$CL$1,0)),"")</f>
        <v>Czech Republic</v>
      </c>
      <c r="D364" t="str">
        <f>IFERROR(INDEX('Master data'!$B$2:$CL$1000,MATCH($B364,'Master data'!$A$2:$A$1000,0),MATCH(D$1,'Master data'!$B$1:$CL$1,0)),"")</f>
        <v>Striker</v>
      </c>
      <c r="E364" s="5">
        <f>IFERROR(INDEX('Master data'!$B$2:$CL$1000,MATCH($B364,'Master data'!$A$2:$A$1000,0),MATCH(E$1,'Master data'!$B$1:$CL$1,0)),"")</f>
        <v>2500000</v>
      </c>
      <c r="F364" s="7">
        <f>IFERROR(INDEX('Master data'!$B$2:$CL$1000,MATCH($B364,'Master data'!$A$2:$A$1000,0),MATCH(F$1,'Master data'!$B$1:$CL$1,0)),"")</f>
        <v>-5000</v>
      </c>
      <c r="G364" s="7">
        <f>IFERROR(INDEX('Master data'!$B$2:$CL$1000,MATCH($B364,'Master data'!$A$2:$A$1000,0),MATCH(G$1,'Master data'!$B$1:$CL$1,0)),"")</f>
        <v>-5000</v>
      </c>
      <c r="H364" s="7">
        <f>IFERROR(INDEX('Master data'!$B$2:$CL$1000,MATCH($B364,'Master data'!$A$2:$A$1000,0),MATCH(H$1,'Master data'!$B$1:$CL$1,0)),"")</f>
        <v>-5000</v>
      </c>
      <c r="I364" s="7">
        <f>IFERROR(INDEX('Master data'!$B$2:$CL$1000,MATCH($B364,'Master data'!$A$2:$A$1000,0),MATCH(I$1,'Master data'!$B$1:$CL$1,0)),"")</f>
        <v>-15150.643165007992</v>
      </c>
      <c r="J364" s="7">
        <f>IFERROR(INDEX('Master data'!$B$2:$CL$1000,MATCH($B364,'Master data'!$A$2:$A$1000,0),MATCH(J$1,'Master data'!$B$1:$CL$1,0)),"")</f>
        <v>-7435.4217592197765</v>
      </c>
      <c r="K364" s="7">
        <f>IFERROR(INDEX('Master data'!$B$2:$CL$1000,MATCH($B364,'Master data'!$A$2:$A$1000,0),MATCH(K$1,'Master data'!$B$1:$CL$1,0)),"")</f>
        <v>-3591.9461436557754</v>
      </c>
      <c r="L364" s="7">
        <f>IFERROR(INDEX('Master data'!$B$2:$CL$1000,MATCH($B364,'Master data'!$A$2:$A$1000,0),MATCH(L$1,'Master data'!$B$1:$CL$1,0)),"")</f>
        <v>-1639.0867892200877</v>
      </c>
      <c r="M364" s="5">
        <f>IFERROR(INDEX('Master data'!$B$2:$CL$1000,MATCH($B364,'Master data'!$A$2:$A$1000,0),MATCH(M$1,'Master data'!$B$1:$CL$1,0)),"")</f>
        <v>-17130.271661550636</v>
      </c>
      <c r="N364" s="28">
        <f>IFERROR(INDEX('Master data'!$B$2:$CL$1000,MATCH($B364,'Master data'!$A$2:$A$1000,0),MATCH(N$1,'Master data'!$B$1:$CL$1,0)),"")</f>
        <v>-6.0000000000000001E-3</v>
      </c>
      <c r="O364" s="7">
        <f>IFERROR(INDEX('Master data'!$B$2:$CL$1000,MATCH($B364,'Master data'!$A$2:$A$1000,0),MATCH(O$1,'Master data'!$B$1:$CL$1,0)),"")</f>
        <v>0</v>
      </c>
      <c r="P364" s="5">
        <f>IFERROR(INDEX('Master data'!$B$2:$CL$1000,MATCH($B364,'Master data'!$A$2:$A$1000,0),MATCH(P$1,'Master data'!$B$1:$CL$1,0)),"")</f>
        <v>2500000</v>
      </c>
      <c r="Q364" s="5">
        <f>IFERROR(INDEX('Master data'!$B$2:$CL$1000,MATCH($B364,'Master data'!$A$2:$A$1000,0),MATCH(Q$1,'Master data'!$B$1:$CL$1,0)),"")</f>
        <v>2500000</v>
      </c>
    </row>
    <row r="365" spans="1:17" hidden="1">
      <c r="A365">
        <f t="shared" si="5"/>
        <v>363</v>
      </c>
      <c r="B365" t="str">
        <f>IF('Master data'!A365="","",'Master data'!A365)</f>
        <v>Mert Günok</v>
      </c>
      <c r="C365" t="str">
        <f>IFERROR(INDEX('Master data'!$B$2:$CL$1000,MATCH($B365,'Master data'!$A$2:$A$1000,0),MATCH(C$1,'Master data'!$B$1:$CL$1,0)),"")</f>
        <v>Turkey</v>
      </c>
      <c r="D365" t="str">
        <f>IFERROR(INDEX('Master data'!$B$2:$CL$1000,MATCH($B365,'Master data'!$A$2:$A$1000,0),MATCH(D$1,'Master data'!$B$1:$CL$1,0)),"")</f>
        <v>Goalkeeper</v>
      </c>
      <c r="E365" s="5">
        <f>IFERROR(INDEX('Master data'!$B$2:$CL$1000,MATCH($B365,'Master data'!$A$2:$A$1000,0),MATCH(E$1,'Master data'!$B$1:$CL$1,0)),"")</f>
        <v>3500000</v>
      </c>
      <c r="F365" s="7">
        <f>IFERROR(INDEX('Master data'!$B$2:$CL$1000,MATCH($B365,'Master data'!$A$2:$A$1000,0),MATCH(F$1,'Master data'!$B$1:$CL$1,0)),"")</f>
        <v>21903.398193532787</v>
      </c>
      <c r="G365" s="7">
        <f>IFERROR(INDEX('Master data'!$B$2:$CL$1000,MATCH($B365,'Master data'!$A$2:$A$1000,0),MATCH(G$1,'Master data'!$B$1:$CL$1,0)),"")</f>
        <v>29657.313461183439</v>
      </c>
      <c r="H365" s="7">
        <f>IFERROR(INDEX('Master data'!$B$2:$CL$1000,MATCH($B365,'Master data'!$A$2:$A$1000,0),MATCH(H$1,'Master data'!$B$1:$CL$1,0)),"")</f>
        <v>24514.060892819594</v>
      </c>
      <c r="I365" s="7">
        <f>IFERROR(INDEX('Master data'!$B$2:$CL$1000,MATCH($B365,'Master data'!$A$2:$A$1000,0),MATCH(I$1,'Master data'!$B$1:$CL$1,0)),"")</f>
        <v>-6285.5713964104043</v>
      </c>
      <c r="J365" s="7">
        <f>IFERROR(INDEX('Master data'!$B$2:$CL$1000,MATCH($B365,'Master data'!$A$2:$A$1000,0),MATCH(J$1,'Master data'!$B$1:$CL$1,0)),"")</f>
        <v>-3174.2386194423852</v>
      </c>
      <c r="K365" s="7">
        <f>IFERROR(INDEX('Master data'!$B$2:$CL$1000,MATCH($B365,'Master data'!$A$2:$A$1000,0),MATCH(K$1,'Master data'!$B$1:$CL$1,0)),"")</f>
        <v>-1581.3738810790201</v>
      </c>
      <c r="L365" s="7">
        <f>IFERROR(INDEX('Master data'!$B$2:$CL$1000,MATCH($B365,'Master data'!$A$2:$A$1000,0),MATCH(L$1,'Master data'!$B$1:$CL$1,0)),"")</f>
        <v>-751.65104430555573</v>
      </c>
      <c r="M365" s="5">
        <f>IFERROR(INDEX('Master data'!$B$2:$CL$1000,MATCH($B365,'Master data'!$A$2:$A$1000,0),MATCH(M$1,'Master data'!$B$1:$CL$1,0)),"")</f>
        <v>49806.441717764879</v>
      </c>
      <c r="N365" s="28">
        <f>IFERROR(INDEX('Master data'!$B$2:$CL$1000,MATCH($B365,'Master data'!$A$2:$A$1000,0),MATCH(N$1,'Master data'!$B$1:$CL$1,0)),"")</f>
        <v>2.1735649299295952E-2</v>
      </c>
      <c r="O365" s="7">
        <f>IFERROR(INDEX('Master data'!$B$2:$CL$1000,MATCH($B365,'Master data'!$A$2:$A$1000,0),MATCH(O$1,'Master data'!$B$1:$CL$1,0)),"")</f>
        <v>0</v>
      </c>
      <c r="P365" s="5">
        <f>IFERROR(INDEX('Master data'!$B$2:$CL$1000,MATCH($B365,'Master data'!$A$2:$A$1000,0),MATCH(P$1,'Master data'!$B$1:$CL$1,0)),"")</f>
        <v>3500000</v>
      </c>
      <c r="Q365" s="5">
        <f>IFERROR(INDEX('Master data'!$B$2:$CL$1000,MATCH($B365,'Master data'!$A$2:$A$1000,0),MATCH(Q$1,'Master data'!$B$1:$CL$1,0)),"")</f>
        <v>3500000</v>
      </c>
    </row>
    <row r="366" spans="1:17" hidden="1">
      <c r="A366">
        <f t="shared" si="5"/>
        <v>364</v>
      </c>
      <c r="B366" t="str">
        <f>IF('Master data'!A366="","",'Master data'!A366)</f>
        <v>Altay Bayındır</v>
      </c>
      <c r="C366" t="str">
        <f>IFERROR(INDEX('Master data'!$B$2:$CL$1000,MATCH($B366,'Master data'!$A$2:$A$1000,0),MATCH(C$1,'Master data'!$B$1:$CL$1,0)),"")</f>
        <v>Turkey</v>
      </c>
      <c r="D366" t="str">
        <f>IFERROR(INDEX('Master data'!$B$2:$CL$1000,MATCH($B366,'Master data'!$A$2:$A$1000,0),MATCH(D$1,'Master data'!$B$1:$CL$1,0)),"")</f>
        <v>Goalkeeper</v>
      </c>
      <c r="E366" s="5">
        <f>IFERROR(INDEX('Master data'!$B$2:$CL$1000,MATCH($B366,'Master data'!$A$2:$A$1000,0),MATCH(E$1,'Master data'!$B$1:$CL$1,0)),"")</f>
        <v>3500000</v>
      </c>
      <c r="F366" s="7">
        <f>IFERROR(INDEX('Master data'!$B$2:$CL$1000,MATCH($B366,'Master data'!$A$2:$A$1000,0),MATCH(F$1,'Master data'!$B$1:$CL$1,0)),"")</f>
        <v>21903.398193532787</v>
      </c>
      <c r="G366" s="7">
        <f>IFERROR(INDEX('Master data'!$B$2:$CL$1000,MATCH($B366,'Master data'!$A$2:$A$1000,0),MATCH(G$1,'Master data'!$B$1:$CL$1,0)),"")</f>
        <v>29657.313461183439</v>
      </c>
      <c r="H366" s="7">
        <f>IFERROR(INDEX('Master data'!$B$2:$CL$1000,MATCH($B366,'Master data'!$A$2:$A$1000,0),MATCH(H$1,'Master data'!$B$1:$CL$1,0)),"")</f>
        <v>24514.060892819594</v>
      </c>
      <c r="I366" s="7">
        <f>IFERROR(INDEX('Master data'!$B$2:$CL$1000,MATCH($B366,'Master data'!$A$2:$A$1000,0),MATCH(I$1,'Master data'!$B$1:$CL$1,0)),"")</f>
        <v>-6285.5713964104043</v>
      </c>
      <c r="J366" s="7">
        <f>IFERROR(INDEX('Master data'!$B$2:$CL$1000,MATCH($B366,'Master data'!$A$2:$A$1000,0),MATCH(J$1,'Master data'!$B$1:$CL$1,0)),"")</f>
        <v>-3174.2386194423852</v>
      </c>
      <c r="K366" s="7">
        <f>IFERROR(INDEX('Master data'!$B$2:$CL$1000,MATCH($B366,'Master data'!$A$2:$A$1000,0),MATCH(K$1,'Master data'!$B$1:$CL$1,0)),"")</f>
        <v>-1581.3738810790201</v>
      </c>
      <c r="L366" s="7">
        <f>IFERROR(INDEX('Master data'!$B$2:$CL$1000,MATCH($B366,'Master data'!$A$2:$A$1000,0),MATCH(L$1,'Master data'!$B$1:$CL$1,0)),"")</f>
        <v>-751.65104430555573</v>
      </c>
      <c r="M366" s="5">
        <f>IFERROR(INDEX('Master data'!$B$2:$CL$1000,MATCH($B366,'Master data'!$A$2:$A$1000,0),MATCH(M$1,'Master data'!$B$1:$CL$1,0)),"")</f>
        <v>49806.441717764879</v>
      </c>
      <c r="N366" s="28">
        <f>IFERROR(INDEX('Master data'!$B$2:$CL$1000,MATCH($B366,'Master data'!$A$2:$A$1000,0),MATCH(N$1,'Master data'!$B$1:$CL$1,0)),"")</f>
        <v>2.1735649299295952E-2</v>
      </c>
      <c r="O366" s="7">
        <f>IFERROR(INDEX('Master data'!$B$2:$CL$1000,MATCH($B366,'Master data'!$A$2:$A$1000,0),MATCH(O$1,'Master data'!$B$1:$CL$1,0)),"")</f>
        <v>0</v>
      </c>
      <c r="P366" s="5">
        <f>IFERROR(INDEX('Master data'!$B$2:$CL$1000,MATCH($B366,'Master data'!$A$2:$A$1000,0),MATCH(P$1,'Master data'!$B$1:$CL$1,0)),"")</f>
        <v>3500000</v>
      </c>
      <c r="Q366" s="5">
        <f>IFERROR(INDEX('Master data'!$B$2:$CL$1000,MATCH($B366,'Master data'!$A$2:$A$1000,0),MATCH(Q$1,'Master data'!$B$1:$CL$1,0)),"")</f>
        <v>3500000</v>
      </c>
    </row>
    <row r="367" spans="1:17" hidden="1">
      <c r="A367">
        <f t="shared" si="5"/>
        <v>365</v>
      </c>
      <c r="B367" t="str">
        <f>IF('Master data'!A367="","",'Master data'!A367)</f>
        <v>Ugurcan Cakir</v>
      </c>
      <c r="C367" t="str">
        <f>IFERROR(INDEX('Master data'!$B$2:$CL$1000,MATCH($B367,'Master data'!$A$2:$A$1000,0),MATCH(C$1,'Master data'!$B$1:$CL$1,0)),"")</f>
        <v>Turkey</v>
      </c>
      <c r="D367" t="str">
        <f>IFERROR(INDEX('Master data'!$B$2:$CL$1000,MATCH($B367,'Master data'!$A$2:$A$1000,0),MATCH(D$1,'Master data'!$B$1:$CL$1,0)),"")</f>
        <v>Goalkeeper</v>
      </c>
      <c r="E367" s="5">
        <f>IFERROR(INDEX('Master data'!$B$2:$CL$1000,MATCH($B367,'Master data'!$A$2:$A$1000,0),MATCH(E$1,'Master data'!$B$1:$CL$1,0)),"")</f>
        <v>4000000</v>
      </c>
      <c r="F367" s="7">
        <f>IFERROR(INDEX('Master data'!$B$2:$CL$1000,MATCH($B367,'Master data'!$A$2:$A$1000,0),MATCH(F$1,'Master data'!$B$1:$CL$1,0)),"")</f>
        <v>22613.883029253953</v>
      </c>
      <c r="G367" s="7">
        <f>IFERROR(INDEX('Master data'!$B$2:$CL$1000,MATCH($B367,'Master data'!$A$2:$A$1000,0),MATCH(G$1,'Master data'!$B$1:$CL$1,0)),"")</f>
        <v>54458.067560257536</v>
      </c>
      <c r="H367" s="7">
        <f>IFERROR(INDEX('Master data'!$B$2:$CL$1000,MATCH($B367,'Master data'!$A$2:$A$1000,0),MATCH(H$1,'Master data'!$B$1:$CL$1,0)),"")</f>
        <v>41608.90400338023</v>
      </c>
      <c r="I367" s="7">
        <f>IFERROR(INDEX('Master data'!$B$2:$CL$1000,MATCH($B367,'Master data'!$A$2:$A$1000,0),MATCH(I$1,'Master data'!$B$1:$CL$1,0)),"")</f>
        <v>-982.80608996716489</v>
      </c>
      <c r="J367" s="7">
        <f>IFERROR(INDEX('Master data'!$B$2:$CL$1000,MATCH($B367,'Master data'!$A$2:$A$1000,0),MATCH(J$1,'Master data'!$B$1:$CL$1,0)),"")</f>
        <v>-602.35250410071376</v>
      </c>
      <c r="K367" s="7">
        <f>IFERROR(INDEX('Master data'!$B$2:$CL$1000,MATCH($B367,'Master data'!$A$2:$A$1000,0),MATCH(K$1,'Master data'!$B$1:$CL$1,0)),"")</f>
        <v>-350.45415874221641</v>
      </c>
      <c r="L367" s="7">
        <f>IFERROR(INDEX('Master data'!$B$2:$CL$1000,MATCH($B367,'Master data'!$A$2:$A$1000,0),MATCH(L$1,'Master data'!$B$1:$CL$1,0)),"")</f>
        <v>-189.42927841521683</v>
      </c>
      <c r="M367" s="5">
        <f>IFERROR(INDEX('Master data'!$B$2:$CL$1000,MATCH($B367,'Master data'!$A$2:$A$1000,0),MATCH(M$1,'Master data'!$B$1:$CL$1,0)),"")</f>
        <v>76939.141989883734</v>
      </c>
      <c r="N367" s="28">
        <f>IFERROR(INDEX('Master data'!$B$2:$CL$1000,MATCH($B367,'Master data'!$A$2:$A$1000,0),MATCH(N$1,'Master data'!$B$1:$CL$1,0)),"")</f>
        <v>2.9670213648222928E-2</v>
      </c>
      <c r="O367" s="7">
        <f>IFERROR(INDEX('Master data'!$B$2:$CL$1000,MATCH($B367,'Master data'!$A$2:$A$1000,0),MATCH(O$1,'Master data'!$B$1:$CL$1,0)),"")</f>
        <v>0</v>
      </c>
      <c r="P367" s="5">
        <f>IFERROR(INDEX('Master data'!$B$2:$CL$1000,MATCH($B367,'Master data'!$A$2:$A$1000,0),MATCH(P$1,'Master data'!$B$1:$CL$1,0)),"")</f>
        <v>4000000</v>
      </c>
      <c r="Q367" s="5">
        <f>IFERROR(INDEX('Master data'!$B$2:$CL$1000,MATCH($B367,'Master data'!$A$2:$A$1000,0),MATCH(Q$1,'Master data'!$B$1:$CL$1,0)),"")</f>
        <v>4000000</v>
      </c>
    </row>
    <row r="368" spans="1:17" hidden="1">
      <c r="A368">
        <f t="shared" si="5"/>
        <v>366</v>
      </c>
      <c r="B368" t="str">
        <f>IF('Master data'!A368="","",'Master data'!A368)</f>
        <v>Rıdvan R. Yılmaz</v>
      </c>
      <c r="C368" t="str">
        <f>IFERROR(INDEX('Master data'!$B$2:$CL$1000,MATCH($B368,'Master data'!$A$2:$A$1000,0),MATCH(C$1,'Master data'!$B$1:$CL$1,0)),"")</f>
        <v>Turkey</v>
      </c>
      <c r="D368" t="str">
        <f>IFERROR(INDEX('Master data'!$B$2:$CL$1000,MATCH($B368,'Master data'!$A$2:$A$1000,0),MATCH(D$1,'Master data'!$B$1:$CL$1,0)),"")</f>
        <v>Defense</v>
      </c>
      <c r="E368" s="5">
        <f>IFERROR(INDEX('Master data'!$B$2:$CL$1000,MATCH($B368,'Master data'!$A$2:$A$1000,0),MATCH(E$1,'Master data'!$B$1:$CL$1,0)),"")</f>
        <v>2500000</v>
      </c>
      <c r="F368" s="7">
        <f>IFERROR(INDEX('Master data'!$B$2:$CL$1000,MATCH($B368,'Master data'!$A$2:$A$1000,0),MATCH(F$1,'Master data'!$B$1:$CL$1,0)),"")</f>
        <v>4513.1518227964898</v>
      </c>
      <c r="G368" s="7">
        <f>IFERROR(INDEX('Master data'!$B$2:$CL$1000,MATCH($B368,'Master data'!$A$2:$A$1000,0),MATCH(G$1,'Master data'!$B$1:$CL$1,0)),"")</f>
        <v>12887.358351155748</v>
      </c>
      <c r="H368" s="7">
        <f>IFERROR(INDEX('Master data'!$B$2:$CL$1000,MATCH($B368,'Master data'!$A$2:$A$1000,0),MATCH(H$1,'Master data'!$B$1:$CL$1,0)),"")</f>
        <v>7733.4782895170301</v>
      </c>
      <c r="I368" s="7">
        <f>IFERROR(INDEX('Master data'!$B$2:$CL$1000,MATCH($B368,'Master data'!$A$2:$A$1000,0),MATCH(I$1,'Master data'!$B$1:$CL$1,0)),"")</f>
        <v>-10195.501709178865</v>
      </c>
      <c r="J368" s="7">
        <f>IFERROR(INDEX('Master data'!$B$2:$CL$1000,MATCH($B368,'Master data'!$A$2:$A$1000,0),MATCH(J$1,'Master data'!$B$1:$CL$1,0)),"")</f>
        <v>-5051.2001920312978</v>
      </c>
      <c r="K368" s="7">
        <f>IFERROR(INDEX('Master data'!$B$2:$CL$1000,MATCH($B368,'Master data'!$A$2:$A$1000,0),MATCH(K$1,'Master data'!$B$1:$CL$1,0)),"")</f>
        <v>-2470.1091884299817</v>
      </c>
      <c r="L368" s="7">
        <f>IFERROR(INDEX('Master data'!$B$2:$CL$1000,MATCH($B368,'Master data'!$A$2:$A$1000,0),MATCH(L$1,'Master data'!$B$1:$CL$1,0)),"")</f>
        <v>-1153.0513276952543</v>
      </c>
      <c r="M368" s="5">
        <f>IFERROR(INDEX('Master data'!$B$2:$CL$1000,MATCH($B368,'Master data'!$A$2:$A$1000,0),MATCH(M$1,'Master data'!$B$1:$CL$1,0)),"")</f>
        <v>12096.658215894286</v>
      </c>
      <c r="N368" s="28">
        <f>IFERROR(INDEX('Master data'!$B$2:$CL$1000,MATCH($B368,'Master data'!$A$2:$A$1000,0),MATCH(N$1,'Master data'!$B$1:$CL$1,0)),"")</f>
        <v>1.0053595385387706E-2</v>
      </c>
      <c r="O368" s="7">
        <f>IFERROR(INDEX('Master data'!$B$2:$CL$1000,MATCH($B368,'Master data'!$A$2:$A$1000,0),MATCH(O$1,'Master data'!$B$1:$CL$1,0)),"")</f>
        <v>0</v>
      </c>
      <c r="P368" s="5">
        <f>IFERROR(INDEX('Master data'!$B$2:$CL$1000,MATCH($B368,'Master data'!$A$2:$A$1000,0),MATCH(P$1,'Master data'!$B$1:$CL$1,0)),"")</f>
        <v>2500000</v>
      </c>
      <c r="Q368" s="5">
        <f>IFERROR(INDEX('Master data'!$B$2:$CL$1000,MATCH($B368,'Master data'!$A$2:$A$1000,0),MATCH(Q$1,'Master data'!$B$1:$CL$1,0)),"")</f>
        <v>2500000</v>
      </c>
    </row>
    <row r="369" spans="1:17" hidden="1">
      <c r="A369">
        <f t="shared" si="5"/>
        <v>367</v>
      </c>
      <c r="B369" t="str">
        <f>IF('Master data'!A369="","",'Master data'!A369)</f>
        <v>Umut Meraş</v>
      </c>
      <c r="C369" t="str">
        <f>IFERROR(INDEX('Master data'!$B$2:$CL$1000,MATCH($B369,'Master data'!$A$2:$A$1000,0),MATCH(C$1,'Master data'!$B$1:$CL$1,0)),"")</f>
        <v>Turkey</v>
      </c>
      <c r="D369" t="str">
        <f>IFERROR(INDEX('Master data'!$B$2:$CL$1000,MATCH($B369,'Master data'!$A$2:$A$1000,0),MATCH(D$1,'Master data'!$B$1:$CL$1,0)),"")</f>
        <v>Defense</v>
      </c>
      <c r="E369" s="5">
        <f>IFERROR(INDEX('Master data'!$B$2:$CL$1000,MATCH($B369,'Master data'!$A$2:$A$1000,0),MATCH(E$1,'Master data'!$B$1:$CL$1,0)),"")</f>
        <v>2500000</v>
      </c>
      <c r="F369" s="7">
        <f>IFERROR(INDEX('Master data'!$B$2:$CL$1000,MATCH($B369,'Master data'!$A$2:$A$1000,0),MATCH(F$1,'Master data'!$B$1:$CL$1,0)),"")</f>
        <v>17672.838158813389</v>
      </c>
      <c r="G369" s="7">
        <f>IFERROR(INDEX('Master data'!$B$2:$CL$1000,MATCH($B369,'Master data'!$A$2:$A$1000,0),MATCH(G$1,'Master data'!$B$1:$CL$1,0)),"")</f>
        <v>62878.168952586871</v>
      </c>
      <c r="H369" s="7">
        <f>IFERROR(INDEX('Master data'!$B$2:$CL$1000,MATCH($B369,'Master data'!$A$2:$A$1000,0),MATCH(H$1,'Master data'!$B$1:$CL$1,0)),"")</f>
        <v>48805.251825794352</v>
      </c>
      <c r="I369" s="7">
        <f>IFERROR(INDEX('Master data'!$B$2:$CL$1000,MATCH($B369,'Master data'!$A$2:$A$1000,0),MATCH(I$1,'Master data'!$B$1:$CL$1,0)),"")</f>
        <v>10166.405670318234</v>
      </c>
      <c r="J369" s="7">
        <f>IFERROR(INDEX('Master data'!$B$2:$CL$1000,MATCH($B369,'Master data'!$A$2:$A$1000,0),MATCH(J$1,'Master data'!$B$1:$CL$1,0)),"")</f>
        <v>4883.4573539545727</v>
      </c>
      <c r="K369" s="7">
        <f>IFERROR(INDEX('Master data'!$B$2:$CL$1000,MATCH($B369,'Master data'!$A$2:$A$1000,0),MATCH(K$1,'Master data'!$B$1:$CL$1,0)),"")</f>
        <v>2313.8383751518404</v>
      </c>
      <c r="L369" s="7">
        <f>IFERROR(INDEX('Master data'!$B$2:$CL$1000,MATCH($B369,'Master data'!$A$2:$A$1000,0),MATCH(L$1,'Master data'!$B$1:$CL$1,0)),"")</f>
        <v>1045.7865651294301</v>
      </c>
      <c r="M369" s="5">
        <f>IFERROR(INDEX('Master data'!$B$2:$CL$1000,MATCH($B369,'Master data'!$A$2:$A$1000,0),MATCH(M$1,'Master data'!$B$1:$CL$1,0)),"")</f>
        <v>85656.256554500142</v>
      </c>
      <c r="N369" s="28">
        <f>IFERROR(INDEX('Master data'!$B$2:$CL$1000,MATCH($B369,'Master data'!$A$2:$A$1000,0),MATCH(N$1,'Master data'!$B$1:$CL$1,0)),"")</f>
        <v>5.1742503574877849E-2</v>
      </c>
      <c r="O369" s="7">
        <f>IFERROR(INDEX('Master data'!$B$2:$CL$1000,MATCH($B369,'Master data'!$A$2:$A$1000,0),MATCH(O$1,'Master data'!$B$1:$CL$1,0)),"")</f>
        <v>0</v>
      </c>
      <c r="P369" s="5">
        <f>IFERROR(INDEX('Master data'!$B$2:$CL$1000,MATCH($B369,'Master data'!$A$2:$A$1000,0),MATCH(P$1,'Master data'!$B$1:$CL$1,0)),"")</f>
        <v>2500000</v>
      </c>
      <c r="Q369" s="5">
        <f>IFERROR(INDEX('Master data'!$B$2:$CL$1000,MATCH($B369,'Master data'!$A$2:$A$1000,0),MATCH(Q$1,'Master data'!$B$1:$CL$1,0)),"")</f>
        <v>2500000</v>
      </c>
    </row>
    <row r="370" spans="1:17" hidden="1">
      <c r="A370">
        <f t="shared" si="5"/>
        <v>368</v>
      </c>
      <c r="B370" t="str">
        <f>IF('Master data'!A370="","",'Master data'!A370)</f>
        <v>Mert Müldür</v>
      </c>
      <c r="C370" t="str">
        <f>IFERROR(INDEX('Master data'!$B$2:$CL$1000,MATCH($B370,'Master data'!$A$2:$A$1000,0),MATCH(C$1,'Master data'!$B$1:$CL$1,0)),"")</f>
        <v>Turkey</v>
      </c>
      <c r="D370" t="str">
        <f>IFERROR(INDEX('Master data'!$B$2:$CL$1000,MATCH($B370,'Master data'!$A$2:$A$1000,0),MATCH(D$1,'Master data'!$B$1:$CL$1,0)),"")</f>
        <v>Defense</v>
      </c>
      <c r="E370" s="5">
        <f>IFERROR(INDEX('Master data'!$B$2:$CL$1000,MATCH($B370,'Master data'!$A$2:$A$1000,0),MATCH(E$1,'Master data'!$B$1:$CL$1,0)),"")</f>
        <v>2000000</v>
      </c>
      <c r="F370" s="7">
        <f>IFERROR(INDEX('Master data'!$B$2:$CL$1000,MATCH($B370,'Master data'!$A$2:$A$1000,0),MATCH(F$1,'Master data'!$B$1:$CL$1,0)),"")</f>
        <v>7691.623905279288</v>
      </c>
      <c r="G370" s="7">
        <f>IFERROR(INDEX('Master data'!$B$2:$CL$1000,MATCH($B370,'Master data'!$A$2:$A$1000,0),MATCH(G$1,'Master data'!$B$1:$CL$1,0)),"")</f>
        <v>43569.591745805548</v>
      </c>
      <c r="H370" s="7">
        <f>IFERROR(INDEX('Master data'!$B$2:$CL$1000,MATCH($B370,'Master data'!$A$2:$A$1000,0),MATCH(H$1,'Master data'!$B$1:$CL$1,0)),"")</f>
        <v>30384.783558565563</v>
      </c>
      <c r="I370" s="7">
        <f>IFERROR(INDEX('Master data'!$B$2:$CL$1000,MATCH($B370,'Master data'!$A$2:$A$1000,0),MATCH(I$1,'Master data'!$B$1:$CL$1,0)),"")</f>
        <v>3866.4370527130363</v>
      </c>
      <c r="J370" s="7">
        <f>IFERROR(INDEX('Master data'!$B$2:$CL$1000,MATCH($B370,'Master data'!$A$2:$A$1000,0),MATCH(J$1,'Master data'!$B$1:$CL$1,0)),"")</f>
        <v>1825.0316814153919</v>
      </c>
      <c r="K370" s="7">
        <f>IFERROR(INDEX('Master data'!$B$2:$CL$1000,MATCH($B370,'Master data'!$A$2:$A$1000,0),MATCH(K$1,'Master data'!$B$1:$CL$1,0)),"")</f>
        <v>848.62977889389617</v>
      </c>
      <c r="L370" s="7">
        <f>IFERROR(INDEX('Master data'!$B$2:$CL$1000,MATCH($B370,'Master data'!$A$2:$A$1000,0),MATCH(L$1,'Master data'!$B$1:$CL$1,0)),"")</f>
        <v>375.87899227775461</v>
      </c>
      <c r="M370" s="5">
        <f>IFERROR(INDEX('Master data'!$B$2:$CL$1000,MATCH($B370,'Master data'!$A$2:$A$1000,0),MATCH(M$1,'Master data'!$B$1:$CL$1,0)),"")</f>
        <v>51893.23040901887</v>
      </c>
      <c r="N370" s="28">
        <f>IFERROR(INDEX('Master data'!$B$2:$CL$1000,MATCH($B370,'Master data'!$A$2:$A$1000,0),MATCH(N$1,'Master data'!$B$1:$CL$1,0)),"")</f>
        <v>4.0822999604825203E-2</v>
      </c>
      <c r="O370" s="7">
        <f>IFERROR(INDEX('Master data'!$B$2:$CL$1000,MATCH($B370,'Master data'!$A$2:$A$1000,0),MATCH(O$1,'Master data'!$B$1:$CL$1,0)),"")</f>
        <v>0</v>
      </c>
      <c r="P370" s="5">
        <f>IFERROR(INDEX('Master data'!$B$2:$CL$1000,MATCH($B370,'Master data'!$A$2:$A$1000,0),MATCH(P$1,'Master data'!$B$1:$CL$1,0)),"")</f>
        <v>2000000</v>
      </c>
      <c r="Q370" s="5">
        <f>IFERROR(INDEX('Master data'!$B$2:$CL$1000,MATCH($B370,'Master data'!$A$2:$A$1000,0),MATCH(Q$1,'Master data'!$B$1:$CL$1,0)),"")</f>
        <v>2000000</v>
      </c>
    </row>
    <row r="371" spans="1:17" hidden="1">
      <c r="A371">
        <f t="shared" si="5"/>
        <v>369</v>
      </c>
      <c r="B371" t="str">
        <f>IF('Master data'!A371="","",'Master data'!A371)</f>
        <v>Abdülkadir Ömür</v>
      </c>
      <c r="C371" t="str">
        <f>IFERROR(INDEX('Master data'!$B$2:$CL$1000,MATCH($B371,'Master data'!$A$2:$A$1000,0),MATCH(C$1,'Master data'!$B$1:$CL$1,0)),"")</f>
        <v>Turkey</v>
      </c>
      <c r="D371" t="str">
        <f>IFERROR(INDEX('Master data'!$B$2:$CL$1000,MATCH($B371,'Master data'!$A$2:$A$1000,0),MATCH(D$1,'Master data'!$B$1:$CL$1,0)),"")</f>
        <v>Striker</v>
      </c>
      <c r="E371" s="5">
        <f>IFERROR(INDEX('Master data'!$B$2:$CL$1000,MATCH($B371,'Master data'!$A$2:$A$1000,0),MATCH(E$1,'Master data'!$B$1:$CL$1,0)),"")</f>
        <v>3000000</v>
      </c>
      <c r="F371" s="7">
        <f>IFERROR(INDEX('Master data'!$B$2:$CL$1000,MATCH($B371,'Master data'!$A$2:$A$1000,0),MATCH(F$1,'Master data'!$B$1:$CL$1,0)),"")</f>
        <v>-5000</v>
      </c>
      <c r="G371" s="7">
        <f>IFERROR(INDEX('Master data'!$B$2:$CL$1000,MATCH($B371,'Master data'!$A$2:$A$1000,0),MATCH(G$1,'Master data'!$B$1:$CL$1,0)),"")</f>
        <v>-5000</v>
      </c>
      <c r="H371" s="7">
        <f>IFERROR(INDEX('Master data'!$B$2:$CL$1000,MATCH($B371,'Master data'!$A$2:$A$1000,0),MATCH(H$1,'Master data'!$B$1:$CL$1,0)),"")</f>
        <v>-5000</v>
      </c>
      <c r="I371" s="7">
        <f>IFERROR(INDEX('Master data'!$B$2:$CL$1000,MATCH($B371,'Master data'!$A$2:$A$1000,0),MATCH(I$1,'Master data'!$B$1:$CL$1,0)),"")</f>
        <v>-21057.665881013345</v>
      </c>
      <c r="J371" s="7">
        <f>IFERROR(INDEX('Master data'!$B$2:$CL$1000,MATCH($B371,'Master data'!$A$2:$A$1000,0),MATCH(J$1,'Master data'!$B$1:$CL$1,0)),"")</f>
        <v>-10366.249010074413</v>
      </c>
      <c r="K371" s="7">
        <f>IFERROR(INDEX('Master data'!$B$2:$CL$1000,MATCH($B371,'Master data'!$A$2:$A$1000,0),MATCH(K$1,'Master data'!$B$1:$CL$1,0)),"")</f>
        <v>-5037.0740921153138</v>
      </c>
      <c r="L371" s="7">
        <f>IFERROR(INDEX('Master data'!$B$2:$CL$1000,MATCH($B371,'Master data'!$A$2:$A$1000,0),MATCH(L$1,'Master data'!$B$1:$CL$1,0)),"")</f>
        <v>-2336.4449803027901</v>
      </c>
      <c r="M371" s="5">
        <f>IFERROR(INDEX('Master data'!$B$2:$CL$1000,MATCH($B371,'Master data'!$A$2:$A$1000,0),MATCH(M$1,'Master data'!$B$1:$CL$1,0)),"")</f>
        <v>-19710.956487423933</v>
      </c>
      <c r="N371" s="28">
        <f>IFERROR(INDEX('Master data'!$B$2:$CL$1000,MATCH($B371,'Master data'!$A$2:$A$1000,0),MATCH(N$1,'Master data'!$B$1:$CL$1,0)),"")</f>
        <v>-5.0000000000000001E-3</v>
      </c>
      <c r="O371" s="7">
        <f>IFERROR(INDEX('Master data'!$B$2:$CL$1000,MATCH($B371,'Master data'!$A$2:$A$1000,0),MATCH(O$1,'Master data'!$B$1:$CL$1,0)),"")</f>
        <v>0</v>
      </c>
      <c r="P371" s="5">
        <f>IFERROR(INDEX('Master data'!$B$2:$CL$1000,MATCH($B371,'Master data'!$A$2:$A$1000,0),MATCH(P$1,'Master data'!$B$1:$CL$1,0)),"")</f>
        <v>3000000</v>
      </c>
      <c r="Q371" s="5">
        <f>IFERROR(INDEX('Master data'!$B$2:$CL$1000,MATCH($B371,'Master data'!$A$2:$A$1000,0),MATCH(Q$1,'Master data'!$B$1:$CL$1,0)),"")</f>
        <v>3000000</v>
      </c>
    </row>
    <row r="372" spans="1:17" hidden="1">
      <c r="A372">
        <f t="shared" si="5"/>
        <v>370</v>
      </c>
      <c r="B372" t="str">
        <f>IF('Master data'!A372="","",'Master data'!A372)</f>
        <v>Dorukhan Toköz</v>
      </c>
      <c r="C372" t="str">
        <f>IFERROR(INDEX('Master data'!$B$2:$CL$1000,MATCH($B372,'Master data'!$A$2:$A$1000,0),MATCH(C$1,'Master data'!$B$1:$CL$1,0)),"")</f>
        <v>Turkey</v>
      </c>
      <c r="D372" t="str">
        <f>IFERROR(INDEX('Master data'!$B$2:$CL$1000,MATCH($B372,'Master data'!$A$2:$A$1000,0),MATCH(D$1,'Master data'!$B$1:$CL$1,0)),"")</f>
        <v>Midfield</v>
      </c>
      <c r="E372" s="5">
        <f>IFERROR(INDEX('Master data'!$B$2:$CL$1000,MATCH($B372,'Master data'!$A$2:$A$1000,0),MATCH(E$1,'Master data'!$B$1:$CL$1,0)),"")</f>
        <v>2500000</v>
      </c>
      <c r="F372" s="7">
        <f>IFERROR(INDEX('Master data'!$B$2:$CL$1000,MATCH($B372,'Master data'!$A$2:$A$1000,0),MATCH(F$1,'Master data'!$B$1:$CL$1,0)),"")</f>
        <v>-5000</v>
      </c>
      <c r="G372" s="7">
        <f>IFERROR(INDEX('Master data'!$B$2:$CL$1000,MATCH($B372,'Master data'!$A$2:$A$1000,0),MATCH(G$1,'Master data'!$B$1:$CL$1,0)),"")</f>
        <v>-5000</v>
      </c>
      <c r="H372" s="7">
        <f>IFERROR(INDEX('Master data'!$B$2:$CL$1000,MATCH($B372,'Master data'!$A$2:$A$1000,0),MATCH(H$1,'Master data'!$B$1:$CL$1,0)),"")</f>
        <v>-5000</v>
      </c>
      <c r="I372" s="7">
        <f>IFERROR(INDEX('Master data'!$B$2:$CL$1000,MATCH($B372,'Master data'!$A$2:$A$1000,0),MATCH(I$1,'Master data'!$B$1:$CL$1,0)),"")</f>
        <v>-18036.47995834285</v>
      </c>
      <c r="J372" s="7">
        <f>IFERROR(INDEX('Master data'!$B$2:$CL$1000,MATCH($B372,'Master data'!$A$2:$A$1000,0),MATCH(J$1,'Master data'!$B$1:$CL$1,0)),"")</f>
        <v>-8876.8454166729152</v>
      </c>
      <c r="K372" s="7">
        <f>IFERROR(INDEX('Master data'!$B$2:$CL$1000,MATCH($B372,'Master data'!$A$2:$A$1000,0),MATCH(K$1,'Master data'!$B$1:$CL$1,0)),"")</f>
        <v>-4312.3152299404483</v>
      </c>
      <c r="L372" s="7">
        <f>IFERROR(INDEX('Master data'!$B$2:$CL$1000,MATCH($B372,'Master data'!$A$2:$A$1000,0),MATCH(L$1,'Master data'!$B$1:$CL$1,0)),"")</f>
        <v>-1999.781438472417</v>
      </c>
      <c r="M372" s="5">
        <f>IFERROR(INDEX('Master data'!$B$2:$CL$1000,MATCH($B372,'Master data'!$A$2:$A$1000,0),MATCH(M$1,'Master data'!$B$1:$CL$1,0)),"")</f>
        <v>-18396.589417200921</v>
      </c>
      <c r="N372" s="28">
        <f>IFERROR(INDEX('Master data'!$B$2:$CL$1000,MATCH($B372,'Master data'!$A$2:$A$1000,0),MATCH(N$1,'Master data'!$B$1:$CL$1,0)),"")</f>
        <v>-6.0000000000000001E-3</v>
      </c>
      <c r="O372" s="7">
        <f>IFERROR(INDEX('Master data'!$B$2:$CL$1000,MATCH($B372,'Master data'!$A$2:$A$1000,0),MATCH(O$1,'Master data'!$B$1:$CL$1,0)),"")</f>
        <v>0</v>
      </c>
      <c r="P372" s="5">
        <f>IFERROR(INDEX('Master data'!$B$2:$CL$1000,MATCH($B372,'Master data'!$A$2:$A$1000,0),MATCH(P$1,'Master data'!$B$1:$CL$1,0)),"")</f>
        <v>2500000</v>
      </c>
      <c r="Q372" s="5">
        <f>IFERROR(INDEX('Master data'!$B$2:$CL$1000,MATCH($B372,'Master data'!$A$2:$A$1000,0),MATCH(Q$1,'Master data'!$B$1:$CL$1,0)),"")</f>
        <v>2500000</v>
      </c>
    </row>
    <row r="373" spans="1:17" hidden="1">
      <c r="A373">
        <f t="shared" si="5"/>
        <v>371</v>
      </c>
      <c r="B373" t="str">
        <f>IF('Master data'!A373="","",'Master data'!A373)</f>
        <v>Orkun Kökçü</v>
      </c>
      <c r="C373" t="str">
        <f>IFERROR(INDEX('Master data'!$B$2:$CL$1000,MATCH($B373,'Master data'!$A$2:$A$1000,0),MATCH(C$1,'Master data'!$B$1:$CL$1,0)),"")</f>
        <v>Turkey</v>
      </c>
      <c r="D373" t="str">
        <f>IFERROR(INDEX('Master data'!$B$2:$CL$1000,MATCH($B373,'Master data'!$A$2:$A$1000,0),MATCH(D$1,'Master data'!$B$1:$CL$1,0)),"")</f>
        <v>Midfield</v>
      </c>
      <c r="E373" s="5">
        <f>IFERROR(INDEX('Master data'!$B$2:$CL$1000,MATCH($B373,'Master data'!$A$2:$A$1000,0),MATCH(E$1,'Master data'!$B$1:$CL$1,0)),"")</f>
        <v>2000000</v>
      </c>
      <c r="F373" s="7">
        <f>IFERROR(INDEX('Master data'!$B$2:$CL$1000,MATCH($B373,'Master data'!$A$2:$A$1000,0),MATCH(F$1,'Master data'!$B$1:$CL$1,0)),"")</f>
        <v>-5000</v>
      </c>
      <c r="G373" s="7">
        <f>IFERROR(INDEX('Master data'!$B$2:$CL$1000,MATCH($B373,'Master data'!$A$2:$A$1000,0),MATCH(G$1,'Master data'!$B$1:$CL$1,0)),"")</f>
        <v>-5000</v>
      </c>
      <c r="H373" s="7">
        <f>IFERROR(INDEX('Master data'!$B$2:$CL$1000,MATCH($B373,'Master data'!$A$2:$A$1000,0),MATCH(H$1,'Master data'!$B$1:$CL$1,0)),"")</f>
        <v>-5000</v>
      </c>
      <c r="I373" s="7">
        <f>IFERROR(INDEX('Master data'!$B$2:$CL$1000,MATCH($B373,'Master data'!$A$2:$A$1000,0),MATCH(I$1,'Master data'!$B$1:$CL$1,0)),"")</f>
        <v>-15015.294035672356</v>
      </c>
      <c r="J373" s="7">
        <f>IFERROR(INDEX('Master data'!$B$2:$CL$1000,MATCH($B373,'Master data'!$A$2:$A$1000,0),MATCH(J$1,'Master data'!$B$1:$CL$1,0)),"")</f>
        <v>-7387.4418232714197</v>
      </c>
      <c r="K373" s="7">
        <f>IFERROR(INDEX('Master data'!$B$2:$CL$1000,MATCH($B373,'Master data'!$A$2:$A$1000,0),MATCH(K$1,'Master data'!$B$1:$CL$1,0)),"")</f>
        <v>-3587.5563677655832</v>
      </c>
      <c r="L373" s="7">
        <f>IFERROR(INDEX('Master data'!$B$2:$CL$1000,MATCH($B373,'Master data'!$A$2:$A$1000,0),MATCH(L$1,'Master data'!$B$1:$CL$1,0)),"")</f>
        <v>-1663.1178966420439</v>
      </c>
      <c r="M373" s="5">
        <f>IFERROR(INDEX('Master data'!$B$2:$CL$1000,MATCH($B373,'Master data'!$A$2:$A$1000,0),MATCH(M$1,'Master data'!$B$1:$CL$1,0)),"")</f>
        <v>-17082.222346977913</v>
      </c>
      <c r="N373" s="28">
        <f>IFERROR(INDEX('Master data'!$B$2:$CL$1000,MATCH($B373,'Master data'!$A$2:$A$1000,0),MATCH(N$1,'Master data'!$B$1:$CL$1,0)),"")</f>
        <v>-7.4999999999999997E-3</v>
      </c>
      <c r="O373" s="7">
        <f>IFERROR(INDEX('Master data'!$B$2:$CL$1000,MATCH($B373,'Master data'!$A$2:$A$1000,0),MATCH(O$1,'Master data'!$B$1:$CL$1,0)),"")</f>
        <v>0</v>
      </c>
      <c r="P373" s="5">
        <f>IFERROR(INDEX('Master data'!$B$2:$CL$1000,MATCH($B373,'Master data'!$A$2:$A$1000,0),MATCH(P$1,'Master data'!$B$1:$CL$1,0)),"")</f>
        <v>2000000</v>
      </c>
      <c r="Q373" s="5">
        <f>IFERROR(INDEX('Master data'!$B$2:$CL$1000,MATCH($B373,'Master data'!$A$2:$A$1000,0),MATCH(Q$1,'Master data'!$B$1:$CL$1,0)),"")</f>
        <v>2000000</v>
      </c>
    </row>
    <row r="374" spans="1:17" hidden="1">
      <c r="A374">
        <f t="shared" si="5"/>
        <v>372</v>
      </c>
      <c r="B374" t="str">
        <f>IF('Master data'!A374="","",'Master data'!A374)</f>
        <v>Irfan Can Kahveci</v>
      </c>
      <c r="C374" t="str">
        <f>IFERROR(INDEX('Master data'!$B$2:$CL$1000,MATCH($B374,'Master data'!$A$2:$A$1000,0),MATCH(C$1,'Master data'!$B$1:$CL$1,0)),"")</f>
        <v>Turkey</v>
      </c>
      <c r="D374" t="str">
        <f>IFERROR(INDEX('Master data'!$B$2:$CL$1000,MATCH($B374,'Master data'!$A$2:$A$1000,0),MATCH(D$1,'Master data'!$B$1:$CL$1,0)),"")</f>
        <v>Midfield</v>
      </c>
      <c r="E374" s="5">
        <f>IFERROR(INDEX('Master data'!$B$2:$CL$1000,MATCH($B374,'Master data'!$A$2:$A$1000,0),MATCH(E$1,'Master data'!$B$1:$CL$1,0)),"")</f>
        <v>3000000</v>
      </c>
      <c r="F374" s="7">
        <f>IFERROR(INDEX('Master data'!$B$2:$CL$1000,MATCH($B374,'Master data'!$A$2:$A$1000,0),MATCH(F$1,'Master data'!$B$1:$CL$1,0)),"")</f>
        <v>-5000</v>
      </c>
      <c r="G374" s="7">
        <f>IFERROR(INDEX('Master data'!$B$2:$CL$1000,MATCH($B374,'Master data'!$A$2:$A$1000,0),MATCH(G$1,'Master data'!$B$1:$CL$1,0)),"")</f>
        <v>-5000</v>
      </c>
      <c r="H374" s="7">
        <f>IFERROR(INDEX('Master data'!$B$2:$CL$1000,MATCH($B374,'Master data'!$A$2:$A$1000,0),MATCH(H$1,'Master data'!$B$1:$CL$1,0)),"")</f>
        <v>-5000</v>
      </c>
      <c r="I374" s="7">
        <f>IFERROR(INDEX('Master data'!$B$2:$CL$1000,MATCH($B374,'Master data'!$A$2:$A$1000,0),MATCH(I$1,'Master data'!$B$1:$CL$1,0)),"")</f>
        <v>-21057.665881013345</v>
      </c>
      <c r="J374" s="7">
        <f>IFERROR(INDEX('Master data'!$B$2:$CL$1000,MATCH($B374,'Master data'!$A$2:$A$1000,0),MATCH(J$1,'Master data'!$B$1:$CL$1,0)),"")</f>
        <v>-10366.249010074413</v>
      </c>
      <c r="K374" s="7">
        <f>IFERROR(INDEX('Master data'!$B$2:$CL$1000,MATCH($B374,'Master data'!$A$2:$A$1000,0),MATCH(K$1,'Master data'!$B$1:$CL$1,0)),"")</f>
        <v>-5037.0740921153138</v>
      </c>
      <c r="L374" s="7">
        <f>IFERROR(INDEX('Master data'!$B$2:$CL$1000,MATCH($B374,'Master data'!$A$2:$A$1000,0),MATCH(L$1,'Master data'!$B$1:$CL$1,0)),"")</f>
        <v>-2336.4449803027901</v>
      </c>
      <c r="M374" s="5">
        <f>IFERROR(INDEX('Master data'!$B$2:$CL$1000,MATCH($B374,'Master data'!$A$2:$A$1000,0),MATCH(M$1,'Master data'!$B$1:$CL$1,0)),"")</f>
        <v>-19710.956487423933</v>
      </c>
      <c r="N374" s="28">
        <f>IFERROR(INDEX('Master data'!$B$2:$CL$1000,MATCH($B374,'Master data'!$A$2:$A$1000,0),MATCH(N$1,'Master data'!$B$1:$CL$1,0)),"")</f>
        <v>-5.0000000000000001E-3</v>
      </c>
      <c r="O374" s="7">
        <f>IFERROR(INDEX('Master data'!$B$2:$CL$1000,MATCH($B374,'Master data'!$A$2:$A$1000,0),MATCH(O$1,'Master data'!$B$1:$CL$1,0)),"")</f>
        <v>0</v>
      </c>
      <c r="P374" s="5">
        <f>IFERROR(INDEX('Master data'!$B$2:$CL$1000,MATCH($B374,'Master data'!$A$2:$A$1000,0),MATCH(P$1,'Master data'!$B$1:$CL$1,0)),"")</f>
        <v>3000000</v>
      </c>
      <c r="Q374" s="5">
        <f>IFERROR(INDEX('Master data'!$B$2:$CL$1000,MATCH($B374,'Master data'!$A$2:$A$1000,0),MATCH(Q$1,'Master data'!$B$1:$CL$1,0)),"")</f>
        <v>3000000</v>
      </c>
    </row>
    <row r="375" spans="1:17" hidden="1">
      <c r="A375">
        <f t="shared" si="5"/>
        <v>373</v>
      </c>
      <c r="B375" t="str">
        <f>IF('Master data'!A375="","",'Master data'!A375)</f>
        <v>Yusuf Yazici</v>
      </c>
      <c r="C375" t="str">
        <f>IFERROR(INDEX('Master data'!$B$2:$CL$1000,MATCH($B375,'Master data'!$A$2:$A$1000,0),MATCH(C$1,'Master data'!$B$1:$CL$1,0)),"")</f>
        <v>Turkey</v>
      </c>
      <c r="D375" t="str">
        <f>IFERROR(INDEX('Master data'!$B$2:$CL$1000,MATCH($B375,'Master data'!$A$2:$A$1000,0),MATCH(D$1,'Master data'!$B$1:$CL$1,0)),"")</f>
        <v>Striker</v>
      </c>
      <c r="E375" s="5">
        <f>IFERROR(INDEX('Master data'!$B$2:$CL$1000,MATCH($B375,'Master data'!$A$2:$A$1000,0),MATCH(E$1,'Master data'!$B$1:$CL$1,0)),"")</f>
        <v>3500000</v>
      </c>
      <c r="F375" s="7">
        <f>IFERROR(INDEX('Master data'!$B$2:$CL$1000,MATCH($B375,'Master data'!$A$2:$A$1000,0),MATCH(F$1,'Master data'!$B$1:$CL$1,0)),"")</f>
        <v>21570.745099124248</v>
      </c>
      <c r="G375" s="7">
        <f>IFERROR(INDEX('Master data'!$B$2:$CL$1000,MATCH($B375,'Master data'!$A$2:$A$1000,0),MATCH(G$1,'Master data'!$B$1:$CL$1,0)),"")</f>
        <v>74473.238733526232</v>
      </c>
      <c r="H375" s="7">
        <f>IFERROR(INDEX('Master data'!$B$2:$CL$1000,MATCH($B375,'Master data'!$A$2:$A$1000,0),MATCH(H$1,'Master data'!$B$1:$CL$1,0)),"")</f>
        <v>64023.959210885565</v>
      </c>
      <c r="I375" s="7">
        <f>IFERROR(INDEX('Master data'!$B$2:$CL$1000,MATCH($B375,'Master data'!$A$2:$A$1000,0),MATCH(I$1,'Master data'!$B$1:$CL$1,0)),"")</f>
        <v>10124.176255182203</v>
      </c>
      <c r="J375" s="7">
        <f>IFERROR(INDEX('Master data'!$B$2:$CL$1000,MATCH($B375,'Master data'!$A$2:$A$1000,0),MATCH(J$1,'Master data'!$B$1:$CL$1,0)),"")</f>
        <v>4832.1440978649571</v>
      </c>
      <c r="K375" s="7">
        <f>IFERROR(INDEX('Master data'!$B$2:$CL$1000,MATCH($B375,'Master data'!$A$2:$A$1000,0),MATCH(K$1,'Master data'!$B$1:$CL$1,0)),"")</f>
        <v>2274.0297819332163</v>
      </c>
      <c r="L375" s="7">
        <f>IFERROR(INDEX('Master data'!$B$2:$CL$1000,MATCH($B375,'Master data'!$A$2:$A$1000,0),MATCH(L$1,'Master data'!$B$1:$CL$1,0)),"")</f>
        <v>1020.4017538691833</v>
      </c>
      <c r="M375" s="5">
        <f>IFERROR(INDEX('Master data'!$B$2:$CL$1000,MATCH($B375,'Master data'!$A$2:$A$1000,0),MATCH(M$1,'Master data'!$B$1:$CL$1,0)),"")</f>
        <v>104017.96073883041</v>
      </c>
      <c r="N375" s="28">
        <f>IFERROR(INDEX('Master data'!$B$2:$CL$1000,MATCH($B375,'Master data'!$A$2:$A$1000,0),MATCH(N$1,'Master data'!$B$1:$CL$1,0)),"")</f>
        <v>4.5733698012438866E-2</v>
      </c>
      <c r="O375" s="7">
        <f>IFERROR(INDEX('Master data'!$B$2:$CL$1000,MATCH($B375,'Master data'!$A$2:$A$1000,0),MATCH(O$1,'Master data'!$B$1:$CL$1,0)),"")</f>
        <v>0</v>
      </c>
      <c r="P375" s="5">
        <f>IFERROR(INDEX('Master data'!$B$2:$CL$1000,MATCH($B375,'Master data'!$A$2:$A$1000,0),MATCH(P$1,'Master data'!$B$1:$CL$1,0)),"")</f>
        <v>3500000</v>
      </c>
      <c r="Q375" s="5">
        <f>IFERROR(INDEX('Master data'!$B$2:$CL$1000,MATCH($B375,'Master data'!$A$2:$A$1000,0),MATCH(Q$1,'Master data'!$B$1:$CL$1,0)),"")</f>
        <v>3500000</v>
      </c>
    </row>
    <row r="376" spans="1:17" hidden="1">
      <c r="A376">
        <f t="shared" si="5"/>
        <v>374</v>
      </c>
      <c r="B376" t="str">
        <f>IF('Master data'!A376="","",'Master data'!A376)</f>
        <v>Ozan Tufan</v>
      </c>
      <c r="C376" t="str">
        <f>IFERROR(INDEX('Master data'!$B$2:$CL$1000,MATCH($B376,'Master data'!$A$2:$A$1000,0),MATCH(C$1,'Master data'!$B$1:$CL$1,0)),"")</f>
        <v>Turkey</v>
      </c>
      <c r="D376" t="str">
        <f>IFERROR(INDEX('Master data'!$B$2:$CL$1000,MATCH($B376,'Master data'!$A$2:$A$1000,0),MATCH(D$1,'Master data'!$B$1:$CL$1,0)),"")</f>
        <v>Midfield</v>
      </c>
      <c r="E376" s="5">
        <f>IFERROR(INDEX('Master data'!$B$2:$CL$1000,MATCH($B376,'Master data'!$A$2:$A$1000,0),MATCH(E$1,'Master data'!$B$1:$CL$1,0)),"")</f>
        <v>3500000</v>
      </c>
      <c r="F376" s="7">
        <f>IFERROR(INDEX('Master data'!$B$2:$CL$1000,MATCH($B376,'Master data'!$A$2:$A$1000,0),MATCH(F$1,'Master data'!$B$1:$CL$1,0)),"")</f>
        <v>-2520.7799581361396</v>
      </c>
      <c r="G376" s="7">
        <f>IFERROR(INDEX('Master data'!$B$2:$CL$1000,MATCH($B376,'Master data'!$A$2:$A$1000,0),MATCH(G$1,'Master data'!$B$1:$CL$1,0)),"")</f>
        <v>27907.757651369582</v>
      </c>
      <c r="H376" s="7">
        <f>IFERROR(INDEX('Master data'!$B$2:$CL$1000,MATCH($B376,'Master data'!$A$2:$A$1000,0),MATCH(H$1,'Master data'!$B$1:$CL$1,0)),"")</f>
        <v>19598.345672520853</v>
      </c>
      <c r="I376" s="7">
        <f>IFERROR(INDEX('Master data'!$B$2:$CL$1000,MATCH($B376,'Master data'!$A$2:$A$1000,0),MATCH(I$1,'Master data'!$B$1:$CL$1,0)),"")</f>
        <v>-12359.51779809246</v>
      </c>
      <c r="J376" s="7">
        <f>IFERROR(INDEX('Master data'!$B$2:$CL$1000,MATCH($B376,'Master data'!$A$2:$A$1000,0),MATCH(J$1,'Master data'!$B$1:$CL$1,0)),"")</f>
        <v>-6137.7418084483779</v>
      </c>
      <c r="K376" s="7">
        <f>IFERROR(INDEX('Master data'!$B$2:$CL$1000,MATCH($B376,'Master data'!$A$2:$A$1000,0),MATCH(K$1,'Master data'!$B$1:$CL$1,0)),"")</f>
        <v>-3008.4229560056679</v>
      </c>
      <c r="L376" s="7">
        <f>IFERROR(INDEX('Master data'!$B$2:$CL$1000,MATCH($B376,'Master data'!$A$2:$A$1000,0),MATCH(L$1,'Master data'!$B$1:$CL$1,0)),"")</f>
        <v>-1407.563246344778</v>
      </c>
      <c r="M376" s="5">
        <f>IFERROR(INDEX('Master data'!$B$2:$CL$1000,MATCH($B376,'Master data'!$A$2:$A$1000,0),MATCH(M$1,'Master data'!$B$1:$CL$1,0)),"")</f>
        <v>19400.551866438927</v>
      </c>
      <c r="N376" s="28">
        <f>IFERROR(INDEX('Master data'!$B$2:$CL$1000,MATCH($B376,'Master data'!$A$2:$A$1000,0),MATCH(N$1,'Master data'!$B$1:$CL$1,0)),"")</f>
        <v>1.2852949533072656E-2</v>
      </c>
      <c r="O376" s="7">
        <f>IFERROR(INDEX('Master data'!$B$2:$CL$1000,MATCH($B376,'Master data'!$A$2:$A$1000,0),MATCH(O$1,'Master data'!$B$1:$CL$1,0)),"")</f>
        <v>0</v>
      </c>
      <c r="P376" s="5">
        <f>IFERROR(INDEX('Master data'!$B$2:$CL$1000,MATCH($B376,'Master data'!$A$2:$A$1000,0),MATCH(P$1,'Master data'!$B$1:$CL$1,0)),"")</f>
        <v>3500000</v>
      </c>
      <c r="Q376" s="5">
        <f>IFERROR(INDEX('Master data'!$B$2:$CL$1000,MATCH($B376,'Master data'!$A$2:$A$1000,0),MATCH(Q$1,'Master data'!$B$1:$CL$1,0)),"")</f>
        <v>3500000</v>
      </c>
    </row>
    <row r="377" spans="1:17" hidden="1">
      <c r="A377">
        <f t="shared" si="5"/>
        <v>375</v>
      </c>
      <c r="B377" t="str">
        <f>IF('Master data'!A377="","",'Master data'!A377)</f>
        <v>Kerem Aktürkoğlu</v>
      </c>
      <c r="C377" t="str">
        <f>IFERROR(INDEX('Master data'!$B$2:$CL$1000,MATCH($B377,'Master data'!$A$2:$A$1000,0),MATCH(C$1,'Master data'!$B$1:$CL$1,0)),"")</f>
        <v>Turkey</v>
      </c>
      <c r="D377" t="str">
        <f>IFERROR(INDEX('Master data'!$B$2:$CL$1000,MATCH($B377,'Master data'!$A$2:$A$1000,0),MATCH(D$1,'Master data'!$B$1:$CL$1,0)),"")</f>
        <v>Striker</v>
      </c>
      <c r="E377" s="5">
        <f>IFERROR(INDEX('Master data'!$B$2:$CL$1000,MATCH($B377,'Master data'!$A$2:$A$1000,0),MATCH(E$1,'Master data'!$B$1:$CL$1,0)),"")</f>
        <v>3000000</v>
      </c>
      <c r="F377" s="7">
        <f>IFERROR(INDEX('Master data'!$B$2:$CL$1000,MATCH($B377,'Master data'!$A$2:$A$1000,0),MATCH(F$1,'Master data'!$B$1:$CL$1,0)),"")</f>
        <v>-5000</v>
      </c>
      <c r="G377" s="7">
        <f>IFERROR(INDEX('Master data'!$B$2:$CL$1000,MATCH($B377,'Master data'!$A$2:$A$1000,0),MATCH(G$1,'Master data'!$B$1:$CL$1,0)),"")</f>
        <v>-5000</v>
      </c>
      <c r="H377" s="7">
        <f>IFERROR(INDEX('Master data'!$B$2:$CL$1000,MATCH($B377,'Master data'!$A$2:$A$1000,0),MATCH(H$1,'Master data'!$B$1:$CL$1,0)),"")</f>
        <v>-5000</v>
      </c>
      <c r="I377" s="7">
        <f>IFERROR(INDEX('Master data'!$B$2:$CL$1000,MATCH($B377,'Master data'!$A$2:$A$1000,0),MATCH(I$1,'Master data'!$B$1:$CL$1,0)),"")</f>
        <v>-21057.665881013345</v>
      </c>
      <c r="J377" s="7">
        <f>IFERROR(INDEX('Master data'!$B$2:$CL$1000,MATCH($B377,'Master data'!$A$2:$A$1000,0),MATCH(J$1,'Master data'!$B$1:$CL$1,0)),"")</f>
        <v>-10366.249010074413</v>
      </c>
      <c r="K377" s="7">
        <f>IFERROR(INDEX('Master data'!$B$2:$CL$1000,MATCH($B377,'Master data'!$A$2:$A$1000,0),MATCH(K$1,'Master data'!$B$1:$CL$1,0)),"")</f>
        <v>-5037.0740921153138</v>
      </c>
      <c r="L377" s="7">
        <f>IFERROR(INDEX('Master data'!$B$2:$CL$1000,MATCH($B377,'Master data'!$A$2:$A$1000,0),MATCH(L$1,'Master data'!$B$1:$CL$1,0)),"")</f>
        <v>-2336.4449803027901</v>
      </c>
      <c r="M377" s="5">
        <f>IFERROR(INDEX('Master data'!$B$2:$CL$1000,MATCH($B377,'Master data'!$A$2:$A$1000,0),MATCH(M$1,'Master data'!$B$1:$CL$1,0)),"")</f>
        <v>-19710.956487423933</v>
      </c>
      <c r="N377" s="28">
        <f>IFERROR(INDEX('Master data'!$B$2:$CL$1000,MATCH($B377,'Master data'!$A$2:$A$1000,0),MATCH(N$1,'Master data'!$B$1:$CL$1,0)),"")</f>
        <v>-5.0000000000000001E-3</v>
      </c>
      <c r="O377" s="7">
        <f>IFERROR(INDEX('Master data'!$B$2:$CL$1000,MATCH($B377,'Master data'!$A$2:$A$1000,0),MATCH(O$1,'Master data'!$B$1:$CL$1,0)),"")</f>
        <v>0</v>
      </c>
      <c r="P377" s="5">
        <f>IFERROR(INDEX('Master data'!$B$2:$CL$1000,MATCH($B377,'Master data'!$A$2:$A$1000,0),MATCH(P$1,'Master data'!$B$1:$CL$1,0)),"")</f>
        <v>3000000</v>
      </c>
      <c r="Q377" s="5">
        <f>IFERROR(INDEX('Master data'!$B$2:$CL$1000,MATCH($B377,'Master data'!$A$2:$A$1000,0),MATCH(Q$1,'Master data'!$B$1:$CL$1,0)),"")</f>
        <v>3000000</v>
      </c>
    </row>
    <row r="378" spans="1:17" hidden="1">
      <c r="A378">
        <f t="shared" si="5"/>
        <v>376</v>
      </c>
      <c r="B378" t="str">
        <f>IF('Master data'!A378="","",'Master data'!A378)</f>
        <v>Kenan Karaman</v>
      </c>
      <c r="C378" t="str">
        <f>IFERROR(INDEX('Master data'!$B$2:$CL$1000,MATCH($B378,'Master data'!$A$2:$A$1000,0),MATCH(C$1,'Master data'!$B$1:$CL$1,0)),"")</f>
        <v>Turkey</v>
      </c>
      <c r="D378" t="str">
        <f>IFERROR(INDEX('Master data'!$B$2:$CL$1000,MATCH($B378,'Master data'!$A$2:$A$1000,0),MATCH(D$1,'Master data'!$B$1:$CL$1,0)),"")</f>
        <v>Striker</v>
      </c>
      <c r="E378" s="5">
        <f>IFERROR(INDEX('Master data'!$B$2:$CL$1000,MATCH($B378,'Master data'!$A$2:$A$1000,0),MATCH(E$1,'Master data'!$B$1:$CL$1,0)),"")</f>
        <v>3500000</v>
      </c>
      <c r="F378" s="7">
        <f>IFERROR(INDEX('Master data'!$B$2:$CL$1000,MATCH($B378,'Master data'!$A$2:$A$1000,0),MATCH(F$1,'Master data'!$B$1:$CL$1,0)),"")</f>
        <v>3139.4119667311752</v>
      </c>
      <c r="G378" s="7">
        <f>IFERROR(INDEX('Master data'!$B$2:$CL$1000,MATCH($B378,'Master data'!$A$2:$A$1000,0),MATCH(G$1,'Master data'!$B$1:$CL$1,0)),"")</f>
        <v>37756.145187142502</v>
      </c>
      <c r="H378" s="7">
        <f>IFERROR(INDEX('Master data'!$B$2:$CL$1000,MATCH($B378,'Master data'!$A$2:$A$1000,0),MATCH(H$1,'Master data'!$B$1:$CL$1,0)),"")</f>
        <v>29047.952333004141</v>
      </c>
      <c r="I378" s="7">
        <f>IFERROR(INDEX('Master data'!$B$2:$CL$1000,MATCH($B378,'Master data'!$A$2:$A$1000,0),MATCH(I$1,'Master data'!$B$1:$CL$1,0)),"")</f>
        <v>-7483.4364015862811</v>
      </c>
      <c r="J378" s="7">
        <f>IFERROR(INDEX('Master data'!$B$2:$CL$1000,MATCH($B378,'Master data'!$A$2:$A$1000,0),MATCH(J$1,'Master data'!$B$1:$CL$1,0)),"")</f>
        <v>-3758.6818344589565</v>
      </c>
      <c r="K378" s="7">
        <f>IFERROR(INDEX('Master data'!$B$2:$CL$1000,MATCH($B378,'Master data'!$A$2:$A$1000,0),MATCH(K$1,'Master data'!$B$1:$CL$1,0)),"")</f>
        <v>-1862.8074062497137</v>
      </c>
      <c r="L378" s="7">
        <f>IFERROR(INDEX('Master data'!$B$2:$CL$1000,MATCH($B378,'Master data'!$A$2:$A$1000,0),MATCH(L$1,'Master data'!$B$1:$CL$1,0)),"")</f>
        <v>-881.0058692136339</v>
      </c>
      <c r="M378" s="5">
        <f>IFERROR(INDEX('Master data'!$B$2:$CL$1000,MATCH($B378,'Master data'!$A$2:$A$1000,0),MATCH(M$1,'Master data'!$B$1:$CL$1,0)),"")</f>
        <v>37937.953507623126</v>
      </c>
      <c r="N378" s="28">
        <f>IFERROR(INDEX('Master data'!$B$2:$CL$1000,MATCH($B378,'Master data'!$A$2:$A$1000,0),MATCH(N$1,'Master data'!$B$1:$CL$1,0)),"")</f>
        <v>1.9983859853393664E-2</v>
      </c>
      <c r="O378" s="7">
        <f>IFERROR(INDEX('Master data'!$B$2:$CL$1000,MATCH($B378,'Master data'!$A$2:$A$1000,0),MATCH(O$1,'Master data'!$B$1:$CL$1,0)),"")</f>
        <v>0</v>
      </c>
      <c r="P378" s="5">
        <f>IFERROR(INDEX('Master data'!$B$2:$CL$1000,MATCH($B378,'Master data'!$A$2:$A$1000,0),MATCH(P$1,'Master data'!$B$1:$CL$1,0)),"")</f>
        <v>3500000</v>
      </c>
      <c r="Q378" s="5">
        <f>IFERROR(INDEX('Master data'!$B$2:$CL$1000,MATCH($B378,'Master data'!$A$2:$A$1000,0),MATCH(Q$1,'Master data'!$B$1:$CL$1,0)),"")</f>
        <v>3500000</v>
      </c>
    </row>
    <row r="379" spans="1:17" hidden="1">
      <c r="A379">
        <f t="shared" si="5"/>
        <v>377</v>
      </c>
      <c r="B379" t="str">
        <f>IF('Master data'!A379="","",'Master data'!A379)</f>
        <v>Halil Dervişoğlu</v>
      </c>
      <c r="C379" t="str">
        <f>IFERROR(INDEX('Master data'!$B$2:$CL$1000,MATCH($B379,'Master data'!$A$2:$A$1000,0),MATCH(C$1,'Master data'!$B$1:$CL$1,0)),"")</f>
        <v>Turkey</v>
      </c>
      <c r="D379" t="str">
        <f>IFERROR(INDEX('Master data'!$B$2:$CL$1000,MATCH($B379,'Master data'!$A$2:$A$1000,0),MATCH(D$1,'Master data'!$B$1:$CL$1,0)),"")</f>
        <v>Striker</v>
      </c>
      <c r="E379" s="5">
        <f>IFERROR(INDEX('Master data'!$B$2:$CL$1000,MATCH($B379,'Master data'!$A$2:$A$1000,0),MATCH(E$1,'Master data'!$B$1:$CL$1,0)),"")</f>
        <v>2500000</v>
      </c>
      <c r="F379" s="7">
        <f>IFERROR(INDEX('Master data'!$B$2:$CL$1000,MATCH($B379,'Master data'!$A$2:$A$1000,0),MATCH(F$1,'Master data'!$B$1:$CL$1,0)),"")</f>
        <v>-5000</v>
      </c>
      <c r="G379" s="7">
        <f>IFERROR(INDEX('Master data'!$B$2:$CL$1000,MATCH($B379,'Master data'!$A$2:$A$1000,0),MATCH(G$1,'Master data'!$B$1:$CL$1,0)),"")</f>
        <v>-5000</v>
      </c>
      <c r="H379" s="7">
        <f>IFERROR(INDEX('Master data'!$B$2:$CL$1000,MATCH($B379,'Master data'!$A$2:$A$1000,0),MATCH(H$1,'Master data'!$B$1:$CL$1,0)),"")</f>
        <v>-5000</v>
      </c>
      <c r="I379" s="7">
        <f>IFERROR(INDEX('Master data'!$B$2:$CL$1000,MATCH($B379,'Master data'!$A$2:$A$1000,0),MATCH(I$1,'Master data'!$B$1:$CL$1,0)),"")</f>
        <v>-18036.47995834285</v>
      </c>
      <c r="J379" s="7">
        <f>IFERROR(INDEX('Master data'!$B$2:$CL$1000,MATCH($B379,'Master data'!$A$2:$A$1000,0),MATCH(J$1,'Master data'!$B$1:$CL$1,0)),"")</f>
        <v>-8876.8454166729152</v>
      </c>
      <c r="K379" s="7">
        <f>IFERROR(INDEX('Master data'!$B$2:$CL$1000,MATCH($B379,'Master data'!$A$2:$A$1000,0),MATCH(K$1,'Master data'!$B$1:$CL$1,0)),"")</f>
        <v>-4312.3152299404483</v>
      </c>
      <c r="L379" s="7">
        <f>IFERROR(INDEX('Master data'!$B$2:$CL$1000,MATCH($B379,'Master data'!$A$2:$A$1000,0),MATCH(L$1,'Master data'!$B$1:$CL$1,0)),"")</f>
        <v>-1999.781438472417</v>
      </c>
      <c r="M379" s="5">
        <f>IFERROR(INDEX('Master data'!$B$2:$CL$1000,MATCH($B379,'Master data'!$A$2:$A$1000,0),MATCH(M$1,'Master data'!$B$1:$CL$1,0)),"")</f>
        <v>-18396.589417200921</v>
      </c>
      <c r="N379" s="28">
        <f>IFERROR(INDEX('Master data'!$B$2:$CL$1000,MATCH($B379,'Master data'!$A$2:$A$1000,0),MATCH(N$1,'Master data'!$B$1:$CL$1,0)),"")</f>
        <v>-6.0000000000000001E-3</v>
      </c>
      <c r="O379" s="7">
        <f>IFERROR(INDEX('Master data'!$B$2:$CL$1000,MATCH($B379,'Master data'!$A$2:$A$1000,0),MATCH(O$1,'Master data'!$B$1:$CL$1,0)),"")</f>
        <v>0</v>
      </c>
      <c r="P379" s="5">
        <f>IFERROR(INDEX('Master data'!$B$2:$CL$1000,MATCH($B379,'Master data'!$A$2:$A$1000,0),MATCH(P$1,'Master data'!$B$1:$CL$1,0)),"")</f>
        <v>2500000</v>
      </c>
      <c r="Q379" s="5">
        <f>IFERROR(INDEX('Master data'!$B$2:$CL$1000,MATCH($B379,'Master data'!$A$2:$A$1000,0),MATCH(Q$1,'Master data'!$B$1:$CL$1,0)),"")</f>
        <v>2500000</v>
      </c>
    </row>
    <row r="380" spans="1:17" hidden="1">
      <c r="A380">
        <f t="shared" si="5"/>
        <v>378</v>
      </c>
      <c r="B380" t="str">
        <f>IF('Master data'!A380="","",'Master data'!A380)</f>
        <v>Burak B. Yilmaz</v>
      </c>
      <c r="C380" t="str">
        <f>IFERROR(INDEX('Master data'!$B$2:$CL$1000,MATCH($B380,'Master data'!$A$2:$A$1000,0),MATCH(C$1,'Master data'!$B$1:$CL$1,0)),"")</f>
        <v>Turkey</v>
      </c>
      <c r="D380" t="str">
        <f>IFERROR(INDEX('Master data'!$B$2:$CL$1000,MATCH($B380,'Master data'!$A$2:$A$1000,0),MATCH(D$1,'Master data'!$B$1:$CL$1,0)),"")</f>
        <v>Striker</v>
      </c>
      <c r="E380" s="5">
        <f>IFERROR(INDEX('Master data'!$B$2:$CL$1000,MATCH($B380,'Master data'!$A$2:$A$1000,0),MATCH(E$1,'Master data'!$B$1:$CL$1,0)),"")</f>
        <v>4000000</v>
      </c>
      <c r="F380" s="7">
        <f>IFERROR(INDEX('Master data'!$B$2:$CL$1000,MATCH($B380,'Master data'!$A$2:$A$1000,0),MATCH(F$1,'Master data'!$B$1:$CL$1,0)),"")</f>
        <v>19613.955541856212</v>
      </c>
      <c r="G380" s="7">
        <f>IFERROR(INDEX('Master data'!$B$2:$CL$1000,MATCH($B380,'Master data'!$A$2:$A$1000,0),MATCH(G$1,'Master data'!$B$1:$CL$1,0)),"")</f>
        <v>70623.49413031993</v>
      </c>
      <c r="H380" s="7">
        <f>IFERROR(INDEX('Master data'!$B$2:$CL$1000,MATCH($B380,'Master data'!$A$2:$A$1000,0),MATCH(H$1,'Master data'!$B$1:$CL$1,0)),"")</f>
        <v>60354.453149579647</v>
      </c>
      <c r="I380" s="7">
        <f>IFERROR(INDEX('Master data'!$B$2:$CL$1000,MATCH($B380,'Master data'!$A$2:$A$1000,0),MATCH(I$1,'Master data'!$B$1:$CL$1,0)),"")</f>
        <v>5251.6561364396521</v>
      </c>
      <c r="J380" s="7">
        <f>IFERROR(INDEX('Master data'!$B$2:$CL$1000,MATCH($B380,'Master data'!$A$2:$A$1000,0),MATCH(J$1,'Master data'!$B$1:$CL$1,0)),"")</f>
        <v>2439.4670095811157</v>
      </c>
      <c r="K380" s="7">
        <f>IFERROR(INDEX('Master data'!$B$2:$CL$1000,MATCH($B380,'Master data'!$A$2:$A$1000,0),MATCH(K$1,'Master data'!$B$1:$CL$1,0)),"")</f>
        <v>1114.3074582511722</v>
      </c>
      <c r="L380" s="7">
        <f>IFERROR(INDEX('Master data'!$B$2:$CL$1000,MATCH($B380,'Master data'!$A$2:$A$1000,0),MATCH(L$1,'Master data'!$B$1:$CL$1,0)),"")</f>
        <v>483.81667685373549</v>
      </c>
      <c r="M380" s="5">
        <f>IFERROR(INDEX('Master data'!$B$2:$CL$1000,MATCH($B380,'Master data'!$A$2:$A$1000,0),MATCH(M$1,'Master data'!$B$1:$CL$1,0)),"")</f>
        <v>95747.617717385278</v>
      </c>
      <c r="N380" s="28">
        <f>IFERROR(INDEX('Master data'!$B$2:$CL$1000,MATCH($B380,'Master data'!$A$2:$A$1000,0),MATCH(N$1,'Master data'!$B$1:$CL$1,0)),"")</f>
        <v>3.764797570543895E-2</v>
      </c>
      <c r="O380" s="7">
        <f>IFERROR(INDEX('Master data'!$B$2:$CL$1000,MATCH($B380,'Master data'!$A$2:$A$1000,0),MATCH(O$1,'Master data'!$B$1:$CL$1,0)),"")</f>
        <v>0</v>
      </c>
      <c r="P380" s="5">
        <f>IFERROR(INDEX('Master data'!$B$2:$CL$1000,MATCH($B380,'Master data'!$A$2:$A$1000,0),MATCH(P$1,'Master data'!$B$1:$CL$1,0)),"")</f>
        <v>4000000</v>
      </c>
      <c r="Q380" s="5">
        <f>IFERROR(INDEX('Master data'!$B$2:$CL$1000,MATCH($B380,'Master data'!$A$2:$A$1000,0),MATCH(Q$1,'Master data'!$B$1:$CL$1,0)),"")</f>
        <v>4000000</v>
      </c>
    </row>
    <row r="381" spans="1:17" hidden="1">
      <c r="A381">
        <f t="shared" si="5"/>
        <v>379</v>
      </c>
      <c r="B381" t="str">
        <f>IF('Master data'!A381="","",'Master data'!A381)</f>
        <v>Matvei Safonov</v>
      </c>
      <c r="C381" t="str">
        <f>IFERROR(INDEX('Master data'!$B$2:$CL$1000,MATCH($B381,'Master data'!$A$2:$A$1000,0),MATCH(C$1,'Master data'!$B$1:$CL$1,0)),"")</f>
        <v>Russia</v>
      </c>
      <c r="D381" t="str">
        <f>IFERROR(INDEX('Master data'!$B$2:$CL$1000,MATCH($B381,'Master data'!$A$2:$A$1000,0),MATCH(D$1,'Master data'!$B$1:$CL$1,0)),"")</f>
        <v>Goalkeeper</v>
      </c>
      <c r="E381" s="5">
        <f>IFERROR(INDEX('Master data'!$B$2:$CL$1000,MATCH($B381,'Master data'!$A$2:$A$1000,0),MATCH(E$1,'Master data'!$B$1:$CL$1,0)),"")</f>
        <v>3000000</v>
      </c>
      <c r="F381" s="7">
        <f>IFERROR(INDEX('Master data'!$B$2:$CL$1000,MATCH($B381,'Master data'!$A$2:$A$1000,0),MATCH(F$1,'Master data'!$B$1:$CL$1,0)),"")</f>
        <v>25082.322551114885</v>
      </c>
      <c r="G381" s="7">
        <f>IFERROR(INDEX('Master data'!$B$2:$CL$1000,MATCH($B381,'Master data'!$A$2:$A$1000,0),MATCH(G$1,'Master data'!$B$1:$CL$1,0)),"")</f>
        <v>37109.76399341967</v>
      </c>
      <c r="H381" s="7">
        <f>IFERROR(INDEX('Master data'!$B$2:$CL$1000,MATCH($B381,'Master data'!$A$2:$A$1000,0),MATCH(H$1,'Master data'!$B$1:$CL$1,0)),"")</f>
        <v>25467.691168344943</v>
      </c>
      <c r="I381" s="7">
        <f>IFERROR(INDEX('Master data'!$B$2:$CL$1000,MATCH($B381,'Master data'!$A$2:$A$1000,0),MATCH(I$1,'Master data'!$B$1:$CL$1,0)),"")</f>
        <v>-1064.3786182744166</v>
      </c>
      <c r="J381" s="7">
        <f>IFERROR(INDEX('Master data'!$B$2:$CL$1000,MATCH($B381,'Master data'!$A$2:$A$1000,0),MATCH(J$1,'Master data'!$B$1:$CL$1,0)),"")</f>
        <v>-614.60938904416992</v>
      </c>
      <c r="K381" s="7">
        <f>IFERROR(INDEX('Master data'!$B$2:$CL$1000,MATCH($B381,'Master data'!$A$2:$A$1000,0),MATCH(K$1,'Master data'!$B$1:$CL$1,0)),"")</f>
        <v>-340.99177412985512</v>
      </c>
      <c r="L381" s="7">
        <f>IFERROR(INDEX('Master data'!$B$2:$CL$1000,MATCH($B381,'Master data'!$A$2:$A$1000,0),MATCH(L$1,'Master data'!$B$1:$CL$1,0)),"")</f>
        <v>-174.66917786550894</v>
      </c>
      <c r="M381" s="5">
        <f>IFERROR(INDEX('Master data'!$B$2:$CL$1000,MATCH($B381,'Master data'!$A$2:$A$1000,0),MATCH(M$1,'Master data'!$B$1:$CL$1,0)),"")</f>
        <v>60644.124564936865</v>
      </c>
      <c r="N381" s="28">
        <f>IFERROR(INDEX('Master data'!$B$2:$CL$1000,MATCH($B381,'Master data'!$A$2:$A$1000,0),MATCH(N$1,'Master data'!$B$1:$CL$1,0)),"")</f>
        <v>2.9219925904293165E-2</v>
      </c>
      <c r="O381" s="7">
        <f>IFERROR(INDEX('Master data'!$B$2:$CL$1000,MATCH($B381,'Master data'!$A$2:$A$1000,0),MATCH(O$1,'Master data'!$B$1:$CL$1,0)),"")</f>
        <v>0</v>
      </c>
      <c r="P381" s="5">
        <f>IFERROR(INDEX('Master data'!$B$2:$CL$1000,MATCH($B381,'Master data'!$A$2:$A$1000,0),MATCH(P$1,'Master data'!$B$1:$CL$1,0)),"")</f>
        <v>3000000</v>
      </c>
      <c r="Q381" s="5">
        <f>IFERROR(INDEX('Master data'!$B$2:$CL$1000,MATCH($B381,'Master data'!$A$2:$A$1000,0),MATCH(Q$1,'Master data'!$B$1:$CL$1,0)),"")</f>
        <v>3000000</v>
      </c>
    </row>
    <row r="382" spans="1:17" hidden="1">
      <c r="A382">
        <f t="shared" si="5"/>
        <v>380</v>
      </c>
      <c r="B382" t="str">
        <f>IF('Master data'!A382="","",'Master data'!A382)</f>
        <v>Fedor Kudryashov</v>
      </c>
      <c r="C382" t="str">
        <f>IFERROR(INDEX('Master data'!$B$2:$CL$1000,MATCH($B382,'Master data'!$A$2:$A$1000,0),MATCH(C$1,'Master data'!$B$1:$CL$1,0)),"")</f>
        <v>Russia</v>
      </c>
      <c r="D382" t="str">
        <f>IFERROR(INDEX('Master data'!$B$2:$CL$1000,MATCH($B382,'Master data'!$A$2:$A$1000,0),MATCH(D$1,'Master data'!$B$1:$CL$1,0)),"")</f>
        <v>Defense</v>
      </c>
      <c r="E382" s="5">
        <f>IFERROR(INDEX('Master data'!$B$2:$CL$1000,MATCH($B382,'Master data'!$A$2:$A$1000,0),MATCH(E$1,'Master data'!$B$1:$CL$1,0)),"")</f>
        <v>3000000</v>
      </c>
      <c r="F382" s="7">
        <f>IFERROR(INDEX('Master data'!$B$2:$CL$1000,MATCH($B382,'Master data'!$A$2:$A$1000,0),MATCH(F$1,'Master data'!$B$1:$CL$1,0)),"")</f>
        <v>14401.122201197708</v>
      </c>
      <c r="G382" s="7">
        <f>IFERROR(INDEX('Master data'!$B$2:$CL$1000,MATCH($B382,'Master data'!$A$2:$A$1000,0),MATCH(G$1,'Master data'!$B$1:$CL$1,0)),"")</f>
        <v>62398.365374952715</v>
      </c>
      <c r="H382" s="7">
        <f>IFERROR(INDEX('Master data'!$B$2:$CL$1000,MATCH($B382,'Master data'!$A$2:$A$1000,0),MATCH(H$1,'Master data'!$B$1:$CL$1,0)),"")</f>
        <v>20500.329966762329</v>
      </c>
      <c r="I382" s="7">
        <f>IFERROR(INDEX('Master data'!$B$2:$CL$1000,MATCH($B382,'Master data'!$A$2:$A$1000,0),MATCH(I$1,'Master data'!$B$1:$CL$1,0)),"")</f>
        <v>938.19712195216323</v>
      </c>
      <c r="J382" s="7">
        <f>IFERROR(INDEX('Master data'!$B$2:$CL$1000,MATCH($B382,'Master data'!$A$2:$A$1000,0),MATCH(J$1,'Master data'!$B$1:$CL$1,0)),"")</f>
        <v>358.23835131302388</v>
      </c>
      <c r="K382" s="7">
        <f>IFERROR(INDEX('Master data'!$B$2:$CL$1000,MATCH($B382,'Master data'!$A$2:$A$1000,0),MATCH(K$1,'Master data'!$B$1:$CL$1,0)),"")</f>
        <v>123.49096928889415</v>
      </c>
      <c r="L382" s="7">
        <f>IFERROR(INDEX('Master data'!$B$2:$CL$1000,MATCH($B382,'Master data'!$A$2:$A$1000,0),MATCH(L$1,'Master data'!$B$1:$CL$1,0)),"")</f>
        <v>33.597736768277677</v>
      </c>
      <c r="M382" s="5">
        <f>IFERROR(INDEX('Master data'!$B$2:$CL$1000,MATCH($B382,'Master data'!$A$2:$A$1000,0),MATCH(M$1,'Master data'!$B$1:$CL$1,0)),"")</f>
        <v>65479.249458527833</v>
      </c>
      <c r="N382" s="28">
        <f>IFERROR(INDEX('Master data'!$B$2:$CL$1000,MATCH($B382,'Master data'!$A$2:$A$1000,0),MATCH(N$1,'Master data'!$B$1:$CL$1,0)),"")</f>
        <v>3.2433272514304251E-2</v>
      </c>
      <c r="O382" s="7">
        <f>IFERROR(INDEX('Master data'!$B$2:$CL$1000,MATCH($B382,'Master data'!$A$2:$A$1000,0),MATCH(O$1,'Master data'!$B$1:$CL$1,0)),"")</f>
        <v>0</v>
      </c>
      <c r="P382" s="5">
        <f>IFERROR(INDEX('Master data'!$B$2:$CL$1000,MATCH($B382,'Master data'!$A$2:$A$1000,0),MATCH(P$1,'Master data'!$B$1:$CL$1,0)),"")</f>
        <v>3000000</v>
      </c>
      <c r="Q382" s="5">
        <f>IFERROR(INDEX('Master data'!$B$2:$CL$1000,MATCH($B382,'Master data'!$A$2:$A$1000,0),MATCH(Q$1,'Master data'!$B$1:$CL$1,0)),"")</f>
        <v>3000000</v>
      </c>
    </row>
    <row r="383" spans="1:17" hidden="1">
      <c r="A383">
        <f t="shared" si="5"/>
        <v>381</v>
      </c>
      <c r="B383" t="str">
        <f>IF('Master data'!A383="","",'Master data'!A383)</f>
        <v>Mário Fernandes</v>
      </c>
      <c r="C383" t="str">
        <f>IFERROR(INDEX('Master data'!$B$2:$CL$1000,MATCH($B383,'Master data'!$A$2:$A$1000,0),MATCH(C$1,'Master data'!$B$1:$CL$1,0)),"")</f>
        <v>Russia</v>
      </c>
      <c r="D383" t="str">
        <f>IFERROR(INDEX('Master data'!$B$2:$CL$1000,MATCH($B383,'Master data'!$A$2:$A$1000,0),MATCH(D$1,'Master data'!$B$1:$CL$1,0)),"")</f>
        <v>Defense</v>
      </c>
      <c r="E383" s="5">
        <f>IFERROR(INDEX('Master data'!$B$2:$CL$1000,MATCH($B383,'Master data'!$A$2:$A$1000,0),MATCH(E$1,'Master data'!$B$1:$CL$1,0)),"")</f>
        <v>3500000</v>
      </c>
      <c r="F383" s="7">
        <f>IFERROR(INDEX('Master data'!$B$2:$CL$1000,MATCH($B383,'Master data'!$A$2:$A$1000,0),MATCH(F$1,'Master data'!$B$1:$CL$1,0)),"")</f>
        <v>5504.3768236765354</v>
      </c>
      <c r="G383" s="7">
        <f>IFERROR(INDEX('Master data'!$B$2:$CL$1000,MATCH($B383,'Master data'!$A$2:$A$1000,0),MATCH(G$1,'Master data'!$B$1:$CL$1,0)),"")</f>
        <v>18434.415441982888</v>
      </c>
      <c r="H383" s="7">
        <f>IFERROR(INDEX('Master data'!$B$2:$CL$1000,MATCH($B383,'Master data'!$A$2:$A$1000,0),MATCH(H$1,'Master data'!$B$1:$CL$1,0)),"")</f>
        <v>6097.5317526960152</v>
      </c>
      <c r="I383" s="7">
        <f>IFERROR(INDEX('Master data'!$B$2:$CL$1000,MATCH($B383,'Master data'!$A$2:$A$1000,0),MATCH(I$1,'Master data'!$B$1:$CL$1,0)),"")</f>
        <v>-16247.199343424536</v>
      </c>
      <c r="J383" s="7">
        <f>IFERROR(INDEX('Master data'!$B$2:$CL$1000,MATCH($B383,'Master data'!$A$2:$A$1000,0),MATCH(J$1,'Master data'!$B$1:$CL$1,0)),"")</f>
        <v>-8006.652774525749</v>
      </c>
      <c r="K383" s="7">
        <f>IFERROR(INDEX('Master data'!$B$2:$CL$1000,MATCH($B383,'Master data'!$A$2:$A$1000,0),MATCH(K$1,'Master data'!$B$1:$CL$1,0)),"")</f>
        <v>-3878.2217557987597</v>
      </c>
      <c r="L383" s="7">
        <f>IFERROR(INDEX('Master data'!$B$2:$CL$1000,MATCH($B383,'Master data'!$A$2:$A$1000,0),MATCH(L$1,'Master data'!$B$1:$CL$1,0)),"")</f>
        <v>-1764.3376225953498</v>
      </c>
      <c r="M383" s="5">
        <f>IFERROR(INDEX('Master data'!$B$2:$CL$1000,MATCH($B383,'Master data'!$A$2:$A$1000,0),MATCH(M$1,'Master data'!$B$1:$CL$1,0)),"")</f>
        <v>13442.849030210149</v>
      </c>
      <c r="N383" s="28">
        <f>IFERROR(INDEX('Master data'!$B$2:$CL$1000,MATCH($B383,'Master data'!$A$2:$A$1000,0),MATCH(N$1,'Master data'!$B$1:$CL$1,0)),"")</f>
        <v>8.5818068623872684E-3</v>
      </c>
      <c r="O383" s="7">
        <f>IFERROR(INDEX('Master data'!$B$2:$CL$1000,MATCH($B383,'Master data'!$A$2:$A$1000,0),MATCH(O$1,'Master data'!$B$1:$CL$1,0)),"")</f>
        <v>0</v>
      </c>
      <c r="P383" s="5">
        <f>IFERROR(INDEX('Master data'!$B$2:$CL$1000,MATCH($B383,'Master data'!$A$2:$A$1000,0),MATCH(P$1,'Master data'!$B$1:$CL$1,0)),"")</f>
        <v>3500000</v>
      </c>
      <c r="Q383" s="5">
        <f>IFERROR(INDEX('Master data'!$B$2:$CL$1000,MATCH($B383,'Master data'!$A$2:$A$1000,0),MATCH(Q$1,'Master data'!$B$1:$CL$1,0)),"")</f>
        <v>3500000</v>
      </c>
    </row>
    <row r="384" spans="1:17" hidden="1">
      <c r="A384">
        <f t="shared" si="5"/>
        <v>382</v>
      </c>
      <c r="B384" t="str">
        <f>IF('Master data'!A384="","",'Master data'!A384)</f>
        <v>Yuri Zhirkov</v>
      </c>
      <c r="C384" t="str">
        <f>IFERROR(INDEX('Master data'!$B$2:$CL$1000,MATCH($B384,'Master data'!$A$2:$A$1000,0),MATCH(C$1,'Master data'!$B$1:$CL$1,0)),"")</f>
        <v>Russia</v>
      </c>
      <c r="D384" t="str">
        <f>IFERROR(INDEX('Master data'!$B$2:$CL$1000,MATCH($B384,'Master data'!$A$2:$A$1000,0),MATCH(D$1,'Master data'!$B$1:$CL$1,0)),"")</f>
        <v>Defense</v>
      </c>
      <c r="E384" s="5">
        <f>IFERROR(INDEX('Master data'!$B$2:$CL$1000,MATCH($B384,'Master data'!$A$2:$A$1000,0),MATCH(E$1,'Master data'!$B$1:$CL$1,0)),"")</f>
        <v>3500000</v>
      </c>
      <c r="F384" s="7">
        <f>IFERROR(INDEX('Master data'!$B$2:$CL$1000,MATCH($B384,'Master data'!$A$2:$A$1000,0),MATCH(F$1,'Master data'!$B$1:$CL$1,0)),"")</f>
        <v>5504.3768236765354</v>
      </c>
      <c r="G384" s="7">
        <f>IFERROR(INDEX('Master data'!$B$2:$CL$1000,MATCH($B384,'Master data'!$A$2:$A$1000,0),MATCH(G$1,'Master data'!$B$1:$CL$1,0)),"")</f>
        <v>18434.415441982888</v>
      </c>
      <c r="H384" s="7">
        <f>IFERROR(INDEX('Master data'!$B$2:$CL$1000,MATCH($B384,'Master data'!$A$2:$A$1000,0),MATCH(H$1,'Master data'!$B$1:$CL$1,0)),"")</f>
        <v>6097.5317526960152</v>
      </c>
      <c r="I384" s="7">
        <f>IFERROR(INDEX('Master data'!$B$2:$CL$1000,MATCH($B384,'Master data'!$A$2:$A$1000,0),MATCH(I$1,'Master data'!$B$1:$CL$1,0)),"")</f>
        <v>-16247.199343424536</v>
      </c>
      <c r="J384" s="7">
        <f>IFERROR(INDEX('Master data'!$B$2:$CL$1000,MATCH($B384,'Master data'!$A$2:$A$1000,0),MATCH(J$1,'Master data'!$B$1:$CL$1,0)),"")</f>
        <v>-8006.652774525749</v>
      </c>
      <c r="K384" s="7">
        <f>IFERROR(INDEX('Master data'!$B$2:$CL$1000,MATCH($B384,'Master data'!$A$2:$A$1000,0),MATCH(K$1,'Master data'!$B$1:$CL$1,0)),"")</f>
        <v>-3878.2217557987597</v>
      </c>
      <c r="L384" s="7">
        <f>IFERROR(INDEX('Master data'!$B$2:$CL$1000,MATCH($B384,'Master data'!$A$2:$A$1000,0),MATCH(L$1,'Master data'!$B$1:$CL$1,0)),"")</f>
        <v>-1764.3376225953498</v>
      </c>
      <c r="M384" s="5">
        <f>IFERROR(INDEX('Master data'!$B$2:$CL$1000,MATCH($B384,'Master data'!$A$2:$A$1000,0),MATCH(M$1,'Master data'!$B$1:$CL$1,0)),"")</f>
        <v>13442.849030210149</v>
      </c>
      <c r="N384" s="28">
        <f>IFERROR(INDEX('Master data'!$B$2:$CL$1000,MATCH($B384,'Master data'!$A$2:$A$1000,0),MATCH(N$1,'Master data'!$B$1:$CL$1,0)),"")</f>
        <v>8.5818068623872684E-3</v>
      </c>
      <c r="O384" s="7">
        <f>IFERROR(INDEX('Master data'!$B$2:$CL$1000,MATCH($B384,'Master data'!$A$2:$A$1000,0),MATCH(O$1,'Master data'!$B$1:$CL$1,0)),"")</f>
        <v>0</v>
      </c>
      <c r="P384" s="5">
        <f>IFERROR(INDEX('Master data'!$B$2:$CL$1000,MATCH($B384,'Master data'!$A$2:$A$1000,0),MATCH(P$1,'Master data'!$B$1:$CL$1,0)),"")</f>
        <v>3500000</v>
      </c>
      <c r="Q384" s="5">
        <f>IFERROR(INDEX('Master data'!$B$2:$CL$1000,MATCH($B384,'Master data'!$A$2:$A$1000,0),MATCH(Q$1,'Master data'!$B$1:$CL$1,0)),"")</f>
        <v>3500000</v>
      </c>
    </row>
    <row r="385" spans="1:17" hidden="1">
      <c r="A385">
        <f t="shared" si="5"/>
        <v>383</v>
      </c>
      <c r="B385" t="str">
        <f>IF('Master data'!A385="","",'Master data'!A385)</f>
        <v>Georgi Dzhikiya</v>
      </c>
      <c r="C385" t="str">
        <f>IFERROR(INDEX('Master data'!$B$2:$CL$1000,MATCH($B385,'Master data'!$A$2:$A$1000,0),MATCH(C$1,'Master data'!$B$1:$CL$1,0)),"")</f>
        <v>Russia</v>
      </c>
      <c r="D385" t="str">
        <f>IFERROR(INDEX('Master data'!$B$2:$CL$1000,MATCH($B385,'Master data'!$A$2:$A$1000,0),MATCH(D$1,'Master data'!$B$1:$CL$1,0)),"")</f>
        <v>Defense</v>
      </c>
      <c r="E385" s="5">
        <f>IFERROR(INDEX('Master data'!$B$2:$CL$1000,MATCH($B385,'Master data'!$A$2:$A$1000,0),MATCH(E$1,'Master data'!$B$1:$CL$1,0)),"")</f>
        <v>3000000</v>
      </c>
      <c r="F385" s="7">
        <f>IFERROR(INDEX('Master data'!$B$2:$CL$1000,MATCH($B385,'Master data'!$A$2:$A$1000,0),MATCH(F$1,'Master data'!$B$1:$CL$1,0)),"")</f>
        <v>14351.551855313148</v>
      </c>
      <c r="G385" s="7">
        <f>IFERROR(INDEX('Master data'!$B$2:$CL$1000,MATCH($B385,'Master data'!$A$2:$A$1000,0),MATCH(G$1,'Master data'!$B$1:$CL$1,0)),"")</f>
        <v>61277.462029156522</v>
      </c>
      <c r="H385" s="7">
        <f>IFERROR(INDEX('Master data'!$B$2:$CL$1000,MATCH($B385,'Master data'!$A$2:$A$1000,0),MATCH(H$1,'Master data'!$B$1:$CL$1,0)),"")</f>
        <v>20285.928964552273</v>
      </c>
      <c r="I385" s="7">
        <f>IFERROR(INDEX('Master data'!$B$2:$CL$1000,MATCH($B385,'Master data'!$A$2:$A$1000,0),MATCH(I$1,'Master data'!$B$1:$CL$1,0)),"")</f>
        <v>650.5098805987335</v>
      </c>
      <c r="J385" s="7">
        <f>IFERROR(INDEX('Master data'!$B$2:$CL$1000,MATCH($B385,'Master data'!$A$2:$A$1000,0),MATCH(J$1,'Master data'!$B$1:$CL$1,0)),"")</f>
        <v>218.48040006139519</v>
      </c>
      <c r="K385" s="7">
        <f>IFERROR(INDEX('Master data'!$B$2:$CL$1000,MATCH($B385,'Master data'!$A$2:$A$1000,0),MATCH(K$1,'Master data'!$B$1:$CL$1,0)),"")</f>
        <v>56.764025370510538</v>
      </c>
      <c r="L385" s="7">
        <f>IFERROR(INDEX('Master data'!$B$2:$CL$1000,MATCH($B385,'Master data'!$A$2:$A$1000,0),MATCH(L$1,'Master data'!$B$1:$CL$1,0)),"")</f>
        <v>3.6784019173494649</v>
      </c>
      <c r="M385" s="5">
        <f>IFERROR(INDEX('Master data'!$B$2:$CL$1000,MATCH($B385,'Master data'!$A$2:$A$1000,0),MATCH(M$1,'Master data'!$B$1:$CL$1,0)),"")</f>
        <v>64462.859957729401</v>
      </c>
      <c r="N385" s="28">
        <f>IFERROR(INDEX('Master data'!$B$2:$CL$1000,MATCH($B385,'Master data'!$A$2:$A$1000,0),MATCH(N$1,'Master data'!$B$1:$CL$1,0)),"")</f>
        <v>3.1971647616340644E-2</v>
      </c>
      <c r="O385" s="7">
        <f>IFERROR(INDEX('Master data'!$B$2:$CL$1000,MATCH($B385,'Master data'!$A$2:$A$1000,0),MATCH(O$1,'Master data'!$B$1:$CL$1,0)),"")</f>
        <v>0</v>
      </c>
      <c r="P385" s="5">
        <f>IFERROR(INDEX('Master data'!$B$2:$CL$1000,MATCH($B385,'Master data'!$A$2:$A$1000,0),MATCH(P$1,'Master data'!$B$1:$CL$1,0)),"")</f>
        <v>3000000</v>
      </c>
      <c r="Q385" s="5">
        <f>IFERROR(INDEX('Master data'!$B$2:$CL$1000,MATCH($B385,'Master data'!$A$2:$A$1000,0),MATCH(Q$1,'Master data'!$B$1:$CL$1,0)),"")</f>
        <v>3000000</v>
      </c>
    </row>
    <row r="386" spans="1:17" hidden="1">
      <c r="A386">
        <f t="shared" si="5"/>
        <v>384</v>
      </c>
      <c r="B386" t="str">
        <f>IF('Master data'!A386="","",'Master data'!A386)</f>
        <v>Igor Diveev</v>
      </c>
      <c r="C386" t="str">
        <f>IFERROR(INDEX('Master data'!$B$2:$CL$1000,MATCH($B386,'Master data'!$A$2:$A$1000,0),MATCH(C$1,'Master data'!$B$1:$CL$1,0)),"")</f>
        <v>Russia</v>
      </c>
      <c r="D386" t="str">
        <f>IFERROR(INDEX('Master data'!$B$2:$CL$1000,MATCH($B386,'Master data'!$A$2:$A$1000,0),MATCH(D$1,'Master data'!$B$1:$CL$1,0)),"")</f>
        <v>Defense</v>
      </c>
      <c r="E386" s="5">
        <f>IFERROR(INDEX('Master data'!$B$2:$CL$1000,MATCH($B386,'Master data'!$A$2:$A$1000,0),MATCH(E$1,'Master data'!$B$1:$CL$1,0)),"")</f>
        <v>2000000</v>
      </c>
      <c r="F386" s="7">
        <f>IFERROR(INDEX('Master data'!$B$2:$CL$1000,MATCH($B386,'Master data'!$A$2:$A$1000,0),MATCH(F$1,'Master data'!$B$1:$CL$1,0)),"")</f>
        <v>5504.3768236765354</v>
      </c>
      <c r="G386" s="7">
        <f>IFERROR(INDEX('Master data'!$B$2:$CL$1000,MATCH($B386,'Master data'!$A$2:$A$1000,0),MATCH(G$1,'Master data'!$B$1:$CL$1,0)),"")</f>
        <v>18434.415441982888</v>
      </c>
      <c r="H386" s="7">
        <f>IFERROR(INDEX('Master data'!$B$2:$CL$1000,MATCH($B386,'Master data'!$A$2:$A$1000,0),MATCH(H$1,'Master data'!$B$1:$CL$1,0)),"")</f>
        <v>6097.5317526960152</v>
      </c>
      <c r="I386" s="7">
        <f>IFERROR(INDEX('Master data'!$B$2:$CL$1000,MATCH($B386,'Master data'!$A$2:$A$1000,0),MATCH(I$1,'Master data'!$B$1:$CL$1,0)),"")</f>
        <v>-6609.9986787034659</v>
      </c>
      <c r="J386" s="7">
        <f>IFERROR(INDEX('Master data'!$B$2:$CL$1000,MATCH($B386,'Master data'!$A$2:$A$1000,0),MATCH(J$1,'Master data'!$B$1:$CL$1,0)),"")</f>
        <v>-3276.1497233691493</v>
      </c>
      <c r="K386" s="7">
        <f>IFERROR(INDEX('Master data'!$B$2:$CL$1000,MATCH($B386,'Master data'!$A$2:$A$1000,0),MATCH(K$1,'Master data'!$B$1:$CL$1,0)),"")</f>
        <v>-1595.8853184123957</v>
      </c>
      <c r="L386" s="7">
        <f>IFERROR(INDEX('Master data'!$B$2:$CL$1000,MATCH($B386,'Master data'!$A$2:$A$1000,0),MATCH(L$1,'Master data'!$B$1:$CL$1,0)),"")</f>
        <v>-730.0862281496652</v>
      </c>
      <c r="M386" s="5">
        <f>IFERROR(INDEX('Master data'!$B$2:$CL$1000,MATCH($B386,'Master data'!$A$2:$A$1000,0),MATCH(M$1,'Master data'!$B$1:$CL$1,0)),"")</f>
        <v>17624.089318522791</v>
      </c>
      <c r="N386" s="28">
        <f>IFERROR(INDEX('Master data'!$B$2:$CL$1000,MATCH($B386,'Master data'!$A$2:$A$1000,0),MATCH(N$1,'Master data'!$B$1:$CL$1,0)),"")</f>
        <v>1.5018162009177719E-2</v>
      </c>
      <c r="O386" s="7">
        <f>IFERROR(INDEX('Master data'!$B$2:$CL$1000,MATCH($B386,'Master data'!$A$2:$A$1000,0),MATCH(O$1,'Master data'!$B$1:$CL$1,0)),"")</f>
        <v>0</v>
      </c>
      <c r="P386" s="5">
        <f>IFERROR(INDEX('Master data'!$B$2:$CL$1000,MATCH($B386,'Master data'!$A$2:$A$1000,0),MATCH(P$1,'Master data'!$B$1:$CL$1,0)),"")</f>
        <v>2000000</v>
      </c>
      <c r="Q386" s="5">
        <f>IFERROR(INDEX('Master data'!$B$2:$CL$1000,MATCH($B386,'Master data'!$A$2:$A$1000,0),MATCH(Q$1,'Master data'!$B$1:$CL$1,0)),"")</f>
        <v>2000000</v>
      </c>
    </row>
    <row r="387" spans="1:17" hidden="1">
      <c r="A387">
        <f t="shared" ref="A387:A450" si="6">IF(B387="","",ROW()-2)</f>
        <v>385</v>
      </c>
      <c r="B387" t="str">
        <f>IF('Master data'!A387="","",'Master data'!A387)</f>
        <v>Denis Makarov</v>
      </c>
      <c r="C387" t="str">
        <f>IFERROR(INDEX('Master data'!$B$2:$CL$1000,MATCH($B387,'Master data'!$A$2:$A$1000,0),MATCH(C$1,'Master data'!$B$1:$CL$1,0)),"")</f>
        <v>Russia</v>
      </c>
      <c r="D387" t="str">
        <f>IFERROR(INDEX('Master data'!$B$2:$CL$1000,MATCH($B387,'Master data'!$A$2:$A$1000,0),MATCH(D$1,'Master data'!$B$1:$CL$1,0)),"")</f>
        <v>Midfield</v>
      </c>
      <c r="E387" s="5">
        <f>IFERROR(INDEX('Master data'!$B$2:$CL$1000,MATCH($B387,'Master data'!$A$2:$A$1000,0),MATCH(E$1,'Master data'!$B$1:$CL$1,0)),"")</f>
        <v>2500000</v>
      </c>
      <c r="F387" s="7">
        <f>IFERROR(INDEX('Master data'!$B$2:$CL$1000,MATCH($B387,'Master data'!$A$2:$A$1000,0),MATCH(F$1,'Master data'!$B$1:$CL$1,0)),"")</f>
        <v>-5000</v>
      </c>
      <c r="G387" s="7">
        <f>IFERROR(INDEX('Master data'!$B$2:$CL$1000,MATCH($B387,'Master data'!$A$2:$A$1000,0),MATCH(G$1,'Master data'!$B$1:$CL$1,0)),"")</f>
        <v>-5000</v>
      </c>
      <c r="H387" s="7">
        <f>IFERROR(INDEX('Master data'!$B$2:$CL$1000,MATCH($B387,'Master data'!$A$2:$A$1000,0),MATCH(H$1,'Master data'!$B$1:$CL$1,0)),"")</f>
        <v>-5000</v>
      </c>
      <c r="I387" s="7">
        <f>IFERROR(INDEX('Master data'!$B$2:$CL$1000,MATCH($B387,'Master data'!$A$2:$A$1000,0),MATCH(I$1,'Master data'!$B$1:$CL$1,0)),"")</f>
        <v>-19178.029322794926</v>
      </c>
      <c r="J387" s="7">
        <f>IFERROR(INDEX('Master data'!$B$2:$CL$1000,MATCH($B387,'Master data'!$A$2:$A$1000,0),MATCH(J$1,'Master data'!$B$1:$CL$1,0)),"")</f>
        <v>-9397.9327282977792</v>
      </c>
      <c r="K387" s="7">
        <f>IFERROR(INDEX('Master data'!$B$2:$CL$1000,MATCH($B387,'Master data'!$A$2:$A$1000,0),MATCH(K$1,'Master data'!$B$1:$CL$1,0)),"")</f>
        <v>-4526.6339341496214</v>
      </c>
      <c r="L387" s="7">
        <f>IFERROR(INDEX('Master data'!$B$2:$CL$1000,MATCH($B387,'Master data'!$A$2:$A$1000,0),MATCH(L$1,'Master data'!$B$1:$CL$1,0)),"")</f>
        <v>-2047.8177610024545</v>
      </c>
      <c r="M387" s="5">
        <f>IFERROR(INDEX('Master data'!$B$2:$CL$1000,MATCH($B387,'Master data'!$A$2:$A$1000,0),MATCH(M$1,'Master data'!$B$1:$CL$1,0)),"")</f>
        <v>-18870.197312731281</v>
      </c>
      <c r="N387" s="28">
        <f>IFERROR(INDEX('Master data'!$B$2:$CL$1000,MATCH($B387,'Master data'!$A$2:$A$1000,0),MATCH(N$1,'Master data'!$B$1:$CL$1,0)),"")</f>
        <v>-6.0000000000000001E-3</v>
      </c>
      <c r="O387" s="7">
        <f>IFERROR(INDEX('Master data'!$B$2:$CL$1000,MATCH($B387,'Master data'!$A$2:$A$1000,0),MATCH(O$1,'Master data'!$B$1:$CL$1,0)),"")</f>
        <v>0</v>
      </c>
      <c r="P387" s="5">
        <f>IFERROR(INDEX('Master data'!$B$2:$CL$1000,MATCH($B387,'Master data'!$A$2:$A$1000,0),MATCH(P$1,'Master data'!$B$1:$CL$1,0)),"")</f>
        <v>2500000</v>
      </c>
      <c r="Q387" s="5">
        <f>IFERROR(INDEX('Master data'!$B$2:$CL$1000,MATCH($B387,'Master data'!$A$2:$A$1000,0),MATCH(Q$1,'Master data'!$B$1:$CL$1,0)),"")</f>
        <v>2500000</v>
      </c>
    </row>
    <row r="388" spans="1:17" hidden="1">
      <c r="A388">
        <f t="shared" si="6"/>
        <v>386</v>
      </c>
      <c r="B388" t="str">
        <f>IF('Master data'!A388="","",'Master data'!A388)</f>
        <v>Daniil Fomin</v>
      </c>
      <c r="C388" t="str">
        <f>IFERROR(INDEX('Master data'!$B$2:$CL$1000,MATCH($B388,'Master data'!$A$2:$A$1000,0),MATCH(C$1,'Master data'!$B$1:$CL$1,0)),"")</f>
        <v>Russia</v>
      </c>
      <c r="D388" t="str">
        <f>IFERROR(INDEX('Master data'!$B$2:$CL$1000,MATCH($B388,'Master data'!$A$2:$A$1000,0),MATCH(D$1,'Master data'!$B$1:$CL$1,0)),"")</f>
        <v>Midfield</v>
      </c>
      <c r="E388" s="5">
        <f>IFERROR(INDEX('Master data'!$B$2:$CL$1000,MATCH($B388,'Master data'!$A$2:$A$1000,0),MATCH(E$1,'Master data'!$B$1:$CL$1,0)),"")</f>
        <v>2000000</v>
      </c>
      <c r="F388" s="7">
        <f>IFERROR(INDEX('Master data'!$B$2:$CL$1000,MATCH($B388,'Master data'!$A$2:$A$1000,0),MATCH(F$1,'Master data'!$B$1:$CL$1,0)),"")</f>
        <v>-5000</v>
      </c>
      <c r="G388" s="7">
        <f>IFERROR(INDEX('Master data'!$B$2:$CL$1000,MATCH($B388,'Master data'!$A$2:$A$1000,0),MATCH(G$1,'Master data'!$B$1:$CL$1,0)),"")</f>
        <v>-5000</v>
      </c>
      <c r="H388" s="7">
        <f>IFERROR(INDEX('Master data'!$B$2:$CL$1000,MATCH($B388,'Master data'!$A$2:$A$1000,0),MATCH(H$1,'Master data'!$B$1:$CL$1,0)),"")</f>
        <v>-5000</v>
      </c>
      <c r="I388" s="7">
        <f>IFERROR(INDEX('Master data'!$B$2:$CL$1000,MATCH($B388,'Master data'!$A$2:$A$1000,0),MATCH(I$1,'Master data'!$B$1:$CL$1,0)),"")</f>
        <v>-15965.629101221237</v>
      </c>
      <c r="J388" s="7">
        <f>IFERROR(INDEX('Master data'!$B$2:$CL$1000,MATCH($B388,'Master data'!$A$2:$A$1000,0),MATCH(J$1,'Master data'!$B$1:$CL$1,0)),"")</f>
        <v>-7821.0983779122453</v>
      </c>
      <c r="K388" s="7">
        <f>IFERROR(INDEX('Master data'!$B$2:$CL$1000,MATCH($B388,'Master data'!$A$2:$A$1000,0),MATCH(K$1,'Master data'!$B$1:$CL$1,0)),"")</f>
        <v>-3765.8551216874998</v>
      </c>
      <c r="L388" s="7">
        <f>IFERROR(INDEX('Master data'!$B$2:$CL$1000,MATCH($B388,'Master data'!$A$2:$A$1000,0),MATCH(L$1,'Master data'!$B$1:$CL$1,0)),"")</f>
        <v>-1703.0672961872265</v>
      </c>
      <c r="M388" s="5">
        <f>IFERROR(INDEX('Master data'!$B$2:$CL$1000,MATCH($B388,'Master data'!$A$2:$A$1000,0),MATCH(M$1,'Master data'!$B$1:$CL$1,0)),"")</f>
        <v>-17476.450549960402</v>
      </c>
      <c r="N388" s="28">
        <f>IFERROR(INDEX('Master data'!$B$2:$CL$1000,MATCH($B388,'Master data'!$A$2:$A$1000,0),MATCH(N$1,'Master data'!$B$1:$CL$1,0)),"")</f>
        <v>-7.4999999999999997E-3</v>
      </c>
      <c r="O388" s="7">
        <f>IFERROR(INDEX('Master data'!$B$2:$CL$1000,MATCH($B388,'Master data'!$A$2:$A$1000,0),MATCH(O$1,'Master data'!$B$1:$CL$1,0)),"")</f>
        <v>0</v>
      </c>
      <c r="P388" s="5">
        <f>IFERROR(INDEX('Master data'!$B$2:$CL$1000,MATCH($B388,'Master data'!$A$2:$A$1000,0),MATCH(P$1,'Master data'!$B$1:$CL$1,0)),"")</f>
        <v>2000000</v>
      </c>
      <c r="Q388" s="5">
        <f>IFERROR(INDEX('Master data'!$B$2:$CL$1000,MATCH($B388,'Master data'!$A$2:$A$1000,0),MATCH(Q$1,'Master data'!$B$1:$CL$1,0)),"")</f>
        <v>2000000</v>
      </c>
    </row>
    <row r="389" spans="1:17" hidden="1">
      <c r="A389">
        <f t="shared" si="6"/>
        <v>387</v>
      </c>
      <c r="B389" t="str">
        <f>IF('Master data'!A389="","",'Master data'!A389)</f>
        <v>Dmitri Barinov</v>
      </c>
      <c r="C389" t="str">
        <f>IFERROR(INDEX('Master data'!$B$2:$CL$1000,MATCH($B389,'Master data'!$A$2:$A$1000,0),MATCH(C$1,'Master data'!$B$1:$CL$1,0)),"")</f>
        <v>Russia</v>
      </c>
      <c r="D389" t="str">
        <f>IFERROR(INDEX('Master data'!$B$2:$CL$1000,MATCH($B389,'Master data'!$A$2:$A$1000,0),MATCH(D$1,'Master data'!$B$1:$CL$1,0)),"")</f>
        <v>Midfield</v>
      </c>
      <c r="E389" s="5">
        <f>IFERROR(INDEX('Master data'!$B$2:$CL$1000,MATCH($B389,'Master data'!$A$2:$A$1000,0),MATCH(E$1,'Master data'!$B$1:$CL$1,0)),"")</f>
        <v>2000000</v>
      </c>
      <c r="F389" s="7">
        <f>IFERROR(INDEX('Master data'!$B$2:$CL$1000,MATCH($B389,'Master data'!$A$2:$A$1000,0),MATCH(F$1,'Master data'!$B$1:$CL$1,0)),"")</f>
        <v>-5000</v>
      </c>
      <c r="G389" s="7">
        <f>IFERROR(INDEX('Master data'!$B$2:$CL$1000,MATCH($B389,'Master data'!$A$2:$A$1000,0),MATCH(G$1,'Master data'!$B$1:$CL$1,0)),"")</f>
        <v>-5000</v>
      </c>
      <c r="H389" s="7">
        <f>IFERROR(INDEX('Master data'!$B$2:$CL$1000,MATCH($B389,'Master data'!$A$2:$A$1000,0),MATCH(H$1,'Master data'!$B$1:$CL$1,0)),"")</f>
        <v>-5000</v>
      </c>
      <c r="I389" s="7">
        <f>IFERROR(INDEX('Master data'!$B$2:$CL$1000,MATCH($B389,'Master data'!$A$2:$A$1000,0),MATCH(I$1,'Master data'!$B$1:$CL$1,0)),"")</f>
        <v>-15965.629101221237</v>
      </c>
      <c r="J389" s="7">
        <f>IFERROR(INDEX('Master data'!$B$2:$CL$1000,MATCH($B389,'Master data'!$A$2:$A$1000,0),MATCH(J$1,'Master data'!$B$1:$CL$1,0)),"")</f>
        <v>-7821.0983779122453</v>
      </c>
      <c r="K389" s="7">
        <f>IFERROR(INDEX('Master data'!$B$2:$CL$1000,MATCH($B389,'Master data'!$A$2:$A$1000,0),MATCH(K$1,'Master data'!$B$1:$CL$1,0)),"")</f>
        <v>-3765.8551216874998</v>
      </c>
      <c r="L389" s="7">
        <f>IFERROR(INDEX('Master data'!$B$2:$CL$1000,MATCH($B389,'Master data'!$A$2:$A$1000,0),MATCH(L$1,'Master data'!$B$1:$CL$1,0)),"")</f>
        <v>-1703.0672961872265</v>
      </c>
      <c r="M389" s="5">
        <f>IFERROR(INDEX('Master data'!$B$2:$CL$1000,MATCH($B389,'Master data'!$A$2:$A$1000,0),MATCH(M$1,'Master data'!$B$1:$CL$1,0)),"")</f>
        <v>-17476.450549960402</v>
      </c>
      <c r="N389" s="28">
        <f>IFERROR(INDEX('Master data'!$B$2:$CL$1000,MATCH($B389,'Master data'!$A$2:$A$1000,0),MATCH(N$1,'Master data'!$B$1:$CL$1,0)),"")</f>
        <v>-7.4999999999999997E-3</v>
      </c>
      <c r="O389" s="7">
        <f>IFERROR(INDEX('Master data'!$B$2:$CL$1000,MATCH($B389,'Master data'!$A$2:$A$1000,0),MATCH(O$1,'Master data'!$B$1:$CL$1,0)),"")</f>
        <v>0</v>
      </c>
      <c r="P389" s="5">
        <f>IFERROR(INDEX('Master data'!$B$2:$CL$1000,MATCH($B389,'Master data'!$A$2:$A$1000,0),MATCH(P$1,'Master data'!$B$1:$CL$1,0)),"")</f>
        <v>2000000</v>
      </c>
      <c r="Q389" s="5">
        <f>IFERROR(INDEX('Master data'!$B$2:$CL$1000,MATCH($B389,'Master data'!$A$2:$A$1000,0),MATCH(Q$1,'Master data'!$B$1:$CL$1,0)),"")</f>
        <v>2000000</v>
      </c>
    </row>
    <row r="390" spans="1:17" hidden="1">
      <c r="A390">
        <f t="shared" si="6"/>
        <v>388</v>
      </c>
      <c r="B390" t="str">
        <f>IF('Master data'!A390="","",'Master data'!A390)</f>
        <v>Aleksey Ionov</v>
      </c>
      <c r="C390" t="str">
        <f>IFERROR(INDEX('Master data'!$B$2:$CL$1000,MATCH($B390,'Master data'!$A$2:$A$1000,0),MATCH(C$1,'Master data'!$B$1:$CL$1,0)),"")</f>
        <v>Russia</v>
      </c>
      <c r="D390" t="str">
        <f>IFERROR(INDEX('Master data'!$B$2:$CL$1000,MATCH($B390,'Master data'!$A$2:$A$1000,0),MATCH(D$1,'Master data'!$B$1:$CL$1,0)),"")</f>
        <v>Midfield</v>
      </c>
      <c r="E390" s="5">
        <f>IFERROR(INDEX('Master data'!$B$2:$CL$1000,MATCH($B390,'Master data'!$A$2:$A$1000,0),MATCH(E$1,'Master data'!$B$1:$CL$1,0)),"")</f>
        <v>2500000</v>
      </c>
      <c r="F390" s="7">
        <f>IFERROR(INDEX('Master data'!$B$2:$CL$1000,MATCH($B390,'Master data'!$A$2:$A$1000,0),MATCH(F$1,'Master data'!$B$1:$CL$1,0)),"")</f>
        <v>9754.1362660354716</v>
      </c>
      <c r="G390" s="7">
        <f>IFERROR(INDEX('Master data'!$B$2:$CL$1000,MATCH($B390,'Master data'!$A$2:$A$1000,0),MATCH(G$1,'Master data'!$B$1:$CL$1,0)),"")</f>
        <v>47729.52082907781</v>
      </c>
      <c r="H390" s="7">
        <f>IFERROR(INDEX('Master data'!$B$2:$CL$1000,MATCH($B390,'Master data'!$A$2:$A$1000,0),MATCH(H$1,'Master data'!$B$1:$CL$1,0)),"")</f>
        <v>15707.629085670764</v>
      </c>
      <c r="I390" s="7">
        <f>IFERROR(INDEX('Master data'!$B$2:$CL$1000,MATCH($B390,'Master data'!$A$2:$A$1000,0),MATCH(I$1,'Master data'!$B$1:$CL$1,0)),"")</f>
        <v>-857.59358612967344</v>
      </c>
      <c r="J390" s="7">
        <f>IFERROR(INDEX('Master data'!$B$2:$CL$1000,MATCH($B390,'Master data'!$A$2:$A$1000,0),MATCH(J$1,'Master data'!$B$1:$CL$1,0)),"")</f>
        <v>-497.89756320713673</v>
      </c>
      <c r="K390" s="7">
        <f>IFERROR(INDEX('Master data'!$B$2:$CL$1000,MATCH($B390,'Master data'!$A$2:$A$1000,0),MATCH(K$1,'Master data'!$B$1:$CL$1,0)),"")</f>
        <v>-277.34334270843635</v>
      </c>
      <c r="L390" s="7">
        <f>IFERROR(INDEX('Master data'!$B$2:$CL$1000,MATCH($B390,'Master data'!$A$2:$A$1000,0),MATCH(L$1,'Master data'!$B$1:$CL$1,0)),"")</f>
        <v>-142.50124838449341</v>
      </c>
      <c r="M390" s="5">
        <f>IFERROR(INDEX('Master data'!$B$2:$CL$1000,MATCH($B390,'Master data'!$A$2:$A$1000,0),MATCH(M$1,'Master data'!$B$1:$CL$1,0)),"")</f>
        <v>48153.500384261388</v>
      </c>
      <c r="N390" s="28">
        <f>IFERROR(INDEX('Master data'!$B$2:$CL$1000,MATCH($B390,'Master data'!$A$2:$A$1000,0),MATCH(N$1,'Master data'!$B$1:$CL$1,0)),"")</f>
        <v>2.9276514472313622E-2</v>
      </c>
      <c r="O390" s="7">
        <f>IFERROR(INDEX('Master data'!$B$2:$CL$1000,MATCH($B390,'Master data'!$A$2:$A$1000,0),MATCH(O$1,'Master data'!$B$1:$CL$1,0)),"")</f>
        <v>0</v>
      </c>
      <c r="P390" s="5">
        <f>IFERROR(INDEX('Master data'!$B$2:$CL$1000,MATCH($B390,'Master data'!$A$2:$A$1000,0),MATCH(P$1,'Master data'!$B$1:$CL$1,0)),"")</f>
        <v>2500000</v>
      </c>
      <c r="Q390" s="5">
        <f>IFERROR(INDEX('Master data'!$B$2:$CL$1000,MATCH($B390,'Master data'!$A$2:$A$1000,0),MATCH(Q$1,'Master data'!$B$1:$CL$1,0)),"")</f>
        <v>2500000</v>
      </c>
    </row>
    <row r="391" spans="1:17" hidden="1">
      <c r="A391">
        <f t="shared" si="6"/>
        <v>389</v>
      </c>
      <c r="B391" t="str">
        <f>IF('Master data'!A391="","",'Master data'!A391)</f>
        <v>Roman Zobnin</v>
      </c>
      <c r="C391" t="str">
        <f>IFERROR(INDEX('Master data'!$B$2:$CL$1000,MATCH($B391,'Master data'!$A$2:$A$1000,0),MATCH(C$1,'Master data'!$B$1:$CL$1,0)),"")</f>
        <v>Russia</v>
      </c>
      <c r="D391" t="str">
        <f>IFERROR(INDEX('Master data'!$B$2:$CL$1000,MATCH($B391,'Master data'!$A$2:$A$1000,0),MATCH(D$1,'Master data'!$B$1:$CL$1,0)),"")</f>
        <v>Midfield</v>
      </c>
      <c r="E391" s="5">
        <f>IFERROR(INDEX('Master data'!$B$2:$CL$1000,MATCH($B391,'Master data'!$A$2:$A$1000,0),MATCH(E$1,'Master data'!$B$1:$CL$1,0)),"")</f>
        <v>2500000</v>
      </c>
      <c r="F391" s="7">
        <f>IFERROR(INDEX('Master data'!$B$2:$CL$1000,MATCH($B391,'Master data'!$A$2:$A$1000,0),MATCH(F$1,'Master data'!$B$1:$CL$1,0)),"")</f>
        <v>-5000</v>
      </c>
      <c r="G391" s="7">
        <f>IFERROR(INDEX('Master data'!$B$2:$CL$1000,MATCH($B391,'Master data'!$A$2:$A$1000,0),MATCH(G$1,'Master data'!$B$1:$CL$1,0)),"")</f>
        <v>-5000</v>
      </c>
      <c r="H391" s="7">
        <f>IFERROR(INDEX('Master data'!$B$2:$CL$1000,MATCH($B391,'Master data'!$A$2:$A$1000,0),MATCH(H$1,'Master data'!$B$1:$CL$1,0)),"")</f>
        <v>-5000</v>
      </c>
      <c r="I391" s="7">
        <f>IFERROR(INDEX('Master data'!$B$2:$CL$1000,MATCH($B391,'Master data'!$A$2:$A$1000,0),MATCH(I$1,'Master data'!$B$1:$CL$1,0)),"")</f>
        <v>-19178.029322794926</v>
      </c>
      <c r="J391" s="7">
        <f>IFERROR(INDEX('Master data'!$B$2:$CL$1000,MATCH($B391,'Master data'!$A$2:$A$1000,0),MATCH(J$1,'Master data'!$B$1:$CL$1,0)),"")</f>
        <v>-9397.9327282977792</v>
      </c>
      <c r="K391" s="7">
        <f>IFERROR(INDEX('Master data'!$B$2:$CL$1000,MATCH($B391,'Master data'!$A$2:$A$1000,0),MATCH(K$1,'Master data'!$B$1:$CL$1,0)),"")</f>
        <v>-4526.6339341496214</v>
      </c>
      <c r="L391" s="7">
        <f>IFERROR(INDEX('Master data'!$B$2:$CL$1000,MATCH($B391,'Master data'!$A$2:$A$1000,0),MATCH(L$1,'Master data'!$B$1:$CL$1,0)),"")</f>
        <v>-2047.8177610024545</v>
      </c>
      <c r="M391" s="5">
        <f>IFERROR(INDEX('Master data'!$B$2:$CL$1000,MATCH($B391,'Master data'!$A$2:$A$1000,0),MATCH(M$1,'Master data'!$B$1:$CL$1,0)),"")</f>
        <v>-18870.197312731281</v>
      </c>
      <c r="N391" s="28">
        <f>IFERROR(INDEX('Master data'!$B$2:$CL$1000,MATCH($B391,'Master data'!$A$2:$A$1000,0),MATCH(N$1,'Master data'!$B$1:$CL$1,0)),"")</f>
        <v>-6.0000000000000001E-3</v>
      </c>
      <c r="O391" s="7">
        <f>IFERROR(INDEX('Master data'!$B$2:$CL$1000,MATCH($B391,'Master data'!$A$2:$A$1000,0),MATCH(O$1,'Master data'!$B$1:$CL$1,0)),"")</f>
        <v>0</v>
      </c>
      <c r="P391" s="5">
        <f>IFERROR(INDEX('Master data'!$B$2:$CL$1000,MATCH($B391,'Master data'!$A$2:$A$1000,0),MATCH(P$1,'Master data'!$B$1:$CL$1,0)),"")</f>
        <v>2500000</v>
      </c>
      <c r="Q391" s="5">
        <f>IFERROR(INDEX('Master data'!$B$2:$CL$1000,MATCH($B391,'Master data'!$A$2:$A$1000,0),MATCH(Q$1,'Master data'!$B$1:$CL$1,0)),"")</f>
        <v>2500000</v>
      </c>
    </row>
    <row r="392" spans="1:17" hidden="1">
      <c r="A392">
        <f t="shared" si="6"/>
        <v>390</v>
      </c>
      <c r="B392" t="str">
        <f>IF('Master data'!A392="","",'Master data'!A392)</f>
        <v>Daler Kuzyayev</v>
      </c>
      <c r="C392" t="str">
        <f>IFERROR(INDEX('Master data'!$B$2:$CL$1000,MATCH($B392,'Master data'!$A$2:$A$1000,0),MATCH(C$1,'Master data'!$B$1:$CL$1,0)),"")</f>
        <v>Russia</v>
      </c>
      <c r="D392" t="str">
        <f>IFERROR(INDEX('Master data'!$B$2:$CL$1000,MATCH($B392,'Master data'!$A$2:$A$1000,0),MATCH(D$1,'Master data'!$B$1:$CL$1,0)),"")</f>
        <v>Midfield</v>
      </c>
      <c r="E392" s="5">
        <f>IFERROR(INDEX('Master data'!$B$2:$CL$1000,MATCH($B392,'Master data'!$A$2:$A$1000,0),MATCH(E$1,'Master data'!$B$1:$CL$1,0)),"")</f>
        <v>3000000</v>
      </c>
      <c r="F392" s="7">
        <f>IFERROR(INDEX('Master data'!$B$2:$CL$1000,MATCH($B392,'Master data'!$A$2:$A$1000,0),MATCH(F$1,'Master data'!$B$1:$CL$1,0)),"")</f>
        <v>10908.956510294829</v>
      </c>
      <c r="G392" s="7">
        <f>IFERROR(INDEX('Master data'!$B$2:$CL$1000,MATCH($B392,'Master data'!$A$2:$A$1000,0),MATCH(G$1,'Master data'!$B$1:$CL$1,0)),"")</f>
        <v>51253.161450161497</v>
      </c>
      <c r="H392" s="7">
        <f>IFERROR(INDEX('Master data'!$B$2:$CL$1000,MATCH($B392,'Master data'!$A$2:$A$1000,0),MATCH(H$1,'Master data'!$B$1:$CL$1,0)),"")</f>
        <v>17226.905775742387</v>
      </c>
      <c r="I392" s="7">
        <f>IFERROR(INDEX('Master data'!$B$2:$CL$1000,MATCH($B392,'Master data'!$A$2:$A$1000,0),MATCH(I$1,'Master data'!$B$1:$CL$1,0)),"")</f>
        <v>-2782.50546827793</v>
      </c>
      <c r="J392" s="7">
        <f>IFERROR(INDEX('Master data'!$B$2:$CL$1000,MATCH($B392,'Master data'!$A$2:$A$1000,0),MATCH(J$1,'Master data'!$B$1:$CL$1,0)),"")</f>
        <v>-1449.2723633813225</v>
      </c>
      <c r="K392" s="7">
        <f>IFERROR(INDEX('Master data'!$B$2:$CL$1000,MATCH($B392,'Master data'!$A$2:$A$1000,0),MATCH(K$1,'Master data'!$B$1:$CL$1,0)),"")</f>
        <v>-739.49868540440798</v>
      </c>
      <c r="L392" s="7">
        <f>IFERROR(INDEX('Master data'!$B$2:$CL$1000,MATCH($B392,'Master data'!$A$2:$A$1000,0),MATCH(L$1,'Master data'!$B$1:$CL$1,0)),"")</f>
        <v>-353.35354460971649</v>
      </c>
      <c r="M392" s="5">
        <f>IFERROR(INDEX('Master data'!$B$2:$CL$1000,MATCH($B392,'Master data'!$A$2:$A$1000,0),MATCH(M$1,'Master data'!$B$1:$CL$1,0)),"")</f>
        <v>51495.007311378809</v>
      </c>
      <c r="N392" s="28">
        <f>IFERROR(INDEX('Master data'!$B$2:$CL$1000,MATCH($B392,'Master data'!$A$2:$A$1000,0),MATCH(N$1,'Master data'!$B$1:$CL$1,0)),"")</f>
        <v>2.6463007912066235E-2</v>
      </c>
      <c r="O392" s="7">
        <f>IFERROR(INDEX('Master data'!$B$2:$CL$1000,MATCH($B392,'Master data'!$A$2:$A$1000,0),MATCH(O$1,'Master data'!$B$1:$CL$1,0)),"")</f>
        <v>0</v>
      </c>
      <c r="P392" s="5">
        <f>IFERROR(INDEX('Master data'!$B$2:$CL$1000,MATCH($B392,'Master data'!$A$2:$A$1000,0),MATCH(P$1,'Master data'!$B$1:$CL$1,0)),"")</f>
        <v>3000000</v>
      </c>
      <c r="Q392" s="5">
        <f>IFERROR(INDEX('Master data'!$B$2:$CL$1000,MATCH($B392,'Master data'!$A$2:$A$1000,0),MATCH(Q$1,'Master data'!$B$1:$CL$1,0)),"")</f>
        <v>3000000</v>
      </c>
    </row>
    <row r="393" spans="1:17" hidden="1">
      <c r="A393">
        <f t="shared" si="6"/>
        <v>391</v>
      </c>
      <c r="B393" t="str">
        <f>IF('Master data'!A393="","",'Master data'!A393)</f>
        <v>Aleksandr Sobolev</v>
      </c>
      <c r="C393" t="str">
        <f>IFERROR(INDEX('Master data'!$B$2:$CL$1000,MATCH($B393,'Master data'!$A$2:$A$1000,0),MATCH(C$1,'Master data'!$B$1:$CL$1,0)),"")</f>
        <v>Russia</v>
      </c>
      <c r="D393" t="str">
        <f>IFERROR(INDEX('Master data'!$B$2:$CL$1000,MATCH($B393,'Master data'!$A$2:$A$1000,0),MATCH(D$1,'Master data'!$B$1:$CL$1,0)),"")</f>
        <v>Striker</v>
      </c>
      <c r="E393" s="5">
        <f>IFERROR(INDEX('Master data'!$B$2:$CL$1000,MATCH($B393,'Master data'!$A$2:$A$1000,0),MATCH(E$1,'Master data'!$B$1:$CL$1,0)),"")</f>
        <v>3000000</v>
      </c>
      <c r="F393" s="7">
        <f>IFERROR(INDEX('Master data'!$B$2:$CL$1000,MATCH($B393,'Master data'!$A$2:$A$1000,0),MATCH(F$1,'Master data'!$B$1:$CL$1,0)),"")</f>
        <v>-5000</v>
      </c>
      <c r="G393" s="7">
        <f>IFERROR(INDEX('Master data'!$B$2:$CL$1000,MATCH($B393,'Master data'!$A$2:$A$1000,0),MATCH(G$1,'Master data'!$B$1:$CL$1,0)),"")</f>
        <v>-5000</v>
      </c>
      <c r="H393" s="7">
        <f>IFERROR(INDEX('Master data'!$B$2:$CL$1000,MATCH($B393,'Master data'!$A$2:$A$1000,0),MATCH(H$1,'Master data'!$B$1:$CL$1,0)),"")</f>
        <v>-5000</v>
      </c>
      <c r="I393" s="7">
        <f>IFERROR(INDEX('Master data'!$B$2:$CL$1000,MATCH($B393,'Master data'!$A$2:$A$1000,0),MATCH(I$1,'Master data'!$B$1:$CL$1,0)),"")</f>
        <v>-22390.429544368617</v>
      </c>
      <c r="J393" s="7">
        <f>IFERROR(INDEX('Master data'!$B$2:$CL$1000,MATCH($B393,'Master data'!$A$2:$A$1000,0),MATCH(J$1,'Master data'!$B$1:$CL$1,0)),"")</f>
        <v>-10974.767078683311</v>
      </c>
      <c r="K393" s="7">
        <f>IFERROR(INDEX('Master data'!$B$2:$CL$1000,MATCH($B393,'Master data'!$A$2:$A$1000,0),MATCH(K$1,'Master data'!$B$1:$CL$1,0)),"")</f>
        <v>-5287.4127466117425</v>
      </c>
      <c r="L393" s="7">
        <f>IFERROR(INDEX('Master data'!$B$2:$CL$1000,MATCH($B393,'Master data'!$A$2:$A$1000,0),MATCH(L$1,'Master data'!$B$1:$CL$1,0)),"")</f>
        <v>-2392.5682258176826</v>
      </c>
      <c r="M393" s="5">
        <f>IFERROR(INDEX('Master data'!$B$2:$CL$1000,MATCH($B393,'Master data'!$A$2:$A$1000,0),MATCH(M$1,'Master data'!$B$1:$CL$1,0)),"")</f>
        <v>-20263.944075502161</v>
      </c>
      <c r="N393" s="28">
        <f>IFERROR(INDEX('Master data'!$B$2:$CL$1000,MATCH($B393,'Master data'!$A$2:$A$1000,0),MATCH(N$1,'Master data'!$B$1:$CL$1,0)),"")</f>
        <v>-5.0000000000000001E-3</v>
      </c>
      <c r="O393" s="7">
        <f>IFERROR(INDEX('Master data'!$B$2:$CL$1000,MATCH($B393,'Master data'!$A$2:$A$1000,0),MATCH(O$1,'Master data'!$B$1:$CL$1,0)),"")</f>
        <v>0</v>
      </c>
      <c r="P393" s="5">
        <f>IFERROR(INDEX('Master data'!$B$2:$CL$1000,MATCH($B393,'Master data'!$A$2:$A$1000,0),MATCH(P$1,'Master data'!$B$1:$CL$1,0)),"")</f>
        <v>3000000</v>
      </c>
      <c r="Q393" s="5">
        <f>IFERROR(INDEX('Master data'!$B$2:$CL$1000,MATCH($B393,'Master data'!$A$2:$A$1000,0),MATCH(Q$1,'Master data'!$B$1:$CL$1,0)),"")</f>
        <v>3000000</v>
      </c>
    </row>
    <row r="394" spans="1:17" hidden="1">
      <c r="A394">
        <f t="shared" si="6"/>
        <v>392</v>
      </c>
      <c r="B394" t="str">
        <f>IF('Master data'!A394="","",'Master data'!A394)</f>
        <v>Danny Ward</v>
      </c>
      <c r="C394" t="str">
        <f>IFERROR(INDEX('Master data'!$B$2:$CL$1000,MATCH($B394,'Master data'!$A$2:$A$1000,0),MATCH(C$1,'Master data'!$B$1:$CL$1,0)),"")</f>
        <v>Wales</v>
      </c>
      <c r="D394" t="str">
        <f>IFERROR(INDEX('Master data'!$B$2:$CL$1000,MATCH($B394,'Master data'!$A$2:$A$1000,0),MATCH(D$1,'Master data'!$B$1:$CL$1,0)),"")</f>
        <v>Goalkeeper</v>
      </c>
      <c r="E394" s="5">
        <f>IFERROR(INDEX('Master data'!$B$2:$CL$1000,MATCH($B394,'Master data'!$A$2:$A$1000,0),MATCH(E$1,'Master data'!$B$1:$CL$1,0)),"")</f>
        <v>3500000</v>
      </c>
      <c r="F394" s="7">
        <f>IFERROR(INDEX('Master data'!$B$2:$CL$1000,MATCH($B394,'Master data'!$A$2:$A$1000,0),MATCH(F$1,'Master data'!$B$1:$CL$1,0)),"")</f>
        <v>40784.918754106831</v>
      </c>
      <c r="G394" s="7">
        <f>IFERROR(INDEX('Master data'!$B$2:$CL$1000,MATCH($B394,'Master data'!$A$2:$A$1000,0),MATCH(G$1,'Master data'!$B$1:$CL$1,0)),"")</f>
        <v>39961.070299814397</v>
      </c>
      <c r="H394" s="7">
        <f>IFERROR(INDEX('Master data'!$B$2:$CL$1000,MATCH($B394,'Master data'!$A$2:$A$1000,0),MATCH(H$1,'Master data'!$B$1:$CL$1,0)),"")</f>
        <v>19531.725258357023</v>
      </c>
      <c r="I394" s="7">
        <f>IFERROR(INDEX('Master data'!$B$2:$CL$1000,MATCH($B394,'Master data'!$A$2:$A$1000,0),MATCH(I$1,'Master data'!$B$1:$CL$1,0)),"")</f>
        <v>-1269.8207476035509</v>
      </c>
      <c r="J394" s="7">
        <f>IFERROR(INDEX('Master data'!$B$2:$CL$1000,MATCH($B394,'Master data'!$A$2:$A$1000,0),MATCH(J$1,'Master data'!$B$1:$CL$1,0)),"")</f>
        <v>-704.60904299791014</v>
      </c>
      <c r="K394" s="7">
        <f>IFERROR(INDEX('Master data'!$B$2:$CL$1000,MATCH($B394,'Master data'!$A$2:$A$1000,0),MATCH(K$1,'Master data'!$B$1:$CL$1,0)),"")</f>
        <v>-379.47438221686178</v>
      </c>
      <c r="L394" s="7">
        <f>IFERROR(INDEX('Master data'!$B$2:$CL$1000,MATCH($B394,'Master data'!$A$2:$A$1000,0),MATCH(L$1,'Master data'!$B$1:$CL$1,0)),"")</f>
        <v>-190.38827072185012</v>
      </c>
      <c r="M394" s="5">
        <f>IFERROR(INDEX('Master data'!$B$2:$CL$1000,MATCH($B394,'Master data'!$A$2:$A$1000,0),MATCH(M$1,'Master data'!$B$1:$CL$1,0)),"")</f>
        <v>75524.287445086797</v>
      </c>
      <c r="N394" s="28">
        <f>IFERROR(INDEX('Master data'!$B$2:$CL$1000,MATCH($B394,'Master data'!$A$2:$A$1000,0),MATCH(N$1,'Master data'!$B$1:$CL$1,0)),"")</f>
        <v>2.8650775517793783E-2</v>
      </c>
      <c r="O394" s="7">
        <f>IFERROR(INDEX('Master data'!$B$2:$CL$1000,MATCH($B394,'Master data'!$A$2:$A$1000,0),MATCH(O$1,'Master data'!$B$1:$CL$1,0)),"")</f>
        <v>0</v>
      </c>
      <c r="P394" s="5">
        <f>IFERROR(INDEX('Master data'!$B$2:$CL$1000,MATCH($B394,'Master data'!$A$2:$A$1000,0),MATCH(P$1,'Master data'!$B$1:$CL$1,0)),"")</f>
        <v>3500000</v>
      </c>
      <c r="Q394" s="5">
        <f>IFERROR(INDEX('Master data'!$B$2:$CL$1000,MATCH($B394,'Master data'!$A$2:$A$1000,0),MATCH(Q$1,'Master data'!$B$1:$CL$1,0)),"")</f>
        <v>3500000</v>
      </c>
    </row>
    <row r="395" spans="1:17" hidden="1">
      <c r="A395">
        <f t="shared" si="6"/>
        <v>393</v>
      </c>
      <c r="B395" t="str">
        <f>IF('Master data'!A395="","",'Master data'!A395)</f>
        <v>Ben Cabango</v>
      </c>
      <c r="C395" t="str">
        <f>IFERROR(INDEX('Master data'!$B$2:$CL$1000,MATCH($B395,'Master data'!$A$2:$A$1000,0),MATCH(C$1,'Master data'!$B$1:$CL$1,0)),"")</f>
        <v>Wales</v>
      </c>
      <c r="D395" t="str">
        <f>IFERROR(INDEX('Master data'!$B$2:$CL$1000,MATCH($B395,'Master data'!$A$2:$A$1000,0),MATCH(D$1,'Master data'!$B$1:$CL$1,0)),"")</f>
        <v>Defense</v>
      </c>
      <c r="E395" s="5">
        <f>IFERROR(INDEX('Master data'!$B$2:$CL$1000,MATCH($B395,'Master data'!$A$2:$A$1000,0),MATCH(E$1,'Master data'!$B$1:$CL$1,0)),"")</f>
        <v>2000000</v>
      </c>
      <c r="F395" s="7">
        <f>IFERROR(INDEX('Master data'!$B$2:$CL$1000,MATCH($B395,'Master data'!$A$2:$A$1000,0),MATCH(F$1,'Master data'!$B$1:$CL$1,0)),"")</f>
        <v>10642.479953060825</v>
      </c>
      <c r="G395" s="7">
        <f>IFERROR(INDEX('Master data'!$B$2:$CL$1000,MATCH($B395,'Master data'!$A$2:$A$1000,0),MATCH(G$1,'Master data'!$B$1:$CL$1,0)),"")</f>
        <v>8836.3977833940116</v>
      </c>
      <c r="H395" s="7">
        <f>IFERROR(INDEX('Master data'!$B$2:$CL$1000,MATCH($B395,'Master data'!$A$2:$A$1000,0),MATCH(H$1,'Master data'!$B$1:$CL$1,0)),"")</f>
        <v>2938.8214288967656</v>
      </c>
      <c r="I395" s="7">
        <f>IFERROR(INDEX('Master data'!$B$2:$CL$1000,MATCH($B395,'Master data'!$A$2:$A$1000,0),MATCH(I$1,'Master data'!$B$1:$CL$1,0)),"")</f>
        <v>-6283.687109601753</v>
      </c>
      <c r="J395" s="7">
        <f>IFERROR(INDEX('Master data'!$B$2:$CL$1000,MATCH($B395,'Master data'!$A$2:$A$1000,0),MATCH(J$1,'Master data'!$B$1:$CL$1,0)),"")</f>
        <v>-3104.4811168647302</v>
      </c>
      <c r="K395" s="7">
        <f>IFERROR(INDEX('Master data'!$B$2:$CL$1000,MATCH($B395,'Master data'!$A$2:$A$1000,0),MATCH(K$1,'Master data'!$B$1:$CL$1,0)),"")</f>
        <v>-1508.4848972111786</v>
      </c>
      <c r="L395" s="7">
        <f>IFERROR(INDEX('Master data'!$B$2:$CL$1000,MATCH($B395,'Master data'!$A$2:$A$1000,0),MATCH(L$1,'Master data'!$B$1:$CL$1,0)),"")</f>
        <v>-690.13397841080439</v>
      </c>
      <c r="M395" s="5">
        <f>IFERROR(INDEX('Master data'!$B$2:$CL$1000,MATCH($B395,'Master data'!$A$2:$A$1000,0),MATCH(M$1,'Master data'!$B$1:$CL$1,0)),"")</f>
        <v>15105.254499616352</v>
      </c>
      <c r="N395" s="28">
        <f>IFERROR(INDEX('Master data'!$B$2:$CL$1000,MATCH($B395,'Master data'!$A$2:$A$1000,0),MATCH(N$1,'Master data'!$B$1:$CL$1,0)),"")</f>
        <v>1.1208849582675802E-2</v>
      </c>
      <c r="O395" s="7">
        <f>IFERROR(INDEX('Master data'!$B$2:$CL$1000,MATCH($B395,'Master data'!$A$2:$A$1000,0),MATCH(O$1,'Master data'!$B$1:$CL$1,0)),"")</f>
        <v>0</v>
      </c>
      <c r="P395" s="5">
        <f>IFERROR(INDEX('Master data'!$B$2:$CL$1000,MATCH($B395,'Master data'!$A$2:$A$1000,0),MATCH(P$1,'Master data'!$B$1:$CL$1,0)),"")</f>
        <v>2000000</v>
      </c>
      <c r="Q395" s="5">
        <f>IFERROR(INDEX('Master data'!$B$2:$CL$1000,MATCH($B395,'Master data'!$A$2:$A$1000,0),MATCH(Q$1,'Master data'!$B$1:$CL$1,0)),"")</f>
        <v>2000000</v>
      </c>
    </row>
    <row r="396" spans="1:17" hidden="1">
      <c r="A396">
        <f t="shared" si="6"/>
        <v>394</v>
      </c>
      <c r="B396" t="str">
        <f>IF('Master data'!A396="","",'Master data'!A396)</f>
        <v>Neco N. Williams</v>
      </c>
      <c r="C396" t="str">
        <f>IFERROR(INDEX('Master data'!$B$2:$CL$1000,MATCH($B396,'Master data'!$A$2:$A$1000,0),MATCH(C$1,'Master data'!$B$1:$CL$1,0)),"")</f>
        <v>Wales</v>
      </c>
      <c r="D396" t="str">
        <f>IFERROR(INDEX('Master data'!$B$2:$CL$1000,MATCH($B396,'Master data'!$A$2:$A$1000,0),MATCH(D$1,'Master data'!$B$1:$CL$1,0)),"")</f>
        <v>Defense</v>
      </c>
      <c r="E396" s="5">
        <f>IFERROR(INDEX('Master data'!$B$2:$CL$1000,MATCH($B396,'Master data'!$A$2:$A$1000,0),MATCH(E$1,'Master data'!$B$1:$CL$1,0)),"")</f>
        <v>3000000</v>
      </c>
      <c r="F396" s="7">
        <f>IFERROR(INDEX('Master data'!$B$2:$CL$1000,MATCH($B396,'Master data'!$A$2:$A$1000,0),MATCH(F$1,'Master data'!$B$1:$CL$1,0)),"")</f>
        <v>21406.923779181649</v>
      </c>
      <c r="G396" s="7">
        <f>IFERROR(INDEX('Master data'!$B$2:$CL$1000,MATCH($B396,'Master data'!$A$2:$A$1000,0),MATCH(G$1,'Master data'!$B$1:$CL$1,0)),"")</f>
        <v>21735.228431042153</v>
      </c>
      <c r="H396" s="7">
        <f>IFERROR(INDEX('Master data'!$B$2:$CL$1000,MATCH($B396,'Master data'!$A$2:$A$1000,0),MATCH(H$1,'Master data'!$B$1:$CL$1,0)),"")</f>
        <v>-3264.7404608427514</v>
      </c>
      <c r="I396" s="7">
        <f>IFERROR(INDEX('Master data'!$B$2:$CL$1000,MATCH($B396,'Master data'!$A$2:$A$1000,0),MATCH(I$1,'Master data'!$B$1:$CL$1,0)),"")</f>
        <v>-8429.575083231899</v>
      </c>
      <c r="J396" s="7">
        <f>IFERROR(INDEX('Master data'!$B$2:$CL$1000,MATCH($B396,'Master data'!$A$2:$A$1000,0),MATCH(J$1,'Master data'!$B$1:$CL$1,0)),"")</f>
        <v>-4172.5756620264219</v>
      </c>
      <c r="K396" s="7">
        <f>IFERROR(INDEX('Master data'!$B$2:$CL$1000,MATCH($B396,'Master data'!$A$2:$A$1000,0),MATCH(K$1,'Master data'!$B$1:$CL$1,0)),"")</f>
        <v>-2031.2769980752696</v>
      </c>
      <c r="L396" s="7">
        <f>IFERROR(INDEX('Master data'!$B$2:$CL$1000,MATCH($B396,'Master data'!$A$2:$A$1000,0),MATCH(L$1,'Master data'!$B$1:$CL$1,0)),"")</f>
        <v>-931.03010464331101</v>
      </c>
      <c r="M396" s="5">
        <f>IFERROR(INDEX('Master data'!$B$2:$CL$1000,MATCH($B396,'Master data'!$A$2:$A$1000,0),MATCH(M$1,'Master data'!$B$1:$CL$1,0)),"")</f>
        <v>30774.986161007637</v>
      </c>
      <c r="N396" s="28">
        <f>IFERROR(INDEX('Master data'!$B$2:$CL$1000,MATCH($B396,'Master data'!$A$2:$A$1000,0),MATCH(N$1,'Master data'!$B$1:$CL$1,0)),"")</f>
        <v>1.3292470583127016E-2</v>
      </c>
      <c r="O396" s="7">
        <f>IFERROR(INDEX('Master data'!$B$2:$CL$1000,MATCH($B396,'Master data'!$A$2:$A$1000,0),MATCH(O$1,'Master data'!$B$1:$CL$1,0)),"")</f>
        <v>0</v>
      </c>
      <c r="P396" s="5">
        <f>IFERROR(INDEX('Master data'!$B$2:$CL$1000,MATCH($B396,'Master data'!$A$2:$A$1000,0),MATCH(P$1,'Master data'!$B$1:$CL$1,0)),"")</f>
        <v>3000000</v>
      </c>
      <c r="Q396" s="5">
        <f>IFERROR(INDEX('Master data'!$B$2:$CL$1000,MATCH($B396,'Master data'!$A$2:$A$1000,0),MATCH(Q$1,'Master data'!$B$1:$CL$1,0)),"")</f>
        <v>3000000</v>
      </c>
    </row>
    <row r="397" spans="1:17" hidden="1">
      <c r="A397">
        <f t="shared" si="6"/>
        <v>395</v>
      </c>
      <c r="B397" t="str">
        <f>IF('Master data'!A397="","",'Master data'!A397)</f>
        <v>Connor C. Roberts</v>
      </c>
      <c r="C397" t="str">
        <f>IFERROR(INDEX('Master data'!$B$2:$CL$1000,MATCH($B397,'Master data'!$A$2:$A$1000,0),MATCH(C$1,'Master data'!$B$1:$CL$1,0)),"")</f>
        <v>Wales</v>
      </c>
      <c r="D397" t="str">
        <f>IFERROR(INDEX('Master data'!$B$2:$CL$1000,MATCH($B397,'Master data'!$A$2:$A$1000,0),MATCH(D$1,'Master data'!$B$1:$CL$1,0)),"")</f>
        <v>Defense</v>
      </c>
      <c r="E397" s="5">
        <f>IFERROR(INDEX('Master data'!$B$2:$CL$1000,MATCH($B397,'Master data'!$A$2:$A$1000,0),MATCH(E$1,'Master data'!$B$1:$CL$1,0)),"")</f>
        <v>2500000</v>
      </c>
      <c r="F397" s="7">
        <f>IFERROR(INDEX('Master data'!$B$2:$CL$1000,MATCH($B397,'Master data'!$A$2:$A$1000,0),MATCH(F$1,'Master data'!$B$1:$CL$1,0)),"")</f>
        <v>32131.749347908197</v>
      </c>
      <c r="G397" s="7">
        <f>IFERROR(INDEX('Master data'!$B$2:$CL$1000,MATCH($B397,'Master data'!$A$2:$A$1000,0),MATCH(G$1,'Master data'!$B$1:$CL$1,0)),"")</f>
        <v>32945.048797854673</v>
      </c>
      <c r="H397" s="7">
        <f>IFERROR(INDEX('Master data'!$B$2:$CL$1000,MATCH($B397,'Master data'!$A$2:$A$1000,0),MATCH(H$1,'Master data'!$B$1:$CL$1,0)),"")</f>
        <v>6760.4816457942579</v>
      </c>
      <c r="I397" s="7">
        <f>IFERROR(INDEX('Master data'!$B$2:$CL$1000,MATCH($B397,'Master data'!$A$2:$A$1000,0),MATCH(I$1,'Master data'!$B$1:$CL$1,0)),"")</f>
        <v>-873.50100091481647</v>
      </c>
      <c r="J397" s="7">
        <f>IFERROR(INDEX('Master data'!$B$2:$CL$1000,MATCH($B397,'Master data'!$A$2:$A$1000,0),MATCH(J$1,'Master data'!$B$1:$CL$1,0)),"")</f>
        <v>-487.0007022742036</v>
      </c>
      <c r="K397" s="7">
        <f>IFERROR(INDEX('Master data'!$B$2:$CL$1000,MATCH($B397,'Master data'!$A$2:$A$1000,0),MATCH(K$1,'Master data'!$B$1:$CL$1,0)),"")</f>
        <v>-263.2648460561748</v>
      </c>
      <c r="L397" s="7">
        <f>IFERROR(INDEX('Master data'!$B$2:$CL$1000,MATCH($B397,'Master data'!$A$2:$A$1000,0),MATCH(L$1,'Master data'!$B$1:$CL$1,0)),"")</f>
        <v>-132.48628145297084</v>
      </c>
      <c r="M397" s="5">
        <f>IFERROR(INDEX('Master data'!$B$2:$CL$1000,MATCH($B397,'Master data'!$A$2:$A$1000,0),MATCH(M$1,'Master data'!$B$1:$CL$1,0)),"")</f>
        <v>56698.461150974377</v>
      </c>
      <c r="N397" s="28">
        <f>IFERROR(INDEX('Master data'!$B$2:$CL$1000,MATCH($B397,'Master data'!$A$2:$A$1000,0),MATCH(N$1,'Master data'!$B$1:$CL$1,0)),"")</f>
        <v>2.8734911916622852E-2</v>
      </c>
      <c r="O397" s="7">
        <f>IFERROR(INDEX('Master data'!$B$2:$CL$1000,MATCH($B397,'Master data'!$A$2:$A$1000,0),MATCH(O$1,'Master data'!$B$1:$CL$1,0)),"")</f>
        <v>0</v>
      </c>
      <c r="P397" s="5">
        <f>IFERROR(INDEX('Master data'!$B$2:$CL$1000,MATCH($B397,'Master data'!$A$2:$A$1000,0),MATCH(P$1,'Master data'!$B$1:$CL$1,0)),"")</f>
        <v>2500000</v>
      </c>
      <c r="Q397" s="5">
        <f>IFERROR(INDEX('Master data'!$B$2:$CL$1000,MATCH($B397,'Master data'!$A$2:$A$1000,0),MATCH(Q$1,'Master data'!$B$1:$CL$1,0)),"")</f>
        <v>2500000</v>
      </c>
    </row>
    <row r="398" spans="1:17" hidden="1">
      <c r="A398">
        <f t="shared" si="6"/>
        <v>396</v>
      </c>
      <c r="B398" t="str">
        <f>IF('Master data'!A398="","",'Master data'!A398)</f>
        <v>Joe Rodon</v>
      </c>
      <c r="C398" t="str">
        <f>IFERROR(INDEX('Master data'!$B$2:$CL$1000,MATCH($B398,'Master data'!$A$2:$A$1000,0),MATCH(C$1,'Master data'!$B$1:$CL$1,0)),"")</f>
        <v>Wales</v>
      </c>
      <c r="D398" t="str">
        <f>IFERROR(INDEX('Master data'!$B$2:$CL$1000,MATCH($B398,'Master data'!$A$2:$A$1000,0),MATCH(D$1,'Master data'!$B$1:$CL$1,0)),"")</f>
        <v>Defense</v>
      </c>
      <c r="E398" s="5">
        <f>IFERROR(INDEX('Master data'!$B$2:$CL$1000,MATCH($B398,'Master data'!$A$2:$A$1000,0),MATCH(E$1,'Master data'!$B$1:$CL$1,0)),"")</f>
        <v>2500000</v>
      </c>
      <c r="F398" s="7">
        <f>IFERROR(INDEX('Master data'!$B$2:$CL$1000,MATCH($B398,'Master data'!$A$2:$A$1000,0),MATCH(F$1,'Master data'!$B$1:$CL$1,0)),"")</f>
        <v>30635.956037246164</v>
      </c>
      <c r="G398" s="7">
        <f>IFERROR(INDEX('Master data'!$B$2:$CL$1000,MATCH($B398,'Master data'!$A$2:$A$1000,0),MATCH(G$1,'Master data'!$B$1:$CL$1,0)),"")</f>
        <v>30964.260689106668</v>
      </c>
      <c r="H398" s="7">
        <f>IFERROR(INDEX('Master data'!$B$2:$CL$1000,MATCH($B398,'Master data'!$A$2:$A$1000,0),MATCH(H$1,'Master data'!$B$1:$CL$1,0)),"")</f>
        <v>5964.2917972217656</v>
      </c>
      <c r="I398" s="7">
        <f>IFERROR(INDEX('Master data'!$B$2:$CL$1000,MATCH($B398,'Master data'!$A$2:$A$1000,0),MATCH(I$1,'Master data'!$B$1:$CL$1,0)),"")</f>
        <v>-1554.285460675268</v>
      </c>
      <c r="J398" s="7">
        <f>IFERROR(INDEX('Master data'!$B$2:$CL$1000,MATCH($B398,'Master data'!$A$2:$A$1000,0),MATCH(J$1,'Master data'!$B$1:$CL$1,0)),"")</f>
        <v>-817.93823434989451</v>
      </c>
      <c r="K398" s="7">
        <f>IFERROR(INDEX('Master data'!$B$2:$CL$1000,MATCH($B398,'Master data'!$A$2:$A$1000,0),MATCH(K$1,'Master data'!$B$1:$CL$1,0)),"")</f>
        <v>-421.47250403560611</v>
      </c>
      <c r="L398" s="7">
        <f>IFERROR(INDEX('Master data'!$B$2:$CL$1000,MATCH($B398,'Master data'!$A$2:$A$1000,0),MATCH(L$1,'Master data'!$B$1:$CL$1,0)),"")</f>
        <v>-203.69217257154867</v>
      </c>
      <c r="M398" s="5">
        <f>IFERROR(INDEX('Master data'!$B$2:$CL$1000,MATCH($B398,'Master data'!$A$2:$A$1000,0),MATCH(M$1,'Master data'!$B$1:$CL$1,0)),"")</f>
        <v>53234.110786932659</v>
      </c>
      <c r="N398" s="28">
        <f>IFERROR(INDEX('Master data'!$B$2:$CL$1000,MATCH($B398,'Master data'!$A$2:$A$1000,0),MATCH(N$1,'Master data'!$B$1:$CL$1,0)),"")</f>
        <v>2.7025803409429838E-2</v>
      </c>
      <c r="O398" s="7">
        <f>IFERROR(INDEX('Master data'!$B$2:$CL$1000,MATCH($B398,'Master data'!$A$2:$A$1000,0),MATCH(O$1,'Master data'!$B$1:$CL$1,0)),"")</f>
        <v>0</v>
      </c>
      <c r="P398" s="5">
        <f>IFERROR(INDEX('Master data'!$B$2:$CL$1000,MATCH($B398,'Master data'!$A$2:$A$1000,0),MATCH(P$1,'Master data'!$B$1:$CL$1,0)),"")</f>
        <v>2500000</v>
      </c>
      <c r="Q398" s="5">
        <f>IFERROR(INDEX('Master data'!$B$2:$CL$1000,MATCH($B398,'Master data'!$A$2:$A$1000,0),MATCH(Q$1,'Master data'!$B$1:$CL$1,0)),"")</f>
        <v>2500000</v>
      </c>
    </row>
    <row r="399" spans="1:17" hidden="1">
      <c r="A399">
        <f t="shared" si="6"/>
        <v>397</v>
      </c>
      <c r="B399" t="str">
        <f>IF('Master data'!A399="","",'Master data'!A399)</f>
        <v>Rhys Norrington-Davies</v>
      </c>
      <c r="C399" t="str">
        <f>IFERROR(INDEX('Master data'!$B$2:$CL$1000,MATCH($B399,'Master data'!$A$2:$A$1000,0),MATCH(C$1,'Master data'!$B$1:$CL$1,0)),"")</f>
        <v>Wales</v>
      </c>
      <c r="D399" t="str">
        <f>IFERROR(INDEX('Master data'!$B$2:$CL$1000,MATCH($B399,'Master data'!$A$2:$A$1000,0),MATCH(D$1,'Master data'!$B$1:$CL$1,0)),"")</f>
        <v>Defense</v>
      </c>
      <c r="E399" s="5">
        <f>IFERROR(INDEX('Master data'!$B$2:$CL$1000,MATCH($B399,'Master data'!$A$2:$A$1000,0),MATCH(E$1,'Master data'!$B$1:$CL$1,0)),"")</f>
        <v>2000000</v>
      </c>
      <c r="F399" s="7">
        <f>IFERROR(INDEX('Master data'!$B$2:$CL$1000,MATCH($B399,'Master data'!$A$2:$A$1000,0),MATCH(F$1,'Master data'!$B$1:$CL$1,0)),"")</f>
        <v>10642.479953060825</v>
      </c>
      <c r="G399" s="7">
        <f>IFERROR(INDEX('Master data'!$B$2:$CL$1000,MATCH($B399,'Master data'!$A$2:$A$1000,0),MATCH(G$1,'Master data'!$B$1:$CL$1,0)),"")</f>
        <v>8836.3977833940116</v>
      </c>
      <c r="H399" s="7">
        <f>IFERROR(INDEX('Master data'!$B$2:$CL$1000,MATCH($B399,'Master data'!$A$2:$A$1000,0),MATCH(H$1,'Master data'!$B$1:$CL$1,0)),"")</f>
        <v>2938.8214288967656</v>
      </c>
      <c r="I399" s="7">
        <f>IFERROR(INDEX('Master data'!$B$2:$CL$1000,MATCH($B399,'Master data'!$A$2:$A$1000,0),MATCH(I$1,'Master data'!$B$1:$CL$1,0)),"")</f>
        <v>-6283.687109601753</v>
      </c>
      <c r="J399" s="7">
        <f>IFERROR(INDEX('Master data'!$B$2:$CL$1000,MATCH($B399,'Master data'!$A$2:$A$1000,0),MATCH(J$1,'Master data'!$B$1:$CL$1,0)),"")</f>
        <v>-3104.4811168647302</v>
      </c>
      <c r="K399" s="7">
        <f>IFERROR(INDEX('Master data'!$B$2:$CL$1000,MATCH($B399,'Master data'!$A$2:$A$1000,0),MATCH(K$1,'Master data'!$B$1:$CL$1,0)),"")</f>
        <v>-1508.4848972111786</v>
      </c>
      <c r="L399" s="7">
        <f>IFERROR(INDEX('Master data'!$B$2:$CL$1000,MATCH($B399,'Master data'!$A$2:$A$1000,0),MATCH(L$1,'Master data'!$B$1:$CL$1,0)),"")</f>
        <v>-690.13397841080439</v>
      </c>
      <c r="M399" s="5">
        <f>IFERROR(INDEX('Master data'!$B$2:$CL$1000,MATCH($B399,'Master data'!$A$2:$A$1000,0),MATCH(M$1,'Master data'!$B$1:$CL$1,0)),"")</f>
        <v>15105.254499616352</v>
      </c>
      <c r="N399" s="28">
        <f>IFERROR(INDEX('Master data'!$B$2:$CL$1000,MATCH($B399,'Master data'!$A$2:$A$1000,0),MATCH(N$1,'Master data'!$B$1:$CL$1,0)),"")</f>
        <v>1.1208849582675802E-2</v>
      </c>
      <c r="O399" s="7">
        <f>IFERROR(INDEX('Master data'!$B$2:$CL$1000,MATCH($B399,'Master data'!$A$2:$A$1000,0),MATCH(O$1,'Master data'!$B$1:$CL$1,0)),"")</f>
        <v>0</v>
      </c>
      <c r="P399" s="5">
        <f>IFERROR(INDEX('Master data'!$B$2:$CL$1000,MATCH($B399,'Master data'!$A$2:$A$1000,0),MATCH(P$1,'Master data'!$B$1:$CL$1,0)),"")</f>
        <v>2000000</v>
      </c>
      <c r="Q399" s="5">
        <f>IFERROR(INDEX('Master data'!$B$2:$CL$1000,MATCH($B399,'Master data'!$A$2:$A$1000,0),MATCH(Q$1,'Master data'!$B$1:$CL$1,0)),"")</f>
        <v>2000000</v>
      </c>
    </row>
    <row r="400" spans="1:17" hidden="1">
      <c r="A400">
        <f t="shared" si="6"/>
        <v>398</v>
      </c>
      <c r="B400" t="str">
        <f>IF('Master data'!A400="","",'Master data'!A400)</f>
        <v>Ethan Ampadu</v>
      </c>
      <c r="C400" t="str">
        <f>IFERROR(INDEX('Master data'!$B$2:$CL$1000,MATCH($B400,'Master data'!$A$2:$A$1000,0),MATCH(C$1,'Master data'!$B$1:$CL$1,0)),"")</f>
        <v>Wales</v>
      </c>
      <c r="D400" t="str">
        <f>IFERROR(INDEX('Master data'!$B$2:$CL$1000,MATCH($B400,'Master data'!$A$2:$A$1000,0),MATCH(D$1,'Master data'!$B$1:$CL$1,0)),"")</f>
        <v>Defense</v>
      </c>
      <c r="E400" s="5">
        <f>IFERROR(INDEX('Master data'!$B$2:$CL$1000,MATCH($B400,'Master data'!$A$2:$A$1000,0),MATCH(E$1,'Master data'!$B$1:$CL$1,0)),"")</f>
        <v>2500000</v>
      </c>
      <c r="F400" s="7">
        <f>IFERROR(INDEX('Master data'!$B$2:$CL$1000,MATCH($B400,'Master data'!$A$2:$A$1000,0),MATCH(F$1,'Master data'!$B$1:$CL$1,0)),"")</f>
        <v>25166.349624103554</v>
      </c>
      <c r="G400" s="7">
        <f>IFERROR(INDEX('Master data'!$B$2:$CL$1000,MATCH($B400,'Master data'!$A$2:$A$1000,0),MATCH(G$1,'Master data'!$B$1:$CL$1,0)),"")</f>
        <v>25568.823425443828</v>
      </c>
      <c r="H400" s="7">
        <f>IFERROR(INDEX('Master data'!$B$2:$CL$1000,MATCH($B400,'Master data'!$A$2:$A$1000,0),MATCH(H$1,'Master data'!$B$1:$CL$1,0)),"")</f>
        <v>387.69662056856214</v>
      </c>
      <c r="I400" s="7">
        <f>IFERROR(INDEX('Master data'!$B$2:$CL$1000,MATCH($B400,'Master data'!$A$2:$A$1000,0),MATCH(I$1,'Master data'!$B$1:$CL$1,0)),"")</f>
        <v>-4173.9464540692361</v>
      </c>
      <c r="J400" s="7">
        <f>IFERROR(INDEX('Master data'!$B$2:$CL$1000,MATCH($B400,'Master data'!$A$2:$A$1000,0),MATCH(J$1,'Master data'!$B$1:$CL$1,0)),"")</f>
        <v>-2091.3870206717838</v>
      </c>
      <c r="K400" s="7">
        <f>IFERROR(INDEX('Master data'!$B$2:$CL$1000,MATCH($B400,'Master data'!$A$2:$A$1000,0),MATCH(K$1,'Master data'!$B$1:$CL$1,0)),"")</f>
        <v>-1030.2561278726746</v>
      </c>
      <c r="L400" s="7">
        <f>IFERROR(INDEX('Master data'!$B$2:$CL$1000,MATCH($B400,'Master data'!$A$2:$A$1000,0),MATCH(L$1,'Master data'!$B$1:$CL$1,0)),"")</f>
        <v>-477.69269180906474</v>
      </c>
      <c r="M400" s="5">
        <f>IFERROR(INDEX('Master data'!$B$2:$CL$1000,MATCH($B400,'Master data'!$A$2:$A$1000,0),MATCH(M$1,'Master data'!$B$1:$CL$1,0)),"")</f>
        <v>40557.094211514617</v>
      </c>
      <c r="N400" s="28">
        <f>IFERROR(INDEX('Master data'!$B$2:$CL$1000,MATCH($B400,'Master data'!$A$2:$A$1000,0),MATCH(N$1,'Master data'!$B$1:$CL$1,0)),"")</f>
        <v>2.0449147868046379E-2</v>
      </c>
      <c r="O400" s="7">
        <f>IFERROR(INDEX('Master data'!$B$2:$CL$1000,MATCH($B400,'Master data'!$A$2:$A$1000,0),MATCH(O$1,'Master data'!$B$1:$CL$1,0)),"")</f>
        <v>0</v>
      </c>
      <c r="P400" s="5">
        <f>IFERROR(INDEX('Master data'!$B$2:$CL$1000,MATCH($B400,'Master data'!$A$2:$A$1000,0),MATCH(P$1,'Master data'!$B$1:$CL$1,0)),"")</f>
        <v>2500000</v>
      </c>
      <c r="Q400" s="5">
        <f>IFERROR(INDEX('Master data'!$B$2:$CL$1000,MATCH($B400,'Master data'!$A$2:$A$1000,0),MATCH(Q$1,'Master data'!$B$1:$CL$1,0)),"")</f>
        <v>2500000</v>
      </c>
    </row>
    <row r="401" spans="1:17" hidden="1">
      <c r="A401">
        <f t="shared" si="6"/>
        <v>399</v>
      </c>
      <c r="B401" t="str">
        <f>IF('Master data'!A401="","",'Master data'!A401)</f>
        <v>Chris Mepham</v>
      </c>
      <c r="C401" t="str">
        <f>IFERROR(INDEX('Master data'!$B$2:$CL$1000,MATCH($B401,'Master data'!$A$2:$A$1000,0),MATCH(C$1,'Master data'!$B$1:$CL$1,0)),"")</f>
        <v>Wales</v>
      </c>
      <c r="D401" t="str">
        <f>IFERROR(INDEX('Master data'!$B$2:$CL$1000,MATCH($B401,'Master data'!$A$2:$A$1000,0),MATCH(D$1,'Master data'!$B$1:$CL$1,0)),"")</f>
        <v>Defense</v>
      </c>
      <c r="E401" s="5">
        <f>IFERROR(INDEX('Master data'!$B$2:$CL$1000,MATCH($B401,'Master data'!$A$2:$A$1000,0),MATCH(E$1,'Master data'!$B$1:$CL$1,0)),"")</f>
        <v>2000000</v>
      </c>
      <c r="F401" s="7">
        <f>IFERROR(INDEX('Master data'!$B$2:$CL$1000,MATCH($B401,'Master data'!$A$2:$A$1000,0),MATCH(F$1,'Master data'!$B$1:$CL$1,0)),"")</f>
        <v>28037.633007091834</v>
      </c>
      <c r="G401" s="7">
        <f>IFERROR(INDEX('Master data'!$B$2:$CL$1000,MATCH($B401,'Master data'!$A$2:$A$1000,0),MATCH(G$1,'Master data'!$B$1:$CL$1,0)),"")</f>
        <v>28566.495637702683</v>
      </c>
      <c r="H401" s="7">
        <f>IFERROR(INDEX('Master data'!$B$2:$CL$1000,MATCH($B401,'Master data'!$A$2:$A$1000,0),MATCH(H$1,'Master data'!$B$1:$CL$1,0)),"")</f>
        <v>3076.6645171308119</v>
      </c>
      <c r="I401" s="7">
        <f>IFERROR(INDEX('Master data'!$B$2:$CL$1000,MATCH($B401,'Master data'!$A$2:$A$1000,0),MATCH(I$1,'Master data'!$B$1:$CL$1,0)),"")</f>
        <v>-346.52508420776263</v>
      </c>
      <c r="J401" s="7">
        <f>IFERROR(INDEX('Master data'!$B$2:$CL$1000,MATCH($B401,'Master data'!$A$2:$A$1000,0),MATCH(J$1,'Master data'!$B$1:$CL$1,0)),"")</f>
        <v>-218.35508968020835</v>
      </c>
      <c r="K401" s="7">
        <f>IFERROR(INDEX('Master data'!$B$2:$CL$1000,MATCH($B401,'Master data'!$A$2:$A$1000,0),MATCH(K$1,'Master data'!$B$1:$CL$1,0)),"")</f>
        <v>-128.74644164697264</v>
      </c>
      <c r="L401" s="7">
        <f>IFERROR(INDEX('Master data'!$B$2:$CL$1000,MATCH($B401,'Master data'!$A$2:$A$1000,0),MATCH(L$1,'Master data'!$B$1:$CL$1,0)),"")</f>
        <v>-69.143139574213151</v>
      </c>
      <c r="M401" s="5">
        <f>IFERROR(INDEX('Master data'!$B$2:$CL$1000,MATCH($B401,'Master data'!$A$2:$A$1000,0),MATCH(M$1,'Master data'!$B$1:$CL$1,0)),"")</f>
        <v>48280.539472167555</v>
      </c>
      <c r="N401" s="28">
        <f>IFERROR(INDEX('Master data'!$B$2:$CL$1000,MATCH($B401,'Master data'!$A$2:$A$1000,0),MATCH(N$1,'Master data'!$B$1:$CL$1,0)),"")</f>
        <v>2.9840396580962669E-2</v>
      </c>
      <c r="O401" s="7">
        <f>IFERROR(INDEX('Master data'!$B$2:$CL$1000,MATCH($B401,'Master data'!$A$2:$A$1000,0),MATCH(O$1,'Master data'!$B$1:$CL$1,0)),"")</f>
        <v>0</v>
      </c>
      <c r="P401" s="5">
        <f>IFERROR(INDEX('Master data'!$B$2:$CL$1000,MATCH($B401,'Master data'!$A$2:$A$1000,0),MATCH(P$1,'Master data'!$B$1:$CL$1,0)),"")</f>
        <v>2000000</v>
      </c>
      <c r="Q401" s="5">
        <f>IFERROR(INDEX('Master data'!$B$2:$CL$1000,MATCH($B401,'Master data'!$A$2:$A$1000,0),MATCH(Q$1,'Master data'!$B$1:$CL$1,0)),"")</f>
        <v>2000000</v>
      </c>
    </row>
    <row r="402" spans="1:17" hidden="1">
      <c r="A402">
        <f t="shared" si="6"/>
        <v>400</v>
      </c>
      <c r="B402" t="str">
        <f>IF('Master data'!A402="","",'Master data'!A402)</f>
        <v>Jonny J. Williams</v>
      </c>
      <c r="C402" t="str">
        <f>IFERROR(INDEX('Master data'!$B$2:$CL$1000,MATCH($B402,'Master data'!$A$2:$A$1000,0),MATCH(C$1,'Master data'!$B$1:$CL$1,0)),"")</f>
        <v>Wales</v>
      </c>
      <c r="D402" t="str">
        <f>IFERROR(INDEX('Master data'!$B$2:$CL$1000,MATCH($B402,'Master data'!$A$2:$A$1000,0),MATCH(D$1,'Master data'!$B$1:$CL$1,0)),"")</f>
        <v>Midfield</v>
      </c>
      <c r="E402" s="5">
        <f>IFERROR(INDEX('Master data'!$B$2:$CL$1000,MATCH($B402,'Master data'!$A$2:$A$1000,0),MATCH(E$1,'Master data'!$B$1:$CL$1,0)),"")</f>
        <v>3000000</v>
      </c>
      <c r="F402" s="7">
        <f>IFERROR(INDEX('Master data'!$B$2:$CL$1000,MATCH($B402,'Master data'!$A$2:$A$1000,0),MATCH(F$1,'Master data'!$B$1:$CL$1,0)),"")</f>
        <v>-5000</v>
      </c>
      <c r="G402" s="7">
        <f>IFERROR(INDEX('Master data'!$B$2:$CL$1000,MATCH($B402,'Master data'!$A$2:$A$1000,0),MATCH(G$1,'Master data'!$B$1:$CL$1,0)),"")</f>
        <v>-5000</v>
      </c>
      <c r="H402" s="7">
        <f>IFERROR(INDEX('Master data'!$B$2:$CL$1000,MATCH($B402,'Master data'!$A$2:$A$1000,0),MATCH(H$1,'Master data'!$B$1:$CL$1,0)),"")</f>
        <v>-5000</v>
      </c>
      <c r="I402" s="7">
        <f>IFERROR(INDEX('Master data'!$B$2:$CL$1000,MATCH($B402,'Master data'!$A$2:$A$1000,0),MATCH(I$1,'Master data'!$B$1:$CL$1,0)),"")</f>
        <v>-17173.24207771962</v>
      </c>
      <c r="J402" s="7">
        <f>IFERROR(INDEX('Master data'!$B$2:$CL$1000,MATCH($B402,'Master data'!$A$2:$A$1000,0),MATCH(J$1,'Master data'!$B$1:$CL$1,0)),"")</f>
        <v>-8422.977584340586</v>
      </c>
      <c r="K402" s="7">
        <f>IFERROR(INDEX('Master data'!$B$2:$CL$1000,MATCH($B402,'Master data'!$A$2:$A$1000,0),MATCH(K$1,'Master data'!$B$1:$CL$1,0)),"")</f>
        <v>-4063.2197921817929</v>
      </c>
      <c r="L402" s="7">
        <f>IFERROR(INDEX('Master data'!$B$2:$CL$1000,MATCH($B402,'Master data'!$A$2:$A$1000,0),MATCH(L$1,'Master data'!$B$1:$CL$1,0)),"")</f>
        <v>-1845.5641999216737</v>
      </c>
      <c r="M402" s="5">
        <f>IFERROR(INDEX('Master data'!$B$2:$CL$1000,MATCH($B402,'Master data'!$A$2:$A$1000,0),MATCH(M$1,'Master data'!$B$1:$CL$1,0)),"")</f>
        <v>-18004.820671847629</v>
      </c>
      <c r="N402" s="28">
        <f>IFERROR(INDEX('Master data'!$B$2:$CL$1000,MATCH($B402,'Master data'!$A$2:$A$1000,0),MATCH(N$1,'Master data'!$B$1:$CL$1,0)),"")</f>
        <v>-5.0000000000000001E-3</v>
      </c>
      <c r="O402" s="7">
        <f>IFERROR(INDEX('Master data'!$B$2:$CL$1000,MATCH($B402,'Master data'!$A$2:$A$1000,0),MATCH(O$1,'Master data'!$B$1:$CL$1,0)),"")</f>
        <v>0</v>
      </c>
      <c r="P402" s="5">
        <f>IFERROR(INDEX('Master data'!$B$2:$CL$1000,MATCH($B402,'Master data'!$A$2:$A$1000,0),MATCH(P$1,'Master data'!$B$1:$CL$1,0)),"")</f>
        <v>3000000</v>
      </c>
      <c r="Q402" s="5">
        <f>IFERROR(INDEX('Master data'!$B$2:$CL$1000,MATCH($B402,'Master data'!$A$2:$A$1000,0),MATCH(Q$1,'Master data'!$B$1:$CL$1,0)),"")</f>
        <v>3000000</v>
      </c>
    </row>
    <row r="403" spans="1:17" hidden="1">
      <c r="A403">
        <f t="shared" si="6"/>
        <v>401</v>
      </c>
      <c r="B403" t="str">
        <f>IF('Master data'!A403="","",'Master data'!A403)</f>
        <v>Tyler T. Roberts</v>
      </c>
      <c r="C403" t="str">
        <f>IFERROR(INDEX('Master data'!$B$2:$CL$1000,MATCH($B403,'Master data'!$A$2:$A$1000,0),MATCH(C$1,'Master data'!$B$1:$CL$1,0)),"")</f>
        <v>Wales</v>
      </c>
      <c r="D403" t="str">
        <f>IFERROR(INDEX('Master data'!$B$2:$CL$1000,MATCH($B403,'Master data'!$A$2:$A$1000,0),MATCH(D$1,'Master data'!$B$1:$CL$1,0)),"")</f>
        <v>Striker</v>
      </c>
      <c r="E403" s="5">
        <f>IFERROR(INDEX('Master data'!$B$2:$CL$1000,MATCH($B403,'Master data'!$A$2:$A$1000,0),MATCH(E$1,'Master data'!$B$1:$CL$1,0)),"")</f>
        <v>2000000</v>
      </c>
      <c r="F403" s="7">
        <f>IFERROR(INDEX('Master data'!$B$2:$CL$1000,MATCH($B403,'Master data'!$A$2:$A$1000,0),MATCH(F$1,'Master data'!$B$1:$CL$1,0)),"")</f>
        <v>-5000</v>
      </c>
      <c r="G403" s="7">
        <f>IFERROR(INDEX('Master data'!$B$2:$CL$1000,MATCH($B403,'Master data'!$A$2:$A$1000,0),MATCH(G$1,'Master data'!$B$1:$CL$1,0)),"")</f>
        <v>-5000</v>
      </c>
      <c r="H403" s="7">
        <f>IFERROR(INDEX('Master data'!$B$2:$CL$1000,MATCH($B403,'Master data'!$A$2:$A$1000,0),MATCH(H$1,'Master data'!$B$1:$CL$1,0)),"")</f>
        <v>-5000</v>
      </c>
      <c r="I403" s="7">
        <f>IFERROR(INDEX('Master data'!$B$2:$CL$1000,MATCH($B403,'Master data'!$A$2:$A$1000,0),MATCH(I$1,'Master data'!$B$1:$CL$1,0)),"")</f>
        <v>-12245.482514528911</v>
      </c>
      <c r="J403" s="7">
        <f>IFERROR(INDEX('Master data'!$B$2:$CL$1000,MATCH($B403,'Master data'!$A$2:$A$1000,0),MATCH(J$1,'Master data'!$B$1:$CL$1,0)),"")</f>
        <v>-6002.5817267714519</v>
      </c>
      <c r="K403" s="7">
        <f>IFERROR(INDEX('Master data'!$B$2:$CL$1000,MATCH($B403,'Master data'!$A$2:$A$1000,0),MATCH(K$1,'Master data'!$B$1:$CL$1,0)),"")</f>
        <v>-2893.9479095395504</v>
      </c>
      <c r="L403" s="7">
        <f>IFERROR(INDEX('Master data'!$B$2:$CL$1000,MATCH($B403,'Master data'!$A$2:$A$1000,0),MATCH(L$1,'Master data'!$B$1:$CL$1,0)),"")</f>
        <v>-1313.7013180998656</v>
      </c>
      <c r="M403" s="5">
        <f>IFERROR(INDEX('Master data'!$B$2:$CL$1000,MATCH($B403,'Master data'!$A$2:$A$1000,0),MATCH(M$1,'Master data'!$B$1:$CL$1,0)),"")</f>
        <v>-15865.969650847081</v>
      </c>
      <c r="N403" s="28">
        <f>IFERROR(INDEX('Master data'!$B$2:$CL$1000,MATCH($B403,'Master data'!$A$2:$A$1000,0),MATCH(N$1,'Master data'!$B$1:$CL$1,0)),"")</f>
        <v>-7.4999999999999997E-3</v>
      </c>
      <c r="O403" s="7">
        <f>IFERROR(INDEX('Master data'!$B$2:$CL$1000,MATCH($B403,'Master data'!$A$2:$A$1000,0),MATCH(O$1,'Master data'!$B$1:$CL$1,0)),"")</f>
        <v>0</v>
      </c>
      <c r="P403" s="5">
        <f>IFERROR(INDEX('Master data'!$B$2:$CL$1000,MATCH($B403,'Master data'!$A$2:$A$1000,0),MATCH(P$1,'Master data'!$B$1:$CL$1,0)),"")</f>
        <v>2000000</v>
      </c>
      <c r="Q403" s="5">
        <f>IFERROR(INDEX('Master data'!$B$2:$CL$1000,MATCH($B403,'Master data'!$A$2:$A$1000,0),MATCH(Q$1,'Master data'!$B$1:$CL$1,0)),"")</f>
        <v>2000000</v>
      </c>
    </row>
    <row r="404" spans="1:17" hidden="1">
      <c r="A404">
        <f t="shared" si="6"/>
        <v>402</v>
      </c>
      <c r="B404" t="str">
        <f>IF('Master data'!A404="","",'Master data'!A404)</f>
        <v>Kieffer Moore</v>
      </c>
      <c r="C404" t="str">
        <f>IFERROR(INDEX('Master data'!$B$2:$CL$1000,MATCH($B404,'Master data'!$A$2:$A$1000,0),MATCH(C$1,'Master data'!$B$1:$CL$1,0)),"")</f>
        <v>Wales</v>
      </c>
      <c r="D404" t="str">
        <f>IFERROR(INDEX('Master data'!$B$2:$CL$1000,MATCH($B404,'Master data'!$A$2:$A$1000,0),MATCH(D$1,'Master data'!$B$1:$CL$1,0)),"")</f>
        <v>Striker</v>
      </c>
      <c r="E404" s="5">
        <f>IFERROR(INDEX('Master data'!$B$2:$CL$1000,MATCH($B404,'Master data'!$A$2:$A$1000,0),MATCH(E$1,'Master data'!$B$1:$CL$1,0)),"")</f>
        <v>3500000</v>
      </c>
      <c r="F404" s="7">
        <f>IFERROR(INDEX('Master data'!$B$2:$CL$1000,MATCH($B404,'Master data'!$A$2:$A$1000,0),MATCH(F$1,'Master data'!$B$1:$CL$1,0)),"")</f>
        <v>-5000</v>
      </c>
      <c r="G404" s="7">
        <f>IFERROR(INDEX('Master data'!$B$2:$CL$1000,MATCH($B404,'Master data'!$A$2:$A$1000,0),MATCH(G$1,'Master data'!$B$1:$CL$1,0)),"")</f>
        <v>-5000</v>
      </c>
      <c r="H404" s="7">
        <f>IFERROR(INDEX('Master data'!$B$2:$CL$1000,MATCH($B404,'Master data'!$A$2:$A$1000,0),MATCH(H$1,'Master data'!$B$1:$CL$1,0)),"")</f>
        <v>-5000</v>
      </c>
      <c r="I404" s="7">
        <f>IFERROR(INDEX('Master data'!$B$2:$CL$1000,MATCH($B404,'Master data'!$A$2:$A$1000,0),MATCH(I$1,'Master data'!$B$1:$CL$1,0)),"")</f>
        <v>-19637.121859314972</v>
      </c>
      <c r="J404" s="7">
        <f>IFERROR(INDEX('Master data'!$B$2:$CL$1000,MATCH($B404,'Master data'!$A$2:$A$1000,0),MATCH(J$1,'Master data'!$B$1:$CL$1,0)),"")</f>
        <v>-9633.1755131251521</v>
      </c>
      <c r="K404" s="7">
        <f>IFERROR(INDEX('Master data'!$B$2:$CL$1000,MATCH($B404,'Master data'!$A$2:$A$1000,0),MATCH(K$1,'Master data'!$B$1:$CL$1,0)),"")</f>
        <v>-4647.8557335029145</v>
      </c>
      <c r="L404" s="7">
        <f>IFERROR(INDEX('Master data'!$B$2:$CL$1000,MATCH($B404,'Master data'!$A$2:$A$1000,0),MATCH(L$1,'Master data'!$B$1:$CL$1,0)),"")</f>
        <v>-2111.4956408325775</v>
      </c>
      <c r="M404" s="5">
        <f>IFERROR(INDEX('Master data'!$B$2:$CL$1000,MATCH($B404,'Master data'!$A$2:$A$1000,0),MATCH(M$1,'Master data'!$B$1:$CL$1,0)),"")</f>
        <v>-19074.246182347903</v>
      </c>
      <c r="N404" s="28">
        <f>IFERROR(INDEX('Master data'!$B$2:$CL$1000,MATCH($B404,'Master data'!$A$2:$A$1000,0),MATCH(N$1,'Master data'!$B$1:$CL$1,0)),"")</f>
        <v>-4.2857142857142859E-3</v>
      </c>
      <c r="O404" s="7">
        <f>IFERROR(INDEX('Master data'!$B$2:$CL$1000,MATCH($B404,'Master data'!$A$2:$A$1000,0),MATCH(O$1,'Master data'!$B$1:$CL$1,0)),"")</f>
        <v>0</v>
      </c>
      <c r="P404" s="5">
        <f>IFERROR(INDEX('Master data'!$B$2:$CL$1000,MATCH($B404,'Master data'!$A$2:$A$1000,0),MATCH(P$1,'Master data'!$B$1:$CL$1,0)),"")</f>
        <v>3500000</v>
      </c>
      <c r="Q404" s="5">
        <f>IFERROR(INDEX('Master data'!$B$2:$CL$1000,MATCH($B404,'Master data'!$A$2:$A$1000,0),MATCH(Q$1,'Master data'!$B$1:$CL$1,0)),"")</f>
        <v>3500000</v>
      </c>
    </row>
    <row r="405" spans="1:17" hidden="1">
      <c r="A405">
        <f t="shared" si="6"/>
        <v>403</v>
      </c>
      <c r="B405" t="str">
        <f>IF('Master data'!A405="","",'Master data'!A405)</f>
        <v>Robin Olsen</v>
      </c>
      <c r="C405" t="str">
        <f>IFERROR(INDEX('Master data'!$B$2:$CL$1000,MATCH($B405,'Master data'!$A$2:$A$1000,0),MATCH(C$1,'Master data'!$B$1:$CL$1,0)),"")</f>
        <v>Sweden</v>
      </c>
      <c r="D405" t="str">
        <f>IFERROR(INDEX('Master data'!$B$2:$CL$1000,MATCH($B405,'Master data'!$A$2:$A$1000,0),MATCH(D$1,'Master data'!$B$1:$CL$1,0)),"")</f>
        <v>Goalkeeper</v>
      </c>
      <c r="E405" s="5">
        <f>IFERROR(INDEX('Master data'!$B$2:$CL$1000,MATCH($B405,'Master data'!$A$2:$A$1000,0),MATCH(E$1,'Master data'!$B$1:$CL$1,0)),"")</f>
        <v>4500000</v>
      </c>
      <c r="F405" s="7">
        <f>IFERROR(INDEX('Master data'!$B$2:$CL$1000,MATCH($B405,'Master data'!$A$2:$A$1000,0),MATCH(F$1,'Master data'!$B$1:$CL$1,0)),"")</f>
        <v>25522.930539119367</v>
      </c>
      <c r="G405" s="7">
        <f>IFERROR(INDEX('Master data'!$B$2:$CL$1000,MATCH($B405,'Master data'!$A$2:$A$1000,0),MATCH(G$1,'Master data'!$B$1:$CL$1,0)),"")</f>
        <v>36570.300290938998</v>
      </c>
      <c r="H405" s="7">
        <f>IFERROR(INDEX('Master data'!$B$2:$CL$1000,MATCH($B405,'Master data'!$A$2:$A$1000,0),MATCH(H$1,'Master data'!$B$1:$CL$1,0)),"")</f>
        <v>29297.609475266312</v>
      </c>
      <c r="I405" s="7">
        <f>IFERROR(INDEX('Master data'!$B$2:$CL$1000,MATCH($B405,'Master data'!$A$2:$A$1000,0),MATCH(I$1,'Master data'!$B$1:$CL$1,0)),"")</f>
        <v>-10118.63212204911</v>
      </c>
      <c r="J405" s="7">
        <f>IFERROR(INDEX('Master data'!$B$2:$CL$1000,MATCH($B405,'Master data'!$A$2:$A$1000,0),MATCH(J$1,'Master data'!$B$1:$CL$1,0)),"")</f>
        <v>-5075.2981826331416</v>
      </c>
      <c r="K405" s="7">
        <f>IFERROR(INDEX('Master data'!$B$2:$CL$1000,MATCH($B405,'Master data'!$A$2:$A$1000,0),MATCH(K$1,'Master data'!$B$1:$CL$1,0)),"")</f>
        <v>-2506.3468826483772</v>
      </c>
      <c r="L405" s="7">
        <f>IFERROR(INDEX('Master data'!$B$2:$CL$1000,MATCH($B405,'Master data'!$A$2:$A$1000,0),MATCH(L$1,'Master data'!$B$1:$CL$1,0)),"")</f>
        <v>-1171.3441989311611</v>
      </c>
      <c r="M405" s="5">
        <f>IFERROR(INDEX('Master data'!$B$2:$CL$1000,MATCH($B405,'Master data'!$A$2:$A$1000,0),MATCH(M$1,'Master data'!$B$1:$CL$1,0)),"")</f>
        <v>58490.761273351221</v>
      </c>
      <c r="N405" s="28">
        <f>IFERROR(INDEX('Master data'!$B$2:$CL$1000,MATCH($B405,'Master data'!$A$2:$A$1000,0),MATCH(N$1,'Master data'!$B$1:$CL$1,0)),"")</f>
        <v>2.0309075623405483E-2</v>
      </c>
      <c r="O405" s="7">
        <f>IFERROR(INDEX('Master data'!$B$2:$CL$1000,MATCH($B405,'Master data'!$A$2:$A$1000,0),MATCH(O$1,'Master data'!$B$1:$CL$1,0)),"")</f>
        <v>0</v>
      </c>
      <c r="P405" s="5">
        <f>IFERROR(INDEX('Master data'!$B$2:$CL$1000,MATCH($B405,'Master data'!$A$2:$A$1000,0),MATCH(P$1,'Master data'!$B$1:$CL$1,0)),"")</f>
        <v>4500000</v>
      </c>
      <c r="Q405" s="5">
        <f>IFERROR(INDEX('Master data'!$B$2:$CL$1000,MATCH($B405,'Master data'!$A$2:$A$1000,0),MATCH(Q$1,'Master data'!$B$1:$CL$1,0)),"")</f>
        <v>4500000</v>
      </c>
    </row>
    <row r="406" spans="1:17" hidden="1">
      <c r="A406">
        <f t="shared" si="6"/>
        <v>404</v>
      </c>
      <c r="B406" t="str">
        <f>IF('Master data'!A406="","",'Master data'!A406)</f>
        <v>Pontus Jansson</v>
      </c>
      <c r="C406" t="str">
        <f>IFERROR(INDEX('Master data'!$B$2:$CL$1000,MATCH($B406,'Master data'!$A$2:$A$1000,0),MATCH(C$1,'Master data'!$B$1:$CL$1,0)),"")</f>
        <v>Sweden</v>
      </c>
      <c r="D406" t="str">
        <f>IFERROR(INDEX('Master data'!$B$2:$CL$1000,MATCH($B406,'Master data'!$A$2:$A$1000,0),MATCH(D$1,'Master data'!$B$1:$CL$1,0)),"")</f>
        <v>Defense</v>
      </c>
      <c r="E406" s="5">
        <f>IFERROR(INDEX('Master data'!$B$2:$CL$1000,MATCH($B406,'Master data'!$A$2:$A$1000,0),MATCH(E$1,'Master data'!$B$1:$CL$1,0)),"")</f>
        <v>2500000</v>
      </c>
      <c r="F406" s="7">
        <f>IFERROR(INDEX('Master data'!$B$2:$CL$1000,MATCH($B406,'Master data'!$A$2:$A$1000,0),MATCH(F$1,'Master data'!$B$1:$CL$1,0)),"")</f>
        <v>3659.5588833726706</v>
      </c>
      <c r="G406" s="7">
        <f>IFERROR(INDEX('Master data'!$B$2:$CL$1000,MATCH($B406,'Master data'!$A$2:$A$1000,0),MATCH(G$1,'Master data'!$B$1:$CL$1,0)),"")</f>
        <v>17343.666039074775</v>
      </c>
      <c r="H406" s="7">
        <f>IFERROR(INDEX('Master data'!$B$2:$CL$1000,MATCH($B406,'Master data'!$A$2:$A$1000,0),MATCH(H$1,'Master data'!$B$1:$CL$1,0)),"")</f>
        <v>9707.1403932390458</v>
      </c>
      <c r="I406" s="7">
        <f>IFERROR(INDEX('Master data'!$B$2:$CL$1000,MATCH($B406,'Master data'!$A$2:$A$1000,0),MATCH(I$1,'Master data'!$B$1:$CL$1,0)),"")</f>
        <v>-9869.7776279468362</v>
      </c>
      <c r="J406" s="7">
        <f>IFERROR(INDEX('Master data'!$B$2:$CL$1000,MATCH($B406,'Master data'!$A$2:$A$1000,0),MATCH(J$1,'Master data'!$B$1:$CL$1,0)),"")</f>
        <v>-4887.7326379866363</v>
      </c>
      <c r="K406" s="7">
        <f>IFERROR(INDEX('Master data'!$B$2:$CL$1000,MATCH($B406,'Master data'!$A$2:$A$1000,0),MATCH(K$1,'Master data'!$B$1:$CL$1,0)),"")</f>
        <v>-2383.9108395829394</v>
      </c>
      <c r="L406" s="7">
        <f>IFERROR(INDEX('Master data'!$B$2:$CL$1000,MATCH($B406,'Master data'!$A$2:$A$1000,0),MATCH(L$1,'Master data'!$B$1:$CL$1,0)),"")</f>
        <v>-1100.7104945418785</v>
      </c>
      <c r="M406" s="5">
        <f>IFERROR(INDEX('Master data'!$B$2:$CL$1000,MATCH($B406,'Master data'!$A$2:$A$1000,0),MATCH(M$1,'Master data'!$B$1:$CL$1,0)),"")</f>
        <v>15235.867254624463</v>
      </c>
      <c r="N406" s="28">
        <f>IFERROR(INDEX('Master data'!$B$2:$CL$1000,MATCH($B406,'Master data'!$A$2:$A$1000,0),MATCH(N$1,'Master data'!$B$1:$CL$1,0)),"")</f>
        <v>1.2284146126274596E-2</v>
      </c>
      <c r="O406" s="7">
        <f>IFERROR(INDEX('Master data'!$B$2:$CL$1000,MATCH($B406,'Master data'!$A$2:$A$1000,0),MATCH(O$1,'Master data'!$B$1:$CL$1,0)),"")</f>
        <v>0</v>
      </c>
      <c r="P406" s="5">
        <f>IFERROR(INDEX('Master data'!$B$2:$CL$1000,MATCH($B406,'Master data'!$A$2:$A$1000,0),MATCH(P$1,'Master data'!$B$1:$CL$1,0)),"")</f>
        <v>2500000</v>
      </c>
      <c r="Q406" s="5">
        <f>IFERROR(INDEX('Master data'!$B$2:$CL$1000,MATCH($B406,'Master data'!$A$2:$A$1000,0),MATCH(Q$1,'Master data'!$B$1:$CL$1,0)),"")</f>
        <v>2500000</v>
      </c>
    </row>
    <row r="407" spans="1:17" hidden="1">
      <c r="A407">
        <f t="shared" si="6"/>
        <v>405</v>
      </c>
      <c r="B407" t="str">
        <f>IF('Master data'!A407="","",'Master data'!A407)</f>
        <v>Andreas Granqvist</v>
      </c>
      <c r="C407" t="str">
        <f>IFERROR(INDEX('Master data'!$B$2:$CL$1000,MATCH($B407,'Master data'!$A$2:$A$1000,0),MATCH(C$1,'Master data'!$B$1:$CL$1,0)),"")</f>
        <v>Sweden</v>
      </c>
      <c r="D407" t="str">
        <f>IFERROR(INDEX('Master data'!$B$2:$CL$1000,MATCH($B407,'Master data'!$A$2:$A$1000,0),MATCH(D$1,'Master data'!$B$1:$CL$1,0)),"")</f>
        <v>Defense</v>
      </c>
      <c r="E407" s="5">
        <f>IFERROR(INDEX('Master data'!$B$2:$CL$1000,MATCH($B407,'Master data'!$A$2:$A$1000,0),MATCH(E$1,'Master data'!$B$1:$CL$1,0)),"")</f>
        <v>2000000</v>
      </c>
      <c r="F407" s="7">
        <f>IFERROR(INDEX('Master data'!$B$2:$CL$1000,MATCH($B407,'Master data'!$A$2:$A$1000,0),MATCH(F$1,'Master data'!$B$1:$CL$1,0)),"")</f>
        <v>3659.5588833726706</v>
      </c>
      <c r="G407" s="7">
        <f>IFERROR(INDEX('Master data'!$B$2:$CL$1000,MATCH($B407,'Master data'!$A$2:$A$1000,0),MATCH(G$1,'Master data'!$B$1:$CL$1,0)),"")</f>
        <v>17343.666039074775</v>
      </c>
      <c r="H407" s="7">
        <f>IFERROR(INDEX('Master data'!$B$2:$CL$1000,MATCH($B407,'Master data'!$A$2:$A$1000,0),MATCH(H$1,'Master data'!$B$1:$CL$1,0)),"")</f>
        <v>9707.1403932390458</v>
      </c>
      <c r="I407" s="7">
        <f>IFERROR(INDEX('Master data'!$B$2:$CL$1000,MATCH($B407,'Master data'!$A$2:$A$1000,0),MATCH(I$1,'Master data'!$B$1:$CL$1,0)),"")</f>
        <v>-6595.2019182136564</v>
      </c>
      <c r="J407" s="7">
        <f>IFERROR(INDEX('Master data'!$B$2:$CL$1000,MATCH($B407,'Master data'!$A$2:$A$1000,0),MATCH(J$1,'Master data'!$B$1:$CL$1,0)),"")</f>
        <v>-3277.0311535817082</v>
      </c>
      <c r="K407" s="7">
        <f>IFERROR(INDEX('Master data'!$B$2:$CL$1000,MATCH($B407,'Master data'!$A$2:$A$1000,0),MATCH(K$1,'Master data'!$B$1:$CL$1,0)),"")</f>
        <v>-1603.582563697332</v>
      </c>
      <c r="L407" s="7">
        <f>IFERROR(INDEX('Master data'!$B$2:$CL$1000,MATCH($B407,'Master data'!$A$2:$A$1000,0),MATCH(L$1,'Master data'!$B$1:$CL$1,0)),"")</f>
        <v>-742.81216842870663</v>
      </c>
      <c r="M407" s="5">
        <f>IFERROR(INDEX('Master data'!$B$2:$CL$1000,MATCH($B407,'Master data'!$A$2:$A$1000,0),MATCH(M$1,'Master data'!$B$1:$CL$1,0)),"")</f>
        <v>16658.4548738466</v>
      </c>
      <c r="N407" s="28">
        <f>IFERROR(INDEX('Master data'!$B$2:$CL$1000,MATCH($B407,'Master data'!$A$2:$A$1000,0),MATCH(N$1,'Master data'!$B$1:$CL$1,0)),"")</f>
        <v>1.5355182657843245E-2</v>
      </c>
      <c r="O407" s="7">
        <f>IFERROR(INDEX('Master data'!$B$2:$CL$1000,MATCH($B407,'Master data'!$A$2:$A$1000,0),MATCH(O$1,'Master data'!$B$1:$CL$1,0)),"")</f>
        <v>0</v>
      </c>
      <c r="P407" s="5">
        <f>IFERROR(INDEX('Master data'!$B$2:$CL$1000,MATCH($B407,'Master data'!$A$2:$A$1000,0),MATCH(P$1,'Master data'!$B$1:$CL$1,0)),"")</f>
        <v>2000000</v>
      </c>
      <c r="Q407" s="5">
        <f>IFERROR(INDEX('Master data'!$B$2:$CL$1000,MATCH($B407,'Master data'!$A$2:$A$1000,0),MATCH(Q$1,'Master data'!$B$1:$CL$1,0)),"")</f>
        <v>2000000</v>
      </c>
    </row>
    <row r="408" spans="1:17" hidden="1">
      <c r="A408">
        <f t="shared" si="6"/>
        <v>406</v>
      </c>
      <c r="B408" t="str">
        <f>IF('Master data'!A408="","",'Master data'!A408)</f>
        <v>Ludwig Augustinsson</v>
      </c>
      <c r="C408" t="str">
        <f>IFERROR(INDEX('Master data'!$B$2:$CL$1000,MATCH($B408,'Master data'!$A$2:$A$1000,0),MATCH(C$1,'Master data'!$B$1:$CL$1,0)),"")</f>
        <v>Sweden</v>
      </c>
      <c r="D408" t="str">
        <f>IFERROR(INDEX('Master data'!$B$2:$CL$1000,MATCH($B408,'Master data'!$A$2:$A$1000,0),MATCH(D$1,'Master data'!$B$1:$CL$1,0)),"")</f>
        <v>Defense</v>
      </c>
      <c r="E408" s="5">
        <f>IFERROR(INDEX('Master data'!$B$2:$CL$1000,MATCH($B408,'Master data'!$A$2:$A$1000,0),MATCH(E$1,'Master data'!$B$1:$CL$1,0)),"")</f>
        <v>3500000</v>
      </c>
      <c r="F408" s="7">
        <f>IFERROR(INDEX('Master data'!$B$2:$CL$1000,MATCH($B408,'Master data'!$A$2:$A$1000,0),MATCH(F$1,'Master data'!$B$1:$CL$1,0)),"")</f>
        <v>9284.6604141212702</v>
      </c>
      <c r="G408" s="7">
        <f>IFERROR(INDEX('Master data'!$B$2:$CL$1000,MATCH($B408,'Master data'!$A$2:$A$1000,0),MATCH(G$1,'Master data'!$B$1:$CL$1,0)),"")</f>
        <v>66082.323855162394</v>
      </c>
      <c r="H408" s="7">
        <f>IFERROR(INDEX('Master data'!$B$2:$CL$1000,MATCH($B408,'Master data'!$A$2:$A$1000,0),MATCH(H$1,'Master data'!$B$1:$CL$1,0)),"")</f>
        <v>47202.131223452554</v>
      </c>
      <c r="I408" s="7">
        <f>IFERROR(INDEX('Master data'!$B$2:$CL$1000,MATCH($B408,'Master data'!$A$2:$A$1000,0),MATCH(I$1,'Master data'!$B$1:$CL$1,0)),"")</f>
        <v>3032.7028922220752</v>
      </c>
      <c r="J408" s="7">
        <f>IFERROR(INDEX('Master data'!$B$2:$CL$1000,MATCH($B408,'Master data'!$A$2:$A$1000,0),MATCH(J$1,'Master data'!$B$1:$CL$1,0)),"")</f>
        <v>1360.1140102118597</v>
      </c>
      <c r="K408" s="7">
        <f>IFERROR(INDEX('Master data'!$B$2:$CL$1000,MATCH($B408,'Master data'!$A$2:$A$1000,0),MATCH(K$1,'Master data'!$B$1:$CL$1,0)),"")</f>
        <v>595.16468485456187</v>
      </c>
      <c r="L408" s="7">
        <f>IFERROR(INDEX('Master data'!$B$2:$CL$1000,MATCH($B408,'Master data'!$A$2:$A$1000,0),MATCH(L$1,'Master data'!$B$1:$CL$1,0)),"")</f>
        <v>243.72801000386346</v>
      </c>
      <c r="M408" s="5">
        <f>IFERROR(INDEX('Master data'!$B$2:$CL$1000,MATCH($B408,'Master data'!$A$2:$A$1000,0),MATCH(M$1,'Master data'!$B$1:$CL$1,0)),"")</f>
        <v>75585.283945786985</v>
      </c>
      <c r="N408" s="28">
        <f>IFERROR(INDEX('Master data'!$B$2:$CL$1000,MATCH($B408,'Master data'!$A$2:$A$1000,0),MATCH(N$1,'Master data'!$B$1:$CL$1,0)),"")</f>
        <v>3.5019747283638922E-2</v>
      </c>
      <c r="O408" s="7">
        <f>IFERROR(INDEX('Master data'!$B$2:$CL$1000,MATCH($B408,'Master data'!$A$2:$A$1000,0),MATCH(O$1,'Master data'!$B$1:$CL$1,0)),"")</f>
        <v>0</v>
      </c>
      <c r="P408" s="5">
        <f>IFERROR(INDEX('Master data'!$B$2:$CL$1000,MATCH($B408,'Master data'!$A$2:$A$1000,0),MATCH(P$1,'Master data'!$B$1:$CL$1,0)),"")</f>
        <v>3500000</v>
      </c>
      <c r="Q408" s="5">
        <f>IFERROR(INDEX('Master data'!$B$2:$CL$1000,MATCH($B408,'Master data'!$A$2:$A$1000,0),MATCH(Q$1,'Master data'!$B$1:$CL$1,0)),"")</f>
        <v>3500000</v>
      </c>
    </row>
    <row r="409" spans="1:17" hidden="1">
      <c r="A409">
        <f t="shared" si="6"/>
        <v>407</v>
      </c>
      <c r="B409" t="str">
        <f>IF('Master data'!A409="","",'Master data'!A409)</f>
        <v>Victor Lindelöf</v>
      </c>
      <c r="C409" t="str">
        <f>IFERROR(INDEX('Master data'!$B$2:$CL$1000,MATCH($B409,'Master data'!$A$2:$A$1000,0),MATCH(C$1,'Master data'!$B$1:$CL$1,0)),"")</f>
        <v>Sweden</v>
      </c>
      <c r="D409" t="str">
        <f>IFERROR(INDEX('Master data'!$B$2:$CL$1000,MATCH($B409,'Master data'!$A$2:$A$1000,0),MATCH(D$1,'Master data'!$B$1:$CL$1,0)),"")</f>
        <v>Defense</v>
      </c>
      <c r="E409" s="5">
        <f>IFERROR(INDEX('Master data'!$B$2:$CL$1000,MATCH($B409,'Master data'!$A$2:$A$1000,0),MATCH(E$1,'Master data'!$B$1:$CL$1,0)),"")</f>
        <v>3500000</v>
      </c>
      <c r="F409" s="7">
        <f>IFERROR(INDEX('Master data'!$B$2:$CL$1000,MATCH($B409,'Master data'!$A$2:$A$1000,0),MATCH(F$1,'Master data'!$B$1:$CL$1,0)),"")</f>
        <v>2998.3110016605096</v>
      </c>
      <c r="G409" s="7">
        <f>IFERROR(INDEX('Master data'!$B$2:$CL$1000,MATCH($B409,'Master data'!$A$2:$A$1000,0),MATCH(G$1,'Master data'!$B$1:$CL$1,0)),"")</f>
        <v>56120.788444648548</v>
      </c>
      <c r="H409" s="7">
        <f>IFERROR(INDEX('Master data'!$B$2:$CL$1000,MATCH($B409,'Master data'!$A$2:$A$1000,0),MATCH(H$1,'Master data'!$B$1:$CL$1,0)),"")</f>
        <v>37812.255150904479</v>
      </c>
      <c r="I409" s="7">
        <f>IFERROR(INDEX('Master data'!$B$2:$CL$1000,MATCH($B409,'Master data'!$A$2:$A$1000,0),MATCH(I$1,'Master data'!$B$1:$CL$1,0)),"")</f>
        <v>-2396.2441349787978</v>
      </c>
      <c r="J409" s="7">
        <f>IFERROR(INDEX('Master data'!$B$2:$CL$1000,MATCH($B409,'Master data'!$A$2:$A$1000,0),MATCH(J$1,'Master data'!$B$1:$CL$1,0)),"")</f>
        <v>-1282.7518797873106</v>
      </c>
      <c r="K409" s="7">
        <f>IFERROR(INDEX('Master data'!$B$2:$CL$1000,MATCH($B409,'Master data'!$A$2:$A$1000,0),MATCH(K$1,'Master data'!$B$1:$CL$1,0)),"")</f>
        <v>-671.87373309958036</v>
      </c>
      <c r="L409" s="7">
        <f>IFERROR(INDEX('Master data'!$B$2:$CL$1000,MATCH($B409,'Master data'!$A$2:$A$1000,0),MATCH(L$1,'Master data'!$B$1:$CL$1,0)),"")</f>
        <v>-331.28325714343453</v>
      </c>
      <c r="M409" s="5">
        <f>IFERROR(INDEX('Master data'!$B$2:$CL$1000,MATCH($B409,'Master data'!$A$2:$A$1000,0),MATCH(M$1,'Master data'!$B$1:$CL$1,0)),"")</f>
        <v>56136.674297014026</v>
      </c>
      <c r="N409" s="28">
        <f>IFERROR(INDEX('Master data'!$B$2:$CL$1000,MATCH($B409,'Master data'!$A$2:$A$1000,0),MATCH(N$1,'Master data'!$B$1:$CL$1,0)),"")</f>
        <v>2.769467274206101E-2</v>
      </c>
      <c r="O409" s="7">
        <f>IFERROR(INDEX('Master data'!$B$2:$CL$1000,MATCH($B409,'Master data'!$A$2:$A$1000,0),MATCH(O$1,'Master data'!$B$1:$CL$1,0)),"")</f>
        <v>0</v>
      </c>
      <c r="P409" s="5">
        <f>IFERROR(INDEX('Master data'!$B$2:$CL$1000,MATCH($B409,'Master data'!$A$2:$A$1000,0),MATCH(P$1,'Master data'!$B$1:$CL$1,0)),"")</f>
        <v>3500000</v>
      </c>
      <c r="Q409" s="5">
        <f>IFERROR(INDEX('Master data'!$B$2:$CL$1000,MATCH($B409,'Master data'!$A$2:$A$1000,0),MATCH(Q$1,'Master data'!$B$1:$CL$1,0)),"")</f>
        <v>3500000</v>
      </c>
    </row>
    <row r="410" spans="1:17" hidden="1">
      <c r="A410">
        <f t="shared" si="6"/>
        <v>408</v>
      </c>
      <c r="B410" t="str">
        <f>IF('Master data'!A410="","",'Master data'!A410)</f>
        <v>Emil Krafth</v>
      </c>
      <c r="C410" t="str">
        <f>IFERROR(INDEX('Master data'!$B$2:$CL$1000,MATCH($B410,'Master data'!$A$2:$A$1000,0),MATCH(C$1,'Master data'!$B$1:$CL$1,0)),"")</f>
        <v>Sweden</v>
      </c>
      <c r="D410" t="str">
        <f>IFERROR(INDEX('Master data'!$B$2:$CL$1000,MATCH($B410,'Master data'!$A$2:$A$1000,0),MATCH(D$1,'Master data'!$B$1:$CL$1,0)),"")</f>
        <v>Defense</v>
      </c>
      <c r="E410" s="5">
        <f>IFERROR(INDEX('Master data'!$B$2:$CL$1000,MATCH($B410,'Master data'!$A$2:$A$1000,0),MATCH(E$1,'Master data'!$B$1:$CL$1,0)),"")</f>
        <v>2500000</v>
      </c>
      <c r="F410" s="7">
        <f>IFERROR(INDEX('Master data'!$B$2:$CL$1000,MATCH($B410,'Master data'!$A$2:$A$1000,0),MATCH(F$1,'Master data'!$B$1:$CL$1,0)),"")</f>
        <v>3659.5588833726706</v>
      </c>
      <c r="G410" s="7">
        <f>IFERROR(INDEX('Master data'!$B$2:$CL$1000,MATCH($B410,'Master data'!$A$2:$A$1000,0),MATCH(G$1,'Master data'!$B$1:$CL$1,0)),"")</f>
        <v>17343.666039074775</v>
      </c>
      <c r="H410" s="7">
        <f>IFERROR(INDEX('Master data'!$B$2:$CL$1000,MATCH($B410,'Master data'!$A$2:$A$1000,0),MATCH(H$1,'Master data'!$B$1:$CL$1,0)),"")</f>
        <v>9707.1403932390458</v>
      </c>
      <c r="I410" s="7">
        <f>IFERROR(INDEX('Master data'!$B$2:$CL$1000,MATCH($B410,'Master data'!$A$2:$A$1000,0),MATCH(I$1,'Master data'!$B$1:$CL$1,0)),"")</f>
        <v>-9869.7776279468362</v>
      </c>
      <c r="J410" s="7">
        <f>IFERROR(INDEX('Master data'!$B$2:$CL$1000,MATCH($B410,'Master data'!$A$2:$A$1000,0),MATCH(J$1,'Master data'!$B$1:$CL$1,0)),"")</f>
        <v>-4887.7326379866363</v>
      </c>
      <c r="K410" s="7">
        <f>IFERROR(INDEX('Master data'!$B$2:$CL$1000,MATCH($B410,'Master data'!$A$2:$A$1000,0),MATCH(K$1,'Master data'!$B$1:$CL$1,0)),"")</f>
        <v>-2383.9108395829394</v>
      </c>
      <c r="L410" s="7">
        <f>IFERROR(INDEX('Master data'!$B$2:$CL$1000,MATCH($B410,'Master data'!$A$2:$A$1000,0),MATCH(L$1,'Master data'!$B$1:$CL$1,0)),"")</f>
        <v>-1100.7104945418785</v>
      </c>
      <c r="M410" s="5">
        <f>IFERROR(INDEX('Master data'!$B$2:$CL$1000,MATCH($B410,'Master data'!$A$2:$A$1000,0),MATCH(M$1,'Master data'!$B$1:$CL$1,0)),"")</f>
        <v>15235.867254624463</v>
      </c>
      <c r="N410" s="28">
        <f>IFERROR(INDEX('Master data'!$B$2:$CL$1000,MATCH($B410,'Master data'!$A$2:$A$1000,0),MATCH(N$1,'Master data'!$B$1:$CL$1,0)),"")</f>
        <v>1.2284146126274596E-2</v>
      </c>
      <c r="O410" s="7">
        <f>IFERROR(INDEX('Master data'!$B$2:$CL$1000,MATCH($B410,'Master data'!$A$2:$A$1000,0),MATCH(O$1,'Master data'!$B$1:$CL$1,0)),"")</f>
        <v>0</v>
      </c>
      <c r="P410" s="5">
        <f>IFERROR(INDEX('Master data'!$B$2:$CL$1000,MATCH($B410,'Master data'!$A$2:$A$1000,0),MATCH(P$1,'Master data'!$B$1:$CL$1,0)),"")</f>
        <v>2500000</v>
      </c>
      <c r="Q410" s="5">
        <f>IFERROR(INDEX('Master data'!$B$2:$CL$1000,MATCH($B410,'Master data'!$A$2:$A$1000,0),MATCH(Q$1,'Master data'!$B$1:$CL$1,0)),"")</f>
        <v>2500000</v>
      </c>
    </row>
    <row r="411" spans="1:17" hidden="1">
      <c r="A411">
        <f t="shared" si="6"/>
        <v>409</v>
      </c>
      <c r="B411" t="str">
        <f>IF('Master data'!A411="","",'Master data'!A411)</f>
        <v>Filip Helander</v>
      </c>
      <c r="C411" t="str">
        <f>IFERROR(INDEX('Master data'!$B$2:$CL$1000,MATCH($B411,'Master data'!$A$2:$A$1000,0),MATCH(C$1,'Master data'!$B$1:$CL$1,0)),"")</f>
        <v>Sweden</v>
      </c>
      <c r="D411" t="str">
        <f>IFERROR(INDEX('Master data'!$B$2:$CL$1000,MATCH($B411,'Master data'!$A$2:$A$1000,0),MATCH(D$1,'Master data'!$B$1:$CL$1,0)),"")</f>
        <v>Defense</v>
      </c>
      <c r="E411" s="5">
        <f>IFERROR(INDEX('Master data'!$B$2:$CL$1000,MATCH($B411,'Master data'!$A$2:$A$1000,0),MATCH(E$1,'Master data'!$B$1:$CL$1,0)),"")</f>
        <v>3000000</v>
      </c>
      <c r="F411" s="7">
        <f>IFERROR(INDEX('Master data'!$B$2:$CL$1000,MATCH($B411,'Master data'!$A$2:$A$1000,0),MATCH(F$1,'Master data'!$B$1:$CL$1,0)),"")</f>
        <v>5317.3963662563619</v>
      </c>
      <c r="G411" s="7">
        <f>IFERROR(INDEX('Master data'!$B$2:$CL$1000,MATCH($B411,'Master data'!$A$2:$A$1000,0),MATCH(G$1,'Master data'!$B$1:$CL$1,0)),"")</f>
        <v>57638.586412331853</v>
      </c>
      <c r="H411" s="7">
        <f>IFERROR(INDEX('Master data'!$B$2:$CL$1000,MATCH($B411,'Master data'!$A$2:$A$1000,0),MATCH(H$1,'Master data'!$B$1:$CL$1,0)),"")</f>
        <v>39454.689918761178</v>
      </c>
      <c r="I411" s="7">
        <f>IFERROR(INDEX('Master data'!$B$2:$CL$1000,MATCH($B411,'Master data'!$A$2:$A$1000,0),MATCH(I$1,'Master data'!$B$1:$CL$1,0)),"")</f>
        <v>2038.6094879482541</v>
      </c>
      <c r="J411" s="7">
        <f>IFERROR(INDEX('Master data'!$B$2:$CL$1000,MATCH($B411,'Master data'!$A$2:$A$1000,0),MATCH(J$1,'Master data'!$B$1:$CL$1,0)),"")</f>
        <v>892.78453565221866</v>
      </c>
      <c r="K411" s="7">
        <f>IFERROR(INDEX('Master data'!$B$2:$CL$1000,MATCH($B411,'Master data'!$A$2:$A$1000,0),MATCH(K$1,'Master data'!$B$1:$CL$1,0)),"")</f>
        <v>379.24677637285566</v>
      </c>
      <c r="L411" s="7">
        <f>IFERROR(INDEX('Master data'!$B$2:$CL$1000,MATCH($B411,'Master data'!$A$2:$A$1000,0),MATCH(L$1,'Master data'!$B$1:$CL$1,0)),"")</f>
        <v>149.50683228329839</v>
      </c>
      <c r="M411" s="5">
        <f>IFERROR(INDEX('Master data'!$B$2:$CL$1000,MATCH($B411,'Master data'!$A$2:$A$1000,0),MATCH(M$1,'Master data'!$B$1:$CL$1,0)),"")</f>
        <v>62121.990715228334</v>
      </c>
      <c r="N411" s="28">
        <f>IFERROR(INDEX('Master data'!$B$2:$CL$1000,MATCH($B411,'Master data'!$A$2:$A$1000,0),MATCH(N$1,'Master data'!$B$1:$CL$1,0)),"")</f>
        <v>3.4136890899116465E-2</v>
      </c>
      <c r="O411" s="7">
        <f>IFERROR(INDEX('Master data'!$B$2:$CL$1000,MATCH($B411,'Master data'!$A$2:$A$1000,0),MATCH(O$1,'Master data'!$B$1:$CL$1,0)),"")</f>
        <v>0</v>
      </c>
      <c r="P411" s="5">
        <f>IFERROR(INDEX('Master data'!$B$2:$CL$1000,MATCH($B411,'Master data'!$A$2:$A$1000,0),MATCH(P$1,'Master data'!$B$1:$CL$1,0)),"")</f>
        <v>3000000</v>
      </c>
      <c r="Q411" s="5">
        <f>IFERROR(INDEX('Master data'!$B$2:$CL$1000,MATCH($B411,'Master data'!$A$2:$A$1000,0),MATCH(Q$1,'Master data'!$B$1:$CL$1,0)),"")</f>
        <v>3000000</v>
      </c>
    </row>
    <row r="412" spans="1:17" hidden="1">
      <c r="A412">
        <f t="shared" si="6"/>
        <v>410</v>
      </c>
      <c r="B412" t="str">
        <f>IF('Master data'!A412="","",'Master data'!A412)</f>
        <v>Marcus Danielson</v>
      </c>
      <c r="C412" t="str">
        <f>IFERROR(INDEX('Master data'!$B$2:$CL$1000,MATCH($B412,'Master data'!$A$2:$A$1000,0),MATCH(C$1,'Master data'!$B$1:$CL$1,0)),"")</f>
        <v>Sweden</v>
      </c>
      <c r="D412" t="str">
        <f>IFERROR(INDEX('Master data'!$B$2:$CL$1000,MATCH($B412,'Master data'!$A$2:$A$1000,0),MATCH(D$1,'Master data'!$B$1:$CL$1,0)),"")</f>
        <v>Defense</v>
      </c>
      <c r="E412" s="5">
        <f>IFERROR(INDEX('Master data'!$B$2:$CL$1000,MATCH($B412,'Master data'!$A$2:$A$1000,0),MATCH(E$1,'Master data'!$B$1:$CL$1,0)),"")</f>
        <v>2000000</v>
      </c>
      <c r="F412" s="7">
        <f>IFERROR(INDEX('Master data'!$B$2:$CL$1000,MATCH($B412,'Master data'!$A$2:$A$1000,0),MATCH(F$1,'Master data'!$B$1:$CL$1,0)),"")</f>
        <v>3659.5588833726706</v>
      </c>
      <c r="G412" s="7">
        <f>IFERROR(INDEX('Master data'!$B$2:$CL$1000,MATCH($B412,'Master data'!$A$2:$A$1000,0),MATCH(G$1,'Master data'!$B$1:$CL$1,0)),"")</f>
        <v>17343.666039074775</v>
      </c>
      <c r="H412" s="7">
        <f>IFERROR(INDEX('Master data'!$B$2:$CL$1000,MATCH($B412,'Master data'!$A$2:$A$1000,0),MATCH(H$1,'Master data'!$B$1:$CL$1,0)),"")</f>
        <v>9707.1403932390458</v>
      </c>
      <c r="I412" s="7">
        <f>IFERROR(INDEX('Master data'!$B$2:$CL$1000,MATCH($B412,'Master data'!$A$2:$A$1000,0),MATCH(I$1,'Master data'!$B$1:$CL$1,0)),"")</f>
        <v>-6595.2019182136564</v>
      </c>
      <c r="J412" s="7">
        <f>IFERROR(INDEX('Master data'!$B$2:$CL$1000,MATCH($B412,'Master data'!$A$2:$A$1000,0),MATCH(J$1,'Master data'!$B$1:$CL$1,0)),"")</f>
        <v>-3277.0311535817082</v>
      </c>
      <c r="K412" s="7">
        <f>IFERROR(INDEX('Master data'!$B$2:$CL$1000,MATCH($B412,'Master data'!$A$2:$A$1000,0),MATCH(K$1,'Master data'!$B$1:$CL$1,0)),"")</f>
        <v>-1603.582563697332</v>
      </c>
      <c r="L412" s="7">
        <f>IFERROR(INDEX('Master data'!$B$2:$CL$1000,MATCH($B412,'Master data'!$A$2:$A$1000,0),MATCH(L$1,'Master data'!$B$1:$CL$1,0)),"")</f>
        <v>-742.81216842870663</v>
      </c>
      <c r="M412" s="5">
        <f>IFERROR(INDEX('Master data'!$B$2:$CL$1000,MATCH($B412,'Master data'!$A$2:$A$1000,0),MATCH(M$1,'Master data'!$B$1:$CL$1,0)),"")</f>
        <v>16658.4548738466</v>
      </c>
      <c r="N412" s="28">
        <f>IFERROR(INDEX('Master data'!$B$2:$CL$1000,MATCH($B412,'Master data'!$A$2:$A$1000,0),MATCH(N$1,'Master data'!$B$1:$CL$1,0)),"")</f>
        <v>1.5355182657843245E-2</v>
      </c>
      <c r="O412" s="7">
        <f>IFERROR(INDEX('Master data'!$B$2:$CL$1000,MATCH($B412,'Master data'!$A$2:$A$1000,0),MATCH(O$1,'Master data'!$B$1:$CL$1,0)),"")</f>
        <v>0</v>
      </c>
      <c r="P412" s="5">
        <f>IFERROR(INDEX('Master data'!$B$2:$CL$1000,MATCH($B412,'Master data'!$A$2:$A$1000,0),MATCH(P$1,'Master data'!$B$1:$CL$1,0)),"")</f>
        <v>2000000</v>
      </c>
      <c r="Q412" s="5">
        <f>IFERROR(INDEX('Master data'!$B$2:$CL$1000,MATCH($B412,'Master data'!$A$2:$A$1000,0),MATCH(Q$1,'Master data'!$B$1:$CL$1,0)),"")</f>
        <v>2000000</v>
      </c>
    </row>
    <row r="413" spans="1:17" hidden="1">
      <c r="A413">
        <f t="shared" si="6"/>
        <v>411</v>
      </c>
      <c r="B413" t="str">
        <f>IF('Master data'!A413="","",'Master data'!A413)</f>
        <v>Mikael Lustig</v>
      </c>
      <c r="C413" t="str">
        <f>IFERROR(INDEX('Master data'!$B$2:$CL$1000,MATCH($B413,'Master data'!$A$2:$A$1000,0),MATCH(C$1,'Master data'!$B$1:$CL$1,0)),"")</f>
        <v>Sweden</v>
      </c>
      <c r="D413" t="str">
        <f>IFERROR(INDEX('Master data'!$B$2:$CL$1000,MATCH($B413,'Master data'!$A$2:$A$1000,0),MATCH(D$1,'Master data'!$B$1:$CL$1,0)),"")</f>
        <v>Defense</v>
      </c>
      <c r="E413" s="5">
        <f>IFERROR(INDEX('Master data'!$B$2:$CL$1000,MATCH($B413,'Master data'!$A$2:$A$1000,0),MATCH(E$1,'Master data'!$B$1:$CL$1,0)),"")</f>
        <v>3000000</v>
      </c>
      <c r="F413" s="7">
        <f>IFERROR(INDEX('Master data'!$B$2:$CL$1000,MATCH($B413,'Master data'!$A$2:$A$1000,0),MATCH(F$1,'Master data'!$B$1:$CL$1,0)),"")</f>
        <v>6593.7643681939844</v>
      </c>
      <c r="G413" s="7">
        <f>IFERROR(INDEX('Master data'!$B$2:$CL$1000,MATCH($B413,'Master data'!$A$2:$A$1000,0),MATCH(G$1,'Master data'!$B$1:$CL$1,0)),"")</f>
        <v>62373.700490607116</v>
      </c>
      <c r="H413" s="7">
        <f>IFERROR(INDEX('Master data'!$B$2:$CL$1000,MATCH($B413,'Master data'!$A$2:$A$1000,0),MATCH(H$1,'Master data'!$B$1:$CL$1,0)),"")</f>
        <v>43651.810955803063</v>
      </c>
      <c r="I413" s="7">
        <f>IFERROR(INDEX('Master data'!$B$2:$CL$1000,MATCH($B413,'Master data'!$A$2:$A$1000,0),MATCH(I$1,'Master data'!$B$1:$CL$1,0)),"")</f>
        <v>4200.3413868900443</v>
      </c>
      <c r="J413" s="7">
        <f>IFERROR(INDEX('Master data'!$B$2:$CL$1000,MATCH($B413,'Master data'!$A$2:$A$1000,0),MATCH(J$1,'Master data'!$B$1:$CL$1,0)),"")</f>
        <v>1945.1373161106517</v>
      </c>
      <c r="K413" s="7">
        <f>IFERROR(INDEX('Master data'!$B$2:$CL$1000,MATCH($B413,'Master data'!$A$2:$A$1000,0),MATCH(K$1,'Master data'!$B$1:$CL$1,0)),"")</f>
        <v>883.76401545308624</v>
      </c>
      <c r="L413" s="7">
        <f>IFERROR(INDEX('Master data'!$B$2:$CL$1000,MATCH($B413,'Master data'!$A$2:$A$1000,0),MATCH(L$1,'Master data'!$B$1:$CL$1,0)),"")</f>
        <v>378.4683955874342</v>
      </c>
      <c r="M413" s="5">
        <f>IFERROR(INDEX('Master data'!$B$2:$CL$1000,MATCH($B413,'Master data'!$A$2:$A$1000,0),MATCH(M$1,'Master data'!$B$1:$CL$1,0)),"")</f>
        <v>69355.413235141212</v>
      </c>
      <c r="N413" s="28">
        <f>IFERROR(INDEX('Master data'!$B$2:$CL$1000,MATCH($B413,'Master data'!$A$2:$A$1000,0),MATCH(N$1,'Master data'!$B$1:$CL$1,0)),"")</f>
        <v>3.7539758604868051E-2</v>
      </c>
      <c r="O413" s="7">
        <f>IFERROR(INDEX('Master data'!$B$2:$CL$1000,MATCH($B413,'Master data'!$A$2:$A$1000,0),MATCH(O$1,'Master data'!$B$1:$CL$1,0)),"")</f>
        <v>0</v>
      </c>
      <c r="P413" s="5">
        <f>IFERROR(INDEX('Master data'!$B$2:$CL$1000,MATCH($B413,'Master data'!$A$2:$A$1000,0),MATCH(P$1,'Master data'!$B$1:$CL$1,0)),"")</f>
        <v>3000000</v>
      </c>
      <c r="Q413" s="5">
        <f>IFERROR(INDEX('Master data'!$B$2:$CL$1000,MATCH($B413,'Master data'!$A$2:$A$1000,0),MATCH(Q$1,'Master data'!$B$1:$CL$1,0)),"")</f>
        <v>3000000</v>
      </c>
    </row>
    <row r="414" spans="1:17" hidden="1">
      <c r="A414">
        <f t="shared" si="6"/>
        <v>412</v>
      </c>
      <c r="B414" t="str">
        <f>IF('Master data'!A414="","",'Master data'!A414)</f>
        <v>Pierre Bengtsson</v>
      </c>
      <c r="C414" t="str">
        <f>IFERROR(INDEX('Master data'!$B$2:$CL$1000,MATCH($B414,'Master data'!$A$2:$A$1000,0),MATCH(C$1,'Master data'!$B$1:$CL$1,0)),"")</f>
        <v>Sweden</v>
      </c>
      <c r="D414" t="str">
        <f>IFERROR(INDEX('Master data'!$B$2:$CL$1000,MATCH($B414,'Master data'!$A$2:$A$1000,0),MATCH(D$1,'Master data'!$B$1:$CL$1,0)),"")</f>
        <v>Defense</v>
      </c>
      <c r="E414" s="5">
        <f>IFERROR(INDEX('Master data'!$B$2:$CL$1000,MATCH($B414,'Master data'!$A$2:$A$1000,0),MATCH(E$1,'Master data'!$B$1:$CL$1,0)),"")</f>
        <v>2500000</v>
      </c>
      <c r="F414" s="7">
        <f>IFERROR(INDEX('Master data'!$B$2:$CL$1000,MATCH($B414,'Master data'!$A$2:$A$1000,0),MATCH(F$1,'Master data'!$B$1:$CL$1,0)),"")</f>
        <v>3659.5588833726706</v>
      </c>
      <c r="G414" s="7">
        <f>IFERROR(INDEX('Master data'!$B$2:$CL$1000,MATCH($B414,'Master data'!$A$2:$A$1000,0),MATCH(G$1,'Master data'!$B$1:$CL$1,0)),"")</f>
        <v>17343.666039074775</v>
      </c>
      <c r="H414" s="7">
        <f>IFERROR(INDEX('Master data'!$B$2:$CL$1000,MATCH($B414,'Master data'!$A$2:$A$1000,0),MATCH(H$1,'Master data'!$B$1:$CL$1,0)),"")</f>
        <v>9707.1403932390458</v>
      </c>
      <c r="I414" s="7">
        <f>IFERROR(INDEX('Master data'!$B$2:$CL$1000,MATCH($B414,'Master data'!$A$2:$A$1000,0),MATCH(I$1,'Master data'!$B$1:$CL$1,0)),"")</f>
        <v>-9869.7776279468362</v>
      </c>
      <c r="J414" s="7">
        <f>IFERROR(INDEX('Master data'!$B$2:$CL$1000,MATCH($B414,'Master data'!$A$2:$A$1000,0),MATCH(J$1,'Master data'!$B$1:$CL$1,0)),"")</f>
        <v>-4887.7326379866363</v>
      </c>
      <c r="K414" s="7">
        <f>IFERROR(INDEX('Master data'!$B$2:$CL$1000,MATCH($B414,'Master data'!$A$2:$A$1000,0),MATCH(K$1,'Master data'!$B$1:$CL$1,0)),"")</f>
        <v>-2383.9108395829394</v>
      </c>
      <c r="L414" s="7">
        <f>IFERROR(INDEX('Master data'!$B$2:$CL$1000,MATCH($B414,'Master data'!$A$2:$A$1000,0),MATCH(L$1,'Master data'!$B$1:$CL$1,0)),"")</f>
        <v>-1100.7104945418785</v>
      </c>
      <c r="M414" s="5">
        <f>IFERROR(INDEX('Master data'!$B$2:$CL$1000,MATCH($B414,'Master data'!$A$2:$A$1000,0),MATCH(M$1,'Master data'!$B$1:$CL$1,0)),"")</f>
        <v>15235.867254624463</v>
      </c>
      <c r="N414" s="28">
        <f>IFERROR(INDEX('Master data'!$B$2:$CL$1000,MATCH($B414,'Master data'!$A$2:$A$1000,0),MATCH(N$1,'Master data'!$B$1:$CL$1,0)),"")</f>
        <v>1.2284146126274596E-2</v>
      </c>
      <c r="O414" s="7">
        <f>IFERROR(INDEX('Master data'!$B$2:$CL$1000,MATCH($B414,'Master data'!$A$2:$A$1000,0),MATCH(O$1,'Master data'!$B$1:$CL$1,0)),"")</f>
        <v>0</v>
      </c>
      <c r="P414" s="5">
        <f>IFERROR(INDEX('Master data'!$B$2:$CL$1000,MATCH($B414,'Master data'!$A$2:$A$1000,0),MATCH(P$1,'Master data'!$B$1:$CL$1,0)),"")</f>
        <v>2500000</v>
      </c>
      <c r="Q414" s="5">
        <f>IFERROR(INDEX('Master data'!$B$2:$CL$1000,MATCH($B414,'Master data'!$A$2:$A$1000,0),MATCH(Q$1,'Master data'!$B$1:$CL$1,0)),"")</f>
        <v>2500000</v>
      </c>
    </row>
    <row r="415" spans="1:17" hidden="1">
      <c r="A415">
        <f t="shared" si="6"/>
        <v>413</v>
      </c>
      <c r="B415" t="str">
        <f>IF('Master data'!A415="","",'Master data'!A415)</f>
        <v>Jens-Lys Cajuste</v>
      </c>
      <c r="C415" t="str">
        <f>IFERROR(INDEX('Master data'!$B$2:$CL$1000,MATCH($B415,'Master data'!$A$2:$A$1000,0),MATCH(C$1,'Master data'!$B$1:$CL$1,0)),"")</f>
        <v>Sweden</v>
      </c>
      <c r="D415" t="str">
        <f>IFERROR(INDEX('Master data'!$B$2:$CL$1000,MATCH($B415,'Master data'!$A$2:$A$1000,0),MATCH(D$1,'Master data'!$B$1:$CL$1,0)),"")</f>
        <v>Midfield</v>
      </c>
      <c r="E415" s="5">
        <f>IFERROR(INDEX('Master data'!$B$2:$CL$1000,MATCH($B415,'Master data'!$A$2:$A$1000,0),MATCH(E$1,'Master data'!$B$1:$CL$1,0)),"")</f>
        <v>2000000</v>
      </c>
      <c r="F415" s="7">
        <f>IFERROR(INDEX('Master data'!$B$2:$CL$1000,MATCH($B415,'Master data'!$A$2:$A$1000,0),MATCH(F$1,'Master data'!$B$1:$CL$1,0)),"")</f>
        <v>-5000</v>
      </c>
      <c r="G415" s="7">
        <f>IFERROR(INDEX('Master data'!$B$2:$CL$1000,MATCH($B415,'Master data'!$A$2:$A$1000,0),MATCH(G$1,'Master data'!$B$1:$CL$1,0)),"")</f>
        <v>-5000</v>
      </c>
      <c r="H415" s="7">
        <f>IFERROR(INDEX('Master data'!$B$2:$CL$1000,MATCH($B415,'Master data'!$A$2:$A$1000,0),MATCH(H$1,'Master data'!$B$1:$CL$1,0)),"")</f>
        <v>-5000</v>
      </c>
      <c r="I415" s="7">
        <f>IFERROR(INDEX('Master data'!$B$2:$CL$1000,MATCH($B415,'Master data'!$A$2:$A$1000,0),MATCH(I$1,'Master data'!$B$1:$CL$1,0)),"")</f>
        <v>-16274.641277373905</v>
      </c>
      <c r="J415" s="7">
        <f>IFERROR(INDEX('Master data'!$B$2:$CL$1000,MATCH($B415,'Master data'!$A$2:$A$1000,0),MATCH(J$1,'Master data'!$B$1:$CL$1,0)),"")</f>
        <v>-7989.0793626484456</v>
      </c>
      <c r="K415" s="7">
        <f>IFERROR(INDEX('Master data'!$B$2:$CL$1000,MATCH($B415,'Master data'!$A$2:$A$1000,0),MATCH(K$1,'Master data'!$B$1:$CL$1,0)),"")</f>
        <v>-3862.6249656337559</v>
      </c>
      <c r="L415" s="7">
        <f>IFERROR(INDEX('Master data'!$B$2:$CL$1000,MATCH($B415,'Master data'!$A$2:$A$1000,0),MATCH(L$1,'Master data'!$B$1:$CL$1,0)),"")</f>
        <v>-1768.0177309990693</v>
      </c>
      <c r="M415" s="5">
        <f>IFERROR(INDEX('Master data'!$B$2:$CL$1000,MATCH($B415,'Master data'!$A$2:$A$1000,0),MATCH(M$1,'Master data'!$B$1:$CL$1,0)),"")</f>
        <v>-17619.636592069848</v>
      </c>
      <c r="N415" s="28">
        <f>IFERROR(INDEX('Master data'!$B$2:$CL$1000,MATCH($B415,'Master data'!$A$2:$A$1000,0),MATCH(N$1,'Master data'!$B$1:$CL$1,0)),"")</f>
        <v>-7.4999999999999997E-3</v>
      </c>
      <c r="O415" s="7">
        <f>IFERROR(INDEX('Master data'!$B$2:$CL$1000,MATCH($B415,'Master data'!$A$2:$A$1000,0),MATCH(O$1,'Master data'!$B$1:$CL$1,0)),"")</f>
        <v>0</v>
      </c>
      <c r="P415" s="5">
        <f>IFERROR(INDEX('Master data'!$B$2:$CL$1000,MATCH($B415,'Master data'!$A$2:$A$1000,0),MATCH(P$1,'Master data'!$B$1:$CL$1,0)),"")</f>
        <v>2000000</v>
      </c>
      <c r="Q415" s="5">
        <f>IFERROR(INDEX('Master data'!$B$2:$CL$1000,MATCH($B415,'Master data'!$A$2:$A$1000,0),MATCH(Q$1,'Master data'!$B$1:$CL$1,0)),"")</f>
        <v>2000000</v>
      </c>
    </row>
    <row r="416" spans="1:17" hidden="1">
      <c r="A416">
        <f t="shared" si="6"/>
        <v>414</v>
      </c>
      <c r="B416" t="str">
        <f>IF('Master data'!A416="","",'Master data'!A416)</f>
        <v>Mattias Svanberg</v>
      </c>
      <c r="C416" t="str">
        <f>IFERROR(INDEX('Master data'!$B$2:$CL$1000,MATCH($B416,'Master data'!$A$2:$A$1000,0),MATCH(C$1,'Master data'!$B$1:$CL$1,0)),"")</f>
        <v>Sweden</v>
      </c>
      <c r="D416" t="str">
        <f>IFERROR(INDEX('Master data'!$B$2:$CL$1000,MATCH($B416,'Master data'!$A$2:$A$1000,0),MATCH(D$1,'Master data'!$B$1:$CL$1,0)),"")</f>
        <v>Midfield</v>
      </c>
      <c r="E416" s="5">
        <f>IFERROR(INDEX('Master data'!$B$2:$CL$1000,MATCH($B416,'Master data'!$A$2:$A$1000,0),MATCH(E$1,'Master data'!$B$1:$CL$1,0)),"")</f>
        <v>3000000</v>
      </c>
      <c r="F416" s="7">
        <f>IFERROR(INDEX('Master data'!$B$2:$CL$1000,MATCH($B416,'Master data'!$A$2:$A$1000,0),MATCH(F$1,'Master data'!$B$1:$CL$1,0)),"")</f>
        <v>-5000</v>
      </c>
      <c r="G416" s="7">
        <f>IFERROR(INDEX('Master data'!$B$2:$CL$1000,MATCH($B416,'Master data'!$A$2:$A$1000,0),MATCH(G$1,'Master data'!$B$1:$CL$1,0)),"")</f>
        <v>-5000</v>
      </c>
      <c r="H416" s="7">
        <f>IFERROR(INDEX('Master data'!$B$2:$CL$1000,MATCH($B416,'Master data'!$A$2:$A$1000,0),MATCH(H$1,'Master data'!$B$1:$CL$1,0)),"")</f>
        <v>-5000</v>
      </c>
      <c r="I416" s="7">
        <f>IFERROR(INDEX('Master data'!$B$2:$CL$1000,MATCH($B416,'Master data'!$A$2:$A$1000,0),MATCH(I$1,'Master data'!$B$1:$CL$1,0)),"")</f>
        <v>-22823.792696840264</v>
      </c>
      <c r="J416" s="7">
        <f>IFERROR(INDEX('Master data'!$B$2:$CL$1000,MATCH($B416,'Master data'!$A$2:$A$1000,0),MATCH(J$1,'Master data'!$B$1:$CL$1,0)),"")</f>
        <v>-11210.482331458303</v>
      </c>
      <c r="K416" s="7">
        <f>IFERROR(INDEX('Master data'!$B$2:$CL$1000,MATCH($B416,'Master data'!$A$2:$A$1000,0),MATCH(K$1,'Master data'!$B$1:$CL$1,0)),"")</f>
        <v>-5423.2815174049701</v>
      </c>
      <c r="L416" s="7">
        <f>IFERROR(INDEX('Master data'!$B$2:$CL$1000,MATCH($B416,'Master data'!$A$2:$A$1000,0),MATCH(L$1,'Master data'!$B$1:$CL$1,0)),"")</f>
        <v>-2483.8143832254132</v>
      </c>
      <c r="M416" s="5">
        <f>IFERROR(INDEX('Master data'!$B$2:$CL$1000,MATCH($B416,'Master data'!$A$2:$A$1000,0),MATCH(M$1,'Master data'!$B$1:$CL$1,0)),"")</f>
        <v>-20464.811830514125</v>
      </c>
      <c r="N416" s="28">
        <f>IFERROR(INDEX('Master data'!$B$2:$CL$1000,MATCH($B416,'Master data'!$A$2:$A$1000,0),MATCH(N$1,'Master data'!$B$1:$CL$1,0)),"")</f>
        <v>-5.0000000000000001E-3</v>
      </c>
      <c r="O416" s="7">
        <f>IFERROR(INDEX('Master data'!$B$2:$CL$1000,MATCH($B416,'Master data'!$A$2:$A$1000,0),MATCH(O$1,'Master data'!$B$1:$CL$1,0)),"")</f>
        <v>0</v>
      </c>
      <c r="P416" s="5">
        <f>IFERROR(INDEX('Master data'!$B$2:$CL$1000,MATCH($B416,'Master data'!$A$2:$A$1000,0),MATCH(P$1,'Master data'!$B$1:$CL$1,0)),"")</f>
        <v>3000000</v>
      </c>
      <c r="Q416" s="5">
        <f>IFERROR(INDEX('Master data'!$B$2:$CL$1000,MATCH($B416,'Master data'!$A$2:$A$1000,0),MATCH(Q$1,'Master data'!$B$1:$CL$1,0)),"")</f>
        <v>3000000</v>
      </c>
    </row>
    <row r="417" spans="1:17" hidden="1">
      <c r="A417">
        <f t="shared" si="6"/>
        <v>415</v>
      </c>
      <c r="B417" t="str">
        <f>IF('Master data'!A417="","",'Master data'!A417)</f>
        <v>Kristoffer K. Olsson</v>
      </c>
      <c r="C417" t="str">
        <f>IFERROR(INDEX('Master data'!$B$2:$CL$1000,MATCH($B417,'Master data'!$A$2:$A$1000,0),MATCH(C$1,'Master data'!$B$1:$CL$1,0)),"")</f>
        <v>Sweden</v>
      </c>
      <c r="D417" t="str">
        <f>IFERROR(INDEX('Master data'!$B$2:$CL$1000,MATCH($B417,'Master data'!$A$2:$A$1000,0),MATCH(D$1,'Master data'!$B$1:$CL$1,0)),"")</f>
        <v>Midfield</v>
      </c>
      <c r="E417" s="5">
        <f>IFERROR(INDEX('Master data'!$B$2:$CL$1000,MATCH($B417,'Master data'!$A$2:$A$1000,0),MATCH(E$1,'Master data'!$B$1:$CL$1,0)),"")</f>
        <v>3500000</v>
      </c>
      <c r="F417" s="7">
        <f>IFERROR(INDEX('Master data'!$B$2:$CL$1000,MATCH($B417,'Master data'!$A$2:$A$1000,0),MATCH(F$1,'Master data'!$B$1:$CL$1,0)),"")</f>
        <v>-5000</v>
      </c>
      <c r="G417" s="7">
        <f>IFERROR(INDEX('Master data'!$B$2:$CL$1000,MATCH($B417,'Master data'!$A$2:$A$1000,0),MATCH(G$1,'Master data'!$B$1:$CL$1,0)),"")</f>
        <v>-5000</v>
      </c>
      <c r="H417" s="7">
        <f>IFERROR(INDEX('Master data'!$B$2:$CL$1000,MATCH($B417,'Master data'!$A$2:$A$1000,0),MATCH(H$1,'Master data'!$B$1:$CL$1,0)),"")</f>
        <v>-5000</v>
      </c>
      <c r="I417" s="7">
        <f>IFERROR(INDEX('Master data'!$B$2:$CL$1000,MATCH($B417,'Master data'!$A$2:$A$1000,0),MATCH(I$1,'Master data'!$B$1:$CL$1,0)),"")</f>
        <v>-26098.368406573445</v>
      </c>
      <c r="J417" s="7">
        <f>IFERROR(INDEX('Master data'!$B$2:$CL$1000,MATCH($B417,'Master data'!$A$2:$A$1000,0),MATCH(J$1,'Master data'!$B$1:$CL$1,0)),"")</f>
        <v>-12821.183815863231</v>
      </c>
      <c r="K417" s="7">
        <f>IFERROR(INDEX('Master data'!$B$2:$CL$1000,MATCH($B417,'Master data'!$A$2:$A$1000,0),MATCH(K$1,'Master data'!$B$1:$CL$1,0)),"")</f>
        <v>-6203.6097932905777</v>
      </c>
      <c r="L417" s="7">
        <f>IFERROR(INDEX('Master data'!$B$2:$CL$1000,MATCH($B417,'Master data'!$A$2:$A$1000,0),MATCH(L$1,'Master data'!$B$1:$CL$1,0)),"")</f>
        <v>-2841.7127093385852</v>
      </c>
      <c r="M417" s="5">
        <f>IFERROR(INDEX('Master data'!$B$2:$CL$1000,MATCH($B417,'Master data'!$A$2:$A$1000,0),MATCH(M$1,'Master data'!$B$1:$CL$1,0)),"")</f>
        <v>-21887.399449736262</v>
      </c>
      <c r="N417" s="28">
        <f>IFERROR(INDEX('Master data'!$B$2:$CL$1000,MATCH($B417,'Master data'!$A$2:$A$1000,0),MATCH(N$1,'Master data'!$B$1:$CL$1,0)),"")</f>
        <v>-4.2857142857142859E-3</v>
      </c>
      <c r="O417" s="7">
        <f>IFERROR(INDEX('Master data'!$B$2:$CL$1000,MATCH($B417,'Master data'!$A$2:$A$1000,0),MATCH(O$1,'Master data'!$B$1:$CL$1,0)),"")</f>
        <v>0</v>
      </c>
      <c r="P417" s="5">
        <f>IFERROR(INDEX('Master data'!$B$2:$CL$1000,MATCH($B417,'Master data'!$A$2:$A$1000,0),MATCH(P$1,'Master data'!$B$1:$CL$1,0)),"")</f>
        <v>3500000</v>
      </c>
      <c r="Q417" s="5">
        <f>IFERROR(INDEX('Master data'!$B$2:$CL$1000,MATCH($B417,'Master data'!$A$2:$A$1000,0),MATCH(Q$1,'Master data'!$B$1:$CL$1,0)),"")</f>
        <v>3500000</v>
      </c>
    </row>
    <row r="418" spans="1:17" hidden="1">
      <c r="A418">
        <f t="shared" si="6"/>
        <v>416</v>
      </c>
      <c r="B418" t="str">
        <f>IF('Master data'!A418="","",'Master data'!A418)</f>
        <v>Ken Sema</v>
      </c>
      <c r="C418" t="str">
        <f>IFERROR(INDEX('Master data'!$B$2:$CL$1000,MATCH($B418,'Master data'!$A$2:$A$1000,0),MATCH(C$1,'Master data'!$B$1:$CL$1,0)),"")</f>
        <v>Sweden</v>
      </c>
      <c r="D418" t="str">
        <f>IFERROR(INDEX('Master data'!$B$2:$CL$1000,MATCH($B418,'Master data'!$A$2:$A$1000,0),MATCH(D$1,'Master data'!$B$1:$CL$1,0)),"")</f>
        <v>Midfield</v>
      </c>
      <c r="E418" s="5">
        <f>IFERROR(INDEX('Master data'!$B$2:$CL$1000,MATCH($B418,'Master data'!$A$2:$A$1000,0),MATCH(E$1,'Master data'!$B$1:$CL$1,0)),"")</f>
        <v>2500000</v>
      </c>
      <c r="F418" s="7">
        <f>IFERROR(INDEX('Master data'!$B$2:$CL$1000,MATCH($B418,'Master data'!$A$2:$A$1000,0),MATCH(F$1,'Master data'!$B$1:$CL$1,0)),"")</f>
        <v>-5000</v>
      </c>
      <c r="G418" s="7">
        <f>IFERROR(INDEX('Master data'!$B$2:$CL$1000,MATCH($B418,'Master data'!$A$2:$A$1000,0),MATCH(G$1,'Master data'!$B$1:$CL$1,0)),"")</f>
        <v>-5000</v>
      </c>
      <c r="H418" s="7">
        <f>IFERROR(INDEX('Master data'!$B$2:$CL$1000,MATCH($B418,'Master data'!$A$2:$A$1000,0),MATCH(H$1,'Master data'!$B$1:$CL$1,0)),"")</f>
        <v>-5000</v>
      </c>
      <c r="I418" s="7">
        <f>IFERROR(INDEX('Master data'!$B$2:$CL$1000,MATCH($B418,'Master data'!$A$2:$A$1000,0),MATCH(I$1,'Master data'!$B$1:$CL$1,0)),"")</f>
        <v>-19549.216987107084</v>
      </c>
      <c r="J418" s="7">
        <f>IFERROR(INDEX('Master data'!$B$2:$CL$1000,MATCH($B418,'Master data'!$A$2:$A$1000,0),MATCH(J$1,'Master data'!$B$1:$CL$1,0)),"")</f>
        <v>-9599.7808470533746</v>
      </c>
      <c r="K418" s="7">
        <f>IFERROR(INDEX('Master data'!$B$2:$CL$1000,MATCH($B418,'Master data'!$A$2:$A$1000,0),MATCH(K$1,'Master data'!$B$1:$CL$1,0)),"")</f>
        <v>-4642.9532415193635</v>
      </c>
      <c r="L418" s="7">
        <f>IFERROR(INDEX('Master data'!$B$2:$CL$1000,MATCH($B418,'Master data'!$A$2:$A$1000,0),MATCH(L$1,'Master data'!$B$1:$CL$1,0)),"")</f>
        <v>-2125.9160571122411</v>
      </c>
      <c r="M418" s="5">
        <f>IFERROR(INDEX('Master data'!$B$2:$CL$1000,MATCH($B418,'Master data'!$A$2:$A$1000,0),MATCH(M$1,'Master data'!$B$1:$CL$1,0)),"")</f>
        <v>-19042.224211291985</v>
      </c>
      <c r="N418" s="28">
        <f>IFERROR(INDEX('Master data'!$B$2:$CL$1000,MATCH($B418,'Master data'!$A$2:$A$1000,0),MATCH(N$1,'Master data'!$B$1:$CL$1,0)),"")</f>
        <v>-6.0000000000000001E-3</v>
      </c>
      <c r="O418" s="7">
        <f>IFERROR(INDEX('Master data'!$B$2:$CL$1000,MATCH($B418,'Master data'!$A$2:$A$1000,0),MATCH(O$1,'Master data'!$B$1:$CL$1,0)),"")</f>
        <v>0</v>
      </c>
      <c r="P418" s="5">
        <f>IFERROR(INDEX('Master data'!$B$2:$CL$1000,MATCH($B418,'Master data'!$A$2:$A$1000,0),MATCH(P$1,'Master data'!$B$1:$CL$1,0)),"")</f>
        <v>2500000</v>
      </c>
      <c r="Q418" s="5">
        <f>IFERROR(INDEX('Master data'!$B$2:$CL$1000,MATCH($B418,'Master data'!$A$2:$A$1000,0),MATCH(Q$1,'Master data'!$B$1:$CL$1,0)),"")</f>
        <v>2500000</v>
      </c>
    </row>
    <row r="419" spans="1:17" hidden="1">
      <c r="A419">
        <f t="shared" si="6"/>
        <v>417</v>
      </c>
      <c r="B419" t="str">
        <f>IF('Master data'!A419="","",'Master data'!A419)</f>
        <v xml:space="preserve"> S. Larsson</v>
      </c>
      <c r="C419" t="str">
        <f>IFERROR(INDEX('Master data'!$B$2:$CL$1000,MATCH($B419,'Master data'!$A$2:$A$1000,0),MATCH(C$1,'Master data'!$B$1:$CL$1,0)),"")</f>
        <v>Sweden</v>
      </c>
      <c r="D419" t="str">
        <f>IFERROR(INDEX('Master data'!$B$2:$CL$1000,MATCH($B419,'Master data'!$A$2:$A$1000,0),MATCH(D$1,'Master data'!$B$1:$CL$1,0)),"")</f>
        <v>Midfield</v>
      </c>
      <c r="E419" s="5">
        <f>IFERROR(INDEX('Master data'!$B$2:$CL$1000,MATCH($B419,'Master data'!$A$2:$A$1000,0),MATCH(E$1,'Master data'!$B$1:$CL$1,0)),"")</f>
        <v>4000000</v>
      </c>
      <c r="F419" s="7">
        <f>IFERROR(INDEX('Master data'!$B$2:$CL$1000,MATCH($B419,'Master data'!$A$2:$A$1000,0),MATCH(F$1,'Master data'!$B$1:$CL$1,0)),"")</f>
        <v>529.1083605791755</v>
      </c>
      <c r="G419" s="7">
        <f>IFERROR(INDEX('Master data'!$B$2:$CL$1000,MATCH($B419,'Master data'!$A$2:$A$1000,0),MATCH(G$1,'Master data'!$B$1:$CL$1,0)),"")</f>
        <v>44545.575907586717</v>
      </c>
      <c r="H419" s="7">
        <f>IFERROR(INDEX('Master data'!$B$2:$CL$1000,MATCH($B419,'Master data'!$A$2:$A$1000,0),MATCH(H$1,'Master data'!$B$1:$CL$1,0)),"")</f>
        <v>33161.464967485328</v>
      </c>
      <c r="I419" s="7">
        <f>IFERROR(INDEX('Master data'!$B$2:$CL$1000,MATCH($B419,'Master data'!$A$2:$A$1000,0),MATCH(I$1,'Master data'!$B$1:$CL$1,0)),"")</f>
        <v>-9629.6398050107819</v>
      </c>
      <c r="J419" s="7">
        <f>IFERROR(INDEX('Master data'!$B$2:$CL$1000,MATCH($B419,'Master data'!$A$2:$A$1000,0),MATCH(J$1,'Master data'!$B$1:$CL$1,0)),"")</f>
        <v>-4820.6466459281373</v>
      </c>
      <c r="K419" s="7">
        <f>IFERROR(INDEX('Master data'!$B$2:$CL$1000,MATCH($B419,'Master data'!$A$2:$A$1000,0),MATCH(K$1,'Master data'!$B$1:$CL$1,0)),"")</f>
        <v>-2376.1338422358222</v>
      </c>
      <c r="L419" s="7">
        <f>IFERROR(INDEX('Master data'!$B$2:$CL$1000,MATCH($B419,'Master data'!$A$2:$A$1000,0),MATCH(L$1,'Master data'!$B$1:$CL$1,0)),"")</f>
        <v>-1108.4831661186356</v>
      </c>
      <c r="M419" s="5">
        <f>IFERROR(INDEX('Master data'!$B$2:$CL$1000,MATCH($B419,'Master data'!$A$2:$A$1000,0),MATCH(M$1,'Master data'!$B$1:$CL$1,0)),"")</f>
        <v>40748.912824461448</v>
      </c>
      <c r="N419" s="28">
        <f>IFERROR(INDEX('Master data'!$B$2:$CL$1000,MATCH($B419,'Master data'!$A$2:$A$1000,0),MATCH(N$1,'Master data'!$B$1:$CL$1,0)),"")</f>
        <v>1.9559037308912803E-2</v>
      </c>
      <c r="O419" s="7">
        <f>IFERROR(INDEX('Master data'!$B$2:$CL$1000,MATCH($B419,'Master data'!$A$2:$A$1000,0),MATCH(O$1,'Master data'!$B$1:$CL$1,0)),"")</f>
        <v>0</v>
      </c>
      <c r="P419" s="5">
        <f>IFERROR(INDEX('Master data'!$B$2:$CL$1000,MATCH($B419,'Master data'!$A$2:$A$1000,0),MATCH(P$1,'Master data'!$B$1:$CL$1,0)),"")</f>
        <v>4000000</v>
      </c>
      <c r="Q419" s="5">
        <f>IFERROR(INDEX('Master data'!$B$2:$CL$1000,MATCH($B419,'Master data'!$A$2:$A$1000,0),MATCH(Q$1,'Master data'!$B$1:$CL$1,0)),"")</f>
        <v>4000000</v>
      </c>
    </row>
    <row r="420" spans="1:17" hidden="1">
      <c r="A420">
        <f t="shared" si="6"/>
        <v>418</v>
      </c>
      <c r="B420" t="str">
        <f>IF('Master data'!A420="","",'Master data'!A420)</f>
        <v xml:space="preserve"> J. Larsson</v>
      </c>
      <c r="C420" t="str">
        <f>IFERROR(INDEX('Master data'!$B$2:$CL$1000,MATCH($B420,'Master data'!$A$2:$A$1000,0),MATCH(C$1,'Master data'!$B$1:$CL$1,0)),"")</f>
        <v>Sweden</v>
      </c>
      <c r="D420" t="str">
        <f>IFERROR(INDEX('Master data'!$B$2:$CL$1000,MATCH($B420,'Master data'!$A$2:$A$1000,0),MATCH(D$1,'Master data'!$B$1:$CL$1,0)),"")</f>
        <v>Striker</v>
      </c>
      <c r="E420" s="5">
        <f>IFERROR(INDEX('Master data'!$B$2:$CL$1000,MATCH($B420,'Master data'!$A$2:$A$1000,0),MATCH(E$1,'Master data'!$B$1:$CL$1,0)),"")</f>
        <v>3000000</v>
      </c>
      <c r="F420" s="7">
        <f>IFERROR(INDEX('Master data'!$B$2:$CL$1000,MATCH($B420,'Master data'!$A$2:$A$1000,0),MATCH(F$1,'Master data'!$B$1:$CL$1,0)),"")</f>
        <v>-5000</v>
      </c>
      <c r="G420" s="7">
        <f>IFERROR(INDEX('Master data'!$B$2:$CL$1000,MATCH($B420,'Master data'!$A$2:$A$1000,0),MATCH(G$1,'Master data'!$B$1:$CL$1,0)),"")</f>
        <v>-5000</v>
      </c>
      <c r="H420" s="7">
        <f>IFERROR(INDEX('Master data'!$B$2:$CL$1000,MATCH($B420,'Master data'!$A$2:$A$1000,0),MATCH(H$1,'Master data'!$B$1:$CL$1,0)),"")</f>
        <v>-5000</v>
      </c>
      <c r="I420" s="7">
        <f>IFERROR(INDEX('Master data'!$B$2:$CL$1000,MATCH($B420,'Master data'!$A$2:$A$1000,0),MATCH(I$1,'Master data'!$B$1:$CL$1,0)),"")</f>
        <v>-22823.792696840264</v>
      </c>
      <c r="J420" s="7">
        <f>IFERROR(INDEX('Master data'!$B$2:$CL$1000,MATCH($B420,'Master data'!$A$2:$A$1000,0),MATCH(J$1,'Master data'!$B$1:$CL$1,0)),"")</f>
        <v>-11210.482331458303</v>
      </c>
      <c r="K420" s="7">
        <f>IFERROR(INDEX('Master data'!$B$2:$CL$1000,MATCH($B420,'Master data'!$A$2:$A$1000,0),MATCH(K$1,'Master data'!$B$1:$CL$1,0)),"")</f>
        <v>-5423.2815174049701</v>
      </c>
      <c r="L420" s="7">
        <f>IFERROR(INDEX('Master data'!$B$2:$CL$1000,MATCH($B420,'Master data'!$A$2:$A$1000,0),MATCH(L$1,'Master data'!$B$1:$CL$1,0)),"")</f>
        <v>-2483.8143832254132</v>
      </c>
      <c r="M420" s="5">
        <f>IFERROR(INDEX('Master data'!$B$2:$CL$1000,MATCH($B420,'Master data'!$A$2:$A$1000,0),MATCH(M$1,'Master data'!$B$1:$CL$1,0)),"")</f>
        <v>-20464.811830514125</v>
      </c>
      <c r="N420" s="28">
        <f>IFERROR(INDEX('Master data'!$B$2:$CL$1000,MATCH($B420,'Master data'!$A$2:$A$1000,0),MATCH(N$1,'Master data'!$B$1:$CL$1,0)),"")</f>
        <v>-5.0000000000000001E-3</v>
      </c>
      <c r="O420" s="7">
        <f>IFERROR(INDEX('Master data'!$B$2:$CL$1000,MATCH($B420,'Master data'!$A$2:$A$1000,0),MATCH(O$1,'Master data'!$B$1:$CL$1,0)),"")</f>
        <v>0</v>
      </c>
      <c r="P420" s="5">
        <f>IFERROR(INDEX('Master data'!$B$2:$CL$1000,MATCH($B420,'Master data'!$A$2:$A$1000,0),MATCH(P$1,'Master data'!$B$1:$CL$1,0)),"")</f>
        <v>3000000</v>
      </c>
      <c r="Q420" s="5">
        <f>IFERROR(INDEX('Master data'!$B$2:$CL$1000,MATCH($B420,'Master data'!$A$2:$A$1000,0),MATCH(Q$1,'Master data'!$B$1:$CL$1,0)),"")</f>
        <v>3000000</v>
      </c>
    </row>
    <row r="421" spans="1:17" hidden="1">
      <c r="A421">
        <f t="shared" si="6"/>
        <v>419</v>
      </c>
      <c r="B421" t="str">
        <f>IF('Master data'!A421="","",'Master data'!A421)</f>
        <v>Robin Quaison</v>
      </c>
      <c r="C421" t="str">
        <f>IFERROR(INDEX('Master data'!$B$2:$CL$1000,MATCH($B421,'Master data'!$A$2:$A$1000,0),MATCH(C$1,'Master data'!$B$1:$CL$1,0)),"")</f>
        <v>Sweden</v>
      </c>
      <c r="D421" t="str">
        <f>IFERROR(INDEX('Master data'!$B$2:$CL$1000,MATCH($B421,'Master data'!$A$2:$A$1000,0),MATCH(D$1,'Master data'!$B$1:$CL$1,0)),"")</f>
        <v>Midfield</v>
      </c>
      <c r="E421" s="5">
        <f>IFERROR(INDEX('Master data'!$B$2:$CL$1000,MATCH($B421,'Master data'!$A$2:$A$1000,0),MATCH(E$1,'Master data'!$B$1:$CL$1,0)),"")</f>
        <v>4000000</v>
      </c>
      <c r="F421" s="7">
        <f>IFERROR(INDEX('Master data'!$B$2:$CL$1000,MATCH($B421,'Master data'!$A$2:$A$1000,0),MATCH(F$1,'Master data'!$B$1:$CL$1,0)),"")</f>
        <v>-5000</v>
      </c>
      <c r="G421" s="7">
        <f>IFERROR(INDEX('Master data'!$B$2:$CL$1000,MATCH($B421,'Master data'!$A$2:$A$1000,0),MATCH(G$1,'Master data'!$B$1:$CL$1,0)),"")</f>
        <v>-5000</v>
      </c>
      <c r="H421" s="7">
        <f>IFERROR(INDEX('Master data'!$B$2:$CL$1000,MATCH($B421,'Master data'!$A$2:$A$1000,0),MATCH(H$1,'Master data'!$B$1:$CL$1,0)),"")</f>
        <v>-5000</v>
      </c>
      <c r="I421" s="7">
        <f>IFERROR(INDEX('Master data'!$B$2:$CL$1000,MATCH($B421,'Master data'!$A$2:$A$1000,0),MATCH(I$1,'Master data'!$B$1:$CL$1,0)),"")</f>
        <v>-29372.944116306626</v>
      </c>
      <c r="J421" s="7">
        <f>IFERROR(INDEX('Master data'!$B$2:$CL$1000,MATCH($B421,'Master data'!$A$2:$A$1000,0),MATCH(J$1,'Master data'!$B$1:$CL$1,0)),"")</f>
        <v>-14431.885300268161</v>
      </c>
      <c r="K421" s="7">
        <f>IFERROR(INDEX('Master data'!$B$2:$CL$1000,MATCH($B421,'Master data'!$A$2:$A$1000,0),MATCH(K$1,'Master data'!$B$1:$CL$1,0)),"")</f>
        <v>-6983.9380691761853</v>
      </c>
      <c r="L421" s="7">
        <f>IFERROR(INDEX('Master data'!$B$2:$CL$1000,MATCH($B421,'Master data'!$A$2:$A$1000,0),MATCH(L$1,'Master data'!$B$1:$CL$1,0)),"")</f>
        <v>-3199.6110354517568</v>
      </c>
      <c r="M421" s="5">
        <f>IFERROR(INDEX('Master data'!$B$2:$CL$1000,MATCH($B421,'Master data'!$A$2:$A$1000,0),MATCH(M$1,'Master data'!$B$1:$CL$1,0)),"")</f>
        <v>-23309.987068958399</v>
      </c>
      <c r="N421" s="28">
        <f>IFERROR(INDEX('Master data'!$B$2:$CL$1000,MATCH($B421,'Master data'!$A$2:$A$1000,0),MATCH(N$1,'Master data'!$B$1:$CL$1,0)),"")</f>
        <v>-3.7499999999999999E-3</v>
      </c>
      <c r="O421" s="7">
        <f>IFERROR(INDEX('Master data'!$B$2:$CL$1000,MATCH($B421,'Master data'!$A$2:$A$1000,0),MATCH(O$1,'Master data'!$B$1:$CL$1,0)),"")</f>
        <v>0</v>
      </c>
      <c r="P421" s="5">
        <f>IFERROR(INDEX('Master data'!$B$2:$CL$1000,MATCH($B421,'Master data'!$A$2:$A$1000,0),MATCH(P$1,'Master data'!$B$1:$CL$1,0)),"")</f>
        <v>4000000</v>
      </c>
      <c r="Q421" s="5">
        <f>IFERROR(INDEX('Master data'!$B$2:$CL$1000,MATCH($B421,'Master data'!$A$2:$A$1000,0),MATCH(Q$1,'Master data'!$B$1:$CL$1,0)),"")</f>
        <v>4000000</v>
      </c>
    </row>
    <row r="422" spans="1:17" hidden="1">
      <c r="A422">
        <f t="shared" si="6"/>
        <v>420</v>
      </c>
      <c r="B422" t="str">
        <f>IF('Master data'!A422="","",'Master data'!A422)</f>
        <v>Lukasz Fabianski</v>
      </c>
      <c r="C422" t="str">
        <f>IFERROR(INDEX('Master data'!$B$2:$CL$1000,MATCH($B422,'Master data'!$A$2:$A$1000,0),MATCH(C$1,'Master data'!$B$1:$CL$1,0)),"")</f>
        <v>Poland</v>
      </c>
      <c r="D422" t="str">
        <f>IFERROR(INDEX('Master data'!$B$2:$CL$1000,MATCH($B422,'Master data'!$A$2:$A$1000,0),MATCH(D$1,'Master data'!$B$1:$CL$1,0)),"")</f>
        <v>Goalkeeper</v>
      </c>
      <c r="E422" s="5">
        <f>IFERROR(INDEX('Master data'!$B$2:$CL$1000,MATCH($B422,'Master data'!$A$2:$A$1000,0),MATCH(E$1,'Master data'!$B$1:$CL$1,0)),"")</f>
        <v>3500000</v>
      </c>
      <c r="F422" s="7">
        <f>IFERROR(INDEX('Master data'!$B$2:$CL$1000,MATCH($B422,'Master data'!$A$2:$A$1000,0),MATCH(F$1,'Master data'!$B$1:$CL$1,0)),"")</f>
        <v>34550.660202868487</v>
      </c>
      <c r="G422" s="7">
        <f>IFERROR(INDEX('Master data'!$B$2:$CL$1000,MATCH($B422,'Master data'!$A$2:$A$1000,0),MATCH(G$1,'Master data'!$B$1:$CL$1,0)),"")</f>
        <v>20897.873296029153</v>
      </c>
      <c r="H422" s="7">
        <f>IFERROR(INDEX('Master data'!$B$2:$CL$1000,MATCH($B422,'Master data'!$A$2:$A$1000,0),MATCH(H$1,'Master data'!$B$1:$CL$1,0)),"")</f>
        <v>25909.258802274475</v>
      </c>
      <c r="I422" s="7">
        <f>IFERROR(INDEX('Master data'!$B$2:$CL$1000,MATCH($B422,'Master data'!$A$2:$A$1000,0),MATCH(I$1,'Master data'!$B$1:$CL$1,0)),"")</f>
        <v>-5768.4696375615586</v>
      </c>
      <c r="J422" s="7">
        <f>IFERROR(INDEX('Master data'!$B$2:$CL$1000,MATCH($B422,'Master data'!$A$2:$A$1000,0),MATCH(J$1,'Master data'!$B$1:$CL$1,0)),"")</f>
        <v>-2928.1930251595436</v>
      </c>
      <c r="K422" s="7">
        <f>IFERROR(INDEX('Master data'!$B$2:$CL$1000,MATCH($B422,'Master data'!$A$2:$A$1000,0),MATCH(K$1,'Master data'!$B$1:$CL$1,0)),"")</f>
        <v>-1463.772948929281</v>
      </c>
      <c r="L422" s="7">
        <f>IFERROR(INDEX('Master data'!$B$2:$CL$1000,MATCH($B422,'Master data'!$A$2:$A$1000,0),MATCH(L$1,'Master data'!$B$1:$CL$1,0)),"")</f>
        <v>-694.16230638276556</v>
      </c>
      <c r="M422" s="5">
        <f>IFERROR(INDEX('Master data'!$B$2:$CL$1000,MATCH($B422,'Master data'!$A$2:$A$1000,0),MATCH(M$1,'Master data'!$B$1:$CL$1,0)),"")</f>
        <v>57456.515409679349</v>
      </c>
      <c r="N422" s="28">
        <f>IFERROR(INDEX('Master data'!$B$2:$CL$1000,MATCH($B422,'Master data'!$A$2:$A$1000,0),MATCH(N$1,'Master data'!$B$1:$CL$1,0)),"")</f>
        <v>2.3245083514620603E-2</v>
      </c>
      <c r="O422" s="7">
        <f>IFERROR(INDEX('Master data'!$B$2:$CL$1000,MATCH($B422,'Master data'!$A$2:$A$1000,0),MATCH(O$1,'Master data'!$B$1:$CL$1,0)),"")</f>
        <v>0</v>
      </c>
      <c r="P422" s="5">
        <f>IFERROR(INDEX('Master data'!$B$2:$CL$1000,MATCH($B422,'Master data'!$A$2:$A$1000,0),MATCH(P$1,'Master data'!$B$1:$CL$1,0)),"")</f>
        <v>3500000</v>
      </c>
      <c r="Q422" s="5">
        <f>IFERROR(INDEX('Master data'!$B$2:$CL$1000,MATCH($B422,'Master data'!$A$2:$A$1000,0),MATCH(Q$1,'Master data'!$B$1:$CL$1,0)),"")</f>
        <v>3500000</v>
      </c>
    </row>
    <row r="423" spans="1:17" hidden="1">
      <c r="A423">
        <f t="shared" si="6"/>
        <v>421</v>
      </c>
      <c r="B423" t="str">
        <f>IF('Master data'!A423="","",'Master data'!A423)</f>
        <v>Kamil Piątkowski</v>
      </c>
      <c r="C423" t="str">
        <f>IFERROR(INDEX('Master data'!$B$2:$CL$1000,MATCH($B423,'Master data'!$A$2:$A$1000,0),MATCH(C$1,'Master data'!$B$1:$CL$1,0)),"")</f>
        <v>Poland</v>
      </c>
      <c r="D423" t="str">
        <f>IFERROR(INDEX('Master data'!$B$2:$CL$1000,MATCH($B423,'Master data'!$A$2:$A$1000,0),MATCH(D$1,'Master data'!$B$1:$CL$1,0)),"")</f>
        <v>Defense</v>
      </c>
      <c r="E423" s="5">
        <f>IFERROR(INDEX('Master data'!$B$2:$CL$1000,MATCH($B423,'Master data'!$A$2:$A$1000,0),MATCH(E$1,'Master data'!$B$1:$CL$1,0)),"")</f>
        <v>2000000</v>
      </c>
      <c r="F423" s="7">
        <f>IFERROR(INDEX('Master data'!$B$2:$CL$1000,MATCH($B423,'Master data'!$A$2:$A$1000,0),MATCH(F$1,'Master data'!$B$1:$CL$1,0)),"")</f>
        <v>17170.057381324983</v>
      </c>
      <c r="G423" s="7">
        <f>IFERROR(INDEX('Master data'!$B$2:$CL$1000,MATCH($B423,'Master data'!$A$2:$A$1000,0),MATCH(G$1,'Master data'!$B$1:$CL$1,0)),"")</f>
        <v>2418.5157880527904</v>
      </c>
      <c r="H423" s="7">
        <f>IFERROR(INDEX('Master data'!$B$2:$CL$1000,MATCH($B423,'Master data'!$A$2:$A$1000,0),MATCH(H$1,'Master data'!$B$1:$CL$1,0)),"")</f>
        <v>9058.295964125562</v>
      </c>
      <c r="I423" s="7">
        <f>IFERROR(INDEX('Master data'!$B$2:$CL$1000,MATCH($B423,'Master data'!$A$2:$A$1000,0),MATCH(I$1,'Master data'!$B$1:$CL$1,0)),"")</f>
        <v>-7124.0830532499913</v>
      </c>
      <c r="J423" s="7">
        <f>IFERROR(INDEX('Master data'!$B$2:$CL$1000,MATCH($B423,'Master data'!$A$2:$A$1000,0),MATCH(J$1,'Master data'!$B$1:$CL$1,0)),"")</f>
        <v>-3538.129236456205</v>
      </c>
      <c r="K423" s="7">
        <f>IFERROR(INDEX('Master data'!$B$2:$CL$1000,MATCH($B423,'Master data'!$A$2:$A$1000,0),MATCH(K$1,'Master data'!$B$1:$CL$1,0)),"")</f>
        <v>-1731.8773690493233</v>
      </c>
      <c r="L423" s="7">
        <f>IFERROR(INDEX('Master data'!$B$2:$CL$1000,MATCH($B423,'Master data'!$A$2:$A$1000,0),MATCH(L$1,'Master data'!$B$1:$CL$1,0)),"")</f>
        <v>-804.85056882893957</v>
      </c>
      <c r="M423" s="5">
        <f>IFERROR(INDEX('Master data'!$B$2:$CL$1000,MATCH($B423,'Master data'!$A$2:$A$1000,0),MATCH(M$1,'Master data'!$B$1:$CL$1,0)),"")</f>
        <v>19699.8562180669</v>
      </c>
      <c r="N423" s="28">
        <f>IFERROR(INDEX('Master data'!$B$2:$CL$1000,MATCH($B423,'Master data'!$A$2:$A$1000,0),MATCH(N$1,'Master data'!$B$1:$CL$1,0)),"")</f>
        <v>1.4323434566751668E-2</v>
      </c>
      <c r="O423" s="7">
        <f>IFERROR(INDEX('Master data'!$B$2:$CL$1000,MATCH($B423,'Master data'!$A$2:$A$1000,0),MATCH(O$1,'Master data'!$B$1:$CL$1,0)),"")</f>
        <v>0</v>
      </c>
      <c r="P423" s="5">
        <f>IFERROR(INDEX('Master data'!$B$2:$CL$1000,MATCH($B423,'Master data'!$A$2:$A$1000,0),MATCH(P$1,'Master data'!$B$1:$CL$1,0)),"")</f>
        <v>2000000</v>
      </c>
      <c r="Q423" s="5">
        <f>IFERROR(INDEX('Master data'!$B$2:$CL$1000,MATCH($B423,'Master data'!$A$2:$A$1000,0),MATCH(Q$1,'Master data'!$B$1:$CL$1,0)),"")</f>
        <v>2000000</v>
      </c>
    </row>
    <row r="424" spans="1:17" hidden="1">
      <c r="A424">
        <f t="shared" si="6"/>
        <v>422</v>
      </c>
      <c r="B424" t="str">
        <f>IF('Master data'!A424="","",'Master data'!A424)</f>
        <v>Tymoteusz Puchacz</v>
      </c>
      <c r="C424" t="str">
        <f>IFERROR(INDEX('Master data'!$B$2:$CL$1000,MATCH($B424,'Master data'!$A$2:$A$1000,0),MATCH(C$1,'Master data'!$B$1:$CL$1,0)),"")</f>
        <v>Poland</v>
      </c>
      <c r="D424" t="str">
        <f>IFERROR(INDEX('Master data'!$B$2:$CL$1000,MATCH($B424,'Master data'!$A$2:$A$1000,0),MATCH(D$1,'Master data'!$B$1:$CL$1,0)),"")</f>
        <v>Defense</v>
      </c>
      <c r="E424" s="5">
        <f>IFERROR(INDEX('Master data'!$B$2:$CL$1000,MATCH($B424,'Master data'!$A$2:$A$1000,0),MATCH(E$1,'Master data'!$B$1:$CL$1,0)),"")</f>
        <v>2000000</v>
      </c>
      <c r="F424" s="7">
        <f>IFERROR(INDEX('Master data'!$B$2:$CL$1000,MATCH($B424,'Master data'!$A$2:$A$1000,0),MATCH(F$1,'Master data'!$B$1:$CL$1,0)),"")</f>
        <v>17170.057381324983</v>
      </c>
      <c r="G424" s="7">
        <f>IFERROR(INDEX('Master data'!$B$2:$CL$1000,MATCH($B424,'Master data'!$A$2:$A$1000,0),MATCH(G$1,'Master data'!$B$1:$CL$1,0)),"")</f>
        <v>2418.5157880527904</v>
      </c>
      <c r="H424" s="7">
        <f>IFERROR(INDEX('Master data'!$B$2:$CL$1000,MATCH($B424,'Master data'!$A$2:$A$1000,0),MATCH(H$1,'Master data'!$B$1:$CL$1,0)),"")</f>
        <v>9058.295964125562</v>
      </c>
      <c r="I424" s="7">
        <f>IFERROR(INDEX('Master data'!$B$2:$CL$1000,MATCH($B424,'Master data'!$A$2:$A$1000,0),MATCH(I$1,'Master data'!$B$1:$CL$1,0)),"")</f>
        <v>-7124.0830532499913</v>
      </c>
      <c r="J424" s="7">
        <f>IFERROR(INDEX('Master data'!$B$2:$CL$1000,MATCH($B424,'Master data'!$A$2:$A$1000,0),MATCH(J$1,'Master data'!$B$1:$CL$1,0)),"")</f>
        <v>-3538.129236456205</v>
      </c>
      <c r="K424" s="7">
        <f>IFERROR(INDEX('Master data'!$B$2:$CL$1000,MATCH($B424,'Master data'!$A$2:$A$1000,0),MATCH(K$1,'Master data'!$B$1:$CL$1,0)),"")</f>
        <v>-1731.8773690493233</v>
      </c>
      <c r="L424" s="7">
        <f>IFERROR(INDEX('Master data'!$B$2:$CL$1000,MATCH($B424,'Master data'!$A$2:$A$1000,0),MATCH(L$1,'Master data'!$B$1:$CL$1,0)),"")</f>
        <v>-804.85056882893957</v>
      </c>
      <c r="M424" s="5">
        <f>IFERROR(INDEX('Master data'!$B$2:$CL$1000,MATCH($B424,'Master data'!$A$2:$A$1000,0),MATCH(M$1,'Master data'!$B$1:$CL$1,0)),"")</f>
        <v>19699.8562180669</v>
      </c>
      <c r="N424" s="28">
        <f>IFERROR(INDEX('Master data'!$B$2:$CL$1000,MATCH($B424,'Master data'!$A$2:$A$1000,0),MATCH(N$1,'Master data'!$B$1:$CL$1,0)),"")</f>
        <v>1.4323434566751668E-2</v>
      </c>
      <c r="O424" s="7">
        <f>IFERROR(INDEX('Master data'!$B$2:$CL$1000,MATCH($B424,'Master data'!$A$2:$A$1000,0),MATCH(O$1,'Master data'!$B$1:$CL$1,0)),"")</f>
        <v>0</v>
      </c>
      <c r="P424" s="5">
        <f>IFERROR(INDEX('Master data'!$B$2:$CL$1000,MATCH($B424,'Master data'!$A$2:$A$1000,0),MATCH(P$1,'Master data'!$B$1:$CL$1,0)),"")</f>
        <v>2000000</v>
      </c>
      <c r="Q424" s="5">
        <f>IFERROR(INDEX('Master data'!$B$2:$CL$1000,MATCH($B424,'Master data'!$A$2:$A$1000,0),MATCH(Q$1,'Master data'!$B$1:$CL$1,0)),"")</f>
        <v>2000000</v>
      </c>
    </row>
    <row r="425" spans="1:17" hidden="1">
      <c r="A425">
        <f t="shared" si="6"/>
        <v>423</v>
      </c>
      <c r="B425" t="str">
        <f>IF('Master data'!A425="","",'Master data'!A425)</f>
        <v>Michał Helik</v>
      </c>
      <c r="C425" t="str">
        <f>IFERROR(INDEX('Master data'!$B$2:$CL$1000,MATCH($B425,'Master data'!$A$2:$A$1000,0),MATCH(C$1,'Master data'!$B$1:$CL$1,0)),"")</f>
        <v>Poland</v>
      </c>
      <c r="D425" t="str">
        <f>IFERROR(INDEX('Master data'!$B$2:$CL$1000,MATCH($B425,'Master data'!$A$2:$A$1000,0),MATCH(D$1,'Master data'!$B$1:$CL$1,0)),"")</f>
        <v>Defense</v>
      </c>
      <c r="E425" s="5">
        <f>IFERROR(INDEX('Master data'!$B$2:$CL$1000,MATCH($B425,'Master data'!$A$2:$A$1000,0),MATCH(E$1,'Master data'!$B$1:$CL$1,0)),"")</f>
        <v>3000000</v>
      </c>
      <c r="F425" s="7">
        <f>IFERROR(INDEX('Master data'!$B$2:$CL$1000,MATCH($B425,'Master data'!$A$2:$A$1000,0),MATCH(F$1,'Master data'!$B$1:$CL$1,0)),"")</f>
        <v>65950.300583844393</v>
      </c>
      <c r="G425" s="7">
        <f>IFERROR(INDEX('Master data'!$B$2:$CL$1000,MATCH($B425,'Master data'!$A$2:$A$1000,0),MATCH(G$1,'Master data'!$B$1:$CL$1,0)),"")</f>
        <v>8336.1141033550957</v>
      </c>
      <c r="H425" s="7">
        <f>IFERROR(INDEX('Master data'!$B$2:$CL$1000,MATCH($B425,'Master data'!$A$2:$A$1000,0),MATCH(H$1,'Master data'!$B$1:$CL$1,0)),"")</f>
        <v>39262.229070853311</v>
      </c>
      <c r="I425" s="7">
        <f>IFERROR(INDEX('Master data'!$B$2:$CL$1000,MATCH($B425,'Master data'!$A$2:$A$1000,0),MATCH(I$1,'Master data'!$B$1:$CL$1,0)),"")</f>
        <v>4454.6194895272947</v>
      </c>
      <c r="J425" s="7">
        <f>IFERROR(INDEX('Master data'!$B$2:$CL$1000,MATCH($B425,'Master data'!$A$2:$A$1000,0),MATCH(J$1,'Master data'!$B$1:$CL$1,0)),"")</f>
        <v>2069.2372767174115</v>
      </c>
      <c r="K425" s="7">
        <f>IFERROR(INDEX('Master data'!$B$2:$CL$1000,MATCH($B425,'Master data'!$A$2:$A$1000,0),MATCH(K$1,'Master data'!$B$1:$CL$1,0)),"")</f>
        <v>944.03840465289124</v>
      </c>
      <c r="L425" s="7">
        <f>IFERROR(INDEX('Master data'!$B$2:$CL$1000,MATCH($B425,'Master data'!$A$2:$A$1000,0),MATCH(L$1,'Master data'!$B$1:$CL$1,0)),"")</f>
        <v>407.28655969215339</v>
      </c>
      <c r="M425" s="5">
        <f>IFERROR(INDEX('Master data'!$B$2:$CL$1000,MATCH($B425,'Master data'!$A$2:$A$1000,0),MATCH(M$1,'Master data'!$B$1:$CL$1,0)),"")</f>
        <v>90846.289167437295</v>
      </c>
      <c r="N425" s="28">
        <f>IFERROR(INDEX('Master data'!$B$2:$CL$1000,MATCH($B425,'Master data'!$A$2:$A$1000,0),MATCH(N$1,'Master data'!$B$1:$CL$1,0)),"")</f>
        <v>3.7849547919350926E-2</v>
      </c>
      <c r="O425" s="7">
        <f>IFERROR(INDEX('Master data'!$B$2:$CL$1000,MATCH($B425,'Master data'!$A$2:$A$1000,0),MATCH(O$1,'Master data'!$B$1:$CL$1,0)),"")</f>
        <v>0</v>
      </c>
      <c r="P425" s="5">
        <f>IFERROR(INDEX('Master data'!$B$2:$CL$1000,MATCH($B425,'Master data'!$A$2:$A$1000,0),MATCH(P$1,'Master data'!$B$1:$CL$1,0)),"")</f>
        <v>3000000</v>
      </c>
      <c r="Q425" s="5">
        <f>IFERROR(INDEX('Master data'!$B$2:$CL$1000,MATCH($B425,'Master data'!$A$2:$A$1000,0),MATCH(Q$1,'Master data'!$B$1:$CL$1,0)),"")</f>
        <v>3000000</v>
      </c>
    </row>
    <row r="426" spans="1:17" hidden="1">
      <c r="A426">
        <f t="shared" si="6"/>
        <v>424</v>
      </c>
      <c r="B426" t="str">
        <f>IF('Master data'!A426="","",'Master data'!A426)</f>
        <v>Paweł Dawidowicz</v>
      </c>
      <c r="C426" t="str">
        <f>IFERROR(INDEX('Master data'!$B$2:$CL$1000,MATCH($B426,'Master data'!$A$2:$A$1000,0),MATCH(C$1,'Master data'!$B$1:$CL$1,0)),"")</f>
        <v>Poland</v>
      </c>
      <c r="D426" t="str">
        <f>IFERROR(INDEX('Master data'!$B$2:$CL$1000,MATCH($B426,'Master data'!$A$2:$A$1000,0),MATCH(D$1,'Master data'!$B$1:$CL$1,0)),"")</f>
        <v>Defense</v>
      </c>
      <c r="E426" s="5">
        <f>IFERROR(INDEX('Master data'!$B$2:$CL$1000,MATCH($B426,'Master data'!$A$2:$A$1000,0),MATCH(E$1,'Master data'!$B$1:$CL$1,0)),"")</f>
        <v>2000000</v>
      </c>
      <c r="F426" s="7">
        <f>IFERROR(INDEX('Master data'!$B$2:$CL$1000,MATCH($B426,'Master data'!$A$2:$A$1000,0),MATCH(F$1,'Master data'!$B$1:$CL$1,0)),"")</f>
        <v>17170.057381324983</v>
      </c>
      <c r="G426" s="7">
        <f>IFERROR(INDEX('Master data'!$B$2:$CL$1000,MATCH($B426,'Master data'!$A$2:$A$1000,0),MATCH(G$1,'Master data'!$B$1:$CL$1,0)),"")</f>
        <v>2418.5157880527904</v>
      </c>
      <c r="H426" s="7">
        <f>IFERROR(INDEX('Master data'!$B$2:$CL$1000,MATCH($B426,'Master data'!$A$2:$A$1000,0),MATCH(H$1,'Master data'!$B$1:$CL$1,0)),"")</f>
        <v>9058.295964125562</v>
      </c>
      <c r="I426" s="7">
        <f>IFERROR(INDEX('Master data'!$B$2:$CL$1000,MATCH($B426,'Master data'!$A$2:$A$1000,0),MATCH(I$1,'Master data'!$B$1:$CL$1,0)),"")</f>
        <v>-7124.0830532499913</v>
      </c>
      <c r="J426" s="7">
        <f>IFERROR(INDEX('Master data'!$B$2:$CL$1000,MATCH($B426,'Master data'!$A$2:$A$1000,0),MATCH(J$1,'Master data'!$B$1:$CL$1,0)),"")</f>
        <v>-3538.129236456205</v>
      </c>
      <c r="K426" s="7">
        <f>IFERROR(INDEX('Master data'!$B$2:$CL$1000,MATCH($B426,'Master data'!$A$2:$A$1000,0),MATCH(K$1,'Master data'!$B$1:$CL$1,0)),"")</f>
        <v>-1731.8773690493233</v>
      </c>
      <c r="L426" s="7">
        <f>IFERROR(INDEX('Master data'!$B$2:$CL$1000,MATCH($B426,'Master data'!$A$2:$A$1000,0),MATCH(L$1,'Master data'!$B$1:$CL$1,0)),"")</f>
        <v>-804.85056882893957</v>
      </c>
      <c r="M426" s="5">
        <f>IFERROR(INDEX('Master data'!$B$2:$CL$1000,MATCH($B426,'Master data'!$A$2:$A$1000,0),MATCH(M$1,'Master data'!$B$1:$CL$1,0)),"")</f>
        <v>19699.8562180669</v>
      </c>
      <c r="N426" s="28">
        <f>IFERROR(INDEX('Master data'!$B$2:$CL$1000,MATCH($B426,'Master data'!$A$2:$A$1000,0),MATCH(N$1,'Master data'!$B$1:$CL$1,0)),"")</f>
        <v>1.4323434566751668E-2</v>
      </c>
      <c r="O426" s="7">
        <f>IFERROR(INDEX('Master data'!$B$2:$CL$1000,MATCH($B426,'Master data'!$A$2:$A$1000,0),MATCH(O$1,'Master data'!$B$1:$CL$1,0)),"")</f>
        <v>0</v>
      </c>
      <c r="P426" s="5">
        <f>IFERROR(INDEX('Master data'!$B$2:$CL$1000,MATCH($B426,'Master data'!$A$2:$A$1000,0),MATCH(P$1,'Master data'!$B$1:$CL$1,0)),"")</f>
        <v>2000000</v>
      </c>
      <c r="Q426" s="5">
        <f>IFERROR(INDEX('Master data'!$B$2:$CL$1000,MATCH($B426,'Master data'!$A$2:$A$1000,0),MATCH(Q$1,'Master data'!$B$1:$CL$1,0)),"")</f>
        <v>2000000</v>
      </c>
    </row>
    <row r="427" spans="1:17" hidden="1">
      <c r="A427">
        <f t="shared" si="6"/>
        <v>425</v>
      </c>
      <c r="B427" t="str">
        <f>IF('Master data'!A427="","",'Master data'!A427)</f>
        <v>Tomasz Kedziora</v>
      </c>
      <c r="C427" t="str">
        <f>IFERROR(INDEX('Master data'!$B$2:$CL$1000,MATCH($B427,'Master data'!$A$2:$A$1000,0),MATCH(C$1,'Master data'!$B$1:$CL$1,0)),"")</f>
        <v>Poland</v>
      </c>
      <c r="D427" t="str">
        <f>IFERROR(INDEX('Master data'!$B$2:$CL$1000,MATCH($B427,'Master data'!$A$2:$A$1000,0),MATCH(D$1,'Master data'!$B$1:$CL$1,0)),"")</f>
        <v>Defense</v>
      </c>
      <c r="E427" s="5">
        <f>IFERROR(INDEX('Master data'!$B$2:$CL$1000,MATCH($B427,'Master data'!$A$2:$A$1000,0),MATCH(E$1,'Master data'!$B$1:$CL$1,0)),"")</f>
        <v>2500000</v>
      </c>
      <c r="F427" s="7">
        <f>IFERROR(INDEX('Master data'!$B$2:$CL$1000,MATCH($B427,'Master data'!$A$2:$A$1000,0),MATCH(F$1,'Master data'!$B$1:$CL$1,0)),"")</f>
        <v>17170.057381324983</v>
      </c>
      <c r="G427" s="7">
        <f>IFERROR(INDEX('Master data'!$B$2:$CL$1000,MATCH($B427,'Master data'!$A$2:$A$1000,0),MATCH(G$1,'Master data'!$B$1:$CL$1,0)),"")</f>
        <v>2418.5157880527904</v>
      </c>
      <c r="H427" s="7">
        <f>IFERROR(INDEX('Master data'!$B$2:$CL$1000,MATCH($B427,'Master data'!$A$2:$A$1000,0),MATCH(H$1,'Master data'!$B$1:$CL$1,0)),"")</f>
        <v>9058.295964125562</v>
      </c>
      <c r="I427" s="7">
        <f>IFERROR(INDEX('Master data'!$B$2:$CL$1000,MATCH($B427,'Master data'!$A$2:$A$1000,0),MATCH(I$1,'Master data'!$B$1:$CL$1,0)),"")</f>
        <v>-10441.463674221512</v>
      </c>
      <c r="J427" s="7">
        <f>IFERROR(INDEX('Master data'!$B$2:$CL$1000,MATCH($B427,'Master data'!$A$2:$A$1000,0),MATCH(J$1,'Master data'!$B$1:$CL$1,0)),"")</f>
        <v>-5171.1619251503025</v>
      </c>
      <c r="K427" s="7">
        <f>IFERROR(INDEX('Master data'!$B$2:$CL$1000,MATCH($B427,'Master data'!$A$2:$A$1000,0),MATCH(K$1,'Master data'!$B$1:$CL$1,0)),"")</f>
        <v>-2524.2453634748067</v>
      </c>
      <c r="L427" s="7">
        <f>IFERROR(INDEX('Master data'!$B$2:$CL$1000,MATCH($B427,'Master data'!$A$2:$A$1000,0),MATCH(L$1,'Master data'!$B$1:$CL$1,0)),"")</f>
        <v>-1169.8959043007153</v>
      </c>
      <c r="M427" s="5">
        <f>IFERROR(INDEX('Master data'!$B$2:$CL$1000,MATCH($B427,'Master data'!$A$2:$A$1000,0),MATCH(M$1,'Master data'!$B$1:$CL$1,0)),"")</f>
        <v>18257.961636123367</v>
      </c>
      <c r="N427" s="28">
        <f>IFERROR(INDEX('Master data'!$B$2:$CL$1000,MATCH($B427,'Master data'!$A$2:$A$1000,0),MATCH(N$1,'Master data'!$B$1:$CL$1,0)),"")</f>
        <v>1.1458747653401335E-2</v>
      </c>
      <c r="O427" s="7">
        <f>IFERROR(INDEX('Master data'!$B$2:$CL$1000,MATCH($B427,'Master data'!$A$2:$A$1000,0),MATCH(O$1,'Master data'!$B$1:$CL$1,0)),"")</f>
        <v>0</v>
      </c>
      <c r="P427" s="5">
        <f>IFERROR(INDEX('Master data'!$B$2:$CL$1000,MATCH($B427,'Master data'!$A$2:$A$1000,0),MATCH(P$1,'Master data'!$B$1:$CL$1,0)),"")</f>
        <v>2500000</v>
      </c>
      <c r="Q427" s="5">
        <f>IFERROR(INDEX('Master data'!$B$2:$CL$1000,MATCH($B427,'Master data'!$A$2:$A$1000,0),MATCH(Q$1,'Master data'!$B$1:$CL$1,0)),"")</f>
        <v>2500000</v>
      </c>
    </row>
    <row r="428" spans="1:17" hidden="1">
      <c r="A428">
        <f t="shared" si="6"/>
        <v>426</v>
      </c>
      <c r="B428" t="str">
        <f>IF('Master data'!A428="","",'Master data'!A428)</f>
        <v>Kamil Glik</v>
      </c>
      <c r="C428" t="str">
        <f>IFERROR(INDEX('Master data'!$B$2:$CL$1000,MATCH($B428,'Master data'!$A$2:$A$1000,0),MATCH(C$1,'Master data'!$B$1:$CL$1,0)),"")</f>
        <v>Poland</v>
      </c>
      <c r="D428" t="str">
        <f>IFERROR(INDEX('Master data'!$B$2:$CL$1000,MATCH($B428,'Master data'!$A$2:$A$1000,0),MATCH(D$1,'Master data'!$B$1:$CL$1,0)),"")</f>
        <v>Defense</v>
      </c>
      <c r="E428" s="5">
        <f>IFERROR(INDEX('Master data'!$B$2:$CL$1000,MATCH($B428,'Master data'!$A$2:$A$1000,0),MATCH(E$1,'Master data'!$B$1:$CL$1,0)),"")</f>
        <v>3000000</v>
      </c>
      <c r="F428" s="7">
        <f>IFERROR(INDEX('Master data'!$B$2:$CL$1000,MATCH($B428,'Master data'!$A$2:$A$1000,0),MATCH(F$1,'Master data'!$B$1:$CL$1,0)),"")</f>
        <v>17170.057381324983</v>
      </c>
      <c r="G428" s="7">
        <f>IFERROR(INDEX('Master data'!$B$2:$CL$1000,MATCH($B428,'Master data'!$A$2:$A$1000,0),MATCH(G$1,'Master data'!$B$1:$CL$1,0)),"")</f>
        <v>2418.5157880527904</v>
      </c>
      <c r="H428" s="7">
        <f>IFERROR(INDEX('Master data'!$B$2:$CL$1000,MATCH($B428,'Master data'!$A$2:$A$1000,0),MATCH(H$1,'Master data'!$B$1:$CL$1,0)),"")</f>
        <v>9058.295964125562</v>
      </c>
      <c r="I428" s="7">
        <f>IFERROR(INDEX('Master data'!$B$2:$CL$1000,MATCH($B428,'Master data'!$A$2:$A$1000,0),MATCH(I$1,'Master data'!$B$1:$CL$1,0)),"")</f>
        <v>-13758.844295193034</v>
      </c>
      <c r="J428" s="7">
        <f>IFERROR(INDEX('Master data'!$B$2:$CL$1000,MATCH($B428,'Master data'!$A$2:$A$1000,0),MATCH(J$1,'Master data'!$B$1:$CL$1,0)),"")</f>
        <v>-6804.1946138444</v>
      </c>
      <c r="K428" s="7">
        <f>IFERROR(INDEX('Master data'!$B$2:$CL$1000,MATCH($B428,'Master data'!$A$2:$A$1000,0),MATCH(K$1,'Master data'!$B$1:$CL$1,0)),"")</f>
        <v>-3316.6133579002903</v>
      </c>
      <c r="L428" s="7">
        <f>IFERROR(INDEX('Master data'!$B$2:$CL$1000,MATCH($B428,'Master data'!$A$2:$A$1000,0),MATCH(L$1,'Master data'!$B$1:$CL$1,0)),"")</f>
        <v>-1534.9412397724907</v>
      </c>
      <c r="M428" s="5">
        <f>IFERROR(INDEX('Master data'!$B$2:$CL$1000,MATCH($B428,'Master data'!$A$2:$A$1000,0),MATCH(M$1,'Master data'!$B$1:$CL$1,0)),"")</f>
        <v>16816.067054179828</v>
      </c>
      <c r="N428" s="28">
        <f>IFERROR(INDEX('Master data'!$B$2:$CL$1000,MATCH($B428,'Master data'!$A$2:$A$1000,0),MATCH(N$1,'Master data'!$B$1:$CL$1,0)),"")</f>
        <v>9.5489563778344451E-3</v>
      </c>
      <c r="O428" s="7">
        <f>IFERROR(INDEX('Master data'!$B$2:$CL$1000,MATCH($B428,'Master data'!$A$2:$A$1000,0),MATCH(O$1,'Master data'!$B$1:$CL$1,0)),"")</f>
        <v>0</v>
      </c>
      <c r="P428" s="5">
        <f>IFERROR(INDEX('Master data'!$B$2:$CL$1000,MATCH($B428,'Master data'!$A$2:$A$1000,0),MATCH(P$1,'Master data'!$B$1:$CL$1,0)),"")</f>
        <v>3000000</v>
      </c>
      <c r="Q428" s="5">
        <f>IFERROR(INDEX('Master data'!$B$2:$CL$1000,MATCH($B428,'Master data'!$A$2:$A$1000,0),MATCH(Q$1,'Master data'!$B$1:$CL$1,0)),"")</f>
        <v>3000000</v>
      </c>
    </row>
    <row r="429" spans="1:17" hidden="1">
      <c r="A429">
        <f t="shared" si="6"/>
        <v>427</v>
      </c>
      <c r="B429" t="str">
        <f>IF('Master data'!A429="","",'Master data'!A429)</f>
        <v>Maciej Rybus</v>
      </c>
      <c r="C429" t="str">
        <f>IFERROR(INDEX('Master data'!$B$2:$CL$1000,MATCH($B429,'Master data'!$A$2:$A$1000,0),MATCH(C$1,'Master data'!$B$1:$CL$1,0)),"")</f>
        <v>Poland</v>
      </c>
      <c r="D429" t="str">
        <f>IFERROR(INDEX('Master data'!$B$2:$CL$1000,MATCH($B429,'Master data'!$A$2:$A$1000,0),MATCH(D$1,'Master data'!$B$1:$CL$1,0)),"")</f>
        <v>Defense</v>
      </c>
      <c r="E429" s="5">
        <f>IFERROR(INDEX('Master data'!$B$2:$CL$1000,MATCH($B429,'Master data'!$A$2:$A$1000,0),MATCH(E$1,'Master data'!$B$1:$CL$1,0)),"")</f>
        <v>2500000</v>
      </c>
      <c r="F429" s="7">
        <f>IFERROR(INDEX('Master data'!$B$2:$CL$1000,MATCH($B429,'Master data'!$A$2:$A$1000,0),MATCH(F$1,'Master data'!$B$1:$CL$1,0)),"")</f>
        <v>84092.190350943652</v>
      </c>
      <c r="G429" s="7">
        <f>IFERROR(INDEX('Master data'!$B$2:$CL$1000,MATCH($B429,'Master data'!$A$2:$A$1000,0),MATCH(G$1,'Master data'!$B$1:$CL$1,0)),"")</f>
        <v>18741.645192663069</v>
      </c>
      <c r="H429" s="7">
        <f>IFERROR(INDEX('Master data'!$B$2:$CL$1000,MATCH($B429,'Master data'!$A$2:$A$1000,0),MATCH(H$1,'Master data'!$B$1:$CL$1,0)),"")</f>
        <v>54210.383064424444</v>
      </c>
      <c r="I429" s="7">
        <f>IFERROR(INDEX('Master data'!$B$2:$CL$1000,MATCH($B429,'Master data'!$A$2:$A$1000,0),MATCH(I$1,'Master data'!$B$1:$CL$1,0)),"")</f>
        <v>17102.842496643789</v>
      </c>
      <c r="J429" s="7">
        <f>IFERROR(INDEX('Master data'!$B$2:$CL$1000,MATCH($B429,'Master data'!$A$2:$A$1000,0),MATCH(J$1,'Master data'!$B$1:$CL$1,0)),"")</f>
        <v>8248.1704801990654</v>
      </c>
      <c r="K429" s="7">
        <f>IFERROR(INDEX('Master data'!$B$2:$CL$1000,MATCH($B429,'Master data'!$A$2:$A$1000,0),MATCH(K$1,'Master data'!$B$1:$CL$1,0)),"")</f>
        <v>3919.1581550615629</v>
      </c>
      <c r="L429" s="7">
        <f>IFERROR(INDEX('Master data'!$B$2:$CL$1000,MATCH($B429,'Master data'!$A$2:$A$1000,0),MATCH(L$1,'Master data'!$B$1:$CL$1,0)),"")</f>
        <v>1767.3442491565413</v>
      </c>
      <c r="M429" s="5">
        <f>IFERROR(INDEX('Master data'!$B$2:$CL$1000,MATCH($B429,'Master data'!$A$2:$A$1000,0),MATCH(M$1,'Master data'!$B$1:$CL$1,0)),"")</f>
        <v>128048.16212016645</v>
      </c>
      <c r="N429" s="28">
        <f>IFERROR(INDEX('Master data'!$B$2:$CL$1000,MATCH($B429,'Master data'!$A$2:$A$1000,0),MATCH(N$1,'Master data'!$B$1:$CL$1,0)),"")</f>
        <v>6.2817687443212464E-2</v>
      </c>
      <c r="O429" s="7">
        <f>IFERROR(INDEX('Master data'!$B$2:$CL$1000,MATCH($B429,'Master data'!$A$2:$A$1000,0),MATCH(O$1,'Master data'!$B$1:$CL$1,0)),"")</f>
        <v>0</v>
      </c>
      <c r="P429" s="5">
        <f>IFERROR(INDEX('Master data'!$B$2:$CL$1000,MATCH($B429,'Master data'!$A$2:$A$1000,0),MATCH(P$1,'Master data'!$B$1:$CL$1,0)),"")</f>
        <v>2500000</v>
      </c>
      <c r="Q429" s="5">
        <f>IFERROR(INDEX('Master data'!$B$2:$CL$1000,MATCH($B429,'Master data'!$A$2:$A$1000,0),MATCH(Q$1,'Master data'!$B$1:$CL$1,0)),"")</f>
        <v>2500000</v>
      </c>
    </row>
    <row r="430" spans="1:17" hidden="1">
      <c r="A430">
        <f t="shared" si="6"/>
        <v>428</v>
      </c>
      <c r="B430" t="str">
        <f>IF('Master data'!A430="","",'Master data'!A430)</f>
        <v>Jan Bednarek</v>
      </c>
      <c r="C430" t="str">
        <f>IFERROR(INDEX('Master data'!$B$2:$CL$1000,MATCH($B430,'Master data'!$A$2:$A$1000,0),MATCH(C$1,'Master data'!$B$1:$CL$1,0)),"")</f>
        <v>Poland</v>
      </c>
      <c r="D430" t="str">
        <f>IFERROR(INDEX('Master data'!$B$2:$CL$1000,MATCH($B430,'Master data'!$A$2:$A$1000,0),MATCH(D$1,'Master data'!$B$1:$CL$1,0)),"")</f>
        <v>Defense</v>
      </c>
      <c r="E430" s="5">
        <f>IFERROR(INDEX('Master data'!$B$2:$CL$1000,MATCH($B430,'Master data'!$A$2:$A$1000,0),MATCH(E$1,'Master data'!$B$1:$CL$1,0)),"")</f>
        <v>3000000</v>
      </c>
      <c r="F430" s="7">
        <f>IFERROR(INDEX('Master data'!$B$2:$CL$1000,MATCH($B430,'Master data'!$A$2:$A$1000,0),MATCH(F$1,'Master data'!$B$1:$CL$1,0)),"")</f>
        <v>53609.606920501523</v>
      </c>
      <c r="G430" s="7">
        <f>IFERROR(INDEX('Master data'!$B$2:$CL$1000,MATCH($B430,'Master data'!$A$2:$A$1000,0),MATCH(G$1,'Master data'!$B$1:$CL$1,0)),"")</f>
        <v>982.31196556045506</v>
      </c>
      <c r="H430" s="7">
        <f>IFERROR(INDEX('Master data'!$B$2:$CL$1000,MATCH($B430,'Master data'!$A$2:$A$1000,0),MATCH(H$1,'Master data'!$B$1:$CL$1,0)),"")</f>
        <v>28980.231821052988</v>
      </c>
      <c r="I430" s="7">
        <f>IFERROR(INDEX('Master data'!$B$2:$CL$1000,MATCH($B430,'Master data'!$A$2:$A$1000,0),MATCH(I$1,'Master data'!$B$1:$CL$1,0)),"")</f>
        <v>-1976.0561116668764</v>
      </c>
      <c r="J430" s="7">
        <f>IFERROR(INDEX('Master data'!$B$2:$CL$1000,MATCH($B430,'Master data'!$A$2:$A$1000,0),MATCH(J$1,'Master data'!$B$1:$CL$1,0)),"")</f>
        <v>-1063.7286781365358</v>
      </c>
      <c r="K430" s="7">
        <f>IFERROR(INDEX('Master data'!$B$2:$CL$1000,MATCH($B430,'Master data'!$A$2:$A$1000,0),MATCH(K$1,'Master data'!$B$1:$CL$1,0)),"")</f>
        <v>-560.2811283302409</v>
      </c>
      <c r="L430" s="7">
        <f>IFERROR(INDEX('Master data'!$B$2:$CL$1000,MATCH($B430,'Master data'!$A$2:$A$1000,0),MATCH(L$1,'Master data'!$B$1:$CL$1,0)),"")</f>
        <v>-278.46092192945486</v>
      </c>
      <c r="M430" s="5">
        <f>IFERROR(INDEX('Master data'!$B$2:$CL$1000,MATCH($B430,'Master data'!$A$2:$A$1000,0),MATCH(M$1,'Master data'!$B$1:$CL$1,0)),"")</f>
        <v>66250.738865890627</v>
      </c>
      <c r="N430" s="28">
        <f>IFERROR(INDEX('Master data'!$B$2:$CL$1000,MATCH($B430,'Master data'!$A$2:$A$1000,0),MATCH(N$1,'Master data'!$B$1:$CL$1,0)),"")</f>
        <v>2.7857383569038323E-2</v>
      </c>
      <c r="O430" s="7">
        <f>IFERROR(INDEX('Master data'!$B$2:$CL$1000,MATCH($B430,'Master data'!$A$2:$A$1000,0),MATCH(O$1,'Master data'!$B$1:$CL$1,0)),"")</f>
        <v>0</v>
      </c>
      <c r="P430" s="5">
        <f>IFERROR(INDEX('Master data'!$B$2:$CL$1000,MATCH($B430,'Master data'!$A$2:$A$1000,0),MATCH(P$1,'Master data'!$B$1:$CL$1,0)),"")</f>
        <v>3000000</v>
      </c>
      <c r="Q430" s="5">
        <f>IFERROR(INDEX('Master data'!$B$2:$CL$1000,MATCH($B430,'Master data'!$A$2:$A$1000,0),MATCH(Q$1,'Master data'!$B$1:$CL$1,0)),"")</f>
        <v>3000000</v>
      </c>
    </row>
    <row r="431" spans="1:17" hidden="1">
      <c r="A431">
        <f t="shared" si="6"/>
        <v>429</v>
      </c>
      <c r="B431" t="str">
        <f>IF('Master data'!A431="","",'Master data'!A431)</f>
        <v>Bartosz Bereszynski</v>
      </c>
      <c r="C431" t="str">
        <f>IFERROR(INDEX('Master data'!$B$2:$CL$1000,MATCH($B431,'Master data'!$A$2:$A$1000,0),MATCH(C$1,'Master data'!$B$1:$CL$1,0)),"")</f>
        <v>Poland</v>
      </c>
      <c r="D431" t="str">
        <f>IFERROR(INDEX('Master data'!$B$2:$CL$1000,MATCH($B431,'Master data'!$A$2:$A$1000,0),MATCH(D$1,'Master data'!$B$1:$CL$1,0)),"")</f>
        <v>Defense</v>
      </c>
      <c r="E431" s="5">
        <f>IFERROR(INDEX('Master data'!$B$2:$CL$1000,MATCH($B431,'Master data'!$A$2:$A$1000,0),MATCH(E$1,'Master data'!$B$1:$CL$1,0)),"")</f>
        <v>3000000</v>
      </c>
      <c r="F431" s="7">
        <f>IFERROR(INDEX('Master data'!$B$2:$CL$1000,MATCH($B431,'Master data'!$A$2:$A$1000,0),MATCH(F$1,'Master data'!$B$1:$CL$1,0)),"")</f>
        <v>53826.437465082257</v>
      </c>
      <c r="G431" s="7">
        <f>IFERROR(INDEX('Master data'!$B$2:$CL$1000,MATCH($B431,'Master data'!$A$2:$A$1000,0),MATCH(G$1,'Master data'!$B$1:$CL$1,0)),"")</f>
        <v>1640.9849997110141</v>
      </c>
      <c r="H431" s="7">
        <f>IFERROR(INDEX('Master data'!$B$2:$CL$1000,MATCH($B431,'Master data'!$A$2:$A$1000,0),MATCH(H$1,'Master data'!$B$1:$CL$1,0)),"")</f>
        <v>29379.464478045444</v>
      </c>
      <c r="I431" s="7">
        <f>IFERROR(INDEX('Master data'!$B$2:$CL$1000,MATCH($B431,'Master data'!$A$2:$A$1000,0),MATCH(I$1,'Master data'!$B$1:$CL$1,0)),"")</f>
        <v>-1702.5946632213481</v>
      </c>
      <c r="J431" s="7">
        <f>IFERROR(INDEX('Master data'!$B$2:$CL$1000,MATCH($B431,'Master data'!$A$2:$A$1000,0),MATCH(J$1,'Master data'!$B$1:$CL$1,0)),"")</f>
        <v>-930.50077782295159</v>
      </c>
      <c r="K431" s="7">
        <f>IFERROR(INDEX('Master data'!$B$2:$CL$1000,MATCH($B431,'Master data'!$A$2:$A$1000,0),MATCH(K$1,'Master data'!$B$1:$CL$1,0)),"")</f>
        <v>-496.31064934385313</v>
      </c>
      <c r="L431" s="7">
        <f>IFERROR(INDEX('Master data'!$B$2:$CL$1000,MATCH($B431,'Master data'!$A$2:$A$1000,0),MATCH(L$1,'Master data'!$B$1:$CL$1,0)),"")</f>
        <v>-249.29983354283289</v>
      </c>
      <c r="M431" s="5">
        <f>IFERROR(INDEX('Master data'!$B$2:$CL$1000,MATCH($B431,'Master data'!$A$2:$A$1000,0),MATCH(M$1,'Master data'!$B$1:$CL$1,0)),"")</f>
        <v>67202.447931200513</v>
      </c>
      <c r="N431" s="28">
        <f>IFERROR(INDEX('Master data'!$B$2:$CL$1000,MATCH($B431,'Master data'!$A$2:$A$1000,0),MATCH(N$1,'Master data'!$B$1:$CL$1,0)),"")</f>
        <v>2.8282295647612903E-2</v>
      </c>
      <c r="O431" s="7">
        <f>IFERROR(INDEX('Master data'!$B$2:$CL$1000,MATCH($B431,'Master data'!$A$2:$A$1000,0),MATCH(O$1,'Master data'!$B$1:$CL$1,0)),"")</f>
        <v>0</v>
      </c>
      <c r="P431" s="5">
        <f>IFERROR(INDEX('Master data'!$B$2:$CL$1000,MATCH($B431,'Master data'!$A$2:$A$1000,0),MATCH(P$1,'Master data'!$B$1:$CL$1,0)),"")</f>
        <v>3000000</v>
      </c>
      <c r="Q431" s="5">
        <f>IFERROR(INDEX('Master data'!$B$2:$CL$1000,MATCH($B431,'Master data'!$A$2:$A$1000,0),MATCH(Q$1,'Master data'!$B$1:$CL$1,0)),"")</f>
        <v>3000000</v>
      </c>
    </row>
    <row r="432" spans="1:17" hidden="1">
      <c r="A432">
        <f t="shared" si="6"/>
        <v>430</v>
      </c>
      <c r="B432" t="str">
        <f>IF('Master data'!A432="","",'Master data'!A432)</f>
        <v>Kacper Kozłowski</v>
      </c>
      <c r="C432" t="str">
        <f>IFERROR(INDEX('Master data'!$B$2:$CL$1000,MATCH($B432,'Master data'!$A$2:$A$1000,0),MATCH(C$1,'Master data'!$B$1:$CL$1,0)),"")</f>
        <v>Poland</v>
      </c>
      <c r="D432" t="str">
        <f>IFERROR(INDEX('Master data'!$B$2:$CL$1000,MATCH($B432,'Master data'!$A$2:$A$1000,0),MATCH(D$1,'Master data'!$B$1:$CL$1,0)),"")</f>
        <v>Midfield</v>
      </c>
      <c r="E432" s="5">
        <f>IFERROR(INDEX('Master data'!$B$2:$CL$1000,MATCH($B432,'Master data'!$A$2:$A$1000,0),MATCH(E$1,'Master data'!$B$1:$CL$1,0)),"")</f>
        <v>2000000</v>
      </c>
      <c r="F432" s="7">
        <f>IFERROR(INDEX('Master data'!$B$2:$CL$1000,MATCH($B432,'Master data'!$A$2:$A$1000,0),MATCH(F$1,'Master data'!$B$1:$CL$1,0)),"")</f>
        <v>-5000</v>
      </c>
      <c r="G432" s="7">
        <f>IFERROR(INDEX('Master data'!$B$2:$CL$1000,MATCH($B432,'Master data'!$A$2:$A$1000,0),MATCH(G$1,'Master data'!$B$1:$CL$1,0)),"")</f>
        <v>-5000</v>
      </c>
      <c r="H432" s="7">
        <f>IFERROR(INDEX('Master data'!$B$2:$CL$1000,MATCH($B432,'Master data'!$A$2:$A$1000,0),MATCH(H$1,'Master data'!$B$1:$CL$1,0)),"")</f>
        <v>-5000</v>
      </c>
      <c r="I432" s="7">
        <f>IFERROR(INDEX('Master data'!$B$2:$CL$1000,MATCH($B432,'Master data'!$A$2:$A$1000,0),MATCH(I$1,'Master data'!$B$1:$CL$1,0)),"")</f>
        <v>-16487.381686228469</v>
      </c>
      <c r="J432" s="7">
        <f>IFERROR(INDEX('Master data'!$B$2:$CL$1000,MATCH($B432,'Master data'!$A$2:$A$1000,0),MATCH(J$1,'Master data'!$B$1:$CL$1,0)),"")</f>
        <v>-8099.8421359227241</v>
      </c>
      <c r="K432" s="7">
        <f>IFERROR(INDEX('Master data'!$B$2:$CL$1000,MATCH($B432,'Master data'!$A$2:$A$1000,0),MATCH(K$1,'Master data'!$B$1:$CL$1,0)),"")</f>
        <v>-3922.221572406143</v>
      </c>
      <c r="L432" s="7">
        <f>IFERROR(INDEX('Master data'!$B$2:$CL$1000,MATCH($B432,'Master data'!$A$2:$A$1000,0),MATCH(L$1,'Master data'!$B$1:$CL$1,0)),"")</f>
        <v>-1803.3239572305704</v>
      </c>
      <c r="M432" s="5">
        <f>IFERROR(INDEX('Master data'!$B$2:$CL$1000,MATCH($B432,'Master data'!$A$2:$A$1000,0),MATCH(M$1,'Master data'!$B$1:$CL$1,0)),"")</f>
        <v>-17715.497552828485</v>
      </c>
      <c r="N432" s="28">
        <f>IFERROR(INDEX('Master data'!$B$2:$CL$1000,MATCH($B432,'Master data'!$A$2:$A$1000,0),MATCH(N$1,'Master data'!$B$1:$CL$1,0)),"")</f>
        <v>-7.4999999999999997E-3</v>
      </c>
      <c r="O432" s="7">
        <f>IFERROR(INDEX('Master data'!$B$2:$CL$1000,MATCH($B432,'Master data'!$A$2:$A$1000,0),MATCH(O$1,'Master data'!$B$1:$CL$1,0)),"")</f>
        <v>0</v>
      </c>
      <c r="P432" s="5">
        <f>IFERROR(INDEX('Master data'!$B$2:$CL$1000,MATCH($B432,'Master data'!$A$2:$A$1000,0),MATCH(P$1,'Master data'!$B$1:$CL$1,0)),"")</f>
        <v>2000000</v>
      </c>
      <c r="Q432" s="5">
        <f>IFERROR(INDEX('Master data'!$B$2:$CL$1000,MATCH($B432,'Master data'!$A$2:$A$1000,0),MATCH(Q$1,'Master data'!$B$1:$CL$1,0)),"")</f>
        <v>2000000</v>
      </c>
    </row>
    <row r="433" spans="1:17" hidden="1">
      <c r="A433">
        <f t="shared" si="6"/>
        <v>431</v>
      </c>
      <c r="B433" t="str">
        <f>IF('Master data'!A433="","",'Master data'!A433)</f>
        <v>Przemysław Frankowski</v>
      </c>
      <c r="C433" t="str">
        <f>IFERROR(INDEX('Master data'!$B$2:$CL$1000,MATCH($B433,'Master data'!$A$2:$A$1000,0),MATCH(C$1,'Master data'!$B$1:$CL$1,0)),"")</f>
        <v>Poland</v>
      </c>
      <c r="D433" t="str">
        <f>IFERROR(INDEX('Master data'!$B$2:$CL$1000,MATCH($B433,'Master data'!$A$2:$A$1000,0),MATCH(D$1,'Master data'!$B$1:$CL$1,0)),"")</f>
        <v>Midfield</v>
      </c>
      <c r="E433" s="5">
        <f>IFERROR(INDEX('Master data'!$B$2:$CL$1000,MATCH($B433,'Master data'!$A$2:$A$1000,0),MATCH(E$1,'Master data'!$B$1:$CL$1,0)),"")</f>
        <v>2000000</v>
      </c>
      <c r="F433" s="7">
        <f>IFERROR(INDEX('Master data'!$B$2:$CL$1000,MATCH($B433,'Master data'!$A$2:$A$1000,0),MATCH(F$1,'Master data'!$B$1:$CL$1,0)),"")</f>
        <v>-5000</v>
      </c>
      <c r="G433" s="7">
        <f>IFERROR(INDEX('Master data'!$B$2:$CL$1000,MATCH($B433,'Master data'!$A$2:$A$1000,0),MATCH(G$1,'Master data'!$B$1:$CL$1,0)),"")</f>
        <v>-5000</v>
      </c>
      <c r="H433" s="7">
        <f>IFERROR(INDEX('Master data'!$B$2:$CL$1000,MATCH($B433,'Master data'!$A$2:$A$1000,0),MATCH(H$1,'Master data'!$B$1:$CL$1,0)),"")</f>
        <v>-5000</v>
      </c>
      <c r="I433" s="7">
        <f>IFERROR(INDEX('Master data'!$B$2:$CL$1000,MATCH($B433,'Master data'!$A$2:$A$1000,0),MATCH(I$1,'Master data'!$B$1:$CL$1,0)),"")</f>
        <v>-16487.381686228469</v>
      </c>
      <c r="J433" s="7">
        <f>IFERROR(INDEX('Master data'!$B$2:$CL$1000,MATCH($B433,'Master data'!$A$2:$A$1000,0),MATCH(J$1,'Master data'!$B$1:$CL$1,0)),"")</f>
        <v>-8099.8421359227241</v>
      </c>
      <c r="K433" s="7">
        <f>IFERROR(INDEX('Master data'!$B$2:$CL$1000,MATCH($B433,'Master data'!$A$2:$A$1000,0),MATCH(K$1,'Master data'!$B$1:$CL$1,0)),"")</f>
        <v>-3922.221572406143</v>
      </c>
      <c r="L433" s="7">
        <f>IFERROR(INDEX('Master data'!$B$2:$CL$1000,MATCH($B433,'Master data'!$A$2:$A$1000,0),MATCH(L$1,'Master data'!$B$1:$CL$1,0)),"")</f>
        <v>-1803.3239572305704</v>
      </c>
      <c r="M433" s="5">
        <f>IFERROR(INDEX('Master data'!$B$2:$CL$1000,MATCH($B433,'Master data'!$A$2:$A$1000,0),MATCH(M$1,'Master data'!$B$1:$CL$1,0)),"")</f>
        <v>-17715.497552828485</v>
      </c>
      <c r="N433" s="28">
        <f>IFERROR(INDEX('Master data'!$B$2:$CL$1000,MATCH($B433,'Master data'!$A$2:$A$1000,0),MATCH(N$1,'Master data'!$B$1:$CL$1,0)),"")</f>
        <v>-7.4999999999999997E-3</v>
      </c>
      <c r="O433" s="7">
        <f>IFERROR(INDEX('Master data'!$B$2:$CL$1000,MATCH($B433,'Master data'!$A$2:$A$1000,0),MATCH(O$1,'Master data'!$B$1:$CL$1,0)),"")</f>
        <v>0</v>
      </c>
      <c r="P433" s="5">
        <f>IFERROR(INDEX('Master data'!$B$2:$CL$1000,MATCH($B433,'Master data'!$A$2:$A$1000,0),MATCH(P$1,'Master data'!$B$1:$CL$1,0)),"")</f>
        <v>2000000</v>
      </c>
      <c r="Q433" s="5">
        <f>IFERROR(INDEX('Master data'!$B$2:$CL$1000,MATCH($B433,'Master data'!$A$2:$A$1000,0),MATCH(Q$1,'Master data'!$B$1:$CL$1,0)),"")</f>
        <v>2000000</v>
      </c>
    </row>
    <row r="434" spans="1:17" hidden="1">
      <c r="A434">
        <f t="shared" si="6"/>
        <v>432</v>
      </c>
      <c r="B434" t="str">
        <f>IF('Master data'!A434="","",'Master data'!A434)</f>
        <v>Przemyslaw Placheta</v>
      </c>
      <c r="C434" t="str">
        <f>IFERROR(INDEX('Master data'!$B$2:$CL$1000,MATCH($B434,'Master data'!$A$2:$A$1000,0),MATCH(C$1,'Master data'!$B$1:$CL$1,0)),"")</f>
        <v>Poland</v>
      </c>
      <c r="D434" t="str">
        <f>IFERROR(INDEX('Master data'!$B$2:$CL$1000,MATCH($B434,'Master data'!$A$2:$A$1000,0),MATCH(D$1,'Master data'!$B$1:$CL$1,0)),"")</f>
        <v>Midfield</v>
      </c>
      <c r="E434" s="5">
        <f>IFERROR(INDEX('Master data'!$B$2:$CL$1000,MATCH($B434,'Master data'!$A$2:$A$1000,0),MATCH(E$1,'Master data'!$B$1:$CL$1,0)),"")</f>
        <v>2000000</v>
      </c>
      <c r="F434" s="7">
        <f>IFERROR(INDEX('Master data'!$B$2:$CL$1000,MATCH($B434,'Master data'!$A$2:$A$1000,0),MATCH(F$1,'Master data'!$B$1:$CL$1,0)),"")</f>
        <v>-5000</v>
      </c>
      <c r="G434" s="7">
        <f>IFERROR(INDEX('Master data'!$B$2:$CL$1000,MATCH($B434,'Master data'!$A$2:$A$1000,0),MATCH(G$1,'Master data'!$B$1:$CL$1,0)),"")</f>
        <v>-5000</v>
      </c>
      <c r="H434" s="7">
        <f>IFERROR(INDEX('Master data'!$B$2:$CL$1000,MATCH($B434,'Master data'!$A$2:$A$1000,0),MATCH(H$1,'Master data'!$B$1:$CL$1,0)),"")</f>
        <v>-5000</v>
      </c>
      <c r="I434" s="7">
        <f>IFERROR(INDEX('Master data'!$B$2:$CL$1000,MATCH($B434,'Master data'!$A$2:$A$1000,0),MATCH(I$1,'Master data'!$B$1:$CL$1,0)),"")</f>
        <v>-16487.381686228469</v>
      </c>
      <c r="J434" s="7">
        <f>IFERROR(INDEX('Master data'!$B$2:$CL$1000,MATCH($B434,'Master data'!$A$2:$A$1000,0),MATCH(J$1,'Master data'!$B$1:$CL$1,0)),"")</f>
        <v>-8099.8421359227241</v>
      </c>
      <c r="K434" s="7">
        <f>IFERROR(INDEX('Master data'!$B$2:$CL$1000,MATCH($B434,'Master data'!$A$2:$A$1000,0),MATCH(K$1,'Master data'!$B$1:$CL$1,0)),"")</f>
        <v>-3922.221572406143</v>
      </c>
      <c r="L434" s="7">
        <f>IFERROR(INDEX('Master data'!$B$2:$CL$1000,MATCH($B434,'Master data'!$A$2:$A$1000,0),MATCH(L$1,'Master data'!$B$1:$CL$1,0)),"")</f>
        <v>-1803.3239572305704</v>
      </c>
      <c r="M434" s="5">
        <f>IFERROR(INDEX('Master data'!$B$2:$CL$1000,MATCH($B434,'Master data'!$A$2:$A$1000,0),MATCH(M$1,'Master data'!$B$1:$CL$1,0)),"")</f>
        <v>-17715.497552828485</v>
      </c>
      <c r="N434" s="28">
        <f>IFERROR(INDEX('Master data'!$B$2:$CL$1000,MATCH($B434,'Master data'!$A$2:$A$1000,0),MATCH(N$1,'Master data'!$B$1:$CL$1,0)),"")</f>
        <v>-7.4999999999999997E-3</v>
      </c>
      <c r="O434" s="7">
        <f>IFERROR(INDEX('Master data'!$B$2:$CL$1000,MATCH($B434,'Master data'!$A$2:$A$1000,0),MATCH(O$1,'Master data'!$B$1:$CL$1,0)),"")</f>
        <v>0</v>
      </c>
      <c r="P434" s="5">
        <f>IFERROR(INDEX('Master data'!$B$2:$CL$1000,MATCH($B434,'Master data'!$A$2:$A$1000,0),MATCH(P$1,'Master data'!$B$1:$CL$1,0)),"")</f>
        <v>2000000</v>
      </c>
      <c r="Q434" s="5">
        <f>IFERROR(INDEX('Master data'!$B$2:$CL$1000,MATCH($B434,'Master data'!$A$2:$A$1000,0),MATCH(Q$1,'Master data'!$B$1:$CL$1,0)),"")</f>
        <v>2000000</v>
      </c>
    </row>
    <row r="435" spans="1:17" hidden="1">
      <c r="A435">
        <f t="shared" si="6"/>
        <v>433</v>
      </c>
      <c r="B435" t="str">
        <f>IF('Master data'!A435="","",'Master data'!A435)</f>
        <v>Kamil Jozwiak</v>
      </c>
      <c r="C435" t="str">
        <f>IFERROR(INDEX('Master data'!$B$2:$CL$1000,MATCH($B435,'Master data'!$A$2:$A$1000,0),MATCH(C$1,'Master data'!$B$1:$CL$1,0)),"")</f>
        <v>Poland</v>
      </c>
      <c r="D435" t="str">
        <f>IFERROR(INDEX('Master data'!$B$2:$CL$1000,MATCH($B435,'Master data'!$A$2:$A$1000,0),MATCH(D$1,'Master data'!$B$1:$CL$1,0)),"")</f>
        <v>Midfield</v>
      </c>
      <c r="E435" s="5">
        <f>IFERROR(INDEX('Master data'!$B$2:$CL$1000,MATCH($B435,'Master data'!$A$2:$A$1000,0),MATCH(E$1,'Master data'!$B$1:$CL$1,0)),"")</f>
        <v>3000000</v>
      </c>
      <c r="F435" s="7">
        <f>IFERROR(INDEX('Master data'!$B$2:$CL$1000,MATCH($B435,'Master data'!$A$2:$A$1000,0),MATCH(F$1,'Master data'!$B$1:$CL$1,0)),"")</f>
        <v>-5000</v>
      </c>
      <c r="G435" s="7">
        <f>IFERROR(INDEX('Master data'!$B$2:$CL$1000,MATCH($B435,'Master data'!$A$2:$A$1000,0),MATCH(G$1,'Master data'!$B$1:$CL$1,0)),"")</f>
        <v>-5000</v>
      </c>
      <c r="H435" s="7">
        <f>IFERROR(INDEX('Master data'!$B$2:$CL$1000,MATCH($B435,'Master data'!$A$2:$A$1000,0),MATCH(H$1,'Master data'!$B$1:$CL$1,0)),"")</f>
        <v>-5000</v>
      </c>
      <c r="I435" s="7">
        <f>IFERROR(INDEX('Master data'!$B$2:$CL$1000,MATCH($B435,'Master data'!$A$2:$A$1000,0),MATCH(I$1,'Master data'!$B$1:$CL$1,0)),"")</f>
        <v>-23122.142928171514</v>
      </c>
      <c r="J435" s="7">
        <f>IFERROR(INDEX('Master data'!$B$2:$CL$1000,MATCH($B435,'Master data'!$A$2:$A$1000,0),MATCH(J$1,'Master data'!$B$1:$CL$1,0)),"")</f>
        <v>-11365.90751331092</v>
      </c>
      <c r="K435" s="7">
        <f>IFERROR(INDEX('Master data'!$B$2:$CL$1000,MATCH($B435,'Master data'!$A$2:$A$1000,0),MATCH(K$1,'Master data'!$B$1:$CL$1,0)),"")</f>
        <v>-5506.9575612571098</v>
      </c>
      <c r="L435" s="7">
        <f>IFERROR(INDEX('Master data'!$B$2:$CL$1000,MATCH($B435,'Master data'!$A$2:$A$1000,0),MATCH(L$1,'Master data'!$B$1:$CL$1,0)),"")</f>
        <v>-2533.4146281741209</v>
      </c>
      <c r="M435" s="5">
        <f>IFERROR(INDEX('Master data'!$B$2:$CL$1000,MATCH($B435,'Master data'!$A$2:$A$1000,0),MATCH(M$1,'Master data'!$B$1:$CL$1,0)),"")</f>
        <v>-20599.28671671556</v>
      </c>
      <c r="N435" s="28">
        <f>IFERROR(INDEX('Master data'!$B$2:$CL$1000,MATCH($B435,'Master data'!$A$2:$A$1000,0),MATCH(N$1,'Master data'!$B$1:$CL$1,0)),"")</f>
        <v>-5.0000000000000001E-3</v>
      </c>
      <c r="O435" s="7">
        <f>IFERROR(INDEX('Master data'!$B$2:$CL$1000,MATCH($B435,'Master data'!$A$2:$A$1000,0),MATCH(O$1,'Master data'!$B$1:$CL$1,0)),"")</f>
        <v>0</v>
      </c>
      <c r="P435" s="5">
        <f>IFERROR(INDEX('Master data'!$B$2:$CL$1000,MATCH($B435,'Master data'!$A$2:$A$1000,0),MATCH(P$1,'Master data'!$B$1:$CL$1,0)),"")</f>
        <v>3000000</v>
      </c>
      <c r="Q435" s="5">
        <f>IFERROR(INDEX('Master data'!$B$2:$CL$1000,MATCH($B435,'Master data'!$A$2:$A$1000,0),MATCH(Q$1,'Master data'!$B$1:$CL$1,0)),"")</f>
        <v>3000000</v>
      </c>
    </row>
    <row r="436" spans="1:17" hidden="1">
      <c r="A436">
        <f t="shared" si="6"/>
        <v>434</v>
      </c>
      <c r="B436" t="str">
        <f>IF('Master data'!A436="","",'Master data'!A436)</f>
        <v>Karol Linetty</v>
      </c>
      <c r="C436" t="str">
        <f>IFERROR(INDEX('Master data'!$B$2:$CL$1000,MATCH($B436,'Master data'!$A$2:$A$1000,0),MATCH(C$1,'Master data'!$B$1:$CL$1,0)),"")</f>
        <v>Poland</v>
      </c>
      <c r="D436" t="str">
        <f>IFERROR(INDEX('Master data'!$B$2:$CL$1000,MATCH($B436,'Master data'!$A$2:$A$1000,0),MATCH(D$1,'Master data'!$B$1:$CL$1,0)),"")</f>
        <v>Midfield</v>
      </c>
      <c r="E436" s="5">
        <f>IFERROR(INDEX('Master data'!$B$2:$CL$1000,MATCH($B436,'Master data'!$A$2:$A$1000,0),MATCH(E$1,'Master data'!$B$1:$CL$1,0)),"")</f>
        <v>2500000</v>
      </c>
      <c r="F436" s="7">
        <f>IFERROR(INDEX('Master data'!$B$2:$CL$1000,MATCH($B436,'Master data'!$A$2:$A$1000,0),MATCH(F$1,'Master data'!$B$1:$CL$1,0)),"")</f>
        <v>41739.327025033061</v>
      </c>
      <c r="G436" s="7">
        <f>IFERROR(INDEX('Master data'!$B$2:$CL$1000,MATCH($B436,'Master data'!$A$2:$A$1000,0),MATCH(G$1,'Master data'!$B$1:$CL$1,0)),"")</f>
        <v>87.730558698203822</v>
      </c>
      <c r="H436" s="7">
        <f>IFERROR(INDEX('Master data'!$B$2:$CL$1000,MATCH($B436,'Master data'!$A$2:$A$1000,0),MATCH(H$1,'Master data'!$B$1:$CL$1,0)),"")</f>
        <v>23662.963845656941</v>
      </c>
      <c r="I436" s="7">
        <f>IFERROR(INDEX('Master data'!$B$2:$CL$1000,MATCH($B436,'Master data'!$A$2:$A$1000,0),MATCH(I$1,'Master data'!$B$1:$CL$1,0)),"")</f>
        <v>-2537.7252303138612</v>
      </c>
      <c r="J436" s="7">
        <f>IFERROR(INDEX('Master data'!$B$2:$CL$1000,MATCH($B436,'Master data'!$A$2:$A$1000,0),MATCH(J$1,'Master data'!$B$1:$CL$1,0)),"")</f>
        <v>-1320.5333137125428</v>
      </c>
      <c r="K436" s="7">
        <f>IFERROR(INDEX('Master data'!$B$2:$CL$1000,MATCH($B436,'Master data'!$A$2:$A$1000,0),MATCH(K$1,'Master data'!$B$1:$CL$1,0)),"")</f>
        <v>-675.33416625128712</v>
      </c>
      <c r="L436" s="7">
        <f>IFERROR(INDEX('Master data'!$B$2:$CL$1000,MATCH($B436,'Master data'!$A$2:$A$1000,0),MATCH(L$1,'Master data'!$B$1:$CL$1,0)),"")</f>
        <v>-327.06552854687129</v>
      </c>
      <c r="M436" s="5">
        <f>IFERROR(INDEX('Master data'!$B$2:$CL$1000,MATCH($B436,'Master data'!$A$2:$A$1000,0),MATCH(M$1,'Master data'!$B$1:$CL$1,0)),"")</f>
        <v>51184.275744937942</v>
      </c>
      <c r="N436" s="28">
        <f>IFERROR(INDEX('Master data'!$B$2:$CL$1000,MATCH($B436,'Master data'!$A$2:$A$1000,0),MATCH(N$1,'Master data'!$B$1:$CL$1,0)),"")</f>
        <v>2.6196008571755282E-2</v>
      </c>
      <c r="O436" s="7">
        <f>IFERROR(INDEX('Master data'!$B$2:$CL$1000,MATCH($B436,'Master data'!$A$2:$A$1000,0),MATCH(O$1,'Master data'!$B$1:$CL$1,0)),"")</f>
        <v>0</v>
      </c>
      <c r="P436" s="5">
        <f>IFERROR(INDEX('Master data'!$B$2:$CL$1000,MATCH($B436,'Master data'!$A$2:$A$1000,0),MATCH(P$1,'Master data'!$B$1:$CL$1,0)),"")</f>
        <v>2500000</v>
      </c>
      <c r="Q436" s="5">
        <f>IFERROR(INDEX('Master data'!$B$2:$CL$1000,MATCH($B436,'Master data'!$A$2:$A$1000,0),MATCH(Q$1,'Master data'!$B$1:$CL$1,0)),"")</f>
        <v>2500000</v>
      </c>
    </row>
    <row r="437" spans="1:17" hidden="1">
      <c r="A437">
        <f t="shared" si="6"/>
        <v>435</v>
      </c>
      <c r="B437" t="str">
        <f>IF('Master data'!A437="","",'Master data'!A437)</f>
        <v>Jakub Moder</v>
      </c>
      <c r="C437" t="str">
        <f>IFERROR(INDEX('Master data'!$B$2:$CL$1000,MATCH($B437,'Master data'!$A$2:$A$1000,0),MATCH(C$1,'Master data'!$B$1:$CL$1,0)),"")</f>
        <v>Poland</v>
      </c>
      <c r="D437" t="str">
        <f>IFERROR(INDEX('Master data'!$B$2:$CL$1000,MATCH($B437,'Master data'!$A$2:$A$1000,0),MATCH(D$1,'Master data'!$B$1:$CL$1,0)),"")</f>
        <v>Midfield</v>
      </c>
      <c r="E437" s="5">
        <f>IFERROR(INDEX('Master data'!$B$2:$CL$1000,MATCH($B437,'Master data'!$A$2:$A$1000,0),MATCH(E$1,'Master data'!$B$1:$CL$1,0)),"")</f>
        <v>3000000</v>
      </c>
      <c r="F437" s="7">
        <f>IFERROR(INDEX('Master data'!$B$2:$CL$1000,MATCH($B437,'Master data'!$A$2:$A$1000,0),MATCH(F$1,'Master data'!$B$1:$CL$1,0)),"")</f>
        <v>42843.702555303302</v>
      </c>
      <c r="G437" s="7">
        <f>IFERROR(INDEX('Master data'!$B$2:$CL$1000,MATCH($B437,'Master data'!$A$2:$A$1000,0),MATCH(G$1,'Master data'!$B$1:$CL$1,0)),"")</f>
        <v>1856.8886947154715</v>
      </c>
      <c r="H437" s="7">
        <f>IFERROR(INDEX('Master data'!$B$2:$CL$1000,MATCH($B437,'Master data'!$A$2:$A$1000,0),MATCH(H$1,'Master data'!$B$1:$CL$1,0)),"")</f>
        <v>25041.775978212496</v>
      </c>
      <c r="I437" s="7">
        <f>IFERROR(INDEX('Master data'!$B$2:$CL$1000,MATCH($B437,'Master data'!$A$2:$A$1000,0),MATCH(I$1,'Master data'!$B$1:$CL$1,0)),"")</f>
        <v>-4942.875847262113</v>
      </c>
      <c r="J437" s="7">
        <f>IFERROR(INDEX('Master data'!$B$2:$CL$1000,MATCH($B437,'Master data'!$A$2:$A$1000,0),MATCH(J$1,'Master data'!$B$1:$CL$1,0)),"")</f>
        <v>-2509.1359420455715</v>
      </c>
      <c r="K437" s="7">
        <f>IFERROR(INDEX('Master data'!$B$2:$CL$1000,MATCH($B437,'Master data'!$A$2:$A$1000,0),MATCH(K$1,'Master data'!$B$1:$CL$1,0)),"")</f>
        <v>-1254.3053889020207</v>
      </c>
      <c r="L437" s="7">
        <f>IFERROR(INDEX('Master data'!$B$2:$CL$1000,MATCH($B437,'Master data'!$A$2:$A$1000,0),MATCH(L$1,'Master data'!$B$1:$CL$1,0)),"")</f>
        <v>-594.83346010132493</v>
      </c>
      <c r="M437" s="5">
        <f>IFERROR(INDEX('Master data'!$B$2:$CL$1000,MATCH($B437,'Master data'!$A$2:$A$1000,0),MATCH(M$1,'Master data'!$B$1:$CL$1,0)),"")</f>
        <v>53033.72162955338</v>
      </c>
      <c r="N437" s="28">
        <f>IFERROR(INDEX('Master data'!$B$2:$CL$1000,MATCH($B437,'Master data'!$A$2:$A$1000,0),MATCH(N$1,'Master data'!$B$1:$CL$1,0)),"")</f>
        <v>2.3247455742743756E-2</v>
      </c>
      <c r="O437" s="7">
        <f>IFERROR(INDEX('Master data'!$B$2:$CL$1000,MATCH($B437,'Master data'!$A$2:$A$1000,0),MATCH(O$1,'Master data'!$B$1:$CL$1,0)),"")</f>
        <v>0</v>
      </c>
      <c r="P437" s="5">
        <f>IFERROR(INDEX('Master data'!$B$2:$CL$1000,MATCH($B437,'Master data'!$A$2:$A$1000,0),MATCH(P$1,'Master data'!$B$1:$CL$1,0)),"")</f>
        <v>3000000</v>
      </c>
      <c r="Q437" s="5">
        <f>IFERROR(INDEX('Master data'!$B$2:$CL$1000,MATCH($B437,'Master data'!$A$2:$A$1000,0),MATCH(Q$1,'Master data'!$B$1:$CL$1,0)),"")</f>
        <v>3000000</v>
      </c>
    </row>
    <row r="438" spans="1:17" hidden="1">
      <c r="A438">
        <f t="shared" si="6"/>
        <v>436</v>
      </c>
      <c r="B438" t="str">
        <f>IF('Master data'!A438="","",'Master data'!A438)</f>
        <v>Grzegorz Krychowiak</v>
      </c>
      <c r="C438" t="str">
        <f>IFERROR(INDEX('Master data'!$B$2:$CL$1000,MATCH($B438,'Master data'!$A$2:$A$1000,0),MATCH(C$1,'Master data'!$B$1:$CL$1,0)),"")</f>
        <v>Poland</v>
      </c>
      <c r="D438" t="str">
        <f>IFERROR(INDEX('Master data'!$B$2:$CL$1000,MATCH($B438,'Master data'!$A$2:$A$1000,0),MATCH(D$1,'Master data'!$B$1:$CL$1,0)),"")</f>
        <v>Midfield</v>
      </c>
      <c r="E438" s="5">
        <f>IFERROR(INDEX('Master data'!$B$2:$CL$1000,MATCH($B438,'Master data'!$A$2:$A$1000,0),MATCH(E$1,'Master data'!$B$1:$CL$1,0)),"")</f>
        <v>3500000</v>
      </c>
      <c r="F438" s="7">
        <f>IFERROR(INDEX('Master data'!$B$2:$CL$1000,MATCH($B438,'Master data'!$A$2:$A$1000,0),MATCH(F$1,'Master data'!$B$1:$CL$1,0)),"")</f>
        <v>35982.205681023763</v>
      </c>
      <c r="G438" s="7">
        <f>IFERROR(INDEX('Master data'!$B$2:$CL$1000,MATCH($B438,'Master data'!$A$2:$A$1000,0),MATCH(G$1,'Master data'!$B$1:$CL$1,0)),"")</f>
        <v>-3892.1667732757869</v>
      </c>
      <c r="H438" s="7">
        <f>IFERROR(INDEX('Master data'!$B$2:$CL$1000,MATCH($B438,'Master data'!$A$2:$A$1000,0),MATCH(H$1,'Master data'!$B$1:$CL$1,0)),"")</f>
        <v>18639.518917285452</v>
      </c>
      <c r="I438" s="7">
        <f>IFERROR(INDEX('Master data'!$B$2:$CL$1000,MATCH($B438,'Master data'!$A$2:$A$1000,0),MATCH(I$1,'Master data'!$B$1:$CL$1,0)),"")</f>
        <v>-12338.959381597755</v>
      </c>
      <c r="J438" s="7">
        <f>IFERROR(INDEX('Master data'!$B$2:$CL$1000,MATCH($B438,'Master data'!$A$2:$A$1000,0),MATCH(J$1,'Master data'!$B$1:$CL$1,0)),"")</f>
        <v>-6129.275143336954</v>
      </c>
      <c r="K438" s="7">
        <f>IFERROR(INDEX('Master data'!$B$2:$CL$1000,MATCH($B438,'Master data'!$A$2:$A$1000,0),MATCH(K$1,'Master data'!$B$1:$CL$1,0)),"")</f>
        <v>-3000.7990214905399</v>
      </c>
      <c r="L438" s="7">
        <f>IFERROR(INDEX('Master data'!$B$2:$CL$1000,MATCH($B438,'Master data'!$A$2:$A$1000,0),MATCH(L$1,'Master data'!$B$1:$CL$1,0)),"")</f>
        <v>-1394.8191384824477</v>
      </c>
      <c r="M438" s="5">
        <f>IFERROR(INDEX('Master data'!$B$2:$CL$1000,MATCH($B438,'Master data'!$A$2:$A$1000,0),MATCH(M$1,'Master data'!$B$1:$CL$1,0)),"")</f>
        <v>36287.329274160737</v>
      </c>
      <c r="N438" s="28">
        <f>IFERROR(INDEX('Master data'!$B$2:$CL$1000,MATCH($B438,'Master data'!$A$2:$A$1000,0),MATCH(N$1,'Master data'!$B$1:$CL$1,0)),"")</f>
        <v>1.4494159378580982E-2</v>
      </c>
      <c r="O438" s="7">
        <f>IFERROR(INDEX('Master data'!$B$2:$CL$1000,MATCH($B438,'Master data'!$A$2:$A$1000,0),MATCH(O$1,'Master data'!$B$1:$CL$1,0)),"")</f>
        <v>0</v>
      </c>
      <c r="P438" s="5">
        <f>IFERROR(INDEX('Master data'!$B$2:$CL$1000,MATCH($B438,'Master data'!$A$2:$A$1000,0),MATCH(P$1,'Master data'!$B$1:$CL$1,0)),"")</f>
        <v>3500000</v>
      </c>
      <c r="Q438" s="5">
        <f>IFERROR(INDEX('Master data'!$B$2:$CL$1000,MATCH($B438,'Master data'!$A$2:$A$1000,0),MATCH(Q$1,'Master data'!$B$1:$CL$1,0)),"")</f>
        <v>3500000</v>
      </c>
    </row>
    <row r="439" spans="1:17" hidden="1">
      <c r="A439">
        <f t="shared" si="6"/>
        <v>437</v>
      </c>
      <c r="B439" t="str">
        <f>IF('Master data'!A439="","",'Master data'!A439)</f>
        <v>Mateusz Klich</v>
      </c>
      <c r="C439" t="str">
        <f>IFERROR(INDEX('Master data'!$B$2:$CL$1000,MATCH($B439,'Master data'!$A$2:$A$1000,0),MATCH(C$1,'Master data'!$B$1:$CL$1,0)),"")</f>
        <v>Poland</v>
      </c>
      <c r="D439" t="str">
        <f>IFERROR(INDEX('Master data'!$B$2:$CL$1000,MATCH($B439,'Master data'!$A$2:$A$1000,0),MATCH(D$1,'Master data'!$B$1:$CL$1,0)),"")</f>
        <v>Midfield</v>
      </c>
      <c r="E439" s="5">
        <f>IFERROR(INDEX('Master data'!$B$2:$CL$1000,MATCH($B439,'Master data'!$A$2:$A$1000,0),MATCH(E$1,'Master data'!$B$1:$CL$1,0)),"")</f>
        <v>2500000</v>
      </c>
      <c r="F439" s="7">
        <f>IFERROR(INDEX('Master data'!$B$2:$CL$1000,MATCH($B439,'Master data'!$A$2:$A$1000,0),MATCH(F$1,'Master data'!$B$1:$CL$1,0)),"")</f>
        <v>-5000</v>
      </c>
      <c r="G439" s="7">
        <f>IFERROR(INDEX('Master data'!$B$2:$CL$1000,MATCH($B439,'Master data'!$A$2:$A$1000,0),MATCH(G$1,'Master data'!$B$1:$CL$1,0)),"")</f>
        <v>-5000</v>
      </c>
      <c r="H439" s="7">
        <f>IFERROR(INDEX('Master data'!$B$2:$CL$1000,MATCH($B439,'Master data'!$A$2:$A$1000,0),MATCH(H$1,'Master data'!$B$1:$CL$1,0)),"")</f>
        <v>-5000</v>
      </c>
      <c r="I439" s="7">
        <f>IFERROR(INDEX('Master data'!$B$2:$CL$1000,MATCH($B439,'Master data'!$A$2:$A$1000,0),MATCH(I$1,'Master data'!$B$1:$CL$1,0)),"")</f>
        <v>-19804.762307199991</v>
      </c>
      <c r="J439" s="7">
        <f>IFERROR(INDEX('Master data'!$B$2:$CL$1000,MATCH($B439,'Master data'!$A$2:$A$1000,0),MATCH(J$1,'Master data'!$B$1:$CL$1,0)),"")</f>
        <v>-9732.8748246168216</v>
      </c>
      <c r="K439" s="7">
        <f>IFERROR(INDEX('Master data'!$B$2:$CL$1000,MATCH($B439,'Master data'!$A$2:$A$1000,0),MATCH(K$1,'Master data'!$B$1:$CL$1,0)),"")</f>
        <v>-4714.5895668316261</v>
      </c>
      <c r="L439" s="7">
        <f>IFERROR(INDEX('Master data'!$B$2:$CL$1000,MATCH($B439,'Master data'!$A$2:$A$1000,0),MATCH(L$1,'Master data'!$B$1:$CL$1,0)),"")</f>
        <v>-2168.3692927023458</v>
      </c>
      <c r="M439" s="5">
        <f>IFERROR(INDEX('Master data'!$B$2:$CL$1000,MATCH($B439,'Master data'!$A$2:$A$1000,0),MATCH(M$1,'Master data'!$B$1:$CL$1,0)),"")</f>
        <v>-19157.392134772024</v>
      </c>
      <c r="N439" s="28">
        <f>IFERROR(INDEX('Master data'!$B$2:$CL$1000,MATCH($B439,'Master data'!$A$2:$A$1000,0),MATCH(N$1,'Master data'!$B$1:$CL$1,0)),"")</f>
        <v>-6.0000000000000001E-3</v>
      </c>
      <c r="O439" s="7">
        <f>IFERROR(INDEX('Master data'!$B$2:$CL$1000,MATCH($B439,'Master data'!$A$2:$A$1000,0),MATCH(O$1,'Master data'!$B$1:$CL$1,0)),"")</f>
        <v>0</v>
      </c>
      <c r="P439" s="5">
        <f>IFERROR(INDEX('Master data'!$B$2:$CL$1000,MATCH($B439,'Master data'!$A$2:$A$1000,0),MATCH(P$1,'Master data'!$B$1:$CL$1,0)),"")</f>
        <v>2500000</v>
      </c>
      <c r="Q439" s="5">
        <f>IFERROR(INDEX('Master data'!$B$2:$CL$1000,MATCH($B439,'Master data'!$A$2:$A$1000,0),MATCH(Q$1,'Master data'!$B$1:$CL$1,0)),"")</f>
        <v>2500000</v>
      </c>
    </row>
    <row r="440" spans="1:17" hidden="1">
      <c r="A440">
        <f t="shared" si="6"/>
        <v>438</v>
      </c>
      <c r="B440" t="str">
        <f>IF('Master data'!A440="","",'Master data'!A440)</f>
        <v>Jakub Świerczok</v>
      </c>
      <c r="C440" t="str">
        <f>IFERROR(INDEX('Master data'!$B$2:$CL$1000,MATCH($B440,'Master data'!$A$2:$A$1000,0),MATCH(C$1,'Master data'!$B$1:$CL$1,0)),"")</f>
        <v>Poland</v>
      </c>
      <c r="D440" t="str">
        <f>IFERROR(INDEX('Master data'!$B$2:$CL$1000,MATCH($B440,'Master data'!$A$2:$A$1000,0),MATCH(D$1,'Master data'!$B$1:$CL$1,0)),"")</f>
        <v>Striker</v>
      </c>
      <c r="E440" s="5">
        <f>IFERROR(INDEX('Master data'!$B$2:$CL$1000,MATCH($B440,'Master data'!$A$2:$A$1000,0),MATCH(E$1,'Master data'!$B$1:$CL$1,0)),"")</f>
        <v>2000000</v>
      </c>
      <c r="F440" s="7">
        <f>IFERROR(INDEX('Master data'!$B$2:$CL$1000,MATCH($B440,'Master data'!$A$2:$A$1000,0),MATCH(F$1,'Master data'!$B$1:$CL$1,0)),"")</f>
        <v>-5000</v>
      </c>
      <c r="G440" s="7">
        <f>IFERROR(INDEX('Master data'!$B$2:$CL$1000,MATCH($B440,'Master data'!$A$2:$A$1000,0),MATCH(G$1,'Master data'!$B$1:$CL$1,0)),"")</f>
        <v>-5000</v>
      </c>
      <c r="H440" s="7">
        <f>IFERROR(INDEX('Master data'!$B$2:$CL$1000,MATCH($B440,'Master data'!$A$2:$A$1000,0),MATCH(H$1,'Master data'!$B$1:$CL$1,0)),"")</f>
        <v>-5000</v>
      </c>
      <c r="I440" s="7">
        <f>IFERROR(INDEX('Master data'!$B$2:$CL$1000,MATCH($B440,'Master data'!$A$2:$A$1000,0),MATCH(I$1,'Master data'!$B$1:$CL$1,0)),"")</f>
        <v>-16487.381686228469</v>
      </c>
      <c r="J440" s="7">
        <f>IFERROR(INDEX('Master data'!$B$2:$CL$1000,MATCH($B440,'Master data'!$A$2:$A$1000,0),MATCH(J$1,'Master data'!$B$1:$CL$1,0)),"")</f>
        <v>-8099.8421359227241</v>
      </c>
      <c r="K440" s="7">
        <f>IFERROR(INDEX('Master data'!$B$2:$CL$1000,MATCH($B440,'Master data'!$A$2:$A$1000,0),MATCH(K$1,'Master data'!$B$1:$CL$1,0)),"")</f>
        <v>-3922.221572406143</v>
      </c>
      <c r="L440" s="7">
        <f>IFERROR(INDEX('Master data'!$B$2:$CL$1000,MATCH($B440,'Master data'!$A$2:$A$1000,0),MATCH(L$1,'Master data'!$B$1:$CL$1,0)),"")</f>
        <v>-1803.3239572305704</v>
      </c>
      <c r="M440" s="5">
        <f>IFERROR(INDEX('Master data'!$B$2:$CL$1000,MATCH($B440,'Master data'!$A$2:$A$1000,0),MATCH(M$1,'Master data'!$B$1:$CL$1,0)),"")</f>
        <v>-17715.497552828485</v>
      </c>
      <c r="N440" s="28">
        <f>IFERROR(INDEX('Master data'!$B$2:$CL$1000,MATCH($B440,'Master data'!$A$2:$A$1000,0),MATCH(N$1,'Master data'!$B$1:$CL$1,0)),"")</f>
        <v>-7.4999999999999997E-3</v>
      </c>
      <c r="O440" s="7">
        <f>IFERROR(INDEX('Master data'!$B$2:$CL$1000,MATCH($B440,'Master data'!$A$2:$A$1000,0),MATCH(O$1,'Master data'!$B$1:$CL$1,0)),"")</f>
        <v>0</v>
      </c>
      <c r="P440" s="5">
        <f>IFERROR(INDEX('Master data'!$B$2:$CL$1000,MATCH($B440,'Master data'!$A$2:$A$1000,0),MATCH(P$1,'Master data'!$B$1:$CL$1,0)),"")</f>
        <v>2000000</v>
      </c>
      <c r="Q440" s="5">
        <f>IFERROR(INDEX('Master data'!$B$2:$CL$1000,MATCH($B440,'Master data'!$A$2:$A$1000,0),MATCH(Q$1,'Master data'!$B$1:$CL$1,0)),"")</f>
        <v>2000000</v>
      </c>
    </row>
    <row r="441" spans="1:17" hidden="1">
      <c r="A441">
        <f t="shared" si="6"/>
        <v>439</v>
      </c>
      <c r="B441" t="str">
        <f>IF('Master data'!A441="","",'Master data'!A441)</f>
        <v>Karol Świderski</v>
      </c>
      <c r="C441" t="str">
        <f>IFERROR(INDEX('Master data'!$B$2:$CL$1000,MATCH($B441,'Master data'!$A$2:$A$1000,0),MATCH(C$1,'Master data'!$B$1:$CL$1,0)),"")</f>
        <v>Poland</v>
      </c>
      <c r="D441" t="str">
        <f>IFERROR(INDEX('Master data'!$B$2:$CL$1000,MATCH($B441,'Master data'!$A$2:$A$1000,0),MATCH(D$1,'Master data'!$B$1:$CL$1,0)),"")</f>
        <v>Striker</v>
      </c>
      <c r="E441" s="5">
        <f>IFERROR(INDEX('Master data'!$B$2:$CL$1000,MATCH($B441,'Master data'!$A$2:$A$1000,0),MATCH(E$1,'Master data'!$B$1:$CL$1,0)),"")</f>
        <v>3000000</v>
      </c>
      <c r="F441" s="7">
        <f>IFERROR(INDEX('Master data'!$B$2:$CL$1000,MATCH($B441,'Master data'!$A$2:$A$1000,0),MATCH(F$1,'Master data'!$B$1:$CL$1,0)),"")</f>
        <v>-5000</v>
      </c>
      <c r="G441" s="7">
        <f>IFERROR(INDEX('Master data'!$B$2:$CL$1000,MATCH($B441,'Master data'!$A$2:$A$1000,0),MATCH(G$1,'Master data'!$B$1:$CL$1,0)),"")</f>
        <v>-5000</v>
      </c>
      <c r="H441" s="7">
        <f>IFERROR(INDEX('Master data'!$B$2:$CL$1000,MATCH($B441,'Master data'!$A$2:$A$1000,0),MATCH(H$1,'Master data'!$B$1:$CL$1,0)),"")</f>
        <v>-5000</v>
      </c>
      <c r="I441" s="7">
        <f>IFERROR(INDEX('Master data'!$B$2:$CL$1000,MATCH($B441,'Master data'!$A$2:$A$1000,0),MATCH(I$1,'Master data'!$B$1:$CL$1,0)),"")</f>
        <v>-23122.142928171514</v>
      </c>
      <c r="J441" s="7">
        <f>IFERROR(INDEX('Master data'!$B$2:$CL$1000,MATCH($B441,'Master data'!$A$2:$A$1000,0),MATCH(J$1,'Master data'!$B$1:$CL$1,0)),"")</f>
        <v>-11365.90751331092</v>
      </c>
      <c r="K441" s="7">
        <f>IFERROR(INDEX('Master data'!$B$2:$CL$1000,MATCH($B441,'Master data'!$A$2:$A$1000,0),MATCH(K$1,'Master data'!$B$1:$CL$1,0)),"")</f>
        <v>-5506.9575612571098</v>
      </c>
      <c r="L441" s="7">
        <f>IFERROR(INDEX('Master data'!$B$2:$CL$1000,MATCH($B441,'Master data'!$A$2:$A$1000,0),MATCH(L$1,'Master data'!$B$1:$CL$1,0)),"")</f>
        <v>-2533.4146281741209</v>
      </c>
      <c r="M441" s="5">
        <f>IFERROR(INDEX('Master data'!$B$2:$CL$1000,MATCH($B441,'Master data'!$A$2:$A$1000,0),MATCH(M$1,'Master data'!$B$1:$CL$1,0)),"")</f>
        <v>-20599.28671671556</v>
      </c>
      <c r="N441" s="28">
        <f>IFERROR(INDEX('Master data'!$B$2:$CL$1000,MATCH($B441,'Master data'!$A$2:$A$1000,0),MATCH(N$1,'Master data'!$B$1:$CL$1,0)),"")</f>
        <v>-5.0000000000000001E-3</v>
      </c>
      <c r="O441" s="7">
        <f>IFERROR(INDEX('Master data'!$B$2:$CL$1000,MATCH($B441,'Master data'!$A$2:$A$1000,0),MATCH(O$1,'Master data'!$B$1:$CL$1,0)),"")</f>
        <v>0</v>
      </c>
      <c r="P441" s="5">
        <f>IFERROR(INDEX('Master data'!$B$2:$CL$1000,MATCH($B441,'Master data'!$A$2:$A$1000,0),MATCH(P$1,'Master data'!$B$1:$CL$1,0)),"")</f>
        <v>3000000</v>
      </c>
      <c r="Q441" s="5">
        <f>IFERROR(INDEX('Master data'!$B$2:$CL$1000,MATCH($B441,'Master data'!$A$2:$A$1000,0),MATCH(Q$1,'Master data'!$B$1:$CL$1,0)),"")</f>
        <v>3000000</v>
      </c>
    </row>
    <row r="442" spans="1:17" hidden="1">
      <c r="A442">
        <f t="shared" si="6"/>
        <v>440</v>
      </c>
      <c r="B442" t="str">
        <f>IF('Master data'!A442="","",'Master data'!A442)</f>
        <v>Dawid Kownacki</v>
      </c>
      <c r="C442" t="str">
        <f>IFERROR(INDEX('Master data'!$B$2:$CL$1000,MATCH($B442,'Master data'!$A$2:$A$1000,0),MATCH(C$1,'Master data'!$B$1:$CL$1,0)),"")</f>
        <v>Poland</v>
      </c>
      <c r="D442" t="str">
        <f>IFERROR(INDEX('Master data'!$B$2:$CL$1000,MATCH($B442,'Master data'!$A$2:$A$1000,0),MATCH(D$1,'Master data'!$B$1:$CL$1,0)),"")</f>
        <v>Striker</v>
      </c>
      <c r="E442" s="5">
        <f>IFERROR(INDEX('Master data'!$B$2:$CL$1000,MATCH($B442,'Master data'!$A$2:$A$1000,0),MATCH(E$1,'Master data'!$B$1:$CL$1,0)),"")</f>
        <v>2500000</v>
      </c>
      <c r="F442" s="7">
        <f>IFERROR(INDEX('Master data'!$B$2:$CL$1000,MATCH($B442,'Master data'!$A$2:$A$1000,0),MATCH(F$1,'Master data'!$B$1:$CL$1,0)),"")</f>
        <v>-5000</v>
      </c>
      <c r="G442" s="7">
        <f>IFERROR(INDEX('Master data'!$B$2:$CL$1000,MATCH($B442,'Master data'!$A$2:$A$1000,0),MATCH(G$1,'Master data'!$B$1:$CL$1,0)),"")</f>
        <v>-5000</v>
      </c>
      <c r="H442" s="7">
        <f>IFERROR(INDEX('Master data'!$B$2:$CL$1000,MATCH($B442,'Master data'!$A$2:$A$1000,0),MATCH(H$1,'Master data'!$B$1:$CL$1,0)),"")</f>
        <v>-5000</v>
      </c>
      <c r="I442" s="7">
        <f>IFERROR(INDEX('Master data'!$B$2:$CL$1000,MATCH($B442,'Master data'!$A$2:$A$1000,0),MATCH(I$1,'Master data'!$B$1:$CL$1,0)),"")</f>
        <v>-19804.762307199991</v>
      </c>
      <c r="J442" s="7">
        <f>IFERROR(INDEX('Master data'!$B$2:$CL$1000,MATCH($B442,'Master data'!$A$2:$A$1000,0),MATCH(J$1,'Master data'!$B$1:$CL$1,0)),"")</f>
        <v>-9732.8748246168216</v>
      </c>
      <c r="K442" s="7">
        <f>IFERROR(INDEX('Master data'!$B$2:$CL$1000,MATCH($B442,'Master data'!$A$2:$A$1000,0),MATCH(K$1,'Master data'!$B$1:$CL$1,0)),"")</f>
        <v>-4714.5895668316261</v>
      </c>
      <c r="L442" s="7">
        <f>IFERROR(INDEX('Master data'!$B$2:$CL$1000,MATCH($B442,'Master data'!$A$2:$A$1000,0),MATCH(L$1,'Master data'!$B$1:$CL$1,0)),"")</f>
        <v>-2168.3692927023458</v>
      </c>
      <c r="M442" s="5">
        <f>IFERROR(INDEX('Master data'!$B$2:$CL$1000,MATCH($B442,'Master data'!$A$2:$A$1000,0),MATCH(M$1,'Master data'!$B$1:$CL$1,0)),"")</f>
        <v>-19157.392134772024</v>
      </c>
      <c r="N442" s="28">
        <f>IFERROR(INDEX('Master data'!$B$2:$CL$1000,MATCH($B442,'Master data'!$A$2:$A$1000,0),MATCH(N$1,'Master data'!$B$1:$CL$1,0)),"")</f>
        <v>-6.0000000000000001E-3</v>
      </c>
      <c r="O442" s="7">
        <f>IFERROR(INDEX('Master data'!$B$2:$CL$1000,MATCH($B442,'Master data'!$A$2:$A$1000,0),MATCH(O$1,'Master data'!$B$1:$CL$1,0)),"")</f>
        <v>0</v>
      </c>
      <c r="P442" s="5">
        <f>IFERROR(INDEX('Master data'!$B$2:$CL$1000,MATCH($B442,'Master data'!$A$2:$A$1000,0),MATCH(P$1,'Master data'!$B$1:$CL$1,0)),"")</f>
        <v>2500000</v>
      </c>
      <c r="Q442" s="5">
        <f>IFERROR(INDEX('Master data'!$B$2:$CL$1000,MATCH($B442,'Master data'!$A$2:$A$1000,0),MATCH(Q$1,'Master data'!$B$1:$CL$1,0)),"")</f>
        <v>2500000</v>
      </c>
    </row>
    <row r="443" spans="1:17" hidden="1">
      <c r="A443">
        <f t="shared" si="6"/>
        <v>441</v>
      </c>
      <c r="B443" t="str">
        <f>IF('Master data'!A443="","",'Master data'!A443)</f>
        <v>Ezgjan Alioski</v>
      </c>
      <c r="C443" t="str">
        <f>IFERROR(INDEX('Master data'!$B$2:$CL$1000,MATCH($B443,'Master data'!$A$2:$A$1000,0),MATCH(C$1,'Master data'!$B$1:$CL$1,0)),"")</f>
        <v>North Macedonia</v>
      </c>
      <c r="D443" t="str">
        <f>IFERROR(INDEX('Master data'!$B$2:$CL$1000,MATCH($B443,'Master data'!$A$2:$A$1000,0),MATCH(D$1,'Master data'!$B$1:$CL$1,0)),"")</f>
        <v>Midfield</v>
      </c>
      <c r="E443" s="5">
        <f>IFERROR(INDEX('Master data'!$B$2:$CL$1000,MATCH($B443,'Master data'!$A$2:$A$1000,0),MATCH(E$1,'Master data'!$B$1:$CL$1,0)),"")</f>
        <v>3000000</v>
      </c>
      <c r="F443" s="7">
        <f>IFERROR(INDEX('Master data'!$B$2:$CL$1000,MATCH($B443,'Master data'!$A$2:$A$1000,0),MATCH(F$1,'Master data'!$B$1:$CL$1,0)),"")</f>
        <v>8207.2793804542634</v>
      </c>
      <c r="G443" s="7">
        <f>IFERROR(INDEX('Master data'!$B$2:$CL$1000,MATCH($B443,'Master data'!$A$2:$A$1000,0),MATCH(G$1,'Master data'!$B$1:$CL$1,0)),"")</f>
        <v>11942.507996898701</v>
      </c>
      <c r="H443" s="7">
        <f>IFERROR(INDEX('Master data'!$B$2:$CL$1000,MATCH($B443,'Master data'!$A$2:$A$1000,0),MATCH(H$1,'Master data'!$B$1:$CL$1,0)),"")</f>
        <v>-9566.1045041334473</v>
      </c>
      <c r="I443" s="7">
        <f>IFERROR(INDEX('Master data'!$B$2:$CL$1000,MATCH($B443,'Master data'!$A$2:$A$1000,0),MATCH(I$1,'Master data'!$B$1:$CL$1,0)),"")</f>
        <v>-6744.9400912589435</v>
      </c>
      <c r="J443" s="7">
        <f>IFERROR(INDEX('Master data'!$B$2:$CL$1000,MATCH($B443,'Master data'!$A$2:$A$1000,0),MATCH(J$1,'Master data'!$B$1:$CL$1,0)),"")</f>
        <v>-3314.250347222046</v>
      </c>
      <c r="K443" s="7">
        <f>IFERROR(INDEX('Master data'!$B$2:$CL$1000,MATCH($B443,'Master data'!$A$2:$A$1000,0),MATCH(K$1,'Master data'!$B$1:$CL$1,0)),"")</f>
        <v>-1600.23544205342</v>
      </c>
      <c r="L443" s="7">
        <f>IFERROR(INDEX('Master data'!$B$2:$CL$1000,MATCH($B443,'Master data'!$A$2:$A$1000,0),MATCH(L$1,'Master data'!$B$1:$CL$1,0)),"")</f>
        <v>-724.88568496767243</v>
      </c>
      <c r="M443" s="5">
        <f>IFERROR(INDEX('Master data'!$B$2:$CL$1000,MATCH($B443,'Master data'!$A$2:$A$1000,0),MATCH(M$1,'Master data'!$B$1:$CL$1,0)),"")</f>
        <v>8989.8124821916645</v>
      </c>
      <c r="N443" s="28">
        <f>IFERROR(INDEX('Master data'!$B$2:$CL$1000,MATCH($B443,'Master data'!$A$2:$A$1000,0),MATCH(N$1,'Master data'!$B$1:$CL$1,0)),"")</f>
        <v>3.5278942910731722E-3</v>
      </c>
      <c r="O443" s="7">
        <f>IFERROR(INDEX('Master data'!$B$2:$CL$1000,MATCH($B443,'Master data'!$A$2:$A$1000,0),MATCH(O$1,'Master data'!$B$1:$CL$1,0)),"")</f>
        <v>0</v>
      </c>
      <c r="P443" s="5">
        <f>IFERROR(INDEX('Master data'!$B$2:$CL$1000,MATCH($B443,'Master data'!$A$2:$A$1000,0),MATCH(P$1,'Master data'!$B$1:$CL$1,0)),"")</f>
        <v>3000000</v>
      </c>
      <c r="Q443" s="5">
        <f>IFERROR(INDEX('Master data'!$B$2:$CL$1000,MATCH($B443,'Master data'!$A$2:$A$1000,0),MATCH(Q$1,'Master data'!$B$1:$CL$1,0)),"")</f>
        <v>3000000</v>
      </c>
    </row>
    <row r="444" spans="1:17" hidden="1">
      <c r="A444">
        <f t="shared" si="6"/>
        <v>442</v>
      </c>
      <c r="B444" t="str">
        <f>IF('Master data'!A444="","",'Master data'!A444)</f>
        <v>Ferhan Hasani</v>
      </c>
      <c r="C444" t="str">
        <f>IFERROR(INDEX('Master data'!$B$2:$CL$1000,MATCH($B444,'Master data'!$A$2:$A$1000,0),MATCH(C$1,'Master data'!$B$1:$CL$1,0)),"")</f>
        <v>North Macedonia</v>
      </c>
      <c r="D444" t="str">
        <f>IFERROR(INDEX('Master data'!$B$2:$CL$1000,MATCH($B444,'Master data'!$A$2:$A$1000,0),MATCH(D$1,'Master data'!$B$1:$CL$1,0)),"")</f>
        <v>Midfield</v>
      </c>
      <c r="E444" s="5">
        <f>IFERROR(INDEX('Master data'!$B$2:$CL$1000,MATCH($B444,'Master data'!$A$2:$A$1000,0),MATCH(E$1,'Master data'!$B$1:$CL$1,0)),"")</f>
        <v>2000000</v>
      </c>
      <c r="F444" s="7">
        <f>IFERROR(INDEX('Master data'!$B$2:$CL$1000,MATCH($B444,'Master data'!$A$2:$A$1000,0),MATCH(F$1,'Master data'!$B$1:$CL$1,0)),"")</f>
        <v>-5000</v>
      </c>
      <c r="G444" s="7">
        <f>IFERROR(INDEX('Master data'!$B$2:$CL$1000,MATCH($B444,'Master data'!$A$2:$A$1000,0),MATCH(G$1,'Master data'!$B$1:$CL$1,0)),"")</f>
        <v>-5000</v>
      </c>
      <c r="H444" s="7">
        <f>IFERROR(INDEX('Master data'!$B$2:$CL$1000,MATCH($B444,'Master data'!$A$2:$A$1000,0),MATCH(H$1,'Master data'!$B$1:$CL$1,0)),"")</f>
        <v>-5000</v>
      </c>
      <c r="I444" s="7">
        <f>IFERROR(INDEX('Master data'!$B$2:$CL$1000,MATCH($B444,'Master data'!$A$2:$A$1000,0),MATCH(I$1,'Master data'!$B$1:$CL$1,0)),"")</f>
        <v>-6306.4234949823885</v>
      </c>
      <c r="J444" s="7">
        <f>IFERROR(INDEX('Master data'!$B$2:$CL$1000,MATCH($B444,'Master data'!$A$2:$A$1000,0),MATCH(J$1,'Master data'!$B$1:$CL$1,0)),"")</f>
        <v>-3088.4426626485606</v>
      </c>
      <c r="K444" s="7">
        <f>IFERROR(INDEX('Master data'!$B$2:$CL$1000,MATCH($B444,'Master data'!$A$2:$A$1000,0),MATCH(K$1,'Master data'!$B$1:$CL$1,0)),"")</f>
        <v>-1486.2309909162739</v>
      </c>
      <c r="L444" s="7">
        <f>IFERROR(INDEX('Master data'!$B$2:$CL$1000,MATCH($B444,'Master data'!$A$2:$A$1000,0),MATCH(L$1,'Master data'!$B$1:$CL$1,0)),"")</f>
        <v>-670.99477075023424</v>
      </c>
      <c r="M444" s="5">
        <f>IFERROR(INDEX('Master data'!$B$2:$CL$1000,MATCH($B444,'Master data'!$A$2:$A$1000,0),MATCH(M$1,'Master data'!$B$1:$CL$1,0)),"")</f>
        <v>-13288.81352372231</v>
      </c>
      <c r="N444" s="28">
        <f>IFERROR(INDEX('Master data'!$B$2:$CL$1000,MATCH($B444,'Master data'!$A$2:$A$1000,0),MATCH(N$1,'Master data'!$B$1:$CL$1,0)),"")</f>
        <v>-7.4999999999999997E-3</v>
      </c>
      <c r="O444" s="7">
        <f>IFERROR(INDEX('Master data'!$B$2:$CL$1000,MATCH($B444,'Master data'!$A$2:$A$1000,0),MATCH(O$1,'Master data'!$B$1:$CL$1,0)),"")</f>
        <v>0</v>
      </c>
      <c r="P444" s="5">
        <f>IFERROR(INDEX('Master data'!$B$2:$CL$1000,MATCH($B444,'Master data'!$A$2:$A$1000,0),MATCH(P$1,'Master data'!$B$1:$CL$1,0)),"")</f>
        <v>2000000</v>
      </c>
      <c r="Q444" s="5">
        <f>IFERROR(INDEX('Master data'!$B$2:$CL$1000,MATCH($B444,'Master data'!$A$2:$A$1000,0),MATCH(Q$1,'Master data'!$B$1:$CL$1,0)),"")</f>
        <v>2000000</v>
      </c>
    </row>
    <row r="445" spans="1:17" hidden="1">
      <c r="A445">
        <f t="shared" si="6"/>
        <v>443</v>
      </c>
      <c r="B445" t="str">
        <f>IF('Master data'!A445="","",'Master data'!A445)</f>
        <v>Tihomir Kostadinov</v>
      </c>
      <c r="C445" t="str">
        <f>IFERROR(INDEX('Master data'!$B$2:$CL$1000,MATCH($B445,'Master data'!$A$2:$A$1000,0),MATCH(C$1,'Master data'!$B$1:$CL$1,0)),"")</f>
        <v>North Macedonia</v>
      </c>
      <c r="D445" t="str">
        <f>IFERROR(INDEX('Master data'!$B$2:$CL$1000,MATCH($B445,'Master data'!$A$2:$A$1000,0),MATCH(D$1,'Master data'!$B$1:$CL$1,0)),"")</f>
        <v>Midfield</v>
      </c>
      <c r="E445" s="5">
        <f>IFERROR(INDEX('Master data'!$B$2:$CL$1000,MATCH($B445,'Master data'!$A$2:$A$1000,0),MATCH(E$1,'Master data'!$B$1:$CL$1,0)),"")</f>
        <v>2000000</v>
      </c>
      <c r="F445" s="7">
        <f>IFERROR(INDEX('Master data'!$B$2:$CL$1000,MATCH($B445,'Master data'!$A$2:$A$1000,0),MATCH(F$1,'Master data'!$B$1:$CL$1,0)),"")</f>
        <v>-5000</v>
      </c>
      <c r="G445" s="7">
        <f>IFERROR(INDEX('Master data'!$B$2:$CL$1000,MATCH($B445,'Master data'!$A$2:$A$1000,0),MATCH(G$1,'Master data'!$B$1:$CL$1,0)),"")</f>
        <v>-5000</v>
      </c>
      <c r="H445" s="7">
        <f>IFERROR(INDEX('Master data'!$B$2:$CL$1000,MATCH($B445,'Master data'!$A$2:$A$1000,0),MATCH(H$1,'Master data'!$B$1:$CL$1,0)),"")</f>
        <v>-5000</v>
      </c>
      <c r="I445" s="7">
        <f>IFERROR(INDEX('Master data'!$B$2:$CL$1000,MATCH($B445,'Master data'!$A$2:$A$1000,0),MATCH(I$1,'Master data'!$B$1:$CL$1,0)),"")</f>
        <v>-6306.4234949823885</v>
      </c>
      <c r="J445" s="7">
        <f>IFERROR(INDEX('Master data'!$B$2:$CL$1000,MATCH($B445,'Master data'!$A$2:$A$1000,0),MATCH(J$1,'Master data'!$B$1:$CL$1,0)),"")</f>
        <v>-3088.4426626485606</v>
      </c>
      <c r="K445" s="7">
        <f>IFERROR(INDEX('Master data'!$B$2:$CL$1000,MATCH($B445,'Master data'!$A$2:$A$1000,0),MATCH(K$1,'Master data'!$B$1:$CL$1,0)),"")</f>
        <v>-1486.2309909162739</v>
      </c>
      <c r="L445" s="7">
        <f>IFERROR(INDEX('Master data'!$B$2:$CL$1000,MATCH($B445,'Master data'!$A$2:$A$1000,0),MATCH(L$1,'Master data'!$B$1:$CL$1,0)),"")</f>
        <v>-670.99477075023424</v>
      </c>
      <c r="M445" s="5">
        <f>IFERROR(INDEX('Master data'!$B$2:$CL$1000,MATCH($B445,'Master data'!$A$2:$A$1000,0),MATCH(M$1,'Master data'!$B$1:$CL$1,0)),"")</f>
        <v>-13288.81352372231</v>
      </c>
      <c r="N445" s="28">
        <f>IFERROR(INDEX('Master data'!$B$2:$CL$1000,MATCH($B445,'Master data'!$A$2:$A$1000,0),MATCH(N$1,'Master data'!$B$1:$CL$1,0)),"")</f>
        <v>-7.4999999999999997E-3</v>
      </c>
      <c r="O445" s="7">
        <f>IFERROR(INDEX('Master data'!$B$2:$CL$1000,MATCH($B445,'Master data'!$A$2:$A$1000,0),MATCH(O$1,'Master data'!$B$1:$CL$1,0)),"")</f>
        <v>0</v>
      </c>
      <c r="P445" s="5">
        <f>IFERROR(INDEX('Master data'!$B$2:$CL$1000,MATCH($B445,'Master data'!$A$2:$A$1000,0),MATCH(P$1,'Master data'!$B$1:$CL$1,0)),"")</f>
        <v>2000000</v>
      </c>
      <c r="Q445" s="5">
        <f>IFERROR(INDEX('Master data'!$B$2:$CL$1000,MATCH($B445,'Master data'!$A$2:$A$1000,0),MATCH(Q$1,'Master data'!$B$1:$CL$1,0)),"")</f>
        <v>2000000</v>
      </c>
    </row>
    <row r="446" spans="1:17" hidden="1">
      <c r="A446">
        <f t="shared" si="6"/>
        <v>444</v>
      </c>
      <c r="B446" t="str">
        <f>IF('Master data'!A446="","",'Master data'!A446)</f>
        <v>Vlatko Stojanovski</v>
      </c>
      <c r="C446" t="str">
        <f>IFERROR(INDEX('Master data'!$B$2:$CL$1000,MATCH($B446,'Master data'!$A$2:$A$1000,0),MATCH(C$1,'Master data'!$B$1:$CL$1,0)),"")</f>
        <v>North Macedonia</v>
      </c>
      <c r="D446" t="str">
        <f>IFERROR(INDEX('Master data'!$B$2:$CL$1000,MATCH($B446,'Master data'!$A$2:$A$1000,0),MATCH(D$1,'Master data'!$B$1:$CL$1,0)),"")</f>
        <v>Striker</v>
      </c>
      <c r="E446" s="5">
        <f>IFERROR(INDEX('Master data'!$B$2:$CL$1000,MATCH($B446,'Master data'!$A$2:$A$1000,0),MATCH(E$1,'Master data'!$B$1:$CL$1,0)),"")</f>
        <v>2000000</v>
      </c>
      <c r="F446" s="7">
        <f>IFERROR(INDEX('Master data'!$B$2:$CL$1000,MATCH($B446,'Master data'!$A$2:$A$1000,0),MATCH(F$1,'Master data'!$B$1:$CL$1,0)),"")</f>
        <v>-5000</v>
      </c>
      <c r="G446" s="7">
        <f>IFERROR(INDEX('Master data'!$B$2:$CL$1000,MATCH($B446,'Master data'!$A$2:$A$1000,0),MATCH(G$1,'Master data'!$B$1:$CL$1,0)),"")</f>
        <v>-5000</v>
      </c>
      <c r="H446" s="7">
        <f>IFERROR(INDEX('Master data'!$B$2:$CL$1000,MATCH($B446,'Master data'!$A$2:$A$1000,0),MATCH(H$1,'Master data'!$B$1:$CL$1,0)),"")</f>
        <v>-5000</v>
      </c>
      <c r="I446" s="7">
        <f>IFERROR(INDEX('Master data'!$B$2:$CL$1000,MATCH($B446,'Master data'!$A$2:$A$1000,0),MATCH(I$1,'Master data'!$B$1:$CL$1,0)),"")</f>
        <v>-6306.4234949823885</v>
      </c>
      <c r="J446" s="7">
        <f>IFERROR(INDEX('Master data'!$B$2:$CL$1000,MATCH($B446,'Master data'!$A$2:$A$1000,0),MATCH(J$1,'Master data'!$B$1:$CL$1,0)),"")</f>
        <v>-3088.4426626485606</v>
      </c>
      <c r="K446" s="7">
        <f>IFERROR(INDEX('Master data'!$B$2:$CL$1000,MATCH($B446,'Master data'!$A$2:$A$1000,0),MATCH(K$1,'Master data'!$B$1:$CL$1,0)),"")</f>
        <v>-1486.2309909162739</v>
      </c>
      <c r="L446" s="7">
        <f>IFERROR(INDEX('Master data'!$B$2:$CL$1000,MATCH($B446,'Master data'!$A$2:$A$1000,0),MATCH(L$1,'Master data'!$B$1:$CL$1,0)),"")</f>
        <v>-670.99477075023424</v>
      </c>
      <c r="M446" s="5">
        <f>IFERROR(INDEX('Master data'!$B$2:$CL$1000,MATCH($B446,'Master data'!$A$2:$A$1000,0),MATCH(M$1,'Master data'!$B$1:$CL$1,0)),"")</f>
        <v>-13288.81352372231</v>
      </c>
      <c r="N446" s="28">
        <f>IFERROR(INDEX('Master data'!$B$2:$CL$1000,MATCH($B446,'Master data'!$A$2:$A$1000,0),MATCH(N$1,'Master data'!$B$1:$CL$1,0)),"")</f>
        <v>-7.4999999999999997E-3</v>
      </c>
      <c r="O446" s="7">
        <f>IFERROR(INDEX('Master data'!$B$2:$CL$1000,MATCH($B446,'Master data'!$A$2:$A$1000,0),MATCH(O$1,'Master data'!$B$1:$CL$1,0)),"")</f>
        <v>0</v>
      </c>
      <c r="P446" s="5">
        <f>IFERROR(INDEX('Master data'!$B$2:$CL$1000,MATCH($B446,'Master data'!$A$2:$A$1000,0),MATCH(P$1,'Master data'!$B$1:$CL$1,0)),"")</f>
        <v>2000000</v>
      </c>
      <c r="Q446" s="5">
        <f>IFERROR(INDEX('Master data'!$B$2:$CL$1000,MATCH($B446,'Master data'!$A$2:$A$1000,0),MATCH(Q$1,'Master data'!$B$1:$CL$1,0)),"")</f>
        <v>2000000</v>
      </c>
    </row>
    <row r="447" spans="1:17" hidden="1">
      <c r="A447">
        <f t="shared" si="6"/>
        <v>445</v>
      </c>
      <c r="B447" t="str">
        <f>IF('Master data'!A447="","",'Master data'!A447)</f>
        <v>Aleksandar Trajkovski</v>
      </c>
      <c r="C447" t="str">
        <f>IFERROR(INDEX('Master data'!$B$2:$CL$1000,MATCH($B447,'Master data'!$A$2:$A$1000,0),MATCH(C$1,'Master data'!$B$1:$CL$1,0)),"")</f>
        <v>North Macedonia</v>
      </c>
      <c r="D447" t="str">
        <f>IFERROR(INDEX('Master data'!$B$2:$CL$1000,MATCH($B447,'Master data'!$A$2:$A$1000,0),MATCH(D$1,'Master data'!$B$1:$CL$1,0)),"")</f>
        <v>Striker</v>
      </c>
      <c r="E447" s="5">
        <f>IFERROR(INDEX('Master data'!$B$2:$CL$1000,MATCH($B447,'Master data'!$A$2:$A$1000,0),MATCH(E$1,'Master data'!$B$1:$CL$1,0)),"")</f>
        <v>2500000</v>
      </c>
      <c r="F447" s="7">
        <f>IFERROR(INDEX('Master data'!$B$2:$CL$1000,MATCH($B447,'Master data'!$A$2:$A$1000,0),MATCH(F$1,'Master data'!$B$1:$CL$1,0)),"")</f>
        <v>9716.5707367323739</v>
      </c>
      <c r="G447" s="7">
        <f>IFERROR(INDEX('Master data'!$B$2:$CL$1000,MATCH($B447,'Master data'!$A$2:$A$1000,0),MATCH(G$1,'Master data'!$B$1:$CL$1,0)),"")</f>
        <v>13347.298489388591</v>
      </c>
      <c r="H447" s="7">
        <f>IFERROR(INDEX('Master data'!$B$2:$CL$1000,MATCH($B447,'Master data'!$A$2:$A$1000,0),MATCH(H$1,'Master data'!$B$1:$CL$1,0)),"")</f>
        <v>-7890.1034500696369</v>
      </c>
      <c r="I447" s="7">
        <f>IFERROR(INDEX('Master data'!$B$2:$CL$1000,MATCH($B447,'Master data'!$A$2:$A$1000,0),MATCH(I$1,'Master data'!$B$1:$CL$1,0)),"")</f>
        <v>-5099.4008707733456</v>
      </c>
      <c r="J447" s="7">
        <f>IFERROR(INDEX('Master data'!$B$2:$CL$1000,MATCH($B447,'Master data'!$A$2:$A$1000,0),MATCH(J$1,'Master data'!$B$1:$CL$1,0)),"")</f>
        <v>-2508.6616444338742</v>
      </c>
      <c r="K447" s="7">
        <f>IFERROR(INDEX('Master data'!$B$2:$CL$1000,MATCH($B447,'Master data'!$A$2:$A$1000,0),MATCH(K$1,'Master data'!$B$1:$CL$1,0)),"")</f>
        <v>-1212.7028878210363</v>
      </c>
      <c r="L447" s="7">
        <f>IFERROR(INDEX('Master data'!$B$2:$CL$1000,MATCH($B447,'Master data'!$A$2:$A$1000,0),MATCH(L$1,'Master data'!$B$1:$CL$1,0)),"")</f>
        <v>-549.98625326919603</v>
      </c>
      <c r="M447" s="5">
        <f>IFERROR(INDEX('Master data'!$B$2:$CL$1000,MATCH($B447,'Master data'!$A$2:$A$1000,0),MATCH(M$1,'Master data'!$B$1:$CL$1,0)),"")</f>
        <v>12893.603776094138</v>
      </c>
      <c r="N447" s="28">
        <f>IFERROR(INDEX('Master data'!$B$2:$CL$1000,MATCH($B447,'Master data'!$A$2:$A$1000,0),MATCH(N$1,'Master data'!$B$1:$CL$1,0)),"")</f>
        <v>6.069506310420531E-3</v>
      </c>
      <c r="O447" s="7">
        <f>IFERROR(INDEX('Master data'!$B$2:$CL$1000,MATCH($B447,'Master data'!$A$2:$A$1000,0),MATCH(O$1,'Master data'!$B$1:$CL$1,0)),"")</f>
        <v>0</v>
      </c>
      <c r="P447" s="5">
        <f>IFERROR(INDEX('Master data'!$B$2:$CL$1000,MATCH($B447,'Master data'!$A$2:$A$1000,0),MATCH(P$1,'Master data'!$B$1:$CL$1,0)),"")</f>
        <v>2500000</v>
      </c>
      <c r="Q447" s="5">
        <f>IFERROR(INDEX('Master data'!$B$2:$CL$1000,MATCH($B447,'Master data'!$A$2:$A$1000,0),MATCH(Q$1,'Master data'!$B$1:$CL$1,0)),"")</f>
        <v>2500000</v>
      </c>
    </row>
    <row r="448" spans="1:17" hidden="1">
      <c r="A448">
        <f t="shared" si="6"/>
        <v>446</v>
      </c>
      <c r="B448" t="str">
        <f>IF('Master data'!A448="","",'Master data'!A448)</f>
        <v>Goran Pandev</v>
      </c>
      <c r="C448" t="str">
        <f>IFERROR(INDEX('Master data'!$B$2:$CL$1000,MATCH($B448,'Master data'!$A$2:$A$1000,0),MATCH(C$1,'Master data'!$B$1:$CL$1,0)),"")</f>
        <v>North Macedonia</v>
      </c>
      <c r="D448" t="str">
        <f>IFERROR(INDEX('Master data'!$B$2:$CL$1000,MATCH($B448,'Master data'!$A$2:$A$1000,0),MATCH(D$1,'Master data'!$B$1:$CL$1,0)),"")</f>
        <v>Striker</v>
      </c>
      <c r="E448" s="5">
        <f>IFERROR(INDEX('Master data'!$B$2:$CL$1000,MATCH($B448,'Master data'!$A$2:$A$1000,0),MATCH(E$1,'Master data'!$B$1:$CL$1,0)),"")</f>
        <v>3500000</v>
      </c>
      <c r="F448" s="7">
        <f>IFERROR(INDEX('Master data'!$B$2:$CL$1000,MATCH($B448,'Master data'!$A$2:$A$1000,0),MATCH(F$1,'Master data'!$B$1:$CL$1,0)),"")</f>
        <v>24618.96797108473</v>
      </c>
      <c r="G448" s="7">
        <f>IFERROR(INDEX('Master data'!$B$2:$CL$1000,MATCH($B448,'Master data'!$A$2:$A$1000,0),MATCH(G$1,'Master data'!$B$1:$CL$1,0)),"")</f>
        <v>31081.528255245834</v>
      </c>
      <c r="H448" s="7">
        <f>IFERROR(INDEX('Master data'!$B$2:$CL$1000,MATCH($B448,'Master data'!$A$2:$A$1000,0),MATCH(H$1,'Master data'!$B$1:$CL$1,0)),"")</f>
        <v>2494.6857149023745</v>
      </c>
      <c r="I448" s="7">
        <f>IFERROR(INDEX('Master data'!$B$2:$CL$1000,MATCH($B448,'Master data'!$A$2:$A$1000,0),MATCH(I$1,'Master data'!$B$1:$CL$1,0)),"")</f>
        <v>-4107.0571182408266</v>
      </c>
      <c r="J448" s="7">
        <f>IFERROR(INDEX('Master data'!$B$2:$CL$1000,MATCH($B448,'Master data'!$A$2:$A$1000,0),MATCH(J$1,'Master data'!$B$1:$CL$1,0)),"")</f>
        <v>-2039.5604330230635</v>
      </c>
      <c r="K448" s="7">
        <f>IFERROR(INDEX('Master data'!$B$2:$CL$1000,MATCH($B448,'Master data'!$A$2:$A$1000,0),MATCH(K$1,'Master data'!$B$1:$CL$1,0)),"")</f>
        <v>-995.11576120257052</v>
      </c>
      <c r="L448" s="7">
        <f>IFERROR(INDEX('Master data'!$B$2:$CL$1000,MATCH($B448,'Master data'!$A$2:$A$1000,0),MATCH(L$1,'Master data'!$B$1:$CL$1,0)),"")</f>
        <v>-455.44815019263666</v>
      </c>
      <c r="M448" s="5">
        <f>IFERROR(INDEX('Master data'!$B$2:$CL$1000,MATCH($B448,'Master data'!$A$2:$A$1000,0),MATCH(M$1,'Master data'!$B$1:$CL$1,0)),"")</f>
        <v>44657.925541859397</v>
      </c>
      <c r="N448" s="28">
        <f>IFERROR(INDEX('Master data'!$B$2:$CL$1000,MATCH($B448,'Master data'!$A$2:$A$1000,0),MATCH(N$1,'Master data'!$B$1:$CL$1,0)),"")</f>
        <v>1.6627194840352268E-2</v>
      </c>
      <c r="O448" s="7">
        <f>IFERROR(INDEX('Master data'!$B$2:$CL$1000,MATCH($B448,'Master data'!$A$2:$A$1000,0),MATCH(O$1,'Master data'!$B$1:$CL$1,0)),"")</f>
        <v>0</v>
      </c>
      <c r="P448" s="5">
        <f>IFERROR(INDEX('Master data'!$B$2:$CL$1000,MATCH($B448,'Master data'!$A$2:$A$1000,0),MATCH(P$1,'Master data'!$B$1:$CL$1,0)),"")</f>
        <v>3500000</v>
      </c>
      <c r="Q448" s="5">
        <f>IFERROR(INDEX('Master data'!$B$2:$CL$1000,MATCH($B448,'Master data'!$A$2:$A$1000,0),MATCH(Q$1,'Master data'!$B$1:$CL$1,0)),"")</f>
        <v>3500000</v>
      </c>
    </row>
    <row r="449" spans="1:17" hidden="1">
      <c r="A449">
        <f t="shared" si="6"/>
        <v>447</v>
      </c>
      <c r="B449" t="str">
        <f>IF('Master data'!A449="","",'Master data'!A449)</f>
        <v>Jonas Omlin</v>
      </c>
      <c r="C449" t="str">
        <f>IFERROR(INDEX('Master data'!$B$2:$CL$1000,MATCH($B449,'Master data'!$A$2:$A$1000,0),MATCH(C$1,'Master data'!$B$1:$CL$1,0)),"")</f>
        <v>Switzerland</v>
      </c>
      <c r="D449" t="str">
        <f>IFERROR(INDEX('Master data'!$B$2:$CL$1000,MATCH($B449,'Master data'!$A$2:$A$1000,0),MATCH(D$1,'Master data'!$B$1:$CL$1,0)),"")</f>
        <v>Goalkeeper</v>
      </c>
      <c r="E449" s="5">
        <f>IFERROR(INDEX('Master data'!$B$2:$CL$1000,MATCH($B449,'Master data'!$A$2:$A$1000,0),MATCH(E$1,'Master data'!$B$1:$CL$1,0)),"")</f>
        <v>3500000</v>
      </c>
      <c r="F449" s="7">
        <f>IFERROR(INDEX('Master data'!$B$2:$CL$1000,MATCH($B449,'Master data'!$A$2:$A$1000,0),MATCH(F$1,'Master data'!$B$1:$CL$1,0)),"")</f>
        <v>33728.75594345948</v>
      </c>
      <c r="G449" s="7">
        <f>IFERROR(INDEX('Master data'!$B$2:$CL$1000,MATCH($B449,'Master data'!$A$2:$A$1000,0),MATCH(G$1,'Master data'!$B$1:$CL$1,0)),"")</f>
        <v>24345.22795550977</v>
      </c>
      <c r="H449" s="7">
        <f>IFERROR(INDEX('Master data'!$B$2:$CL$1000,MATCH($B449,'Master data'!$A$2:$A$1000,0),MATCH(H$1,'Master data'!$B$1:$CL$1,0)),"")</f>
        <v>27465.106438705312</v>
      </c>
      <c r="I449" s="7">
        <f>IFERROR(INDEX('Master data'!$B$2:$CL$1000,MATCH($B449,'Master data'!$A$2:$A$1000,0),MATCH(I$1,'Master data'!$B$1:$CL$1,0)),"")</f>
        <v>-4687.6516052142424</v>
      </c>
      <c r="J449" s="7">
        <f>IFERROR(INDEX('Master data'!$B$2:$CL$1000,MATCH($B449,'Master data'!$A$2:$A$1000,0),MATCH(J$1,'Master data'!$B$1:$CL$1,0)),"")</f>
        <v>-2400.5847920962492</v>
      </c>
      <c r="K449" s="7">
        <f>IFERROR(INDEX('Master data'!$B$2:$CL$1000,MATCH($B449,'Master data'!$A$2:$A$1000,0),MATCH(K$1,'Master data'!$B$1:$CL$1,0)),"")</f>
        <v>-1211.7113624008391</v>
      </c>
      <c r="L449" s="7">
        <f>IFERROR(INDEX('Master data'!$B$2:$CL$1000,MATCH($B449,'Master data'!$A$2:$A$1000,0),MATCH(L$1,'Master data'!$B$1:$CL$1,0)),"")</f>
        <v>-583.00006392734451</v>
      </c>
      <c r="M449" s="5">
        <f>IFERROR(INDEX('Master data'!$B$2:$CL$1000,MATCH($B449,'Master data'!$A$2:$A$1000,0),MATCH(M$1,'Master data'!$B$1:$CL$1,0)),"")</f>
        <v>60091.749113347418</v>
      </c>
      <c r="N449" s="28">
        <f>IFERROR(INDEX('Master data'!$B$2:$CL$1000,MATCH($B449,'Master data'!$A$2:$A$1000,0),MATCH(N$1,'Master data'!$B$1:$CL$1,0)),"")</f>
        <v>2.4439740096478448E-2</v>
      </c>
      <c r="O449" s="7">
        <f>IFERROR(INDEX('Master data'!$B$2:$CL$1000,MATCH($B449,'Master data'!$A$2:$A$1000,0),MATCH(O$1,'Master data'!$B$1:$CL$1,0)),"")</f>
        <v>0</v>
      </c>
      <c r="P449" s="5">
        <f>IFERROR(INDEX('Master data'!$B$2:$CL$1000,MATCH($B449,'Master data'!$A$2:$A$1000,0),MATCH(P$1,'Master data'!$B$1:$CL$1,0)),"")</f>
        <v>3500000</v>
      </c>
      <c r="Q449" s="5">
        <f>IFERROR(INDEX('Master data'!$B$2:$CL$1000,MATCH($B449,'Master data'!$A$2:$A$1000,0),MATCH(Q$1,'Master data'!$B$1:$CL$1,0)),"")</f>
        <v>3500000</v>
      </c>
    </row>
    <row r="450" spans="1:17" hidden="1">
      <c r="A450">
        <f t="shared" si="6"/>
        <v>448</v>
      </c>
      <c r="B450" t="str">
        <f>IF('Master data'!A450="","",'Master data'!A450)</f>
        <v>Yvon Mvogo</v>
      </c>
      <c r="C450" t="str">
        <f>IFERROR(INDEX('Master data'!$B$2:$CL$1000,MATCH($B450,'Master data'!$A$2:$A$1000,0),MATCH(C$1,'Master data'!$B$1:$CL$1,0)),"")</f>
        <v>Switzerland</v>
      </c>
      <c r="D450" t="str">
        <f>IFERROR(INDEX('Master data'!$B$2:$CL$1000,MATCH($B450,'Master data'!$A$2:$A$1000,0),MATCH(D$1,'Master data'!$B$1:$CL$1,0)),"")</f>
        <v>Goalkeeper</v>
      </c>
      <c r="E450" s="5">
        <f>IFERROR(INDEX('Master data'!$B$2:$CL$1000,MATCH($B450,'Master data'!$A$2:$A$1000,0),MATCH(E$1,'Master data'!$B$1:$CL$1,0)),"")</f>
        <v>3500000</v>
      </c>
      <c r="F450" s="7">
        <f>IFERROR(INDEX('Master data'!$B$2:$CL$1000,MATCH($B450,'Master data'!$A$2:$A$1000,0),MATCH(F$1,'Master data'!$B$1:$CL$1,0)),"")</f>
        <v>33728.75594345948</v>
      </c>
      <c r="G450" s="7">
        <f>IFERROR(INDEX('Master data'!$B$2:$CL$1000,MATCH($B450,'Master data'!$A$2:$A$1000,0),MATCH(G$1,'Master data'!$B$1:$CL$1,0)),"")</f>
        <v>24345.22795550977</v>
      </c>
      <c r="H450" s="7">
        <f>IFERROR(INDEX('Master data'!$B$2:$CL$1000,MATCH($B450,'Master data'!$A$2:$A$1000,0),MATCH(H$1,'Master data'!$B$1:$CL$1,0)),"")</f>
        <v>27465.106438705312</v>
      </c>
      <c r="I450" s="7">
        <f>IFERROR(INDEX('Master data'!$B$2:$CL$1000,MATCH($B450,'Master data'!$A$2:$A$1000,0),MATCH(I$1,'Master data'!$B$1:$CL$1,0)),"")</f>
        <v>-4687.6516052142424</v>
      </c>
      <c r="J450" s="7">
        <f>IFERROR(INDEX('Master data'!$B$2:$CL$1000,MATCH($B450,'Master data'!$A$2:$A$1000,0),MATCH(J$1,'Master data'!$B$1:$CL$1,0)),"")</f>
        <v>-2400.5847920962492</v>
      </c>
      <c r="K450" s="7">
        <f>IFERROR(INDEX('Master data'!$B$2:$CL$1000,MATCH($B450,'Master data'!$A$2:$A$1000,0),MATCH(K$1,'Master data'!$B$1:$CL$1,0)),"")</f>
        <v>-1211.7113624008391</v>
      </c>
      <c r="L450" s="7">
        <f>IFERROR(INDEX('Master data'!$B$2:$CL$1000,MATCH($B450,'Master data'!$A$2:$A$1000,0),MATCH(L$1,'Master data'!$B$1:$CL$1,0)),"")</f>
        <v>-583.00006392734451</v>
      </c>
      <c r="M450" s="5">
        <f>IFERROR(INDEX('Master data'!$B$2:$CL$1000,MATCH($B450,'Master data'!$A$2:$A$1000,0),MATCH(M$1,'Master data'!$B$1:$CL$1,0)),"")</f>
        <v>60091.749113347418</v>
      </c>
      <c r="N450" s="28">
        <f>IFERROR(INDEX('Master data'!$B$2:$CL$1000,MATCH($B450,'Master data'!$A$2:$A$1000,0),MATCH(N$1,'Master data'!$B$1:$CL$1,0)),"")</f>
        <v>2.4439740096478448E-2</v>
      </c>
      <c r="O450" s="7">
        <f>IFERROR(INDEX('Master data'!$B$2:$CL$1000,MATCH($B450,'Master data'!$A$2:$A$1000,0),MATCH(O$1,'Master data'!$B$1:$CL$1,0)),"")</f>
        <v>0</v>
      </c>
      <c r="P450" s="5">
        <f>IFERROR(INDEX('Master data'!$B$2:$CL$1000,MATCH($B450,'Master data'!$A$2:$A$1000,0),MATCH(P$1,'Master data'!$B$1:$CL$1,0)),"")</f>
        <v>3500000</v>
      </c>
      <c r="Q450" s="5">
        <f>IFERROR(INDEX('Master data'!$B$2:$CL$1000,MATCH($B450,'Master data'!$A$2:$A$1000,0),MATCH(Q$1,'Master data'!$B$1:$CL$1,0)),"")</f>
        <v>3500000</v>
      </c>
    </row>
    <row r="451" spans="1:17" hidden="1">
      <c r="A451">
        <f t="shared" ref="A451:A514" si="7">IF(B451="","",ROW()-2)</f>
        <v>449</v>
      </c>
      <c r="B451" t="str">
        <f>IF('Master data'!A451="","",'Master data'!A451)</f>
        <v>Kevin Mbabu</v>
      </c>
      <c r="C451" t="str">
        <f>IFERROR(INDEX('Master data'!$B$2:$CL$1000,MATCH($B451,'Master data'!$A$2:$A$1000,0),MATCH(C$1,'Master data'!$B$1:$CL$1,0)),"")</f>
        <v>Switzerland</v>
      </c>
      <c r="D451" t="str">
        <f>IFERROR(INDEX('Master data'!$B$2:$CL$1000,MATCH($B451,'Master data'!$A$2:$A$1000,0),MATCH(D$1,'Master data'!$B$1:$CL$1,0)),"")</f>
        <v>Defense</v>
      </c>
      <c r="E451" s="5">
        <f>IFERROR(INDEX('Master data'!$B$2:$CL$1000,MATCH($B451,'Master data'!$A$2:$A$1000,0),MATCH(E$1,'Master data'!$B$1:$CL$1,0)),"")</f>
        <v>3000000</v>
      </c>
      <c r="F451" s="7">
        <f>IFERROR(INDEX('Master data'!$B$2:$CL$1000,MATCH($B451,'Master data'!$A$2:$A$1000,0),MATCH(F$1,'Master data'!$B$1:$CL$1,0)),"")</f>
        <v>44027.254610319418</v>
      </c>
      <c r="G451" s="7">
        <f>IFERROR(INDEX('Master data'!$B$2:$CL$1000,MATCH($B451,'Master data'!$A$2:$A$1000,0),MATCH(G$1,'Master data'!$B$1:$CL$1,0)),"")</f>
        <v>10493.073781342204</v>
      </c>
      <c r="H451" s="7">
        <f>IFERROR(INDEX('Master data'!$B$2:$CL$1000,MATCH($B451,'Master data'!$A$2:$A$1000,0),MATCH(H$1,'Master data'!$B$1:$CL$1,0)),"")</f>
        <v>36823.145649941645</v>
      </c>
      <c r="I451" s="7">
        <f>IFERROR(INDEX('Master data'!$B$2:$CL$1000,MATCH($B451,'Master data'!$A$2:$A$1000,0),MATCH(I$1,'Master data'!$B$1:$CL$1,0)),"")</f>
        <v>-297.26375573061563</v>
      </c>
      <c r="J451" s="7">
        <f>IFERROR(INDEX('Master data'!$B$2:$CL$1000,MATCH($B451,'Master data'!$A$2:$A$1000,0),MATCH(J$1,'Master data'!$B$1:$CL$1,0)),"")</f>
        <v>-242.36832994224523</v>
      </c>
      <c r="K451" s="7">
        <f>IFERROR(INDEX('Master data'!$B$2:$CL$1000,MATCH($B451,'Master data'!$A$2:$A$1000,0),MATCH(K$1,'Master data'!$B$1:$CL$1,0)),"")</f>
        <v>-164.55539041245402</v>
      </c>
      <c r="L451" s="7">
        <f>IFERROR(INDEX('Master data'!$B$2:$CL$1000,MATCH($B451,'Master data'!$A$2:$A$1000,0),MATCH(L$1,'Master data'!$B$1:$CL$1,0)),"")</f>
        <v>-98.073622710661596</v>
      </c>
      <c r="M451" s="5">
        <f>IFERROR(INDEX('Master data'!$B$2:$CL$1000,MATCH($B451,'Master data'!$A$2:$A$1000,0),MATCH(M$1,'Master data'!$B$1:$CL$1,0)),"")</f>
        <v>67222.246391157314</v>
      </c>
      <c r="N451" s="28">
        <f>IFERROR(INDEX('Master data'!$B$2:$CL$1000,MATCH($B451,'Master data'!$A$2:$A$1000,0),MATCH(N$1,'Master data'!$B$1:$CL$1,0)),"")</f>
        <v>3.0447824680534426E-2</v>
      </c>
      <c r="O451" s="7">
        <f>IFERROR(INDEX('Master data'!$B$2:$CL$1000,MATCH($B451,'Master data'!$A$2:$A$1000,0),MATCH(O$1,'Master data'!$B$1:$CL$1,0)),"")</f>
        <v>0</v>
      </c>
      <c r="P451" s="5">
        <f>IFERROR(INDEX('Master data'!$B$2:$CL$1000,MATCH($B451,'Master data'!$A$2:$A$1000,0),MATCH(P$1,'Master data'!$B$1:$CL$1,0)),"")</f>
        <v>3000000</v>
      </c>
      <c r="Q451" s="5">
        <f>IFERROR(INDEX('Master data'!$B$2:$CL$1000,MATCH($B451,'Master data'!$A$2:$A$1000,0),MATCH(Q$1,'Master data'!$B$1:$CL$1,0)),"")</f>
        <v>3000000</v>
      </c>
    </row>
    <row r="452" spans="1:17" hidden="1">
      <c r="A452">
        <f t="shared" si="7"/>
        <v>450</v>
      </c>
      <c r="B452" t="str">
        <f>IF('Master data'!A452="","",'Master data'!A452)</f>
        <v>Silvan Widmer</v>
      </c>
      <c r="C452" t="str">
        <f>IFERROR(INDEX('Master data'!$B$2:$CL$1000,MATCH($B452,'Master data'!$A$2:$A$1000,0),MATCH(C$1,'Master data'!$B$1:$CL$1,0)),"")</f>
        <v>Switzerland</v>
      </c>
      <c r="D452" t="str">
        <f>IFERROR(INDEX('Master data'!$B$2:$CL$1000,MATCH($B452,'Master data'!$A$2:$A$1000,0),MATCH(D$1,'Master data'!$B$1:$CL$1,0)),"")</f>
        <v>Defense</v>
      </c>
      <c r="E452" s="5">
        <f>IFERROR(INDEX('Master data'!$B$2:$CL$1000,MATCH($B452,'Master data'!$A$2:$A$1000,0),MATCH(E$1,'Master data'!$B$1:$CL$1,0)),"")</f>
        <v>2500000</v>
      </c>
      <c r="F452" s="7">
        <f>IFERROR(INDEX('Master data'!$B$2:$CL$1000,MATCH($B452,'Master data'!$A$2:$A$1000,0),MATCH(F$1,'Master data'!$B$1:$CL$1,0)),"")</f>
        <v>15856.639937414435</v>
      </c>
      <c r="G452" s="7">
        <f>IFERROR(INDEX('Master data'!$B$2:$CL$1000,MATCH($B452,'Master data'!$A$2:$A$1000,0),MATCH(G$1,'Master data'!$B$1:$CL$1,0)),"")</f>
        <v>5937.3903336530748</v>
      </c>
      <c r="H452" s="7">
        <f>IFERROR(INDEX('Master data'!$B$2:$CL$1000,MATCH($B452,'Master data'!$A$2:$A$1000,0),MATCH(H$1,'Master data'!$B$1:$CL$1,0)),"")</f>
        <v>9692.4749494427251</v>
      </c>
      <c r="I452" s="7">
        <f>IFERROR(INDEX('Master data'!$B$2:$CL$1000,MATCH($B452,'Master data'!$A$2:$A$1000,0),MATCH(I$1,'Master data'!$B$1:$CL$1,0)),"")</f>
        <v>-9461.2637810964134</v>
      </c>
      <c r="J452" s="7">
        <f>IFERROR(INDEX('Master data'!$B$2:$CL$1000,MATCH($B452,'Master data'!$A$2:$A$1000,0),MATCH(J$1,'Master data'!$B$1:$CL$1,0)),"")</f>
        <v>-4697.1004203319608</v>
      </c>
      <c r="K452" s="7">
        <f>IFERROR(INDEX('Master data'!$B$2:$CL$1000,MATCH($B452,'Master data'!$A$2:$A$1000,0),MATCH(K$1,'Master data'!$B$1:$CL$1,0)),"")</f>
        <v>-2301.530728987294</v>
      </c>
      <c r="L452" s="7">
        <f>IFERROR(INDEX('Master data'!$B$2:$CL$1000,MATCH($B452,'Master data'!$A$2:$A$1000,0),MATCH(L$1,'Master data'!$B$1:$CL$1,0)),"")</f>
        <v>-1076.3019463117719</v>
      </c>
      <c r="M452" s="5">
        <f>IFERROR(INDEX('Master data'!$B$2:$CL$1000,MATCH($B452,'Master data'!$A$2:$A$1000,0),MATCH(M$1,'Master data'!$B$1:$CL$1,0)),"")</f>
        <v>19993.934689106449</v>
      </c>
      <c r="N452" s="28">
        <f>IFERROR(INDEX('Master data'!$B$2:$CL$1000,MATCH($B452,'Master data'!$A$2:$A$1000,0),MATCH(N$1,'Master data'!$B$1:$CL$1,0)),"")</f>
        <v>1.2594602088204093E-2</v>
      </c>
      <c r="O452" s="7">
        <f>IFERROR(INDEX('Master data'!$B$2:$CL$1000,MATCH($B452,'Master data'!$A$2:$A$1000,0),MATCH(O$1,'Master data'!$B$1:$CL$1,0)),"")</f>
        <v>0</v>
      </c>
      <c r="P452" s="5">
        <f>IFERROR(INDEX('Master data'!$B$2:$CL$1000,MATCH($B452,'Master data'!$A$2:$A$1000,0),MATCH(P$1,'Master data'!$B$1:$CL$1,0)),"")</f>
        <v>2500000</v>
      </c>
      <c r="Q452" s="5">
        <f>IFERROR(INDEX('Master data'!$B$2:$CL$1000,MATCH($B452,'Master data'!$A$2:$A$1000,0),MATCH(Q$1,'Master data'!$B$1:$CL$1,0)),"")</f>
        <v>2500000</v>
      </c>
    </row>
    <row r="453" spans="1:17" hidden="1">
      <c r="A453">
        <f t="shared" si="7"/>
        <v>451</v>
      </c>
      <c r="B453" t="str">
        <f>IF('Master data'!A453="","",'Master data'!A453)</f>
        <v>Jordan Lotomba</v>
      </c>
      <c r="C453" t="str">
        <f>IFERROR(INDEX('Master data'!$B$2:$CL$1000,MATCH($B453,'Master data'!$A$2:$A$1000,0),MATCH(C$1,'Master data'!$B$1:$CL$1,0)),"")</f>
        <v>Switzerland</v>
      </c>
      <c r="D453" t="str">
        <f>IFERROR(INDEX('Master data'!$B$2:$CL$1000,MATCH($B453,'Master data'!$A$2:$A$1000,0),MATCH(D$1,'Master data'!$B$1:$CL$1,0)),"")</f>
        <v>Defense</v>
      </c>
      <c r="E453" s="5">
        <f>IFERROR(INDEX('Master data'!$B$2:$CL$1000,MATCH($B453,'Master data'!$A$2:$A$1000,0),MATCH(E$1,'Master data'!$B$1:$CL$1,0)),"")</f>
        <v>2000000</v>
      </c>
      <c r="F453" s="7">
        <f>IFERROR(INDEX('Master data'!$B$2:$CL$1000,MATCH($B453,'Master data'!$A$2:$A$1000,0),MATCH(F$1,'Master data'!$B$1:$CL$1,0)),"")</f>
        <v>15856.639937414435</v>
      </c>
      <c r="G453" s="7">
        <f>IFERROR(INDEX('Master data'!$B$2:$CL$1000,MATCH($B453,'Master data'!$A$2:$A$1000,0),MATCH(G$1,'Master data'!$B$1:$CL$1,0)),"")</f>
        <v>5937.3903336530748</v>
      </c>
      <c r="H453" s="7">
        <f>IFERROR(INDEX('Master data'!$B$2:$CL$1000,MATCH($B453,'Master data'!$A$2:$A$1000,0),MATCH(H$1,'Master data'!$B$1:$CL$1,0)),"")</f>
        <v>9692.4749494427251</v>
      </c>
      <c r="I453" s="7">
        <f>IFERROR(INDEX('Master data'!$B$2:$CL$1000,MATCH($B453,'Master data'!$A$2:$A$1000,0),MATCH(I$1,'Master data'!$B$1:$CL$1,0)),"")</f>
        <v>-6269.0673345011737</v>
      </c>
      <c r="J453" s="7">
        <f>IFERROR(INDEX('Master data'!$B$2:$CL$1000,MATCH($B453,'Master data'!$A$2:$A$1000,0),MATCH(J$1,'Master data'!$B$1:$CL$1,0)),"")</f>
        <v>-3123.4605673587766</v>
      </c>
      <c r="K453" s="7">
        <f>IFERROR(INDEX('Master data'!$B$2:$CL$1000,MATCH($B453,'Master data'!$A$2:$A$1000,0),MATCH(K$1,'Master data'!$B$1:$CL$1,0)),"")</f>
        <v>-1535.8480922178169</v>
      </c>
      <c r="L453" s="7">
        <f>IFERROR(INDEX('Master data'!$B$2:$CL$1000,MATCH($B453,'Master data'!$A$2:$A$1000,0),MATCH(L$1,'Master data'!$B$1:$CL$1,0)),"")</f>
        <v>-720.71660677278692</v>
      </c>
      <c r="M453" s="5">
        <f>IFERROR(INDEX('Master data'!$B$2:$CL$1000,MATCH($B453,'Master data'!$A$2:$A$1000,0),MATCH(M$1,'Master data'!$B$1:$CL$1,0)),"")</f>
        <v>21382.661117299966</v>
      </c>
      <c r="N453" s="28">
        <f>IFERROR(INDEX('Master data'!$B$2:$CL$1000,MATCH($B453,'Master data'!$A$2:$A$1000,0),MATCH(N$1,'Master data'!$B$1:$CL$1,0)),"")</f>
        <v>1.5743252610255117E-2</v>
      </c>
      <c r="O453" s="7">
        <f>IFERROR(INDEX('Master data'!$B$2:$CL$1000,MATCH($B453,'Master data'!$A$2:$A$1000,0),MATCH(O$1,'Master data'!$B$1:$CL$1,0)),"")</f>
        <v>0</v>
      </c>
      <c r="P453" s="5">
        <f>IFERROR(INDEX('Master data'!$B$2:$CL$1000,MATCH($B453,'Master data'!$A$2:$A$1000,0),MATCH(P$1,'Master data'!$B$1:$CL$1,0)),"")</f>
        <v>2000000</v>
      </c>
      <c r="Q453" s="5">
        <f>IFERROR(INDEX('Master data'!$B$2:$CL$1000,MATCH($B453,'Master data'!$A$2:$A$1000,0),MATCH(Q$1,'Master data'!$B$1:$CL$1,0)),"")</f>
        <v>2000000</v>
      </c>
    </row>
    <row r="454" spans="1:17" hidden="1">
      <c r="A454">
        <f t="shared" si="7"/>
        <v>452</v>
      </c>
      <c r="B454" t="str">
        <f>IF('Master data'!A454="","",'Master data'!A454)</f>
        <v>Eray Cömert</v>
      </c>
      <c r="C454" t="str">
        <f>IFERROR(INDEX('Master data'!$B$2:$CL$1000,MATCH($B454,'Master data'!$A$2:$A$1000,0),MATCH(C$1,'Master data'!$B$1:$CL$1,0)),"")</f>
        <v>Switzerland</v>
      </c>
      <c r="D454" t="str">
        <f>IFERROR(INDEX('Master data'!$B$2:$CL$1000,MATCH($B454,'Master data'!$A$2:$A$1000,0),MATCH(D$1,'Master data'!$B$1:$CL$1,0)),"")</f>
        <v>Defense</v>
      </c>
      <c r="E454" s="5">
        <f>IFERROR(INDEX('Master data'!$B$2:$CL$1000,MATCH($B454,'Master data'!$A$2:$A$1000,0),MATCH(E$1,'Master data'!$B$1:$CL$1,0)),"")</f>
        <v>2000000</v>
      </c>
      <c r="F454" s="7">
        <f>IFERROR(INDEX('Master data'!$B$2:$CL$1000,MATCH($B454,'Master data'!$A$2:$A$1000,0),MATCH(F$1,'Master data'!$B$1:$CL$1,0)),"")</f>
        <v>15856.639937414435</v>
      </c>
      <c r="G454" s="7">
        <f>IFERROR(INDEX('Master data'!$B$2:$CL$1000,MATCH($B454,'Master data'!$A$2:$A$1000,0),MATCH(G$1,'Master data'!$B$1:$CL$1,0)),"")</f>
        <v>5937.3903336530748</v>
      </c>
      <c r="H454" s="7">
        <f>IFERROR(INDEX('Master data'!$B$2:$CL$1000,MATCH($B454,'Master data'!$A$2:$A$1000,0),MATCH(H$1,'Master data'!$B$1:$CL$1,0)),"")</f>
        <v>9692.4749494427251</v>
      </c>
      <c r="I454" s="7">
        <f>IFERROR(INDEX('Master data'!$B$2:$CL$1000,MATCH($B454,'Master data'!$A$2:$A$1000,0),MATCH(I$1,'Master data'!$B$1:$CL$1,0)),"")</f>
        <v>-6269.0673345011737</v>
      </c>
      <c r="J454" s="7">
        <f>IFERROR(INDEX('Master data'!$B$2:$CL$1000,MATCH($B454,'Master data'!$A$2:$A$1000,0),MATCH(J$1,'Master data'!$B$1:$CL$1,0)),"")</f>
        <v>-3123.4605673587766</v>
      </c>
      <c r="K454" s="7">
        <f>IFERROR(INDEX('Master data'!$B$2:$CL$1000,MATCH($B454,'Master data'!$A$2:$A$1000,0),MATCH(K$1,'Master data'!$B$1:$CL$1,0)),"")</f>
        <v>-1535.8480922178169</v>
      </c>
      <c r="L454" s="7">
        <f>IFERROR(INDEX('Master data'!$B$2:$CL$1000,MATCH($B454,'Master data'!$A$2:$A$1000,0),MATCH(L$1,'Master data'!$B$1:$CL$1,0)),"")</f>
        <v>-720.71660677278692</v>
      </c>
      <c r="M454" s="5">
        <f>IFERROR(INDEX('Master data'!$B$2:$CL$1000,MATCH($B454,'Master data'!$A$2:$A$1000,0),MATCH(M$1,'Master data'!$B$1:$CL$1,0)),"")</f>
        <v>21382.661117299966</v>
      </c>
      <c r="N454" s="28">
        <f>IFERROR(INDEX('Master data'!$B$2:$CL$1000,MATCH($B454,'Master data'!$A$2:$A$1000,0),MATCH(N$1,'Master data'!$B$1:$CL$1,0)),"")</f>
        <v>1.5743252610255117E-2</v>
      </c>
      <c r="O454" s="7">
        <f>IFERROR(INDEX('Master data'!$B$2:$CL$1000,MATCH($B454,'Master data'!$A$2:$A$1000,0),MATCH(O$1,'Master data'!$B$1:$CL$1,0)),"")</f>
        <v>0</v>
      </c>
      <c r="P454" s="5">
        <f>IFERROR(INDEX('Master data'!$B$2:$CL$1000,MATCH($B454,'Master data'!$A$2:$A$1000,0),MATCH(P$1,'Master data'!$B$1:$CL$1,0)),"")</f>
        <v>2000000</v>
      </c>
      <c r="Q454" s="5">
        <f>IFERROR(INDEX('Master data'!$B$2:$CL$1000,MATCH($B454,'Master data'!$A$2:$A$1000,0),MATCH(Q$1,'Master data'!$B$1:$CL$1,0)),"")</f>
        <v>2000000</v>
      </c>
    </row>
    <row r="455" spans="1:17" hidden="1">
      <c r="A455">
        <f t="shared" si="7"/>
        <v>453</v>
      </c>
      <c r="B455" t="str">
        <f>IF('Master data'!A455="","",'Master data'!A455)</f>
        <v>Nico Elvedi</v>
      </c>
      <c r="C455" t="str">
        <f>IFERROR(INDEX('Master data'!$B$2:$CL$1000,MATCH($B455,'Master data'!$A$2:$A$1000,0),MATCH(C$1,'Master data'!$B$1:$CL$1,0)),"")</f>
        <v>Switzerland</v>
      </c>
      <c r="D455" t="str">
        <f>IFERROR(INDEX('Master data'!$B$2:$CL$1000,MATCH($B455,'Master data'!$A$2:$A$1000,0),MATCH(D$1,'Master data'!$B$1:$CL$1,0)),"")</f>
        <v>Defense</v>
      </c>
      <c r="E455" s="5">
        <f>IFERROR(INDEX('Master data'!$B$2:$CL$1000,MATCH($B455,'Master data'!$A$2:$A$1000,0),MATCH(E$1,'Master data'!$B$1:$CL$1,0)),"")</f>
        <v>3000000</v>
      </c>
      <c r="F455" s="7">
        <f>IFERROR(INDEX('Master data'!$B$2:$CL$1000,MATCH($B455,'Master data'!$A$2:$A$1000,0),MATCH(F$1,'Master data'!$B$1:$CL$1,0)),"")</f>
        <v>54470.694686379735</v>
      </c>
      <c r="G455" s="7">
        <f>IFERROR(INDEX('Master data'!$B$2:$CL$1000,MATCH($B455,'Master data'!$A$2:$A$1000,0),MATCH(G$1,'Master data'!$B$1:$CL$1,0)),"")</f>
        <v>19720.14435878877</v>
      </c>
      <c r="H455" s="7">
        <f>IFERROR(INDEX('Master data'!$B$2:$CL$1000,MATCH($B455,'Master data'!$A$2:$A$1000,0),MATCH(H$1,'Master data'!$B$1:$CL$1,0)),"")</f>
        <v>47950.720130151145</v>
      </c>
      <c r="I455" s="7">
        <f>IFERROR(INDEX('Master data'!$B$2:$CL$1000,MATCH($B455,'Master data'!$A$2:$A$1000,0),MATCH(I$1,'Master data'!$B$1:$CL$1,0)),"")</f>
        <v>6060.3450301369503</v>
      </c>
      <c r="J455" s="7">
        <f>IFERROR(INDEX('Master data'!$B$2:$CL$1000,MATCH($B455,'Master data'!$A$2:$A$1000,0),MATCH(J$1,'Master data'!$B$1:$CL$1,0)),"")</f>
        <v>2859.3976964050848</v>
      </c>
      <c r="K455" s="7">
        <f>IFERROR(INDEX('Master data'!$B$2:$CL$1000,MATCH($B455,'Master data'!$A$2:$A$1000,0),MATCH(K$1,'Master data'!$B$1:$CL$1,0)),"")</f>
        <v>1328.9433483210826</v>
      </c>
      <c r="L455" s="7">
        <f>IFERROR(INDEX('Master data'!$B$2:$CL$1000,MATCH($B455,'Master data'!$A$2:$A$1000,0),MATCH(L$1,'Master data'!$B$1:$CL$1,0)),"")</f>
        <v>588.21082434651896</v>
      </c>
      <c r="M455" s="5">
        <f>IFERROR(INDEX('Master data'!$B$2:$CL$1000,MATCH($B455,'Master data'!$A$2:$A$1000,0),MATCH(M$1,'Master data'!$B$1:$CL$1,0)),"")</f>
        <v>91516.010639094733</v>
      </c>
      <c r="N455" s="28">
        <f>IFERROR(INDEX('Master data'!$B$2:$CL$1000,MATCH($B455,'Master data'!$A$2:$A$1000,0),MATCH(N$1,'Master data'!$B$1:$CL$1,0)),"")</f>
        <v>4.0713853058439886E-2</v>
      </c>
      <c r="O455" s="7">
        <f>IFERROR(INDEX('Master data'!$B$2:$CL$1000,MATCH($B455,'Master data'!$A$2:$A$1000,0),MATCH(O$1,'Master data'!$B$1:$CL$1,0)),"")</f>
        <v>0</v>
      </c>
      <c r="P455" s="5">
        <f>IFERROR(INDEX('Master data'!$B$2:$CL$1000,MATCH($B455,'Master data'!$A$2:$A$1000,0),MATCH(P$1,'Master data'!$B$1:$CL$1,0)),"")</f>
        <v>3000000</v>
      </c>
      <c r="Q455" s="5">
        <f>IFERROR(INDEX('Master data'!$B$2:$CL$1000,MATCH($B455,'Master data'!$A$2:$A$1000,0),MATCH(Q$1,'Master data'!$B$1:$CL$1,0)),"")</f>
        <v>3000000</v>
      </c>
    </row>
    <row r="456" spans="1:17" hidden="1">
      <c r="A456">
        <f t="shared" si="7"/>
        <v>454</v>
      </c>
      <c r="B456" t="str">
        <f>IF('Master data'!A456="","",'Master data'!A456)</f>
        <v>Loris Benito</v>
      </c>
      <c r="C456" t="str">
        <f>IFERROR(INDEX('Master data'!$B$2:$CL$1000,MATCH($B456,'Master data'!$A$2:$A$1000,0),MATCH(C$1,'Master data'!$B$1:$CL$1,0)),"")</f>
        <v>Switzerland</v>
      </c>
      <c r="D456" t="str">
        <f>IFERROR(INDEX('Master data'!$B$2:$CL$1000,MATCH($B456,'Master data'!$A$2:$A$1000,0),MATCH(D$1,'Master data'!$B$1:$CL$1,0)),"")</f>
        <v>Defense</v>
      </c>
      <c r="E456" s="5">
        <f>IFERROR(INDEX('Master data'!$B$2:$CL$1000,MATCH($B456,'Master data'!$A$2:$A$1000,0),MATCH(E$1,'Master data'!$B$1:$CL$1,0)),"")</f>
        <v>3000000</v>
      </c>
      <c r="F456" s="7">
        <f>IFERROR(INDEX('Master data'!$B$2:$CL$1000,MATCH($B456,'Master data'!$A$2:$A$1000,0),MATCH(F$1,'Master data'!$B$1:$CL$1,0)),"")</f>
        <v>15856.639937414435</v>
      </c>
      <c r="G456" s="7">
        <f>IFERROR(INDEX('Master data'!$B$2:$CL$1000,MATCH($B456,'Master data'!$A$2:$A$1000,0),MATCH(G$1,'Master data'!$B$1:$CL$1,0)),"")</f>
        <v>5937.3903336530748</v>
      </c>
      <c r="H456" s="7">
        <f>IFERROR(INDEX('Master data'!$B$2:$CL$1000,MATCH($B456,'Master data'!$A$2:$A$1000,0),MATCH(H$1,'Master data'!$B$1:$CL$1,0)),"")</f>
        <v>9692.4749494427251</v>
      </c>
      <c r="I456" s="7">
        <f>IFERROR(INDEX('Master data'!$B$2:$CL$1000,MATCH($B456,'Master data'!$A$2:$A$1000,0),MATCH(I$1,'Master data'!$B$1:$CL$1,0)),"")</f>
        <v>-12653.460227691652</v>
      </c>
      <c r="J456" s="7">
        <f>IFERROR(INDEX('Master data'!$B$2:$CL$1000,MATCH($B456,'Master data'!$A$2:$A$1000,0),MATCH(J$1,'Master data'!$B$1:$CL$1,0)),"")</f>
        <v>-6270.7402733051449</v>
      </c>
      <c r="K456" s="7">
        <f>IFERROR(INDEX('Master data'!$B$2:$CL$1000,MATCH($B456,'Master data'!$A$2:$A$1000,0),MATCH(K$1,'Master data'!$B$1:$CL$1,0)),"")</f>
        <v>-3067.2133657567706</v>
      </c>
      <c r="L456" s="7">
        <f>IFERROR(INDEX('Master data'!$B$2:$CL$1000,MATCH($B456,'Master data'!$A$2:$A$1000,0),MATCH(L$1,'Master data'!$B$1:$CL$1,0)),"")</f>
        <v>-1431.8872858507566</v>
      </c>
      <c r="M456" s="5">
        <f>IFERROR(INDEX('Master data'!$B$2:$CL$1000,MATCH($B456,'Master data'!$A$2:$A$1000,0),MATCH(M$1,'Master data'!$B$1:$CL$1,0)),"")</f>
        <v>18605.208260912925</v>
      </c>
      <c r="N456" s="28">
        <f>IFERROR(INDEX('Master data'!$B$2:$CL$1000,MATCH($B456,'Master data'!$A$2:$A$1000,0),MATCH(N$1,'Master data'!$B$1:$CL$1,0)),"")</f>
        <v>1.0495501740170077E-2</v>
      </c>
      <c r="O456" s="7">
        <f>IFERROR(INDEX('Master data'!$B$2:$CL$1000,MATCH($B456,'Master data'!$A$2:$A$1000,0),MATCH(O$1,'Master data'!$B$1:$CL$1,0)),"")</f>
        <v>0</v>
      </c>
      <c r="P456" s="5">
        <f>IFERROR(INDEX('Master data'!$B$2:$CL$1000,MATCH($B456,'Master data'!$A$2:$A$1000,0),MATCH(P$1,'Master data'!$B$1:$CL$1,0)),"")</f>
        <v>3000000</v>
      </c>
      <c r="Q456" s="5">
        <f>IFERROR(INDEX('Master data'!$B$2:$CL$1000,MATCH($B456,'Master data'!$A$2:$A$1000,0),MATCH(Q$1,'Master data'!$B$1:$CL$1,0)),"")</f>
        <v>3000000</v>
      </c>
    </row>
    <row r="457" spans="1:17" hidden="1">
      <c r="A457">
        <f t="shared" si="7"/>
        <v>455</v>
      </c>
      <c r="B457" t="str">
        <f>IF('Master data'!A457="","",'Master data'!A457)</f>
        <v>Christian Fassnacht</v>
      </c>
      <c r="C457" t="str">
        <f>IFERROR(INDEX('Master data'!$B$2:$CL$1000,MATCH($B457,'Master data'!$A$2:$A$1000,0),MATCH(C$1,'Master data'!$B$1:$CL$1,0)),"")</f>
        <v>Switzerland</v>
      </c>
      <c r="D457" t="str">
        <f>IFERROR(INDEX('Master data'!$B$2:$CL$1000,MATCH($B457,'Master data'!$A$2:$A$1000,0),MATCH(D$1,'Master data'!$B$1:$CL$1,0)),"")</f>
        <v>Midfield</v>
      </c>
      <c r="E457" s="5">
        <f>IFERROR(INDEX('Master data'!$B$2:$CL$1000,MATCH($B457,'Master data'!$A$2:$A$1000,0),MATCH(E$1,'Master data'!$B$1:$CL$1,0)),"")</f>
        <v>2500000</v>
      </c>
      <c r="F457" s="7">
        <f>IFERROR(INDEX('Master data'!$B$2:$CL$1000,MATCH($B457,'Master data'!$A$2:$A$1000,0),MATCH(F$1,'Master data'!$B$1:$CL$1,0)),"")</f>
        <v>-5000</v>
      </c>
      <c r="G457" s="7">
        <f>IFERROR(INDEX('Master data'!$B$2:$CL$1000,MATCH($B457,'Master data'!$A$2:$A$1000,0),MATCH(G$1,'Master data'!$B$1:$CL$1,0)),"")</f>
        <v>-5000</v>
      </c>
      <c r="H457" s="7">
        <f>IFERROR(INDEX('Master data'!$B$2:$CL$1000,MATCH($B457,'Master data'!$A$2:$A$1000,0),MATCH(H$1,'Master data'!$B$1:$CL$1,0)),"")</f>
        <v>-5000</v>
      </c>
      <c r="I457" s="7">
        <f>IFERROR(INDEX('Master data'!$B$2:$CL$1000,MATCH($B457,'Master data'!$A$2:$A$1000,0),MATCH(I$1,'Master data'!$B$1:$CL$1,0)),"")</f>
        <v>-19057.412786173576</v>
      </c>
      <c r="J457" s="7">
        <f>IFERROR(INDEX('Master data'!$B$2:$CL$1000,MATCH($B457,'Master data'!$A$2:$A$1000,0),MATCH(J$1,'Master data'!$B$1:$CL$1,0)),"")</f>
        <v>-9378.8935237201767</v>
      </c>
      <c r="K457" s="7">
        <f>IFERROR(INDEX('Master data'!$B$2:$CL$1000,MATCH($B457,'Master data'!$A$2:$A$1000,0),MATCH(K$1,'Master data'!$B$1:$CL$1,0)),"")</f>
        <v>-4555.8116887783881</v>
      </c>
      <c r="L457" s="7">
        <f>IFERROR(INDEX('Master data'!$B$2:$CL$1000,MATCH($B457,'Master data'!$A$2:$A$1000,0),MATCH(L$1,'Master data'!$B$1:$CL$1,0)),"")</f>
        <v>-2112.1769168615692</v>
      </c>
      <c r="M457" s="5">
        <f>IFERROR(INDEX('Master data'!$B$2:$CL$1000,MATCH($B457,'Master data'!$A$2:$A$1000,0),MATCH(M$1,'Master data'!$B$1:$CL$1,0)),"")</f>
        <v>-18840.190773705162</v>
      </c>
      <c r="N457" s="28">
        <f>IFERROR(INDEX('Master data'!$B$2:$CL$1000,MATCH($B457,'Master data'!$A$2:$A$1000,0),MATCH(N$1,'Master data'!$B$1:$CL$1,0)),"")</f>
        <v>-6.0000000000000001E-3</v>
      </c>
      <c r="O457" s="7">
        <f>IFERROR(INDEX('Master data'!$B$2:$CL$1000,MATCH($B457,'Master data'!$A$2:$A$1000,0),MATCH(O$1,'Master data'!$B$1:$CL$1,0)),"")</f>
        <v>0</v>
      </c>
      <c r="P457" s="5">
        <f>IFERROR(INDEX('Master data'!$B$2:$CL$1000,MATCH($B457,'Master data'!$A$2:$A$1000,0),MATCH(P$1,'Master data'!$B$1:$CL$1,0)),"")</f>
        <v>2500000</v>
      </c>
      <c r="Q457" s="5">
        <f>IFERROR(INDEX('Master data'!$B$2:$CL$1000,MATCH($B457,'Master data'!$A$2:$A$1000,0),MATCH(Q$1,'Master data'!$B$1:$CL$1,0)),"")</f>
        <v>2500000</v>
      </c>
    </row>
    <row r="458" spans="1:17" hidden="1">
      <c r="A458">
        <f t="shared" si="7"/>
        <v>456</v>
      </c>
      <c r="B458" t="str">
        <f>IF('Master data'!A458="","",'Master data'!A458)</f>
        <v>Edimilson Fernandes</v>
      </c>
      <c r="C458" t="str">
        <f>IFERROR(INDEX('Master data'!$B$2:$CL$1000,MATCH($B458,'Master data'!$A$2:$A$1000,0),MATCH(C$1,'Master data'!$B$1:$CL$1,0)),"")</f>
        <v>Switzerland</v>
      </c>
      <c r="D458" t="str">
        <f>IFERROR(INDEX('Master data'!$B$2:$CL$1000,MATCH($B458,'Master data'!$A$2:$A$1000,0),MATCH(D$1,'Master data'!$B$1:$CL$1,0)),"")</f>
        <v>Midfield</v>
      </c>
      <c r="E458" s="5">
        <f>IFERROR(INDEX('Master data'!$B$2:$CL$1000,MATCH($B458,'Master data'!$A$2:$A$1000,0),MATCH(E$1,'Master data'!$B$1:$CL$1,0)),"")</f>
        <v>3500000</v>
      </c>
      <c r="F458" s="7">
        <f>IFERROR(INDEX('Master data'!$B$2:$CL$1000,MATCH($B458,'Master data'!$A$2:$A$1000,0),MATCH(F$1,'Master data'!$B$1:$CL$1,0)),"")</f>
        <v>-5000</v>
      </c>
      <c r="G458" s="7">
        <f>IFERROR(INDEX('Master data'!$B$2:$CL$1000,MATCH($B458,'Master data'!$A$2:$A$1000,0),MATCH(G$1,'Master data'!$B$1:$CL$1,0)),"")</f>
        <v>-5000</v>
      </c>
      <c r="H458" s="7">
        <f>IFERROR(INDEX('Master data'!$B$2:$CL$1000,MATCH($B458,'Master data'!$A$2:$A$1000,0),MATCH(H$1,'Master data'!$B$1:$CL$1,0)),"")</f>
        <v>-5000</v>
      </c>
      <c r="I458" s="7">
        <f>IFERROR(INDEX('Master data'!$B$2:$CL$1000,MATCH($B458,'Master data'!$A$2:$A$1000,0),MATCH(I$1,'Master data'!$B$1:$CL$1,0)),"")</f>
        <v>-25441.805679364054</v>
      </c>
      <c r="J458" s="7">
        <f>IFERROR(INDEX('Master data'!$B$2:$CL$1000,MATCH($B458,'Master data'!$A$2:$A$1000,0),MATCH(J$1,'Master data'!$B$1:$CL$1,0)),"")</f>
        <v>-12526.173229666545</v>
      </c>
      <c r="K458" s="7">
        <f>IFERROR(INDEX('Master data'!$B$2:$CL$1000,MATCH($B458,'Master data'!$A$2:$A$1000,0),MATCH(K$1,'Master data'!$B$1:$CL$1,0)),"")</f>
        <v>-6087.1769623173423</v>
      </c>
      <c r="L458" s="7">
        <f>IFERROR(INDEX('Master data'!$B$2:$CL$1000,MATCH($B458,'Master data'!$A$2:$A$1000,0),MATCH(L$1,'Master data'!$B$1:$CL$1,0)),"")</f>
        <v>-2823.3475959395387</v>
      </c>
      <c r="M458" s="5">
        <f>IFERROR(INDEX('Master data'!$B$2:$CL$1000,MATCH($B458,'Master data'!$A$2:$A$1000,0),MATCH(M$1,'Master data'!$B$1:$CL$1,0)),"")</f>
        <v>-21617.643630092196</v>
      </c>
      <c r="N458" s="28">
        <f>IFERROR(INDEX('Master data'!$B$2:$CL$1000,MATCH($B458,'Master data'!$A$2:$A$1000,0),MATCH(N$1,'Master data'!$B$1:$CL$1,0)),"")</f>
        <v>-4.2857142857142859E-3</v>
      </c>
      <c r="O458" s="7">
        <f>IFERROR(INDEX('Master data'!$B$2:$CL$1000,MATCH($B458,'Master data'!$A$2:$A$1000,0),MATCH(O$1,'Master data'!$B$1:$CL$1,0)),"")</f>
        <v>0</v>
      </c>
      <c r="P458" s="5">
        <f>IFERROR(INDEX('Master data'!$B$2:$CL$1000,MATCH($B458,'Master data'!$A$2:$A$1000,0),MATCH(P$1,'Master data'!$B$1:$CL$1,0)),"")</f>
        <v>3500000</v>
      </c>
      <c r="Q458" s="5">
        <f>IFERROR(INDEX('Master data'!$B$2:$CL$1000,MATCH($B458,'Master data'!$A$2:$A$1000,0),MATCH(Q$1,'Master data'!$B$1:$CL$1,0)),"")</f>
        <v>3500000</v>
      </c>
    </row>
    <row r="459" spans="1:17" hidden="1">
      <c r="A459">
        <f t="shared" si="7"/>
        <v>457</v>
      </c>
      <c r="B459" t="str">
        <f>IF('Master data'!A459="","",'Master data'!A459)</f>
        <v>Denis Zakaria</v>
      </c>
      <c r="C459" t="str">
        <f>IFERROR(INDEX('Master data'!$B$2:$CL$1000,MATCH($B459,'Master data'!$A$2:$A$1000,0),MATCH(C$1,'Master data'!$B$1:$CL$1,0)),"")</f>
        <v>Switzerland</v>
      </c>
      <c r="D459" t="str">
        <f>IFERROR(INDEX('Master data'!$B$2:$CL$1000,MATCH($B459,'Master data'!$A$2:$A$1000,0),MATCH(D$1,'Master data'!$B$1:$CL$1,0)),"")</f>
        <v>Midfield</v>
      </c>
      <c r="E459" s="5">
        <f>IFERROR(INDEX('Master data'!$B$2:$CL$1000,MATCH($B459,'Master data'!$A$2:$A$1000,0),MATCH(E$1,'Master data'!$B$1:$CL$1,0)),"")</f>
        <v>3000000</v>
      </c>
      <c r="F459" s="7">
        <f>IFERROR(INDEX('Master data'!$B$2:$CL$1000,MATCH($B459,'Master data'!$A$2:$A$1000,0),MATCH(F$1,'Master data'!$B$1:$CL$1,0)),"")</f>
        <v>-5000</v>
      </c>
      <c r="G459" s="7">
        <f>IFERROR(INDEX('Master data'!$B$2:$CL$1000,MATCH($B459,'Master data'!$A$2:$A$1000,0),MATCH(G$1,'Master data'!$B$1:$CL$1,0)),"")</f>
        <v>-5000</v>
      </c>
      <c r="H459" s="7">
        <f>IFERROR(INDEX('Master data'!$B$2:$CL$1000,MATCH($B459,'Master data'!$A$2:$A$1000,0),MATCH(H$1,'Master data'!$B$1:$CL$1,0)),"")</f>
        <v>-5000</v>
      </c>
      <c r="I459" s="7">
        <f>IFERROR(INDEX('Master data'!$B$2:$CL$1000,MATCH($B459,'Master data'!$A$2:$A$1000,0),MATCH(I$1,'Master data'!$B$1:$CL$1,0)),"")</f>
        <v>-22249.609232768817</v>
      </c>
      <c r="J459" s="7">
        <f>IFERROR(INDEX('Master data'!$B$2:$CL$1000,MATCH($B459,'Master data'!$A$2:$A$1000,0),MATCH(J$1,'Master data'!$B$1:$CL$1,0)),"")</f>
        <v>-10952.533376693362</v>
      </c>
      <c r="K459" s="7">
        <f>IFERROR(INDEX('Master data'!$B$2:$CL$1000,MATCH($B459,'Master data'!$A$2:$A$1000,0),MATCH(K$1,'Master data'!$B$1:$CL$1,0)),"")</f>
        <v>-5321.4943255478656</v>
      </c>
      <c r="L459" s="7">
        <f>IFERROR(INDEX('Master data'!$B$2:$CL$1000,MATCH($B459,'Master data'!$A$2:$A$1000,0),MATCH(L$1,'Master data'!$B$1:$CL$1,0)),"")</f>
        <v>-2467.7622564005537</v>
      </c>
      <c r="M459" s="5">
        <f>IFERROR(INDEX('Master data'!$B$2:$CL$1000,MATCH($B459,'Master data'!$A$2:$A$1000,0),MATCH(M$1,'Master data'!$B$1:$CL$1,0)),"")</f>
        <v>-20228.917201898679</v>
      </c>
      <c r="N459" s="28">
        <f>IFERROR(INDEX('Master data'!$B$2:$CL$1000,MATCH($B459,'Master data'!$A$2:$A$1000,0),MATCH(N$1,'Master data'!$B$1:$CL$1,0)),"")</f>
        <v>-5.0000000000000001E-3</v>
      </c>
      <c r="O459" s="7">
        <f>IFERROR(INDEX('Master data'!$B$2:$CL$1000,MATCH($B459,'Master data'!$A$2:$A$1000,0),MATCH(O$1,'Master data'!$B$1:$CL$1,0)),"")</f>
        <v>0</v>
      </c>
      <c r="P459" s="5">
        <f>IFERROR(INDEX('Master data'!$B$2:$CL$1000,MATCH($B459,'Master data'!$A$2:$A$1000,0),MATCH(P$1,'Master data'!$B$1:$CL$1,0)),"")</f>
        <v>3000000</v>
      </c>
      <c r="Q459" s="5">
        <f>IFERROR(INDEX('Master data'!$B$2:$CL$1000,MATCH($B459,'Master data'!$A$2:$A$1000,0),MATCH(Q$1,'Master data'!$B$1:$CL$1,0)),"")</f>
        <v>3000000</v>
      </c>
    </row>
    <row r="460" spans="1:17" hidden="1">
      <c r="A460">
        <f t="shared" si="7"/>
        <v>458</v>
      </c>
      <c r="B460" t="str">
        <f>IF('Master data'!A460="","",'Master data'!A460)</f>
        <v>Ruben Vargas</v>
      </c>
      <c r="C460" t="str">
        <f>IFERROR(INDEX('Master data'!$B$2:$CL$1000,MATCH($B460,'Master data'!$A$2:$A$1000,0),MATCH(C$1,'Master data'!$B$1:$CL$1,0)),"")</f>
        <v>Switzerland</v>
      </c>
      <c r="D460" t="str">
        <f>IFERROR(INDEX('Master data'!$B$2:$CL$1000,MATCH($B460,'Master data'!$A$2:$A$1000,0),MATCH(D$1,'Master data'!$B$1:$CL$1,0)),"")</f>
        <v>Midfield</v>
      </c>
      <c r="E460" s="5">
        <f>IFERROR(INDEX('Master data'!$B$2:$CL$1000,MATCH($B460,'Master data'!$A$2:$A$1000,0),MATCH(E$1,'Master data'!$B$1:$CL$1,0)),"")</f>
        <v>3000000</v>
      </c>
      <c r="F460" s="7">
        <f>IFERROR(INDEX('Master data'!$B$2:$CL$1000,MATCH($B460,'Master data'!$A$2:$A$1000,0),MATCH(F$1,'Master data'!$B$1:$CL$1,0)),"")</f>
        <v>-5000</v>
      </c>
      <c r="G460" s="7">
        <f>IFERROR(INDEX('Master data'!$B$2:$CL$1000,MATCH($B460,'Master data'!$A$2:$A$1000,0),MATCH(G$1,'Master data'!$B$1:$CL$1,0)),"")</f>
        <v>-5000</v>
      </c>
      <c r="H460" s="7">
        <f>IFERROR(INDEX('Master data'!$B$2:$CL$1000,MATCH($B460,'Master data'!$A$2:$A$1000,0),MATCH(H$1,'Master data'!$B$1:$CL$1,0)),"")</f>
        <v>-5000</v>
      </c>
      <c r="I460" s="7">
        <f>IFERROR(INDEX('Master data'!$B$2:$CL$1000,MATCH($B460,'Master data'!$A$2:$A$1000,0),MATCH(I$1,'Master data'!$B$1:$CL$1,0)),"")</f>
        <v>-22249.609232768817</v>
      </c>
      <c r="J460" s="7">
        <f>IFERROR(INDEX('Master data'!$B$2:$CL$1000,MATCH($B460,'Master data'!$A$2:$A$1000,0),MATCH(J$1,'Master data'!$B$1:$CL$1,0)),"")</f>
        <v>-10952.533376693362</v>
      </c>
      <c r="K460" s="7">
        <f>IFERROR(INDEX('Master data'!$B$2:$CL$1000,MATCH($B460,'Master data'!$A$2:$A$1000,0),MATCH(K$1,'Master data'!$B$1:$CL$1,0)),"")</f>
        <v>-5321.4943255478656</v>
      </c>
      <c r="L460" s="7">
        <f>IFERROR(INDEX('Master data'!$B$2:$CL$1000,MATCH($B460,'Master data'!$A$2:$A$1000,0),MATCH(L$1,'Master data'!$B$1:$CL$1,0)),"")</f>
        <v>-2467.7622564005537</v>
      </c>
      <c r="M460" s="5">
        <f>IFERROR(INDEX('Master data'!$B$2:$CL$1000,MATCH($B460,'Master data'!$A$2:$A$1000,0),MATCH(M$1,'Master data'!$B$1:$CL$1,0)),"")</f>
        <v>-20228.917201898679</v>
      </c>
      <c r="N460" s="28">
        <f>IFERROR(INDEX('Master data'!$B$2:$CL$1000,MATCH($B460,'Master data'!$A$2:$A$1000,0),MATCH(N$1,'Master data'!$B$1:$CL$1,0)),"")</f>
        <v>-5.0000000000000001E-3</v>
      </c>
      <c r="O460" s="7">
        <f>IFERROR(INDEX('Master data'!$B$2:$CL$1000,MATCH($B460,'Master data'!$A$2:$A$1000,0),MATCH(O$1,'Master data'!$B$1:$CL$1,0)),"")</f>
        <v>0</v>
      </c>
      <c r="P460" s="5">
        <f>IFERROR(INDEX('Master data'!$B$2:$CL$1000,MATCH($B460,'Master data'!$A$2:$A$1000,0),MATCH(P$1,'Master data'!$B$1:$CL$1,0)),"")</f>
        <v>3000000</v>
      </c>
      <c r="Q460" s="5">
        <f>IFERROR(INDEX('Master data'!$B$2:$CL$1000,MATCH($B460,'Master data'!$A$2:$A$1000,0),MATCH(Q$1,'Master data'!$B$1:$CL$1,0)),"")</f>
        <v>3000000</v>
      </c>
    </row>
    <row r="461" spans="1:17" hidden="1">
      <c r="A461">
        <f t="shared" si="7"/>
        <v>459</v>
      </c>
      <c r="B461" t="str">
        <f>IF('Master data'!A461="","",'Master data'!A461)</f>
        <v>Steven Zuber</v>
      </c>
      <c r="C461" t="str">
        <f>IFERROR(INDEX('Master data'!$B$2:$CL$1000,MATCH($B461,'Master data'!$A$2:$A$1000,0),MATCH(C$1,'Master data'!$B$1:$CL$1,0)),"")</f>
        <v>Switzerland</v>
      </c>
      <c r="D461" t="str">
        <f>IFERROR(INDEX('Master data'!$B$2:$CL$1000,MATCH($B461,'Master data'!$A$2:$A$1000,0),MATCH(D$1,'Master data'!$B$1:$CL$1,0)),"")</f>
        <v>Midfield</v>
      </c>
      <c r="E461" s="5">
        <f>IFERROR(INDEX('Master data'!$B$2:$CL$1000,MATCH($B461,'Master data'!$A$2:$A$1000,0),MATCH(E$1,'Master data'!$B$1:$CL$1,0)),"")</f>
        <v>3500000</v>
      </c>
      <c r="F461" s="7">
        <f>IFERROR(INDEX('Master data'!$B$2:$CL$1000,MATCH($B461,'Master data'!$A$2:$A$1000,0),MATCH(F$1,'Master data'!$B$1:$CL$1,0)),"")</f>
        <v>47680.762193078292</v>
      </c>
      <c r="G461" s="7">
        <f>IFERROR(INDEX('Master data'!$B$2:$CL$1000,MATCH($B461,'Master data'!$A$2:$A$1000,0),MATCH(G$1,'Master data'!$B$1:$CL$1,0)),"")</f>
        <v>18483.254585936207</v>
      </c>
      <c r="H461" s="7">
        <f>IFERROR(INDEX('Master data'!$B$2:$CL$1000,MATCH($B461,'Master data'!$A$2:$A$1000,0),MATCH(H$1,'Master data'!$B$1:$CL$1,0)),"")</f>
        <v>49780.680385104177</v>
      </c>
      <c r="I461" s="7">
        <f>IFERROR(INDEX('Master data'!$B$2:$CL$1000,MATCH($B461,'Master data'!$A$2:$A$1000,0),MATCH(I$1,'Master data'!$B$1:$CL$1,0)),"")</f>
        <v>1588.9383925129825</v>
      </c>
      <c r="J461" s="7">
        <f>IFERROR(INDEX('Master data'!$B$2:$CL$1000,MATCH($B461,'Master data'!$A$2:$A$1000,0),MATCH(J$1,'Master data'!$B$1:$CL$1,0)),"")</f>
        <v>661.65358588300967</v>
      </c>
      <c r="K461" s="7">
        <f>IFERROR(INDEX('Master data'!$B$2:$CL$1000,MATCH($B461,'Master data'!$A$2:$A$1000,0),MATCH(K$1,'Master data'!$B$1:$CL$1,0)),"")</f>
        <v>262.75483407084988</v>
      </c>
      <c r="L461" s="7">
        <f>IFERROR(INDEX('Master data'!$B$2:$CL$1000,MATCH($B461,'Master data'!$A$2:$A$1000,0),MATCH(L$1,'Master data'!$B$1:$CL$1,0)),"")</f>
        <v>94.538652448241592</v>
      </c>
      <c r="M461" s="5">
        <f>IFERROR(INDEX('Master data'!$B$2:$CL$1000,MATCH($B461,'Master data'!$A$2:$A$1000,0),MATCH(M$1,'Master data'!$B$1:$CL$1,0)),"")</f>
        <v>82772.073469506533</v>
      </c>
      <c r="N461" s="28">
        <f>IFERROR(INDEX('Master data'!$B$2:$CL$1000,MATCH($B461,'Master data'!$A$2:$A$1000,0),MATCH(N$1,'Master data'!$B$1:$CL$1,0)),"")</f>
        <v>3.3127056332605334E-2</v>
      </c>
      <c r="O461" s="7">
        <f>IFERROR(INDEX('Master data'!$B$2:$CL$1000,MATCH($B461,'Master data'!$A$2:$A$1000,0),MATCH(O$1,'Master data'!$B$1:$CL$1,0)),"")</f>
        <v>0</v>
      </c>
      <c r="P461" s="5">
        <f>IFERROR(INDEX('Master data'!$B$2:$CL$1000,MATCH($B461,'Master data'!$A$2:$A$1000,0),MATCH(P$1,'Master data'!$B$1:$CL$1,0)),"")</f>
        <v>3500000</v>
      </c>
      <c r="Q461" s="5">
        <f>IFERROR(INDEX('Master data'!$B$2:$CL$1000,MATCH($B461,'Master data'!$A$2:$A$1000,0),MATCH(Q$1,'Master data'!$B$1:$CL$1,0)),"")</f>
        <v>3500000</v>
      </c>
    </row>
    <row r="462" spans="1:17" hidden="1">
      <c r="A462">
        <f t="shared" si="7"/>
        <v>460</v>
      </c>
      <c r="B462" t="str">
        <f>IF('Master data'!A462="","",'Master data'!A462)</f>
        <v>Mario Gavranović</v>
      </c>
      <c r="C462" t="str">
        <f>IFERROR(INDEX('Master data'!$B$2:$CL$1000,MATCH($B462,'Master data'!$A$2:$A$1000,0),MATCH(C$1,'Master data'!$B$1:$CL$1,0)),"")</f>
        <v>Switzerland</v>
      </c>
      <c r="D462" t="str">
        <f>IFERROR(INDEX('Master data'!$B$2:$CL$1000,MATCH($B462,'Master data'!$A$2:$A$1000,0),MATCH(D$1,'Master data'!$B$1:$CL$1,0)),"")</f>
        <v>Striker</v>
      </c>
      <c r="E462" s="5">
        <f>IFERROR(INDEX('Master data'!$B$2:$CL$1000,MATCH($B462,'Master data'!$A$2:$A$1000,0),MATCH(E$1,'Master data'!$B$1:$CL$1,0)),"")</f>
        <v>3000000</v>
      </c>
      <c r="F462" s="7">
        <f>IFERROR(INDEX('Master data'!$B$2:$CL$1000,MATCH($B462,'Master data'!$A$2:$A$1000,0),MATCH(F$1,'Master data'!$B$1:$CL$1,0)),"")</f>
        <v>-5000</v>
      </c>
      <c r="G462" s="7">
        <f>IFERROR(INDEX('Master data'!$B$2:$CL$1000,MATCH($B462,'Master data'!$A$2:$A$1000,0),MATCH(G$1,'Master data'!$B$1:$CL$1,0)),"")</f>
        <v>-5000</v>
      </c>
      <c r="H462" s="7">
        <f>IFERROR(INDEX('Master data'!$B$2:$CL$1000,MATCH($B462,'Master data'!$A$2:$A$1000,0),MATCH(H$1,'Master data'!$B$1:$CL$1,0)),"")</f>
        <v>-5000</v>
      </c>
      <c r="I462" s="7">
        <f>IFERROR(INDEX('Master data'!$B$2:$CL$1000,MATCH($B462,'Master data'!$A$2:$A$1000,0),MATCH(I$1,'Master data'!$B$1:$CL$1,0)),"")</f>
        <v>-22249.609232768817</v>
      </c>
      <c r="J462" s="7">
        <f>IFERROR(INDEX('Master data'!$B$2:$CL$1000,MATCH($B462,'Master data'!$A$2:$A$1000,0),MATCH(J$1,'Master data'!$B$1:$CL$1,0)),"")</f>
        <v>-10952.533376693362</v>
      </c>
      <c r="K462" s="7">
        <f>IFERROR(INDEX('Master data'!$B$2:$CL$1000,MATCH($B462,'Master data'!$A$2:$A$1000,0),MATCH(K$1,'Master data'!$B$1:$CL$1,0)),"")</f>
        <v>-5321.4943255478656</v>
      </c>
      <c r="L462" s="7">
        <f>IFERROR(INDEX('Master data'!$B$2:$CL$1000,MATCH($B462,'Master data'!$A$2:$A$1000,0),MATCH(L$1,'Master data'!$B$1:$CL$1,0)),"")</f>
        <v>-2467.7622564005537</v>
      </c>
      <c r="M462" s="5">
        <f>IFERROR(INDEX('Master data'!$B$2:$CL$1000,MATCH($B462,'Master data'!$A$2:$A$1000,0),MATCH(M$1,'Master data'!$B$1:$CL$1,0)),"")</f>
        <v>-20228.917201898679</v>
      </c>
      <c r="N462" s="28">
        <f>IFERROR(INDEX('Master data'!$B$2:$CL$1000,MATCH($B462,'Master data'!$A$2:$A$1000,0),MATCH(N$1,'Master data'!$B$1:$CL$1,0)),"")</f>
        <v>-5.0000000000000001E-3</v>
      </c>
      <c r="O462" s="7">
        <f>IFERROR(INDEX('Master data'!$B$2:$CL$1000,MATCH($B462,'Master data'!$A$2:$A$1000,0),MATCH(O$1,'Master data'!$B$1:$CL$1,0)),"")</f>
        <v>0</v>
      </c>
      <c r="P462" s="5">
        <f>IFERROR(INDEX('Master data'!$B$2:$CL$1000,MATCH($B462,'Master data'!$A$2:$A$1000,0),MATCH(P$1,'Master data'!$B$1:$CL$1,0)),"")</f>
        <v>3000000</v>
      </c>
      <c r="Q462" s="5">
        <f>IFERROR(INDEX('Master data'!$B$2:$CL$1000,MATCH($B462,'Master data'!$A$2:$A$1000,0),MATCH(Q$1,'Master data'!$B$1:$CL$1,0)),"")</f>
        <v>3000000</v>
      </c>
    </row>
    <row r="463" spans="1:17" hidden="1">
      <c r="A463">
        <f t="shared" si="7"/>
        <v>461</v>
      </c>
      <c r="B463" t="str">
        <f>IF('Master data'!A463="","",'Master data'!A463)</f>
        <v>Kevin K. Varga</v>
      </c>
      <c r="C463" t="str">
        <f>IFERROR(INDEX('Master data'!$B$2:$CL$1000,MATCH($B463,'Master data'!$A$2:$A$1000,0),MATCH(C$1,'Master data'!$B$1:$CL$1,0)),"")</f>
        <v>Hungary</v>
      </c>
      <c r="D463" t="str">
        <f>IFERROR(INDEX('Master data'!$B$2:$CL$1000,MATCH($B463,'Master data'!$A$2:$A$1000,0),MATCH(D$1,'Master data'!$B$1:$CL$1,0)),"")</f>
        <v>Striker</v>
      </c>
      <c r="E463" s="5">
        <f>IFERROR(INDEX('Master data'!$B$2:$CL$1000,MATCH($B463,'Master data'!$A$2:$A$1000,0),MATCH(E$1,'Master data'!$B$1:$CL$1,0)),"")</f>
        <v>3000000</v>
      </c>
      <c r="F463" s="7">
        <f>IFERROR(INDEX('Master data'!$B$2:$CL$1000,MATCH($B463,'Master data'!$A$2:$A$1000,0),MATCH(F$1,'Master data'!$B$1:$CL$1,0)),"")</f>
        <v>-5000</v>
      </c>
      <c r="G463" s="7">
        <f>IFERROR(INDEX('Master data'!$B$2:$CL$1000,MATCH($B463,'Master data'!$A$2:$A$1000,0),MATCH(G$1,'Master data'!$B$1:$CL$1,0)),"")</f>
        <v>-5000</v>
      </c>
      <c r="H463" s="7">
        <f>IFERROR(INDEX('Master data'!$B$2:$CL$1000,MATCH($B463,'Master data'!$A$2:$A$1000,0),MATCH(H$1,'Master data'!$B$1:$CL$1,0)),"")</f>
        <v>-5000</v>
      </c>
      <c r="I463" s="7">
        <f>IFERROR(INDEX('Master data'!$B$2:$CL$1000,MATCH($B463,'Master data'!$A$2:$A$1000,0),MATCH(I$1,'Master data'!$B$1:$CL$1,0)),"")</f>
        <v>-5896.1464466837342</v>
      </c>
      <c r="J463" s="7">
        <f>IFERROR(INDEX('Master data'!$B$2:$CL$1000,MATCH($B463,'Master data'!$A$2:$A$1000,0),MATCH(J$1,'Master data'!$B$1:$CL$1,0)),"")</f>
        <v>-2890.8843087637015</v>
      </c>
      <c r="K463" s="7">
        <f>IFERROR(INDEX('Master data'!$B$2:$CL$1000,MATCH($B463,'Master data'!$A$2:$A$1000,0),MATCH(K$1,'Master data'!$B$1:$CL$1,0)),"")</f>
        <v>-1393.5929805913208</v>
      </c>
      <c r="L463" s="7">
        <f>IFERROR(INDEX('Master data'!$B$2:$CL$1000,MATCH($B463,'Master data'!$A$2:$A$1000,0),MATCH(L$1,'Master data'!$B$1:$CL$1,0)),"")</f>
        <v>-631.70606508216747</v>
      </c>
      <c r="M463" s="5">
        <f>IFERROR(INDEX('Master data'!$B$2:$CL$1000,MATCH($B463,'Master data'!$A$2:$A$1000,0),MATCH(M$1,'Master data'!$B$1:$CL$1,0)),"")</f>
        <v>-13112.577623110677</v>
      </c>
      <c r="N463" s="28">
        <f>IFERROR(INDEX('Master data'!$B$2:$CL$1000,MATCH($B463,'Master data'!$A$2:$A$1000,0),MATCH(N$1,'Master data'!$B$1:$CL$1,0)),"")</f>
        <v>-5.0000000000000001E-3</v>
      </c>
      <c r="O463" s="7">
        <f>IFERROR(INDEX('Master data'!$B$2:$CL$1000,MATCH($B463,'Master data'!$A$2:$A$1000,0),MATCH(O$1,'Master data'!$B$1:$CL$1,0)),"")</f>
        <v>0</v>
      </c>
      <c r="P463" s="5">
        <f>IFERROR(INDEX('Master data'!$B$2:$CL$1000,MATCH($B463,'Master data'!$A$2:$A$1000,0),MATCH(P$1,'Master data'!$B$1:$CL$1,0)),"")</f>
        <v>3000000</v>
      </c>
      <c r="Q463" s="5">
        <f>IFERROR(INDEX('Master data'!$B$2:$CL$1000,MATCH($B463,'Master data'!$A$2:$A$1000,0),MATCH(Q$1,'Master data'!$B$1:$CL$1,0)),"")</f>
        <v>3000000</v>
      </c>
    </row>
    <row r="464" spans="1:17" hidden="1">
      <c r="A464">
        <f t="shared" si="7"/>
        <v>462</v>
      </c>
      <c r="B464" t="str">
        <f>IF('Master data'!A464="","",'Master data'!A464)</f>
        <v>Loïc Négo</v>
      </c>
      <c r="C464" t="str">
        <f>IFERROR(INDEX('Master data'!$B$2:$CL$1000,MATCH($B464,'Master data'!$A$2:$A$1000,0),MATCH(C$1,'Master data'!$B$1:$CL$1,0)),"")</f>
        <v>Hungary</v>
      </c>
      <c r="D464" t="str">
        <f>IFERROR(INDEX('Master data'!$B$2:$CL$1000,MATCH($B464,'Master data'!$A$2:$A$1000,0),MATCH(D$1,'Master data'!$B$1:$CL$1,0)),"")</f>
        <v>Midfield</v>
      </c>
      <c r="E464" s="5">
        <f>IFERROR(INDEX('Master data'!$B$2:$CL$1000,MATCH($B464,'Master data'!$A$2:$A$1000,0),MATCH(E$1,'Master data'!$B$1:$CL$1,0)),"")</f>
        <v>2500000</v>
      </c>
      <c r="F464" s="7">
        <f>IFERROR(INDEX('Master data'!$B$2:$CL$1000,MATCH($B464,'Master data'!$A$2:$A$1000,0),MATCH(F$1,'Master data'!$B$1:$CL$1,0)),"")</f>
        <v>-5000</v>
      </c>
      <c r="G464" s="7">
        <f>IFERROR(INDEX('Master data'!$B$2:$CL$1000,MATCH($B464,'Master data'!$A$2:$A$1000,0),MATCH(G$1,'Master data'!$B$1:$CL$1,0)),"")</f>
        <v>-5000</v>
      </c>
      <c r="H464" s="7">
        <f>IFERROR(INDEX('Master data'!$B$2:$CL$1000,MATCH($B464,'Master data'!$A$2:$A$1000,0),MATCH(H$1,'Master data'!$B$1:$CL$1,0)),"")</f>
        <v>-5000</v>
      </c>
      <c r="I464" s="7">
        <f>IFERROR(INDEX('Master data'!$B$2:$CL$1000,MATCH($B464,'Master data'!$A$2:$A$1000,0),MATCH(I$1,'Master data'!$B$1:$CL$1,0)),"")</f>
        <v>-5050.2143883359968</v>
      </c>
      <c r="J464" s="7">
        <f>IFERROR(INDEX('Master data'!$B$2:$CL$1000,MATCH($B464,'Master data'!$A$2:$A$1000,0),MATCH(J$1,'Master data'!$B$1:$CL$1,0)),"")</f>
        <v>-2475.5273678493763</v>
      </c>
      <c r="K464" s="7">
        <f>IFERROR(INDEX('Master data'!$B$2:$CL$1000,MATCH($B464,'Master data'!$A$2:$A$1000,0),MATCH(K$1,'Master data'!$B$1:$CL$1,0)),"")</f>
        <v>-1193.0760049666703</v>
      </c>
      <c r="L464" s="7">
        <f>IFERROR(INDEX('Master data'!$B$2:$CL$1000,MATCH($B464,'Master data'!$A$2:$A$1000,0),MATCH(L$1,'Master data'!$B$1:$CL$1,0)),"")</f>
        <v>-540.68213639597616</v>
      </c>
      <c r="M464" s="5">
        <f>IFERROR(INDEX('Master data'!$B$2:$CL$1000,MATCH($B464,'Master data'!$A$2:$A$1000,0),MATCH(M$1,'Master data'!$B$1:$CL$1,0)),"")</f>
        <v>-12745.488617362178</v>
      </c>
      <c r="N464" s="28">
        <f>IFERROR(INDEX('Master data'!$B$2:$CL$1000,MATCH($B464,'Master data'!$A$2:$A$1000,0),MATCH(N$1,'Master data'!$B$1:$CL$1,0)),"")</f>
        <v>-6.0000000000000001E-3</v>
      </c>
      <c r="O464" s="7">
        <f>IFERROR(INDEX('Master data'!$B$2:$CL$1000,MATCH($B464,'Master data'!$A$2:$A$1000,0),MATCH(O$1,'Master data'!$B$1:$CL$1,0)),"")</f>
        <v>0</v>
      </c>
      <c r="P464" s="5">
        <f>IFERROR(INDEX('Master data'!$B$2:$CL$1000,MATCH($B464,'Master data'!$A$2:$A$1000,0),MATCH(P$1,'Master data'!$B$1:$CL$1,0)),"")</f>
        <v>2500000</v>
      </c>
      <c r="Q464" s="5">
        <f>IFERROR(INDEX('Master data'!$B$2:$CL$1000,MATCH($B464,'Master data'!$A$2:$A$1000,0),MATCH(Q$1,'Master data'!$B$1:$CL$1,0)),"")</f>
        <v>2500000</v>
      </c>
    </row>
    <row r="465" spans="1:17" hidden="1">
      <c r="A465">
        <f t="shared" si="7"/>
        <v>463</v>
      </c>
      <c r="B465" t="str">
        <f>IF('Master data'!A465="","",'Master data'!A465)</f>
        <v>Roland R. Varga</v>
      </c>
      <c r="C465" t="str">
        <f>IFERROR(INDEX('Master data'!$B$2:$CL$1000,MATCH($B465,'Master data'!$A$2:$A$1000,0),MATCH(C$1,'Master data'!$B$1:$CL$1,0)),"")</f>
        <v>Hungary</v>
      </c>
      <c r="D465" t="str">
        <f>IFERROR(INDEX('Master data'!$B$2:$CL$1000,MATCH($B465,'Master data'!$A$2:$A$1000,0),MATCH(D$1,'Master data'!$B$1:$CL$1,0)),"")</f>
        <v>Striker</v>
      </c>
      <c r="E465" s="5">
        <f>IFERROR(INDEX('Master data'!$B$2:$CL$1000,MATCH($B465,'Master data'!$A$2:$A$1000,0),MATCH(E$1,'Master data'!$B$1:$CL$1,0)),"")</f>
        <v>2500000</v>
      </c>
      <c r="F465" s="7">
        <f>IFERROR(INDEX('Master data'!$B$2:$CL$1000,MATCH($B465,'Master data'!$A$2:$A$1000,0),MATCH(F$1,'Master data'!$B$1:$CL$1,0)),"")</f>
        <v>-5000</v>
      </c>
      <c r="G465" s="7">
        <f>IFERROR(INDEX('Master data'!$B$2:$CL$1000,MATCH($B465,'Master data'!$A$2:$A$1000,0),MATCH(G$1,'Master data'!$B$1:$CL$1,0)),"")</f>
        <v>-5000</v>
      </c>
      <c r="H465" s="7">
        <f>IFERROR(INDEX('Master data'!$B$2:$CL$1000,MATCH($B465,'Master data'!$A$2:$A$1000,0),MATCH(H$1,'Master data'!$B$1:$CL$1,0)),"")</f>
        <v>-5000</v>
      </c>
      <c r="I465" s="7">
        <f>IFERROR(INDEX('Master data'!$B$2:$CL$1000,MATCH($B465,'Master data'!$A$2:$A$1000,0),MATCH(I$1,'Master data'!$B$1:$CL$1,0)),"")</f>
        <v>-5050.2143883359968</v>
      </c>
      <c r="J465" s="7">
        <f>IFERROR(INDEX('Master data'!$B$2:$CL$1000,MATCH($B465,'Master data'!$A$2:$A$1000,0),MATCH(J$1,'Master data'!$B$1:$CL$1,0)),"")</f>
        <v>-2475.5273678493763</v>
      </c>
      <c r="K465" s="7">
        <f>IFERROR(INDEX('Master data'!$B$2:$CL$1000,MATCH($B465,'Master data'!$A$2:$A$1000,0),MATCH(K$1,'Master data'!$B$1:$CL$1,0)),"")</f>
        <v>-1193.0760049666703</v>
      </c>
      <c r="L465" s="7">
        <f>IFERROR(INDEX('Master data'!$B$2:$CL$1000,MATCH($B465,'Master data'!$A$2:$A$1000,0),MATCH(L$1,'Master data'!$B$1:$CL$1,0)),"")</f>
        <v>-540.68213639597616</v>
      </c>
      <c r="M465" s="5">
        <f>IFERROR(INDEX('Master data'!$B$2:$CL$1000,MATCH($B465,'Master data'!$A$2:$A$1000,0),MATCH(M$1,'Master data'!$B$1:$CL$1,0)),"")</f>
        <v>-12745.488617362178</v>
      </c>
      <c r="N465" s="28">
        <f>IFERROR(INDEX('Master data'!$B$2:$CL$1000,MATCH($B465,'Master data'!$A$2:$A$1000,0),MATCH(N$1,'Master data'!$B$1:$CL$1,0)),"")</f>
        <v>-6.0000000000000001E-3</v>
      </c>
      <c r="O465" s="7">
        <f>IFERROR(INDEX('Master data'!$B$2:$CL$1000,MATCH($B465,'Master data'!$A$2:$A$1000,0),MATCH(O$1,'Master data'!$B$1:$CL$1,0)),"")</f>
        <v>0</v>
      </c>
      <c r="P465" s="5">
        <f>IFERROR(INDEX('Master data'!$B$2:$CL$1000,MATCH($B465,'Master data'!$A$2:$A$1000,0),MATCH(P$1,'Master data'!$B$1:$CL$1,0)),"")</f>
        <v>2500000</v>
      </c>
      <c r="Q465" s="5">
        <f>IFERROR(INDEX('Master data'!$B$2:$CL$1000,MATCH($B465,'Master data'!$A$2:$A$1000,0),MATCH(Q$1,'Master data'!$B$1:$CL$1,0)),"")</f>
        <v>2500000</v>
      </c>
    </row>
    <row r="466" spans="1:17" hidden="1">
      <c r="A466">
        <f t="shared" si="7"/>
        <v>464</v>
      </c>
      <c r="B466" t="str">
        <f>IF('Master data'!A466="","",'Master data'!A466)</f>
        <v>Szabolcs Schön</v>
      </c>
      <c r="C466" t="str">
        <f>IFERROR(INDEX('Master data'!$B$2:$CL$1000,MATCH($B466,'Master data'!$A$2:$A$1000,0),MATCH(C$1,'Master data'!$B$1:$CL$1,0)),"")</f>
        <v>Hungary</v>
      </c>
      <c r="D466" t="str">
        <f>IFERROR(INDEX('Master data'!$B$2:$CL$1000,MATCH($B466,'Master data'!$A$2:$A$1000,0),MATCH(D$1,'Master data'!$B$1:$CL$1,0)),"")</f>
        <v>Striker</v>
      </c>
      <c r="E466" s="5">
        <f>IFERROR(INDEX('Master data'!$B$2:$CL$1000,MATCH($B466,'Master data'!$A$2:$A$1000,0),MATCH(E$1,'Master data'!$B$1:$CL$1,0)),"")</f>
        <v>2500000</v>
      </c>
      <c r="F466" s="7">
        <f>IFERROR(INDEX('Master data'!$B$2:$CL$1000,MATCH($B466,'Master data'!$A$2:$A$1000,0),MATCH(F$1,'Master data'!$B$1:$CL$1,0)),"")</f>
        <v>-5000</v>
      </c>
      <c r="G466" s="7">
        <f>IFERROR(INDEX('Master data'!$B$2:$CL$1000,MATCH($B466,'Master data'!$A$2:$A$1000,0),MATCH(G$1,'Master data'!$B$1:$CL$1,0)),"")</f>
        <v>-5000</v>
      </c>
      <c r="H466" s="7">
        <f>IFERROR(INDEX('Master data'!$B$2:$CL$1000,MATCH($B466,'Master data'!$A$2:$A$1000,0),MATCH(H$1,'Master data'!$B$1:$CL$1,0)),"")</f>
        <v>-5000</v>
      </c>
      <c r="I466" s="7">
        <f>IFERROR(INDEX('Master data'!$B$2:$CL$1000,MATCH($B466,'Master data'!$A$2:$A$1000,0),MATCH(I$1,'Master data'!$B$1:$CL$1,0)),"")</f>
        <v>-5050.2143883359968</v>
      </c>
      <c r="J466" s="7">
        <f>IFERROR(INDEX('Master data'!$B$2:$CL$1000,MATCH($B466,'Master data'!$A$2:$A$1000,0),MATCH(J$1,'Master data'!$B$1:$CL$1,0)),"")</f>
        <v>-2475.5273678493763</v>
      </c>
      <c r="K466" s="7">
        <f>IFERROR(INDEX('Master data'!$B$2:$CL$1000,MATCH($B466,'Master data'!$A$2:$A$1000,0),MATCH(K$1,'Master data'!$B$1:$CL$1,0)),"")</f>
        <v>-1193.0760049666703</v>
      </c>
      <c r="L466" s="7">
        <f>IFERROR(INDEX('Master data'!$B$2:$CL$1000,MATCH($B466,'Master data'!$A$2:$A$1000,0),MATCH(L$1,'Master data'!$B$1:$CL$1,0)),"")</f>
        <v>-540.68213639597616</v>
      </c>
      <c r="M466" s="5">
        <f>IFERROR(INDEX('Master data'!$B$2:$CL$1000,MATCH($B466,'Master data'!$A$2:$A$1000,0),MATCH(M$1,'Master data'!$B$1:$CL$1,0)),"")</f>
        <v>-12745.488617362178</v>
      </c>
      <c r="N466" s="28">
        <f>IFERROR(INDEX('Master data'!$B$2:$CL$1000,MATCH($B466,'Master data'!$A$2:$A$1000,0),MATCH(N$1,'Master data'!$B$1:$CL$1,0)),"")</f>
        <v>-6.0000000000000001E-3</v>
      </c>
      <c r="O466" s="7">
        <f>IFERROR(INDEX('Master data'!$B$2:$CL$1000,MATCH($B466,'Master data'!$A$2:$A$1000,0),MATCH(O$1,'Master data'!$B$1:$CL$1,0)),"")</f>
        <v>0</v>
      </c>
      <c r="P466" s="5">
        <f>IFERROR(INDEX('Master data'!$B$2:$CL$1000,MATCH($B466,'Master data'!$A$2:$A$1000,0),MATCH(P$1,'Master data'!$B$1:$CL$1,0)),"")</f>
        <v>2500000</v>
      </c>
      <c r="Q466" s="5">
        <f>IFERROR(INDEX('Master data'!$B$2:$CL$1000,MATCH($B466,'Master data'!$A$2:$A$1000,0),MATCH(Q$1,'Master data'!$B$1:$CL$1,0)),"")</f>
        <v>2500000</v>
      </c>
    </row>
    <row r="467" spans="1:17" hidden="1">
      <c r="A467">
        <f t="shared" si="7"/>
        <v>465</v>
      </c>
      <c r="B467" t="str">
        <f>IF('Master data'!A467="","",'Master data'!A467)</f>
        <v>János Hahn</v>
      </c>
      <c r="C467" t="str">
        <f>IFERROR(INDEX('Master data'!$B$2:$CL$1000,MATCH($B467,'Master data'!$A$2:$A$1000,0),MATCH(C$1,'Master data'!$B$1:$CL$1,0)),"")</f>
        <v>Hungary</v>
      </c>
      <c r="D467" t="str">
        <f>IFERROR(INDEX('Master data'!$B$2:$CL$1000,MATCH($B467,'Master data'!$A$2:$A$1000,0),MATCH(D$1,'Master data'!$B$1:$CL$1,0)),"")</f>
        <v>Striker</v>
      </c>
      <c r="E467" s="5">
        <f>IFERROR(INDEX('Master data'!$B$2:$CL$1000,MATCH($B467,'Master data'!$A$2:$A$1000,0),MATCH(E$1,'Master data'!$B$1:$CL$1,0)),"")</f>
        <v>2500000</v>
      </c>
      <c r="F467" s="7">
        <f>IFERROR(INDEX('Master data'!$B$2:$CL$1000,MATCH($B467,'Master data'!$A$2:$A$1000,0),MATCH(F$1,'Master data'!$B$1:$CL$1,0)),"")</f>
        <v>-5000</v>
      </c>
      <c r="G467" s="7">
        <f>IFERROR(INDEX('Master data'!$B$2:$CL$1000,MATCH($B467,'Master data'!$A$2:$A$1000,0),MATCH(G$1,'Master data'!$B$1:$CL$1,0)),"")</f>
        <v>-5000</v>
      </c>
      <c r="H467" s="7">
        <f>IFERROR(INDEX('Master data'!$B$2:$CL$1000,MATCH($B467,'Master data'!$A$2:$A$1000,0),MATCH(H$1,'Master data'!$B$1:$CL$1,0)),"")</f>
        <v>-5000</v>
      </c>
      <c r="I467" s="7">
        <f>IFERROR(INDEX('Master data'!$B$2:$CL$1000,MATCH($B467,'Master data'!$A$2:$A$1000,0),MATCH(I$1,'Master data'!$B$1:$CL$1,0)),"")</f>
        <v>-5050.2143883359968</v>
      </c>
      <c r="J467" s="7">
        <f>IFERROR(INDEX('Master data'!$B$2:$CL$1000,MATCH($B467,'Master data'!$A$2:$A$1000,0),MATCH(J$1,'Master data'!$B$1:$CL$1,0)),"")</f>
        <v>-2475.5273678493763</v>
      </c>
      <c r="K467" s="7">
        <f>IFERROR(INDEX('Master data'!$B$2:$CL$1000,MATCH($B467,'Master data'!$A$2:$A$1000,0),MATCH(K$1,'Master data'!$B$1:$CL$1,0)),"")</f>
        <v>-1193.0760049666703</v>
      </c>
      <c r="L467" s="7">
        <f>IFERROR(INDEX('Master data'!$B$2:$CL$1000,MATCH($B467,'Master data'!$A$2:$A$1000,0),MATCH(L$1,'Master data'!$B$1:$CL$1,0)),"")</f>
        <v>-540.68213639597616</v>
      </c>
      <c r="M467" s="5">
        <f>IFERROR(INDEX('Master data'!$B$2:$CL$1000,MATCH($B467,'Master data'!$A$2:$A$1000,0),MATCH(M$1,'Master data'!$B$1:$CL$1,0)),"")</f>
        <v>-12745.488617362178</v>
      </c>
      <c r="N467" s="28">
        <f>IFERROR(INDEX('Master data'!$B$2:$CL$1000,MATCH($B467,'Master data'!$A$2:$A$1000,0),MATCH(N$1,'Master data'!$B$1:$CL$1,0)),"")</f>
        <v>-6.0000000000000001E-3</v>
      </c>
      <c r="O467" s="7">
        <f>IFERROR(INDEX('Master data'!$B$2:$CL$1000,MATCH($B467,'Master data'!$A$2:$A$1000,0),MATCH(O$1,'Master data'!$B$1:$CL$1,0)),"")</f>
        <v>0</v>
      </c>
      <c r="P467" s="5">
        <f>IFERROR(INDEX('Master data'!$B$2:$CL$1000,MATCH($B467,'Master data'!$A$2:$A$1000,0),MATCH(P$1,'Master data'!$B$1:$CL$1,0)),"")</f>
        <v>2500000</v>
      </c>
      <c r="Q467" s="5">
        <f>IFERROR(INDEX('Master data'!$B$2:$CL$1000,MATCH($B467,'Master data'!$A$2:$A$1000,0),MATCH(Q$1,'Master data'!$B$1:$CL$1,0)),"")</f>
        <v>2500000</v>
      </c>
    </row>
    <row r="468" spans="1:17" hidden="1">
      <c r="A468">
        <f t="shared" si="7"/>
        <v>466</v>
      </c>
      <c r="B468" t="str">
        <f>IF('Master data'!A468="","",'Master data'!A468)</f>
        <v>Ádám Ad. Szalai</v>
      </c>
      <c r="C468" t="str">
        <f>IFERROR(INDEX('Master data'!$B$2:$CL$1000,MATCH($B468,'Master data'!$A$2:$A$1000,0),MATCH(C$1,'Master data'!$B$1:$CL$1,0)),"")</f>
        <v>Hungary</v>
      </c>
      <c r="D468" t="str">
        <f>IFERROR(INDEX('Master data'!$B$2:$CL$1000,MATCH($B468,'Master data'!$A$2:$A$1000,0),MATCH(D$1,'Master data'!$B$1:$CL$1,0)),"")</f>
        <v>Striker</v>
      </c>
      <c r="E468" s="5">
        <f>IFERROR(INDEX('Master data'!$B$2:$CL$1000,MATCH($B468,'Master data'!$A$2:$A$1000,0),MATCH(E$1,'Master data'!$B$1:$CL$1,0)),"")</f>
        <v>3000000</v>
      </c>
      <c r="F468" s="7">
        <f>IFERROR(INDEX('Master data'!$B$2:$CL$1000,MATCH($B468,'Master data'!$A$2:$A$1000,0),MATCH(F$1,'Master data'!$B$1:$CL$1,0)),"")</f>
        <v>13742.324733726702</v>
      </c>
      <c r="G468" s="7">
        <f>IFERROR(INDEX('Master data'!$B$2:$CL$1000,MATCH($B468,'Master data'!$A$2:$A$1000,0),MATCH(G$1,'Master data'!$B$1:$CL$1,0)),"")</f>
        <v>11314.581366547787</v>
      </c>
      <c r="H468" s="7">
        <f>IFERROR(INDEX('Master data'!$B$2:$CL$1000,MATCH($B468,'Master data'!$A$2:$A$1000,0),MATCH(H$1,'Master data'!$B$1:$CL$1,0)),"")</f>
        <v>1868.939987475158</v>
      </c>
      <c r="I468" s="7">
        <f>IFERROR(INDEX('Master data'!$B$2:$CL$1000,MATCH($B468,'Master data'!$A$2:$A$1000,0),MATCH(I$1,'Master data'!$B$1:$CL$1,0)),"")</f>
        <v>-3602.6514626429939</v>
      </c>
      <c r="J468" s="7">
        <f>IFERROR(INDEX('Master data'!$B$2:$CL$1000,MATCH($B468,'Master data'!$A$2:$A$1000,0),MATCH(J$1,'Master data'!$B$1:$CL$1,0)),"")</f>
        <v>-1776.3760734835409</v>
      </c>
      <c r="K468" s="7">
        <f>IFERROR(INDEX('Master data'!$B$2:$CL$1000,MATCH($B468,'Master data'!$A$2:$A$1000,0),MATCH(K$1,'Master data'!$B$1:$CL$1,0)),"")</f>
        <v>-861.15953625004522</v>
      </c>
      <c r="L468" s="7">
        <f>IFERROR(INDEX('Master data'!$B$2:$CL$1000,MATCH($B468,'Master data'!$A$2:$A$1000,0),MATCH(L$1,'Master data'!$B$1:$CL$1,0)),"")</f>
        <v>-392.55407101979534</v>
      </c>
      <c r="M468" s="5">
        <f>IFERROR(INDEX('Master data'!$B$2:$CL$1000,MATCH($B468,'Master data'!$A$2:$A$1000,0),MATCH(M$1,'Master data'!$B$1:$CL$1,0)),"")</f>
        <v>20549.810952583201</v>
      </c>
      <c r="N468" s="28">
        <f>IFERROR(INDEX('Master data'!$B$2:$CL$1000,MATCH($B468,'Master data'!$A$2:$A$1000,0),MATCH(N$1,'Master data'!$B$1:$CL$1,0)),"")</f>
        <v>8.9752820292498831E-3</v>
      </c>
      <c r="O468" s="7">
        <f>IFERROR(INDEX('Master data'!$B$2:$CL$1000,MATCH($B468,'Master data'!$A$2:$A$1000,0),MATCH(O$1,'Master data'!$B$1:$CL$1,0)),"")</f>
        <v>0</v>
      </c>
      <c r="P468" s="5">
        <f>IFERROR(INDEX('Master data'!$B$2:$CL$1000,MATCH($B468,'Master data'!$A$2:$A$1000,0),MATCH(P$1,'Master data'!$B$1:$CL$1,0)),"")</f>
        <v>3000000</v>
      </c>
      <c r="Q468" s="5">
        <f>IFERROR(INDEX('Master data'!$B$2:$CL$1000,MATCH($B468,'Master data'!$A$2:$A$1000,0),MATCH(Q$1,'Master data'!$B$1:$CL$1,0)),"")</f>
        <v>3000000</v>
      </c>
    </row>
    <row r="469" spans="1:17" hidden="1">
      <c r="A469">
        <f t="shared" si="7"/>
        <v>467</v>
      </c>
      <c r="B469" t="str">
        <f>IF('Master data'!A469="","",'Master data'!A469)</f>
        <v>Nemanja Nikolić</v>
      </c>
      <c r="C469" t="str">
        <f>IFERROR(INDEX('Master data'!$B$2:$CL$1000,MATCH($B469,'Master data'!$A$2:$A$1000,0),MATCH(C$1,'Master data'!$B$1:$CL$1,0)),"")</f>
        <v>Hungary</v>
      </c>
      <c r="D469" t="str">
        <f>IFERROR(INDEX('Master data'!$B$2:$CL$1000,MATCH($B469,'Master data'!$A$2:$A$1000,0),MATCH(D$1,'Master data'!$B$1:$CL$1,0)),"")</f>
        <v>Striker</v>
      </c>
      <c r="E469" s="5">
        <f>IFERROR(INDEX('Master data'!$B$2:$CL$1000,MATCH($B469,'Master data'!$A$2:$A$1000,0),MATCH(E$1,'Master data'!$B$1:$CL$1,0)),"")</f>
        <v>3000000</v>
      </c>
      <c r="F469" s="7">
        <f>IFERROR(INDEX('Master data'!$B$2:$CL$1000,MATCH($B469,'Master data'!$A$2:$A$1000,0),MATCH(F$1,'Master data'!$B$1:$CL$1,0)),"")</f>
        <v>-5000</v>
      </c>
      <c r="G469" s="7">
        <f>IFERROR(INDEX('Master data'!$B$2:$CL$1000,MATCH($B469,'Master data'!$A$2:$A$1000,0),MATCH(G$1,'Master data'!$B$1:$CL$1,0)),"")</f>
        <v>-5000</v>
      </c>
      <c r="H469" s="7">
        <f>IFERROR(INDEX('Master data'!$B$2:$CL$1000,MATCH($B469,'Master data'!$A$2:$A$1000,0),MATCH(H$1,'Master data'!$B$1:$CL$1,0)),"")</f>
        <v>-5000</v>
      </c>
      <c r="I469" s="7">
        <f>IFERROR(INDEX('Master data'!$B$2:$CL$1000,MATCH($B469,'Master data'!$A$2:$A$1000,0),MATCH(I$1,'Master data'!$B$1:$CL$1,0)),"")</f>
        <v>-5896.1464466837342</v>
      </c>
      <c r="J469" s="7">
        <f>IFERROR(INDEX('Master data'!$B$2:$CL$1000,MATCH($B469,'Master data'!$A$2:$A$1000,0),MATCH(J$1,'Master data'!$B$1:$CL$1,0)),"")</f>
        <v>-2890.8843087637015</v>
      </c>
      <c r="K469" s="7">
        <f>IFERROR(INDEX('Master data'!$B$2:$CL$1000,MATCH($B469,'Master data'!$A$2:$A$1000,0),MATCH(K$1,'Master data'!$B$1:$CL$1,0)),"")</f>
        <v>-1393.5929805913208</v>
      </c>
      <c r="L469" s="7">
        <f>IFERROR(INDEX('Master data'!$B$2:$CL$1000,MATCH($B469,'Master data'!$A$2:$A$1000,0),MATCH(L$1,'Master data'!$B$1:$CL$1,0)),"")</f>
        <v>-631.70606508216747</v>
      </c>
      <c r="M469" s="5">
        <f>IFERROR(INDEX('Master data'!$B$2:$CL$1000,MATCH($B469,'Master data'!$A$2:$A$1000,0),MATCH(M$1,'Master data'!$B$1:$CL$1,0)),"")</f>
        <v>-13112.577623110677</v>
      </c>
      <c r="N469" s="28">
        <f>IFERROR(INDEX('Master data'!$B$2:$CL$1000,MATCH($B469,'Master data'!$A$2:$A$1000,0),MATCH(N$1,'Master data'!$B$1:$CL$1,0)),"")</f>
        <v>-5.0000000000000001E-3</v>
      </c>
      <c r="O469" s="7">
        <f>IFERROR(INDEX('Master data'!$B$2:$CL$1000,MATCH($B469,'Master data'!$A$2:$A$1000,0),MATCH(O$1,'Master data'!$B$1:$CL$1,0)),"")</f>
        <v>0</v>
      </c>
      <c r="P469" s="5">
        <f>IFERROR(INDEX('Master data'!$B$2:$CL$1000,MATCH($B469,'Master data'!$A$2:$A$1000,0),MATCH(P$1,'Master data'!$B$1:$CL$1,0)),"")</f>
        <v>3000000</v>
      </c>
      <c r="Q469" s="5">
        <f>IFERROR(INDEX('Master data'!$B$2:$CL$1000,MATCH($B469,'Master data'!$A$2:$A$1000,0),MATCH(Q$1,'Master data'!$B$1:$CL$1,0)),"")</f>
        <v>3000000</v>
      </c>
    </row>
    <row r="470" spans="1:17" hidden="1">
      <c r="A470">
        <f t="shared" si="7"/>
        <v>468</v>
      </c>
      <c r="B470" t="str">
        <f>IF('Master data'!A470="","",'Master data'!A470)</f>
        <v>Filip Holender</v>
      </c>
      <c r="C470" t="str">
        <f>IFERROR(INDEX('Master data'!$B$2:$CL$1000,MATCH($B470,'Master data'!$A$2:$A$1000,0),MATCH(C$1,'Master data'!$B$1:$CL$1,0)),"")</f>
        <v>Hungary</v>
      </c>
      <c r="D470" t="str">
        <f>IFERROR(INDEX('Master data'!$B$2:$CL$1000,MATCH($B470,'Master data'!$A$2:$A$1000,0),MATCH(D$1,'Master data'!$B$1:$CL$1,0)),"")</f>
        <v>Midfield</v>
      </c>
      <c r="E470" s="5">
        <f>IFERROR(INDEX('Master data'!$B$2:$CL$1000,MATCH($B470,'Master data'!$A$2:$A$1000,0),MATCH(E$1,'Master data'!$B$1:$CL$1,0)),"")</f>
        <v>2500000</v>
      </c>
      <c r="F470" s="7">
        <f>IFERROR(INDEX('Master data'!$B$2:$CL$1000,MATCH($B470,'Master data'!$A$2:$A$1000,0),MATCH(F$1,'Master data'!$B$1:$CL$1,0)),"")</f>
        <v>-5000</v>
      </c>
      <c r="G470" s="7">
        <f>IFERROR(INDEX('Master data'!$B$2:$CL$1000,MATCH($B470,'Master data'!$A$2:$A$1000,0),MATCH(G$1,'Master data'!$B$1:$CL$1,0)),"")</f>
        <v>-5000</v>
      </c>
      <c r="H470" s="7">
        <f>IFERROR(INDEX('Master data'!$B$2:$CL$1000,MATCH($B470,'Master data'!$A$2:$A$1000,0),MATCH(H$1,'Master data'!$B$1:$CL$1,0)),"")</f>
        <v>-5000</v>
      </c>
      <c r="I470" s="7">
        <f>IFERROR(INDEX('Master data'!$B$2:$CL$1000,MATCH($B470,'Master data'!$A$2:$A$1000,0),MATCH(I$1,'Master data'!$B$1:$CL$1,0)),"")</f>
        <v>-5050.2143883359968</v>
      </c>
      <c r="J470" s="7">
        <f>IFERROR(INDEX('Master data'!$B$2:$CL$1000,MATCH($B470,'Master data'!$A$2:$A$1000,0),MATCH(J$1,'Master data'!$B$1:$CL$1,0)),"")</f>
        <v>-2475.5273678493763</v>
      </c>
      <c r="K470" s="7">
        <f>IFERROR(INDEX('Master data'!$B$2:$CL$1000,MATCH($B470,'Master data'!$A$2:$A$1000,0),MATCH(K$1,'Master data'!$B$1:$CL$1,0)),"")</f>
        <v>-1193.0760049666703</v>
      </c>
      <c r="L470" s="7">
        <f>IFERROR(INDEX('Master data'!$B$2:$CL$1000,MATCH($B470,'Master data'!$A$2:$A$1000,0),MATCH(L$1,'Master data'!$B$1:$CL$1,0)),"")</f>
        <v>-540.68213639597616</v>
      </c>
      <c r="M470" s="5">
        <f>IFERROR(INDEX('Master data'!$B$2:$CL$1000,MATCH($B470,'Master data'!$A$2:$A$1000,0),MATCH(M$1,'Master data'!$B$1:$CL$1,0)),"")</f>
        <v>-12745.488617362178</v>
      </c>
      <c r="N470" s="28">
        <f>IFERROR(INDEX('Master data'!$B$2:$CL$1000,MATCH($B470,'Master data'!$A$2:$A$1000,0),MATCH(N$1,'Master data'!$B$1:$CL$1,0)),"")</f>
        <v>-6.0000000000000001E-3</v>
      </c>
      <c r="O470" s="7">
        <f>IFERROR(INDEX('Master data'!$B$2:$CL$1000,MATCH($B470,'Master data'!$A$2:$A$1000,0),MATCH(O$1,'Master data'!$B$1:$CL$1,0)),"")</f>
        <v>0</v>
      </c>
      <c r="P470" s="5">
        <f>IFERROR(INDEX('Master data'!$B$2:$CL$1000,MATCH($B470,'Master data'!$A$2:$A$1000,0),MATCH(P$1,'Master data'!$B$1:$CL$1,0)),"")</f>
        <v>2500000</v>
      </c>
      <c r="Q470" s="5">
        <f>IFERROR(INDEX('Master data'!$B$2:$CL$1000,MATCH($B470,'Master data'!$A$2:$A$1000,0),MATCH(Q$1,'Master data'!$B$1:$CL$1,0)),"")</f>
        <v>2500000</v>
      </c>
    </row>
    <row r="471" spans="1:17" hidden="1">
      <c r="A471">
        <f t="shared" si="7"/>
        <v>469</v>
      </c>
      <c r="B471" t="str">
        <f>IF('Master data'!A471="","",'Master data'!A471)</f>
        <v>Alexander Schlager</v>
      </c>
      <c r="C471" t="str">
        <f>IFERROR(INDEX('Master data'!$B$2:$CL$1000,MATCH($B471,'Master data'!$A$2:$A$1000,0),MATCH(C$1,'Master data'!$B$1:$CL$1,0)),"")</f>
        <v>Austria</v>
      </c>
      <c r="D471" t="str">
        <f>IFERROR(INDEX('Master data'!$B$2:$CL$1000,MATCH($B471,'Master data'!$A$2:$A$1000,0),MATCH(D$1,'Master data'!$B$1:$CL$1,0)),"")</f>
        <v>Goalkeeper</v>
      </c>
      <c r="E471" s="5">
        <f>IFERROR(INDEX('Master data'!$B$2:$CL$1000,MATCH($B471,'Master data'!$A$2:$A$1000,0),MATCH(E$1,'Master data'!$B$1:$CL$1,0)),"")</f>
        <v>4000000</v>
      </c>
      <c r="F471" s="7">
        <f>IFERROR(INDEX('Master data'!$B$2:$CL$1000,MATCH($B471,'Master data'!$A$2:$A$1000,0),MATCH(F$1,'Master data'!$B$1:$CL$1,0)),"")</f>
        <v>76766.103389877375</v>
      </c>
      <c r="G471" s="7">
        <f>IFERROR(INDEX('Master data'!$B$2:$CL$1000,MATCH($B471,'Master data'!$A$2:$A$1000,0),MATCH(G$1,'Master data'!$B$1:$CL$1,0)),"")</f>
        <v>26224.396464062578</v>
      </c>
      <c r="H471" s="7">
        <f>IFERROR(INDEX('Master data'!$B$2:$CL$1000,MATCH($B471,'Master data'!$A$2:$A$1000,0),MATCH(H$1,'Master data'!$B$1:$CL$1,0)),"")</f>
        <v>49967.954929396175</v>
      </c>
      <c r="I471" s="7">
        <f>IFERROR(INDEX('Master data'!$B$2:$CL$1000,MATCH($B471,'Master data'!$A$2:$A$1000,0),MATCH(I$1,'Master data'!$B$1:$CL$1,0)),"")</f>
        <v>6760.2365295582204</v>
      </c>
      <c r="J471" s="7">
        <f>IFERROR(INDEX('Master data'!$B$2:$CL$1000,MATCH($B471,'Master data'!$A$2:$A$1000,0),MATCH(J$1,'Master data'!$B$1:$CL$1,0)),"")</f>
        <v>3139.5937578391427</v>
      </c>
      <c r="K471" s="7">
        <f>IFERROR(INDEX('Master data'!$B$2:$CL$1000,MATCH($B471,'Master data'!$A$2:$A$1000,0),MATCH(K$1,'Master data'!$B$1:$CL$1,0)),"")</f>
        <v>1428.60886975786</v>
      </c>
      <c r="L471" s="7">
        <f>IFERROR(INDEX('Master data'!$B$2:$CL$1000,MATCH($B471,'Master data'!$A$2:$A$1000,0),MATCH(L$1,'Master data'!$B$1:$CL$1,0)),"")</f>
        <v>608.4670522909496</v>
      </c>
      <c r="M471" s="5">
        <f>IFERROR(INDEX('Master data'!$B$2:$CL$1000,MATCH($B471,'Master data'!$A$2:$A$1000,0),MATCH(M$1,'Master data'!$B$1:$CL$1,0)),"")</f>
        <v>119321.76184394538</v>
      </c>
      <c r="N471" s="28">
        <f>IFERROR(INDEX('Master data'!$B$2:$CL$1000,MATCH($B471,'Master data'!$A$2:$A$1000,0),MATCH(N$1,'Master data'!$B$1:$CL$1,0)),"")</f>
        <v>3.8239613695834035E-2</v>
      </c>
      <c r="O471" s="7">
        <f>IFERROR(INDEX('Master data'!$B$2:$CL$1000,MATCH($B471,'Master data'!$A$2:$A$1000,0),MATCH(O$1,'Master data'!$B$1:$CL$1,0)),"")</f>
        <v>0</v>
      </c>
      <c r="P471" s="5">
        <f>IFERROR(INDEX('Master data'!$B$2:$CL$1000,MATCH($B471,'Master data'!$A$2:$A$1000,0),MATCH(P$1,'Master data'!$B$1:$CL$1,0)),"")</f>
        <v>4000000</v>
      </c>
      <c r="Q471" s="5">
        <f>IFERROR(INDEX('Master data'!$B$2:$CL$1000,MATCH($B471,'Master data'!$A$2:$A$1000,0),MATCH(Q$1,'Master data'!$B$1:$CL$1,0)),"")</f>
        <v>4000000</v>
      </c>
    </row>
    <row r="472" spans="1:17" hidden="1">
      <c r="A472">
        <f t="shared" si="7"/>
        <v>470</v>
      </c>
      <c r="B472" t="str">
        <f>IF('Master data'!A472="","",'Master data'!A472)</f>
        <v>Philipp Lienhart</v>
      </c>
      <c r="C472" t="str">
        <f>IFERROR(INDEX('Master data'!$B$2:$CL$1000,MATCH($B472,'Master data'!$A$2:$A$1000,0),MATCH(C$1,'Master data'!$B$1:$CL$1,0)),"")</f>
        <v>Austria</v>
      </c>
      <c r="D472" t="str">
        <f>IFERROR(INDEX('Master data'!$B$2:$CL$1000,MATCH($B472,'Master data'!$A$2:$A$1000,0),MATCH(D$1,'Master data'!$B$1:$CL$1,0)),"")</f>
        <v>Defense</v>
      </c>
      <c r="E472" s="5">
        <f>IFERROR(INDEX('Master data'!$B$2:$CL$1000,MATCH($B472,'Master data'!$A$2:$A$1000,0),MATCH(E$1,'Master data'!$B$1:$CL$1,0)),"")</f>
        <v>2000000</v>
      </c>
      <c r="F472" s="7">
        <f>IFERROR(INDEX('Master data'!$B$2:$CL$1000,MATCH($B472,'Master data'!$A$2:$A$1000,0),MATCH(F$1,'Master data'!$B$1:$CL$1,0)),"")</f>
        <v>74381.828805743891</v>
      </c>
      <c r="G472" s="7">
        <f>IFERROR(INDEX('Master data'!$B$2:$CL$1000,MATCH($B472,'Master data'!$A$2:$A$1000,0),MATCH(G$1,'Master data'!$B$1:$CL$1,0)),"")</f>
        <v>11862.599103796598</v>
      </c>
      <c r="H472" s="7">
        <f>IFERROR(INDEX('Master data'!$B$2:$CL$1000,MATCH($B472,'Master data'!$A$2:$A$1000,0),MATCH(H$1,'Master data'!$B$1:$CL$1,0)),"")</f>
        <v>42805.837359200057</v>
      </c>
      <c r="I472" s="7">
        <f>IFERROR(INDEX('Master data'!$B$2:$CL$1000,MATCH($B472,'Master data'!$A$2:$A$1000,0),MATCH(I$1,'Master data'!$B$1:$CL$1,0)),"")</f>
        <v>15531.493051371781</v>
      </c>
      <c r="J472" s="7">
        <f>IFERROR(INDEX('Master data'!$B$2:$CL$1000,MATCH($B472,'Master data'!$A$2:$A$1000,0),MATCH(J$1,'Master data'!$B$1:$CL$1,0)),"")</f>
        <v>7473.2598435593918</v>
      </c>
      <c r="K472" s="7">
        <f>IFERROR(INDEX('Master data'!$B$2:$CL$1000,MATCH($B472,'Master data'!$A$2:$A$1000,0),MATCH(K$1,'Master data'!$B$1:$CL$1,0)),"")</f>
        <v>3533.2210158845896</v>
      </c>
      <c r="L472" s="7">
        <f>IFERROR(INDEX('Master data'!$B$2:$CL$1000,MATCH($B472,'Master data'!$A$2:$A$1000,0),MATCH(L$1,'Master data'!$B$1:$CL$1,0)),"")</f>
        <v>1568.6272089621348</v>
      </c>
      <c r="M472" s="5">
        <f>IFERROR(INDEX('Master data'!$B$2:$CL$1000,MATCH($B472,'Master data'!$A$2:$A$1000,0),MATCH(M$1,'Master data'!$B$1:$CL$1,0)),"")</f>
        <v>107996.16041657148</v>
      </c>
      <c r="N472" s="28">
        <f>IFERROR(INDEX('Master data'!$B$2:$CL$1000,MATCH($B472,'Master data'!$A$2:$A$1000,0),MATCH(N$1,'Master data'!$B$1:$CL$1,0)),"")</f>
        <v>6.4525132634370277E-2</v>
      </c>
      <c r="O472" s="7">
        <f>IFERROR(INDEX('Master data'!$B$2:$CL$1000,MATCH($B472,'Master data'!$A$2:$A$1000,0),MATCH(O$1,'Master data'!$B$1:$CL$1,0)),"")</f>
        <v>0</v>
      </c>
      <c r="P472" s="5">
        <f>IFERROR(INDEX('Master data'!$B$2:$CL$1000,MATCH($B472,'Master data'!$A$2:$A$1000,0),MATCH(P$1,'Master data'!$B$1:$CL$1,0)),"")</f>
        <v>2000000</v>
      </c>
      <c r="Q472" s="5">
        <f>IFERROR(INDEX('Master data'!$B$2:$CL$1000,MATCH($B472,'Master data'!$A$2:$A$1000,0),MATCH(Q$1,'Master data'!$B$1:$CL$1,0)),"")</f>
        <v>2000000</v>
      </c>
    </row>
    <row r="473" spans="1:17" hidden="1">
      <c r="A473">
        <f t="shared" si="7"/>
        <v>471</v>
      </c>
      <c r="B473" t="str">
        <f>IF('Master data'!A473="","",'Master data'!A473)</f>
        <v>Christopher  Trimmel</v>
      </c>
      <c r="C473" t="str">
        <f>IFERROR(INDEX('Master data'!$B$2:$CL$1000,MATCH($B473,'Master data'!$A$2:$A$1000,0),MATCH(C$1,'Master data'!$B$1:$CL$1,0)),"")</f>
        <v>Austria</v>
      </c>
      <c r="D473" t="str">
        <f>IFERROR(INDEX('Master data'!$B$2:$CL$1000,MATCH($B473,'Master data'!$A$2:$A$1000,0),MATCH(D$1,'Master data'!$B$1:$CL$1,0)),"")</f>
        <v>Defense</v>
      </c>
      <c r="E473" s="5">
        <f>IFERROR(INDEX('Master data'!$B$2:$CL$1000,MATCH($B473,'Master data'!$A$2:$A$1000,0),MATCH(E$1,'Master data'!$B$1:$CL$1,0)),"")</f>
        <v>2500000</v>
      </c>
      <c r="F473" s="7">
        <f>IFERROR(INDEX('Master data'!$B$2:$CL$1000,MATCH($B473,'Master data'!$A$2:$A$1000,0),MATCH(F$1,'Master data'!$B$1:$CL$1,0)),"")</f>
        <v>20932.196390965022</v>
      </c>
      <c r="G473" s="7">
        <f>IFERROR(INDEX('Master data'!$B$2:$CL$1000,MATCH($B473,'Master data'!$A$2:$A$1000,0),MATCH(G$1,'Master data'!$B$1:$CL$1,0)),"")</f>
        <v>2880.6608819683797</v>
      </c>
      <c r="H473" s="7">
        <f>IFERROR(INDEX('Master data'!$B$2:$CL$1000,MATCH($B473,'Master data'!$A$2:$A$1000,0),MATCH(H$1,'Master data'!$B$1:$CL$1,0)),"")</f>
        <v>10892.887099479949</v>
      </c>
      <c r="I473" s="7">
        <f>IFERROR(INDEX('Master data'!$B$2:$CL$1000,MATCH($B473,'Master data'!$A$2:$A$1000,0),MATCH(I$1,'Master data'!$B$1:$CL$1,0)),"")</f>
        <v>-9849.8489171373803</v>
      </c>
      <c r="J473" s="7">
        <f>IFERROR(INDEX('Master data'!$B$2:$CL$1000,MATCH($B473,'Master data'!$A$2:$A$1000,0),MATCH(J$1,'Master data'!$B$1:$CL$1,0)),"")</f>
        <v>-4875.7638787549231</v>
      </c>
      <c r="K473" s="7">
        <f>IFERROR(INDEX('Master data'!$B$2:$CL$1000,MATCH($B473,'Master data'!$A$2:$A$1000,0),MATCH(K$1,'Master data'!$B$1:$CL$1,0)),"")</f>
        <v>-2372.2842964018905</v>
      </c>
      <c r="L473" s="7">
        <f>IFERROR(INDEX('Master data'!$B$2:$CL$1000,MATCH($B473,'Master data'!$A$2:$A$1000,0),MATCH(L$1,'Master data'!$B$1:$CL$1,0)),"")</f>
        <v>-1084.2614689132615</v>
      </c>
      <c r="M473" s="5">
        <f>IFERROR(INDEX('Master data'!$B$2:$CL$1000,MATCH($B473,'Master data'!$A$2:$A$1000,0),MATCH(M$1,'Master data'!$B$1:$CL$1,0)),"")</f>
        <v>23404.744014779455</v>
      </c>
      <c r="N473" s="28">
        <f>IFERROR(INDEX('Master data'!$B$2:$CL$1000,MATCH($B473,'Master data'!$A$2:$A$1000,0),MATCH(N$1,'Master data'!$B$1:$CL$1,0)),"")</f>
        <v>1.3882297748965339E-2</v>
      </c>
      <c r="O473" s="7">
        <f>IFERROR(INDEX('Master data'!$B$2:$CL$1000,MATCH($B473,'Master data'!$A$2:$A$1000,0),MATCH(O$1,'Master data'!$B$1:$CL$1,0)),"")</f>
        <v>0</v>
      </c>
      <c r="P473" s="5">
        <f>IFERROR(INDEX('Master data'!$B$2:$CL$1000,MATCH($B473,'Master data'!$A$2:$A$1000,0),MATCH(P$1,'Master data'!$B$1:$CL$1,0)),"")</f>
        <v>2500000</v>
      </c>
      <c r="Q473" s="5">
        <f>IFERROR(INDEX('Master data'!$B$2:$CL$1000,MATCH($B473,'Master data'!$A$2:$A$1000,0),MATCH(Q$1,'Master data'!$B$1:$CL$1,0)),"")</f>
        <v>2500000</v>
      </c>
    </row>
    <row r="474" spans="1:17" hidden="1">
      <c r="A474">
        <f t="shared" si="7"/>
        <v>472</v>
      </c>
      <c r="B474" t="str">
        <f>IF('Master data'!A474="","",'Master data'!A474)</f>
        <v>Marco  Friedl</v>
      </c>
      <c r="C474" t="str">
        <f>IFERROR(INDEX('Master data'!$B$2:$CL$1000,MATCH($B474,'Master data'!$A$2:$A$1000,0),MATCH(C$1,'Master data'!$B$1:$CL$1,0)),"")</f>
        <v>Austria</v>
      </c>
      <c r="D474" t="str">
        <f>IFERROR(INDEX('Master data'!$B$2:$CL$1000,MATCH($B474,'Master data'!$A$2:$A$1000,0),MATCH(D$1,'Master data'!$B$1:$CL$1,0)),"")</f>
        <v>Defense</v>
      </c>
      <c r="E474" s="5">
        <f>IFERROR(INDEX('Master data'!$B$2:$CL$1000,MATCH($B474,'Master data'!$A$2:$A$1000,0),MATCH(E$1,'Master data'!$B$1:$CL$1,0)),"")</f>
        <v>2500000</v>
      </c>
      <c r="F474" s="7">
        <f>IFERROR(INDEX('Master data'!$B$2:$CL$1000,MATCH($B474,'Master data'!$A$2:$A$1000,0),MATCH(F$1,'Master data'!$B$1:$CL$1,0)),"")</f>
        <v>20932.196390965022</v>
      </c>
      <c r="G474" s="7">
        <f>IFERROR(INDEX('Master data'!$B$2:$CL$1000,MATCH($B474,'Master data'!$A$2:$A$1000,0),MATCH(G$1,'Master data'!$B$1:$CL$1,0)),"")</f>
        <v>2880.6608819683797</v>
      </c>
      <c r="H474" s="7">
        <f>IFERROR(INDEX('Master data'!$B$2:$CL$1000,MATCH($B474,'Master data'!$A$2:$A$1000,0),MATCH(H$1,'Master data'!$B$1:$CL$1,0)),"")</f>
        <v>10892.887099479949</v>
      </c>
      <c r="I474" s="7">
        <f>IFERROR(INDEX('Master data'!$B$2:$CL$1000,MATCH($B474,'Master data'!$A$2:$A$1000,0),MATCH(I$1,'Master data'!$B$1:$CL$1,0)),"")</f>
        <v>-9849.8489171373803</v>
      </c>
      <c r="J474" s="7">
        <f>IFERROR(INDEX('Master data'!$B$2:$CL$1000,MATCH($B474,'Master data'!$A$2:$A$1000,0),MATCH(J$1,'Master data'!$B$1:$CL$1,0)),"")</f>
        <v>-4875.7638787549231</v>
      </c>
      <c r="K474" s="7">
        <f>IFERROR(INDEX('Master data'!$B$2:$CL$1000,MATCH($B474,'Master data'!$A$2:$A$1000,0),MATCH(K$1,'Master data'!$B$1:$CL$1,0)),"")</f>
        <v>-2372.2842964018905</v>
      </c>
      <c r="L474" s="7">
        <f>IFERROR(INDEX('Master data'!$B$2:$CL$1000,MATCH($B474,'Master data'!$A$2:$A$1000,0),MATCH(L$1,'Master data'!$B$1:$CL$1,0)),"")</f>
        <v>-1084.2614689132615</v>
      </c>
      <c r="M474" s="5">
        <f>IFERROR(INDEX('Master data'!$B$2:$CL$1000,MATCH($B474,'Master data'!$A$2:$A$1000,0),MATCH(M$1,'Master data'!$B$1:$CL$1,0)),"")</f>
        <v>23404.744014779455</v>
      </c>
      <c r="N474" s="28">
        <f>IFERROR(INDEX('Master data'!$B$2:$CL$1000,MATCH($B474,'Master data'!$A$2:$A$1000,0),MATCH(N$1,'Master data'!$B$1:$CL$1,0)),"")</f>
        <v>1.3882297748965339E-2</v>
      </c>
      <c r="O474" s="7">
        <f>IFERROR(INDEX('Master data'!$B$2:$CL$1000,MATCH($B474,'Master data'!$A$2:$A$1000,0),MATCH(O$1,'Master data'!$B$1:$CL$1,0)),"")</f>
        <v>0</v>
      </c>
      <c r="P474" s="5">
        <f>IFERROR(INDEX('Master data'!$B$2:$CL$1000,MATCH($B474,'Master data'!$A$2:$A$1000,0),MATCH(P$1,'Master data'!$B$1:$CL$1,0)),"")</f>
        <v>2500000</v>
      </c>
      <c r="Q474" s="5">
        <f>IFERROR(INDEX('Master data'!$B$2:$CL$1000,MATCH($B474,'Master data'!$A$2:$A$1000,0),MATCH(Q$1,'Master data'!$B$1:$CL$1,0)),"")</f>
        <v>2500000</v>
      </c>
    </row>
    <row r="475" spans="1:17" hidden="1">
      <c r="A475">
        <f t="shared" si="7"/>
        <v>473</v>
      </c>
      <c r="B475" t="str">
        <f>IF('Master data'!A475="","",'Master data'!A475)</f>
        <v>Stefan Posch</v>
      </c>
      <c r="C475" t="str">
        <f>IFERROR(INDEX('Master data'!$B$2:$CL$1000,MATCH($B475,'Master data'!$A$2:$A$1000,0),MATCH(C$1,'Master data'!$B$1:$CL$1,0)),"")</f>
        <v>Austria</v>
      </c>
      <c r="D475" t="str">
        <f>IFERROR(INDEX('Master data'!$B$2:$CL$1000,MATCH($B475,'Master data'!$A$2:$A$1000,0),MATCH(D$1,'Master data'!$B$1:$CL$1,0)),"")</f>
        <v>Defense</v>
      </c>
      <c r="E475" s="5">
        <f>IFERROR(INDEX('Master data'!$B$2:$CL$1000,MATCH($B475,'Master data'!$A$2:$A$1000,0),MATCH(E$1,'Master data'!$B$1:$CL$1,0)),"")</f>
        <v>2000000</v>
      </c>
      <c r="F475" s="7">
        <f>IFERROR(INDEX('Master data'!$B$2:$CL$1000,MATCH($B475,'Master data'!$A$2:$A$1000,0),MATCH(F$1,'Master data'!$B$1:$CL$1,0)),"")</f>
        <v>20932.196390965022</v>
      </c>
      <c r="G475" s="7">
        <f>IFERROR(INDEX('Master data'!$B$2:$CL$1000,MATCH($B475,'Master data'!$A$2:$A$1000,0),MATCH(G$1,'Master data'!$B$1:$CL$1,0)),"")</f>
        <v>2880.6608819683797</v>
      </c>
      <c r="H475" s="7">
        <f>IFERROR(INDEX('Master data'!$B$2:$CL$1000,MATCH($B475,'Master data'!$A$2:$A$1000,0),MATCH(H$1,'Master data'!$B$1:$CL$1,0)),"")</f>
        <v>10892.887099479949</v>
      </c>
      <c r="I475" s="7">
        <f>IFERROR(INDEX('Master data'!$B$2:$CL$1000,MATCH($B475,'Master data'!$A$2:$A$1000,0),MATCH(I$1,'Master data'!$B$1:$CL$1,0)),"")</f>
        <v>-6275.4881072173584</v>
      </c>
      <c r="J475" s="7">
        <f>IFERROR(INDEX('Master data'!$B$2:$CL$1000,MATCH($B475,'Master data'!$A$2:$A$1000,0),MATCH(J$1,'Master data'!$B$1:$CL$1,0)),"")</f>
        <v>-3121.1550190594589</v>
      </c>
      <c r="K475" s="7">
        <f>IFERROR(INDEX('Master data'!$B$2:$CL$1000,MATCH($B475,'Master data'!$A$2:$A$1000,0),MATCH(K$1,'Master data'!$B$1:$CL$1,0)),"")</f>
        <v>-1525.6354385678483</v>
      </c>
      <c r="L475" s="7">
        <f>IFERROR(INDEX('Master data'!$B$2:$CL$1000,MATCH($B475,'Master data'!$A$2:$A$1000,0),MATCH(L$1,'Master data'!$B$1:$CL$1,0)),"")</f>
        <v>-700.46659338231495</v>
      </c>
      <c r="M475" s="5">
        <f>IFERROR(INDEX('Master data'!$B$2:$CL$1000,MATCH($B475,'Master data'!$A$2:$A$1000,0),MATCH(M$1,'Master data'!$B$1:$CL$1,0)),"")</f>
        <v>24955.590068448757</v>
      </c>
      <c r="N475" s="28">
        <f>IFERROR(INDEX('Master data'!$B$2:$CL$1000,MATCH($B475,'Master data'!$A$2:$A$1000,0),MATCH(N$1,'Master data'!$B$1:$CL$1,0)),"")</f>
        <v>1.7352872186206673E-2</v>
      </c>
      <c r="O475" s="7">
        <f>IFERROR(INDEX('Master data'!$B$2:$CL$1000,MATCH($B475,'Master data'!$A$2:$A$1000,0),MATCH(O$1,'Master data'!$B$1:$CL$1,0)),"")</f>
        <v>0</v>
      </c>
      <c r="P475" s="5">
        <f>IFERROR(INDEX('Master data'!$B$2:$CL$1000,MATCH($B475,'Master data'!$A$2:$A$1000,0),MATCH(P$1,'Master data'!$B$1:$CL$1,0)),"")</f>
        <v>2000000</v>
      </c>
      <c r="Q475" s="5">
        <f>IFERROR(INDEX('Master data'!$B$2:$CL$1000,MATCH($B475,'Master data'!$A$2:$A$1000,0),MATCH(Q$1,'Master data'!$B$1:$CL$1,0)),"")</f>
        <v>2000000</v>
      </c>
    </row>
    <row r="476" spans="1:17" hidden="1">
      <c r="A476">
        <f t="shared" si="7"/>
        <v>474</v>
      </c>
      <c r="B476" t="str">
        <f>IF('Master data'!A476="","",'Master data'!A476)</f>
        <v>Andreas Ulmer</v>
      </c>
      <c r="C476" t="str">
        <f>IFERROR(INDEX('Master data'!$B$2:$CL$1000,MATCH($B476,'Master data'!$A$2:$A$1000,0),MATCH(C$1,'Master data'!$B$1:$CL$1,0)),"")</f>
        <v>Austria</v>
      </c>
      <c r="D476" t="str">
        <f>IFERROR(INDEX('Master data'!$B$2:$CL$1000,MATCH($B476,'Master data'!$A$2:$A$1000,0),MATCH(D$1,'Master data'!$B$1:$CL$1,0)),"")</f>
        <v>Defense</v>
      </c>
      <c r="E476" s="5">
        <f>IFERROR(INDEX('Master data'!$B$2:$CL$1000,MATCH($B476,'Master data'!$A$2:$A$1000,0),MATCH(E$1,'Master data'!$B$1:$CL$1,0)),"")</f>
        <v>3000000</v>
      </c>
      <c r="F476" s="7">
        <f>IFERROR(INDEX('Master data'!$B$2:$CL$1000,MATCH($B476,'Master data'!$A$2:$A$1000,0),MATCH(F$1,'Master data'!$B$1:$CL$1,0)),"")</f>
        <v>20932.196390965022</v>
      </c>
      <c r="G476" s="7">
        <f>IFERROR(INDEX('Master data'!$B$2:$CL$1000,MATCH($B476,'Master data'!$A$2:$A$1000,0),MATCH(G$1,'Master data'!$B$1:$CL$1,0)),"")</f>
        <v>2880.6608819683797</v>
      </c>
      <c r="H476" s="7">
        <f>IFERROR(INDEX('Master data'!$B$2:$CL$1000,MATCH($B476,'Master data'!$A$2:$A$1000,0),MATCH(H$1,'Master data'!$B$1:$CL$1,0)),"")</f>
        <v>10892.887099479949</v>
      </c>
      <c r="I476" s="7">
        <f>IFERROR(INDEX('Master data'!$B$2:$CL$1000,MATCH($B476,'Master data'!$A$2:$A$1000,0),MATCH(I$1,'Master data'!$B$1:$CL$1,0)),"")</f>
        <v>-13424.209727057403</v>
      </c>
      <c r="J476" s="7">
        <f>IFERROR(INDEX('Master data'!$B$2:$CL$1000,MATCH($B476,'Master data'!$A$2:$A$1000,0),MATCH(J$1,'Master data'!$B$1:$CL$1,0)),"")</f>
        <v>-6630.3727384503882</v>
      </c>
      <c r="K476" s="7">
        <f>IFERROR(INDEX('Master data'!$B$2:$CL$1000,MATCH($B476,'Master data'!$A$2:$A$1000,0),MATCH(K$1,'Master data'!$B$1:$CL$1,0)),"")</f>
        <v>-3218.9331542359328</v>
      </c>
      <c r="L476" s="7">
        <f>IFERROR(INDEX('Master data'!$B$2:$CL$1000,MATCH($B476,'Master data'!$A$2:$A$1000,0),MATCH(L$1,'Master data'!$B$1:$CL$1,0)),"")</f>
        <v>-1468.0563444442084</v>
      </c>
      <c r="M476" s="5">
        <f>IFERROR(INDEX('Master data'!$B$2:$CL$1000,MATCH($B476,'Master data'!$A$2:$A$1000,0),MATCH(M$1,'Master data'!$B$1:$CL$1,0)),"")</f>
        <v>21853.897961110157</v>
      </c>
      <c r="N476" s="28">
        <f>IFERROR(INDEX('Master data'!$B$2:$CL$1000,MATCH($B476,'Master data'!$A$2:$A$1000,0),MATCH(N$1,'Master data'!$B$1:$CL$1,0)),"")</f>
        <v>1.1568581457471116E-2</v>
      </c>
      <c r="O476" s="7">
        <f>IFERROR(INDEX('Master data'!$B$2:$CL$1000,MATCH($B476,'Master data'!$A$2:$A$1000,0),MATCH(O$1,'Master data'!$B$1:$CL$1,0)),"")</f>
        <v>0</v>
      </c>
      <c r="P476" s="5">
        <f>IFERROR(INDEX('Master data'!$B$2:$CL$1000,MATCH($B476,'Master data'!$A$2:$A$1000,0),MATCH(P$1,'Master data'!$B$1:$CL$1,0)),"")</f>
        <v>3000000</v>
      </c>
      <c r="Q476" s="5">
        <f>IFERROR(INDEX('Master data'!$B$2:$CL$1000,MATCH($B476,'Master data'!$A$2:$A$1000,0),MATCH(Q$1,'Master data'!$B$1:$CL$1,0)),"")</f>
        <v>3000000</v>
      </c>
    </row>
    <row r="477" spans="1:17" hidden="1">
      <c r="A477">
        <f t="shared" si="7"/>
        <v>475</v>
      </c>
      <c r="B477" t="str">
        <f>IF('Master data'!A477="","",'Master data'!A477)</f>
        <v>Stefan Ilsanker</v>
      </c>
      <c r="C477" t="str">
        <f>IFERROR(INDEX('Master data'!$B$2:$CL$1000,MATCH($B477,'Master data'!$A$2:$A$1000,0),MATCH(C$1,'Master data'!$B$1:$CL$1,0)),"")</f>
        <v>Austria</v>
      </c>
      <c r="D477" t="str">
        <f>IFERROR(INDEX('Master data'!$B$2:$CL$1000,MATCH($B477,'Master data'!$A$2:$A$1000,0),MATCH(D$1,'Master data'!$B$1:$CL$1,0)),"")</f>
        <v>Midfield</v>
      </c>
      <c r="E477" s="5">
        <f>IFERROR(INDEX('Master data'!$B$2:$CL$1000,MATCH($B477,'Master data'!$A$2:$A$1000,0),MATCH(E$1,'Master data'!$B$1:$CL$1,0)),"")</f>
        <v>3000000</v>
      </c>
      <c r="F477" s="7">
        <f>IFERROR(INDEX('Master data'!$B$2:$CL$1000,MATCH($B477,'Master data'!$A$2:$A$1000,0),MATCH(F$1,'Master data'!$B$1:$CL$1,0)),"")</f>
        <v>45697.908023647149</v>
      </c>
      <c r="G477" s="7">
        <f>IFERROR(INDEX('Master data'!$B$2:$CL$1000,MATCH($B477,'Master data'!$A$2:$A$1000,0),MATCH(G$1,'Master data'!$B$1:$CL$1,0)),"")</f>
        <v>921.17088810144196</v>
      </c>
      <c r="H477" s="7">
        <f>IFERROR(INDEX('Master data'!$B$2:$CL$1000,MATCH($B477,'Master data'!$A$2:$A$1000,0),MATCH(H$1,'Master data'!$B$1:$CL$1,0)),"")</f>
        <v>23994.117623470942</v>
      </c>
      <c r="I477" s="7">
        <f>IFERROR(INDEX('Master data'!$B$2:$CL$1000,MATCH($B477,'Master data'!$A$2:$A$1000,0),MATCH(I$1,'Master data'!$B$1:$CL$1,0)),"")</f>
        <v>-5124.4894536595366</v>
      </c>
      <c r="J477" s="7">
        <f>IFERROR(INDEX('Master data'!$B$2:$CL$1000,MATCH($B477,'Master data'!$A$2:$A$1000,0),MATCH(J$1,'Master data'!$B$1:$CL$1,0)),"")</f>
        <v>-2598.1465820375383</v>
      </c>
      <c r="K477" s="7">
        <f>IFERROR(INDEX('Master data'!$B$2:$CL$1000,MATCH($B477,'Master data'!$A$2:$A$1000,0),MATCH(K$1,'Master data'!$B$1:$CL$1,0)),"")</f>
        <v>-1293.5362746824769</v>
      </c>
      <c r="L477" s="7">
        <f>IFERROR(INDEX('Master data'!$B$2:$CL$1000,MATCH($B477,'Master data'!$A$2:$A$1000,0),MATCH(L$1,'Master data'!$B$1:$CL$1,0)),"")</f>
        <v>-604.44098674753059</v>
      </c>
      <c r="M477" s="5">
        <f>IFERROR(INDEX('Master data'!$B$2:$CL$1000,MATCH($B477,'Master data'!$A$2:$A$1000,0),MATCH(M$1,'Master data'!$B$1:$CL$1,0)),"")</f>
        <v>54721.085837497158</v>
      </c>
      <c r="N477" s="28">
        <f>IFERROR(INDEX('Master data'!$B$2:$CL$1000,MATCH($B477,'Master data'!$A$2:$A$1000,0),MATCH(N$1,'Master data'!$B$1:$CL$1,0)),"")</f>
        <v>2.3537732178406507E-2</v>
      </c>
      <c r="O477" s="7">
        <f>IFERROR(INDEX('Master data'!$B$2:$CL$1000,MATCH($B477,'Master data'!$A$2:$A$1000,0),MATCH(O$1,'Master data'!$B$1:$CL$1,0)),"")</f>
        <v>0</v>
      </c>
      <c r="P477" s="5">
        <f>IFERROR(INDEX('Master data'!$B$2:$CL$1000,MATCH($B477,'Master data'!$A$2:$A$1000,0),MATCH(P$1,'Master data'!$B$1:$CL$1,0)),"")</f>
        <v>3000000</v>
      </c>
      <c r="Q477" s="5">
        <f>IFERROR(INDEX('Master data'!$B$2:$CL$1000,MATCH($B477,'Master data'!$A$2:$A$1000,0),MATCH(Q$1,'Master data'!$B$1:$CL$1,0)),"")</f>
        <v>3000000</v>
      </c>
    </row>
    <row r="478" spans="1:17" hidden="1">
      <c r="A478">
        <f t="shared" si="7"/>
        <v>476</v>
      </c>
      <c r="B478" t="str">
        <f>IF('Master data'!A478="","",'Master data'!A478)</f>
        <v>Martin Hinteregger</v>
      </c>
      <c r="C478" t="str">
        <f>IFERROR(INDEX('Master data'!$B$2:$CL$1000,MATCH($B478,'Master data'!$A$2:$A$1000,0),MATCH(C$1,'Master data'!$B$1:$CL$1,0)),"")</f>
        <v>Austria</v>
      </c>
      <c r="D478" t="str">
        <f>IFERROR(INDEX('Master data'!$B$2:$CL$1000,MATCH($B478,'Master data'!$A$2:$A$1000,0),MATCH(D$1,'Master data'!$B$1:$CL$1,0)),"")</f>
        <v>Defense</v>
      </c>
      <c r="E478" s="5">
        <f>IFERROR(INDEX('Master data'!$B$2:$CL$1000,MATCH($B478,'Master data'!$A$2:$A$1000,0),MATCH(E$1,'Master data'!$B$1:$CL$1,0)),"")</f>
        <v>3000000</v>
      </c>
      <c r="F478" s="7">
        <f>IFERROR(INDEX('Master data'!$B$2:$CL$1000,MATCH($B478,'Master data'!$A$2:$A$1000,0),MATCH(F$1,'Master data'!$B$1:$CL$1,0)),"")</f>
        <v>20932.196390965022</v>
      </c>
      <c r="G478" s="7">
        <f>IFERROR(INDEX('Master data'!$B$2:$CL$1000,MATCH($B478,'Master data'!$A$2:$A$1000,0),MATCH(G$1,'Master data'!$B$1:$CL$1,0)),"")</f>
        <v>2880.6608819683797</v>
      </c>
      <c r="H478" s="7">
        <f>IFERROR(INDEX('Master data'!$B$2:$CL$1000,MATCH($B478,'Master data'!$A$2:$A$1000,0),MATCH(H$1,'Master data'!$B$1:$CL$1,0)),"")</f>
        <v>10892.887099479949</v>
      </c>
      <c r="I478" s="7">
        <f>IFERROR(INDEX('Master data'!$B$2:$CL$1000,MATCH($B478,'Master data'!$A$2:$A$1000,0),MATCH(I$1,'Master data'!$B$1:$CL$1,0)),"")</f>
        <v>-13424.209727057403</v>
      </c>
      <c r="J478" s="7">
        <f>IFERROR(INDEX('Master data'!$B$2:$CL$1000,MATCH($B478,'Master data'!$A$2:$A$1000,0),MATCH(J$1,'Master data'!$B$1:$CL$1,0)),"")</f>
        <v>-6630.3727384503882</v>
      </c>
      <c r="K478" s="7">
        <f>IFERROR(INDEX('Master data'!$B$2:$CL$1000,MATCH($B478,'Master data'!$A$2:$A$1000,0),MATCH(K$1,'Master data'!$B$1:$CL$1,0)),"")</f>
        <v>-3218.9331542359328</v>
      </c>
      <c r="L478" s="7">
        <f>IFERROR(INDEX('Master data'!$B$2:$CL$1000,MATCH($B478,'Master data'!$A$2:$A$1000,0),MATCH(L$1,'Master data'!$B$1:$CL$1,0)),"")</f>
        <v>-1468.0563444442084</v>
      </c>
      <c r="M478" s="5">
        <f>IFERROR(INDEX('Master data'!$B$2:$CL$1000,MATCH($B478,'Master data'!$A$2:$A$1000,0),MATCH(M$1,'Master data'!$B$1:$CL$1,0)),"")</f>
        <v>21853.897961110157</v>
      </c>
      <c r="N478" s="28">
        <f>IFERROR(INDEX('Master data'!$B$2:$CL$1000,MATCH($B478,'Master data'!$A$2:$A$1000,0),MATCH(N$1,'Master data'!$B$1:$CL$1,0)),"")</f>
        <v>1.1568581457471116E-2</v>
      </c>
      <c r="O478" s="7">
        <f>IFERROR(INDEX('Master data'!$B$2:$CL$1000,MATCH($B478,'Master data'!$A$2:$A$1000,0),MATCH(O$1,'Master data'!$B$1:$CL$1,0)),"")</f>
        <v>0</v>
      </c>
      <c r="P478" s="5">
        <f>IFERROR(INDEX('Master data'!$B$2:$CL$1000,MATCH($B478,'Master data'!$A$2:$A$1000,0),MATCH(P$1,'Master data'!$B$1:$CL$1,0)),"")</f>
        <v>3000000</v>
      </c>
      <c r="Q478" s="5">
        <f>IFERROR(INDEX('Master data'!$B$2:$CL$1000,MATCH($B478,'Master data'!$A$2:$A$1000,0),MATCH(Q$1,'Master data'!$B$1:$CL$1,0)),"")</f>
        <v>3000000</v>
      </c>
    </row>
    <row r="479" spans="1:17" hidden="1">
      <c r="A479">
        <f t="shared" si="7"/>
        <v>477</v>
      </c>
      <c r="B479" t="str">
        <f>IF('Master data'!A479="","",'Master data'!A479)</f>
        <v>Aleksandar Dragovic</v>
      </c>
      <c r="C479" t="str">
        <f>IFERROR(INDEX('Master data'!$B$2:$CL$1000,MATCH($B479,'Master data'!$A$2:$A$1000,0),MATCH(C$1,'Master data'!$B$1:$CL$1,0)),"")</f>
        <v>Austria</v>
      </c>
      <c r="D479" t="str">
        <f>IFERROR(INDEX('Master data'!$B$2:$CL$1000,MATCH($B479,'Master data'!$A$2:$A$1000,0),MATCH(D$1,'Master data'!$B$1:$CL$1,0)),"")</f>
        <v>Defense</v>
      </c>
      <c r="E479" s="5">
        <f>IFERROR(INDEX('Master data'!$B$2:$CL$1000,MATCH($B479,'Master data'!$A$2:$A$1000,0),MATCH(E$1,'Master data'!$B$1:$CL$1,0)),"")</f>
        <v>3000000</v>
      </c>
      <c r="F479" s="7">
        <f>IFERROR(INDEX('Master data'!$B$2:$CL$1000,MATCH($B479,'Master data'!$A$2:$A$1000,0),MATCH(F$1,'Master data'!$B$1:$CL$1,0)),"")</f>
        <v>69902.923323831608</v>
      </c>
      <c r="G479" s="7">
        <f>IFERROR(INDEX('Master data'!$B$2:$CL$1000,MATCH($B479,'Master data'!$A$2:$A$1000,0),MATCH(G$1,'Master data'!$B$1:$CL$1,0)),"")</f>
        <v>7965.8425292567154</v>
      </c>
      <c r="H479" s="7">
        <f>IFERROR(INDEX('Master data'!$B$2:$CL$1000,MATCH($B479,'Master data'!$A$2:$A$1000,0),MATCH(H$1,'Master data'!$B$1:$CL$1,0)),"")</f>
        <v>38641.716228909456</v>
      </c>
      <c r="I479" s="7">
        <f>IFERROR(INDEX('Master data'!$B$2:$CL$1000,MATCH($B479,'Master data'!$A$2:$A$1000,0),MATCH(I$1,'Master data'!$B$1:$CL$1,0)),"")</f>
        <v>5484.3008782010893</v>
      </c>
      <c r="J479" s="7">
        <f>IFERROR(INDEX('Master data'!$B$2:$CL$1000,MATCH($B479,'Master data'!$A$2:$A$1000,0),MATCH(J$1,'Master data'!$B$1:$CL$1,0)),"")</f>
        <v>2555.8875847688432</v>
      </c>
      <c r="K479" s="7">
        <f>IFERROR(INDEX('Master data'!$B$2:$CL$1000,MATCH($B479,'Master data'!$A$2:$A$1000,0),MATCH(K$1,'Master data'!$B$1:$CL$1,0)),"")</f>
        <v>1167.5264030888272</v>
      </c>
      <c r="L479" s="7">
        <f>IFERROR(INDEX('Master data'!$B$2:$CL$1000,MATCH($B479,'Master data'!$A$2:$A$1000,0),MATCH(L$1,'Master data'!$B$1:$CL$1,0)),"")</f>
        <v>499.44130752020527</v>
      </c>
      <c r="M479" s="5">
        <f>IFERROR(INDEX('Master data'!$B$2:$CL$1000,MATCH($B479,'Master data'!$A$2:$A$1000,0),MATCH(M$1,'Master data'!$B$1:$CL$1,0)),"")</f>
        <v>94715.020865205282</v>
      </c>
      <c r="N479" s="28">
        <f>IFERROR(INDEX('Master data'!$B$2:$CL$1000,MATCH($B479,'Master data'!$A$2:$A$1000,0),MATCH(N$1,'Master data'!$B$1:$CL$1,0)),"")</f>
        <v>3.8836827360665932E-2</v>
      </c>
      <c r="O479" s="7">
        <f>IFERROR(INDEX('Master data'!$B$2:$CL$1000,MATCH($B479,'Master data'!$A$2:$A$1000,0),MATCH(O$1,'Master data'!$B$1:$CL$1,0)),"")</f>
        <v>0</v>
      </c>
      <c r="P479" s="5">
        <f>IFERROR(INDEX('Master data'!$B$2:$CL$1000,MATCH($B479,'Master data'!$A$2:$A$1000,0),MATCH(P$1,'Master data'!$B$1:$CL$1,0)),"")</f>
        <v>3000000</v>
      </c>
      <c r="Q479" s="5">
        <f>IFERROR(INDEX('Master data'!$B$2:$CL$1000,MATCH($B479,'Master data'!$A$2:$A$1000,0),MATCH(Q$1,'Master data'!$B$1:$CL$1,0)),"")</f>
        <v>3000000</v>
      </c>
    </row>
    <row r="480" spans="1:17" hidden="1">
      <c r="A480">
        <f t="shared" si="7"/>
        <v>478</v>
      </c>
      <c r="B480" t="str">
        <f>IF('Master data'!A480="","",'Master data'!A480)</f>
        <v>Louis  Schaub</v>
      </c>
      <c r="C480" t="str">
        <f>IFERROR(INDEX('Master data'!$B$2:$CL$1000,MATCH($B480,'Master data'!$A$2:$A$1000,0),MATCH(C$1,'Master data'!$B$1:$CL$1,0)),"")</f>
        <v>Austria</v>
      </c>
      <c r="D480" t="str">
        <f>IFERROR(INDEX('Master data'!$B$2:$CL$1000,MATCH($B480,'Master data'!$A$2:$A$1000,0),MATCH(D$1,'Master data'!$B$1:$CL$1,0)),"")</f>
        <v>Midfield</v>
      </c>
      <c r="E480" s="5">
        <f>IFERROR(INDEX('Master data'!$B$2:$CL$1000,MATCH($B480,'Master data'!$A$2:$A$1000,0),MATCH(E$1,'Master data'!$B$1:$CL$1,0)),"")</f>
        <v>3000000</v>
      </c>
      <c r="F480" s="7">
        <f>IFERROR(INDEX('Master data'!$B$2:$CL$1000,MATCH($B480,'Master data'!$A$2:$A$1000,0),MATCH(F$1,'Master data'!$B$1:$CL$1,0)),"")</f>
        <v>-5000</v>
      </c>
      <c r="G480" s="7">
        <f>IFERROR(INDEX('Master data'!$B$2:$CL$1000,MATCH($B480,'Master data'!$A$2:$A$1000,0),MATCH(G$1,'Master data'!$B$1:$CL$1,0)),"")</f>
        <v>-5000</v>
      </c>
      <c r="H480" s="7">
        <f>IFERROR(INDEX('Master data'!$B$2:$CL$1000,MATCH($B480,'Master data'!$A$2:$A$1000,0),MATCH(H$1,'Master data'!$B$1:$CL$1,0)),"")</f>
        <v>-5000</v>
      </c>
      <c r="I480" s="7">
        <f>IFERROR(INDEX('Master data'!$B$2:$CL$1000,MATCH($B480,'Master data'!$A$2:$A$1000,0),MATCH(I$1,'Master data'!$B$1:$CL$1,0)),"")</f>
        <v>-24913.294845142547</v>
      </c>
      <c r="J480" s="7">
        <f>IFERROR(INDEX('Master data'!$B$2:$CL$1000,MATCH($B480,'Master data'!$A$2:$A$1000,0),MATCH(J$1,'Master data'!$B$1:$CL$1,0)),"")</f>
        <v>-12212.077663480432</v>
      </c>
      <c r="K480" s="7">
        <f>IFERROR(INDEX('Master data'!$B$2:$CL$1000,MATCH($B480,'Master data'!$A$2:$A$1000,0),MATCH(K$1,'Master data'!$B$1:$CL$1,0)),"")</f>
        <v>-5884.2095619465927</v>
      </c>
      <c r="L480" s="7">
        <f>IFERROR(INDEX('Master data'!$B$2:$CL$1000,MATCH($B480,'Master data'!$A$2:$A$1000,0),MATCH(L$1,'Master data'!$B$1:$CL$1,0)),"")</f>
        <v>-2663.5364361847705</v>
      </c>
      <c r="M480" s="5">
        <f>IFERROR(INDEX('Master data'!$B$2:$CL$1000,MATCH($B480,'Master data'!$A$2:$A$1000,0),MATCH(M$1,'Master data'!$B$1:$CL$1,0)),"")</f>
        <v>-21358.245980733427</v>
      </c>
      <c r="N480" s="28">
        <f>IFERROR(INDEX('Master data'!$B$2:$CL$1000,MATCH($B480,'Master data'!$A$2:$A$1000,0),MATCH(N$1,'Master data'!$B$1:$CL$1,0)),"")</f>
        <v>-5.0000000000000001E-3</v>
      </c>
      <c r="O480" s="7">
        <f>IFERROR(INDEX('Master data'!$B$2:$CL$1000,MATCH($B480,'Master data'!$A$2:$A$1000,0),MATCH(O$1,'Master data'!$B$1:$CL$1,0)),"")</f>
        <v>0</v>
      </c>
      <c r="P480" s="5">
        <f>IFERROR(INDEX('Master data'!$B$2:$CL$1000,MATCH($B480,'Master data'!$A$2:$A$1000,0),MATCH(P$1,'Master data'!$B$1:$CL$1,0)),"")</f>
        <v>3000000</v>
      </c>
      <c r="Q480" s="5">
        <f>IFERROR(INDEX('Master data'!$B$2:$CL$1000,MATCH($B480,'Master data'!$A$2:$A$1000,0),MATCH(Q$1,'Master data'!$B$1:$CL$1,0)),"")</f>
        <v>3000000</v>
      </c>
    </row>
    <row r="481" spans="1:17" hidden="1">
      <c r="A481">
        <f t="shared" si="7"/>
        <v>479</v>
      </c>
      <c r="B481" t="str">
        <f>IF('Master data'!A481="","",'Master data'!A481)</f>
        <v>Valentino  Lazaro</v>
      </c>
      <c r="C481" t="str">
        <f>IFERROR(INDEX('Master data'!$B$2:$CL$1000,MATCH($B481,'Master data'!$A$2:$A$1000,0),MATCH(C$1,'Master data'!$B$1:$CL$1,0)),"")</f>
        <v>Austria</v>
      </c>
      <c r="D481" t="str">
        <f>IFERROR(INDEX('Master data'!$B$2:$CL$1000,MATCH($B481,'Master data'!$A$2:$A$1000,0),MATCH(D$1,'Master data'!$B$1:$CL$1,0)),"")</f>
        <v>Midfield</v>
      </c>
      <c r="E481" s="5">
        <f>IFERROR(INDEX('Master data'!$B$2:$CL$1000,MATCH($B481,'Master data'!$A$2:$A$1000,0),MATCH(E$1,'Master data'!$B$1:$CL$1,0)),"")</f>
        <v>2000000</v>
      </c>
      <c r="F481" s="7">
        <f>IFERROR(INDEX('Master data'!$B$2:$CL$1000,MATCH($B481,'Master data'!$A$2:$A$1000,0),MATCH(F$1,'Master data'!$B$1:$CL$1,0)),"")</f>
        <v>-5000</v>
      </c>
      <c r="G481" s="7">
        <f>IFERROR(INDEX('Master data'!$B$2:$CL$1000,MATCH($B481,'Master data'!$A$2:$A$1000,0),MATCH(G$1,'Master data'!$B$1:$CL$1,0)),"")</f>
        <v>-5000</v>
      </c>
      <c r="H481" s="7">
        <f>IFERROR(INDEX('Master data'!$B$2:$CL$1000,MATCH($B481,'Master data'!$A$2:$A$1000,0),MATCH(H$1,'Master data'!$B$1:$CL$1,0)),"")</f>
        <v>-5000</v>
      </c>
      <c r="I481" s="7">
        <f>IFERROR(INDEX('Master data'!$B$2:$CL$1000,MATCH($B481,'Master data'!$A$2:$A$1000,0),MATCH(I$1,'Master data'!$B$1:$CL$1,0)),"")</f>
        <v>-17764.573225302505</v>
      </c>
      <c r="J481" s="7">
        <f>IFERROR(INDEX('Master data'!$B$2:$CL$1000,MATCH($B481,'Master data'!$A$2:$A$1000,0),MATCH(J$1,'Master data'!$B$1:$CL$1,0)),"")</f>
        <v>-8702.8599440895032</v>
      </c>
      <c r="K481" s="7">
        <f>IFERROR(INDEX('Master data'!$B$2:$CL$1000,MATCH($B481,'Master data'!$A$2:$A$1000,0),MATCH(K$1,'Master data'!$B$1:$CL$1,0)),"")</f>
        <v>-4190.9118462785082</v>
      </c>
      <c r="L481" s="7">
        <f>IFERROR(INDEX('Master data'!$B$2:$CL$1000,MATCH($B481,'Master data'!$A$2:$A$1000,0),MATCH(L$1,'Master data'!$B$1:$CL$1,0)),"")</f>
        <v>-1895.9466851228772</v>
      </c>
      <c r="M481" s="5">
        <f>IFERROR(INDEX('Master data'!$B$2:$CL$1000,MATCH($B481,'Master data'!$A$2:$A$1000,0),MATCH(M$1,'Master data'!$B$1:$CL$1,0)),"")</f>
        <v>-18256.553873394827</v>
      </c>
      <c r="N481" s="28">
        <f>IFERROR(INDEX('Master data'!$B$2:$CL$1000,MATCH($B481,'Master data'!$A$2:$A$1000,0),MATCH(N$1,'Master data'!$B$1:$CL$1,0)),"")</f>
        <v>-7.4999999999999997E-3</v>
      </c>
      <c r="O481" s="7">
        <f>IFERROR(INDEX('Master data'!$B$2:$CL$1000,MATCH($B481,'Master data'!$A$2:$A$1000,0),MATCH(O$1,'Master data'!$B$1:$CL$1,0)),"")</f>
        <v>0</v>
      </c>
      <c r="P481" s="5">
        <f>IFERROR(INDEX('Master data'!$B$2:$CL$1000,MATCH($B481,'Master data'!$A$2:$A$1000,0),MATCH(P$1,'Master data'!$B$1:$CL$1,0)),"")</f>
        <v>2000000</v>
      </c>
      <c r="Q481" s="5">
        <f>IFERROR(INDEX('Master data'!$B$2:$CL$1000,MATCH($B481,'Master data'!$A$2:$A$1000,0),MATCH(Q$1,'Master data'!$B$1:$CL$1,0)),"")</f>
        <v>2000000</v>
      </c>
    </row>
    <row r="482" spans="1:17" hidden="1">
      <c r="A482">
        <f t="shared" si="7"/>
        <v>480</v>
      </c>
      <c r="B482" t="str">
        <f>IF('Master data'!A482="","",'Master data'!A482)</f>
        <v>Konrad  Laimer</v>
      </c>
      <c r="C482" t="str">
        <f>IFERROR(INDEX('Master data'!$B$2:$CL$1000,MATCH($B482,'Master data'!$A$2:$A$1000,0),MATCH(C$1,'Master data'!$B$1:$CL$1,0)),"")</f>
        <v>Austria</v>
      </c>
      <c r="D482" t="str">
        <f>IFERROR(INDEX('Master data'!$B$2:$CL$1000,MATCH($B482,'Master data'!$A$2:$A$1000,0),MATCH(D$1,'Master data'!$B$1:$CL$1,0)),"")</f>
        <v>Midfield</v>
      </c>
      <c r="E482" s="5">
        <f>IFERROR(INDEX('Master data'!$B$2:$CL$1000,MATCH($B482,'Master data'!$A$2:$A$1000,0),MATCH(E$1,'Master data'!$B$1:$CL$1,0)),"")</f>
        <v>2500000</v>
      </c>
      <c r="F482" s="7">
        <f>IFERROR(INDEX('Master data'!$B$2:$CL$1000,MATCH($B482,'Master data'!$A$2:$A$1000,0),MATCH(F$1,'Master data'!$B$1:$CL$1,0)),"")</f>
        <v>-5000</v>
      </c>
      <c r="G482" s="7">
        <f>IFERROR(INDEX('Master data'!$B$2:$CL$1000,MATCH($B482,'Master data'!$A$2:$A$1000,0),MATCH(G$1,'Master data'!$B$1:$CL$1,0)),"")</f>
        <v>-5000</v>
      </c>
      <c r="H482" s="7">
        <f>IFERROR(INDEX('Master data'!$B$2:$CL$1000,MATCH($B482,'Master data'!$A$2:$A$1000,0),MATCH(H$1,'Master data'!$B$1:$CL$1,0)),"")</f>
        <v>-5000</v>
      </c>
      <c r="I482" s="7">
        <f>IFERROR(INDEX('Master data'!$B$2:$CL$1000,MATCH($B482,'Master data'!$A$2:$A$1000,0),MATCH(I$1,'Master data'!$B$1:$CL$1,0)),"")</f>
        <v>-21338.934035222526</v>
      </c>
      <c r="J482" s="7">
        <f>IFERROR(INDEX('Master data'!$B$2:$CL$1000,MATCH($B482,'Master data'!$A$2:$A$1000,0),MATCH(J$1,'Master data'!$B$1:$CL$1,0)),"")</f>
        <v>-10457.468803784966</v>
      </c>
      <c r="K482" s="7">
        <f>IFERROR(INDEX('Master data'!$B$2:$CL$1000,MATCH($B482,'Master data'!$A$2:$A$1000,0),MATCH(K$1,'Master data'!$B$1:$CL$1,0)),"")</f>
        <v>-5037.5607041125504</v>
      </c>
      <c r="L482" s="7">
        <f>IFERROR(INDEX('Master data'!$B$2:$CL$1000,MATCH($B482,'Master data'!$A$2:$A$1000,0),MATCH(L$1,'Master data'!$B$1:$CL$1,0)),"")</f>
        <v>-2279.7415606538239</v>
      </c>
      <c r="M482" s="5">
        <f>IFERROR(INDEX('Master data'!$B$2:$CL$1000,MATCH($B482,'Master data'!$A$2:$A$1000,0),MATCH(M$1,'Master data'!$B$1:$CL$1,0)),"")</f>
        <v>-19807.399927064125</v>
      </c>
      <c r="N482" s="28">
        <f>IFERROR(INDEX('Master data'!$B$2:$CL$1000,MATCH($B482,'Master data'!$A$2:$A$1000,0),MATCH(N$1,'Master data'!$B$1:$CL$1,0)),"")</f>
        <v>-6.0000000000000001E-3</v>
      </c>
      <c r="O482" s="7">
        <f>IFERROR(INDEX('Master data'!$B$2:$CL$1000,MATCH($B482,'Master data'!$A$2:$A$1000,0),MATCH(O$1,'Master data'!$B$1:$CL$1,0)),"")</f>
        <v>0</v>
      </c>
      <c r="P482" s="5">
        <f>IFERROR(INDEX('Master data'!$B$2:$CL$1000,MATCH($B482,'Master data'!$A$2:$A$1000,0),MATCH(P$1,'Master data'!$B$1:$CL$1,0)),"")</f>
        <v>2500000</v>
      </c>
      <c r="Q482" s="5">
        <f>IFERROR(INDEX('Master data'!$B$2:$CL$1000,MATCH($B482,'Master data'!$A$2:$A$1000,0),MATCH(Q$1,'Master data'!$B$1:$CL$1,0)),"")</f>
        <v>2500000</v>
      </c>
    </row>
    <row r="483" spans="1:17" hidden="1">
      <c r="A483">
        <f t="shared" si="7"/>
        <v>481</v>
      </c>
      <c r="B483" t="str">
        <f>IF('Master data'!A483="","",'Master data'!A483)</f>
        <v>Florian  Grillitsch</v>
      </c>
      <c r="C483" t="str">
        <f>IFERROR(INDEX('Master data'!$B$2:$CL$1000,MATCH($B483,'Master data'!$A$2:$A$1000,0),MATCH(C$1,'Master data'!$B$1:$CL$1,0)),"")</f>
        <v>Austria</v>
      </c>
      <c r="D483" t="str">
        <f>IFERROR(INDEX('Master data'!$B$2:$CL$1000,MATCH($B483,'Master data'!$A$2:$A$1000,0),MATCH(D$1,'Master data'!$B$1:$CL$1,0)),"")</f>
        <v>Midfield</v>
      </c>
      <c r="E483" s="5">
        <f>IFERROR(INDEX('Master data'!$B$2:$CL$1000,MATCH($B483,'Master data'!$A$2:$A$1000,0),MATCH(E$1,'Master data'!$B$1:$CL$1,0)),"")</f>
        <v>3000000</v>
      </c>
      <c r="F483" s="7">
        <f>IFERROR(INDEX('Master data'!$B$2:$CL$1000,MATCH($B483,'Master data'!$A$2:$A$1000,0),MATCH(F$1,'Master data'!$B$1:$CL$1,0)),"")</f>
        <v>55468.236696793494</v>
      </c>
      <c r="G483" s="7">
        <f>IFERROR(INDEX('Master data'!$B$2:$CL$1000,MATCH($B483,'Master data'!$A$2:$A$1000,0),MATCH(G$1,'Master data'!$B$1:$CL$1,0)),"")</f>
        <v>6068.3824542745751</v>
      </c>
      <c r="H483" s="7">
        <f>IFERROR(INDEX('Master data'!$B$2:$CL$1000,MATCH($B483,'Master data'!$A$2:$A$1000,0),MATCH(H$1,'Master data'!$B$1:$CL$1,0)),"")</f>
        <v>31264.596339742369</v>
      </c>
      <c r="I483" s="7">
        <f>IFERROR(INDEX('Master data'!$B$2:$CL$1000,MATCH($B483,'Master data'!$A$2:$A$1000,0),MATCH(I$1,'Master data'!$B$1:$CL$1,0)),"")</f>
        <v>4.0936025063205008</v>
      </c>
      <c r="J483" s="7">
        <f>IFERROR(INDEX('Master data'!$B$2:$CL$1000,MATCH($B483,'Master data'!$A$2:$A$1000,0),MATCH(J$1,'Master data'!$B$1:$CL$1,0)),"")</f>
        <v>-106.54372516901429</v>
      </c>
      <c r="K483" s="7">
        <f>IFERROR(INDEX('Master data'!$B$2:$CL$1000,MATCH($B483,'Master data'!$A$2:$A$1000,0),MATCH(K$1,'Master data'!$B$1:$CL$1,0)),"")</f>
        <v>-103.79041728024013</v>
      </c>
      <c r="L483" s="7">
        <f>IFERROR(INDEX('Master data'!$B$2:$CL$1000,MATCH($B483,'Master data'!$A$2:$A$1000,0),MATCH(L$1,'Master data'!$B$1:$CL$1,0)),"")</f>
        <v>-70.793713751601175</v>
      </c>
      <c r="M483" s="5">
        <f>IFERROR(INDEX('Master data'!$B$2:$CL$1000,MATCH($B483,'Master data'!$A$2:$A$1000,0),MATCH(M$1,'Master data'!$B$1:$CL$1,0)),"")</f>
        <v>73369.485435932045</v>
      </c>
      <c r="N483" s="28">
        <f>IFERROR(INDEX('Master data'!$B$2:$CL$1000,MATCH($B483,'Master data'!$A$2:$A$1000,0),MATCH(N$1,'Master data'!$B$1:$CL$1,0)),"")</f>
        <v>3.093373849693681E-2</v>
      </c>
      <c r="O483" s="7">
        <f>IFERROR(INDEX('Master data'!$B$2:$CL$1000,MATCH($B483,'Master data'!$A$2:$A$1000,0),MATCH(O$1,'Master data'!$B$1:$CL$1,0)),"")</f>
        <v>0</v>
      </c>
      <c r="P483" s="5">
        <f>IFERROR(INDEX('Master data'!$B$2:$CL$1000,MATCH($B483,'Master data'!$A$2:$A$1000,0),MATCH(P$1,'Master data'!$B$1:$CL$1,0)),"")</f>
        <v>3000000</v>
      </c>
      <c r="Q483" s="5">
        <f>IFERROR(INDEX('Master data'!$B$2:$CL$1000,MATCH($B483,'Master data'!$A$2:$A$1000,0),MATCH(Q$1,'Master data'!$B$1:$CL$1,0)),"")</f>
        <v>3000000</v>
      </c>
    </row>
    <row r="484" spans="1:17" hidden="1">
      <c r="A484">
        <f t="shared" si="7"/>
        <v>482</v>
      </c>
      <c r="B484" t="str">
        <f>IF('Master data'!A484="","",'Master data'!A484)</f>
        <v>Alessandro Schöpf</v>
      </c>
      <c r="C484" t="str">
        <f>IFERROR(INDEX('Master data'!$B$2:$CL$1000,MATCH($B484,'Master data'!$A$2:$A$1000,0),MATCH(C$1,'Master data'!$B$1:$CL$1,0)),"")</f>
        <v>Austria</v>
      </c>
      <c r="D484" t="str">
        <f>IFERROR(INDEX('Master data'!$B$2:$CL$1000,MATCH($B484,'Master data'!$A$2:$A$1000,0),MATCH(D$1,'Master data'!$B$1:$CL$1,0)),"")</f>
        <v>Midfield</v>
      </c>
      <c r="E484" s="5">
        <f>IFERROR(INDEX('Master data'!$B$2:$CL$1000,MATCH($B484,'Master data'!$A$2:$A$1000,0),MATCH(E$1,'Master data'!$B$1:$CL$1,0)),"")</f>
        <v>2500000</v>
      </c>
      <c r="F484" s="7">
        <f>IFERROR(INDEX('Master data'!$B$2:$CL$1000,MATCH($B484,'Master data'!$A$2:$A$1000,0),MATCH(F$1,'Master data'!$B$1:$CL$1,0)),"")</f>
        <v>-5000</v>
      </c>
      <c r="G484" s="7">
        <f>IFERROR(INDEX('Master data'!$B$2:$CL$1000,MATCH($B484,'Master data'!$A$2:$A$1000,0),MATCH(G$1,'Master data'!$B$1:$CL$1,0)),"")</f>
        <v>-5000</v>
      </c>
      <c r="H484" s="7">
        <f>IFERROR(INDEX('Master data'!$B$2:$CL$1000,MATCH($B484,'Master data'!$A$2:$A$1000,0),MATCH(H$1,'Master data'!$B$1:$CL$1,0)),"")</f>
        <v>-5000</v>
      </c>
      <c r="I484" s="7">
        <f>IFERROR(INDEX('Master data'!$B$2:$CL$1000,MATCH($B484,'Master data'!$A$2:$A$1000,0),MATCH(I$1,'Master data'!$B$1:$CL$1,0)),"")</f>
        <v>-21338.934035222526</v>
      </c>
      <c r="J484" s="7">
        <f>IFERROR(INDEX('Master data'!$B$2:$CL$1000,MATCH($B484,'Master data'!$A$2:$A$1000,0),MATCH(J$1,'Master data'!$B$1:$CL$1,0)),"")</f>
        <v>-10457.468803784966</v>
      </c>
      <c r="K484" s="7">
        <f>IFERROR(INDEX('Master data'!$B$2:$CL$1000,MATCH($B484,'Master data'!$A$2:$A$1000,0),MATCH(K$1,'Master data'!$B$1:$CL$1,0)),"")</f>
        <v>-5037.5607041125504</v>
      </c>
      <c r="L484" s="7">
        <f>IFERROR(INDEX('Master data'!$B$2:$CL$1000,MATCH($B484,'Master data'!$A$2:$A$1000,0),MATCH(L$1,'Master data'!$B$1:$CL$1,0)),"")</f>
        <v>-2279.7415606538239</v>
      </c>
      <c r="M484" s="5">
        <f>IFERROR(INDEX('Master data'!$B$2:$CL$1000,MATCH($B484,'Master data'!$A$2:$A$1000,0),MATCH(M$1,'Master data'!$B$1:$CL$1,0)),"")</f>
        <v>-19807.399927064125</v>
      </c>
      <c r="N484" s="28">
        <f>IFERROR(INDEX('Master data'!$B$2:$CL$1000,MATCH($B484,'Master data'!$A$2:$A$1000,0),MATCH(N$1,'Master data'!$B$1:$CL$1,0)),"")</f>
        <v>-6.0000000000000001E-3</v>
      </c>
      <c r="O484" s="7">
        <f>IFERROR(INDEX('Master data'!$B$2:$CL$1000,MATCH($B484,'Master data'!$A$2:$A$1000,0),MATCH(O$1,'Master data'!$B$1:$CL$1,0)),"")</f>
        <v>0</v>
      </c>
      <c r="P484" s="5">
        <f>IFERROR(INDEX('Master data'!$B$2:$CL$1000,MATCH($B484,'Master data'!$A$2:$A$1000,0),MATCH(P$1,'Master data'!$B$1:$CL$1,0)),"")</f>
        <v>2500000</v>
      </c>
      <c r="Q484" s="5">
        <f>IFERROR(INDEX('Master data'!$B$2:$CL$1000,MATCH($B484,'Master data'!$A$2:$A$1000,0),MATCH(Q$1,'Master data'!$B$1:$CL$1,0)),"")</f>
        <v>2500000</v>
      </c>
    </row>
    <row r="485" spans="1:17" hidden="1">
      <c r="A485">
        <f t="shared" si="7"/>
        <v>483</v>
      </c>
      <c r="B485" t="str">
        <f>IF('Master data'!A485="","",'Master data'!A485)</f>
        <v>Xaver Schlager</v>
      </c>
      <c r="C485" t="str">
        <f>IFERROR(INDEX('Master data'!$B$2:$CL$1000,MATCH($B485,'Master data'!$A$2:$A$1000,0),MATCH(C$1,'Master data'!$B$1:$CL$1,0)),"")</f>
        <v>Austria</v>
      </c>
      <c r="D485" t="str">
        <f>IFERROR(INDEX('Master data'!$B$2:$CL$1000,MATCH($B485,'Master data'!$A$2:$A$1000,0),MATCH(D$1,'Master data'!$B$1:$CL$1,0)),"")</f>
        <v>Midfield</v>
      </c>
      <c r="E485" s="5">
        <f>IFERROR(INDEX('Master data'!$B$2:$CL$1000,MATCH($B485,'Master data'!$A$2:$A$1000,0),MATCH(E$1,'Master data'!$B$1:$CL$1,0)),"")</f>
        <v>3000000</v>
      </c>
      <c r="F485" s="7">
        <f>IFERROR(INDEX('Master data'!$B$2:$CL$1000,MATCH($B485,'Master data'!$A$2:$A$1000,0),MATCH(F$1,'Master data'!$B$1:$CL$1,0)),"")</f>
        <v>55904.565874969878</v>
      </c>
      <c r="G485" s="7">
        <f>IFERROR(INDEX('Master data'!$B$2:$CL$1000,MATCH($B485,'Master data'!$A$2:$A$1000,0),MATCH(G$1,'Master data'!$B$1:$CL$1,0)),"")</f>
        <v>7223.9895285875791</v>
      </c>
      <c r="H485" s="7">
        <f>IFERROR(INDEX('Master data'!$B$2:$CL$1000,MATCH($B485,'Master data'!$A$2:$A$1000,0),MATCH(H$1,'Master data'!$B$1:$CL$1,0)),"")</f>
        <v>32089.859385703778</v>
      </c>
      <c r="I485" s="7">
        <f>IFERROR(INDEX('Master data'!$B$2:$CL$1000,MATCH($B485,'Master data'!$A$2:$A$1000,0),MATCH(I$1,'Master data'!$B$1:$CL$1,0)),"")</f>
        <v>562.80988043193679</v>
      </c>
      <c r="J485" s="7">
        <f>IFERROR(INDEX('Master data'!$B$2:$CL$1000,MATCH($B485,'Master data'!$A$2:$A$1000,0),MATCH(J$1,'Master data'!$B$1:$CL$1,0)),"")</f>
        <v>164.89559033251936</v>
      </c>
      <c r="K485" s="7">
        <f>IFERROR(INDEX('Master data'!$B$2:$CL$1000,MATCH($B485,'Master data'!$A$2:$A$1000,0),MATCH(K$1,'Master data'!$B$1:$CL$1,0)),"")</f>
        <v>25.822454315166258</v>
      </c>
      <c r="L485" s="7">
        <f>IFERROR(INDEX('Master data'!$B$2:$CL$1000,MATCH($B485,'Master data'!$A$2:$A$1000,0),MATCH(L$1,'Master data'!$B$1:$CL$1,0)),"")</f>
        <v>-12.657301641636524</v>
      </c>
      <c r="M485" s="5">
        <f>IFERROR(INDEX('Master data'!$B$2:$CL$1000,MATCH($B485,'Master data'!$A$2:$A$1000,0),MATCH(M$1,'Master data'!$B$1:$CL$1,0)),"")</f>
        <v>75184.338356934168</v>
      </c>
      <c r="N485" s="28">
        <f>IFERROR(INDEX('Master data'!$B$2:$CL$1000,MATCH($B485,'Master data'!$A$2:$A$1000,0),MATCH(N$1,'Master data'!$B$1:$CL$1,0)),"")</f>
        <v>3.1739471596420411E-2</v>
      </c>
      <c r="O485" s="7">
        <f>IFERROR(INDEX('Master data'!$B$2:$CL$1000,MATCH($B485,'Master data'!$A$2:$A$1000,0),MATCH(O$1,'Master data'!$B$1:$CL$1,0)),"")</f>
        <v>0</v>
      </c>
      <c r="P485" s="5">
        <f>IFERROR(INDEX('Master data'!$B$2:$CL$1000,MATCH($B485,'Master data'!$A$2:$A$1000,0),MATCH(P$1,'Master data'!$B$1:$CL$1,0)),"")</f>
        <v>3000000</v>
      </c>
      <c r="Q485" s="5">
        <f>IFERROR(INDEX('Master data'!$B$2:$CL$1000,MATCH($B485,'Master data'!$A$2:$A$1000,0),MATCH(Q$1,'Master data'!$B$1:$CL$1,0)),"")</f>
        <v>3000000</v>
      </c>
    </row>
    <row r="486" spans="1:17" hidden="1">
      <c r="A486">
        <f t="shared" si="7"/>
        <v>484</v>
      </c>
      <c r="B486" t="str">
        <f>IF('Master data'!A486="","",'Master data'!A486)</f>
        <v>Julian Baumgartlinger</v>
      </c>
      <c r="C486" t="str">
        <f>IFERROR(INDEX('Master data'!$B$2:$CL$1000,MATCH($B486,'Master data'!$A$2:$A$1000,0),MATCH(C$1,'Master data'!$B$1:$CL$1,0)),"")</f>
        <v>Austria</v>
      </c>
      <c r="D486" t="str">
        <f>IFERROR(INDEX('Master data'!$B$2:$CL$1000,MATCH($B486,'Master data'!$A$2:$A$1000,0),MATCH(D$1,'Master data'!$B$1:$CL$1,0)),"")</f>
        <v>Defense</v>
      </c>
      <c r="E486" s="5">
        <f>IFERROR(INDEX('Master data'!$B$2:$CL$1000,MATCH($B486,'Master data'!$A$2:$A$1000,0),MATCH(E$1,'Master data'!$B$1:$CL$1,0)),"")</f>
        <v>2500000</v>
      </c>
      <c r="F486" s="7">
        <f>IFERROR(INDEX('Master data'!$B$2:$CL$1000,MATCH($B486,'Master data'!$A$2:$A$1000,0),MATCH(F$1,'Master data'!$B$1:$CL$1,0)),"")</f>
        <v>20932.196390965022</v>
      </c>
      <c r="G486" s="7">
        <f>IFERROR(INDEX('Master data'!$B$2:$CL$1000,MATCH($B486,'Master data'!$A$2:$A$1000,0),MATCH(G$1,'Master data'!$B$1:$CL$1,0)),"")</f>
        <v>2880.6608819683797</v>
      </c>
      <c r="H486" s="7">
        <f>IFERROR(INDEX('Master data'!$B$2:$CL$1000,MATCH($B486,'Master data'!$A$2:$A$1000,0),MATCH(H$1,'Master data'!$B$1:$CL$1,0)),"")</f>
        <v>10892.887099479949</v>
      </c>
      <c r="I486" s="7">
        <f>IFERROR(INDEX('Master data'!$B$2:$CL$1000,MATCH($B486,'Master data'!$A$2:$A$1000,0),MATCH(I$1,'Master data'!$B$1:$CL$1,0)),"")</f>
        <v>-9849.8489171373803</v>
      </c>
      <c r="J486" s="7">
        <f>IFERROR(INDEX('Master data'!$B$2:$CL$1000,MATCH($B486,'Master data'!$A$2:$A$1000,0),MATCH(J$1,'Master data'!$B$1:$CL$1,0)),"")</f>
        <v>-4875.7638787549231</v>
      </c>
      <c r="K486" s="7">
        <f>IFERROR(INDEX('Master data'!$B$2:$CL$1000,MATCH($B486,'Master data'!$A$2:$A$1000,0),MATCH(K$1,'Master data'!$B$1:$CL$1,0)),"")</f>
        <v>-2372.2842964018905</v>
      </c>
      <c r="L486" s="7">
        <f>IFERROR(INDEX('Master data'!$B$2:$CL$1000,MATCH($B486,'Master data'!$A$2:$A$1000,0),MATCH(L$1,'Master data'!$B$1:$CL$1,0)),"")</f>
        <v>-1084.2614689132615</v>
      </c>
      <c r="M486" s="5">
        <f>IFERROR(INDEX('Master data'!$B$2:$CL$1000,MATCH($B486,'Master data'!$A$2:$A$1000,0),MATCH(M$1,'Master data'!$B$1:$CL$1,0)),"")</f>
        <v>23404.744014779455</v>
      </c>
      <c r="N486" s="28">
        <f>IFERROR(INDEX('Master data'!$B$2:$CL$1000,MATCH($B486,'Master data'!$A$2:$A$1000,0),MATCH(N$1,'Master data'!$B$1:$CL$1,0)),"")</f>
        <v>1.3882297748965339E-2</v>
      </c>
      <c r="O486" s="7">
        <f>IFERROR(INDEX('Master data'!$B$2:$CL$1000,MATCH($B486,'Master data'!$A$2:$A$1000,0),MATCH(O$1,'Master data'!$B$1:$CL$1,0)),"")</f>
        <v>0</v>
      </c>
      <c r="P486" s="5">
        <f>IFERROR(INDEX('Master data'!$B$2:$CL$1000,MATCH($B486,'Master data'!$A$2:$A$1000,0),MATCH(P$1,'Master data'!$B$1:$CL$1,0)),"")</f>
        <v>2500000</v>
      </c>
      <c r="Q486" s="5">
        <f>IFERROR(INDEX('Master data'!$B$2:$CL$1000,MATCH($B486,'Master data'!$A$2:$A$1000,0),MATCH(Q$1,'Master data'!$B$1:$CL$1,0)),"")</f>
        <v>2500000</v>
      </c>
    </row>
    <row r="487" spans="1:17" hidden="1">
      <c r="A487">
        <f t="shared" si="7"/>
        <v>485</v>
      </c>
      <c r="B487" t="str">
        <f>IF('Master data'!A487="","",'Master data'!A487)</f>
        <v>Karim Onisiwo</v>
      </c>
      <c r="C487" t="str">
        <f>IFERROR(INDEX('Master data'!$B$2:$CL$1000,MATCH($B487,'Master data'!$A$2:$A$1000,0),MATCH(C$1,'Master data'!$B$1:$CL$1,0)),"")</f>
        <v>Austria</v>
      </c>
      <c r="D487" t="str">
        <f>IFERROR(INDEX('Master data'!$B$2:$CL$1000,MATCH($B487,'Master data'!$A$2:$A$1000,0),MATCH(D$1,'Master data'!$B$1:$CL$1,0)),"")</f>
        <v>Striker</v>
      </c>
      <c r="E487" s="5">
        <f>IFERROR(INDEX('Master data'!$B$2:$CL$1000,MATCH($B487,'Master data'!$A$2:$A$1000,0),MATCH(E$1,'Master data'!$B$1:$CL$1,0)),"")</f>
        <v>2500000</v>
      </c>
      <c r="F487" s="7">
        <f>IFERROR(INDEX('Master data'!$B$2:$CL$1000,MATCH($B487,'Master data'!$A$2:$A$1000,0),MATCH(F$1,'Master data'!$B$1:$CL$1,0)),"")</f>
        <v>-5000</v>
      </c>
      <c r="G487" s="7">
        <f>IFERROR(INDEX('Master data'!$B$2:$CL$1000,MATCH($B487,'Master data'!$A$2:$A$1000,0),MATCH(G$1,'Master data'!$B$1:$CL$1,0)),"")</f>
        <v>-5000</v>
      </c>
      <c r="H487" s="7">
        <f>IFERROR(INDEX('Master data'!$B$2:$CL$1000,MATCH($B487,'Master data'!$A$2:$A$1000,0),MATCH(H$1,'Master data'!$B$1:$CL$1,0)),"")</f>
        <v>-5000</v>
      </c>
      <c r="I487" s="7">
        <f>IFERROR(INDEX('Master data'!$B$2:$CL$1000,MATCH($B487,'Master data'!$A$2:$A$1000,0),MATCH(I$1,'Master data'!$B$1:$CL$1,0)),"")</f>
        <v>-21338.934035222526</v>
      </c>
      <c r="J487" s="7">
        <f>IFERROR(INDEX('Master data'!$B$2:$CL$1000,MATCH($B487,'Master data'!$A$2:$A$1000,0),MATCH(J$1,'Master data'!$B$1:$CL$1,0)),"")</f>
        <v>-10457.468803784966</v>
      </c>
      <c r="K487" s="7">
        <f>IFERROR(INDEX('Master data'!$B$2:$CL$1000,MATCH($B487,'Master data'!$A$2:$A$1000,0),MATCH(K$1,'Master data'!$B$1:$CL$1,0)),"")</f>
        <v>-5037.5607041125504</v>
      </c>
      <c r="L487" s="7">
        <f>IFERROR(INDEX('Master data'!$B$2:$CL$1000,MATCH($B487,'Master data'!$A$2:$A$1000,0),MATCH(L$1,'Master data'!$B$1:$CL$1,0)),"")</f>
        <v>-2279.7415606538239</v>
      </c>
      <c r="M487" s="5">
        <f>IFERROR(INDEX('Master data'!$B$2:$CL$1000,MATCH($B487,'Master data'!$A$2:$A$1000,0),MATCH(M$1,'Master data'!$B$1:$CL$1,0)),"")</f>
        <v>-19807.399927064125</v>
      </c>
      <c r="N487" s="28">
        <f>IFERROR(INDEX('Master data'!$B$2:$CL$1000,MATCH($B487,'Master data'!$A$2:$A$1000,0),MATCH(N$1,'Master data'!$B$1:$CL$1,0)),"")</f>
        <v>-6.0000000000000001E-3</v>
      </c>
      <c r="O487" s="7">
        <f>IFERROR(INDEX('Master data'!$B$2:$CL$1000,MATCH($B487,'Master data'!$A$2:$A$1000,0),MATCH(O$1,'Master data'!$B$1:$CL$1,0)),"")</f>
        <v>0</v>
      </c>
      <c r="P487" s="5">
        <f>IFERROR(INDEX('Master data'!$B$2:$CL$1000,MATCH($B487,'Master data'!$A$2:$A$1000,0),MATCH(P$1,'Master data'!$B$1:$CL$1,0)),"")</f>
        <v>2500000</v>
      </c>
      <c r="Q487" s="5">
        <f>IFERROR(INDEX('Master data'!$B$2:$CL$1000,MATCH($B487,'Master data'!$A$2:$A$1000,0),MATCH(Q$1,'Master data'!$B$1:$CL$1,0)),"")</f>
        <v>2500000</v>
      </c>
    </row>
    <row r="488" spans="1:17" hidden="1">
      <c r="A488">
        <f t="shared" si="7"/>
        <v>486</v>
      </c>
      <c r="B488" t="str">
        <f>IF('Master data'!A488="","",'Master data'!A488)</f>
        <v>Michael Gregoritsch</v>
      </c>
      <c r="C488" t="str">
        <f>IFERROR(INDEX('Master data'!$B$2:$CL$1000,MATCH($B488,'Master data'!$A$2:$A$1000,0),MATCH(C$1,'Master data'!$B$1:$CL$1,0)),"")</f>
        <v>Austria</v>
      </c>
      <c r="D488" t="str">
        <f>IFERROR(INDEX('Master data'!$B$2:$CL$1000,MATCH($B488,'Master data'!$A$2:$A$1000,0),MATCH(D$1,'Master data'!$B$1:$CL$1,0)),"")</f>
        <v>Striker</v>
      </c>
      <c r="E488" s="5">
        <f>IFERROR(INDEX('Master data'!$B$2:$CL$1000,MATCH($B488,'Master data'!$A$2:$A$1000,0),MATCH(E$1,'Master data'!$B$1:$CL$1,0)),"")</f>
        <v>3000000</v>
      </c>
      <c r="F488" s="7">
        <f>IFERROR(INDEX('Master data'!$B$2:$CL$1000,MATCH($B488,'Master data'!$A$2:$A$1000,0),MATCH(F$1,'Master data'!$B$1:$CL$1,0)),"")</f>
        <v>-5000</v>
      </c>
      <c r="G488" s="7">
        <f>IFERROR(INDEX('Master data'!$B$2:$CL$1000,MATCH($B488,'Master data'!$A$2:$A$1000,0),MATCH(G$1,'Master data'!$B$1:$CL$1,0)),"")</f>
        <v>-5000</v>
      </c>
      <c r="H488" s="7">
        <f>IFERROR(INDEX('Master data'!$B$2:$CL$1000,MATCH($B488,'Master data'!$A$2:$A$1000,0),MATCH(H$1,'Master data'!$B$1:$CL$1,0)),"")</f>
        <v>-5000</v>
      </c>
      <c r="I488" s="7">
        <f>IFERROR(INDEX('Master data'!$B$2:$CL$1000,MATCH($B488,'Master data'!$A$2:$A$1000,0),MATCH(I$1,'Master data'!$B$1:$CL$1,0)),"")</f>
        <v>-24913.294845142547</v>
      </c>
      <c r="J488" s="7">
        <f>IFERROR(INDEX('Master data'!$B$2:$CL$1000,MATCH($B488,'Master data'!$A$2:$A$1000,0),MATCH(J$1,'Master data'!$B$1:$CL$1,0)),"")</f>
        <v>-12212.077663480432</v>
      </c>
      <c r="K488" s="7">
        <f>IFERROR(INDEX('Master data'!$B$2:$CL$1000,MATCH($B488,'Master data'!$A$2:$A$1000,0),MATCH(K$1,'Master data'!$B$1:$CL$1,0)),"")</f>
        <v>-5884.2095619465927</v>
      </c>
      <c r="L488" s="7">
        <f>IFERROR(INDEX('Master data'!$B$2:$CL$1000,MATCH($B488,'Master data'!$A$2:$A$1000,0),MATCH(L$1,'Master data'!$B$1:$CL$1,0)),"")</f>
        <v>-2663.5364361847705</v>
      </c>
      <c r="M488" s="5">
        <f>IFERROR(INDEX('Master data'!$B$2:$CL$1000,MATCH($B488,'Master data'!$A$2:$A$1000,0),MATCH(M$1,'Master data'!$B$1:$CL$1,0)),"")</f>
        <v>-21358.245980733427</v>
      </c>
      <c r="N488" s="28">
        <f>IFERROR(INDEX('Master data'!$B$2:$CL$1000,MATCH($B488,'Master data'!$A$2:$A$1000,0),MATCH(N$1,'Master data'!$B$1:$CL$1,0)),"")</f>
        <v>-5.0000000000000001E-3</v>
      </c>
      <c r="O488" s="7">
        <f>IFERROR(INDEX('Master data'!$B$2:$CL$1000,MATCH($B488,'Master data'!$A$2:$A$1000,0),MATCH(O$1,'Master data'!$B$1:$CL$1,0)),"")</f>
        <v>0</v>
      </c>
      <c r="P488" s="5">
        <f>IFERROR(INDEX('Master data'!$B$2:$CL$1000,MATCH($B488,'Master data'!$A$2:$A$1000,0),MATCH(P$1,'Master data'!$B$1:$CL$1,0)),"")</f>
        <v>3000000</v>
      </c>
      <c r="Q488" s="5">
        <f>IFERROR(INDEX('Master data'!$B$2:$CL$1000,MATCH($B488,'Master data'!$A$2:$A$1000,0),MATCH(Q$1,'Master data'!$B$1:$CL$1,0)),"")</f>
        <v>3000000</v>
      </c>
    </row>
    <row r="489" spans="1:17" hidden="1">
      <c r="A489">
        <f t="shared" si="7"/>
        <v>487</v>
      </c>
      <c r="B489" t="str">
        <f>IF('Master data'!A489="","",'Master data'!A489)</f>
        <v>Milan Škriniar</v>
      </c>
      <c r="C489" t="str">
        <f>IFERROR(INDEX('Master data'!$B$2:$CL$1000,MATCH($B489,'Master data'!$A$2:$A$1000,0),MATCH(C$1,'Master data'!$B$1:$CL$1,0)),"")</f>
        <v>Slovakia</v>
      </c>
      <c r="D489" t="str">
        <f>IFERROR(INDEX('Master data'!$B$2:$CL$1000,MATCH($B489,'Master data'!$A$2:$A$1000,0),MATCH(D$1,'Master data'!$B$1:$CL$1,0)),"")</f>
        <v>Defense</v>
      </c>
      <c r="E489" s="5">
        <f>IFERROR(INDEX('Master data'!$B$2:$CL$1000,MATCH($B489,'Master data'!$A$2:$A$1000,0),MATCH(E$1,'Master data'!$B$1:$CL$1,0)),"")</f>
        <v>3000000</v>
      </c>
      <c r="F489" s="7">
        <f>IFERROR(INDEX('Master data'!$B$2:$CL$1000,MATCH($B489,'Master data'!$A$2:$A$1000,0),MATCH(F$1,'Master data'!$B$1:$CL$1,0)),"")</f>
        <v>16351.688470066223</v>
      </c>
      <c r="G489" s="7">
        <f>IFERROR(INDEX('Master data'!$B$2:$CL$1000,MATCH($B489,'Master data'!$A$2:$A$1000,0),MATCH(G$1,'Master data'!$B$1:$CL$1,0)),"")</f>
        <v>20594.110069556722</v>
      </c>
      <c r="H489" s="7">
        <f>IFERROR(INDEX('Master data'!$B$2:$CL$1000,MATCH($B489,'Master data'!$A$2:$A$1000,0),MATCH(H$1,'Master data'!$B$1:$CL$1,0)),"")</f>
        <v>-7644.2685303273392</v>
      </c>
      <c r="I489" s="7">
        <f>IFERROR(INDEX('Master data'!$B$2:$CL$1000,MATCH($B489,'Master data'!$A$2:$A$1000,0),MATCH(I$1,'Master data'!$B$1:$CL$1,0)),"")</f>
        <v>-6945.3859687466711</v>
      </c>
      <c r="J489" s="7">
        <f>IFERROR(INDEX('Master data'!$B$2:$CL$1000,MATCH($B489,'Master data'!$A$2:$A$1000,0),MATCH(J$1,'Master data'!$B$1:$CL$1,0)),"")</f>
        <v>-3421.8494807330699</v>
      </c>
      <c r="K489" s="7">
        <f>IFERROR(INDEX('Master data'!$B$2:$CL$1000,MATCH($B489,'Master data'!$A$2:$A$1000,0),MATCH(K$1,'Master data'!$B$1:$CL$1,0)),"")</f>
        <v>-1655.321896046406</v>
      </c>
      <c r="L489" s="7">
        <f>IFERROR(INDEX('Master data'!$B$2:$CL$1000,MATCH($B489,'Master data'!$A$2:$A$1000,0),MATCH(L$1,'Master data'!$B$1:$CL$1,0)),"")</f>
        <v>-749.0282121789337</v>
      </c>
      <c r="M489" s="5">
        <f>IFERROR(INDEX('Master data'!$B$2:$CL$1000,MATCH($B489,'Master data'!$A$2:$A$1000,0),MATCH(M$1,'Master data'!$B$1:$CL$1,0)),"")</f>
        <v>23666.086395860126</v>
      </c>
      <c r="N489" s="28">
        <f>IFERROR(INDEX('Master data'!$B$2:$CL$1000,MATCH($B489,'Master data'!$A$2:$A$1000,0),MATCH(N$1,'Master data'!$B$1:$CL$1,0)),"")</f>
        <v>9.7671766697652023E-3</v>
      </c>
      <c r="O489" s="7">
        <f>IFERROR(INDEX('Master data'!$B$2:$CL$1000,MATCH($B489,'Master data'!$A$2:$A$1000,0),MATCH(O$1,'Master data'!$B$1:$CL$1,0)),"")</f>
        <v>0</v>
      </c>
      <c r="P489" s="5">
        <f>IFERROR(INDEX('Master data'!$B$2:$CL$1000,MATCH($B489,'Master data'!$A$2:$A$1000,0),MATCH(P$1,'Master data'!$B$1:$CL$1,0)),"")</f>
        <v>3000000</v>
      </c>
      <c r="Q489" s="5">
        <f>IFERROR(INDEX('Master data'!$B$2:$CL$1000,MATCH($B489,'Master data'!$A$2:$A$1000,0),MATCH(Q$1,'Master data'!$B$1:$CL$1,0)),"")</f>
        <v>3000000</v>
      </c>
    </row>
    <row r="490" spans="1:17" hidden="1">
      <c r="A490">
        <f t="shared" si="7"/>
        <v>488</v>
      </c>
      <c r="B490" t="str">
        <f>IF('Master data'!A490="","",'Master data'!A490)</f>
        <v>Peter Pekarík</v>
      </c>
      <c r="C490" t="str">
        <f>IFERROR(INDEX('Master data'!$B$2:$CL$1000,MATCH($B490,'Master data'!$A$2:$A$1000,0),MATCH(C$1,'Master data'!$B$1:$CL$1,0)),"")</f>
        <v>Slovakia</v>
      </c>
      <c r="D490" t="str">
        <f>IFERROR(INDEX('Master data'!$B$2:$CL$1000,MATCH($B490,'Master data'!$A$2:$A$1000,0),MATCH(D$1,'Master data'!$B$1:$CL$1,0)),"")</f>
        <v>Defense</v>
      </c>
      <c r="E490" s="5">
        <f>IFERROR(INDEX('Master data'!$B$2:$CL$1000,MATCH($B490,'Master data'!$A$2:$A$1000,0),MATCH(E$1,'Master data'!$B$1:$CL$1,0)),"")</f>
        <v>2500000</v>
      </c>
      <c r="F490" s="7">
        <f>IFERROR(INDEX('Master data'!$B$2:$CL$1000,MATCH($B490,'Master data'!$A$2:$A$1000,0),MATCH(F$1,'Master data'!$B$1:$CL$1,0)),"")</f>
        <v>20364.457883540163</v>
      </c>
      <c r="G490" s="7">
        <f>IFERROR(INDEX('Master data'!$B$2:$CL$1000,MATCH($B490,'Master data'!$A$2:$A$1000,0),MATCH(G$1,'Master data'!$B$1:$CL$1,0)),"")</f>
        <v>24572.276586587526</v>
      </c>
      <c r="H490" s="7">
        <f>IFERROR(INDEX('Master data'!$B$2:$CL$1000,MATCH($B490,'Master data'!$A$2:$A$1000,0),MATCH(H$1,'Master data'!$B$1:$CL$1,0)),"")</f>
        <v>-4747.921116819427</v>
      </c>
      <c r="I490" s="7">
        <f>IFERROR(INDEX('Master data'!$B$2:$CL$1000,MATCH($B490,'Master data'!$A$2:$A$1000,0),MATCH(I$1,'Master data'!$B$1:$CL$1,0)),"")</f>
        <v>-4062.3745255518356</v>
      </c>
      <c r="J490" s="7">
        <f>IFERROR(INDEX('Master data'!$B$2:$CL$1000,MATCH($B490,'Master data'!$A$2:$A$1000,0),MATCH(J$1,'Master data'!$B$1:$CL$1,0)),"")</f>
        <v>-2014.1970879479086</v>
      </c>
      <c r="K490" s="7">
        <f>IFERROR(INDEX('Master data'!$B$2:$CL$1000,MATCH($B490,'Master data'!$A$2:$A$1000,0),MATCH(K$1,'Master data'!$B$1:$CL$1,0)),"")</f>
        <v>-980.47801420529049</v>
      </c>
      <c r="L490" s="7">
        <f>IFERROR(INDEX('Master data'!$B$2:$CL$1000,MATCH($B490,'Master data'!$A$2:$A$1000,0),MATCH(L$1,'Master data'!$B$1:$CL$1,0)),"")</f>
        <v>-446.40168141046422</v>
      </c>
      <c r="M490" s="5">
        <f>IFERROR(INDEX('Master data'!$B$2:$CL$1000,MATCH($B490,'Master data'!$A$2:$A$1000,0),MATCH(M$1,'Master data'!$B$1:$CL$1,0)),"")</f>
        <v>32865.949109979629</v>
      </c>
      <c r="N490" s="28">
        <f>IFERROR(INDEX('Master data'!$B$2:$CL$1000,MATCH($B490,'Master data'!$A$2:$A$1000,0),MATCH(N$1,'Master data'!$B$1:$CL$1,0)),"")</f>
        <v>1.6075525341323303E-2</v>
      </c>
      <c r="O490" s="7">
        <f>IFERROR(INDEX('Master data'!$B$2:$CL$1000,MATCH($B490,'Master data'!$A$2:$A$1000,0),MATCH(O$1,'Master data'!$B$1:$CL$1,0)),"")</f>
        <v>0</v>
      </c>
      <c r="P490" s="5">
        <f>IFERROR(INDEX('Master data'!$B$2:$CL$1000,MATCH($B490,'Master data'!$A$2:$A$1000,0),MATCH(P$1,'Master data'!$B$1:$CL$1,0)),"")</f>
        <v>2500000</v>
      </c>
      <c r="Q490" s="5">
        <f>IFERROR(INDEX('Master data'!$B$2:$CL$1000,MATCH($B490,'Master data'!$A$2:$A$1000,0),MATCH(Q$1,'Master data'!$B$1:$CL$1,0)),"")</f>
        <v>2500000</v>
      </c>
    </row>
    <row r="491" spans="1:17" hidden="1">
      <c r="A491">
        <f t="shared" si="7"/>
        <v>489</v>
      </c>
      <c r="B491" t="str">
        <f>IF('Master data'!A491="","",'Master data'!A491)</f>
        <v>Marek Hamšík</v>
      </c>
      <c r="C491" t="str">
        <f>IFERROR(INDEX('Master data'!$B$2:$CL$1000,MATCH($B491,'Master data'!$A$2:$A$1000,0),MATCH(C$1,'Master data'!$B$1:$CL$1,0)),"")</f>
        <v>Slovakia</v>
      </c>
      <c r="D491" t="str">
        <f>IFERROR(INDEX('Master data'!$B$2:$CL$1000,MATCH($B491,'Master data'!$A$2:$A$1000,0),MATCH(D$1,'Master data'!$B$1:$CL$1,0)),"")</f>
        <v>Midfield</v>
      </c>
      <c r="E491" s="5">
        <f>IFERROR(INDEX('Master data'!$B$2:$CL$1000,MATCH($B491,'Master data'!$A$2:$A$1000,0),MATCH(E$1,'Master data'!$B$1:$CL$1,0)),"")</f>
        <v>3500000</v>
      </c>
      <c r="F491" s="7">
        <f>IFERROR(INDEX('Master data'!$B$2:$CL$1000,MATCH($B491,'Master data'!$A$2:$A$1000,0),MATCH(F$1,'Master data'!$B$1:$CL$1,0)),"")</f>
        <v>-5000</v>
      </c>
      <c r="G491" s="7">
        <f>IFERROR(INDEX('Master data'!$B$2:$CL$1000,MATCH($B491,'Master data'!$A$2:$A$1000,0),MATCH(G$1,'Master data'!$B$1:$CL$1,0)),"")</f>
        <v>-5000</v>
      </c>
      <c r="H491" s="7">
        <f>IFERROR(INDEX('Master data'!$B$2:$CL$1000,MATCH($B491,'Master data'!$A$2:$A$1000,0),MATCH(H$1,'Master data'!$B$1:$CL$1,0)),"")</f>
        <v>-5000</v>
      </c>
      <c r="I491" s="7">
        <f>IFERROR(INDEX('Master data'!$B$2:$CL$1000,MATCH($B491,'Master data'!$A$2:$A$1000,0),MATCH(I$1,'Master data'!$B$1:$CL$1,0)),"")</f>
        <v>-13484.157010062951</v>
      </c>
      <c r="J491" s="7">
        <f>IFERROR(INDEX('Master data'!$B$2:$CL$1000,MATCH($B491,'Master data'!$A$2:$A$1000,0),MATCH(J$1,'Master data'!$B$1:$CL$1,0)),"")</f>
        <v>-6603.6095073717051</v>
      </c>
      <c r="K491" s="7">
        <f>IFERROR(INDEX('Master data'!$B$2:$CL$1000,MATCH($B491,'Master data'!$A$2:$A$1000,0),MATCH(K$1,'Master data'!$B$1:$CL$1,0)),"")</f>
        <v>-3175.4484299182609</v>
      </c>
      <c r="L491" s="7">
        <f>IFERROR(INDEX('Master data'!$B$2:$CL$1000,MATCH($B491,'Master data'!$A$2:$A$1000,0),MATCH(L$1,'Master data'!$B$1:$CL$1,0)),"")</f>
        <v>-1428.3408742328763</v>
      </c>
      <c r="M491" s="5">
        <f>IFERROR(INDEX('Master data'!$B$2:$CL$1000,MATCH($B491,'Master data'!$A$2:$A$1000,0),MATCH(M$1,'Master data'!$B$1:$CL$1,0)),"")</f>
        <v>-16398.840258516018</v>
      </c>
      <c r="N491" s="28">
        <f>IFERROR(INDEX('Master data'!$B$2:$CL$1000,MATCH($B491,'Master data'!$A$2:$A$1000,0),MATCH(N$1,'Master data'!$B$1:$CL$1,0)),"")</f>
        <v>-4.2857142857142859E-3</v>
      </c>
      <c r="O491" s="7">
        <f>IFERROR(INDEX('Master data'!$B$2:$CL$1000,MATCH($B491,'Master data'!$A$2:$A$1000,0),MATCH(O$1,'Master data'!$B$1:$CL$1,0)),"")</f>
        <v>0</v>
      </c>
      <c r="P491" s="5">
        <f>IFERROR(INDEX('Master data'!$B$2:$CL$1000,MATCH($B491,'Master data'!$A$2:$A$1000,0),MATCH(P$1,'Master data'!$B$1:$CL$1,0)),"")</f>
        <v>3500000</v>
      </c>
      <c r="Q491" s="5">
        <f>IFERROR(INDEX('Master data'!$B$2:$CL$1000,MATCH($B491,'Master data'!$A$2:$A$1000,0),MATCH(Q$1,'Master data'!$B$1:$CL$1,0)),"")</f>
        <v>3500000</v>
      </c>
    </row>
    <row r="492" spans="1:17" hidden="1">
      <c r="A492">
        <f t="shared" si="7"/>
        <v>490</v>
      </c>
      <c r="B492" t="str">
        <f>IF('Master data'!A492="","",'Master data'!A492)</f>
        <v>Róbert Mak</v>
      </c>
      <c r="C492" t="str">
        <f>IFERROR(INDEX('Master data'!$B$2:$CL$1000,MATCH($B492,'Master data'!$A$2:$A$1000,0),MATCH(C$1,'Master data'!$B$1:$CL$1,0)),"")</f>
        <v>Slovakia</v>
      </c>
      <c r="D492" t="str">
        <f>IFERROR(INDEX('Master data'!$B$2:$CL$1000,MATCH($B492,'Master data'!$A$2:$A$1000,0),MATCH(D$1,'Master data'!$B$1:$CL$1,0)),"")</f>
        <v>Midfield</v>
      </c>
      <c r="E492" s="5">
        <f>IFERROR(INDEX('Master data'!$B$2:$CL$1000,MATCH($B492,'Master data'!$A$2:$A$1000,0),MATCH(E$1,'Master data'!$B$1:$CL$1,0)),"")</f>
        <v>2500000</v>
      </c>
      <c r="F492" s="7">
        <f>IFERROR(INDEX('Master data'!$B$2:$CL$1000,MATCH($B492,'Master data'!$A$2:$A$1000,0),MATCH(F$1,'Master data'!$B$1:$CL$1,0)),"")</f>
        <v>6784.8552341309878</v>
      </c>
      <c r="G492" s="7">
        <f>IFERROR(INDEX('Master data'!$B$2:$CL$1000,MATCH($B492,'Master data'!$A$2:$A$1000,0),MATCH(G$1,'Master data'!$B$1:$CL$1,0)),"")</f>
        <v>9208.9088007910686</v>
      </c>
      <c r="H492" s="7">
        <f>IFERROR(INDEX('Master data'!$B$2:$CL$1000,MATCH($B492,'Master data'!$A$2:$A$1000,0),MATCH(H$1,'Master data'!$B$1:$CL$1,0)),"")</f>
        <v>-13096.5030280268</v>
      </c>
      <c r="I492" s="7">
        <f>IFERROR(INDEX('Master data'!$B$2:$CL$1000,MATCH($B492,'Master data'!$A$2:$A$1000,0),MATCH(I$1,'Master data'!$B$1:$CL$1,0)),"")</f>
        <v>-8142.3393317281134</v>
      </c>
      <c r="J492" s="7">
        <f>IFERROR(INDEX('Master data'!$B$2:$CL$1000,MATCH($B492,'Master data'!$A$2:$A$1000,0),MATCH(J$1,'Master data'!$B$1:$CL$1,0)),"")</f>
        <v>-3994.1677381543209</v>
      </c>
      <c r="K492" s="7">
        <f>IFERROR(INDEX('Master data'!$B$2:$CL$1000,MATCH($B492,'Master data'!$A$2:$A$1000,0),MATCH(K$1,'Master data'!$B$1:$CL$1,0)),"")</f>
        <v>-1923.8451528237408</v>
      </c>
      <c r="L492" s="7">
        <f>IFERROR(INDEX('Master data'!$B$2:$CL$1000,MATCH($B492,'Master data'!$A$2:$A$1000,0),MATCH(L$1,'Master data'!$B$1:$CL$1,0)),"")</f>
        <v>-866.79753003496489</v>
      </c>
      <c r="M492" s="5">
        <f>IFERROR(INDEX('Master data'!$B$2:$CL$1000,MATCH($B492,'Master data'!$A$2:$A$1000,0),MATCH(M$1,'Master data'!$B$1:$CL$1,0)),"")</f>
        <v>3572.5000483463027</v>
      </c>
      <c r="N492" s="28">
        <f>IFERROR(INDEX('Master data'!$B$2:$CL$1000,MATCH($B492,'Master data'!$A$2:$A$1000,0),MATCH(N$1,'Master data'!$B$1:$CL$1,0)),"")</f>
        <v>1.1589044027581026E-3</v>
      </c>
      <c r="O492" s="7">
        <f>IFERROR(INDEX('Master data'!$B$2:$CL$1000,MATCH($B492,'Master data'!$A$2:$A$1000,0),MATCH(O$1,'Master data'!$B$1:$CL$1,0)),"")</f>
        <v>0</v>
      </c>
      <c r="P492" s="5">
        <f>IFERROR(INDEX('Master data'!$B$2:$CL$1000,MATCH($B492,'Master data'!$A$2:$A$1000,0),MATCH(P$1,'Master data'!$B$1:$CL$1,0)),"")</f>
        <v>2500000</v>
      </c>
      <c r="Q492" s="5">
        <f>IFERROR(INDEX('Master data'!$B$2:$CL$1000,MATCH($B492,'Master data'!$A$2:$A$1000,0),MATCH(Q$1,'Master data'!$B$1:$CL$1,0)),"")</f>
        <v>2500000</v>
      </c>
    </row>
    <row r="493" spans="1:17" hidden="1">
      <c r="A493">
        <f t="shared" si="7"/>
        <v>491</v>
      </c>
      <c r="B493" t="str">
        <f>IF('Master data'!A493="","",'Master data'!A493)</f>
        <v>Ondrej Duda</v>
      </c>
      <c r="C493" t="str">
        <f>IFERROR(INDEX('Master data'!$B$2:$CL$1000,MATCH($B493,'Master data'!$A$2:$A$1000,0),MATCH(C$1,'Master data'!$B$1:$CL$1,0)),"")</f>
        <v>Slovakia</v>
      </c>
      <c r="D493" t="str">
        <f>IFERROR(INDEX('Master data'!$B$2:$CL$1000,MATCH($B493,'Master data'!$A$2:$A$1000,0),MATCH(D$1,'Master data'!$B$1:$CL$1,0)),"")</f>
        <v>Midfield</v>
      </c>
      <c r="E493" s="5">
        <f>IFERROR(INDEX('Master data'!$B$2:$CL$1000,MATCH($B493,'Master data'!$A$2:$A$1000,0),MATCH(E$1,'Master data'!$B$1:$CL$1,0)),"")</f>
        <v>3500000</v>
      </c>
      <c r="F493" s="7">
        <f>IFERROR(INDEX('Master data'!$B$2:$CL$1000,MATCH($B493,'Master data'!$A$2:$A$1000,0),MATCH(F$1,'Master data'!$B$1:$CL$1,0)),"")</f>
        <v>17492.379734520673</v>
      </c>
      <c r="G493" s="7">
        <f>IFERROR(INDEX('Master data'!$B$2:$CL$1000,MATCH($B493,'Master data'!$A$2:$A$1000,0),MATCH(G$1,'Master data'!$B$1:$CL$1,0)),"")</f>
        <v>19810.098131212442</v>
      </c>
      <c r="H493" s="7">
        <f>IFERROR(INDEX('Master data'!$B$2:$CL$1000,MATCH($B493,'Master data'!$A$2:$A$1000,0),MATCH(H$1,'Master data'!$B$1:$CL$1,0)),"")</f>
        <v>-5819.7584716755391</v>
      </c>
      <c r="I493" s="7">
        <f>IFERROR(INDEX('Master data'!$B$2:$CL$1000,MATCH($B493,'Master data'!$A$2:$A$1000,0),MATCH(I$1,'Master data'!$B$1:$CL$1,0)),"")</f>
        <v>-8398.6122340926813</v>
      </c>
      <c r="J493" s="7">
        <f>IFERROR(INDEX('Master data'!$B$2:$CL$1000,MATCH($B493,'Master data'!$A$2:$A$1000,0),MATCH(J$1,'Master data'!$B$1:$CL$1,0)),"")</f>
        <v>-4135.6398372684707</v>
      </c>
      <c r="K493" s="7">
        <f>IFERROR(INDEX('Master data'!$B$2:$CL$1000,MATCH($B493,'Master data'!$A$2:$A$1000,0),MATCH(K$1,'Master data'!$B$1:$CL$1,0)),"")</f>
        <v>-1999.5716634421044</v>
      </c>
      <c r="L493" s="7">
        <f>IFERROR(INDEX('Master data'!$B$2:$CL$1000,MATCH($B493,'Master data'!$A$2:$A$1000,0),MATCH(L$1,'Master data'!$B$1:$CL$1,0)),"")</f>
        <v>-904.33098361433804</v>
      </c>
      <c r="M493" s="5">
        <f>IFERROR(INDEX('Master data'!$B$2:$CL$1000,MATCH($B493,'Master data'!$A$2:$A$1000,0),MATCH(M$1,'Master data'!$B$1:$CL$1,0)),"")</f>
        <v>24464.447642852541</v>
      </c>
      <c r="N493" s="28">
        <f>IFERROR(INDEX('Master data'!$B$2:$CL$1000,MATCH($B493,'Master data'!$A$2:$A$1000,0),MATCH(N$1,'Master data'!$B$1:$CL$1,0)),"")</f>
        <v>8.9950626840164527E-3</v>
      </c>
      <c r="O493" s="7">
        <f>IFERROR(INDEX('Master data'!$B$2:$CL$1000,MATCH($B493,'Master data'!$A$2:$A$1000,0),MATCH(O$1,'Master data'!$B$1:$CL$1,0)),"")</f>
        <v>0</v>
      </c>
      <c r="P493" s="5">
        <f>IFERROR(INDEX('Master data'!$B$2:$CL$1000,MATCH($B493,'Master data'!$A$2:$A$1000,0),MATCH(P$1,'Master data'!$B$1:$CL$1,0)),"")</f>
        <v>3500000</v>
      </c>
      <c r="Q493" s="5">
        <f>IFERROR(INDEX('Master data'!$B$2:$CL$1000,MATCH($B493,'Master data'!$A$2:$A$1000,0),MATCH(Q$1,'Master data'!$B$1:$CL$1,0)),"")</f>
        <v>3500000</v>
      </c>
    </row>
    <row r="494" spans="1:17" hidden="1">
      <c r="A494">
        <f t="shared" si="7"/>
        <v>492</v>
      </c>
      <c r="B494" t="str">
        <f>IF('Master data'!A494="","",'Master data'!A494)</f>
        <v>Juraj Kucka</v>
      </c>
      <c r="C494" t="str">
        <f>IFERROR(INDEX('Master data'!$B$2:$CL$1000,MATCH($B494,'Master data'!$A$2:$A$1000,0),MATCH(C$1,'Master data'!$B$1:$CL$1,0)),"")</f>
        <v>Slovakia</v>
      </c>
      <c r="D494" t="str">
        <f>IFERROR(INDEX('Master data'!$B$2:$CL$1000,MATCH($B494,'Master data'!$A$2:$A$1000,0),MATCH(D$1,'Master data'!$B$1:$CL$1,0)),"")</f>
        <v>Midfield</v>
      </c>
      <c r="E494" s="5">
        <f>IFERROR(INDEX('Master data'!$B$2:$CL$1000,MATCH($B494,'Master data'!$A$2:$A$1000,0),MATCH(E$1,'Master data'!$B$1:$CL$1,0)),"")</f>
        <v>3500000</v>
      </c>
      <c r="F494" s="7">
        <f>IFERROR(INDEX('Master data'!$B$2:$CL$1000,MATCH($B494,'Master data'!$A$2:$A$1000,0),MATCH(F$1,'Master data'!$B$1:$CL$1,0)),"")</f>
        <v>13752.196470202402</v>
      </c>
      <c r="G494" s="7">
        <f>IFERROR(INDEX('Master data'!$B$2:$CL$1000,MATCH($B494,'Master data'!$A$2:$A$1000,0),MATCH(G$1,'Master data'!$B$1:$CL$1,0)),"")</f>
        <v>16130.785012074164</v>
      </c>
      <c r="H494" s="7">
        <f>IFERROR(INDEX('Master data'!$B$2:$CL$1000,MATCH($B494,'Master data'!$A$2:$A$1000,0),MATCH(H$1,'Master data'!$B$1:$CL$1,0)),"")</f>
        <v>-7596.0376642135052</v>
      </c>
      <c r="I494" s="7">
        <f>IFERROR(INDEX('Master data'!$B$2:$CL$1000,MATCH($B494,'Master data'!$A$2:$A$1000,0),MATCH(I$1,'Master data'!$B$1:$CL$1,0)),"")</f>
        <v>-9404.6964101289177</v>
      </c>
      <c r="J494" s="7">
        <f>IFERROR(INDEX('Master data'!$B$2:$CL$1000,MATCH($B494,'Master data'!$A$2:$A$1000,0),MATCH(J$1,'Master data'!$B$1:$CL$1,0)),"")</f>
        <v>-4623.8835439723416</v>
      </c>
      <c r="K494" s="7">
        <f>IFERROR(INDEX('Master data'!$B$2:$CL$1000,MATCH($B494,'Master data'!$A$2:$A$1000,0),MATCH(K$1,'Master data'!$B$1:$CL$1,0)),"")</f>
        <v>-2232.1978735799562</v>
      </c>
      <c r="L494" s="7">
        <f>IFERROR(INDEX('Master data'!$B$2:$CL$1000,MATCH($B494,'Master data'!$A$2:$A$1000,0),MATCH(L$1,'Master data'!$B$1:$CL$1,0)),"")</f>
        <v>-1007.9969785592368</v>
      </c>
      <c r="M494" s="5">
        <f>IFERROR(INDEX('Master data'!$B$2:$CL$1000,MATCH($B494,'Master data'!$A$2:$A$1000,0),MATCH(M$1,'Master data'!$B$1:$CL$1,0)),"")</f>
        <v>17047.654433510408</v>
      </c>
      <c r="N494" s="28">
        <f>IFERROR(INDEX('Master data'!$B$2:$CL$1000,MATCH($B494,'Master data'!$A$2:$A$1000,0),MATCH(N$1,'Master data'!$B$1:$CL$1,0)),"")</f>
        <v>6.3676982337323032E-3</v>
      </c>
      <c r="O494" s="7">
        <f>IFERROR(INDEX('Master data'!$B$2:$CL$1000,MATCH($B494,'Master data'!$A$2:$A$1000,0),MATCH(O$1,'Master data'!$B$1:$CL$1,0)),"")</f>
        <v>0</v>
      </c>
      <c r="P494" s="5">
        <f>IFERROR(INDEX('Master data'!$B$2:$CL$1000,MATCH($B494,'Master data'!$A$2:$A$1000,0),MATCH(P$1,'Master data'!$B$1:$CL$1,0)),"")</f>
        <v>3500000</v>
      </c>
      <c r="Q494" s="5">
        <f>IFERROR(INDEX('Master data'!$B$2:$CL$1000,MATCH($B494,'Master data'!$A$2:$A$1000,0),MATCH(Q$1,'Master data'!$B$1:$CL$1,0)),"")</f>
        <v>3500000</v>
      </c>
    </row>
    <row r="495" spans="1:17" hidden="1">
      <c r="A495">
        <f t="shared" si="7"/>
        <v>493</v>
      </c>
      <c r="B495" t="str">
        <f>IF('Master data'!A495="","",'Master data'!A495)</f>
        <v>Ivan Schranz</v>
      </c>
      <c r="C495" t="str">
        <f>IFERROR(INDEX('Master data'!$B$2:$CL$1000,MATCH($B495,'Master data'!$A$2:$A$1000,0),MATCH(C$1,'Master data'!$B$1:$CL$1,0)),"")</f>
        <v>Slovakia</v>
      </c>
      <c r="D495" t="str">
        <f>IFERROR(INDEX('Master data'!$B$2:$CL$1000,MATCH($B495,'Master data'!$A$2:$A$1000,0),MATCH(D$1,'Master data'!$B$1:$CL$1,0)),"")</f>
        <v>Striker</v>
      </c>
      <c r="E495" s="5">
        <f>IFERROR(INDEX('Master data'!$B$2:$CL$1000,MATCH($B495,'Master data'!$A$2:$A$1000,0),MATCH(E$1,'Master data'!$B$1:$CL$1,0)),"")</f>
        <v>2500000</v>
      </c>
      <c r="F495" s="7">
        <f>IFERROR(INDEX('Master data'!$B$2:$CL$1000,MATCH($B495,'Master data'!$A$2:$A$1000,0),MATCH(F$1,'Master data'!$B$1:$CL$1,0)),"")</f>
        <v>-5000</v>
      </c>
      <c r="G495" s="7">
        <f>IFERROR(INDEX('Master data'!$B$2:$CL$1000,MATCH($B495,'Master data'!$A$2:$A$1000,0),MATCH(G$1,'Master data'!$B$1:$CL$1,0)),"")</f>
        <v>-5000</v>
      </c>
      <c r="H495" s="7">
        <f>IFERROR(INDEX('Master data'!$B$2:$CL$1000,MATCH($B495,'Master data'!$A$2:$A$1000,0),MATCH(H$1,'Master data'!$B$1:$CL$1,0)),"")</f>
        <v>-5000</v>
      </c>
      <c r="I495" s="7">
        <f>IFERROR(INDEX('Master data'!$B$2:$CL$1000,MATCH($B495,'Master data'!$A$2:$A$1000,0),MATCH(I$1,'Master data'!$B$1:$CL$1,0)),"")</f>
        <v>-10100.428776671995</v>
      </c>
      <c r="J495" s="7">
        <f>IFERROR(INDEX('Master data'!$B$2:$CL$1000,MATCH($B495,'Master data'!$A$2:$A$1000,0),MATCH(J$1,'Master data'!$B$1:$CL$1,0)),"")</f>
        <v>-4944.4111386853474</v>
      </c>
      <c r="K495" s="7">
        <f>IFERROR(INDEX('Master data'!$B$2:$CL$1000,MATCH($B495,'Master data'!$A$2:$A$1000,0),MATCH(K$1,'Master data'!$B$1:$CL$1,0)),"")</f>
        <v>-2376.5934789954281</v>
      </c>
      <c r="L495" s="7">
        <f>IFERROR(INDEX('Master data'!$B$2:$CL$1000,MATCH($B495,'Master data'!$A$2:$A$1000,0),MATCH(L$1,'Master data'!$B$1:$CL$1,0)),"")</f>
        <v>-1068.5572787082224</v>
      </c>
      <c r="M495" s="5">
        <f>IFERROR(INDEX('Master data'!$B$2:$CL$1000,MATCH($B495,'Master data'!$A$2:$A$1000,0),MATCH(M$1,'Master data'!$B$1:$CL$1,0)),"")</f>
        <v>-14931.726281965333</v>
      </c>
      <c r="N495" s="28">
        <f>IFERROR(INDEX('Master data'!$B$2:$CL$1000,MATCH($B495,'Master data'!$A$2:$A$1000,0),MATCH(N$1,'Master data'!$B$1:$CL$1,0)),"")</f>
        <v>-6.0000000000000001E-3</v>
      </c>
      <c r="O495" s="7">
        <f>IFERROR(INDEX('Master data'!$B$2:$CL$1000,MATCH($B495,'Master data'!$A$2:$A$1000,0),MATCH(O$1,'Master data'!$B$1:$CL$1,0)),"")</f>
        <v>0</v>
      </c>
      <c r="P495" s="5">
        <f>IFERROR(INDEX('Master data'!$B$2:$CL$1000,MATCH($B495,'Master data'!$A$2:$A$1000,0),MATCH(P$1,'Master data'!$B$1:$CL$1,0)),"")</f>
        <v>2500000</v>
      </c>
      <c r="Q495" s="5">
        <f>IFERROR(INDEX('Master data'!$B$2:$CL$1000,MATCH($B495,'Master data'!$A$2:$A$1000,0),MATCH(Q$1,'Master data'!$B$1:$CL$1,0)),"")</f>
        <v>2500000</v>
      </c>
    </row>
    <row r="496" spans="1:17" hidden="1">
      <c r="A496">
        <f t="shared" si="7"/>
        <v>494</v>
      </c>
      <c r="B496" t="str">
        <f>IF('Master data'!A496="","",'Master data'!A496)</f>
        <v>Michal Ďuriš</v>
      </c>
      <c r="C496" t="str">
        <f>IFERROR(INDEX('Master data'!$B$2:$CL$1000,MATCH($B496,'Master data'!$A$2:$A$1000,0),MATCH(C$1,'Master data'!$B$1:$CL$1,0)),"")</f>
        <v>Slovakia</v>
      </c>
      <c r="D496" t="str">
        <f>IFERROR(INDEX('Master data'!$B$2:$CL$1000,MATCH($B496,'Master data'!$A$2:$A$1000,0),MATCH(D$1,'Master data'!$B$1:$CL$1,0)),"")</f>
        <v>Striker</v>
      </c>
      <c r="E496" s="5">
        <f>IFERROR(INDEX('Master data'!$B$2:$CL$1000,MATCH($B496,'Master data'!$A$2:$A$1000,0),MATCH(E$1,'Master data'!$B$1:$CL$1,0)),"")</f>
        <v>2500000</v>
      </c>
      <c r="F496" s="7">
        <f>IFERROR(INDEX('Master data'!$B$2:$CL$1000,MATCH($B496,'Master data'!$A$2:$A$1000,0),MATCH(F$1,'Master data'!$B$1:$CL$1,0)),"")</f>
        <v>23065.850743408075</v>
      </c>
      <c r="G496" s="7">
        <f>IFERROR(INDEX('Master data'!$B$2:$CL$1000,MATCH($B496,'Master data'!$A$2:$A$1000,0),MATCH(G$1,'Master data'!$B$1:$CL$1,0)),"")</f>
        <v>25392.933249792433</v>
      </c>
      <c r="H496" s="7">
        <f>IFERROR(INDEX('Master data'!$B$2:$CL$1000,MATCH($B496,'Master data'!$A$2:$A$1000,0),MATCH(H$1,'Master data'!$B$1:$CL$1,0)),"")</f>
        <v>55.834588990896009</v>
      </c>
      <c r="I496" s="7">
        <f>IFERROR(INDEX('Master data'!$B$2:$CL$1000,MATCH($B496,'Master data'!$A$2:$A$1000,0),MATCH(I$1,'Master data'!$B$1:$CL$1,0)),"")</f>
        <v>-3151.4713804809903</v>
      </c>
      <c r="J496" s="7">
        <f>IFERROR(INDEX('Master data'!$B$2:$CL$1000,MATCH($B496,'Master data'!$A$2:$A$1000,0),MATCH(J$1,'Master data'!$B$1:$CL$1,0)),"")</f>
        <v>-1572.1438894274843</v>
      </c>
      <c r="K496" s="7">
        <f>IFERROR(INDEX('Master data'!$B$2:$CL$1000,MATCH($B496,'Master data'!$A$2:$A$1000,0),MATCH(K$1,'Master data'!$B$1:$CL$1,0)),"")</f>
        <v>-769.85950783406088</v>
      </c>
      <c r="L496" s="7">
        <f>IFERROR(INDEX('Master data'!$B$2:$CL$1000,MATCH($B496,'Master data'!$A$2:$A$1000,0),MATCH(L$1,'Master data'!$B$1:$CL$1,0)),"")</f>
        <v>-352.54305299605051</v>
      </c>
      <c r="M496" s="5">
        <f>IFERROR(INDEX('Master data'!$B$2:$CL$1000,MATCH($B496,'Master data'!$A$2:$A$1000,0),MATCH(M$1,'Master data'!$B$1:$CL$1,0)),"")</f>
        <v>38642.641086106159</v>
      </c>
      <c r="N496" s="28">
        <f>IFERROR(INDEX('Master data'!$B$2:$CL$1000,MATCH($B496,'Master data'!$A$2:$A$1000,0),MATCH(N$1,'Master data'!$B$1:$CL$1,0)),"")</f>
        <v>1.9405847432876561E-2</v>
      </c>
      <c r="O496" s="7">
        <f>IFERROR(INDEX('Master data'!$B$2:$CL$1000,MATCH($B496,'Master data'!$A$2:$A$1000,0),MATCH(O$1,'Master data'!$B$1:$CL$1,0)),"")</f>
        <v>0</v>
      </c>
      <c r="P496" s="5">
        <f>IFERROR(INDEX('Master data'!$B$2:$CL$1000,MATCH($B496,'Master data'!$A$2:$A$1000,0),MATCH(P$1,'Master data'!$B$1:$CL$1,0)),"")</f>
        <v>2500000</v>
      </c>
      <c r="Q496" s="5">
        <f>IFERROR(INDEX('Master data'!$B$2:$CL$1000,MATCH($B496,'Master data'!$A$2:$A$1000,0),MATCH(Q$1,'Master data'!$B$1:$CL$1,0)),"")</f>
        <v>2500000</v>
      </c>
    </row>
    <row r="497" spans="1:17" hidden="1">
      <c r="A497">
        <f t="shared" si="7"/>
        <v>495</v>
      </c>
      <c r="B497" t="str">
        <f>IF('Master data'!A497="","",'Master data'!A497)</f>
        <v>Nicolai  Boilesen</v>
      </c>
      <c r="C497" t="str">
        <f>IFERROR(INDEX('Master data'!$B$2:$CL$1000,MATCH($B497,'Master data'!$A$2:$A$1000,0),MATCH(C$1,'Master data'!$B$1:$CL$1,0)),"")</f>
        <v>Denmark</v>
      </c>
      <c r="D497" t="str">
        <f>IFERROR(INDEX('Master data'!$B$2:$CL$1000,MATCH($B497,'Master data'!$A$2:$A$1000,0),MATCH(D$1,'Master data'!$B$1:$CL$1,0)),"")</f>
        <v>Defense</v>
      </c>
      <c r="E497" s="5">
        <f>IFERROR(INDEX('Master data'!$B$2:$CL$1000,MATCH($B497,'Master data'!$A$2:$A$1000,0),MATCH(E$1,'Master data'!$B$1:$CL$1,0)),"")</f>
        <v>2500000</v>
      </c>
      <c r="F497" s="7">
        <f>IFERROR(INDEX('Master data'!$B$2:$CL$1000,MATCH($B497,'Master data'!$A$2:$A$1000,0),MATCH(F$1,'Master data'!$B$1:$CL$1,0)),"")</f>
        <v>22453.548168242014</v>
      </c>
      <c r="G497" s="7">
        <f>IFERROR(INDEX('Master data'!$B$2:$CL$1000,MATCH($B497,'Master data'!$A$2:$A$1000,0),MATCH(G$1,'Master data'!$B$1:$CL$1,0)),"")</f>
        <v>5848.8117187863809</v>
      </c>
      <c r="H497" s="7">
        <f>IFERROR(INDEX('Master data'!$B$2:$CL$1000,MATCH($B497,'Master data'!$A$2:$A$1000,0),MATCH(H$1,'Master data'!$B$1:$CL$1,0)),"")</f>
        <v>14220.924995669495</v>
      </c>
      <c r="I497" s="7">
        <f>IFERROR(INDEX('Master data'!$B$2:$CL$1000,MATCH($B497,'Master data'!$A$2:$A$1000,0),MATCH(I$1,'Master data'!$B$1:$CL$1,0)),"")</f>
        <v>-9136.7196047386624</v>
      </c>
      <c r="J497" s="7">
        <f>IFERROR(INDEX('Master data'!$B$2:$CL$1000,MATCH($B497,'Master data'!$A$2:$A$1000,0),MATCH(J$1,'Master data'!$B$1:$CL$1,0)),"")</f>
        <v>-4591.7285603664941</v>
      </c>
      <c r="K497" s="7">
        <f>IFERROR(INDEX('Master data'!$B$2:$CL$1000,MATCH($B497,'Master data'!$A$2:$A$1000,0),MATCH(K$1,'Master data'!$B$1:$CL$1,0)),"")</f>
        <v>-2291.853551705673</v>
      </c>
      <c r="L497" s="7">
        <f>IFERROR(INDEX('Master data'!$B$2:$CL$1000,MATCH($B497,'Master data'!$A$2:$A$1000,0),MATCH(L$1,'Master data'!$B$1:$CL$1,0)),"")</f>
        <v>-1117.4875463910457</v>
      </c>
      <c r="M497" s="5">
        <f>IFERROR(INDEX('Master data'!$B$2:$CL$1000,MATCH($B497,'Master data'!$A$2:$A$1000,0),MATCH(M$1,'Master data'!$B$1:$CL$1,0)),"")</f>
        <v>28659.069022395644</v>
      </c>
      <c r="N497" s="28">
        <f>IFERROR(INDEX('Master data'!$B$2:$CL$1000,MATCH($B497,'Master data'!$A$2:$A$1000,0),MATCH(N$1,'Master data'!$B$1:$CL$1,0)),"")</f>
        <v>1.7009313953079155E-2</v>
      </c>
      <c r="O497" s="7">
        <f>IFERROR(INDEX('Master data'!$B$2:$CL$1000,MATCH($B497,'Master data'!$A$2:$A$1000,0),MATCH(O$1,'Master data'!$B$1:$CL$1,0)),"")</f>
        <v>0</v>
      </c>
      <c r="P497" s="5">
        <f>IFERROR(INDEX('Master data'!$B$2:$CL$1000,MATCH($B497,'Master data'!$A$2:$A$1000,0),MATCH(P$1,'Master data'!$B$1:$CL$1,0)),"")</f>
        <v>2500000</v>
      </c>
      <c r="Q497" s="5">
        <f>IFERROR(INDEX('Master data'!$B$2:$CL$1000,MATCH($B497,'Master data'!$A$2:$A$1000,0),MATCH(Q$1,'Master data'!$B$1:$CL$1,0)),"")</f>
        <v>2500000</v>
      </c>
    </row>
    <row r="498" spans="1:17" hidden="1">
      <c r="A498">
        <f t="shared" si="7"/>
        <v>496</v>
      </c>
      <c r="B498" t="str">
        <f>IF('Master data'!A498="","",'Master data'!A498)</f>
        <v xml:space="preserve">Mathias  Jørgensen </v>
      </c>
      <c r="C498" t="str">
        <f>IFERROR(INDEX('Master data'!$B$2:$CL$1000,MATCH($B498,'Master data'!$A$2:$A$1000,0),MATCH(C$1,'Master data'!$B$1:$CL$1,0)),"")</f>
        <v>Denmark</v>
      </c>
      <c r="D498" t="str">
        <f>IFERROR(INDEX('Master data'!$B$2:$CL$1000,MATCH($B498,'Master data'!$A$2:$A$1000,0),MATCH(D$1,'Master data'!$B$1:$CL$1,0)),"")</f>
        <v>Defense</v>
      </c>
      <c r="E498" s="5">
        <f>IFERROR(INDEX('Master data'!$B$2:$CL$1000,MATCH($B498,'Master data'!$A$2:$A$1000,0),MATCH(E$1,'Master data'!$B$1:$CL$1,0)),"")</f>
        <v>2500000</v>
      </c>
      <c r="F498" s="7">
        <f>IFERROR(INDEX('Master data'!$B$2:$CL$1000,MATCH($B498,'Master data'!$A$2:$A$1000,0),MATCH(F$1,'Master data'!$B$1:$CL$1,0)),"")</f>
        <v>22453.548168242014</v>
      </c>
      <c r="G498" s="7">
        <f>IFERROR(INDEX('Master data'!$B$2:$CL$1000,MATCH($B498,'Master data'!$A$2:$A$1000,0),MATCH(G$1,'Master data'!$B$1:$CL$1,0)),"")</f>
        <v>5848.8117187863809</v>
      </c>
      <c r="H498" s="7">
        <f>IFERROR(INDEX('Master data'!$B$2:$CL$1000,MATCH($B498,'Master data'!$A$2:$A$1000,0),MATCH(H$1,'Master data'!$B$1:$CL$1,0)),"")</f>
        <v>14220.924995669495</v>
      </c>
      <c r="I498" s="7">
        <f>IFERROR(INDEX('Master data'!$B$2:$CL$1000,MATCH($B498,'Master data'!$A$2:$A$1000,0),MATCH(I$1,'Master data'!$B$1:$CL$1,0)),"")</f>
        <v>-9136.7196047386624</v>
      </c>
      <c r="J498" s="7">
        <f>IFERROR(INDEX('Master data'!$B$2:$CL$1000,MATCH($B498,'Master data'!$A$2:$A$1000,0),MATCH(J$1,'Master data'!$B$1:$CL$1,0)),"")</f>
        <v>-4591.7285603664941</v>
      </c>
      <c r="K498" s="7">
        <f>IFERROR(INDEX('Master data'!$B$2:$CL$1000,MATCH($B498,'Master data'!$A$2:$A$1000,0),MATCH(K$1,'Master data'!$B$1:$CL$1,0)),"")</f>
        <v>-2291.853551705673</v>
      </c>
      <c r="L498" s="7">
        <f>IFERROR(INDEX('Master data'!$B$2:$CL$1000,MATCH($B498,'Master data'!$A$2:$A$1000,0),MATCH(L$1,'Master data'!$B$1:$CL$1,0)),"")</f>
        <v>-1117.4875463910457</v>
      </c>
      <c r="M498" s="5">
        <f>IFERROR(INDEX('Master data'!$B$2:$CL$1000,MATCH($B498,'Master data'!$A$2:$A$1000,0),MATCH(M$1,'Master data'!$B$1:$CL$1,0)),"")</f>
        <v>28659.069022395644</v>
      </c>
      <c r="N498" s="28">
        <f>IFERROR(INDEX('Master data'!$B$2:$CL$1000,MATCH($B498,'Master data'!$A$2:$A$1000,0),MATCH(N$1,'Master data'!$B$1:$CL$1,0)),"")</f>
        <v>1.7009313953079155E-2</v>
      </c>
      <c r="O498" s="7">
        <f>IFERROR(INDEX('Master data'!$B$2:$CL$1000,MATCH($B498,'Master data'!$A$2:$A$1000,0),MATCH(O$1,'Master data'!$B$1:$CL$1,0)),"")</f>
        <v>0</v>
      </c>
      <c r="P498" s="5">
        <f>IFERROR(INDEX('Master data'!$B$2:$CL$1000,MATCH($B498,'Master data'!$A$2:$A$1000,0),MATCH(P$1,'Master data'!$B$1:$CL$1,0)),"")</f>
        <v>2500000</v>
      </c>
      <c r="Q498" s="5">
        <f>IFERROR(INDEX('Master data'!$B$2:$CL$1000,MATCH($B498,'Master data'!$A$2:$A$1000,0),MATCH(Q$1,'Master data'!$B$1:$CL$1,0)),"")</f>
        <v>2500000</v>
      </c>
    </row>
    <row r="499" spans="1:17" hidden="1">
      <c r="A499">
        <f t="shared" si="7"/>
        <v>497</v>
      </c>
      <c r="B499" t="str">
        <f>IF('Master data'!A499="","",'Master data'!A499)</f>
        <v>Jens Stryger Larsen</v>
      </c>
      <c r="C499" t="str">
        <f>IFERROR(INDEX('Master data'!$B$2:$CL$1000,MATCH($B499,'Master data'!$A$2:$A$1000,0),MATCH(C$1,'Master data'!$B$1:$CL$1,0)),"")</f>
        <v>Denmark</v>
      </c>
      <c r="D499" t="str">
        <f>IFERROR(INDEX('Master data'!$B$2:$CL$1000,MATCH($B499,'Master data'!$A$2:$A$1000,0),MATCH(D$1,'Master data'!$B$1:$CL$1,0)),"")</f>
        <v>Defense</v>
      </c>
      <c r="E499" s="5">
        <f>IFERROR(INDEX('Master data'!$B$2:$CL$1000,MATCH($B499,'Master data'!$A$2:$A$1000,0),MATCH(E$1,'Master data'!$B$1:$CL$1,0)),"")</f>
        <v>3000000</v>
      </c>
      <c r="F499" s="7">
        <f>IFERROR(INDEX('Master data'!$B$2:$CL$1000,MATCH($B499,'Master data'!$A$2:$A$1000,0),MATCH(F$1,'Master data'!$B$1:$CL$1,0)),"")</f>
        <v>22453.548168242014</v>
      </c>
      <c r="G499" s="7">
        <f>IFERROR(INDEX('Master data'!$B$2:$CL$1000,MATCH($B499,'Master data'!$A$2:$A$1000,0),MATCH(G$1,'Master data'!$B$1:$CL$1,0)),"")</f>
        <v>5848.8117187863809</v>
      </c>
      <c r="H499" s="7">
        <f>IFERROR(INDEX('Master data'!$B$2:$CL$1000,MATCH($B499,'Master data'!$A$2:$A$1000,0),MATCH(H$1,'Master data'!$B$1:$CL$1,0)),"")</f>
        <v>14220.924995669495</v>
      </c>
      <c r="I499" s="7">
        <f>IFERROR(INDEX('Master data'!$B$2:$CL$1000,MATCH($B499,'Master data'!$A$2:$A$1000,0),MATCH(I$1,'Master data'!$B$1:$CL$1,0)),"")</f>
        <v>-13197.193484807807</v>
      </c>
      <c r="J499" s="7">
        <f>IFERROR(INDEX('Master data'!$B$2:$CL$1000,MATCH($B499,'Master data'!$A$2:$A$1000,0),MATCH(J$1,'Master data'!$B$1:$CL$1,0)),"")</f>
        <v>-6606.9617736916216</v>
      </c>
      <c r="K499" s="7">
        <f>IFERROR(INDEX('Master data'!$B$2:$CL$1000,MATCH($B499,'Master data'!$A$2:$A$1000,0),MATCH(K$1,'Master data'!$B$1:$CL$1,0)),"")</f>
        <v>-3285.3490038181712</v>
      </c>
      <c r="L499" s="7">
        <f>IFERROR(INDEX('Master data'!$B$2:$CL$1000,MATCH($B499,'Master data'!$A$2:$A$1000,0),MATCH(L$1,'Master data'!$B$1:$CL$1,0)),"")</f>
        <v>-1596.0264152643153</v>
      </c>
      <c r="M499" s="5">
        <f>IFERROR(INDEX('Master data'!$B$2:$CL$1000,MATCH($B499,'Master data'!$A$2:$A$1000,0),MATCH(M$1,'Master data'!$B$1:$CL$1,0)),"")</f>
        <v>26885.052572705052</v>
      </c>
      <c r="N499" s="28">
        <f>IFERROR(INDEX('Master data'!$B$2:$CL$1000,MATCH($B499,'Master data'!$A$2:$A$1000,0),MATCH(N$1,'Master data'!$B$1:$CL$1,0)),"")</f>
        <v>1.4174428294232629E-2</v>
      </c>
      <c r="O499" s="7">
        <f>IFERROR(INDEX('Master data'!$B$2:$CL$1000,MATCH($B499,'Master data'!$A$2:$A$1000,0),MATCH(O$1,'Master data'!$B$1:$CL$1,0)),"")</f>
        <v>0</v>
      </c>
      <c r="P499" s="5">
        <f>IFERROR(INDEX('Master data'!$B$2:$CL$1000,MATCH($B499,'Master data'!$A$2:$A$1000,0),MATCH(P$1,'Master data'!$B$1:$CL$1,0)),"")</f>
        <v>3000000</v>
      </c>
      <c r="Q499" s="5">
        <f>IFERROR(INDEX('Master data'!$B$2:$CL$1000,MATCH($B499,'Master data'!$A$2:$A$1000,0),MATCH(Q$1,'Master data'!$B$1:$CL$1,0)),"")</f>
        <v>3000000</v>
      </c>
    </row>
    <row r="500" spans="1:17" hidden="1">
      <c r="A500">
        <f t="shared" si="7"/>
        <v>498</v>
      </c>
      <c r="B500" t="str">
        <f>IF('Master data'!A500="","",'Master data'!A500)</f>
        <v>Joakim Maehle</v>
      </c>
      <c r="C500" t="str">
        <f>IFERROR(INDEX('Master data'!$B$2:$CL$1000,MATCH($B500,'Master data'!$A$2:$A$1000,0),MATCH(C$1,'Master data'!$B$1:$CL$1,0)),"")</f>
        <v>Denmark</v>
      </c>
      <c r="D500" t="str">
        <f>IFERROR(INDEX('Master data'!$B$2:$CL$1000,MATCH($B500,'Master data'!$A$2:$A$1000,0),MATCH(D$1,'Master data'!$B$1:$CL$1,0)),"")</f>
        <v>Defense</v>
      </c>
      <c r="E500" s="5">
        <f>IFERROR(INDEX('Master data'!$B$2:$CL$1000,MATCH($B500,'Master data'!$A$2:$A$1000,0),MATCH(E$1,'Master data'!$B$1:$CL$1,0)),"")</f>
        <v>3500000</v>
      </c>
      <c r="F500" s="7">
        <f>IFERROR(INDEX('Master data'!$B$2:$CL$1000,MATCH($B500,'Master data'!$A$2:$A$1000,0),MATCH(F$1,'Master data'!$B$1:$CL$1,0)),"")</f>
        <v>76731.99384234121</v>
      </c>
      <c r="G500" s="7">
        <f>IFERROR(INDEX('Master data'!$B$2:$CL$1000,MATCH($B500,'Master data'!$A$2:$A$1000,0),MATCH(G$1,'Master data'!$B$1:$CL$1,0)),"")</f>
        <v>26596.68907588585</v>
      </c>
      <c r="H500" s="7">
        <f>IFERROR(INDEX('Master data'!$B$2:$CL$1000,MATCH($B500,'Master data'!$A$2:$A$1000,0),MATCH(H$1,'Master data'!$B$1:$CL$1,0)),"")</f>
        <v>56449.367999830822</v>
      </c>
      <c r="I500" s="7">
        <f>IFERROR(INDEX('Master data'!$B$2:$CL$1000,MATCH($B500,'Master data'!$A$2:$A$1000,0),MATCH(I$1,'Master data'!$B$1:$CL$1,0)),"")</f>
        <v>13530.773792202514</v>
      </c>
      <c r="J500" s="7">
        <f>IFERROR(INDEX('Master data'!$B$2:$CL$1000,MATCH($B500,'Master data'!$A$2:$A$1000,0),MATCH(J$1,'Master data'!$B$1:$CL$1,0)),"")</f>
        <v>6500.7297448312156</v>
      </c>
      <c r="K500" s="7">
        <f>IFERROR(INDEX('Master data'!$B$2:$CL$1000,MATCH($B500,'Master data'!$A$2:$A$1000,0),MATCH(K$1,'Master data'!$B$1:$CL$1,0)),"")</f>
        <v>3098.9870743968577</v>
      </c>
      <c r="L500" s="7">
        <f>IFERROR(INDEX('Master data'!$B$2:$CL$1000,MATCH($B500,'Master data'!$A$2:$A$1000,0),MATCH(L$1,'Master data'!$B$1:$CL$1,0)),"")</f>
        <v>1441.7217373322399</v>
      </c>
      <c r="M500" s="5">
        <f>IFERROR(INDEX('Master data'!$B$2:$CL$1000,MATCH($B500,'Master data'!$A$2:$A$1000,0),MATCH(M$1,'Master data'!$B$1:$CL$1,0)),"")</f>
        <v>125379.60878819649</v>
      </c>
      <c r="N500" s="28">
        <f>IFERROR(INDEX('Master data'!$B$2:$CL$1000,MATCH($B500,'Master data'!$A$2:$A$1000,0),MATCH(N$1,'Master data'!$B$1:$CL$1,0)),"")</f>
        <v>4.565087169087368E-2</v>
      </c>
      <c r="O500" s="7">
        <f>IFERROR(INDEX('Master data'!$B$2:$CL$1000,MATCH($B500,'Master data'!$A$2:$A$1000,0),MATCH(O$1,'Master data'!$B$1:$CL$1,0)),"")</f>
        <v>0</v>
      </c>
      <c r="P500" s="5">
        <f>IFERROR(INDEX('Master data'!$B$2:$CL$1000,MATCH($B500,'Master data'!$A$2:$A$1000,0),MATCH(P$1,'Master data'!$B$1:$CL$1,0)),"")</f>
        <v>3500000</v>
      </c>
      <c r="Q500" s="5">
        <f>IFERROR(INDEX('Master data'!$B$2:$CL$1000,MATCH($B500,'Master data'!$A$2:$A$1000,0),MATCH(Q$1,'Master data'!$B$1:$CL$1,0)),"")</f>
        <v>3500000</v>
      </c>
    </row>
    <row r="501" spans="1:17" hidden="1">
      <c r="A501">
        <f t="shared" si="7"/>
        <v>499</v>
      </c>
      <c r="B501" t="str">
        <f>IF('Master data'!A501="","",'Master data'!A501)</f>
        <v>Robert Skov</v>
      </c>
      <c r="C501" t="str">
        <f>IFERROR(INDEX('Master data'!$B$2:$CL$1000,MATCH($B501,'Master data'!$A$2:$A$1000,0),MATCH(C$1,'Master data'!$B$1:$CL$1,0)),"")</f>
        <v>Denmark</v>
      </c>
      <c r="D501" t="str">
        <f>IFERROR(INDEX('Master data'!$B$2:$CL$1000,MATCH($B501,'Master data'!$A$2:$A$1000,0),MATCH(D$1,'Master data'!$B$1:$CL$1,0)),"")</f>
        <v>Striker</v>
      </c>
      <c r="E501" s="5">
        <f>IFERROR(INDEX('Master data'!$B$2:$CL$1000,MATCH($B501,'Master data'!$A$2:$A$1000,0),MATCH(E$1,'Master data'!$B$1:$CL$1,0)),"")</f>
        <v>3000000</v>
      </c>
      <c r="F501" s="7">
        <f>IFERROR(INDEX('Master data'!$B$2:$CL$1000,MATCH($B501,'Master data'!$A$2:$A$1000,0),MATCH(F$1,'Master data'!$B$1:$CL$1,0)),"")</f>
        <v>-5000</v>
      </c>
      <c r="G501" s="7">
        <f>IFERROR(INDEX('Master data'!$B$2:$CL$1000,MATCH($B501,'Master data'!$A$2:$A$1000,0),MATCH(G$1,'Master data'!$B$1:$CL$1,0)),"")</f>
        <v>-5000</v>
      </c>
      <c r="H501" s="7">
        <f>IFERROR(INDEX('Master data'!$B$2:$CL$1000,MATCH($B501,'Master data'!$A$2:$A$1000,0),MATCH(H$1,'Master data'!$B$1:$CL$1,0)),"")</f>
        <v>-5000</v>
      </c>
      <c r="I501" s="7">
        <f>IFERROR(INDEX('Master data'!$B$2:$CL$1000,MATCH($B501,'Master data'!$A$2:$A$1000,0),MATCH(I$1,'Master data'!$B$1:$CL$1,0)),"")</f>
        <v>-28301.502944081934</v>
      </c>
      <c r="J501" s="7">
        <f>IFERROR(INDEX('Master data'!$B$2:$CL$1000,MATCH($B501,'Master data'!$A$2:$A$1000,0),MATCH(J$1,'Master data'!$B$1:$CL$1,0)),"")</f>
        <v>-14026.023164742881</v>
      </c>
      <c r="K501" s="7">
        <f>IFERROR(INDEX('Master data'!$B$2:$CL$1000,MATCH($B501,'Master data'!$A$2:$A$1000,0),MATCH(K$1,'Master data'!$B$1:$CL$1,0)),"")</f>
        <v>-6904.7933921818603</v>
      </c>
      <c r="L501" s="7">
        <f>IFERROR(INDEX('Master data'!$B$2:$CL$1000,MATCH($B501,'Master data'!$A$2:$A$1000,0),MATCH(L$1,'Master data'!$B$1:$CL$1,0)),"")</f>
        <v>-3321.0597499804899</v>
      </c>
      <c r="M501" s="5">
        <f>IFERROR(INDEX('Master data'!$B$2:$CL$1000,MATCH($B501,'Master data'!$A$2:$A$1000,0),MATCH(M$1,'Master data'!$B$1:$CL$1,0)),"")</f>
        <v>-22912.592539496411</v>
      </c>
      <c r="N501" s="28">
        <f>IFERROR(INDEX('Master data'!$B$2:$CL$1000,MATCH($B501,'Master data'!$A$2:$A$1000,0),MATCH(N$1,'Master data'!$B$1:$CL$1,0)),"")</f>
        <v>-5.0000000000000001E-3</v>
      </c>
      <c r="O501" s="7">
        <f>IFERROR(INDEX('Master data'!$B$2:$CL$1000,MATCH($B501,'Master data'!$A$2:$A$1000,0),MATCH(O$1,'Master data'!$B$1:$CL$1,0)),"")</f>
        <v>0</v>
      </c>
      <c r="P501" s="5">
        <f>IFERROR(INDEX('Master data'!$B$2:$CL$1000,MATCH($B501,'Master data'!$A$2:$A$1000,0),MATCH(P$1,'Master data'!$B$1:$CL$1,0)),"")</f>
        <v>3000000</v>
      </c>
      <c r="Q501" s="5">
        <f>IFERROR(INDEX('Master data'!$B$2:$CL$1000,MATCH($B501,'Master data'!$A$2:$A$1000,0),MATCH(Q$1,'Master data'!$B$1:$CL$1,0)),"")</f>
        <v>3000000</v>
      </c>
    </row>
    <row r="502" spans="1:17" hidden="1">
      <c r="A502">
        <f t="shared" si="7"/>
        <v>500</v>
      </c>
      <c r="B502" t="str">
        <f>IF('Master data'!A502="","",'Master data'!A502)</f>
        <v>Jere Uronen</v>
      </c>
      <c r="C502" t="str">
        <f>IFERROR(INDEX('Master data'!$B$2:$CL$1000,MATCH($B502,'Master data'!$A$2:$A$1000,0),MATCH(C$1,'Master data'!$B$1:$CL$1,0)),"")</f>
        <v>Finland</v>
      </c>
      <c r="D502" t="str">
        <f>IFERROR(INDEX('Master data'!$B$2:$CL$1000,MATCH($B502,'Master data'!$A$2:$A$1000,0),MATCH(D$1,'Master data'!$B$1:$CL$1,0)),"")</f>
        <v>Defense</v>
      </c>
      <c r="E502" s="5">
        <f>IFERROR(INDEX('Master data'!$B$2:$CL$1000,MATCH($B502,'Master data'!$A$2:$A$1000,0),MATCH(E$1,'Master data'!$B$1:$CL$1,0)),"")</f>
        <v>2000000</v>
      </c>
      <c r="F502" s="7">
        <f>IFERROR(INDEX('Master data'!$B$2:$CL$1000,MATCH($B502,'Master data'!$A$2:$A$1000,0),MATCH(F$1,'Master data'!$B$1:$CL$1,0)),"")</f>
        <v>4498.9276662117336</v>
      </c>
      <c r="G502" s="7">
        <f>IFERROR(INDEX('Master data'!$B$2:$CL$1000,MATCH($B502,'Master data'!$A$2:$A$1000,0),MATCH(G$1,'Master data'!$B$1:$CL$1,0)),"")</f>
        <v>5415.2957519923948</v>
      </c>
      <c r="H502" s="7">
        <f>IFERROR(INDEX('Master data'!$B$2:$CL$1000,MATCH($B502,'Master data'!$A$2:$A$1000,0),MATCH(H$1,'Master data'!$B$1:$CL$1,0)),"")</f>
        <v>-180.83557460920838</v>
      </c>
      <c r="I502" s="7">
        <f>IFERROR(INDEX('Master data'!$B$2:$CL$1000,MATCH($B502,'Master data'!$A$2:$A$1000,0),MATCH(I$1,'Master data'!$B$1:$CL$1,0)),"")</f>
        <v>-4562.0429047500866</v>
      </c>
      <c r="J502" s="7">
        <f>IFERROR(INDEX('Master data'!$B$2:$CL$1000,MATCH($B502,'Master data'!$A$2:$A$1000,0),MATCH(J$1,'Master data'!$B$1:$CL$1,0)),"")</f>
        <v>-2242.365097672553</v>
      </c>
      <c r="K502" s="7">
        <f>IFERROR(INDEX('Master data'!$B$2:$CL$1000,MATCH($B502,'Master data'!$A$2:$A$1000,0),MATCH(K$1,'Master data'!$B$1:$CL$1,0)),"")</f>
        <v>-1082.7435294913676</v>
      </c>
      <c r="L502" s="7">
        <f>IFERROR(INDEX('Master data'!$B$2:$CL$1000,MATCH($B502,'Master data'!$A$2:$A$1000,0),MATCH(L$1,'Master data'!$B$1:$CL$1,0)),"")</f>
        <v>-489.96557382074195</v>
      </c>
      <c r="M502" s="5">
        <f>IFERROR(INDEX('Master data'!$B$2:$CL$1000,MATCH($B502,'Master data'!$A$2:$A$1000,0),MATCH(M$1,'Master data'!$B$1:$CL$1,0)),"")</f>
        <v>6048.5024155236051</v>
      </c>
      <c r="N502" s="28">
        <f>IFERROR(INDEX('Master data'!$B$2:$CL$1000,MATCH($B502,'Master data'!$A$2:$A$1000,0),MATCH(N$1,'Master data'!$B$1:$CL$1,0)),"")</f>
        <v>4.8666939217974596E-3</v>
      </c>
      <c r="O502" s="7">
        <f>IFERROR(INDEX('Master data'!$B$2:$CL$1000,MATCH($B502,'Master data'!$A$2:$A$1000,0),MATCH(O$1,'Master data'!$B$1:$CL$1,0)),"")</f>
        <v>0</v>
      </c>
      <c r="P502" s="5">
        <f>IFERROR(INDEX('Master data'!$B$2:$CL$1000,MATCH($B502,'Master data'!$A$2:$A$1000,0),MATCH(P$1,'Master data'!$B$1:$CL$1,0)),"")</f>
        <v>2000000</v>
      </c>
      <c r="Q502" s="5">
        <f>IFERROR(INDEX('Master data'!$B$2:$CL$1000,MATCH($B502,'Master data'!$A$2:$A$1000,0),MATCH(Q$1,'Master data'!$B$1:$CL$1,0)),"")</f>
        <v>2000000</v>
      </c>
    </row>
    <row r="503" spans="1:17" hidden="1">
      <c r="A503">
        <f t="shared" si="7"/>
        <v>501</v>
      </c>
      <c r="B503" t="str">
        <f>IF('Master data'!A503="","",'Master data'!A503)</f>
        <v>Lassi Lappalainen</v>
      </c>
      <c r="C503" t="str">
        <f>IFERROR(INDEX('Master data'!$B$2:$CL$1000,MATCH($B503,'Master data'!$A$2:$A$1000,0),MATCH(C$1,'Master data'!$B$1:$CL$1,0)),"")</f>
        <v>Finland</v>
      </c>
      <c r="D503" t="str">
        <f>IFERROR(INDEX('Master data'!$B$2:$CL$1000,MATCH($B503,'Master data'!$A$2:$A$1000,0),MATCH(D$1,'Master data'!$B$1:$CL$1,0)),"")</f>
        <v>Midfield</v>
      </c>
      <c r="E503" s="5">
        <f>IFERROR(INDEX('Master data'!$B$2:$CL$1000,MATCH($B503,'Master data'!$A$2:$A$1000,0),MATCH(E$1,'Master data'!$B$1:$CL$1,0)),"")</f>
        <v>2000000</v>
      </c>
      <c r="F503" s="7">
        <f>IFERROR(INDEX('Master data'!$B$2:$CL$1000,MATCH($B503,'Master data'!$A$2:$A$1000,0),MATCH(F$1,'Master data'!$B$1:$CL$1,0)),"")</f>
        <v>-5000</v>
      </c>
      <c r="G503" s="7">
        <f>IFERROR(INDEX('Master data'!$B$2:$CL$1000,MATCH($B503,'Master data'!$A$2:$A$1000,0),MATCH(G$1,'Master data'!$B$1:$CL$1,0)),"")</f>
        <v>-5000</v>
      </c>
      <c r="H503" s="7">
        <f>IFERROR(INDEX('Master data'!$B$2:$CL$1000,MATCH($B503,'Master data'!$A$2:$A$1000,0),MATCH(H$1,'Master data'!$B$1:$CL$1,0)),"")</f>
        <v>-5000</v>
      </c>
      <c r="I503" s="7">
        <f>IFERROR(INDEX('Master data'!$B$2:$CL$1000,MATCH($B503,'Master data'!$A$2:$A$1000,0),MATCH(I$1,'Master data'!$B$1:$CL$1,0)),"")</f>
        <v>-6726.851727981214</v>
      </c>
      <c r="J503" s="7">
        <f>IFERROR(INDEX('Master data'!$B$2:$CL$1000,MATCH($B503,'Master data'!$A$2:$A$1000,0),MATCH(J$1,'Master data'!$B$1:$CL$1,0)),"")</f>
        <v>-3293.4328729408139</v>
      </c>
      <c r="K503" s="7">
        <f>IFERROR(INDEX('Master data'!$B$2:$CL$1000,MATCH($B503,'Master data'!$A$2:$A$1000,0),MATCH(K$1,'Master data'!$B$1:$CL$1,0)),"")</f>
        <v>-1584.0100307164412</v>
      </c>
      <c r="L503" s="7">
        <f>IFERROR(INDEX('Master data'!$B$2:$CL$1000,MATCH($B503,'Master data'!$A$2:$A$1000,0),MATCH(L$1,'Master data'!$B$1:$CL$1,0)),"")</f>
        <v>-713.98248999017255</v>
      </c>
      <c r="M503" s="5">
        <f>IFERROR(INDEX('Master data'!$B$2:$CL$1000,MATCH($B503,'Master data'!$A$2:$A$1000,0),MATCH(M$1,'Master data'!$B$1:$CL$1,0)),"")</f>
        <v>-13470.526953711342</v>
      </c>
      <c r="N503" s="28">
        <f>IFERROR(INDEX('Master data'!$B$2:$CL$1000,MATCH($B503,'Master data'!$A$2:$A$1000,0),MATCH(N$1,'Master data'!$B$1:$CL$1,0)),"")</f>
        <v>-7.4999999999999997E-3</v>
      </c>
      <c r="O503" s="7">
        <f>IFERROR(INDEX('Master data'!$B$2:$CL$1000,MATCH($B503,'Master data'!$A$2:$A$1000,0),MATCH(O$1,'Master data'!$B$1:$CL$1,0)),"")</f>
        <v>0</v>
      </c>
      <c r="P503" s="5">
        <f>IFERROR(INDEX('Master data'!$B$2:$CL$1000,MATCH($B503,'Master data'!$A$2:$A$1000,0),MATCH(P$1,'Master data'!$B$1:$CL$1,0)),"")</f>
        <v>2000000</v>
      </c>
      <c r="Q503" s="5">
        <f>IFERROR(INDEX('Master data'!$B$2:$CL$1000,MATCH($B503,'Master data'!$A$2:$A$1000,0),MATCH(Q$1,'Master data'!$B$1:$CL$1,0)),"")</f>
        <v>2000000</v>
      </c>
    </row>
    <row r="504" spans="1:17" hidden="1">
      <c r="A504">
        <f t="shared" si="7"/>
        <v>502</v>
      </c>
      <c r="B504" t="str">
        <f>IF('Master data'!A504="","",'Master data'!A504)</f>
        <v>Pyry Soiri</v>
      </c>
      <c r="C504" t="str">
        <f>IFERROR(INDEX('Master data'!$B$2:$CL$1000,MATCH($B504,'Master data'!$A$2:$A$1000,0),MATCH(C$1,'Master data'!$B$1:$CL$1,0)),"")</f>
        <v>Finland</v>
      </c>
      <c r="D504" t="str">
        <f>IFERROR(INDEX('Master data'!$B$2:$CL$1000,MATCH($B504,'Master data'!$A$2:$A$1000,0),MATCH(D$1,'Master data'!$B$1:$CL$1,0)),"")</f>
        <v>Defense</v>
      </c>
      <c r="E504" s="5">
        <f>IFERROR(INDEX('Master data'!$B$2:$CL$1000,MATCH($B504,'Master data'!$A$2:$A$1000,0),MATCH(E$1,'Master data'!$B$1:$CL$1,0)),"")</f>
        <v>2000000</v>
      </c>
      <c r="F504" s="7">
        <f>IFERROR(INDEX('Master data'!$B$2:$CL$1000,MATCH($B504,'Master data'!$A$2:$A$1000,0),MATCH(F$1,'Master data'!$B$1:$CL$1,0)),"")</f>
        <v>4498.9276662117336</v>
      </c>
      <c r="G504" s="7">
        <f>IFERROR(INDEX('Master data'!$B$2:$CL$1000,MATCH($B504,'Master data'!$A$2:$A$1000,0),MATCH(G$1,'Master data'!$B$1:$CL$1,0)),"")</f>
        <v>5415.2957519923948</v>
      </c>
      <c r="H504" s="7">
        <f>IFERROR(INDEX('Master data'!$B$2:$CL$1000,MATCH($B504,'Master data'!$A$2:$A$1000,0),MATCH(H$1,'Master data'!$B$1:$CL$1,0)),"")</f>
        <v>-180.83557460920838</v>
      </c>
      <c r="I504" s="7">
        <f>IFERROR(INDEX('Master data'!$B$2:$CL$1000,MATCH($B504,'Master data'!$A$2:$A$1000,0),MATCH(I$1,'Master data'!$B$1:$CL$1,0)),"")</f>
        <v>-4562.0429047500866</v>
      </c>
      <c r="J504" s="7">
        <f>IFERROR(INDEX('Master data'!$B$2:$CL$1000,MATCH($B504,'Master data'!$A$2:$A$1000,0),MATCH(J$1,'Master data'!$B$1:$CL$1,0)),"")</f>
        <v>-2242.365097672553</v>
      </c>
      <c r="K504" s="7">
        <f>IFERROR(INDEX('Master data'!$B$2:$CL$1000,MATCH($B504,'Master data'!$A$2:$A$1000,0),MATCH(K$1,'Master data'!$B$1:$CL$1,0)),"")</f>
        <v>-1082.7435294913676</v>
      </c>
      <c r="L504" s="7">
        <f>IFERROR(INDEX('Master data'!$B$2:$CL$1000,MATCH($B504,'Master data'!$A$2:$A$1000,0),MATCH(L$1,'Master data'!$B$1:$CL$1,0)),"")</f>
        <v>-489.96557382074195</v>
      </c>
      <c r="M504" s="5">
        <f>IFERROR(INDEX('Master data'!$B$2:$CL$1000,MATCH($B504,'Master data'!$A$2:$A$1000,0),MATCH(M$1,'Master data'!$B$1:$CL$1,0)),"")</f>
        <v>6048.5024155236051</v>
      </c>
      <c r="N504" s="28">
        <f>IFERROR(INDEX('Master data'!$B$2:$CL$1000,MATCH($B504,'Master data'!$A$2:$A$1000,0),MATCH(N$1,'Master data'!$B$1:$CL$1,0)),"")</f>
        <v>4.8666939217974596E-3</v>
      </c>
      <c r="O504" s="7">
        <f>IFERROR(INDEX('Master data'!$B$2:$CL$1000,MATCH($B504,'Master data'!$A$2:$A$1000,0),MATCH(O$1,'Master data'!$B$1:$CL$1,0)),"")</f>
        <v>0</v>
      </c>
      <c r="P504" s="5">
        <f>IFERROR(INDEX('Master data'!$B$2:$CL$1000,MATCH($B504,'Master data'!$A$2:$A$1000,0),MATCH(P$1,'Master data'!$B$1:$CL$1,0)),"")</f>
        <v>2000000</v>
      </c>
      <c r="Q504" s="5">
        <f>IFERROR(INDEX('Master data'!$B$2:$CL$1000,MATCH($B504,'Master data'!$A$2:$A$1000,0),MATCH(Q$1,'Master data'!$B$1:$CL$1,0)),"")</f>
        <v>2000000</v>
      </c>
    </row>
    <row r="505" spans="1:17" hidden="1">
      <c r="A505">
        <f t="shared" si="7"/>
        <v>503</v>
      </c>
      <c r="B505" t="str">
        <f>IF('Master data'!A505="","",'Master data'!A505)</f>
        <v>Marcus Forss</v>
      </c>
      <c r="C505" t="str">
        <f>IFERROR(INDEX('Master data'!$B$2:$CL$1000,MATCH($B505,'Master data'!$A$2:$A$1000,0),MATCH(C$1,'Master data'!$B$1:$CL$1,0)),"")</f>
        <v>Finland</v>
      </c>
      <c r="D505" t="str">
        <f>IFERROR(INDEX('Master data'!$B$2:$CL$1000,MATCH($B505,'Master data'!$A$2:$A$1000,0),MATCH(D$1,'Master data'!$B$1:$CL$1,0)),"")</f>
        <v>Striker</v>
      </c>
      <c r="E505" s="5">
        <f>IFERROR(INDEX('Master data'!$B$2:$CL$1000,MATCH($B505,'Master data'!$A$2:$A$1000,0),MATCH(E$1,'Master data'!$B$1:$CL$1,0)),"")</f>
        <v>2500000</v>
      </c>
      <c r="F505" s="7">
        <f>IFERROR(INDEX('Master data'!$B$2:$CL$1000,MATCH($B505,'Master data'!$A$2:$A$1000,0),MATCH(F$1,'Master data'!$B$1:$CL$1,0)),"")</f>
        <v>-5000</v>
      </c>
      <c r="G505" s="7">
        <f>IFERROR(INDEX('Master data'!$B$2:$CL$1000,MATCH($B505,'Master data'!$A$2:$A$1000,0),MATCH(G$1,'Master data'!$B$1:$CL$1,0)),"")</f>
        <v>-5000</v>
      </c>
      <c r="H505" s="7">
        <f>IFERROR(INDEX('Master data'!$B$2:$CL$1000,MATCH($B505,'Master data'!$A$2:$A$1000,0),MATCH(H$1,'Master data'!$B$1:$CL$1,0)),"")</f>
        <v>-5000</v>
      </c>
      <c r="I505" s="7">
        <f>IFERROR(INDEX('Master data'!$B$2:$CL$1000,MATCH($B505,'Master data'!$A$2:$A$1000,0),MATCH(I$1,'Master data'!$B$1:$CL$1,0)),"")</f>
        <v>-8080.343021337595</v>
      </c>
      <c r="J505" s="7">
        <f>IFERROR(INDEX('Master data'!$B$2:$CL$1000,MATCH($B505,'Master data'!$A$2:$A$1000,0),MATCH(J$1,'Master data'!$B$1:$CL$1,0)),"")</f>
        <v>-3957.4314360337198</v>
      </c>
      <c r="K505" s="7">
        <f>IFERROR(INDEX('Master data'!$B$2:$CL$1000,MATCH($B505,'Master data'!$A$2:$A$1000,0),MATCH(K$1,'Master data'!$B$1:$CL$1,0)),"")</f>
        <v>-1904.0120571238031</v>
      </c>
      <c r="L505" s="7">
        <f>IFERROR(INDEX('Master data'!$B$2:$CL$1000,MATCH($B505,'Master data'!$A$2:$A$1000,0),MATCH(L$1,'Master data'!$B$1:$CL$1,0)),"")</f>
        <v>-858.51335840923593</v>
      </c>
      <c r="M505" s="5">
        <f>IFERROR(INDEX('Master data'!$B$2:$CL$1000,MATCH($B505,'Master data'!$A$2:$A$1000,0),MATCH(M$1,'Master data'!$B$1:$CL$1,0)),"")</f>
        <v>-14057.550386584157</v>
      </c>
      <c r="N505" s="28">
        <f>IFERROR(INDEX('Master data'!$B$2:$CL$1000,MATCH($B505,'Master data'!$A$2:$A$1000,0),MATCH(N$1,'Master data'!$B$1:$CL$1,0)),"")</f>
        <v>-6.0000000000000001E-3</v>
      </c>
      <c r="O505" s="7">
        <f>IFERROR(INDEX('Master data'!$B$2:$CL$1000,MATCH($B505,'Master data'!$A$2:$A$1000,0),MATCH(O$1,'Master data'!$B$1:$CL$1,0)),"")</f>
        <v>0</v>
      </c>
      <c r="P505" s="5">
        <f>IFERROR(INDEX('Master data'!$B$2:$CL$1000,MATCH($B505,'Master data'!$A$2:$A$1000,0),MATCH(P$1,'Master data'!$B$1:$CL$1,0)),"")</f>
        <v>2500000</v>
      </c>
      <c r="Q505" s="5">
        <f>IFERROR(INDEX('Master data'!$B$2:$CL$1000,MATCH($B505,'Master data'!$A$2:$A$1000,0),MATCH(Q$1,'Master data'!$B$1:$CL$1,0)),"")</f>
        <v>2500000</v>
      </c>
    </row>
    <row r="506" spans="1:17" hidden="1">
      <c r="A506">
        <f t="shared" si="7"/>
        <v>504</v>
      </c>
      <c r="B506" t="str">
        <f>IF('Master data'!A506="","",'Master data'!A506)</f>
        <v>Oleksandr Tymchyk</v>
      </c>
      <c r="C506" t="str">
        <f>IFERROR(INDEX('Master data'!$B$2:$CL$1000,MATCH($B506,'Master data'!$A$2:$A$1000,0),MATCH(C$1,'Master data'!$B$1:$CL$1,0)),"")</f>
        <v>Ukraine</v>
      </c>
      <c r="D506" t="str">
        <f>IFERROR(INDEX('Master data'!$B$2:$CL$1000,MATCH($B506,'Master data'!$A$2:$A$1000,0),MATCH(D$1,'Master data'!$B$1:$CL$1,0)),"")</f>
        <v>Defense</v>
      </c>
      <c r="E506" s="5">
        <f>IFERROR(INDEX('Master data'!$B$2:$CL$1000,MATCH($B506,'Master data'!$A$2:$A$1000,0),MATCH(E$1,'Master data'!$B$1:$CL$1,0)),"")</f>
        <v>2000000</v>
      </c>
      <c r="F506" s="7">
        <f>IFERROR(INDEX('Master data'!$B$2:$CL$1000,MATCH($B506,'Master data'!$A$2:$A$1000,0),MATCH(F$1,'Master data'!$B$1:$CL$1,0)),"")</f>
        <v>5389.6103896103905</v>
      </c>
      <c r="G506" s="7">
        <f>IFERROR(INDEX('Master data'!$B$2:$CL$1000,MATCH($B506,'Master data'!$A$2:$A$1000,0),MATCH(G$1,'Master data'!$B$1:$CL$1,0)),"")</f>
        <v>18376.623376623374</v>
      </c>
      <c r="H506" s="7">
        <f>IFERROR(INDEX('Master data'!$B$2:$CL$1000,MATCH($B506,'Master data'!$A$2:$A$1000,0),MATCH(H$1,'Master data'!$B$1:$CL$1,0)),"")</f>
        <v>10892.887099479949</v>
      </c>
      <c r="I506" s="7">
        <f>IFERROR(INDEX('Master data'!$B$2:$CL$1000,MATCH($B506,'Master data'!$A$2:$A$1000,0),MATCH(I$1,'Master data'!$B$1:$CL$1,0)),"")</f>
        <v>-6563.5999676593328</v>
      </c>
      <c r="J506" s="7">
        <f>IFERROR(INDEX('Master data'!$B$2:$CL$1000,MATCH($B506,'Master data'!$A$2:$A$1000,0),MATCH(J$1,'Master data'!$B$1:$CL$1,0)),"")</f>
        <v>-3267.4148487702614</v>
      </c>
      <c r="K506" s="7">
        <f>IFERROR(INDEX('Master data'!$B$2:$CL$1000,MATCH($B506,'Master data'!$A$2:$A$1000,0),MATCH(K$1,'Master data'!$B$1:$CL$1,0)),"")</f>
        <v>-1600.0718260543731</v>
      </c>
      <c r="L506" s="7">
        <f>IFERROR(INDEX('Master data'!$B$2:$CL$1000,MATCH($B506,'Master data'!$A$2:$A$1000,0),MATCH(L$1,'Master data'!$B$1:$CL$1,0)),"")</f>
        <v>-738.68248303897747</v>
      </c>
      <c r="M506" s="5">
        <f>IFERROR(INDEX('Master data'!$B$2:$CL$1000,MATCH($B506,'Master data'!$A$2:$A$1000,0),MATCH(M$1,'Master data'!$B$1:$CL$1,0)),"")</f>
        <v>19616.231069744019</v>
      </c>
      <c r="N506" s="28">
        <f>IFERROR(INDEX('Master data'!$B$2:$CL$1000,MATCH($B506,'Master data'!$A$2:$A$1000,0),MATCH(N$1,'Master data'!$B$1:$CL$1,0)),"")</f>
        <v>1.7329560432856859E-2</v>
      </c>
      <c r="O506" s="7">
        <f>IFERROR(INDEX('Master data'!$B$2:$CL$1000,MATCH($B506,'Master data'!$A$2:$A$1000,0),MATCH(O$1,'Master data'!$B$1:$CL$1,0)),"")</f>
        <v>0</v>
      </c>
      <c r="P506" s="5">
        <f>IFERROR(INDEX('Master data'!$B$2:$CL$1000,MATCH($B506,'Master data'!$A$2:$A$1000,0),MATCH(P$1,'Master data'!$B$1:$CL$1,0)),"")</f>
        <v>2000000</v>
      </c>
      <c r="Q506" s="5">
        <f>IFERROR(INDEX('Master data'!$B$2:$CL$1000,MATCH($B506,'Master data'!$A$2:$A$1000,0),MATCH(Q$1,'Master data'!$B$1:$CL$1,0)),"")</f>
        <v>2000000</v>
      </c>
    </row>
    <row r="507" spans="1:17" hidden="1">
      <c r="A507">
        <f t="shared" si="7"/>
        <v>505</v>
      </c>
      <c r="B507" t="str">
        <f>IF('Master data'!A507="","",'Master data'!A507)</f>
        <v>Ilya Zabarnyi</v>
      </c>
      <c r="C507" t="str">
        <f>IFERROR(INDEX('Master data'!$B$2:$CL$1000,MATCH($B507,'Master data'!$A$2:$A$1000,0),MATCH(C$1,'Master data'!$B$1:$CL$1,0)),"")</f>
        <v>Ukraine</v>
      </c>
      <c r="D507" t="str">
        <f>IFERROR(INDEX('Master data'!$B$2:$CL$1000,MATCH($B507,'Master data'!$A$2:$A$1000,0),MATCH(D$1,'Master data'!$B$1:$CL$1,0)),"")</f>
        <v>Defense</v>
      </c>
      <c r="E507" s="5">
        <f>IFERROR(INDEX('Master data'!$B$2:$CL$1000,MATCH($B507,'Master data'!$A$2:$A$1000,0),MATCH(E$1,'Master data'!$B$1:$CL$1,0)),"")</f>
        <v>2500000</v>
      </c>
      <c r="F507" s="7">
        <f>IFERROR(INDEX('Master data'!$B$2:$CL$1000,MATCH($B507,'Master data'!$A$2:$A$1000,0),MATCH(F$1,'Master data'!$B$1:$CL$1,0)),"")</f>
        <v>13486.043793529519</v>
      </c>
      <c r="G507" s="7">
        <f>IFERROR(INDEX('Master data'!$B$2:$CL$1000,MATCH($B507,'Master data'!$A$2:$A$1000,0),MATCH(G$1,'Master data'!$B$1:$CL$1,0)),"")</f>
        <v>64505.780792555139</v>
      </c>
      <c r="H507" s="7">
        <f>IFERROR(INDEX('Master data'!$B$2:$CL$1000,MATCH($B507,'Master data'!$A$2:$A$1000,0),MATCH(H$1,'Master data'!$B$1:$CL$1,0)),"")</f>
        <v>37552.675721297492</v>
      </c>
      <c r="I507" s="7">
        <f>IFERROR(INDEX('Master data'!$B$2:$CL$1000,MATCH($B507,'Master data'!$A$2:$A$1000,0),MATCH(I$1,'Master data'!$B$1:$CL$1,0)),"")</f>
        <v>9225.1790265972813</v>
      </c>
      <c r="J507" s="7">
        <f>IFERROR(INDEX('Master data'!$B$2:$CL$1000,MATCH($B507,'Master data'!$A$2:$A$1000,0),MATCH(J$1,'Master data'!$B$1:$CL$1,0)),"")</f>
        <v>4391.5650202056077</v>
      </c>
      <c r="K507" s="7">
        <f>IFERROR(INDEX('Master data'!$B$2:$CL$1000,MATCH($B507,'Master data'!$A$2:$A$1000,0),MATCH(K$1,'Master data'!$B$1:$CL$1,0)),"")</f>
        <v>2054.7564576115383</v>
      </c>
      <c r="L507" s="7">
        <f>IFERROR(INDEX('Master data'!$B$2:$CL$1000,MATCH($B507,'Master data'!$A$2:$A$1000,0),MATCH(L$1,'Master data'!$B$1:$CL$1,0)),"")</f>
        <v>905.47352939002906</v>
      </c>
      <c r="M507" s="5">
        <f>IFERROR(INDEX('Master data'!$B$2:$CL$1000,MATCH($B507,'Master data'!$A$2:$A$1000,0),MATCH(M$1,'Master data'!$B$1:$CL$1,0)),"")</f>
        <v>77130.909852992438</v>
      </c>
      <c r="N507" s="28">
        <f>IFERROR(INDEX('Master data'!$B$2:$CL$1000,MATCH($B507,'Master data'!$A$2:$A$1000,0),MATCH(N$1,'Master data'!$B$1:$CL$1,0)),"")</f>
        <v>4.6217800122952866E-2</v>
      </c>
      <c r="O507" s="7">
        <f>IFERROR(INDEX('Master data'!$B$2:$CL$1000,MATCH($B507,'Master data'!$A$2:$A$1000,0),MATCH(O$1,'Master data'!$B$1:$CL$1,0)),"")</f>
        <v>0</v>
      </c>
      <c r="P507" s="5">
        <f>IFERROR(INDEX('Master data'!$B$2:$CL$1000,MATCH($B507,'Master data'!$A$2:$A$1000,0),MATCH(P$1,'Master data'!$B$1:$CL$1,0)),"")</f>
        <v>2500000</v>
      </c>
      <c r="Q507" s="5">
        <f>IFERROR(INDEX('Master data'!$B$2:$CL$1000,MATCH($B507,'Master data'!$A$2:$A$1000,0),MATCH(Q$1,'Master data'!$B$1:$CL$1,0)),"")</f>
        <v>2500000</v>
      </c>
    </row>
    <row r="508" spans="1:17" hidden="1">
      <c r="A508">
        <f t="shared" si="7"/>
        <v>506</v>
      </c>
      <c r="B508" t="str">
        <f>IF('Master data'!A508="","",'Master data'!A508)</f>
        <v>Craig Gordon</v>
      </c>
      <c r="C508" t="str">
        <f>IFERROR(INDEX('Master data'!$B$2:$CL$1000,MATCH($B508,'Master data'!$A$2:$A$1000,0),MATCH(C$1,'Master data'!$B$1:$CL$1,0)),"")</f>
        <v>Scotland</v>
      </c>
      <c r="D508" t="str">
        <f>IFERROR(INDEX('Master data'!$B$2:$CL$1000,MATCH($B508,'Master data'!$A$2:$A$1000,0),MATCH(D$1,'Master data'!$B$1:$CL$1,0)),"")</f>
        <v>Goalkeeper</v>
      </c>
      <c r="E508" s="5">
        <f>IFERROR(INDEX('Master data'!$B$2:$CL$1000,MATCH($B508,'Master data'!$A$2:$A$1000,0),MATCH(E$1,'Master data'!$B$1:$CL$1,0)),"")</f>
        <v>3000000</v>
      </c>
      <c r="F508" s="7">
        <f>IFERROR(INDEX('Master data'!$B$2:$CL$1000,MATCH($B508,'Master data'!$A$2:$A$1000,0),MATCH(F$1,'Master data'!$B$1:$CL$1,0)),"")</f>
        <v>30023.364465583134</v>
      </c>
      <c r="G508" s="7">
        <f>IFERROR(INDEX('Master data'!$B$2:$CL$1000,MATCH($B508,'Master data'!$A$2:$A$1000,0),MATCH(G$1,'Master data'!$B$1:$CL$1,0)),"")</f>
        <v>22466.474818245959</v>
      </c>
      <c r="H508" s="7">
        <f>IFERROR(INDEX('Master data'!$B$2:$CL$1000,MATCH($B508,'Master data'!$A$2:$A$1000,0),MATCH(H$1,'Master data'!$B$1:$CL$1,0)),"")</f>
        <v>24697.845188821528</v>
      </c>
      <c r="I508" s="7">
        <f>IFERROR(INDEX('Master data'!$B$2:$CL$1000,MATCH($B508,'Master data'!$A$2:$A$1000,0),MATCH(I$1,'Master data'!$B$1:$CL$1,0)),"")</f>
        <v>-2080.8478943744253</v>
      </c>
      <c r="J508" s="7">
        <f>IFERROR(INDEX('Master data'!$B$2:$CL$1000,MATCH($B508,'Master data'!$A$2:$A$1000,0),MATCH(J$1,'Master data'!$B$1:$CL$1,0)),"")</f>
        <v>-1074.2838631828486</v>
      </c>
      <c r="K508" s="7">
        <f>IFERROR(INDEX('Master data'!$B$2:$CL$1000,MATCH($B508,'Master data'!$A$2:$A$1000,0),MATCH(K$1,'Master data'!$B$1:$CL$1,0)),"")</f>
        <v>-544.24476642272032</v>
      </c>
      <c r="L508" s="7">
        <f>IFERROR(INDEX('Master data'!$B$2:$CL$1000,MATCH($B508,'Master data'!$A$2:$A$1000,0),MATCH(L$1,'Master data'!$B$1:$CL$1,0)),"")</f>
        <v>-259.12285634654927</v>
      </c>
      <c r="M508" s="5">
        <f>IFERROR(INDEX('Master data'!$B$2:$CL$1000,MATCH($B508,'Master data'!$A$2:$A$1000,0),MATCH(M$1,'Master data'!$B$1:$CL$1,0)),"")</f>
        <v>55054.66380849087</v>
      </c>
      <c r="N508" s="28">
        <f>IFERROR(INDEX('Master data'!$B$2:$CL$1000,MATCH($B508,'Master data'!$A$2:$A$1000,0),MATCH(N$1,'Master data'!$B$1:$CL$1,0)),"")</f>
        <v>2.5729228157550202E-2</v>
      </c>
      <c r="O508" s="7">
        <f>IFERROR(INDEX('Master data'!$B$2:$CL$1000,MATCH($B508,'Master data'!$A$2:$A$1000,0),MATCH(O$1,'Master data'!$B$1:$CL$1,0)),"")</f>
        <v>0</v>
      </c>
      <c r="P508" s="5">
        <f>IFERROR(INDEX('Master data'!$B$2:$CL$1000,MATCH($B508,'Master data'!$A$2:$A$1000,0),MATCH(P$1,'Master data'!$B$1:$CL$1,0)),"")</f>
        <v>3000000</v>
      </c>
      <c r="Q508" s="5">
        <f>IFERROR(INDEX('Master data'!$B$2:$CL$1000,MATCH($B508,'Master data'!$A$2:$A$1000,0),MATCH(Q$1,'Master data'!$B$1:$CL$1,0)),"")</f>
        <v>3000000</v>
      </c>
    </row>
    <row r="509" spans="1:17" hidden="1">
      <c r="A509">
        <f t="shared" si="7"/>
        <v>507</v>
      </c>
      <c r="B509" t="str">
        <f>IF('Master data'!A509="","",'Master data'!A509)</f>
        <v>Jon McLaughlin</v>
      </c>
      <c r="C509" t="str">
        <f>IFERROR(INDEX('Master data'!$B$2:$CL$1000,MATCH($B509,'Master data'!$A$2:$A$1000,0),MATCH(C$1,'Master data'!$B$1:$CL$1,0)),"")</f>
        <v>Scotland</v>
      </c>
      <c r="D509" t="str">
        <f>IFERROR(INDEX('Master data'!$B$2:$CL$1000,MATCH($B509,'Master data'!$A$2:$A$1000,0),MATCH(D$1,'Master data'!$B$1:$CL$1,0)),"")</f>
        <v>Goalkeeper</v>
      </c>
      <c r="E509" s="5">
        <f>IFERROR(INDEX('Master data'!$B$2:$CL$1000,MATCH($B509,'Master data'!$A$2:$A$1000,0),MATCH(E$1,'Master data'!$B$1:$CL$1,0)),"")</f>
        <v>3000000</v>
      </c>
      <c r="F509" s="7">
        <f>IFERROR(INDEX('Master data'!$B$2:$CL$1000,MATCH($B509,'Master data'!$A$2:$A$1000,0),MATCH(F$1,'Master data'!$B$1:$CL$1,0)),"")</f>
        <v>30023.364465583134</v>
      </c>
      <c r="G509" s="7">
        <f>IFERROR(INDEX('Master data'!$B$2:$CL$1000,MATCH($B509,'Master data'!$A$2:$A$1000,0),MATCH(G$1,'Master data'!$B$1:$CL$1,0)),"")</f>
        <v>22466.474818245959</v>
      </c>
      <c r="H509" s="7">
        <f>IFERROR(INDEX('Master data'!$B$2:$CL$1000,MATCH($B509,'Master data'!$A$2:$A$1000,0),MATCH(H$1,'Master data'!$B$1:$CL$1,0)),"")</f>
        <v>24697.845188821528</v>
      </c>
      <c r="I509" s="7">
        <f>IFERROR(INDEX('Master data'!$B$2:$CL$1000,MATCH($B509,'Master data'!$A$2:$A$1000,0),MATCH(I$1,'Master data'!$B$1:$CL$1,0)),"")</f>
        <v>-2080.8478943744253</v>
      </c>
      <c r="J509" s="7">
        <f>IFERROR(INDEX('Master data'!$B$2:$CL$1000,MATCH($B509,'Master data'!$A$2:$A$1000,0),MATCH(J$1,'Master data'!$B$1:$CL$1,0)),"")</f>
        <v>-1074.2838631828486</v>
      </c>
      <c r="K509" s="7">
        <f>IFERROR(INDEX('Master data'!$B$2:$CL$1000,MATCH($B509,'Master data'!$A$2:$A$1000,0),MATCH(K$1,'Master data'!$B$1:$CL$1,0)),"")</f>
        <v>-544.24476642272032</v>
      </c>
      <c r="L509" s="7">
        <f>IFERROR(INDEX('Master data'!$B$2:$CL$1000,MATCH($B509,'Master data'!$A$2:$A$1000,0),MATCH(L$1,'Master data'!$B$1:$CL$1,0)),"")</f>
        <v>-259.12285634654927</v>
      </c>
      <c r="M509" s="5">
        <f>IFERROR(INDEX('Master data'!$B$2:$CL$1000,MATCH($B509,'Master data'!$A$2:$A$1000,0),MATCH(M$1,'Master data'!$B$1:$CL$1,0)),"")</f>
        <v>55054.66380849087</v>
      </c>
      <c r="N509" s="28">
        <f>IFERROR(INDEX('Master data'!$B$2:$CL$1000,MATCH($B509,'Master data'!$A$2:$A$1000,0),MATCH(N$1,'Master data'!$B$1:$CL$1,0)),"")</f>
        <v>2.5729228157550202E-2</v>
      </c>
      <c r="O509" s="7">
        <f>IFERROR(INDEX('Master data'!$B$2:$CL$1000,MATCH($B509,'Master data'!$A$2:$A$1000,0),MATCH(O$1,'Master data'!$B$1:$CL$1,0)),"")</f>
        <v>0</v>
      </c>
      <c r="P509" s="5">
        <f>IFERROR(INDEX('Master data'!$B$2:$CL$1000,MATCH($B509,'Master data'!$A$2:$A$1000,0),MATCH(P$1,'Master data'!$B$1:$CL$1,0)),"")</f>
        <v>3000000</v>
      </c>
      <c r="Q509" s="5">
        <f>IFERROR(INDEX('Master data'!$B$2:$CL$1000,MATCH($B509,'Master data'!$A$2:$A$1000,0),MATCH(Q$1,'Master data'!$B$1:$CL$1,0)),"")</f>
        <v>3000000</v>
      </c>
    </row>
    <row r="510" spans="1:17" hidden="1">
      <c r="A510">
        <f t="shared" si="7"/>
        <v>508</v>
      </c>
      <c r="B510" t="str">
        <f>IF('Master data'!A510="","",'Master data'!A510)</f>
        <v>Jack  Hendry</v>
      </c>
      <c r="C510" t="str">
        <f>IFERROR(INDEX('Master data'!$B$2:$CL$1000,MATCH($B510,'Master data'!$A$2:$A$1000,0),MATCH(C$1,'Master data'!$B$1:$CL$1,0)),"")</f>
        <v>Scotland</v>
      </c>
      <c r="D510" t="str">
        <f>IFERROR(INDEX('Master data'!$B$2:$CL$1000,MATCH($B510,'Master data'!$A$2:$A$1000,0),MATCH(D$1,'Master data'!$B$1:$CL$1,0)),"")</f>
        <v>Defense</v>
      </c>
      <c r="E510" s="5">
        <f>IFERROR(INDEX('Master data'!$B$2:$CL$1000,MATCH($B510,'Master data'!$A$2:$A$1000,0),MATCH(E$1,'Master data'!$B$1:$CL$1,0)),"")</f>
        <v>2500000</v>
      </c>
      <c r="F510" s="7">
        <f>IFERROR(INDEX('Master data'!$B$2:$CL$1000,MATCH($B510,'Master data'!$A$2:$A$1000,0),MATCH(F$1,'Master data'!$B$1:$CL$1,0)),"")</f>
        <v>38210.331390199957</v>
      </c>
      <c r="G510" s="7">
        <f>IFERROR(INDEX('Master data'!$B$2:$CL$1000,MATCH($B510,'Master data'!$A$2:$A$1000,0),MATCH(G$1,'Master data'!$B$1:$CL$1,0)),"")</f>
        <v>2667.0429852501875</v>
      </c>
      <c r="H510" s="7">
        <f>IFERROR(INDEX('Master data'!$B$2:$CL$1000,MATCH($B510,'Master data'!$A$2:$A$1000,0),MATCH(H$1,'Master data'!$B$1:$CL$1,0)),"")</f>
        <v>19700.954084605357</v>
      </c>
      <c r="I510" s="7">
        <f>IFERROR(INDEX('Master data'!$B$2:$CL$1000,MATCH($B510,'Master data'!$A$2:$A$1000,0),MATCH(I$1,'Master data'!$B$1:$CL$1,0)),"")</f>
        <v>-2233.6762265308366</v>
      </c>
      <c r="J510" s="7">
        <f>IFERROR(INDEX('Master data'!$B$2:$CL$1000,MATCH($B510,'Master data'!$A$2:$A$1000,0),MATCH(J$1,'Master data'!$B$1:$CL$1,0)),"")</f>
        <v>-1138.1322893411186</v>
      </c>
      <c r="K510" s="7">
        <f>IFERROR(INDEX('Master data'!$B$2:$CL$1000,MATCH($B510,'Master data'!$A$2:$A$1000,0),MATCH(K$1,'Master data'!$B$1:$CL$1,0)),"")</f>
        <v>-569.67143792725778</v>
      </c>
      <c r="L510" s="7">
        <f>IFERROR(INDEX('Master data'!$B$2:$CL$1000,MATCH($B510,'Master data'!$A$2:$A$1000,0),MATCH(L$1,'Master data'!$B$1:$CL$1,0)),"")</f>
        <v>-268.22586911845877</v>
      </c>
      <c r="M510" s="5">
        <f>IFERROR(INDEX('Master data'!$B$2:$CL$1000,MATCH($B510,'Master data'!$A$2:$A$1000,0),MATCH(M$1,'Master data'!$B$1:$CL$1,0)),"")</f>
        <v>47759.126981397967</v>
      </c>
      <c r="N510" s="28">
        <f>IFERROR(INDEX('Master data'!$B$2:$CL$1000,MATCH($B510,'Master data'!$A$2:$A$1000,0),MATCH(N$1,'Master data'!$B$1:$CL$1,0)),"")</f>
        <v>2.4231331384022201E-2</v>
      </c>
      <c r="O510" s="7">
        <f>IFERROR(INDEX('Master data'!$B$2:$CL$1000,MATCH($B510,'Master data'!$A$2:$A$1000,0),MATCH(O$1,'Master data'!$B$1:$CL$1,0)),"")</f>
        <v>0</v>
      </c>
      <c r="P510" s="5">
        <f>IFERROR(INDEX('Master data'!$B$2:$CL$1000,MATCH($B510,'Master data'!$A$2:$A$1000,0),MATCH(P$1,'Master data'!$B$1:$CL$1,0)),"")</f>
        <v>2500000</v>
      </c>
      <c r="Q510" s="5">
        <f>IFERROR(INDEX('Master data'!$B$2:$CL$1000,MATCH($B510,'Master data'!$A$2:$A$1000,0),MATCH(Q$1,'Master data'!$B$1:$CL$1,0)),"")</f>
        <v>2500000</v>
      </c>
    </row>
    <row r="511" spans="1:17" hidden="1">
      <c r="A511">
        <f t="shared" si="7"/>
        <v>509</v>
      </c>
      <c r="B511" t="str">
        <f>IF('Master data'!A511="","",'Master data'!A511)</f>
        <v>Greg  Taylor</v>
      </c>
      <c r="C511" t="str">
        <f>IFERROR(INDEX('Master data'!$B$2:$CL$1000,MATCH($B511,'Master data'!$A$2:$A$1000,0),MATCH(C$1,'Master data'!$B$1:$CL$1,0)),"")</f>
        <v>Scotland</v>
      </c>
      <c r="D511" t="str">
        <f>IFERROR(INDEX('Master data'!$B$2:$CL$1000,MATCH($B511,'Master data'!$A$2:$A$1000,0),MATCH(D$1,'Master data'!$B$1:$CL$1,0)),"")</f>
        <v>Defense</v>
      </c>
      <c r="E511" s="5">
        <f>IFERROR(INDEX('Master data'!$B$2:$CL$1000,MATCH($B511,'Master data'!$A$2:$A$1000,0),MATCH(E$1,'Master data'!$B$1:$CL$1,0)),"")</f>
        <v>2500000</v>
      </c>
      <c r="F511" s="7">
        <f>IFERROR(INDEX('Master data'!$B$2:$CL$1000,MATCH($B511,'Master data'!$A$2:$A$1000,0),MATCH(F$1,'Master data'!$B$1:$CL$1,0)),"")</f>
        <v>12178.76623108485</v>
      </c>
      <c r="G511" s="7">
        <f>IFERROR(INDEX('Master data'!$B$2:$CL$1000,MATCH($B511,'Master data'!$A$2:$A$1000,0),MATCH(G$1,'Master data'!$B$1:$CL$1,0)),"")</f>
        <v>1720.9210921785752</v>
      </c>
      <c r="H511" s="7">
        <f>IFERROR(INDEX('Master data'!$B$2:$CL$1000,MATCH($B511,'Master data'!$A$2:$A$1000,0),MATCH(H$1,'Master data'!$B$1:$CL$1,0)),"")</f>
        <v>6112.7813602855349</v>
      </c>
      <c r="I511" s="7">
        <f>IFERROR(INDEX('Master data'!$B$2:$CL$1000,MATCH($B511,'Master data'!$A$2:$A$1000,0),MATCH(I$1,'Master data'!$B$1:$CL$1,0)),"")</f>
        <v>-7646.1123926453602</v>
      </c>
      <c r="J511" s="7">
        <f>IFERROR(INDEX('Master data'!$B$2:$CL$1000,MATCH($B511,'Master data'!$A$2:$A$1000,0),MATCH(J$1,'Master data'!$B$1:$CL$1,0)),"")</f>
        <v>-3769.3615085935021</v>
      </c>
      <c r="K511" s="7">
        <f>IFERROR(INDEX('Master data'!$B$2:$CL$1000,MATCH($B511,'Master data'!$A$2:$A$1000,0),MATCH(K$1,'Master data'!$B$1:$CL$1,0)),"")</f>
        <v>-1827.7236670424224</v>
      </c>
      <c r="L511" s="7">
        <f>IFERROR(INDEX('Master data'!$B$2:$CL$1000,MATCH($B511,'Master data'!$A$2:$A$1000,0),MATCH(L$1,'Master data'!$B$1:$CL$1,0)),"")</f>
        <v>-834.67214313237844</v>
      </c>
      <c r="M511" s="5">
        <f>IFERROR(INDEX('Master data'!$B$2:$CL$1000,MATCH($B511,'Master data'!$A$2:$A$1000,0),MATCH(M$1,'Master data'!$B$1:$CL$1,0)),"")</f>
        <v>12718.793649858366</v>
      </c>
      <c r="N511" s="28">
        <f>IFERROR(INDEX('Master data'!$B$2:$CL$1000,MATCH($B511,'Master data'!$A$2:$A$1000,0),MATCH(N$1,'Master data'!$B$1:$CL$1,0)),"")</f>
        <v>8.0049874734195829E-3</v>
      </c>
      <c r="O511" s="7">
        <f>IFERROR(INDEX('Master data'!$B$2:$CL$1000,MATCH($B511,'Master data'!$A$2:$A$1000,0),MATCH(O$1,'Master data'!$B$1:$CL$1,0)),"")</f>
        <v>0</v>
      </c>
      <c r="P511" s="5">
        <f>IFERROR(INDEX('Master data'!$B$2:$CL$1000,MATCH($B511,'Master data'!$A$2:$A$1000,0),MATCH(P$1,'Master data'!$B$1:$CL$1,0)),"")</f>
        <v>2500000</v>
      </c>
      <c r="Q511" s="5">
        <f>IFERROR(INDEX('Master data'!$B$2:$CL$1000,MATCH($B511,'Master data'!$A$2:$A$1000,0),MATCH(Q$1,'Master data'!$B$1:$CL$1,0)),"")</f>
        <v>2500000</v>
      </c>
    </row>
    <row r="512" spans="1:17" hidden="1">
      <c r="A512">
        <f t="shared" si="7"/>
        <v>510</v>
      </c>
      <c r="B512" t="str">
        <f>IF('Master data'!A512="","",'Master data'!A512)</f>
        <v>Nathan  Patterson</v>
      </c>
      <c r="C512" t="str">
        <f>IFERROR(INDEX('Master data'!$B$2:$CL$1000,MATCH($B512,'Master data'!$A$2:$A$1000,0),MATCH(C$1,'Master data'!$B$1:$CL$1,0)),"")</f>
        <v>Scotland</v>
      </c>
      <c r="D512" t="str">
        <f>IFERROR(INDEX('Master data'!$B$2:$CL$1000,MATCH($B512,'Master data'!$A$2:$A$1000,0),MATCH(D$1,'Master data'!$B$1:$CL$1,0)),"")</f>
        <v>Defense</v>
      </c>
      <c r="E512" s="5">
        <f>IFERROR(INDEX('Master data'!$B$2:$CL$1000,MATCH($B512,'Master data'!$A$2:$A$1000,0),MATCH(E$1,'Master data'!$B$1:$CL$1,0)),"")</f>
        <v>2000000</v>
      </c>
      <c r="F512" s="7">
        <f>IFERROR(INDEX('Master data'!$B$2:$CL$1000,MATCH($B512,'Master data'!$A$2:$A$1000,0),MATCH(F$1,'Master data'!$B$1:$CL$1,0)),"")</f>
        <v>12178.76623108485</v>
      </c>
      <c r="G512" s="7">
        <f>IFERROR(INDEX('Master data'!$B$2:$CL$1000,MATCH($B512,'Master data'!$A$2:$A$1000,0),MATCH(G$1,'Master data'!$B$1:$CL$1,0)),"")</f>
        <v>1720.9210921785752</v>
      </c>
      <c r="H512" s="7">
        <f>IFERROR(INDEX('Master data'!$B$2:$CL$1000,MATCH($B512,'Master data'!$A$2:$A$1000,0),MATCH(H$1,'Master data'!$B$1:$CL$1,0)),"")</f>
        <v>6112.7813602855349</v>
      </c>
      <c r="I512" s="7">
        <f>IFERROR(INDEX('Master data'!$B$2:$CL$1000,MATCH($B512,'Master data'!$A$2:$A$1000,0),MATCH(I$1,'Master data'!$B$1:$CL$1,0)),"")</f>
        <v>-5582.863469846</v>
      </c>
      <c r="J512" s="7">
        <f>IFERROR(INDEX('Master data'!$B$2:$CL$1000,MATCH($B512,'Master data'!$A$2:$A$1000,0),MATCH(J$1,'Master data'!$B$1:$CL$1,0)),"")</f>
        <v>-2755.8748777831088</v>
      </c>
      <c r="K512" s="7">
        <f>IFERROR(INDEX('Master data'!$B$2:$CL$1000,MATCH($B512,'Master data'!$A$2:$A$1000,0),MATCH(K$1,'Master data'!$B$1:$CL$1,0)),"")</f>
        <v>-1338.0512510153774</v>
      </c>
      <c r="L512" s="7">
        <f>IFERROR(INDEX('Master data'!$B$2:$CL$1000,MATCH($B512,'Master data'!$A$2:$A$1000,0),MATCH(L$1,'Master data'!$B$1:$CL$1,0)),"")</f>
        <v>-611.84841063278861</v>
      </c>
      <c r="M512" s="5">
        <f>IFERROR(INDEX('Master data'!$B$2:$CL$1000,MATCH($B512,'Master data'!$A$2:$A$1000,0),MATCH(M$1,'Master data'!$B$1:$CL$1,0)),"")</f>
        <v>13614.367193040713</v>
      </c>
      <c r="N512" s="28">
        <f>IFERROR(INDEX('Master data'!$B$2:$CL$1000,MATCH($B512,'Master data'!$A$2:$A$1000,0),MATCH(N$1,'Master data'!$B$1:$CL$1,0)),"")</f>
        <v>1.000623434177448E-2</v>
      </c>
      <c r="O512" s="7">
        <f>IFERROR(INDEX('Master data'!$B$2:$CL$1000,MATCH($B512,'Master data'!$A$2:$A$1000,0),MATCH(O$1,'Master data'!$B$1:$CL$1,0)),"")</f>
        <v>0</v>
      </c>
      <c r="P512" s="5">
        <f>IFERROR(INDEX('Master data'!$B$2:$CL$1000,MATCH($B512,'Master data'!$A$2:$A$1000,0),MATCH(P$1,'Master data'!$B$1:$CL$1,0)),"")</f>
        <v>2000000</v>
      </c>
      <c r="Q512" s="5">
        <f>IFERROR(INDEX('Master data'!$B$2:$CL$1000,MATCH($B512,'Master data'!$A$2:$A$1000,0),MATCH(Q$1,'Master data'!$B$1:$CL$1,0)),"")</f>
        <v>2000000</v>
      </c>
    </row>
    <row r="513" spans="1:17" hidden="1">
      <c r="A513">
        <f t="shared" si="7"/>
        <v>511</v>
      </c>
      <c r="B513" t="str">
        <f>IF('Master data'!A513="","",'Master data'!A513)</f>
        <v>Grant Hanley</v>
      </c>
      <c r="C513" t="str">
        <f>IFERROR(INDEX('Master data'!$B$2:$CL$1000,MATCH($B513,'Master data'!$A$2:$A$1000,0),MATCH(C$1,'Master data'!$B$1:$CL$1,0)),"")</f>
        <v>Scotland</v>
      </c>
      <c r="D513" t="str">
        <f>IFERROR(INDEX('Master data'!$B$2:$CL$1000,MATCH($B513,'Master data'!$A$2:$A$1000,0),MATCH(D$1,'Master data'!$B$1:$CL$1,0)),"")</f>
        <v>Defense</v>
      </c>
      <c r="E513" s="5">
        <f>IFERROR(INDEX('Master data'!$B$2:$CL$1000,MATCH($B513,'Master data'!$A$2:$A$1000,0),MATCH(E$1,'Master data'!$B$1:$CL$1,0)),"")</f>
        <v>3000000</v>
      </c>
      <c r="F513" s="7">
        <f>IFERROR(INDEX('Master data'!$B$2:$CL$1000,MATCH($B513,'Master data'!$A$2:$A$1000,0),MATCH(F$1,'Master data'!$B$1:$CL$1,0)),"")</f>
        <v>37644.510443770305</v>
      </c>
      <c r="G513" s="7">
        <f>IFERROR(INDEX('Master data'!$B$2:$CL$1000,MATCH($B513,'Master data'!$A$2:$A$1000,0),MATCH(G$1,'Master data'!$B$1:$CL$1,0)),"")</f>
        <v>945.661324430268</v>
      </c>
      <c r="H513" s="7">
        <f>IFERROR(INDEX('Master data'!$B$2:$CL$1000,MATCH($B513,'Master data'!$A$2:$A$1000,0),MATCH(H$1,'Master data'!$B$1:$CL$1,0)),"")</f>
        <v>18500.462990334818</v>
      </c>
      <c r="I513" s="7">
        <f>IFERROR(INDEX('Master data'!$B$2:$CL$1000,MATCH($B513,'Master data'!$A$2:$A$1000,0),MATCH(I$1,'Master data'!$B$1:$CL$1,0)),"")</f>
        <v>-4762.2652069658016</v>
      </c>
      <c r="J513" s="7">
        <f>IFERROR(INDEX('Master data'!$B$2:$CL$1000,MATCH($B513,'Master data'!$A$2:$A$1000,0),MATCH(J$1,'Master data'!$B$1:$CL$1,0)),"")</f>
        <v>-2377.841700238057</v>
      </c>
      <c r="K513" s="7">
        <f>IFERROR(INDEX('Master data'!$B$2:$CL$1000,MATCH($B513,'Master data'!$A$2:$A$1000,0),MATCH(K$1,'Master data'!$B$1:$CL$1,0)),"")</f>
        <v>-1167.506256029395</v>
      </c>
      <c r="L513" s="7">
        <f>IFERROR(INDEX('Master data'!$B$2:$CL$1000,MATCH($B513,'Master data'!$A$2:$A$1000,0),MATCH(L$1,'Master data'!$B$1:$CL$1,0)),"")</f>
        <v>-539.75043313036463</v>
      </c>
      <c r="M513" s="5">
        <f>IFERROR(INDEX('Master data'!$B$2:$CL$1000,MATCH($B513,'Master data'!$A$2:$A$1000,0),MATCH(M$1,'Master data'!$B$1:$CL$1,0)),"")</f>
        <v>44415.509476285435</v>
      </c>
      <c r="N513" s="28">
        <f>IFERROR(INDEX('Master data'!$B$2:$CL$1000,MATCH($B513,'Master data'!$A$2:$A$1000,0),MATCH(N$1,'Master data'!$B$1:$CL$1,0)),"")</f>
        <v>1.9030211586178462E-2</v>
      </c>
      <c r="O513" s="7">
        <f>IFERROR(INDEX('Master data'!$B$2:$CL$1000,MATCH($B513,'Master data'!$A$2:$A$1000,0),MATCH(O$1,'Master data'!$B$1:$CL$1,0)),"")</f>
        <v>0</v>
      </c>
      <c r="P513" s="5">
        <f>IFERROR(INDEX('Master data'!$B$2:$CL$1000,MATCH($B513,'Master data'!$A$2:$A$1000,0),MATCH(P$1,'Master data'!$B$1:$CL$1,0)),"")</f>
        <v>3000000</v>
      </c>
      <c r="Q513" s="5">
        <f>IFERROR(INDEX('Master data'!$B$2:$CL$1000,MATCH($B513,'Master data'!$A$2:$A$1000,0),MATCH(Q$1,'Master data'!$B$1:$CL$1,0)),"")</f>
        <v>3000000</v>
      </c>
    </row>
    <row r="514" spans="1:17" hidden="1">
      <c r="A514">
        <f t="shared" si="7"/>
        <v>512</v>
      </c>
      <c r="B514" t="str">
        <f>IF('Master data'!A514="","",'Master data'!A514)</f>
        <v>Scott McKenna</v>
      </c>
      <c r="C514" t="str">
        <f>IFERROR(INDEX('Master data'!$B$2:$CL$1000,MATCH($B514,'Master data'!$A$2:$A$1000,0),MATCH(C$1,'Master data'!$B$1:$CL$1,0)),"")</f>
        <v>Scotland</v>
      </c>
      <c r="D514" t="str">
        <f>IFERROR(INDEX('Master data'!$B$2:$CL$1000,MATCH($B514,'Master data'!$A$2:$A$1000,0),MATCH(D$1,'Master data'!$B$1:$CL$1,0)),"")</f>
        <v>Defense</v>
      </c>
      <c r="E514" s="5">
        <f>IFERROR(INDEX('Master data'!$B$2:$CL$1000,MATCH($B514,'Master data'!$A$2:$A$1000,0),MATCH(E$1,'Master data'!$B$1:$CL$1,0)),"")</f>
        <v>2000000</v>
      </c>
      <c r="F514" s="7">
        <f>IFERROR(INDEX('Master data'!$B$2:$CL$1000,MATCH($B514,'Master data'!$A$2:$A$1000,0),MATCH(F$1,'Master data'!$B$1:$CL$1,0)),"")</f>
        <v>12178.76623108485</v>
      </c>
      <c r="G514" s="7">
        <f>IFERROR(INDEX('Master data'!$B$2:$CL$1000,MATCH($B514,'Master data'!$A$2:$A$1000,0),MATCH(G$1,'Master data'!$B$1:$CL$1,0)),"")</f>
        <v>1720.9210921785752</v>
      </c>
      <c r="H514" s="7">
        <f>IFERROR(INDEX('Master data'!$B$2:$CL$1000,MATCH($B514,'Master data'!$A$2:$A$1000,0),MATCH(H$1,'Master data'!$B$1:$CL$1,0)),"")</f>
        <v>6112.7813602855349</v>
      </c>
      <c r="I514" s="7">
        <f>IFERROR(INDEX('Master data'!$B$2:$CL$1000,MATCH($B514,'Master data'!$A$2:$A$1000,0),MATCH(I$1,'Master data'!$B$1:$CL$1,0)),"")</f>
        <v>-5582.863469846</v>
      </c>
      <c r="J514" s="7">
        <f>IFERROR(INDEX('Master data'!$B$2:$CL$1000,MATCH($B514,'Master data'!$A$2:$A$1000,0),MATCH(J$1,'Master data'!$B$1:$CL$1,0)),"")</f>
        <v>-2755.8748777831088</v>
      </c>
      <c r="K514" s="7">
        <f>IFERROR(INDEX('Master data'!$B$2:$CL$1000,MATCH($B514,'Master data'!$A$2:$A$1000,0),MATCH(K$1,'Master data'!$B$1:$CL$1,0)),"")</f>
        <v>-1338.0512510153774</v>
      </c>
      <c r="L514" s="7">
        <f>IFERROR(INDEX('Master data'!$B$2:$CL$1000,MATCH($B514,'Master data'!$A$2:$A$1000,0),MATCH(L$1,'Master data'!$B$1:$CL$1,0)),"")</f>
        <v>-611.84841063278861</v>
      </c>
      <c r="M514" s="5">
        <f>IFERROR(INDEX('Master data'!$B$2:$CL$1000,MATCH($B514,'Master data'!$A$2:$A$1000,0),MATCH(M$1,'Master data'!$B$1:$CL$1,0)),"")</f>
        <v>13614.367193040713</v>
      </c>
      <c r="N514" s="28">
        <f>IFERROR(INDEX('Master data'!$B$2:$CL$1000,MATCH($B514,'Master data'!$A$2:$A$1000,0),MATCH(N$1,'Master data'!$B$1:$CL$1,0)),"")</f>
        <v>1.000623434177448E-2</v>
      </c>
      <c r="O514" s="7">
        <f>IFERROR(INDEX('Master data'!$B$2:$CL$1000,MATCH($B514,'Master data'!$A$2:$A$1000,0),MATCH(O$1,'Master data'!$B$1:$CL$1,0)),"")</f>
        <v>0</v>
      </c>
      <c r="P514" s="5">
        <f>IFERROR(INDEX('Master data'!$B$2:$CL$1000,MATCH($B514,'Master data'!$A$2:$A$1000,0),MATCH(P$1,'Master data'!$B$1:$CL$1,0)),"")</f>
        <v>2000000</v>
      </c>
      <c r="Q514" s="5">
        <f>IFERROR(INDEX('Master data'!$B$2:$CL$1000,MATCH($B514,'Master data'!$A$2:$A$1000,0),MATCH(Q$1,'Master data'!$B$1:$CL$1,0)),"")</f>
        <v>2000000</v>
      </c>
    </row>
    <row r="515" spans="1:17" hidden="1">
      <c r="A515">
        <f t="shared" ref="A515:A578" si="8">IF(B515="","",ROW()-2)</f>
        <v>513</v>
      </c>
      <c r="B515" t="str">
        <f>IF('Master data'!A515="","",'Master data'!A515)</f>
        <v>Declan Gallagher</v>
      </c>
      <c r="C515" t="str">
        <f>IFERROR(INDEX('Master data'!$B$2:$CL$1000,MATCH($B515,'Master data'!$A$2:$A$1000,0),MATCH(C$1,'Master data'!$B$1:$CL$1,0)),"")</f>
        <v>Scotland</v>
      </c>
      <c r="D515" t="str">
        <f>IFERROR(INDEX('Master data'!$B$2:$CL$1000,MATCH($B515,'Master data'!$A$2:$A$1000,0),MATCH(D$1,'Master data'!$B$1:$CL$1,0)),"")</f>
        <v>Defense</v>
      </c>
      <c r="E515" s="5">
        <f>IFERROR(INDEX('Master data'!$B$2:$CL$1000,MATCH($B515,'Master data'!$A$2:$A$1000,0),MATCH(E$1,'Master data'!$B$1:$CL$1,0)),"")</f>
        <v>2500000</v>
      </c>
      <c r="F515" s="7">
        <f>IFERROR(INDEX('Master data'!$B$2:$CL$1000,MATCH($B515,'Master data'!$A$2:$A$1000,0),MATCH(F$1,'Master data'!$B$1:$CL$1,0)),"")</f>
        <v>12178.76623108485</v>
      </c>
      <c r="G515" s="7">
        <f>IFERROR(INDEX('Master data'!$B$2:$CL$1000,MATCH($B515,'Master data'!$A$2:$A$1000,0),MATCH(G$1,'Master data'!$B$1:$CL$1,0)),"")</f>
        <v>1720.9210921785752</v>
      </c>
      <c r="H515" s="7">
        <f>IFERROR(INDEX('Master data'!$B$2:$CL$1000,MATCH($B515,'Master data'!$A$2:$A$1000,0),MATCH(H$1,'Master data'!$B$1:$CL$1,0)),"")</f>
        <v>6112.7813602855349</v>
      </c>
      <c r="I515" s="7">
        <f>IFERROR(INDEX('Master data'!$B$2:$CL$1000,MATCH($B515,'Master data'!$A$2:$A$1000,0),MATCH(I$1,'Master data'!$B$1:$CL$1,0)),"")</f>
        <v>-7646.1123926453602</v>
      </c>
      <c r="J515" s="7">
        <f>IFERROR(INDEX('Master data'!$B$2:$CL$1000,MATCH($B515,'Master data'!$A$2:$A$1000,0),MATCH(J$1,'Master data'!$B$1:$CL$1,0)),"")</f>
        <v>-3769.3615085935021</v>
      </c>
      <c r="K515" s="7">
        <f>IFERROR(INDEX('Master data'!$B$2:$CL$1000,MATCH($B515,'Master data'!$A$2:$A$1000,0),MATCH(K$1,'Master data'!$B$1:$CL$1,0)),"")</f>
        <v>-1827.7236670424224</v>
      </c>
      <c r="L515" s="7">
        <f>IFERROR(INDEX('Master data'!$B$2:$CL$1000,MATCH($B515,'Master data'!$A$2:$A$1000,0),MATCH(L$1,'Master data'!$B$1:$CL$1,0)),"")</f>
        <v>-834.67214313237844</v>
      </c>
      <c r="M515" s="5">
        <f>IFERROR(INDEX('Master data'!$B$2:$CL$1000,MATCH($B515,'Master data'!$A$2:$A$1000,0),MATCH(M$1,'Master data'!$B$1:$CL$1,0)),"")</f>
        <v>12718.793649858366</v>
      </c>
      <c r="N515" s="28">
        <f>IFERROR(INDEX('Master data'!$B$2:$CL$1000,MATCH($B515,'Master data'!$A$2:$A$1000,0),MATCH(N$1,'Master data'!$B$1:$CL$1,0)),"")</f>
        <v>8.0049874734195829E-3</v>
      </c>
      <c r="O515" s="7">
        <f>IFERROR(INDEX('Master data'!$B$2:$CL$1000,MATCH($B515,'Master data'!$A$2:$A$1000,0),MATCH(O$1,'Master data'!$B$1:$CL$1,0)),"")</f>
        <v>0</v>
      </c>
      <c r="P515" s="5">
        <f>IFERROR(INDEX('Master data'!$B$2:$CL$1000,MATCH($B515,'Master data'!$A$2:$A$1000,0),MATCH(P$1,'Master data'!$B$1:$CL$1,0)),"")</f>
        <v>2500000</v>
      </c>
      <c r="Q515" s="5">
        <f>IFERROR(INDEX('Master data'!$B$2:$CL$1000,MATCH($B515,'Master data'!$A$2:$A$1000,0),MATCH(Q$1,'Master data'!$B$1:$CL$1,0)),"")</f>
        <v>2500000</v>
      </c>
    </row>
    <row r="516" spans="1:17" hidden="1">
      <c r="A516">
        <f t="shared" si="8"/>
        <v>514</v>
      </c>
      <c r="B516" t="str">
        <f>IF('Master data'!A516="","",'Master data'!A516)</f>
        <v>Liam Cooper</v>
      </c>
      <c r="C516" t="str">
        <f>IFERROR(INDEX('Master data'!$B$2:$CL$1000,MATCH($B516,'Master data'!$A$2:$A$1000,0),MATCH(C$1,'Master data'!$B$1:$CL$1,0)),"")</f>
        <v>Scotland</v>
      </c>
      <c r="D516" t="str">
        <f>IFERROR(INDEX('Master data'!$B$2:$CL$1000,MATCH($B516,'Master data'!$A$2:$A$1000,0),MATCH(D$1,'Master data'!$B$1:$CL$1,0)),"")</f>
        <v>Defense</v>
      </c>
      <c r="E516" s="5">
        <f>IFERROR(INDEX('Master data'!$B$2:$CL$1000,MATCH($B516,'Master data'!$A$2:$A$1000,0),MATCH(E$1,'Master data'!$B$1:$CL$1,0)),"")</f>
        <v>2500000</v>
      </c>
      <c r="F516" s="7">
        <f>IFERROR(INDEX('Master data'!$B$2:$CL$1000,MATCH($B516,'Master data'!$A$2:$A$1000,0),MATCH(F$1,'Master data'!$B$1:$CL$1,0)),"")</f>
        <v>12178.76623108485</v>
      </c>
      <c r="G516" s="7">
        <f>IFERROR(INDEX('Master data'!$B$2:$CL$1000,MATCH($B516,'Master data'!$A$2:$A$1000,0),MATCH(G$1,'Master data'!$B$1:$CL$1,0)),"")</f>
        <v>1720.9210921785752</v>
      </c>
      <c r="H516" s="7">
        <f>IFERROR(INDEX('Master data'!$B$2:$CL$1000,MATCH($B516,'Master data'!$A$2:$A$1000,0),MATCH(H$1,'Master data'!$B$1:$CL$1,0)),"")</f>
        <v>6112.7813602855349</v>
      </c>
      <c r="I516" s="7">
        <f>IFERROR(INDEX('Master data'!$B$2:$CL$1000,MATCH($B516,'Master data'!$A$2:$A$1000,0),MATCH(I$1,'Master data'!$B$1:$CL$1,0)),"")</f>
        <v>-7646.1123926453602</v>
      </c>
      <c r="J516" s="7">
        <f>IFERROR(INDEX('Master data'!$B$2:$CL$1000,MATCH($B516,'Master data'!$A$2:$A$1000,0),MATCH(J$1,'Master data'!$B$1:$CL$1,0)),"")</f>
        <v>-3769.3615085935021</v>
      </c>
      <c r="K516" s="7">
        <f>IFERROR(INDEX('Master data'!$B$2:$CL$1000,MATCH($B516,'Master data'!$A$2:$A$1000,0),MATCH(K$1,'Master data'!$B$1:$CL$1,0)),"")</f>
        <v>-1827.7236670424224</v>
      </c>
      <c r="L516" s="7">
        <f>IFERROR(INDEX('Master data'!$B$2:$CL$1000,MATCH($B516,'Master data'!$A$2:$A$1000,0),MATCH(L$1,'Master data'!$B$1:$CL$1,0)),"")</f>
        <v>-834.67214313237844</v>
      </c>
      <c r="M516" s="5">
        <f>IFERROR(INDEX('Master data'!$B$2:$CL$1000,MATCH($B516,'Master data'!$A$2:$A$1000,0),MATCH(M$1,'Master data'!$B$1:$CL$1,0)),"")</f>
        <v>12718.793649858366</v>
      </c>
      <c r="N516" s="28">
        <f>IFERROR(INDEX('Master data'!$B$2:$CL$1000,MATCH($B516,'Master data'!$A$2:$A$1000,0),MATCH(N$1,'Master data'!$B$1:$CL$1,0)),"")</f>
        <v>8.0049874734195829E-3</v>
      </c>
      <c r="O516" s="7">
        <f>IFERROR(INDEX('Master data'!$B$2:$CL$1000,MATCH($B516,'Master data'!$A$2:$A$1000,0),MATCH(O$1,'Master data'!$B$1:$CL$1,0)),"")</f>
        <v>0</v>
      </c>
      <c r="P516" s="5">
        <f>IFERROR(INDEX('Master data'!$B$2:$CL$1000,MATCH($B516,'Master data'!$A$2:$A$1000,0),MATCH(P$1,'Master data'!$B$1:$CL$1,0)),"")</f>
        <v>2500000</v>
      </c>
      <c r="Q516" s="5">
        <f>IFERROR(INDEX('Master data'!$B$2:$CL$1000,MATCH($B516,'Master data'!$A$2:$A$1000,0),MATCH(Q$1,'Master data'!$B$1:$CL$1,0)),"")</f>
        <v>2500000</v>
      </c>
    </row>
    <row r="517" spans="1:17" hidden="1">
      <c r="A517">
        <f t="shared" si="8"/>
        <v>515</v>
      </c>
      <c r="B517" t="str">
        <f>IF('Master data'!A517="","",'Master data'!A517)</f>
        <v>James Forrest</v>
      </c>
      <c r="C517" t="str">
        <f>IFERROR(INDEX('Master data'!$B$2:$CL$1000,MATCH($B517,'Master data'!$A$2:$A$1000,0),MATCH(C$1,'Master data'!$B$1:$CL$1,0)),"")</f>
        <v>Scotland</v>
      </c>
      <c r="D517" t="str">
        <f>IFERROR(INDEX('Master data'!$B$2:$CL$1000,MATCH($B517,'Master data'!$A$2:$A$1000,0),MATCH(D$1,'Master data'!$B$1:$CL$1,0)),"")</f>
        <v>Striker</v>
      </c>
      <c r="E517" s="5">
        <f>IFERROR(INDEX('Master data'!$B$2:$CL$1000,MATCH($B517,'Master data'!$A$2:$A$1000,0),MATCH(E$1,'Master data'!$B$1:$CL$1,0)),"")</f>
        <v>2500000</v>
      </c>
      <c r="F517" s="7">
        <f>IFERROR(INDEX('Master data'!$B$2:$CL$1000,MATCH($B517,'Master data'!$A$2:$A$1000,0),MATCH(F$1,'Master data'!$B$1:$CL$1,0)),"")</f>
        <v>-5000</v>
      </c>
      <c r="G517" s="7">
        <f>IFERROR(INDEX('Master data'!$B$2:$CL$1000,MATCH($B517,'Master data'!$A$2:$A$1000,0),MATCH(G$1,'Master data'!$B$1:$CL$1,0)),"")</f>
        <v>-5000</v>
      </c>
      <c r="H517" s="7">
        <f>IFERROR(INDEX('Master data'!$B$2:$CL$1000,MATCH($B517,'Master data'!$A$2:$A$1000,0),MATCH(H$1,'Master data'!$B$1:$CL$1,0)),"")</f>
        <v>-5000</v>
      </c>
      <c r="I517" s="7">
        <f>IFERROR(INDEX('Master data'!$B$2:$CL$1000,MATCH($B517,'Master data'!$A$2:$A$1000,0),MATCH(I$1,'Master data'!$B$1:$CL$1,0)),"")</f>
        <v>-12317.596069112189</v>
      </c>
      <c r="J517" s="7">
        <f>IFERROR(INDEX('Master data'!$B$2:$CL$1000,MATCH($B517,'Master data'!$A$2:$A$1000,0),MATCH(J$1,'Master data'!$B$1:$CL$1,0)),"")</f>
        <v>-6040.3803196299486</v>
      </c>
      <c r="K517" s="7">
        <f>IFERROR(INDEX('Master data'!$B$2:$CL$1000,MATCH($B517,'Master data'!$A$2:$A$1000,0),MATCH(K$1,'Master data'!$B$1:$CL$1,0)),"")</f>
        <v>-2913.5508753609188</v>
      </c>
      <c r="L517" s="7">
        <f>IFERROR(INDEX('Master data'!$B$2:$CL$1000,MATCH($B517,'Master data'!$A$2:$A$1000,0),MATCH(L$1,'Master data'!$B$1:$CL$1,0)),"")</f>
        <v>-1323.5729710475634</v>
      </c>
      <c r="M517" s="5">
        <f>IFERROR(INDEX('Master data'!$B$2:$CL$1000,MATCH($B517,'Master data'!$A$2:$A$1000,0),MATCH(M$1,'Master data'!$B$1:$CL$1,0)),"")</f>
        <v>-15898.251126387706</v>
      </c>
      <c r="N517" s="28">
        <f>IFERROR(INDEX('Master data'!$B$2:$CL$1000,MATCH($B517,'Master data'!$A$2:$A$1000,0),MATCH(N$1,'Master data'!$B$1:$CL$1,0)),"")</f>
        <v>-6.0000000000000001E-3</v>
      </c>
      <c r="O517" s="7">
        <f>IFERROR(INDEX('Master data'!$B$2:$CL$1000,MATCH($B517,'Master data'!$A$2:$A$1000,0),MATCH(O$1,'Master data'!$B$1:$CL$1,0)),"")</f>
        <v>0</v>
      </c>
      <c r="P517" s="5">
        <f>IFERROR(INDEX('Master data'!$B$2:$CL$1000,MATCH($B517,'Master data'!$A$2:$A$1000,0),MATCH(P$1,'Master data'!$B$1:$CL$1,0)),"")</f>
        <v>2500000</v>
      </c>
      <c r="Q517" s="5">
        <f>IFERROR(INDEX('Master data'!$B$2:$CL$1000,MATCH($B517,'Master data'!$A$2:$A$1000,0),MATCH(Q$1,'Master data'!$B$1:$CL$1,0)),"")</f>
        <v>2500000</v>
      </c>
    </row>
    <row r="518" spans="1:17" hidden="1">
      <c r="A518">
        <f t="shared" si="8"/>
        <v>516</v>
      </c>
      <c r="B518" t="str">
        <f>IF('Master data'!A518="","",'Master data'!A518)</f>
        <v>David  Turnbull</v>
      </c>
      <c r="C518" t="str">
        <f>IFERROR(INDEX('Master data'!$B$2:$CL$1000,MATCH($B518,'Master data'!$A$2:$A$1000,0),MATCH(C$1,'Master data'!$B$1:$CL$1,0)),"")</f>
        <v>Scotland</v>
      </c>
      <c r="D518" t="str">
        <f>IFERROR(INDEX('Master data'!$B$2:$CL$1000,MATCH($B518,'Master data'!$A$2:$A$1000,0),MATCH(D$1,'Master data'!$B$1:$CL$1,0)),"")</f>
        <v>Midfield</v>
      </c>
      <c r="E518" s="5">
        <f>IFERROR(INDEX('Master data'!$B$2:$CL$1000,MATCH($B518,'Master data'!$A$2:$A$1000,0),MATCH(E$1,'Master data'!$B$1:$CL$1,0)),"")</f>
        <v>2000000</v>
      </c>
      <c r="F518" s="7">
        <f>IFERROR(INDEX('Master data'!$B$2:$CL$1000,MATCH($B518,'Master data'!$A$2:$A$1000,0),MATCH(F$1,'Master data'!$B$1:$CL$1,0)),"")</f>
        <v>-5000</v>
      </c>
      <c r="G518" s="7">
        <f>IFERROR(INDEX('Master data'!$B$2:$CL$1000,MATCH($B518,'Master data'!$A$2:$A$1000,0),MATCH(G$1,'Master data'!$B$1:$CL$1,0)),"")</f>
        <v>-5000</v>
      </c>
      <c r="H518" s="7">
        <f>IFERROR(INDEX('Master data'!$B$2:$CL$1000,MATCH($B518,'Master data'!$A$2:$A$1000,0),MATCH(H$1,'Master data'!$B$1:$CL$1,0)),"")</f>
        <v>-5000</v>
      </c>
      <c r="I518" s="7">
        <f>IFERROR(INDEX('Master data'!$B$2:$CL$1000,MATCH($B518,'Master data'!$A$2:$A$1000,0),MATCH(I$1,'Master data'!$B$1:$CL$1,0)),"")</f>
        <v>-10254.347146312828</v>
      </c>
      <c r="J518" s="7">
        <f>IFERROR(INDEX('Master data'!$B$2:$CL$1000,MATCH($B518,'Master data'!$A$2:$A$1000,0),MATCH(J$1,'Master data'!$B$1:$CL$1,0)),"")</f>
        <v>-5026.893688819554</v>
      </c>
      <c r="K518" s="7">
        <f>IFERROR(INDEX('Master data'!$B$2:$CL$1000,MATCH($B518,'Master data'!$A$2:$A$1000,0),MATCH(K$1,'Master data'!$B$1:$CL$1,0)),"")</f>
        <v>-2423.8784593338737</v>
      </c>
      <c r="L518" s="7">
        <f>IFERROR(INDEX('Master data'!$B$2:$CL$1000,MATCH($B518,'Master data'!$A$2:$A$1000,0),MATCH(L$1,'Master data'!$B$1:$CL$1,0)),"")</f>
        <v>-1100.7492385479736</v>
      </c>
      <c r="M518" s="5">
        <f>IFERROR(INDEX('Master data'!$B$2:$CL$1000,MATCH($B518,'Master data'!$A$2:$A$1000,0),MATCH(M$1,'Master data'!$B$1:$CL$1,0)),"")</f>
        <v>-15002.677583205361</v>
      </c>
      <c r="N518" s="28">
        <f>IFERROR(INDEX('Master data'!$B$2:$CL$1000,MATCH($B518,'Master data'!$A$2:$A$1000,0),MATCH(N$1,'Master data'!$B$1:$CL$1,0)),"")</f>
        <v>-7.4999999999999997E-3</v>
      </c>
      <c r="O518" s="7">
        <f>IFERROR(INDEX('Master data'!$B$2:$CL$1000,MATCH($B518,'Master data'!$A$2:$A$1000,0),MATCH(O$1,'Master data'!$B$1:$CL$1,0)),"")</f>
        <v>0</v>
      </c>
      <c r="P518" s="5">
        <f>IFERROR(INDEX('Master data'!$B$2:$CL$1000,MATCH($B518,'Master data'!$A$2:$A$1000,0),MATCH(P$1,'Master data'!$B$1:$CL$1,0)),"")</f>
        <v>2000000</v>
      </c>
      <c r="Q518" s="5">
        <f>IFERROR(INDEX('Master data'!$B$2:$CL$1000,MATCH($B518,'Master data'!$A$2:$A$1000,0),MATCH(Q$1,'Master data'!$B$1:$CL$1,0)),"")</f>
        <v>2000000</v>
      </c>
    </row>
    <row r="519" spans="1:17" hidden="1">
      <c r="A519">
        <f t="shared" si="8"/>
        <v>517</v>
      </c>
      <c r="B519" t="str">
        <f>IF('Master data'!A519="","",'Master data'!A519)</f>
        <v>Billy  Gilmour</v>
      </c>
      <c r="C519" t="str">
        <f>IFERROR(INDEX('Master data'!$B$2:$CL$1000,MATCH($B519,'Master data'!$A$2:$A$1000,0),MATCH(C$1,'Master data'!$B$1:$CL$1,0)),"")</f>
        <v>Scotland</v>
      </c>
      <c r="D519" t="str">
        <f>IFERROR(INDEX('Master data'!$B$2:$CL$1000,MATCH($B519,'Master data'!$A$2:$A$1000,0),MATCH(D$1,'Master data'!$B$1:$CL$1,0)),"")</f>
        <v>Midfield</v>
      </c>
      <c r="E519" s="5">
        <f>IFERROR(INDEX('Master data'!$B$2:$CL$1000,MATCH($B519,'Master data'!$A$2:$A$1000,0),MATCH(E$1,'Master data'!$B$1:$CL$1,0)),"")</f>
        <v>2500000</v>
      </c>
      <c r="F519" s="7">
        <f>IFERROR(INDEX('Master data'!$B$2:$CL$1000,MATCH($B519,'Master data'!$A$2:$A$1000,0),MATCH(F$1,'Master data'!$B$1:$CL$1,0)),"")</f>
        <v>-5000</v>
      </c>
      <c r="G519" s="7">
        <f>IFERROR(INDEX('Master data'!$B$2:$CL$1000,MATCH($B519,'Master data'!$A$2:$A$1000,0),MATCH(G$1,'Master data'!$B$1:$CL$1,0)),"")</f>
        <v>-5000</v>
      </c>
      <c r="H519" s="7">
        <f>IFERROR(INDEX('Master data'!$B$2:$CL$1000,MATCH($B519,'Master data'!$A$2:$A$1000,0),MATCH(H$1,'Master data'!$B$1:$CL$1,0)),"")</f>
        <v>-5000</v>
      </c>
      <c r="I519" s="7">
        <f>IFERROR(INDEX('Master data'!$B$2:$CL$1000,MATCH($B519,'Master data'!$A$2:$A$1000,0),MATCH(I$1,'Master data'!$B$1:$CL$1,0)),"")</f>
        <v>-12317.596069112189</v>
      </c>
      <c r="J519" s="7">
        <f>IFERROR(INDEX('Master data'!$B$2:$CL$1000,MATCH($B519,'Master data'!$A$2:$A$1000,0),MATCH(J$1,'Master data'!$B$1:$CL$1,0)),"")</f>
        <v>-6040.3803196299486</v>
      </c>
      <c r="K519" s="7">
        <f>IFERROR(INDEX('Master data'!$B$2:$CL$1000,MATCH($B519,'Master data'!$A$2:$A$1000,0),MATCH(K$1,'Master data'!$B$1:$CL$1,0)),"")</f>
        <v>-2913.5508753609188</v>
      </c>
      <c r="L519" s="7">
        <f>IFERROR(INDEX('Master data'!$B$2:$CL$1000,MATCH($B519,'Master data'!$A$2:$A$1000,0),MATCH(L$1,'Master data'!$B$1:$CL$1,0)),"")</f>
        <v>-1323.5729710475634</v>
      </c>
      <c r="M519" s="5">
        <f>IFERROR(INDEX('Master data'!$B$2:$CL$1000,MATCH($B519,'Master data'!$A$2:$A$1000,0),MATCH(M$1,'Master data'!$B$1:$CL$1,0)),"")</f>
        <v>-15898.251126387706</v>
      </c>
      <c r="N519" s="28">
        <f>IFERROR(INDEX('Master data'!$B$2:$CL$1000,MATCH($B519,'Master data'!$A$2:$A$1000,0),MATCH(N$1,'Master data'!$B$1:$CL$1,0)),"")</f>
        <v>-6.0000000000000001E-3</v>
      </c>
      <c r="O519" s="7">
        <f>IFERROR(INDEX('Master data'!$B$2:$CL$1000,MATCH($B519,'Master data'!$A$2:$A$1000,0),MATCH(O$1,'Master data'!$B$1:$CL$1,0)),"")</f>
        <v>0</v>
      </c>
      <c r="P519" s="5">
        <f>IFERROR(INDEX('Master data'!$B$2:$CL$1000,MATCH($B519,'Master data'!$A$2:$A$1000,0),MATCH(P$1,'Master data'!$B$1:$CL$1,0)),"")</f>
        <v>2500000</v>
      </c>
      <c r="Q519" s="5">
        <f>IFERROR(INDEX('Master data'!$B$2:$CL$1000,MATCH($B519,'Master data'!$A$2:$A$1000,0),MATCH(Q$1,'Master data'!$B$1:$CL$1,0)),"")</f>
        <v>2500000</v>
      </c>
    </row>
    <row r="520" spans="1:17" hidden="1">
      <c r="A520">
        <f t="shared" si="8"/>
        <v>518</v>
      </c>
      <c r="B520" t="str">
        <f>IF('Master data'!A520="","",'Master data'!A520)</f>
        <v>Ales Mandous</v>
      </c>
      <c r="C520" t="str">
        <f>IFERROR(INDEX('Master data'!$B$2:$CL$1000,MATCH($B520,'Master data'!$A$2:$A$1000,0),MATCH(C$1,'Master data'!$B$1:$CL$1,0)),"")</f>
        <v>Czech Republic</v>
      </c>
      <c r="D520" t="str">
        <f>IFERROR(INDEX('Master data'!$B$2:$CL$1000,MATCH($B520,'Master data'!$A$2:$A$1000,0),MATCH(D$1,'Master data'!$B$1:$CL$1,0)),"")</f>
        <v>Goalkeeper</v>
      </c>
      <c r="E520" s="5">
        <f>IFERROR(INDEX('Master data'!$B$2:$CL$1000,MATCH($B520,'Master data'!$A$2:$A$1000,0),MATCH(E$1,'Master data'!$B$1:$CL$1,0)),"")</f>
        <v>3000000</v>
      </c>
      <c r="F520" s="7">
        <f>IFERROR(INDEX('Master data'!$B$2:$CL$1000,MATCH($B520,'Master data'!$A$2:$A$1000,0),MATCH(F$1,'Master data'!$B$1:$CL$1,0)),"")</f>
        <v>30252.057883858426</v>
      </c>
      <c r="G520" s="7">
        <f>IFERROR(INDEX('Master data'!$B$2:$CL$1000,MATCH($B520,'Master data'!$A$2:$A$1000,0),MATCH(G$1,'Master data'!$B$1:$CL$1,0)),"")</f>
        <v>25017.882325528884</v>
      </c>
      <c r="H520" s="7">
        <f>IFERROR(INDEX('Master data'!$B$2:$CL$1000,MATCH($B520,'Master data'!$A$2:$A$1000,0),MATCH(H$1,'Master data'!$B$1:$CL$1,0)),"")</f>
        <v>21162.693029622496</v>
      </c>
      <c r="I520" s="7">
        <f>IFERROR(INDEX('Master data'!$B$2:$CL$1000,MATCH($B520,'Master data'!$A$2:$A$1000,0),MATCH(I$1,'Master data'!$B$1:$CL$1,0)),"")</f>
        <v>-2683.3549866615067</v>
      </c>
      <c r="J520" s="7">
        <f>IFERROR(INDEX('Master data'!$B$2:$CL$1000,MATCH($B520,'Master data'!$A$2:$A$1000,0),MATCH(J$1,'Master data'!$B$1:$CL$1,0)),"")</f>
        <v>-1382.6783959952309</v>
      </c>
      <c r="K520" s="7">
        <f>IFERROR(INDEX('Master data'!$B$2:$CL$1000,MATCH($B520,'Master data'!$A$2:$A$1000,0),MATCH(K$1,'Master data'!$B$1:$CL$1,0)),"")</f>
        <v>-699.83580758899916</v>
      </c>
      <c r="L520" s="7">
        <f>IFERROR(INDEX('Master data'!$B$2:$CL$1000,MATCH($B520,'Master data'!$A$2:$A$1000,0),MATCH(L$1,'Master data'!$B$1:$CL$1,0)),"")</f>
        <v>-333.94921197401442</v>
      </c>
      <c r="M520" s="5">
        <f>IFERROR(INDEX('Master data'!$B$2:$CL$1000,MATCH($B520,'Master data'!$A$2:$A$1000,0),MATCH(M$1,'Master data'!$B$1:$CL$1,0)),"")</f>
        <v>55146.620296159716</v>
      </c>
      <c r="N520" s="28">
        <f>IFERROR(INDEX('Master data'!$B$2:$CL$1000,MATCH($B520,'Master data'!$A$2:$A$1000,0),MATCH(N$1,'Master data'!$B$1:$CL$1,0)),"")</f>
        <v>2.5477544413003265E-2</v>
      </c>
      <c r="O520" s="7">
        <f>IFERROR(INDEX('Master data'!$B$2:$CL$1000,MATCH($B520,'Master data'!$A$2:$A$1000,0),MATCH(O$1,'Master data'!$B$1:$CL$1,0)),"")</f>
        <v>0</v>
      </c>
      <c r="P520" s="5">
        <f>IFERROR(INDEX('Master data'!$B$2:$CL$1000,MATCH($B520,'Master data'!$A$2:$A$1000,0),MATCH(P$1,'Master data'!$B$1:$CL$1,0)),"")</f>
        <v>3000000</v>
      </c>
      <c r="Q520" s="5">
        <f>IFERROR(INDEX('Master data'!$B$2:$CL$1000,MATCH($B520,'Master data'!$A$2:$A$1000,0),MATCH(Q$1,'Master data'!$B$1:$CL$1,0)),"")</f>
        <v>3000000</v>
      </c>
    </row>
    <row r="521" spans="1:17" hidden="1">
      <c r="A521">
        <f t="shared" si="8"/>
        <v>519</v>
      </c>
      <c r="B521" t="str">
        <f>IF('Master data'!A521="","",'Master data'!A521)</f>
        <v>Jiri Pavlenka</v>
      </c>
      <c r="C521" t="str">
        <f>IFERROR(INDEX('Master data'!$B$2:$CL$1000,MATCH($B521,'Master data'!$A$2:$A$1000,0),MATCH(C$1,'Master data'!$B$1:$CL$1,0)),"")</f>
        <v>Czech Republic</v>
      </c>
      <c r="D521" t="str">
        <f>IFERROR(INDEX('Master data'!$B$2:$CL$1000,MATCH($B521,'Master data'!$A$2:$A$1000,0),MATCH(D$1,'Master data'!$B$1:$CL$1,0)),"")</f>
        <v>Goalkeeper</v>
      </c>
      <c r="E521" s="5">
        <f>IFERROR(INDEX('Master data'!$B$2:$CL$1000,MATCH($B521,'Master data'!$A$2:$A$1000,0),MATCH(E$1,'Master data'!$B$1:$CL$1,0)),"")</f>
        <v>3500000</v>
      </c>
      <c r="F521" s="7">
        <f>IFERROR(INDEX('Master data'!$B$2:$CL$1000,MATCH($B521,'Master data'!$A$2:$A$1000,0),MATCH(F$1,'Master data'!$B$1:$CL$1,0)),"")</f>
        <v>49826.408488016146</v>
      </c>
      <c r="G521" s="7">
        <f>IFERROR(INDEX('Master data'!$B$2:$CL$1000,MATCH($B521,'Master data'!$A$2:$A$1000,0),MATCH(G$1,'Master data'!$B$1:$CL$1,0)),"")</f>
        <v>36567.099508757645</v>
      </c>
      <c r="H521" s="7">
        <f>IFERROR(INDEX('Master data'!$B$2:$CL$1000,MATCH($B521,'Master data'!$A$2:$A$1000,0),MATCH(H$1,'Master data'!$B$1:$CL$1,0)),"")</f>
        <v>17326.672455540938</v>
      </c>
      <c r="I521" s="7">
        <f>IFERROR(INDEX('Master data'!$B$2:$CL$1000,MATCH($B521,'Master data'!$A$2:$A$1000,0),MATCH(I$1,'Master data'!$B$1:$CL$1,0)),"")</f>
        <v>-742.96943131076489</v>
      </c>
      <c r="J521" s="7">
        <f>IFERROR(INDEX('Master data'!$B$2:$CL$1000,MATCH($B521,'Master data'!$A$2:$A$1000,0),MATCH(J$1,'Master data'!$B$1:$CL$1,0)),"")</f>
        <v>-451.50033083833972</v>
      </c>
      <c r="K521" s="7">
        <f>IFERROR(INDEX('Master data'!$B$2:$CL$1000,MATCH($B521,'Master data'!$A$2:$A$1000,0),MATCH(K$1,'Master data'!$B$1:$CL$1,0)),"")</f>
        <v>-260.2230588082017</v>
      </c>
      <c r="L521" s="7">
        <f>IFERROR(INDEX('Master data'!$B$2:$CL$1000,MATCH($B521,'Master data'!$A$2:$A$1000,0),MATCH(L$1,'Master data'!$B$1:$CL$1,0)),"")</f>
        <v>-138.02601533660288</v>
      </c>
      <c r="M521" s="5">
        <f>IFERROR(INDEX('Master data'!$B$2:$CL$1000,MATCH($B521,'Master data'!$A$2:$A$1000,0),MATCH(M$1,'Master data'!$B$1:$CL$1,0)),"")</f>
        <v>81549.508232077191</v>
      </c>
      <c r="N521" s="28">
        <f>IFERROR(INDEX('Master data'!$B$2:$CL$1000,MATCH($B521,'Master data'!$A$2:$A$1000,0),MATCH(N$1,'Master data'!$B$1:$CL$1,0)),"")</f>
        <v>2.9634337272089924E-2</v>
      </c>
      <c r="O521" s="7">
        <f>IFERROR(INDEX('Master data'!$B$2:$CL$1000,MATCH($B521,'Master data'!$A$2:$A$1000,0),MATCH(O$1,'Master data'!$B$1:$CL$1,0)),"")</f>
        <v>0</v>
      </c>
      <c r="P521" s="5">
        <f>IFERROR(INDEX('Master data'!$B$2:$CL$1000,MATCH($B521,'Master data'!$A$2:$A$1000,0),MATCH(P$1,'Master data'!$B$1:$CL$1,0)),"")</f>
        <v>3500000</v>
      </c>
      <c r="Q521" s="5">
        <f>IFERROR(INDEX('Master data'!$B$2:$CL$1000,MATCH($B521,'Master data'!$A$2:$A$1000,0),MATCH(Q$1,'Master data'!$B$1:$CL$1,0)),"")</f>
        <v>3500000</v>
      </c>
    </row>
    <row r="522" spans="1:17" hidden="1">
      <c r="A522">
        <f t="shared" si="8"/>
        <v>520</v>
      </c>
      <c r="B522" t="str">
        <f>IF('Master data'!A522="","",'Master data'!A522)</f>
        <v>Jakub Brabec</v>
      </c>
      <c r="C522" t="str">
        <f>IFERROR(INDEX('Master data'!$B$2:$CL$1000,MATCH($B522,'Master data'!$A$2:$A$1000,0),MATCH(C$1,'Master data'!$B$1:$CL$1,0)),"")</f>
        <v>Czech Republic</v>
      </c>
      <c r="D522" t="str">
        <f>IFERROR(INDEX('Master data'!$B$2:$CL$1000,MATCH($B522,'Master data'!$A$2:$A$1000,0),MATCH(D$1,'Master data'!$B$1:$CL$1,0)),"")</f>
        <v>Defense</v>
      </c>
      <c r="E522" s="5">
        <f>IFERROR(INDEX('Master data'!$B$2:$CL$1000,MATCH($B522,'Master data'!$A$2:$A$1000,0),MATCH(E$1,'Master data'!$B$1:$CL$1,0)),"")</f>
        <v>2000000</v>
      </c>
      <c r="F522" s="7">
        <f>IFERROR(INDEX('Master data'!$B$2:$CL$1000,MATCH($B522,'Master data'!$A$2:$A$1000,0),MATCH(F$1,'Master data'!$B$1:$CL$1,0)),"")</f>
        <v>12962.588264442336</v>
      </c>
      <c r="G522" s="7">
        <f>IFERROR(INDEX('Master data'!$B$2:$CL$1000,MATCH($B522,'Master data'!$A$2:$A$1000,0),MATCH(G$1,'Master data'!$B$1:$CL$1,0)),"")</f>
        <v>7520.3252032520359</v>
      </c>
      <c r="H522" s="7">
        <f>IFERROR(INDEX('Master data'!$B$2:$CL$1000,MATCH($B522,'Master data'!$A$2:$A$1000,0),MATCH(H$1,'Master data'!$B$1:$CL$1,0)),"")</f>
        <v>351.59285159284991</v>
      </c>
      <c r="I522" s="7">
        <f>IFERROR(INDEX('Master data'!$B$2:$CL$1000,MATCH($B522,'Master data'!$A$2:$A$1000,0),MATCH(I$1,'Master data'!$B$1:$CL$1,0)),"")</f>
        <v>-6732.0167979981416</v>
      </c>
      <c r="J522" s="7">
        <f>IFERROR(INDEX('Master data'!$B$2:$CL$1000,MATCH($B522,'Master data'!$A$2:$A$1000,0),MATCH(J$1,'Master data'!$B$1:$CL$1,0)),"")</f>
        <v>-3326.7169752720097</v>
      </c>
      <c r="K522" s="7">
        <f>IFERROR(INDEX('Master data'!$B$2:$CL$1000,MATCH($B522,'Master data'!$A$2:$A$1000,0),MATCH(K$1,'Master data'!$B$1:$CL$1,0)),"")</f>
        <v>-1618.1755206973414</v>
      </c>
      <c r="L522" s="7">
        <f>IFERROR(INDEX('Master data'!$B$2:$CL$1000,MATCH($B522,'Master data'!$A$2:$A$1000,0),MATCH(L$1,'Master data'!$B$1:$CL$1,0)),"")</f>
        <v>-743.48616306858708</v>
      </c>
      <c r="M522" s="5">
        <f>IFERROR(INDEX('Master data'!$B$2:$CL$1000,MATCH($B522,'Master data'!$A$2:$A$1000,0),MATCH(M$1,'Master data'!$B$1:$CL$1,0)),"")</f>
        <v>15202.23613202323</v>
      </c>
      <c r="N522" s="28">
        <f>IFERROR(INDEX('Master data'!$B$2:$CL$1000,MATCH($B522,'Master data'!$A$2:$A$1000,0),MATCH(N$1,'Master data'!$B$1:$CL$1,0)),"")</f>
        <v>1.041725315964361E-2</v>
      </c>
      <c r="O522" s="7">
        <f>IFERROR(INDEX('Master data'!$B$2:$CL$1000,MATCH($B522,'Master data'!$A$2:$A$1000,0),MATCH(O$1,'Master data'!$B$1:$CL$1,0)),"")</f>
        <v>0</v>
      </c>
      <c r="P522" s="5">
        <f>IFERROR(INDEX('Master data'!$B$2:$CL$1000,MATCH($B522,'Master data'!$A$2:$A$1000,0),MATCH(P$1,'Master data'!$B$1:$CL$1,0)),"")</f>
        <v>2000000</v>
      </c>
      <c r="Q522" s="5">
        <f>IFERROR(INDEX('Master data'!$B$2:$CL$1000,MATCH($B522,'Master data'!$A$2:$A$1000,0),MATCH(Q$1,'Master data'!$B$1:$CL$1,0)),"")</f>
        <v>2000000</v>
      </c>
    </row>
    <row r="523" spans="1:17" hidden="1">
      <c r="A523">
        <f t="shared" si="8"/>
        <v>521</v>
      </c>
      <c r="B523" t="str">
        <f>IF('Master data'!A523="","",'Master data'!A523)</f>
        <v>Tomas Kalas</v>
      </c>
      <c r="C523" t="str">
        <f>IFERROR(INDEX('Master data'!$B$2:$CL$1000,MATCH($B523,'Master data'!$A$2:$A$1000,0),MATCH(C$1,'Master data'!$B$1:$CL$1,0)),"")</f>
        <v>Czech Republic</v>
      </c>
      <c r="D523" t="str">
        <f>IFERROR(INDEX('Master data'!$B$2:$CL$1000,MATCH($B523,'Master data'!$A$2:$A$1000,0),MATCH(D$1,'Master data'!$B$1:$CL$1,0)),"")</f>
        <v>Defense</v>
      </c>
      <c r="E523" s="5">
        <f>IFERROR(INDEX('Master data'!$B$2:$CL$1000,MATCH($B523,'Master data'!$A$2:$A$1000,0),MATCH(E$1,'Master data'!$B$1:$CL$1,0)),"")</f>
        <v>2000000</v>
      </c>
      <c r="F523" s="7">
        <f>IFERROR(INDEX('Master data'!$B$2:$CL$1000,MATCH($B523,'Master data'!$A$2:$A$1000,0),MATCH(F$1,'Master data'!$B$1:$CL$1,0)),"")</f>
        <v>40510.818521206798</v>
      </c>
      <c r="G523" s="7">
        <f>IFERROR(INDEX('Master data'!$B$2:$CL$1000,MATCH($B523,'Master data'!$A$2:$A$1000,0),MATCH(G$1,'Master data'!$B$1:$CL$1,0)),"")</f>
        <v>26427.154777992735</v>
      </c>
      <c r="H523" s="7">
        <f>IFERROR(INDEX('Master data'!$B$2:$CL$1000,MATCH($B523,'Master data'!$A$2:$A$1000,0),MATCH(H$1,'Master data'!$B$1:$CL$1,0)),"")</f>
        <v>2813.1031120189655</v>
      </c>
      <c r="I523" s="7">
        <f>IFERROR(INDEX('Master data'!$B$2:$CL$1000,MATCH($B523,'Master data'!$A$2:$A$1000,0),MATCH(I$1,'Master data'!$B$1:$CL$1,0)),"")</f>
        <v>1295.721598086554</v>
      </c>
      <c r="J523" s="7">
        <f>IFERROR(INDEX('Master data'!$B$2:$CL$1000,MATCH($B523,'Master data'!$A$2:$A$1000,0),MATCH(J$1,'Master data'!$B$1:$CL$1,0)),"")</f>
        <v>578.95099410189766</v>
      </c>
      <c r="K523" s="7">
        <f>IFERROR(INDEX('Master data'!$B$2:$CL$1000,MATCH($B523,'Master data'!$A$2:$A$1000,0),MATCH(K$1,'Master data'!$B$1:$CL$1,0)),"")</f>
        <v>252.08107355981272</v>
      </c>
      <c r="L523" s="7">
        <f>IFERROR(INDEX('Master data'!$B$2:$CL$1000,MATCH($B523,'Master data'!$A$2:$A$1000,0),MATCH(L$1,'Master data'!$B$1:$CL$1,0)),"")</f>
        <v>102.39255278937499</v>
      </c>
      <c r="M523" s="5">
        <f>IFERROR(INDEX('Master data'!$B$2:$CL$1000,MATCH($B523,'Master data'!$A$2:$A$1000,0),MATCH(M$1,'Master data'!$B$1:$CL$1,0)),"")</f>
        <v>59919.653013903975</v>
      </c>
      <c r="N523" s="28">
        <f>IFERROR(INDEX('Master data'!$B$2:$CL$1000,MATCH($B523,'Master data'!$A$2:$A$1000,0),MATCH(N$1,'Master data'!$B$1:$CL$1,0)),"")</f>
        <v>3.4875538205609249E-2</v>
      </c>
      <c r="O523" s="7">
        <f>IFERROR(INDEX('Master data'!$B$2:$CL$1000,MATCH($B523,'Master data'!$A$2:$A$1000,0),MATCH(O$1,'Master data'!$B$1:$CL$1,0)),"")</f>
        <v>0</v>
      </c>
      <c r="P523" s="5">
        <f>IFERROR(INDEX('Master data'!$B$2:$CL$1000,MATCH($B523,'Master data'!$A$2:$A$1000,0),MATCH(P$1,'Master data'!$B$1:$CL$1,0)),"")</f>
        <v>2000000</v>
      </c>
      <c r="Q523" s="5">
        <f>IFERROR(INDEX('Master data'!$B$2:$CL$1000,MATCH($B523,'Master data'!$A$2:$A$1000,0),MATCH(Q$1,'Master data'!$B$1:$CL$1,0)),"")</f>
        <v>2000000</v>
      </c>
    </row>
    <row r="524" spans="1:17" hidden="1">
      <c r="A524">
        <f t="shared" si="8"/>
        <v>522</v>
      </c>
      <c r="B524" t="str">
        <f>IF('Master data'!A524="","",'Master data'!A524)</f>
        <v>Tomáš Holeš</v>
      </c>
      <c r="C524" t="str">
        <f>IFERROR(INDEX('Master data'!$B$2:$CL$1000,MATCH($B524,'Master data'!$A$2:$A$1000,0),MATCH(C$1,'Master data'!$B$1:$CL$1,0)),"")</f>
        <v>Czech Republic</v>
      </c>
      <c r="D524" t="str">
        <f>IFERROR(INDEX('Master data'!$B$2:$CL$1000,MATCH($B524,'Master data'!$A$2:$A$1000,0),MATCH(D$1,'Master data'!$B$1:$CL$1,0)),"")</f>
        <v>Defense</v>
      </c>
      <c r="E524" s="5">
        <f>IFERROR(INDEX('Master data'!$B$2:$CL$1000,MATCH($B524,'Master data'!$A$2:$A$1000,0),MATCH(E$1,'Master data'!$B$1:$CL$1,0)),"")</f>
        <v>3000000</v>
      </c>
      <c r="F524" s="7">
        <f>IFERROR(INDEX('Master data'!$B$2:$CL$1000,MATCH($B524,'Master data'!$A$2:$A$1000,0),MATCH(F$1,'Master data'!$B$1:$CL$1,0)),"")</f>
        <v>38385.953622333625</v>
      </c>
      <c r="G524" s="7">
        <f>IFERROR(INDEX('Master data'!$B$2:$CL$1000,MATCH($B524,'Master data'!$A$2:$A$1000,0),MATCH(G$1,'Master data'!$B$1:$CL$1,0)),"")</f>
        <v>24173.74758076085</v>
      </c>
      <c r="H524" s="7">
        <f>IFERROR(INDEX('Master data'!$B$2:$CL$1000,MATCH($B524,'Master data'!$A$2:$A$1000,0),MATCH(H$1,'Master data'!$B$1:$CL$1,0)),"")</f>
        <v>338.58191378864649</v>
      </c>
      <c r="I524" s="7">
        <f>IFERROR(INDEX('Master data'!$B$2:$CL$1000,MATCH($B524,'Master data'!$A$2:$A$1000,0),MATCH(I$1,'Master data'!$B$1:$CL$1,0)),"")</f>
        <v>-4904.488274160165</v>
      </c>
      <c r="J524" s="7">
        <f>IFERROR(INDEX('Master data'!$B$2:$CL$1000,MATCH($B524,'Master data'!$A$2:$A$1000,0),MATCH(J$1,'Master data'!$B$1:$CL$1,0)),"")</f>
        <v>-2463.307672719628</v>
      </c>
      <c r="K524" s="7">
        <f>IFERROR(INDEX('Master data'!$B$2:$CL$1000,MATCH($B524,'Master data'!$A$2:$A$1000,0),MATCH(K$1,'Master data'!$B$1:$CL$1,0)),"")</f>
        <v>-1217.3027419493017</v>
      </c>
      <c r="L524" s="7">
        <f>IFERROR(INDEX('Master data'!$B$2:$CL$1000,MATCH($B524,'Master data'!$A$2:$A$1000,0),MATCH(L$1,'Master data'!$B$1:$CL$1,0)),"")</f>
        <v>-567.98889790786063</v>
      </c>
      <c r="M524" s="5">
        <f>IFERROR(INDEX('Master data'!$B$2:$CL$1000,MATCH($B524,'Master data'!$A$2:$A$1000,0),MATCH(M$1,'Master data'!$B$1:$CL$1,0)),"")</f>
        <v>52502.337352832721</v>
      </c>
      <c r="N524" s="28">
        <f>IFERROR(INDEX('Master data'!$B$2:$CL$1000,MATCH($B524,'Master data'!$A$2:$A$1000,0),MATCH(N$1,'Master data'!$B$1:$CL$1,0)),"")</f>
        <v>2.0966094372294374E-2</v>
      </c>
      <c r="O524" s="7">
        <f>IFERROR(INDEX('Master data'!$B$2:$CL$1000,MATCH($B524,'Master data'!$A$2:$A$1000,0),MATCH(O$1,'Master data'!$B$1:$CL$1,0)),"")</f>
        <v>0</v>
      </c>
      <c r="P524" s="5">
        <f>IFERROR(INDEX('Master data'!$B$2:$CL$1000,MATCH($B524,'Master data'!$A$2:$A$1000,0),MATCH(P$1,'Master data'!$B$1:$CL$1,0)),"")</f>
        <v>3000000</v>
      </c>
      <c r="Q524" s="5">
        <f>IFERROR(INDEX('Master data'!$B$2:$CL$1000,MATCH($B524,'Master data'!$A$2:$A$1000,0),MATCH(Q$1,'Master data'!$B$1:$CL$1,0)),"")</f>
        <v>3000000</v>
      </c>
    </row>
    <row r="525" spans="1:17" hidden="1">
      <c r="A525">
        <f t="shared" si="8"/>
        <v>523</v>
      </c>
      <c r="B525" t="str">
        <f>IF('Master data'!A525="","",'Master data'!A525)</f>
        <v>Pavel Kaderabek</v>
      </c>
      <c r="C525" t="str">
        <f>IFERROR(INDEX('Master data'!$B$2:$CL$1000,MATCH($B525,'Master data'!$A$2:$A$1000,0),MATCH(C$1,'Master data'!$B$1:$CL$1,0)),"")</f>
        <v>Czech Republic</v>
      </c>
      <c r="D525" t="str">
        <f>IFERROR(INDEX('Master data'!$B$2:$CL$1000,MATCH($B525,'Master data'!$A$2:$A$1000,0),MATCH(D$1,'Master data'!$B$1:$CL$1,0)),"")</f>
        <v>Defense</v>
      </c>
      <c r="E525" s="5">
        <f>IFERROR(INDEX('Master data'!$B$2:$CL$1000,MATCH($B525,'Master data'!$A$2:$A$1000,0),MATCH(E$1,'Master data'!$B$1:$CL$1,0)),"")</f>
        <v>2500000</v>
      </c>
      <c r="F525" s="7">
        <f>IFERROR(INDEX('Master data'!$B$2:$CL$1000,MATCH($B525,'Master data'!$A$2:$A$1000,0),MATCH(F$1,'Master data'!$B$1:$CL$1,0)),"")</f>
        <v>44975.123639296282</v>
      </c>
      <c r="G525" s="7">
        <f>IFERROR(INDEX('Master data'!$B$2:$CL$1000,MATCH($B525,'Master data'!$A$2:$A$1000,0),MATCH(G$1,'Master data'!$B$1:$CL$1,0)),"")</f>
        <v>30376.992271624062</v>
      </c>
      <c r="H525" s="7">
        <f>IFERROR(INDEX('Master data'!$B$2:$CL$1000,MATCH($B525,'Master data'!$A$2:$A$1000,0),MATCH(H$1,'Master data'!$B$1:$CL$1,0)),"")</f>
        <v>5877.9712509663987</v>
      </c>
      <c r="I525" s="7">
        <f>IFERROR(INDEX('Master data'!$B$2:$CL$1000,MATCH($B525,'Master data'!$A$2:$A$1000,0),MATCH(I$1,'Master data'!$B$1:$CL$1,0)),"")</f>
        <v>641.75528231240696</v>
      </c>
      <c r="J525" s="7">
        <f>IFERROR(INDEX('Master data'!$B$2:$CL$1000,MATCH($B525,'Master data'!$A$2:$A$1000,0),MATCH(J$1,'Master data'!$B$1:$CL$1,0)),"")</f>
        <v>247.92088749279534</v>
      </c>
      <c r="K525" s="7">
        <f>IFERROR(INDEX('Master data'!$B$2:$CL$1000,MATCH($B525,'Master data'!$A$2:$A$1000,0),MATCH(K$1,'Master data'!$B$1:$CL$1,0)),"")</f>
        <v>87.276556182412634</v>
      </c>
      <c r="L525" s="7">
        <f>IFERROR(INDEX('Master data'!$B$2:$CL$1000,MATCH($B525,'Master data'!$A$2:$A$1000,0),MATCH(L$1,'Master data'!$B$1:$CL$1,0)),"")</f>
        <v>24.950210970634494</v>
      </c>
      <c r="M525" s="5">
        <f>IFERROR(INDEX('Master data'!$B$2:$CL$1000,MATCH($B525,'Master data'!$A$2:$A$1000,0),MATCH(M$1,'Master data'!$B$1:$CL$1,0)),"")</f>
        <v>68091.688853283224</v>
      </c>
      <c r="N525" s="28">
        <f>IFERROR(INDEX('Master data'!$B$2:$CL$1000,MATCH($B525,'Master data'!$A$2:$A$1000,0),MATCH(N$1,'Master data'!$B$1:$CL$1,0)),"")</f>
        <v>3.2492034864754694E-2</v>
      </c>
      <c r="O525" s="7">
        <f>IFERROR(INDEX('Master data'!$B$2:$CL$1000,MATCH($B525,'Master data'!$A$2:$A$1000,0),MATCH(O$1,'Master data'!$B$1:$CL$1,0)),"")</f>
        <v>0</v>
      </c>
      <c r="P525" s="5">
        <f>IFERROR(INDEX('Master data'!$B$2:$CL$1000,MATCH($B525,'Master data'!$A$2:$A$1000,0),MATCH(P$1,'Master data'!$B$1:$CL$1,0)),"")</f>
        <v>2500000</v>
      </c>
      <c r="Q525" s="5">
        <f>IFERROR(INDEX('Master data'!$B$2:$CL$1000,MATCH($B525,'Master data'!$A$2:$A$1000,0),MATCH(Q$1,'Master data'!$B$1:$CL$1,0)),"")</f>
        <v>2500000</v>
      </c>
    </row>
    <row r="526" spans="1:17" hidden="1">
      <c r="A526">
        <f t="shared" si="8"/>
        <v>524</v>
      </c>
      <c r="B526" t="str">
        <f>IF('Master data'!A526="","",'Master data'!A526)</f>
        <v>Michal Sadilek</v>
      </c>
      <c r="C526" t="str">
        <f>IFERROR(INDEX('Master data'!$B$2:$CL$1000,MATCH($B526,'Master data'!$A$2:$A$1000,0),MATCH(C$1,'Master data'!$B$1:$CL$1,0)),"")</f>
        <v>Czech Republic</v>
      </c>
      <c r="D526" t="str">
        <f>IFERROR(INDEX('Master data'!$B$2:$CL$1000,MATCH($B526,'Master data'!$A$2:$A$1000,0),MATCH(D$1,'Master data'!$B$1:$CL$1,0)),"")</f>
        <v>Midfield</v>
      </c>
      <c r="E526" s="5">
        <f>IFERROR(INDEX('Master data'!$B$2:$CL$1000,MATCH($B526,'Master data'!$A$2:$A$1000,0),MATCH(E$1,'Master data'!$B$1:$CL$1,0)),"")</f>
        <v>2000000</v>
      </c>
      <c r="F526" s="7">
        <f>IFERROR(INDEX('Master data'!$B$2:$CL$1000,MATCH($B526,'Master data'!$A$2:$A$1000,0),MATCH(F$1,'Master data'!$B$1:$CL$1,0)),"")</f>
        <v>-5000</v>
      </c>
      <c r="G526" s="7">
        <f>IFERROR(INDEX('Master data'!$B$2:$CL$1000,MATCH($B526,'Master data'!$A$2:$A$1000,0),MATCH(G$1,'Master data'!$B$1:$CL$1,0)),"")</f>
        <v>-5000</v>
      </c>
      <c r="H526" s="7">
        <f>IFERROR(INDEX('Master data'!$B$2:$CL$1000,MATCH($B526,'Master data'!$A$2:$A$1000,0),MATCH(H$1,'Master data'!$B$1:$CL$1,0)),"")</f>
        <v>-5000</v>
      </c>
      <c r="I526" s="7">
        <f>IFERROR(INDEX('Master data'!$B$2:$CL$1000,MATCH($B526,'Master data'!$A$2:$A$1000,0),MATCH(I$1,'Master data'!$B$1:$CL$1,0)),"")</f>
        <v>-12612.846989964777</v>
      </c>
      <c r="J526" s="7">
        <f>IFERROR(INDEX('Master data'!$B$2:$CL$1000,MATCH($B526,'Master data'!$A$2:$A$1000,0),MATCH(J$1,'Master data'!$B$1:$CL$1,0)),"")</f>
        <v>-6187.8677727735048</v>
      </c>
      <c r="K526" s="7">
        <f>IFERROR(INDEX('Master data'!$B$2:$CL$1000,MATCH($B526,'Master data'!$A$2:$A$1000,0),MATCH(K$1,'Master data'!$B$1:$CL$1,0)),"")</f>
        <v>-2988.2577161506028</v>
      </c>
      <c r="L526" s="7">
        <f>IFERROR(INDEX('Master data'!$B$2:$CL$1000,MATCH($B526,'Master data'!$A$2:$A$1000,0),MATCH(L$1,'Master data'!$B$1:$CL$1,0)),"")</f>
        <v>-1363.1462523143489</v>
      </c>
      <c r="M526" s="5">
        <f>IFERROR(INDEX('Master data'!$B$2:$CL$1000,MATCH($B526,'Master data'!$A$2:$A$1000,0),MATCH(M$1,'Master data'!$B$1:$CL$1,0)),"")</f>
        <v>-16028.178340206243</v>
      </c>
      <c r="N526" s="28">
        <f>IFERROR(INDEX('Master data'!$B$2:$CL$1000,MATCH($B526,'Master data'!$A$2:$A$1000,0),MATCH(N$1,'Master data'!$B$1:$CL$1,0)),"")</f>
        <v>-7.4999999999999997E-3</v>
      </c>
      <c r="O526" s="7">
        <f>IFERROR(INDEX('Master data'!$B$2:$CL$1000,MATCH($B526,'Master data'!$A$2:$A$1000,0),MATCH(O$1,'Master data'!$B$1:$CL$1,0)),"")</f>
        <v>0</v>
      </c>
      <c r="P526" s="5">
        <f>IFERROR(INDEX('Master data'!$B$2:$CL$1000,MATCH($B526,'Master data'!$A$2:$A$1000,0),MATCH(P$1,'Master data'!$B$1:$CL$1,0)),"")</f>
        <v>2000000</v>
      </c>
      <c r="Q526" s="5">
        <f>IFERROR(INDEX('Master data'!$B$2:$CL$1000,MATCH($B526,'Master data'!$A$2:$A$1000,0),MATCH(Q$1,'Master data'!$B$1:$CL$1,0)),"")</f>
        <v>2000000</v>
      </c>
    </row>
    <row r="527" spans="1:17" hidden="1">
      <c r="A527">
        <f t="shared" si="8"/>
        <v>525</v>
      </c>
      <c r="B527" t="str">
        <f>IF('Master data'!A527="","",'Master data'!A527)</f>
        <v>Alex Kral</v>
      </c>
      <c r="C527" t="str">
        <f>IFERROR(INDEX('Master data'!$B$2:$CL$1000,MATCH($B527,'Master data'!$A$2:$A$1000,0),MATCH(C$1,'Master data'!$B$1:$CL$1,0)),"")</f>
        <v>Czech Republic</v>
      </c>
      <c r="D527" t="str">
        <f>IFERROR(INDEX('Master data'!$B$2:$CL$1000,MATCH($B527,'Master data'!$A$2:$A$1000,0),MATCH(D$1,'Master data'!$B$1:$CL$1,0)),"")</f>
        <v>Midfield</v>
      </c>
      <c r="E527" s="5">
        <f>IFERROR(INDEX('Master data'!$B$2:$CL$1000,MATCH($B527,'Master data'!$A$2:$A$1000,0),MATCH(E$1,'Master data'!$B$1:$CL$1,0)),"")</f>
        <v>2500000</v>
      </c>
      <c r="F527" s="7">
        <f>IFERROR(INDEX('Master data'!$B$2:$CL$1000,MATCH($B527,'Master data'!$A$2:$A$1000,0),MATCH(F$1,'Master data'!$B$1:$CL$1,0)),"")</f>
        <v>28383.476617898996</v>
      </c>
      <c r="G527" s="7">
        <f>IFERROR(INDEX('Master data'!$B$2:$CL$1000,MATCH($B527,'Master data'!$A$2:$A$1000,0),MATCH(G$1,'Master data'!$B$1:$CL$1,0)),"")</f>
        <v>19231.997673202888</v>
      </c>
      <c r="H527" s="7">
        <f>IFERROR(INDEX('Master data'!$B$2:$CL$1000,MATCH($B527,'Master data'!$A$2:$A$1000,0),MATCH(H$1,'Master data'!$B$1:$CL$1,0)),"")</f>
        <v>1909.2594320299759</v>
      </c>
      <c r="I527" s="7">
        <f>IFERROR(INDEX('Master data'!$B$2:$CL$1000,MATCH($B527,'Master data'!$A$2:$A$1000,0),MATCH(I$1,'Master data'!$B$1:$CL$1,0)),"")</f>
        <v>-4561.4362473347546</v>
      </c>
      <c r="J527" s="7">
        <f>IFERROR(INDEX('Master data'!$B$2:$CL$1000,MATCH($B527,'Master data'!$A$2:$A$1000,0),MATCH(J$1,'Master data'!$B$1:$CL$1,0)),"")</f>
        <v>-2283.5440772564289</v>
      </c>
      <c r="K527" s="7">
        <f>IFERROR(INDEX('Master data'!$B$2:$CL$1000,MATCH($B527,'Master data'!$A$2:$A$1000,0),MATCH(K$1,'Master data'!$B$1:$CL$1,0)),"")</f>
        <v>-1124.9332580103044</v>
      </c>
      <c r="L527" s="7">
        <f>IFERROR(INDEX('Master data'!$B$2:$CL$1000,MATCH($B527,'Master data'!$A$2:$A$1000,0),MATCH(L$1,'Master data'!$B$1:$CL$1,0)),"")</f>
        <v>-523.30743673840925</v>
      </c>
      <c r="M527" s="5">
        <f>IFERROR(INDEX('Master data'!$B$2:$CL$1000,MATCH($B527,'Master data'!$A$2:$A$1000,0),MATCH(M$1,'Master data'!$B$1:$CL$1,0)),"")</f>
        <v>40056.679745313028</v>
      </c>
      <c r="N527" s="28">
        <f>IFERROR(INDEX('Master data'!$B$2:$CL$1000,MATCH($B527,'Master data'!$A$2:$A$1000,0),MATCH(N$1,'Master data'!$B$1:$CL$1,0)),"")</f>
        <v>1.9809893489252748E-2</v>
      </c>
      <c r="O527" s="7">
        <f>IFERROR(INDEX('Master data'!$B$2:$CL$1000,MATCH($B527,'Master data'!$A$2:$A$1000,0),MATCH(O$1,'Master data'!$B$1:$CL$1,0)),"")</f>
        <v>0</v>
      </c>
      <c r="P527" s="5">
        <f>IFERROR(INDEX('Master data'!$B$2:$CL$1000,MATCH($B527,'Master data'!$A$2:$A$1000,0),MATCH(P$1,'Master data'!$B$1:$CL$1,0)),"")</f>
        <v>2500000</v>
      </c>
      <c r="Q527" s="5">
        <f>IFERROR(INDEX('Master data'!$B$2:$CL$1000,MATCH($B527,'Master data'!$A$2:$A$1000,0),MATCH(Q$1,'Master data'!$B$1:$CL$1,0)),"")</f>
        <v>2500000</v>
      </c>
    </row>
    <row r="528" spans="1:17" hidden="1">
      <c r="A528">
        <f t="shared" si="8"/>
        <v>526</v>
      </c>
      <c r="B528" t="str">
        <f>IF('Master data'!A528="","",'Master data'!A528)</f>
        <v>Zeki Çelik</v>
      </c>
      <c r="C528" t="str">
        <f>IFERROR(INDEX('Master data'!$B$2:$CL$1000,MATCH($B528,'Master data'!$A$2:$A$1000,0),MATCH(C$1,'Master data'!$B$1:$CL$1,0)),"")</f>
        <v>Turkey</v>
      </c>
      <c r="D528" t="str">
        <f>IFERROR(INDEX('Master data'!$B$2:$CL$1000,MATCH($B528,'Master data'!$A$2:$A$1000,0),MATCH(D$1,'Master data'!$B$1:$CL$1,0)),"")</f>
        <v>Defense</v>
      </c>
      <c r="E528" s="5">
        <f>IFERROR(INDEX('Master data'!$B$2:$CL$1000,MATCH($B528,'Master data'!$A$2:$A$1000,0),MATCH(E$1,'Master data'!$B$1:$CL$1,0)),"")</f>
        <v>2500000</v>
      </c>
      <c r="F528" s="7">
        <f>IFERROR(INDEX('Master data'!$B$2:$CL$1000,MATCH($B528,'Master data'!$A$2:$A$1000,0),MATCH(F$1,'Master data'!$B$1:$CL$1,0)),"")</f>
        <v>4513.1518227964898</v>
      </c>
      <c r="G528" s="7">
        <f>IFERROR(INDEX('Master data'!$B$2:$CL$1000,MATCH($B528,'Master data'!$A$2:$A$1000,0),MATCH(G$1,'Master data'!$B$1:$CL$1,0)),"")</f>
        <v>12887.358351155748</v>
      </c>
      <c r="H528" s="7">
        <f>IFERROR(INDEX('Master data'!$B$2:$CL$1000,MATCH($B528,'Master data'!$A$2:$A$1000,0),MATCH(H$1,'Master data'!$B$1:$CL$1,0)),"")</f>
        <v>7733.4782895170301</v>
      </c>
      <c r="I528" s="7">
        <f>IFERROR(INDEX('Master data'!$B$2:$CL$1000,MATCH($B528,'Master data'!$A$2:$A$1000,0),MATCH(I$1,'Master data'!$B$1:$CL$1,0)),"")</f>
        <v>-10195.501709178865</v>
      </c>
      <c r="J528" s="7">
        <f>IFERROR(INDEX('Master data'!$B$2:$CL$1000,MATCH($B528,'Master data'!$A$2:$A$1000,0),MATCH(J$1,'Master data'!$B$1:$CL$1,0)),"")</f>
        <v>-5051.2001920312978</v>
      </c>
      <c r="K528" s="7">
        <f>IFERROR(INDEX('Master data'!$B$2:$CL$1000,MATCH($B528,'Master data'!$A$2:$A$1000,0),MATCH(K$1,'Master data'!$B$1:$CL$1,0)),"")</f>
        <v>-2470.1091884299817</v>
      </c>
      <c r="L528" s="7">
        <f>IFERROR(INDEX('Master data'!$B$2:$CL$1000,MATCH($B528,'Master data'!$A$2:$A$1000,0),MATCH(L$1,'Master data'!$B$1:$CL$1,0)),"")</f>
        <v>-1153.0513276952543</v>
      </c>
      <c r="M528" s="5">
        <f>IFERROR(INDEX('Master data'!$B$2:$CL$1000,MATCH($B528,'Master data'!$A$2:$A$1000,0),MATCH(M$1,'Master data'!$B$1:$CL$1,0)),"")</f>
        <v>12096.658215894286</v>
      </c>
      <c r="N528" s="28">
        <f>IFERROR(INDEX('Master data'!$B$2:$CL$1000,MATCH($B528,'Master data'!$A$2:$A$1000,0),MATCH(N$1,'Master data'!$B$1:$CL$1,0)),"")</f>
        <v>1.0053595385387706E-2</v>
      </c>
      <c r="O528" s="7">
        <f>IFERROR(INDEX('Master data'!$B$2:$CL$1000,MATCH($B528,'Master data'!$A$2:$A$1000,0),MATCH(O$1,'Master data'!$B$1:$CL$1,0)),"")</f>
        <v>0</v>
      </c>
      <c r="P528" s="5">
        <f>IFERROR(INDEX('Master data'!$B$2:$CL$1000,MATCH($B528,'Master data'!$A$2:$A$1000,0),MATCH(P$1,'Master data'!$B$1:$CL$1,0)),"")</f>
        <v>2500000</v>
      </c>
      <c r="Q528" s="5">
        <f>IFERROR(INDEX('Master data'!$B$2:$CL$1000,MATCH($B528,'Master data'!$A$2:$A$1000,0),MATCH(Q$1,'Master data'!$B$1:$CL$1,0)),"")</f>
        <v>2500000</v>
      </c>
    </row>
    <row r="529" spans="1:17" hidden="1">
      <c r="A529">
        <f t="shared" si="8"/>
        <v>527</v>
      </c>
      <c r="B529" t="str">
        <f>IF('Master data'!A529="","",'Master data'!A529)</f>
        <v>Kaan Ayhan</v>
      </c>
      <c r="C529" t="str">
        <f>IFERROR(INDEX('Master data'!$B$2:$CL$1000,MATCH($B529,'Master data'!$A$2:$A$1000,0),MATCH(C$1,'Master data'!$B$1:$CL$1,0)),"")</f>
        <v>Turkey</v>
      </c>
      <c r="D529" t="str">
        <f>IFERROR(INDEX('Master data'!$B$2:$CL$1000,MATCH($B529,'Master data'!$A$2:$A$1000,0),MATCH(D$1,'Master data'!$B$1:$CL$1,0)),"")</f>
        <v>Defense</v>
      </c>
      <c r="E529" s="5">
        <f>IFERROR(INDEX('Master data'!$B$2:$CL$1000,MATCH($B529,'Master data'!$A$2:$A$1000,0),MATCH(E$1,'Master data'!$B$1:$CL$1,0)),"")</f>
        <v>2500000</v>
      </c>
      <c r="F529" s="7">
        <f>IFERROR(INDEX('Master data'!$B$2:$CL$1000,MATCH($B529,'Master data'!$A$2:$A$1000,0),MATCH(F$1,'Master data'!$B$1:$CL$1,0)),"")</f>
        <v>1183.4972115967685</v>
      </c>
      <c r="G529" s="7">
        <f>IFERROR(INDEX('Master data'!$B$2:$CL$1000,MATCH($B529,'Master data'!$A$2:$A$1000,0),MATCH(G$1,'Master data'!$B$1:$CL$1,0)),"")</f>
        <v>36099.812408524595</v>
      </c>
      <c r="H529" s="7">
        <f>IFERROR(INDEX('Master data'!$B$2:$CL$1000,MATCH($B529,'Master data'!$A$2:$A$1000,0),MATCH(H$1,'Master data'!$B$1:$CL$1,0)),"")</f>
        <v>23006.568397976873</v>
      </c>
      <c r="I529" s="7">
        <f>IFERROR(INDEX('Master data'!$B$2:$CL$1000,MATCH($B529,'Master data'!$A$2:$A$1000,0),MATCH(I$1,'Master data'!$B$1:$CL$1,0)),"")</f>
        <v>-3327.0947583280949</v>
      </c>
      <c r="J529" s="7">
        <f>IFERROR(INDEX('Master data'!$B$2:$CL$1000,MATCH($B529,'Master data'!$A$2:$A$1000,0),MATCH(J$1,'Master data'!$B$1:$CL$1,0)),"")</f>
        <v>-1700.0764651903037</v>
      </c>
      <c r="K529" s="7">
        <f>IFERROR(INDEX('Master data'!$B$2:$CL$1000,MATCH($B529,'Master data'!$A$2:$A$1000,0),MATCH(K$1,'Master data'!$B$1:$CL$1,0)),"")</f>
        <v>-856.40482931396764</v>
      </c>
      <c r="L529" s="7">
        <f>IFERROR(INDEX('Master data'!$B$2:$CL$1000,MATCH($B529,'Master data'!$A$2:$A$1000,0),MATCH(L$1,'Master data'!$B$1:$CL$1,0)),"")</f>
        <v>-411.3470666259683</v>
      </c>
      <c r="M529" s="5">
        <f>IFERROR(INDEX('Master data'!$B$2:$CL$1000,MATCH($B529,'Master data'!$A$2:$A$1000,0),MATCH(M$1,'Master data'!$B$1:$CL$1,0)),"")</f>
        <v>34004.666535085096</v>
      </c>
      <c r="N529" s="28">
        <f>IFERROR(INDEX('Master data'!$B$2:$CL$1000,MATCH($B529,'Master data'!$A$2:$A$1000,0),MATCH(N$1,'Master data'!$B$1:$CL$1,0)),"")</f>
        <v>2.4115951207239292E-2</v>
      </c>
      <c r="O529" s="7">
        <f>IFERROR(INDEX('Master data'!$B$2:$CL$1000,MATCH($B529,'Master data'!$A$2:$A$1000,0),MATCH(O$1,'Master data'!$B$1:$CL$1,0)),"")</f>
        <v>0</v>
      </c>
      <c r="P529" s="5">
        <f>IFERROR(INDEX('Master data'!$B$2:$CL$1000,MATCH($B529,'Master data'!$A$2:$A$1000,0),MATCH(P$1,'Master data'!$B$1:$CL$1,0)),"")</f>
        <v>2500000</v>
      </c>
      <c r="Q529" s="5">
        <f>IFERROR(INDEX('Master data'!$B$2:$CL$1000,MATCH($B529,'Master data'!$A$2:$A$1000,0),MATCH(Q$1,'Master data'!$B$1:$CL$1,0)),"")</f>
        <v>2500000</v>
      </c>
    </row>
    <row r="530" spans="1:17" hidden="1">
      <c r="A530">
        <f t="shared" si="8"/>
        <v>528</v>
      </c>
      <c r="B530" t="str">
        <f>IF('Master data'!A530="","",'Master data'!A530)</f>
        <v>Taylan Antalyalı</v>
      </c>
      <c r="C530" t="str">
        <f>IFERROR(INDEX('Master data'!$B$2:$CL$1000,MATCH($B530,'Master data'!$A$2:$A$1000,0),MATCH(C$1,'Master data'!$B$1:$CL$1,0)),"")</f>
        <v>Turkey</v>
      </c>
      <c r="D530" t="str">
        <f>IFERROR(INDEX('Master data'!$B$2:$CL$1000,MATCH($B530,'Master data'!$A$2:$A$1000,0),MATCH(D$1,'Master data'!$B$1:$CL$1,0)),"")</f>
        <v>Midfield</v>
      </c>
      <c r="E530" s="5">
        <f>IFERROR(INDEX('Master data'!$B$2:$CL$1000,MATCH($B530,'Master data'!$A$2:$A$1000,0),MATCH(E$1,'Master data'!$B$1:$CL$1,0)),"")</f>
        <v>2500000</v>
      </c>
      <c r="F530" s="7">
        <f>IFERROR(INDEX('Master data'!$B$2:$CL$1000,MATCH($B530,'Master data'!$A$2:$A$1000,0),MATCH(F$1,'Master data'!$B$1:$CL$1,0)),"")</f>
        <v>-5000</v>
      </c>
      <c r="G530" s="7">
        <f>IFERROR(INDEX('Master data'!$B$2:$CL$1000,MATCH($B530,'Master data'!$A$2:$A$1000,0),MATCH(G$1,'Master data'!$B$1:$CL$1,0)),"")</f>
        <v>-5000</v>
      </c>
      <c r="H530" s="7">
        <f>IFERROR(INDEX('Master data'!$B$2:$CL$1000,MATCH($B530,'Master data'!$A$2:$A$1000,0),MATCH(H$1,'Master data'!$B$1:$CL$1,0)),"")</f>
        <v>-5000</v>
      </c>
      <c r="I530" s="7">
        <f>IFERROR(INDEX('Master data'!$B$2:$CL$1000,MATCH($B530,'Master data'!$A$2:$A$1000,0),MATCH(I$1,'Master data'!$B$1:$CL$1,0)),"")</f>
        <v>-18036.47995834285</v>
      </c>
      <c r="J530" s="7">
        <f>IFERROR(INDEX('Master data'!$B$2:$CL$1000,MATCH($B530,'Master data'!$A$2:$A$1000,0),MATCH(J$1,'Master data'!$B$1:$CL$1,0)),"")</f>
        <v>-8876.8454166729152</v>
      </c>
      <c r="K530" s="7">
        <f>IFERROR(INDEX('Master data'!$B$2:$CL$1000,MATCH($B530,'Master data'!$A$2:$A$1000,0),MATCH(K$1,'Master data'!$B$1:$CL$1,0)),"")</f>
        <v>-4312.3152299404483</v>
      </c>
      <c r="L530" s="7">
        <f>IFERROR(INDEX('Master data'!$B$2:$CL$1000,MATCH($B530,'Master data'!$A$2:$A$1000,0),MATCH(L$1,'Master data'!$B$1:$CL$1,0)),"")</f>
        <v>-1999.781438472417</v>
      </c>
      <c r="M530" s="5">
        <f>IFERROR(INDEX('Master data'!$B$2:$CL$1000,MATCH($B530,'Master data'!$A$2:$A$1000,0),MATCH(M$1,'Master data'!$B$1:$CL$1,0)),"")</f>
        <v>-18396.589417200921</v>
      </c>
      <c r="N530" s="28">
        <f>IFERROR(INDEX('Master data'!$B$2:$CL$1000,MATCH($B530,'Master data'!$A$2:$A$1000,0),MATCH(N$1,'Master data'!$B$1:$CL$1,0)),"")</f>
        <v>-6.0000000000000001E-3</v>
      </c>
      <c r="O530" s="7">
        <f>IFERROR(INDEX('Master data'!$B$2:$CL$1000,MATCH($B530,'Master data'!$A$2:$A$1000,0),MATCH(O$1,'Master data'!$B$1:$CL$1,0)),"")</f>
        <v>0</v>
      </c>
      <c r="P530" s="5">
        <f>IFERROR(INDEX('Master data'!$B$2:$CL$1000,MATCH($B530,'Master data'!$A$2:$A$1000,0),MATCH(P$1,'Master data'!$B$1:$CL$1,0)),"")</f>
        <v>2500000</v>
      </c>
      <c r="Q530" s="5">
        <f>IFERROR(INDEX('Master data'!$B$2:$CL$1000,MATCH($B530,'Master data'!$A$2:$A$1000,0),MATCH(Q$1,'Master data'!$B$1:$CL$1,0)),"")</f>
        <v>2500000</v>
      </c>
    </row>
    <row r="531" spans="1:17" hidden="1">
      <c r="A531">
        <f t="shared" si="8"/>
        <v>529</v>
      </c>
      <c r="B531" t="str">
        <f>IF('Master data'!A531="","",'Master data'!A531)</f>
        <v>Okay Yokuslu</v>
      </c>
      <c r="C531" t="str">
        <f>IFERROR(INDEX('Master data'!$B$2:$CL$1000,MATCH($B531,'Master data'!$A$2:$A$1000,0),MATCH(C$1,'Master data'!$B$1:$CL$1,0)),"")</f>
        <v>Turkey</v>
      </c>
      <c r="D531" t="str">
        <f>IFERROR(INDEX('Master data'!$B$2:$CL$1000,MATCH($B531,'Master data'!$A$2:$A$1000,0),MATCH(D$1,'Master data'!$B$1:$CL$1,0)),"")</f>
        <v>Midfield</v>
      </c>
      <c r="E531" s="5">
        <f>IFERROR(INDEX('Master data'!$B$2:$CL$1000,MATCH($B531,'Master data'!$A$2:$A$1000,0),MATCH(E$1,'Master data'!$B$1:$CL$1,0)),"")</f>
        <v>3000000</v>
      </c>
      <c r="F531" s="7">
        <f>IFERROR(INDEX('Master data'!$B$2:$CL$1000,MATCH($B531,'Master data'!$A$2:$A$1000,0),MATCH(F$1,'Master data'!$B$1:$CL$1,0)),"")</f>
        <v>-6356.5868145608283</v>
      </c>
      <c r="G531" s="7">
        <f>IFERROR(INDEX('Master data'!$B$2:$CL$1000,MATCH($B531,'Master data'!$A$2:$A$1000,0),MATCH(G$1,'Master data'!$B$1:$CL$1,0)),"")</f>
        <v>25001.168972777523</v>
      </c>
      <c r="H531" s="7">
        <f>IFERROR(INDEX('Master data'!$B$2:$CL$1000,MATCH($B531,'Master data'!$A$2:$A$1000,0),MATCH(H$1,'Master data'!$B$1:$CL$1,0)),"")</f>
        <v>16603.281079067929</v>
      </c>
      <c r="I531" s="7">
        <f>IFERROR(INDEX('Master data'!$B$2:$CL$1000,MATCH($B531,'Master data'!$A$2:$A$1000,0),MATCH(I$1,'Master data'!$B$1:$CL$1,0)),"")</f>
        <v>-11240.739684676422</v>
      </c>
      <c r="J531" s="7">
        <f>IFERROR(INDEX('Master data'!$B$2:$CL$1000,MATCH($B531,'Master data'!$A$2:$A$1000,0),MATCH(J$1,'Master data'!$B$1:$CL$1,0)),"")</f>
        <v>-5576.5307338274597</v>
      </c>
      <c r="K531" s="7">
        <f>IFERROR(INDEX('Master data'!$B$2:$CL$1000,MATCH($B531,'Master data'!$A$2:$A$1000,0),MATCH(K$1,'Master data'!$B$1:$CL$1,0)),"")</f>
        <v>-2730.6270936323799</v>
      </c>
      <c r="L531" s="7">
        <f>IFERROR(INDEX('Master data'!$B$2:$CL$1000,MATCH($B531,'Master data'!$A$2:$A$1000,0),MATCH(L$1,'Master data'!$B$1:$CL$1,0)),"")</f>
        <v>-1276.3365676054505</v>
      </c>
      <c r="M531" s="5">
        <f>IFERROR(INDEX('Master data'!$B$2:$CL$1000,MATCH($B531,'Master data'!$A$2:$A$1000,0),MATCH(M$1,'Master data'!$B$1:$CL$1,0)),"")</f>
        <v>12786.328482436653</v>
      </c>
      <c r="N531" s="28">
        <f>IFERROR(INDEX('Master data'!$B$2:$CL$1000,MATCH($B531,'Master data'!$A$2:$A$1000,0),MATCH(N$1,'Master data'!$B$1:$CL$1,0)),"")</f>
        <v>1.174928774576154E-2</v>
      </c>
      <c r="O531" s="7">
        <f>IFERROR(INDEX('Master data'!$B$2:$CL$1000,MATCH($B531,'Master data'!$A$2:$A$1000,0),MATCH(O$1,'Master data'!$B$1:$CL$1,0)),"")</f>
        <v>0</v>
      </c>
      <c r="P531" s="5">
        <f>IFERROR(INDEX('Master data'!$B$2:$CL$1000,MATCH($B531,'Master data'!$A$2:$A$1000,0),MATCH(P$1,'Master data'!$B$1:$CL$1,0)),"")</f>
        <v>3000000</v>
      </c>
      <c r="Q531" s="5">
        <f>IFERROR(INDEX('Master data'!$B$2:$CL$1000,MATCH($B531,'Master data'!$A$2:$A$1000,0),MATCH(Q$1,'Master data'!$B$1:$CL$1,0)),"")</f>
        <v>3000000</v>
      </c>
    </row>
    <row r="532" spans="1:17" hidden="1">
      <c r="A532">
        <f t="shared" si="8"/>
        <v>530</v>
      </c>
      <c r="B532" t="str">
        <f>IF('Master data'!A532="","",'Master data'!A532)</f>
        <v>Anton Shunin</v>
      </c>
      <c r="C532" t="str">
        <f>IFERROR(INDEX('Master data'!$B$2:$CL$1000,MATCH($B532,'Master data'!$A$2:$A$1000,0),MATCH(C$1,'Master data'!$B$1:$CL$1,0)),"")</f>
        <v>Russia</v>
      </c>
      <c r="D532" t="str">
        <f>IFERROR(INDEX('Master data'!$B$2:$CL$1000,MATCH($B532,'Master data'!$A$2:$A$1000,0),MATCH(D$1,'Master data'!$B$1:$CL$1,0)),"")</f>
        <v>Goalkeeper</v>
      </c>
      <c r="E532" s="5">
        <f>IFERROR(INDEX('Master data'!$B$2:$CL$1000,MATCH($B532,'Master data'!$A$2:$A$1000,0),MATCH(E$1,'Master data'!$B$1:$CL$1,0)),"")</f>
        <v>4000000</v>
      </c>
      <c r="F532" s="7">
        <f>IFERROR(INDEX('Master data'!$B$2:$CL$1000,MATCH($B532,'Master data'!$A$2:$A$1000,0),MATCH(F$1,'Master data'!$B$1:$CL$1,0)),"")</f>
        <v>29976.554997706993</v>
      </c>
      <c r="G532" s="7">
        <f>IFERROR(INDEX('Master data'!$B$2:$CL$1000,MATCH($B532,'Master data'!$A$2:$A$1000,0),MATCH(G$1,'Master data'!$B$1:$CL$1,0)),"")</f>
        <v>71525.88306873267</v>
      </c>
      <c r="H532" s="7">
        <f>IFERROR(INDEX('Master data'!$B$2:$CL$1000,MATCH($B532,'Master data'!$A$2:$A$1000,0),MATCH(H$1,'Master data'!$B$1:$CL$1,0)),"")</f>
        <v>35014.797847377296</v>
      </c>
      <c r="I532" s="7">
        <f>IFERROR(INDEX('Master data'!$B$2:$CL$1000,MATCH($B532,'Master data'!$A$2:$A$1000,0),MATCH(I$1,'Master data'!$B$1:$CL$1,0)),"")</f>
        <v>2660.2354894923565</v>
      </c>
      <c r="J532" s="7">
        <f>IFERROR(INDEX('Master data'!$B$2:$CL$1000,MATCH($B532,'Master data'!$A$2:$A$1000,0),MATCH(J$1,'Master data'!$B$1:$CL$1,0)),"")</f>
        <v>1162.2894854656327</v>
      </c>
      <c r="K532" s="7">
        <f>IFERROR(INDEX('Master data'!$B$2:$CL$1000,MATCH($B532,'Master data'!$A$2:$A$1000,0),MATCH(K$1,'Master data'!$B$1:$CL$1,0)),"")</f>
        <v>491.53280618094038</v>
      </c>
      <c r="L532" s="7">
        <f>IFERROR(INDEX('Master data'!$B$2:$CL$1000,MATCH($B532,'Master data'!$A$2:$A$1000,0),MATCH(L$1,'Master data'!$B$1:$CL$1,0)),"")</f>
        <v>191.36412843709743</v>
      </c>
      <c r="M532" s="5">
        <f>IFERROR(INDEX('Master data'!$B$2:$CL$1000,MATCH($B532,'Master data'!$A$2:$A$1000,0),MATCH(M$1,'Master data'!$B$1:$CL$1,0)),"")</f>
        <v>94321.944132419012</v>
      </c>
      <c r="N532" s="28">
        <f>IFERROR(INDEX('Master data'!$B$2:$CL$1000,MATCH($B532,'Master data'!$A$2:$A$1000,0),MATCH(N$1,'Master data'!$B$1:$CL$1,0)),"")</f>
        <v>3.4129308978454238E-2</v>
      </c>
      <c r="O532" s="7">
        <f>IFERROR(INDEX('Master data'!$B$2:$CL$1000,MATCH($B532,'Master data'!$A$2:$A$1000,0),MATCH(O$1,'Master data'!$B$1:$CL$1,0)),"")</f>
        <v>0</v>
      </c>
      <c r="P532" s="5">
        <f>IFERROR(INDEX('Master data'!$B$2:$CL$1000,MATCH($B532,'Master data'!$A$2:$A$1000,0),MATCH(P$1,'Master data'!$B$1:$CL$1,0)),"")</f>
        <v>4000000</v>
      </c>
      <c r="Q532" s="5">
        <f>IFERROR(INDEX('Master data'!$B$2:$CL$1000,MATCH($B532,'Master data'!$A$2:$A$1000,0),MATCH(Q$1,'Master data'!$B$1:$CL$1,0)),"")</f>
        <v>4000000</v>
      </c>
    </row>
    <row r="533" spans="1:17" hidden="1">
      <c r="A533">
        <f t="shared" si="8"/>
        <v>531</v>
      </c>
      <c r="B533" t="str">
        <f>IF('Master data'!A533="","",'Master data'!A533)</f>
        <v>Yuri Dyupin</v>
      </c>
      <c r="C533" t="str">
        <f>IFERROR(INDEX('Master data'!$B$2:$CL$1000,MATCH($B533,'Master data'!$A$2:$A$1000,0),MATCH(C$1,'Master data'!$B$1:$CL$1,0)),"")</f>
        <v>Russia</v>
      </c>
      <c r="D533" t="str">
        <f>IFERROR(INDEX('Master data'!$B$2:$CL$1000,MATCH($B533,'Master data'!$A$2:$A$1000,0),MATCH(D$1,'Master data'!$B$1:$CL$1,0)),"")</f>
        <v>Goalkeeper</v>
      </c>
      <c r="E533" s="5">
        <f>IFERROR(INDEX('Master data'!$B$2:$CL$1000,MATCH($B533,'Master data'!$A$2:$A$1000,0),MATCH(E$1,'Master data'!$B$1:$CL$1,0)),"")</f>
        <v>3500000</v>
      </c>
      <c r="F533" s="7">
        <f>IFERROR(INDEX('Master data'!$B$2:$CL$1000,MATCH($B533,'Master data'!$A$2:$A$1000,0),MATCH(F$1,'Master data'!$B$1:$CL$1,0)),"")</f>
        <v>25082.322551114885</v>
      </c>
      <c r="G533" s="7">
        <f>IFERROR(INDEX('Master data'!$B$2:$CL$1000,MATCH($B533,'Master data'!$A$2:$A$1000,0),MATCH(G$1,'Master data'!$B$1:$CL$1,0)),"")</f>
        <v>37109.76399341967</v>
      </c>
      <c r="H533" s="7">
        <f>IFERROR(INDEX('Master data'!$B$2:$CL$1000,MATCH($B533,'Master data'!$A$2:$A$1000,0),MATCH(H$1,'Master data'!$B$1:$CL$1,0)),"")</f>
        <v>25467.691168344943</v>
      </c>
      <c r="I533" s="7">
        <f>IFERROR(INDEX('Master data'!$B$2:$CL$1000,MATCH($B533,'Master data'!$A$2:$A$1000,0),MATCH(I$1,'Master data'!$B$1:$CL$1,0)),"")</f>
        <v>-4276.7788398481043</v>
      </c>
      <c r="J533" s="7">
        <f>IFERROR(INDEX('Master data'!$B$2:$CL$1000,MATCH($B533,'Master data'!$A$2:$A$1000,0),MATCH(J$1,'Master data'!$B$1:$CL$1,0)),"")</f>
        <v>-2191.4437394297042</v>
      </c>
      <c r="K533" s="7">
        <f>IFERROR(INDEX('Master data'!$B$2:$CL$1000,MATCH($B533,'Master data'!$A$2:$A$1000,0),MATCH(K$1,'Master data'!$B$1:$CL$1,0)),"")</f>
        <v>-1101.7705865919763</v>
      </c>
      <c r="L533" s="7">
        <f>IFERROR(INDEX('Master data'!$B$2:$CL$1000,MATCH($B533,'Master data'!$A$2:$A$1000,0),MATCH(L$1,'Master data'!$B$1:$CL$1,0)),"")</f>
        <v>-519.41964268073696</v>
      </c>
      <c r="M533" s="5">
        <f>IFERROR(INDEX('Master data'!$B$2:$CL$1000,MATCH($B533,'Master data'!$A$2:$A$1000,0),MATCH(M$1,'Master data'!$B$1:$CL$1,0)),"")</f>
        <v>59250.377802165989</v>
      </c>
      <c r="N533" s="28">
        <f>IFERROR(INDEX('Master data'!$B$2:$CL$1000,MATCH($B533,'Master data'!$A$2:$A$1000,0),MATCH(N$1,'Master data'!$B$1:$CL$1,0)),"")</f>
        <v>2.5045650775108428E-2</v>
      </c>
      <c r="O533" s="7">
        <f>IFERROR(INDEX('Master data'!$B$2:$CL$1000,MATCH($B533,'Master data'!$A$2:$A$1000,0),MATCH(O$1,'Master data'!$B$1:$CL$1,0)),"")</f>
        <v>0</v>
      </c>
      <c r="P533" s="5">
        <f>IFERROR(INDEX('Master data'!$B$2:$CL$1000,MATCH($B533,'Master data'!$A$2:$A$1000,0),MATCH(P$1,'Master data'!$B$1:$CL$1,0)),"")</f>
        <v>3500000</v>
      </c>
      <c r="Q533" s="5">
        <f>IFERROR(INDEX('Master data'!$B$2:$CL$1000,MATCH($B533,'Master data'!$A$2:$A$1000,0),MATCH(Q$1,'Master data'!$B$1:$CL$1,0)),"")</f>
        <v>3500000</v>
      </c>
    </row>
    <row r="534" spans="1:17" hidden="1">
      <c r="A534">
        <f t="shared" si="8"/>
        <v>532</v>
      </c>
      <c r="B534" t="str">
        <f>IF('Master data'!A534="","",'Master data'!A534)</f>
        <v>Andrei Semenov</v>
      </c>
      <c r="C534" t="str">
        <f>IFERROR(INDEX('Master data'!$B$2:$CL$1000,MATCH($B534,'Master data'!$A$2:$A$1000,0),MATCH(C$1,'Master data'!$B$1:$CL$1,0)),"")</f>
        <v>Russia</v>
      </c>
      <c r="D534" t="str">
        <f>IFERROR(INDEX('Master data'!$B$2:$CL$1000,MATCH($B534,'Master data'!$A$2:$A$1000,0),MATCH(D$1,'Master data'!$B$1:$CL$1,0)),"")</f>
        <v>Defense</v>
      </c>
      <c r="E534" s="5">
        <f>IFERROR(INDEX('Master data'!$B$2:$CL$1000,MATCH($B534,'Master data'!$A$2:$A$1000,0),MATCH(E$1,'Master data'!$B$1:$CL$1,0)),"")</f>
        <v>3000000</v>
      </c>
      <c r="F534" s="7">
        <f>IFERROR(INDEX('Master data'!$B$2:$CL$1000,MATCH($B534,'Master data'!$A$2:$A$1000,0),MATCH(F$1,'Master data'!$B$1:$CL$1,0)),"")</f>
        <v>14927.788573198755</v>
      </c>
      <c r="G534" s="7">
        <f>IFERROR(INDEX('Master data'!$B$2:$CL$1000,MATCH($B534,'Master data'!$A$2:$A$1000,0),MATCH(G$1,'Master data'!$B$1:$CL$1,0)),"")</f>
        <v>67639.921941599328</v>
      </c>
      <c r="H534" s="7">
        <f>IFERROR(INDEX('Master data'!$B$2:$CL$1000,MATCH($B534,'Master data'!$A$2:$A$1000,0),MATCH(H$1,'Master data'!$B$1:$CL$1,0)),"")</f>
        <v>21752.408927893204</v>
      </c>
      <c r="I534" s="7">
        <f>IFERROR(INDEX('Master data'!$B$2:$CL$1000,MATCH($B534,'Master data'!$A$2:$A$1000,0),MATCH(I$1,'Master data'!$B$1:$CL$1,0)),"")</f>
        <v>2396.561041752961</v>
      </c>
      <c r="J534" s="7">
        <f>IFERROR(INDEX('Master data'!$B$2:$CL$1000,MATCH($B534,'Master data'!$A$2:$A$1000,0),MATCH(J$1,'Master data'!$B$1:$CL$1,0)),"")</f>
        <v>1066.708955194473</v>
      </c>
      <c r="K534" s="7">
        <f>IFERROR(INDEX('Master data'!$B$2:$CL$1000,MATCH($B534,'Master data'!$A$2:$A$1000,0),MATCH(K$1,'Master data'!$B$1:$CL$1,0)),"")</f>
        <v>461.74777564337057</v>
      </c>
      <c r="L534" s="7">
        <f>IFERROR(INDEX('Master data'!$B$2:$CL$1000,MATCH($B534,'Master data'!$A$2:$A$1000,0),MATCH(L$1,'Master data'!$B$1:$CL$1,0)),"")</f>
        <v>185.26688360203556</v>
      </c>
      <c r="M534" s="5">
        <f>IFERROR(INDEX('Master data'!$B$2:$CL$1000,MATCH($B534,'Master data'!$A$2:$A$1000,0),MATCH(M$1,'Master data'!$B$1:$CL$1,0)),"")</f>
        <v>70686.678419335396</v>
      </c>
      <c r="N534" s="28">
        <f>IFERROR(INDEX('Master data'!$B$2:$CL$1000,MATCH($B534,'Master data'!$A$2:$A$1000,0),MATCH(N$1,'Master data'!$B$1:$CL$1,0)),"")</f>
        <v>3.4773373147563763E-2</v>
      </c>
      <c r="O534" s="7">
        <f>IFERROR(INDEX('Master data'!$B$2:$CL$1000,MATCH($B534,'Master data'!$A$2:$A$1000,0),MATCH(O$1,'Master data'!$B$1:$CL$1,0)),"")</f>
        <v>0</v>
      </c>
      <c r="P534" s="5">
        <f>IFERROR(INDEX('Master data'!$B$2:$CL$1000,MATCH($B534,'Master data'!$A$2:$A$1000,0),MATCH(P$1,'Master data'!$B$1:$CL$1,0)),"")</f>
        <v>3000000</v>
      </c>
      <c r="Q534" s="5">
        <f>IFERROR(INDEX('Master data'!$B$2:$CL$1000,MATCH($B534,'Master data'!$A$2:$A$1000,0),MATCH(Q$1,'Master data'!$B$1:$CL$1,0)),"")</f>
        <v>3000000</v>
      </c>
    </row>
    <row r="535" spans="1:17" hidden="1">
      <c r="A535">
        <f t="shared" si="8"/>
        <v>533</v>
      </c>
      <c r="B535" t="str">
        <f>IF('Master data'!A535="","",'Master data'!A535)</f>
        <v>Maksim Mukhin</v>
      </c>
      <c r="C535" t="str">
        <f>IFERROR(INDEX('Master data'!$B$2:$CL$1000,MATCH($B535,'Master data'!$A$2:$A$1000,0),MATCH(C$1,'Master data'!$B$1:$CL$1,0)),"")</f>
        <v>Russia</v>
      </c>
      <c r="D535" t="str">
        <f>IFERROR(INDEX('Master data'!$B$2:$CL$1000,MATCH($B535,'Master data'!$A$2:$A$1000,0),MATCH(D$1,'Master data'!$B$1:$CL$1,0)),"")</f>
        <v>Midfield</v>
      </c>
      <c r="E535" s="5">
        <f>IFERROR(INDEX('Master data'!$B$2:$CL$1000,MATCH($B535,'Master data'!$A$2:$A$1000,0),MATCH(E$1,'Master data'!$B$1:$CL$1,0)),"")</f>
        <v>2000000</v>
      </c>
      <c r="F535" s="7">
        <f>IFERROR(INDEX('Master data'!$B$2:$CL$1000,MATCH($B535,'Master data'!$A$2:$A$1000,0),MATCH(F$1,'Master data'!$B$1:$CL$1,0)),"")</f>
        <v>-5000</v>
      </c>
      <c r="G535" s="7">
        <f>IFERROR(INDEX('Master data'!$B$2:$CL$1000,MATCH($B535,'Master data'!$A$2:$A$1000,0),MATCH(G$1,'Master data'!$B$1:$CL$1,0)),"")</f>
        <v>-5000</v>
      </c>
      <c r="H535" s="7">
        <f>IFERROR(INDEX('Master data'!$B$2:$CL$1000,MATCH($B535,'Master data'!$A$2:$A$1000,0),MATCH(H$1,'Master data'!$B$1:$CL$1,0)),"")</f>
        <v>-5000</v>
      </c>
      <c r="I535" s="7">
        <f>IFERROR(INDEX('Master data'!$B$2:$CL$1000,MATCH($B535,'Master data'!$A$2:$A$1000,0),MATCH(I$1,'Master data'!$B$1:$CL$1,0)),"")</f>
        <v>-15965.629101221237</v>
      </c>
      <c r="J535" s="7">
        <f>IFERROR(INDEX('Master data'!$B$2:$CL$1000,MATCH($B535,'Master data'!$A$2:$A$1000,0),MATCH(J$1,'Master data'!$B$1:$CL$1,0)),"")</f>
        <v>-7821.0983779122453</v>
      </c>
      <c r="K535" s="7">
        <f>IFERROR(INDEX('Master data'!$B$2:$CL$1000,MATCH($B535,'Master data'!$A$2:$A$1000,0),MATCH(K$1,'Master data'!$B$1:$CL$1,0)),"")</f>
        <v>-3765.8551216874998</v>
      </c>
      <c r="L535" s="7">
        <f>IFERROR(INDEX('Master data'!$B$2:$CL$1000,MATCH($B535,'Master data'!$A$2:$A$1000,0),MATCH(L$1,'Master data'!$B$1:$CL$1,0)),"")</f>
        <v>-1703.0672961872265</v>
      </c>
      <c r="M535" s="5">
        <f>IFERROR(INDEX('Master data'!$B$2:$CL$1000,MATCH($B535,'Master data'!$A$2:$A$1000,0),MATCH(M$1,'Master data'!$B$1:$CL$1,0)),"")</f>
        <v>-17476.450549960402</v>
      </c>
      <c r="N535" s="28">
        <f>IFERROR(INDEX('Master data'!$B$2:$CL$1000,MATCH($B535,'Master data'!$A$2:$A$1000,0),MATCH(N$1,'Master data'!$B$1:$CL$1,0)),"")</f>
        <v>-7.4999999999999997E-3</v>
      </c>
      <c r="O535" s="7">
        <f>IFERROR(INDEX('Master data'!$B$2:$CL$1000,MATCH($B535,'Master data'!$A$2:$A$1000,0),MATCH(O$1,'Master data'!$B$1:$CL$1,0)),"")</f>
        <v>0</v>
      </c>
      <c r="P535" s="5">
        <f>IFERROR(INDEX('Master data'!$B$2:$CL$1000,MATCH($B535,'Master data'!$A$2:$A$1000,0),MATCH(P$1,'Master data'!$B$1:$CL$1,0)),"")</f>
        <v>2000000</v>
      </c>
      <c r="Q535" s="5">
        <f>IFERROR(INDEX('Master data'!$B$2:$CL$1000,MATCH($B535,'Master data'!$A$2:$A$1000,0),MATCH(Q$1,'Master data'!$B$1:$CL$1,0)),"")</f>
        <v>2000000</v>
      </c>
    </row>
    <row r="536" spans="1:17" hidden="1">
      <c r="A536">
        <f t="shared" si="8"/>
        <v>534</v>
      </c>
      <c r="B536" t="str">
        <f>IF('Master data'!A536="","",'Master data'!A536)</f>
        <v>Adam A. Davies</v>
      </c>
      <c r="C536" t="str">
        <f>IFERROR(INDEX('Master data'!$B$2:$CL$1000,MATCH($B536,'Master data'!$A$2:$A$1000,0),MATCH(C$1,'Master data'!$B$1:$CL$1,0)),"")</f>
        <v>Wales</v>
      </c>
      <c r="D536" t="str">
        <f>IFERROR(INDEX('Master data'!$B$2:$CL$1000,MATCH($B536,'Master data'!$A$2:$A$1000,0),MATCH(D$1,'Master data'!$B$1:$CL$1,0)),"")</f>
        <v>Goalkeeper</v>
      </c>
      <c r="E536" s="5">
        <f>IFERROR(INDEX('Master data'!$B$2:$CL$1000,MATCH($B536,'Master data'!$A$2:$A$1000,0),MATCH(E$1,'Master data'!$B$1:$CL$1,0)),"")</f>
        <v>3000000</v>
      </c>
      <c r="F536" s="7">
        <f>IFERROR(INDEX('Master data'!$B$2:$CL$1000,MATCH($B536,'Master data'!$A$2:$A$1000,0),MATCH(F$1,'Master data'!$B$1:$CL$1,0)),"")</f>
        <v>27854.200543485655</v>
      </c>
      <c r="G536" s="7">
        <f>IFERROR(INDEX('Master data'!$B$2:$CL$1000,MATCH($B536,'Master data'!$A$2:$A$1000,0),MATCH(G$1,'Master data'!$B$1:$CL$1,0)),"")</f>
        <v>26136.526110223109</v>
      </c>
      <c r="H536" s="7">
        <f>IFERROR(INDEX('Master data'!$B$2:$CL$1000,MATCH($B536,'Master data'!$A$2:$A$1000,0),MATCH(H$1,'Master data'!$B$1:$CL$1,0)),"")</f>
        <v>21779.507672385113</v>
      </c>
      <c r="I536" s="7">
        <f>IFERROR(INDEX('Master data'!$B$2:$CL$1000,MATCH($B536,'Master data'!$A$2:$A$1000,0),MATCH(I$1,'Master data'!$B$1:$CL$1,0)),"")</f>
        <v>-2710.7396261907352</v>
      </c>
      <c r="J536" s="7">
        <f>IFERROR(INDEX('Master data'!$B$2:$CL$1000,MATCH($B536,'Master data'!$A$2:$A$1000,0),MATCH(J$1,'Master data'!$B$1:$CL$1,0)),"")</f>
        <v>-1392.580811429955</v>
      </c>
      <c r="K536" s="7">
        <f>IFERROR(INDEX('Master data'!$B$2:$CL$1000,MATCH($B536,'Master data'!$A$2:$A$1000,0),MATCH(K$1,'Master data'!$B$1:$CL$1,0)),"")</f>
        <v>-702.2755042007318</v>
      </c>
      <c r="L536" s="7">
        <f>IFERROR(INDEX('Master data'!$B$2:$CL$1000,MATCH($B536,'Master data'!$A$2:$A$1000,0),MATCH(L$1,'Master data'!$B$1:$CL$1,0)),"")</f>
        <v>-332.87488966907176</v>
      </c>
      <c r="M536" s="5">
        <f>IFERROR(INDEX('Master data'!$B$2:$CL$1000,MATCH($B536,'Master data'!$A$2:$A$1000,0),MATCH(M$1,'Master data'!$B$1:$CL$1,0)),"")</f>
        <v>53758.368359639288</v>
      </c>
      <c r="N536" s="28">
        <f>IFERROR(INDEX('Master data'!$B$2:$CL$1000,MATCH($B536,'Master data'!$A$2:$A$1000,0),MATCH(N$1,'Master data'!$B$1:$CL$1,0)),"")</f>
        <v>2.5256744775364628E-2</v>
      </c>
      <c r="O536" s="7">
        <f>IFERROR(INDEX('Master data'!$B$2:$CL$1000,MATCH($B536,'Master data'!$A$2:$A$1000,0),MATCH(O$1,'Master data'!$B$1:$CL$1,0)),"")</f>
        <v>0</v>
      </c>
      <c r="P536" s="5">
        <f>IFERROR(INDEX('Master data'!$B$2:$CL$1000,MATCH($B536,'Master data'!$A$2:$A$1000,0),MATCH(P$1,'Master data'!$B$1:$CL$1,0)),"")</f>
        <v>3000000</v>
      </c>
      <c r="Q536" s="5">
        <f>IFERROR(INDEX('Master data'!$B$2:$CL$1000,MATCH($B536,'Master data'!$A$2:$A$1000,0),MATCH(Q$1,'Master data'!$B$1:$CL$1,0)),"")</f>
        <v>3000000</v>
      </c>
    </row>
    <row r="537" spans="1:17" hidden="1">
      <c r="A537">
        <f t="shared" si="8"/>
        <v>535</v>
      </c>
      <c r="B537" t="str">
        <f>IF('Master data'!A537="","",'Master data'!A537)</f>
        <v>Wayne Hennessey</v>
      </c>
      <c r="C537" t="str">
        <f>IFERROR(INDEX('Master data'!$B$2:$CL$1000,MATCH($B537,'Master data'!$A$2:$A$1000,0),MATCH(C$1,'Master data'!$B$1:$CL$1,0)),"")</f>
        <v>Wales</v>
      </c>
      <c r="D537" t="str">
        <f>IFERROR(INDEX('Master data'!$B$2:$CL$1000,MATCH($B537,'Master data'!$A$2:$A$1000,0),MATCH(D$1,'Master data'!$B$1:$CL$1,0)),"")</f>
        <v>Goalkeeper</v>
      </c>
      <c r="E537" s="5">
        <f>IFERROR(INDEX('Master data'!$B$2:$CL$1000,MATCH($B537,'Master data'!$A$2:$A$1000,0),MATCH(E$1,'Master data'!$B$1:$CL$1,0)),"")</f>
        <v>3500000</v>
      </c>
      <c r="F537" s="7">
        <f>IFERROR(INDEX('Master data'!$B$2:$CL$1000,MATCH($B537,'Master data'!$A$2:$A$1000,0),MATCH(F$1,'Master data'!$B$1:$CL$1,0)),"")</f>
        <v>27854.200543485655</v>
      </c>
      <c r="G537" s="7">
        <f>IFERROR(INDEX('Master data'!$B$2:$CL$1000,MATCH($B537,'Master data'!$A$2:$A$1000,0),MATCH(G$1,'Master data'!$B$1:$CL$1,0)),"")</f>
        <v>26136.526110223109</v>
      </c>
      <c r="H537" s="7">
        <f>IFERROR(INDEX('Master data'!$B$2:$CL$1000,MATCH($B537,'Master data'!$A$2:$A$1000,0),MATCH(H$1,'Master data'!$B$1:$CL$1,0)),"")</f>
        <v>21779.507672385113</v>
      </c>
      <c r="I537" s="7">
        <f>IFERROR(INDEX('Master data'!$B$2:$CL$1000,MATCH($B537,'Master data'!$A$2:$A$1000,0),MATCH(I$1,'Master data'!$B$1:$CL$1,0)),"")</f>
        <v>-5174.619407786091</v>
      </c>
      <c r="J537" s="7">
        <f>IFERROR(INDEX('Master data'!$B$2:$CL$1000,MATCH($B537,'Master data'!$A$2:$A$1000,0),MATCH(J$1,'Master data'!$B$1:$CL$1,0)),"")</f>
        <v>-2602.7787402145218</v>
      </c>
      <c r="K537" s="7">
        <f>IFERROR(INDEX('Master data'!$B$2:$CL$1000,MATCH($B537,'Master data'!$A$2:$A$1000,0),MATCH(K$1,'Master data'!$B$1:$CL$1,0)),"")</f>
        <v>-1286.911445521853</v>
      </c>
      <c r="L537" s="7">
        <f>IFERROR(INDEX('Master data'!$B$2:$CL$1000,MATCH($B537,'Master data'!$A$2:$A$1000,0),MATCH(L$1,'Master data'!$B$1:$CL$1,0)),"")</f>
        <v>-598.80633057997557</v>
      </c>
      <c r="M537" s="5">
        <f>IFERROR(INDEX('Master data'!$B$2:$CL$1000,MATCH($B537,'Master data'!$A$2:$A$1000,0),MATCH(M$1,'Master data'!$B$1:$CL$1,0)),"")</f>
        <v>52688.942849139014</v>
      </c>
      <c r="N537" s="28">
        <f>IFERROR(INDEX('Master data'!$B$2:$CL$1000,MATCH($B537,'Master data'!$A$2:$A$1000,0),MATCH(N$1,'Master data'!$B$1:$CL$1,0)),"")</f>
        <v>2.1648638378883967E-2</v>
      </c>
      <c r="O537" s="7">
        <f>IFERROR(INDEX('Master data'!$B$2:$CL$1000,MATCH($B537,'Master data'!$A$2:$A$1000,0),MATCH(O$1,'Master data'!$B$1:$CL$1,0)),"")</f>
        <v>0</v>
      </c>
      <c r="P537" s="5">
        <f>IFERROR(INDEX('Master data'!$B$2:$CL$1000,MATCH($B537,'Master data'!$A$2:$A$1000,0),MATCH(P$1,'Master data'!$B$1:$CL$1,0)),"")</f>
        <v>3500000</v>
      </c>
      <c r="Q537" s="5">
        <f>IFERROR(INDEX('Master data'!$B$2:$CL$1000,MATCH($B537,'Master data'!$A$2:$A$1000,0),MATCH(Q$1,'Master data'!$B$1:$CL$1,0)),"")</f>
        <v>3500000</v>
      </c>
    </row>
    <row r="538" spans="1:17" hidden="1">
      <c r="A538">
        <f t="shared" si="8"/>
        <v>536</v>
      </c>
      <c r="B538" t="str">
        <f>IF('Master data'!A538="","",'Master data'!A538)</f>
        <v>Tom Lockyer</v>
      </c>
      <c r="C538" t="str">
        <f>IFERROR(INDEX('Master data'!$B$2:$CL$1000,MATCH($B538,'Master data'!$A$2:$A$1000,0),MATCH(C$1,'Master data'!$B$1:$CL$1,0)),"")</f>
        <v>Wales</v>
      </c>
      <c r="D538" t="str">
        <f>IFERROR(INDEX('Master data'!$B$2:$CL$1000,MATCH($B538,'Master data'!$A$2:$A$1000,0),MATCH(D$1,'Master data'!$B$1:$CL$1,0)),"")</f>
        <v>Defense</v>
      </c>
      <c r="E538" s="5">
        <f>IFERROR(INDEX('Master data'!$B$2:$CL$1000,MATCH($B538,'Master data'!$A$2:$A$1000,0),MATCH(E$1,'Master data'!$B$1:$CL$1,0)),"")</f>
        <v>2000000</v>
      </c>
      <c r="F538" s="7">
        <f>IFERROR(INDEX('Master data'!$B$2:$CL$1000,MATCH($B538,'Master data'!$A$2:$A$1000,0),MATCH(F$1,'Master data'!$B$1:$CL$1,0)),"")</f>
        <v>10642.479953060825</v>
      </c>
      <c r="G538" s="7">
        <f>IFERROR(INDEX('Master data'!$B$2:$CL$1000,MATCH($B538,'Master data'!$A$2:$A$1000,0),MATCH(G$1,'Master data'!$B$1:$CL$1,0)),"")</f>
        <v>8836.3977833940116</v>
      </c>
      <c r="H538" s="7">
        <f>IFERROR(INDEX('Master data'!$B$2:$CL$1000,MATCH($B538,'Master data'!$A$2:$A$1000,0),MATCH(H$1,'Master data'!$B$1:$CL$1,0)),"")</f>
        <v>2938.8214288967656</v>
      </c>
      <c r="I538" s="7">
        <f>IFERROR(INDEX('Master data'!$B$2:$CL$1000,MATCH($B538,'Master data'!$A$2:$A$1000,0),MATCH(I$1,'Master data'!$B$1:$CL$1,0)),"")</f>
        <v>-6283.687109601753</v>
      </c>
      <c r="J538" s="7">
        <f>IFERROR(INDEX('Master data'!$B$2:$CL$1000,MATCH($B538,'Master data'!$A$2:$A$1000,0),MATCH(J$1,'Master data'!$B$1:$CL$1,0)),"")</f>
        <v>-3104.4811168647302</v>
      </c>
      <c r="K538" s="7">
        <f>IFERROR(INDEX('Master data'!$B$2:$CL$1000,MATCH($B538,'Master data'!$A$2:$A$1000,0),MATCH(K$1,'Master data'!$B$1:$CL$1,0)),"")</f>
        <v>-1508.4848972111786</v>
      </c>
      <c r="L538" s="7">
        <f>IFERROR(INDEX('Master data'!$B$2:$CL$1000,MATCH($B538,'Master data'!$A$2:$A$1000,0),MATCH(L$1,'Master data'!$B$1:$CL$1,0)),"")</f>
        <v>-690.13397841080439</v>
      </c>
      <c r="M538" s="5">
        <f>IFERROR(INDEX('Master data'!$B$2:$CL$1000,MATCH($B538,'Master data'!$A$2:$A$1000,0),MATCH(M$1,'Master data'!$B$1:$CL$1,0)),"")</f>
        <v>15105.254499616352</v>
      </c>
      <c r="N538" s="28">
        <f>IFERROR(INDEX('Master data'!$B$2:$CL$1000,MATCH($B538,'Master data'!$A$2:$A$1000,0),MATCH(N$1,'Master data'!$B$1:$CL$1,0)),"")</f>
        <v>1.1208849582675802E-2</v>
      </c>
      <c r="O538" s="7">
        <f>IFERROR(INDEX('Master data'!$B$2:$CL$1000,MATCH($B538,'Master data'!$A$2:$A$1000,0),MATCH(O$1,'Master data'!$B$1:$CL$1,0)),"")</f>
        <v>0</v>
      </c>
      <c r="P538" s="5">
        <f>IFERROR(INDEX('Master data'!$B$2:$CL$1000,MATCH($B538,'Master data'!$A$2:$A$1000,0),MATCH(P$1,'Master data'!$B$1:$CL$1,0)),"")</f>
        <v>2000000</v>
      </c>
      <c r="Q538" s="5">
        <f>IFERROR(INDEX('Master data'!$B$2:$CL$1000,MATCH($B538,'Master data'!$A$2:$A$1000,0),MATCH(Q$1,'Master data'!$B$1:$CL$1,0)),"")</f>
        <v>2000000</v>
      </c>
    </row>
    <row r="539" spans="1:17" hidden="1">
      <c r="A539">
        <f t="shared" si="8"/>
        <v>537</v>
      </c>
      <c r="B539" t="str">
        <f>IF('Master data'!A539="","",'Master data'!A539)</f>
        <v>Chris Gunter</v>
      </c>
      <c r="C539" t="str">
        <f>IFERROR(INDEX('Master data'!$B$2:$CL$1000,MATCH($B539,'Master data'!$A$2:$A$1000,0),MATCH(C$1,'Master data'!$B$1:$CL$1,0)),"")</f>
        <v>Wales</v>
      </c>
      <c r="D539" t="str">
        <f>IFERROR(INDEX('Master data'!$B$2:$CL$1000,MATCH($B539,'Master data'!$A$2:$A$1000,0),MATCH(D$1,'Master data'!$B$1:$CL$1,0)),"")</f>
        <v>Defense</v>
      </c>
      <c r="E539" s="5">
        <f>IFERROR(INDEX('Master data'!$B$2:$CL$1000,MATCH($B539,'Master data'!$A$2:$A$1000,0),MATCH(E$1,'Master data'!$B$1:$CL$1,0)),"")</f>
        <v>2500000</v>
      </c>
      <c r="F539" s="7">
        <f>IFERROR(INDEX('Master data'!$B$2:$CL$1000,MATCH($B539,'Master data'!$A$2:$A$1000,0),MATCH(F$1,'Master data'!$B$1:$CL$1,0)),"")</f>
        <v>10642.479953060825</v>
      </c>
      <c r="G539" s="7">
        <f>IFERROR(INDEX('Master data'!$B$2:$CL$1000,MATCH($B539,'Master data'!$A$2:$A$1000,0),MATCH(G$1,'Master data'!$B$1:$CL$1,0)),"")</f>
        <v>8836.3977833940116</v>
      </c>
      <c r="H539" s="7">
        <f>IFERROR(INDEX('Master data'!$B$2:$CL$1000,MATCH($B539,'Master data'!$A$2:$A$1000,0),MATCH(H$1,'Master data'!$B$1:$CL$1,0)),"")</f>
        <v>2938.8214288967656</v>
      </c>
      <c r="I539" s="7">
        <f>IFERROR(INDEX('Master data'!$B$2:$CL$1000,MATCH($B539,'Master data'!$A$2:$A$1000,0),MATCH(I$1,'Master data'!$B$1:$CL$1,0)),"")</f>
        <v>-8747.5668911971079</v>
      </c>
      <c r="J539" s="7">
        <f>IFERROR(INDEX('Master data'!$B$2:$CL$1000,MATCH($B539,'Master data'!$A$2:$A$1000,0),MATCH(J$1,'Master data'!$B$1:$CL$1,0)),"")</f>
        <v>-4314.6790456492972</v>
      </c>
      <c r="K539" s="7">
        <f>IFERROR(INDEX('Master data'!$B$2:$CL$1000,MATCH($B539,'Master data'!$A$2:$A$1000,0),MATCH(K$1,'Master data'!$B$1:$CL$1,0)),"")</f>
        <v>-2093.1208385323002</v>
      </c>
      <c r="L539" s="7">
        <f>IFERROR(INDEX('Master data'!$B$2:$CL$1000,MATCH($B539,'Master data'!$A$2:$A$1000,0),MATCH(L$1,'Master data'!$B$1:$CL$1,0)),"")</f>
        <v>-956.06541932170853</v>
      </c>
      <c r="M539" s="5">
        <f>IFERROR(INDEX('Master data'!$B$2:$CL$1000,MATCH($B539,'Master data'!$A$2:$A$1000,0),MATCH(M$1,'Master data'!$B$1:$CL$1,0)),"")</f>
        <v>14035.828989116077</v>
      </c>
      <c r="N539" s="28">
        <f>IFERROR(INDEX('Master data'!$B$2:$CL$1000,MATCH($B539,'Master data'!$A$2:$A$1000,0),MATCH(N$1,'Master data'!$B$1:$CL$1,0)),"")</f>
        <v>8.9670796661406402E-3</v>
      </c>
      <c r="O539" s="7">
        <f>IFERROR(INDEX('Master data'!$B$2:$CL$1000,MATCH($B539,'Master data'!$A$2:$A$1000,0),MATCH(O$1,'Master data'!$B$1:$CL$1,0)),"")</f>
        <v>0</v>
      </c>
      <c r="P539" s="5">
        <f>IFERROR(INDEX('Master data'!$B$2:$CL$1000,MATCH($B539,'Master data'!$A$2:$A$1000,0),MATCH(P$1,'Master data'!$B$1:$CL$1,0)),"")</f>
        <v>2500000</v>
      </c>
      <c r="Q539" s="5">
        <f>IFERROR(INDEX('Master data'!$B$2:$CL$1000,MATCH($B539,'Master data'!$A$2:$A$1000,0),MATCH(Q$1,'Master data'!$B$1:$CL$1,0)),"")</f>
        <v>2500000</v>
      </c>
    </row>
    <row r="540" spans="1:17" hidden="1">
      <c r="A540">
        <f t="shared" si="8"/>
        <v>538</v>
      </c>
      <c r="B540" t="str">
        <f>IF('Master data'!A540="","",'Master data'!A540)</f>
        <v>Rubin Colwill</v>
      </c>
      <c r="C540" t="str">
        <f>IFERROR(INDEX('Master data'!$B$2:$CL$1000,MATCH($B540,'Master data'!$A$2:$A$1000,0),MATCH(C$1,'Master data'!$B$1:$CL$1,0)),"")</f>
        <v>Wales</v>
      </c>
      <c r="D540" t="str">
        <f>IFERROR(INDEX('Master data'!$B$2:$CL$1000,MATCH($B540,'Master data'!$A$2:$A$1000,0),MATCH(D$1,'Master data'!$B$1:$CL$1,0)),"")</f>
        <v>Midfield</v>
      </c>
      <c r="E540" s="5">
        <f>IFERROR(INDEX('Master data'!$B$2:$CL$1000,MATCH($B540,'Master data'!$A$2:$A$1000,0),MATCH(E$1,'Master data'!$B$1:$CL$1,0)),"")</f>
        <v>2000000</v>
      </c>
      <c r="F540" s="7">
        <f>IFERROR(INDEX('Master data'!$B$2:$CL$1000,MATCH($B540,'Master data'!$A$2:$A$1000,0),MATCH(F$1,'Master data'!$B$1:$CL$1,0)),"")</f>
        <v>-5000</v>
      </c>
      <c r="G540" s="7">
        <f>IFERROR(INDEX('Master data'!$B$2:$CL$1000,MATCH($B540,'Master data'!$A$2:$A$1000,0),MATCH(G$1,'Master data'!$B$1:$CL$1,0)),"")</f>
        <v>-5000</v>
      </c>
      <c r="H540" s="7">
        <f>IFERROR(INDEX('Master data'!$B$2:$CL$1000,MATCH($B540,'Master data'!$A$2:$A$1000,0),MATCH(H$1,'Master data'!$B$1:$CL$1,0)),"")</f>
        <v>-5000</v>
      </c>
      <c r="I540" s="7">
        <f>IFERROR(INDEX('Master data'!$B$2:$CL$1000,MATCH($B540,'Master data'!$A$2:$A$1000,0),MATCH(I$1,'Master data'!$B$1:$CL$1,0)),"")</f>
        <v>-12245.482514528911</v>
      </c>
      <c r="J540" s="7">
        <f>IFERROR(INDEX('Master data'!$B$2:$CL$1000,MATCH($B540,'Master data'!$A$2:$A$1000,0),MATCH(J$1,'Master data'!$B$1:$CL$1,0)),"")</f>
        <v>-6002.5817267714519</v>
      </c>
      <c r="K540" s="7">
        <f>IFERROR(INDEX('Master data'!$B$2:$CL$1000,MATCH($B540,'Master data'!$A$2:$A$1000,0),MATCH(K$1,'Master data'!$B$1:$CL$1,0)),"")</f>
        <v>-2893.9479095395504</v>
      </c>
      <c r="L540" s="7">
        <f>IFERROR(INDEX('Master data'!$B$2:$CL$1000,MATCH($B540,'Master data'!$A$2:$A$1000,0),MATCH(L$1,'Master data'!$B$1:$CL$1,0)),"")</f>
        <v>-1313.7013180998656</v>
      </c>
      <c r="M540" s="5">
        <f>IFERROR(INDEX('Master data'!$B$2:$CL$1000,MATCH($B540,'Master data'!$A$2:$A$1000,0),MATCH(M$1,'Master data'!$B$1:$CL$1,0)),"")</f>
        <v>-15865.969650847081</v>
      </c>
      <c r="N540" s="28">
        <f>IFERROR(INDEX('Master data'!$B$2:$CL$1000,MATCH($B540,'Master data'!$A$2:$A$1000,0),MATCH(N$1,'Master data'!$B$1:$CL$1,0)),"")</f>
        <v>-7.4999999999999997E-3</v>
      </c>
      <c r="O540" s="7">
        <f>IFERROR(INDEX('Master data'!$B$2:$CL$1000,MATCH($B540,'Master data'!$A$2:$A$1000,0),MATCH(O$1,'Master data'!$B$1:$CL$1,0)),"")</f>
        <v>0</v>
      </c>
      <c r="P540" s="5">
        <f>IFERROR(INDEX('Master data'!$B$2:$CL$1000,MATCH($B540,'Master data'!$A$2:$A$1000,0),MATCH(P$1,'Master data'!$B$1:$CL$1,0)),"")</f>
        <v>2000000</v>
      </c>
      <c r="Q540" s="5">
        <f>IFERROR(INDEX('Master data'!$B$2:$CL$1000,MATCH($B540,'Master data'!$A$2:$A$1000,0),MATCH(Q$1,'Master data'!$B$1:$CL$1,0)),"")</f>
        <v>2000000</v>
      </c>
    </row>
    <row r="541" spans="1:17" hidden="1">
      <c r="A541">
        <f t="shared" si="8"/>
        <v>539</v>
      </c>
      <c r="B541" t="str">
        <f>IF('Master data'!A541="","",'Master data'!A541)</f>
        <v>Dylan Levitt</v>
      </c>
      <c r="C541" t="str">
        <f>IFERROR(INDEX('Master data'!$B$2:$CL$1000,MATCH($B541,'Master data'!$A$2:$A$1000,0),MATCH(C$1,'Master data'!$B$1:$CL$1,0)),"")</f>
        <v>Wales</v>
      </c>
      <c r="D541" t="str">
        <f>IFERROR(INDEX('Master data'!$B$2:$CL$1000,MATCH($B541,'Master data'!$A$2:$A$1000,0),MATCH(D$1,'Master data'!$B$1:$CL$1,0)),"")</f>
        <v>Midfield</v>
      </c>
      <c r="E541" s="5">
        <f>IFERROR(INDEX('Master data'!$B$2:$CL$1000,MATCH($B541,'Master data'!$A$2:$A$1000,0),MATCH(E$1,'Master data'!$B$1:$CL$1,0)),"")</f>
        <v>2500000</v>
      </c>
      <c r="F541" s="7">
        <f>IFERROR(INDEX('Master data'!$B$2:$CL$1000,MATCH($B541,'Master data'!$A$2:$A$1000,0),MATCH(F$1,'Master data'!$B$1:$CL$1,0)),"")</f>
        <v>-5000</v>
      </c>
      <c r="G541" s="7">
        <f>IFERROR(INDEX('Master data'!$B$2:$CL$1000,MATCH($B541,'Master data'!$A$2:$A$1000,0),MATCH(G$1,'Master data'!$B$1:$CL$1,0)),"")</f>
        <v>-5000</v>
      </c>
      <c r="H541" s="7">
        <f>IFERROR(INDEX('Master data'!$B$2:$CL$1000,MATCH($B541,'Master data'!$A$2:$A$1000,0),MATCH(H$1,'Master data'!$B$1:$CL$1,0)),"")</f>
        <v>-5000</v>
      </c>
      <c r="I541" s="7">
        <f>IFERROR(INDEX('Master data'!$B$2:$CL$1000,MATCH($B541,'Master data'!$A$2:$A$1000,0),MATCH(I$1,'Master data'!$B$1:$CL$1,0)),"")</f>
        <v>-14709.362296124265</v>
      </c>
      <c r="J541" s="7">
        <f>IFERROR(INDEX('Master data'!$B$2:$CL$1000,MATCH($B541,'Master data'!$A$2:$A$1000,0),MATCH(J$1,'Master data'!$B$1:$CL$1,0)),"")</f>
        <v>-7212.779655556018</v>
      </c>
      <c r="K541" s="7">
        <f>IFERROR(INDEX('Master data'!$B$2:$CL$1000,MATCH($B541,'Master data'!$A$2:$A$1000,0),MATCH(K$1,'Master data'!$B$1:$CL$1,0)),"")</f>
        <v>-3478.5838508606716</v>
      </c>
      <c r="L541" s="7">
        <f>IFERROR(INDEX('Master data'!$B$2:$CL$1000,MATCH($B541,'Master data'!$A$2:$A$1000,0),MATCH(L$1,'Master data'!$B$1:$CL$1,0)),"")</f>
        <v>-1579.6327590107696</v>
      </c>
      <c r="M541" s="5">
        <f>IFERROR(INDEX('Master data'!$B$2:$CL$1000,MATCH($B541,'Master data'!$A$2:$A$1000,0),MATCH(M$1,'Master data'!$B$1:$CL$1,0)),"")</f>
        <v>-16935.395161347355</v>
      </c>
      <c r="N541" s="28">
        <f>IFERROR(INDEX('Master data'!$B$2:$CL$1000,MATCH($B541,'Master data'!$A$2:$A$1000,0),MATCH(N$1,'Master data'!$B$1:$CL$1,0)),"")</f>
        <v>-6.0000000000000001E-3</v>
      </c>
      <c r="O541" s="7">
        <f>IFERROR(INDEX('Master data'!$B$2:$CL$1000,MATCH($B541,'Master data'!$A$2:$A$1000,0),MATCH(O$1,'Master data'!$B$1:$CL$1,0)),"")</f>
        <v>0</v>
      </c>
      <c r="P541" s="5">
        <f>IFERROR(INDEX('Master data'!$B$2:$CL$1000,MATCH($B541,'Master data'!$A$2:$A$1000,0),MATCH(P$1,'Master data'!$B$1:$CL$1,0)),"")</f>
        <v>2500000</v>
      </c>
      <c r="Q541" s="5">
        <f>IFERROR(INDEX('Master data'!$B$2:$CL$1000,MATCH($B541,'Master data'!$A$2:$A$1000,0),MATCH(Q$1,'Master data'!$B$1:$CL$1,0)),"")</f>
        <v>2500000</v>
      </c>
    </row>
    <row r="542" spans="1:17" hidden="1">
      <c r="A542">
        <f t="shared" si="8"/>
        <v>540</v>
      </c>
      <c r="B542" t="str">
        <f>IF('Master data'!A542="","",'Master data'!A542)</f>
        <v>Matthew Smith</v>
      </c>
      <c r="C542" t="str">
        <f>IFERROR(INDEX('Master data'!$B$2:$CL$1000,MATCH($B542,'Master data'!$A$2:$A$1000,0),MATCH(C$1,'Master data'!$B$1:$CL$1,0)),"")</f>
        <v>Wales</v>
      </c>
      <c r="D542" t="str">
        <f>IFERROR(INDEX('Master data'!$B$2:$CL$1000,MATCH($B542,'Master data'!$A$2:$A$1000,0),MATCH(D$1,'Master data'!$B$1:$CL$1,0)),"")</f>
        <v>Midfield</v>
      </c>
      <c r="E542" s="5">
        <f>IFERROR(INDEX('Master data'!$B$2:$CL$1000,MATCH($B542,'Master data'!$A$2:$A$1000,0),MATCH(E$1,'Master data'!$B$1:$CL$1,0)),"")</f>
        <v>2000000</v>
      </c>
      <c r="F542" s="7">
        <f>IFERROR(INDEX('Master data'!$B$2:$CL$1000,MATCH($B542,'Master data'!$A$2:$A$1000,0),MATCH(F$1,'Master data'!$B$1:$CL$1,0)),"")</f>
        <v>-5000</v>
      </c>
      <c r="G542" s="7">
        <f>IFERROR(INDEX('Master data'!$B$2:$CL$1000,MATCH($B542,'Master data'!$A$2:$A$1000,0),MATCH(G$1,'Master data'!$B$1:$CL$1,0)),"")</f>
        <v>-5000</v>
      </c>
      <c r="H542" s="7">
        <f>IFERROR(INDEX('Master data'!$B$2:$CL$1000,MATCH($B542,'Master data'!$A$2:$A$1000,0),MATCH(H$1,'Master data'!$B$1:$CL$1,0)),"")</f>
        <v>-5000</v>
      </c>
      <c r="I542" s="7">
        <f>IFERROR(INDEX('Master data'!$B$2:$CL$1000,MATCH($B542,'Master data'!$A$2:$A$1000,0),MATCH(I$1,'Master data'!$B$1:$CL$1,0)),"")</f>
        <v>-12245.482514528911</v>
      </c>
      <c r="J542" s="7">
        <f>IFERROR(INDEX('Master data'!$B$2:$CL$1000,MATCH($B542,'Master data'!$A$2:$A$1000,0),MATCH(J$1,'Master data'!$B$1:$CL$1,0)),"")</f>
        <v>-6002.5817267714519</v>
      </c>
      <c r="K542" s="7">
        <f>IFERROR(INDEX('Master data'!$B$2:$CL$1000,MATCH($B542,'Master data'!$A$2:$A$1000,0),MATCH(K$1,'Master data'!$B$1:$CL$1,0)),"")</f>
        <v>-2893.9479095395504</v>
      </c>
      <c r="L542" s="7">
        <f>IFERROR(INDEX('Master data'!$B$2:$CL$1000,MATCH($B542,'Master data'!$A$2:$A$1000,0),MATCH(L$1,'Master data'!$B$1:$CL$1,0)),"")</f>
        <v>-1313.7013180998656</v>
      </c>
      <c r="M542" s="5">
        <f>IFERROR(INDEX('Master data'!$B$2:$CL$1000,MATCH($B542,'Master data'!$A$2:$A$1000,0),MATCH(M$1,'Master data'!$B$1:$CL$1,0)),"")</f>
        <v>-15865.969650847081</v>
      </c>
      <c r="N542" s="28">
        <f>IFERROR(INDEX('Master data'!$B$2:$CL$1000,MATCH($B542,'Master data'!$A$2:$A$1000,0),MATCH(N$1,'Master data'!$B$1:$CL$1,0)),"")</f>
        <v>-7.4999999999999997E-3</v>
      </c>
      <c r="O542" s="7">
        <f>IFERROR(INDEX('Master data'!$B$2:$CL$1000,MATCH($B542,'Master data'!$A$2:$A$1000,0),MATCH(O$1,'Master data'!$B$1:$CL$1,0)),"")</f>
        <v>0</v>
      </c>
      <c r="P542" s="5">
        <f>IFERROR(INDEX('Master data'!$B$2:$CL$1000,MATCH($B542,'Master data'!$A$2:$A$1000,0),MATCH(P$1,'Master data'!$B$1:$CL$1,0)),"")</f>
        <v>2000000</v>
      </c>
      <c r="Q542" s="5">
        <f>IFERROR(INDEX('Master data'!$B$2:$CL$1000,MATCH($B542,'Master data'!$A$2:$A$1000,0),MATCH(Q$1,'Master data'!$B$1:$CL$1,0)),"")</f>
        <v>2000000</v>
      </c>
    </row>
    <row r="543" spans="1:17" hidden="1">
      <c r="A543">
        <f t="shared" si="8"/>
        <v>541</v>
      </c>
      <c r="B543" t="str">
        <f>IF('Master data'!A543="","",'Master data'!A543)</f>
        <v>Joe Morrell</v>
      </c>
      <c r="C543" t="str">
        <f>IFERROR(INDEX('Master data'!$B$2:$CL$1000,MATCH($B543,'Master data'!$A$2:$A$1000,0),MATCH(C$1,'Master data'!$B$1:$CL$1,0)),"")</f>
        <v>Wales</v>
      </c>
      <c r="D543" t="str">
        <f>IFERROR(INDEX('Master data'!$B$2:$CL$1000,MATCH($B543,'Master data'!$A$2:$A$1000,0),MATCH(D$1,'Master data'!$B$1:$CL$1,0)),"")</f>
        <v>Midfield</v>
      </c>
      <c r="E543" s="5">
        <f>IFERROR(INDEX('Master data'!$B$2:$CL$1000,MATCH($B543,'Master data'!$A$2:$A$1000,0),MATCH(E$1,'Master data'!$B$1:$CL$1,0)),"")</f>
        <v>2500000</v>
      </c>
      <c r="F543" s="7">
        <f>IFERROR(INDEX('Master data'!$B$2:$CL$1000,MATCH($B543,'Master data'!$A$2:$A$1000,0),MATCH(F$1,'Master data'!$B$1:$CL$1,0)),"")</f>
        <v>-5000</v>
      </c>
      <c r="G543" s="7">
        <f>IFERROR(INDEX('Master data'!$B$2:$CL$1000,MATCH($B543,'Master data'!$A$2:$A$1000,0),MATCH(G$1,'Master data'!$B$1:$CL$1,0)),"")</f>
        <v>-5000</v>
      </c>
      <c r="H543" s="7">
        <f>IFERROR(INDEX('Master data'!$B$2:$CL$1000,MATCH($B543,'Master data'!$A$2:$A$1000,0),MATCH(H$1,'Master data'!$B$1:$CL$1,0)),"")</f>
        <v>-5000</v>
      </c>
      <c r="I543" s="7">
        <f>IFERROR(INDEX('Master data'!$B$2:$CL$1000,MATCH($B543,'Master data'!$A$2:$A$1000,0),MATCH(I$1,'Master data'!$B$1:$CL$1,0)),"")</f>
        <v>-14709.362296124265</v>
      </c>
      <c r="J543" s="7">
        <f>IFERROR(INDEX('Master data'!$B$2:$CL$1000,MATCH($B543,'Master data'!$A$2:$A$1000,0),MATCH(J$1,'Master data'!$B$1:$CL$1,0)),"")</f>
        <v>-7212.779655556018</v>
      </c>
      <c r="K543" s="7">
        <f>IFERROR(INDEX('Master data'!$B$2:$CL$1000,MATCH($B543,'Master data'!$A$2:$A$1000,0),MATCH(K$1,'Master data'!$B$1:$CL$1,0)),"")</f>
        <v>-3478.5838508606716</v>
      </c>
      <c r="L543" s="7">
        <f>IFERROR(INDEX('Master data'!$B$2:$CL$1000,MATCH($B543,'Master data'!$A$2:$A$1000,0),MATCH(L$1,'Master data'!$B$1:$CL$1,0)),"")</f>
        <v>-1579.6327590107696</v>
      </c>
      <c r="M543" s="5">
        <f>IFERROR(INDEX('Master data'!$B$2:$CL$1000,MATCH($B543,'Master data'!$A$2:$A$1000,0),MATCH(M$1,'Master data'!$B$1:$CL$1,0)),"")</f>
        <v>-16935.395161347355</v>
      </c>
      <c r="N543" s="28">
        <f>IFERROR(INDEX('Master data'!$B$2:$CL$1000,MATCH($B543,'Master data'!$A$2:$A$1000,0),MATCH(N$1,'Master data'!$B$1:$CL$1,0)),"")</f>
        <v>-6.0000000000000001E-3</v>
      </c>
      <c r="O543" s="7">
        <f>IFERROR(INDEX('Master data'!$B$2:$CL$1000,MATCH($B543,'Master data'!$A$2:$A$1000,0),MATCH(O$1,'Master data'!$B$1:$CL$1,0)),"")</f>
        <v>0</v>
      </c>
      <c r="P543" s="5">
        <f>IFERROR(INDEX('Master data'!$B$2:$CL$1000,MATCH($B543,'Master data'!$A$2:$A$1000,0),MATCH(P$1,'Master data'!$B$1:$CL$1,0)),"")</f>
        <v>2500000</v>
      </c>
      <c r="Q543" s="5">
        <f>IFERROR(INDEX('Master data'!$B$2:$CL$1000,MATCH($B543,'Master data'!$A$2:$A$1000,0),MATCH(Q$1,'Master data'!$B$1:$CL$1,0)),"")</f>
        <v>2500000</v>
      </c>
    </row>
    <row r="544" spans="1:17" hidden="1">
      <c r="A544">
        <f t="shared" si="8"/>
        <v>542</v>
      </c>
      <c r="B544" t="str">
        <f>IF('Master data'!A544="","",'Master data'!A544)</f>
        <v>Karl-Johan Johnsson</v>
      </c>
      <c r="C544" t="str">
        <f>IFERROR(INDEX('Master data'!$B$2:$CL$1000,MATCH($B544,'Master data'!$A$2:$A$1000,0),MATCH(C$1,'Master data'!$B$1:$CL$1,0)),"")</f>
        <v>Sweden</v>
      </c>
      <c r="D544" t="str">
        <f>IFERROR(INDEX('Master data'!$B$2:$CL$1000,MATCH($B544,'Master data'!$A$2:$A$1000,0),MATCH(D$1,'Master data'!$B$1:$CL$1,0)),"")</f>
        <v>Goalkeeper</v>
      </c>
      <c r="E544" s="5">
        <f>IFERROR(INDEX('Master data'!$B$2:$CL$1000,MATCH($B544,'Master data'!$A$2:$A$1000,0),MATCH(E$1,'Master data'!$B$1:$CL$1,0)),"")</f>
        <v>3500000</v>
      </c>
      <c r="F544" s="7">
        <f>IFERROR(INDEX('Master data'!$B$2:$CL$1000,MATCH($B544,'Master data'!$A$2:$A$1000,0),MATCH(F$1,'Master data'!$B$1:$CL$1,0)),"")</f>
        <v>25522.930539119367</v>
      </c>
      <c r="G544" s="7">
        <f>IFERROR(INDEX('Master data'!$B$2:$CL$1000,MATCH($B544,'Master data'!$A$2:$A$1000,0),MATCH(G$1,'Master data'!$B$1:$CL$1,0)),"")</f>
        <v>36570.300290938998</v>
      </c>
      <c r="H544" s="7">
        <f>IFERROR(INDEX('Master data'!$B$2:$CL$1000,MATCH($B544,'Master data'!$A$2:$A$1000,0),MATCH(H$1,'Master data'!$B$1:$CL$1,0)),"")</f>
        <v>29297.609475266312</v>
      </c>
      <c r="I544" s="7">
        <f>IFERROR(INDEX('Master data'!$B$2:$CL$1000,MATCH($B544,'Master data'!$A$2:$A$1000,0),MATCH(I$1,'Master data'!$B$1:$CL$1,0)),"")</f>
        <v>-3569.4807025827495</v>
      </c>
      <c r="J544" s="7">
        <f>IFERROR(INDEX('Master data'!$B$2:$CL$1000,MATCH($B544,'Master data'!$A$2:$A$1000,0),MATCH(J$1,'Master data'!$B$1:$CL$1,0)),"")</f>
        <v>-1853.8952138232844</v>
      </c>
      <c r="K544" s="7">
        <f>IFERROR(INDEX('Master data'!$B$2:$CL$1000,MATCH($B544,'Master data'!$A$2:$A$1000,0),MATCH(K$1,'Master data'!$B$1:$CL$1,0)),"")</f>
        <v>-945.69033087716275</v>
      </c>
      <c r="L544" s="7">
        <f>IFERROR(INDEX('Master data'!$B$2:$CL$1000,MATCH($B544,'Master data'!$A$2:$A$1000,0),MATCH(L$1,'Master data'!$B$1:$CL$1,0)),"")</f>
        <v>-455.54754670481725</v>
      </c>
      <c r="M544" s="5">
        <f>IFERROR(INDEX('Master data'!$B$2:$CL$1000,MATCH($B544,'Master data'!$A$2:$A$1000,0),MATCH(M$1,'Master data'!$B$1:$CL$1,0)),"")</f>
        <v>61335.936511795495</v>
      </c>
      <c r="N544" s="28">
        <f>IFERROR(INDEX('Master data'!$B$2:$CL$1000,MATCH($B544,'Master data'!$A$2:$A$1000,0),MATCH(N$1,'Master data'!$B$1:$CL$1,0)),"")</f>
        <v>2.6111668658664194E-2</v>
      </c>
      <c r="O544" s="7">
        <f>IFERROR(INDEX('Master data'!$B$2:$CL$1000,MATCH($B544,'Master data'!$A$2:$A$1000,0),MATCH(O$1,'Master data'!$B$1:$CL$1,0)),"")</f>
        <v>0</v>
      </c>
      <c r="P544" s="5">
        <f>IFERROR(INDEX('Master data'!$B$2:$CL$1000,MATCH($B544,'Master data'!$A$2:$A$1000,0),MATCH(P$1,'Master data'!$B$1:$CL$1,0)),"")</f>
        <v>3500000</v>
      </c>
      <c r="Q544" s="5">
        <f>IFERROR(INDEX('Master data'!$B$2:$CL$1000,MATCH($B544,'Master data'!$A$2:$A$1000,0),MATCH(Q$1,'Master data'!$B$1:$CL$1,0)),"")</f>
        <v>3500000</v>
      </c>
    </row>
    <row r="545" spans="1:17" hidden="1">
      <c r="A545">
        <f t="shared" si="8"/>
        <v>543</v>
      </c>
      <c r="B545" t="str">
        <f>IF('Master data'!A545="","",'Master data'!A545)</f>
        <v>Kristoffer Nordfeldt</v>
      </c>
      <c r="C545" t="str">
        <f>IFERROR(INDEX('Master data'!$B$2:$CL$1000,MATCH($B545,'Master data'!$A$2:$A$1000,0),MATCH(C$1,'Master data'!$B$1:$CL$1,0)),"")</f>
        <v>Sweden</v>
      </c>
      <c r="D545" t="str">
        <f>IFERROR(INDEX('Master data'!$B$2:$CL$1000,MATCH($B545,'Master data'!$A$2:$A$1000,0),MATCH(D$1,'Master data'!$B$1:$CL$1,0)),"")</f>
        <v>Goalkeeper</v>
      </c>
      <c r="E545" s="5">
        <f>IFERROR(INDEX('Master data'!$B$2:$CL$1000,MATCH($B545,'Master data'!$A$2:$A$1000,0),MATCH(E$1,'Master data'!$B$1:$CL$1,0)),"")</f>
        <v>4500000</v>
      </c>
      <c r="F545" s="7">
        <f>IFERROR(INDEX('Master data'!$B$2:$CL$1000,MATCH($B545,'Master data'!$A$2:$A$1000,0),MATCH(F$1,'Master data'!$B$1:$CL$1,0)),"")</f>
        <v>23633.535156195947</v>
      </c>
      <c r="G545" s="7">
        <f>IFERROR(INDEX('Master data'!$B$2:$CL$1000,MATCH($B545,'Master data'!$A$2:$A$1000,0),MATCH(G$1,'Master data'!$B$1:$CL$1,0)),"")</f>
        <v>66790.109629825252</v>
      </c>
      <c r="H545" s="7">
        <f>IFERROR(INDEX('Master data'!$B$2:$CL$1000,MATCH($B545,'Master data'!$A$2:$A$1000,0),MATCH(H$1,'Master data'!$B$1:$CL$1,0)),"")</f>
        <v>49985.431273313989</v>
      </c>
      <c r="I545" s="7">
        <f>IFERROR(INDEX('Master data'!$B$2:$CL$1000,MATCH($B545,'Master data'!$A$2:$A$1000,0),MATCH(I$1,'Master data'!$B$1:$CL$1,0)),"")</f>
        <v>261.26830528659866</v>
      </c>
      <c r="J545" s="7">
        <f>IFERROR(INDEX('Master data'!$B$2:$CL$1000,MATCH($B545,'Master data'!$A$2:$A$1000,0),MATCH(J$1,'Master data'!$B$1:$CL$1,0)),"")</f>
        <v>-22.258496751831881</v>
      </c>
      <c r="K545" s="7">
        <f>IFERROR(INDEX('Master data'!$B$2:$CL$1000,MATCH($B545,'Master data'!$A$2:$A$1000,0),MATCH(K$1,'Master data'!$B$1:$CL$1,0)),"")</f>
        <v>-83.826907765896905</v>
      </c>
      <c r="L545" s="7">
        <f>IFERROR(INDEX('Master data'!$B$2:$CL$1000,MATCH($B545,'Master data'!$A$2:$A$1000,0),MATCH(L$1,'Master data'!$B$1:$CL$1,0)),"")</f>
        <v>-71.948742007272571</v>
      </c>
      <c r="M545" s="5">
        <f>IFERROR(INDEX('Master data'!$B$2:$CL$1000,MATCH($B545,'Master data'!$A$2:$A$1000,0),MATCH(M$1,'Master data'!$B$1:$CL$1,0)),"")</f>
        <v>90431.682811099163</v>
      </c>
      <c r="N545" s="28">
        <f>IFERROR(INDEX('Master data'!$B$2:$CL$1000,MATCH($B545,'Master data'!$A$2:$A$1000,0),MATCH(N$1,'Master data'!$B$1:$CL$1,0)),"")</f>
        <v>3.1202016902074491E-2</v>
      </c>
      <c r="O545" s="7">
        <f>IFERROR(INDEX('Master data'!$B$2:$CL$1000,MATCH($B545,'Master data'!$A$2:$A$1000,0),MATCH(O$1,'Master data'!$B$1:$CL$1,0)),"")</f>
        <v>0</v>
      </c>
      <c r="P545" s="5">
        <f>IFERROR(INDEX('Master data'!$B$2:$CL$1000,MATCH($B545,'Master data'!$A$2:$A$1000,0),MATCH(P$1,'Master data'!$B$1:$CL$1,0)),"")</f>
        <v>4500000</v>
      </c>
      <c r="Q545" s="5">
        <f>IFERROR(INDEX('Master data'!$B$2:$CL$1000,MATCH($B545,'Master data'!$A$2:$A$1000,0),MATCH(Q$1,'Master data'!$B$1:$CL$1,0)),"")</f>
        <v>4500000</v>
      </c>
    </row>
    <row r="546" spans="1:17" hidden="1">
      <c r="A546">
        <f t="shared" si="8"/>
        <v>544</v>
      </c>
      <c r="B546" t="str">
        <f>IF('Master data'!A546="","",'Master data'!A546)</f>
        <v>Gustav Svensson</v>
      </c>
      <c r="C546" t="str">
        <f>IFERROR(INDEX('Master data'!$B$2:$CL$1000,MATCH($B546,'Master data'!$A$2:$A$1000,0),MATCH(C$1,'Master data'!$B$1:$CL$1,0)),"")</f>
        <v>Sweden</v>
      </c>
      <c r="D546" t="str">
        <f>IFERROR(INDEX('Master data'!$B$2:$CL$1000,MATCH($B546,'Master data'!$A$2:$A$1000,0),MATCH(D$1,'Master data'!$B$1:$CL$1,0)),"")</f>
        <v>Midfield</v>
      </c>
      <c r="E546" s="5">
        <f>IFERROR(INDEX('Master data'!$B$2:$CL$1000,MATCH($B546,'Master data'!$A$2:$A$1000,0),MATCH(E$1,'Master data'!$B$1:$CL$1,0)),"")</f>
        <v>2000000</v>
      </c>
      <c r="F546" s="7">
        <f>IFERROR(INDEX('Master data'!$B$2:$CL$1000,MATCH($B546,'Master data'!$A$2:$A$1000,0),MATCH(F$1,'Master data'!$B$1:$CL$1,0)),"")</f>
        <v>-5000</v>
      </c>
      <c r="G546" s="7">
        <f>IFERROR(INDEX('Master data'!$B$2:$CL$1000,MATCH($B546,'Master data'!$A$2:$A$1000,0),MATCH(G$1,'Master data'!$B$1:$CL$1,0)),"")</f>
        <v>-5000</v>
      </c>
      <c r="H546" s="7">
        <f>IFERROR(INDEX('Master data'!$B$2:$CL$1000,MATCH($B546,'Master data'!$A$2:$A$1000,0),MATCH(H$1,'Master data'!$B$1:$CL$1,0)),"")</f>
        <v>-5000</v>
      </c>
      <c r="I546" s="7">
        <f>IFERROR(INDEX('Master data'!$B$2:$CL$1000,MATCH($B546,'Master data'!$A$2:$A$1000,0),MATCH(I$1,'Master data'!$B$1:$CL$1,0)),"")</f>
        <v>-16274.641277373905</v>
      </c>
      <c r="J546" s="7">
        <f>IFERROR(INDEX('Master data'!$B$2:$CL$1000,MATCH($B546,'Master data'!$A$2:$A$1000,0),MATCH(J$1,'Master data'!$B$1:$CL$1,0)),"")</f>
        <v>-7989.0793626484456</v>
      </c>
      <c r="K546" s="7">
        <f>IFERROR(INDEX('Master data'!$B$2:$CL$1000,MATCH($B546,'Master data'!$A$2:$A$1000,0),MATCH(K$1,'Master data'!$B$1:$CL$1,0)),"")</f>
        <v>-3862.6249656337559</v>
      </c>
      <c r="L546" s="7">
        <f>IFERROR(INDEX('Master data'!$B$2:$CL$1000,MATCH($B546,'Master data'!$A$2:$A$1000,0),MATCH(L$1,'Master data'!$B$1:$CL$1,0)),"")</f>
        <v>-1768.0177309990693</v>
      </c>
      <c r="M546" s="5">
        <f>IFERROR(INDEX('Master data'!$B$2:$CL$1000,MATCH($B546,'Master data'!$A$2:$A$1000,0),MATCH(M$1,'Master data'!$B$1:$CL$1,0)),"")</f>
        <v>-17619.636592069848</v>
      </c>
      <c r="N546" s="28">
        <f>IFERROR(INDEX('Master data'!$B$2:$CL$1000,MATCH($B546,'Master data'!$A$2:$A$1000,0),MATCH(N$1,'Master data'!$B$1:$CL$1,0)),"")</f>
        <v>-7.4999999999999997E-3</v>
      </c>
      <c r="O546" s="7">
        <f>IFERROR(INDEX('Master data'!$B$2:$CL$1000,MATCH($B546,'Master data'!$A$2:$A$1000,0),MATCH(O$1,'Master data'!$B$1:$CL$1,0)),"")</f>
        <v>0</v>
      </c>
      <c r="P546" s="5">
        <f>IFERROR(INDEX('Master data'!$B$2:$CL$1000,MATCH($B546,'Master data'!$A$2:$A$1000,0),MATCH(P$1,'Master data'!$B$1:$CL$1,0)),"")</f>
        <v>2000000</v>
      </c>
      <c r="Q546" s="5">
        <f>IFERROR(INDEX('Master data'!$B$2:$CL$1000,MATCH($B546,'Master data'!$A$2:$A$1000,0),MATCH(Q$1,'Master data'!$B$1:$CL$1,0)),"")</f>
        <v>2000000</v>
      </c>
    </row>
    <row r="547" spans="1:17" hidden="1">
      <c r="A547">
        <f t="shared" si="8"/>
        <v>545</v>
      </c>
      <c r="B547" t="str">
        <f>IF('Master data'!A547="","",'Master data'!A547)</f>
        <v>Albin Ekdal</v>
      </c>
      <c r="C547" t="str">
        <f>IFERROR(INDEX('Master data'!$B$2:$CL$1000,MATCH($B547,'Master data'!$A$2:$A$1000,0),MATCH(C$1,'Master data'!$B$1:$CL$1,0)),"")</f>
        <v>Sweden</v>
      </c>
      <c r="D547" t="str">
        <f>IFERROR(INDEX('Master data'!$B$2:$CL$1000,MATCH($B547,'Master data'!$A$2:$A$1000,0),MATCH(D$1,'Master data'!$B$1:$CL$1,0)),"")</f>
        <v>Midfield</v>
      </c>
      <c r="E547" s="5">
        <f>IFERROR(INDEX('Master data'!$B$2:$CL$1000,MATCH($B547,'Master data'!$A$2:$A$1000,0),MATCH(E$1,'Master data'!$B$1:$CL$1,0)),"")</f>
        <v>3000000</v>
      </c>
      <c r="F547" s="7">
        <f>IFERROR(INDEX('Master data'!$B$2:$CL$1000,MATCH($B547,'Master data'!$A$2:$A$1000,0),MATCH(F$1,'Master data'!$B$1:$CL$1,0)),"")</f>
        <v>-5000</v>
      </c>
      <c r="G547" s="7">
        <f>IFERROR(INDEX('Master data'!$B$2:$CL$1000,MATCH($B547,'Master data'!$A$2:$A$1000,0),MATCH(G$1,'Master data'!$B$1:$CL$1,0)),"")</f>
        <v>-5000</v>
      </c>
      <c r="H547" s="7">
        <f>IFERROR(INDEX('Master data'!$B$2:$CL$1000,MATCH($B547,'Master data'!$A$2:$A$1000,0),MATCH(H$1,'Master data'!$B$1:$CL$1,0)),"")</f>
        <v>-5000</v>
      </c>
      <c r="I547" s="7">
        <f>IFERROR(INDEX('Master data'!$B$2:$CL$1000,MATCH($B547,'Master data'!$A$2:$A$1000,0),MATCH(I$1,'Master data'!$B$1:$CL$1,0)),"")</f>
        <v>-22823.792696840264</v>
      </c>
      <c r="J547" s="7">
        <f>IFERROR(INDEX('Master data'!$B$2:$CL$1000,MATCH($B547,'Master data'!$A$2:$A$1000,0),MATCH(J$1,'Master data'!$B$1:$CL$1,0)),"")</f>
        <v>-11210.482331458303</v>
      </c>
      <c r="K547" s="7">
        <f>IFERROR(INDEX('Master data'!$B$2:$CL$1000,MATCH($B547,'Master data'!$A$2:$A$1000,0),MATCH(K$1,'Master data'!$B$1:$CL$1,0)),"")</f>
        <v>-5423.2815174049701</v>
      </c>
      <c r="L547" s="7">
        <f>IFERROR(INDEX('Master data'!$B$2:$CL$1000,MATCH($B547,'Master data'!$A$2:$A$1000,0),MATCH(L$1,'Master data'!$B$1:$CL$1,0)),"")</f>
        <v>-2483.8143832254132</v>
      </c>
      <c r="M547" s="5">
        <f>IFERROR(INDEX('Master data'!$B$2:$CL$1000,MATCH($B547,'Master data'!$A$2:$A$1000,0),MATCH(M$1,'Master data'!$B$1:$CL$1,0)),"")</f>
        <v>-20464.811830514125</v>
      </c>
      <c r="N547" s="28">
        <f>IFERROR(INDEX('Master data'!$B$2:$CL$1000,MATCH($B547,'Master data'!$A$2:$A$1000,0),MATCH(N$1,'Master data'!$B$1:$CL$1,0)),"")</f>
        <v>-5.0000000000000001E-3</v>
      </c>
      <c r="O547" s="7">
        <f>IFERROR(INDEX('Master data'!$B$2:$CL$1000,MATCH($B547,'Master data'!$A$2:$A$1000,0),MATCH(O$1,'Master data'!$B$1:$CL$1,0)),"")</f>
        <v>0</v>
      </c>
      <c r="P547" s="5">
        <f>IFERROR(INDEX('Master data'!$B$2:$CL$1000,MATCH($B547,'Master data'!$A$2:$A$1000,0),MATCH(P$1,'Master data'!$B$1:$CL$1,0)),"")</f>
        <v>3000000</v>
      </c>
      <c r="Q547" s="5">
        <f>IFERROR(INDEX('Master data'!$B$2:$CL$1000,MATCH($B547,'Master data'!$A$2:$A$1000,0),MATCH(Q$1,'Master data'!$B$1:$CL$1,0)),"")</f>
        <v>3000000</v>
      </c>
    </row>
    <row r="548" spans="1:17" hidden="1">
      <c r="A548">
        <f t="shared" si="8"/>
        <v>546</v>
      </c>
      <c r="B548" t="str">
        <f>IF('Master data'!A548="","",'Master data'!A548)</f>
        <v>Lukasz Skorupski</v>
      </c>
      <c r="C548" t="str">
        <f>IFERROR(INDEX('Master data'!$B$2:$CL$1000,MATCH($B548,'Master data'!$A$2:$A$1000,0),MATCH(C$1,'Master data'!$B$1:$CL$1,0)),"")</f>
        <v>Poland</v>
      </c>
      <c r="D548" t="str">
        <f>IFERROR(INDEX('Master data'!$B$2:$CL$1000,MATCH($B548,'Master data'!$A$2:$A$1000,0),MATCH(D$1,'Master data'!$B$1:$CL$1,0)),"")</f>
        <v>Goalkeeper</v>
      </c>
      <c r="E548" s="5">
        <f>IFERROR(INDEX('Master data'!$B$2:$CL$1000,MATCH($B548,'Master data'!$A$2:$A$1000,0),MATCH(E$1,'Master data'!$B$1:$CL$1,0)),"")</f>
        <v>3000000</v>
      </c>
      <c r="F548" s="7">
        <f>IFERROR(INDEX('Master data'!$B$2:$CL$1000,MATCH($B548,'Master data'!$A$2:$A$1000,0),MATCH(F$1,'Master data'!$B$1:$CL$1,0)),"")</f>
        <v>34550.660202868487</v>
      </c>
      <c r="G548" s="7">
        <f>IFERROR(INDEX('Master data'!$B$2:$CL$1000,MATCH($B548,'Master data'!$A$2:$A$1000,0),MATCH(G$1,'Master data'!$B$1:$CL$1,0)),"")</f>
        <v>20897.873296029153</v>
      </c>
      <c r="H548" s="7">
        <f>IFERROR(INDEX('Master data'!$B$2:$CL$1000,MATCH($B548,'Master data'!$A$2:$A$1000,0),MATCH(H$1,'Master data'!$B$1:$CL$1,0)),"")</f>
        <v>25909.258802274475</v>
      </c>
      <c r="I548" s="7">
        <f>IFERROR(INDEX('Master data'!$B$2:$CL$1000,MATCH($B548,'Master data'!$A$2:$A$1000,0),MATCH(I$1,'Master data'!$B$1:$CL$1,0)),"")</f>
        <v>-2451.089016590036</v>
      </c>
      <c r="J548" s="7">
        <f>IFERROR(INDEX('Master data'!$B$2:$CL$1000,MATCH($B548,'Master data'!$A$2:$A$1000,0),MATCH(J$1,'Master data'!$B$1:$CL$1,0)),"")</f>
        <v>-1295.1603364654472</v>
      </c>
      <c r="K548" s="7">
        <f>IFERROR(INDEX('Master data'!$B$2:$CL$1000,MATCH($B548,'Master data'!$A$2:$A$1000,0),MATCH(K$1,'Master data'!$B$1:$CL$1,0)),"")</f>
        <v>-671.40495450379763</v>
      </c>
      <c r="L548" s="7">
        <f>IFERROR(INDEX('Master data'!$B$2:$CL$1000,MATCH($B548,'Master data'!$A$2:$A$1000,0),MATCH(L$1,'Master data'!$B$1:$CL$1,0)),"")</f>
        <v>-329.11697091099012</v>
      </c>
      <c r="M548" s="5">
        <f>IFERROR(INDEX('Master data'!$B$2:$CL$1000,MATCH($B548,'Master data'!$A$2:$A$1000,0),MATCH(M$1,'Master data'!$B$1:$CL$1,0)),"")</f>
        <v>58898.409991622888</v>
      </c>
      <c r="N548" s="28">
        <f>IFERROR(INDEX('Master data'!$B$2:$CL$1000,MATCH($B548,'Master data'!$A$2:$A$1000,0),MATCH(N$1,'Master data'!$B$1:$CL$1,0)),"")</f>
        <v>2.7119264100390703E-2</v>
      </c>
      <c r="O548" s="7">
        <f>IFERROR(INDEX('Master data'!$B$2:$CL$1000,MATCH($B548,'Master data'!$A$2:$A$1000,0),MATCH(O$1,'Master data'!$B$1:$CL$1,0)),"")</f>
        <v>0</v>
      </c>
      <c r="P548" s="5">
        <f>IFERROR(INDEX('Master data'!$B$2:$CL$1000,MATCH($B548,'Master data'!$A$2:$A$1000,0),MATCH(P$1,'Master data'!$B$1:$CL$1,0)),"")</f>
        <v>3000000</v>
      </c>
      <c r="Q548" s="5">
        <f>IFERROR(INDEX('Master data'!$B$2:$CL$1000,MATCH($B548,'Master data'!$A$2:$A$1000,0),MATCH(Q$1,'Master data'!$B$1:$CL$1,0)),"")</f>
        <v>3000000</v>
      </c>
    </row>
    <row r="549" spans="1:17" hidden="1">
      <c r="A549">
        <f t="shared" si="8"/>
        <v>547</v>
      </c>
      <c r="B549" t="str">
        <f>IF('Master data'!A549="","",'Master data'!A549)</f>
        <v>Risto Jankov</v>
      </c>
      <c r="C549" t="str">
        <f>IFERROR(INDEX('Master data'!$B$2:$CL$1000,MATCH($B549,'Master data'!$A$2:$A$1000,0),MATCH(C$1,'Master data'!$B$1:$CL$1,0)),"")</f>
        <v>North Macedonia</v>
      </c>
      <c r="D549" t="str">
        <f>IFERROR(INDEX('Master data'!$B$2:$CL$1000,MATCH($B549,'Master data'!$A$2:$A$1000,0),MATCH(D$1,'Master data'!$B$1:$CL$1,0)),"")</f>
        <v>Goalkeeper</v>
      </c>
      <c r="E549" s="5">
        <f>IFERROR(INDEX('Master data'!$B$2:$CL$1000,MATCH($B549,'Master data'!$A$2:$A$1000,0),MATCH(E$1,'Master data'!$B$1:$CL$1,0)),"")</f>
        <v>2500000</v>
      </c>
      <c r="F549" s="7">
        <f>IFERROR(INDEX('Master data'!$B$2:$CL$1000,MATCH($B549,'Master data'!$A$2:$A$1000,0),MATCH(F$1,'Master data'!$B$1:$CL$1,0)),"")</f>
        <v>22160.53679474405</v>
      </c>
      <c r="G549" s="7">
        <f>IFERROR(INDEX('Master data'!$B$2:$CL$1000,MATCH($B549,'Master data'!$A$2:$A$1000,0),MATCH(G$1,'Master data'!$B$1:$CL$1,0)),"")</f>
        <v>22035.027852828225</v>
      </c>
      <c r="H549" s="7">
        <f>IFERROR(INDEX('Master data'!$B$2:$CL$1000,MATCH($B549,'Master data'!$A$2:$A$1000,0),MATCH(H$1,'Master data'!$B$1:$CL$1,0)),"")</f>
        <v>19282.540175508628</v>
      </c>
      <c r="I549" s="7">
        <f>IFERROR(INDEX('Master data'!$B$2:$CL$1000,MATCH($B549,'Master data'!$A$2:$A$1000,0),MATCH(I$1,'Master data'!$B$1:$CL$1,0)),"")</f>
        <v>-1135.7685419268116</v>
      </c>
      <c r="J549" s="7">
        <f>IFERROR(INDEX('Master data'!$B$2:$CL$1000,MATCH($B549,'Master data'!$A$2:$A$1000,0),MATCH(J$1,'Master data'!$B$1:$CL$1,0)),"")</f>
        <v>-583.69156051275331</v>
      </c>
      <c r="K549" s="7">
        <f>IFERROR(INDEX('Master data'!$B$2:$CL$1000,MATCH($B549,'Master data'!$A$2:$A$1000,0),MATCH(K$1,'Master data'!$B$1:$CL$1,0)),"")</f>
        <v>-294.15965006950347</v>
      </c>
      <c r="L549" s="7">
        <f>IFERROR(INDEX('Master data'!$B$2:$CL$1000,MATCH($B549,'Master data'!$A$2:$A$1000,0),MATCH(L$1,'Master data'!$B$1:$CL$1,0)),"")</f>
        <v>-138.82240211134152</v>
      </c>
      <c r="M549" s="5">
        <f>IFERROR(INDEX('Master data'!$B$2:$CL$1000,MATCH($B549,'Master data'!$A$2:$A$1000,0),MATCH(M$1,'Master data'!$B$1:$CL$1,0)),"")</f>
        <v>44917.827608773521</v>
      </c>
      <c r="N549" s="28">
        <f>IFERROR(INDEX('Master data'!$B$2:$CL$1000,MATCH($B549,'Master data'!$A$2:$A$1000,0),MATCH(N$1,'Master data'!$B$1:$CL$1,0)),"")</f>
        <v>2.5391241929232363E-2</v>
      </c>
      <c r="O549" s="7">
        <f>IFERROR(INDEX('Master data'!$B$2:$CL$1000,MATCH($B549,'Master data'!$A$2:$A$1000,0),MATCH(O$1,'Master data'!$B$1:$CL$1,0)),"")</f>
        <v>0</v>
      </c>
      <c r="P549" s="5">
        <f>IFERROR(INDEX('Master data'!$B$2:$CL$1000,MATCH($B549,'Master data'!$A$2:$A$1000,0),MATCH(P$1,'Master data'!$B$1:$CL$1,0)),"")</f>
        <v>2500000</v>
      </c>
      <c r="Q549" s="5">
        <f>IFERROR(INDEX('Master data'!$B$2:$CL$1000,MATCH($B549,'Master data'!$A$2:$A$1000,0),MATCH(Q$1,'Master data'!$B$1:$CL$1,0)),"")</f>
        <v>2500000</v>
      </c>
    </row>
    <row r="550" spans="1:17" hidden="1">
      <c r="A550">
        <f t="shared" si="8"/>
        <v>548</v>
      </c>
      <c r="B550" t="str">
        <f>IF('Master data'!A550="","",'Master data'!A550)</f>
        <v>Stole Dimitrievski</v>
      </c>
      <c r="C550" t="str">
        <f>IFERROR(INDEX('Master data'!$B$2:$CL$1000,MATCH($B550,'Master data'!$A$2:$A$1000,0),MATCH(C$1,'Master data'!$B$1:$CL$1,0)),"")</f>
        <v>North Macedonia</v>
      </c>
      <c r="D550" t="str">
        <f>IFERROR(INDEX('Master data'!$B$2:$CL$1000,MATCH($B550,'Master data'!$A$2:$A$1000,0),MATCH(D$1,'Master data'!$B$1:$CL$1,0)),"")</f>
        <v>Goalkeeper</v>
      </c>
      <c r="E550" s="5">
        <f>IFERROR(INDEX('Master data'!$B$2:$CL$1000,MATCH($B550,'Master data'!$A$2:$A$1000,0),MATCH(E$1,'Master data'!$B$1:$CL$1,0)),"")</f>
        <v>3000000</v>
      </c>
      <c r="F550" s="7">
        <f>IFERROR(INDEX('Master data'!$B$2:$CL$1000,MATCH($B550,'Master data'!$A$2:$A$1000,0),MATCH(F$1,'Master data'!$B$1:$CL$1,0)),"")</f>
        <v>23548.568623979187</v>
      </c>
      <c r="G550" s="7">
        <f>IFERROR(INDEX('Master data'!$B$2:$CL$1000,MATCH($B550,'Master data'!$A$2:$A$1000,0),MATCH(G$1,'Master data'!$B$1:$CL$1,0)),"")</f>
        <v>24696.730518464177</v>
      </c>
      <c r="H550" s="7">
        <f>IFERROR(INDEX('Master data'!$B$2:$CL$1000,MATCH($B550,'Master data'!$A$2:$A$1000,0),MATCH(H$1,'Master data'!$B$1:$CL$1,0)),"")</f>
        <v>6824.0987572273625</v>
      </c>
      <c r="I550" s="7">
        <f>IFERROR(INDEX('Master data'!$B$2:$CL$1000,MATCH($B550,'Master data'!$A$2:$A$1000,0),MATCH(I$1,'Master data'!$B$1:$CL$1,0)),"")</f>
        <v>-3094.6465207574547</v>
      </c>
      <c r="J550" s="7">
        <f>IFERROR(INDEX('Master data'!$B$2:$CL$1000,MATCH($B550,'Master data'!$A$2:$A$1000,0),MATCH(J$1,'Master data'!$B$1:$CL$1,0)),"")</f>
        <v>-1541.4557644334254</v>
      </c>
      <c r="K550" s="7">
        <f>IFERROR(INDEX('Master data'!$B$2:$CL$1000,MATCH($B550,'Master data'!$A$2:$A$1000,0),MATCH(K$1,'Master data'!$B$1:$CL$1,0)),"")</f>
        <v>-754.30620422025515</v>
      </c>
      <c r="L550" s="7">
        <f>IFERROR(INDEX('Master data'!$B$2:$CL$1000,MATCH($B550,'Master data'!$A$2:$A$1000,0),MATCH(L$1,'Master data'!$B$1:$CL$1,0)),"")</f>
        <v>-346.2257493875934</v>
      </c>
      <c r="M550" s="5">
        <f>IFERROR(INDEX('Master data'!$B$2:$CL$1000,MATCH($B550,'Master data'!$A$2:$A$1000,0),MATCH(M$1,'Master data'!$B$1:$CL$1,0)),"")</f>
        <v>41694.842845086576</v>
      </c>
      <c r="N550" s="28">
        <f>IFERROR(INDEX('Master data'!$B$2:$CL$1000,MATCH($B550,'Master data'!$A$2:$A$1000,0),MATCH(N$1,'Master data'!$B$1:$CL$1,0)),"")</f>
        <v>1.835646596655691E-2</v>
      </c>
      <c r="O550" s="7">
        <f>IFERROR(INDEX('Master data'!$B$2:$CL$1000,MATCH($B550,'Master data'!$A$2:$A$1000,0),MATCH(O$1,'Master data'!$B$1:$CL$1,0)),"")</f>
        <v>0</v>
      </c>
      <c r="P550" s="5">
        <f>IFERROR(INDEX('Master data'!$B$2:$CL$1000,MATCH($B550,'Master data'!$A$2:$A$1000,0),MATCH(P$1,'Master data'!$B$1:$CL$1,0)),"")</f>
        <v>3000000</v>
      </c>
      <c r="Q550" s="5">
        <f>IFERROR(INDEX('Master data'!$B$2:$CL$1000,MATCH($B550,'Master data'!$A$2:$A$1000,0),MATCH(Q$1,'Master data'!$B$1:$CL$1,0)),"")</f>
        <v>3000000</v>
      </c>
    </row>
    <row r="551" spans="1:17" hidden="1">
      <c r="A551">
        <f t="shared" si="8"/>
        <v>549</v>
      </c>
      <c r="B551" t="str">
        <f>IF('Master data'!A551="","",'Master data'!A551)</f>
        <v>Damjan Shishkovski</v>
      </c>
      <c r="C551" t="str">
        <f>IFERROR(INDEX('Master data'!$B$2:$CL$1000,MATCH($B551,'Master data'!$A$2:$A$1000,0),MATCH(C$1,'Master data'!$B$1:$CL$1,0)),"")</f>
        <v>North Macedonia</v>
      </c>
      <c r="D551" t="str">
        <f>IFERROR(INDEX('Master data'!$B$2:$CL$1000,MATCH($B551,'Master data'!$A$2:$A$1000,0),MATCH(D$1,'Master data'!$B$1:$CL$1,0)),"")</f>
        <v>Goalkeeper</v>
      </c>
      <c r="E551" s="5">
        <f>IFERROR(INDEX('Master data'!$B$2:$CL$1000,MATCH($B551,'Master data'!$A$2:$A$1000,0),MATCH(E$1,'Master data'!$B$1:$CL$1,0)),"")</f>
        <v>2500000</v>
      </c>
      <c r="F551" s="7">
        <f>IFERROR(INDEX('Master data'!$B$2:$CL$1000,MATCH($B551,'Master data'!$A$2:$A$1000,0),MATCH(F$1,'Master data'!$B$1:$CL$1,0)),"")</f>
        <v>22160.53679474405</v>
      </c>
      <c r="G551" s="7">
        <f>IFERROR(INDEX('Master data'!$B$2:$CL$1000,MATCH($B551,'Master data'!$A$2:$A$1000,0),MATCH(G$1,'Master data'!$B$1:$CL$1,0)),"")</f>
        <v>22035.027852828225</v>
      </c>
      <c r="H551" s="7">
        <f>IFERROR(INDEX('Master data'!$B$2:$CL$1000,MATCH($B551,'Master data'!$A$2:$A$1000,0),MATCH(H$1,'Master data'!$B$1:$CL$1,0)),"")</f>
        <v>19282.540175508628</v>
      </c>
      <c r="I551" s="7">
        <f>IFERROR(INDEX('Master data'!$B$2:$CL$1000,MATCH($B551,'Master data'!$A$2:$A$1000,0),MATCH(I$1,'Master data'!$B$1:$CL$1,0)),"")</f>
        <v>-1135.7685419268116</v>
      </c>
      <c r="J551" s="7">
        <f>IFERROR(INDEX('Master data'!$B$2:$CL$1000,MATCH($B551,'Master data'!$A$2:$A$1000,0),MATCH(J$1,'Master data'!$B$1:$CL$1,0)),"")</f>
        <v>-583.69156051275331</v>
      </c>
      <c r="K551" s="7">
        <f>IFERROR(INDEX('Master data'!$B$2:$CL$1000,MATCH($B551,'Master data'!$A$2:$A$1000,0),MATCH(K$1,'Master data'!$B$1:$CL$1,0)),"")</f>
        <v>-294.15965006950347</v>
      </c>
      <c r="L551" s="7">
        <f>IFERROR(INDEX('Master data'!$B$2:$CL$1000,MATCH($B551,'Master data'!$A$2:$A$1000,0),MATCH(L$1,'Master data'!$B$1:$CL$1,0)),"")</f>
        <v>-138.82240211134152</v>
      </c>
      <c r="M551" s="5">
        <f>IFERROR(INDEX('Master data'!$B$2:$CL$1000,MATCH($B551,'Master data'!$A$2:$A$1000,0),MATCH(M$1,'Master data'!$B$1:$CL$1,0)),"")</f>
        <v>44917.827608773521</v>
      </c>
      <c r="N551" s="28">
        <f>IFERROR(INDEX('Master data'!$B$2:$CL$1000,MATCH($B551,'Master data'!$A$2:$A$1000,0),MATCH(N$1,'Master data'!$B$1:$CL$1,0)),"")</f>
        <v>2.5391241929232363E-2</v>
      </c>
      <c r="O551" s="7">
        <f>IFERROR(INDEX('Master data'!$B$2:$CL$1000,MATCH($B551,'Master data'!$A$2:$A$1000,0),MATCH(O$1,'Master data'!$B$1:$CL$1,0)),"")</f>
        <v>0</v>
      </c>
      <c r="P551" s="5">
        <f>IFERROR(INDEX('Master data'!$B$2:$CL$1000,MATCH($B551,'Master data'!$A$2:$A$1000,0),MATCH(P$1,'Master data'!$B$1:$CL$1,0)),"")</f>
        <v>2500000</v>
      </c>
      <c r="Q551" s="5">
        <f>IFERROR(INDEX('Master data'!$B$2:$CL$1000,MATCH($B551,'Master data'!$A$2:$A$1000,0),MATCH(Q$1,'Master data'!$B$1:$CL$1,0)),"")</f>
        <v>2500000</v>
      </c>
    </row>
    <row r="552" spans="1:17" hidden="1">
      <c r="A552">
        <f t="shared" si="8"/>
        <v>550</v>
      </c>
      <c r="B552" t="str">
        <f>IF('Master data'!A552="","",'Master data'!A552)</f>
        <v>Kire Ristevski</v>
      </c>
      <c r="C552" t="str">
        <f>IFERROR(INDEX('Master data'!$B$2:$CL$1000,MATCH($B552,'Master data'!$A$2:$A$1000,0),MATCH(C$1,'Master data'!$B$1:$CL$1,0)),"")</f>
        <v>North Macedonia</v>
      </c>
      <c r="D552" t="str">
        <f>IFERROR(INDEX('Master data'!$B$2:$CL$1000,MATCH($B552,'Master data'!$A$2:$A$1000,0),MATCH(D$1,'Master data'!$B$1:$CL$1,0)),"")</f>
        <v>Defense</v>
      </c>
      <c r="E552" s="5">
        <f>IFERROR(INDEX('Master data'!$B$2:$CL$1000,MATCH($B552,'Master data'!$A$2:$A$1000,0),MATCH(E$1,'Master data'!$B$1:$CL$1,0)),"")</f>
        <v>2000000</v>
      </c>
      <c r="F552" s="7">
        <f>IFERROR(INDEX('Master data'!$B$2:$CL$1000,MATCH($B552,'Master data'!$A$2:$A$1000,0),MATCH(F$1,'Master data'!$B$1:$CL$1,0)),"")</f>
        <v>5545.7598656591108</v>
      </c>
      <c r="G552" s="7">
        <f>IFERROR(INDEX('Master data'!$B$2:$CL$1000,MATCH($B552,'Master data'!$A$2:$A$1000,0),MATCH(G$1,'Master data'!$B$1:$CL$1,0)),"")</f>
        <v>5389.6103896103905</v>
      </c>
      <c r="H552" s="7">
        <f>IFERROR(INDEX('Master data'!$B$2:$CL$1000,MATCH($B552,'Master data'!$A$2:$A$1000,0),MATCH(H$1,'Master data'!$B$1:$CL$1,0)),"")</f>
        <v>-318.22251159762345</v>
      </c>
      <c r="I552" s="7">
        <f>IFERROR(INDEX('Master data'!$B$2:$CL$1000,MATCH($B552,'Master data'!$A$2:$A$1000,0),MATCH(I$1,'Master data'!$B$1:$CL$1,0)),"")</f>
        <v>-4204.3979425615498</v>
      </c>
      <c r="J552" s="7">
        <f>IFERROR(INDEX('Master data'!$B$2:$CL$1000,MATCH($B552,'Master data'!$A$2:$A$1000,0),MATCH(J$1,'Master data'!$B$1:$CL$1,0)),"")</f>
        <v>-2067.5769595914312</v>
      </c>
      <c r="K552" s="7">
        <f>IFERROR(INDEX('Master data'!$B$2:$CL$1000,MATCH($B552,'Master data'!$A$2:$A$1000,0),MATCH(K$1,'Master data'!$B$1:$CL$1,0)),"")</f>
        <v>-999.10171237418979</v>
      </c>
      <c r="L552" s="7">
        <f>IFERROR(INDEX('Master data'!$B$2:$CL$1000,MATCH($B552,'Master data'!$A$2:$A$1000,0),MATCH(L$1,'Master data'!$B$1:$CL$1,0)),"")</f>
        <v>-452.94303192584027</v>
      </c>
      <c r="M552" s="5">
        <f>IFERROR(INDEX('Master data'!$B$2:$CL$1000,MATCH($B552,'Master data'!$A$2:$A$1000,0),MATCH(M$1,'Master data'!$B$1:$CL$1,0)),"")</f>
        <v>7171.9099334058637</v>
      </c>
      <c r="N552" s="28">
        <f>IFERROR(INDEX('Master data'!$B$2:$CL$1000,MATCH($B552,'Master data'!$A$2:$A$1000,0),MATCH(N$1,'Master data'!$B$1:$CL$1,0)),"")</f>
        <v>5.308573871835939E-3</v>
      </c>
      <c r="O552" s="7">
        <f>IFERROR(INDEX('Master data'!$B$2:$CL$1000,MATCH($B552,'Master data'!$A$2:$A$1000,0),MATCH(O$1,'Master data'!$B$1:$CL$1,0)),"")</f>
        <v>0</v>
      </c>
      <c r="P552" s="5">
        <f>IFERROR(INDEX('Master data'!$B$2:$CL$1000,MATCH($B552,'Master data'!$A$2:$A$1000,0),MATCH(P$1,'Master data'!$B$1:$CL$1,0)),"")</f>
        <v>2000000</v>
      </c>
      <c r="Q552" s="5">
        <f>IFERROR(INDEX('Master data'!$B$2:$CL$1000,MATCH($B552,'Master data'!$A$2:$A$1000,0),MATCH(Q$1,'Master data'!$B$1:$CL$1,0)),"")</f>
        <v>2000000</v>
      </c>
    </row>
    <row r="553" spans="1:17" hidden="1">
      <c r="A553">
        <f t="shared" si="8"/>
        <v>551</v>
      </c>
      <c r="B553" t="str">
        <f>IF('Master data'!A553="","",'Master data'!A553)</f>
        <v>Gjoko Zajkov</v>
      </c>
      <c r="C553" t="str">
        <f>IFERROR(INDEX('Master data'!$B$2:$CL$1000,MATCH($B553,'Master data'!$A$2:$A$1000,0),MATCH(C$1,'Master data'!$B$1:$CL$1,0)),"")</f>
        <v>North Macedonia</v>
      </c>
      <c r="D553" t="str">
        <f>IFERROR(INDEX('Master data'!$B$2:$CL$1000,MATCH($B553,'Master data'!$A$2:$A$1000,0),MATCH(D$1,'Master data'!$B$1:$CL$1,0)),"")</f>
        <v>Defense</v>
      </c>
      <c r="E553" s="5">
        <f>IFERROR(INDEX('Master data'!$B$2:$CL$1000,MATCH($B553,'Master data'!$A$2:$A$1000,0),MATCH(E$1,'Master data'!$B$1:$CL$1,0)),"")</f>
        <v>2000000</v>
      </c>
      <c r="F553" s="7">
        <f>IFERROR(INDEX('Master data'!$B$2:$CL$1000,MATCH($B553,'Master data'!$A$2:$A$1000,0),MATCH(F$1,'Master data'!$B$1:$CL$1,0)),"")</f>
        <v>5545.7598656591108</v>
      </c>
      <c r="G553" s="7">
        <f>IFERROR(INDEX('Master data'!$B$2:$CL$1000,MATCH($B553,'Master data'!$A$2:$A$1000,0),MATCH(G$1,'Master data'!$B$1:$CL$1,0)),"")</f>
        <v>5389.6103896103905</v>
      </c>
      <c r="H553" s="7">
        <f>IFERROR(INDEX('Master data'!$B$2:$CL$1000,MATCH($B553,'Master data'!$A$2:$A$1000,0),MATCH(H$1,'Master data'!$B$1:$CL$1,0)),"")</f>
        <v>-318.22251159762345</v>
      </c>
      <c r="I553" s="7">
        <f>IFERROR(INDEX('Master data'!$B$2:$CL$1000,MATCH($B553,'Master data'!$A$2:$A$1000,0),MATCH(I$1,'Master data'!$B$1:$CL$1,0)),"")</f>
        <v>-4204.3979425615498</v>
      </c>
      <c r="J553" s="7">
        <f>IFERROR(INDEX('Master data'!$B$2:$CL$1000,MATCH($B553,'Master data'!$A$2:$A$1000,0),MATCH(J$1,'Master data'!$B$1:$CL$1,0)),"")</f>
        <v>-2067.5769595914312</v>
      </c>
      <c r="K553" s="7">
        <f>IFERROR(INDEX('Master data'!$B$2:$CL$1000,MATCH($B553,'Master data'!$A$2:$A$1000,0),MATCH(K$1,'Master data'!$B$1:$CL$1,0)),"")</f>
        <v>-999.10171237418979</v>
      </c>
      <c r="L553" s="7">
        <f>IFERROR(INDEX('Master data'!$B$2:$CL$1000,MATCH($B553,'Master data'!$A$2:$A$1000,0),MATCH(L$1,'Master data'!$B$1:$CL$1,0)),"")</f>
        <v>-452.94303192584027</v>
      </c>
      <c r="M553" s="5">
        <f>IFERROR(INDEX('Master data'!$B$2:$CL$1000,MATCH($B553,'Master data'!$A$2:$A$1000,0),MATCH(M$1,'Master data'!$B$1:$CL$1,0)),"")</f>
        <v>7171.9099334058637</v>
      </c>
      <c r="N553" s="28">
        <f>IFERROR(INDEX('Master data'!$B$2:$CL$1000,MATCH($B553,'Master data'!$A$2:$A$1000,0),MATCH(N$1,'Master data'!$B$1:$CL$1,0)),"")</f>
        <v>5.308573871835939E-3</v>
      </c>
      <c r="O553" s="7">
        <f>IFERROR(INDEX('Master data'!$B$2:$CL$1000,MATCH($B553,'Master data'!$A$2:$A$1000,0),MATCH(O$1,'Master data'!$B$1:$CL$1,0)),"")</f>
        <v>0</v>
      </c>
      <c r="P553" s="5">
        <f>IFERROR(INDEX('Master data'!$B$2:$CL$1000,MATCH($B553,'Master data'!$A$2:$A$1000,0),MATCH(P$1,'Master data'!$B$1:$CL$1,0)),"")</f>
        <v>2000000</v>
      </c>
      <c r="Q553" s="5">
        <f>IFERROR(INDEX('Master data'!$B$2:$CL$1000,MATCH($B553,'Master data'!$A$2:$A$1000,0),MATCH(Q$1,'Master data'!$B$1:$CL$1,0)),"")</f>
        <v>2000000</v>
      </c>
    </row>
    <row r="554" spans="1:17" hidden="1">
      <c r="A554">
        <f t="shared" si="8"/>
        <v>552</v>
      </c>
      <c r="B554" t="str">
        <f>IF('Master data'!A554="","",'Master data'!A554)</f>
        <v>Visar Musliu</v>
      </c>
      <c r="C554" t="str">
        <f>IFERROR(INDEX('Master data'!$B$2:$CL$1000,MATCH($B554,'Master data'!$A$2:$A$1000,0),MATCH(C$1,'Master data'!$B$1:$CL$1,0)),"")</f>
        <v>North Macedonia</v>
      </c>
      <c r="D554" t="str">
        <f>IFERROR(INDEX('Master data'!$B$2:$CL$1000,MATCH($B554,'Master data'!$A$2:$A$1000,0),MATCH(D$1,'Master data'!$B$1:$CL$1,0)),"")</f>
        <v>Defense</v>
      </c>
      <c r="E554" s="5">
        <f>IFERROR(INDEX('Master data'!$B$2:$CL$1000,MATCH($B554,'Master data'!$A$2:$A$1000,0),MATCH(E$1,'Master data'!$B$1:$CL$1,0)),"")</f>
        <v>2500000</v>
      </c>
      <c r="F554" s="7">
        <f>IFERROR(INDEX('Master data'!$B$2:$CL$1000,MATCH($B554,'Master data'!$A$2:$A$1000,0),MATCH(F$1,'Master data'!$B$1:$CL$1,0)),"")</f>
        <v>5460.4225353336551</v>
      </c>
      <c r="G554" s="7">
        <f>IFERROR(INDEX('Master data'!$B$2:$CL$1000,MATCH($B554,'Master data'!$A$2:$A$1000,0),MATCH(G$1,'Master data'!$B$1:$CL$1,0)),"")</f>
        <v>7208.7774688220634</v>
      </c>
      <c r="H554" s="7">
        <f>IFERROR(INDEX('Master data'!$B$2:$CL$1000,MATCH($B554,'Master data'!$A$2:$A$1000,0),MATCH(H$1,'Master data'!$B$1:$CL$1,0)),"")</f>
        <v>-15256.398687945482</v>
      </c>
      <c r="I554" s="7">
        <f>IFERROR(INDEX('Master data'!$B$2:$CL$1000,MATCH($B554,'Master data'!$A$2:$A$1000,0),MATCH(I$1,'Master data'!$B$1:$CL$1,0)),"")</f>
        <v>-6556.7840854775222</v>
      </c>
      <c r="J554" s="7">
        <f>IFERROR(INDEX('Master data'!$B$2:$CL$1000,MATCH($B554,'Master data'!$A$2:$A$1000,0),MATCH(J$1,'Master data'!$B$1:$CL$1,0)),"")</f>
        <v>-3216.4515846604295</v>
      </c>
      <c r="K554" s="7">
        <f>IFERROR(INDEX('Master data'!$B$2:$CL$1000,MATCH($B554,'Master data'!$A$2:$A$1000,0),MATCH(K$1,'Master data'!$B$1:$CL$1,0)),"")</f>
        <v>-1550.4409486740924</v>
      </c>
      <c r="L554" s="7">
        <f>IFERROR(INDEX('Master data'!$B$2:$CL$1000,MATCH($B554,'Master data'!$A$2:$A$1000,0),MATCH(L$1,'Master data'!$B$1:$CL$1,0)),"")</f>
        <v>-701.166596312004</v>
      </c>
      <c r="M554" s="5">
        <f>IFERROR(INDEX('Master data'!$B$2:$CL$1000,MATCH($B554,'Master data'!$A$2:$A$1000,0),MATCH(M$1,'Master data'!$B$1:$CL$1,0)),"")</f>
        <v>641.82348329285855</v>
      </c>
      <c r="N554" s="28">
        <f>IFERROR(INDEX('Master data'!$B$2:$CL$1000,MATCH($B554,'Master data'!$A$2:$A$1000,0),MATCH(N$1,'Master data'!$B$1:$CL$1,0)),"")</f>
        <v>-1.0348794735159056E-3</v>
      </c>
      <c r="O554" s="7">
        <f>IFERROR(INDEX('Master data'!$B$2:$CL$1000,MATCH($B554,'Master data'!$A$2:$A$1000,0),MATCH(O$1,'Master data'!$B$1:$CL$1,0)),"")</f>
        <v>0</v>
      </c>
      <c r="P554" s="5">
        <f>IFERROR(INDEX('Master data'!$B$2:$CL$1000,MATCH($B554,'Master data'!$A$2:$A$1000,0),MATCH(P$1,'Master data'!$B$1:$CL$1,0)),"")</f>
        <v>2500000</v>
      </c>
      <c r="Q554" s="5">
        <f>IFERROR(INDEX('Master data'!$B$2:$CL$1000,MATCH($B554,'Master data'!$A$2:$A$1000,0),MATCH(Q$1,'Master data'!$B$1:$CL$1,0)),"")</f>
        <v>2500000</v>
      </c>
    </row>
    <row r="555" spans="1:17" hidden="1">
      <c r="A555">
        <f t="shared" si="8"/>
        <v>553</v>
      </c>
      <c r="B555" t="str">
        <f>IF('Master data'!A555="","",'Master data'!A555)</f>
        <v>Egzon Bejtulai</v>
      </c>
      <c r="C555" t="str">
        <f>IFERROR(INDEX('Master data'!$B$2:$CL$1000,MATCH($B555,'Master data'!$A$2:$A$1000,0),MATCH(C$1,'Master data'!$B$1:$CL$1,0)),"")</f>
        <v>North Macedonia</v>
      </c>
      <c r="D555" t="str">
        <f>IFERROR(INDEX('Master data'!$B$2:$CL$1000,MATCH($B555,'Master data'!$A$2:$A$1000,0),MATCH(D$1,'Master data'!$B$1:$CL$1,0)),"")</f>
        <v>Defense</v>
      </c>
      <c r="E555" s="5">
        <f>IFERROR(INDEX('Master data'!$B$2:$CL$1000,MATCH($B555,'Master data'!$A$2:$A$1000,0),MATCH(E$1,'Master data'!$B$1:$CL$1,0)),"")</f>
        <v>2000000</v>
      </c>
      <c r="F555" s="7">
        <f>IFERROR(INDEX('Master data'!$B$2:$CL$1000,MATCH($B555,'Master data'!$A$2:$A$1000,0),MATCH(F$1,'Master data'!$B$1:$CL$1,0)),"")</f>
        <v>5461.7014989095296</v>
      </c>
      <c r="G555" s="7">
        <f>IFERROR(INDEX('Master data'!$B$2:$CL$1000,MATCH($B555,'Master data'!$A$2:$A$1000,0),MATCH(G$1,'Master data'!$B$1:$CL$1,0)),"")</f>
        <v>7257.6657688400846</v>
      </c>
      <c r="H555" s="7">
        <f>IFERROR(INDEX('Master data'!$B$2:$CL$1000,MATCH($B555,'Master data'!$A$2:$A$1000,0),MATCH(H$1,'Master data'!$B$1:$CL$1,0)),"")</f>
        <v>-15331.070657235876</v>
      </c>
      <c r="I555" s="7">
        <f>IFERROR(INDEX('Master data'!$B$2:$CL$1000,MATCH($B555,'Master data'!$A$2:$A$1000,0),MATCH(I$1,'Master data'!$B$1:$CL$1,0)),"")</f>
        <v>-5289.8967416204323</v>
      </c>
      <c r="J555" s="7">
        <f>IFERROR(INDEX('Master data'!$B$2:$CL$1000,MATCH($B555,'Master data'!$A$2:$A$1000,0),MATCH(J$1,'Master data'!$B$1:$CL$1,0)),"")</f>
        <v>-2594.7582269136551</v>
      </c>
      <c r="K555" s="7">
        <f>IFERROR(INDEX('Master data'!$B$2:$CL$1000,MATCH($B555,'Master data'!$A$2:$A$1000,0),MATCH(K$1,'Master data'!$B$1:$CL$1,0)),"")</f>
        <v>-1250.6582389991274</v>
      </c>
      <c r="L555" s="7">
        <f>IFERROR(INDEX('Master data'!$B$2:$CL$1000,MATCH($B555,'Master data'!$A$2:$A$1000,0),MATCH(L$1,'Master data'!$B$1:$CL$1,0)),"")</f>
        <v>-565.54627804432175</v>
      </c>
      <c r="M555" s="5">
        <f>IFERROR(INDEX('Master data'!$B$2:$CL$1000,MATCH($B555,'Master data'!$A$2:$A$1000,0),MATCH(M$1,'Master data'!$B$1:$CL$1,0)),"")</f>
        <v>1192.0686280007842</v>
      </c>
      <c r="N555" s="28">
        <f>IFERROR(INDEX('Master data'!$B$2:$CL$1000,MATCH($B555,'Master data'!$A$2:$A$1000,0),MATCH(N$1,'Master data'!$B$1:$CL$1,0)),"")</f>
        <v>-1.3058516947431309E-3</v>
      </c>
      <c r="O555" s="7">
        <f>IFERROR(INDEX('Master data'!$B$2:$CL$1000,MATCH($B555,'Master data'!$A$2:$A$1000,0),MATCH(O$1,'Master data'!$B$1:$CL$1,0)),"")</f>
        <v>0</v>
      </c>
      <c r="P555" s="5">
        <f>IFERROR(INDEX('Master data'!$B$2:$CL$1000,MATCH($B555,'Master data'!$A$2:$A$1000,0),MATCH(P$1,'Master data'!$B$1:$CL$1,0)),"")</f>
        <v>2000000</v>
      </c>
      <c r="Q555" s="5">
        <f>IFERROR(INDEX('Master data'!$B$2:$CL$1000,MATCH($B555,'Master data'!$A$2:$A$1000,0),MATCH(Q$1,'Master data'!$B$1:$CL$1,0)),"")</f>
        <v>2000000</v>
      </c>
    </row>
    <row r="556" spans="1:17" hidden="1">
      <c r="A556">
        <f t="shared" si="8"/>
        <v>554</v>
      </c>
      <c r="B556" t="str">
        <f>IF('Master data'!A556="","",'Master data'!A556)</f>
        <v>Stefan Ristovski</v>
      </c>
      <c r="C556" t="str">
        <f>IFERROR(INDEX('Master data'!$B$2:$CL$1000,MATCH($B556,'Master data'!$A$2:$A$1000,0),MATCH(C$1,'Master data'!$B$1:$CL$1,0)),"")</f>
        <v>North Macedonia</v>
      </c>
      <c r="D556" t="str">
        <f>IFERROR(INDEX('Master data'!$B$2:$CL$1000,MATCH($B556,'Master data'!$A$2:$A$1000,0),MATCH(D$1,'Master data'!$B$1:$CL$1,0)),"")</f>
        <v>Defense</v>
      </c>
      <c r="E556" s="5">
        <f>IFERROR(INDEX('Master data'!$B$2:$CL$1000,MATCH($B556,'Master data'!$A$2:$A$1000,0),MATCH(E$1,'Master data'!$B$1:$CL$1,0)),"")</f>
        <v>2500000</v>
      </c>
      <c r="F556" s="7">
        <f>IFERROR(INDEX('Master data'!$B$2:$CL$1000,MATCH($B556,'Master data'!$A$2:$A$1000,0),MATCH(F$1,'Master data'!$B$1:$CL$1,0)),"")</f>
        <v>9332.7030171582264</v>
      </c>
      <c r="G556" s="7">
        <f>IFERROR(INDEX('Master data'!$B$2:$CL$1000,MATCH($B556,'Master data'!$A$2:$A$1000,0),MATCH(G$1,'Master data'!$B$1:$CL$1,0)),"")</f>
        <v>11443.277770026732</v>
      </c>
      <c r="H556" s="7">
        <f>IFERROR(INDEX('Master data'!$B$2:$CL$1000,MATCH($B556,'Master data'!$A$2:$A$1000,0),MATCH(H$1,'Master data'!$B$1:$CL$1,0)),"")</f>
        <v>-11961.965646149933</v>
      </c>
      <c r="I556" s="7">
        <f>IFERROR(INDEX('Master data'!$B$2:$CL$1000,MATCH($B556,'Master data'!$A$2:$A$1000,0),MATCH(I$1,'Master data'!$B$1:$CL$1,0)),"")</f>
        <v>-5621.2528144633388</v>
      </c>
      <c r="J556" s="7">
        <f>IFERROR(INDEX('Master data'!$B$2:$CL$1000,MATCH($B556,'Master data'!$A$2:$A$1000,0),MATCH(J$1,'Master data'!$B$1:$CL$1,0)),"")</f>
        <v>-2762.1032597240755</v>
      </c>
      <c r="K556" s="7">
        <f>IFERROR(INDEX('Master data'!$B$2:$CL$1000,MATCH($B556,'Master data'!$A$2:$A$1000,0),MATCH(K$1,'Master data'!$B$1:$CL$1,0)),"")</f>
        <v>-1333.6383162903646</v>
      </c>
      <c r="L556" s="7">
        <f>IFERROR(INDEX('Master data'!$B$2:$CL$1000,MATCH($B556,'Master data'!$A$2:$A$1000,0),MATCH(L$1,'Master data'!$B$1:$CL$1,0)),"")</f>
        <v>-604.12009745555395</v>
      </c>
      <c r="M556" s="5">
        <f>IFERROR(INDEX('Master data'!$B$2:$CL$1000,MATCH($B556,'Master data'!$A$2:$A$1000,0),MATCH(M$1,'Master data'!$B$1:$CL$1,0)),"")</f>
        <v>9205.308895011498</v>
      </c>
      <c r="N556" s="28">
        <f>IFERROR(INDEX('Master data'!$B$2:$CL$1000,MATCH($B556,'Master data'!$A$2:$A$1000,0),MATCH(N$1,'Master data'!$B$1:$CL$1,0)),"")</f>
        <v>3.5256060564140103E-3</v>
      </c>
      <c r="O556" s="7">
        <f>IFERROR(INDEX('Master data'!$B$2:$CL$1000,MATCH($B556,'Master data'!$A$2:$A$1000,0),MATCH(O$1,'Master data'!$B$1:$CL$1,0)),"")</f>
        <v>0</v>
      </c>
      <c r="P556" s="5">
        <f>IFERROR(INDEX('Master data'!$B$2:$CL$1000,MATCH($B556,'Master data'!$A$2:$A$1000,0),MATCH(P$1,'Master data'!$B$1:$CL$1,0)),"")</f>
        <v>2500000</v>
      </c>
      <c r="Q556" s="5">
        <f>IFERROR(INDEX('Master data'!$B$2:$CL$1000,MATCH($B556,'Master data'!$A$2:$A$1000,0),MATCH(Q$1,'Master data'!$B$1:$CL$1,0)),"")</f>
        <v>2500000</v>
      </c>
    </row>
    <row r="557" spans="1:17" hidden="1">
      <c r="A557">
        <f t="shared" si="8"/>
        <v>555</v>
      </c>
      <c r="B557" t="str">
        <f>IF('Master data'!A557="","",'Master data'!A557)</f>
        <v>Darko Velkovski</v>
      </c>
      <c r="C557" t="str">
        <f>IFERROR(INDEX('Master data'!$B$2:$CL$1000,MATCH($B557,'Master data'!$A$2:$A$1000,0),MATCH(C$1,'Master data'!$B$1:$CL$1,0)),"")</f>
        <v>North Macedonia</v>
      </c>
      <c r="D557" t="str">
        <f>IFERROR(INDEX('Master data'!$B$2:$CL$1000,MATCH($B557,'Master data'!$A$2:$A$1000,0),MATCH(D$1,'Master data'!$B$1:$CL$1,0)),"")</f>
        <v>Defense</v>
      </c>
      <c r="E557" s="5">
        <f>IFERROR(INDEX('Master data'!$B$2:$CL$1000,MATCH($B557,'Master data'!$A$2:$A$1000,0),MATCH(E$1,'Master data'!$B$1:$CL$1,0)),"")</f>
        <v>2500000</v>
      </c>
      <c r="F557" s="7">
        <f>IFERROR(INDEX('Master data'!$B$2:$CL$1000,MATCH($B557,'Master data'!$A$2:$A$1000,0),MATCH(F$1,'Master data'!$B$1:$CL$1,0)),"")</f>
        <v>19376.084995255827</v>
      </c>
      <c r="G557" s="7">
        <f>IFERROR(INDEX('Master data'!$B$2:$CL$1000,MATCH($B557,'Master data'!$A$2:$A$1000,0),MATCH(G$1,'Master data'!$B$1:$CL$1,0)),"")</f>
        <v>22661.854822060788</v>
      </c>
      <c r="H557" s="7">
        <f>IFERROR(INDEX('Master data'!$B$2:$CL$1000,MATCH($B557,'Master data'!$A$2:$A$1000,0),MATCH(H$1,'Master data'!$B$1:$CL$1,0)),"")</f>
        <v>-3793.3664068077396</v>
      </c>
      <c r="I557" s="7">
        <f>IFERROR(INDEX('Master data'!$B$2:$CL$1000,MATCH($B557,'Master data'!$A$2:$A$1000,0),MATCH(I$1,'Master data'!$B$1:$CL$1,0)),"")</f>
        <v>-3206.3162991470904</v>
      </c>
      <c r="J557" s="7">
        <f>IFERROR(INDEX('Master data'!$B$2:$CL$1000,MATCH($B557,'Master data'!$A$2:$A$1000,0),MATCH(J$1,'Master data'!$B$1:$CL$1,0)),"")</f>
        <v>-1589.2698178530122</v>
      </c>
      <c r="K557" s="7">
        <f>IFERROR(INDEX('Master data'!$B$2:$CL$1000,MATCH($B557,'Master data'!$A$2:$A$1000,0),MATCH(K$1,'Master data'!$B$1:$CL$1,0)),"")</f>
        <v>-773.99417634347856</v>
      </c>
      <c r="L557" s="7">
        <f>IFERROR(INDEX('Master data'!$B$2:$CL$1000,MATCH($B557,'Master data'!$A$2:$A$1000,0),MATCH(L$1,'Master data'!$B$1:$CL$1,0)),"")</f>
        <v>-353.60882003136521</v>
      </c>
      <c r="M557" s="5">
        <f>IFERROR(INDEX('Master data'!$B$2:$CL$1000,MATCH($B557,'Master data'!$A$2:$A$1000,0),MATCH(M$1,'Master data'!$B$1:$CL$1,0)),"")</f>
        <v>31401.129093909116</v>
      </c>
      <c r="N557" s="28">
        <f>IFERROR(INDEX('Master data'!$B$2:$CL$1000,MATCH($B557,'Master data'!$A$2:$A$1000,0),MATCH(N$1,'Master data'!$B$1:$CL$1,0)),"")</f>
        <v>1.5297829364203548E-2</v>
      </c>
      <c r="O557" s="7">
        <f>IFERROR(INDEX('Master data'!$B$2:$CL$1000,MATCH($B557,'Master data'!$A$2:$A$1000,0),MATCH(O$1,'Master data'!$B$1:$CL$1,0)),"")</f>
        <v>0</v>
      </c>
      <c r="P557" s="5">
        <f>IFERROR(INDEX('Master data'!$B$2:$CL$1000,MATCH($B557,'Master data'!$A$2:$A$1000,0),MATCH(P$1,'Master data'!$B$1:$CL$1,0)),"")</f>
        <v>2500000</v>
      </c>
      <c r="Q557" s="5">
        <f>IFERROR(INDEX('Master data'!$B$2:$CL$1000,MATCH($B557,'Master data'!$A$2:$A$1000,0),MATCH(Q$1,'Master data'!$B$1:$CL$1,0)),"")</f>
        <v>2500000</v>
      </c>
    </row>
    <row r="558" spans="1:17" hidden="1">
      <c r="A558">
        <f t="shared" si="8"/>
        <v>556</v>
      </c>
      <c r="B558" t="str">
        <f>IF('Master data'!A558="","",'Master data'!A558)</f>
        <v>Darko Churlinov</v>
      </c>
      <c r="C558" t="str">
        <f>IFERROR(INDEX('Master data'!$B$2:$CL$1000,MATCH($B558,'Master data'!$A$2:$A$1000,0),MATCH(C$1,'Master data'!$B$1:$CL$1,0)),"")</f>
        <v>North Macedonia</v>
      </c>
      <c r="D558" t="str">
        <f>IFERROR(INDEX('Master data'!$B$2:$CL$1000,MATCH($B558,'Master data'!$A$2:$A$1000,0),MATCH(D$1,'Master data'!$B$1:$CL$1,0)),"")</f>
        <v>Midfield</v>
      </c>
      <c r="E558" s="5">
        <f>IFERROR(INDEX('Master data'!$B$2:$CL$1000,MATCH($B558,'Master data'!$A$2:$A$1000,0),MATCH(E$1,'Master data'!$B$1:$CL$1,0)),"")</f>
        <v>2000000</v>
      </c>
      <c r="F558" s="7">
        <f>IFERROR(INDEX('Master data'!$B$2:$CL$1000,MATCH($B558,'Master data'!$A$2:$A$1000,0),MATCH(F$1,'Master data'!$B$1:$CL$1,0)),"")</f>
        <v>-5000</v>
      </c>
      <c r="G558" s="7">
        <f>IFERROR(INDEX('Master data'!$B$2:$CL$1000,MATCH($B558,'Master data'!$A$2:$A$1000,0),MATCH(G$1,'Master data'!$B$1:$CL$1,0)),"")</f>
        <v>-5000</v>
      </c>
      <c r="H558" s="7">
        <f>IFERROR(INDEX('Master data'!$B$2:$CL$1000,MATCH($B558,'Master data'!$A$2:$A$1000,0),MATCH(H$1,'Master data'!$B$1:$CL$1,0)),"")</f>
        <v>-5000</v>
      </c>
      <c r="I558" s="7">
        <f>IFERROR(INDEX('Master data'!$B$2:$CL$1000,MATCH($B558,'Master data'!$A$2:$A$1000,0),MATCH(I$1,'Master data'!$B$1:$CL$1,0)),"")</f>
        <v>-6306.4234949823885</v>
      </c>
      <c r="J558" s="7">
        <f>IFERROR(INDEX('Master data'!$B$2:$CL$1000,MATCH($B558,'Master data'!$A$2:$A$1000,0),MATCH(J$1,'Master data'!$B$1:$CL$1,0)),"")</f>
        <v>-3088.4426626485606</v>
      </c>
      <c r="K558" s="7">
        <f>IFERROR(INDEX('Master data'!$B$2:$CL$1000,MATCH($B558,'Master data'!$A$2:$A$1000,0),MATCH(K$1,'Master data'!$B$1:$CL$1,0)),"")</f>
        <v>-1486.2309909162739</v>
      </c>
      <c r="L558" s="7">
        <f>IFERROR(INDEX('Master data'!$B$2:$CL$1000,MATCH($B558,'Master data'!$A$2:$A$1000,0),MATCH(L$1,'Master data'!$B$1:$CL$1,0)),"")</f>
        <v>-670.99477075023424</v>
      </c>
      <c r="M558" s="5">
        <f>IFERROR(INDEX('Master data'!$B$2:$CL$1000,MATCH($B558,'Master data'!$A$2:$A$1000,0),MATCH(M$1,'Master data'!$B$1:$CL$1,0)),"")</f>
        <v>-13288.81352372231</v>
      </c>
      <c r="N558" s="28">
        <f>IFERROR(INDEX('Master data'!$B$2:$CL$1000,MATCH($B558,'Master data'!$A$2:$A$1000,0),MATCH(N$1,'Master data'!$B$1:$CL$1,0)),"")</f>
        <v>-7.4999999999999997E-3</v>
      </c>
      <c r="O558" s="7">
        <f>IFERROR(INDEX('Master data'!$B$2:$CL$1000,MATCH($B558,'Master data'!$A$2:$A$1000,0),MATCH(O$1,'Master data'!$B$1:$CL$1,0)),"")</f>
        <v>0</v>
      </c>
      <c r="P558" s="5">
        <f>IFERROR(INDEX('Master data'!$B$2:$CL$1000,MATCH($B558,'Master data'!$A$2:$A$1000,0),MATCH(P$1,'Master data'!$B$1:$CL$1,0)),"")</f>
        <v>2000000</v>
      </c>
      <c r="Q558" s="5">
        <f>IFERROR(INDEX('Master data'!$B$2:$CL$1000,MATCH($B558,'Master data'!$A$2:$A$1000,0),MATCH(Q$1,'Master data'!$B$1:$CL$1,0)),"")</f>
        <v>2000000</v>
      </c>
    </row>
    <row r="559" spans="1:17" hidden="1">
      <c r="A559">
        <f t="shared" si="8"/>
        <v>557</v>
      </c>
      <c r="B559" t="str">
        <f>IF('Master data'!A559="","",'Master data'!A559)</f>
        <v>Daniel Avramovski</v>
      </c>
      <c r="C559" t="str">
        <f>IFERROR(INDEX('Master data'!$B$2:$CL$1000,MATCH($B559,'Master data'!$A$2:$A$1000,0),MATCH(C$1,'Master data'!$B$1:$CL$1,0)),"")</f>
        <v>North Macedonia</v>
      </c>
      <c r="D559" t="str">
        <f>IFERROR(INDEX('Master data'!$B$2:$CL$1000,MATCH($B559,'Master data'!$A$2:$A$1000,0),MATCH(D$1,'Master data'!$B$1:$CL$1,0)),"")</f>
        <v>Midfield</v>
      </c>
      <c r="E559" s="5">
        <f>IFERROR(INDEX('Master data'!$B$2:$CL$1000,MATCH($B559,'Master data'!$A$2:$A$1000,0),MATCH(E$1,'Master data'!$B$1:$CL$1,0)),"")</f>
        <v>2000000</v>
      </c>
      <c r="F559" s="7">
        <f>IFERROR(INDEX('Master data'!$B$2:$CL$1000,MATCH($B559,'Master data'!$A$2:$A$1000,0),MATCH(F$1,'Master data'!$B$1:$CL$1,0)),"")</f>
        <v>-5000</v>
      </c>
      <c r="G559" s="7">
        <f>IFERROR(INDEX('Master data'!$B$2:$CL$1000,MATCH($B559,'Master data'!$A$2:$A$1000,0),MATCH(G$1,'Master data'!$B$1:$CL$1,0)),"")</f>
        <v>-5000</v>
      </c>
      <c r="H559" s="7">
        <f>IFERROR(INDEX('Master data'!$B$2:$CL$1000,MATCH($B559,'Master data'!$A$2:$A$1000,0),MATCH(H$1,'Master data'!$B$1:$CL$1,0)),"")</f>
        <v>-5000</v>
      </c>
      <c r="I559" s="7">
        <f>IFERROR(INDEX('Master data'!$B$2:$CL$1000,MATCH($B559,'Master data'!$A$2:$A$1000,0),MATCH(I$1,'Master data'!$B$1:$CL$1,0)),"")</f>
        <v>-6306.4234949823885</v>
      </c>
      <c r="J559" s="7">
        <f>IFERROR(INDEX('Master data'!$B$2:$CL$1000,MATCH($B559,'Master data'!$A$2:$A$1000,0),MATCH(J$1,'Master data'!$B$1:$CL$1,0)),"")</f>
        <v>-3088.4426626485606</v>
      </c>
      <c r="K559" s="7">
        <f>IFERROR(INDEX('Master data'!$B$2:$CL$1000,MATCH($B559,'Master data'!$A$2:$A$1000,0),MATCH(K$1,'Master data'!$B$1:$CL$1,0)),"")</f>
        <v>-1486.2309909162739</v>
      </c>
      <c r="L559" s="7">
        <f>IFERROR(INDEX('Master data'!$B$2:$CL$1000,MATCH($B559,'Master data'!$A$2:$A$1000,0),MATCH(L$1,'Master data'!$B$1:$CL$1,0)),"")</f>
        <v>-670.99477075023424</v>
      </c>
      <c r="M559" s="5">
        <f>IFERROR(INDEX('Master data'!$B$2:$CL$1000,MATCH($B559,'Master data'!$A$2:$A$1000,0),MATCH(M$1,'Master data'!$B$1:$CL$1,0)),"")</f>
        <v>-13288.81352372231</v>
      </c>
      <c r="N559" s="28">
        <f>IFERROR(INDEX('Master data'!$B$2:$CL$1000,MATCH($B559,'Master data'!$A$2:$A$1000,0),MATCH(N$1,'Master data'!$B$1:$CL$1,0)),"")</f>
        <v>-7.4999999999999997E-3</v>
      </c>
      <c r="O559" s="7">
        <f>IFERROR(INDEX('Master data'!$B$2:$CL$1000,MATCH($B559,'Master data'!$A$2:$A$1000,0),MATCH(O$1,'Master data'!$B$1:$CL$1,0)),"")</f>
        <v>0</v>
      </c>
      <c r="P559" s="5">
        <f>IFERROR(INDEX('Master data'!$B$2:$CL$1000,MATCH($B559,'Master data'!$A$2:$A$1000,0),MATCH(P$1,'Master data'!$B$1:$CL$1,0)),"")</f>
        <v>2000000</v>
      </c>
      <c r="Q559" s="5">
        <f>IFERROR(INDEX('Master data'!$B$2:$CL$1000,MATCH($B559,'Master data'!$A$2:$A$1000,0),MATCH(Q$1,'Master data'!$B$1:$CL$1,0)),"")</f>
        <v>2000000</v>
      </c>
    </row>
    <row r="560" spans="1:17" hidden="1">
      <c r="A560">
        <f t="shared" si="8"/>
        <v>558</v>
      </c>
      <c r="B560" t="str">
        <f>IF('Master data'!A560="","",'Master data'!A560)</f>
        <v>Marjan Radeski</v>
      </c>
      <c r="C560" t="str">
        <f>IFERROR(INDEX('Master data'!$B$2:$CL$1000,MATCH($B560,'Master data'!$A$2:$A$1000,0),MATCH(C$1,'Master data'!$B$1:$CL$1,0)),"")</f>
        <v>North Macedonia</v>
      </c>
      <c r="D560" t="str">
        <f>IFERROR(INDEX('Master data'!$B$2:$CL$1000,MATCH($B560,'Master data'!$A$2:$A$1000,0),MATCH(D$1,'Master data'!$B$1:$CL$1,0)),"")</f>
        <v>Striker</v>
      </c>
      <c r="E560" s="5">
        <f>IFERROR(INDEX('Master data'!$B$2:$CL$1000,MATCH($B560,'Master data'!$A$2:$A$1000,0),MATCH(E$1,'Master data'!$B$1:$CL$1,0)),"")</f>
        <v>2000000</v>
      </c>
      <c r="F560" s="7">
        <f>IFERROR(INDEX('Master data'!$B$2:$CL$1000,MATCH($B560,'Master data'!$A$2:$A$1000,0),MATCH(F$1,'Master data'!$B$1:$CL$1,0)),"")</f>
        <v>-5000</v>
      </c>
      <c r="G560" s="7">
        <f>IFERROR(INDEX('Master data'!$B$2:$CL$1000,MATCH($B560,'Master data'!$A$2:$A$1000,0),MATCH(G$1,'Master data'!$B$1:$CL$1,0)),"")</f>
        <v>-5000</v>
      </c>
      <c r="H560" s="7">
        <f>IFERROR(INDEX('Master data'!$B$2:$CL$1000,MATCH($B560,'Master data'!$A$2:$A$1000,0),MATCH(H$1,'Master data'!$B$1:$CL$1,0)),"")</f>
        <v>-5000</v>
      </c>
      <c r="I560" s="7">
        <f>IFERROR(INDEX('Master data'!$B$2:$CL$1000,MATCH($B560,'Master data'!$A$2:$A$1000,0),MATCH(I$1,'Master data'!$B$1:$CL$1,0)),"")</f>
        <v>-6306.4234949823885</v>
      </c>
      <c r="J560" s="7">
        <f>IFERROR(INDEX('Master data'!$B$2:$CL$1000,MATCH($B560,'Master data'!$A$2:$A$1000,0),MATCH(J$1,'Master data'!$B$1:$CL$1,0)),"")</f>
        <v>-3088.4426626485606</v>
      </c>
      <c r="K560" s="7">
        <f>IFERROR(INDEX('Master data'!$B$2:$CL$1000,MATCH($B560,'Master data'!$A$2:$A$1000,0),MATCH(K$1,'Master data'!$B$1:$CL$1,0)),"")</f>
        <v>-1486.2309909162739</v>
      </c>
      <c r="L560" s="7">
        <f>IFERROR(INDEX('Master data'!$B$2:$CL$1000,MATCH($B560,'Master data'!$A$2:$A$1000,0),MATCH(L$1,'Master data'!$B$1:$CL$1,0)),"")</f>
        <v>-670.99477075023424</v>
      </c>
      <c r="M560" s="5">
        <f>IFERROR(INDEX('Master data'!$B$2:$CL$1000,MATCH($B560,'Master data'!$A$2:$A$1000,0),MATCH(M$1,'Master data'!$B$1:$CL$1,0)),"")</f>
        <v>-13288.81352372231</v>
      </c>
      <c r="N560" s="28">
        <f>IFERROR(INDEX('Master data'!$B$2:$CL$1000,MATCH($B560,'Master data'!$A$2:$A$1000,0),MATCH(N$1,'Master data'!$B$1:$CL$1,0)),"")</f>
        <v>-7.4999999999999997E-3</v>
      </c>
      <c r="O560" s="7">
        <f>IFERROR(INDEX('Master data'!$B$2:$CL$1000,MATCH($B560,'Master data'!$A$2:$A$1000,0),MATCH(O$1,'Master data'!$B$1:$CL$1,0)),"")</f>
        <v>0</v>
      </c>
      <c r="P560" s="5">
        <f>IFERROR(INDEX('Master data'!$B$2:$CL$1000,MATCH($B560,'Master data'!$A$2:$A$1000,0),MATCH(P$1,'Master data'!$B$1:$CL$1,0)),"")</f>
        <v>2000000</v>
      </c>
      <c r="Q560" s="5">
        <f>IFERROR(INDEX('Master data'!$B$2:$CL$1000,MATCH($B560,'Master data'!$A$2:$A$1000,0),MATCH(Q$1,'Master data'!$B$1:$CL$1,0)),"")</f>
        <v>2000000</v>
      </c>
    </row>
    <row r="561" spans="1:17" hidden="1">
      <c r="A561">
        <f t="shared" si="8"/>
        <v>559</v>
      </c>
      <c r="B561" t="str">
        <f>IF('Master data'!A561="","",'Master data'!A561)</f>
        <v>Boban Nikolov</v>
      </c>
      <c r="C561" t="str">
        <f>IFERROR(INDEX('Master data'!$B$2:$CL$1000,MATCH($B561,'Master data'!$A$2:$A$1000,0),MATCH(C$1,'Master data'!$B$1:$CL$1,0)),"")</f>
        <v>North Macedonia</v>
      </c>
      <c r="D561" t="str">
        <f>IFERROR(INDEX('Master data'!$B$2:$CL$1000,MATCH($B561,'Master data'!$A$2:$A$1000,0),MATCH(D$1,'Master data'!$B$1:$CL$1,0)),"")</f>
        <v>Midfield</v>
      </c>
      <c r="E561" s="5">
        <f>IFERROR(INDEX('Master data'!$B$2:$CL$1000,MATCH($B561,'Master data'!$A$2:$A$1000,0),MATCH(E$1,'Master data'!$B$1:$CL$1,0)),"")</f>
        <v>2500000</v>
      </c>
      <c r="F561" s="7">
        <f>IFERROR(INDEX('Master data'!$B$2:$CL$1000,MATCH($B561,'Master data'!$A$2:$A$1000,0),MATCH(F$1,'Master data'!$B$1:$CL$1,0)),"")</f>
        <v>-5000</v>
      </c>
      <c r="G561" s="7">
        <f>IFERROR(INDEX('Master data'!$B$2:$CL$1000,MATCH($B561,'Master data'!$A$2:$A$1000,0),MATCH(G$1,'Master data'!$B$1:$CL$1,0)),"")</f>
        <v>-5000</v>
      </c>
      <c r="H561" s="7">
        <f>IFERROR(INDEX('Master data'!$B$2:$CL$1000,MATCH($B561,'Master data'!$A$2:$A$1000,0),MATCH(H$1,'Master data'!$B$1:$CL$1,0)),"")</f>
        <v>-5000</v>
      </c>
      <c r="I561" s="7">
        <f>IFERROR(INDEX('Master data'!$B$2:$CL$1000,MATCH($B561,'Master data'!$A$2:$A$1000,0),MATCH(I$1,'Master data'!$B$1:$CL$1,0)),"")</f>
        <v>-7575.3215825039961</v>
      </c>
      <c r="J561" s="7">
        <f>IFERROR(INDEX('Master data'!$B$2:$CL$1000,MATCH($B561,'Master data'!$A$2:$A$1000,0),MATCH(J$1,'Master data'!$B$1:$CL$1,0)),"")</f>
        <v>-3711.1125543115768</v>
      </c>
      <c r="K561" s="7">
        <f>IFERROR(INDEX('Master data'!$B$2:$CL$1000,MATCH($B561,'Master data'!$A$2:$A$1000,0),MATCH(K$1,'Master data'!$B$1:$CL$1,0)),"")</f>
        <v>-1786.4796759498645</v>
      </c>
      <c r="L561" s="7">
        <f>IFERROR(INDEX('Master data'!$B$2:$CL$1000,MATCH($B561,'Master data'!$A$2:$A$1000,0),MATCH(L$1,'Master data'!$B$1:$CL$1,0)),"")</f>
        <v>-806.82367171182011</v>
      </c>
      <c r="M561" s="5">
        <f>IFERROR(INDEX('Master data'!$B$2:$CL$1000,MATCH($B561,'Master data'!$A$2:$A$1000,0),MATCH(M$1,'Master data'!$B$1:$CL$1,0)),"")</f>
        <v>-13839.243393034943</v>
      </c>
      <c r="N561" s="28">
        <f>IFERROR(INDEX('Master data'!$B$2:$CL$1000,MATCH($B561,'Master data'!$A$2:$A$1000,0),MATCH(N$1,'Master data'!$B$1:$CL$1,0)),"")</f>
        <v>-6.0000000000000001E-3</v>
      </c>
      <c r="O561" s="7">
        <f>IFERROR(INDEX('Master data'!$B$2:$CL$1000,MATCH($B561,'Master data'!$A$2:$A$1000,0),MATCH(O$1,'Master data'!$B$1:$CL$1,0)),"")</f>
        <v>0</v>
      </c>
      <c r="P561" s="5">
        <f>IFERROR(INDEX('Master data'!$B$2:$CL$1000,MATCH($B561,'Master data'!$A$2:$A$1000,0),MATCH(P$1,'Master data'!$B$1:$CL$1,0)),"")</f>
        <v>2500000</v>
      </c>
      <c r="Q561" s="5">
        <f>IFERROR(INDEX('Master data'!$B$2:$CL$1000,MATCH($B561,'Master data'!$A$2:$A$1000,0),MATCH(Q$1,'Master data'!$B$1:$CL$1,0)),"")</f>
        <v>2500000</v>
      </c>
    </row>
    <row r="562" spans="1:17" hidden="1">
      <c r="A562">
        <f t="shared" si="8"/>
        <v>560</v>
      </c>
      <c r="B562" t="str">
        <f>IF('Master data'!A562="","",'Master data'!A562)</f>
        <v>Arijan Ademi</v>
      </c>
      <c r="C562" t="str">
        <f>IFERROR(INDEX('Master data'!$B$2:$CL$1000,MATCH($B562,'Master data'!$A$2:$A$1000,0),MATCH(C$1,'Master data'!$B$1:$CL$1,0)),"")</f>
        <v>North Macedonia</v>
      </c>
      <c r="D562" t="str">
        <f>IFERROR(INDEX('Master data'!$B$2:$CL$1000,MATCH($B562,'Master data'!$A$2:$A$1000,0),MATCH(D$1,'Master data'!$B$1:$CL$1,0)),"")</f>
        <v>Midfield</v>
      </c>
      <c r="E562" s="5">
        <f>IFERROR(INDEX('Master data'!$B$2:$CL$1000,MATCH($B562,'Master data'!$A$2:$A$1000,0),MATCH(E$1,'Master data'!$B$1:$CL$1,0)),"")</f>
        <v>2500000</v>
      </c>
      <c r="F562" s="7">
        <f>IFERROR(INDEX('Master data'!$B$2:$CL$1000,MATCH($B562,'Master data'!$A$2:$A$1000,0),MATCH(F$1,'Master data'!$B$1:$CL$1,0)),"")</f>
        <v>-5000</v>
      </c>
      <c r="G562" s="7">
        <f>IFERROR(INDEX('Master data'!$B$2:$CL$1000,MATCH($B562,'Master data'!$A$2:$A$1000,0),MATCH(G$1,'Master data'!$B$1:$CL$1,0)),"")</f>
        <v>-5000</v>
      </c>
      <c r="H562" s="7">
        <f>IFERROR(INDEX('Master data'!$B$2:$CL$1000,MATCH($B562,'Master data'!$A$2:$A$1000,0),MATCH(H$1,'Master data'!$B$1:$CL$1,0)),"")</f>
        <v>-5000</v>
      </c>
      <c r="I562" s="7">
        <f>IFERROR(INDEX('Master data'!$B$2:$CL$1000,MATCH($B562,'Master data'!$A$2:$A$1000,0),MATCH(I$1,'Master data'!$B$1:$CL$1,0)),"")</f>
        <v>-7575.3215825039961</v>
      </c>
      <c r="J562" s="7">
        <f>IFERROR(INDEX('Master data'!$B$2:$CL$1000,MATCH($B562,'Master data'!$A$2:$A$1000,0),MATCH(J$1,'Master data'!$B$1:$CL$1,0)),"")</f>
        <v>-3711.1125543115768</v>
      </c>
      <c r="K562" s="7">
        <f>IFERROR(INDEX('Master data'!$B$2:$CL$1000,MATCH($B562,'Master data'!$A$2:$A$1000,0),MATCH(K$1,'Master data'!$B$1:$CL$1,0)),"")</f>
        <v>-1786.4796759498645</v>
      </c>
      <c r="L562" s="7">
        <f>IFERROR(INDEX('Master data'!$B$2:$CL$1000,MATCH($B562,'Master data'!$A$2:$A$1000,0),MATCH(L$1,'Master data'!$B$1:$CL$1,0)),"")</f>
        <v>-806.82367171182011</v>
      </c>
      <c r="M562" s="5">
        <f>IFERROR(INDEX('Master data'!$B$2:$CL$1000,MATCH($B562,'Master data'!$A$2:$A$1000,0),MATCH(M$1,'Master data'!$B$1:$CL$1,0)),"")</f>
        <v>-13839.243393034943</v>
      </c>
      <c r="N562" s="28">
        <f>IFERROR(INDEX('Master data'!$B$2:$CL$1000,MATCH($B562,'Master data'!$A$2:$A$1000,0),MATCH(N$1,'Master data'!$B$1:$CL$1,0)),"")</f>
        <v>-6.0000000000000001E-3</v>
      </c>
      <c r="O562" s="7">
        <f>IFERROR(INDEX('Master data'!$B$2:$CL$1000,MATCH($B562,'Master data'!$A$2:$A$1000,0),MATCH(O$1,'Master data'!$B$1:$CL$1,0)),"")</f>
        <v>0</v>
      </c>
      <c r="P562" s="5">
        <f>IFERROR(INDEX('Master data'!$B$2:$CL$1000,MATCH($B562,'Master data'!$A$2:$A$1000,0),MATCH(P$1,'Master data'!$B$1:$CL$1,0)),"")</f>
        <v>2500000</v>
      </c>
      <c r="Q562" s="5">
        <f>IFERROR(INDEX('Master data'!$B$2:$CL$1000,MATCH($B562,'Master data'!$A$2:$A$1000,0),MATCH(Q$1,'Master data'!$B$1:$CL$1,0)),"")</f>
        <v>2500000</v>
      </c>
    </row>
    <row r="563" spans="1:17" hidden="1">
      <c r="A563">
        <f t="shared" si="8"/>
        <v>561</v>
      </c>
      <c r="B563" t="str">
        <f>IF('Master data'!A563="","",'Master data'!A563)</f>
        <v>Stefan Spirovski</v>
      </c>
      <c r="C563" t="str">
        <f>IFERROR(INDEX('Master data'!$B$2:$CL$1000,MATCH($B563,'Master data'!$A$2:$A$1000,0),MATCH(C$1,'Master data'!$B$1:$CL$1,0)),"")</f>
        <v>North Macedonia</v>
      </c>
      <c r="D563" t="str">
        <f>IFERROR(INDEX('Master data'!$B$2:$CL$1000,MATCH($B563,'Master data'!$A$2:$A$1000,0),MATCH(D$1,'Master data'!$B$1:$CL$1,0)),"")</f>
        <v>Midfield</v>
      </c>
      <c r="E563" s="5">
        <f>IFERROR(INDEX('Master data'!$B$2:$CL$1000,MATCH($B563,'Master data'!$A$2:$A$1000,0),MATCH(E$1,'Master data'!$B$1:$CL$1,0)),"")</f>
        <v>2000000</v>
      </c>
      <c r="F563" s="7">
        <f>IFERROR(INDEX('Master data'!$B$2:$CL$1000,MATCH($B563,'Master data'!$A$2:$A$1000,0),MATCH(F$1,'Master data'!$B$1:$CL$1,0)),"")</f>
        <v>-5000</v>
      </c>
      <c r="G563" s="7">
        <f>IFERROR(INDEX('Master data'!$B$2:$CL$1000,MATCH($B563,'Master data'!$A$2:$A$1000,0),MATCH(G$1,'Master data'!$B$1:$CL$1,0)),"")</f>
        <v>-5000</v>
      </c>
      <c r="H563" s="7">
        <f>IFERROR(INDEX('Master data'!$B$2:$CL$1000,MATCH($B563,'Master data'!$A$2:$A$1000,0),MATCH(H$1,'Master data'!$B$1:$CL$1,0)),"")</f>
        <v>-5000</v>
      </c>
      <c r="I563" s="7">
        <f>IFERROR(INDEX('Master data'!$B$2:$CL$1000,MATCH($B563,'Master data'!$A$2:$A$1000,0),MATCH(I$1,'Master data'!$B$1:$CL$1,0)),"")</f>
        <v>-6306.4234949823885</v>
      </c>
      <c r="J563" s="7">
        <f>IFERROR(INDEX('Master data'!$B$2:$CL$1000,MATCH($B563,'Master data'!$A$2:$A$1000,0),MATCH(J$1,'Master data'!$B$1:$CL$1,0)),"")</f>
        <v>-3088.4426626485606</v>
      </c>
      <c r="K563" s="7">
        <f>IFERROR(INDEX('Master data'!$B$2:$CL$1000,MATCH($B563,'Master data'!$A$2:$A$1000,0),MATCH(K$1,'Master data'!$B$1:$CL$1,0)),"")</f>
        <v>-1486.2309909162739</v>
      </c>
      <c r="L563" s="7">
        <f>IFERROR(INDEX('Master data'!$B$2:$CL$1000,MATCH($B563,'Master data'!$A$2:$A$1000,0),MATCH(L$1,'Master data'!$B$1:$CL$1,0)),"")</f>
        <v>-670.99477075023424</v>
      </c>
      <c r="M563" s="5">
        <f>IFERROR(INDEX('Master data'!$B$2:$CL$1000,MATCH($B563,'Master data'!$A$2:$A$1000,0),MATCH(M$1,'Master data'!$B$1:$CL$1,0)),"")</f>
        <v>-13288.81352372231</v>
      </c>
      <c r="N563" s="28">
        <f>IFERROR(INDEX('Master data'!$B$2:$CL$1000,MATCH($B563,'Master data'!$A$2:$A$1000,0),MATCH(N$1,'Master data'!$B$1:$CL$1,0)),"")</f>
        <v>-7.4999999999999997E-3</v>
      </c>
      <c r="O563" s="7">
        <f>IFERROR(INDEX('Master data'!$B$2:$CL$1000,MATCH($B563,'Master data'!$A$2:$A$1000,0),MATCH(O$1,'Master data'!$B$1:$CL$1,0)),"")</f>
        <v>0</v>
      </c>
      <c r="P563" s="5">
        <f>IFERROR(INDEX('Master data'!$B$2:$CL$1000,MATCH($B563,'Master data'!$A$2:$A$1000,0),MATCH(P$1,'Master data'!$B$1:$CL$1,0)),"")</f>
        <v>2000000</v>
      </c>
      <c r="Q563" s="5">
        <f>IFERROR(INDEX('Master data'!$B$2:$CL$1000,MATCH($B563,'Master data'!$A$2:$A$1000,0),MATCH(Q$1,'Master data'!$B$1:$CL$1,0)),"")</f>
        <v>2000000</v>
      </c>
    </row>
    <row r="564" spans="1:17" hidden="1">
      <c r="A564">
        <f t="shared" si="8"/>
        <v>562</v>
      </c>
      <c r="B564" t="str">
        <f>IF('Master data'!A564="","",'Master data'!A564)</f>
        <v>Milan Ristovski</v>
      </c>
      <c r="C564" t="str">
        <f>IFERROR(INDEX('Master data'!$B$2:$CL$1000,MATCH($B564,'Master data'!$A$2:$A$1000,0),MATCH(C$1,'Master data'!$B$1:$CL$1,0)),"")</f>
        <v>North Macedonia</v>
      </c>
      <c r="D564" t="str">
        <f>IFERROR(INDEX('Master data'!$B$2:$CL$1000,MATCH($B564,'Master data'!$A$2:$A$1000,0),MATCH(D$1,'Master data'!$B$1:$CL$1,0)),"")</f>
        <v>Striker</v>
      </c>
      <c r="E564" s="5">
        <f>IFERROR(INDEX('Master data'!$B$2:$CL$1000,MATCH($B564,'Master data'!$A$2:$A$1000,0),MATCH(E$1,'Master data'!$B$1:$CL$1,0)),"")</f>
        <v>2000000</v>
      </c>
      <c r="F564" s="7">
        <f>IFERROR(INDEX('Master data'!$B$2:$CL$1000,MATCH($B564,'Master data'!$A$2:$A$1000,0),MATCH(F$1,'Master data'!$B$1:$CL$1,0)),"")</f>
        <v>-5000</v>
      </c>
      <c r="G564" s="7">
        <f>IFERROR(INDEX('Master data'!$B$2:$CL$1000,MATCH($B564,'Master data'!$A$2:$A$1000,0),MATCH(G$1,'Master data'!$B$1:$CL$1,0)),"")</f>
        <v>-5000</v>
      </c>
      <c r="H564" s="7">
        <f>IFERROR(INDEX('Master data'!$B$2:$CL$1000,MATCH($B564,'Master data'!$A$2:$A$1000,0),MATCH(H$1,'Master data'!$B$1:$CL$1,0)),"")</f>
        <v>-5000</v>
      </c>
      <c r="I564" s="7">
        <f>IFERROR(INDEX('Master data'!$B$2:$CL$1000,MATCH($B564,'Master data'!$A$2:$A$1000,0),MATCH(I$1,'Master data'!$B$1:$CL$1,0)),"")</f>
        <v>-6306.4234949823885</v>
      </c>
      <c r="J564" s="7">
        <f>IFERROR(INDEX('Master data'!$B$2:$CL$1000,MATCH($B564,'Master data'!$A$2:$A$1000,0),MATCH(J$1,'Master data'!$B$1:$CL$1,0)),"")</f>
        <v>-3088.4426626485606</v>
      </c>
      <c r="K564" s="7">
        <f>IFERROR(INDEX('Master data'!$B$2:$CL$1000,MATCH($B564,'Master data'!$A$2:$A$1000,0),MATCH(K$1,'Master data'!$B$1:$CL$1,0)),"")</f>
        <v>-1486.2309909162739</v>
      </c>
      <c r="L564" s="7">
        <f>IFERROR(INDEX('Master data'!$B$2:$CL$1000,MATCH($B564,'Master data'!$A$2:$A$1000,0),MATCH(L$1,'Master data'!$B$1:$CL$1,0)),"")</f>
        <v>-670.99477075023424</v>
      </c>
      <c r="M564" s="5">
        <f>IFERROR(INDEX('Master data'!$B$2:$CL$1000,MATCH($B564,'Master data'!$A$2:$A$1000,0),MATCH(M$1,'Master data'!$B$1:$CL$1,0)),"")</f>
        <v>-13288.81352372231</v>
      </c>
      <c r="N564" s="28">
        <f>IFERROR(INDEX('Master data'!$B$2:$CL$1000,MATCH($B564,'Master data'!$A$2:$A$1000,0),MATCH(N$1,'Master data'!$B$1:$CL$1,0)),"")</f>
        <v>-7.4999999999999997E-3</v>
      </c>
      <c r="O564" s="7">
        <f>IFERROR(INDEX('Master data'!$B$2:$CL$1000,MATCH($B564,'Master data'!$A$2:$A$1000,0),MATCH(O$1,'Master data'!$B$1:$CL$1,0)),"")</f>
        <v>0</v>
      </c>
      <c r="P564" s="5">
        <f>IFERROR(INDEX('Master data'!$B$2:$CL$1000,MATCH($B564,'Master data'!$A$2:$A$1000,0),MATCH(P$1,'Master data'!$B$1:$CL$1,0)),"")</f>
        <v>2000000</v>
      </c>
      <c r="Q564" s="5">
        <f>IFERROR(INDEX('Master data'!$B$2:$CL$1000,MATCH($B564,'Master data'!$A$2:$A$1000,0),MATCH(Q$1,'Master data'!$B$1:$CL$1,0)),"")</f>
        <v>2000000</v>
      </c>
    </row>
    <row r="565" spans="1:17" hidden="1">
      <c r="A565">
        <f t="shared" si="8"/>
        <v>563</v>
      </c>
      <c r="B565" t="str">
        <f>IF('Master data'!A565="","",'Master data'!A565)</f>
        <v>Krste Velkovski</v>
      </c>
      <c r="C565" t="str">
        <f>IFERROR(INDEX('Master data'!$B$2:$CL$1000,MATCH($B565,'Master data'!$A$2:$A$1000,0),MATCH(C$1,'Master data'!$B$1:$CL$1,0)),"")</f>
        <v>North Macedonia</v>
      </c>
      <c r="D565" t="str">
        <f>IFERROR(INDEX('Master data'!$B$2:$CL$1000,MATCH($B565,'Master data'!$A$2:$A$1000,0),MATCH(D$1,'Master data'!$B$1:$CL$1,0)),"")</f>
        <v>Striker</v>
      </c>
      <c r="E565" s="5">
        <f>IFERROR(INDEX('Master data'!$B$2:$CL$1000,MATCH($B565,'Master data'!$A$2:$A$1000,0),MATCH(E$1,'Master data'!$B$1:$CL$1,0)),"")</f>
        <v>2000000</v>
      </c>
      <c r="F565" s="7">
        <f>IFERROR(INDEX('Master data'!$B$2:$CL$1000,MATCH($B565,'Master data'!$A$2:$A$1000,0),MATCH(F$1,'Master data'!$B$1:$CL$1,0)),"")</f>
        <v>-5000</v>
      </c>
      <c r="G565" s="7">
        <f>IFERROR(INDEX('Master data'!$B$2:$CL$1000,MATCH($B565,'Master data'!$A$2:$A$1000,0),MATCH(G$1,'Master data'!$B$1:$CL$1,0)),"")</f>
        <v>-5000</v>
      </c>
      <c r="H565" s="7">
        <f>IFERROR(INDEX('Master data'!$B$2:$CL$1000,MATCH($B565,'Master data'!$A$2:$A$1000,0),MATCH(H$1,'Master data'!$B$1:$CL$1,0)),"")</f>
        <v>-5000</v>
      </c>
      <c r="I565" s="7">
        <f>IFERROR(INDEX('Master data'!$B$2:$CL$1000,MATCH($B565,'Master data'!$A$2:$A$1000,0),MATCH(I$1,'Master data'!$B$1:$CL$1,0)),"")</f>
        <v>-6306.4234949823885</v>
      </c>
      <c r="J565" s="7">
        <f>IFERROR(INDEX('Master data'!$B$2:$CL$1000,MATCH($B565,'Master data'!$A$2:$A$1000,0),MATCH(J$1,'Master data'!$B$1:$CL$1,0)),"")</f>
        <v>-3088.4426626485606</v>
      </c>
      <c r="K565" s="7">
        <f>IFERROR(INDEX('Master data'!$B$2:$CL$1000,MATCH($B565,'Master data'!$A$2:$A$1000,0),MATCH(K$1,'Master data'!$B$1:$CL$1,0)),"")</f>
        <v>-1486.2309909162739</v>
      </c>
      <c r="L565" s="7">
        <f>IFERROR(INDEX('Master data'!$B$2:$CL$1000,MATCH($B565,'Master data'!$A$2:$A$1000,0),MATCH(L$1,'Master data'!$B$1:$CL$1,0)),"")</f>
        <v>-670.99477075023424</v>
      </c>
      <c r="M565" s="5">
        <f>IFERROR(INDEX('Master data'!$B$2:$CL$1000,MATCH($B565,'Master data'!$A$2:$A$1000,0),MATCH(M$1,'Master data'!$B$1:$CL$1,0)),"")</f>
        <v>-13288.81352372231</v>
      </c>
      <c r="N565" s="28">
        <f>IFERROR(INDEX('Master data'!$B$2:$CL$1000,MATCH($B565,'Master data'!$A$2:$A$1000,0),MATCH(N$1,'Master data'!$B$1:$CL$1,0)),"")</f>
        <v>-7.4999999999999997E-3</v>
      </c>
      <c r="O565" s="7">
        <f>IFERROR(INDEX('Master data'!$B$2:$CL$1000,MATCH($B565,'Master data'!$A$2:$A$1000,0),MATCH(O$1,'Master data'!$B$1:$CL$1,0)),"")</f>
        <v>0</v>
      </c>
      <c r="P565" s="5">
        <f>IFERROR(INDEX('Master data'!$B$2:$CL$1000,MATCH($B565,'Master data'!$A$2:$A$1000,0),MATCH(P$1,'Master data'!$B$1:$CL$1,0)),"")</f>
        <v>2000000</v>
      </c>
      <c r="Q565" s="5">
        <f>IFERROR(INDEX('Master data'!$B$2:$CL$1000,MATCH($B565,'Master data'!$A$2:$A$1000,0),MATCH(Q$1,'Master data'!$B$1:$CL$1,0)),"")</f>
        <v>2000000</v>
      </c>
    </row>
    <row r="566" spans="1:17" hidden="1">
      <c r="A566">
        <f t="shared" si="8"/>
        <v>564</v>
      </c>
      <c r="B566" t="str">
        <f>IF('Master data'!A566="","",'Master data'!A566)</f>
        <v>Becir Omeragic</v>
      </c>
      <c r="C566" t="str">
        <f>IFERROR(INDEX('Master data'!$B$2:$CL$1000,MATCH($B566,'Master data'!$A$2:$A$1000,0),MATCH(C$1,'Master data'!$B$1:$CL$1,0)),"")</f>
        <v>Switzerland</v>
      </c>
      <c r="D566" t="str">
        <f>IFERROR(INDEX('Master data'!$B$2:$CL$1000,MATCH($B566,'Master data'!$A$2:$A$1000,0),MATCH(D$1,'Master data'!$B$1:$CL$1,0)),"")</f>
        <v>Defense</v>
      </c>
      <c r="E566" s="5">
        <f>IFERROR(INDEX('Master data'!$B$2:$CL$1000,MATCH($B566,'Master data'!$A$2:$A$1000,0),MATCH(E$1,'Master data'!$B$1:$CL$1,0)),"")</f>
        <v>2000000</v>
      </c>
      <c r="F566" s="7">
        <f>IFERROR(INDEX('Master data'!$B$2:$CL$1000,MATCH($B566,'Master data'!$A$2:$A$1000,0),MATCH(F$1,'Master data'!$B$1:$CL$1,0)),"")</f>
        <v>15856.639937414435</v>
      </c>
      <c r="G566" s="7">
        <f>IFERROR(INDEX('Master data'!$B$2:$CL$1000,MATCH($B566,'Master data'!$A$2:$A$1000,0),MATCH(G$1,'Master data'!$B$1:$CL$1,0)),"")</f>
        <v>5937.3903336530748</v>
      </c>
      <c r="H566" s="7">
        <f>IFERROR(INDEX('Master data'!$B$2:$CL$1000,MATCH($B566,'Master data'!$A$2:$A$1000,0),MATCH(H$1,'Master data'!$B$1:$CL$1,0)),"")</f>
        <v>9692.4749494427251</v>
      </c>
      <c r="I566" s="7">
        <f>IFERROR(INDEX('Master data'!$B$2:$CL$1000,MATCH($B566,'Master data'!$A$2:$A$1000,0),MATCH(I$1,'Master data'!$B$1:$CL$1,0)),"")</f>
        <v>-6269.0673345011737</v>
      </c>
      <c r="J566" s="7">
        <f>IFERROR(INDEX('Master data'!$B$2:$CL$1000,MATCH($B566,'Master data'!$A$2:$A$1000,0),MATCH(J$1,'Master data'!$B$1:$CL$1,0)),"")</f>
        <v>-3123.4605673587766</v>
      </c>
      <c r="K566" s="7">
        <f>IFERROR(INDEX('Master data'!$B$2:$CL$1000,MATCH($B566,'Master data'!$A$2:$A$1000,0),MATCH(K$1,'Master data'!$B$1:$CL$1,0)),"")</f>
        <v>-1535.8480922178169</v>
      </c>
      <c r="L566" s="7">
        <f>IFERROR(INDEX('Master data'!$B$2:$CL$1000,MATCH($B566,'Master data'!$A$2:$A$1000,0),MATCH(L$1,'Master data'!$B$1:$CL$1,0)),"")</f>
        <v>-720.71660677278692</v>
      </c>
      <c r="M566" s="5">
        <f>IFERROR(INDEX('Master data'!$B$2:$CL$1000,MATCH($B566,'Master data'!$A$2:$A$1000,0),MATCH(M$1,'Master data'!$B$1:$CL$1,0)),"")</f>
        <v>21382.661117299966</v>
      </c>
      <c r="N566" s="28">
        <f>IFERROR(INDEX('Master data'!$B$2:$CL$1000,MATCH($B566,'Master data'!$A$2:$A$1000,0),MATCH(N$1,'Master data'!$B$1:$CL$1,0)),"")</f>
        <v>1.5743252610255117E-2</v>
      </c>
      <c r="O566" s="7">
        <f>IFERROR(INDEX('Master data'!$B$2:$CL$1000,MATCH($B566,'Master data'!$A$2:$A$1000,0),MATCH(O$1,'Master data'!$B$1:$CL$1,0)),"")</f>
        <v>0</v>
      </c>
      <c r="P566" s="5">
        <f>IFERROR(INDEX('Master data'!$B$2:$CL$1000,MATCH($B566,'Master data'!$A$2:$A$1000,0),MATCH(P$1,'Master data'!$B$1:$CL$1,0)),"")</f>
        <v>2000000</v>
      </c>
      <c r="Q566" s="5">
        <f>IFERROR(INDEX('Master data'!$B$2:$CL$1000,MATCH($B566,'Master data'!$A$2:$A$1000,0),MATCH(Q$1,'Master data'!$B$1:$CL$1,0)),"")</f>
        <v>2000000</v>
      </c>
    </row>
    <row r="567" spans="1:17" hidden="1">
      <c r="A567">
        <f t="shared" si="8"/>
        <v>565</v>
      </c>
      <c r="B567" t="str">
        <f>IF('Master data'!A567="","",'Master data'!A567)</f>
        <v>Péter Gulácsi</v>
      </c>
      <c r="C567" t="str">
        <f>IFERROR(INDEX('Master data'!$B$2:$CL$1000,MATCH($B567,'Master data'!$A$2:$A$1000,0),MATCH(C$1,'Master data'!$B$1:$CL$1,0)),"")</f>
        <v>Hungary</v>
      </c>
      <c r="D567" t="str">
        <f>IFERROR(INDEX('Master data'!$B$2:$CL$1000,MATCH($B567,'Master data'!$A$2:$A$1000,0),MATCH(D$1,'Master data'!$B$1:$CL$1,0)),"")</f>
        <v>Goalkeeper</v>
      </c>
      <c r="E567" s="5">
        <f>IFERROR(INDEX('Master data'!$B$2:$CL$1000,MATCH($B567,'Master data'!$A$2:$A$1000,0),MATCH(E$1,'Master data'!$B$1:$CL$1,0)),"")</f>
        <v>3000000</v>
      </c>
      <c r="F567" s="7">
        <f>IFERROR(INDEX('Master data'!$B$2:$CL$1000,MATCH($B567,'Master data'!$A$2:$A$1000,0),MATCH(F$1,'Master data'!$B$1:$CL$1,0)),"")</f>
        <v>23884.65082800245</v>
      </c>
      <c r="G567" s="7">
        <f>IFERROR(INDEX('Master data'!$B$2:$CL$1000,MATCH($B567,'Master data'!$A$2:$A$1000,0),MATCH(G$1,'Master data'!$B$1:$CL$1,0)),"")</f>
        <v>19313.573034957222</v>
      </c>
      <c r="H567" s="7">
        <f>IFERROR(INDEX('Master data'!$B$2:$CL$1000,MATCH($B567,'Master data'!$A$2:$A$1000,0),MATCH(H$1,'Master data'!$B$1:$CL$1,0)),"")</f>
        <v>13379.38170853211</v>
      </c>
      <c r="I567" s="7">
        <f>IFERROR(INDEX('Master data'!$B$2:$CL$1000,MATCH($B567,'Master data'!$A$2:$A$1000,0),MATCH(I$1,'Master data'!$B$1:$CL$1,0)),"")</f>
        <v>-1980.5932815961526</v>
      </c>
      <c r="J567" s="7">
        <f>IFERROR(INDEX('Master data'!$B$2:$CL$1000,MATCH($B567,'Master data'!$A$2:$A$1000,0),MATCH(J$1,'Master data'!$B$1:$CL$1,0)),"")</f>
        <v>-988.14797032229592</v>
      </c>
      <c r="K567" s="7">
        <f>IFERROR(INDEX('Master data'!$B$2:$CL$1000,MATCH($B567,'Master data'!$A$2:$A$1000,0),MATCH(K$1,'Master data'!$B$1:$CL$1,0)),"")</f>
        <v>-484.59973112017559</v>
      </c>
      <c r="L567" s="7">
        <f>IFERROR(INDEX('Master data'!$B$2:$CL$1000,MATCH($B567,'Master data'!$A$2:$A$1000,0),MATCH(L$1,'Master data'!$B$1:$CL$1,0)),"")</f>
        <v>-223.4155068712524</v>
      </c>
      <c r="M567" s="5">
        <f>IFERROR(INDEX('Master data'!$B$2:$CL$1000,MATCH($B567,'Master data'!$A$2:$A$1000,0),MATCH(M$1,'Master data'!$B$1:$CL$1,0)),"")</f>
        <v>41841.296294909349</v>
      </c>
      <c r="N567" s="28">
        <f>IFERROR(INDEX('Master data'!$B$2:$CL$1000,MATCH($B567,'Master data'!$A$2:$A$1000,0),MATCH(N$1,'Master data'!$B$1:$CL$1,0)),"")</f>
        <v>1.8859201857163926E-2</v>
      </c>
      <c r="O567" s="7">
        <f>IFERROR(INDEX('Master data'!$B$2:$CL$1000,MATCH($B567,'Master data'!$A$2:$A$1000,0),MATCH(O$1,'Master data'!$B$1:$CL$1,0)),"")</f>
        <v>0</v>
      </c>
      <c r="P567" s="5">
        <f>IFERROR(INDEX('Master data'!$B$2:$CL$1000,MATCH($B567,'Master data'!$A$2:$A$1000,0),MATCH(P$1,'Master data'!$B$1:$CL$1,0)),"")</f>
        <v>3000000</v>
      </c>
      <c r="Q567" s="5">
        <f>IFERROR(INDEX('Master data'!$B$2:$CL$1000,MATCH($B567,'Master data'!$A$2:$A$1000,0),MATCH(Q$1,'Master data'!$B$1:$CL$1,0)),"")</f>
        <v>3000000</v>
      </c>
    </row>
    <row r="568" spans="1:17" hidden="1">
      <c r="A568">
        <f t="shared" si="8"/>
        <v>566</v>
      </c>
      <c r="B568" t="str">
        <f>IF('Master data'!A568="","",'Master data'!A568)</f>
        <v>Ádám Bogdán</v>
      </c>
      <c r="C568" t="str">
        <f>IFERROR(INDEX('Master data'!$B$2:$CL$1000,MATCH($B568,'Master data'!$A$2:$A$1000,0),MATCH(C$1,'Master data'!$B$1:$CL$1,0)),"")</f>
        <v>Hungary</v>
      </c>
      <c r="D568" t="str">
        <f>IFERROR(INDEX('Master data'!$B$2:$CL$1000,MATCH($B568,'Master data'!$A$2:$A$1000,0),MATCH(D$1,'Master data'!$B$1:$CL$1,0)),"")</f>
        <v>Goalkeeper</v>
      </c>
      <c r="E568" s="5">
        <f>IFERROR(INDEX('Master data'!$B$2:$CL$1000,MATCH($B568,'Master data'!$A$2:$A$1000,0),MATCH(E$1,'Master data'!$B$1:$CL$1,0)),"")</f>
        <v>2500000</v>
      </c>
      <c r="F568" s="7">
        <f>IFERROR(INDEX('Master data'!$B$2:$CL$1000,MATCH($B568,'Master data'!$A$2:$A$1000,0),MATCH(F$1,'Master data'!$B$1:$CL$1,0)),"")</f>
        <v>23363.165067970949</v>
      </c>
      <c r="G568" s="7">
        <f>IFERROR(INDEX('Master data'!$B$2:$CL$1000,MATCH($B568,'Master data'!$A$2:$A$1000,0),MATCH(G$1,'Master data'!$B$1:$CL$1,0)),"")</f>
        <v>22634.601837012568</v>
      </c>
      <c r="H568" s="7">
        <f>IFERROR(INDEX('Master data'!$B$2:$CL$1000,MATCH($B568,'Master data'!$A$2:$A$1000,0),MATCH(H$1,'Master data'!$B$1:$CL$1,0)),"")</f>
        <v>22978.722094512712</v>
      </c>
      <c r="I568" s="7">
        <f>IFERROR(INDEX('Master data'!$B$2:$CL$1000,MATCH($B568,'Master data'!$A$2:$A$1000,0),MATCH(I$1,'Master data'!$B$1:$CL$1,0)),"")</f>
        <v>-456.39758390964823</v>
      </c>
      <c r="J568" s="7">
        <f>IFERROR(INDEX('Master data'!$B$2:$CL$1000,MATCH($B568,'Master data'!$A$2:$A$1000,0),MATCH(J$1,'Master data'!$B$1:$CL$1,0)),"")</f>
        <v>-243.19344275777911</v>
      </c>
      <c r="K568" s="7">
        <f>IFERROR(INDEX('Master data'!$B$2:$CL$1000,MATCH($B568,'Master data'!$A$2:$A$1000,0),MATCH(K$1,'Master data'!$B$1:$CL$1,0)),"")</f>
        <v>-126.62427044214181</v>
      </c>
      <c r="L568" s="7">
        <f>IFERROR(INDEX('Master data'!$B$2:$CL$1000,MATCH($B568,'Master data'!$A$2:$A$1000,0),MATCH(L$1,'Master data'!$B$1:$CL$1,0)),"")</f>
        <v>-61.666286446212268</v>
      </c>
      <c r="M568" s="5">
        <f>IFERROR(INDEX('Master data'!$B$2:$CL$1000,MATCH($B568,'Master data'!$A$2:$A$1000,0),MATCH(M$1,'Master data'!$B$1:$CL$1,0)),"")</f>
        <v>48460.309300115834</v>
      </c>
      <c r="N568" s="28">
        <f>IFERROR(INDEX('Master data'!$B$2:$CL$1000,MATCH($B568,'Master data'!$A$2:$A$1000,0),MATCH(N$1,'Master data'!$B$1:$CL$1,0)),"")</f>
        <v>2.7590595599798491E-2</v>
      </c>
      <c r="O568" s="7">
        <f>IFERROR(INDEX('Master data'!$B$2:$CL$1000,MATCH($B568,'Master data'!$A$2:$A$1000,0),MATCH(O$1,'Master data'!$B$1:$CL$1,0)),"")</f>
        <v>0</v>
      </c>
      <c r="P568" s="5">
        <f>IFERROR(INDEX('Master data'!$B$2:$CL$1000,MATCH($B568,'Master data'!$A$2:$A$1000,0),MATCH(P$1,'Master data'!$B$1:$CL$1,0)),"")</f>
        <v>2500000</v>
      </c>
      <c r="Q568" s="5">
        <f>IFERROR(INDEX('Master data'!$B$2:$CL$1000,MATCH($B568,'Master data'!$A$2:$A$1000,0),MATCH(Q$1,'Master data'!$B$1:$CL$1,0)),"")</f>
        <v>2500000</v>
      </c>
    </row>
    <row r="569" spans="1:17" hidden="1">
      <c r="A569">
        <f t="shared" si="8"/>
        <v>567</v>
      </c>
      <c r="B569" t="str">
        <f>IF('Master data'!A569="","",'Master data'!A569)</f>
        <v>Dénes Dibusz</v>
      </c>
      <c r="C569" t="str">
        <f>IFERROR(INDEX('Master data'!$B$2:$CL$1000,MATCH($B569,'Master data'!$A$2:$A$1000,0),MATCH(C$1,'Master data'!$B$1:$CL$1,0)),"")</f>
        <v>Hungary</v>
      </c>
      <c r="D569" t="str">
        <f>IFERROR(INDEX('Master data'!$B$2:$CL$1000,MATCH($B569,'Master data'!$A$2:$A$1000,0),MATCH(D$1,'Master data'!$B$1:$CL$1,0)),"")</f>
        <v>Goalkeeper</v>
      </c>
      <c r="E569" s="5">
        <f>IFERROR(INDEX('Master data'!$B$2:$CL$1000,MATCH($B569,'Master data'!$A$2:$A$1000,0),MATCH(E$1,'Master data'!$B$1:$CL$1,0)),"")</f>
        <v>3000000</v>
      </c>
      <c r="F569" s="7">
        <f>IFERROR(INDEX('Master data'!$B$2:$CL$1000,MATCH($B569,'Master data'!$A$2:$A$1000,0),MATCH(F$1,'Master data'!$B$1:$CL$1,0)),"")</f>
        <v>23363.165067970949</v>
      </c>
      <c r="G569" s="7">
        <f>IFERROR(INDEX('Master data'!$B$2:$CL$1000,MATCH($B569,'Master data'!$A$2:$A$1000,0),MATCH(G$1,'Master data'!$B$1:$CL$1,0)),"")</f>
        <v>22634.601837012568</v>
      </c>
      <c r="H569" s="7">
        <f>IFERROR(INDEX('Master data'!$B$2:$CL$1000,MATCH($B569,'Master data'!$A$2:$A$1000,0),MATCH(H$1,'Master data'!$B$1:$CL$1,0)),"")</f>
        <v>22978.722094512712</v>
      </c>
      <c r="I569" s="7">
        <f>IFERROR(INDEX('Master data'!$B$2:$CL$1000,MATCH($B569,'Master data'!$A$2:$A$1000,0),MATCH(I$1,'Master data'!$B$1:$CL$1,0)),"")</f>
        <v>-1302.3296422573865</v>
      </c>
      <c r="J569" s="7">
        <f>IFERROR(INDEX('Master data'!$B$2:$CL$1000,MATCH($B569,'Master data'!$A$2:$A$1000,0),MATCH(J$1,'Master data'!$B$1:$CL$1,0)),"")</f>
        <v>-658.55038367210409</v>
      </c>
      <c r="K569" s="7">
        <f>IFERROR(INDEX('Master data'!$B$2:$CL$1000,MATCH($B569,'Master data'!$A$2:$A$1000,0),MATCH(K$1,'Master data'!$B$1:$CL$1,0)),"")</f>
        <v>-327.14124606679229</v>
      </c>
      <c r="L569" s="7">
        <f>IFERROR(INDEX('Master data'!$B$2:$CL$1000,MATCH($B569,'Master data'!$A$2:$A$1000,0),MATCH(L$1,'Master data'!$B$1:$CL$1,0)),"")</f>
        <v>-152.69021513240355</v>
      </c>
      <c r="M569" s="5">
        <f>IFERROR(INDEX('Master data'!$B$2:$CL$1000,MATCH($B569,'Master data'!$A$2:$A$1000,0),MATCH(M$1,'Master data'!$B$1:$CL$1,0)),"")</f>
        <v>48093.220294367326</v>
      </c>
      <c r="N569" s="28">
        <f>IFERROR(INDEX('Master data'!$B$2:$CL$1000,MATCH($B569,'Master data'!$A$2:$A$1000,0),MATCH(N$1,'Master data'!$B$1:$CL$1,0)),"")</f>
        <v>2.2992162999832075E-2</v>
      </c>
      <c r="O569" s="7">
        <f>IFERROR(INDEX('Master data'!$B$2:$CL$1000,MATCH($B569,'Master data'!$A$2:$A$1000,0),MATCH(O$1,'Master data'!$B$1:$CL$1,0)),"")</f>
        <v>0</v>
      </c>
      <c r="P569" s="5">
        <f>IFERROR(INDEX('Master data'!$B$2:$CL$1000,MATCH($B569,'Master data'!$A$2:$A$1000,0),MATCH(P$1,'Master data'!$B$1:$CL$1,0)),"")</f>
        <v>3000000</v>
      </c>
      <c r="Q569" s="5">
        <f>IFERROR(INDEX('Master data'!$B$2:$CL$1000,MATCH($B569,'Master data'!$A$2:$A$1000,0),MATCH(Q$1,'Master data'!$B$1:$CL$1,0)),"")</f>
        <v>3000000</v>
      </c>
    </row>
    <row r="570" spans="1:17" hidden="1">
      <c r="A570">
        <f t="shared" si="8"/>
        <v>568</v>
      </c>
      <c r="B570" t="str">
        <f>IF('Master data'!A570="","",'Master data'!A570)</f>
        <v>Bendegúz Bolla</v>
      </c>
      <c r="C570" t="str">
        <f>IFERROR(INDEX('Master data'!$B$2:$CL$1000,MATCH($B570,'Master data'!$A$2:$A$1000,0),MATCH(C$1,'Master data'!$B$1:$CL$1,0)),"")</f>
        <v>Hungary</v>
      </c>
      <c r="D570" t="str">
        <f>IFERROR(INDEX('Master data'!$B$2:$CL$1000,MATCH($B570,'Master data'!$A$2:$A$1000,0),MATCH(D$1,'Master data'!$B$1:$CL$1,0)),"")</f>
        <v>Defense</v>
      </c>
      <c r="E570" s="5">
        <f>IFERROR(INDEX('Master data'!$B$2:$CL$1000,MATCH($B570,'Master data'!$A$2:$A$1000,0),MATCH(E$1,'Master data'!$B$1:$CL$1,0)),"")</f>
        <v>2000000</v>
      </c>
      <c r="F570" s="7">
        <f>IFERROR(INDEX('Master data'!$B$2:$CL$1000,MATCH($B570,'Master data'!$A$2:$A$1000,0),MATCH(F$1,'Master data'!$B$1:$CL$1,0)),"")</f>
        <v>3580.1838610827344</v>
      </c>
      <c r="G570" s="7">
        <f>IFERROR(INDEX('Master data'!$B$2:$CL$1000,MATCH($B570,'Master data'!$A$2:$A$1000,0),MATCH(G$1,'Master data'!$B$1:$CL$1,0)),"")</f>
        <v>880.25179396351996</v>
      </c>
      <c r="H570" s="7">
        <f>IFERROR(INDEX('Master data'!$B$2:$CL$1000,MATCH($B570,'Master data'!$A$2:$A$1000,0),MATCH(H$1,'Master data'!$B$1:$CL$1,0)),"")</f>
        <v>-630.62164436079183</v>
      </c>
      <c r="I570" s="7">
        <f>IFERROR(INDEX('Master data'!$B$2:$CL$1000,MATCH($B570,'Master data'!$A$2:$A$1000,0),MATCH(I$1,'Master data'!$B$1:$CL$1,0)),"")</f>
        <v>-3174.2235950127051</v>
      </c>
      <c r="J570" s="7">
        <f>IFERROR(INDEX('Master data'!$B$2:$CL$1000,MATCH($B570,'Master data'!$A$2:$A$1000,0),MATCH(J$1,'Master data'!$B$1:$CL$1,0)),"")</f>
        <v>-1559.6204144253552</v>
      </c>
      <c r="K570" s="7">
        <f>IFERROR(INDEX('Master data'!$B$2:$CL$1000,MATCH($B570,'Master data'!$A$2:$A$1000,0),MATCH(K$1,'Master data'!$B$1:$CL$1,0)),"")</f>
        <v>-753.43153006552291</v>
      </c>
      <c r="L570" s="7">
        <f>IFERROR(INDEX('Master data'!$B$2:$CL$1000,MATCH($B570,'Master data'!$A$2:$A$1000,0),MATCH(L$1,'Master data'!$B$1:$CL$1,0)),"")</f>
        <v>-342.24981912165777</v>
      </c>
      <c r="M570" s="5">
        <f>IFERROR(INDEX('Master data'!$B$2:$CL$1000,MATCH($B570,'Master data'!$A$2:$A$1000,0),MATCH(M$1,'Master data'!$B$1:$CL$1,0)),"")</f>
        <v>2508.8942967251241</v>
      </c>
      <c r="N570" s="28">
        <f>IFERROR(INDEX('Master data'!$B$2:$CL$1000,MATCH($B570,'Master data'!$A$2:$A$1000,0),MATCH(N$1,'Master data'!$B$1:$CL$1,0)),"")</f>
        <v>1.9149070053427312E-3</v>
      </c>
      <c r="O570" s="7">
        <f>IFERROR(INDEX('Master data'!$B$2:$CL$1000,MATCH($B570,'Master data'!$A$2:$A$1000,0),MATCH(O$1,'Master data'!$B$1:$CL$1,0)),"")</f>
        <v>0</v>
      </c>
      <c r="P570" s="5">
        <f>IFERROR(INDEX('Master data'!$B$2:$CL$1000,MATCH($B570,'Master data'!$A$2:$A$1000,0),MATCH(P$1,'Master data'!$B$1:$CL$1,0)),"")</f>
        <v>2000000</v>
      </c>
      <c r="Q570" s="5">
        <f>IFERROR(INDEX('Master data'!$B$2:$CL$1000,MATCH($B570,'Master data'!$A$2:$A$1000,0),MATCH(Q$1,'Master data'!$B$1:$CL$1,0)),"")</f>
        <v>2000000</v>
      </c>
    </row>
    <row r="571" spans="1:17" hidden="1">
      <c r="A571">
        <f t="shared" si="8"/>
        <v>569</v>
      </c>
      <c r="B571" t="str">
        <f>IF('Master data'!A571="","",'Master data'!A571)</f>
        <v>Willi Orbán</v>
      </c>
      <c r="C571" t="str">
        <f>IFERROR(INDEX('Master data'!$B$2:$CL$1000,MATCH($B571,'Master data'!$A$2:$A$1000,0),MATCH(C$1,'Master data'!$B$1:$CL$1,0)),"")</f>
        <v>Hungary</v>
      </c>
      <c r="D571" t="str">
        <f>IFERROR(INDEX('Master data'!$B$2:$CL$1000,MATCH($B571,'Master data'!$A$2:$A$1000,0),MATCH(D$1,'Master data'!$B$1:$CL$1,0)),"")</f>
        <v>Defense</v>
      </c>
      <c r="E571" s="5">
        <f>IFERROR(INDEX('Master data'!$B$2:$CL$1000,MATCH($B571,'Master data'!$A$2:$A$1000,0),MATCH(E$1,'Master data'!$B$1:$CL$1,0)),"")</f>
        <v>3000000</v>
      </c>
      <c r="F571" s="7">
        <f>IFERROR(INDEX('Master data'!$B$2:$CL$1000,MATCH($B571,'Master data'!$A$2:$A$1000,0),MATCH(F$1,'Master data'!$B$1:$CL$1,0)),"")</f>
        <v>13392.924821628309</v>
      </c>
      <c r="G571" s="7">
        <f>IFERROR(INDEX('Master data'!$B$2:$CL$1000,MATCH($B571,'Master data'!$A$2:$A$1000,0),MATCH(G$1,'Master data'!$B$1:$CL$1,0)),"")</f>
        <v>7598.7399003337923</v>
      </c>
      <c r="H571" s="7">
        <f>IFERROR(INDEX('Master data'!$B$2:$CL$1000,MATCH($B571,'Master data'!$A$2:$A$1000,0),MATCH(H$1,'Master data'!$B$1:$CL$1,0)),"")</f>
        <v>-1865.6217233098359</v>
      </c>
      <c r="I571" s="7">
        <f>IFERROR(INDEX('Master data'!$B$2:$CL$1000,MATCH($B571,'Master data'!$A$2:$A$1000,0),MATCH(I$1,'Master data'!$B$1:$CL$1,0)),"")</f>
        <v>-4029.3288211370727</v>
      </c>
      <c r="J571" s="7">
        <f>IFERROR(INDEX('Master data'!$B$2:$CL$1000,MATCH($B571,'Master data'!$A$2:$A$1000,0),MATCH(J$1,'Master data'!$B$1:$CL$1,0)),"")</f>
        <v>-1983.7170239361226</v>
      </c>
      <c r="K571" s="7">
        <f>IFERROR(INDEX('Master data'!$B$2:$CL$1000,MATCH($B571,'Master data'!$A$2:$A$1000,0),MATCH(K$1,'Master data'!$B$1:$CL$1,0)),"")</f>
        <v>-960.21242155664049</v>
      </c>
      <c r="L571" s="7">
        <f>IFERROR(INDEX('Master data'!$B$2:$CL$1000,MATCH($B571,'Master data'!$A$2:$A$1000,0),MATCH(L$1,'Master data'!$B$1:$CL$1,0)),"")</f>
        <v>-437.04544414909088</v>
      </c>
      <c r="M571" s="5">
        <f>IFERROR(INDEX('Master data'!$B$2:$CL$1000,MATCH($B571,'Master data'!$A$2:$A$1000,0),MATCH(M$1,'Master data'!$B$1:$CL$1,0)),"")</f>
        <v>15879.049067859376</v>
      </c>
      <c r="N571" s="28">
        <f>IFERROR(INDEX('Master data'!$B$2:$CL$1000,MATCH($B571,'Master data'!$A$2:$A$1000,0),MATCH(N$1,'Master data'!$B$1:$CL$1,0)),"")</f>
        <v>6.3753476662174215E-3</v>
      </c>
      <c r="O571" s="7">
        <f>IFERROR(INDEX('Master data'!$B$2:$CL$1000,MATCH($B571,'Master data'!$A$2:$A$1000,0),MATCH(O$1,'Master data'!$B$1:$CL$1,0)),"")</f>
        <v>0</v>
      </c>
      <c r="P571" s="5">
        <f>IFERROR(INDEX('Master data'!$B$2:$CL$1000,MATCH($B571,'Master data'!$A$2:$A$1000,0),MATCH(P$1,'Master data'!$B$1:$CL$1,0)),"")</f>
        <v>3000000</v>
      </c>
      <c r="Q571" s="5">
        <f>IFERROR(INDEX('Master data'!$B$2:$CL$1000,MATCH($B571,'Master data'!$A$2:$A$1000,0),MATCH(Q$1,'Master data'!$B$1:$CL$1,0)),"")</f>
        <v>3000000</v>
      </c>
    </row>
    <row r="572" spans="1:17" hidden="1">
      <c r="A572">
        <f t="shared" si="8"/>
        <v>570</v>
      </c>
      <c r="B572" t="str">
        <f>IF('Master data'!A572="","",'Master data'!A572)</f>
        <v>Gergő Lovrencsics</v>
      </c>
      <c r="C572" t="str">
        <f>IFERROR(INDEX('Master data'!$B$2:$CL$1000,MATCH($B572,'Master data'!$A$2:$A$1000,0),MATCH(C$1,'Master data'!$B$1:$CL$1,0)),"")</f>
        <v>Hungary</v>
      </c>
      <c r="D572" t="str">
        <f>IFERROR(INDEX('Master data'!$B$2:$CL$1000,MATCH($B572,'Master data'!$A$2:$A$1000,0),MATCH(D$1,'Master data'!$B$1:$CL$1,0)),"")</f>
        <v>Midfield</v>
      </c>
      <c r="E572" s="5">
        <f>IFERROR(INDEX('Master data'!$B$2:$CL$1000,MATCH($B572,'Master data'!$A$2:$A$1000,0),MATCH(E$1,'Master data'!$B$1:$CL$1,0)),"")</f>
        <v>2500000</v>
      </c>
      <c r="F572" s="7">
        <f>IFERROR(INDEX('Master data'!$B$2:$CL$1000,MATCH($B572,'Master data'!$A$2:$A$1000,0),MATCH(F$1,'Master data'!$B$1:$CL$1,0)),"")</f>
        <v>-1205.8800879726659</v>
      </c>
      <c r="G572" s="7">
        <f>IFERROR(INDEX('Master data'!$B$2:$CL$1000,MATCH($B572,'Master data'!$A$2:$A$1000,0),MATCH(G$1,'Master data'!$B$1:$CL$1,0)),"")</f>
        <v>-4554.5813326861517</v>
      </c>
      <c r="H572" s="7">
        <f>IFERROR(INDEX('Master data'!$B$2:$CL$1000,MATCH($B572,'Master data'!$A$2:$A$1000,0),MATCH(H$1,'Master data'!$B$1:$CL$1,0)),"")</f>
        <v>-11938.42124443335</v>
      </c>
      <c r="I572" s="7">
        <f>IFERROR(INDEX('Master data'!$B$2:$CL$1000,MATCH($B572,'Master data'!$A$2:$A$1000,0),MATCH(I$1,'Master data'!$B$1:$CL$1,0)),"")</f>
        <v>-5197.8530034744517</v>
      </c>
      <c r="J572" s="7">
        <f>IFERROR(INDEX('Master data'!$B$2:$CL$1000,MATCH($B572,'Master data'!$A$2:$A$1000,0),MATCH(J$1,'Master data'!$B$1:$CL$1,0)),"")</f>
        <v>-2547.2713452995768</v>
      </c>
      <c r="K572" s="7">
        <f>IFERROR(INDEX('Master data'!$B$2:$CL$1000,MATCH($B572,'Master data'!$A$2:$A$1000,0),MATCH(K$1,'Master data'!$B$1:$CL$1,0)),"")</f>
        <v>-1227.3502183061087</v>
      </c>
      <c r="L572" s="7">
        <f>IFERROR(INDEX('Master data'!$B$2:$CL$1000,MATCH($B572,'Master data'!$A$2:$A$1000,0),MATCH(L$1,'Master data'!$B$1:$CL$1,0)),"")</f>
        <v>-556.07701166566699</v>
      </c>
      <c r="M572" s="5">
        <f>IFERROR(INDEX('Master data'!$B$2:$CL$1000,MATCH($B572,'Master data'!$A$2:$A$1000,0),MATCH(M$1,'Master data'!$B$1:$CL$1,0)),"")</f>
        <v>-11801.947142923949</v>
      </c>
      <c r="N572" s="28">
        <f>IFERROR(INDEX('Master data'!$B$2:$CL$1000,MATCH($B572,'Master data'!$A$2:$A$1000,0),MATCH(N$1,'Master data'!$B$1:$CL$1,0)),"")</f>
        <v>-7.0795530660368675E-3</v>
      </c>
      <c r="O572" s="7">
        <f>IFERROR(INDEX('Master data'!$B$2:$CL$1000,MATCH($B572,'Master data'!$A$2:$A$1000,0),MATCH(O$1,'Master data'!$B$1:$CL$1,0)),"")</f>
        <v>0</v>
      </c>
      <c r="P572" s="5">
        <f>IFERROR(INDEX('Master data'!$B$2:$CL$1000,MATCH($B572,'Master data'!$A$2:$A$1000,0),MATCH(P$1,'Master data'!$B$1:$CL$1,0)),"")</f>
        <v>2500000</v>
      </c>
      <c r="Q572" s="5">
        <f>IFERROR(INDEX('Master data'!$B$2:$CL$1000,MATCH($B572,'Master data'!$A$2:$A$1000,0),MATCH(Q$1,'Master data'!$B$1:$CL$1,0)),"")</f>
        <v>2500000</v>
      </c>
    </row>
    <row r="573" spans="1:17" hidden="1">
      <c r="A573">
        <f t="shared" si="8"/>
        <v>571</v>
      </c>
      <c r="B573" t="str">
        <f>IF('Master data'!A573="","",'Master data'!A573)</f>
        <v>Attila At. Szalai</v>
      </c>
      <c r="C573" t="str">
        <f>IFERROR(INDEX('Master data'!$B$2:$CL$1000,MATCH($B573,'Master data'!$A$2:$A$1000,0),MATCH(C$1,'Master data'!$B$1:$CL$1,0)),"")</f>
        <v>Hungary</v>
      </c>
      <c r="D573" t="str">
        <f>IFERROR(INDEX('Master data'!$B$2:$CL$1000,MATCH($B573,'Master data'!$A$2:$A$1000,0),MATCH(D$1,'Master data'!$B$1:$CL$1,0)),"")</f>
        <v>Defense</v>
      </c>
      <c r="E573" s="5">
        <f>IFERROR(INDEX('Master data'!$B$2:$CL$1000,MATCH($B573,'Master data'!$A$2:$A$1000,0),MATCH(E$1,'Master data'!$B$1:$CL$1,0)),"")</f>
        <v>2500000</v>
      </c>
      <c r="F573" s="7">
        <f>IFERROR(INDEX('Master data'!$B$2:$CL$1000,MATCH($B573,'Master data'!$A$2:$A$1000,0),MATCH(F$1,'Master data'!$B$1:$CL$1,0)),"")</f>
        <v>10953.671593624793</v>
      </c>
      <c r="G573" s="7">
        <f>IFERROR(INDEX('Master data'!$B$2:$CL$1000,MATCH($B573,'Master data'!$A$2:$A$1000,0),MATCH(G$1,'Master data'!$B$1:$CL$1,0)),"")</f>
        <v>5316.214186317964</v>
      </c>
      <c r="H573" s="7">
        <f>IFERROR(INDEX('Master data'!$B$2:$CL$1000,MATCH($B573,'Master data'!$A$2:$A$1000,0),MATCH(H$1,'Master data'!$B$1:$CL$1,0)),"")</f>
        <v>-4499.0223537498005</v>
      </c>
      <c r="I573" s="7">
        <f>IFERROR(INDEX('Master data'!$B$2:$CL$1000,MATCH($B573,'Master data'!$A$2:$A$1000,0),MATCH(I$1,'Master data'!$B$1:$CL$1,0)),"")</f>
        <v>-3585.7516114153555</v>
      </c>
      <c r="J573" s="7">
        <f>IFERROR(INDEX('Master data'!$B$2:$CL$1000,MATCH($B573,'Master data'!$A$2:$A$1000,0),MATCH(J$1,'Master data'!$B$1:$CL$1,0)),"")</f>
        <v>-1763.8816757957004</v>
      </c>
      <c r="K573" s="7">
        <f>IFERROR(INDEX('Master data'!$B$2:$CL$1000,MATCH($B573,'Master data'!$A$2:$A$1000,0),MATCH(K$1,'Master data'!$B$1:$CL$1,0)),"")</f>
        <v>-853.10187559155418</v>
      </c>
      <c r="L573" s="7">
        <f>IFERROR(INDEX('Master data'!$B$2:$CL$1000,MATCH($B573,'Master data'!$A$2:$A$1000,0),MATCH(L$1,'Master data'!$B$1:$CL$1,0)),"")</f>
        <v>-387.97668215790009</v>
      </c>
      <c r="M573" s="5">
        <f>IFERROR(INDEX('Master data'!$B$2:$CL$1000,MATCH($B573,'Master data'!$A$2:$A$1000,0),MATCH(M$1,'Master data'!$B$1:$CL$1,0)),"")</f>
        <v>10940.9792134333</v>
      </c>
      <c r="N573" s="28">
        <f>IFERROR(INDEX('Master data'!$B$2:$CL$1000,MATCH($B573,'Master data'!$A$2:$A$1000,0),MATCH(N$1,'Master data'!$B$1:$CL$1,0)),"")</f>
        <v>4.7083453704771829E-3</v>
      </c>
      <c r="O573" s="7">
        <f>IFERROR(INDEX('Master data'!$B$2:$CL$1000,MATCH($B573,'Master data'!$A$2:$A$1000,0),MATCH(O$1,'Master data'!$B$1:$CL$1,0)),"")</f>
        <v>0</v>
      </c>
      <c r="P573" s="5">
        <f>IFERROR(INDEX('Master data'!$B$2:$CL$1000,MATCH($B573,'Master data'!$A$2:$A$1000,0),MATCH(P$1,'Master data'!$B$1:$CL$1,0)),"")</f>
        <v>2500000</v>
      </c>
      <c r="Q573" s="5">
        <f>IFERROR(INDEX('Master data'!$B$2:$CL$1000,MATCH($B573,'Master data'!$A$2:$A$1000,0),MATCH(Q$1,'Master data'!$B$1:$CL$1,0)),"")</f>
        <v>2500000</v>
      </c>
    </row>
    <row r="574" spans="1:17" hidden="1">
      <c r="A574">
        <f t="shared" si="8"/>
        <v>572</v>
      </c>
      <c r="B574" t="str">
        <f>IF('Master data'!A574="","",'Master data'!A574)</f>
        <v>Endre Botka</v>
      </c>
      <c r="C574" t="str">
        <f>IFERROR(INDEX('Master data'!$B$2:$CL$1000,MATCH($B574,'Master data'!$A$2:$A$1000,0),MATCH(C$1,'Master data'!$B$1:$CL$1,0)),"")</f>
        <v>Hungary</v>
      </c>
      <c r="D574" t="str">
        <f>IFERROR(INDEX('Master data'!$B$2:$CL$1000,MATCH($B574,'Master data'!$A$2:$A$1000,0),MATCH(D$1,'Master data'!$B$1:$CL$1,0)),"")</f>
        <v>Defense</v>
      </c>
      <c r="E574" s="5">
        <f>IFERROR(INDEX('Master data'!$B$2:$CL$1000,MATCH($B574,'Master data'!$A$2:$A$1000,0),MATCH(E$1,'Master data'!$B$1:$CL$1,0)),"")</f>
        <v>2000000</v>
      </c>
      <c r="F574" s="7">
        <f>IFERROR(INDEX('Master data'!$B$2:$CL$1000,MATCH($B574,'Master data'!$A$2:$A$1000,0),MATCH(F$1,'Master data'!$B$1:$CL$1,0)),"")</f>
        <v>3580.1838610827344</v>
      </c>
      <c r="G574" s="7">
        <f>IFERROR(INDEX('Master data'!$B$2:$CL$1000,MATCH($B574,'Master data'!$A$2:$A$1000,0),MATCH(G$1,'Master data'!$B$1:$CL$1,0)),"")</f>
        <v>880.25179396351996</v>
      </c>
      <c r="H574" s="7">
        <f>IFERROR(INDEX('Master data'!$B$2:$CL$1000,MATCH($B574,'Master data'!$A$2:$A$1000,0),MATCH(H$1,'Master data'!$B$1:$CL$1,0)),"")</f>
        <v>-630.62164436079183</v>
      </c>
      <c r="I574" s="7">
        <f>IFERROR(INDEX('Master data'!$B$2:$CL$1000,MATCH($B574,'Master data'!$A$2:$A$1000,0),MATCH(I$1,'Master data'!$B$1:$CL$1,0)),"")</f>
        <v>-3174.2235950127051</v>
      </c>
      <c r="J574" s="7">
        <f>IFERROR(INDEX('Master data'!$B$2:$CL$1000,MATCH($B574,'Master data'!$A$2:$A$1000,0),MATCH(J$1,'Master data'!$B$1:$CL$1,0)),"")</f>
        <v>-1559.6204144253552</v>
      </c>
      <c r="K574" s="7">
        <f>IFERROR(INDEX('Master data'!$B$2:$CL$1000,MATCH($B574,'Master data'!$A$2:$A$1000,0),MATCH(K$1,'Master data'!$B$1:$CL$1,0)),"")</f>
        <v>-753.43153006552291</v>
      </c>
      <c r="L574" s="7">
        <f>IFERROR(INDEX('Master data'!$B$2:$CL$1000,MATCH($B574,'Master data'!$A$2:$A$1000,0),MATCH(L$1,'Master data'!$B$1:$CL$1,0)),"")</f>
        <v>-342.24981912165777</v>
      </c>
      <c r="M574" s="5">
        <f>IFERROR(INDEX('Master data'!$B$2:$CL$1000,MATCH($B574,'Master data'!$A$2:$A$1000,0),MATCH(M$1,'Master data'!$B$1:$CL$1,0)),"")</f>
        <v>2508.8942967251241</v>
      </c>
      <c r="N574" s="28">
        <f>IFERROR(INDEX('Master data'!$B$2:$CL$1000,MATCH($B574,'Master data'!$A$2:$A$1000,0),MATCH(N$1,'Master data'!$B$1:$CL$1,0)),"")</f>
        <v>1.9149070053427312E-3</v>
      </c>
      <c r="O574" s="7">
        <f>IFERROR(INDEX('Master data'!$B$2:$CL$1000,MATCH($B574,'Master data'!$A$2:$A$1000,0),MATCH(O$1,'Master data'!$B$1:$CL$1,0)),"")</f>
        <v>0</v>
      </c>
      <c r="P574" s="5">
        <f>IFERROR(INDEX('Master data'!$B$2:$CL$1000,MATCH($B574,'Master data'!$A$2:$A$1000,0),MATCH(P$1,'Master data'!$B$1:$CL$1,0)),"")</f>
        <v>2000000</v>
      </c>
      <c r="Q574" s="5">
        <f>IFERROR(INDEX('Master data'!$B$2:$CL$1000,MATCH($B574,'Master data'!$A$2:$A$1000,0),MATCH(Q$1,'Master data'!$B$1:$CL$1,0)),"")</f>
        <v>2000000</v>
      </c>
    </row>
    <row r="575" spans="1:17" hidden="1">
      <c r="A575">
        <f t="shared" si="8"/>
        <v>573</v>
      </c>
      <c r="B575" t="str">
        <f>IF('Master data'!A575="","",'Master data'!A575)</f>
        <v>Ákos Kecskés</v>
      </c>
      <c r="C575" t="str">
        <f>IFERROR(INDEX('Master data'!$B$2:$CL$1000,MATCH($B575,'Master data'!$A$2:$A$1000,0),MATCH(C$1,'Master data'!$B$1:$CL$1,0)),"")</f>
        <v>Hungary</v>
      </c>
      <c r="D575" t="str">
        <f>IFERROR(INDEX('Master data'!$B$2:$CL$1000,MATCH($B575,'Master data'!$A$2:$A$1000,0),MATCH(D$1,'Master data'!$B$1:$CL$1,0)),"")</f>
        <v>Defense</v>
      </c>
      <c r="E575" s="5">
        <f>IFERROR(INDEX('Master data'!$B$2:$CL$1000,MATCH($B575,'Master data'!$A$2:$A$1000,0),MATCH(E$1,'Master data'!$B$1:$CL$1,0)),"")</f>
        <v>2000000</v>
      </c>
      <c r="F575" s="7">
        <f>IFERROR(INDEX('Master data'!$B$2:$CL$1000,MATCH($B575,'Master data'!$A$2:$A$1000,0),MATCH(F$1,'Master data'!$B$1:$CL$1,0)),"")</f>
        <v>8528.1900594263861</v>
      </c>
      <c r="G575" s="7">
        <f>IFERROR(INDEX('Master data'!$B$2:$CL$1000,MATCH($B575,'Master data'!$A$2:$A$1000,0),MATCH(G$1,'Master data'!$B$1:$CL$1,0)),"")</f>
        <v>2379.5134569037073</v>
      </c>
      <c r="H575" s="7">
        <f>IFERROR(INDEX('Master data'!$B$2:$CL$1000,MATCH($B575,'Master data'!$A$2:$A$1000,0),MATCH(H$1,'Master data'!$B$1:$CL$1,0)),"")</f>
        <v>-6291.2272136649626</v>
      </c>
      <c r="I575" s="7">
        <f>IFERROR(INDEX('Master data'!$B$2:$CL$1000,MATCH($B575,'Master data'!$A$2:$A$1000,0),MATCH(I$1,'Master data'!$B$1:$CL$1,0)),"")</f>
        <v>-3131.1903305912019</v>
      </c>
      <c r="J575" s="7">
        <f>IFERROR(INDEX('Master data'!$B$2:$CL$1000,MATCH($B575,'Master data'!$A$2:$A$1000,0),MATCH(J$1,'Master data'!$B$1:$CL$1,0)),"")</f>
        <v>-1538.708693265078</v>
      </c>
      <c r="K575" s="7">
        <f>IFERROR(INDEX('Master data'!$B$2:$CL$1000,MATCH($B575,'Master data'!$A$2:$A$1000,0),MATCH(K$1,'Master data'!$B$1:$CL$1,0)),"")</f>
        <v>-743.44138430256078</v>
      </c>
      <c r="L575" s="7">
        <f>IFERROR(INDEX('Master data'!$B$2:$CL$1000,MATCH($B575,'Master data'!$A$2:$A$1000,0),MATCH(L$1,'Master data'!$B$1:$CL$1,0)),"")</f>
        <v>-337.76256666676733</v>
      </c>
      <c r="M575" s="5">
        <f>IFERROR(INDEX('Master data'!$B$2:$CL$1000,MATCH($B575,'Master data'!$A$2:$A$1000,0),MATCH(M$1,'Master data'!$B$1:$CL$1,0)),"")</f>
        <v>5959.174397465019</v>
      </c>
      <c r="N575" s="28">
        <f>IFERROR(INDEX('Master data'!$B$2:$CL$1000,MATCH($B575,'Master data'!$A$2:$A$1000,0),MATCH(N$1,'Master data'!$B$1:$CL$1,0)),"")</f>
        <v>2.3082381513325652E-3</v>
      </c>
      <c r="O575" s="7">
        <f>IFERROR(INDEX('Master data'!$B$2:$CL$1000,MATCH($B575,'Master data'!$A$2:$A$1000,0),MATCH(O$1,'Master data'!$B$1:$CL$1,0)),"")</f>
        <v>0</v>
      </c>
      <c r="P575" s="5">
        <f>IFERROR(INDEX('Master data'!$B$2:$CL$1000,MATCH($B575,'Master data'!$A$2:$A$1000,0),MATCH(P$1,'Master data'!$B$1:$CL$1,0)),"")</f>
        <v>2000000</v>
      </c>
      <c r="Q575" s="5">
        <f>IFERROR(INDEX('Master data'!$B$2:$CL$1000,MATCH($B575,'Master data'!$A$2:$A$1000,0),MATCH(Q$1,'Master data'!$B$1:$CL$1,0)),"")</f>
        <v>2000000</v>
      </c>
    </row>
    <row r="576" spans="1:17" hidden="1">
      <c r="A576">
        <f t="shared" si="8"/>
        <v>574</v>
      </c>
      <c r="B576" t="str">
        <f>IF('Master data'!A576="","",'Master data'!A576)</f>
        <v>Ádám Lang</v>
      </c>
      <c r="C576" t="str">
        <f>IFERROR(INDEX('Master data'!$B$2:$CL$1000,MATCH($B576,'Master data'!$A$2:$A$1000,0),MATCH(C$1,'Master data'!$B$1:$CL$1,0)),"")</f>
        <v>Hungary</v>
      </c>
      <c r="D576" t="str">
        <f>IFERROR(INDEX('Master data'!$B$2:$CL$1000,MATCH($B576,'Master data'!$A$2:$A$1000,0),MATCH(D$1,'Master data'!$B$1:$CL$1,0)),"")</f>
        <v>Defense</v>
      </c>
      <c r="E576" s="5">
        <f>IFERROR(INDEX('Master data'!$B$2:$CL$1000,MATCH($B576,'Master data'!$A$2:$A$1000,0),MATCH(E$1,'Master data'!$B$1:$CL$1,0)),"")</f>
        <v>2000000</v>
      </c>
      <c r="F576" s="7">
        <f>IFERROR(INDEX('Master data'!$B$2:$CL$1000,MATCH($B576,'Master data'!$A$2:$A$1000,0),MATCH(F$1,'Master data'!$B$1:$CL$1,0)),"")</f>
        <v>3580.1838610827344</v>
      </c>
      <c r="G576" s="7">
        <f>IFERROR(INDEX('Master data'!$B$2:$CL$1000,MATCH($B576,'Master data'!$A$2:$A$1000,0),MATCH(G$1,'Master data'!$B$1:$CL$1,0)),"")</f>
        <v>880.25179396351996</v>
      </c>
      <c r="H576" s="7">
        <f>IFERROR(INDEX('Master data'!$B$2:$CL$1000,MATCH($B576,'Master data'!$A$2:$A$1000,0),MATCH(H$1,'Master data'!$B$1:$CL$1,0)),"")</f>
        <v>-630.62164436079183</v>
      </c>
      <c r="I576" s="7">
        <f>IFERROR(INDEX('Master data'!$B$2:$CL$1000,MATCH($B576,'Master data'!$A$2:$A$1000,0),MATCH(I$1,'Master data'!$B$1:$CL$1,0)),"")</f>
        <v>-3174.2235950127051</v>
      </c>
      <c r="J576" s="7">
        <f>IFERROR(INDEX('Master data'!$B$2:$CL$1000,MATCH($B576,'Master data'!$A$2:$A$1000,0),MATCH(J$1,'Master data'!$B$1:$CL$1,0)),"")</f>
        <v>-1559.6204144253552</v>
      </c>
      <c r="K576" s="7">
        <f>IFERROR(INDEX('Master data'!$B$2:$CL$1000,MATCH($B576,'Master data'!$A$2:$A$1000,0),MATCH(K$1,'Master data'!$B$1:$CL$1,0)),"")</f>
        <v>-753.43153006552291</v>
      </c>
      <c r="L576" s="7">
        <f>IFERROR(INDEX('Master data'!$B$2:$CL$1000,MATCH($B576,'Master data'!$A$2:$A$1000,0),MATCH(L$1,'Master data'!$B$1:$CL$1,0)),"")</f>
        <v>-342.24981912165777</v>
      </c>
      <c r="M576" s="5">
        <f>IFERROR(INDEX('Master data'!$B$2:$CL$1000,MATCH($B576,'Master data'!$A$2:$A$1000,0),MATCH(M$1,'Master data'!$B$1:$CL$1,0)),"")</f>
        <v>2508.8942967251241</v>
      </c>
      <c r="N576" s="28">
        <f>IFERROR(INDEX('Master data'!$B$2:$CL$1000,MATCH($B576,'Master data'!$A$2:$A$1000,0),MATCH(N$1,'Master data'!$B$1:$CL$1,0)),"")</f>
        <v>1.9149070053427312E-3</v>
      </c>
      <c r="O576" s="7">
        <f>IFERROR(INDEX('Master data'!$B$2:$CL$1000,MATCH($B576,'Master data'!$A$2:$A$1000,0),MATCH(O$1,'Master data'!$B$1:$CL$1,0)),"")</f>
        <v>0</v>
      </c>
      <c r="P576" s="5">
        <f>IFERROR(INDEX('Master data'!$B$2:$CL$1000,MATCH($B576,'Master data'!$A$2:$A$1000,0),MATCH(P$1,'Master data'!$B$1:$CL$1,0)),"")</f>
        <v>2000000</v>
      </c>
      <c r="Q576" s="5">
        <f>IFERROR(INDEX('Master data'!$B$2:$CL$1000,MATCH($B576,'Master data'!$A$2:$A$1000,0),MATCH(Q$1,'Master data'!$B$1:$CL$1,0)),"")</f>
        <v>2000000</v>
      </c>
    </row>
    <row r="577" spans="1:17" hidden="1">
      <c r="A577">
        <f t="shared" si="8"/>
        <v>575</v>
      </c>
      <c r="B577" t="str">
        <f>IF('Master data'!A577="","",'Master data'!A577)</f>
        <v>Attila Fiola</v>
      </c>
      <c r="C577" t="str">
        <f>IFERROR(INDEX('Master data'!$B$2:$CL$1000,MATCH($B577,'Master data'!$A$2:$A$1000,0),MATCH(C$1,'Master data'!$B$1:$CL$1,0)),"")</f>
        <v>Hungary</v>
      </c>
      <c r="D577" t="str">
        <f>IFERROR(INDEX('Master data'!$B$2:$CL$1000,MATCH($B577,'Master data'!$A$2:$A$1000,0),MATCH(D$1,'Master data'!$B$1:$CL$1,0)),"")</f>
        <v>Defense</v>
      </c>
      <c r="E577" s="5">
        <f>IFERROR(INDEX('Master data'!$B$2:$CL$1000,MATCH($B577,'Master data'!$A$2:$A$1000,0),MATCH(E$1,'Master data'!$B$1:$CL$1,0)),"")</f>
        <v>2500000</v>
      </c>
      <c r="F577" s="7">
        <f>IFERROR(INDEX('Master data'!$B$2:$CL$1000,MATCH($B577,'Master data'!$A$2:$A$1000,0),MATCH(F$1,'Master data'!$B$1:$CL$1,0)),"")</f>
        <v>31553.176254959355</v>
      </c>
      <c r="G577" s="7">
        <f>IFERROR(INDEX('Master data'!$B$2:$CL$1000,MATCH($B577,'Master data'!$A$2:$A$1000,0),MATCH(G$1,'Master data'!$B$1:$CL$1,0)),"")</f>
        <v>26970.003780375435</v>
      </c>
      <c r="H577" s="7">
        <f>IFERROR(INDEX('Master data'!$B$2:$CL$1000,MATCH($B577,'Master data'!$A$2:$A$1000,0),MATCH(H$1,'Master data'!$B$1:$CL$1,0)),"")</f>
        <v>14794.478812039586</v>
      </c>
      <c r="I577" s="7">
        <f>IFERROR(INDEX('Master data'!$B$2:$CL$1000,MATCH($B577,'Master data'!$A$2:$A$1000,0),MATCH(I$1,'Master data'!$B$1:$CL$1,0)),"")</f>
        <v>-218.9199370629066</v>
      </c>
      <c r="J577" s="7">
        <f>IFERROR(INDEX('Master data'!$B$2:$CL$1000,MATCH($B577,'Master data'!$A$2:$A$1000,0),MATCH(J$1,'Master data'!$B$1:$CL$1,0)),"")</f>
        <v>-127.79280096551189</v>
      </c>
      <c r="K577" s="7">
        <f>IFERROR(INDEX('Master data'!$B$2:$CL$1000,MATCH($B577,'Master data'!$A$2:$A$1000,0),MATCH(K$1,'Master data'!$B$1:$CL$1,0)),"")</f>
        <v>-71.493981366076568</v>
      </c>
      <c r="L577" s="7">
        <f>IFERROR(INDEX('Master data'!$B$2:$CL$1000,MATCH($B577,'Master data'!$A$2:$A$1000,0),MATCH(L$1,'Master data'!$B$1:$CL$1,0)),"")</f>
        <v>-36.903532141610249</v>
      </c>
      <c r="M577" s="5">
        <f>IFERROR(INDEX('Master data'!$B$2:$CL$1000,MATCH($B577,'Master data'!$A$2:$A$1000,0),MATCH(M$1,'Master data'!$B$1:$CL$1,0)),"")</f>
        <v>56005.739841173978</v>
      </c>
      <c r="N577" s="28">
        <f>IFERROR(INDEX('Master data'!$B$2:$CL$1000,MATCH($B577,'Master data'!$A$2:$A$1000,0),MATCH(N$1,'Master data'!$B$1:$CL$1,0)),"")</f>
        <v>2.932706353894975E-2</v>
      </c>
      <c r="O577" s="7">
        <f>IFERROR(INDEX('Master data'!$B$2:$CL$1000,MATCH($B577,'Master data'!$A$2:$A$1000,0),MATCH(O$1,'Master data'!$B$1:$CL$1,0)),"")</f>
        <v>0</v>
      </c>
      <c r="P577" s="5">
        <f>IFERROR(INDEX('Master data'!$B$2:$CL$1000,MATCH($B577,'Master data'!$A$2:$A$1000,0),MATCH(P$1,'Master data'!$B$1:$CL$1,0)),"")</f>
        <v>2500000</v>
      </c>
      <c r="Q577" s="5">
        <f>IFERROR(INDEX('Master data'!$B$2:$CL$1000,MATCH($B577,'Master data'!$A$2:$A$1000,0),MATCH(Q$1,'Master data'!$B$1:$CL$1,0)),"")</f>
        <v>2500000</v>
      </c>
    </row>
    <row r="578" spans="1:17" hidden="1">
      <c r="A578">
        <f t="shared" si="8"/>
        <v>576</v>
      </c>
      <c r="B578" t="str">
        <f>IF('Master data'!A578="","",'Master data'!A578)</f>
        <v>Dániel Gazdag</v>
      </c>
      <c r="C578" t="str">
        <f>IFERROR(INDEX('Master data'!$B$2:$CL$1000,MATCH($B578,'Master data'!$A$2:$A$1000,0),MATCH(C$1,'Master data'!$B$1:$CL$1,0)),"")</f>
        <v>Hungary</v>
      </c>
      <c r="D578" t="str">
        <f>IFERROR(INDEX('Master data'!$B$2:$CL$1000,MATCH($B578,'Master data'!$A$2:$A$1000,0),MATCH(D$1,'Master data'!$B$1:$CL$1,0)),"")</f>
        <v>Midfield</v>
      </c>
      <c r="E578" s="5">
        <f>IFERROR(INDEX('Master data'!$B$2:$CL$1000,MATCH($B578,'Master data'!$A$2:$A$1000,0),MATCH(E$1,'Master data'!$B$1:$CL$1,0)),"")</f>
        <v>2500000</v>
      </c>
      <c r="F578" s="7">
        <f>IFERROR(INDEX('Master data'!$B$2:$CL$1000,MATCH($B578,'Master data'!$A$2:$A$1000,0),MATCH(F$1,'Master data'!$B$1:$CL$1,0)),"")</f>
        <v>-5000</v>
      </c>
      <c r="G578" s="7">
        <f>IFERROR(INDEX('Master data'!$B$2:$CL$1000,MATCH($B578,'Master data'!$A$2:$A$1000,0),MATCH(G$1,'Master data'!$B$1:$CL$1,0)),"")</f>
        <v>-5000</v>
      </c>
      <c r="H578" s="7">
        <f>IFERROR(INDEX('Master data'!$B$2:$CL$1000,MATCH($B578,'Master data'!$A$2:$A$1000,0),MATCH(H$1,'Master data'!$B$1:$CL$1,0)),"")</f>
        <v>-5000</v>
      </c>
      <c r="I578" s="7">
        <f>IFERROR(INDEX('Master data'!$B$2:$CL$1000,MATCH($B578,'Master data'!$A$2:$A$1000,0),MATCH(I$1,'Master data'!$B$1:$CL$1,0)),"")</f>
        <v>-5050.2143883359968</v>
      </c>
      <c r="J578" s="7">
        <f>IFERROR(INDEX('Master data'!$B$2:$CL$1000,MATCH($B578,'Master data'!$A$2:$A$1000,0),MATCH(J$1,'Master data'!$B$1:$CL$1,0)),"")</f>
        <v>-2475.5273678493763</v>
      </c>
      <c r="K578" s="7">
        <f>IFERROR(INDEX('Master data'!$B$2:$CL$1000,MATCH($B578,'Master data'!$A$2:$A$1000,0),MATCH(K$1,'Master data'!$B$1:$CL$1,0)),"")</f>
        <v>-1193.0760049666703</v>
      </c>
      <c r="L578" s="7">
        <f>IFERROR(INDEX('Master data'!$B$2:$CL$1000,MATCH($B578,'Master data'!$A$2:$A$1000,0),MATCH(L$1,'Master data'!$B$1:$CL$1,0)),"")</f>
        <v>-540.68213639597616</v>
      </c>
      <c r="M578" s="5">
        <f>IFERROR(INDEX('Master data'!$B$2:$CL$1000,MATCH($B578,'Master data'!$A$2:$A$1000,0),MATCH(M$1,'Master data'!$B$1:$CL$1,0)),"")</f>
        <v>-12745.488617362178</v>
      </c>
      <c r="N578" s="28">
        <f>IFERROR(INDEX('Master data'!$B$2:$CL$1000,MATCH($B578,'Master data'!$A$2:$A$1000,0),MATCH(N$1,'Master data'!$B$1:$CL$1,0)),"")</f>
        <v>-6.0000000000000001E-3</v>
      </c>
      <c r="O578" s="7">
        <f>IFERROR(INDEX('Master data'!$B$2:$CL$1000,MATCH($B578,'Master data'!$A$2:$A$1000,0),MATCH(O$1,'Master data'!$B$1:$CL$1,0)),"")</f>
        <v>0</v>
      </c>
      <c r="P578" s="5">
        <f>IFERROR(INDEX('Master data'!$B$2:$CL$1000,MATCH($B578,'Master data'!$A$2:$A$1000,0),MATCH(P$1,'Master data'!$B$1:$CL$1,0)),"")</f>
        <v>2500000</v>
      </c>
      <c r="Q578" s="5">
        <f>IFERROR(INDEX('Master data'!$B$2:$CL$1000,MATCH($B578,'Master data'!$A$2:$A$1000,0),MATCH(Q$1,'Master data'!$B$1:$CL$1,0)),"")</f>
        <v>2500000</v>
      </c>
    </row>
    <row r="579" spans="1:17" hidden="1">
      <c r="A579">
        <f t="shared" ref="A579:A642" si="9">IF(B579="","",ROW()-2)</f>
        <v>577</v>
      </c>
      <c r="B579" t="str">
        <f>IF('Master data'!A579="","",'Master data'!A579)</f>
        <v>Roland Sallai</v>
      </c>
      <c r="C579" t="str">
        <f>IFERROR(INDEX('Master data'!$B$2:$CL$1000,MATCH($B579,'Master data'!$A$2:$A$1000,0),MATCH(C$1,'Master data'!$B$1:$CL$1,0)),"")</f>
        <v>Hungary</v>
      </c>
      <c r="D579" t="str">
        <f>IFERROR(INDEX('Master data'!$B$2:$CL$1000,MATCH($B579,'Master data'!$A$2:$A$1000,0),MATCH(D$1,'Master data'!$B$1:$CL$1,0)),"")</f>
        <v>Striker</v>
      </c>
      <c r="E579" s="5">
        <f>IFERROR(INDEX('Master data'!$B$2:$CL$1000,MATCH($B579,'Master data'!$A$2:$A$1000,0),MATCH(E$1,'Master data'!$B$1:$CL$1,0)),"")</f>
        <v>3500000</v>
      </c>
      <c r="F579" s="7">
        <f>IFERROR(INDEX('Master data'!$B$2:$CL$1000,MATCH($B579,'Master data'!$A$2:$A$1000,0),MATCH(F$1,'Master data'!$B$1:$CL$1,0)),"")</f>
        <v>25000.750819713961</v>
      </c>
      <c r="G579" s="7">
        <f>IFERROR(INDEX('Master data'!$B$2:$CL$1000,MATCH($B579,'Master data'!$A$2:$A$1000,0),MATCH(G$1,'Master data'!$B$1:$CL$1,0)),"")</f>
        <v>23383.60500308964</v>
      </c>
      <c r="H579" s="7">
        <f>IFERROR(INDEX('Master data'!$B$2:$CL$1000,MATCH($B579,'Master data'!$A$2:$A$1000,0),MATCH(H$1,'Master data'!$B$1:$CL$1,0)),"")</f>
        <v>12123.232179818977</v>
      </c>
      <c r="I579" s="7">
        <f>IFERROR(INDEX('Master data'!$B$2:$CL$1000,MATCH($B579,'Master data'!$A$2:$A$1000,0),MATCH(I$1,'Master data'!$B$1:$CL$1,0)),"")</f>
        <v>-2611.5411277159033</v>
      </c>
      <c r="J579" s="7">
        <f>IFERROR(INDEX('Master data'!$B$2:$CL$1000,MATCH($B579,'Master data'!$A$2:$A$1000,0),MATCH(J$1,'Master data'!$B$1:$CL$1,0)),"")</f>
        <v>-1299.0348004883629</v>
      </c>
      <c r="K579" s="7">
        <f>IFERROR(INDEX('Master data'!$B$2:$CL$1000,MATCH($B579,'Master data'!$A$2:$A$1000,0),MATCH(K$1,'Master data'!$B$1:$CL$1,0)),"")</f>
        <v>-635.20825462609662</v>
      </c>
      <c r="L579" s="7">
        <f>IFERROR(INDEX('Master data'!$B$2:$CL$1000,MATCH($B579,'Master data'!$A$2:$A$1000,0),MATCH(L$1,'Master data'!$B$1:$CL$1,0)),"")</f>
        <v>-292.02216261635823</v>
      </c>
      <c r="M579" s="5">
        <f>IFERROR(INDEX('Master data'!$B$2:$CL$1000,MATCH($B579,'Master data'!$A$2:$A$1000,0),MATCH(M$1,'Master data'!$B$1:$CL$1,0)),"")</f>
        <v>44838.248696331793</v>
      </c>
      <c r="N579" s="28">
        <f>IFERROR(INDEX('Master data'!$B$2:$CL$1000,MATCH($B579,'Master data'!$A$2:$A$1000,0),MATCH(N$1,'Master data'!$B$1:$CL$1,0)),"")</f>
        <v>1.7287882286463593E-2</v>
      </c>
      <c r="O579" s="7">
        <f>IFERROR(INDEX('Master data'!$B$2:$CL$1000,MATCH($B579,'Master data'!$A$2:$A$1000,0),MATCH(O$1,'Master data'!$B$1:$CL$1,0)),"")</f>
        <v>0</v>
      </c>
      <c r="P579" s="5">
        <f>IFERROR(INDEX('Master data'!$B$2:$CL$1000,MATCH($B579,'Master data'!$A$2:$A$1000,0),MATCH(P$1,'Master data'!$B$1:$CL$1,0)),"")</f>
        <v>3500000</v>
      </c>
      <c r="Q579" s="5">
        <f>IFERROR(INDEX('Master data'!$B$2:$CL$1000,MATCH($B579,'Master data'!$A$2:$A$1000,0),MATCH(Q$1,'Master data'!$B$1:$CL$1,0)),"")</f>
        <v>3500000</v>
      </c>
    </row>
    <row r="580" spans="1:17" hidden="1">
      <c r="A580">
        <f t="shared" si="9"/>
        <v>578</v>
      </c>
      <c r="B580" t="str">
        <f>IF('Master data'!A580="","",'Master data'!A580)</f>
        <v>László Kleinheisler</v>
      </c>
      <c r="C580" t="str">
        <f>IFERROR(INDEX('Master data'!$B$2:$CL$1000,MATCH($B580,'Master data'!$A$2:$A$1000,0),MATCH(C$1,'Master data'!$B$1:$CL$1,0)),"")</f>
        <v>Hungary</v>
      </c>
      <c r="D580" t="str">
        <f>IFERROR(INDEX('Master data'!$B$2:$CL$1000,MATCH($B580,'Master data'!$A$2:$A$1000,0),MATCH(D$1,'Master data'!$B$1:$CL$1,0)),"")</f>
        <v>Midfield</v>
      </c>
      <c r="E580" s="5">
        <f>IFERROR(INDEX('Master data'!$B$2:$CL$1000,MATCH($B580,'Master data'!$A$2:$A$1000,0),MATCH(E$1,'Master data'!$B$1:$CL$1,0)),"")</f>
        <v>2500000</v>
      </c>
      <c r="F580" s="7">
        <f>IFERROR(INDEX('Master data'!$B$2:$CL$1000,MATCH($B580,'Master data'!$A$2:$A$1000,0),MATCH(F$1,'Master data'!$B$1:$CL$1,0)),"")</f>
        <v>-1856.2801410077391</v>
      </c>
      <c r="G580" s="7">
        <f>IFERROR(INDEX('Master data'!$B$2:$CL$1000,MATCH($B580,'Master data'!$A$2:$A$1000,0),MATCH(G$1,'Master data'!$B$1:$CL$1,0)),"")</f>
        <v>-4755.8374034581411</v>
      </c>
      <c r="H580" s="7">
        <f>IFERROR(INDEX('Master data'!$B$2:$CL$1000,MATCH($B580,'Master data'!$A$2:$A$1000,0),MATCH(H$1,'Master data'!$B$1:$CL$1,0)),"")</f>
        <v>-13145.201828605956</v>
      </c>
      <c r="I580" s="7">
        <f>IFERROR(INDEX('Master data'!$B$2:$CL$1000,MATCH($B580,'Master data'!$A$2:$A$1000,0),MATCH(I$1,'Master data'!$B$1:$CL$1,0)),"")</f>
        <v>-5310.4569150290517</v>
      </c>
      <c r="J580" s="7">
        <f>IFERROR(INDEX('Master data'!$B$2:$CL$1000,MATCH($B580,'Master data'!$A$2:$A$1000,0),MATCH(J$1,'Master data'!$B$1:$CL$1,0)),"")</f>
        <v>-2601.9904476414772</v>
      </c>
      <c r="K580" s="7">
        <f>IFERROR(INDEX('Master data'!$B$2:$CL$1000,MATCH($B580,'Master data'!$A$2:$A$1000,0),MATCH(K$1,'Master data'!$B$1:$CL$1,0)),"")</f>
        <v>-1253.4911468420353</v>
      </c>
      <c r="L580" s="7">
        <f>IFERROR(INDEX('Master data'!$B$2:$CL$1000,MATCH($B580,'Master data'!$A$2:$A$1000,0),MATCH(L$1,'Master data'!$B$1:$CL$1,0)),"")</f>
        <v>-567.81867675536353</v>
      </c>
      <c r="M580" s="5">
        <f>IFERROR(INDEX('Master data'!$B$2:$CL$1000,MATCH($B580,'Master data'!$A$2:$A$1000,0),MATCH(M$1,'Master data'!$B$1:$CL$1,0)),"")</f>
        <v>-13171.510914759199</v>
      </c>
      <c r="N580" s="28">
        <f>IFERROR(INDEX('Master data'!$B$2:$CL$1000,MATCH($B580,'Master data'!$A$2:$A$1000,0),MATCH(N$1,'Master data'!$B$1:$CL$1,0)),"")</f>
        <v>-7.9029277492287334E-3</v>
      </c>
      <c r="O580" s="7">
        <f>IFERROR(INDEX('Master data'!$B$2:$CL$1000,MATCH($B580,'Master data'!$A$2:$A$1000,0),MATCH(O$1,'Master data'!$B$1:$CL$1,0)),"")</f>
        <v>0</v>
      </c>
      <c r="P580" s="5">
        <f>IFERROR(INDEX('Master data'!$B$2:$CL$1000,MATCH($B580,'Master data'!$A$2:$A$1000,0),MATCH(P$1,'Master data'!$B$1:$CL$1,0)),"")</f>
        <v>2500000</v>
      </c>
      <c r="Q580" s="5">
        <f>IFERROR(INDEX('Master data'!$B$2:$CL$1000,MATCH($B580,'Master data'!$A$2:$A$1000,0),MATCH(Q$1,'Master data'!$B$1:$CL$1,0)),"")</f>
        <v>2500000</v>
      </c>
    </row>
    <row r="581" spans="1:17" hidden="1">
      <c r="A581">
        <f t="shared" si="9"/>
        <v>579</v>
      </c>
      <c r="B581" t="str">
        <f>IF('Master data'!A581="","",'Master data'!A581)</f>
        <v>Tamás Cseri</v>
      </c>
      <c r="C581" t="str">
        <f>IFERROR(INDEX('Master data'!$B$2:$CL$1000,MATCH($B581,'Master data'!$A$2:$A$1000,0),MATCH(C$1,'Master data'!$B$1:$CL$1,0)),"")</f>
        <v>Hungary</v>
      </c>
      <c r="D581" t="str">
        <f>IFERROR(INDEX('Master data'!$B$2:$CL$1000,MATCH($B581,'Master data'!$A$2:$A$1000,0),MATCH(D$1,'Master data'!$B$1:$CL$1,0)),"")</f>
        <v>Midfield</v>
      </c>
      <c r="E581" s="5">
        <f>IFERROR(INDEX('Master data'!$B$2:$CL$1000,MATCH($B581,'Master data'!$A$2:$A$1000,0),MATCH(E$1,'Master data'!$B$1:$CL$1,0)),"")</f>
        <v>2000000</v>
      </c>
      <c r="F581" s="7">
        <f>IFERROR(INDEX('Master data'!$B$2:$CL$1000,MATCH($B581,'Master data'!$A$2:$A$1000,0),MATCH(F$1,'Master data'!$B$1:$CL$1,0)),"")</f>
        <v>-5000</v>
      </c>
      <c r="G581" s="7">
        <f>IFERROR(INDEX('Master data'!$B$2:$CL$1000,MATCH($B581,'Master data'!$A$2:$A$1000,0),MATCH(G$1,'Master data'!$B$1:$CL$1,0)),"")</f>
        <v>-5000</v>
      </c>
      <c r="H581" s="7">
        <f>IFERROR(INDEX('Master data'!$B$2:$CL$1000,MATCH($B581,'Master data'!$A$2:$A$1000,0),MATCH(H$1,'Master data'!$B$1:$CL$1,0)),"")</f>
        <v>-5000</v>
      </c>
      <c r="I581" s="7">
        <f>IFERROR(INDEX('Master data'!$B$2:$CL$1000,MATCH($B581,'Master data'!$A$2:$A$1000,0),MATCH(I$1,'Master data'!$B$1:$CL$1,0)),"")</f>
        <v>-4204.2823299882584</v>
      </c>
      <c r="J581" s="7">
        <f>IFERROR(INDEX('Master data'!$B$2:$CL$1000,MATCH($B581,'Master data'!$A$2:$A$1000,0),MATCH(J$1,'Master data'!$B$1:$CL$1,0)),"")</f>
        <v>-2060.1704269350516</v>
      </c>
      <c r="K581" s="7">
        <f>IFERROR(INDEX('Master data'!$B$2:$CL$1000,MATCH($B581,'Master data'!$A$2:$A$1000,0),MATCH(K$1,'Master data'!$B$1:$CL$1,0)),"")</f>
        <v>-992.55902934201981</v>
      </c>
      <c r="L581" s="7">
        <f>IFERROR(INDEX('Master data'!$B$2:$CL$1000,MATCH($B581,'Master data'!$A$2:$A$1000,0),MATCH(L$1,'Master data'!$B$1:$CL$1,0)),"")</f>
        <v>-449.6582077097849</v>
      </c>
      <c r="M581" s="5">
        <f>IFERROR(INDEX('Master data'!$B$2:$CL$1000,MATCH($B581,'Master data'!$A$2:$A$1000,0),MATCH(M$1,'Master data'!$B$1:$CL$1,0)),"")</f>
        <v>-12378.399611613679</v>
      </c>
      <c r="N581" s="28">
        <f>IFERROR(INDEX('Master data'!$B$2:$CL$1000,MATCH($B581,'Master data'!$A$2:$A$1000,0),MATCH(N$1,'Master data'!$B$1:$CL$1,0)),"")</f>
        <v>-7.4999999999999997E-3</v>
      </c>
      <c r="O581" s="7">
        <f>IFERROR(INDEX('Master data'!$B$2:$CL$1000,MATCH($B581,'Master data'!$A$2:$A$1000,0),MATCH(O$1,'Master data'!$B$1:$CL$1,0)),"")</f>
        <v>0</v>
      </c>
      <c r="P581" s="5">
        <f>IFERROR(INDEX('Master data'!$B$2:$CL$1000,MATCH($B581,'Master data'!$A$2:$A$1000,0),MATCH(P$1,'Master data'!$B$1:$CL$1,0)),"")</f>
        <v>2000000</v>
      </c>
      <c r="Q581" s="5">
        <f>IFERROR(INDEX('Master data'!$B$2:$CL$1000,MATCH($B581,'Master data'!$A$2:$A$1000,0),MATCH(Q$1,'Master data'!$B$1:$CL$1,0)),"")</f>
        <v>2000000</v>
      </c>
    </row>
    <row r="582" spans="1:17" hidden="1">
      <c r="A582">
        <f t="shared" si="9"/>
        <v>580</v>
      </c>
      <c r="B582" t="str">
        <f>IF('Master data'!A582="","",'Master data'!A582)</f>
        <v>András Schäfer</v>
      </c>
      <c r="C582" t="str">
        <f>IFERROR(INDEX('Master data'!$B$2:$CL$1000,MATCH($B582,'Master data'!$A$2:$A$1000,0),MATCH(C$1,'Master data'!$B$1:$CL$1,0)),"")</f>
        <v>Hungary</v>
      </c>
      <c r="D582" t="str">
        <f>IFERROR(INDEX('Master data'!$B$2:$CL$1000,MATCH($B582,'Master data'!$A$2:$A$1000,0),MATCH(D$1,'Master data'!$B$1:$CL$1,0)),"")</f>
        <v>Midfield</v>
      </c>
      <c r="E582" s="5">
        <f>IFERROR(INDEX('Master data'!$B$2:$CL$1000,MATCH($B582,'Master data'!$A$2:$A$1000,0),MATCH(E$1,'Master data'!$B$1:$CL$1,0)),"")</f>
        <v>2500000</v>
      </c>
      <c r="F582" s="7">
        <f>IFERROR(INDEX('Master data'!$B$2:$CL$1000,MATCH($B582,'Master data'!$A$2:$A$1000,0),MATCH(F$1,'Master data'!$B$1:$CL$1,0)),"")</f>
        <v>-5000</v>
      </c>
      <c r="G582" s="7">
        <f>IFERROR(INDEX('Master data'!$B$2:$CL$1000,MATCH($B582,'Master data'!$A$2:$A$1000,0),MATCH(G$1,'Master data'!$B$1:$CL$1,0)),"")</f>
        <v>-5000</v>
      </c>
      <c r="H582" s="7">
        <f>IFERROR(INDEX('Master data'!$B$2:$CL$1000,MATCH($B582,'Master data'!$A$2:$A$1000,0),MATCH(H$1,'Master data'!$B$1:$CL$1,0)),"")</f>
        <v>-5000</v>
      </c>
      <c r="I582" s="7">
        <f>IFERROR(INDEX('Master data'!$B$2:$CL$1000,MATCH($B582,'Master data'!$A$2:$A$1000,0),MATCH(I$1,'Master data'!$B$1:$CL$1,0)),"")</f>
        <v>-5050.2143883359968</v>
      </c>
      <c r="J582" s="7">
        <f>IFERROR(INDEX('Master data'!$B$2:$CL$1000,MATCH($B582,'Master data'!$A$2:$A$1000,0),MATCH(J$1,'Master data'!$B$1:$CL$1,0)),"")</f>
        <v>-2475.5273678493763</v>
      </c>
      <c r="K582" s="7">
        <f>IFERROR(INDEX('Master data'!$B$2:$CL$1000,MATCH($B582,'Master data'!$A$2:$A$1000,0),MATCH(K$1,'Master data'!$B$1:$CL$1,0)),"")</f>
        <v>-1193.0760049666703</v>
      </c>
      <c r="L582" s="7">
        <f>IFERROR(INDEX('Master data'!$B$2:$CL$1000,MATCH($B582,'Master data'!$A$2:$A$1000,0),MATCH(L$1,'Master data'!$B$1:$CL$1,0)),"")</f>
        <v>-540.68213639597616</v>
      </c>
      <c r="M582" s="5">
        <f>IFERROR(INDEX('Master data'!$B$2:$CL$1000,MATCH($B582,'Master data'!$A$2:$A$1000,0),MATCH(M$1,'Master data'!$B$1:$CL$1,0)),"")</f>
        <v>-12745.488617362178</v>
      </c>
      <c r="N582" s="28">
        <f>IFERROR(INDEX('Master data'!$B$2:$CL$1000,MATCH($B582,'Master data'!$A$2:$A$1000,0),MATCH(N$1,'Master data'!$B$1:$CL$1,0)),"")</f>
        <v>-6.0000000000000001E-3</v>
      </c>
      <c r="O582" s="7">
        <f>IFERROR(INDEX('Master data'!$B$2:$CL$1000,MATCH($B582,'Master data'!$A$2:$A$1000,0),MATCH(O$1,'Master data'!$B$1:$CL$1,0)),"")</f>
        <v>0</v>
      </c>
      <c r="P582" s="5">
        <f>IFERROR(INDEX('Master data'!$B$2:$CL$1000,MATCH($B582,'Master data'!$A$2:$A$1000,0),MATCH(P$1,'Master data'!$B$1:$CL$1,0)),"")</f>
        <v>2500000</v>
      </c>
      <c r="Q582" s="5">
        <f>IFERROR(INDEX('Master data'!$B$2:$CL$1000,MATCH($B582,'Master data'!$A$2:$A$1000,0),MATCH(Q$1,'Master data'!$B$1:$CL$1,0)),"")</f>
        <v>2500000</v>
      </c>
    </row>
    <row r="583" spans="1:17" hidden="1">
      <c r="A583">
        <f t="shared" si="9"/>
        <v>581</v>
      </c>
      <c r="B583" t="str">
        <f>IF('Master data'!A583="","",'Master data'!A583)</f>
        <v>Dávid Sigér</v>
      </c>
      <c r="C583" t="str">
        <f>IFERROR(INDEX('Master data'!$B$2:$CL$1000,MATCH($B583,'Master data'!$A$2:$A$1000,0),MATCH(C$1,'Master data'!$B$1:$CL$1,0)),"")</f>
        <v>Hungary</v>
      </c>
      <c r="D583" t="str">
        <f>IFERROR(INDEX('Master data'!$B$2:$CL$1000,MATCH($B583,'Master data'!$A$2:$A$1000,0),MATCH(D$1,'Master data'!$B$1:$CL$1,0)),"")</f>
        <v>Midfield</v>
      </c>
      <c r="E583" s="5">
        <f>IFERROR(INDEX('Master data'!$B$2:$CL$1000,MATCH($B583,'Master data'!$A$2:$A$1000,0),MATCH(E$1,'Master data'!$B$1:$CL$1,0)),"")</f>
        <v>2500000</v>
      </c>
      <c r="F583" s="7">
        <f>IFERROR(INDEX('Master data'!$B$2:$CL$1000,MATCH($B583,'Master data'!$A$2:$A$1000,0),MATCH(F$1,'Master data'!$B$1:$CL$1,0)),"")</f>
        <v>7220.4904049864599</v>
      </c>
      <c r="G583" s="7">
        <f>IFERROR(INDEX('Master data'!$B$2:$CL$1000,MATCH($B583,'Master data'!$A$2:$A$1000,0),MATCH(G$1,'Master data'!$B$1:$CL$1,0)),"")</f>
        <v>4236.7370897349356</v>
      </c>
      <c r="H583" s="7">
        <f>IFERROR(INDEX('Master data'!$B$2:$CL$1000,MATCH($B583,'Master data'!$A$2:$A$1000,0),MATCH(H$1,'Master data'!$B$1:$CL$1,0)),"")</f>
        <v>-3964.1327805119672</v>
      </c>
      <c r="I583" s="7">
        <f>IFERROR(INDEX('Master data'!$B$2:$CL$1000,MATCH($B583,'Master data'!$A$2:$A$1000,0),MATCH(I$1,'Master data'!$B$1:$CL$1,0)),"")</f>
        <v>-3819.7609874762798</v>
      </c>
      <c r="J583" s="7">
        <f>IFERROR(INDEX('Master data'!$B$2:$CL$1000,MATCH($B583,'Master data'!$A$2:$A$1000,0),MATCH(J$1,'Master data'!$B$1:$CL$1,0)),"")</f>
        <v>-1877.5969350692037</v>
      </c>
      <c r="K583" s="7">
        <f>IFERROR(INDEX('Master data'!$B$2:$CL$1000,MATCH($B583,'Master data'!$A$2:$A$1000,0),MATCH(K$1,'Master data'!$B$1:$CL$1,0)),"")</f>
        <v>-907.42700774630487</v>
      </c>
      <c r="L583" s="7">
        <f>IFERROR(INDEX('Master data'!$B$2:$CL$1000,MATCH($B583,'Master data'!$A$2:$A$1000,0),MATCH(L$1,'Master data'!$B$1:$CL$1,0)),"")</f>
        <v>-412.37778584623828</v>
      </c>
      <c r="M583" s="5">
        <f>IFERROR(INDEX('Master data'!$B$2:$CL$1000,MATCH($B583,'Master data'!$A$2:$A$1000,0),MATCH(M$1,'Master data'!$B$1:$CL$1,0)),"")</f>
        <v>6624.7808051821448</v>
      </c>
      <c r="N583" s="28">
        <f>IFERROR(INDEX('Master data'!$B$2:$CL$1000,MATCH($B583,'Master data'!$A$2:$A$1000,0),MATCH(N$1,'Master data'!$B$1:$CL$1,0)),"")</f>
        <v>2.9972378856837714E-3</v>
      </c>
      <c r="O583" s="7">
        <f>IFERROR(INDEX('Master data'!$B$2:$CL$1000,MATCH($B583,'Master data'!$A$2:$A$1000,0),MATCH(O$1,'Master data'!$B$1:$CL$1,0)),"")</f>
        <v>0</v>
      </c>
      <c r="P583" s="5">
        <f>IFERROR(INDEX('Master data'!$B$2:$CL$1000,MATCH($B583,'Master data'!$A$2:$A$1000,0),MATCH(P$1,'Master data'!$B$1:$CL$1,0)),"")</f>
        <v>2500000</v>
      </c>
      <c r="Q583" s="5">
        <f>IFERROR(INDEX('Master data'!$B$2:$CL$1000,MATCH($B583,'Master data'!$A$2:$A$1000,0),MATCH(Q$1,'Master data'!$B$1:$CL$1,0)),"")</f>
        <v>2500000</v>
      </c>
    </row>
    <row r="584" spans="1:17" hidden="1">
      <c r="A584">
        <f t="shared" si="9"/>
        <v>582</v>
      </c>
      <c r="B584" t="str">
        <f>IF('Master data'!A584="","",'Master data'!A584)</f>
        <v>Ádám Nagy</v>
      </c>
      <c r="C584" t="str">
        <f>IFERROR(INDEX('Master data'!$B$2:$CL$1000,MATCH($B584,'Master data'!$A$2:$A$1000,0),MATCH(C$1,'Master data'!$B$1:$CL$1,0)),"")</f>
        <v>Hungary</v>
      </c>
      <c r="D584" t="str">
        <f>IFERROR(INDEX('Master data'!$B$2:$CL$1000,MATCH($B584,'Master data'!$A$2:$A$1000,0),MATCH(D$1,'Master data'!$B$1:$CL$1,0)),"")</f>
        <v>Midfield</v>
      </c>
      <c r="E584" s="5">
        <f>IFERROR(INDEX('Master data'!$B$2:$CL$1000,MATCH($B584,'Master data'!$A$2:$A$1000,0),MATCH(E$1,'Master data'!$B$1:$CL$1,0)),"")</f>
        <v>2500000</v>
      </c>
      <c r="F584" s="7">
        <f>IFERROR(INDEX('Master data'!$B$2:$CL$1000,MATCH($B584,'Master data'!$A$2:$A$1000,0),MATCH(F$1,'Master data'!$B$1:$CL$1,0)),"")</f>
        <v>-331.90276705302676</v>
      </c>
      <c r="G584" s="7">
        <f>IFERROR(INDEX('Master data'!$B$2:$CL$1000,MATCH($B584,'Master data'!$A$2:$A$1000,0),MATCH(G$1,'Master data'!$B$1:$CL$1,0)),"")</f>
        <v>-3492.6605895554731</v>
      </c>
      <c r="H584" s="7">
        <f>IFERROR(INDEX('Master data'!$B$2:$CL$1000,MATCH($B584,'Master data'!$A$2:$A$1000,0),MATCH(H$1,'Master data'!$B$1:$CL$1,0)),"")</f>
        <v>-11297.260270170971</v>
      </c>
      <c r="I584" s="7">
        <f>IFERROR(INDEX('Master data'!$B$2:$CL$1000,MATCH($B584,'Master data'!$A$2:$A$1000,0),MATCH(I$1,'Master data'!$B$1:$CL$1,0)),"")</f>
        <v>-5056.8785800704118</v>
      </c>
      <c r="J584" s="7">
        <f>IFERROR(INDEX('Master data'!$B$2:$CL$1000,MATCH($B584,'Master data'!$A$2:$A$1000,0),MATCH(J$1,'Master data'!$B$1:$CL$1,0)),"")</f>
        <v>-2478.76578634219</v>
      </c>
      <c r="K584" s="7">
        <f>IFERROR(INDEX('Master data'!$B$2:$CL$1000,MATCH($B584,'Master data'!$A$2:$A$1000,0),MATCH(K$1,'Master data'!$B$1:$CL$1,0)),"")</f>
        <v>-1194.6230929627618</v>
      </c>
      <c r="L584" s="7">
        <f>IFERROR(INDEX('Master data'!$B$2:$CL$1000,MATCH($B584,'Master data'!$A$2:$A$1000,0),MATCH(L$1,'Master data'!$B$1:$CL$1,0)),"")</f>
        <v>-541.37703860992895</v>
      </c>
      <c r="M584" s="5">
        <f>IFERROR(INDEX('Master data'!$B$2:$CL$1000,MATCH($B584,'Master data'!$A$2:$A$1000,0),MATCH(M$1,'Master data'!$B$1:$CL$1,0)),"")</f>
        <v>-9874.1597876062478</v>
      </c>
      <c r="N584" s="28">
        <f>IFERROR(INDEX('Master data'!$B$2:$CL$1000,MATCH($B584,'Master data'!$A$2:$A$1000,0),MATCH(N$1,'Master data'!$B$1:$CL$1,0)),"")</f>
        <v>-6.0487294507117883E-3</v>
      </c>
      <c r="O584" s="7">
        <f>IFERROR(INDEX('Master data'!$B$2:$CL$1000,MATCH($B584,'Master data'!$A$2:$A$1000,0),MATCH(O$1,'Master data'!$B$1:$CL$1,0)),"")</f>
        <v>0</v>
      </c>
      <c r="P584" s="5">
        <f>IFERROR(INDEX('Master data'!$B$2:$CL$1000,MATCH($B584,'Master data'!$A$2:$A$1000,0),MATCH(P$1,'Master data'!$B$1:$CL$1,0)),"")</f>
        <v>2500000</v>
      </c>
      <c r="Q584" s="5">
        <f>IFERROR(INDEX('Master data'!$B$2:$CL$1000,MATCH($B584,'Master data'!$A$2:$A$1000,0),MATCH(Q$1,'Master data'!$B$1:$CL$1,0)),"")</f>
        <v>2500000</v>
      </c>
    </row>
    <row r="585" spans="1:17" hidden="1">
      <c r="A585">
        <f t="shared" si="9"/>
        <v>583</v>
      </c>
      <c r="B585" t="str">
        <f>IF('Master data'!A585="","",'Master data'!A585)</f>
        <v>Daniel Bachmann</v>
      </c>
      <c r="C585" t="str">
        <f>IFERROR(INDEX('Master data'!$B$2:$CL$1000,MATCH($B585,'Master data'!$A$2:$A$1000,0),MATCH(C$1,'Master data'!$B$1:$CL$1,0)),"")</f>
        <v>Austria</v>
      </c>
      <c r="D585" t="str">
        <f>IFERROR(INDEX('Master data'!$B$2:$CL$1000,MATCH($B585,'Master data'!$A$2:$A$1000,0),MATCH(D$1,'Master data'!$B$1:$CL$1,0)),"")</f>
        <v>Goalkeeper</v>
      </c>
      <c r="E585" s="5">
        <f>IFERROR(INDEX('Master data'!$B$2:$CL$1000,MATCH($B585,'Master data'!$A$2:$A$1000,0),MATCH(E$1,'Master data'!$B$1:$CL$1,0)),"")</f>
        <v>3000000</v>
      </c>
      <c r="F585" s="7">
        <f>IFERROR(INDEX('Master data'!$B$2:$CL$1000,MATCH($B585,'Master data'!$A$2:$A$1000,0),MATCH(F$1,'Master data'!$B$1:$CL$1,0)),"")</f>
        <v>40528.461539913384</v>
      </c>
      <c r="G585" s="7">
        <f>IFERROR(INDEX('Master data'!$B$2:$CL$1000,MATCH($B585,'Master data'!$A$2:$A$1000,0),MATCH(G$1,'Master data'!$B$1:$CL$1,0)),"")</f>
        <v>25479.433747266281</v>
      </c>
      <c r="H585" s="7">
        <f>IFERROR(INDEX('Master data'!$B$2:$CL$1000,MATCH($B585,'Master data'!$A$2:$A$1000,0),MATCH(H$1,'Master data'!$B$1:$CL$1,0)),"")</f>
        <v>30413.951175470946</v>
      </c>
      <c r="I585" s="7">
        <f>IFERROR(INDEX('Master data'!$B$2:$CL$1000,MATCH($B585,'Master data'!$A$2:$A$1000,0),MATCH(I$1,'Master data'!$B$1:$CL$1,0)),"")</f>
        <v>840.97348312900533</v>
      </c>
      <c r="J585" s="7">
        <f>IFERROR(INDEX('Master data'!$B$2:$CL$1000,MATCH($B585,'Master data'!$A$2:$A$1000,0),MATCH(J$1,'Master data'!$B$1:$CL$1,0)),"")</f>
        <v>300.03491040721502</v>
      </c>
      <c r="K585" s="7">
        <f>IFERROR(INDEX('Master data'!$B$2:$CL$1000,MATCH($B585,'Master data'!$A$2:$A$1000,0),MATCH(K$1,'Master data'!$B$1:$CL$1,0)),"")</f>
        <v>90.351777593072214</v>
      </c>
      <c r="L585" s="7">
        <f>IFERROR(INDEX('Master data'!$B$2:$CL$1000,MATCH($B585,'Master data'!$A$2:$A$1000,0),MATCH(L$1,'Master data'!$B$1:$CL$1,0)),"")</f>
        <v>16.286608674400856</v>
      </c>
      <c r="M585" s="5">
        <f>IFERROR(INDEX('Master data'!$B$2:$CL$1000,MATCH($B585,'Master data'!$A$2:$A$1000,0),MATCH(M$1,'Master data'!$B$1:$CL$1,0)),"")</f>
        <v>71353.8338239773</v>
      </c>
      <c r="N585" s="28">
        <f>IFERROR(INDEX('Master data'!$B$2:$CL$1000,MATCH($B585,'Master data'!$A$2:$A$1000,0),MATCH(N$1,'Master data'!$B$1:$CL$1,0)),"")</f>
        <v>3.2140615487550199E-2</v>
      </c>
      <c r="O585" s="7">
        <f>IFERROR(INDEX('Master data'!$B$2:$CL$1000,MATCH($B585,'Master data'!$A$2:$A$1000,0),MATCH(O$1,'Master data'!$B$1:$CL$1,0)),"")</f>
        <v>0</v>
      </c>
      <c r="P585" s="5">
        <f>IFERROR(INDEX('Master data'!$B$2:$CL$1000,MATCH($B585,'Master data'!$A$2:$A$1000,0),MATCH(P$1,'Master data'!$B$1:$CL$1,0)),"")</f>
        <v>3000000</v>
      </c>
      <c r="Q585" s="5">
        <f>IFERROR(INDEX('Master data'!$B$2:$CL$1000,MATCH($B585,'Master data'!$A$2:$A$1000,0),MATCH(Q$1,'Master data'!$B$1:$CL$1,0)),"")</f>
        <v>3000000</v>
      </c>
    </row>
    <row r="586" spans="1:17" hidden="1">
      <c r="A586">
        <f t="shared" si="9"/>
        <v>584</v>
      </c>
      <c r="B586" t="str">
        <f>IF('Master data'!A586="","",'Master data'!A586)</f>
        <v>Dušan Kuciak</v>
      </c>
      <c r="C586" t="str">
        <f>IFERROR(INDEX('Master data'!$B$2:$CL$1000,MATCH($B586,'Master data'!$A$2:$A$1000,0),MATCH(C$1,'Master data'!$B$1:$CL$1,0)),"")</f>
        <v>Slovakia</v>
      </c>
      <c r="D586" t="str">
        <f>IFERROR(INDEX('Master data'!$B$2:$CL$1000,MATCH($B586,'Master data'!$A$2:$A$1000,0),MATCH(D$1,'Master data'!$B$1:$CL$1,0)),"")</f>
        <v>Goalkeeper</v>
      </c>
      <c r="E586" s="5">
        <f>IFERROR(INDEX('Master data'!$B$2:$CL$1000,MATCH($B586,'Master data'!$A$2:$A$1000,0),MATCH(E$1,'Master data'!$B$1:$CL$1,0)),"")</f>
        <v>3000000</v>
      </c>
      <c r="F586" s="7">
        <f>IFERROR(INDEX('Master data'!$B$2:$CL$1000,MATCH($B586,'Master data'!$A$2:$A$1000,0),MATCH(F$1,'Master data'!$B$1:$CL$1,0)),"")</f>
        <v>23960.433124679657</v>
      </c>
      <c r="G586" s="7">
        <f>IFERROR(INDEX('Master data'!$B$2:$CL$1000,MATCH($B586,'Master data'!$A$2:$A$1000,0),MATCH(G$1,'Master data'!$B$1:$CL$1,0)),"")</f>
        <v>25334.928703719543</v>
      </c>
      <c r="H586" s="7">
        <f>IFERROR(INDEX('Master data'!$B$2:$CL$1000,MATCH($B586,'Master data'!$A$2:$A$1000,0),MATCH(H$1,'Master data'!$B$1:$CL$1,0)),"")</f>
        <v>21775.152950274693</v>
      </c>
      <c r="I586" s="7">
        <f>IFERROR(INDEX('Master data'!$B$2:$CL$1000,MATCH($B586,'Master data'!$A$2:$A$1000,0),MATCH(I$1,'Master data'!$B$1:$CL$1,0)),"")</f>
        <v>-2375.5577603168267</v>
      </c>
      <c r="J586" s="7">
        <f>IFERROR(INDEX('Master data'!$B$2:$CL$1000,MATCH($B586,'Master data'!$A$2:$A$1000,0),MATCH(J$1,'Master data'!$B$1:$CL$1,0)),"")</f>
        <v>-1204.1524762198617</v>
      </c>
      <c r="K586" s="7">
        <f>IFERROR(INDEX('Master data'!$B$2:$CL$1000,MATCH($B586,'Master data'!$A$2:$A$1000,0),MATCH(K$1,'Master data'!$B$1:$CL$1,0)),"")</f>
        <v>-598.6888205751959</v>
      </c>
      <c r="L586" s="7">
        <f>IFERROR(INDEX('Master data'!$B$2:$CL$1000,MATCH($B586,'Master data'!$A$2:$A$1000,0),MATCH(L$1,'Master data'!$B$1:$CL$1,0)),"")</f>
        <v>-278.15728583103584</v>
      </c>
      <c r="M586" s="5">
        <f>IFERROR(INDEX('Master data'!$B$2:$CL$1000,MATCH($B586,'Master data'!$A$2:$A$1000,0),MATCH(M$1,'Master data'!$B$1:$CL$1,0)),"")</f>
        <v>49483.245580131224</v>
      </c>
      <c r="N586" s="28">
        <f>IFERROR(INDEX('Master data'!$B$2:$CL$1000,MATCH($B586,'Master data'!$A$2:$A$1000,0),MATCH(N$1,'Master data'!$B$1:$CL$1,0)),"")</f>
        <v>2.3690171592891295E-2</v>
      </c>
      <c r="O586" s="7">
        <f>IFERROR(INDEX('Master data'!$B$2:$CL$1000,MATCH($B586,'Master data'!$A$2:$A$1000,0),MATCH(O$1,'Master data'!$B$1:$CL$1,0)),"")</f>
        <v>0</v>
      </c>
      <c r="P586" s="5">
        <f>IFERROR(INDEX('Master data'!$B$2:$CL$1000,MATCH($B586,'Master data'!$A$2:$A$1000,0),MATCH(P$1,'Master data'!$B$1:$CL$1,0)),"")</f>
        <v>3000000</v>
      </c>
      <c r="Q586" s="5">
        <f>IFERROR(INDEX('Master data'!$B$2:$CL$1000,MATCH($B586,'Master data'!$A$2:$A$1000,0),MATCH(Q$1,'Master data'!$B$1:$CL$1,0)),"")</f>
        <v>3000000</v>
      </c>
    </row>
    <row r="587" spans="1:17" hidden="1">
      <c r="A587">
        <f t="shared" si="9"/>
        <v>585</v>
      </c>
      <c r="B587" t="str">
        <f>IF('Master data'!A587="","",'Master data'!A587)</f>
        <v>Martin Dúbravka</v>
      </c>
      <c r="C587" t="str">
        <f>IFERROR(INDEX('Master data'!$B$2:$CL$1000,MATCH($B587,'Master data'!$A$2:$A$1000,0),MATCH(C$1,'Master data'!$B$1:$CL$1,0)),"")</f>
        <v>Slovakia</v>
      </c>
      <c r="D587" t="str">
        <f>IFERROR(INDEX('Master data'!$B$2:$CL$1000,MATCH($B587,'Master data'!$A$2:$A$1000,0),MATCH(D$1,'Master data'!$B$1:$CL$1,0)),"")</f>
        <v>Goalkeeper</v>
      </c>
      <c r="E587" s="5">
        <f>IFERROR(INDEX('Master data'!$B$2:$CL$1000,MATCH($B587,'Master data'!$A$2:$A$1000,0),MATCH(E$1,'Master data'!$B$1:$CL$1,0)),"")</f>
        <v>3000000</v>
      </c>
      <c r="F587" s="7">
        <f>IFERROR(INDEX('Master data'!$B$2:$CL$1000,MATCH($B587,'Master data'!$A$2:$A$1000,0),MATCH(F$1,'Master data'!$B$1:$CL$1,0)),"")</f>
        <v>28267.90538516525</v>
      </c>
      <c r="G587" s="7">
        <f>IFERROR(INDEX('Master data'!$B$2:$CL$1000,MATCH($B587,'Master data'!$A$2:$A$1000,0),MATCH(G$1,'Master data'!$B$1:$CL$1,0)),"")</f>
        <v>32196.676848269912</v>
      </c>
      <c r="H587" s="7">
        <f>IFERROR(INDEX('Master data'!$B$2:$CL$1000,MATCH($B587,'Master data'!$A$2:$A$1000,0),MATCH(H$1,'Master data'!$B$1:$CL$1,0)),"")</f>
        <v>10402.737778539667</v>
      </c>
      <c r="I587" s="7">
        <f>IFERROR(INDEX('Master data'!$B$2:$CL$1000,MATCH($B587,'Master data'!$A$2:$A$1000,0),MATCH(I$1,'Master data'!$B$1:$CL$1,0)),"")</f>
        <v>-2397.7887334130996</v>
      </c>
      <c r="J587" s="7">
        <f>IFERROR(INDEX('Master data'!$B$2:$CL$1000,MATCH($B587,'Master data'!$A$2:$A$1000,0),MATCH(J$1,'Master data'!$B$1:$CL$1,0)),"")</f>
        <v>-1214.9409698337065</v>
      </c>
      <c r="K587" s="7">
        <f>IFERROR(INDEX('Master data'!$B$2:$CL$1000,MATCH($B587,'Master data'!$A$2:$A$1000,0),MATCH(K$1,'Master data'!$B$1:$CL$1,0)),"")</f>
        <v>-603.82905351220177</v>
      </c>
      <c r="L587" s="7">
        <f>IFERROR(INDEX('Master data'!$B$2:$CL$1000,MATCH($B587,'Master data'!$A$2:$A$1000,0),MATCH(L$1,'Master data'!$B$1:$CL$1,0)),"")</f>
        <v>-280.4479450020188</v>
      </c>
      <c r="M587" s="5">
        <f>IFERROR(INDEX('Master data'!$B$2:$CL$1000,MATCH($B587,'Master data'!$A$2:$A$1000,0),MATCH(M$1,'Master data'!$B$1:$CL$1,0)),"")</f>
        <v>53301.213841702222</v>
      </c>
      <c r="N587" s="28">
        <f>IFERROR(INDEX('Master data'!$B$2:$CL$1000,MATCH($B587,'Master data'!$A$2:$A$1000,0),MATCH(N$1,'Master data'!$B$1:$CL$1,0)),"")</f>
        <v>2.3622440003991611E-2</v>
      </c>
      <c r="O587" s="7">
        <f>IFERROR(INDEX('Master data'!$B$2:$CL$1000,MATCH($B587,'Master data'!$A$2:$A$1000,0),MATCH(O$1,'Master data'!$B$1:$CL$1,0)),"")</f>
        <v>0</v>
      </c>
      <c r="P587" s="5">
        <f>IFERROR(INDEX('Master data'!$B$2:$CL$1000,MATCH($B587,'Master data'!$A$2:$A$1000,0),MATCH(P$1,'Master data'!$B$1:$CL$1,0)),"")</f>
        <v>3000000</v>
      </c>
      <c r="Q587" s="5">
        <f>IFERROR(INDEX('Master data'!$B$2:$CL$1000,MATCH($B587,'Master data'!$A$2:$A$1000,0),MATCH(Q$1,'Master data'!$B$1:$CL$1,0)),"")</f>
        <v>3000000</v>
      </c>
    </row>
    <row r="588" spans="1:17" hidden="1">
      <c r="A588">
        <f t="shared" si="9"/>
        <v>586</v>
      </c>
      <c r="B588" t="str">
        <f>IF('Master data'!A588="","",'Master data'!A588)</f>
        <v>Marek Rodák</v>
      </c>
      <c r="C588" t="str">
        <f>IFERROR(INDEX('Master data'!$B$2:$CL$1000,MATCH($B588,'Master data'!$A$2:$A$1000,0),MATCH(C$1,'Master data'!$B$1:$CL$1,0)),"")</f>
        <v>Slovakia</v>
      </c>
      <c r="D588" t="str">
        <f>IFERROR(INDEX('Master data'!$B$2:$CL$1000,MATCH($B588,'Master data'!$A$2:$A$1000,0),MATCH(D$1,'Master data'!$B$1:$CL$1,0)),"")</f>
        <v>Goalkeeper</v>
      </c>
      <c r="E588" s="5">
        <f>IFERROR(INDEX('Master data'!$B$2:$CL$1000,MATCH($B588,'Master data'!$A$2:$A$1000,0),MATCH(E$1,'Master data'!$B$1:$CL$1,0)),"")</f>
        <v>3000000</v>
      </c>
      <c r="F588" s="7">
        <f>IFERROR(INDEX('Master data'!$B$2:$CL$1000,MATCH($B588,'Master data'!$A$2:$A$1000,0),MATCH(F$1,'Master data'!$B$1:$CL$1,0)),"")</f>
        <v>23960.433124679657</v>
      </c>
      <c r="G588" s="7">
        <f>IFERROR(INDEX('Master data'!$B$2:$CL$1000,MATCH($B588,'Master data'!$A$2:$A$1000,0),MATCH(G$1,'Master data'!$B$1:$CL$1,0)),"")</f>
        <v>25334.928703719543</v>
      </c>
      <c r="H588" s="7">
        <f>IFERROR(INDEX('Master data'!$B$2:$CL$1000,MATCH($B588,'Master data'!$A$2:$A$1000,0),MATCH(H$1,'Master data'!$B$1:$CL$1,0)),"")</f>
        <v>21775.152950274693</v>
      </c>
      <c r="I588" s="7">
        <f>IFERROR(INDEX('Master data'!$B$2:$CL$1000,MATCH($B588,'Master data'!$A$2:$A$1000,0),MATCH(I$1,'Master data'!$B$1:$CL$1,0)),"")</f>
        <v>-2375.5577603168267</v>
      </c>
      <c r="J588" s="7">
        <f>IFERROR(INDEX('Master data'!$B$2:$CL$1000,MATCH($B588,'Master data'!$A$2:$A$1000,0),MATCH(J$1,'Master data'!$B$1:$CL$1,0)),"")</f>
        <v>-1204.1524762198617</v>
      </c>
      <c r="K588" s="7">
        <f>IFERROR(INDEX('Master data'!$B$2:$CL$1000,MATCH($B588,'Master data'!$A$2:$A$1000,0),MATCH(K$1,'Master data'!$B$1:$CL$1,0)),"")</f>
        <v>-598.6888205751959</v>
      </c>
      <c r="L588" s="7">
        <f>IFERROR(INDEX('Master data'!$B$2:$CL$1000,MATCH($B588,'Master data'!$A$2:$A$1000,0),MATCH(L$1,'Master data'!$B$1:$CL$1,0)),"")</f>
        <v>-278.15728583103584</v>
      </c>
      <c r="M588" s="5">
        <f>IFERROR(INDEX('Master data'!$B$2:$CL$1000,MATCH($B588,'Master data'!$A$2:$A$1000,0),MATCH(M$1,'Master data'!$B$1:$CL$1,0)),"")</f>
        <v>49483.245580131224</v>
      </c>
      <c r="N588" s="28">
        <f>IFERROR(INDEX('Master data'!$B$2:$CL$1000,MATCH($B588,'Master data'!$A$2:$A$1000,0),MATCH(N$1,'Master data'!$B$1:$CL$1,0)),"")</f>
        <v>2.3690171592891295E-2</v>
      </c>
      <c r="O588" s="7">
        <f>IFERROR(INDEX('Master data'!$B$2:$CL$1000,MATCH($B588,'Master data'!$A$2:$A$1000,0),MATCH(O$1,'Master data'!$B$1:$CL$1,0)),"")</f>
        <v>0</v>
      </c>
      <c r="P588" s="5">
        <f>IFERROR(INDEX('Master data'!$B$2:$CL$1000,MATCH($B588,'Master data'!$A$2:$A$1000,0),MATCH(P$1,'Master data'!$B$1:$CL$1,0)),"")</f>
        <v>3000000</v>
      </c>
      <c r="Q588" s="5">
        <f>IFERROR(INDEX('Master data'!$B$2:$CL$1000,MATCH($B588,'Master data'!$A$2:$A$1000,0),MATCH(Q$1,'Master data'!$B$1:$CL$1,0)),"")</f>
        <v>3000000</v>
      </c>
    </row>
    <row r="589" spans="1:17" hidden="1">
      <c r="A589">
        <f t="shared" si="9"/>
        <v>587</v>
      </c>
      <c r="B589" t="str">
        <f>IF('Master data'!A589="","",'Master data'!A589)</f>
        <v>Martin Koscelnik</v>
      </c>
      <c r="C589" t="str">
        <f>IFERROR(INDEX('Master data'!$B$2:$CL$1000,MATCH($B589,'Master data'!$A$2:$A$1000,0),MATCH(C$1,'Master data'!$B$1:$CL$1,0)),"")</f>
        <v>Slovakia</v>
      </c>
      <c r="D589" t="str">
        <f>IFERROR(INDEX('Master data'!$B$2:$CL$1000,MATCH($B589,'Master data'!$A$2:$A$1000,0),MATCH(D$1,'Master data'!$B$1:$CL$1,0)),"")</f>
        <v>Defense</v>
      </c>
      <c r="E589" s="5">
        <f>IFERROR(INDEX('Master data'!$B$2:$CL$1000,MATCH($B589,'Master data'!$A$2:$A$1000,0),MATCH(E$1,'Master data'!$B$1:$CL$1,0)),"")</f>
        <v>2000000</v>
      </c>
      <c r="F589" s="7">
        <f>IFERROR(INDEX('Master data'!$B$2:$CL$1000,MATCH($B589,'Master data'!$A$2:$A$1000,0),MATCH(F$1,'Master data'!$B$1:$CL$1,0)),"")</f>
        <v>5752.221824661081</v>
      </c>
      <c r="G589" s="7">
        <f>IFERROR(INDEX('Master data'!$B$2:$CL$1000,MATCH($B589,'Master data'!$A$2:$A$1000,0),MATCH(G$1,'Master data'!$B$1:$CL$1,0)),"")</f>
        <v>7512.4529818818755</v>
      </c>
      <c r="H589" s="7">
        <f>IFERROR(INDEX('Master data'!$B$2:$CL$1000,MATCH($B589,'Master data'!$A$2:$A$1000,0),MATCH(H$1,'Master data'!$B$1:$CL$1,0)),"")</f>
        <v>-238.09523809523853</v>
      </c>
      <c r="I589" s="7">
        <f>IFERROR(INDEX('Master data'!$B$2:$CL$1000,MATCH($B589,'Master data'!$A$2:$A$1000,0),MATCH(I$1,'Master data'!$B$1:$CL$1,0)),"")</f>
        <v>-5342.2547028431682</v>
      </c>
      <c r="J589" s="7">
        <f>IFERROR(INDEX('Master data'!$B$2:$CL$1000,MATCH($B589,'Master data'!$A$2:$A$1000,0),MATCH(J$1,'Master data'!$B$1:$CL$1,0)),"")</f>
        <v>-2626.7589911477085</v>
      </c>
      <c r="K589" s="7">
        <f>IFERROR(INDEX('Master data'!$B$2:$CL$1000,MATCH($B589,'Master data'!$A$2:$A$1000,0),MATCH(K$1,'Master data'!$B$1:$CL$1,0)),"")</f>
        <v>-1268.1755617539177</v>
      </c>
      <c r="L589" s="7">
        <f>IFERROR(INDEX('Master data'!$B$2:$CL$1000,MATCH($B589,'Master data'!$A$2:$A$1000,0),MATCH(L$1,'Master data'!$B$1:$CL$1,0)),"")</f>
        <v>-572.71570250088575</v>
      </c>
      <c r="M589" s="5">
        <f>IFERROR(INDEX('Master data'!$B$2:$CL$1000,MATCH($B589,'Master data'!$A$2:$A$1000,0),MATCH(M$1,'Master data'!$B$1:$CL$1,0)),"")</f>
        <v>8335.6653399202114</v>
      </c>
      <c r="N589" s="28">
        <f>IFERROR(INDEX('Master data'!$B$2:$CL$1000,MATCH($B589,'Master data'!$A$2:$A$1000,0),MATCH(N$1,'Master data'!$B$1:$CL$1,0)),"")</f>
        <v>6.5132897842238597E-3</v>
      </c>
      <c r="O589" s="7">
        <f>IFERROR(INDEX('Master data'!$B$2:$CL$1000,MATCH($B589,'Master data'!$A$2:$A$1000,0),MATCH(O$1,'Master data'!$B$1:$CL$1,0)),"")</f>
        <v>0</v>
      </c>
      <c r="P589" s="5">
        <f>IFERROR(INDEX('Master data'!$B$2:$CL$1000,MATCH($B589,'Master data'!$A$2:$A$1000,0),MATCH(P$1,'Master data'!$B$1:$CL$1,0)),"")</f>
        <v>2000000</v>
      </c>
      <c r="Q589" s="5">
        <f>IFERROR(INDEX('Master data'!$B$2:$CL$1000,MATCH($B589,'Master data'!$A$2:$A$1000,0),MATCH(Q$1,'Master data'!$B$1:$CL$1,0)),"")</f>
        <v>2000000</v>
      </c>
    </row>
    <row r="590" spans="1:17" hidden="1">
      <c r="A590">
        <f t="shared" si="9"/>
        <v>588</v>
      </c>
      <c r="B590" t="str">
        <f>IF('Master data'!A590="","",'Master data'!A590)</f>
        <v>Denis Vavro</v>
      </c>
      <c r="C590" t="str">
        <f>IFERROR(INDEX('Master data'!$B$2:$CL$1000,MATCH($B590,'Master data'!$A$2:$A$1000,0),MATCH(C$1,'Master data'!$B$1:$CL$1,0)),"")</f>
        <v>Slovakia</v>
      </c>
      <c r="D590" t="str">
        <f>IFERROR(INDEX('Master data'!$B$2:$CL$1000,MATCH($B590,'Master data'!$A$2:$A$1000,0),MATCH(D$1,'Master data'!$B$1:$CL$1,0)),"")</f>
        <v>Defense</v>
      </c>
      <c r="E590" s="5">
        <f>IFERROR(INDEX('Master data'!$B$2:$CL$1000,MATCH($B590,'Master data'!$A$2:$A$1000,0),MATCH(E$1,'Master data'!$B$1:$CL$1,0)),"")</f>
        <v>2000000</v>
      </c>
      <c r="F590" s="7">
        <f>IFERROR(INDEX('Master data'!$B$2:$CL$1000,MATCH($B590,'Master data'!$A$2:$A$1000,0),MATCH(F$1,'Master data'!$B$1:$CL$1,0)),"")</f>
        <v>5752.221824661081</v>
      </c>
      <c r="G590" s="7">
        <f>IFERROR(INDEX('Master data'!$B$2:$CL$1000,MATCH($B590,'Master data'!$A$2:$A$1000,0),MATCH(G$1,'Master data'!$B$1:$CL$1,0)),"")</f>
        <v>7512.4529818818755</v>
      </c>
      <c r="H590" s="7">
        <f>IFERROR(INDEX('Master data'!$B$2:$CL$1000,MATCH($B590,'Master data'!$A$2:$A$1000,0),MATCH(H$1,'Master data'!$B$1:$CL$1,0)),"")</f>
        <v>-238.09523809523853</v>
      </c>
      <c r="I590" s="7">
        <f>IFERROR(INDEX('Master data'!$B$2:$CL$1000,MATCH($B590,'Master data'!$A$2:$A$1000,0),MATCH(I$1,'Master data'!$B$1:$CL$1,0)),"")</f>
        <v>-5342.2547028431682</v>
      </c>
      <c r="J590" s="7">
        <f>IFERROR(INDEX('Master data'!$B$2:$CL$1000,MATCH($B590,'Master data'!$A$2:$A$1000,0),MATCH(J$1,'Master data'!$B$1:$CL$1,0)),"")</f>
        <v>-2626.7589911477085</v>
      </c>
      <c r="K590" s="7">
        <f>IFERROR(INDEX('Master data'!$B$2:$CL$1000,MATCH($B590,'Master data'!$A$2:$A$1000,0),MATCH(K$1,'Master data'!$B$1:$CL$1,0)),"")</f>
        <v>-1268.1755617539177</v>
      </c>
      <c r="L590" s="7">
        <f>IFERROR(INDEX('Master data'!$B$2:$CL$1000,MATCH($B590,'Master data'!$A$2:$A$1000,0),MATCH(L$1,'Master data'!$B$1:$CL$1,0)),"")</f>
        <v>-572.71570250088575</v>
      </c>
      <c r="M590" s="5">
        <f>IFERROR(INDEX('Master data'!$B$2:$CL$1000,MATCH($B590,'Master data'!$A$2:$A$1000,0),MATCH(M$1,'Master data'!$B$1:$CL$1,0)),"")</f>
        <v>8335.6653399202114</v>
      </c>
      <c r="N590" s="28">
        <f>IFERROR(INDEX('Master data'!$B$2:$CL$1000,MATCH($B590,'Master data'!$A$2:$A$1000,0),MATCH(N$1,'Master data'!$B$1:$CL$1,0)),"")</f>
        <v>6.5132897842238597E-3</v>
      </c>
      <c r="O590" s="7">
        <f>IFERROR(INDEX('Master data'!$B$2:$CL$1000,MATCH($B590,'Master data'!$A$2:$A$1000,0),MATCH(O$1,'Master data'!$B$1:$CL$1,0)),"")</f>
        <v>0</v>
      </c>
      <c r="P590" s="5">
        <f>IFERROR(INDEX('Master data'!$B$2:$CL$1000,MATCH($B590,'Master data'!$A$2:$A$1000,0),MATCH(P$1,'Master data'!$B$1:$CL$1,0)),"")</f>
        <v>2000000</v>
      </c>
      <c r="Q590" s="5">
        <f>IFERROR(INDEX('Master data'!$B$2:$CL$1000,MATCH($B590,'Master data'!$A$2:$A$1000,0),MATCH(Q$1,'Master data'!$B$1:$CL$1,0)),"")</f>
        <v>2000000</v>
      </c>
    </row>
    <row r="591" spans="1:17" hidden="1">
      <c r="A591">
        <f t="shared" si="9"/>
        <v>589</v>
      </c>
      <c r="B591" t="str">
        <f>IF('Master data'!A591="","",'Master data'!A591)</f>
        <v>Dávid Hancko</v>
      </c>
      <c r="C591" t="str">
        <f>IFERROR(INDEX('Master data'!$B$2:$CL$1000,MATCH($B591,'Master data'!$A$2:$A$1000,0),MATCH(C$1,'Master data'!$B$1:$CL$1,0)),"")</f>
        <v>Slovakia</v>
      </c>
      <c r="D591" t="str">
        <f>IFERROR(INDEX('Master data'!$B$2:$CL$1000,MATCH($B591,'Master data'!$A$2:$A$1000,0),MATCH(D$1,'Master data'!$B$1:$CL$1,0)),"")</f>
        <v>Defense</v>
      </c>
      <c r="E591" s="5">
        <f>IFERROR(INDEX('Master data'!$B$2:$CL$1000,MATCH($B591,'Master data'!$A$2:$A$1000,0),MATCH(E$1,'Master data'!$B$1:$CL$1,0)),"")</f>
        <v>2500000</v>
      </c>
      <c r="F591" s="7">
        <f>IFERROR(INDEX('Master data'!$B$2:$CL$1000,MATCH($B591,'Master data'!$A$2:$A$1000,0),MATCH(F$1,'Master data'!$B$1:$CL$1,0)),"")</f>
        <v>5752.221824661081</v>
      </c>
      <c r="G591" s="7">
        <f>IFERROR(INDEX('Master data'!$B$2:$CL$1000,MATCH($B591,'Master data'!$A$2:$A$1000,0),MATCH(G$1,'Master data'!$B$1:$CL$1,0)),"")</f>
        <v>7512.4529818818755</v>
      </c>
      <c r="H591" s="7">
        <f>IFERROR(INDEX('Master data'!$B$2:$CL$1000,MATCH($B591,'Master data'!$A$2:$A$1000,0),MATCH(H$1,'Master data'!$B$1:$CL$1,0)),"")</f>
        <v>-238.09523809523853</v>
      </c>
      <c r="I591" s="7">
        <f>IFERROR(INDEX('Master data'!$B$2:$CL$1000,MATCH($B591,'Master data'!$A$2:$A$1000,0),MATCH(I$1,'Master data'!$B$1:$CL$1,0)),"")</f>
        <v>-7034.1188195386449</v>
      </c>
      <c r="J591" s="7">
        <f>IFERROR(INDEX('Master data'!$B$2:$CL$1000,MATCH($B591,'Master data'!$A$2:$A$1000,0),MATCH(J$1,'Master data'!$B$1:$CL$1,0)),"")</f>
        <v>-3456.3581754908873</v>
      </c>
      <c r="K591" s="7">
        <f>IFERROR(INDEX('Master data'!$B$2:$CL$1000,MATCH($B591,'Master data'!$A$2:$A$1000,0),MATCH(K$1,'Master data'!$B$1:$CL$1,0)),"")</f>
        <v>-1667.6030372153341</v>
      </c>
      <c r="L591" s="7">
        <f>IFERROR(INDEX('Master data'!$B$2:$CL$1000,MATCH($B591,'Master data'!$A$2:$A$1000,0),MATCH(L$1,'Master data'!$B$1:$CL$1,0)),"")</f>
        <v>-752.60750026321284</v>
      </c>
      <c r="M591" s="5">
        <f>IFERROR(INDEX('Master data'!$B$2:$CL$1000,MATCH($B591,'Master data'!$A$2:$A$1000,0),MATCH(M$1,'Master data'!$B$1:$CL$1,0)),"")</f>
        <v>7602.108351644868</v>
      </c>
      <c r="N591" s="28">
        <f>IFERROR(INDEX('Master data'!$B$2:$CL$1000,MATCH($B591,'Master data'!$A$2:$A$1000,0),MATCH(N$1,'Master data'!$B$1:$CL$1,0)),"")</f>
        <v>5.2106318273790883E-3</v>
      </c>
      <c r="O591" s="7">
        <f>IFERROR(INDEX('Master data'!$B$2:$CL$1000,MATCH($B591,'Master data'!$A$2:$A$1000,0),MATCH(O$1,'Master data'!$B$1:$CL$1,0)),"")</f>
        <v>0</v>
      </c>
      <c r="P591" s="5">
        <f>IFERROR(INDEX('Master data'!$B$2:$CL$1000,MATCH($B591,'Master data'!$A$2:$A$1000,0),MATCH(P$1,'Master data'!$B$1:$CL$1,0)),"")</f>
        <v>2500000</v>
      </c>
      <c r="Q591" s="5">
        <f>IFERROR(INDEX('Master data'!$B$2:$CL$1000,MATCH($B591,'Master data'!$A$2:$A$1000,0),MATCH(Q$1,'Master data'!$B$1:$CL$1,0)),"")</f>
        <v>2500000</v>
      </c>
    </row>
    <row r="592" spans="1:17" hidden="1">
      <c r="A592">
        <f t="shared" si="9"/>
        <v>590</v>
      </c>
      <c r="B592" t="str">
        <f>IF('Master data'!A592="","",'Master data'!A592)</f>
        <v>Ľubomír Šatka</v>
      </c>
      <c r="C592" t="str">
        <f>IFERROR(INDEX('Master data'!$B$2:$CL$1000,MATCH($B592,'Master data'!$A$2:$A$1000,0),MATCH(C$1,'Master data'!$B$1:$CL$1,0)),"")</f>
        <v>Slovakia</v>
      </c>
      <c r="D592" t="str">
        <f>IFERROR(INDEX('Master data'!$B$2:$CL$1000,MATCH($B592,'Master data'!$A$2:$A$1000,0),MATCH(D$1,'Master data'!$B$1:$CL$1,0)),"")</f>
        <v>Defense</v>
      </c>
      <c r="E592" s="5">
        <f>IFERROR(INDEX('Master data'!$B$2:$CL$1000,MATCH($B592,'Master data'!$A$2:$A$1000,0),MATCH(E$1,'Master data'!$B$1:$CL$1,0)),"")</f>
        <v>2000000</v>
      </c>
      <c r="F592" s="7">
        <f>IFERROR(INDEX('Master data'!$B$2:$CL$1000,MATCH($B592,'Master data'!$A$2:$A$1000,0),MATCH(F$1,'Master data'!$B$1:$CL$1,0)),"")</f>
        <v>24229.033124091751</v>
      </c>
      <c r="G592" s="7">
        <f>IFERROR(INDEX('Master data'!$B$2:$CL$1000,MATCH($B592,'Master data'!$A$2:$A$1000,0),MATCH(G$1,'Master data'!$B$1:$CL$1,0)),"")</f>
        <v>28420.108782733761</v>
      </c>
      <c r="H592" s="7">
        <f>IFERROR(INDEX('Master data'!$B$2:$CL$1000,MATCH($B592,'Master data'!$A$2:$A$1000,0),MATCH(H$1,'Master data'!$B$1:$CL$1,0)),"")</f>
        <v>-1423.5406299429305</v>
      </c>
      <c r="I592" s="7">
        <f>IFERROR(INDEX('Master data'!$B$2:$CL$1000,MATCH($B592,'Master data'!$A$2:$A$1000,0),MATCH(I$1,'Master data'!$B$1:$CL$1,0)),"")</f>
        <v>-1163.0062029944131</v>
      </c>
      <c r="J592" s="7">
        <f>IFERROR(INDEX('Master data'!$B$2:$CL$1000,MATCH($B592,'Master data'!$A$2:$A$1000,0),MATCH(J$1,'Master data'!$B$1:$CL$1,0)),"")</f>
        <v>-598.60684701811135</v>
      </c>
      <c r="K592" s="7">
        <f>IFERROR(INDEX('Master data'!$B$2:$CL$1000,MATCH($B592,'Master data'!$A$2:$A$1000,0),MATCH(K$1,'Master data'!$B$1:$CL$1,0)),"")</f>
        <v>-301.85210403450549</v>
      </c>
      <c r="L592" s="7">
        <f>IFERROR(INDEX('Master data'!$B$2:$CL$1000,MATCH($B592,'Master data'!$A$2:$A$1000,0),MATCH(L$1,'Master data'!$B$1:$CL$1,0)),"")</f>
        <v>-142.08975272628885</v>
      </c>
      <c r="M592" s="5">
        <f>IFERROR(INDEX('Master data'!$B$2:$CL$1000,MATCH($B592,'Master data'!$A$2:$A$1000,0),MATCH(M$1,'Master data'!$B$1:$CL$1,0)),"")</f>
        <v>42028.025486681465</v>
      </c>
      <c r="N592" s="28">
        <f>IFERROR(INDEX('Master data'!$B$2:$CL$1000,MATCH($B592,'Master data'!$A$2:$A$1000,0),MATCH(N$1,'Master data'!$B$1:$CL$1,0)),"")</f>
        <v>2.5612800638441294E-2</v>
      </c>
      <c r="O592" s="7">
        <f>IFERROR(INDEX('Master data'!$B$2:$CL$1000,MATCH($B592,'Master data'!$A$2:$A$1000,0),MATCH(O$1,'Master data'!$B$1:$CL$1,0)),"")</f>
        <v>0</v>
      </c>
      <c r="P592" s="5">
        <f>IFERROR(INDEX('Master data'!$B$2:$CL$1000,MATCH($B592,'Master data'!$A$2:$A$1000,0),MATCH(P$1,'Master data'!$B$1:$CL$1,0)),"")</f>
        <v>2000000</v>
      </c>
      <c r="Q592" s="5">
        <f>IFERROR(INDEX('Master data'!$B$2:$CL$1000,MATCH($B592,'Master data'!$A$2:$A$1000,0),MATCH(Q$1,'Master data'!$B$1:$CL$1,0)),"")</f>
        <v>2000000</v>
      </c>
    </row>
    <row r="593" spans="1:17" hidden="1">
      <c r="A593">
        <f t="shared" si="9"/>
        <v>591</v>
      </c>
      <c r="B593" t="str">
        <f>IF('Master data'!A593="","",'Master data'!A593)</f>
        <v>Tomáš Hubočan</v>
      </c>
      <c r="C593" t="str">
        <f>IFERROR(INDEX('Master data'!$B$2:$CL$1000,MATCH($B593,'Master data'!$A$2:$A$1000,0),MATCH(C$1,'Master data'!$B$1:$CL$1,0)),"")</f>
        <v>Slovakia</v>
      </c>
      <c r="D593" t="str">
        <f>IFERROR(INDEX('Master data'!$B$2:$CL$1000,MATCH($B593,'Master data'!$A$2:$A$1000,0),MATCH(D$1,'Master data'!$B$1:$CL$1,0)),"")</f>
        <v>Defense</v>
      </c>
      <c r="E593" s="5">
        <f>IFERROR(INDEX('Master data'!$B$2:$CL$1000,MATCH($B593,'Master data'!$A$2:$A$1000,0),MATCH(E$1,'Master data'!$B$1:$CL$1,0)),"")</f>
        <v>2000000</v>
      </c>
      <c r="F593" s="7">
        <f>IFERROR(INDEX('Master data'!$B$2:$CL$1000,MATCH($B593,'Master data'!$A$2:$A$1000,0),MATCH(F$1,'Master data'!$B$1:$CL$1,0)),"")</f>
        <v>15528.699258419252</v>
      </c>
      <c r="G593" s="7">
        <f>IFERROR(INDEX('Master data'!$B$2:$CL$1000,MATCH($B593,'Master data'!$A$2:$A$1000,0),MATCH(G$1,'Master data'!$B$1:$CL$1,0)),"")</f>
        <v>19791.08447673676</v>
      </c>
      <c r="H593" s="7">
        <f>IFERROR(INDEX('Master data'!$B$2:$CL$1000,MATCH($B593,'Master data'!$A$2:$A$1000,0),MATCH(H$1,'Master data'!$B$1:$CL$1,0)),"")</f>
        <v>-7823.154919713932</v>
      </c>
      <c r="I593" s="7">
        <f>IFERROR(INDEX('Master data'!$B$2:$CL$1000,MATCH($B593,'Master data'!$A$2:$A$1000,0),MATCH(I$1,'Master data'!$B$1:$CL$1,0)),"")</f>
        <v>-3759.1269444983691</v>
      </c>
      <c r="J593" s="7">
        <f>IFERROR(INDEX('Master data'!$B$2:$CL$1000,MATCH($B593,'Master data'!$A$2:$A$1000,0),MATCH(J$1,'Master data'!$B$1:$CL$1,0)),"")</f>
        <v>-1858.4811637741302</v>
      </c>
      <c r="K593" s="7">
        <f>IFERROR(INDEX('Master data'!$B$2:$CL$1000,MATCH($B593,'Master data'!$A$2:$A$1000,0),MATCH(K$1,'Master data'!$B$1:$CL$1,0)),"")</f>
        <v>-902.12566318706024</v>
      </c>
      <c r="L593" s="7">
        <f>IFERROR(INDEX('Master data'!$B$2:$CL$1000,MATCH($B593,'Master data'!$A$2:$A$1000,0),MATCH(L$1,'Master data'!$B$1:$CL$1,0)),"")</f>
        <v>-409.59166367514246</v>
      </c>
      <c r="M593" s="5">
        <f>IFERROR(INDEX('Master data'!$B$2:$CL$1000,MATCH($B593,'Master data'!$A$2:$A$1000,0),MATCH(M$1,'Master data'!$B$1:$CL$1,0)),"")</f>
        <v>23610.117946993276</v>
      </c>
      <c r="N593" s="28">
        <f>IFERROR(INDEX('Master data'!$B$2:$CL$1000,MATCH($B593,'Master data'!$A$2:$A$1000,0),MATCH(N$1,'Master data'!$B$1:$CL$1,0)),"")</f>
        <v>1.3748314407721042E-2</v>
      </c>
      <c r="O593" s="7">
        <f>IFERROR(INDEX('Master data'!$B$2:$CL$1000,MATCH($B593,'Master data'!$A$2:$A$1000,0),MATCH(O$1,'Master data'!$B$1:$CL$1,0)),"")</f>
        <v>0</v>
      </c>
      <c r="P593" s="5">
        <f>IFERROR(INDEX('Master data'!$B$2:$CL$1000,MATCH($B593,'Master data'!$A$2:$A$1000,0),MATCH(P$1,'Master data'!$B$1:$CL$1,0)),"")</f>
        <v>2000000</v>
      </c>
      <c r="Q593" s="5">
        <f>IFERROR(INDEX('Master data'!$B$2:$CL$1000,MATCH($B593,'Master data'!$A$2:$A$1000,0),MATCH(Q$1,'Master data'!$B$1:$CL$1,0)),"")</f>
        <v>2000000</v>
      </c>
    </row>
    <row r="594" spans="1:17" hidden="1">
      <c r="A594">
        <f t="shared" si="9"/>
        <v>592</v>
      </c>
      <c r="B594" t="str">
        <f>IF('Master data'!A594="","",'Master data'!A594)</f>
        <v>Martin Valjent</v>
      </c>
      <c r="C594" t="str">
        <f>IFERROR(INDEX('Master data'!$B$2:$CL$1000,MATCH($B594,'Master data'!$A$2:$A$1000,0),MATCH(C$1,'Master data'!$B$1:$CL$1,0)),"")</f>
        <v>Slovakia</v>
      </c>
      <c r="D594" t="str">
        <f>IFERROR(INDEX('Master data'!$B$2:$CL$1000,MATCH($B594,'Master data'!$A$2:$A$1000,0),MATCH(D$1,'Master data'!$B$1:$CL$1,0)),"")</f>
        <v>Defense</v>
      </c>
      <c r="E594" s="5">
        <f>IFERROR(INDEX('Master data'!$B$2:$CL$1000,MATCH($B594,'Master data'!$A$2:$A$1000,0),MATCH(E$1,'Master data'!$B$1:$CL$1,0)),"")</f>
        <v>2000000</v>
      </c>
      <c r="F594" s="7">
        <f>IFERROR(INDEX('Master data'!$B$2:$CL$1000,MATCH($B594,'Master data'!$A$2:$A$1000,0),MATCH(F$1,'Master data'!$B$1:$CL$1,0)),"")</f>
        <v>5752.221824661081</v>
      </c>
      <c r="G594" s="7">
        <f>IFERROR(INDEX('Master data'!$B$2:$CL$1000,MATCH($B594,'Master data'!$A$2:$A$1000,0),MATCH(G$1,'Master data'!$B$1:$CL$1,0)),"")</f>
        <v>7512.4529818818755</v>
      </c>
      <c r="H594" s="7">
        <f>IFERROR(INDEX('Master data'!$B$2:$CL$1000,MATCH($B594,'Master data'!$A$2:$A$1000,0),MATCH(H$1,'Master data'!$B$1:$CL$1,0)),"")</f>
        <v>-238.09523809523853</v>
      </c>
      <c r="I594" s="7">
        <f>IFERROR(INDEX('Master data'!$B$2:$CL$1000,MATCH($B594,'Master data'!$A$2:$A$1000,0),MATCH(I$1,'Master data'!$B$1:$CL$1,0)),"")</f>
        <v>-5342.2547028431682</v>
      </c>
      <c r="J594" s="7">
        <f>IFERROR(INDEX('Master data'!$B$2:$CL$1000,MATCH($B594,'Master data'!$A$2:$A$1000,0),MATCH(J$1,'Master data'!$B$1:$CL$1,0)),"")</f>
        <v>-2626.7589911477085</v>
      </c>
      <c r="K594" s="7">
        <f>IFERROR(INDEX('Master data'!$B$2:$CL$1000,MATCH($B594,'Master data'!$A$2:$A$1000,0),MATCH(K$1,'Master data'!$B$1:$CL$1,0)),"")</f>
        <v>-1268.1755617539177</v>
      </c>
      <c r="L594" s="7">
        <f>IFERROR(INDEX('Master data'!$B$2:$CL$1000,MATCH($B594,'Master data'!$A$2:$A$1000,0),MATCH(L$1,'Master data'!$B$1:$CL$1,0)),"")</f>
        <v>-572.71570250088575</v>
      </c>
      <c r="M594" s="5">
        <f>IFERROR(INDEX('Master data'!$B$2:$CL$1000,MATCH($B594,'Master data'!$A$2:$A$1000,0),MATCH(M$1,'Master data'!$B$1:$CL$1,0)),"")</f>
        <v>8335.6653399202114</v>
      </c>
      <c r="N594" s="28">
        <f>IFERROR(INDEX('Master data'!$B$2:$CL$1000,MATCH($B594,'Master data'!$A$2:$A$1000,0),MATCH(N$1,'Master data'!$B$1:$CL$1,0)),"")</f>
        <v>6.5132897842238597E-3</v>
      </c>
      <c r="O594" s="7">
        <f>IFERROR(INDEX('Master data'!$B$2:$CL$1000,MATCH($B594,'Master data'!$A$2:$A$1000,0),MATCH(O$1,'Master data'!$B$1:$CL$1,0)),"")</f>
        <v>0</v>
      </c>
      <c r="P594" s="5">
        <f>IFERROR(INDEX('Master data'!$B$2:$CL$1000,MATCH($B594,'Master data'!$A$2:$A$1000,0),MATCH(P$1,'Master data'!$B$1:$CL$1,0)),"")</f>
        <v>2000000</v>
      </c>
      <c r="Q594" s="5">
        <f>IFERROR(INDEX('Master data'!$B$2:$CL$1000,MATCH($B594,'Master data'!$A$2:$A$1000,0),MATCH(Q$1,'Master data'!$B$1:$CL$1,0)),"")</f>
        <v>2000000</v>
      </c>
    </row>
    <row r="595" spans="1:17" hidden="1">
      <c r="A595">
        <f t="shared" si="9"/>
        <v>593</v>
      </c>
      <c r="B595" t="str">
        <f>IF('Master data'!A595="","",'Master data'!A595)</f>
        <v>Jakub Hromada</v>
      </c>
      <c r="C595" t="str">
        <f>IFERROR(INDEX('Master data'!$B$2:$CL$1000,MATCH($B595,'Master data'!$A$2:$A$1000,0),MATCH(C$1,'Master data'!$B$1:$CL$1,0)),"")</f>
        <v>Slovakia</v>
      </c>
      <c r="D595" t="str">
        <f>IFERROR(INDEX('Master data'!$B$2:$CL$1000,MATCH($B595,'Master data'!$A$2:$A$1000,0),MATCH(D$1,'Master data'!$B$1:$CL$1,0)),"")</f>
        <v>Midfield</v>
      </c>
      <c r="E595" s="5">
        <f>IFERROR(INDEX('Master data'!$B$2:$CL$1000,MATCH($B595,'Master data'!$A$2:$A$1000,0),MATCH(E$1,'Master data'!$B$1:$CL$1,0)),"")</f>
        <v>2000000</v>
      </c>
      <c r="F595" s="7">
        <f>IFERROR(INDEX('Master data'!$B$2:$CL$1000,MATCH($B595,'Master data'!$A$2:$A$1000,0),MATCH(F$1,'Master data'!$B$1:$CL$1,0)),"")</f>
        <v>-5000</v>
      </c>
      <c r="G595" s="7">
        <f>IFERROR(INDEX('Master data'!$B$2:$CL$1000,MATCH($B595,'Master data'!$A$2:$A$1000,0),MATCH(G$1,'Master data'!$B$1:$CL$1,0)),"")</f>
        <v>-5000</v>
      </c>
      <c r="H595" s="7">
        <f>IFERROR(INDEX('Master data'!$B$2:$CL$1000,MATCH($B595,'Master data'!$A$2:$A$1000,0),MATCH(H$1,'Master data'!$B$1:$CL$1,0)),"")</f>
        <v>-5000</v>
      </c>
      <c r="I595" s="7">
        <f>IFERROR(INDEX('Master data'!$B$2:$CL$1000,MATCH($B595,'Master data'!$A$2:$A$1000,0),MATCH(I$1,'Master data'!$B$1:$CL$1,0)),"")</f>
        <v>-8408.5646599765187</v>
      </c>
      <c r="J595" s="7">
        <f>IFERROR(INDEX('Master data'!$B$2:$CL$1000,MATCH($B595,'Master data'!$A$2:$A$1000,0),MATCH(J$1,'Master data'!$B$1:$CL$1,0)),"")</f>
        <v>-4114.8119543421681</v>
      </c>
      <c r="K595" s="7">
        <f>IFERROR(INDEX('Master data'!$B$2:$CL$1000,MATCH($B595,'Master data'!$A$2:$A$1000,0),MATCH(K$1,'Master data'!$B$1:$CL$1,0)),"")</f>
        <v>-1977.1660035340115</v>
      </c>
      <c r="L595" s="7">
        <f>IFERROR(INDEX('Master data'!$B$2:$CL$1000,MATCH($B595,'Master data'!$A$2:$A$1000,0),MATCH(L$1,'Master data'!$B$1:$CL$1,0)),"")</f>
        <v>-888.66548094589541</v>
      </c>
      <c r="M595" s="5">
        <f>IFERROR(INDEX('Master data'!$B$2:$CL$1000,MATCH($B595,'Master data'!$A$2:$A$1000,0),MATCH(M$1,'Master data'!$B$1:$CL$1,0)),"")</f>
        <v>-14198.169293689989</v>
      </c>
      <c r="N595" s="28">
        <f>IFERROR(INDEX('Master data'!$B$2:$CL$1000,MATCH($B595,'Master data'!$A$2:$A$1000,0),MATCH(N$1,'Master data'!$B$1:$CL$1,0)),"")</f>
        <v>-7.4999999999999997E-3</v>
      </c>
      <c r="O595" s="7">
        <f>IFERROR(INDEX('Master data'!$B$2:$CL$1000,MATCH($B595,'Master data'!$A$2:$A$1000,0),MATCH(O$1,'Master data'!$B$1:$CL$1,0)),"")</f>
        <v>0</v>
      </c>
      <c r="P595" s="5">
        <f>IFERROR(INDEX('Master data'!$B$2:$CL$1000,MATCH($B595,'Master data'!$A$2:$A$1000,0),MATCH(P$1,'Master data'!$B$1:$CL$1,0)),"")</f>
        <v>2000000</v>
      </c>
      <c r="Q595" s="5">
        <f>IFERROR(INDEX('Master data'!$B$2:$CL$1000,MATCH($B595,'Master data'!$A$2:$A$1000,0),MATCH(Q$1,'Master data'!$B$1:$CL$1,0)),"")</f>
        <v>2000000</v>
      </c>
    </row>
    <row r="596" spans="1:17" hidden="1">
      <c r="A596">
        <f t="shared" si="9"/>
        <v>594</v>
      </c>
      <c r="B596" t="str">
        <f>IF('Master data'!A596="","",'Master data'!A596)</f>
        <v>László Bénes</v>
      </c>
      <c r="C596" t="str">
        <f>IFERROR(INDEX('Master data'!$B$2:$CL$1000,MATCH($B596,'Master data'!$A$2:$A$1000,0),MATCH(C$1,'Master data'!$B$1:$CL$1,0)),"")</f>
        <v>Slovakia</v>
      </c>
      <c r="D596" t="str">
        <f>IFERROR(INDEX('Master data'!$B$2:$CL$1000,MATCH($B596,'Master data'!$A$2:$A$1000,0),MATCH(D$1,'Master data'!$B$1:$CL$1,0)),"")</f>
        <v>Midfield</v>
      </c>
      <c r="E596" s="5">
        <f>IFERROR(INDEX('Master data'!$B$2:$CL$1000,MATCH($B596,'Master data'!$A$2:$A$1000,0),MATCH(E$1,'Master data'!$B$1:$CL$1,0)),"")</f>
        <v>10000000</v>
      </c>
      <c r="F596" s="7">
        <f>IFERROR(INDEX('Master data'!$B$2:$CL$1000,MATCH($B596,'Master data'!$A$2:$A$1000,0),MATCH(F$1,'Master data'!$B$1:$CL$1,0)),"")</f>
        <v>-5000</v>
      </c>
      <c r="G596" s="7">
        <f>IFERROR(INDEX('Master data'!$B$2:$CL$1000,MATCH($B596,'Master data'!$A$2:$A$1000,0),MATCH(G$1,'Master data'!$B$1:$CL$1,0)),"")</f>
        <v>-5000</v>
      </c>
      <c r="H596" s="7">
        <f>IFERROR(INDEX('Master data'!$B$2:$CL$1000,MATCH($B596,'Master data'!$A$2:$A$1000,0),MATCH(H$1,'Master data'!$B$1:$CL$1,0)),"")</f>
        <v>-5000</v>
      </c>
      <c r="I596" s="7">
        <f>IFERROR(INDEX('Master data'!$B$2:$CL$1000,MATCH($B596,'Master data'!$A$2:$A$1000,0),MATCH(I$1,'Master data'!$B$1:$CL$1,0)),"")</f>
        <v>-35478.390527104151</v>
      </c>
      <c r="J596" s="7">
        <f>IFERROR(INDEX('Master data'!$B$2:$CL$1000,MATCH($B596,'Master data'!$A$2:$A$1000,0),MATCH(J$1,'Master data'!$B$1:$CL$1,0)),"")</f>
        <v>-17388.398903833033</v>
      </c>
      <c r="K596" s="7">
        <f>IFERROR(INDEX('Master data'!$B$2:$CL$1000,MATCH($B596,'Master data'!$A$2:$A$1000,0),MATCH(K$1,'Master data'!$B$1:$CL$1,0)),"")</f>
        <v>-8368.0056109166744</v>
      </c>
      <c r="L596" s="7">
        <f>IFERROR(INDEX('Master data'!$B$2:$CL$1000,MATCH($B596,'Master data'!$A$2:$A$1000,0),MATCH(L$1,'Master data'!$B$1:$CL$1,0)),"")</f>
        <v>-3766.9342451431276</v>
      </c>
      <c r="M596" s="5">
        <f>IFERROR(INDEX('Master data'!$B$2:$CL$1000,MATCH($B596,'Master data'!$A$2:$A$1000,0),MATCH(M$1,'Master data'!$B$1:$CL$1,0)),"")</f>
        <v>-25935.081106095495</v>
      </c>
      <c r="N596" s="28">
        <f>IFERROR(INDEX('Master data'!$B$2:$CL$1000,MATCH($B596,'Master data'!$A$2:$A$1000,0),MATCH(N$1,'Master data'!$B$1:$CL$1,0)),"")</f>
        <v>-1.5E-3</v>
      </c>
      <c r="O596" s="7">
        <f>IFERROR(INDEX('Master data'!$B$2:$CL$1000,MATCH($B596,'Master data'!$A$2:$A$1000,0),MATCH(O$1,'Master data'!$B$1:$CL$1,0)),"")</f>
        <v>0</v>
      </c>
      <c r="P596" s="5">
        <f>IFERROR(INDEX('Master data'!$B$2:$CL$1000,MATCH($B596,'Master data'!$A$2:$A$1000,0),MATCH(P$1,'Master data'!$B$1:$CL$1,0)),"")</f>
        <v>10000000</v>
      </c>
      <c r="Q596" s="5">
        <f>IFERROR(INDEX('Master data'!$B$2:$CL$1000,MATCH($B596,'Master data'!$A$2:$A$1000,0),MATCH(Q$1,'Master data'!$B$1:$CL$1,0)),"")</f>
        <v>10000000</v>
      </c>
    </row>
    <row r="597" spans="1:17" hidden="1">
      <c r="A597">
        <f t="shared" si="9"/>
        <v>595</v>
      </c>
      <c r="B597" t="str">
        <f>IF('Master data'!A597="","",'Master data'!A597)</f>
        <v>Vladimír Weiss</v>
      </c>
      <c r="C597" t="str">
        <f>IFERROR(INDEX('Master data'!$B$2:$CL$1000,MATCH($B597,'Master data'!$A$2:$A$1000,0),MATCH(C$1,'Master data'!$B$1:$CL$1,0)),"")</f>
        <v>Slovakia</v>
      </c>
      <c r="D597" t="str">
        <f>IFERROR(INDEX('Master data'!$B$2:$CL$1000,MATCH($B597,'Master data'!$A$2:$A$1000,0),MATCH(D$1,'Master data'!$B$1:$CL$1,0)),"")</f>
        <v>Midfield</v>
      </c>
      <c r="E597" s="5">
        <f>IFERROR(INDEX('Master data'!$B$2:$CL$1000,MATCH($B597,'Master data'!$A$2:$A$1000,0),MATCH(E$1,'Master data'!$B$1:$CL$1,0)),"")</f>
        <v>2500000</v>
      </c>
      <c r="F597" s="7">
        <f>IFERROR(INDEX('Master data'!$B$2:$CL$1000,MATCH($B597,'Master data'!$A$2:$A$1000,0),MATCH(F$1,'Master data'!$B$1:$CL$1,0)),"")</f>
        <v>-5000</v>
      </c>
      <c r="G597" s="7">
        <f>IFERROR(INDEX('Master data'!$B$2:$CL$1000,MATCH($B597,'Master data'!$A$2:$A$1000,0),MATCH(G$1,'Master data'!$B$1:$CL$1,0)),"")</f>
        <v>-5000</v>
      </c>
      <c r="H597" s="7">
        <f>IFERROR(INDEX('Master data'!$B$2:$CL$1000,MATCH($B597,'Master data'!$A$2:$A$1000,0),MATCH(H$1,'Master data'!$B$1:$CL$1,0)),"")</f>
        <v>-5000</v>
      </c>
      <c r="I597" s="7">
        <f>IFERROR(INDEX('Master data'!$B$2:$CL$1000,MATCH($B597,'Master data'!$A$2:$A$1000,0),MATCH(I$1,'Master data'!$B$1:$CL$1,0)),"")</f>
        <v>-10100.428776671995</v>
      </c>
      <c r="J597" s="7">
        <f>IFERROR(INDEX('Master data'!$B$2:$CL$1000,MATCH($B597,'Master data'!$A$2:$A$1000,0),MATCH(J$1,'Master data'!$B$1:$CL$1,0)),"")</f>
        <v>-4944.4111386853474</v>
      </c>
      <c r="K597" s="7">
        <f>IFERROR(INDEX('Master data'!$B$2:$CL$1000,MATCH($B597,'Master data'!$A$2:$A$1000,0),MATCH(K$1,'Master data'!$B$1:$CL$1,0)),"")</f>
        <v>-2376.5934789954281</v>
      </c>
      <c r="L597" s="7">
        <f>IFERROR(INDEX('Master data'!$B$2:$CL$1000,MATCH($B597,'Master data'!$A$2:$A$1000,0),MATCH(L$1,'Master data'!$B$1:$CL$1,0)),"")</f>
        <v>-1068.5572787082224</v>
      </c>
      <c r="M597" s="5">
        <f>IFERROR(INDEX('Master data'!$B$2:$CL$1000,MATCH($B597,'Master data'!$A$2:$A$1000,0),MATCH(M$1,'Master data'!$B$1:$CL$1,0)),"")</f>
        <v>-14931.726281965333</v>
      </c>
      <c r="N597" s="28">
        <f>IFERROR(INDEX('Master data'!$B$2:$CL$1000,MATCH($B597,'Master data'!$A$2:$A$1000,0),MATCH(N$1,'Master data'!$B$1:$CL$1,0)),"")</f>
        <v>-6.0000000000000001E-3</v>
      </c>
      <c r="O597" s="7">
        <f>IFERROR(INDEX('Master data'!$B$2:$CL$1000,MATCH($B597,'Master data'!$A$2:$A$1000,0),MATCH(O$1,'Master data'!$B$1:$CL$1,0)),"")</f>
        <v>0</v>
      </c>
      <c r="P597" s="5">
        <f>IFERROR(INDEX('Master data'!$B$2:$CL$1000,MATCH($B597,'Master data'!$A$2:$A$1000,0),MATCH(P$1,'Master data'!$B$1:$CL$1,0)),"")</f>
        <v>2500000</v>
      </c>
      <c r="Q597" s="5">
        <f>IFERROR(INDEX('Master data'!$B$2:$CL$1000,MATCH($B597,'Master data'!$A$2:$A$1000,0),MATCH(Q$1,'Master data'!$B$1:$CL$1,0)),"")</f>
        <v>2500000</v>
      </c>
    </row>
    <row r="598" spans="1:17" hidden="1">
      <c r="A598">
        <f t="shared" si="9"/>
        <v>596</v>
      </c>
      <c r="B598" t="str">
        <f>IF('Master data'!A598="","",'Master data'!A598)</f>
        <v>Lukáš Haraslín</v>
      </c>
      <c r="C598" t="str">
        <f>IFERROR(INDEX('Master data'!$B$2:$CL$1000,MATCH($B598,'Master data'!$A$2:$A$1000,0),MATCH(C$1,'Master data'!$B$1:$CL$1,0)),"")</f>
        <v>Slovakia</v>
      </c>
      <c r="D598" t="str">
        <f>IFERROR(INDEX('Master data'!$B$2:$CL$1000,MATCH($B598,'Master data'!$A$2:$A$1000,0),MATCH(D$1,'Master data'!$B$1:$CL$1,0)),"")</f>
        <v>Midfield</v>
      </c>
      <c r="E598" s="5">
        <f>IFERROR(INDEX('Master data'!$B$2:$CL$1000,MATCH($B598,'Master data'!$A$2:$A$1000,0),MATCH(E$1,'Master data'!$B$1:$CL$1,0)),"")</f>
        <v>2000000</v>
      </c>
      <c r="F598" s="7">
        <f>IFERROR(INDEX('Master data'!$B$2:$CL$1000,MATCH($B598,'Master data'!$A$2:$A$1000,0),MATCH(F$1,'Master data'!$B$1:$CL$1,0)),"")</f>
        <v>-5000</v>
      </c>
      <c r="G598" s="7">
        <f>IFERROR(INDEX('Master data'!$B$2:$CL$1000,MATCH($B598,'Master data'!$A$2:$A$1000,0),MATCH(G$1,'Master data'!$B$1:$CL$1,0)),"")</f>
        <v>-5000</v>
      </c>
      <c r="H598" s="7">
        <f>IFERROR(INDEX('Master data'!$B$2:$CL$1000,MATCH($B598,'Master data'!$A$2:$A$1000,0),MATCH(H$1,'Master data'!$B$1:$CL$1,0)),"")</f>
        <v>-5000</v>
      </c>
      <c r="I598" s="7">
        <f>IFERROR(INDEX('Master data'!$B$2:$CL$1000,MATCH($B598,'Master data'!$A$2:$A$1000,0),MATCH(I$1,'Master data'!$B$1:$CL$1,0)),"")</f>
        <v>-8408.5646599765187</v>
      </c>
      <c r="J598" s="7">
        <f>IFERROR(INDEX('Master data'!$B$2:$CL$1000,MATCH($B598,'Master data'!$A$2:$A$1000,0),MATCH(J$1,'Master data'!$B$1:$CL$1,0)),"")</f>
        <v>-4114.8119543421681</v>
      </c>
      <c r="K598" s="7">
        <f>IFERROR(INDEX('Master data'!$B$2:$CL$1000,MATCH($B598,'Master data'!$A$2:$A$1000,0),MATCH(K$1,'Master data'!$B$1:$CL$1,0)),"")</f>
        <v>-1977.1660035340115</v>
      </c>
      <c r="L598" s="7">
        <f>IFERROR(INDEX('Master data'!$B$2:$CL$1000,MATCH($B598,'Master data'!$A$2:$A$1000,0),MATCH(L$1,'Master data'!$B$1:$CL$1,0)),"")</f>
        <v>-888.66548094589541</v>
      </c>
      <c r="M598" s="5">
        <f>IFERROR(INDEX('Master data'!$B$2:$CL$1000,MATCH($B598,'Master data'!$A$2:$A$1000,0),MATCH(M$1,'Master data'!$B$1:$CL$1,0)),"")</f>
        <v>-14198.169293689989</v>
      </c>
      <c r="N598" s="28">
        <f>IFERROR(INDEX('Master data'!$B$2:$CL$1000,MATCH($B598,'Master data'!$A$2:$A$1000,0),MATCH(N$1,'Master data'!$B$1:$CL$1,0)),"")</f>
        <v>-7.4999999999999997E-3</v>
      </c>
      <c r="O598" s="7">
        <f>IFERROR(INDEX('Master data'!$B$2:$CL$1000,MATCH($B598,'Master data'!$A$2:$A$1000,0),MATCH(O$1,'Master data'!$B$1:$CL$1,0)),"")</f>
        <v>0</v>
      </c>
      <c r="P598" s="5">
        <f>IFERROR(INDEX('Master data'!$B$2:$CL$1000,MATCH($B598,'Master data'!$A$2:$A$1000,0),MATCH(P$1,'Master data'!$B$1:$CL$1,0)),"")</f>
        <v>2000000</v>
      </c>
      <c r="Q598" s="5">
        <f>IFERROR(INDEX('Master data'!$B$2:$CL$1000,MATCH($B598,'Master data'!$A$2:$A$1000,0),MATCH(Q$1,'Master data'!$B$1:$CL$1,0)),"")</f>
        <v>2000000</v>
      </c>
    </row>
    <row r="599" spans="1:17" hidden="1">
      <c r="A599">
        <f t="shared" si="9"/>
        <v>597</v>
      </c>
      <c r="B599" t="str">
        <f>IF('Master data'!A599="","",'Master data'!A599)</f>
        <v>Patrik Hrošovský</v>
      </c>
      <c r="C599" t="str">
        <f>IFERROR(INDEX('Master data'!$B$2:$CL$1000,MATCH($B599,'Master data'!$A$2:$A$1000,0),MATCH(C$1,'Master data'!$B$1:$CL$1,0)),"")</f>
        <v>Slovakia</v>
      </c>
      <c r="D599" t="str">
        <f>IFERROR(INDEX('Master data'!$B$2:$CL$1000,MATCH($B599,'Master data'!$A$2:$A$1000,0),MATCH(D$1,'Master data'!$B$1:$CL$1,0)),"")</f>
        <v>Midfield</v>
      </c>
      <c r="E599" s="5">
        <f>IFERROR(INDEX('Master data'!$B$2:$CL$1000,MATCH($B599,'Master data'!$A$2:$A$1000,0),MATCH(E$1,'Master data'!$B$1:$CL$1,0)),"")</f>
        <v>2500000</v>
      </c>
      <c r="F599" s="7">
        <f>IFERROR(INDEX('Master data'!$B$2:$CL$1000,MATCH($B599,'Master data'!$A$2:$A$1000,0),MATCH(F$1,'Master data'!$B$1:$CL$1,0)),"")</f>
        <v>-5000</v>
      </c>
      <c r="G599" s="7">
        <f>IFERROR(INDEX('Master data'!$B$2:$CL$1000,MATCH($B599,'Master data'!$A$2:$A$1000,0),MATCH(G$1,'Master data'!$B$1:$CL$1,0)),"")</f>
        <v>-5000</v>
      </c>
      <c r="H599" s="7">
        <f>IFERROR(INDEX('Master data'!$B$2:$CL$1000,MATCH($B599,'Master data'!$A$2:$A$1000,0),MATCH(H$1,'Master data'!$B$1:$CL$1,0)),"")</f>
        <v>-5000</v>
      </c>
      <c r="I599" s="7">
        <f>IFERROR(INDEX('Master data'!$B$2:$CL$1000,MATCH($B599,'Master data'!$A$2:$A$1000,0),MATCH(I$1,'Master data'!$B$1:$CL$1,0)),"")</f>
        <v>-10100.428776671995</v>
      </c>
      <c r="J599" s="7">
        <f>IFERROR(INDEX('Master data'!$B$2:$CL$1000,MATCH($B599,'Master data'!$A$2:$A$1000,0),MATCH(J$1,'Master data'!$B$1:$CL$1,0)),"")</f>
        <v>-4944.4111386853474</v>
      </c>
      <c r="K599" s="7">
        <f>IFERROR(INDEX('Master data'!$B$2:$CL$1000,MATCH($B599,'Master data'!$A$2:$A$1000,0),MATCH(K$1,'Master data'!$B$1:$CL$1,0)),"")</f>
        <v>-2376.5934789954281</v>
      </c>
      <c r="L599" s="7">
        <f>IFERROR(INDEX('Master data'!$B$2:$CL$1000,MATCH($B599,'Master data'!$A$2:$A$1000,0),MATCH(L$1,'Master data'!$B$1:$CL$1,0)),"")</f>
        <v>-1068.5572787082224</v>
      </c>
      <c r="M599" s="5">
        <f>IFERROR(INDEX('Master data'!$B$2:$CL$1000,MATCH($B599,'Master data'!$A$2:$A$1000,0),MATCH(M$1,'Master data'!$B$1:$CL$1,0)),"")</f>
        <v>-14931.726281965333</v>
      </c>
      <c r="N599" s="28">
        <f>IFERROR(INDEX('Master data'!$B$2:$CL$1000,MATCH($B599,'Master data'!$A$2:$A$1000,0),MATCH(N$1,'Master data'!$B$1:$CL$1,0)),"")</f>
        <v>-6.0000000000000001E-3</v>
      </c>
      <c r="O599" s="7">
        <f>IFERROR(INDEX('Master data'!$B$2:$CL$1000,MATCH($B599,'Master data'!$A$2:$A$1000,0),MATCH(O$1,'Master data'!$B$1:$CL$1,0)),"")</f>
        <v>0</v>
      </c>
      <c r="P599" s="5">
        <f>IFERROR(INDEX('Master data'!$B$2:$CL$1000,MATCH($B599,'Master data'!$A$2:$A$1000,0),MATCH(P$1,'Master data'!$B$1:$CL$1,0)),"")</f>
        <v>2500000</v>
      </c>
      <c r="Q599" s="5">
        <f>IFERROR(INDEX('Master data'!$B$2:$CL$1000,MATCH($B599,'Master data'!$A$2:$A$1000,0),MATCH(Q$1,'Master data'!$B$1:$CL$1,0)),"")</f>
        <v>2500000</v>
      </c>
    </row>
    <row r="600" spans="1:17" hidden="1">
      <c r="A600">
        <f t="shared" si="9"/>
        <v>598</v>
      </c>
      <c r="B600" t="str">
        <f>IF('Master data'!A600="","",'Master data'!A600)</f>
        <v>Ján Greguš</v>
      </c>
      <c r="C600" t="str">
        <f>IFERROR(INDEX('Master data'!$B$2:$CL$1000,MATCH($B600,'Master data'!$A$2:$A$1000,0),MATCH(C$1,'Master data'!$B$1:$CL$1,0)),"")</f>
        <v>Slovakia</v>
      </c>
      <c r="D600" t="str">
        <f>IFERROR(INDEX('Master data'!$B$2:$CL$1000,MATCH($B600,'Master data'!$A$2:$A$1000,0),MATCH(D$1,'Master data'!$B$1:$CL$1,0)),"")</f>
        <v>Midfield</v>
      </c>
      <c r="E600" s="5">
        <f>IFERROR(INDEX('Master data'!$B$2:$CL$1000,MATCH($B600,'Master data'!$A$2:$A$1000,0),MATCH(E$1,'Master data'!$B$1:$CL$1,0)),"")</f>
        <v>2500000</v>
      </c>
      <c r="F600" s="7">
        <f>IFERROR(INDEX('Master data'!$B$2:$CL$1000,MATCH($B600,'Master data'!$A$2:$A$1000,0),MATCH(F$1,'Master data'!$B$1:$CL$1,0)),"")</f>
        <v>-5000</v>
      </c>
      <c r="G600" s="7">
        <f>IFERROR(INDEX('Master data'!$B$2:$CL$1000,MATCH($B600,'Master data'!$A$2:$A$1000,0),MATCH(G$1,'Master data'!$B$1:$CL$1,0)),"")</f>
        <v>-5000</v>
      </c>
      <c r="H600" s="7">
        <f>IFERROR(INDEX('Master data'!$B$2:$CL$1000,MATCH($B600,'Master data'!$A$2:$A$1000,0),MATCH(H$1,'Master data'!$B$1:$CL$1,0)),"")</f>
        <v>-5000</v>
      </c>
      <c r="I600" s="7">
        <f>IFERROR(INDEX('Master data'!$B$2:$CL$1000,MATCH($B600,'Master data'!$A$2:$A$1000,0),MATCH(I$1,'Master data'!$B$1:$CL$1,0)),"")</f>
        <v>-10100.428776671995</v>
      </c>
      <c r="J600" s="7">
        <f>IFERROR(INDEX('Master data'!$B$2:$CL$1000,MATCH($B600,'Master data'!$A$2:$A$1000,0),MATCH(J$1,'Master data'!$B$1:$CL$1,0)),"")</f>
        <v>-4944.4111386853474</v>
      </c>
      <c r="K600" s="7">
        <f>IFERROR(INDEX('Master data'!$B$2:$CL$1000,MATCH($B600,'Master data'!$A$2:$A$1000,0),MATCH(K$1,'Master data'!$B$1:$CL$1,0)),"")</f>
        <v>-2376.5934789954281</v>
      </c>
      <c r="L600" s="7">
        <f>IFERROR(INDEX('Master data'!$B$2:$CL$1000,MATCH($B600,'Master data'!$A$2:$A$1000,0),MATCH(L$1,'Master data'!$B$1:$CL$1,0)),"")</f>
        <v>-1068.5572787082224</v>
      </c>
      <c r="M600" s="5">
        <f>IFERROR(INDEX('Master data'!$B$2:$CL$1000,MATCH($B600,'Master data'!$A$2:$A$1000,0),MATCH(M$1,'Master data'!$B$1:$CL$1,0)),"")</f>
        <v>-14931.726281965333</v>
      </c>
      <c r="N600" s="28">
        <f>IFERROR(INDEX('Master data'!$B$2:$CL$1000,MATCH($B600,'Master data'!$A$2:$A$1000,0),MATCH(N$1,'Master data'!$B$1:$CL$1,0)),"")</f>
        <v>-6.0000000000000001E-3</v>
      </c>
      <c r="O600" s="7">
        <f>IFERROR(INDEX('Master data'!$B$2:$CL$1000,MATCH($B600,'Master data'!$A$2:$A$1000,0),MATCH(O$1,'Master data'!$B$1:$CL$1,0)),"")</f>
        <v>0</v>
      </c>
      <c r="P600" s="5">
        <f>IFERROR(INDEX('Master data'!$B$2:$CL$1000,MATCH($B600,'Master data'!$A$2:$A$1000,0),MATCH(P$1,'Master data'!$B$1:$CL$1,0)),"")</f>
        <v>2500000</v>
      </c>
      <c r="Q600" s="5">
        <f>IFERROR(INDEX('Master data'!$B$2:$CL$1000,MATCH($B600,'Master data'!$A$2:$A$1000,0),MATCH(Q$1,'Master data'!$B$1:$CL$1,0)),"")</f>
        <v>2500000</v>
      </c>
    </row>
    <row r="601" spans="1:17" hidden="1">
      <c r="A601">
        <f t="shared" si="9"/>
        <v>599</v>
      </c>
      <c r="B601" t="str">
        <f>IF('Master data'!A601="","",'Master data'!A601)</f>
        <v>Stanislav Lobotka</v>
      </c>
      <c r="C601" t="str">
        <f>IFERROR(INDEX('Master data'!$B$2:$CL$1000,MATCH($B601,'Master data'!$A$2:$A$1000,0),MATCH(C$1,'Master data'!$B$1:$CL$1,0)),"")</f>
        <v>Slovakia</v>
      </c>
      <c r="D601" t="str">
        <f>IFERROR(INDEX('Master data'!$B$2:$CL$1000,MATCH($B601,'Master data'!$A$2:$A$1000,0),MATCH(D$1,'Master data'!$B$1:$CL$1,0)),"")</f>
        <v>Midfield</v>
      </c>
      <c r="E601" s="5">
        <f>IFERROR(INDEX('Master data'!$B$2:$CL$1000,MATCH($B601,'Master data'!$A$2:$A$1000,0),MATCH(E$1,'Master data'!$B$1:$CL$1,0)),"")</f>
        <v>2000000</v>
      </c>
      <c r="F601" s="7">
        <f>IFERROR(INDEX('Master data'!$B$2:$CL$1000,MATCH($B601,'Master data'!$A$2:$A$1000,0),MATCH(F$1,'Master data'!$B$1:$CL$1,0)),"")</f>
        <v>-690.47333654281283</v>
      </c>
      <c r="G601" s="7">
        <f>IFERROR(INDEX('Master data'!$B$2:$CL$1000,MATCH($B601,'Master data'!$A$2:$A$1000,0),MATCH(G$1,'Master data'!$B$1:$CL$1,0)),"")</f>
        <v>1741.4275479612315</v>
      </c>
      <c r="H601" s="7">
        <f>IFERROR(INDEX('Master data'!$B$2:$CL$1000,MATCH($B601,'Master data'!$A$2:$A$1000,0),MATCH(H$1,'Master data'!$B$1:$CL$1,0)),"")</f>
        <v>-20318.64706265679</v>
      </c>
      <c r="I601" s="7">
        <f>IFERROR(INDEX('Master data'!$B$2:$CL$1000,MATCH($B601,'Master data'!$A$2:$A$1000,0),MATCH(I$1,'Master data'!$B$1:$CL$1,0)),"")</f>
        <v>-8875.4810402568764</v>
      </c>
      <c r="J601" s="7">
        <f>IFERROR(INDEX('Master data'!$B$2:$CL$1000,MATCH($B601,'Master data'!$A$2:$A$1000,0),MATCH(J$1,'Master data'!$B$1:$CL$1,0)),"")</f>
        <v>-4341.4023228807009</v>
      </c>
      <c r="K601" s="7">
        <f>IFERROR(INDEX('Master data'!$B$2:$CL$1000,MATCH($B601,'Master data'!$A$2:$A$1000,0),MATCH(K$1,'Master data'!$B$1:$CL$1,0)),"")</f>
        <v>-2085.126143036287</v>
      </c>
      <c r="L601" s="7">
        <f>IFERROR(INDEX('Master data'!$B$2:$CL$1000,MATCH($B601,'Master data'!$A$2:$A$1000,0),MATCH(L$1,'Master data'!$B$1:$CL$1,0)),"")</f>
        <v>-936.77611847578203</v>
      </c>
      <c r="M601" s="5">
        <f>IFERROR(INDEX('Master data'!$B$2:$CL$1000,MATCH($B601,'Master data'!$A$2:$A$1000,0),MATCH(M$1,'Master data'!$B$1:$CL$1,0)),"")</f>
        <v>-12404.19004504196</v>
      </c>
      <c r="N601" s="28">
        <f>IFERROR(INDEX('Master data'!$B$2:$CL$1000,MATCH($B601,'Master data'!$A$2:$A$1000,0),MATCH(N$1,'Master data'!$B$1:$CL$1,0)),"")</f>
        <v>-9.6338464256191855E-3</v>
      </c>
      <c r="O601" s="7">
        <f>IFERROR(INDEX('Master data'!$B$2:$CL$1000,MATCH($B601,'Master data'!$A$2:$A$1000,0),MATCH(O$1,'Master data'!$B$1:$CL$1,0)),"")</f>
        <v>0</v>
      </c>
      <c r="P601" s="5">
        <f>IFERROR(INDEX('Master data'!$B$2:$CL$1000,MATCH($B601,'Master data'!$A$2:$A$1000,0),MATCH(P$1,'Master data'!$B$1:$CL$1,0)),"")</f>
        <v>2000000</v>
      </c>
      <c r="Q601" s="5">
        <f>IFERROR(INDEX('Master data'!$B$2:$CL$1000,MATCH($B601,'Master data'!$A$2:$A$1000,0),MATCH(Q$1,'Master data'!$B$1:$CL$1,0)),"")</f>
        <v>2000000</v>
      </c>
    </row>
    <row r="602" spans="1:17" hidden="1">
      <c r="A602">
        <f t="shared" si="9"/>
        <v>600</v>
      </c>
      <c r="B602" t="str">
        <f>IF('Master data'!A602="","",'Master data'!A602)</f>
        <v>Tomáš Suslov</v>
      </c>
      <c r="C602" t="str">
        <f>IFERROR(INDEX('Master data'!$B$2:$CL$1000,MATCH($B602,'Master data'!$A$2:$A$1000,0),MATCH(C$1,'Master data'!$B$1:$CL$1,0)),"")</f>
        <v>Slovakia</v>
      </c>
      <c r="D602" t="str">
        <f>IFERROR(INDEX('Master data'!$B$2:$CL$1000,MATCH($B602,'Master data'!$A$2:$A$1000,0),MATCH(D$1,'Master data'!$B$1:$CL$1,0)),"")</f>
        <v>Midfield</v>
      </c>
      <c r="E602" s="5">
        <f>IFERROR(INDEX('Master data'!$B$2:$CL$1000,MATCH($B602,'Master data'!$A$2:$A$1000,0),MATCH(E$1,'Master data'!$B$1:$CL$1,0)),"")</f>
        <v>2000000</v>
      </c>
      <c r="F602" s="7">
        <f>IFERROR(INDEX('Master data'!$B$2:$CL$1000,MATCH($B602,'Master data'!$A$2:$A$1000,0),MATCH(F$1,'Master data'!$B$1:$CL$1,0)),"")</f>
        <v>-5000</v>
      </c>
      <c r="G602" s="7">
        <f>IFERROR(INDEX('Master data'!$B$2:$CL$1000,MATCH($B602,'Master data'!$A$2:$A$1000,0),MATCH(G$1,'Master data'!$B$1:$CL$1,0)),"")</f>
        <v>-5000</v>
      </c>
      <c r="H602" s="7">
        <f>IFERROR(INDEX('Master data'!$B$2:$CL$1000,MATCH($B602,'Master data'!$A$2:$A$1000,0),MATCH(H$1,'Master data'!$B$1:$CL$1,0)),"")</f>
        <v>-5000</v>
      </c>
      <c r="I602" s="7">
        <f>IFERROR(INDEX('Master data'!$B$2:$CL$1000,MATCH($B602,'Master data'!$A$2:$A$1000,0),MATCH(I$1,'Master data'!$B$1:$CL$1,0)),"")</f>
        <v>-8408.5646599765187</v>
      </c>
      <c r="J602" s="7">
        <f>IFERROR(INDEX('Master data'!$B$2:$CL$1000,MATCH($B602,'Master data'!$A$2:$A$1000,0),MATCH(J$1,'Master data'!$B$1:$CL$1,0)),"")</f>
        <v>-4114.8119543421681</v>
      </c>
      <c r="K602" s="7">
        <f>IFERROR(INDEX('Master data'!$B$2:$CL$1000,MATCH($B602,'Master data'!$A$2:$A$1000,0),MATCH(K$1,'Master data'!$B$1:$CL$1,0)),"")</f>
        <v>-1977.1660035340115</v>
      </c>
      <c r="L602" s="7">
        <f>IFERROR(INDEX('Master data'!$B$2:$CL$1000,MATCH($B602,'Master data'!$A$2:$A$1000,0),MATCH(L$1,'Master data'!$B$1:$CL$1,0)),"")</f>
        <v>-888.66548094589541</v>
      </c>
      <c r="M602" s="5">
        <f>IFERROR(INDEX('Master data'!$B$2:$CL$1000,MATCH($B602,'Master data'!$A$2:$A$1000,0),MATCH(M$1,'Master data'!$B$1:$CL$1,0)),"")</f>
        <v>-14198.169293689989</v>
      </c>
      <c r="N602" s="28">
        <f>IFERROR(INDEX('Master data'!$B$2:$CL$1000,MATCH($B602,'Master data'!$A$2:$A$1000,0),MATCH(N$1,'Master data'!$B$1:$CL$1,0)),"")</f>
        <v>-7.4999999999999997E-3</v>
      </c>
      <c r="O602" s="7">
        <f>IFERROR(INDEX('Master data'!$B$2:$CL$1000,MATCH($B602,'Master data'!$A$2:$A$1000,0),MATCH(O$1,'Master data'!$B$1:$CL$1,0)),"")</f>
        <v>0</v>
      </c>
      <c r="P602" s="5">
        <f>IFERROR(INDEX('Master data'!$B$2:$CL$1000,MATCH($B602,'Master data'!$A$2:$A$1000,0),MATCH(P$1,'Master data'!$B$1:$CL$1,0)),"")</f>
        <v>2000000</v>
      </c>
      <c r="Q602" s="5">
        <f>IFERROR(INDEX('Master data'!$B$2:$CL$1000,MATCH($B602,'Master data'!$A$2:$A$1000,0),MATCH(Q$1,'Master data'!$B$1:$CL$1,0)),"")</f>
        <v>2000000</v>
      </c>
    </row>
    <row r="603" spans="1:17" hidden="1">
      <c r="A603">
        <f t="shared" si="9"/>
        <v>601</v>
      </c>
      <c r="B603" t="str">
        <f>IF('Master data'!A603="","",'Master data'!A603)</f>
        <v>Róbert Boženík</v>
      </c>
      <c r="C603" t="str">
        <f>IFERROR(INDEX('Master data'!$B$2:$CL$1000,MATCH($B603,'Master data'!$A$2:$A$1000,0),MATCH(C$1,'Master data'!$B$1:$CL$1,0)),"")</f>
        <v>Slovakia</v>
      </c>
      <c r="D603" t="str">
        <f>IFERROR(INDEX('Master data'!$B$2:$CL$1000,MATCH($B603,'Master data'!$A$2:$A$1000,0),MATCH(D$1,'Master data'!$B$1:$CL$1,0)),"")</f>
        <v>Striker</v>
      </c>
      <c r="E603" s="5">
        <f>IFERROR(INDEX('Master data'!$B$2:$CL$1000,MATCH($B603,'Master data'!$A$2:$A$1000,0),MATCH(E$1,'Master data'!$B$1:$CL$1,0)),"")</f>
        <v>3000000</v>
      </c>
      <c r="F603" s="7">
        <f>IFERROR(INDEX('Master data'!$B$2:$CL$1000,MATCH($B603,'Master data'!$A$2:$A$1000,0),MATCH(F$1,'Master data'!$B$1:$CL$1,0)),"")</f>
        <v>33349.061722077131</v>
      </c>
      <c r="G603" s="7">
        <f>IFERROR(INDEX('Master data'!$B$2:$CL$1000,MATCH($B603,'Master data'!$A$2:$A$1000,0),MATCH(G$1,'Master data'!$B$1:$CL$1,0)),"")</f>
        <v>35584.838846187842</v>
      </c>
      <c r="H603" s="7">
        <f>IFERROR(INDEX('Master data'!$B$2:$CL$1000,MATCH($B603,'Master data'!$A$2:$A$1000,0),MATCH(H$1,'Master data'!$B$1:$CL$1,0)),"")</f>
        <v>7393.1841524708725</v>
      </c>
      <c r="I603" s="7">
        <f>IFERROR(INDEX('Master data'!$B$2:$CL$1000,MATCH($B603,'Master data'!$A$2:$A$1000,0),MATCH(I$1,'Master data'!$B$1:$CL$1,0)),"")</f>
        <v>-1800.4510936489337</v>
      </c>
      <c r="J603" s="7">
        <f>IFERROR(INDEX('Master data'!$B$2:$CL$1000,MATCH($B603,'Master data'!$A$2:$A$1000,0),MATCH(J$1,'Master data'!$B$1:$CL$1,0)),"")</f>
        <v>-925.05832349170225</v>
      </c>
      <c r="K603" s="7">
        <f>IFERROR(INDEX('Master data'!$B$2:$CL$1000,MATCH($B603,'Master data'!$A$2:$A$1000,0),MATCH(K$1,'Master data'!$B$1:$CL$1,0)),"")</f>
        <v>-465.7129846773978</v>
      </c>
      <c r="L603" s="7">
        <f>IFERROR(INDEX('Master data'!$B$2:$CL$1000,MATCH($B603,'Master data'!$A$2:$A$1000,0),MATCH(L$1,'Master data'!$B$1:$CL$1,0)),"")</f>
        <v>-218.89881996940372</v>
      </c>
      <c r="M603" s="5">
        <f>IFERROR(INDEX('Master data'!$B$2:$CL$1000,MATCH($B603,'Master data'!$A$2:$A$1000,0),MATCH(M$1,'Master data'!$B$1:$CL$1,0)),"")</f>
        <v>59561.406768482899</v>
      </c>
      <c r="N603" s="28">
        <f>IFERROR(INDEX('Master data'!$B$2:$CL$1000,MATCH($B603,'Master data'!$A$2:$A$1000,0),MATCH(N$1,'Master data'!$B$1:$CL$1,0)),"")</f>
        <v>2.5442361573578615E-2</v>
      </c>
      <c r="O603" s="7">
        <f>IFERROR(INDEX('Master data'!$B$2:$CL$1000,MATCH($B603,'Master data'!$A$2:$A$1000,0),MATCH(O$1,'Master data'!$B$1:$CL$1,0)),"")</f>
        <v>0</v>
      </c>
      <c r="P603" s="5">
        <f>IFERROR(INDEX('Master data'!$B$2:$CL$1000,MATCH($B603,'Master data'!$A$2:$A$1000,0),MATCH(P$1,'Master data'!$B$1:$CL$1,0)),"")</f>
        <v>3000000</v>
      </c>
      <c r="Q603" s="5">
        <f>IFERROR(INDEX('Master data'!$B$2:$CL$1000,MATCH($B603,'Master data'!$A$2:$A$1000,0),MATCH(Q$1,'Master data'!$B$1:$CL$1,0)),"")</f>
        <v>3000000</v>
      </c>
    </row>
    <row r="604" spans="1:17" hidden="1">
      <c r="A604">
        <f t="shared" si="9"/>
        <v>602</v>
      </c>
      <c r="B604" t="str">
        <f>IF('Master data'!A604="","",'Master data'!A604)</f>
        <v>Frederik Rönnow</v>
      </c>
      <c r="C604" t="str">
        <f>IFERROR(INDEX('Master data'!$B$2:$CL$1000,MATCH($B604,'Master data'!$A$2:$A$1000,0),MATCH(C$1,'Master data'!$B$1:$CL$1,0)),"")</f>
        <v>Denmark</v>
      </c>
      <c r="D604" t="str">
        <f>IFERROR(INDEX('Master data'!$B$2:$CL$1000,MATCH($B604,'Master data'!$A$2:$A$1000,0),MATCH(D$1,'Master data'!$B$1:$CL$1,0)),"")</f>
        <v>Goalkeeper</v>
      </c>
      <c r="E604" s="5">
        <f>IFERROR(INDEX('Master data'!$B$2:$CL$1000,MATCH($B604,'Master data'!$A$2:$A$1000,0),MATCH(E$1,'Master data'!$B$1:$CL$1,0)),"")</f>
        <v>4000000</v>
      </c>
      <c r="F604" s="7">
        <f>IFERROR(INDEX('Master data'!$B$2:$CL$1000,MATCH($B604,'Master data'!$A$2:$A$1000,0),MATCH(F$1,'Master data'!$B$1:$CL$1,0)),"")</f>
        <v>42037.245597491594</v>
      </c>
      <c r="G604" s="7">
        <f>IFERROR(INDEX('Master data'!$B$2:$CL$1000,MATCH($B604,'Master data'!$A$2:$A$1000,0),MATCH(G$1,'Master data'!$B$1:$CL$1,0)),"")</f>
        <v>26200.284209451765</v>
      </c>
      <c r="H604" s="7">
        <f>IFERROR(INDEX('Master data'!$B$2:$CL$1000,MATCH($B604,'Master data'!$A$2:$A$1000,0),MATCH(H$1,'Master data'!$B$1:$CL$1,0)),"")</f>
        <v>33171.001454459678</v>
      </c>
      <c r="I604" s="7">
        <f>IFERROR(INDEX('Master data'!$B$2:$CL$1000,MATCH($B604,'Master data'!$A$2:$A$1000,0),MATCH(I$1,'Master data'!$B$1:$CL$1,0)),"")</f>
        <v>-5856.2115984858765</v>
      </c>
      <c r="J604" s="7">
        <f>IFERROR(INDEX('Master data'!$B$2:$CL$1000,MATCH($B604,'Master data'!$A$2:$A$1000,0),MATCH(J$1,'Master data'!$B$1:$CL$1,0)),"")</f>
        <v>-3042.707926601091</v>
      </c>
      <c r="K604" s="7">
        <f>IFERROR(INDEX('Master data'!$B$2:$CL$1000,MATCH($B604,'Master data'!$A$2:$A$1000,0),MATCH(K$1,'Master data'!$B$1:$CL$1,0)),"")</f>
        <v>-1567.1990247045574</v>
      </c>
      <c r="L604" s="7">
        <f>IFERROR(INDEX('Master data'!$B$2:$CL$1000,MATCH($B604,'Master data'!$A$2:$A$1000,0),MATCH(L$1,'Master data'!$B$1:$CL$1,0)),"")</f>
        <v>-787.22772343312204</v>
      </c>
      <c r="M604" s="5">
        <f>IFERROR(INDEX('Master data'!$B$2:$CL$1000,MATCH($B604,'Master data'!$A$2:$A$1000,0),MATCH(M$1,'Master data'!$B$1:$CL$1,0)),"")</f>
        <v>71635.074499636496</v>
      </c>
      <c r="N604" s="28">
        <f>IFERROR(INDEX('Master data'!$B$2:$CL$1000,MATCH($B604,'Master data'!$A$2:$A$1000,0),MATCH(N$1,'Master data'!$B$1:$CL$1,0)),"")</f>
        <v>2.5352132815350755E-2</v>
      </c>
      <c r="O604" s="7">
        <f>IFERROR(INDEX('Master data'!$B$2:$CL$1000,MATCH($B604,'Master data'!$A$2:$A$1000,0),MATCH(O$1,'Master data'!$B$1:$CL$1,0)),"")</f>
        <v>0</v>
      </c>
      <c r="P604" s="5">
        <f>IFERROR(INDEX('Master data'!$B$2:$CL$1000,MATCH($B604,'Master data'!$A$2:$A$1000,0),MATCH(P$1,'Master data'!$B$1:$CL$1,0)),"")</f>
        <v>4000000</v>
      </c>
      <c r="Q604" s="5">
        <f>IFERROR(INDEX('Master data'!$B$2:$CL$1000,MATCH($B604,'Master data'!$A$2:$A$1000,0),MATCH(Q$1,'Master data'!$B$1:$CL$1,0)),"")</f>
        <v>4000000</v>
      </c>
    </row>
    <row r="605" spans="1:17" hidden="1">
      <c r="A605">
        <f t="shared" si="9"/>
        <v>603</v>
      </c>
      <c r="B605" t="str">
        <f>IF('Master data'!A605="","",'Master data'!A605)</f>
        <v>Anssi Jaakkola</v>
      </c>
      <c r="C605" t="str">
        <f>IFERROR(INDEX('Master data'!$B$2:$CL$1000,MATCH($B605,'Master data'!$A$2:$A$1000,0),MATCH(C$1,'Master data'!$B$1:$CL$1,0)),"")</f>
        <v>Finland</v>
      </c>
      <c r="D605" t="str">
        <f>IFERROR(INDEX('Master data'!$B$2:$CL$1000,MATCH($B605,'Master data'!$A$2:$A$1000,0),MATCH(D$1,'Master data'!$B$1:$CL$1,0)),"")</f>
        <v>Goalkeeper</v>
      </c>
      <c r="E605" s="5">
        <f>IFERROR(INDEX('Master data'!$B$2:$CL$1000,MATCH($B605,'Master data'!$A$2:$A$1000,0),MATCH(E$1,'Master data'!$B$1:$CL$1,0)),"")</f>
        <v>2500000</v>
      </c>
      <c r="F605" s="7">
        <f>IFERROR(INDEX('Master data'!$B$2:$CL$1000,MATCH($B605,'Master data'!$A$2:$A$1000,0),MATCH(F$1,'Master data'!$B$1:$CL$1,0)),"")</f>
        <v>24537.47027573939</v>
      </c>
      <c r="G605" s="7">
        <f>IFERROR(INDEX('Master data'!$B$2:$CL$1000,MATCH($B605,'Master data'!$A$2:$A$1000,0),MATCH(G$1,'Master data'!$B$1:$CL$1,0)),"")</f>
        <v>25064.217659464186</v>
      </c>
      <c r="H605" s="7">
        <f>IFERROR(INDEX('Master data'!$B$2:$CL$1000,MATCH($B605,'Master data'!$A$2:$A$1000,0),MATCH(H$1,'Master data'!$B$1:$CL$1,0)),"")</f>
        <v>23764.551417522696</v>
      </c>
      <c r="I605" s="7">
        <f>IFERROR(INDEX('Master data'!$B$2:$CL$1000,MATCH($B605,'Master data'!$A$2:$A$1000,0),MATCH(I$1,'Master data'!$B$1:$CL$1,0)),"")</f>
        <v>-346.01985314798247</v>
      </c>
      <c r="J605" s="7">
        <f>IFERROR(INDEX('Master data'!$B$2:$CL$1000,MATCH($B605,'Master data'!$A$2:$A$1000,0),MATCH(J$1,'Master data'!$B$1:$CL$1,0)),"")</f>
        <v>-202.22785484114081</v>
      </c>
      <c r="K605" s="7">
        <f>IFERROR(INDEX('Master data'!$B$2:$CL$1000,MATCH($B605,'Master data'!$A$2:$A$1000,0),MATCH(K$1,'Master data'!$B$1:$CL$1,0)),"")</f>
        <v>-113.11159872867945</v>
      </c>
      <c r="L605" s="7">
        <f>IFERROR(INDEX('Master data'!$B$2:$CL$1000,MATCH($B605,'Master data'!$A$2:$A$1000,0),MATCH(L$1,'Master data'!$B$1:$CL$1,0)),"")</f>
        <v>-58.156668154452376</v>
      </c>
      <c r="M605" s="5">
        <f>IFERROR(INDEX('Master data'!$B$2:$CL$1000,MATCH($B605,'Master data'!$A$2:$A$1000,0),MATCH(M$1,'Master data'!$B$1:$CL$1,0)),"")</f>
        <v>51646.499908332014</v>
      </c>
      <c r="N605" s="28">
        <f>IFERROR(INDEX('Master data'!$B$2:$CL$1000,MATCH($B605,'Master data'!$A$2:$A$1000,0),MATCH(N$1,'Master data'!$B$1:$CL$1,0)),"")</f>
        <v>2.9346495741090509E-2</v>
      </c>
      <c r="O605" s="7">
        <f>IFERROR(INDEX('Master data'!$B$2:$CL$1000,MATCH($B605,'Master data'!$A$2:$A$1000,0),MATCH(O$1,'Master data'!$B$1:$CL$1,0)),"")</f>
        <v>0</v>
      </c>
      <c r="P605" s="5">
        <f>IFERROR(INDEX('Master data'!$B$2:$CL$1000,MATCH($B605,'Master data'!$A$2:$A$1000,0),MATCH(P$1,'Master data'!$B$1:$CL$1,0)),"")</f>
        <v>2500000</v>
      </c>
      <c r="Q605" s="5">
        <f>IFERROR(INDEX('Master data'!$B$2:$CL$1000,MATCH($B605,'Master data'!$A$2:$A$1000,0),MATCH(Q$1,'Master data'!$B$1:$CL$1,0)),"")</f>
        <v>2500000</v>
      </c>
    </row>
    <row r="606" spans="1:17" hidden="1">
      <c r="A606">
        <f t="shared" si="9"/>
        <v>604</v>
      </c>
      <c r="B606" t="str">
        <f>IF('Master data'!A606="","",'Master data'!A606)</f>
        <v>Lukas Hradecky</v>
      </c>
      <c r="C606" t="str">
        <f>IFERROR(INDEX('Master data'!$B$2:$CL$1000,MATCH($B606,'Master data'!$A$2:$A$1000,0),MATCH(C$1,'Master data'!$B$1:$CL$1,0)),"")</f>
        <v>Finland</v>
      </c>
      <c r="D606" t="str">
        <f>IFERROR(INDEX('Master data'!$B$2:$CL$1000,MATCH($B606,'Master data'!$A$2:$A$1000,0),MATCH(D$1,'Master data'!$B$1:$CL$1,0)),"")</f>
        <v>Goalkeeper</v>
      </c>
      <c r="E606" s="5">
        <f>IFERROR(INDEX('Master data'!$B$2:$CL$1000,MATCH($B606,'Master data'!$A$2:$A$1000,0),MATCH(E$1,'Master data'!$B$1:$CL$1,0)),"")</f>
        <v>3000000</v>
      </c>
      <c r="F606" s="7">
        <f>IFERROR(INDEX('Master data'!$B$2:$CL$1000,MATCH($B606,'Master data'!$A$2:$A$1000,0),MATCH(F$1,'Master data'!$B$1:$CL$1,0)),"")</f>
        <v>24537.47027573939</v>
      </c>
      <c r="G606" s="7">
        <f>IFERROR(INDEX('Master data'!$B$2:$CL$1000,MATCH($B606,'Master data'!$A$2:$A$1000,0),MATCH(G$1,'Master data'!$B$1:$CL$1,0)),"")</f>
        <v>25064.217659464186</v>
      </c>
      <c r="H606" s="7">
        <f>IFERROR(INDEX('Master data'!$B$2:$CL$1000,MATCH($B606,'Master data'!$A$2:$A$1000,0),MATCH(H$1,'Master data'!$B$1:$CL$1,0)),"")</f>
        <v>23764.551417522696</v>
      </c>
      <c r="I606" s="7">
        <f>IFERROR(INDEX('Master data'!$B$2:$CL$1000,MATCH($B606,'Master data'!$A$2:$A$1000,0),MATCH(I$1,'Master data'!$B$1:$CL$1,0)),"")</f>
        <v>-1699.5111465043635</v>
      </c>
      <c r="J606" s="7">
        <f>IFERROR(INDEX('Master data'!$B$2:$CL$1000,MATCH($B606,'Master data'!$A$2:$A$1000,0),MATCH(J$1,'Master data'!$B$1:$CL$1,0)),"")</f>
        <v>-866.22641793404682</v>
      </c>
      <c r="K606" s="7">
        <f>IFERROR(INDEX('Master data'!$B$2:$CL$1000,MATCH($B606,'Master data'!$A$2:$A$1000,0),MATCH(K$1,'Master data'!$B$1:$CL$1,0)),"")</f>
        <v>-433.11362513604132</v>
      </c>
      <c r="L606" s="7">
        <f>IFERROR(INDEX('Master data'!$B$2:$CL$1000,MATCH($B606,'Master data'!$A$2:$A$1000,0),MATCH(L$1,'Master data'!$B$1:$CL$1,0)),"")</f>
        <v>-202.68753657351564</v>
      </c>
      <c r="M606" s="5">
        <f>IFERROR(INDEX('Master data'!$B$2:$CL$1000,MATCH($B606,'Master data'!$A$2:$A$1000,0),MATCH(M$1,'Master data'!$B$1:$CL$1,0)),"")</f>
        <v>51059.476475459196</v>
      </c>
      <c r="N606" s="28">
        <f>IFERROR(INDEX('Master data'!$B$2:$CL$1000,MATCH($B606,'Master data'!$A$2:$A$1000,0),MATCH(N$1,'Master data'!$B$1:$CL$1,0)),"")</f>
        <v>2.4455413117575424E-2</v>
      </c>
      <c r="O606" s="7">
        <f>IFERROR(INDEX('Master data'!$B$2:$CL$1000,MATCH($B606,'Master data'!$A$2:$A$1000,0),MATCH(O$1,'Master data'!$B$1:$CL$1,0)),"")</f>
        <v>0</v>
      </c>
      <c r="P606" s="5">
        <f>IFERROR(INDEX('Master data'!$B$2:$CL$1000,MATCH($B606,'Master data'!$A$2:$A$1000,0),MATCH(P$1,'Master data'!$B$1:$CL$1,0)),"")</f>
        <v>3000000</v>
      </c>
      <c r="Q606" s="5">
        <f>IFERROR(INDEX('Master data'!$B$2:$CL$1000,MATCH($B606,'Master data'!$A$2:$A$1000,0),MATCH(Q$1,'Master data'!$B$1:$CL$1,0)),"")</f>
        <v>3000000</v>
      </c>
    </row>
    <row r="607" spans="1:17" hidden="1">
      <c r="A607">
        <f t="shared" si="9"/>
        <v>605</v>
      </c>
      <c r="B607" t="str">
        <f>IF('Master data'!A607="","",'Master data'!A607)</f>
        <v>Jesse Joronen</v>
      </c>
      <c r="C607" t="str">
        <f>IFERROR(INDEX('Master data'!$B$2:$CL$1000,MATCH($B607,'Master data'!$A$2:$A$1000,0),MATCH(C$1,'Master data'!$B$1:$CL$1,0)),"")</f>
        <v>Finland</v>
      </c>
      <c r="D607" t="str">
        <f>IFERROR(INDEX('Master data'!$B$2:$CL$1000,MATCH($B607,'Master data'!$A$2:$A$1000,0),MATCH(D$1,'Master data'!$B$1:$CL$1,0)),"")</f>
        <v>Goalkeeper</v>
      </c>
      <c r="E607" s="5">
        <f>IFERROR(INDEX('Master data'!$B$2:$CL$1000,MATCH($B607,'Master data'!$A$2:$A$1000,0),MATCH(E$1,'Master data'!$B$1:$CL$1,0)),"")</f>
        <v>3000000</v>
      </c>
      <c r="F607" s="7">
        <f>IFERROR(INDEX('Master data'!$B$2:$CL$1000,MATCH($B607,'Master data'!$A$2:$A$1000,0),MATCH(F$1,'Master data'!$B$1:$CL$1,0)),"")</f>
        <v>23518.75613914066</v>
      </c>
      <c r="G607" s="7">
        <f>IFERROR(INDEX('Master data'!$B$2:$CL$1000,MATCH($B607,'Master data'!$A$2:$A$1000,0),MATCH(G$1,'Master data'!$B$1:$CL$1,0)),"")</f>
        <v>29301.228289253089</v>
      </c>
      <c r="H607" s="7">
        <f>IFERROR(INDEX('Master data'!$B$2:$CL$1000,MATCH($B607,'Master data'!$A$2:$A$1000,0),MATCH(H$1,'Master data'!$B$1:$CL$1,0)),"")</f>
        <v>13866.987936266036</v>
      </c>
      <c r="I607" s="7">
        <f>IFERROR(INDEX('Master data'!$B$2:$CL$1000,MATCH($B607,'Master data'!$A$2:$A$1000,0),MATCH(I$1,'Master data'!$B$1:$CL$1,0)),"")</f>
        <v>-2284.1191346990418</v>
      </c>
      <c r="J607" s="7">
        <f>IFERROR(INDEX('Master data'!$B$2:$CL$1000,MATCH($B607,'Master data'!$A$2:$A$1000,0),MATCH(J$1,'Master data'!$B$1:$CL$1,0)),"")</f>
        <v>-1150.0679336198089</v>
      </c>
      <c r="K607" s="7">
        <f>IFERROR(INDEX('Master data'!$B$2:$CL$1000,MATCH($B607,'Master data'!$A$2:$A$1000,0),MATCH(K$1,'Master data'!$B$1:$CL$1,0)),"")</f>
        <v>-568.48095997218934</v>
      </c>
      <c r="L607" s="7">
        <f>IFERROR(INDEX('Master data'!$B$2:$CL$1000,MATCH($B607,'Master data'!$A$2:$A$1000,0),MATCH(L$1,'Master data'!$B$1:$CL$1,0)),"")</f>
        <v>-263.18344608663233</v>
      </c>
      <c r="M607" s="5">
        <f>IFERROR(INDEX('Master data'!$B$2:$CL$1000,MATCH($B607,'Master data'!$A$2:$A$1000,0),MATCH(M$1,'Master data'!$B$1:$CL$1,0)),"")</f>
        <v>48214.097170257352</v>
      </c>
      <c r="N607" s="28">
        <f>IFERROR(INDEX('Master data'!$B$2:$CL$1000,MATCH($B607,'Master data'!$A$2:$A$1000,0),MATCH(N$1,'Master data'!$B$1:$CL$1,0)),"")</f>
        <v>2.2228990788219927E-2</v>
      </c>
      <c r="O607" s="7">
        <f>IFERROR(INDEX('Master data'!$B$2:$CL$1000,MATCH($B607,'Master data'!$A$2:$A$1000,0),MATCH(O$1,'Master data'!$B$1:$CL$1,0)),"")</f>
        <v>0</v>
      </c>
      <c r="P607" s="5">
        <f>IFERROR(INDEX('Master data'!$B$2:$CL$1000,MATCH($B607,'Master data'!$A$2:$A$1000,0),MATCH(P$1,'Master data'!$B$1:$CL$1,0)),"")</f>
        <v>3000000</v>
      </c>
      <c r="Q607" s="5">
        <f>IFERROR(INDEX('Master data'!$B$2:$CL$1000,MATCH($B607,'Master data'!$A$2:$A$1000,0),MATCH(Q$1,'Master data'!$B$1:$CL$1,0)),"")</f>
        <v>3000000</v>
      </c>
    </row>
    <row r="608" spans="1:17" hidden="1">
      <c r="A608">
        <f t="shared" si="9"/>
        <v>606</v>
      </c>
      <c r="B608" t="str">
        <f>IF('Master data'!A608="","",'Master data'!A608)</f>
        <v>Thomas Lam</v>
      </c>
      <c r="C608" t="str">
        <f>IFERROR(INDEX('Master data'!$B$2:$CL$1000,MATCH($B608,'Master data'!$A$2:$A$1000,0),MATCH(C$1,'Master data'!$B$1:$CL$1,0)),"")</f>
        <v>Finland</v>
      </c>
      <c r="D608" t="str">
        <f>IFERROR(INDEX('Master data'!$B$2:$CL$1000,MATCH($B608,'Master data'!$A$2:$A$1000,0),MATCH(D$1,'Master data'!$B$1:$CL$1,0)),"")</f>
        <v>Midfield</v>
      </c>
      <c r="E608" s="5">
        <f>IFERROR(INDEX('Master data'!$B$2:$CL$1000,MATCH($B608,'Master data'!$A$2:$A$1000,0),MATCH(E$1,'Master data'!$B$1:$CL$1,0)),"")</f>
        <v>2000000</v>
      </c>
      <c r="F608" s="7">
        <f>IFERROR(INDEX('Master data'!$B$2:$CL$1000,MATCH($B608,'Master data'!$A$2:$A$1000,0),MATCH(F$1,'Master data'!$B$1:$CL$1,0)),"")</f>
        <v>-5000</v>
      </c>
      <c r="G608" s="7">
        <f>IFERROR(INDEX('Master data'!$B$2:$CL$1000,MATCH($B608,'Master data'!$A$2:$A$1000,0),MATCH(G$1,'Master data'!$B$1:$CL$1,0)),"")</f>
        <v>-5000</v>
      </c>
      <c r="H608" s="7">
        <f>IFERROR(INDEX('Master data'!$B$2:$CL$1000,MATCH($B608,'Master data'!$A$2:$A$1000,0),MATCH(H$1,'Master data'!$B$1:$CL$1,0)),"")</f>
        <v>-5000</v>
      </c>
      <c r="I608" s="7">
        <f>IFERROR(INDEX('Master data'!$B$2:$CL$1000,MATCH($B608,'Master data'!$A$2:$A$1000,0),MATCH(I$1,'Master data'!$B$1:$CL$1,0)),"")</f>
        <v>-6726.851727981214</v>
      </c>
      <c r="J608" s="7">
        <f>IFERROR(INDEX('Master data'!$B$2:$CL$1000,MATCH($B608,'Master data'!$A$2:$A$1000,0),MATCH(J$1,'Master data'!$B$1:$CL$1,0)),"")</f>
        <v>-3293.4328729408139</v>
      </c>
      <c r="K608" s="7">
        <f>IFERROR(INDEX('Master data'!$B$2:$CL$1000,MATCH($B608,'Master data'!$A$2:$A$1000,0),MATCH(K$1,'Master data'!$B$1:$CL$1,0)),"")</f>
        <v>-1584.0100307164412</v>
      </c>
      <c r="L608" s="7">
        <f>IFERROR(INDEX('Master data'!$B$2:$CL$1000,MATCH($B608,'Master data'!$A$2:$A$1000,0),MATCH(L$1,'Master data'!$B$1:$CL$1,0)),"")</f>
        <v>-713.98248999017255</v>
      </c>
      <c r="M608" s="5">
        <f>IFERROR(INDEX('Master data'!$B$2:$CL$1000,MATCH($B608,'Master data'!$A$2:$A$1000,0),MATCH(M$1,'Master data'!$B$1:$CL$1,0)),"")</f>
        <v>-13470.526953711342</v>
      </c>
      <c r="N608" s="28">
        <f>IFERROR(INDEX('Master data'!$B$2:$CL$1000,MATCH($B608,'Master data'!$A$2:$A$1000,0),MATCH(N$1,'Master data'!$B$1:$CL$1,0)),"")</f>
        <v>-7.4999999999999997E-3</v>
      </c>
      <c r="O608" s="7">
        <f>IFERROR(INDEX('Master data'!$B$2:$CL$1000,MATCH($B608,'Master data'!$A$2:$A$1000,0),MATCH(O$1,'Master data'!$B$1:$CL$1,0)),"")</f>
        <v>0</v>
      </c>
      <c r="P608" s="5">
        <f>IFERROR(INDEX('Master data'!$B$2:$CL$1000,MATCH($B608,'Master data'!$A$2:$A$1000,0),MATCH(P$1,'Master data'!$B$1:$CL$1,0)),"")</f>
        <v>2000000</v>
      </c>
      <c r="Q608" s="5">
        <f>IFERROR(INDEX('Master data'!$B$2:$CL$1000,MATCH($B608,'Master data'!$A$2:$A$1000,0),MATCH(Q$1,'Master data'!$B$1:$CL$1,0)),"")</f>
        <v>2000000</v>
      </c>
    </row>
    <row r="609" spans="1:17" hidden="1">
      <c r="A609">
        <f t="shared" si="9"/>
        <v>607</v>
      </c>
      <c r="B609" t="str">
        <f>IF('Master data'!A609="","",'Master data'!A609)</f>
        <v>Nikolai Alho</v>
      </c>
      <c r="C609" t="str">
        <f>IFERROR(INDEX('Master data'!$B$2:$CL$1000,MATCH($B609,'Master data'!$A$2:$A$1000,0),MATCH(C$1,'Master data'!$B$1:$CL$1,0)),"")</f>
        <v>Finland</v>
      </c>
      <c r="D609" t="str">
        <f>IFERROR(INDEX('Master data'!$B$2:$CL$1000,MATCH($B609,'Master data'!$A$2:$A$1000,0),MATCH(D$1,'Master data'!$B$1:$CL$1,0)),"")</f>
        <v>Midfield</v>
      </c>
      <c r="E609" s="5">
        <f>IFERROR(INDEX('Master data'!$B$2:$CL$1000,MATCH($B609,'Master data'!$A$2:$A$1000,0),MATCH(E$1,'Master data'!$B$1:$CL$1,0)),"")</f>
        <v>2500000</v>
      </c>
      <c r="F609" s="7">
        <f>IFERROR(INDEX('Master data'!$B$2:$CL$1000,MATCH($B609,'Master data'!$A$2:$A$1000,0),MATCH(F$1,'Master data'!$B$1:$CL$1,0)),"")</f>
        <v>66.134323711514298</v>
      </c>
      <c r="G609" s="7">
        <f>IFERROR(INDEX('Master data'!$B$2:$CL$1000,MATCH($B609,'Master data'!$A$2:$A$1000,0),MATCH(G$1,'Master data'!$B$1:$CL$1,0)),"")</f>
        <v>7262.4959805407052</v>
      </c>
      <c r="H609" s="7">
        <f>IFERROR(INDEX('Master data'!$B$2:$CL$1000,MATCH($B609,'Master data'!$A$2:$A$1000,0),MATCH(H$1,'Master data'!$B$1:$CL$1,0)),"")</f>
        <v>-8505.0319880800562</v>
      </c>
      <c r="I609" s="7">
        <f>IFERROR(INDEX('Master data'!$B$2:$CL$1000,MATCH($B609,'Master data'!$A$2:$A$1000,0),MATCH(I$1,'Master data'!$B$1:$CL$1,0)),"")</f>
        <v>-6870.421930345522</v>
      </c>
      <c r="J609" s="7">
        <f>IFERROR(INDEX('Master data'!$B$2:$CL$1000,MATCH($B609,'Master data'!$A$2:$A$1000,0),MATCH(J$1,'Master data'!$B$1:$CL$1,0)),"")</f>
        <v>-3369.9850732361629</v>
      </c>
      <c r="K609" s="7">
        <f>IFERROR(INDEX('Master data'!$B$2:$CL$1000,MATCH($B609,'Master data'!$A$2:$A$1000,0),MATCH(K$1,'Master data'!$B$1:$CL$1,0)),"")</f>
        <v>-1623.8520238074254</v>
      </c>
      <c r="L609" s="7">
        <f>IFERROR(INDEX('Master data'!$B$2:$CL$1000,MATCH($B609,'Master data'!$A$2:$A$1000,0),MATCH(L$1,'Master data'!$B$1:$CL$1,0)),"")</f>
        <v>-733.30932713230902</v>
      </c>
      <c r="M609" s="5">
        <f>IFERROR(INDEX('Master data'!$B$2:$CL$1000,MATCH($B609,'Master data'!$A$2:$A$1000,0),MATCH(M$1,'Master data'!$B$1:$CL$1,0)),"")</f>
        <v>-1851.791459989139</v>
      </c>
      <c r="N609" s="28">
        <f>IFERROR(INDEX('Master data'!$B$2:$CL$1000,MATCH($B609,'Master data'!$A$2:$A$1000,0),MATCH(N$1,'Master data'!$B$1:$CL$1,0)),"")</f>
        <v>-4.7056067353113469E-4</v>
      </c>
      <c r="O609" s="7">
        <f>IFERROR(INDEX('Master data'!$B$2:$CL$1000,MATCH($B609,'Master data'!$A$2:$A$1000,0),MATCH(O$1,'Master data'!$B$1:$CL$1,0)),"")</f>
        <v>0</v>
      </c>
      <c r="P609" s="5">
        <f>IFERROR(INDEX('Master data'!$B$2:$CL$1000,MATCH($B609,'Master data'!$A$2:$A$1000,0),MATCH(P$1,'Master data'!$B$1:$CL$1,0)),"")</f>
        <v>2500000</v>
      </c>
      <c r="Q609" s="5">
        <f>IFERROR(INDEX('Master data'!$B$2:$CL$1000,MATCH($B609,'Master data'!$A$2:$A$1000,0),MATCH(Q$1,'Master data'!$B$1:$CL$1,0)),"")</f>
        <v>2500000</v>
      </c>
    </row>
    <row r="610" spans="1:17" hidden="1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data'!$B$2:$CL$1000,MATCH($B610,'Master data'!$A$2:$A$1000,0),MATCH(C$1,'Master data'!$B$1:$CL$1,0)),"")</f>
        <v>Finland</v>
      </c>
      <c r="D610" t="str">
        <f>IFERROR(INDEX('Master data'!$B$2:$CL$1000,MATCH($B610,'Master data'!$A$2:$A$1000,0),MATCH(D$1,'Master data'!$B$1:$CL$1,0)),"")</f>
        <v>Defense</v>
      </c>
      <c r="E610" s="5">
        <f>IFERROR(INDEX('Master data'!$B$2:$CL$1000,MATCH($B610,'Master data'!$A$2:$A$1000,0),MATCH(E$1,'Master data'!$B$1:$CL$1,0)),"")</f>
        <v>2000000</v>
      </c>
      <c r="F610" s="7">
        <f>IFERROR(INDEX('Master data'!$B$2:$CL$1000,MATCH($B610,'Master data'!$A$2:$A$1000,0),MATCH(F$1,'Master data'!$B$1:$CL$1,0)),"")</f>
        <v>4498.9276662117336</v>
      </c>
      <c r="G610" s="7">
        <f>IFERROR(INDEX('Master data'!$B$2:$CL$1000,MATCH($B610,'Master data'!$A$2:$A$1000,0),MATCH(G$1,'Master data'!$B$1:$CL$1,0)),"")</f>
        <v>5415.2957519923948</v>
      </c>
      <c r="H610" s="7">
        <f>IFERROR(INDEX('Master data'!$B$2:$CL$1000,MATCH($B610,'Master data'!$A$2:$A$1000,0),MATCH(H$1,'Master data'!$B$1:$CL$1,0)),"")</f>
        <v>-180.83557460920838</v>
      </c>
      <c r="I610" s="7">
        <f>IFERROR(INDEX('Master data'!$B$2:$CL$1000,MATCH($B610,'Master data'!$A$2:$A$1000,0),MATCH(I$1,'Master data'!$B$1:$CL$1,0)),"")</f>
        <v>-4562.0429047500866</v>
      </c>
      <c r="J610" s="7">
        <f>IFERROR(INDEX('Master data'!$B$2:$CL$1000,MATCH($B610,'Master data'!$A$2:$A$1000,0),MATCH(J$1,'Master data'!$B$1:$CL$1,0)),"")</f>
        <v>-2242.365097672553</v>
      </c>
      <c r="K610" s="7">
        <f>IFERROR(INDEX('Master data'!$B$2:$CL$1000,MATCH($B610,'Master data'!$A$2:$A$1000,0),MATCH(K$1,'Master data'!$B$1:$CL$1,0)),"")</f>
        <v>-1082.7435294913676</v>
      </c>
      <c r="L610" s="7">
        <f>IFERROR(INDEX('Master data'!$B$2:$CL$1000,MATCH($B610,'Master data'!$A$2:$A$1000,0),MATCH(L$1,'Master data'!$B$1:$CL$1,0)),"")</f>
        <v>-489.96557382074195</v>
      </c>
      <c r="M610" s="5">
        <f>IFERROR(INDEX('Master data'!$B$2:$CL$1000,MATCH($B610,'Master data'!$A$2:$A$1000,0),MATCH(M$1,'Master data'!$B$1:$CL$1,0)),"")</f>
        <v>6048.5024155236051</v>
      </c>
      <c r="N610" s="28">
        <f>IFERROR(INDEX('Master data'!$B$2:$CL$1000,MATCH($B610,'Master data'!$A$2:$A$1000,0),MATCH(N$1,'Master data'!$B$1:$CL$1,0)),"")</f>
        <v>4.8666939217974596E-3</v>
      </c>
      <c r="O610" s="7">
        <f>IFERROR(INDEX('Master data'!$B$2:$CL$1000,MATCH($B610,'Master data'!$A$2:$A$1000,0),MATCH(O$1,'Master data'!$B$1:$CL$1,0)),"")</f>
        <v>0</v>
      </c>
      <c r="P610" s="5">
        <f>IFERROR(INDEX('Master data'!$B$2:$CL$1000,MATCH($B610,'Master data'!$A$2:$A$1000,0),MATCH(P$1,'Master data'!$B$1:$CL$1,0)),"")</f>
        <v>2000000</v>
      </c>
      <c r="Q610" s="5">
        <f>IFERROR(INDEX('Master data'!$B$2:$CL$1000,MATCH($B610,'Master data'!$A$2:$A$1000,0),MATCH(Q$1,'Master data'!$B$1:$CL$1,0)),"")</f>
        <v>2000000</v>
      </c>
    </row>
    <row r="611" spans="1:17" hidden="1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data'!$B$2:$CL$1000,MATCH($B611,'Master data'!$A$2:$A$1000,0),MATCH(C$1,'Master data'!$B$1:$CL$1,0)),"")</f>
        <v>Finland</v>
      </c>
      <c r="D611" t="str">
        <f>IFERROR(INDEX('Master data'!$B$2:$CL$1000,MATCH($B611,'Master data'!$A$2:$A$1000,0),MATCH(D$1,'Master data'!$B$1:$CL$1,0)),"")</f>
        <v>Defense</v>
      </c>
      <c r="E611" s="5">
        <f>IFERROR(INDEX('Master data'!$B$2:$CL$1000,MATCH($B611,'Master data'!$A$2:$A$1000,0),MATCH(E$1,'Master data'!$B$1:$CL$1,0)),"")</f>
        <v>2000000</v>
      </c>
      <c r="F611" s="7">
        <f>IFERROR(INDEX('Master data'!$B$2:$CL$1000,MATCH($B611,'Master data'!$A$2:$A$1000,0),MATCH(F$1,'Master data'!$B$1:$CL$1,0)),"")</f>
        <v>4498.9276662117336</v>
      </c>
      <c r="G611" s="7">
        <f>IFERROR(INDEX('Master data'!$B$2:$CL$1000,MATCH($B611,'Master data'!$A$2:$A$1000,0),MATCH(G$1,'Master data'!$B$1:$CL$1,0)),"")</f>
        <v>5415.2957519923948</v>
      </c>
      <c r="H611" s="7">
        <f>IFERROR(INDEX('Master data'!$B$2:$CL$1000,MATCH($B611,'Master data'!$A$2:$A$1000,0),MATCH(H$1,'Master data'!$B$1:$CL$1,0)),"")</f>
        <v>-180.83557460920838</v>
      </c>
      <c r="I611" s="7">
        <f>IFERROR(INDEX('Master data'!$B$2:$CL$1000,MATCH($B611,'Master data'!$A$2:$A$1000,0),MATCH(I$1,'Master data'!$B$1:$CL$1,0)),"")</f>
        <v>-4562.0429047500866</v>
      </c>
      <c r="J611" s="7">
        <f>IFERROR(INDEX('Master data'!$B$2:$CL$1000,MATCH($B611,'Master data'!$A$2:$A$1000,0),MATCH(J$1,'Master data'!$B$1:$CL$1,0)),"")</f>
        <v>-2242.365097672553</v>
      </c>
      <c r="K611" s="7">
        <f>IFERROR(INDEX('Master data'!$B$2:$CL$1000,MATCH($B611,'Master data'!$A$2:$A$1000,0),MATCH(K$1,'Master data'!$B$1:$CL$1,0)),"")</f>
        <v>-1082.7435294913676</v>
      </c>
      <c r="L611" s="7">
        <f>IFERROR(INDEX('Master data'!$B$2:$CL$1000,MATCH($B611,'Master data'!$A$2:$A$1000,0),MATCH(L$1,'Master data'!$B$1:$CL$1,0)),"")</f>
        <v>-489.96557382074195</v>
      </c>
      <c r="M611" s="5">
        <f>IFERROR(INDEX('Master data'!$B$2:$CL$1000,MATCH($B611,'Master data'!$A$2:$A$1000,0),MATCH(M$1,'Master data'!$B$1:$CL$1,0)),"")</f>
        <v>6048.5024155236051</v>
      </c>
      <c r="N611" s="28">
        <f>IFERROR(INDEX('Master data'!$B$2:$CL$1000,MATCH($B611,'Master data'!$A$2:$A$1000,0),MATCH(N$1,'Master data'!$B$1:$CL$1,0)),"")</f>
        <v>4.8666939217974596E-3</v>
      </c>
      <c r="O611" s="7">
        <f>IFERROR(INDEX('Master data'!$B$2:$CL$1000,MATCH($B611,'Master data'!$A$2:$A$1000,0),MATCH(O$1,'Master data'!$B$1:$CL$1,0)),"")</f>
        <v>0</v>
      </c>
      <c r="P611" s="5">
        <f>IFERROR(INDEX('Master data'!$B$2:$CL$1000,MATCH($B611,'Master data'!$A$2:$A$1000,0),MATCH(P$1,'Master data'!$B$1:$CL$1,0)),"")</f>
        <v>2000000</v>
      </c>
      <c r="Q611" s="5">
        <f>IFERROR(INDEX('Master data'!$B$2:$CL$1000,MATCH($B611,'Master data'!$A$2:$A$1000,0),MATCH(Q$1,'Master data'!$B$1:$CL$1,0)),"")</f>
        <v>2000000</v>
      </c>
    </row>
    <row r="612" spans="1:17" hidden="1">
      <c r="A612">
        <f t="shared" si="9"/>
        <v>610</v>
      </c>
      <c r="B612" t="str">
        <f>IF('Master data'!A612="","",'Master data'!A612)</f>
        <v>Sauli S. Väisänen</v>
      </c>
      <c r="C612" t="str">
        <f>IFERROR(INDEX('Master data'!$B$2:$CL$1000,MATCH($B612,'Master data'!$A$2:$A$1000,0),MATCH(C$1,'Master data'!$B$1:$CL$1,0)),"")</f>
        <v>Finland</v>
      </c>
      <c r="D612" t="str">
        <f>IFERROR(INDEX('Master data'!$B$2:$CL$1000,MATCH($B612,'Master data'!$A$2:$A$1000,0),MATCH(D$1,'Master data'!$B$1:$CL$1,0)),"")</f>
        <v>Defense</v>
      </c>
      <c r="E612" s="5">
        <f>IFERROR(INDEX('Master data'!$B$2:$CL$1000,MATCH($B612,'Master data'!$A$2:$A$1000,0),MATCH(E$1,'Master data'!$B$1:$CL$1,0)),"")</f>
        <v>2000000</v>
      </c>
      <c r="F612" s="7">
        <f>IFERROR(INDEX('Master data'!$B$2:$CL$1000,MATCH($B612,'Master data'!$A$2:$A$1000,0),MATCH(F$1,'Master data'!$B$1:$CL$1,0)),"")</f>
        <v>4498.9276662117336</v>
      </c>
      <c r="G612" s="7">
        <f>IFERROR(INDEX('Master data'!$B$2:$CL$1000,MATCH($B612,'Master data'!$A$2:$A$1000,0),MATCH(G$1,'Master data'!$B$1:$CL$1,0)),"")</f>
        <v>5415.2957519923948</v>
      </c>
      <c r="H612" s="7">
        <f>IFERROR(INDEX('Master data'!$B$2:$CL$1000,MATCH($B612,'Master data'!$A$2:$A$1000,0),MATCH(H$1,'Master data'!$B$1:$CL$1,0)),"")</f>
        <v>-180.83557460920838</v>
      </c>
      <c r="I612" s="7">
        <f>IFERROR(INDEX('Master data'!$B$2:$CL$1000,MATCH($B612,'Master data'!$A$2:$A$1000,0),MATCH(I$1,'Master data'!$B$1:$CL$1,0)),"")</f>
        <v>-4562.0429047500866</v>
      </c>
      <c r="J612" s="7">
        <f>IFERROR(INDEX('Master data'!$B$2:$CL$1000,MATCH($B612,'Master data'!$A$2:$A$1000,0),MATCH(J$1,'Master data'!$B$1:$CL$1,0)),"")</f>
        <v>-2242.365097672553</v>
      </c>
      <c r="K612" s="7">
        <f>IFERROR(INDEX('Master data'!$B$2:$CL$1000,MATCH($B612,'Master data'!$A$2:$A$1000,0),MATCH(K$1,'Master data'!$B$1:$CL$1,0)),"")</f>
        <v>-1082.7435294913676</v>
      </c>
      <c r="L612" s="7">
        <f>IFERROR(INDEX('Master data'!$B$2:$CL$1000,MATCH($B612,'Master data'!$A$2:$A$1000,0),MATCH(L$1,'Master data'!$B$1:$CL$1,0)),"")</f>
        <v>-489.96557382074195</v>
      </c>
      <c r="M612" s="5">
        <f>IFERROR(INDEX('Master data'!$B$2:$CL$1000,MATCH($B612,'Master data'!$A$2:$A$1000,0),MATCH(M$1,'Master data'!$B$1:$CL$1,0)),"")</f>
        <v>6048.5024155236051</v>
      </c>
      <c r="N612" s="28">
        <f>IFERROR(INDEX('Master data'!$B$2:$CL$1000,MATCH($B612,'Master data'!$A$2:$A$1000,0),MATCH(N$1,'Master data'!$B$1:$CL$1,0)),"")</f>
        <v>4.8666939217974596E-3</v>
      </c>
      <c r="O612" s="7">
        <f>IFERROR(INDEX('Master data'!$B$2:$CL$1000,MATCH($B612,'Master data'!$A$2:$A$1000,0),MATCH(O$1,'Master data'!$B$1:$CL$1,0)),"")</f>
        <v>0</v>
      </c>
      <c r="P612" s="5">
        <f>IFERROR(INDEX('Master data'!$B$2:$CL$1000,MATCH($B612,'Master data'!$A$2:$A$1000,0),MATCH(P$1,'Master data'!$B$1:$CL$1,0)),"")</f>
        <v>2000000</v>
      </c>
      <c r="Q612" s="5">
        <f>IFERROR(INDEX('Master data'!$B$2:$CL$1000,MATCH($B612,'Master data'!$A$2:$A$1000,0),MATCH(Q$1,'Master data'!$B$1:$CL$1,0)),"")</f>
        <v>2000000</v>
      </c>
    </row>
    <row r="613" spans="1:17" hidden="1">
      <c r="A613">
        <f t="shared" si="9"/>
        <v>611</v>
      </c>
      <c r="B613" t="str">
        <f>IF('Master data'!A613="","",'Master data'!A613)</f>
        <v>Jukka Raitala</v>
      </c>
      <c r="C613" t="str">
        <f>IFERROR(INDEX('Master data'!$B$2:$CL$1000,MATCH($B613,'Master data'!$A$2:$A$1000,0),MATCH(C$1,'Master data'!$B$1:$CL$1,0)),"")</f>
        <v>Finland</v>
      </c>
      <c r="D613" t="str">
        <f>IFERROR(INDEX('Master data'!$B$2:$CL$1000,MATCH($B613,'Master data'!$A$2:$A$1000,0),MATCH(D$1,'Master data'!$B$1:$CL$1,0)),"")</f>
        <v>Defense</v>
      </c>
      <c r="E613" s="5">
        <f>IFERROR(INDEX('Master data'!$B$2:$CL$1000,MATCH($B613,'Master data'!$A$2:$A$1000,0),MATCH(E$1,'Master data'!$B$1:$CL$1,0)),"")</f>
        <v>2500000</v>
      </c>
      <c r="F613" s="7">
        <f>IFERROR(INDEX('Master data'!$B$2:$CL$1000,MATCH($B613,'Master data'!$A$2:$A$1000,0),MATCH(F$1,'Master data'!$B$1:$CL$1,0)),"")</f>
        <v>4573.7106022240077</v>
      </c>
      <c r="G613" s="7">
        <f>IFERROR(INDEX('Master data'!$B$2:$CL$1000,MATCH($B613,'Master data'!$A$2:$A$1000,0),MATCH(G$1,'Master data'!$B$1:$CL$1,0)),"")</f>
        <v>11771.225444232441</v>
      </c>
      <c r="H613" s="7">
        <f>IFERROR(INDEX('Master data'!$B$2:$CL$1000,MATCH($B613,'Master data'!$A$2:$A$1000,0),MATCH(H$1,'Master data'!$B$1:$CL$1,0)),"")</f>
        <v>-8822.323940265027</v>
      </c>
      <c r="I613" s="7">
        <f>IFERROR(INDEX('Master data'!$B$2:$CL$1000,MATCH($B613,'Master data'!$A$2:$A$1000,0),MATCH(I$1,'Master data'!$B$1:$CL$1,0)),"")</f>
        <v>-6109.0340474914674</v>
      </c>
      <c r="J613" s="7">
        <f>IFERROR(INDEX('Master data'!$B$2:$CL$1000,MATCH($B613,'Master data'!$A$2:$A$1000,0),MATCH(J$1,'Master data'!$B$1:$CL$1,0)),"")</f>
        <v>-3000.3125831946804</v>
      </c>
      <c r="K613" s="7">
        <f>IFERROR(INDEX('Master data'!$B$2:$CL$1000,MATCH($B613,'Master data'!$A$2:$A$1000,0),MATCH(K$1,'Master data'!$B$1:$CL$1,0)),"")</f>
        <v>-1447.5508945724814</v>
      </c>
      <c r="L613" s="7">
        <f>IFERROR(INDEX('Master data'!$B$2:$CL$1000,MATCH($B613,'Master data'!$A$2:$A$1000,0),MATCH(L$1,'Master data'!$B$1:$CL$1,0)),"")</f>
        <v>-654.52003003809318</v>
      </c>
      <c r="M613" s="5">
        <f>IFERROR(INDEX('Master data'!$B$2:$CL$1000,MATCH($B613,'Master data'!$A$2:$A$1000,0),MATCH(M$1,'Master data'!$B$1:$CL$1,0)),"")</f>
        <v>5849.3375915402094</v>
      </c>
      <c r="N613" s="28">
        <f>IFERROR(INDEX('Master data'!$B$2:$CL$1000,MATCH($B613,'Master data'!$A$2:$A$1000,0),MATCH(N$1,'Master data'!$B$1:$CL$1,0)),"")</f>
        <v>3.0090448424765688E-3</v>
      </c>
      <c r="O613" s="7">
        <f>IFERROR(INDEX('Master data'!$B$2:$CL$1000,MATCH($B613,'Master data'!$A$2:$A$1000,0),MATCH(O$1,'Master data'!$B$1:$CL$1,0)),"")</f>
        <v>0</v>
      </c>
      <c r="P613" s="5">
        <f>IFERROR(INDEX('Master data'!$B$2:$CL$1000,MATCH($B613,'Master data'!$A$2:$A$1000,0),MATCH(P$1,'Master data'!$B$1:$CL$1,0)),"")</f>
        <v>2500000</v>
      </c>
      <c r="Q613" s="5">
        <f>IFERROR(INDEX('Master data'!$B$2:$CL$1000,MATCH($B613,'Master data'!$A$2:$A$1000,0),MATCH(Q$1,'Master data'!$B$1:$CL$1,0)),"")</f>
        <v>2500000</v>
      </c>
    </row>
    <row r="614" spans="1:17" hidden="1">
      <c r="A614">
        <f t="shared" si="9"/>
        <v>612</v>
      </c>
      <c r="B614" t="str">
        <f>IF('Master data'!A614="","",'Master data'!A614)</f>
        <v>Paulus Arajuuri</v>
      </c>
      <c r="C614" t="str">
        <f>IFERROR(INDEX('Master data'!$B$2:$CL$1000,MATCH($B614,'Master data'!$A$2:$A$1000,0),MATCH(C$1,'Master data'!$B$1:$CL$1,0)),"")</f>
        <v>Finland</v>
      </c>
      <c r="D614" t="str">
        <f>IFERROR(INDEX('Master data'!$B$2:$CL$1000,MATCH($B614,'Master data'!$A$2:$A$1000,0),MATCH(D$1,'Master data'!$B$1:$CL$1,0)),"")</f>
        <v>Defense</v>
      </c>
      <c r="E614" s="5">
        <f>IFERROR(INDEX('Master data'!$B$2:$CL$1000,MATCH($B614,'Master data'!$A$2:$A$1000,0),MATCH(E$1,'Master data'!$B$1:$CL$1,0)),"")</f>
        <v>2500000</v>
      </c>
      <c r="F614" s="7">
        <f>IFERROR(INDEX('Master data'!$B$2:$CL$1000,MATCH($B614,'Master data'!$A$2:$A$1000,0),MATCH(F$1,'Master data'!$B$1:$CL$1,0)),"")</f>
        <v>4894.6897292709582</v>
      </c>
      <c r="G614" s="7">
        <f>IFERROR(INDEX('Master data'!$B$2:$CL$1000,MATCH($B614,'Master data'!$A$2:$A$1000,0),MATCH(G$1,'Master data'!$B$1:$CL$1,0)),"")</f>
        <v>11809.872127986906</v>
      </c>
      <c r="H614" s="7">
        <f>IFERROR(INDEX('Master data'!$B$2:$CL$1000,MATCH($B614,'Master data'!$A$2:$A$1000,0),MATCH(H$1,'Master data'!$B$1:$CL$1,0)),"")</f>
        <v>-8546.1079025196668</v>
      </c>
      <c r="I614" s="7">
        <f>IFERROR(INDEX('Master data'!$B$2:$CL$1000,MATCH($B614,'Master data'!$A$2:$A$1000,0),MATCH(I$1,'Master data'!$B$1:$CL$1,0)),"")</f>
        <v>-6053.3814999060742</v>
      </c>
      <c r="J614" s="7">
        <f>IFERROR(INDEX('Master data'!$B$2:$CL$1000,MATCH($B614,'Master data'!$A$2:$A$1000,0),MATCH(J$1,'Master data'!$B$1:$CL$1,0)),"")</f>
        <v>-2973.2919064721591</v>
      </c>
      <c r="K614" s="7">
        <f>IFERROR(INDEX('Master data'!$B$2:$CL$1000,MATCH($B614,'Master data'!$A$2:$A$1000,0),MATCH(K$1,'Master data'!$B$1:$CL$1,0)),"")</f>
        <v>-1434.6644181718755</v>
      </c>
      <c r="L614" s="7">
        <f>IFERROR(INDEX('Master data'!$B$2:$CL$1000,MATCH($B614,'Master data'!$A$2:$A$1000,0),MATCH(L$1,'Master data'!$B$1:$CL$1,0)),"")</f>
        <v>-648.76104016644047</v>
      </c>
      <c r="M614" s="5">
        <f>IFERROR(INDEX('Master data'!$B$2:$CL$1000,MATCH($B614,'Master data'!$A$2:$A$1000,0),MATCH(M$1,'Master data'!$B$1:$CL$1,0)),"")</f>
        <v>6342.8734940973081</v>
      </c>
      <c r="N614" s="28">
        <f>IFERROR(INDEX('Master data'!$B$2:$CL$1000,MATCH($B614,'Master data'!$A$2:$A$1000,0),MATCH(N$1,'Master data'!$B$1:$CL$1,0)),"")</f>
        <v>3.263381581895279E-3</v>
      </c>
      <c r="O614" s="7">
        <f>IFERROR(INDEX('Master data'!$B$2:$CL$1000,MATCH($B614,'Master data'!$A$2:$A$1000,0),MATCH(O$1,'Master data'!$B$1:$CL$1,0)),"")</f>
        <v>0</v>
      </c>
      <c r="P614" s="5">
        <f>IFERROR(INDEX('Master data'!$B$2:$CL$1000,MATCH($B614,'Master data'!$A$2:$A$1000,0),MATCH(P$1,'Master data'!$B$1:$CL$1,0)),"")</f>
        <v>2500000</v>
      </c>
      <c r="Q614" s="5">
        <f>IFERROR(INDEX('Master data'!$B$2:$CL$1000,MATCH($B614,'Master data'!$A$2:$A$1000,0),MATCH(Q$1,'Master data'!$B$1:$CL$1,0)),"")</f>
        <v>2500000</v>
      </c>
    </row>
    <row r="615" spans="1:17" hidden="1">
      <c r="A615">
        <f t="shared" si="9"/>
        <v>613</v>
      </c>
      <c r="B615" t="str">
        <f>IF('Master data'!A615="","",'Master data'!A615)</f>
        <v>Leo L. Väisänen</v>
      </c>
      <c r="C615" t="str">
        <f>IFERROR(INDEX('Master data'!$B$2:$CL$1000,MATCH($B615,'Master data'!$A$2:$A$1000,0),MATCH(C$1,'Master data'!$B$1:$CL$1,0)),"")</f>
        <v>Finland</v>
      </c>
      <c r="D615" t="str">
        <f>IFERROR(INDEX('Master data'!$B$2:$CL$1000,MATCH($B615,'Master data'!$A$2:$A$1000,0),MATCH(D$1,'Master data'!$B$1:$CL$1,0)),"")</f>
        <v>Defense</v>
      </c>
      <c r="E615" s="5">
        <f>IFERROR(INDEX('Master data'!$B$2:$CL$1000,MATCH($B615,'Master data'!$A$2:$A$1000,0),MATCH(E$1,'Master data'!$B$1:$CL$1,0)),"")</f>
        <v>2000000</v>
      </c>
      <c r="F615" s="7">
        <f>IFERROR(INDEX('Master data'!$B$2:$CL$1000,MATCH($B615,'Master data'!$A$2:$A$1000,0),MATCH(F$1,'Master data'!$B$1:$CL$1,0)),"")</f>
        <v>4498.9276662117336</v>
      </c>
      <c r="G615" s="7">
        <f>IFERROR(INDEX('Master data'!$B$2:$CL$1000,MATCH($B615,'Master data'!$A$2:$A$1000,0),MATCH(G$1,'Master data'!$B$1:$CL$1,0)),"")</f>
        <v>5415.2957519923948</v>
      </c>
      <c r="H615" s="7">
        <f>IFERROR(INDEX('Master data'!$B$2:$CL$1000,MATCH($B615,'Master data'!$A$2:$A$1000,0),MATCH(H$1,'Master data'!$B$1:$CL$1,0)),"")</f>
        <v>-180.83557460920838</v>
      </c>
      <c r="I615" s="7">
        <f>IFERROR(INDEX('Master data'!$B$2:$CL$1000,MATCH($B615,'Master data'!$A$2:$A$1000,0),MATCH(I$1,'Master data'!$B$1:$CL$1,0)),"")</f>
        <v>-4562.0429047500866</v>
      </c>
      <c r="J615" s="7">
        <f>IFERROR(INDEX('Master data'!$B$2:$CL$1000,MATCH($B615,'Master data'!$A$2:$A$1000,0),MATCH(J$1,'Master data'!$B$1:$CL$1,0)),"")</f>
        <v>-2242.365097672553</v>
      </c>
      <c r="K615" s="7">
        <f>IFERROR(INDEX('Master data'!$B$2:$CL$1000,MATCH($B615,'Master data'!$A$2:$A$1000,0),MATCH(K$1,'Master data'!$B$1:$CL$1,0)),"")</f>
        <v>-1082.7435294913676</v>
      </c>
      <c r="L615" s="7">
        <f>IFERROR(INDEX('Master data'!$B$2:$CL$1000,MATCH($B615,'Master data'!$A$2:$A$1000,0),MATCH(L$1,'Master data'!$B$1:$CL$1,0)),"")</f>
        <v>-489.96557382074195</v>
      </c>
      <c r="M615" s="5">
        <f>IFERROR(INDEX('Master data'!$B$2:$CL$1000,MATCH($B615,'Master data'!$A$2:$A$1000,0),MATCH(M$1,'Master data'!$B$1:$CL$1,0)),"")</f>
        <v>6048.5024155236051</v>
      </c>
      <c r="N615" s="28">
        <f>IFERROR(INDEX('Master data'!$B$2:$CL$1000,MATCH($B615,'Master data'!$A$2:$A$1000,0),MATCH(N$1,'Master data'!$B$1:$CL$1,0)),"")</f>
        <v>4.8666939217974596E-3</v>
      </c>
      <c r="O615" s="7">
        <f>IFERROR(INDEX('Master data'!$B$2:$CL$1000,MATCH($B615,'Master data'!$A$2:$A$1000,0),MATCH(O$1,'Master data'!$B$1:$CL$1,0)),"")</f>
        <v>0</v>
      </c>
      <c r="P615" s="5">
        <f>IFERROR(INDEX('Master data'!$B$2:$CL$1000,MATCH($B615,'Master data'!$A$2:$A$1000,0),MATCH(P$1,'Master data'!$B$1:$CL$1,0)),"")</f>
        <v>2000000</v>
      </c>
      <c r="Q615" s="5">
        <f>IFERROR(INDEX('Master data'!$B$2:$CL$1000,MATCH($B615,'Master data'!$A$2:$A$1000,0),MATCH(Q$1,'Master data'!$B$1:$CL$1,0)),"")</f>
        <v>2000000</v>
      </c>
    </row>
    <row r="616" spans="1:17" hidden="1">
      <c r="A616">
        <f t="shared" si="9"/>
        <v>614</v>
      </c>
      <c r="B616" t="str">
        <f>IF('Master data'!A616="","",'Master data'!A616)</f>
        <v>Joona Toivio</v>
      </c>
      <c r="C616" t="str">
        <f>IFERROR(INDEX('Master data'!$B$2:$CL$1000,MATCH($B616,'Master data'!$A$2:$A$1000,0),MATCH(C$1,'Master data'!$B$1:$CL$1,0)),"")</f>
        <v>Finland</v>
      </c>
      <c r="D616" t="str">
        <f>IFERROR(INDEX('Master data'!$B$2:$CL$1000,MATCH($B616,'Master data'!$A$2:$A$1000,0),MATCH(D$1,'Master data'!$B$1:$CL$1,0)),"")</f>
        <v>Defense</v>
      </c>
      <c r="E616" s="5">
        <f>IFERROR(INDEX('Master data'!$B$2:$CL$1000,MATCH($B616,'Master data'!$A$2:$A$1000,0),MATCH(E$1,'Master data'!$B$1:$CL$1,0)),"")</f>
        <v>2500000</v>
      </c>
      <c r="F616" s="7">
        <f>IFERROR(INDEX('Master data'!$B$2:$CL$1000,MATCH($B616,'Master data'!$A$2:$A$1000,0),MATCH(F$1,'Master data'!$B$1:$CL$1,0)),"")</f>
        <v>4136.895457871713</v>
      </c>
      <c r="G616" s="7">
        <f>IFERROR(INDEX('Master data'!$B$2:$CL$1000,MATCH($B616,'Master data'!$A$2:$A$1000,0),MATCH(G$1,'Master data'!$B$1:$CL$1,0)),"")</f>
        <v>11080.482515693708</v>
      </c>
      <c r="H616" s="7">
        <f>IFERROR(INDEX('Master data'!$B$2:$CL$1000,MATCH($B616,'Master data'!$A$2:$A$1000,0),MATCH(H$1,'Master data'!$B$1:$CL$1,0)),"")</f>
        <v>-9299.3986876127783</v>
      </c>
      <c r="I616" s="7">
        <f>IFERROR(INDEX('Master data'!$B$2:$CL$1000,MATCH($B616,'Master data'!$A$2:$A$1000,0),MATCH(I$1,'Master data'!$B$1:$CL$1,0)),"")</f>
        <v>-6249.4807711374851</v>
      </c>
      <c r="J616" s="7">
        <f>IFERROR(INDEX('Master data'!$B$2:$CL$1000,MATCH($B616,'Master data'!$A$2:$A$1000,0),MATCH(J$1,'Master data'!$B$1:$CL$1,0)),"")</f>
        <v>-3068.5029119582173</v>
      </c>
      <c r="K616" s="7">
        <f>IFERROR(INDEX('Master data'!$B$2:$CL$1000,MATCH($B616,'Master data'!$A$2:$A$1000,0),MATCH(K$1,'Master data'!$B$1:$CL$1,0)),"")</f>
        <v>-1480.0716589998387</v>
      </c>
      <c r="L616" s="7">
        <f>IFERROR(INDEX('Master data'!$B$2:$CL$1000,MATCH($B616,'Master data'!$A$2:$A$1000,0),MATCH(L$1,'Master data'!$B$1:$CL$1,0)),"")</f>
        <v>-669.05361913827119</v>
      </c>
      <c r="M616" s="5">
        <f>IFERROR(INDEX('Master data'!$B$2:$CL$1000,MATCH($B616,'Master data'!$A$2:$A$1000,0),MATCH(M$1,'Master data'!$B$1:$CL$1,0)),"")</f>
        <v>4679.3519065192959</v>
      </c>
      <c r="N616" s="28">
        <f>IFERROR(INDEX('Master data'!$B$2:$CL$1000,MATCH($B616,'Master data'!$A$2:$A$1000,0),MATCH(N$1,'Master data'!$B$1:$CL$1,0)),"")</f>
        <v>2.3671917143810567E-3</v>
      </c>
      <c r="O616" s="7">
        <f>IFERROR(INDEX('Master data'!$B$2:$CL$1000,MATCH($B616,'Master data'!$A$2:$A$1000,0),MATCH(O$1,'Master data'!$B$1:$CL$1,0)),"")</f>
        <v>0</v>
      </c>
      <c r="P616" s="5">
        <f>IFERROR(INDEX('Master data'!$B$2:$CL$1000,MATCH($B616,'Master data'!$A$2:$A$1000,0),MATCH(P$1,'Master data'!$B$1:$CL$1,0)),"")</f>
        <v>2500000</v>
      </c>
      <c r="Q616" s="5">
        <f>IFERROR(INDEX('Master data'!$B$2:$CL$1000,MATCH($B616,'Master data'!$A$2:$A$1000,0),MATCH(Q$1,'Master data'!$B$1:$CL$1,0)),"")</f>
        <v>2500000</v>
      </c>
    </row>
    <row r="617" spans="1:17" hidden="1">
      <c r="A617">
        <f t="shared" si="9"/>
        <v>615</v>
      </c>
      <c r="B617" t="str">
        <f>IF('Master data'!A617="","",'Master data'!A617)</f>
        <v>Rasmus Schüller</v>
      </c>
      <c r="C617" t="str">
        <f>IFERROR(INDEX('Master data'!$B$2:$CL$1000,MATCH($B617,'Master data'!$A$2:$A$1000,0),MATCH(C$1,'Master data'!$B$1:$CL$1,0)),"")</f>
        <v>Finland</v>
      </c>
      <c r="D617" t="str">
        <f>IFERROR(INDEX('Master data'!$B$2:$CL$1000,MATCH($B617,'Master data'!$A$2:$A$1000,0),MATCH(D$1,'Master data'!$B$1:$CL$1,0)),"")</f>
        <v>Midfield</v>
      </c>
      <c r="E617" s="5">
        <f>IFERROR(INDEX('Master data'!$B$2:$CL$1000,MATCH($B617,'Master data'!$A$2:$A$1000,0),MATCH(E$1,'Master data'!$B$1:$CL$1,0)),"")</f>
        <v>2000000</v>
      </c>
      <c r="F617" s="7">
        <f>IFERROR(INDEX('Master data'!$B$2:$CL$1000,MATCH($B617,'Master data'!$A$2:$A$1000,0),MATCH(F$1,'Master data'!$B$1:$CL$1,0)),"")</f>
        <v>-5000</v>
      </c>
      <c r="G617" s="7">
        <f>IFERROR(INDEX('Master data'!$B$2:$CL$1000,MATCH($B617,'Master data'!$A$2:$A$1000,0),MATCH(G$1,'Master data'!$B$1:$CL$1,0)),"")</f>
        <v>-5000</v>
      </c>
      <c r="H617" s="7">
        <f>IFERROR(INDEX('Master data'!$B$2:$CL$1000,MATCH($B617,'Master data'!$A$2:$A$1000,0),MATCH(H$1,'Master data'!$B$1:$CL$1,0)),"")</f>
        <v>-5000</v>
      </c>
      <c r="I617" s="7">
        <f>IFERROR(INDEX('Master data'!$B$2:$CL$1000,MATCH($B617,'Master data'!$A$2:$A$1000,0),MATCH(I$1,'Master data'!$B$1:$CL$1,0)),"")</f>
        <v>-6726.851727981214</v>
      </c>
      <c r="J617" s="7">
        <f>IFERROR(INDEX('Master data'!$B$2:$CL$1000,MATCH($B617,'Master data'!$A$2:$A$1000,0),MATCH(J$1,'Master data'!$B$1:$CL$1,0)),"")</f>
        <v>-3293.4328729408139</v>
      </c>
      <c r="K617" s="7">
        <f>IFERROR(INDEX('Master data'!$B$2:$CL$1000,MATCH($B617,'Master data'!$A$2:$A$1000,0),MATCH(K$1,'Master data'!$B$1:$CL$1,0)),"")</f>
        <v>-1584.0100307164412</v>
      </c>
      <c r="L617" s="7">
        <f>IFERROR(INDEX('Master data'!$B$2:$CL$1000,MATCH($B617,'Master data'!$A$2:$A$1000,0),MATCH(L$1,'Master data'!$B$1:$CL$1,0)),"")</f>
        <v>-713.98248999017255</v>
      </c>
      <c r="M617" s="5">
        <f>IFERROR(INDEX('Master data'!$B$2:$CL$1000,MATCH($B617,'Master data'!$A$2:$A$1000,0),MATCH(M$1,'Master data'!$B$1:$CL$1,0)),"")</f>
        <v>-13470.526953711342</v>
      </c>
      <c r="N617" s="28">
        <f>IFERROR(INDEX('Master data'!$B$2:$CL$1000,MATCH($B617,'Master data'!$A$2:$A$1000,0),MATCH(N$1,'Master data'!$B$1:$CL$1,0)),"")</f>
        <v>-7.4999999999999997E-3</v>
      </c>
      <c r="O617" s="7">
        <f>IFERROR(INDEX('Master data'!$B$2:$CL$1000,MATCH($B617,'Master data'!$A$2:$A$1000,0),MATCH(O$1,'Master data'!$B$1:$CL$1,0)),"")</f>
        <v>0</v>
      </c>
      <c r="P617" s="5">
        <f>IFERROR(INDEX('Master data'!$B$2:$CL$1000,MATCH($B617,'Master data'!$A$2:$A$1000,0),MATCH(P$1,'Master data'!$B$1:$CL$1,0)),"")</f>
        <v>2000000</v>
      </c>
      <c r="Q617" s="5">
        <f>IFERROR(INDEX('Master data'!$B$2:$CL$1000,MATCH($B617,'Master data'!$A$2:$A$1000,0),MATCH(Q$1,'Master data'!$B$1:$CL$1,0)),"")</f>
        <v>2000000</v>
      </c>
    </row>
    <row r="618" spans="1:17" hidden="1">
      <c r="A618">
        <f t="shared" si="9"/>
        <v>616</v>
      </c>
      <c r="B618" t="str">
        <f>IF('Master data'!A618="","",'Master data'!A618)</f>
        <v>Joni Kauko</v>
      </c>
      <c r="C618" t="str">
        <f>IFERROR(INDEX('Master data'!$B$2:$CL$1000,MATCH($B618,'Master data'!$A$2:$A$1000,0),MATCH(C$1,'Master data'!$B$1:$CL$1,0)),"")</f>
        <v>Finland</v>
      </c>
      <c r="D618" t="str">
        <f>IFERROR(INDEX('Master data'!$B$2:$CL$1000,MATCH($B618,'Master data'!$A$2:$A$1000,0),MATCH(D$1,'Master data'!$B$1:$CL$1,0)),"")</f>
        <v>Midfield</v>
      </c>
      <c r="E618" s="5">
        <f>IFERROR(INDEX('Master data'!$B$2:$CL$1000,MATCH($B618,'Master data'!$A$2:$A$1000,0),MATCH(E$1,'Master data'!$B$1:$CL$1,0)),"")</f>
        <v>2500000</v>
      </c>
      <c r="F618" s="7">
        <f>IFERROR(INDEX('Master data'!$B$2:$CL$1000,MATCH($B618,'Master data'!$A$2:$A$1000,0),MATCH(F$1,'Master data'!$B$1:$CL$1,0)),"")</f>
        <v>-5000</v>
      </c>
      <c r="G618" s="7">
        <f>IFERROR(INDEX('Master data'!$B$2:$CL$1000,MATCH($B618,'Master data'!$A$2:$A$1000,0),MATCH(G$1,'Master data'!$B$1:$CL$1,0)),"")</f>
        <v>-5000</v>
      </c>
      <c r="H618" s="7">
        <f>IFERROR(INDEX('Master data'!$B$2:$CL$1000,MATCH($B618,'Master data'!$A$2:$A$1000,0),MATCH(H$1,'Master data'!$B$1:$CL$1,0)),"")</f>
        <v>-5000</v>
      </c>
      <c r="I618" s="7">
        <f>IFERROR(INDEX('Master data'!$B$2:$CL$1000,MATCH($B618,'Master data'!$A$2:$A$1000,0),MATCH(I$1,'Master data'!$B$1:$CL$1,0)),"")</f>
        <v>-8080.343021337595</v>
      </c>
      <c r="J618" s="7">
        <f>IFERROR(INDEX('Master data'!$B$2:$CL$1000,MATCH($B618,'Master data'!$A$2:$A$1000,0),MATCH(J$1,'Master data'!$B$1:$CL$1,0)),"")</f>
        <v>-3957.4314360337198</v>
      </c>
      <c r="K618" s="7">
        <f>IFERROR(INDEX('Master data'!$B$2:$CL$1000,MATCH($B618,'Master data'!$A$2:$A$1000,0),MATCH(K$1,'Master data'!$B$1:$CL$1,0)),"")</f>
        <v>-1904.0120571238031</v>
      </c>
      <c r="L618" s="7">
        <f>IFERROR(INDEX('Master data'!$B$2:$CL$1000,MATCH($B618,'Master data'!$A$2:$A$1000,0),MATCH(L$1,'Master data'!$B$1:$CL$1,0)),"")</f>
        <v>-858.51335840923593</v>
      </c>
      <c r="M618" s="5">
        <f>IFERROR(INDEX('Master data'!$B$2:$CL$1000,MATCH($B618,'Master data'!$A$2:$A$1000,0),MATCH(M$1,'Master data'!$B$1:$CL$1,0)),"")</f>
        <v>-14057.550386584157</v>
      </c>
      <c r="N618" s="28">
        <f>IFERROR(INDEX('Master data'!$B$2:$CL$1000,MATCH($B618,'Master data'!$A$2:$A$1000,0),MATCH(N$1,'Master data'!$B$1:$CL$1,0)),"")</f>
        <v>-6.0000000000000001E-3</v>
      </c>
      <c r="O618" s="7">
        <f>IFERROR(INDEX('Master data'!$B$2:$CL$1000,MATCH($B618,'Master data'!$A$2:$A$1000,0),MATCH(O$1,'Master data'!$B$1:$CL$1,0)),"")</f>
        <v>0</v>
      </c>
      <c r="P618" s="5">
        <f>IFERROR(INDEX('Master data'!$B$2:$CL$1000,MATCH($B618,'Master data'!$A$2:$A$1000,0),MATCH(P$1,'Master data'!$B$1:$CL$1,0)),"")</f>
        <v>2500000</v>
      </c>
      <c r="Q618" s="5">
        <f>IFERROR(INDEX('Master data'!$B$2:$CL$1000,MATCH($B618,'Master data'!$A$2:$A$1000,0),MATCH(Q$1,'Master data'!$B$1:$CL$1,0)),"")</f>
        <v>2500000</v>
      </c>
    </row>
    <row r="619" spans="1:17" hidden="1">
      <c r="A619">
        <f t="shared" si="9"/>
        <v>617</v>
      </c>
      <c r="B619" t="str">
        <f>IF('Master data'!A619="","",'Master data'!A619)</f>
        <v>Onni Valakari</v>
      </c>
      <c r="C619" t="str">
        <f>IFERROR(INDEX('Master data'!$B$2:$CL$1000,MATCH($B619,'Master data'!$A$2:$A$1000,0),MATCH(C$1,'Master data'!$B$1:$CL$1,0)),"")</f>
        <v>Finland</v>
      </c>
      <c r="D619" t="str">
        <f>IFERROR(INDEX('Master data'!$B$2:$CL$1000,MATCH($B619,'Master data'!$A$2:$A$1000,0),MATCH(D$1,'Master data'!$B$1:$CL$1,0)),"")</f>
        <v>Midfield</v>
      </c>
      <c r="E619" s="5">
        <f>IFERROR(INDEX('Master data'!$B$2:$CL$1000,MATCH($B619,'Master data'!$A$2:$A$1000,0),MATCH(E$1,'Master data'!$B$1:$CL$1,0)),"")</f>
        <v>2000000</v>
      </c>
      <c r="F619" s="7">
        <f>IFERROR(INDEX('Master data'!$B$2:$CL$1000,MATCH($B619,'Master data'!$A$2:$A$1000,0),MATCH(F$1,'Master data'!$B$1:$CL$1,0)),"")</f>
        <v>990.88865521382104</v>
      </c>
      <c r="G619" s="7">
        <f>IFERROR(INDEX('Master data'!$B$2:$CL$1000,MATCH($B619,'Master data'!$A$2:$A$1000,0),MATCH(G$1,'Master data'!$B$1:$CL$1,0)),"")</f>
        <v>8934.6032229323137</v>
      </c>
      <c r="H619" s="7">
        <f>IFERROR(INDEX('Master data'!$B$2:$CL$1000,MATCH($B619,'Master data'!$A$2:$A$1000,0),MATCH(H$1,'Master data'!$B$1:$CL$1,0)),"")</f>
        <v>-7461.7867573391995</v>
      </c>
      <c r="I619" s="7">
        <f>IFERROR(INDEX('Master data'!$B$2:$CL$1000,MATCH($B619,'Master data'!$A$2:$A$1000,0),MATCH(I$1,'Master data'!$B$1:$CL$1,0)),"")</f>
        <v>-5198.3274849256968</v>
      </c>
      <c r="J619" s="7">
        <f>IFERROR(INDEX('Master data'!$B$2:$CL$1000,MATCH($B619,'Master data'!$A$2:$A$1000,0),MATCH(J$1,'Master data'!$B$1:$CL$1,0)),"")</f>
        <v>-2551.2968661251957</v>
      </c>
      <c r="K619" s="7">
        <f>IFERROR(INDEX('Master data'!$B$2:$CL$1000,MATCH($B619,'Master data'!$A$2:$A$1000,0),MATCH(K$1,'Master data'!$B$1:$CL$1,0)),"")</f>
        <v>-1230.0766989913147</v>
      </c>
      <c r="L619" s="7">
        <f>IFERROR(INDEX('Master data'!$B$2:$CL$1000,MATCH($B619,'Master data'!$A$2:$A$1000,0),MATCH(L$1,'Master data'!$B$1:$CL$1,0)),"")</f>
        <v>-555.80903672956015</v>
      </c>
      <c r="M619" s="5">
        <f>IFERROR(INDEX('Master data'!$B$2:$CL$1000,MATCH($B619,'Master data'!$A$2:$A$1000,0),MATCH(M$1,'Master data'!$B$1:$CL$1,0)),"")</f>
        <v>1375.9553630977268</v>
      </c>
      <c r="N619" s="28">
        <f>IFERROR(INDEX('Master data'!$B$2:$CL$1000,MATCH($B619,'Master data'!$A$2:$A$1000,0),MATCH(N$1,'Master data'!$B$1:$CL$1,0)),"")</f>
        <v>1.2318525604034676E-3</v>
      </c>
      <c r="O619" s="7">
        <f>IFERROR(INDEX('Master data'!$B$2:$CL$1000,MATCH($B619,'Master data'!$A$2:$A$1000,0),MATCH(O$1,'Master data'!$B$1:$CL$1,0)),"")</f>
        <v>0</v>
      </c>
      <c r="P619" s="5">
        <f>IFERROR(INDEX('Master data'!$B$2:$CL$1000,MATCH($B619,'Master data'!$A$2:$A$1000,0),MATCH(P$1,'Master data'!$B$1:$CL$1,0)),"")</f>
        <v>2000000</v>
      </c>
      <c r="Q619" s="5">
        <f>IFERROR(INDEX('Master data'!$B$2:$CL$1000,MATCH($B619,'Master data'!$A$2:$A$1000,0),MATCH(Q$1,'Master data'!$B$1:$CL$1,0)),"")</f>
        <v>2000000</v>
      </c>
    </row>
    <row r="620" spans="1:17" hidden="1">
      <c r="A620">
        <f t="shared" si="9"/>
        <v>618</v>
      </c>
      <c r="B620" t="str">
        <f>IF('Master data'!A620="","",'Master data'!A620)</f>
        <v>Tim Sparv</v>
      </c>
      <c r="C620" t="str">
        <f>IFERROR(INDEX('Master data'!$B$2:$CL$1000,MATCH($B620,'Master data'!$A$2:$A$1000,0),MATCH(C$1,'Master data'!$B$1:$CL$1,0)),"")</f>
        <v>Finland</v>
      </c>
      <c r="D620" t="str">
        <f>IFERROR(INDEX('Master data'!$B$2:$CL$1000,MATCH($B620,'Master data'!$A$2:$A$1000,0),MATCH(D$1,'Master data'!$B$1:$CL$1,0)),"")</f>
        <v>Midfield</v>
      </c>
      <c r="E620" s="5">
        <f>IFERROR(INDEX('Master data'!$B$2:$CL$1000,MATCH($B620,'Master data'!$A$2:$A$1000,0),MATCH(E$1,'Master data'!$B$1:$CL$1,0)),"")</f>
        <v>2000000</v>
      </c>
      <c r="F620" s="7">
        <f>IFERROR(INDEX('Master data'!$B$2:$CL$1000,MATCH($B620,'Master data'!$A$2:$A$1000,0),MATCH(F$1,'Master data'!$B$1:$CL$1,0)),"")</f>
        <v>-7883.8001600939242</v>
      </c>
      <c r="G620" s="7">
        <f>IFERROR(INDEX('Master data'!$B$2:$CL$1000,MATCH($B620,'Master data'!$A$2:$A$1000,0),MATCH(G$1,'Master data'!$B$1:$CL$1,0)),"")</f>
        <v>-880.46700179978143</v>
      </c>
      <c r="H620" s="7">
        <f>IFERROR(INDEX('Master data'!$B$2:$CL$1000,MATCH($B620,'Master data'!$A$2:$A$1000,0),MATCH(H$1,'Master data'!$B$1:$CL$1,0)),"")</f>
        <v>-16485.570648355308</v>
      </c>
      <c r="I620" s="7">
        <f>IFERROR(INDEX('Master data'!$B$2:$CL$1000,MATCH($B620,'Master data'!$A$2:$A$1000,0),MATCH(I$1,'Master data'!$B$1:$CL$1,0)),"")</f>
        <v>-7623.9766778113781</v>
      </c>
      <c r="J620" s="7">
        <f>IFERROR(INDEX('Master data'!$B$2:$CL$1000,MATCH($B620,'Master data'!$A$2:$A$1000,0),MATCH(J$1,'Master data'!$B$1:$CL$1,0)),"")</f>
        <v>-3729.0090379290173</v>
      </c>
      <c r="K620" s="7">
        <f>IFERROR(INDEX('Master data'!$B$2:$CL$1000,MATCH($B620,'Master data'!$A$2:$A$1000,0),MATCH(K$1,'Master data'!$B$1:$CL$1,0)),"")</f>
        <v>-1791.7413924594514</v>
      </c>
      <c r="L620" s="7">
        <f>IFERROR(INDEX('Master data'!$B$2:$CL$1000,MATCH($B620,'Master data'!$A$2:$A$1000,0),MATCH(L$1,'Master data'!$B$1:$CL$1,0)),"")</f>
        <v>-806.81801547534906</v>
      </c>
      <c r="M620" s="5">
        <f>IFERROR(INDEX('Master data'!$B$2:$CL$1000,MATCH($B620,'Master data'!$A$2:$A$1000,0),MATCH(M$1,'Master data'!$B$1:$CL$1,0)),"")</f>
        <v>-19100.030123711727</v>
      </c>
      <c r="N620" s="28">
        <f>IFERROR(INDEX('Master data'!$B$2:$CL$1000,MATCH($B620,'Master data'!$A$2:$A$1000,0),MATCH(N$1,'Master data'!$B$1:$CL$1,0)),"")</f>
        <v>-1.2624918905124505E-2</v>
      </c>
      <c r="O620" s="7">
        <f>IFERROR(INDEX('Master data'!$B$2:$CL$1000,MATCH($B620,'Master data'!$A$2:$A$1000,0),MATCH(O$1,'Master data'!$B$1:$CL$1,0)),"")</f>
        <v>0</v>
      </c>
      <c r="P620" s="5">
        <f>IFERROR(INDEX('Master data'!$B$2:$CL$1000,MATCH($B620,'Master data'!$A$2:$A$1000,0),MATCH(P$1,'Master data'!$B$1:$CL$1,0)),"")</f>
        <v>2000000</v>
      </c>
      <c r="Q620" s="5">
        <f>IFERROR(INDEX('Master data'!$B$2:$CL$1000,MATCH($B620,'Master data'!$A$2:$A$1000,0),MATCH(Q$1,'Master data'!$B$1:$CL$1,0)),"")</f>
        <v>2000000</v>
      </c>
    </row>
    <row r="621" spans="1:17" hidden="1">
      <c r="A621">
        <f t="shared" si="9"/>
        <v>619</v>
      </c>
      <c r="B621" t="str">
        <f>IF('Master data'!A621="","",'Master data'!A621)</f>
        <v>Glen Kamara</v>
      </c>
      <c r="C621" t="str">
        <f>IFERROR(INDEX('Master data'!$B$2:$CL$1000,MATCH($B621,'Master data'!$A$2:$A$1000,0),MATCH(C$1,'Master data'!$B$1:$CL$1,0)),"")</f>
        <v>Finland</v>
      </c>
      <c r="D621" t="str">
        <f>IFERROR(INDEX('Master data'!$B$2:$CL$1000,MATCH($B621,'Master data'!$A$2:$A$1000,0),MATCH(D$1,'Master data'!$B$1:$CL$1,0)),"")</f>
        <v>Midfield</v>
      </c>
      <c r="E621" s="5">
        <f>IFERROR(INDEX('Master data'!$B$2:$CL$1000,MATCH($B621,'Master data'!$A$2:$A$1000,0),MATCH(E$1,'Master data'!$B$1:$CL$1,0)),"")</f>
        <v>3000000</v>
      </c>
      <c r="F621" s="7">
        <f>IFERROR(INDEX('Master data'!$B$2:$CL$1000,MATCH($B621,'Master data'!$A$2:$A$1000,0),MATCH(F$1,'Master data'!$B$1:$CL$1,0)),"")</f>
        <v>5952.2132477011146</v>
      </c>
      <c r="G621" s="7">
        <f>IFERROR(INDEX('Master data'!$B$2:$CL$1000,MATCH($B621,'Master data'!$A$2:$A$1000,0),MATCH(G$1,'Master data'!$B$1:$CL$1,0)),"")</f>
        <v>14896.59954766688</v>
      </c>
      <c r="H621" s="7">
        <f>IFERROR(INDEX('Master data'!$B$2:$CL$1000,MATCH($B621,'Master data'!$A$2:$A$1000,0),MATCH(H$1,'Master data'!$B$1:$CL$1,0)),"")</f>
        <v>-2341.8082121222833</v>
      </c>
      <c r="I621" s="7">
        <f>IFERROR(INDEX('Master data'!$B$2:$CL$1000,MATCH($B621,'Master data'!$A$2:$A$1000,0),MATCH(I$1,'Master data'!$B$1:$CL$1,0)),"")</f>
        <v>-6501.1079279753658</v>
      </c>
      <c r="J621" s="7">
        <f>IFERROR(INDEX('Master data'!$B$2:$CL$1000,MATCH($B621,'Master data'!$A$2:$A$1000,0),MATCH(J$1,'Master data'!$B$1:$CL$1,0)),"")</f>
        <v>-3197.5194137299814</v>
      </c>
      <c r="K621" s="7">
        <f>IFERROR(INDEX('Master data'!$B$2:$CL$1000,MATCH($B621,'Master data'!$A$2:$A$1000,0),MATCH(K$1,'Master data'!$B$1:$CL$1,0)),"")</f>
        <v>-1544.934490384137</v>
      </c>
      <c r="L621" s="7">
        <f>IFERROR(INDEX('Master data'!$B$2:$CL$1000,MATCH($B621,'Master data'!$A$2:$A$1000,0),MATCH(L$1,'Master data'!$B$1:$CL$1,0)),"")</f>
        <v>-699.56231467458224</v>
      </c>
      <c r="M621" s="5">
        <f>IFERROR(INDEX('Master data'!$B$2:$CL$1000,MATCH($B621,'Master data'!$A$2:$A$1000,0),MATCH(M$1,'Master data'!$B$1:$CL$1,0)),"")</f>
        <v>12019.749204083331</v>
      </c>
      <c r="N621" s="28">
        <f>IFERROR(INDEX('Master data'!$B$2:$CL$1000,MATCH($B621,'Master data'!$A$2:$A$1000,0),MATCH(N$1,'Master data'!$B$1:$CL$1,0)),"")</f>
        <v>6.16900152774857E-3</v>
      </c>
      <c r="O621" s="7">
        <f>IFERROR(INDEX('Master data'!$B$2:$CL$1000,MATCH($B621,'Master data'!$A$2:$A$1000,0),MATCH(O$1,'Master data'!$B$1:$CL$1,0)),"")</f>
        <v>0</v>
      </c>
      <c r="P621" s="5">
        <f>IFERROR(INDEX('Master data'!$B$2:$CL$1000,MATCH($B621,'Master data'!$A$2:$A$1000,0),MATCH(P$1,'Master data'!$B$1:$CL$1,0)),"")</f>
        <v>3000000</v>
      </c>
      <c r="Q621" s="5">
        <f>IFERROR(INDEX('Master data'!$B$2:$CL$1000,MATCH($B621,'Master data'!$A$2:$A$1000,0),MATCH(Q$1,'Master data'!$B$1:$CL$1,0)),"")</f>
        <v>3000000</v>
      </c>
    </row>
    <row r="622" spans="1:17" hidden="1">
      <c r="A622">
        <f t="shared" si="9"/>
        <v>620</v>
      </c>
      <c r="B622" t="str">
        <f>IF('Master data'!A622="","",'Master data'!A622)</f>
        <v>Joel Pohjanpalo</v>
      </c>
      <c r="C622" t="str">
        <f>IFERROR(INDEX('Master data'!$B$2:$CL$1000,MATCH($B622,'Master data'!$A$2:$A$1000,0),MATCH(C$1,'Master data'!$B$1:$CL$1,0)),"")</f>
        <v>Finland</v>
      </c>
      <c r="D622" t="str">
        <f>IFERROR(INDEX('Master data'!$B$2:$CL$1000,MATCH($B622,'Master data'!$A$2:$A$1000,0),MATCH(D$1,'Master data'!$B$1:$CL$1,0)),"")</f>
        <v>Striker</v>
      </c>
      <c r="E622" s="5">
        <f>IFERROR(INDEX('Master data'!$B$2:$CL$1000,MATCH($B622,'Master data'!$A$2:$A$1000,0),MATCH(E$1,'Master data'!$B$1:$CL$1,0)),"")</f>
        <v>3000000</v>
      </c>
      <c r="F622" s="7">
        <f>IFERROR(INDEX('Master data'!$B$2:$CL$1000,MATCH($B622,'Master data'!$A$2:$A$1000,0),MATCH(F$1,'Master data'!$B$1:$CL$1,0)),"")</f>
        <v>24761.981405007948</v>
      </c>
      <c r="G622" s="7">
        <f>IFERROR(INDEX('Master data'!$B$2:$CL$1000,MATCH($B622,'Master data'!$A$2:$A$1000,0),MATCH(G$1,'Master data'!$B$1:$CL$1,0)),"")</f>
        <v>38144.551619658145</v>
      </c>
      <c r="H622" s="7">
        <f>IFERROR(INDEX('Master data'!$B$2:$CL$1000,MATCH($B622,'Master data'!$A$2:$A$1000,0),MATCH(H$1,'Master data'!$B$1:$CL$1,0)),"")</f>
        <v>17171.622693231184</v>
      </c>
      <c r="I622" s="7">
        <f>IFERROR(INDEX('Master data'!$B$2:$CL$1000,MATCH($B622,'Master data'!$A$2:$A$1000,0),MATCH(I$1,'Master data'!$B$1:$CL$1,0)),"")</f>
        <v>-1112.0454964286766</v>
      </c>
      <c r="J622" s="7">
        <f>IFERROR(INDEX('Master data'!$B$2:$CL$1000,MATCH($B622,'Master data'!$A$2:$A$1000,0),MATCH(J$1,'Master data'!$B$1:$CL$1,0)),"")</f>
        <v>-580.99743732135494</v>
      </c>
      <c r="K622" s="7">
        <f>IFERROR(INDEX('Master data'!$B$2:$CL$1000,MATCH($B622,'Master data'!$A$2:$A$1000,0),MATCH(K$1,'Master data'!$B$1:$CL$1,0)),"")</f>
        <v>-297.0845920670493</v>
      </c>
      <c r="L622" s="7">
        <f>IFERROR(INDEX('Master data'!$B$2:$CL$1000,MATCH($B622,'Master data'!$A$2:$A$1000,0),MATCH(L$1,'Master data'!$B$1:$CL$1,0)),"")</f>
        <v>-141.89591290995364</v>
      </c>
      <c r="M622" s="5">
        <f>IFERROR(INDEX('Master data'!$B$2:$CL$1000,MATCH($B622,'Master data'!$A$2:$A$1000,0),MATCH(M$1,'Master data'!$B$1:$CL$1,0)),"")</f>
        <v>57327.675399923202</v>
      </c>
      <c r="N622" s="28">
        <f>IFERROR(INDEX('Master data'!$B$2:$CL$1000,MATCH($B622,'Master data'!$A$2:$A$1000,0),MATCH(N$1,'Master data'!$B$1:$CL$1,0)),"")</f>
        <v>2.6692718572632425E-2</v>
      </c>
      <c r="O622" s="7">
        <f>IFERROR(INDEX('Master data'!$B$2:$CL$1000,MATCH($B622,'Master data'!$A$2:$A$1000,0),MATCH(O$1,'Master data'!$B$1:$CL$1,0)),"")</f>
        <v>0</v>
      </c>
      <c r="P622" s="5">
        <f>IFERROR(INDEX('Master data'!$B$2:$CL$1000,MATCH($B622,'Master data'!$A$2:$A$1000,0),MATCH(P$1,'Master data'!$B$1:$CL$1,0)),"")</f>
        <v>3000000</v>
      </c>
      <c r="Q622" s="5">
        <f>IFERROR(INDEX('Master data'!$B$2:$CL$1000,MATCH($B622,'Master data'!$A$2:$A$1000,0),MATCH(Q$1,'Master data'!$B$1:$CL$1,0)),"")</f>
        <v>3000000</v>
      </c>
    </row>
    <row r="623" spans="1:17" hidden="1">
      <c r="A623" t="str">
        <f t="shared" si="9"/>
        <v/>
      </c>
      <c r="B623" t="str">
        <f>IF('Master data'!A623="","",'Master data'!A623)</f>
        <v/>
      </c>
      <c r="C623" t="str">
        <f>IFERROR(INDEX('Master data'!$B$2:$CL$1000,MATCH($B623,'Master data'!$A$2:$A$1000,0),MATCH(C$1,'Master data'!$B$1:$CL$1,0)),"")</f>
        <v/>
      </c>
      <c r="D623" t="str">
        <f>IFERROR(INDEX('Master data'!$B$2:$CL$1000,MATCH($B623,'Master data'!$A$2:$A$1000,0),MATCH(D$1,'Master data'!$B$1:$CL$1,0)),"")</f>
        <v/>
      </c>
      <c r="E623" s="5" t="str">
        <f>IFERROR(INDEX('Master data'!$B$2:$CL$1000,MATCH($B623,'Master data'!$A$2:$A$1000,0),MATCH(E$1,'Master data'!$B$1:$CL$1,0)),"")</f>
        <v/>
      </c>
      <c r="F623" s="7" t="str">
        <f>IFERROR(INDEX('Master data'!$B$2:$CL$1000,MATCH($B623,'Master data'!$A$2:$A$1000,0),MATCH(F$1,'Master data'!$B$1:$CL$1,0)),"")</f>
        <v/>
      </c>
      <c r="G623" s="7" t="str">
        <f>IFERROR(INDEX('Master data'!$B$2:$CL$1000,MATCH($B623,'Master data'!$A$2:$A$1000,0),MATCH(G$1,'Master data'!$B$1:$CL$1,0)),"")</f>
        <v/>
      </c>
      <c r="H623" s="7" t="str">
        <f>IFERROR(INDEX('Master data'!$B$2:$CL$1000,MATCH($B623,'Master data'!$A$2:$A$1000,0),MATCH(H$1,'Master data'!$B$1:$CL$1,0)),"")</f>
        <v/>
      </c>
      <c r="I623" s="7" t="str">
        <f>IFERROR(INDEX('Master data'!$B$2:$CL$1000,MATCH($B623,'Master data'!$A$2:$A$1000,0),MATCH(I$1,'Master data'!$B$1:$CL$1,0)),"")</f>
        <v/>
      </c>
      <c r="J623" s="7" t="str">
        <f>IFERROR(INDEX('Master data'!$B$2:$CL$1000,MATCH($B623,'Master data'!$A$2:$A$1000,0),MATCH(J$1,'Master data'!$B$1:$CL$1,0)),"")</f>
        <v/>
      </c>
      <c r="K623" s="7" t="str">
        <f>IFERROR(INDEX('Master data'!$B$2:$CL$1000,MATCH($B623,'Master data'!$A$2:$A$1000,0),MATCH(K$1,'Master data'!$B$1:$CL$1,0)),"")</f>
        <v/>
      </c>
      <c r="L623" s="7" t="str">
        <f>IFERROR(INDEX('Master data'!$B$2:$CL$1000,MATCH($B623,'Master data'!$A$2:$A$1000,0),MATCH(L$1,'Master data'!$B$1:$CL$1,0)),"")</f>
        <v/>
      </c>
      <c r="M623" s="5" t="str">
        <f>IFERROR(INDEX('Master data'!$B$2:$CL$1000,MATCH($B623,'Master data'!$A$2:$A$1000,0),MATCH(M$1,'Master data'!$B$1:$CL$1,0)),"")</f>
        <v/>
      </c>
      <c r="N623" s="28" t="str">
        <f>IFERROR(INDEX('Master data'!$B$2:$CL$1000,MATCH($B623,'Master data'!$A$2:$A$1000,0),MATCH(N$1,'Master data'!$B$1:$CL$1,0)),"")</f>
        <v/>
      </c>
      <c r="O623" s="7" t="str">
        <f>IFERROR(INDEX('Master data'!$B$2:$CL$1000,MATCH($B623,'Master data'!$A$2:$A$1000,0),MATCH(O$1,'Master data'!$B$1:$CL$1,0)),"")</f>
        <v/>
      </c>
      <c r="P623" s="5" t="str">
        <f>IFERROR(INDEX('Master data'!$B$2:$CL$1000,MATCH($B623,'Master data'!$A$2:$A$1000,0),MATCH(P$1,'Master data'!$B$1:$CL$1,0)),"")</f>
        <v/>
      </c>
      <c r="Q623" s="5" t="str">
        <f>IFERROR(INDEX('Master data'!$B$2:$CL$1000,MATCH($B623,'Master data'!$A$2:$A$1000,0),MATCH(Q$1,'Master data'!$B$1:$CL$1,0)),"")</f>
        <v/>
      </c>
    </row>
    <row r="624" spans="1:17" hidden="1">
      <c r="A624" t="str">
        <f t="shared" si="9"/>
        <v/>
      </c>
      <c r="B624" t="str">
        <f>IF('Master data'!A624="","",'Master data'!A624)</f>
        <v/>
      </c>
      <c r="C624" t="str">
        <f>IFERROR(INDEX('Master data'!$B$2:$CL$1000,MATCH($B624,'Master data'!$A$2:$A$1000,0),MATCH(C$1,'Master data'!$B$1:$CL$1,0)),"")</f>
        <v/>
      </c>
      <c r="D624" t="str">
        <f>IFERROR(INDEX('Master data'!$B$2:$CL$1000,MATCH($B624,'Master data'!$A$2:$A$1000,0),MATCH(D$1,'Master data'!$B$1:$CL$1,0)),"")</f>
        <v/>
      </c>
      <c r="E624" s="5" t="str">
        <f>IFERROR(INDEX('Master data'!$B$2:$CL$1000,MATCH($B624,'Master data'!$A$2:$A$1000,0),MATCH(E$1,'Master data'!$B$1:$CL$1,0)),"")</f>
        <v/>
      </c>
      <c r="F624" s="7" t="str">
        <f>IFERROR(INDEX('Master data'!$B$2:$CL$1000,MATCH($B624,'Master data'!$A$2:$A$1000,0),MATCH(F$1,'Master data'!$B$1:$CL$1,0)),"")</f>
        <v/>
      </c>
      <c r="G624" s="7" t="str">
        <f>IFERROR(INDEX('Master data'!$B$2:$CL$1000,MATCH($B624,'Master data'!$A$2:$A$1000,0),MATCH(G$1,'Master data'!$B$1:$CL$1,0)),"")</f>
        <v/>
      </c>
      <c r="H624" s="7" t="str">
        <f>IFERROR(INDEX('Master data'!$B$2:$CL$1000,MATCH($B624,'Master data'!$A$2:$A$1000,0),MATCH(H$1,'Master data'!$B$1:$CL$1,0)),"")</f>
        <v/>
      </c>
      <c r="I624" s="7" t="str">
        <f>IFERROR(INDEX('Master data'!$B$2:$CL$1000,MATCH($B624,'Master data'!$A$2:$A$1000,0),MATCH(I$1,'Master data'!$B$1:$CL$1,0)),"")</f>
        <v/>
      </c>
      <c r="J624" s="7" t="str">
        <f>IFERROR(INDEX('Master data'!$B$2:$CL$1000,MATCH($B624,'Master data'!$A$2:$A$1000,0),MATCH(J$1,'Master data'!$B$1:$CL$1,0)),"")</f>
        <v/>
      </c>
      <c r="K624" s="7" t="str">
        <f>IFERROR(INDEX('Master data'!$B$2:$CL$1000,MATCH($B624,'Master data'!$A$2:$A$1000,0),MATCH(K$1,'Master data'!$B$1:$CL$1,0)),"")</f>
        <v/>
      </c>
      <c r="L624" s="7" t="str">
        <f>IFERROR(INDEX('Master data'!$B$2:$CL$1000,MATCH($B624,'Master data'!$A$2:$A$1000,0),MATCH(L$1,'Master data'!$B$1:$CL$1,0)),"")</f>
        <v/>
      </c>
      <c r="M624" s="5" t="str">
        <f>IFERROR(INDEX('Master data'!$B$2:$CL$1000,MATCH($B624,'Master data'!$A$2:$A$1000,0),MATCH(M$1,'Master data'!$B$1:$CL$1,0)),"")</f>
        <v/>
      </c>
      <c r="N624" s="28" t="str">
        <f>IFERROR(INDEX('Master data'!$B$2:$CL$1000,MATCH($B624,'Master data'!$A$2:$A$1000,0),MATCH(N$1,'Master data'!$B$1:$CL$1,0)),"")</f>
        <v/>
      </c>
      <c r="O624" s="7" t="str">
        <f>IFERROR(INDEX('Master data'!$B$2:$CL$1000,MATCH($B624,'Master data'!$A$2:$A$1000,0),MATCH(O$1,'Master data'!$B$1:$CL$1,0)),"")</f>
        <v/>
      </c>
      <c r="P624" s="5" t="str">
        <f>IFERROR(INDEX('Master data'!$B$2:$CL$1000,MATCH($B624,'Master data'!$A$2:$A$1000,0),MATCH(P$1,'Master data'!$B$1:$CL$1,0)),"")</f>
        <v/>
      </c>
      <c r="Q624" s="5" t="str">
        <f>IFERROR(INDEX('Master data'!$B$2:$CL$1000,MATCH($B624,'Master data'!$A$2:$A$1000,0),MATCH(Q$1,'Master data'!$B$1:$CL$1,0)),"")</f>
        <v/>
      </c>
    </row>
    <row r="625" spans="1:17" hidden="1">
      <c r="A625" t="str">
        <f t="shared" si="9"/>
        <v/>
      </c>
      <c r="B625" t="str">
        <f>IF('Master data'!A625="","",'Master data'!A625)</f>
        <v/>
      </c>
      <c r="C625" t="str">
        <f>IFERROR(INDEX('Master data'!$B$2:$CL$1000,MATCH($B625,'Master data'!$A$2:$A$1000,0),MATCH(C$1,'Master data'!$B$1:$CL$1,0)),"")</f>
        <v/>
      </c>
      <c r="D625" t="str">
        <f>IFERROR(INDEX('Master data'!$B$2:$CL$1000,MATCH($B625,'Master data'!$A$2:$A$1000,0),MATCH(D$1,'Master data'!$B$1:$CL$1,0)),"")</f>
        <v/>
      </c>
      <c r="E625" s="5" t="str">
        <f>IFERROR(INDEX('Master data'!$B$2:$CL$1000,MATCH($B625,'Master data'!$A$2:$A$1000,0),MATCH(E$1,'Master data'!$B$1:$CL$1,0)),"")</f>
        <v/>
      </c>
      <c r="F625" s="7" t="str">
        <f>IFERROR(INDEX('Master data'!$B$2:$CL$1000,MATCH($B625,'Master data'!$A$2:$A$1000,0),MATCH(F$1,'Master data'!$B$1:$CL$1,0)),"")</f>
        <v/>
      </c>
      <c r="G625" s="7" t="str">
        <f>IFERROR(INDEX('Master data'!$B$2:$CL$1000,MATCH($B625,'Master data'!$A$2:$A$1000,0),MATCH(G$1,'Master data'!$B$1:$CL$1,0)),"")</f>
        <v/>
      </c>
      <c r="H625" s="7" t="str">
        <f>IFERROR(INDEX('Master data'!$B$2:$CL$1000,MATCH($B625,'Master data'!$A$2:$A$1000,0),MATCH(H$1,'Master data'!$B$1:$CL$1,0)),"")</f>
        <v/>
      </c>
      <c r="I625" s="7" t="str">
        <f>IFERROR(INDEX('Master data'!$B$2:$CL$1000,MATCH($B625,'Master data'!$A$2:$A$1000,0),MATCH(I$1,'Master data'!$B$1:$CL$1,0)),"")</f>
        <v/>
      </c>
      <c r="J625" s="7" t="str">
        <f>IFERROR(INDEX('Master data'!$B$2:$CL$1000,MATCH($B625,'Master data'!$A$2:$A$1000,0),MATCH(J$1,'Master data'!$B$1:$CL$1,0)),"")</f>
        <v/>
      </c>
      <c r="K625" s="7" t="str">
        <f>IFERROR(INDEX('Master data'!$B$2:$CL$1000,MATCH($B625,'Master data'!$A$2:$A$1000,0),MATCH(K$1,'Master data'!$B$1:$CL$1,0)),"")</f>
        <v/>
      </c>
      <c r="L625" s="7" t="str">
        <f>IFERROR(INDEX('Master data'!$B$2:$CL$1000,MATCH($B625,'Master data'!$A$2:$A$1000,0),MATCH(L$1,'Master data'!$B$1:$CL$1,0)),"")</f>
        <v/>
      </c>
      <c r="M625" s="5" t="str">
        <f>IFERROR(INDEX('Master data'!$B$2:$CL$1000,MATCH($B625,'Master data'!$A$2:$A$1000,0),MATCH(M$1,'Master data'!$B$1:$CL$1,0)),"")</f>
        <v/>
      </c>
      <c r="N625" s="28" t="str">
        <f>IFERROR(INDEX('Master data'!$B$2:$CL$1000,MATCH($B625,'Master data'!$A$2:$A$1000,0),MATCH(N$1,'Master data'!$B$1:$CL$1,0)),"")</f>
        <v/>
      </c>
      <c r="O625" s="7" t="str">
        <f>IFERROR(INDEX('Master data'!$B$2:$CL$1000,MATCH($B625,'Master data'!$A$2:$A$1000,0),MATCH(O$1,'Master data'!$B$1:$CL$1,0)),"")</f>
        <v/>
      </c>
      <c r="P625" s="5" t="str">
        <f>IFERROR(INDEX('Master data'!$B$2:$CL$1000,MATCH($B625,'Master data'!$A$2:$A$1000,0),MATCH(P$1,'Master data'!$B$1:$CL$1,0)),"")</f>
        <v/>
      </c>
      <c r="Q625" s="5" t="str">
        <f>IFERROR(INDEX('Master data'!$B$2:$CL$1000,MATCH($B625,'Master data'!$A$2:$A$1000,0),MATCH(Q$1,'Master data'!$B$1:$CL$1,0)),"")</f>
        <v/>
      </c>
    </row>
    <row r="626" spans="1:17" hidden="1">
      <c r="A626" t="str">
        <f t="shared" si="9"/>
        <v/>
      </c>
      <c r="B626" t="str">
        <f>IF('Master data'!A626="","",'Master data'!A626)</f>
        <v/>
      </c>
      <c r="C626" t="str">
        <f>IFERROR(INDEX('Master data'!$B$2:$CL$1000,MATCH($B626,'Master data'!$A$2:$A$1000,0),MATCH(C$1,'Master data'!$B$1:$CL$1,0)),"")</f>
        <v/>
      </c>
      <c r="D626" t="str">
        <f>IFERROR(INDEX('Master data'!$B$2:$CL$1000,MATCH($B626,'Master data'!$A$2:$A$1000,0),MATCH(D$1,'Master data'!$B$1:$CL$1,0)),"")</f>
        <v/>
      </c>
      <c r="E626" s="5" t="str">
        <f>IFERROR(INDEX('Master data'!$B$2:$CL$1000,MATCH($B626,'Master data'!$A$2:$A$1000,0),MATCH(E$1,'Master data'!$B$1:$CL$1,0)),"")</f>
        <v/>
      </c>
      <c r="F626" s="7" t="str">
        <f>IFERROR(INDEX('Master data'!$B$2:$CL$1000,MATCH($B626,'Master data'!$A$2:$A$1000,0),MATCH(F$1,'Master data'!$B$1:$CL$1,0)),"")</f>
        <v/>
      </c>
      <c r="G626" s="7" t="str">
        <f>IFERROR(INDEX('Master data'!$B$2:$CL$1000,MATCH($B626,'Master data'!$A$2:$A$1000,0),MATCH(G$1,'Master data'!$B$1:$CL$1,0)),"")</f>
        <v/>
      </c>
      <c r="H626" s="7" t="str">
        <f>IFERROR(INDEX('Master data'!$B$2:$CL$1000,MATCH($B626,'Master data'!$A$2:$A$1000,0),MATCH(H$1,'Master data'!$B$1:$CL$1,0)),"")</f>
        <v/>
      </c>
      <c r="I626" s="7" t="str">
        <f>IFERROR(INDEX('Master data'!$B$2:$CL$1000,MATCH($B626,'Master data'!$A$2:$A$1000,0),MATCH(I$1,'Master data'!$B$1:$CL$1,0)),"")</f>
        <v/>
      </c>
      <c r="J626" s="7" t="str">
        <f>IFERROR(INDEX('Master data'!$B$2:$CL$1000,MATCH($B626,'Master data'!$A$2:$A$1000,0),MATCH(J$1,'Master data'!$B$1:$CL$1,0)),"")</f>
        <v/>
      </c>
      <c r="K626" s="7" t="str">
        <f>IFERROR(INDEX('Master data'!$B$2:$CL$1000,MATCH($B626,'Master data'!$A$2:$A$1000,0),MATCH(K$1,'Master data'!$B$1:$CL$1,0)),"")</f>
        <v/>
      </c>
      <c r="L626" s="7" t="str">
        <f>IFERROR(INDEX('Master data'!$B$2:$CL$1000,MATCH($B626,'Master data'!$A$2:$A$1000,0),MATCH(L$1,'Master data'!$B$1:$CL$1,0)),"")</f>
        <v/>
      </c>
      <c r="M626" s="5" t="str">
        <f>IFERROR(INDEX('Master data'!$B$2:$CL$1000,MATCH($B626,'Master data'!$A$2:$A$1000,0),MATCH(M$1,'Master data'!$B$1:$CL$1,0)),"")</f>
        <v/>
      </c>
      <c r="N626" s="28" t="str">
        <f>IFERROR(INDEX('Master data'!$B$2:$CL$1000,MATCH($B626,'Master data'!$A$2:$A$1000,0),MATCH(N$1,'Master data'!$B$1:$CL$1,0)),"")</f>
        <v/>
      </c>
      <c r="O626" s="7" t="str">
        <f>IFERROR(INDEX('Master data'!$B$2:$CL$1000,MATCH($B626,'Master data'!$A$2:$A$1000,0),MATCH(O$1,'Master data'!$B$1:$CL$1,0)),"")</f>
        <v/>
      </c>
      <c r="P626" s="5" t="str">
        <f>IFERROR(INDEX('Master data'!$B$2:$CL$1000,MATCH($B626,'Master data'!$A$2:$A$1000,0),MATCH(P$1,'Master data'!$B$1:$CL$1,0)),"")</f>
        <v/>
      </c>
      <c r="Q626" s="5" t="str">
        <f>IFERROR(INDEX('Master data'!$B$2:$CL$1000,MATCH($B626,'Master data'!$A$2:$A$1000,0),MATCH(Q$1,'Master data'!$B$1:$CL$1,0)),"")</f>
        <v/>
      </c>
    </row>
    <row r="627" spans="1:17" hidden="1">
      <c r="A627" t="str">
        <f t="shared" si="9"/>
        <v/>
      </c>
      <c r="B627" t="str">
        <f>IF('Master data'!A627="","",'Master data'!A627)</f>
        <v/>
      </c>
      <c r="C627" t="str">
        <f>IFERROR(INDEX('Master data'!$B$2:$CL$1000,MATCH($B627,'Master data'!$A$2:$A$1000,0),MATCH(C$1,'Master data'!$B$1:$CL$1,0)),"")</f>
        <v/>
      </c>
      <c r="D627" t="str">
        <f>IFERROR(INDEX('Master data'!$B$2:$CL$1000,MATCH($B627,'Master data'!$A$2:$A$1000,0),MATCH(D$1,'Master data'!$B$1:$CL$1,0)),"")</f>
        <v/>
      </c>
      <c r="E627" s="5" t="str">
        <f>IFERROR(INDEX('Master data'!$B$2:$CL$1000,MATCH($B627,'Master data'!$A$2:$A$1000,0),MATCH(E$1,'Master data'!$B$1:$CL$1,0)),"")</f>
        <v/>
      </c>
      <c r="F627" s="7" t="str">
        <f>IFERROR(INDEX('Master data'!$B$2:$CL$1000,MATCH($B627,'Master data'!$A$2:$A$1000,0),MATCH(F$1,'Master data'!$B$1:$CL$1,0)),"")</f>
        <v/>
      </c>
      <c r="G627" s="7" t="str">
        <f>IFERROR(INDEX('Master data'!$B$2:$CL$1000,MATCH($B627,'Master data'!$A$2:$A$1000,0),MATCH(G$1,'Master data'!$B$1:$CL$1,0)),"")</f>
        <v/>
      </c>
      <c r="H627" s="7" t="str">
        <f>IFERROR(INDEX('Master data'!$B$2:$CL$1000,MATCH($B627,'Master data'!$A$2:$A$1000,0),MATCH(H$1,'Master data'!$B$1:$CL$1,0)),"")</f>
        <v/>
      </c>
      <c r="I627" s="7" t="str">
        <f>IFERROR(INDEX('Master data'!$B$2:$CL$1000,MATCH($B627,'Master data'!$A$2:$A$1000,0),MATCH(I$1,'Master data'!$B$1:$CL$1,0)),"")</f>
        <v/>
      </c>
      <c r="J627" s="7" t="str">
        <f>IFERROR(INDEX('Master data'!$B$2:$CL$1000,MATCH($B627,'Master data'!$A$2:$A$1000,0),MATCH(J$1,'Master data'!$B$1:$CL$1,0)),"")</f>
        <v/>
      </c>
      <c r="K627" s="7" t="str">
        <f>IFERROR(INDEX('Master data'!$B$2:$CL$1000,MATCH($B627,'Master data'!$A$2:$A$1000,0),MATCH(K$1,'Master data'!$B$1:$CL$1,0)),"")</f>
        <v/>
      </c>
      <c r="L627" s="7" t="str">
        <f>IFERROR(INDEX('Master data'!$B$2:$CL$1000,MATCH($B627,'Master data'!$A$2:$A$1000,0),MATCH(L$1,'Master data'!$B$1:$CL$1,0)),"")</f>
        <v/>
      </c>
      <c r="M627" s="5" t="str">
        <f>IFERROR(INDEX('Master data'!$B$2:$CL$1000,MATCH($B627,'Master data'!$A$2:$A$1000,0),MATCH(M$1,'Master data'!$B$1:$CL$1,0)),"")</f>
        <v/>
      </c>
      <c r="N627" s="28" t="str">
        <f>IFERROR(INDEX('Master data'!$B$2:$CL$1000,MATCH($B627,'Master data'!$A$2:$A$1000,0),MATCH(N$1,'Master data'!$B$1:$CL$1,0)),"")</f>
        <v/>
      </c>
      <c r="O627" s="7" t="str">
        <f>IFERROR(INDEX('Master data'!$B$2:$CL$1000,MATCH($B627,'Master data'!$A$2:$A$1000,0),MATCH(O$1,'Master data'!$B$1:$CL$1,0)),"")</f>
        <v/>
      </c>
      <c r="P627" s="5" t="str">
        <f>IFERROR(INDEX('Master data'!$B$2:$CL$1000,MATCH($B627,'Master data'!$A$2:$A$1000,0),MATCH(P$1,'Master data'!$B$1:$CL$1,0)),"")</f>
        <v/>
      </c>
      <c r="Q627" s="5" t="str">
        <f>IFERROR(INDEX('Master data'!$B$2:$CL$1000,MATCH($B627,'Master data'!$A$2:$A$1000,0),MATCH(Q$1,'Master data'!$B$1:$CL$1,0)),"")</f>
        <v/>
      </c>
    </row>
    <row r="628" spans="1:17" hidden="1">
      <c r="A628" t="str">
        <f t="shared" si="9"/>
        <v/>
      </c>
      <c r="B628" t="str">
        <f>IF('Master data'!A628="","",'Master data'!A628)</f>
        <v/>
      </c>
      <c r="C628" t="str">
        <f>IFERROR(INDEX('Master data'!$B$2:$CL$1000,MATCH($B628,'Master data'!$A$2:$A$1000,0),MATCH(C$1,'Master data'!$B$1:$CL$1,0)),"")</f>
        <v/>
      </c>
      <c r="D628" t="str">
        <f>IFERROR(INDEX('Master data'!$B$2:$CL$1000,MATCH($B628,'Master data'!$A$2:$A$1000,0),MATCH(D$1,'Master data'!$B$1:$CL$1,0)),"")</f>
        <v/>
      </c>
      <c r="E628" s="5" t="str">
        <f>IFERROR(INDEX('Master data'!$B$2:$CL$1000,MATCH($B628,'Master data'!$A$2:$A$1000,0),MATCH(E$1,'Master data'!$B$1:$CL$1,0)),"")</f>
        <v/>
      </c>
      <c r="F628" s="7" t="str">
        <f>IFERROR(INDEX('Master data'!$B$2:$CL$1000,MATCH($B628,'Master data'!$A$2:$A$1000,0),MATCH(F$1,'Master data'!$B$1:$CL$1,0)),"")</f>
        <v/>
      </c>
      <c r="G628" s="7" t="str">
        <f>IFERROR(INDEX('Master data'!$B$2:$CL$1000,MATCH($B628,'Master data'!$A$2:$A$1000,0),MATCH(G$1,'Master data'!$B$1:$CL$1,0)),"")</f>
        <v/>
      </c>
      <c r="H628" s="7" t="str">
        <f>IFERROR(INDEX('Master data'!$B$2:$CL$1000,MATCH($B628,'Master data'!$A$2:$A$1000,0),MATCH(H$1,'Master data'!$B$1:$CL$1,0)),"")</f>
        <v/>
      </c>
      <c r="I628" s="7" t="str">
        <f>IFERROR(INDEX('Master data'!$B$2:$CL$1000,MATCH($B628,'Master data'!$A$2:$A$1000,0),MATCH(I$1,'Master data'!$B$1:$CL$1,0)),"")</f>
        <v/>
      </c>
      <c r="J628" s="7" t="str">
        <f>IFERROR(INDEX('Master data'!$B$2:$CL$1000,MATCH($B628,'Master data'!$A$2:$A$1000,0),MATCH(J$1,'Master data'!$B$1:$CL$1,0)),"")</f>
        <v/>
      </c>
      <c r="K628" s="7" t="str">
        <f>IFERROR(INDEX('Master data'!$B$2:$CL$1000,MATCH($B628,'Master data'!$A$2:$A$1000,0),MATCH(K$1,'Master data'!$B$1:$CL$1,0)),"")</f>
        <v/>
      </c>
      <c r="L628" s="7" t="str">
        <f>IFERROR(INDEX('Master data'!$B$2:$CL$1000,MATCH($B628,'Master data'!$A$2:$A$1000,0),MATCH(L$1,'Master data'!$B$1:$CL$1,0)),"")</f>
        <v/>
      </c>
      <c r="M628" s="5" t="str">
        <f>IFERROR(INDEX('Master data'!$B$2:$CL$1000,MATCH($B628,'Master data'!$A$2:$A$1000,0),MATCH(M$1,'Master data'!$B$1:$CL$1,0)),"")</f>
        <v/>
      </c>
      <c r="N628" s="28" t="str">
        <f>IFERROR(INDEX('Master data'!$B$2:$CL$1000,MATCH($B628,'Master data'!$A$2:$A$1000,0),MATCH(N$1,'Master data'!$B$1:$CL$1,0)),"")</f>
        <v/>
      </c>
      <c r="O628" s="7" t="str">
        <f>IFERROR(INDEX('Master data'!$B$2:$CL$1000,MATCH($B628,'Master data'!$A$2:$A$1000,0),MATCH(O$1,'Master data'!$B$1:$CL$1,0)),"")</f>
        <v/>
      </c>
      <c r="P628" s="5" t="str">
        <f>IFERROR(INDEX('Master data'!$B$2:$CL$1000,MATCH($B628,'Master data'!$A$2:$A$1000,0),MATCH(P$1,'Master data'!$B$1:$CL$1,0)),"")</f>
        <v/>
      </c>
      <c r="Q628" s="5" t="str">
        <f>IFERROR(INDEX('Master data'!$B$2:$CL$1000,MATCH($B628,'Master data'!$A$2:$A$1000,0),MATCH(Q$1,'Master data'!$B$1:$CL$1,0)),"")</f>
        <v/>
      </c>
    </row>
    <row r="629" spans="1:17" hidden="1">
      <c r="A629" t="str">
        <f t="shared" si="9"/>
        <v/>
      </c>
      <c r="B629" t="str">
        <f>IF('Master data'!A629="","",'Master data'!A629)</f>
        <v/>
      </c>
      <c r="C629" t="str">
        <f>IFERROR(INDEX('Master data'!$B$2:$CL$1000,MATCH($B629,'Master data'!$A$2:$A$1000,0),MATCH(C$1,'Master data'!$B$1:$CL$1,0)),"")</f>
        <v/>
      </c>
      <c r="D629" t="str">
        <f>IFERROR(INDEX('Master data'!$B$2:$CL$1000,MATCH($B629,'Master data'!$A$2:$A$1000,0),MATCH(D$1,'Master data'!$B$1:$CL$1,0)),"")</f>
        <v/>
      </c>
      <c r="E629" s="5" t="str">
        <f>IFERROR(INDEX('Master data'!$B$2:$CL$1000,MATCH($B629,'Master data'!$A$2:$A$1000,0),MATCH(E$1,'Master data'!$B$1:$CL$1,0)),"")</f>
        <v/>
      </c>
      <c r="F629" s="7" t="str">
        <f>IFERROR(INDEX('Master data'!$B$2:$CL$1000,MATCH($B629,'Master data'!$A$2:$A$1000,0),MATCH(F$1,'Master data'!$B$1:$CL$1,0)),"")</f>
        <v/>
      </c>
      <c r="G629" s="7" t="str">
        <f>IFERROR(INDEX('Master data'!$B$2:$CL$1000,MATCH($B629,'Master data'!$A$2:$A$1000,0),MATCH(G$1,'Master data'!$B$1:$CL$1,0)),"")</f>
        <v/>
      </c>
      <c r="H629" s="7" t="str">
        <f>IFERROR(INDEX('Master data'!$B$2:$CL$1000,MATCH($B629,'Master data'!$A$2:$A$1000,0),MATCH(H$1,'Master data'!$B$1:$CL$1,0)),"")</f>
        <v/>
      </c>
      <c r="I629" s="7" t="str">
        <f>IFERROR(INDEX('Master data'!$B$2:$CL$1000,MATCH($B629,'Master data'!$A$2:$A$1000,0),MATCH(I$1,'Master data'!$B$1:$CL$1,0)),"")</f>
        <v/>
      </c>
      <c r="J629" s="7" t="str">
        <f>IFERROR(INDEX('Master data'!$B$2:$CL$1000,MATCH($B629,'Master data'!$A$2:$A$1000,0),MATCH(J$1,'Master data'!$B$1:$CL$1,0)),"")</f>
        <v/>
      </c>
      <c r="K629" s="7" t="str">
        <f>IFERROR(INDEX('Master data'!$B$2:$CL$1000,MATCH($B629,'Master data'!$A$2:$A$1000,0),MATCH(K$1,'Master data'!$B$1:$CL$1,0)),"")</f>
        <v/>
      </c>
      <c r="L629" s="7" t="str">
        <f>IFERROR(INDEX('Master data'!$B$2:$CL$1000,MATCH($B629,'Master data'!$A$2:$A$1000,0),MATCH(L$1,'Master data'!$B$1:$CL$1,0)),"")</f>
        <v/>
      </c>
      <c r="M629" s="5" t="str">
        <f>IFERROR(INDEX('Master data'!$B$2:$CL$1000,MATCH($B629,'Master data'!$A$2:$A$1000,0),MATCH(M$1,'Master data'!$B$1:$CL$1,0)),"")</f>
        <v/>
      </c>
      <c r="N629" s="28" t="str">
        <f>IFERROR(INDEX('Master data'!$B$2:$CL$1000,MATCH($B629,'Master data'!$A$2:$A$1000,0),MATCH(N$1,'Master data'!$B$1:$CL$1,0)),"")</f>
        <v/>
      </c>
      <c r="O629" s="7" t="str">
        <f>IFERROR(INDEX('Master data'!$B$2:$CL$1000,MATCH($B629,'Master data'!$A$2:$A$1000,0),MATCH(O$1,'Master data'!$B$1:$CL$1,0)),"")</f>
        <v/>
      </c>
      <c r="P629" s="5" t="str">
        <f>IFERROR(INDEX('Master data'!$B$2:$CL$1000,MATCH($B629,'Master data'!$A$2:$A$1000,0),MATCH(P$1,'Master data'!$B$1:$CL$1,0)),"")</f>
        <v/>
      </c>
      <c r="Q629" s="5" t="str">
        <f>IFERROR(INDEX('Master data'!$B$2:$CL$1000,MATCH($B629,'Master data'!$A$2:$A$1000,0),MATCH(Q$1,'Master data'!$B$1:$CL$1,0)),"")</f>
        <v/>
      </c>
    </row>
    <row r="630" spans="1:17" hidden="1">
      <c r="A630" t="str">
        <f t="shared" si="9"/>
        <v/>
      </c>
      <c r="B630" t="str">
        <f>IF('Master data'!A630="","",'Master data'!A630)</f>
        <v/>
      </c>
      <c r="C630" t="str">
        <f>IFERROR(INDEX('Master data'!$B$2:$CL$1000,MATCH($B630,'Master data'!$A$2:$A$1000,0),MATCH(C$1,'Master data'!$B$1:$CL$1,0)),"")</f>
        <v/>
      </c>
      <c r="D630" t="str">
        <f>IFERROR(INDEX('Master data'!$B$2:$CL$1000,MATCH($B630,'Master data'!$A$2:$A$1000,0),MATCH(D$1,'Master data'!$B$1:$CL$1,0)),"")</f>
        <v/>
      </c>
      <c r="E630" s="5" t="str">
        <f>IFERROR(INDEX('Master data'!$B$2:$CL$1000,MATCH($B630,'Master data'!$A$2:$A$1000,0),MATCH(E$1,'Master data'!$B$1:$CL$1,0)),"")</f>
        <v/>
      </c>
      <c r="F630" s="7" t="str">
        <f>IFERROR(INDEX('Master data'!$B$2:$CL$1000,MATCH($B630,'Master data'!$A$2:$A$1000,0),MATCH(F$1,'Master data'!$B$1:$CL$1,0)),"")</f>
        <v/>
      </c>
      <c r="G630" s="7" t="str">
        <f>IFERROR(INDEX('Master data'!$B$2:$CL$1000,MATCH($B630,'Master data'!$A$2:$A$1000,0),MATCH(G$1,'Master data'!$B$1:$CL$1,0)),"")</f>
        <v/>
      </c>
      <c r="H630" s="7" t="str">
        <f>IFERROR(INDEX('Master data'!$B$2:$CL$1000,MATCH($B630,'Master data'!$A$2:$A$1000,0),MATCH(H$1,'Master data'!$B$1:$CL$1,0)),"")</f>
        <v/>
      </c>
      <c r="I630" s="7" t="str">
        <f>IFERROR(INDEX('Master data'!$B$2:$CL$1000,MATCH($B630,'Master data'!$A$2:$A$1000,0),MATCH(I$1,'Master data'!$B$1:$CL$1,0)),"")</f>
        <v/>
      </c>
      <c r="J630" s="7" t="str">
        <f>IFERROR(INDEX('Master data'!$B$2:$CL$1000,MATCH($B630,'Master data'!$A$2:$A$1000,0),MATCH(J$1,'Master data'!$B$1:$CL$1,0)),"")</f>
        <v/>
      </c>
      <c r="K630" s="7" t="str">
        <f>IFERROR(INDEX('Master data'!$B$2:$CL$1000,MATCH($B630,'Master data'!$A$2:$A$1000,0),MATCH(K$1,'Master data'!$B$1:$CL$1,0)),"")</f>
        <v/>
      </c>
      <c r="L630" s="7" t="str">
        <f>IFERROR(INDEX('Master data'!$B$2:$CL$1000,MATCH($B630,'Master data'!$A$2:$A$1000,0),MATCH(L$1,'Master data'!$B$1:$CL$1,0)),"")</f>
        <v/>
      </c>
      <c r="M630" s="5" t="str">
        <f>IFERROR(INDEX('Master data'!$B$2:$CL$1000,MATCH($B630,'Master data'!$A$2:$A$1000,0),MATCH(M$1,'Master data'!$B$1:$CL$1,0)),"")</f>
        <v/>
      </c>
      <c r="N630" s="28" t="str">
        <f>IFERROR(INDEX('Master data'!$B$2:$CL$1000,MATCH($B630,'Master data'!$A$2:$A$1000,0),MATCH(N$1,'Master data'!$B$1:$CL$1,0)),"")</f>
        <v/>
      </c>
      <c r="O630" s="7" t="str">
        <f>IFERROR(INDEX('Master data'!$B$2:$CL$1000,MATCH($B630,'Master data'!$A$2:$A$1000,0),MATCH(O$1,'Master data'!$B$1:$CL$1,0)),"")</f>
        <v/>
      </c>
      <c r="P630" s="5" t="str">
        <f>IFERROR(INDEX('Master data'!$B$2:$CL$1000,MATCH($B630,'Master data'!$A$2:$A$1000,0),MATCH(P$1,'Master data'!$B$1:$CL$1,0)),"")</f>
        <v/>
      </c>
      <c r="Q630" s="5" t="str">
        <f>IFERROR(INDEX('Master data'!$B$2:$CL$1000,MATCH($B630,'Master data'!$A$2:$A$1000,0),MATCH(Q$1,'Master data'!$B$1:$CL$1,0)),"")</f>
        <v/>
      </c>
    </row>
    <row r="631" spans="1:17" hidden="1">
      <c r="A631" t="str">
        <f t="shared" si="9"/>
        <v/>
      </c>
      <c r="B631" t="str">
        <f>IF('Master data'!A631="","",'Master data'!A631)</f>
        <v/>
      </c>
      <c r="C631" t="str">
        <f>IFERROR(INDEX('Master data'!$B$2:$CL$1000,MATCH($B631,'Master data'!$A$2:$A$1000,0),MATCH(C$1,'Master data'!$B$1:$CL$1,0)),"")</f>
        <v/>
      </c>
      <c r="D631" t="str">
        <f>IFERROR(INDEX('Master data'!$B$2:$CL$1000,MATCH($B631,'Master data'!$A$2:$A$1000,0),MATCH(D$1,'Master data'!$B$1:$CL$1,0)),"")</f>
        <v/>
      </c>
      <c r="E631" s="5" t="str">
        <f>IFERROR(INDEX('Master data'!$B$2:$CL$1000,MATCH($B631,'Master data'!$A$2:$A$1000,0),MATCH(E$1,'Master data'!$B$1:$CL$1,0)),"")</f>
        <v/>
      </c>
      <c r="F631" s="7" t="str">
        <f>IFERROR(INDEX('Master data'!$B$2:$CL$1000,MATCH($B631,'Master data'!$A$2:$A$1000,0),MATCH(F$1,'Master data'!$B$1:$CL$1,0)),"")</f>
        <v/>
      </c>
      <c r="G631" s="7" t="str">
        <f>IFERROR(INDEX('Master data'!$B$2:$CL$1000,MATCH($B631,'Master data'!$A$2:$A$1000,0),MATCH(G$1,'Master data'!$B$1:$CL$1,0)),"")</f>
        <v/>
      </c>
      <c r="H631" s="7" t="str">
        <f>IFERROR(INDEX('Master data'!$B$2:$CL$1000,MATCH($B631,'Master data'!$A$2:$A$1000,0),MATCH(H$1,'Master data'!$B$1:$CL$1,0)),"")</f>
        <v/>
      </c>
      <c r="I631" s="7" t="str">
        <f>IFERROR(INDEX('Master data'!$B$2:$CL$1000,MATCH($B631,'Master data'!$A$2:$A$1000,0),MATCH(I$1,'Master data'!$B$1:$CL$1,0)),"")</f>
        <v/>
      </c>
      <c r="J631" s="7" t="str">
        <f>IFERROR(INDEX('Master data'!$B$2:$CL$1000,MATCH($B631,'Master data'!$A$2:$A$1000,0),MATCH(J$1,'Master data'!$B$1:$CL$1,0)),"")</f>
        <v/>
      </c>
      <c r="K631" s="7" t="str">
        <f>IFERROR(INDEX('Master data'!$B$2:$CL$1000,MATCH($B631,'Master data'!$A$2:$A$1000,0),MATCH(K$1,'Master data'!$B$1:$CL$1,0)),"")</f>
        <v/>
      </c>
      <c r="L631" s="7" t="str">
        <f>IFERROR(INDEX('Master data'!$B$2:$CL$1000,MATCH($B631,'Master data'!$A$2:$A$1000,0),MATCH(L$1,'Master data'!$B$1:$CL$1,0)),"")</f>
        <v/>
      </c>
      <c r="M631" s="5" t="str">
        <f>IFERROR(INDEX('Master data'!$B$2:$CL$1000,MATCH($B631,'Master data'!$A$2:$A$1000,0),MATCH(M$1,'Master data'!$B$1:$CL$1,0)),"")</f>
        <v/>
      </c>
      <c r="N631" s="28" t="str">
        <f>IFERROR(INDEX('Master data'!$B$2:$CL$1000,MATCH($B631,'Master data'!$A$2:$A$1000,0),MATCH(N$1,'Master data'!$B$1:$CL$1,0)),"")</f>
        <v/>
      </c>
      <c r="O631" s="7" t="str">
        <f>IFERROR(INDEX('Master data'!$B$2:$CL$1000,MATCH($B631,'Master data'!$A$2:$A$1000,0),MATCH(O$1,'Master data'!$B$1:$CL$1,0)),"")</f>
        <v/>
      </c>
      <c r="P631" s="5" t="str">
        <f>IFERROR(INDEX('Master data'!$B$2:$CL$1000,MATCH($B631,'Master data'!$A$2:$A$1000,0),MATCH(P$1,'Master data'!$B$1:$CL$1,0)),"")</f>
        <v/>
      </c>
      <c r="Q631" s="5" t="str">
        <f>IFERROR(INDEX('Master data'!$B$2:$CL$1000,MATCH($B631,'Master data'!$A$2:$A$1000,0),MATCH(Q$1,'Master data'!$B$1:$CL$1,0)),"")</f>
        <v/>
      </c>
    </row>
    <row r="632" spans="1:17" hidden="1">
      <c r="A632" t="str">
        <f t="shared" si="9"/>
        <v/>
      </c>
      <c r="B632" t="str">
        <f>IF('Master data'!A632="","",'Master data'!A632)</f>
        <v/>
      </c>
      <c r="C632" t="str">
        <f>IFERROR(INDEX('Master data'!$B$2:$CL$1000,MATCH($B632,'Master data'!$A$2:$A$1000,0),MATCH(C$1,'Master data'!$B$1:$CL$1,0)),"")</f>
        <v/>
      </c>
      <c r="D632" t="str">
        <f>IFERROR(INDEX('Master data'!$B$2:$CL$1000,MATCH($B632,'Master data'!$A$2:$A$1000,0),MATCH(D$1,'Master data'!$B$1:$CL$1,0)),"")</f>
        <v/>
      </c>
      <c r="E632" s="5" t="str">
        <f>IFERROR(INDEX('Master data'!$B$2:$CL$1000,MATCH($B632,'Master data'!$A$2:$A$1000,0),MATCH(E$1,'Master data'!$B$1:$CL$1,0)),"")</f>
        <v/>
      </c>
      <c r="F632" s="7" t="str">
        <f>IFERROR(INDEX('Master data'!$B$2:$CL$1000,MATCH($B632,'Master data'!$A$2:$A$1000,0),MATCH(F$1,'Master data'!$B$1:$CL$1,0)),"")</f>
        <v/>
      </c>
      <c r="G632" s="7" t="str">
        <f>IFERROR(INDEX('Master data'!$B$2:$CL$1000,MATCH($B632,'Master data'!$A$2:$A$1000,0),MATCH(G$1,'Master data'!$B$1:$CL$1,0)),"")</f>
        <v/>
      </c>
      <c r="H632" s="7" t="str">
        <f>IFERROR(INDEX('Master data'!$B$2:$CL$1000,MATCH($B632,'Master data'!$A$2:$A$1000,0),MATCH(H$1,'Master data'!$B$1:$CL$1,0)),"")</f>
        <v/>
      </c>
      <c r="I632" s="7" t="str">
        <f>IFERROR(INDEX('Master data'!$B$2:$CL$1000,MATCH($B632,'Master data'!$A$2:$A$1000,0),MATCH(I$1,'Master data'!$B$1:$CL$1,0)),"")</f>
        <v/>
      </c>
      <c r="J632" s="7" t="str">
        <f>IFERROR(INDEX('Master data'!$B$2:$CL$1000,MATCH($B632,'Master data'!$A$2:$A$1000,0),MATCH(J$1,'Master data'!$B$1:$CL$1,0)),"")</f>
        <v/>
      </c>
      <c r="K632" s="7" t="str">
        <f>IFERROR(INDEX('Master data'!$B$2:$CL$1000,MATCH($B632,'Master data'!$A$2:$A$1000,0),MATCH(K$1,'Master data'!$B$1:$CL$1,0)),"")</f>
        <v/>
      </c>
      <c r="L632" s="7" t="str">
        <f>IFERROR(INDEX('Master data'!$B$2:$CL$1000,MATCH($B632,'Master data'!$A$2:$A$1000,0),MATCH(L$1,'Master data'!$B$1:$CL$1,0)),"")</f>
        <v/>
      </c>
      <c r="M632" s="5" t="str">
        <f>IFERROR(INDEX('Master data'!$B$2:$CL$1000,MATCH($B632,'Master data'!$A$2:$A$1000,0),MATCH(M$1,'Master data'!$B$1:$CL$1,0)),"")</f>
        <v/>
      </c>
      <c r="N632" s="28" t="str">
        <f>IFERROR(INDEX('Master data'!$B$2:$CL$1000,MATCH($B632,'Master data'!$A$2:$A$1000,0),MATCH(N$1,'Master data'!$B$1:$CL$1,0)),"")</f>
        <v/>
      </c>
      <c r="O632" s="7" t="str">
        <f>IFERROR(INDEX('Master data'!$B$2:$CL$1000,MATCH($B632,'Master data'!$A$2:$A$1000,0),MATCH(O$1,'Master data'!$B$1:$CL$1,0)),"")</f>
        <v/>
      </c>
      <c r="P632" s="5" t="str">
        <f>IFERROR(INDEX('Master data'!$B$2:$CL$1000,MATCH($B632,'Master data'!$A$2:$A$1000,0),MATCH(P$1,'Master data'!$B$1:$CL$1,0)),"")</f>
        <v/>
      </c>
      <c r="Q632" s="5" t="str">
        <f>IFERROR(INDEX('Master data'!$B$2:$CL$1000,MATCH($B632,'Master data'!$A$2:$A$1000,0),MATCH(Q$1,'Master data'!$B$1:$CL$1,0)),"")</f>
        <v/>
      </c>
    </row>
    <row r="633" spans="1:17" hidden="1">
      <c r="A633" t="str">
        <f t="shared" si="9"/>
        <v/>
      </c>
      <c r="B633" t="str">
        <f>IF('Master data'!A633="","",'Master data'!A633)</f>
        <v/>
      </c>
      <c r="C633" t="str">
        <f>IFERROR(INDEX('Master data'!$B$2:$CL$1000,MATCH($B633,'Master data'!$A$2:$A$1000,0),MATCH(C$1,'Master data'!$B$1:$CL$1,0)),"")</f>
        <v/>
      </c>
      <c r="D633" t="str">
        <f>IFERROR(INDEX('Master data'!$B$2:$CL$1000,MATCH($B633,'Master data'!$A$2:$A$1000,0),MATCH(D$1,'Master data'!$B$1:$CL$1,0)),"")</f>
        <v/>
      </c>
      <c r="E633" s="5" t="str">
        <f>IFERROR(INDEX('Master data'!$B$2:$CL$1000,MATCH($B633,'Master data'!$A$2:$A$1000,0),MATCH(E$1,'Master data'!$B$1:$CL$1,0)),"")</f>
        <v/>
      </c>
      <c r="F633" s="7" t="str">
        <f>IFERROR(INDEX('Master data'!$B$2:$CL$1000,MATCH($B633,'Master data'!$A$2:$A$1000,0),MATCH(F$1,'Master data'!$B$1:$CL$1,0)),"")</f>
        <v/>
      </c>
      <c r="G633" s="7" t="str">
        <f>IFERROR(INDEX('Master data'!$B$2:$CL$1000,MATCH($B633,'Master data'!$A$2:$A$1000,0),MATCH(G$1,'Master data'!$B$1:$CL$1,0)),"")</f>
        <v/>
      </c>
      <c r="H633" s="7" t="str">
        <f>IFERROR(INDEX('Master data'!$B$2:$CL$1000,MATCH($B633,'Master data'!$A$2:$A$1000,0),MATCH(H$1,'Master data'!$B$1:$CL$1,0)),"")</f>
        <v/>
      </c>
      <c r="I633" s="7" t="str">
        <f>IFERROR(INDEX('Master data'!$B$2:$CL$1000,MATCH($B633,'Master data'!$A$2:$A$1000,0),MATCH(I$1,'Master data'!$B$1:$CL$1,0)),"")</f>
        <v/>
      </c>
      <c r="J633" s="7" t="str">
        <f>IFERROR(INDEX('Master data'!$B$2:$CL$1000,MATCH($B633,'Master data'!$A$2:$A$1000,0),MATCH(J$1,'Master data'!$B$1:$CL$1,0)),"")</f>
        <v/>
      </c>
      <c r="K633" s="7" t="str">
        <f>IFERROR(INDEX('Master data'!$B$2:$CL$1000,MATCH($B633,'Master data'!$A$2:$A$1000,0),MATCH(K$1,'Master data'!$B$1:$CL$1,0)),"")</f>
        <v/>
      </c>
      <c r="L633" s="7" t="str">
        <f>IFERROR(INDEX('Master data'!$B$2:$CL$1000,MATCH($B633,'Master data'!$A$2:$A$1000,0),MATCH(L$1,'Master data'!$B$1:$CL$1,0)),"")</f>
        <v/>
      </c>
      <c r="M633" s="5" t="str">
        <f>IFERROR(INDEX('Master data'!$B$2:$CL$1000,MATCH($B633,'Master data'!$A$2:$A$1000,0),MATCH(M$1,'Master data'!$B$1:$CL$1,0)),"")</f>
        <v/>
      </c>
      <c r="N633" s="28" t="str">
        <f>IFERROR(INDEX('Master data'!$B$2:$CL$1000,MATCH($B633,'Master data'!$A$2:$A$1000,0),MATCH(N$1,'Master data'!$B$1:$CL$1,0)),"")</f>
        <v/>
      </c>
      <c r="O633" s="7" t="str">
        <f>IFERROR(INDEX('Master data'!$B$2:$CL$1000,MATCH($B633,'Master data'!$A$2:$A$1000,0),MATCH(O$1,'Master data'!$B$1:$CL$1,0)),"")</f>
        <v/>
      </c>
      <c r="P633" s="5" t="str">
        <f>IFERROR(INDEX('Master data'!$B$2:$CL$1000,MATCH($B633,'Master data'!$A$2:$A$1000,0),MATCH(P$1,'Master data'!$B$1:$CL$1,0)),"")</f>
        <v/>
      </c>
      <c r="Q633" s="5" t="str">
        <f>IFERROR(INDEX('Master data'!$B$2:$CL$1000,MATCH($B633,'Master data'!$A$2:$A$1000,0),MATCH(Q$1,'Master data'!$B$1:$CL$1,0)),"")</f>
        <v/>
      </c>
    </row>
    <row r="634" spans="1:17" hidden="1">
      <c r="A634" t="str">
        <f t="shared" si="9"/>
        <v/>
      </c>
      <c r="B634" t="str">
        <f>IF('Master data'!A634="","",'Master data'!A634)</f>
        <v/>
      </c>
      <c r="C634" t="str">
        <f>IFERROR(INDEX('Master data'!$B$2:$CL$1000,MATCH($B634,'Master data'!$A$2:$A$1000,0),MATCH(C$1,'Master data'!$B$1:$CL$1,0)),"")</f>
        <v/>
      </c>
      <c r="D634" t="str">
        <f>IFERROR(INDEX('Master data'!$B$2:$CL$1000,MATCH($B634,'Master data'!$A$2:$A$1000,0),MATCH(D$1,'Master data'!$B$1:$CL$1,0)),"")</f>
        <v/>
      </c>
      <c r="E634" s="5" t="str">
        <f>IFERROR(INDEX('Master data'!$B$2:$CL$1000,MATCH($B634,'Master data'!$A$2:$A$1000,0),MATCH(E$1,'Master data'!$B$1:$CL$1,0)),"")</f>
        <v/>
      </c>
      <c r="F634" s="7" t="str">
        <f>IFERROR(INDEX('Master data'!$B$2:$CL$1000,MATCH($B634,'Master data'!$A$2:$A$1000,0),MATCH(F$1,'Master data'!$B$1:$CL$1,0)),"")</f>
        <v/>
      </c>
      <c r="G634" s="7" t="str">
        <f>IFERROR(INDEX('Master data'!$B$2:$CL$1000,MATCH($B634,'Master data'!$A$2:$A$1000,0),MATCH(G$1,'Master data'!$B$1:$CL$1,0)),"")</f>
        <v/>
      </c>
      <c r="H634" s="7" t="str">
        <f>IFERROR(INDEX('Master data'!$B$2:$CL$1000,MATCH($B634,'Master data'!$A$2:$A$1000,0),MATCH(H$1,'Master data'!$B$1:$CL$1,0)),"")</f>
        <v/>
      </c>
      <c r="I634" s="7" t="str">
        <f>IFERROR(INDEX('Master data'!$B$2:$CL$1000,MATCH($B634,'Master data'!$A$2:$A$1000,0),MATCH(I$1,'Master data'!$B$1:$CL$1,0)),"")</f>
        <v/>
      </c>
      <c r="J634" s="7" t="str">
        <f>IFERROR(INDEX('Master data'!$B$2:$CL$1000,MATCH($B634,'Master data'!$A$2:$A$1000,0),MATCH(J$1,'Master data'!$B$1:$CL$1,0)),"")</f>
        <v/>
      </c>
      <c r="K634" s="7" t="str">
        <f>IFERROR(INDEX('Master data'!$B$2:$CL$1000,MATCH($B634,'Master data'!$A$2:$A$1000,0),MATCH(K$1,'Master data'!$B$1:$CL$1,0)),"")</f>
        <v/>
      </c>
      <c r="L634" s="7" t="str">
        <f>IFERROR(INDEX('Master data'!$B$2:$CL$1000,MATCH($B634,'Master data'!$A$2:$A$1000,0),MATCH(L$1,'Master data'!$B$1:$CL$1,0)),"")</f>
        <v/>
      </c>
      <c r="M634" s="5" t="str">
        <f>IFERROR(INDEX('Master data'!$B$2:$CL$1000,MATCH($B634,'Master data'!$A$2:$A$1000,0),MATCH(M$1,'Master data'!$B$1:$CL$1,0)),"")</f>
        <v/>
      </c>
      <c r="N634" s="28" t="str">
        <f>IFERROR(INDEX('Master data'!$B$2:$CL$1000,MATCH($B634,'Master data'!$A$2:$A$1000,0),MATCH(N$1,'Master data'!$B$1:$CL$1,0)),"")</f>
        <v/>
      </c>
      <c r="O634" s="7" t="str">
        <f>IFERROR(INDEX('Master data'!$B$2:$CL$1000,MATCH($B634,'Master data'!$A$2:$A$1000,0),MATCH(O$1,'Master data'!$B$1:$CL$1,0)),"")</f>
        <v/>
      </c>
      <c r="P634" s="5" t="str">
        <f>IFERROR(INDEX('Master data'!$B$2:$CL$1000,MATCH($B634,'Master data'!$A$2:$A$1000,0),MATCH(P$1,'Master data'!$B$1:$CL$1,0)),"")</f>
        <v/>
      </c>
      <c r="Q634" s="5" t="str">
        <f>IFERROR(INDEX('Master data'!$B$2:$CL$1000,MATCH($B634,'Master data'!$A$2:$A$1000,0),MATCH(Q$1,'Master data'!$B$1:$CL$1,0)),"")</f>
        <v/>
      </c>
    </row>
    <row r="635" spans="1:17" hidden="1">
      <c r="A635" t="str">
        <f t="shared" si="9"/>
        <v/>
      </c>
      <c r="B635" t="str">
        <f>IF('Master data'!A635="","",'Master data'!A635)</f>
        <v/>
      </c>
      <c r="C635" t="str">
        <f>IFERROR(INDEX('Master data'!$B$2:$CL$1000,MATCH($B635,'Master data'!$A$2:$A$1000,0),MATCH(C$1,'Master data'!$B$1:$CL$1,0)),"")</f>
        <v/>
      </c>
      <c r="D635" t="str">
        <f>IFERROR(INDEX('Master data'!$B$2:$CL$1000,MATCH($B635,'Master data'!$A$2:$A$1000,0),MATCH(D$1,'Master data'!$B$1:$CL$1,0)),"")</f>
        <v/>
      </c>
      <c r="E635" s="5" t="str">
        <f>IFERROR(INDEX('Master data'!$B$2:$CL$1000,MATCH($B635,'Master data'!$A$2:$A$1000,0),MATCH(E$1,'Master data'!$B$1:$CL$1,0)),"")</f>
        <v/>
      </c>
      <c r="F635" s="7" t="str">
        <f>IFERROR(INDEX('Master data'!$B$2:$CL$1000,MATCH($B635,'Master data'!$A$2:$A$1000,0),MATCH(F$1,'Master data'!$B$1:$CL$1,0)),"")</f>
        <v/>
      </c>
      <c r="G635" s="7" t="str">
        <f>IFERROR(INDEX('Master data'!$B$2:$CL$1000,MATCH($B635,'Master data'!$A$2:$A$1000,0),MATCH(G$1,'Master data'!$B$1:$CL$1,0)),"")</f>
        <v/>
      </c>
      <c r="H635" s="7" t="str">
        <f>IFERROR(INDEX('Master data'!$B$2:$CL$1000,MATCH($B635,'Master data'!$A$2:$A$1000,0),MATCH(H$1,'Master data'!$B$1:$CL$1,0)),"")</f>
        <v/>
      </c>
      <c r="I635" s="7" t="str">
        <f>IFERROR(INDEX('Master data'!$B$2:$CL$1000,MATCH($B635,'Master data'!$A$2:$A$1000,0),MATCH(I$1,'Master data'!$B$1:$CL$1,0)),"")</f>
        <v/>
      </c>
      <c r="J635" s="7" t="str">
        <f>IFERROR(INDEX('Master data'!$B$2:$CL$1000,MATCH($B635,'Master data'!$A$2:$A$1000,0),MATCH(J$1,'Master data'!$B$1:$CL$1,0)),"")</f>
        <v/>
      </c>
      <c r="K635" s="7" t="str">
        <f>IFERROR(INDEX('Master data'!$B$2:$CL$1000,MATCH($B635,'Master data'!$A$2:$A$1000,0),MATCH(K$1,'Master data'!$B$1:$CL$1,0)),"")</f>
        <v/>
      </c>
      <c r="L635" s="7" t="str">
        <f>IFERROR(INDEX('Master data'!$B$2:$CL$1000,MATCH($B635,'Master data'!$A$2:$A$1000,0),MATCH(L$1,'Master data'!$B$1:$CL$1,0)),"")</f>
        <v/>
      </c>
      <c r="M635" s="5" t="str">
        <f>IFERROR(INDEX('Master data'!$B$2:$CL$1000,MATCH($B635,'Master data'!$A$2:$A$1000,0),MATCH(M$1,'Master data'!$B$1:$CL$1,0)),"")</f>
        <v/>
      </c>
      <c r="N635" s="28" t="str">
        <f>IFERROR(INDEX('Master data'!$B$2:$CL$1000,MATCH($B635,'Master data'!$A$2:$A$1000,0),MATCH(N$1,'Master data'!$B$1:$CL$1,0)),"")</f>
        <v/>
      </c>
      <c r="O635" s="7" t="str">
        <f>IFERROR(INDEX('Master data'!$B$2:$CL$1000,MATCH($B635,'Master data'!$A$2:$A$1000,0),MATCH(O$1,'Master data'!$B$1:$CL$1,0)),"")</f>
        <v/>
      </c>
      <c r="P635" s="5" t="str">
        <f>IFERROR(INDEX('Master data'!$B$2:$CL$1000,MATCH($B635,'Master data'!$A$2:$A$1000,0),MATCH(P$1,'Master data'!$B$1:$CL$1,0)),"")</f>
        <v/>
      </c>
      <c r="Q635" s="5" t="str">
        <f>IFERROR(INDEX('Master data'!$B$2:$CL$1000,MATCH($B635,'Master data'!$A$2:$A$1000,0),MATCH(Q$1,'Master data'!$B$1:$CL$1,0)),"")</f>
        <v/>
      </c>
    </row>
    <row r="636" spans="1:17" hidden="1">
      <c r="A636" t="str">
        <f t="shared" si="9"/>
        <v/>
      </c>
      <c r="B636" t="str">
        <f>IF('Master data'!A636="","",'Master data'!A636)</f>
        <v/>
      </c>
      <c r="C636" t="str">
        <f>IFERROR(INDEX('Master data'!$B$2:$CL$1000,MATCH($B636,'Master data'!$A$2:$A$1000,0),MATCH(C$1,'Master data'!$B$1:$CL$1,0)),"")</f>
        <v/>
      </c>
      <c r="D636" t="str">
        <f>IFERROR(INDEX('Master data'!$B$2:$CL$1000,MATCH($B636,'Master data'!$A$2:$A$1000,0),MATCH(D$1,'Master data'!$B$1:$CL$1,0)),"")</f>
        <v/>
      </c>
      <c r="E636" s="5" t="str">
        <f>IFERROR(INDEX('Master data'!$B$2:$CL$1000,MATCH($B636,'Master data'!$A$2:$A$1000,0),MATCH(E$1,'Master data'!$B$1:$CL$1,0)),"")</f>
        <v/>
      </c>
      <c r="F636" s="7" t="str">
        <f>IFERROR(INDEX('Master data'!$B$2:$CL$1000,MATCH($B636,'Master data'!$A$2:$A$1000,0),MATCH(F$1,'Master data'!$B$1:$CL$1,0)),"")</f>
        <v/>
      </c>
      <c r="G636" s="7" t="str">
        <f>IFERROR(INDEX('Master data'!$B$2:$CL$1000,MATCH($B636,'Master data'!$A$2:$A$1000,0),MATCH(G$1,'Master data'!$B$1:$CL$1,0)),"")</f>
        <v/>
      </c>
      <c r="H636" s="7" t="str">
        <f>IFERROR(INDEX('Master data'!$B$2:$CL$1000,MATCH($B636,'Master data'!$A$2:$A$1000,0),MATCH(H$1,'Master data'!$B$1:$CL$1,0)),"")</f>
        <v/>
      </c>
      <c r="I636" s="7" t="str">
        <f>IFERROR(INDEX('Master data'!$B$2:$CL$1000,MATCH($B636,'Master data'!$A$2:$A$1000,0),MATCH(I$1,'Master data'!$B$1:$CL$1,0)),"")</f>
        <v/>
      </c>
      <c r="J636" s="7" t="str">
        <f>IFERROR(INDEX('Master data'!$B$2:$CL$1000,MATCH($B636,'Master data'!$A$2:$A$1000,0),MATCH(J$1,'Master data'!$B$1:$CL$1,0)),"")</f>
        <v/>
      </c>
      <c r="K636" s="7" t="str">
        <f>IFERROR(INDEX('Master data'!$B$2:$CL$1000,MATCH($B636,'Master data'!$A$2:$A$1000,0),MATCH(K$1,'Master data'!$B$1:$CL$1,0)),"")</f>
        <v/>
      </c>
      <c r="L636" s="7" t="str">
        <f>IFERROR(INDEX('Master data'!$B$2:$CL$1000,MATCH($B636,'Master data'!$A$2:$A$1000,0),MATCH(L$1,'Master data'!$B$1:$CL$1,0)),"")</f>
        <v/>
      </c>
      <c r="M636" s="5" t="str">
        <f>IFERROR(INDEX('Master data'!$B$2:$CL$1000,MATCH($B636,'Master data'!$A$2:$A$1000,0),MATCH(M$1,'Master data'!$B$1:$CL$1,0)),"")</f>
        <v/>
      </c>
      <c r="N636" s="28" t="str">
        <f>IFERROR(INDEX('Master data'!$B$2:$CL$1000,MATCH($B636,'Master data'!$A$2:$A$1000,0),MATCH(N$1,'Master data'!$B$1:$CL$1,0)),"")</f>
        <v/>
      </c>
      <c r="O636" s="7" t="str">
        <f>IFERROR(INDEX('Master data'!$B$2:$CL$1000,MATCH($B636,'Master data'!$A$2:$A$1000,0),MATCH(O$1,'Master data'!$B$1:$CL$1,0)),"")</f>
        <v/>
      </c>
      <c r="P636" s="5" t="str">
        <f>IFERROR(INDEX('Master data'!$B$2:$CL$1000,MATCH($B636,'Master data'!$A$2:$A$1000,0),MATCH(P$1,'Master data'!$B$1:$CL$1,0)),"")</f>
        <v/>
      </c>
      <c r="Q636" s="5" t="str">
        <f>IFERROR(INDEX('Master data'!$B$2:$CL$1000,MATCH($B636,'Master data'!$A$2:$A$1000,0),MATCH(Q$1,'Master data'!$B$1:$CL$1,0)),"")</f>
        <v/>
      </c>
    </row>
    <row r="637" spans="1:17" hidden="1">
      <c r="A637" t="str">
        <f t="shared" si="9"/>
        <v/>
      </c>
      <c r="B637" t="str">
        <f>IF('Master data'!A637="","",'Master data'!A637)</f>
        <v/>
      </c>
      <c r="C637" t="str">
        <f>IFERROR(INDEX('Master data'!$B$2:$CL$1000,MATCH($B637,'Master data'!$A$2:$A$1000,0),MATCH(C$1,'Master data'!$B$1:$CL$1,0)),"")</f>
        <v/>
      </c>
      <c r="D637" t="str">
        <f>IFERROR(INDEX('Master data'!$B$2:$CL$1000,MATCH($B637,'Master data'!$A$2:$A$1000,0),MATCH(D$1,'Master data'!$B$1:$CL$1,0)),"")</f>
        <v/>
      </c>
      <c r="E637" s="5" t="str">
        <f>IFERROR(INDEX('Master data'!$B$2:$CL$1000,MATCH($B637,'Master data'!$A$2:$A$1000,0),MATCH(E$1,'Master data'!$B$1:$CL$1,0)),"")</f>
        <v/>
      </c>
      <c r="F637" s="7" t="str">
        <f>IFERROR(INDEX('Master data'!$B$2:$CL$1000,MATCH($B637,'Master data'!$A$2:$A$1000,0),MATCH(F$1,'Master data'!$B$1:$CL$1,0)),"")</f>
        <v/>
      </c>
      <c r="G637" s="7" t="str">
        <f>IFERROR(INDEX('Master data'!$B$2:$CL$1000,MATCH($B637,'Master data'!$A$2:$A$1000,0),MATCH(G$1,'Master data'!$B$1:$CL$1,0)),"")</f>
        <v/>
      </c>
      <c r="H637" s="7" t="str">
        <f>IFERROR(INDEX('Master data'!$B$2:$CL$1000,MATCH($B637,'Master data'!$A$2:$A$1000,0),MATCH(H$1,'Master data'!$B$1:$CL$1,0)),"")</f>
        <v/>
      </c>
      <c r="I637" s="7" t="str">
        <f>IFERROR(INDEX('Master data'!$B$2:$CL$1000,MATCH($B637,'Master data'!$A$2:$A$1000,0),MATCH(I$1,'Master data'!$B$1:$CL$1,0)),"")</f>
        <v/>
      </c>
      <c r="J637" s="7" t="str">
        <f>IFERROR(INDEX('Master data'!$B$2:$CL$1000,MATCH($B637,'Master data'!$A$2:$A$1000,0),MATCH(J$1,'Master data'!$B$1:$CL$1,0)),"")</f>
        <v/>
      </c>
      <c r="K637" s="7" t="str">
        <f>IFERROR(INDEX('Master data'!$B$2:$CL$1000,MATCH($B637,'Master data'!$A$2:$A$1000,0),MATCH(K$1,'Master data'!$B$1:$CL$1,0)),"")</f>
        <v/>
      </c>
      <c r="L637" s="7" t="str">
        <f>IFERROR(INDEX('Master data'!$B$2:$CL$1000,MATCH($B637,'Master data'!$A$2:$A$1000,0),MATCH(L$1,'Master data'!$B$1:$CL$1,0)),"")</f>
        <v/>
      </c>
      <c r="M637" s="5" t="str">
        <f>IFERROR(INDEX('Master data'!$B$2:$CL$1000,MATCH($B637,'Master data'!$A$2:$A$1000,0),MATCH(M$1,'Master data'!$B$1:$CL$1,0)),"")</f>
        <v/>
      </c>
      <c r="N637" s="28" t="str">
        <f>IFERROR(INDEX('Master data'!$B$2:$CL$1000,MATCH($B637,'Master data'!$A$2:$A$1000,0),MATCH(N$1,'Master data'!$B$1:$CL$1,0)),"")</f>
        <v/>
      </c>
      <c r="O637" s="7" t="str">
        <f>IFERROR(INDEX('Master data'!$B$2:$CL$1000,MATCH($B637,'Master data'!$A$2:$A$1000,0),MATCH(O$1,'Master data'!$B$1:$CL$1,0)),"")</f>
        <v/>
      </c>
      <c r="P637" s="5" t="str">
        <f>IFERROR(INDEX('Master data'!$B$2:$CL$1000,MATCH($B637,'Master data'!$A$2:$A$1000,0),MATCH(P$1,'Master data'!$B$1:$CL$1,0)),"")</f>
        <v/>
      </c>
      <c r="Q637" s="5" t="str">
        <f>IFERROR(INDEX('Master data'!$B$2:$CL$1000,MATCH($B637,'Master data'!$A$2:$A$1000,0),MATCH(Q$1,'Master data'!$B$1:$CL$1,0)),"")</f>
        <v/>
      </c>
    </row>
    <row r="638" spans="1:17" hidden="1">
      <c r="A638" t="str">
        <f t="shared" si="9"/>
        <v/>
      </c>
      <c r="B638" t="str">
        <f>IF('Master data'!A638="","",'Master data'!A638)</f>
        <v/>
      </c>
      <c r="C638" t="str">
        <f>IFERROR(INDEX('Master data'!$B$2:$CL$1000,MATCH($B638,'Master data'!$A$2:$A$1000,0),MATCH(C$1,'Master data'!$B$1:$CL$1,0)),"")</f>
        <v/>
      </c>
      <c r="D638" t="str">
        <f>IFERROR(INDEX('Master data'!$B$2:$CL$1000,MATCH($B638,'Master data'!$A$2:$A$1000,0),MATCH(D$1,'Master data'!$B$1:$CL$1,0)),"")</f>
        <v/>
      </c>
      <c r="E638" s="5" t="str">
        <f>IFERROR(INDEX('Master data'!$B$2:$CL$1000,MATCH($B638,'Master data'!$A$2:$A$1000,0),MATCH(E$1,'Master data'!$B$1:$CL$1,0)),"")</f>
        <v/>
      </c>
      <c r="F638" s="7" t="str">
        <f>IFERROR(INDEX('Master data'!$B$2:$CL$1000,MATCH($B638,'Master data'!$A$2:$A$1000,0),MATCH(F$1,'Master data'!$B$1:$CL$1,0)),"")</f>
        <v/>
      </c>
      <c r="G638" s="7" t="str">
        <f>IFERROR(INDEX('Master data'!$B$2:$CL$1000,MATCH($B638,'Master data'!$A$2:$A$1000,0),MATCH(G$1,'Master data'!$B$1:$CL$1,0)),"")</f>
        <v/>
      </c>
      <c r="H638" s="7" t="str">
        <f>IFERROR(INDEX('Master data'!$B$2:$CL$1000,MATCH($B638,'Master data'!$A$2:$A$1000,0),MATCH(H$1,'Master data'!$B$1:$CL$1,0)),"")</f>
        <v/>
      </c>
      <c r="I638" s="7" t="str">
        <f>IFERROR(INDEX('Master data'!$B$2:$CL$1000,MATCH($B638,'Master data'!$A$2:$A$1000,0),MATCH(I$1,'Master data'!$B$1:$CL$1,0)),"")</f>
        <v/>
      </c>
      <c r="J638" s="7" t="str">
        <f>IFERROR(INDEX('Master data'!$B$2:$CL$1000,MATCH($B638,'Master data'!$A$2:$A$1000,0),MATCH(J$1,'Master data'!$B$1:$CL$1,0)),"")</f>
        <v/>
      </c>
      <c r="K638" s="7" t="str">
        <f>IFERROR(INDEX('Master data'!$B$2:$CL$1000,MATCH($B638,'Master data'!$A$2:$A$1000,0),MATCH(K$1,'Master data'!$B$1:$CL$1,0)),"")</f>
        <v/>
      </c>
      <c r="L638" s="7" t="str">
        <f>IFERROR(INDEX('Master data'!$B$2:$CL$1000,MATCH($B638,'Master data'!$A$2:$A$1000,0),MATCH(L$1,'Master data'!$B$1:$CL$1,0)),"")</f>
        <v/>
      </c>
      <c r="M638" s="5" t="str">
        <f>IFERROR(INDEX('Master data'!$B$2:$CL$1000,MATCH($B638,'Master data'!$A$2:$A$1000,0),MATCH(M$1,'Master data'!$B$1:$CL$1,0)),"")</f>
        <v/>
      </c>
      <c r="N638" s="28" t="str">
        <f>IFERROR(INDEX('Master data'!$B$2:$CL$1000,MATCH($B638,'Master data'!$A$2:$A$1000,0),MATCH(N$1,'Master data'!$B$1:$CL$1,0)),"")</f>
        <v/>
      </c>
      <c r="O638" s="7" t="str">
        <f>IFERROR(INDEX('Master data'!$B$2:$CL$1000,MATCH($B638,'Master data'!$A$2:$A$1000,0),MATCH(O$1,'Master data'!$B$1:$CL$1,0)),"")</f>
        <v/>
      </c>
      <c r="P638" s="5" t="str">
        <f>IFERROR(INDEX('Master data'!$B$2:$CL$1000,MATCH($B638,'Master data'!$A$2:$A$1000,0),MATCH(P$1,'Master data'!$B$1:$CL$1,0)),"")</f>
        <v/>
      </c>
      <c r="Q638" s="5" t="str">
        <f>IFERROR(INDEX('Master data'!$B$2:$CL$1000,MATCH($B638,'Master data'!$A$2:$A$1000,0),MATCH(Q$1,'Master data'!$B$1:$CL$1,0)),"")</f>
        <v/>
      </c>
    </row>
    <row r="639" spans="1:17" hidden="1">
      <c r="A639" t="str">
        <f t="shared" si="9"/>
        <v/>
      </c>
      <c r="B639" t="str">
        <f>IF('Master data'!A639="","",'Master data'!A639)</f>
        <v/>
      </c>
      <c r="C639" t="str">
        <f>IFERROR(INDEX('Master data'!$B$2:$CL$1000,MATCH($B639,'Master data'!$A$2:$A$1000,0),MATCH(C$1,'Master data'!$B$1:$CL$1,0)),"")</f>
        <v/>
      </c>
      <c r="D639" t="str">
        <f>IFERROR(INDEX('Master data'!$B$2:$CL$1000,MATCH($B639,'Master data'!$A$2:$A$1000,0),MATCH(D$1,'Master data'!$B$1:$CL$1,0)),"")</f>
        <v/>
      </c>
      <c r="E639" s="5" t="str">
        <f>IFERROR(INDEX('Master data'!$B$2:$CL$1000,MATCH($B639,'Master data'!$A$2:$A$1000,0),MATCH(E$1,'Master data'!$B$1:$CL$1,0)),"")</f>
        <v/>
      </c>
      <c r="F639" s="7" t="str">
        <f>IFERROR(INDEX('Master data'!$B$2:$CL$1000,MATCH($B639,'Master data'!$A$2:$A$1000,0),MATCH(F$1,'Master data'!$B$1:$CL$1,0)),"")</f>
        <v/>
      </c>
      <c r="G639" s="7" t="str">
        <f>IFERROR(INDEX('Master data'!$B$2:$CL$1000,MATCH($B639,'Master data'!$A$2:$A$1000,0),MATCH(G$1,'Master data'!$B$1:$CL$1,0)),"")</f>
        <v/>
      </c>
      <c r="H639" s="7" t="str">
        <f>IFERROR(INDEX('Master data'!$B$2:$CL$1000,MATCH($B639,'Master data'!$A$2:$A$1000,0),MATCH(H$1,'Master data'!$B$1:$CL$1,0)),"")</f>
        <v/>
      </c>
      <c r="I639" s="7" t="str">
        <f>IFERROR(INDEX('Master data'!$B$2:$CL$1000,MATCH($B639,'Master data'!$A$2:$A$1000,0),MATCH(I$1,'Master data'!$B$1:$CL$1,0)),"")</f>
        <v/>
      </c>
      <c r="J639" s="7" t="str">
        <f>IFERROR(INDEX('Master data'!$B$2:$CL$1000,MATCH($B639,'Master data'!$A$2:$A$1000,0),MATCH(J$1,'Master data'!$B$1:$CL$1,0)),"")</f>
        <v/>
      </c>
      <c r="K639" s="7" t="str">
        <f>IFERROR(INDEX('Master data'!$B$2:$CL$1000,MATCH($B639,'Master data'!$A$2:$A$1000,0),MATCH(K$1,'Master data'!$B$1:$CL$1,0)),"")</f>
        <v/>
      </c>
      <c r="L639" s="7" t="str">
        <f>IFERROR(INDEX('Master data'!$B$2:$CL$1000,MATCH($B639,'Master data'!$A$2:$A$1000,0),MATCH(L$1,'Master data'!$B$1:$CL$1,0)),"")</f>
        <v/>
      </c>
      <c r="M639" s="5" t="str">
        <f>IFERROR(INDEX('Master data'!$B$2:$CL$1000,MATCH($B639,'Master data'!$A$2:$A$1000,0),MATCH(M$1,'Master data'!$B$1:$CL$1,0)),"")</f>
        <v/>
      </c>
      <c r="N639" s="28" t="str">
        <f>IFERROR(INDEX('Master data'!$B$2:$CL$1000,MATCH($B639,'Master data'!$A$2:$A$1000,0),MATCH(N$1,'Master data'!$B$1:$CL$1,0)),"")</f>
        <v/>
      </c>
      <c r="O639" s="7" t="str">
        <f>IFERROR(INDEX('Master data'!$B$2:$CL$1000,MATCH($B639,'Master data'!$A$2:$A$1000,0),MATCH(O$1,'Master data'!$B$1:$CL$1,0)),"")</f>
        <v/>
      </c>
      <c r="P639" s="5" t="str">
        <f>IFERROR(INDEX('Master data'!$B$2:$CL$1000,MATCH($B639,'Master data'!$A$2:$A$1000,0),MATCH(P$1,'Master data'!$B$1:$CL$1,0)),"")</f>
        <v/>
      </c>
      <c r="Q639" s="5" t="str">
        <f>IFERROR(INDEX('Master data'!$B$2:$CL$1000,MATCH($B639,'Master data'!$A$2:$A$1000,0),MATCH(Q$1,'Master data'!$B$1:$CL$1,0)),"")</f>
        <v/>
      </c>
    </row>
    <row r="640" spans="1:17" hidden="1">
      <c r="A640" t="str">
        <f t="shared" si="9"/>
        <v/>
      </c>
      <c r="B640" t="str">
        <f>IF('Master data'!A640="","",'Master data'!A640)</f>
        <v/>
      </c>
      <c r="C640" t="str">
        <f>IFERROR(INDEX('Master data'!$B$2:$CL$1000,MATCH($B640,'Master data'!$A$2:$A$1000,0),MATCH(C$1,'Master data'!$B$1:$CL$1,0)),"")</f>
        <v/>
      </c>
      <c r="D640" t="str">
        <f>IFERROR(INDEX('Master data'!$B$2:$CL$1000,MATCH($B640,'Master data'!$A$2:$A$1000,0),MATCH(D$1,'Master data'!$B$1:$CL$1,0)),"")</f>
        <v/>
      </c>
      <c r="E640" s="5" t="str">
        <f>IFERROR(INDEX('Master data'!$B$2:$CL$1000,MATCH($B640,'Master data'!$A$2:$A$1000,0),MATCH(E$1,'Master data'!$B$1:$CL$1,0)),"")</f>
        <v/>
      </c>
      <c r="F640" s="7" t="str">
        <f>IFERROR(INDEX('Master data'!$B$2:$CL$1000,MATCH($B640,'Master data'!$A$2:$A$1000,0),MATCH(F$1,'Master data'!$B$1:$CL$1,0)),"")</f>
        <v/>
      </c>
      <c r="G640" s="7" t="str">
        <f>IFERROR(INDEX('Master data'!$B$2:$CL$1000,MATCH($B640,'Master data'!$A$2:$A$1000,0),MATCH(G$1,'Master data'!$B$1:$CL$1,0)),"")</f>
        <v/>
      </c>
      <c r="H640" s="7" t="str">
        <f>IFERROR(INDEX('Master data'!$B$2:$CL$1000,MATCH($B640,'Master data'!$A$2:$A$1000,0),MATCH(H$1,'Master data'!$B$1:$CL$1,0)),"")</f>
        <v/>
      </c>
      <c r="I640" s="7" t="str">
        <f>IFERROR(INDEX('Master data'!$B$2:$CL$1000,MATCH($B640,'Master data'!$A$2:$A$1000,0),MATCH(I$1,'Master data'!$B$1:$CL$1,0)),"")</f>
        <v/>
      </c>
      <c r="J640" s="7" t="str">
        <f>IFERROR(INDEX('Master data'!$B$2:$CL$1000,MATCH($B640,'Master data'!$A$2:$A$1000,0),MATCH(J$1,'Master data'!$B$1:$CL$1,0)),"")</f>
        <v/>
      </c>
      <c r="K640" s="7" t="str">
        <f>IFERROR(INDEX('Master data'!$B$2:$CL$1000,MATCH($B640,'Master data'!$A$2:$A$1000,0),MATCH(K$1,'Master data'!$B$1:$CL$1,0)),"")</f>
        <v/>
      </c>
      <c r="L640" s="7" t="str">
        <f>IFERROR(INDEX('Master data'!$B$2:$CL$1000,MATCH($B640,'Master data'!$A$2:$A$1000,0),MATCH(L$1,'Master data'!$B$1:$CL$1,0)),"")</f>
        <v/>
      </c>
      <c r="M640" s="5" t="str">
        <f>IFERROR(INDEX('Master data'!$B$2:$CL$1000,MATCH($B640,'Master data'!$A$2:$A$1000,0),MATCH(M$1,'Master data'!$B$1:$CL$1,0)),"")</f>
        <v/>
      </c>
      <c r="N640" s="28" t="str">
        <f>IFERROR(INDEX('Master data'!$B$2:$CL$1000,MATCH($B640,'Master data'!$A$2:$A$1000,0),MATCH(N$1,'Master data'!$B$1:$CL$1,0)),"")</f>
        <v/>
      </c>
      <c r="O640" s="7" t="str">
        <f>IFERROR(INDEX('Master data'!$B$2:$CL$1000,MATCH($B640,'Master data'!$A$2:$A$1000,0),MATCH(O$1,'Master data'!$B$1:$CL$1,0)),"")</f>
        <v/>
      </c>
      <c r="P640" s="5" t="str">
        <f>IFERROR(INDEX('Master data'!$B$2:$CL$1000,MATCH($B640,'Master data'!$A$2:$A$1000,0),MATCH(P$1,'Master data'!$B$1:$CL$1,0)),"")</f>
        <v/>
      </c>
      <c r="Q640" s="5" t="str">
        <f>IFERROR(INDEX('Master data'!$B$2:$CL$1000,MATCH($B640,'Master data'!$A$2:$A$1000,0),MATCH(Q$1,'Master data'!$B$1:$CL$1,0)),"")</f>
        <v/>
      </c>
    </row>
    <row r="641" spans="1:17" hidden="1">
      <c r="A641" t="str">
        <f t="shared" si="9"/>
        <v/>
      </c>
      <c r="B641" t="str">
        <f>IF('Master data'!A641="","",'Master data'!A641)</f>
        <v/>
      </c>
      <c r="C641" t="str">
        <f>IFERROR(INDEX('Master data'!$B$2:$CL$1000,MATCH($B641,'Master data'!$A$2:$A$1000,0),MATCH(C$1,'Master data'!$B$1:$CL$1,0)),"")</f>
        <v/>
      </c>
      <c r="D641" t="str">
        <f>IFERROR(INDEX('Master data'!$B$2:$CL$1000,MATCH($B641,'Master data'!$A$2:$A$1000,0),MATCH(D$1,'Master data'!$B$1:$CL$1,0)),"")</f>
        <v/>
      </c>
      <c r="E641" s="5" t="str">
        <f>IFERROR(INDEX('Master data'!$B$2:$CL$1000,MATCH($B641,'Master data'!$A$2:$A$1000,0),MATCH(E$1,'Master data'!$B$1:$CL$1,0)),"")</f>
        <v/>
      </c>
      <c r="F641" s="7" t="str">
        <f>IFERROR(INDEX('Master data'!$B$2:$CL$1000,MATCH($B641,'Master data'!$A$2:$A$1000,0),MATCH(F$1,'Master data'!$B$1:$CL$1,0)),"")</f>
        <v/>
      </c>
      <c r="G641" s="7" t="str">
        <f>IFERROR(INDEX('Master data'!$B$2:$CL$1000,MATCH($B641,'Master data'!$A$2:$A$1000,0),MATCH(G$1,'Master data'!$B$1:$CL$1,0)),"")</f>
        <v/>
      </c>
      <c r="H641" s="7" t="str">
        <f>IFERROR(INDEX('Master data'!$B$2:$CL$1000,MATCH($B641,'Master data'!$A$2:$A$1000,0),MATCH(H$1,'Master data'!$B$1:$CL$1,0)),"")</f>
        <v/>
      </c>
      <c r="I641" s="7" t="str">
        <f>IFERROR(INDEX('Master data'!$B$2:$CL$1000,MATCH($B641,'Master data'!$A$2:$A$1000,0),MATCH(I$1,'Master data'!$B$1:$CL$1,0)),"")</f>
        <v/>
      </c>
      <c r="J641" s="7" t="str">
        <f>IFERROR(INDEX('Master data'!$B$2:$CL$1000,MATCH($B641,'Master data'!$A$2:$A$1000,0),MATCH(J$1,'Master data'!$B$1:$CL$1,0)),"")</f>
        <v/>
      </c>
      <c r="K641" s="7" t="str">
        <f>IFERROR(INDEX('Master data'!$B$2:$CL$1000,MATCH($B641,'Master data'!$A$2:$A$1000,0),MATCH(K$1,'Master data'!$B$1:$CL$1,0)),"")</f>
        <v/>
      </c>
      <c r="L641" s="7" t="str">
        <f>IFERROR(INDEX('Master data'!$B$2:$CL$1000,MATCH($B641,'Master data'!$A$2:$A$1000,0),MATCH(L$1,'Master data'!$B$1:$CL$1,0)),"")</f>
        <v/>
      </c>
      <c r="M641" s="5" t="str">
        <f>IFERROR(INDEX('Master data'!$B$2:$CL$1000,MATCH($B641,'Master data'!$A$2:$A$1000,0),MATCH(M$1,'Master data'!$B$1:$CL$1,0)),"")</f>
        <v/>
      </c>
      <c r="N641" s="28" t="str">
        <f>IFERROR(INDEX('Master data'!$B$2:$CL$1000,MATCH($B641,'Master data'!$A$2:$A$1000,0),MATCH(N$1,'Master data'!$B$1:$CL$1,0)),"")</f>
        <v/>
      </c>
      <c r="O641" s="7" t="str">
        <f>IFERROR(INDEX('Master data'!$B$2:$CL$1000,MATCH($B641,'Master data'!$A$2:$A$1000,0),MATCH(O$1,'Master data'!$B$1:$CL$1,0)),"")</f>
        <v/>
      </c>
      <c r="P641" s="5" t="str">
        <f>IFERROR(INDEX('Master data'!$B$2:$CL$1000,MATCH($B641,'Master data'!$A$2:$A$1000,0),MATCH(P$1,'Master data'!$B$1:$CL$1,0)),"")</f>
        <v/>
      </c>
      <c r="Q641" s="5" t="str">
        <f>IFERROR(INDEX('Master data'!$B$2:$CL$1000,MATCH($B641,'Master data'!$A$2:$A$1000,0),MATCH(Q$1,'Master data'!$B$1:$CL$1,0)),"")</f>
        <v/>
      </c>
    </row>
    <row r="642" spans="1:17" hidden="1">
      <c r="A642" t="str">
        <f t="shared" si="9"/>
        <v/>
      </c>
      <c r="B642" t="str">
        <f>IF('Master data'!A642="","",'Master data'!A642)</f>
        <v/>
      </c>
      <c r="C642" t="str">
        <f>IFERROR(INDEX('Master data'!$B$2:$CL$1000,MATCH($B642,'Master data'!$A$2:$A$1000,0),MATCH(C$1,'Master data'!$B$1:$CL$1,0)),"")</f>
        <v/>
      </c>
      <c r="D642" t="str">
        <f>IFERROR(INDEX('Master data'!$B$2:$CL$1000,MATCH($B642,'Master data'!$A$2:$A$1000,0),MATCH(D$1,'Master data'!$B$1:$CL$1,0)),"")</f>
        <v/>
      </c>
      <c r="E642" s="5" t="str">
        <f>IFERROR(INDEX('Master data'!$B$2:$CL$1000,MATCH($B642,'Master data'!$A$2:$A$1000,0),MATCH(E$1,'Master data'!$B$1:$CL$1,0)),"")</f>
        <v/>
      </c>
      <c r="F642" s="7" t="str">
        <f>IFERROR(INDEX('Master data'!$B$2:$CL$1000,MATCH($B642,'Master data'!$A$2:$A$1000,0),MATCH(F$1,'Master data'!$B$1:$CL$1,0)),"")</f>
        <v/>
      </c>
      <c r="G642" s="7" t="str">
        <f>IFERROR(INDEX('Master data'!$B$2:$CL$1000,MATCH($B642,'Master data'!$A$2:$A$1000,0),MATCH(G$1,'Master data'!$B$1:$CL$1,0)),"")</f>
        <v/>
      </c>
      <c r="H642" s="7" t="str">
        <f>IFERROR(INDEX('Master data'!$B$2:$CL$1000,MATCH($B642,'Master data'!$A$2:$A$1000,0),MATCH(H$1,'Master data'!$B$1:$CL$1,0)),"")</f>
        <v/>
      </c>
      <c r="I642" s="7" t="str">
        <f>IFERROR(INDEX('Master data'!$B$2:$CL$1000,MATCH($B642,'Master data'!$A$2:$A$1000,0),MATCH(I$1,'Master data'!$B$1:$CL$1,0)),"")</f>
        <v/>
      </c>
      <c r="J642" s="7" t="str">
        <f>IFERROR(INDEX('Master data'!$B$2:$CL$1000,MATCH($B642,'Master data'!$A$2:$A$1000,0),MATCH(J$1,'Master data'!$B$1:$CL$1,0)),"")</f>
        <v/>
      </c>
      <c r="K642" s="7" t="str">
        <f>IFERROR(INDEX('Master data'!$B$2:$CL$1000,MATCH($B642,'Master data'!$A$2:$A$1000,0),MATCH(K$1,'Master data'!$B$1:$CL$1,0)),"")</f>
        <v/>
      </c>
      <c r="L642" s="7" t="str">
        <f>IFERROR(INDEX('Master data'!$B$2:$CL$1000,MATCH($B642,'Master data'!$A$2:$A$1000,0),MATCH(L$1,'Master data'!$B$1:$CL$1,0)),"")</f>
        <v/>
      </c>
      <c r="M642" s="5" t="str">
        <f>IFERROR(INDEX('Master data'!$B$2:$CL$1000,MATCH($B642,'Master data'!$A$2:$A$1000,0),MATCH(M$1,'Master data'!$B$1:$CL$1,0)),"")</f>
        <v/>
      </c>
      <c r="N642" s="28" t="str">
        <f>IFERROR(INDEX('Master data'!$B$2:$CL$1000,MATCH($B642,'Master data'!$A$2:$A$1000,0),MATCH(N$1,'Master data'!$B$1:$CL$1,0)),"")</f>
        <v/>
      </c>
      <c r="O642" s="7" t="str">
        <f>IFERROR(INDEX('Master data'!$B$2:$CL$1000,MATCH($B642,'Master data'!$A$2:$A$1000,0),MATCH(O$1,'Master data'!$B$1:$CL$1,0)),"")</f>
        <v/>
      </c>
      <c r="P642" s="5" t="str">
        <f>IFERROR(INDEX('Master data'!$B$2:$CL$1000,MATCH($B642,'Master data'!$A$2:$A$1000,0),MATCH(P$1,'Master data'!$B$1:$CL$1,0)),"")</f>
        <v/>
      </c>
      <c r="Q642" s="5" t="str">
        <f>IFERROR(INDEX('Master data'!$B$2:$CL$1000,MATCH($B642,'Master data'!$A$2:$A$1000,0),MATCH(Q$1,'Master data'!$B$1:$CL$1,0)),"")</f>
        <v/>
      </c>
    </row>
    <row r="643" spans="1:17" hidden="1">
      <c r="A643" t="str">
        <f t="shared" ref="A643:A706" si="10">IF(B643="","",ROW()-2)</f>
        <v/>
      </c>
      <c r="B643" t="str">
        <f>IF('Master data'!A643="","",'Master data'!A643)</f>
        <v/>
      </c>
      <c r="C643" t="str">
        <f>IFERROR(INDEX('Master data'!$B$2:$CL$1000,MATCH($B643,'Master data'!$A$2:$A$1000,0),MATCH(C$1,'Master data'!$B$1:$CL$1,0)),"")</f>
        <v/>
      </c>
      <c r="D643" t="str">
        <f>IFERROR(INDEX('Master data'!$B$2:$CL$1000,MATCH($B643,'Master data'!$A$2:$A$1000,0),MATCH(D$1,'Master data'!$B$1:$CL$1,0)),"")</f>
        <v/>
      </c>
      <c r="E643" s="5" t="str">
        <f>IFERROR(INDEX('Master data'!$B$2:$CL$1000,MATCH($B643,'Master data'!$A$2:$A$1000,0),MATCH(E$1,'Master data'!$B$1:$CL$1,0)),"")</f>
        <v/>
      </c>
      <c r="F643" s="7" t="str">
        <f>IFERROR(INDEX('Master data'!$B$2:$CL$1000,MATCH($B643,'Master data'!$A$2:$A$1000,0),MATCH(F$1,'Master data'!$B$1:$CL$1,0)),"")</f>
        <v/>
      </c>
      <c r="G643" s="7" t="str">
        <f>IFERROR(INDEX('Master data'!$B$2:$CL$1000,MATCH($B643,'Master data'!$A$2:$A$1000,0),MATCH(G$1,'Master data'!$B$1:$CL$1,0)),"")</f>
        <v/>
      </c>
      <c r="H643" s="7" t="str">
        <f>IFERROR(INDEX('Master data'!$B$2:$CL$1000,MATCH($B643,'Master data'!$A$2:$A$1000,0),MATCH(H$1,'Master data'!$B$1:$CL$1,0)),"")</f>
        <v/>
      </c>
      <c r="I643" s="7" t="str">
        <f>IFERROR(INDEX('Master data'!$B$2:$CL$1000,MATCH($B643,'Master data'!$A$2:$A$1000,0),MATCH(I$1,'Master data'!$B$1:$CL$1,0)),"")</f>
        <v/>
      </c>
      <c r="J643" s="7" t="str">
        <f>IFERROR(INDEX('Master data'!$B$2:$CL$1000,MATCH($B643,'Master data'!$A$2:$A$1000,0),MATCH(J$1,'Master data'!$B$1:$CL$1,0)),"")</f>
        <v/>
      </c>
      <c r="K643" s="7" t="str">
        <f>IFERROR(INDEX('Master data'!$B$2:$CL$1000,MATCH($B643,'Master data'!$A$2:$A$1000,0),MATCH(K$1,'Master data'!$B$1:$CL$1,0)),"")</f>
        <v/>
      </c>
      <c r="L643" s="7" t="str">
        <f>IFERROR(INDEX('Master data'!$B$2:$CL$1000,MATCH($B643,'Master data'!$A$2:$A$1000,0),MATCH(L$1,'Master data'!$B$1:$CL$1,0)),"")</f>
        <v/>
      </c>
      <c r="M643" s="5" t="str">
        <f>IFERROR(INDEX('Master data'!$B$2:$CL$1000,MATCH($B643,'Master data'!$A$2:$A$1000,0),MATCH(M$1,'Master data'!$B$1:$CL$1,0)),"")</f>
        <v/>
      </c>
      <c r="N643" s="28" t="str">
        <f>IFERROR(INDEX('Master data'!$B$2:$CL$1000,MATCH($B643,'Master data'!$A$2:$A$1000,0),MATCH(N$1,'Master data'!$B$1:$CL$1,0)),"")</f>
        <v/>
      </c>
      <c r="O643" s="7" t="str">
        <f>IFERROR(INDEX('Master data'!$B$2:$CL$1000,MATCH($B643,'Master data'!$A$2:$A$1000,0),MATCH(O$1,'Master data'!$B$1:$CL$1,0)),"")</f>
        <v/>
      </c>
      <c r="P643" s="5" t="str">
        <f>IFERROR(INDEX('Master data'!$B$2:$CL$1000,MATCH($B643,'Master data'!$A$2:$A$1000,0),MATCH(P$1,'Master data'!$B$1:$CL$1,0)),"")</f>
        <v/>
      </c>
      <c r="Q643" s="5" t="str">
        <f>IFERROR(INDEX('Master data'!$B$2:$CL$1000,MATCH($B643,'Master data'!$A$2:$A$1000,0),MATCH(Q$1,'Master data'!$B$1:$CL$1,0)),"")</f>
        <v/>
      </c>
    </row>
    <row r="644" spans="1:17" hidden="1">
      <c r="A644" t="str">
        <f t="shared" si="10"/>
        <v/>
      </c>
      <c r="B644" t="str">
        <f>IF('Master data'!A644="","",'Master data'!A644)</f>
        <v/>
      </c>
      <c r="C644" t="str">
        <f>IFERROR(INDEX('Master data'!$B$2:$CL$1000,MATCH($B644,'Master data'!$A$2:$A$1000,0),MATCH(C$1,'Master data'!$B$1:$CL$1,0)),"")</f>
        <v/>
      </c>
      <c r="D644" t="str">
        <f>IFERROR(INDEX('Master data'!$B$2:$CL$1000,MATCH($B644,'Master data'!$A$2:$A$1000,0),MATCH(D$1,'Master data'!$B$1:$CL$1,0)),"")</f>
        <v/>
      </c>
      <c r="E644" s="5" t="str">
        <f>IFERROR(INDEX('Master data'!$B$2:$CL$1000,MATCH($B644,'Master data'!$A$2:$A$1000,0),MATCH(E$1,'Master data'!$B$1:$CL$1,0)),"")</f>
        <v/>
      </c>
      <c r="F644" s="7" t="str">
        <f>IFERROR(INDEX('Master data'!$B$2:$CL$1000,MATCH($B644,'Master data'!$A$2:$A$1000,0),MATCH(F$1,'Master data'!$B$1:$CL$1,0)),"")</f>
        <v/>
      </c>
      <c r="G644" s="7" t="str">
        <f>IFERROR(INDEX('Master data'!$B$2:$CL$1000,MATCH($B644,'Master data'!$A$2:$A$1000,0),MATCH(G$1,'Master data'!$B$1:$CL$1,0)),"")</f>
        <v/>
      </c>
      <c r="H644" s="7" t="str">
        <f>IFERROR(INDEX('Master data'!$B$2:$CL$1000,MATCH($B644,'Master data'!$A$2:$A$1000,0),MATCH(H$1,'Master data'!$B$1:$CL$1,0)),"")</f>
        <v/>
      </c>
      <c r="I644" s="7" t="str">
        <f>IFERROR(INDEX('Master data'!$B$2:$CL$1000,MATCH($B644,'Master data'!$A$2:$A$1000,0),MATCH(I$1,'Master data'!$B$1:$CL$1,0)),"")</f>
        <v/>
      </c>
      <c r="J644" s="7" t="str">
        <f>IFERROR(INDEX('Master data'!$B$2:$CL$1000,MATCH($B644,'Master data'!$A$2:$A$1000,0),MATCH(J$1,'Master data'!$B$1:$CL$1,0)),"")</f>
        <v/>
      </c>
      <c r="K644" s="7" t="str">
        <f>IFERROR(INDEX('Master data'!$B$2:$CL$1000,MATCH($B644,'Master data'!$A$2:$A$1000,0),MATCH(K$1,'Master data'!$B$1:$CL$1,0)),"")</f>
        <v/>
      </c>
      <c r="L644" s="7" t="str">
        <f>IFERROR(INDEX('Master data'!$B$2:$CL$1000,MATCH($B644,'Master data'!$A$2:$A$1000,0),MATCH(L$1,'Master data'!$B$1:$CL$1,0)),"")</f>
        <v/>
      </c>
      <c r="M644" s="5" t="str">
        <f>IFERROR(INDEX('Master data'!$B$2:$CL$1000,MATCH($B644,'Master data'!$A$2:$A$1000,0),MATCH(M$1,'Master data'!$B$1:$CL$1,0)),"")</f>
        <v/>
      </c>
      <c r="N644" s="28" t="str">
        <f>IFERROR(INDEX('Master data'!$B$2:$CL$1000,MATCH($B644,'Master data'!$A$2:$A$1000,0),MATCH(N$1,'Master data'!$B$1:$CL$1,0)),"")</f>
        <v/>
      </c>
      <c r="O644" s="7" t="str">
        <f>IFERROR(INDEX('Master data'!$B$2:$CL$1000,MATCH($B644,'Master data'!$A$2:$A$1000,0),MATCH(O$1,'Master data'!$B$1:$CL$1,0)),"")</f>
        <v/>
      </c>
      <c r="P644" s="5" t="str">
        <f>IFERROR(INDEX('Master data'!$B$2:$CL$1000,MATCH($B644,'Master data'!$A$2:$A$1000,0),MATCH(P$1,'Master data'!$B$1:$CL$1,0)),"")</f>
        <v/>
      </c>
      <c r="Q644" s="5" t="str">
        <f>IFERROR(INDEX('Master data'!$B$2:$CL$1000,MATCH($B644,'Master data'!$A$2:$A$1000,0),MATCH(Q$1,'Master data'!$B$1:$CL$1,0)),"")</f>
        <v/>
      </c>
    </row>
    <row r="645" spans="1:17" hidden="1">
      <c r="A645" t="str">
        <f t="shared" si="10"/>
        <v/>
      </c>
      <c r="B645" t="str">
        <f>IF('Master data'!A645="","",'Master data'!A645)</f>
        <v/>
      </c>
      <c r="C645" t="str">
        <f>IFERROR(INDEX('Master data'!$B$2:$CL$1000,MATCH($B645,'Master data'!$A$2:$A$1000,0),MATCH(C$1,'Master data'!$B$1:$CL$1,0)),"")</f>
        <v/>
      </c>
      <c r="D645" t="str">
        <f>IFERROR(INDEX('Master data'!$B$2:$CL$1000,MATCH($B645,'Master data'!$A$2:$A$1000,0),MATCH(D$1,'Master data'!$B$1:$CL$1,0)),"")</f>
        <v/>
      </c>
      <c r="E645" s="5" t="str">
        <f>IFERROR(INDEX('Master data'!$B$2:$CL$1000,MATCH($B645,'Master data'!$A$2:$A$1000,0),MATCH(E$1,'Master data'!$B$1:$CL$1,0)),"")</f>
        <v/>
      </c>
      <c r="F645" s="7" t="str">
        <f>IFERROR(INDEX('Master data'!$B$2:$CL$1000,MATCH($B645,'Master data'!$A$2:$A$1000,0),MATCH(F$1,'Master data'!$B$1:$CL$1,0)),"")</f>
        <v/>
      </c>
      <c r="G645" s="7" t="str">
        <f>IFERROR(INDEX('Master data'!$B$2:$CL$1000,MATCH($B645,'Master data'!$A$2:$A$1000,0),MATCH(G$1,'Master data'!$B$1:$CL$1,0)),"")</f>
        <v/>
      </c>
      <c r="H645" s="7" t="str">
        <f>IFERROR(INDEX('Master data'!$B$2:$CL$1000,MATCH($B645,'Master data'!$A$2:$A$1000,0),MATCH(H$1,'Master data'!$B$1:$CL$1,0)),"")</f>
        <v/>
      </c>
      <c r="I645" s="7" t="str">
        <f>IFERROR(INDEX('Master data'!$B$2:$CL$1000,MATCH($B645,'Master data'!$A$2:$A$1000,0),MATCH(I$1,'Master data'!$B$1:$CL$1,0)),"")</f>
        <v/>
      </c>
      <c r="J645" s="7" t="str">
        <f>IFERROR(INDEX('Master data'!$B$2:$CL$1000,MATCH($B645,'Master data'!$A$2:$A$1000,0),MATCH(J$1,'Master data'!$B$1:$CL$1,0)),"")</f>
        <v/>
      </c>
      <c r="K645" s="7" t="str">
        <f>IFERROR(INDEX('Master data'!$B$2:$CL$1000,MATCH($B645,'Master data'!$A$2:$A$1000,0),MATCH(K$1,'Master data'!$B$1:$CL$1,0)),"")</f>
        <v/>
      </c>
      <c r="L645" s="7" t="str">
        <f>IFERROR(INDEX('Master data'!$B$2:$CL$1000,MATCH($B645,'Master data'!$A$2:$A$1000,0),MATCH(L$1,'Master data'!$B$1:$CL$1,0)),"")</f>
        <v/>
      </c>
      <c r="M645" s="5" t="str">
        <f>IFERROR(INDEX('Master data'!$B$2:$CL$1000,MATCH($B645,'Master data'!$A$2:$A$1000,0),MATCH(M$1,'Master data'!$B$1:$CL$1,0)),"")</f>
        <v/>
      </c>
      <c r="N645" s="28" t="str">
        <f>IFERROR(INDEX('Master data'!$B$2:$CL$1000,MATCH($B645,'Master data'!$A$2:$A$1000,0),MATCH(N$1,'Master data'!$B$1:$CL$1,0)),"")</f>
        <v/>
      </c>
      <c r="O645" s="7" t="str">
        <f>IFERROR(INDEX('Master data'!$B$2:$CL$1000,MATCH($B645,'Master data'!$A$2:$A$1000,0),MATCH(O$1,'Master data'!$B$1:$CL$1,0)),"")</f>
        <v/>
      </c>
      <c r="P645" s="5" t="str">
        <f>IFERROR(INDEX('Master data'!$B$2:$CL$1000,MATCH($B645,'Master data'!$A$2:$A$1000,0),MATCH(P$1,'Master data'!$B$1:$CL$1,0)),"")</f>
        <v/>
      </c>
      <c r="Q645" s="5" t="str">
        <f>IFERROR(INDEX('Master data'!$B$2:$CL$1000,MATCH($B645,'Master data'!$A$2:$A$1000,0),MATCH(Q$1,'Master data'!$B$1:$CL$1,0)),"")</f>
        <v/>
      </c>
    </row>
    <row r="646" spans="1:17" hidden="1">
      <c r="A646" t="str">
        <f t="shared" si="10"/>
        <v/>
      </c>
      <c r="B646" t="str">
        <f>IF('Master data'!A646="","",'Master data'!A646)</f>
        <v/>
      </c>
      <c r="C646" t="str">
        <f>IFERROR(INDEX('Master data'!$B$2:$CL$1000,MATCH($B646,'Master data'!$A$2:$A$1000,0),MATCH(C$1,'Master data'!$B$1:$CL$1,0)),"")</f>
        <v/>
      </c>
      <c r="D646" t="str">
        <f>IFERROR(INDEX('Master data'!$B$2:$CL$1000,MATCH($B646,'Master data'!$A$2:$A$1000,0),MATCH(D$1,'Master data'!$B$1:$CL$1,0)),"")</f>
        <v/>
      </c>
      <c r="E646" s="5" t="str">
        <f>IFERROR(INDEX('Master data'!$B$2:$CL$1000,MATCH($B646,'Master data'!$A$2:$A$1000,0),MATCH(E$1,'Master data'!$B$1:$CL$1,0)),"")</f>
        <v/>
      </c>
      <c r="F646" s="7" t="str">
        <f>IFERROR(INDEX('Master data'!$B$2:$CL$1000,MATCH($B646,'Master data'!$A$2:$A$1000,0),MATCH(F$1,'Master data'!$B$1:$CL$1,0)),"")</f>
        <v/>
      </c>
      <c r="G646" s="7" t="str">
        <f>IFERROR(INDEX('Master data'!$B$2:$CL$1000,MATCH($B646,'Master data'!$A$2:$A$1000,0),MATCH(G$1,'Master data'!$B$1:$CL$1,0)),"")</f>
        <v/>
      </c>
      <c r="H646" s="7" t="str">
        <f>IFERROR(INDEX('Master data'!$B$2:$CL$1000,MATCH($B646,'Master data'!$A$2:$A$1000,0),MATCH(H$1,'Master data'!$B$1:$CL$1,0)),"")</f>
        <v/>
      </c>
      <c r="I646" s="7" t="str">
        <f>IFERROR(INDEX('Master data'!$B$2:$CL$1000,MATCH($B646,'Master data'!$A$2:$A$1000,0),MATCH(I$1,'Master data'!$B$1:$CL$1,0)),"")</f>
        <v/>
      </c>
      <c r="J646" s="7" t="str">
        <f>IFERROR(INDEX('Master data'!$B$2:$CL$1000,MATCH($B646,'Master data'!$A$2:$A$1000,0),MATCH(J$1,'Master data'!$B$1:$CL$1,0)),"")</f>
        <v/>
      </c>
      <c r="K646" s="7" t="str">
        <f>IFERROR(INDEX('Master data'!$B$2:$CL$1000,MATCH($B646,'Master data'!$A$2:$A$1000,0),MATCH(K$1,'Master data'!$B$1:$CL$1,0)),"")</f>
        <v/>
      </c>
      <c r="L646" s="7" t="str">
        <f>IFERROR(INDEX('Master data'!$B$2:$CL$1000,MATCH($B646,'Master data'!$A$2:$A$1000,0),MATCH(L$1,'Master data'!$B$1:$CL$1,0)),"")</f>
        <v/>
      </c>
      <c r="M646" s="5" t="str">
        <f>IFERROR(INDEX('Master data'!$B$2:$CL$1000,MATCH($B646,'Master data'!$A$2:$A$1000,0),MATCH(M$1,'Master data'!$B$1:$CL$1,0)),"")</f>
        <v/>
      </c>
      <c r="N646" s="28" t="str">
        <f>IFERROR(INDEX('Master data'!$B$2:$CL$1000,MATCH($B646,'Master data'!$A$2:$A$1000,0),MATCH(N$1,'Master data'!$B$1:$CL$1,0)),"")</f>
        <v/>
      </c>
      <c r="O646" s="7" t="str">
        <f>IFERROR(INDEX('Master data'!$B$2:$CL$1000,MATCH($B646,'Master data'!$A$2:$A$1000,0),MATCH(O$1,'Master data'!$B$1:$CL$1,0)),"")</f>
        <v/>
      </c>
      <c r="P646" s="5" t="str">
        <f>IFERROR(INDEX('Master data'!$B$2:$CL$1000,MATCH($B646,'Master data'!$A$2:$A$1000,0),MATCH(P$1,'Master data'!$B$1:$CL$1,0)),"")</f>
        <v/>
      </c>
      <c r="Q646" s="5" t="str">
        <f>IFERROR(INDEX('Master data'!$B$2:$CL$1000,MATCH($B646,'Master data'!$A$2:$A$1000,0),MATCH(Q$1,'Master data'!$B$1:$CL$1,0)),"")</f>
        <v/>
      </c>
    </row>
    <row r="647" spans="1:17" hidden="1">
      <c r="A647" t="str">
        <f t="shared" si="10"/>
        <v/>
      </c>
      <c r="B647" t="str">
        <f>IF('Master data'!A647="","",'Master data'!A647)</f>
        <v/>
      </c>
      <c r="C647" t="str">
        <f>IFERROR(INDEX('Master data'!$B$2:$CL$1000,MATCH($B647,'Master data'!$A$2:$A$1000,0),MATCH(C$1,'Master data'!$B$1:$CL$1,0)),"")</f>
        <v/>
      </c>
      <c r="D647" t="str">
        <f>IFERROR(INDEX('Master data'!$B$2:$CL$1000,MATCH($B647,'Master data'!$A$2:$A$1000,0),MATCH(D$1,'Master data'!$B$1:$CL$1,0)),"")</f>
        <v/>
      </c>
      <c r="E647" s="5" t="str">
        <f>IFERROR(INDEX('Master data'!$B$2:$CL$1000,MATCH($B647,'Master data'!$A$2:$A$1000,0),MATCH(E$1,'Master data'!$B$1:$CL$1,0)),"")</f>
        <v/>
      </c>
      <c r="F647" s="7" t="str">
        <f>IFERROR(INDEX('Master data'!$B$2:$CL$1000,MATCH($B647,'Master data'!$A$2:$A$1000,0),MATCH(F$1,'Master data'!$B$1:$CL$1,0)),"")</f>
        <v/>
      </c>
      <c r="G647" s="7" t="str">
        <f>IFERROR(INDEX('Master data'!$B$2:$CL$1000,MATCH($B647,'Master data'!$A$2:$A$1000,0),MATCH(G$1,'Master data'!$B$1:$CL$1,0)),"")</f>
        <v/>
      </c>
      <c r="H647" s="7" t="str">
        <f>IFERROR(INDEX('Master data'!$B$2:$CL$1000,MATCH($B647,'Master data'!$A$2:$A$1000,0),MATCH(H$1,'Master data'!$B$1:$CL$1,0)),"")</f>
        <v/>
      </c>
      <c r="I647" s="7" t="str">
        <f>IFERROR(INDEX('Master data'!$B$2:$CL$1000,MATCH($B647,'Master data'!$A$2:$A$1000,0),MATCH(I$1,'Master data'!$B$1:$CL$1,0)),"")</f>
        <v/>
      </c>
      <c r="J647" s="7" t="str">
        <f>IFERROR(INDEX('Master data'!$B$2:$CL$1000,MATCH($B647,'Master data'!$A$2:$A$1000,0),MATCH(J$1,'Master data'!$B$1:$CL$1,0)),"")</f>
        <v/>
      </c>
      <c r="K647" s="7" t="str">
        <f>IFERROR(INDEX('Master data'!$B$2:$CL$1000,MATCH($B647,'Master data'!$A$2:$A$1000,0),MATCH(K$1,'Master data'!$B$1:$CL$1,0)),"")</f>
        <v/>
      </c>
      <c r="L647" s="7" t="str">
        <f>IFERROR(INDEX('Master data'!$B$2:$CL$1000,MATCH($B647,'Master data'!$A$2:$A$1000,0),MATCH(L$1,'Master data'!$B$1:$CL$1,0)),"")</f>
        <v/>
      </c>
      <c r="M647" s="5" t="str">
        <f>IFERROR(INDEX('Master data'!$B$2:$CL$1000,MATCH($B647,'Master data'!$A$2:$A$1000,0),MATCH(M$1,'Master data'!$B$1:$CL$1,0)),"")</f>
        <v/>
      </c>
      <c r="N647" s="28" t="str">
        <f>IFERROR(INDEX('Master data'!$B$2:$CL$1000,MATCH($B647,'Master data'!$A$2:$A$1000,0),MATCH(N$1,'Master data'!$B$1:$CL$1,0)),"")</f>
        <v/>
      </c>
      <c r="O647" s="7" t="str">
        <f>IFERROR(INDEX('Master data'!$B$2:$CL$1000,MATCH($B647,'Master data'!$A$2:$A$1000,0),MATCH(O$1,'Master data'!$B$1:$CL$1,0)),"")</f>
        <v/>
      </c>
      <c r="P647" s="5" t="str">
        <f>IFERROR(INDEX('Master data'!$B$2:$CL$1000,MATCH($B647,'Master data'!$A$2:$A$1000,0),MATCH(P$1,'Master data'!$B$1:$CL$1,0)),"")</f>
        <v/>
      </c>
      <c r="Q647" s="5" t="str">
        <f>IFERROR(INDEX('Master data'!$B$2:$CL$1000,MATCH($B647,'Master data'!$A$2:$A$1000,0),MATCH(Q$1,'Master data'!$B$1:$CL$1,0)),"")</f>
        <v/>
      </c>
    </row>
    <row r="648" spans="1:17" hidden="1">
      <c r="A648" t="str">
        <f t="shared" si="10"/>
        <v/>
      </c>
      <c r="B648" t="str">
        <f>IF('Master data'!A648="","",'Master data'!A648)</f>
        <v/>
      </c>
      <c r="C648" t="str">
        <f>IFERROR(INDEX('Master data'!$B$2:$CL$1000,MATCH($B648,'Master data'!$A$2:$A$1000,0),MATCH(C$1,'Master data'!$B$1:$CL$1,0)),"")</f>
        <v/>
      </c>
      <c r="D648" t="str">
        <f>IFERROR(INDEX('Master data'!$B$2:$CL$1000,MATCH($B648,'Master data'!$A$2:$A$1000,0),MATCH(D$1,'Master data'!$B$1:$CL$1,0)),"")</f>
        <v/>
      </c>
      <c r="E648" s="5" t="str">
        <f>IFERROR(INDEX('Master data'!$B$2:$CL$1000,MATCH($B648,'Master data'!$A$2:$A$1000,0),MATCH(E$1,'Master data'!$B$1:$CL$1,0)),"")</f>
        <v/>
      </c>
      <c r="F648" s="7" t="str">
        <f>IFERROR(INDEX('Master data'!$B$2:$CL$1000,MATCH($B648,'Master data'!$A$2:$A$1000,0),MATCH(F$1,'Master data'!$B$1:$CL$1,0)),"")</f>
        <v/>
      </c>
      <c r="G648" s="7" t="str">
        <f>IFERROR(INDEX('Master data'!$B$2:$CL$1000,MATCH($B648,'Master data'!$A$2:$A$1000,0),MATCH(G$1,'Master data'!$B$1:$CL$1,0)),"")</f>
        <v/>
      </c>
      <c r="H648" s="7" t="str">
        <f>IFERROR(INDEX('Master data'!$B$2:$CL$1000,MATCH($B648,'Master data'!$A$2:$A$1000,0),MATCH(H$1,'Master data'!$B$1:$CL$1,0)),"")</f>
        <v/>
      </c>
      <c r="I648" s="7" t="str">
        <f>IFERROR(INDEX('Master data'!$B$2:$CL$1000,MATCH($B648,'Master data'!$A$2:$A$1000,0),MATCH(I$1,'Master data'!$B$1:$CL$1,0)),"")</f>
        <v/>
      </c>
      <c r="J648" s="7" t="str">
        <f>IFERROR(INDEX('Master data'!$B$2:$CL$1000,MATCH($B648,'Master data'!$A$2:$A$1000,0),MATCH(J$1,'Master data'!$B$1:$CL$1,0)),"")</f>
        <v/>
      </c>
      <c r="K648" s="7" t="str">
        <f>IFERROR(INDEX('Master data'!$B$2:$CL$1000,MATCH($B648,'Master data'!$A$2:$A$1000,0),MATCH(K$1,'Master data'!$B$1:$CL$1,0)),"")</f>
        <v/>
      </c>
      <c r="L648" s="7" t="str">
        <f>IFERROR(INDEX('Master data'!$B$2:$CL$1000,MATCH($B648,'Master data'!$A$2:$A$1000,0),MATCH(L$1,'Master data'!$B$1:$CL$1,0)),"")</f>
        <v/>
      </c>
      <c r="M648" s="5" t="str">
        <f>IFERROR(INDEX('Master data'!$B$2:$CL$1000,MATCH($B648,'Master data'!$A$2:$A$1000,0),MATCH(M$1,'Master data'!$B$1:$CL$1,0)),"")</f>
        <v/>
      </c>
      <c r="N648" s="28" t="str">
        <f>IFERROR(INDEX('Master data'!$B$2:$CL$1000,MATCH($B648,'Master data'!$A$2:$A$1000,0),MATCH(N$1,'Master data'!$B$1:$CL$1,0)),"")</f>
        <v/>
      </c>
      <c r="O648" s="7" t="str">
        <f>IFERROR(INDEX('Master data'!$B$2:$CL$1000,MATCH($B648,'Master data'!$A$2:$A$1000,0),MATCH(O$1,'Master data'!$B$1:$CL$1,0)),"")</f>
        <v/>
      </c>
      <c r="P648" s="5" t="str">
        <f>IFERROR(INDEX('Master data'!$B$2:$CL$1000,MATCH($B648,'Master data'!$A$2:$A$1000,0),MATCH(P$1,'Master data'!$B$1:$CL$1,0)),"")</f>
        <v/>
      </c>
      <c r="Q648" s="5" t="str">
        <f>IFERROR(INDEX('Master data'!$B$2:$CL$1000,MATCH($B648,'Master data'!$A$2:$A$1000,0),MATCH(Q$1,'Master data'!$B$1:$CL$1,0)),"")</f>
        <v/>
      </c>
    </row>
    <row r="649" spans="1:17" hidden="1">
      <c r="A649" t="str">
        <f t="shared" si="10"/>
        <v/>
      </c>
      <c r="B649" t="str">
        <f>IF('Master data'!A649="","",'Master data'!A649)</f>
        <v/>
      </c>
      <c r="C649" t="str">
        <f>IFERROR(INDEX('Master data'!$B$2:$CL$1000,MATCH($B649,'Master data'!$A$2:$A$1000,0),MATCH(C$1,'Master data'!$B$1:$CL$1,0)),"")</f>
        <v/>
      </c>
      <c r="D649" t="str">
        <f>IFERROR(INDEX('Master data'!$B$2:$CL$1000,MATCH($B649,'Master data'!$A$2:$A$1000,0),MATCH(D$1,'Master data'!$B$1:$CL$1,0)),"")</f>
        <v/>
      </c>
      <c r="E649" s="5" t="str">
        <f>IFERROR(INDEX('Master data'!$B$2:$CL$1000,MATCH($B649,'Master data'!$A$2:$A$1000,0),MATCH(E$1,'Master data'!$B$1:$CL$1,0)),"")</f>
        <v/>
      </c>
      <c r="F649" s="7" t="str">
        <f>IFERROR(INDEX('Master data'!$B$2:$CL$1000,MATCH($B649,'Master data'!$A$2:$A$1000,0),MATCH(F$1,'Master data'!$B$1:$CL$1,0)),"")</f>
        <v/>
      </c>
      <c r="G649" s="7" t="str">
        <f>IFERROR(INDEX('Master data'!$B$2:$CL$1000,MATCH($B649,'Master data'!$A$2:$A$1000,0),MATCH(G$1,'Master data'!$B$1:$CL$1,0)),"")</f>
        <v/>
      </c>
      <c r="H649" s="7" t="str">
        <f>IFERROR(INDEX('Master data'!$B$2:$CL$1000,MATCH($B649,'Master data'!$A$2:$A$1000,0),MATCH(H$1,'Master data'!$B$1:$CL$1,0)),"")</f>
        <v/>
      </c>
      <c r="I649" s="7" t="str">
        <f>IFERROR(INDEX('Master data'!$B$2:$CL$1000,MATCH($B649,'Master data'!$A$2:$A$1000,0),MATCH(I$1,'Master data'!$B$1:$CL$1,0)),"")</f>
        <v/>
      </c>
      <c r="J649" s="7" t="str">
        <f>IFERROR(INDEX('Master data'!$B$2:$CL$1000,MATCH($B649,'Master data'!$A$2:$A$1000,0),MATCH(J$1,'Master data'!$B$1:$CL$1,0)),"")</f>
        <v/>
      </c>
      <c r="K649" s="7" t="str">
        <f>IFERROR(INDEX('Master data'!$B$2:$CL$1000,MATCH($B649,'Master data'!$A$2:$A$1000,0),MATCH(K$1,'Master data'!$B$1:$CL$1,0)),"")</f>
        <v/>
      </c>
      <c r="L649" s="7" t="str">
        <f>IFERROR(INDEX('Master data'!$B$2:$CL$1000,MATCH($B649,'Master data'!$A$2:$A$1000,0),MATCH(L$1,'Master data'!$B$1:$CL$1,0)),"")</f>
        <v/>
      </c>
      <c r="M649" s="5" t="str">
        <f>IFERROR(INDEX('Master data'!$B$2:$CL$1000,MATCH($B649,'Master data'!$A$2:$A$1000,0),MATCH(M$1,'Master data'!$B$1:$CL$1,0)),"")</f>
        <v/>
      </c>
      <c r="N649" s="28" t="str">
        <f>IFERROR(INDEX('Master data'!$B$2:$CL$1000,MATCH($B649,'Master data'!$A$2:$A$1000,0),MATCH(N$1,'Master data'!$B$1:$CL$1,0)),"")</f>
        <v/>
      </c>
      <c r="O649" s="7" t="str">
        <f>IFERROR(INDEX('Master data'!$B$2:$CL$1000,MATCH($B649,'Master data'!$A$2:$A$1000,0),MATCH(O$1,'Master data'!$B$1:$CL$1,0)),"")</f>
        <v/>
      </c>
      <c r="P649" s="5" t="str">
        <f>IFERROR(INDEX('Master data'!$B$2:$CL$1000,MATCH($B649,'Master data'!$A$2:$A$1000,0),MATCH(P$1,'Master data'!$B$1:$CL$1,0)),"")</f>
        <v/>
      </c>
      <c r="Q649" s="5" t="str">
        <f>IFERROR(INDEX('Master data'!$B$2:$CL$1000,MATCH($B649,'Master data'!$A$2:$A$1000,0),MATCH(Q$1,'Master data'!$B$1:$CL$1,0)),"")</f>
        <v/>
      </c>
    </row>
    <row r="650" spans="1:17" hidden="1">
      <c r="A650" t="str">
        <f t="shared" si="10"/>
        <v/>
      </c>
      <c r="B650" t="str">
        <f>IF('Master data'!A650="","",'Master data'!A650)</f>
        <v/>
      </c>
      <c r="C650" t="str">
        <f>IFERROR(INDEX('Master data'!$B$2:$CL$1000,MATCH($B650,'Master data'!$A$2:$A$1000,0),MATCH(C$1,'Master data'!$B$1:$CL$1,0)),"")</f>
        <v/>
      </c>
      <c r="D650" t="str">
        <f>IFERROR(INDEX('Master data'!$B$2:$CL$1000,MATCH($B650,'Master data'!$A$2:$A$1000,0),MATCH(D$1,'Master data'!$B$1:$CL$1,0)),"")</f>
        <v/>
      </c>
      <c r="E650" s="5" t="str">
        <f>IFERROR(INDEX('Master data'!$B$2:$CL$1000,MATCH($B650,'Master data'!$A$2:$A$1000,0),MATCH(E$1,'Master data'!$B$1:$CL$1,0)),"")</f>
        <v/>
      </c>
      <c r="F650" s="7" t="str">
        <f>IFERROR(INDEX('Master data'!$B$2:$CL$1000,MATCH($B650,'Master data'!$A$2:$A$1000,0),MATCH(F$1,'Master data'!$B$1:$CL$1,0)),"")</f>
        <v/>
      </c>
      <c r="G650" s="7" t="str">
        <f>IFERROR(INDEX('Master data'!$B$2:$CL$1000,MATCH($B650,'Master data'!$A$2:$A$1000,0),MATCH(G$1,'Master data'!$B$1:$CL$1,0)),"")</f>
        <v/>
      </c>
      <c r="H650" s="7" t="str">
        <f>IFERROR(INDEX('Master data'!$B$2:$CL$1000,MATCH($B650,'Master data'!$A$2:$A$1000,0),MATCH(H$1,'Master data'!$B$1:$CL$1,0)),"")</f>
        <v/>
      </c>
      <c r="I650" s="7" t="str">
        <f>IFERROR(INDEX('Master data'!$B$2:$CL$1000,MATCH($B650,'Master data'!$A$2:$A$1000,0),MATCH(I$1,'Master data'!$B$1:$CL$1,0)),"")</f>
        <v/>
      </c>
      <c r="J650" s="7" t="str">
        <f>IFERROR(INDEX('Master data'!$B$2:$CL$1000,MATCH($B650,'Master data'!$A$2:$A$1000,0),MATCH(J$1,'Master data'!$B$1:$CL$1,0)),"")</f>
        <v/>
      </c>
      <c r="K650" s="7" t="str">
        <f>IFERROR(INDEX('Master data'!$B$2:$CL$1000,MATCH($B650,'Master data'!$A$2:$A$1000,0),MATCH(K$1,'Master data'!$B$1:$CL$1,0)),"")</f>
        <v/>
      </c>
      <c r="L650" s="7" t="str">
        <f>IFERROR(INDEX('Master data'!$B$2:$CL$1000,MATCH($B650,'Master data'!$A$2:$A$1000,0),MATCH(L$1,'Master data'!$B$1:$CL$1,0)),"")</f>
        <v/>
      </c>
      <c r="M650" s="5" t="str">
        <f>IFERROR(INDEX('Master data'!$B$2:$CL$1000,MATCH($B650,'Master data'!$A$2:$A$1000,0),MATCH(M$1,'Master data'!$B$1:$CL$1,0)),"")</f>
        <v/>
      </c>
      <c r="N650" s="28" t="str">
        <f>IFERROR(INDEX('Master data'!$B$2:$CL$1000,MATCH($B650,'Master data'!$A$2:$A$1000,0),MATCH(N$1,'Master data'!$B$1:$CL$1,0)),"")</f>
        <v/>
      </c>
      <c r="O650" s="7" t="str">
        <f>IFERROR(INDEX('Master data'!$B$2:$CL$1000,MATCH($B650,'Master data'!$A$2:$A$1000,0),MATCH(O$1,'Master data'!$B$1:$CL$1,0)),"")</f>
        <v/>
      </c>
      <c r="P650" s="5" t="str">
        <f>IFERROR(INDEX('Master data'!$B$2:$CL$1000,MATCH($B650,'Master data'!$A$2:$A$1000,0),MATCH(P$1,'Master data'!$B$1:$CL$1,0)),"")</f>
        <v/>
      </c>
      <c r="Q650" s="5" t="str">
        <f>IFERROR(INDEX('Master data'!$B$2:$CL$1000,MATCH($B650,'Master data'!$A$2:$A$1000,0),MATCH(Q$1,'Master data'!$B$1:$CL$1,0)),"")</f>
        <v/>
      </c>
    </row>
    <row r="651" spans="1:17" hidden="1">
      <c r="A651" t="str">
        <f t="shared" si="10"/>
        <v/>
      </c>
      <c r="B651" t="str">
        <f>IF('Master data'!A651="","",'Master data'!A651)</f>
        <v/>
      </c>
      <c r="C651" t="str">
        <f>IFERROR(INDEX('Master data'!$B$2:$CL$1000,MATCH($B651,'Master data'!$A$2:$A$1000,0),MATCH(C$1,'Master data'!$B$1:$CL$1,0)),"")</f>
        <v/>
      </c>
      <c r="D651" t="str">
        <f>IFERROR(INDEX('Master data'!$B$2:$CL$1000,MATCH($B651,'Master data'!$A$2:$A$1000,0),MATCH(D$1,'Master data'!$B$1:$CL$1,0)),"")</f>
        <v/>
      </c>
      <c r="E651" s="5" t="str">
        <f>IFERROR(INDEX('Master data'!$B$2:$CL$1000,MATCH($B651,'Master data'!$A$2:$A$1000,0),MATCH(E$1,'Master data'!$B$1:$CL$1,0)),"")</f>
        <v/>
      </c>
      <c r="F651" s="7" t="str">
        <f>IFERROR(INDEX('Master data'!$B$2:$CL$1000,MATCH($B651,'Master data'!$A$2:$A$1000,0),MATCH(F$1,'Master data'!$B$1:$CL$1,0)),"")</f>
        <v/>
      </c>
      <c r="G651" s="7" t="str">
        <f>IFERROR(INDEX('Master data'!$B$2:$CL$1000,MATCH($B651,'Master data'!$A$2:$A$1000,0),MATCH(G$1,'Master data'!$B$1:$CL$1,0)),"")</f>
        <v/>
      </c>
      <c r="H651" s="7" t="str">
        <f>IFERROR(INDEX('Master data'!$B$2:$CL$1000,MATCH($B651,'Master data'!$A$2:$A$1000,0),MATCH(H$1,'Master data'!$B$1:$CL$1,0)),"")</f>
        <v/>
      </c>
      <c r="I651" s="7" t="str">
        <f>IFERROR(INDEX('Master data'!$B$2:$CL$1000,MATCH($B651,'Master data'!$A$2:$A$1000,0),MATCH(I$1,'Master data'!$B$1:$CL$1,0)),"")</f>
        <v/>
      </c>
      <c r="J651" s="7" t="str">
        <f>IFERROR(INDEX('Master data'!$B$2:$CL$1000,MATCH($B651,'Master data'!$A$2:$A$1000,0),MATCH(J$1,'Master data'!$B$1:$CL$1,0)),"")</f>
        <v/>
      </c>
      <c r="K651" s="7" t="str">
        <f>IFERROR(INDEX('Master data'!$B$2:$CL$1000,MATCH($B651,'Master data'!$A$2:$A$1000,0),MATCH(K$1,'Master data'!$B$1:$CL$1,0)),"")</f>
        <v/>
      </c>
      <c r="L651" s="7" t="str">
        <f>IFERROR(INDEX('Master data'!$B$2:$CL$1000,MATCH($B651,'Master data'!$A$2:$A$1000,0),MATCH(L$1,'Master data'!$B$1:$CL$1,0)),"")</f>
        <v/>
      </c>
      <c r="M651" s="5" t="str">
        <f>IFERROR(INDEX('Master data'!$B$2:$CL$1000,MATCH($B651,'Master data'!$A$2:$A$1000,0),MATCH(M$1,'Master data'!$B$1:$CL$1,0)),"")</f>
        <v/>
      </c>
      <c r="N651" s="28" t="str">
        <f>IFERROR(INDEX('Master data'!$B$2:$CL$1000,MATCH($B651,'Master data'!$A$2:$A$1000,0),MATCH(N$1,'Master data'!$B$1:$CL$1,0)),"")</f>
        <v/>
      </c>
      <c r="O651" s="7" t="str">
        <f>IFERROR(INDEX('Master data'!$B$2:$CL$1000,MATCH($B651,'Master data'!$A$2:$A$1000,0),MATCH(O$1,'Master data'!$B$1:$CL$1,0)),"")</f>
        <v/>
      </c>
      <c r="P651" s="5" t="str">
        <f>IFERROR(INDEX('Master data'!$B$2:$CL$1000,MATCH($B651,'Master data'!$A$2:$A$1000,0),MATCH(P$1,'Master data'!$B$1:$CL$1,0)),"")</f>
        <v/>
      </c>
      <c r="Q651" s="5" t="str">
        <f>IFERROR(INDEX('Master data'!$B$2:$CL$1000,MATCH($B651,'Master data'!$A$2:$A$1000,0),MATCH(Q$1,'Master data'!$B$1:$CL$1,0)),"")</f>
        <v/>
      </c>
    </row>
    <row r="652" spans="1:17" hidden="1">
      <c r="A652" t="str">
        <f t="shared" si="10"/>
        <v/>
      </c>
      <c r="B652" t="str">
        <f>IF('Master data'!A652="","",'Master data'!A652)</f>
        <v/>
      </c>
      <c r="C652" t="str">
        <f>IFERROR(INDEX('Master data'!$B$2:$CL$1000,MATCH($B652,'Master data'!$A$2:$A$1000,0),MATCH(C$1,'Master data'!$B$1:$CL$1,0)),"")</f>
        <v/>
      </c>
      <c r="D652" t="str">
        <f>IFERROR(INDEX('Master data'!$B$2:$CL$1000,MATCH($B652,'Master data'!$A$2:$A$1000,0),MATCH(D$1,'Master data'!$B$1:$CL$1,0)),"")</f>
        <v/>
      </c>
      <c r="E652" s="5" t="str">
        <f>IFERROR(INDEX('Master data'!$B$2:$CL$1000,MATCH($B652,'Master data'!$A$2:$A$1000,0),MATCH(E$1,'Master data'!$B$1:$CL$1,0)),"")</f>
        <v/>
      </c>
      <c r="F652" s="7" t="str">
        <f>IFERROR(INDEX('Master data'!$B$2:$CL$1000,MATCH($B652,'Master data'!$A$2:$A$1000,0),MATCH(F$1,'Master data'!$B$1:$CL$1,0)),"")</f>
        <v/>
      </c>
      <c r="G652" s="7" t="str">
        <f>IFERROR(INDEX('Master data'!$B$2:$CL$1000,MATCH($B652,'Master data'!$A$2:$A$1000,0),MATCH(G$1,'Master data'!$B$1:$CL$1,0)),"")</f>
        <v/>
      </c>
      <c r="H652" s="7" t="str">
        <f>IFERROR(INDEX('Master data'!$B$2:$CL$1000,MATCH($B652,'Master data'!$A$2:$A$1000,0),MATCH(H$1,'Master data'!$B$1:$CL$1,0)),"")</f>
        <v/>
      </c>
      <c r="I652" s="7" t="str">
        <f>IFERROR(INDEX('Master data'!$B$2:$CL$1000,MATCH($B652,'Master data'!$A$2:$A$1000,0),MATCH(I$1,'Master data'!$B$1:$CL$1,0)),"")</f>
        <v/>
      </c>
      <c r="J652" s="7" t="str">
        <f>IFERROR(INDEX('Master data'!$B$2:$CL$1000,MATCH($B652,'Master data'!$A$2:$A$1000,0),MATCH(J$1,'Master data'!$B$1:$CL$1,0)),"")</f>
        <v/>
      </c>
      <c r="K652" s="7" t="str">
        <f>IFERROR(INDEX('Master data'!$B$2:$CL$1000,MATCH($B652,'Master data'!$A$2:$A$1000,0),MATCH(K$1,'Master data'!$B$1:$CL$1,0)),"")</f>
        <v/>
      </c>
      <c r="L652" s="7" t="str">
        <f>IFERROR(INDEX('Master data'!$B$2:$CL$1000,MATCH($B652,'Master data'!$A$2:$A$1000,0),MATCH(L$1,'Master data'!$B$1:$CL$1,0)),"")</f>
        <v/>
      </c>
      <c r="M652" s="5" t="str">
        <f>IFERROR(INDEX('Master data'!$B$2:$CL$1000,MATCH($B652,'Master data'!$A$2:$A$1000,0),MATCH(M$1,'Master data'!$B$1:$CL$1,0)),"")</f>
        <v/>
      </c>
      <c r="N652" s="28" t="str">
        <f>IFERROR(INDEX('Master data'!$B$2:$CL$1000,MATCH($B652,'Master data'!$A$2:$A$1000,0),MATCH(N$1,'Master data'!$B$1:$CL$1,0)),"")</f>
        <v/>
      </c>
      <c r="O652" s="7" t="str">
        <f>IFERROR(INDEX('Master data'!$B$2:$CL$1000,MATCH($B652,'Master data'!$A$2:$A$1000,0),MATCH(O$1,'Master data'!$B$1:$CL$1,0)),"")</f>
        <v/>
      </c>
      <c r="P652" s="5" t="str">
        <f>IFERROR(INDEX('Master data'!$B$2:$CL$1000,MATCH($B652,'Master data'!$A$2:$A$1000,0),MATCH(P$1,'Master data'!$B$1:$CL$1,0)),"")</f>
        <v/>
      </c>
      <c r="Q652" s="5" t="str">
        <f>IFERROR(INDEX('Master data'!$B$2:$CL$1000,MATCH($B652,'Master data'!$A$2:$A$1000,0),MATCH(Q$1,'Master data'!$B$1:$CL$1,0)),"")</f>
        <v/>
      </c>
    </row>
    <row r="653" spans="1:17" hidden="1">
      <c r="A653" t="str">
        <f t="shared" si="10"/>
        <v/>
      </c>
      <c r="B653" t="str">
        <f>IF('Master data'!A653="","",'Master data'!A653)</f>
        <v/>
      </c>
      <c r="C653" t="str">
        <f>IFERROR(INDEX('Master data'!$B$2:$CL$1000,MATCH($B653,'Master data'!$A$2:$A$1000,0),MATCH(C$1,'Master data'!$B$1:$CL$1,0)),"")</f>
        <v/>
      </c>
      <c r="D653" t="str">
        <f>IFERROR(INDEX('Master data'!$B$2:$CL$1000,MATCH($B653,'Master data'!$A$2:$A$1000,0),MATCH(D$1,'Master data'!$B$1:$CL$1,0)),"")</f>
        <v/>
      </c>
      <c r="E653" s="5" t="str">
        <f>IFERROR(INDEX('Master data'!$B$2:$CL$1000,MATCH($B653,'Master data'!$A$2:$A$1000,0),MATCH(E$1,'Master data'!$B$1:$CL$1,0)),"")</f>
        <v/>
      </c>
      <c r="F653" s="7" t="str">
        <f>IFERROR(INDEX('Master data'!$B$2:$CL$1000,MATCH($B653,'Master data'!$A$2:$A$1000,0),MATCH(F$1,'Master data'!$B$1:$CL$1,0)),"")</f>
        <v/>
      </c>
      <c r="G653" s="7" t="str">
        <f>IFERROR(INDEX('Master data'!$B$2:$CL$1000,MATCH($B653,'Master data'!$A$2:$A$1000,0),MATCH(G$1,'Master data'!$B$1:$CL$1,0)),"")</f>
        <v/>
      </c>
      <c r="H653" s="7" t="str">
        <f>IFERROR(INDEX('Master data'!$B$2:$CL$1000,MATCH($B653,'Master data'!$A$2:$A$1000,0),MATCH(H$1,'Master data'!$B$1:$CL$1,0)),"")</f>
        <v/>
      </c>
      <c r="I653" s="7" t="str">
        <f>IFERROR(INDEX('Master data'!$B$2:$CL$1000,MATCH($B653,'Master data'!$A$2:$A$1000,0),MATCH(I$1,'Master data'!$B$1:$CL$1,0)),"")</f>
        <v/>
      </c>
      <c r="J653" s="7" t="str">
        <f>IFERROR(INDEX('Master data'!$B$2:$CL$1000,MATCH($B653,'Master data'!$A$2:$A$1000,0),MATCH(J$1,'Master data'!$B$1:$CL$1,0)),"")</f>
        <v/>
      </c>
      <c r="K653" s="7" t="str">
        <f>IFERROR(INDEX('Master data'!$B$2:$CL$1000,MATCH($B653,'Master data'!$A$2:$A$1000,0),MATCH(K$1,'Master data'!$B$1:$CL$1,0)),"")</f>
        <v/>
      </c>
      <c r="L653" s="7" t="str">
        <f>IFERROR(INDEX('Master data'!$B$2:$CL$1000,MATCH($B653,'Master data'!$A$2:$A$1000,0),MATCH(L$1,'Master data'!$B$1:$CL$1,0)),"")</f>
        <v/>
      </c>
      <c r="M653" s="5" t="str">
        <f>IFERROR(INDEX('Master data'!$B$2:$CL$1000,MATCH($B653,'Master data'!$A$2:$A$1000,0),MATCH(M$1,'Master data'!$B$1:$CL$1,0)),"")</f>
        <v/>
      </c>
      <c r="N653" s="28" t="str">
        <f>IFERROR(INDEX('Master data'!$B$2:$CL$1000,MATCH($B653,'Master data'!$A$2:$A$1000,0),MATCH(N$1,'Master data'!$B$1:$CL$1,0)),"")</f>
        <v/>
      </c>
      <c r="O653" s="7" t="str">
        <f>IFERROR(INDEX('Master data'!$B$2:$CL$1000,MATCH($B653,'Master data'!$A$2:$A$1000,0),MATCH(O$1,'Master data'!$B$1:$CL$1,0)),"")</f>
        <v/>
      </c>
      <c r="P653" s="5" t="str">
        <f>IFERROR(INDEX('Master data'!$B$2:$CL$1000,MATCH($B653,'Master data'!$A$2:$A$1000,0),MATCH(P$1,'Master data'!$B$1:$CL$1,0)),"")</f>
        <v/>
      </c>
      <c r="Q653" s="5" t="str">
        <f>IFERROR(INDEX('Master data'!$B$2:$CL$1000,MATCH($B653,'Master data'!$A$2:$A$1000,0),MATCH(Q$1,'Master data'!$B$1:$CL$1,0)),"")</f>
        <v/>
      </c>
    </row>
    <row r="654" spans="1:17" hidden="1">
      <c r="A654" t="str">
        <f t="shared" si="10"/>
        <v/>
      </c>
      <c r="B654" t="str">
        <f>IF('Master data'!A654="","",'Master data'!A654)</f>
        <v/>
      </c>
      <c r="C654" t="str">
        <f>IFERROR(INDEX('Master data'!$B$2:$CL$1000,MATCH($B654,'Master data'!$A$2:$A$1000,0),MATCH(C$1,'Master data'!$B$1:$CL$1,0)),"")</f>
        <v/>
      </c>
      <c r="D654" t="str">
        <f>IFERROR(INDEX('Master data'!$B$2:$CL$1000,MATCH($B654,'Master data'!$A$2:$A$1000,0),MATCH(D$1,'Master data'!$B$1:$CL$1,0)),"")</f>
        <v/>
      </c>
      <c r="E654" s="5" t="str">
        <f>IFERROR(INDEX('Master data'!$B$2:$CL$1000,MATCH($B654,'Master data'!$A$2:$A$1000,0),MATCH(E$1,'Master data'!$B$1:$CL$1,0)),"")</f>
        <v/>
      </c>
      <c r="F654" s="7" t="str">
        <f>IFERROR(INDEX('Master data'!$B$2:$CL$1000,MATCH($B654,'Master data'!$A$2:$A$1000,0),MATCH(F$1,'Master data'!$B$1:$CL$1,0)),"")</f>
        <v/>
      </c>
      <c r="G654" s="7" t="str">
        <f>IFERROR(INDEX('Master data'!$B$2:$CL$1000,MATCH($B654,'Master data'!$A$2:$A$1000,0),MATCH(G$1,'Master data'!$B$1:$CL$1,0)),"")</f>
        <v/>
      </c>
      <c r="H654" s="7" t="str">
        <f>IFERROR(INDEX('Master data'!$B$2:$CL$1000,MATCH($B654,'Master data'!$A$2:$A$1000,0),MATCH(H$1,'Master data'!$B$1:$CL$1,0)),"")</f>
        <v/>
      </c>
      <c r="I654" s="7" t="str">
        <f>IFERROR(INDEX('Master data'!$B$2:$CL$1000,MATCH($B654,'Master data'!$A$2:$A$1000,0),MATCH(I$1,'Master data'!$B$1:$CL$1,0)),"")</f>
        <v/>
      </c>
      <c r="J654" s="7" t="str">
        <f>IFERROR(INDEX('Master data'!$B$2:$CL$1000,MATCH($B654,'Master data'!$A$2:$A$1000,0),MATCH(J$1,'Master data'!$B$1:$CL$1,0)),"")</f>
        <v/>
      </c>
      <c r="K654" s="7" t="str">
        <f>IFERROR(INDEX('Master data'!$B$2:$CL$1000,MATCH($B654,'Master data'!$A$2:$A$1000,0),MATCH(K$1,'Master data'!$B$1:$CL$1,0)),"")</f>
        <v/>
      </c>
      <c r="L654" s="7" t="str">
        <f>IFERROR(INDEX('Master data'!$B$2:$CL$1000,MATCH($B654,'Master data'!$A$2:$A$1000,0),MATCH(L$1,'Master data'!$B$1:$CL$1,0)),"")</f>
        <v/>
      </c>
      <c r="M654" s="5" t="str">
        <f>IFERROR(INDEX('Master data'!$B$2:$CL$1000,MATCH($B654,'Master data'!$A$2:$A$1000,0),MATCH(M$1,'Master data'!$B$1:$CL$1,0)),"")</f>
        <v/>
      </c>
      <c r="N654" s="28" t="str">
        <f>IFERROR(INDEX('Master data'!$B$2:$CL$1000,MATCH($B654,'Master data'!$A$2:$A$1000,0),MATCH(N$1,'Master data'!$B$1:$CL$1,0)),"")</f>
        <v/>
      </c>
      <c r="O654" s="7" t="str">
        <f>IFERROR(INDEX('Master data'!$B$2:$CL$1000,MATCH($B654,'Master data'!$A$2:$A$1000,0),MATCH(O$1,'Master data'!$B$1:$CL$1,0)),"")</f>
        <v/>
      </c>
      <c r="P654" s="5" t="str">
        <f>IFERROR(INDEX('Master data'!$B$2:$CL$1000,MATCH($B654,'Master data'!$A$2:$A$1000,0),MATCH(P$1,'Master data'!$B$1:$CL$1,0)),"")</f>
        <v/>
      </c>
      <c r="Q654" s="5" t="str">
        <f>IFERROR(INDEX('Master data'!$B$2:$CL$1000,MATCH($B654,'Master data'!$A$2:$A$1000,0),MATCH(Q$1,'Master data'!$B$1:$CL$1,0)),"")</f>
        <v/>
      </c>
    </row>
    <row r="655" spans="1:17" hidden="1">
      <c r="A655" t="str">
        <f t="shared" si="10"/>
        <v/>
      </c>
      <c r="B655" t="str">
        <f>IF('Master data'!A655="","",'Master data'!A655)</f>
        <v/>
      </c>
      <c r="C655" t="str">
        <f>IFERROR(INDEX('Master data'!$B$2:$CL$1000,MATCH($B655,'Master data'!$A$2:$A$1000,0),MATCH(C$1,'Master data'!$B$1:$CL$1,0)),"")</f>
        <v/>
      </c>
      <c r="D655" t="str">
        <f>IFERROR(INDEX('Master data'!$B$2:$CL$1000,MATCH($B655,'Master data'!$A$2:$A$1000,0),MATCH(D$1,'Master data'!$B$1:$CL$1,0)),"")</f>
        <v/>
      </c>
      <c r="E655" s="5" t="str">
        <f>IFERROR(INDEX('Master data'!$B$2:$CL$1000,MATCH($B655,'Master data'!$A$2:$A$1000,0),MATCH(E$1,'Master data'!$B$1:$CL$1,0)),"")</f>
        <v/>
      </c>
      <c r="F655" s="7" t="str">
        <f>IFERROR(INDEX('Master data'!$B$2:$CL$1000,MATCH($B655,'Master data'!$A$2:$A$1000,0),MATCH(F$1,'Master data'!$B$1:$CL$1,0)),"")</f>
        <v/>
      </c>
      <c r="G655" s="7" t="str">
        <f>IFERROR(INDEX('Master data'!$B$2:$CL$1000,MATCH($B655,'Master data'!$A$2:$A$1000,0),MATCH(G$1,'Master data'!$B$1:$CL$1,0)),"")</f>
        <v/>
      </c>
      <c r="H655" s="7" t="str">
        <f>IFERROR(INDEX('Master data'!$B$2:$CL$1000,MATCH($B655,'Master data'!$A$2:$A$1000,0),MATCH(H$1,'Master data'!$B$1:$CL$1,0)),"")</f>
        <v/>
      </c>
      <c r="I655" s="7" t="str">
        <f>IFERROR(INDEX('Master data'!$B$2:$CL$1000,MATCH($B655,'Master data'!$A$2:$A$1000,0),MATCH(I$1,'Master data'!$B$1:$CL$1,0)),"")</f>
        <v/>
      </c>
      <c r="J655" s="7" t="str">
        <f>IFERROR(INDEX('Master data'!$B$2:$CL$1000,MATCH($B655,'Master data'!$A$2:$A$1000,0),MATCH(J$1,'Master data'!$B$1:$CL$1,0)),"")</f>
        <v/>
      </c>
      <c r="K655" s="7" t="str">
        <f>IFERROR(INDEX('Master data'!$B$2:$CL$1000,MATCH($B655,'Master data'!$A$2:$A$1000,0),MATCH(K$1,'Master data'!$B$1:$CL$1,0)),"")</f>
        <v/>
      </c>
      <c r="L655" s="7" t="str">
        <f>IFERROR(INDEX('Master data'!$B$2:$CL$1000,MATCH($B655,'Master data'!$A$2:$A$1000,0),MATCH(L$1,'Master data'!$B$1:$CL$1,0)),"")</f>
        <v/>
      </c>
      <c r="M655" s="5" t="str">
        <f>IFERROR(INDEX('Master data'!$B$2:$CL$1000,MATCH($B655,'Master data'!$A$2:$A$1000,0),MATCH(M$1,'Master data'!$B$1:$CL$1,0)),"")</f>
        <v/>
      </c>
      <c r="N655" s="28" t="str">
        <f>IFERROR(INDEX('Master data'!$B$2:$CL$1000,MATCH($B655,'Master data'!$A$2:$A$1000,0),MATCH(N$1,'Master data'!$B$1:$CL$1,0)),"")</f>
        <v/>
      </c>
      <c r="O655" s="7" t="str">
        <f>IFERROR(INDEX('Master data'!$B$2:$CL$1000,MATCH($B655,'Master data'!$A$2:$A$1000,0),MATCH(O$1,'Master data'!$B$1:$CL$1,0)),"")</f>
        <v/>
      </c>
      <c r="P655" s="5" t="str">
        <f>IFERROR(INDEX('Master data'!$B$2:$CL$1000,MATCH($B655,'Master data'!$A$2:$A$1000,0),MATCH(P$1,'Master data'!$B$1:$CL$1,0)),"")</f>
        <v/>
      </c>
      <c r="Q655" s="5" t="str">
        <f>IFERROR(INDEX('Master data'!$B$2:$CL$1000,MATCH($B655,'Master data'!$A$2:$A$1000,0),MATCH(Q$1,'Master data'!$B$1:$CL$1,0)),"")</f>
        <v/>
      </c>
    </row>
    <row r="656" spans="1:17" hidden="1">
      <c r="A656" t="str">
        <f t="shared" si="10"/>
        <v/>
      </c>
      <c r="B656" t="str">
        <f>IF('Master data'!A656="","",'Master data'!A656)</f>
        <v/>
      </c>
      <c r="C656" t="str">
        <f>IFERROR(INDEX('Master data'!$B$2:$CL$1000,MATCH($B656,'Master data'!$A$2:$A$1000,0),MATCH(C$1,'Master data'!$B$1:$CL$1,0)),"")</f>
        <v/>
      </c>
      <c r="D656" t="str">
        <f>IFERROR(INDEX('Master data'!$B$2:$CL$1000,MATCH($B656,'Master data'!$A$2:$A$1000,0),MATCH(D$1,'Master data'!$B$1:$CL$1,0)),"")</f>
        <v/>
      </c>
      <c r="E656" s="5" t="str">
        <f>IFERROR(INDEX('Master data'!$B$2:$CL$1000,MATCH($B656,'Master data'!$A$2:$A$1000,0),MATCH(E$1,'Master data'!$B$1:$CL$1,0)),"")</f>
        <v/>
      </c>
      <c r="F656" s="7" t="str">
        <f>IFERROR(INDEX('Master data'!$B$2:$CL$1000,MATCH($B656,'Master data'!$A$2:$A$1000,0),MATCH(F$1,'Master data'!$B$1:$CL$1,0)),"")</f>
        <v/>
      </c>
      <c r="G656" s="7" t="str">
        <f>IFERROR(INDEX('Master data'!$B$2:$CL$1000,MATCH($B656,'Master data'!$A$2:$A$1000,0),MATCH(G$1,'Master data'!$B$1:$CL$1,0)),"")</f>
        <v/>
      </c>
      <c r="H656" s="7" t="str">
        <f>IFERROR(INDEX('Master data'!$B$2:$CL$1000,MATCH($B656,'Master data'!$A$2:$A$1000,0),MATCH(H$1,'Master data'!$B$1:$CL$1,0)),"")</f>
        <v/>
      </c>
      <c r="I656" s="7" t="str">
        <f>IFERROR(INDEX('Master data'!$B$2:$CL$1000,MATCH($B656,'Master data'!$A$2:$A$1000,0),MATCH(I$1,'Master data'!$B$1:$CL$1,0)),"")</f>
        <v/>
      </c>
      <c r="J656" s="7" t="str">
        <f>IFERROR(INDEX('Master data'!$B$2:$CL$1000,MATCH($B656,'Master data'!$A$2:$A$1000,0),MATCH(J$1,'Master data'!$B$1:$CL$1,0)),"")</f>
        <v/>
      </c>
      <c r="K656" s="7" t="str">
        <f>IFERROR(INDEX('Master data'!$B$2:$CL$1000,MATCH($B656,'Master data'!$A$2:$A$1000,0),MATCH(K$1,'Master data'!$B$1:$CL$1,0)),"")</f>
        <v/>
      </c>
      <c r="L656" s="7" t="str">
        <f>IFERROR(INDEX('Master data'!$B$2:$CL$1000,MATCH($B656,'Master data'!$A$2:$A$1000,0),MATCH(L$1,'Master data'!$B$1:$CL$1,0)),"")</f>
        <v/>
      </c>
      <c r="M656" s="5" t="str">
        <f>IFERROR(INDEX('Master data'!$B$2:$CL$1000,MATCH($B656,'Master data'!$A$2:$A$1000,0),MATCH(M$1,'Master data'!$B$1:$CL$1,0)),"")</f>
        <v/>
      </c>
      <c r="N656" s="28" t="str">
        <f>IFERROR(INDEX('Master data'!$B$2:$CL$1000,MATCH($B656,'Master data'!$A$2:$A$1000,0),MATCH(N$1,'Master data'!$B$1:$CL$1,0)),"")</f>
        <v/>
      </c>
      <c r="O656" s="7" t="str">
        <f>IFERROR(INDEX('Master data'!$B$2:$CL$1000,MATCH($B656,'Master data'!$A$2:$A$1000,0),MATCH(O$1,'Master data'!$B$1:$CL$1,0)),"")</f>
        <v/>
      </c>
      <c r="P656" s="5" t="str">
        <f>IFERROR(INDEX('Master data'!$B$2:$CL$1000,MATCH($B656,'Master data'!$A$2:$A$1000,0),MATCH(P$1,'Master data'!$B$1:$CL$1,0)),"")</f>
        <v/>
      </c>
      <c r="Q656" s="5" t="str">
        <f>IFERROR(INDEX('Master data'!$B$2:$CL$1000,MATCH($B656,'Master data'!$A$2:$A$1000,0),MATCH(Q$1,'Master data'!$B$1:$CL$1,0)),"")</f>
        <v/>
      </c>
    </row>
    <row r="657" spans="1:17" hidden="1">
      <c r="A657" t="str">
        <f t="shared" si="10"/>
        <v/>
      </c>
      <c r="B657" t="str">
        <f>IF('Master data'!A657="","",'Master data'!A657)</f>
        <v/>
      </c>
      <c r="C657" t="str">
        <f>IFERROR(INDEX('Master data'!$B$2:$CL$1000,MATCH($B657,'Master data'!$A$2:$A$1000,0),MATCH(C$1,'Master data'!$B$1:$CL$1,0)),"")</f>
        <v/>
      </c>
      <c r="D657" t="str">
        <f>IFERROR(INDEX('Master data'!$B$2:$CL$1000,MATCH($B657,'Master data'!$A$2:$A$1000,0),MATCH(D$1,'Master data'!$B$1:$CL$1,0)),"")</f>
        <v/>
      </c>
      <c r="E657" s="5" t="str">
        <f>IFERROR(INDEX('Master data'!$B$2:$CL$1000,MATCH($B657,'Master data'!$A$2:$A$1000,0),MATCH(E$1,'Master data'!$B$1:$CL$1,0)),"")</f>
        <v/>
      </c>
      <c r="F657" s="7" t="str">
        <f>IFERROR(INDEX('Master data'!$B$2:$CL$1000,MATCH($B657,'Master data'!$A$2:$A$1000,0),MATCH(F$1,'Master data'!$B$1:$CL$1,0)),"")</f>
        <v/>
      </c>
      <c r="G657" s="7" t="str">
        <f>IFERROR(INDEX('Master data'!$B$2:$CL$1000,MATCH($B657,'Master data'!$A$2:$A$1000,0),MATCH(G$1,'Master data'!$B$1:$CL$1,0)),"")</f>
        <v/>
      </c>
      <c r="H657" s="7" t="str">
        <f>IFERROR(INDEX('Master data'!$B$2:$CL$1000,MATCH($B657,'Master data'!$A$2:$A$1000,0),MATCH(H$1,'Master data'!$B$1:$CL$1,0)),"")</f>
        <v/>
      </c>
      <c r="I657" s="7" t="str">
        <f>IFERROR(INDEX('Master data'!$B$2:$CL$1000,MATCH($B657,'Master data'!$A$2:$A$1000,0),MATCH(I$1,'Master data'!$B$1:$CL$1,0)),"")</f>
        <v/>
      </c>
      <c r="J657" s="7" t="str">
        <f>IFERROR(INDEX('Master data'!$B$2:$CL$1000,MATCH($B657,'Master data'!$A$2:$A$1000,0),MATCH(J$1,'Master data'!$B$1:$CL$1,0)),"")</f>
        <v/>
      </c>
      <c r="K657" s="7" t="str">
        <f>IFERROR(INDEX('Master data'!$B$2:$CL$1000,MATCH($B657,'Master data'!$A$2:$A$1000,0),MATCH(K$1,'Master data'!$B$1:$CL$1,0)),"")</f>
        <v/>
      </c>
      <c r="L657" s="7" t="str">
        <f>IFERROR(INDEX('Master data'!$B$2:$CL$1000,MATCH($B657,'Master data'!$A$2:$A$1000,0),MATCH(L$1,'Master data'!$B$1:$CL$1,0)),"")</f>
        <v/>
      </c>
      <c r="M657" s="5" t="str">
        <f>IFERROR(INDEX('Master data'!$B$2:$CL$1000,MATCH($B657,'Master data'!$A$2:$A$1000,0),MATCH(M$1,'Master data'!$B$1:$CL$1,0)),"")</f>
        <v/>
      </c>
      <c r="N657" s="28" t="str">
        <f>IFERROR(INDEX('Master data'!$B$2:$CL$1000,MATCH($B657,'Master data'!$A$2:$A$1000,0),MATCH(N$1,'Master data'!$B$1:$CL$1,0)),"")</f>
        <v/>
      </c>
      <c r="O657" s="7" t="str">
        <f>IFERROR(INDEX('Master data'!$B$2:$CL$1000,MATCH($B657,'Master data'!$A$2:$A$1000,0),MATCH(O$1,'Master data'!$B$1:$CL$1,0)),"")</f>
        <v/>
      </c>
      <c r="P657" s="5" t="str">
        <f>IFERROR(INDEX('Master data'!$B$2:$CL$1000,MATCH($B657,'Master data'!$A$2:$A$1000,0),MATCH(P$1,'Master data'!$B$1:$CL$1,0)),"")</f>
        <v/>
      </c>
      <c r="Q657" s="5" t="str">
        <f>IFERROR(INDEX('Master data'!$B$2:$CL$1000,MATCH($B657,'Master data'!$A$2:$A$1000,0),MATCH(Q$1,'Master data'!$B$1:$CL$1,0)),"")</f>
        <v/>
      </c>
    </row>
    <row r="658" spans="1:17" hidden="1">
      <c r="A658" t="str">
        <f t="shared" si="10"/>
        <v/>
      </c>
      <c r="B658" t="str">
        <f>IF('Master data'!A658="","",'Master data'!A658)</f>
        <v/>
      </c>
      <c r="C658" t="str">
        <f>IFERROR(INDEX('Master data'!$B$2:$CL$1000,MATCH($B658,'Master data'!$A$2:$A$1000,0),MATCH(C$1,'Master data'!$B$1:$CL$1,0)),"")</f>
        <v/>
      </c>
      <c r="D658" t="str">
        <f>IFERROR(INDEX('Master data'!$B$2:$CL$1000,MATCH($B658,'Master data'!$A$2:$A$1000,0),MATCH(D$1,'Master data'!$B$1:$CL$1,0)),"")</f>
        <v/>
      </c>
      <c r="E658" s="5" t="str">
        <f>IFERROR(INDEX('Master data'!$B$2:$CL$1000,MATCH($B658,'Master data'!$A$2:$A$1000,0),MATCH(E$1,'Master data'!$B$1:$CL$1,0)),"")</f>
        <v/>
      </c>
      <c r="F658" s="7" t="str">
        <f>IFERROR(INDEX('Master data'!$B$2:$CL$1000,MATCH($B658,'Master data'!$A$2:$A$1000,0),MATCH(F$1,'Master data'!$B$1:$CL$1,0)),"")</f>
        <v/>
      </c>
      <c r="G658" s="7" t="str">
        <f>IFERROR(INDEX('Master data'!$B$2:$CL$1000,MATCH($B658,'Master data'!$A$2:$A$1000,0),MATCH(G$1,'Master data'!$B$1:$CL$1,0)),"")</f>
        <v/>
      </c>
      <c r="H658" s="7" t="str">
        <f>IFERROR(INDEX('Master data'!$B$2:$CL$1000,MATCH($B658,'Master data'!$A$2:$A$1000,0),MATCH(H$1,'Master data'!$B$1:$CL$1,0)),"")</f>
        <v/>
      </c>
      <c r="I658" s="7" t="str">
        <f>IFERROR(INDEX('Master data'!$B$2:$CL$1000,MATCH($B658,'Master data'!$A$2:$A$1000,0),MATCH(I$1,'Master data'!$B$1:$CL$1,0)),"")</f>
        <v/>
      </c>
      <c r="J658" s="7" t="str">
        <f>IFERROR(INDEX('Master data'!$B$2:$CL$1000,MATCH($B658,'Master data'!$A$2:$A$1000,0),MATCH(J$1,'Master data'!$B$1:$CL$1,0)),"")</f>
        <v/>
      </c>
      <c r="K658" s="7" t="str">
        <f>IFERROR(INDEX('Master data'!$B$2:$CL$1000,MATCH($B658,'Master data'!$A$2:$A$1000,0),MATCH(K$1,'Master data'!$B$1:$CL$1,0)),"")</f>
        <v/>
      </c>
      <c r="L658" s="7" t="str">
        <f>IFERROR(INDEX('Master data'!$B$2:$CL$1000,MATCH($B658,'Master data'!$A$2:$A$1000,0),MATCH(L$1,'Master data'!$B$1:$CL$1,0)),"")</f>
        <v/>
      </c>
      <c r="M658" s="5" t="str">
        <f>IFERROR(INDEX('Master data'!$B$2:$CL$1000,MATCH($B658,'Master data'!$A$2:$A$1000,0),MATCH(M$1,'Master data'!$B$1:$CL$1,0)),"")</f>
        <v/>
      </c>
      <c r="N658" s="28" t="str">
        <f>IFERROR(INDEX('Master data'!$B$2:$CL$1000,MATCH($B658,'Master data'!$A$2:$A$1000,0),MATCH(N$1,'Master data'!$B$1:$CL$1,0)),"")</f>
        <v/>
      </c>
      <c r="O658" s="7" t="str">
        <f>IFERROR(INDEX('Master data'!$B$2:$CL$1000,MATCH($B658,'Master data'!$A$2:$A$1000,0),MATCH(O$1,'Master data'!$B$1:$CL$1,0)),"")</f>
        <v/>
      </c>
      <c r="P658" s="5" t="str">
        <f>IFERROR(INDEX('Master data'!$B$2:$CL$1000,MATCH($B658,'Master data'!$A$2:$A$1000,0),MATCH(P$1,'Master data'!$B$1:$CL$1,0)),"")</f>
        <v/>
      </c>
      <c r="Q658" s="5" t="str">
        <f>IFERROR(INDEX('Master data'!$B$2:$CL$1000,MATCH($B658,'Master data'!$A$2:$A$1000,0),MATCH(Q$1,'Master data'!$B$1:$CL$1,0)),"")</f>
        <v/>
      </c>
    </row>
    <row r="659" spans="1:17" hidden="1">
      <c r="A659" t="str">
        <f t="shared" si="10"/>
        <v/>
      </c>
      <c r="B659" t="str">
        <f>IF('Master data'!A659="","",'Master data'!A659)</f>
        <v/>
      </c>
      <c r="C659" t="str">
        <f>IFERROR(INDEX('Master data'!$B$2:$CL$1000,MATCH($B659,'Master data'!$A$2:$A$1000,0),MATCH(C$1,'Master data'!$B$1:$CL$1,0)),"")</f>
        <v/>
      </c>
      <c r="D659" t="str">
        <f>IFERROR(INDEX('Master data'!$B$2:$CL$1000,MATCH($B659,'Master data'!$A$2:$A$1000,0),MATCH(D$1,'Master data'!$B$1:$CL$1,0)),"")</f>
        <v/>
      </c>
      <c r="E659" s="5" t="str">
        <f>IFERROR(INDEX('Master data'!$B$2:$CL$1000,MATCH($B659,'Master data'!$A$2:$A$1000,0),MATCH(E$1,'Master data'!$B$1:$CL$1,0)),"")</f>
        <v/>
      </c>
      <c r="F659" s="7" t="str">
        <f>IFERROR(INDEX('Master data'!$B$2:$CL$1000,MATCH($B659,'Master data'!$A$2:$A$1000,0),MATCH(F$1,'Master data'!$B$1:$CL$1,0)),"")</f>
        <v/>
      </c>
      <c r="G659" s="7" t="str">
        <f>IFERROR(INDEX('Master data'!$B$2:$CL$1000,MATCH($B659,'Master data'!$A$2:$A$1000,0),MATCH(G$1,'Master data'!$B$1:$CL$1,0)),"")</f>
        <v/>
      </c>
      <c r="H659" s="7" t="str">
        <f>IFERROR(INDEX('Master data'!$B$2:$CL$1000,MATCH($B659,'Master data'!$A$2:$A$1000,0),MATCH(H$1,'Master data'!$B$1:$CL$1,0)),"")</f>
        <v/>
      </c>
      <c r="I659" s="7" t="str">
        <f>IFERROR(INDEX('Master data'!$B$2:$CL$1000,MATCH($B659,'Master data'!$A$2:$A$1000,0),MATCH(I$1,'Master data'!$B$1:$CL$1,0)),"")</f>
        <v/>
      </c>
      <c r="J659" s="7" t="str">
        <f>IFERROR(INDEX('Master data'!$B$2:$CL$1000,MATCH($B659,'Master data'!$A$2:$A$1000,0),MATCH(J$1,'Master data'!$B$1:$CL$1,0)),"")</f>
        <v/>
      </c>
      <c r="K659" s="7" t="str">
        <f>IFERROR(INDEX('Master data'!$B$2:$CL$1000,MATCH($B659,'Master data'!$A$2:$A$1000,0),MATCH(K$1,'Master data'!$B$1:$CL$1,0)),"")</f>
        <v/>
      </c>
      <c r="L659" s="7" t="str">
        <f>IFERROR(INDEX('Master data'!$B$2:$CL$1000,MATCH($B659,'Master data'!$A$2:$A$1000,0),MATCH(L$1,'Master data'!$B$1:$CL$1,0)),"")</f>
        <v/>
      </c>
      <c r="M659" s="5" t="str">
        <f>IFERROR(INDEX('Master data'!$B$2:$CL$1000,MATCH($B659,'Master data'!$A$2:$A$1000,0),MATCH(M$1,'Master data'!$B$1:$CL$1,0)),"")</f>
        <v/>
      </c>
      <c r="N659" s="28" t="str">
        <f>IFERROR(INDEX('Master data'!$B$2:$CL$1000,MATCH($B659,'Master data'!$A$2:$A$1000,0),MATCH(N$1,'Master data'!$B$1:$CL$1,0)),"")</f>
        <v/>
      </c>
      <c r="O659" s="7" t="str">
        <f>IFERROR(INDEX('Master data'!$B$2:$CL$1000,MATCH($B659,'Master data'!$A$2:$A$1000,0),MATCH(O$1,'Master data'!$B$1:$CL$1,0)),"")</f>
        <v/>
      </c>
      <c r="P659" s="5" t="str">
        <f>IFERROR(INDEX('Master data'!$B$2:$CL$1000,MATCH($B659,'Master data'!$A$2:$A$1000,0),MATCH(P$1,'Master data'!$B$1:$CL$1,0)),"")</f>
        <v/>
      </c>
      <c r="Q659" s="5" t="str">
        <f>IFERROR(INDEX('Master data'!$B$2:$CL$1000,MATCH($B659,'Master data'!$A$2:$A$1000,0),MATCH(Q$1,'Master data'!$B$1:$CL$1,0)),"")</f>
        <v/>
      </c>
    </row>
    <row r="660" spans="1:17" hidden="1">
      <c r="A660" t="str">
        <f t="shared" si="10"/>
        <v/>
      </c>
      <c r="B660" t="str">
        <f>IF('Master data'!A660="","",'Master data'!A660)</f>
        <v/>
      </c>
      <c r="C660" t="str">
        <f>IFERROR(INDEX('Master data'!$B$2:$CL$1000,MATCH($B660,'Master data'!$A$2:$A$1000,0),MATCH(C$1,'Master data'!$B$1:$CL$1,0)),"")</f>
        <v/>
      </c>
      <c r="D660" t="str">
        <f>IFERROR(INDEX('Master data'!$B$2:$CL$1000,MATCH($B660,'Master data'!$A$2:$A$1000,0),MATCH(D$1,'Master data'!$B$1:$CL$1,0)),"")</f>
        <v/>
      </c>
      <c r="E660" s="5" t="str">
        <f>IFERROR(INDEX('Master data'!$B$2:$CL$1000,MATCH($B660,'Master data'!$A$2:$A$1000,0),MATCH(E$1,'Master data'!$B$1:$CL$1,0)),"")</f>
        <v/>
      </c>
      <c r="F660" s="7" t="str">
        <f>IFERROR(INDEX('Master data'!$B$2:$CL$1000,MATCH($B660,'Master data'!$A$2:$A$1000,0),MATCH(F$1,'Master data'!$B$1:$CL$1,0)),"")</f>
        <v/>
      </c>
      <c r="G660" s="7" t="str">
        <f>IFERROR(INDEX('Master data'!$B$2:$CL$1000,MATCH($B660,'Master data'!$A$2:$A$1000,0),MATCH(G$1,'Master data'!$B$1:$CL$1,0)),"")</f>
        <v/>
      </c>
      <c r="H660" s="7" t="str">
        <f>IFERROR(INDEX('Master data'!$B$2:$CL$1000,MATCH($B660,'Master data'!$A$2:$A$1000,0),MATCH(H$1,'Master data'!$B$1:$CL$1,0)),"")</f>
        <v/>
      </c>
      <c r="I660" s="7" t="str">
        <f>IFERROR(INDEX('Master data'!$B$2:$CL$1000,MATCH($B660,'Master data'!$A$2:$A$1000,0),MATCH(I$1,'Master data'!$B$1:$CL$1,0)),"")</f>
        <v/>
      </c>
      <c r="J660" s="7" t="str">
        <f>IFERROR(INDEX('Master data'!$B$2:$CL$1000,MATCH($B660,'Master data'!$A$2:$A$1000,0),MATCH(J$1,'Master data'!$B$1:$CL$1,0)),"")</f>
        <v/>
      </c>
      <c r="K660" s="7" t="str">
        <f>IFERROR(INDEX('Master data'!$B$2:$CL$1000,MATCH($B660,'Master data'!$A$2:$A$1000,0),MATCH(K$1,'Master data'!$B$1:$CL$1,0)),"")</f>
        <v/>
      </c>
      <c r="L660" s="7" t="str">
        <f>IFERROR(INDEX('Master data'!$B$2:$CL$1000,MATCH($B660,'Master data'!$A$2:$A$1000,0),MATCH(L$1,'Master data'!$B$1:$CL$1,0)),"")</f>
        <v/>
      </c>
      <c r="M660" s="5" t="str">
        <f>IFERROR(INDEX('Master data'!$B$2:$CL$1000,MATCH($B660,'Master data'!$A$2:$A$1000,0),MATCH(M$1,'Master data'!$B$1:$CL$1,0)),"")</f>
        <v/>
      </c>
      <c r="N660" s="28" t="str">
        <f>IFERROR(INDEX('Master data'!$B$2:$CL$1000,MATCH($B660,'Master data'!$A$2:$A$1000,0),MATCH(N$1,'Master data'!$B$1:$CL$1,0)),"")</f>
        <v/>
      </c>
      <c r="O660" s="7" t="str">
        <f>IFERROR(INDEX('Master data'!$B$2:$CL$1000,MATCH($B660,'Master data'!$A$2:$A$1000,0),MATCH(O$1,'Master data'!$B$1:$CL$1,0)),"")</f>
        <v/>
      </c>
      <c r="P660" s="5" t="str">
        <f>IFERROR(INDEX('Master data'!$B$2:$CL$1000,MATCH($B660,'Master data'!$A$2:$A$1000,0),MATCH(P$1,'Master data'!$B$1:$CL$1,0)),"")</f>
        <v/>
      </c>
      <c r="Q660" s="5" t="str">
        <f>IFERROR(INDEX('Master data'!$B$2:$CL$1000,MATCH($B660,'Master data'!$A$2:$A$1000,0),MATCH(Q$1,'Master data'!$B$1:$CL$1,0)),"")</f>
        <v/>
      </c>
    </row>
    <row r="661" spans="1:17" hidden="1">
      <c r="A661" t="str">
        <f t="shared" si="10"/>
        <v/>
      </c>
      <c r="B661" t="str">
        <f>IF('Master data'!A661="","",'Master data'!A661)</f>
        <v/>
      </c>
      <c r="C661" t="str">
        <f>IFERROR(INDEX('Master data'!$B$2:$CL$1000,MATCH($B661,'Master data'!$A$2:$A$1000,0),MATCH(C$1,'Master data'!$B$1:$CL$1,0)),"")</f>
        <v/>
      </c>
      <c r="D661" t="str">
        <f>IFERROR(INDEX('Master data'!$B$2:$CL$1000,MATCH($B661,'Master data'!$A$2:$A$1000,0),MATCH(D$1,'Master data'!$B$1:$CL$1,0)),"")</f>
        <v/>
      </c>
      <c r="E661" s="5" t="str">
        <f>IFERROR(INDEX('Master data'!$B$2:$CL$1000,MATCH($B661,'Master data'!$A$2:$A$1000,0),MATCH(E$1,'Master data'!$B$1:$CL$1,0)),"")</f>
        <v/>
      </c>
      <c r="F661" s="7" t="str">
        <f>IFERROR(INDEX('Master data'!$B$2:$CL$1000,MATCH($B661,'Master data'!$A$2:$A$1000,0),MATCH(F$1,'Master data'!$B$1:$CL$1,0)),"")</f>
        <v/>
      </c>
      <c r="G661" s="7" t="str">
        <f>IFERROR(INDEX('Master data'!$B$2:$CL$1000,MATCH($B661,'Master data'!$A$2:$A$1000,0),MATCH(G$1,'Master data'!$B$1:$CL$1,0)),"")</f>
        <v/>
      </c>
      <c r="H661" s="7" t="str">
        <f>IFERROR(INDEX('Master data'!$B$2:$CL$1000,MATCH($B661,'Master data'!$A$2:$A$1000,0),MATCH(H$1,'Master data'!$B$1:$CL$1,0)),"")</f>
        <v/>
      </c>
      <c r="I661" s="7" t="str">
        <f>IFERROR(INDEX('Master data'!$B$2:$CL$1000,MATCH($B661,'Master data'!$A$2:$A$1000,0),MATCH(I$1,'Master data'!$B$1:$CL$1,0)),"")</f>
        <v/>
      </c>
      <c r="J661" s="7" t="str">
        <f>IFERROR(INDEX('Master data'!$B$2:$CL$1000,MATCH($B661,'Master data'!$A$2:$A$1000,0),MATCH(J$1,'Master data'!$B$1:$CL$1,0)),"")</f>
        <v/>
      </c>
      <c r="K661" s="7" t="str">
        <f>IFERROR(INDEX('Master data'!$B$2:$CL$1000,MATCH($B661,'Master data'!$A$2:$A$1000,0),MATCH(K$1,'Master data'!$B$1:$CL$1,0)),"")</f>
        <v/>
      </c>
      <c r="L661" s="7" t="str">
        <f>IFERROR(INDEX('Master data'!$B$2:$CL$1000,MATCH($B661,'Master data'!$A$2:$A$1000,0),MATCH(L$1,'Master data'!$B$1:$CL$1,0)),"")</f>
        <v/>
      </c>
      <c r="M661" s="5" t="str">
        <f>IFERROR(INDEX('Master data'!$B$2:$CL$1000,MATCH($B661,'Master data'!$A$2:$A$1000,0),MATCH(M$1,'Master data'!$B$1:$CL$1,0)),"")</f>
        <v/>
      </c>
      <c r="N661" s="28" t="str">
        <f>IFERROR(INDEX('Master data'!$B$2:$CL$1000,MATCH($B661,'Master data'!$A$2:$A$1000,0),MATCH(N$1,'Master data'!$B$1:$CL$1,0)),"")</f>
        <v/>
      </c>
      <c r="O661" s="7" t="str">
        <f>IFERROR(INDEX('Master data'!$B$2:$CL$1000,MATCH($B661,'Master data'!$A$2:$A$1000,0),MATCH(O$1,'Master data'!$B$1:$CL$1,0)),"")</f>
        <v/>
      </c>
      <c r="P661" s="5" t="str">
        <f>IFERROR(INDEX('Master data'!$B$2:$CL$1000,MATCH($B661,'Master data'!$A$2:$A$1000,0),MATCH(P$1,'Master data'!$B$1:$CL$1,0)),"")</f>
        <v/>
      </c>
      <c r="Q661" s="5" t="str">
        <f>IFERROR(INDEX('Master data'!$B$2:$CL$1000,MATCH($B661,'Master data'!$A$2:$A$1000,0),MATCH(Q$1,'Master data'!$B$1:$CL$1,0)),"")</f>
        <v/>
      </c>
    </row>
    <row r="662" spans="1:17" hidden="1">
      <c r="A662" t="str">
        <f t="shared" si="10"/>
        <v/>
      </c>
      <c r="B662" t="str">
        <f>IF('Master data'!A662="","",'Master data'!A662)</f>
        <v/>
      </c>
      <c r="C662" t="str">
        <f>IFERROR(INDEX('Master data'!$B$2:$CL$1000,MATCH($B662,'Master data'!$A$2:$A$1000,0),MATCH(C$1,'Master data'!$B$1:$CL$1,0)),"")</f>
        <v/>
      </c>
      <c r="D662" t="str">
        <f>IFERROR(INDEX('Master data'!$B$2:$CL$1000,MATCH($B662,'Master data'!$A$2:$A$1000,0),MATCH(D$1,'Master data'!$B$1:$CL$1,0)),"")</f>
        <v/>
      </c>
      <c r="E662" s="5" t="str">
        <f>IFERROR(INDEX('Master data'!$B$2:$CL$1000,MATCH($B662,'Master data'!$A$2:$A$1000,0),MATCH(E$1,'Master data'!$B$1:$CL$1,0)),"")</f>
        <v/>
      </c>
      <c r="F662" s="7" t="str">
        <f>IFERROR(INDEX('Master data'!$B$2:$CL$1000,MATCH($B662,'Master data'!$A$2:$A$1000,0),MATCH(F$1,'Master data'!$B$1:$CL$1,0)),"")</f>
        <v/>
      </c>
      <c r="G662" s="7" t="str">
        <f>IFERROR(INDEX('Master data'!$B$2:$CL$1000,MATCH($B662,'Master data'!$A$2:$A$1000,0),MATCH(G$1,'Master data'!$B$1:$CL$1,0)),"")</f>
        <v/>
      </c>
      <c r="H662" s="7" t="str">
        <f>IFERROR(INDEX('Master data'!$B$2:$CL$1000,MATCH($B662,'Master data'!$A$2:$A$1000,0),MATCH(H$1,'Master data'!$B$1:$CL$1,0)),"")</f>
        <v/>
      </c>
      <c r="I662" s="7" t="str">
        <f>IFERROR(INDEX('Master data'!$B$2:$CL$1000,MATCH($B662,'Master data'!$A$2:$A$1000,0),MATCH(I$1,'Master data'!$B$1:$CL$1,0)),"")</f>
        <v/>
      </c>
      <c r="J662" s="7" t="str">
        <f>IFERROR(INDEX('Master data'!$B$2:$CL$1000,MATCH($B662,'Master data'!$A$2:$A$1000,0),MATCH(J$1,'Master data'!$B$1:$CL$1,0)),"")</f>
        <v/>
      </c>
      <c r="K662" s="7" t="str">
        <f>IFERROR(INDEX('Master data'!$B$2:$CL$1000,MATCH($B662,'Master data'!$A$2:$A$1000,0),MATCH(K$1,'Master data'!$B$1:$CL$1,0)),"")</f>
        <v/>
      </c>
      <c r="L662" s="7" t="str">
        <f>IFERROR(INDEX('Master data'!$B$2:$CL$1000,MATCH($B662,'Master data'!$A$2:$A$1000,0),MATCH(L$1,'Master data'!$B$1:$CL$1,0)),"")</f>
        <v/>
      </c>
      <c r="M662" s="5" t="str">
        <f>IFERROR(INDEX('Master data'!$B$2:$CL$1000,MATCH($B662,'Master data'!$A$2:$A$1000,0),MATCH(M$1,'Master data'!$B$1:$CL$1,0)),"")</f>
        <v/>
      </c>
      <c r="N662" s="28" t="str">
        <f>IFERROR(INDEX('Master data'!$B$2:$CL$1000,MATCH($B662,'Master data'!$A$2:$A$1000,0),MATCH(N$1,'Master data'!$B$1:$CL$1,0)),"")</f>
        <v/>
      </c>
      <c r="O662" s="7" t="str">
        <f>IFERROR(INDEX('Master data'!$B$2:$CL$1000,MATCH($B662,'Master data'!$A$2:$A$1000,0),MATCH(O$1,'Master data'!$B$1:$CL$1,0)),"")</f>
        <v/>
      </c>
      <c r="P662" s="5" t="str">
        <f>IFERROR(INDEX('Master data'!$B$2:$CL$1000,MATCH($B662,'Master data'!$A$2:$A$1000,0),MATCH(P$1,'Master data'!$B$1:$CL$1,0)),"")</f>
        <v/>
      </c>
      <c r="Q662" s="5" t="str">
        <f>IFERROR(INDEX('Master data'!$B$2:$CL$1000,MATCH($B662,'Master data'!$A$2:$A$1000,0),MATCH(Q$1,'Master data'!$B$1:$CL$1,0)),"")</f>
        <v/>
      </c>
    </row>
    <row r="663" spans="1:17" hidden="1">
      <c r="A663" t="str">
        <f t="shared" si="10"/>
        <v/>
      </c>
      <c r="B663" t="str">
        <f>IF('Master data'!A663="","",'Master data'!A663)</f>
        <v/>
      </c>
      <c r="C663" t="str">
        <f>IFERROR(INDEX('Master data'!$B$2:$CL$1000,MATCH($B663,'Master data'!$A$2:$A$1000,0),MATCH(C$1,'Master data'!$B$1:$CL$1,0)),"")</f>
        <v/>
      </c>
      <c r="D663" t="str">
        <f>IFERROR(INDEX('Master data'!$B$2:$CL$1000,MATCH($B663,'Master data'!$A$2:$A$1000,0),MATCH(D$1,'Master data'!$B$1:$CL$1,0)),"")</f>
        <v/>
      </c>
      <c r="E663" s="5" t="str">
        <f>IFERROR(INDEX('Master data'!$B$2:$CL$1000,MATCH($B663,'Master data'!$A$2:$A$1000,0),MATCH(E$1,'Master data'!$B$1:$CL$1,0)),"")</f>
        <v/>
      </c>
      <c r="F663" s="7" t="str">
        <f>IFERROR(INDEX('Master data'!$B$2:$CL$1000,MATCH($B663,'Master data'!$A$2:$A$1000,0),MATCH(F$1,'Master data'!$B$1:$CL$1,0)),"")</f>
        <v/>
      </c>
      <c r="G663" s="7" t="str">
        <f>IFERROR(INDEX('Master data'!$B$2:$CL$1000,MATCH($B663,'Master data'!$A$2:$A$1000,0),MATCH(G$1,'Master data'!$B$1:$CL$1,0)),"")</f>
        <v/>
      </c>
      <c r="H663" s="7" t="str">
        <f>IFERROR(INDEX('Master data'!$B$2:$CL$1000,MATCH($B663,'Master data'!$A$2:$A$1000,0),MATCH(H$1,'Master data'!$B$1:$CL$1,0)),"")</f>
        <v/>
      </c>
      <c r="I663" s="7" t="str">
        <f>IFERROR(INDEX('Master data'!$B$2:$CL$1000,MATCH($B663,'Master data'!$A$2:$A$1000,0),MATCH(I$1,'Master data'!$B$1:$CL$1,0)),"")</f>
        <v/>
      </c>
      <c r="J663" s="7" t="str">
        <f>IFERROR(INDEX('Master data'!$B$2:$CL$1000,MATCH($B663,'Master data'!$A$2:$A$1000,0),MATCH(J$1,'Master data'!$B$1:$CL$1,0)),"")</f>
        <v/>
      </c>
      <c r="K663" s="7" t="str">
        <f>IFERROR(INDEX('Master data'!$B$2:$CL$1000,MATCH($B663,'Master data'!$A$2:$A$1000,0),MATCH(K$1,'Master data'!$B$1:$CL$1,0)),"")</f>
        <v/>
      </c>
      <c r="L663" s="7" t="str">
        <f>IFERROR(INDEX('Master data'!$B$2:$CL$1000,MATCH($B663,'Master data'!$A$2:$A$1000,0),MATCH(L$1,'Master data'!$B$1:$CL$1,0)),"")</f>
        <v/>
      </c>
      <c r="M663" s="5" t="str">
        <f>IFERROR(INDEX('Master data'!$B$2:$CL$1000,MATCH($B663,'Master data'!$A$2:$A$1000,0),MATCH(M$1,'Master data'!$B$1:$CL$1,0)),"")</f>
        <v/>
      </c>
      <c r="N663" s="28" t="str">
        <f>IFERROR(INDEX('Master data'!$B$2:$CL$1000,MATCH($B663,'Master data'!$A$2:$A$1000,0),MATCH(N$1,'Master data'!$B$1:$CL$1,0)),"")</f>
        <v/>
      </c>
      <c r="O663" s="7" t="str">
        <f>IFERROR(INDEX('Master data'!$B$2:$CL$1000,MATCH($B663,'Master data'!$A$2:$A$1000,0),MATCH(O$1,'Master data'!$B$1:$CL$1,0)),"")</f>
        <v/>
      </c>
      <c r="P663" s="5" t="str">
        <f>IFERROR(INDEX('Master data'!$B$2:$CL$1000,MATCH($B663,'Master data'!$A$2:$A$1000,0),MATCH(P$1,'Master data'!$B$1:$CL$1,0)),"")</f>
        <v/>
      </c>
      <c r="Q663" s="5" t="str">
        <f>IFERROR(INDEX('Master data'!$B$2:$CL$1000,MATCH($B663,'Master data'!$A$2:$A$1000,0),MATCH(Q$1,'Master data'!$B$1:$CL$1,0)),"")</f>
        <v/>
      </c>
    </row>
    <row r="664" spans="1:17" hidden="1">
      <c r="A664" t="str">
        <f t="shared" si="10"/>
        <v/>
      </c>
      <c r="B664" t="str">
        <f>IF('Master data'!A664="","",'Master data'!A664)</f>
        <v/>
      </c>
      <c r="C664" t="str">
        <f>IFERROR(INDEX('Master data'!$B$2:$CL$1000,MATCH($B664,'Master data'!$A$2:$A$1000,0),MATCH(C$1,'Master data'!$B$1:$CL$1,0)),"")</f>
        <v/>
      </c>
      <c r="D664" t="str">
        <f>IFERROR(INDEX('Master data'!$B$2:$CL$1000,MATCH($B664,'Master data'!$A$2:$A$1000,0),MATCH(D$1,'Master data'!$B$1:$CL$1,0)),"")</f>
        <v/>
      </c>
      <c r="E664" s="5" t="str">
        <f>IFERROR(INDEX('Master data'!$B$2:$CL$1000,MATCH($B664,'Master data'!$A$2:$A$1000,0),MATCH(E$1,'Master data'!$B$1:$CL$1,0)),"")</f>
        <v/>
      </c>
      <c r="F664" s="7" t="str">
        <f>IFERROR(INDEX('Master data'!$B$2:$CL$1000,MATCH($B664,'Master data'!$A$2:$A$1000,0),MATCH(F$1,'Master data'!$B$1:$CL$1,0)),"")</f>
        <v/>
      </c>
      <c r="G664" s="7" t="str">
        <f>IFERROR(INDEX('Master data'!$B$2:$CL$1000,MATCH($B664,'Master data'!$A$2:$A$1000,0),MATCH(G$1,'Master data'!$B$1:$CL$1,0)),"")</f>
        <v/>
      </c>
      <c r="H664" s="7" t="str">
        <f>IFERROR(INDEX('Master data'!$B$2:$CL$1000,MATCH($B664,'Master data'!$A$2:$A$1000,0),MATCH(H$1,'Master data'!$B$1:$CL$1,0)),"")</f>
        <v/>
      </c>
      <c r="I664" s="7" t="str">
        <f>IFERROR(INDEX('Master data'!$B$2:$CL$1000,MATCH($B664,'Master data'!$A$2:$A$1000,0),MATCH(I$1,'Master data'!$B$1:$CL$1,0)),"")</f>
        <v/>
      </c>
      <c r="J664" s="7" t="str">
        <f>IFERROR(INDEX('Master data'!$B$2:$CL$1000,MATCH($B664,'Master data'!$A$2:$A$1000,0),MATCH(J$1,'Master data'!$B$1:$CL$1,0)),"")</f>
        <v/>
      </c>
      <c r="K664" s="7" t="str">
        <f>IFERROR(INDEX('Master data'!$B$2:$CL$1000,MATCH($B664,'Master data'!$A$2:$A$1000,0),MATCH(K$1,'Master data'!$B$1:$CL$1,0)),"")</f>
        <v/>
      </c>
      <c r="L664" s="7" t="str">
        <f>IFERROR(INDEX('Master data'!$B$2:$CL$1000,MATCH($B664,'Master data'!$A$2:$A$1000,0),MATCH(L$1,'Master data'!$B$1:$CL$1,0)),"")</f>
        <v/>
      </c>
      <c r="M664" s="5" t="str">
        <f>IFERROR(INDEX('Master data'!$B$2:$CL$1000,MATCH($B664,'Master data'!$A$2:$A$1000,0),MATCH(M$1,'Master data'!$B$1:$CL$1,0)),"")</f>
        <v/>
      </c>
      <c r="N664" s="28" t="str">
        <f>IFERROR(INDEX('Master data'!$B$2:$CL$1000,MATCH($B664,'Master data'!$A$2:$A$1000,0),MATCH(N$1,'Master data'!$B$1:$CL$1,0)),"")</f>
        <v/>
      </c>
      <c r="O664" s="7" t="str">
        <f>IFERROR(INDEX('Master data'!$B$2:$CL$1000,MATCH($B664,'Master data'!$A$2:$A$1000,0),MATCH(O$1,'Master data'!$B$1:$CL$1,0)),"")</f>
        <v/>
      </c>
      <c r="P664" s="5" t="str">
        <f>IFERROR(INDEX('Master data'!$B$2:$CL$1000,MATCH($B664,'Master data'!$A$2:$A$1000,0),MATCH(P$1,'Master data'!$B$1:$CL$1,0)),"")</f>
        <v/>
      </c>
      <c r="Q664" s="5" t="str">
        <f>IFERROR(INDEX('Master data'!$B$2:$CL$1000,MATCH($B664,'Master data'!$A$2:$A$1000,0),MATCH(Q$1,'Master data'!$B$1:$CL$1,0)),"")</f>
        <v/>
      </c>
    </row>
    <row r="665" spans="1:17" hidden="1">
      <c r="A665" t="str">
        <f t="shared" si="10"/>
        <v/>
      </c>
      <c r="B665" t="str">
        <f>IF('Master data'!A665="","",'Master data'!A665)</f>
        <v/>
      </c>
      <c r="C665" t="str">
        <f>IFERROR(INDEX('Master data'!$B$2:$CL$1000,MATCH($B665,'Master data'!$A$2:$A$1000,0),MATCH(C$1,'Master data'!$B$1:$CL$1,0)),"")</f>
        <v/>
      </c>
      <c r="D665" t="str">
        <f>IFERROR(INDEX('Master data'!$B$2:$CL$1000,MATCH($B665,'Master data'!$A$2:$A$1000,0),MATCH(D$1,'Master data'!$B$1:$CL$1,0)),"")</f>
        <v/>
      </c>
      <c r="E665" s="5" t="str">
        <f>IFERROR(INDEX('Master data'!$B$2:$CL$1000,MATCH($B665,'Master data'!$A$2:$A$1000,0),MATCH(E$1,'Master data'!$B$1:$CL$1,0)),"")</f>
        <v/>
      </c>
      <c r="F665" s="7" t="str">
        <f>IFERROR(INDEX('Master data'!$B$2:$CL$1000,MATCH($B665,'Master data'!$A$2:$A$1000,0),MATCH(F$1,'Master data'!$B$1:$CL$1,0)),"")</f>
        <v/>
      </c>
      <c r="G665" s="7" t="str">
        <f>IFERROR(INDEX('Master data'!$B$2:$CL$1000,MATCH($B665,'Master data'!$A$2:$A$1000,0),MATCH(G$1,'Master data'!$B$1:$CL$1,0)),"")</f>
        <v/>
      </c>
      <c r="H665" s="7" t="str">
        <f>IFERROR(INDEX('Master data'!$B$2:$CL$1000,MATCH($B665,'Master data'!$A$2:$A$1000,0),MATCH(H$1,'Master data'!$B$1:$CL$1,0)),"")</f>
        <v/>
      </c>
      <c r="I665" s="7" t="str">
        <f>IFERROR(INDEX('Master data'!$B$2:$CL$1000,MATCH($B665,'Master data'!$A$2:$A$1000,0),MATCH(I$1,'Master data'!$B$1:$CL$1,0)),"")</f>
        <v/>
      </c>
      <c r="J665" s="7" t="str">
        <f>IFERROR(INDEX('Master data'!$B$2:$CL$1000,MATCH($B665,'Master data'!$A$2:$A$1000,0),MATCH(J$1,'Master data'!$B$1:$CL$1,0)),"")</f>
        <v/>
      </c>
      <c r="K665" s="7" t="str">
        <f>IFERROR(INDEX('Master data'!$B$2:$CL$1000,MATCH($B665,'Master data'!$A$2:$A$1000,0),MATCH(K$1,'Master data'!$B$1:$CL$1,0)),"")</f>
        <v/>
      </c>
      <c r="L665" s="7" t="str">
        <f>IFERROR(INDEX('Master data'!$B$2:$CL$1000,MATCH($B665,'Master data'!$A$2:$A$1000,0),MATCH(L$1,'Master data'!$B$1:$CL$1,0)),"")</f>
        <v/>
      </c>
      <c r="M665" s="5" t="str">
        <f>IFERROR(INDEX('Master data'!$B$2:$CL$1000,MATCH($B665,'Master data'!$A$2:$A$1000,0),MATCH(M$1,'Master data'!$B$1:$CL$1,0)),"")</f>
        <v/>
      </c>
      <c r="N665" s="28" t="str">
        <f>IFERROR(INDEX('Master data'!$B$2:$CL$1000,MATCH($B665,'Master data'!$A$2:$A$1000,0),MATCH(N$1,'Master data'!$B$1:$CL$1,0)),"")</f>
        <v/>
      </c>
      <c r="O665" s="7" t="str">
        <f>IFERROR(INDEX('Master data'!$B$2:$CL$1000,MATCH($B665,'Master data'!$A$2:$A$1000,0),MATCH(O$1,'Master data'!$B$1:$CL$1,0)),"")</f>
        <v/>
      </c>
      <c r="P665" s="5" t="str">
        <f>IFERROR(INDEX('Master data'!$B$2:$CL$1000,MATCH($B665,'Master data'!$A$2:$A$1000,0),MATCH(P$1,'Master data'!$B$1:$CL$1,0)),"")</f>
        <v/>
      </c>
      <c r="Q665" s="5" t="str">
        <f>IFERROR(INDEX('Master data'!$B$2:$CL$1000,MATCH($B665,'Master data'!$A$2:$A$1000,0),MATCH(Q$1,'Master data'!$B$1:$CL$1,0)),"")</f>
        <v/>
      </c>
    </row>
    <row r="666" spans="1:17" hidden="1">
      <c r="A666" t="str">
        <f t="shared" si="10"/>
        <v/>
      </c>
      <c r="B666" t="str">
        <f>IF('Master data'!A666="","",'Master data'!A666)</f>
        <v/>
      </c>
      <c r="C666" t="str">
        <f>IFERROR(INDEX('Master data'!$B$2:$CL$1000,MATCH($B666,'Master data'!$A$2:$A$1000,0),MATCH(C$1,'Master data'!$B$1:$CL$1,0)),"")</f>
        <v/>
      </c>
      <c r="D666" t="str">
        <f>IFERROR(INDEX('Master data'!$B$2:$CL$1000,MATCH($B666,'Master data'!$A$2:$A$1000,0),MATCH(D$1,'Master data'!$B$1:$CL$1,0)),"")</f>
        <v/>
      </c>
      <c r="E666" s="5" t="str">
        <f>IFERROR(INDEX('Master data'!$B$2:$CL$1000,MATCH($B666,'Master data'!$A$2:$A$1000,0),MATCH(E$1,'Master data'!$B$1:$CL$1,0)),"")</f>
        <v/>
      </c>
      <c r="F666" s="7" t="str">
        <f>IFERROR(INDEX('Master data'!$B$2:$CL$1000,MATCH($B666,'Master data'!$A$2:$A$1000,0),MATCH(F$1,'Master data'!$B$1:$CL$1,0)),"")</f>
        <v/>
      </c>
      <c r="G666" s="7" t="str">
        <f>IFERROR(INDEX('Master data'!$B$2:$CL$1000,MATCH($B666,'Master data'!$A$2:$A$1000,0),MATCH(G$1,'Master data'!$B$1:$CL$1,0)),"")</f>
        <v/>
      </c>
      <c r="H666" s="7" t="str">
        <f>IFERROR(INDEX('Master data'!$B$2:$CL$1000,MATCH($B666,'Master data'!$A$2:$A$1000,0),MATCH(H$1,'Master data'!$B$1:$CL$1,0)),"")</f>
        <v/>
      </c>
      <c r="I666" s="7" t="str">
        <f>IFERROR(INDEX('Master data'!$B$2:$CL$1000,MATCH($B666,'Master data'!$A$2:$A$1000,0),MATCH(I$1,'Master data'!$B$1:$CL$1,0)),"")</f>
        <v/>
      </c>
      <c r="J666" s="7" t="str">
        <f>IFERROR(INDEX('Master data'!$B$2:$CL$1000,MATCH($B666,'Master data'!$A$2:$A$1000,0),MATCH(J$1,'Master data'!$B$1:$CL$1,0)),"")</f>
        <v/>
      </c>
      <c r="K666" s="7" t="str">
        <f>IFERROR(INDEX('Master data'!$B$2:$CL$1000,MATCH($B666,'Master data'!$A$2:$A$1000,0),MATCH(K$1,'Master data'!$B$1:$CL$1,0)),"")</f>
        <v/>
      </c>
      <c r="L666" s="7" t="str">
        <f>IFERROR(INDEX('Master data'!$B$2:$CL$1000,MATCH($B666,'Master data'!$A$2:$A$1000,0),MATCH(L$1,'Master data'!$B$1:$CL$1,0)),"")</f>
        <v/>
      </c>
      <c r="M666" s="5" t="str">
        <f>IFERROR(INDEX('Master data'!$B$2:$CL$1000,MATCH($B666,'Master data'!$A$2:$A$1000,0),MATCH(M$1,'Master data'!$B$1:$CL$1,0)),"")</f>
        <v/>
      </c>
      <c r="N666" s="28" t="str">
        <f>IFERROR(INDEX('Master data'!$B$2:$CL$1000,MATCH($B666,'Master data'!$A$2:$A$1000,0),MATCH(N$1,'Master data'!$B$1:$CL$1,0)),"")</f>
        <v/>
      </c>
      <c r="O666" s="7" t="str">
        <f>IFERROR(INDEX('Master data'!$B$2:$CL$1000,MATCH($B666,'Master data'!$A$2:$A$1000,0),MATCH(O$1,'Master data'!$B$1:$CL$1,0)),"")</f>
        <v/>
      </c>
      <c r="P666" s="5" t="str">
        <f>IFERROR(INDEX('Master data'!$B$2:$CL$1000,MATCH($B666,'Master data'!$A$2:$A$1000,0),MATCH(P$1,'Master data'!$B$1:$CL$1,0)),"")</f>
        <v/>
      </c>
      <c r="Q666" s="5" t="str">
        <f>IFERROR(INDEX('Master data'!$B$2:$CL$1000,MATCH($B666,'Master data'!$A$2:$A$1000,0),MATCH(Q$1,'Master data'!$B$1:$CL$1,0)),"")</f>
        <v/>
      </c>
    </row>
    <row r="667" spans="1:17" hidden="1">
      <c r="A667" t="str">
        <f t="shared" si="10"/>
        <v/>
      </c>
      <c r="B667" t="str">
        <f>IF('Master data'!A667="","",'Master data'!A667)</f>
        <v/>
      </c>
      <c r="C667" t="str">
        <f>IFERROR(INDEX('Master data'!$B$2:$CL$1000,MATCH($B667,'Master data'!$A$2:$A$1000,0),MATCH(C$1,'Master data'!$B$1:$CL$1,0)),"")</f>
        <v/>
      </c>
      <c r="D667" t="str">
        <f>IFERROR(INDEX('Master data'!$B$2:$CL$1000,MATCH($B667,'Master data'!$A$2:$A$1000,0),MATCH(D$1,'Master data'!$B$1:$CL$1,0)),"")</f>
        <v/>
      </c>
      <c r="E667" s="5" t="str">
        <f>IFERROR(INDEX('Master data'!$B$2:$CL$1000,MATCH($B667,'Master data'!$A$2:$A$1000,0),MATCH(E$1,'Master data'!$B$1:$CL$1,0)),"")</f>
        <v/>
      </c>
      <c r="F667" s="7" t="str">
        <f>IFERROR(INDEX('Master data'!$B$2:$CL$1000,MATCH($B667,'Master data'!$A$2:$A$1000,0),MATCH(F$1,'Master data'!$B$1:$CL$1,0)),"")</f>
        <v/>
      </c>
      <c r="G667" s="7" t="str">
        <f>IFERROR(INDEX('Master data'!$B$2:$CL$1000,MATCH($B667,'Master data'!$A$2:$A$1000,0),MATCH(G$1,'Master data'!$B$1:$CL$1,0)),"")</f>
        <v/>
      </c>
      <c r="H667" s="7" t="str">
        <f>IFERROR(INDEX('Master data'!$B$2:$CL$1000,MATCH($B667,'Master data'!$A$2:$A$1000,0),MATCH(H$1,'Master data'!$B$1:$CL$1,0)),"")</f>
        <v/>
      </c>
      <c r="I667" s="7" t="str">
        <f>IFERROR(INDEX('Master data'!$B$2:$CL$1000,MATCH($B667,'Master data'!$A$2:$A$1000,0),MATCH(I$1,'Master data'!$B$1:$CL$1,0)),"")</f>
        <v/>
      </c>
      <c r="J667" s="7" t="str">
        <f>IFERROR(INDEX('Master data'!$B$2:$CL$1000,MATCH($B667,'Master data'!$A$2:$A$1000,0),MATCH(J$1,'Master data'!$B$1:$CL$1,0)),"")</f>
        <v/>
      </c>
      <c r="K667" s="7" t="str">
        <f>IFERROR(INDEX('Master data'!$B$2:$CL$1000,MATCH($B667,'Master data'!$A$2:$A$1000,0),MATCH(K$1,'Master data'!$B$1:$CL$1,0)),"")</f>
        <v/>
      </c>
      <c r="L667" s="7" t="str">
        <f>IFERROR(INDEX('Master data'!$B$2:$CL$1000,MATCH($B667,'Master data'!$A$2:$A$1000,0),MATCH(L$1,'Master data'!$B$1:$CL$1,0)),"")</f>
        <v/>
      </c>
      <c r="M667" s="5" t="str">
        <f>IFERROR(INDEX('Master data'!$B$2:$CL$1000,MATCH($B667,'Master data'!$A$2:$A$1000,0),MATCH(M$1,'Master data'!$B$1:$CL$1,0)),"")</f>
        <v/>
      </c>
      <c r="N667" s="28" t="str">
        <f>IFERROR(INDEX('Master data'!$B$2:$CL$1000,MATCH($B667,'Master data'!$A$2:$A$1000,0),MATCH(N$1,'Master data'!$B$1:$CL$1,0)),"")</f>
        <v/>
      </c>
      <c r="O667" s="7" t="str">
        <f>IFERROR(INDEX('Master data'!$B$2:$CL$1000,MATCH($B667,'Master data'!$A$2:$A$1000,0),MATCH(O$1,'Master data'!$B$1:$CL$1,0)),"")</f>
        <v/>
      </c>
      <c r="P667" s="5" t="str">
        <f>IFERROR(INDEX('Master data'!$B$2:$CL$1000,MATCH($B667,'Master data'!$A$2:$A$1000,0),MATCH(P$1,'Master data'!$B$1:$CL$1,0)),"")</f>
        <v/>
      </c>
      <c r="Q667" s="5" t="str">
        <f>IFERROR(INDEX('Master data'!$B$2:$CL$1000,MATCH($B667,'Master data'!$A$2:$A$1000,0),MATCH(Q$1,'Master data'!$B$1:$CL$1,0)),"")</f>
        <v/>
      </c>
    </row>
    <row r="668" spans="1:17" hidden="1">
      <c r="A668" t="str">
        <f t="shared" si="10"/>
        <v/>
      </c>
      <c r="B668" t="str">
        <f>IF('Master data'!A668="","",'Master data'!A668)</f>
        <v/>
      </c>
      <c r="C668" t="str">
        <f>IFERROR(INDEX('Master data'!$B$2:$CL$1000,MATCH($B668,'Master data'!$A$2:$A$1000,0),MATCH(C$1,'Master data'!$B$1:$CL$1,0)),"")</f>
        <v/>
      </c>
      <c r="D668" t="str">
        <f>IFERROR(INDEX('Master data'!$B$2:$CL$1000,MATCH($B668,'Master data'!$A$2:$A$1000,0),MATCH(D$1,'Master data'!$B$1:$CL$1,0)),"")</f>
        <v/>
      </c>
      <c r="E668" s="5" t="str">
        <f>IFERROR(INDEX('Master data'!$B$2:$CL$1000,MATCH($B668,'Master data'!$A$2:$A$1000,0),MATCH(E$1,'Master data'!$B$1:$CL$1,0)),"")</f>
        <v/>
      </c>
      <c r="F668" s="7" t="str">
        <f>IFERROR(INDEX('Master data'!$B$2:$CL$1000,MATCH($B668,'Master data'!$A$2:$A$1000,0),MATCH(F$1,'Master data'!$B$1:$CL$1,0)),"")</f>
        <v/>
      </c>
      <c r="G668" s="7" t="str">
        <f>IFERROR(INDEX('Master data'!$B$2:$CL$1000,MATCH($B668,'Master data'!$A$2:$A$1000,0),MATCH(G$1,'Master data'!$B$1:$CL$1,0)),"")</f>
        <v/>
      </c>
      <c r="H668" s="7" t="str">
        <f>IFERROR(INDEX('Master data'!$B$2:$CL$1000,MATCH($B668,'Master data'!$A$2:$A$1000,0),MATCH(H$1,'Master data'!$B$1:$CL$1,0)),"")</f>
        <v/>
      </c>
      <c r="I668" s="7" t="str">
        <f>IFERROR(INDEX('Master data'!$B$2:$CL$1000,MATCH($B668,'Master data'!$A$2:$A$1000,0),MATCH(I$1,'Master data'!$B$1:$CL$1,0)),"")</f>
        <v/>
      </c>
      <c r="J668" s="7" t="str">
        <f>IFERROR(INDEX('Master data'!$B$2:$CL$1000,MATCH($B668,'Master data'!$A$2:$A$1000,0),MATCH(J$1,'Master data'!$B$1:$CL$1,0)),"")</f>
        <v/>
      </c>
      <c r="K668" s="7" t="str">
        <f>IFERROR(INDEX('Master data'!$B$2:$CL$1000,MATCH($B668,'Master data'!$A$2:$A$1000,0),MATCH(K$1,'Master data'!$B$1:$CL$1,0)),"")</f>
        <v/>
      </c>
      <c r="L668" s="7" t="str">
        <f>IFERROR(INDEX('Master data'!$B$2:$CL$1000,MATCH($B668,'Master data'!$A$2:$A$1000,0),MATCH(L$1,'Master data'!$B$1:$CL$1,0)),"")</f>
        <v/>
      </c>
      <c r="M668" s="5" t="str">
        <f>IFERROR(INDEX('Master data'!$B$2:$CL$1000,MATCH($B668,'Master data'!$A$2:$A$1000,0),MATCH(M$1,'Master data'!$B$1:$CL$1,0)),"")</f>
        <v/>
      </c>
      <c r="N668" s="28" t="str">
        <f>IFERROR(INDEX('Master data'!$B$2:$CL$1000,MATCH($B668,'Master data'!$A$2:$A$1000,0),MATCH(N$1,'Master data'!$B$1:$CL$1,0)),"")</f>
        <v/>
      </c>
      <c r="O668" s="7" t="str">
        <f>IFERROR(INDEX('Master data'!$B$2:$CL$1000,MATCH($B668,'Master data'!$A$2:$A$1000,0),MATCH(O$1,'Master data'!$B$1:$CL$1,0)),"")</f>
        <v/>
      </c>
      <c r="P668" s="5" t="str">
        <f>IFERROR(INDEX('Master data'!$B$2:$CL$1000,MATCH($B668,'Master data'!$A$2:$A$1000,0),MATCH(P$1,'Master data'!$B$1:$CL$1,0)),"")</f>
        <v/>
      </c>
      <c r="Q668" s="5" t="str">
        <f>IFERROR(INDEX('Master data'!$B$2:$CL$1000,MATCH($B668,'Master data'!$A$2:$A$1000,0),MATCH(Q$1,'Master data'!$B$1:$CL$1,0)),"")</f>
        <v/>
      </c>
    </row>
    <row r="669" spans="1:17" hidden="1">
      <c r="A669" t="str">
        <f t="shared" si="10"/>
        <v/>
      </c>
      <c r="B669" t="str">
        <f>IF('Master data'!A669="","",'Master data'!A669)</f>
        <v/>
      </c>
      <c r="C669" t="str">
        <f>IFERROR(INDEX('Master data'!$B$2:$CL$1000,MATCH($B669,'Master data'!$A$2:$A$1000,0),MATCH(C$1,'Master data'!$B$1:$CL$1,0)),"")</f>
        <v/>
      </c>
      <c r="D669" t="str">
        <f>IFERROR(INDEX('Master data'!$B$2:$CL$1000,MATCH($B669,'Master data'!$A$2:$A$1000,0),MATCH(D$1,'Master data'!$B$1:$CL$1,0)),"")</f>
        <v/>
      </c>
      <c r="E669" s="5" t="str">
        <f>IFERROR(INDEX('Master data'!$B$2:$CL$1000,MATCH($B669,'Master data'!$A$2:$A$1000,0),MATCH(E$1,'Master data'!$B$1:$CL$1,0)),"")</f>
        <v/>
      </c>
      <c r="F669" s="7" t="str">
        <f>IFERROR(INDEX('Master data'!$B$2:$CL$1000,MATCH($B669,'Master data'!$A$2:$A$1000,0),MATCH(F$1,'Master data'!$B$1:$CL$1,0)),"")</f>
        <v/>
      </c>
      <c r="G669" s="7" t="str">
        <f>IFERROR(INDEX('Master data'!$B$2:$CL$1000,MATCH($B669,'Master data'!$A$2:$A$1000,0),MATCH(G$1,'Master data'!$B$1:$CL$1,0)),"")</f>
        <v/>
      </c>
      <c r="H669" s="7" t="str">
        <f>IFERROR(INDEX('Master data'!$B$2:$CL$1000,MATCH($B669,'Master data'!$A$2:$A$1000,0),MATCH(H$1,'Master data'!$B$1:$CL$1,0)),"")</f>
        <v/>
      </c>
      <c r="I669" s="7" t="str">
        <f>IFERROR(INDEX('Master data'!$B$2:$CL$1000,MATCH($B669,'Master data'!$A$2:$A$1000,0),MATCH(I$1,'Master data'!$B$1:$CL$1,0)),"")</f>
        <v/>
      </c>
      <c r="J669" s="7" t="str">
        <f>IFERROR(INDEX('Master data'!$B$2:$CL$1000,MATCH($B669,'Master data'!$A$2:$A$1000,0),MATCH(J$1,'Master data'!$B$1:$CL$1,0)),"")</f>
        <v/>
      </c>
      <c r="K669" s="7" t="str">
        <f>IFERROR(INDEX('Master data'!$B$2:$CL$1000,MATCH($B669,'Master data'!$A$2:$A$1000,0),MATCH(K$1,'Master data'!$B$1:$CL$1,0)),"")</f>
        <v/>
      </c>
      <c r="L669" s="7" t="str">
        <f>IFERROR(INDEX('Master data'!$B$2:$CL$1000,MATCH($B669,'Master data'!$A$2:$A$1000,0),MATCH(L$1,'Master data'!$B$1:$CL$1,0)),"")</f>
        <v/>
      </c>
      <c r="M669" s="5" t="str">
        <f>IFERROR(INDEX('Master data'!$B$2:$CL$1000,MATCH($B669,'Master data'!$A$2:$A$1000,0),MATCH(M$1,'Master data'!$B$1:$CL$1,0)),"")</f>
        <v/>
      </c>
      <c r="N669" s="28" t="str">
        <f>IFERROR(INDEX('Master data'!$B$2:$CL$1000,MATCH($B669,'Master data'!$A$2:$A$1000,0),MATCH(N$1,'Master data'!$B$1:$CL$1,0)),"")</f>
        <v/>
      </c>
      <c r="O669" s="7" t="str">
        <f>IFERROR(INDEX('Master data'!$B$2:$CL$1000,MATCH($B669,'Master data'!$A$2:$A$1000,0),MATCH(O$1,'Master data'!$B$1:$CL$1,0)),"")</f>
        <v/>
      </c>
      <c r="P669" s="5" t="str">
        <f>IFERROR(INDEX('Master data'!$B$2:$CL$1000,MATCH($B669,'Master data'!$A$2:$A$1000,0),MATCH(P$1,'Master data'!$B$1:$CL$1,0)),"")</f>
        <v/>
      </c>
      <c r="Q669" s="5" t="str">
        <f>IFERROR(INDEX('Master data'!$B$2:$CL$1000,MATCH($B669,'Master data'!$A$2:$A$1000,0),MATCH(Q$1,'Master data'!$B$1:$CL$1,0)),"")</f>
        <v/>
      </c>
    </row>
    <row r="670" spans="1:17" hidden="1">
      <c r="A670" t="str">
        <f t="shared" si="10"/>
        <v/>
      </c>
      <c r="B670" t="str">
        <f>IF('Master data'!A670="","",'Master data'!A670)</f>
        <v/>
      </c>
      <c r="C670" t="str">
        <f>IFERROR(INDEX('Master data'!$B$2:$CL$1000,MATCH($B670,'Master data'!$A$2:$A$1000,0),MATCH(C$1,'Master data'!$B$1:$CL$1,0)),"")</f>
        <v/>
      </c>
      <c r="D670" t="str">
        <f>IFERROR(INDEX('Master data'!$B$2:$CL$1000,MATCH($B670,'Master data'!$A$2:$A$1000,0),MATCH(D$1,'Master data'!$B$1:$CL$1,0)),"")</f>
        <v/>
      </c>
      <c r="E670" s="5" t="str">
        <f>IFERROR(INDEX('Master data'!$B$2:$CL$1000,MATCH($B670,'Master data'!$A$2:$A$1000,0),MATCH(E$1,'Master data'!$B$1:$CL$1,0)),"")</f>
        <v/>
      </c>
      <c r="F670" s="7" t="str">
        <f>IFERROR(INDEX('Master data'!$B$2:$CL$1000,MATCH($B670,'Master data'!$A$2:$A$1000,0),MATCH(F$1,'Master data'!$B$1:$CL$1,0)),"")</f>
        <v/>
      </c>
      <c r="G670" s="7" t="str">
        <f>IFERROR(INDEX('Master data'!$B$2:$CL$1000,MATCH($B670,'Master data'!$A$2:$A$1000,0),MATCH(G$1,'Master data'!$B$1:$CL$1,0)),"")</f>
        <v/>
      </c>
      <c r="H670" s="7" t="str">
        <f>IFERROR(INDEX('Master data'!$B$2:$CL$1000,MATCH($B670,'Master data'!$A$2:$A$1000,0),MATCH(H$1,'Master data'!$B$1:$CL$1,0)),"")</f>
        <v/>
      </c>
      <c r="I670" s="7" t="str">
        <f>IFERROR(INDEX('Master data'!$B$2:$CL$1000,MATCH($B670,'Master data'!$A$2:$A$1000,0),MATCH(I$1,'Master data'!$B$1:$CL$1,0)),"")</f>
        <v/>
      </c>
      <c r="J670" s="7" t="str">
        <f>IFERROR(INDEX('Master data'!$B$2:$CL$1000,MATCH($B670,'Master data'!$A$2:$A$1000,0),MATCH(J$1,'Master data'!$B$1:$CL$1,0)),"")</f>
        <v/>
      </c>
      <c r="K670" s="7" t="str">
        <f>IFERROR(INDEX('Master data'!$B$2:$CL$1000,MATCH($B670,'Master data'!$A$2:$A$1000,0),MATCH(K$1,'Master data'!$B$1:$CL$1,0)),"")</f>
        <v/>
      </c>
      <c r="L670" s="7" t="str">
        <f>IFERROR(INDEX('Master data'!$B$2:$CL$1000,MATCH($B670,'Master data'!$A$2:$A$1000,0),MATCH(L$1,'Master data'!$B$1:$CL$1,0)),"")</f>
        <v/>
      </c>
      <c r="M670" s="5" t="str">
        <f>IFERROR(INDEX('Master data'!$B$2:$CL$1000,MATCH($B670,'Master data'!$A$2:$A$1000,0),MATCH(M$1,'Master data'!$B$1:$CL$1,0)),"")</f>
        <v/>
      </c>
      <c r="N670" s="28" t="str">
        <f>IFERROR(INDEX('Master data'!$B$2:$CL$1000,MATCH($B670,'Master data'!$A$2:$A$1000,0),MATCH(N$1,'Master data'!$B$1:$CL$1,0)),"")</f>
        <v/>
      </c>
      <c r="O670" s="7" t="str">
        <f>IFERROR(INDEX('Master data'!$B$2:$CL$1000,MATCH($B670,'Master data'!$A$2:$A$1000,0),MATCH(O$1,'Master data'!$B$1:$CL$1,0)),"")</f>
        <v/>
      </c>
      <c r="P670" s="5" t="str">
        <f>IFERROR(INDEX('Master data'!$B$2:$CL$1000,MATCH($B670,'Master data'!$A$2:$A$1000,0),MATCH(P$1,'Master data'!$B$1:$CL$1,0)),"")</f>
        <v/>
      </c>
      <c r="Q670" s="5" t="str">
        <f>IFERROR(INDEX('Master data'!$B$2:$CL$1000,MATCH($B670,'Master data'!$A$2:$A$1000,0),MATCH(Q$1,'Master data'!$B$1:$CL$1,0)),"")</f>
        <v/>
      </c>
    </row>
    <row r="671" spans="1:17" hidden="1">
      <c r="A671" t="str">
        <f t="shared" si="10"/>
        <v/>
      </c>
      <c r="B671" t="str">
        <f>IF('Master data'!A671="","",'Master data'!A671)</f>
        <v/>
      </c>
      <c r="C671" t="str">
        <f>IFERROR(INDEX('Master data'!$B$2:$CL$1000,MATCH($B671,'Master data'!$A$2:$A$1000,0),MATCH(C$1,'Master data'!$B$1:$CL$1,0)),"")</f>
        <v/>
      </c>
      <c r="D671" t="str">
        <f>IFERROR(INDEX('Master data'!$B$2:$CL$1000,MATCH($B671,'Master data'!$A$2:$A$1000,0),MATCH(D$1,'Master data'!$B$1:$CL$1,0)),"")</f>
        <v/>
      </c>
      <c r="E671" s="5" t="str">
        <f>IFERROR(INDEX('Master data'!$B$2:$CL$1000,MATCH($B671,'Master data'!$A$2:$A$1000,0),MATCH(E$1,'Master data'!$B$1:$CL$1,0)),"")</f>
        <v/>
      </c>
      <c r="F671" s="7" t="str">
        <f>IFERROR(INDEX('Master data'!$B$2:$CL$1000,MATCH($B671,'Master data'!$A$2:$A$1000,0),MATCH(F$1,'Master data'!$B$1:$CL$1,0)),"")</f>
        <v/>
      </c>
      <c r="G671" s="7" t="str">
        <f>IFERROR(INDEX('Master data'!$B$2:$CL$1000,MATCH($B671,'Master data'!$A$2:$A$1000,0),MATCH(G$1,'Master data'!$B$1:$CL$1,0)),"")</f>
        <v/>
      </c>
      <c r="H671" s="7" t="str">
        <f>IFERROR(INDEX('Master data'!$B$2:$CL$1000,MATCH($B671,'Master data'!$A$2:$A$1000,0),MATCH(H$1,'Master data'!$B$1:$CL$1,0)),"")</f>
        <v/>
      </c>
      <c r="I671" s="7" t="str">
        <f>IFERROR(INDEX('Master data'!$B$2:$CL$1000,MATCH($B671,'Master data'!$A$2:$A$1000,0),MATCH(I$1,'Master data'!$B$1:$CL$1,0)),"")</f>
        <v/>
      </c>
      <c r="J671" s="7" t="str">
        <f>IFERROR(INDEX('Master data'!$B$2:$CL$1000,MATCH($B671,'Master data'!$A$2:$A$1000,0),MATCH(J$1,'Master data'!$B$1:$CL$1,0)),"")</f>
        <v/>
      </c>
      <c r="K671" s="7" t="str">
        <f>IFERROR(INDEX('Master data'!$B$2:$CL$1000,MATCH($B671,'Master data'!$A$2:$A$1000,0),MATCH(K$1,'Master data'!$B$1:$CL$1,0)),"")</f>
        <v/>
      </c>
      <c r="L671" s="7" t="str">
        <f>IFERROR(INDEX('Master data'!$B$2:$CL$1000,MATCH($B671,'Master data'!$A$2:$A$1000,0),MATCH(L$1,'Master data'!$B$1:$CL$1,0)),"")</f>
        <v/>
      </c>
      <c r="M671" s="5" t="str">
        <f>IFERROR(INDEX('Master data'!$B$2:$CL$1000,MATCH($B671,'Master data'!$A$2:$A$1000,0),MATCH(M$1,'Master data'!$B$1:$CL$1,0)),"")</f>
        <v/>
      </c>
      <c r="N671" s="28" t="str">
        <f>IFERROR(INDEX('Master data'!$B$2:$CL$1000,MATCH($B671,'Master data'!$A$2:$A$1000,0),MATCH(N$1,'Master data'!$B$1:$CL$1,0)),"")</f>
        <v/>
      </c>
      <c r="O671" s="7" t="str">
        <f>IFERROR(INDEX('Master data'!$B$2:$CL$1000,MATCH($B671,'Master data'!$A$2:$A$1000,0),MATCH(O$1,'Master data'!$B$1:$CL$1,0)),"")</f>
        <v/>
      </c>
      <c r="P671" s="5" t="str">
        <f>IFERROR(INDEX('Master data'!$B$2:$CL$1000,MATCH($B671,'Master data'!$A$2:$A$1000,0),MATCH(P$1,'Master data'!$B$1:$CL$1,0)),"")</f>
        <v/>
      </c>
      <c r="Q671" s="5" t="str">
        <f>IFERROR(INDEX('Master data'!$B$2:$CL$1000,MATCH($B671,'Master data'!$A$2:$A$1000,0),MATCH(Q$1,'Master data'!$B$1:$CL$1,0)),"")</f>
        <v/>
      </c>
    </row>
    <row r="672" spans="1:17" hidden="1">
      <c r="A672" t="str">
        <f t="shared" si="10"/>
        <v/>
      </c>
      <c r="B672" t="str">
        <f>IF('Master data'!A672="","",'Master data'!A672)</f>
        <v/>
      </c>
      <c r="C672" t="str">
        <f>IFERROR(INDEX('Master data'!$B$2:$CL$1000,MATCH($B672,'Master data'!$A$2:$A$1000,0),MATCH(C$1,'Master data'!$B$1:$CL$1,0)),"")</f>
        <v/>
      </c>
      <c r="D672" t="str">
        <f>IFERROR(INDEX('Master data'!$B$2:$CL$1000,MATCH($B672,'Master data'!$A$2:$A$1000,0),MATCH(D$1,'Master data'!$B$1:$CL$1,0)),"")</f>
        <v/>
      </c>
      <c r="E672" s="5" t="str">
        <f>IFERROR(INDEX('Master data'!$B$2:$CL$1000,MATCH($B672,'Master data'!$A$2:$A$1000,0),MATCH(E$1,'Master data'!$B$1:$CL$1,0)),"")</f>
        <v/>
      </c>
      <c r="F672" s="7" t="str">
        <f>IFERROR(INDEX('Master data'!$B$2:$CL$1000,MATCH($B672,'Master data'!$A$2:$A$1000,0),MATCH(F$1,'Master data'!$B$1:$CL$1,0)),"")</f>
        <v/>
      </c>
      <c r="G672" s="7" t="str">
        <f>IFERROR(INDEX('Master data'!$B$2:$CL$1000,MATCH($B672,'Master data'!$A$2:$A$1000,0),MATCH(G$1,'Master data'!$B$1:$CL$1,0)),"")</f>
        <v/>
      </c>
      <c r="H672" s="7" t="str">
        <f>IFERROR(INDEX('Master data'!$B$2:$CL$1000,MATCH($B672,'Master data'!$A$2:$A$1000,0),MATCH(H$1,'Master data'!$B$1:$CL$1,0)),"")</f>
        <v/>
      </c>
      <c r="I672" s="7" t="str">
        <f>IFERROR(INDEX('Master data'!$B$2:$CL$1000,MATCH($B672,'Master data'!$A$2:$A$1000,0),MATCH(I$1,'Master data'!$B$1:$CL$1,0)),"")</f>
        <v/>
      </c>
      <c r="J672" s="7" t="str">
        <f>IFERROR(INDEX('Master data'!$B$2:$CL$1000,MATCH($B672,'Master data'!$A$2:$A$1000,0),MATCH(J$1,'Master data'!$B$1:$CL$1,0)),"")</f>
        <v/>
      </c>
      <c r="K672" s="7" t="str">
        <f>IFERROR(INDEX('Master data'!$B$2:$CL$1000,MATCH($B672,'Master data'!$A$2:$A$1000,0),MATCH(K$1,'Master data'!$B$1:$CL$1,0)),"")</f>
        <v/>
      </c>
      <c r="L672" s="7" t="str">
        <f>IFERROR(INDEX('Master data'!$B$2:$CL$1000,MATCH($B672,'Master data'!$A$2:$A$1000,0),MATCH(L$1,'Master data'!$B$1:$CL$1,0)),"")</f>
        <v/>
      </c>
      <c r="M672" s="5" t="str">
        <f>IFERROR(INDEX('Master data'!$B$2:$CL$1000,MATCH($B672,'Master data'!$A$2:$A$1000,0),MATCH(M$1,'Master data'!$B$1:$CL$1,0)),"")</f>
        <v/>
      </c>
      <c r="N672" s="28" t="str">
        <f>IFERROR(INDEX('Master data'!$B$2:$CL$1000,MATCH($B672,'Master data'!$A$2:$A$1000,0),MATCH(N$1,'Master data'!$B$1:$CL$1,0)),"")</f>
        <v/>
      </c>
      <c r="O672" s="7" t="str">
        <f>IFERROR(INDEX('Master data'!$B$2:$CL$1000,MATCH($B672,'Master data'!$A$2:$A$1000,0),MATCH(O$1,'Master data'!$B$1:$CL$1,0)),"")</f>
        <v/>
      </c>
      <c r="P672" s="5" t="str">
        <f>IFERROR(INDEX('Master data'!$B$2:$CL$1000,MATCH($B672,'Master data'!$A$2:$A$1000,0),MATCH(P$1,'Master data'!$B$1:$CL$1,0)),"")</f>
        <v/>
      </c>
      <c r="Q672" s="5" t="str">
        <f>IFERROR(INDEX('Master data'!$B$2:$CL$1000,MATCH($B672,'Master data'!$A$2:$A$1000,0),MATCH(Q$1,'Master data'!$B$1:$CL$1,0)),"")</f>
        <v/>
      </c>
    </row>
    <row r="673" spans="1:17" hidden="1">
      <c r="A673" t="str">
        <f t="shared" si="10"/>
        <v/>
      </c>
      <c r="B673" t="str">
        <f>IF('Master data'!A673="","",'Master data'!A673)</f>
        <v/>
      </c>
      <c r="C673" t="str">
        <f>IFERROR(INDEX('Master data'!$B$2:$CL$1000,MATCH($B673,'Master data'!$A$2:$A$1000,0),MATCH(C$1,'Master data'!$B$1:$CL$1,0)),"")</f>
        <v/>
      </c>
      <c r="D673" t="str">
        <f>IFERROR(INDEX('Master data'!$B$2:$CL$1000,MATCH($B673,'Master data'!$A$2:$A$1000,0),MATCH(D$1,'Master data'!$B$1:$CL$1,0)),"")</f>
        <v/>
      </c>
      <c r="E673" s="5" t="str">
        <f>IFERROR(INDEX('Master data'!$B$2:$CL$1000,MATCH($B673,'Master data'!$A$2:$A$1000,0),MATCH(E$1,'Master data'!$B$1:$CL$1,0)),"")</f>
        <v/>
      </c>
      <c r="F673" s="7" t="str">
        <f>IFERROR(INDEX('Master data'!$B$2:$CL$1000,MATCH($B673,'Master data'!$A$2:$A$1000,0),MATCH(F$1,'Master data'!$B$1:$CL$1,0)),"")</f>
        <v/>
      </c>
      <c r="G673" s="7" t="str">
        <f>IFERROR(INDEX('Master data'!$B$2:$CL$1000,MATCH($B673,'Master data'!$A$2:$A$1000,0),MATCH(G$1,'Master data'!$B$1:$CL$1,0)),"")</f>
        <v/>
      </c>
      <c r="H673" s="7" t="str">
        <f>IFERROR(INDEX('Master data'!$B$2:$CL$1000,MATCH($B673,'Master data'!$A$2:$A$1000,0),MATCH(H$1,'Master data'!$B$1:$CL$1,0)),"")</f>
        <v/>
      </c>
      <c r="I673" s="7" t="str">
        <f>IFERROR(INDEX('Master data'!$B$2:$CL$1000,MATCH($B673,'Master data'!$A$2:$A$1000,0),MATCH(I$1,'Master data'!$B$1:$CL$1,0)),"")</f>
        <v/>
      </c>
      <c r="J673" s="7" t="str">
        <f>IFERROR(INDEX('Master data'!$B$2:$CL$1000,MATCH($B673,'Master data'!$A$2:$A$1000,0),MATCH(J$1,'Master data'!$B$1:$CL$1,0)),"")</f>
        <v/>
      </c>
      <c r="K673" s="7" t="str">
        <f>IFERROR(INDEX('Master data'!$B$2:$CL$1000,MATCH($B673,'Master data'!$A$2:$A$1000,0),MATCH(K$1,'Master data'!$B$1:$CL$1,0)),"")</f>
        <v/>
      </c>
      <c r="L673" s="7" t="str">
        <f>IFERROR(INDEX('Master data'!$B$2:$CL$1000,MATCH($B673,'Master data'!$A$2:$A$1000,0),MATCH(L$1,'Master data'!$B$1:$CL$1,0)),"")</f>
        <v/>
      </c>
      <c r="M673" s="5" t="str">
        <f>IFERROR(INDEX('Master data'!$B$2:$CL$1000,MATCH($B673,'Master data'!$A$2:$A$1000,0),MATCH(M$1,'Master data'!$B$1:$CL$1,0)),"")</f>
        <v/>
      </c>
      <c r="N673" s="28" t="str">
        <f>IFERROR(INDEX('Master data'!$B$2:$CL$1000,MATCH($B673,'Master data'!$A$2:$A$1000,0),MATCH(N$1,'Master data'!$B$1:$CL$1,0)),"")</f>
        <v/>
      </c>
      <c r="O673" s="7" t="str">
        <f>IFERROR(INDEX('Master data'!$B$2:$CL$1000,MATCH($B673,'Master data'!$A$2:$A$1000,0),MATCH(O$1,'Master data'!$B$1:$CL$1,0)),"")</f>
        <v/>
      </c>
      <c r="P673" s="5" t="str">
        <f>IFERROR(INDEX('Master data'!$B$2:$CL$1000,MATCH($B673,'Master data'!$A$2:$A$1000,0),MATCH(P$1,'Master data'!$B$1:$CL$1,0)),"")</f>
        <v/>
      </c>
      <c r="Q673" s="5" t="str">
        <f>IFERROR(INDEX('Master data'!$B$2:$CL$1000,MATCH($B673,'Master data'!$A$2:$A$1000,0),MATCH(Q$1,'Master data'!$B$1:$CL$1,0)),"")</f>
        <v/>
      </c>
    </row>
    <row r="674" spans="1:17" hidden="1">
      <c r="A674" t="str">
        <f t="shared" si="10"/>
        <v/>
      </c>
      <c r="B674" t="str">
        <f>IF('Master data'!A674="","",'Master data'!A674)</f>
        <v/>
      </c>
      <c r="C674" t="str">
        <f>IFERROR(INDEX('Master data'!$B$2:$CL$1000,MATCH($B674,'Master data'!$A$2:$A$1000,0),MATCH(C$1,'Master data'!$B$1:$CL$1,0)),"")</f>
        <v/>
      </c>
      <c r="D674" t="str">
        <f>IFERROR(INDEX('Master data'!$B$2:$CL$1000,MATCH($B674,'Master data'!$A$2:$A$1000,0),MATCH(D$1,'Master data'!$B$1:$CL$1,0)),"")</f>
        <v/>
      </c>
      <c r="E674" s="5" t="str">
        <f>IFERROR(INDEX('Master data'!$B$2:$CL$1000,MATCH($B674,'Master data'!$A$2:$A$1000,0),MATCH(E$1,'Master data'!$B$1:$CL$1,0)),"")</f>
        <v/>
      </c>
      <c r="F674" s="7" t="str">
        <f>IFERROR(INDEX('Master data'!$B$2:$CL$1000,MATCH($B674,'Master data'!$A$2:$A$1000,0),MATCH(F$1,'Master data'!$B$1:$CL$1,0)),"")</f>
        <v/>
      </c>
      <c r="G674" s="7" t="str">
        <f>IFERROR(INDEX('Master data'!$B$2:$CL$1000,MATCH($B674,'Master data'!$A$2:$A$1000,0),MATCH(G$1,'Master data'!$B$1:$CL$1,0)),"")</f>
        <v/>
      </c>
      <c r="H674" s="7" t="str">
        <f>IFERROR(INDEX('Master data'!$B$2:$CL$1000,MATCH($B674,'Master data'!$A$2:$A$1000,0),MATCH(H$1,'Master data'!$B$1:$CL$1,0)),"")</f>
        <v/>
      </c>
      <c r="I674" s="7" t="str">
        <f>IFERROR(INDEX('Master data'!$B$2:$CL$1000,MATCH($B674,'Master data'!$A$2:$A$1000,0),MATCH(I$1,'Master data'!$B$1:$CL$1,0)),"")</f>
        <v/>
      </c>
      <c r="J674" s="7" t="str">
        <f>IFERROR(INDEX('Master data'!$B$2:$CL$1000,MATCH($B674,'Master data'!$A$2:$A$1000,0),MATCH(J$1,'Master data'!$B$1:$CL$1,0)),"")</f>
        <v/>
      </c>
      <c r="K674" s="7" t="str">
        <f>IFERROR(INDEX('Master data'!$B$2:$CL$1000,MATCH($B674,'Master data'!$A$2:$A$1000,0),MATCH(K$1,'Master data'!$B$1:$CL$1,0)),"")</f>
        <v/>
      </c>
      <c r="L674" s="7" t="str">
        <f>IFERROR(INDEX('Master data'!$B$2:$CL$1000,MATCH($B674,'Master data'!$A$2:$A$1000,0),MATCH(L$1,'Master data'!$B$1:$CL$1,0)),"")</f>
        <v/>
      </c>
      <c r="M674" s="5" t="str">
        <f>IFERROR(INDEX('Master data'!$B$2:$CL$1000,MATCH($B674,'Master data'!$A$2:$A$1000,0),MATCH(M$1,'Master data'!$B$1:$CL$1,0)),"")</f>
        <v/>
      </c>
      <c r="N674" s="28" t="str">
        <f>IFERROR(INDEX('Master data'!$B$2:$CL$1000,MATCH($B674,'Master data'!$A$2:$A$1000,0),MATCH(N$1,'Master data'!$B$1:$CL$1,0)),"")</f>
        <v/>
      </c>
      <c r="O674" s="7" t="str">
        <f>IFERROR(INDEX('Master data'!$B$2:$CL$1000,MATCH($B674,'Master data'!$A$2:$A$1000,0),MATCH(O$1,'Master data'!$B$1:$CL$1,0)),"")</f>
        <v/>
      </c>
      <c r="P674" s="5" t="str">
        <f>IFERROR(INDEX('Master data'!$B$2:$CL$1000,MATCH($B674,'Master data'!$A$2:$A$1000,0),MATCH(P$1,'Master data'!$B$1:$CL$1,0)),"")</f>
        <v/>
      </c>
      <c r="Q674" s="5" t="str">
        <f>IFERROR(INDEX('Master data'!$B$2:$CL$1000,MATCH($B674,'Master data'!$A$2:$A$1000,0),MATCH(Q$1,'Master data'!$B$1:$CL$1,0)),"")</f>
        <v/>
      </c>
    </row>
    <row r="675" spans="1:17" hidden="1">
      <c r="A675" t="str">
        <f t="shared" si="10"/>
        <v/>
      </c>
      <c r="B675" t="str">
        <f>IF('Master data'!A675="","",'Master data'!A675)</f>
        <v/>
      </c>
      <c r="C675" t="str">
        <f>IFERROR(INDEX('Master data'!$B$2:$CL$1000,MATCH($B675,'Master data'!$A$2:$A$1000,0),MATCH(C$1,'Master data'!$B$1:$CL$1,0)),"")</f>
        <v/>
      </c>
      <c r="D675" t="str">
        <f>IFERROR(INDEX('Master data'!$B$2:$CL$1000,MATCH($B675,'Master data'!$A$2:$A$1000,0),MATCH(D$1,'Master data'!$B$1:$CL$1,0)),"")</f>
        <v/>
      </c>
      <c r="E675" s="5" t="str">
        <f>IFERROR(INDEX('Master data'!$B$2:$CL$1000,MATCH($B675,'Master data'!$A$2:$A$1000,0),MATCH(E$1,'Master data'!$B$1:$CL$1,0)),"")</f>
        <v/>
      </c>
      <c r="F675" s="7" t="str">
        <f>IFERROR(INDEX('Master data'!$B$2:$CL$1000,MATCH($B675,'Master data'!$A$2:$A$1000,0),MATCH(F$1,'Master data'!$B$1:$CL$1,0)),"")</f>
        <v/>
      </c>
      <c r="G675" s="7" t="str">
        <f>IFERROR(INDEX('Master data'!$B$2:$CL$1000,MATCH($B675,'Master data'!$A$2:$A$1000,0),MATCH(G$1,'Master data'!$B$1:$CL$1,0)),"")</f>
        <v/>
      </c>
      <c r="H675" s="7" t="str">
        <f>IFERROR(INDEX('Master data'!$B$2:$CL$1000,MATCH($B675,'Master data'!$A$2:$A$1000,0),MATCH(H$1,'Master data'!$B$1:$CL$1,0)),"")</f>
        <v/>
      </c>
      <c r="I675" s="7" t="str">
        <f>IFERROR(INDEX('Master data'!$B$2:$CL$1000,MATCH($B675,'Master data'!$A$2:$A$1000,0),MATCH(I$1,'Master data'!$B$1:$CL$1,0)),"")</f>
        <v/>
      </c>
      <c r="J675" s="7" t="str">
        <f>IFERROR(INDEX('Master data'!$B$2:$CL$1000,MATCH($B675,'Master data'!$A$2:$A$1000,0),MATCH(J$1,'Master data'!$B$1:$CL$1,0)),"")</f>
        <v/>
      </c>
      <c r="K675" s="7" t="str">
        <f>IFERROR(INDEX('Master data'!$B$2:$CL$1000,MATCH($B675,'Master data'!$A$2:$A$1000,0),MATCH(K$1,'Master data'!$B$1:$CL$1,0)),"")</f>
        <v/>
      </c>
      <c r="L675" s="7" t="str">
        <f>IFERROR(INDEX('Master data'!$B$2:$CL$1000,MATCH($B675,'Master data'!$A$2:$A$1000,0),MATCH(L$1,'Master data'!$B$1:$CL$1,0)),"")</f>
        <v/>
      </c>
      <c r="M675" s="5" t="str">
        <f>IFERROR(INDEX('Master data'!$B$2:$CL$1000,MATCH($B675,'Master data'!$A$2:$A$1000,0),MATCH(M$1,'Master data'!$B$1:$CL$1,0)),"")</f>
        <v/>
      </c>
      <c r="N675" s="28" t="str">
        <f>IFERROR(INDEX('Master data'!$B$2:$CL$1000,MATCH($B675,'Master data'!$A$2:$A$1000,0),MATCH(N$1,'Master data'!$B$1:$CL$1,0)),"")</f>
        <v/>
      </c>
      <c r="O675" s="7" t="str">
        <f>IFERROR(INDEX('Master data'!$B$2:$CL$1000,MATCH($B675,'Master data'!$A$2:$A$1000,0),MATCH(O$1,'Master data'!$B$1:$CL$1,0)),"")</f>
        <v/>
      </c>
      <c r="P675" s="5" t="str">
        <f>IFERROR(INDEX('Master data'!$B$2:$CL$1000,MATCH($B675,'Master data'!$A$2:$A$1000,0),MATCH(P$1,'Master data'!$B$1:$CL$1,0)),"")</f>
        <v/>
      </c>
      <c r="Q675" s="5" t="str">
        <f>IFERROR(INDEX('Master data'!$B$2:$CL$1000,MATCH($B675,'Master data'!$A$2:$A$1000,0),MATCH(Q$1,'Master data'!$B$1:$CL$1,0)),"")</f>
        <v/>
      </c>
    </row>
    <row r="676" spans="1:17" hidden="1">
      <c r="A676" t="str">
        <f t="shared" si="10"/>
        <v/>
      </c>
      <c r="B676" t="str">
        <f>IF('Master data'!A676="","",'Master data'!A676)</f>
        <v/>
      </c>
      <c r="C676" t="str">
        <f>IFERROR(INDEX('Master data'!$B$2:$CL$1000,MATCH($B676,'Master data'!$A$2:$A$1000,0),MATCH(C$1,'Master data'!$B$1:$CL$1,0)),"")</f>
        <v/>
      </c>
      <c r="D676" t="str">
        <f>IFERROR(INDEX('Master data'!$B$2:$CL$1000,MATCH($B676,'Master data'!$A$2:$A$1000,0),MATCH(D$1,'Master data'!$B$1:$CL$1,0)),"")</f>
        <v/>
      </c>
      <c r="E676" s="5" t="str">
        <f>IFERROR(INDEX('Master data'!$B$2:$CL$1000,MATCH($B676,'Master data'!$A$2:$A$1000,0),MATCH(E$1,'Master data'!$B$1:$CL$1,0)),"")</f>
        <v/>
      </c>
      <c r="F676" s="7" t="str">
        <f>IFERROR(INDEX('Master data'!$B$2:$CL$1000,MATCH($B676,'Master data'!$A$2:$A$1000,0),MATCH(F$1,'Master data'!$B$1:$CL$1,0)),"")</f>
        <v/>
      </c>
      <c r="G676" s="7" t="str">
        <f>IFERROR(INDEX('Master data'!$B$2:$CL$1000,MATCH($B676,'Master data'!$A$2:$A$1000,0),MATCH(G$1,'Master data'!$B$1:$CL$1,0)),"")</f>
        <v/>
      </c>
      <c r="H676" s="7" t="str">
        <f>IFERROR(INDEX('Master data'!$B$2:$CL$1000,MATCH($B676,'Master data'!$A$2:$A$1000,0),MATCH(H$1,'Master data'!$B$1:$CL$1,0)),"")</f>
        <v/>
      </c>
      <c r="I676" s="7" t="str">
        <f>IFERROR(INDEX('Master data'!$B$2:$CL$1000,MATCH($B676,'Master data'!$A$2:$A$1000,0),MATCH(I$1,'Master data'!$B$1:$CL$1,0)),"")</f>
        <v/>
      </c>
      <c r="J676" s="7" t="str">
        <f>IFERROR(INDEX('Master data'!$B$2:$CL$1000,MATCH($B676,'Master data'!$A$2:$A$1000,0),MATCH(J$1,'Master data'!$B$1:$CL$1,0)),"")</f>
        <v/>
      </c>
      <c r="K676" s="7" t="str">
        <f>IFERROR(INDEX('Master data'!$B$2:$CL$1000,MATCH($B676,'Master data'!$A$2:$A$1000,0),MATCH(K$1,'Master data'!$B$1:$CL$1,0)),"")</f>
        <v/>
      </c>
      <c r="L676" s="7" t="str">
        <f>IFERROR(INDEX('Master data'!$B$2:$CL$1000,MATCH($B676,'Master data'!$A$2:$A$1000,0),MATCH(L$1,'Master data'!$B$1:$CL$1,0)),"")</f>
        <v/>
      </c>
      <c r="M676" s="5" t="str">
        <f>IFERROR(INDEX('Master data'!$B$2:$CL$1000,MATCH($B676,'Master data'!$A$2:$A$1000,0),MATCH(M$1,'Master data'!$B$1:$CL$1,0)),"")</f>
        <v/>
      </c>
      <c r="N676" s="28" t="str">
        <f>IFERROR(INDEX('Master data'!$B$2:$CL$1000,MATCH($B676,'Master data'!$A$2:$A$1000,0),MATCH(N$1,'Master data'!$B$1:$CL$1,0)),"")</f>
        <v/>
      </c>
      <c r="O676" s="7" t="str">
        <f>IFERROR(INDEX('Master data'!$B$2:$CL$1000,MATCH($B676,'Master data'!$A$2:$A$1000,0),MATCH(O$1,'Master data'!$B$1:$CL$1,0)),"")</f>
        <v/>
      </c>
      <c r="P676" s="5" t="str">
        <f>IFERROR(INDEX('Master data'!$B$2:$CL$1000,MATCH($B676,'Master data'!$A$2:$A$1000,0),MATCH(P$1,'Master data'!$B$1:$CL$1,0)),"")</f>
        <v/>
      </c>
      <c r="Q676" s="5" t="str">
        <f>IFERROR(INDEX('Master data'!$B$2:$CL$1000,MATCH($B676,'Master data'!$A$2:$A$1000,0),MATCH(Q$1,'Master data'!$B$1:$CL$1,0)),"")</f>
        <v/>
      </c>
    </row>
    <row r="677" spans="1:17" hidden="1">
      <c r="A677" t="str">
        <f t="shared" si="10"/>
        <v/>
      </c>
      <c r="B677" t="str">
        <f>IF('Master data'!A677="","",'Master data'!A677)</f>
        <v/>
      </c>
      <c r="C677" t="str">
        <f>IFERROR(INDEX('Master data'!$B$2:$CL$1000,MATCH($B677,'Master data'!$A$2:$A$1000,0),MATCH(C$1,'Master data'!$B$1:$CL$1,0)),"")</f>
        <v/>
      </c>
      <c r="D677" t="str">
        <f>IFERROR(INDEX('Master data'!$B$2:$CL$1000,MATCH($B677,'Master data'!$A$2:$A$1000,0),MATCH(D$1,'Master data'!$B$1:$CL$1,0)),"")</f>
        <v/>
      </c>
      <c r="E677" s="5" t="str">
        <f>IFERROR(INDEX('Master data'!$B$2:$CL$1000,MATCH($B677,'Master data'!$A$2:$A$1000,0),MATCH(E$1,'Master data'!$B$1:$CL$1,0)),"")</f>
        <v/>
      </c>
      <c r="F677" s="7" t="str">
        <f>IFERROR(INDEX('Master data'!$B$2:$CL$1000,MATCH($B677,'Master data'!$A$2:$A$1000,0),MATCH(F$1,'Master data'!$B$1:$CL$1,0)),"")</f>
        <v/>
      </c>
      <c r="G677" s="7" t="str">
        <f>IFERROR(INDEX('Master data'!$B$2:$CL$1000,MATCH($B677,'Master data'!$A$2:$A$1000,0),MATCH(G$1,'Master data'!$B$1:$CL$1,0)),"")</f>
        <v/>
      </c>
      <c r="H677" s="7" t="str">
        <f>IFERROR(INDEX('Master data'!$B$2:$CL$1000,MATCH($B677,'Master data'!$A$2:$A$1000,0),MATCH(H$1,'Master data'!$B$1:$CL$1,0)),"")</f>
        <v/>
      </c>
      <c r="I677" s="7" t="str">
        <f>IFERROR(INDEX('Master data'!$B$2:$CL$1000,MATCH($B677,'Master data'!$A$2:$A$1000,0),MATCH(I$1,'Master data'!$B$1:$CL$1,0)),"")</f>
        <v/>
      </c>
      <c r="J677" s="7" t="str">
        <f>IFERROR(INDEX('Master data'!$B$2:$CL$1000,MATCH($B677,'Master data'!$A$2:$A$1000,0),MATCH(J$1,'Master data'!$B$1:$CL$1,0)),"")</f>
        <v/>
      </c>
      <c r="K677" s="7" t="str">
        <f>IFERROR(INDEX('Master data'!$B$2:$CL$1000,MATCH($B677,'Master data'!$A$2:$A$1000,0),MATCH(K$1,'Master data'!$B$1:$CL$1,0)),"")</f>
        <v/>
      </c>
      <c r="L677" s="7" t="str">
        <f>IFERROR(INDEX('Master data'!$B$2:$CL$1000,MATCH($B677,'Master data'!$A$2:$A$1000,0),MATCH(L$1,'Master data'!$B$1:$CL$1,0)),"")</f>
        <v/>
      </c>
      <c r="M677" s="5" t="str">
        <f>IFERROR(INDEX('Master data'!$B$2:$CL$1000,MATCH($B677,'Master data'!$A$2:$A$1000,0),MATCH(M$1,'Master data'!$B$1:$CL$1,0)),"")</f>
        <v/>
      </c>
      <c r="N677" s="28" t="str">
        <f>IFERROR(INDEX('Master data'!$B$2:$CL$1000,MATCH($B677,'Master data'!$A$2:$A$1000,0),MATCH(N$1,'Master data'!$B$1:$CL$1,0)),"")</f>
        <v/>
      </c>
      <c r="O677" s="7" t="str">
        <f>IFERROR(INDEX('Master data'!$B$2:$CL$1000,MATCH($B677,'Master data'!$A$2:$A$1000,0),MATCH(O$1,'Master data'!$B$1:$CL$1,0)),"")</f>
        <v/>
      </c>
      <c r="P677" s="5" t="str">
        <f>IFERROR(INDEX('Master data'!$B$2:$CL$1000,MATCH($B677,'Master data'!$A$2:$A$1000,0),MATCH(P$1,'Master data'!$B$1:$CL$1,0)),"")</f>
        <v/>
      </c>
      <c r="Q677" s="5" t="str">
        <f>IFERROR(INDEX('Master data'!$B$2:$CL$1000,MATCH($B677,'Master data'!$A$2:$A$1000,0),MATCH(Q$1,'Master data'!$B$1:$CL$1,0)),"")</f>
        <v/>
      </c>
    </row>
    <row r="678" spans="1:17" hidden="1">
      <c r="A678" t="str">
        <f t="shared" si="10"/>
        <v/>
      </c>
      <c r="B678" t="str">
        <f>IF('Master data'!A678="","",'Master data'!A678)</f>
        <v/>
      </c>
      <c r="C678" t="str">
        <f>IFERROR(INDEX('Master data'!$B$2:$CL$1000,MATCH($B678,'Master data'!$A$2:$A$1000,0),MATCH(C$1,'Master data'!$B$1:$CL$1,0)),"")</f>
        <v/>
      </c>
      <c r="D678" t="str">
        <f>IFERROR(INDEX('Master data'!$B$2:$CL$1000,MATCH($B678,'Master data'!$A$2:$A$1000,0),MATCH(D$1,'Master data'!$B$1:$CL$1,0)),"")</f>
        <v/>
      </c>
      <c r="E678" s="5" t="str">
        <f>IFERROR(INDEX('Master data'!$B$2:$CL$1000,MATCH($B678,'Master data'!$A$2:$A$1000,0),MATCH(E$1,'Master data'!$B$1:$CL$1,0)),"")</f>
        <v/>
      </c>
      <c r="F678" s="7" t="str">
        <f>IFERROR(INDEX('Master data'!$B$2:$CL$1000,MATCH($B678,'Master data'!$A$2:$A$1000,0),MATCH(F$1,'Master data'!$B$1:$CL$1,0)),"")</f>
        <v/>
      </c>
      <c r="G678" s="7" t="str">
        <f>IFERROR(INDEX('Master data'!$B$2:$CL$1000,MATCH($B678,'Master data'!$A$2:$A$1000,0),MATCH(G$1,'Master data'!$B$1:$CL$1,0)),"")</f>
        <v/>
      </c>
      <c r="H678" s="7" t="str">
        <f>IFERROR(INDEX('Master data'!$B$2:$CL$1000,MATCH($B678,'Master data'!$A$2:$A$1000,0),MATCH(H$1,'Master data'!$B$1:$CL$1,0)),"")</f>
        <v/>
      </c>
      <c r="I678" s="7" t="str">
        <f>IFERROR(INDEX('Master data'!$B$2:$CL$1000,MATCH($B678,'Master data'!$A$2:$A$1000,0),MATCH(I$1,'Master data'!$B$1:$CL$1,0)),"")</f>
        <v/>
      </c>
      <c r="J678" s="7" t="str">
        <f>IFERROR(INDEX('Master data'!$B$2:$CL$1000,MATCH($B678,'Master data'!$A$2:$A$1000,0),MATCH(J$1,'Master data'!$B$1:$CL$1,0)),"")</f>
        <v/>
      </c>
      <c r="K678" s="7" t="str">
        <f>IFERROR(INDEX('Master data'!$B$2:$CL$1000,MATCH($B678,'Master data'!$A$2:$A$1000,0),MATCH(K$1,'Master data'!$B$1:$CL$1,0)),"")</f>
        <v/>
      </c>
      <c r="L678" s="7" t="str">
        <f>IFERROR(INDEX('Master data'!$B$2:$CL$1000,MATCH($B678,'Master data'!$A$2:$A$1000,0),MATCH(L$1,'Master data'!$B$1:$CL$1,0)),"")</f>
        <v/>
      </c>
      <c r="M678" s="5" t="str">
        <f>IFERROR(INDEX('Master data'!$B$2:$CL$1000,MATCH($B678,'Master data'!$A$2:$A$1000,0),MATCH(M$1,'Master data'!$B$1:$CL$1,0)),"")</f>
        <v/>
      </c>
      <c r="N678" s="28" t="str">
        <f>IFERROR(INDEX('Master data'!$B$2:$CL$1000,MATCH($B678,'Master data'!$A$2:$A$1000,0),MATCH(N$1,'Master data'!$B$1:$CL$1,0)),"")</f>
        <v/>
      </c>
      <c r="O678" s="7" t="str">
        <f>IFERROR(INDEX('Master data'!$B$2:$CL$1000,MATCH($B678,'Master data'!$A$2:$A$1000,0),MATCH(O$1,'Master data'!$B$1:$CL$1,0)),"")</f>
        <v/>
      </c>
      <c r="P678" s="5" t="str">
        <f>IFERROR(INDEX('Master data'!$B$2:$CL$1000,MATCH($B678,'Master data'!$A$2:$A$1000,0),MATCH(P$1,'Master data'!$B$1:$CL$1,0)),"")</f>
        <v/>
      </c>
      <c r="Q678" s="5" t="str">
        <f>IFERROR(INDEX('Master data'!$B$2:$CL$1000,MATCH($B678,'Master data'!$A$2:$A$1000,0),MATCH(Q$1,'Master data'!$B$1:$CL$1,0)),"")</f>
        <v/>
      </c>
    </row>
    <row r="679" spans="1:17" hidden="1">
      <c r="A679" t="str">
        <f t="shared" si="10"/>
        <v/>
      </c>
      <c r="B679" t="str">
        <f>IF('Master data'!A679="","",'Master data'!A679)</f>
        <v/>
      </c>
      <c r="C679" t="str">
        <f>IFERROR(INDEX('Master data'!$B$2:$CL$1000,MATCH($B679,'Master data'!$A$2:$A$1000,0),MATCH(C$1,'Master data'!$B$1:$CL$1,0)),"")</f>
        <v/>
      </c>
      <c r="D679" t="str">
        <f>IFERROR(INDEX('Master data'!$B$2:$CL$1000,MATCH($B679,'Master data'!$A$2:$A$1000,0),MATCH(D$1,'Master data'!$B$1:$CL$1,0)),"")</f>
        <v/>
      </c>
      <c r="E679" s="5" t="str">
        <f>IFERROR(INDEX('Master data'!$B$2:$CL$1000,MATCH($B679,'Master data'!$A$2:$A$1000,0),MATCH(E$1,'Master data'!$B$1:$CL$1,0)),"")</f>
        <v/>
      </c>
      <c r="F679" s="7" t="str">
        <f>IFERROR(INDEX('Master data'!$B$2:$CL$1000,MATCH($B679,'Master data'!$A$2:$A$1000,0),MATCH(F$1,'Master data'!$B$1:$CL$1,0)),"")</f>
        <v/>
      </c>
      <c r="G679" s="7" t="str">
        <f>IFERROR(INDEX('Master data'!$B$2:$CL$1000,MATCH($B679,'Master data'!$A$2:$A$1000,0),MATCH(G$1,'Master data'!$B$1:$CL$1,0)),"")</f>
        <v/>
      </c>
      <c r="H679" s="7" t="str">
        <f>IFERROR(INDEX('Master data'!$B$2:$CL$1000,MATCH($B679,'Master data'!$A$2:$A$1000,0),MATCH(H$1,'Master data'!$B$1:$CL$1,0)),"")</f>
        <v/>
      </c>
      <c r="I679" s="7" t="str">
        <f>IFERROR(INDEX('Master data'!$B$2:$CL$1000,MATCH($B679,'Master data'!$A$2:$A$1000,0),MATCH(I$1,'Master data'!$B$1:$CL$1,0)),"")</f>
        <v/>
      </c>
      <c r="J679" s="7" t="str">
        <f>IFERROR(INDEX('Master data'!$B$2:$CL$1000,MATCH($B679,'Master data'!$A$2:$A$1000,0),MATCH(J$1,'Master data'!$B$1:$CL$1,0)),"")</f>
        <v/>
      </c>
      <c r="K679" s="7" t="str">
        <f>IFERROR(INDEX('Master data'!$B$2:$CL$1000,MATCH($B679,'Master data'!$A$2:$A$1000,0),MATCH(K$1,'Master data'!$B$1:$CL$1,0)),"")</f>
        <v/>
      </c>
      <c r="L679" s="7" t="str">
        <f>IFERROR(INDEX('Master data'!$B$2:$CL$1000,MATCH($B679,'Master data'!$A$2:$A$1000,0),MATCH(L$1,'Master data'!$B$1:$CL$1,0)),"")</f>
        <v/>
      </c>
      <c r="M679" s="5" t="str">
        <f>IFERROR(INDEX('Master data'!$B$2:$CL$1000,MATCH($B679,'Master data'!$A$2:$A$1000,0),MATCH(M$1,'Master data'!$B$1:$CL$1,0)),"")</f>
        <v/>
      </c>
      <c r="N679" s="28" t="str">
        <f>IFERROR(INDEX('Master data'!$B$2:$CL$1000,MATCH($B679,'Master data'!$A$2:$A$1000,0),MATCH(N$1,'Master data'!$B$1:$CL$1,0)),"")</f>
        <v/>
      </c>
      <c r="O679" s="7" t="str">
        <f>IFERROR(INDEX('Master data'!$B$2:$CL$1000,MATCH($B679,'Master data'!$A$2:$A$1000,0),MATCH(O$1,'Master data'!$B$1:$CL$1,0)),"")</f>
        <v/>
      </c>
      <c r="P679" s="5" t="str">
        <f>IFERROR(INDEX('Master data'!$B$2:$CL$1000,MATCH($B679,'Master data'!$A$2:$A$1000,0),MATCH(P$1,'Master data'!$B$1:$CL$1,0)),"")</f>
        <v/>
      </c>
      <c r="Q679" s="5" t="str">
        <f>IFERROR(INDEX('Master data'!$B$2:$CL$1000,MATCH($B679,'Master data'!$A$2:$A$1000,0),MATCH(Q$1,'Master data'!$B$1:$CL$1,0)),"")</f>
        <v/>
      </c>
    </row>
    <row r="680" spans="1:17" hidden="1">
      <c r="A680" t="str">
        <f t="shared" si="10"/>
        <v/>
      </c>
      <c r="B680" t="str">
        <f>IF('Master data'!A680="","",'Master data'!A680)</f>
        <v/>
      </c>
      <c r="C680" t="str">
        <f>IFERROR(INDEX('Master data'!$B$2:$CL$1000,MATCH($B680,'Master data'!$A$2:$A$1000,0),MATCH(C$1,'Master data'!$B$1:$CL$1,0)),"")</f>
        <v/>
      </c>
      <c r="D680" t="str">
        <f>IFERROR(INDEX('Master data'!$B$2:$CL$1000,MATCH($B680,'Master data'!$A$2:$A$1000,0),MATCH(D$1,'Master data'!$B$1:$CL$1,0)),"")</f>
        <v/>
      </c>
      <c r="E680" s="5" t="str">
        <f>IFERROR(INDEX('Master data'!$B$2:$CL$1000,MATCH($B680,'Master data'!$A$2:$A$1000,0),MATCH(E$1,'Master data'!$B$1:$CL$1,0)),"")</f>
        <v/>
      </c>
      <c r="F680" s="7" t="str">
        <f>IFERROR(INDEX('Master data'!$B$2:$CL$1000,MATCH($B680,'Master data'!$A$2:$A$1000,0),MATCH(F$1,'Master data'!$B$1:$CL$1,0)),"")</f>
        <v/>
      </c>
      <c r="G680" s="7" t="str">
        <f>IFERROR(INDEX('Master data'!$B$2:$CL$1000,MATCH($B680,'Master data'!$A$2:$A$1000,0),MATCH(G$1,'Master data'!$B$1:$CL$1,0)),"")</f>
        <v/>
      </c>
      <c r="H680" s="7" t="str">
        <f>IFERROR(INDEX('Master data'!$B$2:$CL$1000,MATCH($B680,'Master data'!$A$2:$A$1000,0),MATCH(H$1,'Master data'!$B$1:$CL$1,0)),"")</f>
        <v/>
      </c>
      <c r="I680" s="7" t="str">
        <f>IFERROR(INDEX('Master data'!$B$2:$CL$1000,MATCH($B680,'Master data'!$A$2:$A$1000,0),MATCH(I$1,'Master data'!$B$1:$CL$1,0)),"")</f>
        <v/>
      </c>
      <c r="J680" s="7" t="str">
        <f>IFERROR(INDEX('Master data'!$B$2:$CL$1000,MATCH($B680,'Master data'!$A$2:$A$1000,0),MATCH(J$1,'Master data'!$B$1:$CL$1,0)),"")</f>
        <v/>
      </c>
      <c r="K680" s="7" t="str">
        <f>IFERROR(INDEX('Master data'!$B$2:$CL$1000,MATCH($B680,'Master data'!$A$2:$A$1000,0),MATCH(K$1,'Master data'!$B$1:$CL$1,0)),"")</f>
        <v/>
      </c>
      <c r="L680" s="7" t="str">
        <f>IFERROR(INDEX('Master data'!$B$2:$CL$1000,MATCH($B680,'Master data'!$A$2:$A$1000,0),MATCH(L$1,'Master data'!$B$1:$CL$1,0)),"")</f>
        <v/>
      </c>
      <c r="M680" s="5" t="str">
        <f>IFERROR(INDEX('Master data'!$B$2:$CL$1000,MATCH($B680,'Master data'!$A$2:$A$1000,0),MATCH(M$1,'Master data'!$B$1:$CL$1,0)),"")</f>
        <v/>
      </c>
      <c r="N680" s="28" t="str">
        <f>IFERROR(INDEX('Master data'!$B$2:$CL$1000,MATCH($B680,'Master data'!$A$2:$A$1000,0),MATCH(N$1,'Master data'!$B$1:$CL$1,0)),"")</f>
        <v/>
      </c>
      <c r="O680" s="7" t="str">
        <f>IFERROR(INDEX('Master data'!$B$2:$CL$1000,MATCH($B680,'Master data'!$A$2:$A$1000,0),MATCH(O$1,'Master data'!$B$1:$CL$1,0)),"")</f>
        <v/>
      </c>
      <c r="P680" s="5" t="str">
        <f>IFERROR(INDEX('Master data'!$B$2:$CL$1000,MATCH($B680,'Master data'!$A$2:$A$1000,0),MATCH(P$1,'Master data'!$B$1:$CL$1,0)),"")</f>
        <v/>
      </c>
      <c r="Q680" s="5" t="str">
        <f>IFERROR(INDEX('Master data'!$B$2:$CL$1000,MATCH($B680,'Master data'!$A$2:$A$1000,0),MATCH(Q$1,'Master data'!$B$1:$CL$1,0)),"")</f>
        <v/>
      </c>
    </row>
    <row r="681" spans="1:17" hidden="1">
      <c r="A681" t="str">
        <f t="shared" si="10"/>
        <v/>
      </c>
      <c r="B681" t="str">
        <f>IF('Master data'!A681="","",'Master data'!A681)</f>
        <v/>
      </c>
      <c r="C681" t="str">
        <f>IFERROR(INDEX('Master data'!$B$2:$CL$1000,MATCH($B681,'Master data'!$A$2:$A$1000,0),MATCH(C$1,'Master data'!$B$1:$CL$1,0)),"")</f>
        <v/>
      </c>
      <c r="D681" t="str">
        <f>IFERROR(INDEX('Master data'!$B$2:$CL$1000,MATCH($B681,'Master data'!$A$2:$A$1000,0),MATCH(D$1,'Master data'!$B$1:$CL$1,0)),"")</f>
        <v/>
      </c>
      <c r="E681" s="5" t="str">
        <f>IFERROR(INDEX('Master data'!$B$2:$CL$1000,MATCH($B681,'Master data'!$A$2:$A$1000,0),MATCH(E$1,'Master data'!$B$1:$CL$1,0)),"")</f>
        <v/>
      </c>
      <c r="F681" s="7" t="str">
        <f>IFERROR(INDEX('Master data'!$B$2:$CL$1000,MATCH($B681,'Master data'!$A$2:$A$1000,0),MATCH(F$1,'Master data'!$B$1:$CL$1,0)),"")</f>
        <v/>
      </c>
      <c r="G681" s="7" t="str">
        <f>IFERROR(INDEX('Master data'!$B$2:$CL$1000,MATCH($B681,'Master data'!$A$2:$A$1000,0),MATCH(G$1,'Master data'!$B$1:$CL$1,0)),"")</f>
        <v/>
      </c>
      <c r="H681" s="7" t="str">
        <f>IFERROR(INDEX('Master data'!$B$2:$CL$1000,MATCH($B681,'Master data'!$A$2:$A$1000,0),MATCH(H$1,'Master data'!$B$1:$CL$1,0)),"")</f>
        <v/>
      </c>
      <c r="I681" s="7" t="str">
        <f>IFERROR(INDEX('Master data'!$B$2:$CL$1000,MATCH($B681,'Master data'!$A$2:$A$1000,0),MATCH(I$1,'Master data'!$B$1:$CL$1,0)),"")</f>
        <v/>
      </c>
      <c r="J681" s="7" t="str">
        <f>IFERROR(INDEX('Master data'!$B$2:$CL$1000,MATCH($B681,'Master data'!$A$2:$A$1000,0),MATCH(J$1,'Master data'!$B$1:$CL$1,0)),"")</f>
        <v/>
      </c>
      <c r="K681" s="7" t="str">
        <f>IFERROR(INDEX('Master data'!$B$2:$CL$1000,MATCH($B681,'Master data'!$A$2:$A$1000,0),MATCH(K$1,'Master data'!$B$1:$CL$1,0)),"")</f>
        <v/>
      </c>
      <c r="L681" s="7" t="str">
        <f>IFERROR(INDEX('Master data'!$B$2:$CL$1000,MATCH($B681,'Master data'!$A$2:$A$1000,0),MATCH(L$1,'Master data'!$B$1:$CL$1,0)),"")</f>
        <v/>
      </c>
      <c r="M681" s="5" t="str">
        <f>IFERROR(INDEX('Master data'!$B$2:$CL$1000,MATCH($B681,'Master data'!$A$2:$A$1000,0),MATCH(M$1,'Master data'!$B$1:$CL$1,0)),"")</f>
        <v/>
      </c>
      <c r="N681" s="28" t="str">
        <f>IFERROR(INDEX('Master data'!$B$2:$CL$1000,MATCH($B681,'Master data'!$A$2:$A$1000,0),MATCH(N$1,'Master data'!$B$1:$CL$1,0)),"")</f>
        <v/>
      </c>
      <c r="O681" s="7" t="str">
        <f>IFERROR(INDEX('Master data'!$B$2:$CL$1000,MATCH($B681,'Master data'!$A$2:$A$1000,0),MATCH(O$1,'Master data'!$B$1:$CL$1,0)),"")</f>
        <v/>
      </c>
      <c r="P681" s="5" t="str">
        <f>IFERROR(INDEX('Master data'!$B$2:$CL$1000,MATCH($B681,'Master data'!$A$2:$A$1000,0),MATCH(P$1,'Master data'!$B$1:$CL$1,0)),"")</f>
        <v/>
      </c>
      <c r="Q681" s="5" t="str">
        <f>IFERROR(INDEX('Master data'!$B$2:$CL$1000,MATCH($B681,'Master data'!$A$2:$A$1000,0),MATCH(Q$1,'Master data'!$B$1:$CL$1,0)),"")</f>
        <v/>
      </c>
    </row>
    <row r="682" spans="1:17" hidden="1">
      <c r="A682" t="str">
        <f t="shared" si="10"/>
        <v/>
      </c>
      <c r="B682" t="str">
        <f>IF('Master data'!A682="","",'Master data'!A682)</f>
        <v/>
      </c>
      <c r="C682" t="str">
        <f>IFERROR(INDEX('Master data'!$B$2:$CL$1000,MATCH($B682,'Master data'!$A$2:$A$1000,0),MATCH(C$1,'Master data'!$B$1:$CL$1,0)),"")</f>
        <v/>
      </c>
      <c r="D682" t="str">
        <f>IFERROR(INDEX('Master data'!$B$2:$CL$1000,MATCH($B682,'Master data'!$A$2:$A$1000,0),MATCH(D$1,'Master data'!$B$1:$CL$1,0)),"")</f>
        <v/>
      </c>
      <c r="E682" s="5" t="str">
        <f>IFERROR(INDEX('Master data'!$B$2:$CL$1000,MATCH($B682,'Master data'!$A$2:$A$1000,0),MATCH(E$1,'Master data'!$B$1:$CL$1,0)),"")</f>
        <v/>
      </c>
      <c r="F682" s="7" t="str">
        <f>IFERROR(INDEX('Master data'!$B$2:$CL$1000,MATCH($B682,'Master data'!$A$2:$A$1000,0),MATCH(F$1,'Master data'!$B$1:$CL$1,0)),"")</f>
        <v/>
      </c>
      <c r="G682" s="7" t="str">
        <f>IFERROR(INDEX('Master data'!$B$2:$CL$1000,MATCH($B682,'Master data'!$A$2:$A$1000,0),MATCH(G$1,'Master data'!$B$1:$CL$1,0)),"")</f>
        <v/>
      </c>
      <c r="H682" s="7" t="str">
        <f>IFERROR(INDEX('Master data'!$B$2:$CL$1000,MATCH($B682,'Master data'!$A$2:$A$1000,0),MATCH(H$1,'Master data'!$B$1:$CL$1,0)),"")</f>
        <v/>
      </c>
      <c r="I682" s="7" t="str">
        <f>IFERROR(INDEX('Master data'!$B$2:$CL$1000,MATCH($B682,'Master data'!$A$2:$A$1000,0),MATCH(I$1,'Master data'!$B$1:$CL$1,0)),"")</f>
        <v/>
      </c>
      <c r="J682" s="7" t="str">
        <f>IFERROR(INDEX('Master data'!$B$2:$CL$1000,MATCH($B682,'Master data'!$A$2:$A$1000,0),MATCH(J$1,'Master data'!$B$1:$CL$1,0)),"")</f>
        <v/>
      </c>
      <c r="K682" s="7" t="str">
        <f>IFERROR(INDEX('Master data'!$B$2:$CL$1000,MATCH($B682,'Master data'!$A$2:$A$1000,0),MATCH(K$1,'Master data'!$B$1:$CL$1,0)),"")</f>
        <v/>
      </c>
      <c r="L682" s="7" t="str">
        <f>IFERROR(INDEX('Master data'!$B$2:$CL$1000,MATCH($B682,'Master data'!$A$2:$A$1000,0),MATCH(L$1,'Master data'!$B$1:$CL$1,0)),"")</f>
        <v/>
      </c>
      <c r="M682" s="5" t="str">
        <f>IFERROR(INDEX('Master data'!$B$2:$CL$1000,MATCH($B682,'Master data'!$A$2:$A$1000,0),MATCH(M$1,'Master data'!$B$1:$CL$1,0)),"")</f>
        <v/>
      </c>
      <c r="N682" s="28" t="str">
        <f>IFERROR(INDEX('Master data'!$B$2:$CL$1000,MATCH($B682,'Master data'!$A$2:$A$1000,0),MATCH(N$1,'Master data'!$B$1:$CL$1,0)),"")</f>
        <v/>
      </c>
      <c r="O682" s="7" t="str">
        <f>IFERROR(INDEX('Master data'!$B$2:$CL$1000,MATCH($B682,'Master data'!$A$2:$A$1000,0),MATCH(O$1,'Master data'!$B$1:$CL$1,0)),"")</f>
        <v/>
      </c>
      <c r="P682" s="5" t="str">
        <f>IFERROR(INDEX('Master data'!$B$2:$CL$1000,MATCH($B682,'Master data'!$A$2:$A$1000,0),MATCH(P$1,'Master data'!$B$1:$CL$1,0)),"")</f>
        <v/>
      </c>
      <c r="Q682" s="5" t="str">
        <f>IFERROR(INDEX('Master data'!$B$2:$CL$1000,MATCH($B682,'Master data'!$A$2:$A$1000,0),MATCH(Q$1,'Master data'!$B$1:$CL$1,0)),"")</f>
        <v/>
      </c>
    </row>
    <row r="683" spans="1:17" hidden="1">
      <c r="A683" t="str">
        <f t="shared" si="10"/>
        <v/>
      </c>
      <c r="B683" t="str">
        <f>IF('Master data'!A683="","",'Master data'!A683)</f>
        <v/>
      </c>
      <c r="C683" t="str">
        <f>IFERROR(INDEX('Master data'!$B$2:$CL$1000,MATCH($B683,'Master data'!$A$2:$A$1000,0),MATCH(C$1,'Master data'!$B$1:$CL$1,0)),"")</f>
        <v/>
      </c>
      <c r="D683" t="str">
        <f>IFERROR(INDEX('Master data'!$B$2:$CL$1000,MATCH($B683,'Master data'!$A$2:$A$1000,0),MATCH(D$1,'Master data'!$B$1:$CL$1,0)),"")</f>
        <v/>
      </c>
      <c r="E683" s="5" t="str">
        <f>IFERROR(INDEX('Master data'!$B$2:$CL$1000,MATCH($B683,'Master data'!$A$2:$A$1000,0),MATCH(E$1,'Master data'!$B$1:$CL$1,0)),"")</f>
        <v/>
      </c>
      <c r="F683" s="7" t="str">
        <f>IFERROR(INDEX('Master data'!$B$2:$CL$1000,MATCH($B683,'Master data'!$A$2:$A$1000,0),MATCH(F$1,'Master data'!$B$1:$CL$1,0)),"")</f>
        <v/>
      </c>
      <c r="G683" s="7" t="str">
        <f>IFERROR(INDEX('Master data'!$B$2:$CL$1000,MATCH($B683,'Master data'!$A$2:$A$1000,0),MATCH(G$1,'Master data'!$B$1:$CL$1,0)),"")</f>
        <v/>
      </c>
      <c r="H683" s="7" t="str">
        <f>IFERROR(INDEX('Master data'!$B$2:$CL$1000,MATCH($B683,'Master data'!$A$2:$A$1000,0),MATCH(H$1,'Master data'!$B$1:$CL$1,0)),"")</f>
        <v/>
      </c>
      <c r="I683" s="7" t="str">
        <f>IFERROR(INDEX('Master data'!$B$2:$CL$1000,MATCH($B683,'Master data'!$A$2:$A$1000,0),MATCH(I$1,'Master data'!$B$1:$CL$1,0)),"")</f>
        <v/>
      </c>
      <c r="J683" s="7" t="str">
        <f>IFERROR(INDEX('Master data'!$B$2:$CL$1000,MATCH($B683,'Master data'!$A$2:$A$1000,0),MATCH(J$1,'Master data'!$B$1:$CL$1,0)),"")</f>
        <v/>
      </c>
      <c r="K683" s="7" t="str">
        <f>IFERROR(INDEX('Master data'!$B$2:$CL$1000,MATCH($B683,'Master data'!$A$2:$A$1000,0),MATCH(K$1,'Master data'!$B$1:$CL$1,0)),"")</f>
        <v/>
      </c>
      <c r="L683" s="7" t="str">
        <f>IFERROR(INDEX('Master data'!$B$2:$CL$1000,MATCH($B683,'Master data'!$A$2:$A$1000,0),MATCH(L$1,'Master data'!$B$1:$CL$1,0)),"")</f>
        <v/>
      </c>
      <c r="M683" s="5" t="str">
        <f>IFERROR(INDEX('Master data'!$B$2:$CL$1000,MATCH($B683,'Master data'!$A$2:$A$1000,0),MATCH(M$1,'Master data'!$B$1:$CL$1,0)),"")</f>
        <v/>
      </c>
      <c r="N683" s="28" t="str">
        <f>IFERROR(INDEX('Master data'!$B$2:$CL$1000,MATCH($B683,'Master data'!$A$2:$A$1000,0),MATCH(N$1,'Master data'!$B$1:$CL$1,0)),"")</f>
        <v/>
      </c>
      <c r="O683" s="7" t="str">
        <f>IFERROR(INDEX('Master data'!$B$2:$CL$1000,MATCH($B683,'Master data'!$A$2:$A$1000,0),MATCH(O$1,'Master data'!$B$1:$CL$1,0)),"")</f>
        <v/>
      </c>
      <c r="P683" s="5" t="str">
        <f>IFERROR(INDEX('Master data'!$B$2:$CL$1000,MATCH($B683,'Master data'!$A$2:$A$1000,0),MATCH(P$1,'Master data'!$B$1:$CL$1,0)),"")</f>
        <v/>
      </c>
      <c r="Q683" s="5" t="str">
        <f>IFERROR(INDEX('Master data'!$B$2:$CL$1000,MATCH($B683,'Master data'!$A$2:$A$1000,0),MATCH(Q$1,'Master data'!$B$1:$CL$1,0)),"")</f>
        <v/>
      </c>
    </row>
    <row r="684" spans="1:17" hidden="1">
      <c r="A684" t="str">
        <f t="shared" si="10"/>
        <v/>
      </c>
      <c r="B684" t="str">
        <f>IF('Master data'!A684="","",'Master data'!A684)</f>
        <v/>
      </c>
      <c r="C684" t="str">
        <f>IFERROR(INDEX('Master data'!$B$2:$CL$1000,MATCH($B684,'Master data'!$A$2:$A$1000,0),MATCH(C$1,'Master data'!$B$1:$CL$1,0)),"")</f>
        <v/>
      </c>
      <c r="D684" t="str">
        <f>IFERROR(INDEX('Master data'!$B$2:$CL$1000,MATCH($B684,'Master data'!$A$2:$A$1000,0),MATCH(D$1,'Master data'!$B$1:$CL$1,0)),"")</f>
        <v/>
      </c>
      <c r="E684" s="5" t="str">
        <f>IFERROR(INDEX('Master data'!$B$2:$CL$1000,MATCH($B684,'Master data'!$A$2:$A$1000,0),MATCH(E$1,'Master data'!$B$1:$CL$1,0)),"")</f>
        <v/>
      </c>
      <c r="F684" s="7" t="str">
        <f>IFERROR(INDEX('Master data'!$B$2:$CL$1000,MATCH($B684,'Master data'!$A$2:$A$1000,0),MATCH(F$1,'Master data'!$B$1:$CL$1,0)),"")</f>
        <v/>
      </c>
      <c r="G684" s="7" t="str">
        <f>IFERROR(INDEX('Master data'!$B$2:$CL$1000,MATCH($B684,'Master data'!$A$2:$A$1000,0),MATCH(G$1,'Master data'!$B$1:$CL$1,0)),"")</f>
        <v/>
      </c>
      <c r="H684" s="7" t="str">
        <f>IFERROR(INDEX('Master data'!$B$2:$CL$1000,MATCH($B684,'Master data'!$A$2:$A$1000,0),MATCH(H$1,'Master data'!$B$1:$CL$1,0)),"")</f>
        <v/>
      </c>
      <c r="I684" s="7" t="str">
        <f>IFERROR(INDEX('Master data'!$B$2:$CL$1000,MATCH($B684,'Master data'!$A$2:$A$1000,0),MATCH(I$1,'Master data'!$B$1:$CL$1,0)),"")</f>
        <v/>
      </c>
      <c r="J684" s="7" t="str">
        <f>IFERROR(INDEX('Master data'!$B$2:$CL$1000,MATCH($B684,'Master data'!$A$2:$A$1000,0),MATCH(J$1,'Master data'!$B$1:$CL$1,0)),"")</f>
        <v/>
      </c>
      <c r="K684" s="7" t="str">
        <f>IFERROR(INDEX('Master data'!$B$2:$CL$1000,MATCH($B684,'Master data'!$A$2:$A$1000,0),MATCH(K$1,'Master data'!$B$1:$CL$1,0)),"")</f>
        <v/>
      </c>
      <c r="L684" s="7" t="str">
        <f>IFERROR(INDEX('Master data'!$B$2:$CL$1000,MATCH($B684,'Master data'!$A$2:$A$1000,0),MATCH(L$1,'Master data'!$B$1:$CL$1,0)),"")</f>
        <v/>
      </c>
      <c r="M684" s="5" t="str">
        <f>IFERROR(INDEX('Master data'!$B$2:$CL$1000,MATCH($B684,'Master data'!$A$2:$A$1000,0),MATCH(M$1,'Master data'!$B$1:$CL$1,0)),"")</f>
        <v/>
      </c>
      <c r="N684" s="28" t="str">
        <f>IFERROR(INDEX('Master data'!$B$2:$CL$1000,MATCH($B684,'Master data'!$A$2:$A$1000,0),MATCH(N$1,'Master data'!$B$1:$CL$1,0)),"")</f>
        <v/>
      </c>
      <c r="O684" s="7" t="str">
        <f>IFERROR(INDEX('Master data'!$B$2:$CL$1000,MATCH($B684,'Master data'!$A$2:$A$1000,0),MATCH(O$1,'Master data'!$B$1:$CL$1,0)),"")</f>
        <v/>
      </c>
      <c r="P684" s="5" t="str">
        <f>IFERROR(INDEX('Master data'!$B$2:$CL$1000,MATCH($B684,'Master data'!$A$2:$A$1000,0),MATCH(P$1,'Master data'!$B$1:$CL$1,0)),"")</f>
        <v/>
      </c>
      <c r="Q684" s="5" t="str">
        <f>IFERROR(INDEX('Master data'!$B$2:$CL$1000,MATCH($B684,'Master data'!$A$2:$A$1000,0),MATCH(Q$1,'Master data'!$B$1:$CL$1,0)),"")</f>
        <v/>
      </c>
    </row>
    <row r="685" spans="1:17" hidden="1">
      <c r="A685" t="str">
        <f t="shared" si="10"/>
        <v/>
      </c>
      <c r="B685" t="str">
        <f>IF('Master data'!A685="","",'Master data'!A685)</f>
        <v/>
      </c>
      <c r="C685" t="str">
        <f>IFERROR(INDEX('Master data'!$B$2:$CL$1000,MATCH($B685,'Master data'!$A$2:$A$1000,0),MATCH(C$1,'Master data'!$B$1:$CL$1,0)),"")</f>
        <v/>
      </c>
      <c r="D685" t="str">
        <f>IFERROR(INDEX('Master data'!$B$2:$CL$1000,MATCH($B685,'Master data'!$A$2:$A$1000,0),MATCH(D$1,'Master data'!$B$1:$CL$1,0)),"")</f>
        <v/>
      </c>
      <c r="E685" s="5" t="str">
        <f>IFERROR(INDEX('Master data'!$B$2:$CL$1000,MATCH($B685,'Master data'!$A$2:$A$1000,0),MATCH(E$1,'Master data'!$B$1:$CL$1,0)),"")</f>
        <v/>
      </c>
      <c r="F685" s="7" t="str">
        <f>IFERROR(INDEX('Master data'!$B$2:$CL$1000,MATCH($B685,'Master data'!$A$2:$A$1000,0),MATCH(F$1,'Master data'!$B$1:$CL$1,0)),"")</f>
        <v/>
      </c>
      <c r="G685" s="7" t="str">
        <f>IFERROR(INDEX('Master data'!$B$2:$CL$1000,MATCH($B685,'Master data'!$A$2:$A$1000,0),MATCH(G$1,'Master data'!$B$1:$CL$1,0)),"")</f>
        <v/>
      </c>
      <c r="H685" s="7" t="str">
        <f>IFERROR(INDEX('Master data'!$B$2:$CL$1000,MATCH($B685,'Master data'!$A$2:$A$1000,0),MATCH(H$1,'Master data'!$B$1:$CL$1,0)),"")</f>
        <v/>
      </c>
      <c r="I685" s="7" t="str">
        <f>IFERROR(INDEX('Master data'!$B$2:$CL$1000,MATCH($B685,'Master data'!$A$2:$A$1000,0),MATCH(I$1,'Master data'!$B$1:$CL$1,0)),"")</f>
        <v/>
      </c>
      <c r="J685" s="7" t="str">
        <f>IFERROR(INDEX('Master data'!$B$2:$CL$1000,MATCH($B685,'Master data'!$A$2:$A$1000,0),MATCH(J$1,'Master data'!$B$1:$CL$1,0)),"")</f>
        <v/>
      </c>
      <c r="K685" s="7" t="str">
        <f>IFERROR(INDEX('Master data'!$B$2:$CL$1000,MATCH($B685,'Master data'!$A$2:$A$1000,0),MATCH(K$1,'Master data'!$B$1:$CL$1,0)),"")</f>
        <v/>
      </c>
      <c r="L685" s="7" t="str">
        <f>IFERROR(INDEX('Master data'!$B$2:$CL$1000,MATCH($B685,'Master data'!$A$2:$A$1000,0),MATCH(L$1,'Master data'!$B$1:$CL$1,0)),"")</f>
        <v/>
      </c>
      <c r="M685" s="5" t="str">
        <f>IFERROR(INDEX('Master data'!$B$2:$CL$1000,MATCH($B685,'Master data'!$A$2:$A$1000,0),MATCH(M$1,'Master data'!$B$1:$CL$1,0)),"")</f>
        <v/>
      </c>
      <c r="N685" s="28" t="str">
        <f>IFERROR(INDEX('Master data'!$B$2:$CL$1000,MATCH($B685,'Master data'!$A$2:$A$1000,0),MATCH(N$1,'Master data'!$B$1:$CL$1,0)),"")</f>
        <v/>
      </c>
      <c r="O685" s="7" t="str">
        <f>IFERROR(INDEX('Master data'!$B$2:$CL$1000,MATCH($B685,'Master data'!$A$2:$A$1000,0),MATCH(O$1,'Master data'!$B$1:$CL$1,0)),"")</f>
        <v/>
      </c>
      <c r="P685" s="5" t="str">
        <f>IFERROR(INDEX('Master data'!$B$2:$CL$1000,MATCH($B685,'Master data'!$A$2:$A$1000,0),MATCH(P$1,'Master data'!$B$1:$CL$1,0)),"")</f>
        <v/>
      </c>
      <c r="Q685" s="5" t="str">
        <f>IFERROR(INDEX('Master data'!$B$2:$CL$1000,MATCH($B685,'Master data'!$A$2:$A$1000,0),MATCH(Q$1,'Master data'!$B$1:$CL$1,0)),"")</f>
        <v/>
      </c>
    </row>
    <row r="686" spans="1:17" hidden="1">
      <c r="A686" t="str">
        <f t="shared" si="10"/>
        <v/>
      </c>
      <c r="B686" t="str">
        <f>IF('Master data'!A686="","",'Master data'!A686)</f>
        <v/>
      </c>
      <c r="C686" t="str">
        <f>IFERROR(INDEX('Master data'!$B$2:$CL$1000,MATCH($B686,'Master data'!$A$2:$A$1000,0),MATCH(C$1,'Master data'!$B$1:$CL$1,0)),"")</f>
        <v/>
      </c>
      <c r="D686" t="str">
        <f>IFERROR(INDEX('Master data'!$B$2:$CL$1000,MATCH($B686,'Master data'!$A$2:$A$1000,0),MATCH(D$1,'Master data'!$B$1:$CL$1,0)),"")</f>
        <v/>
      </c>
      <c r="E686" s="5" t="str">
        <f>IFERROR(INDEX('Master data'!$B$2:$CL$1000,MATCH($B686,'Master data'!$A$2:$A$1000,0),MATCH(E$1,'Master data'!$B$1:$CL$1,0)),"")</f>
        <v/>
      </c>
      <c r="F686" s="7" t="str">
        <f>IFERROR(INDEX('Master data'!$B$2:$CL$1000,MATCH($B686,'Master data'!$A$2:$A$1000,0),MATCH(F$1,'Master data'!$B$1:$CL$1,0)),"")</f>
        <v/>
      </c>
      <c r="G686" s="7" t="str">
        <f>IFERROR(INDEX('Master data'!$B$2:$CL$1000,MATCH($B686,'Master data'!$A$2:$A$1000,0),MATCH(G$1,'Master data'!$B$1:$CL$1,0)),"")</f>
        <v/>
      </c>
      <c r="H686" s="7" t="str">
        <f>IFERROR(INDEX('Master data'!$B$2:$CL$1000,MATCH($B686,'Master data'!$A$2:$A$1000,0),MATCH(H$1,'Master data'!$B$1:$CL$1,0)),"")</f>
        <v/>
      </c>
      <c r="I686" s="7" t="str">
        <f>IFERROR(INDEX('Master data'!$B$2:$CL$1000,MATCH($B686,'Master data'!$A$2:$A$1000,0),MATCH(I$1,'Master data'!$B$1:$CL$1,0)),"")</f>
        <v/>
      </c>
      <c r="J686" s="7" t="str">
        <f>IFERROR(INDEX('Master data'!$B$2:$CL$1000,MATCH($B686,'Master data'!$A$2:$A$1000,0),MATCH(J$1,'Master data'!$B$1:$CL$1,0)),"")</f>
        <v/>
      </c>
      <c r="K686" s="7" t="str">
        <f>IFERROR(INDEX('Master data'!$B$2:$CL$1000,MATCH($B686,'Master data'!$A$2:$A$1000,0),MATCH(K$1,'Master data'!$B$1:$CL$1,0)),"")</f>
        <v/>
      </c>
      <c r="L686" s="7" t="str">
        <f>IFERROR(INDEX('Master data'!$B$2:$CL$1000,MATCH($B686,'Master data'!$A$2:$A$1000,0),MATCH(L$1,'Master data'!$B$1:$CL$1,0)),"")</f>
        <v/>
      </c>
      <c r="M686" s="5" t="str">
        <f>IFERROR(INDEX('Master data'!$B$2:$CL$1000,MATCH($B686,'Master data'!$A$2:$A$1000,0),MATCH(M$1,'Master data'!$B$1:$CL$1,0)),"")</f>
        <v/>
      </c>
      <c r="N686" s="28" t="str">
        <f>IFERROR(INDEX('Master data'!$B$2:$CL$1000,MATCH($B686,'Master data'!$A$2:$A$1000,0),MATCH(N$1,'Master data'!$B$1:$CL$1,0)),"")</f>
        <v/>
      </c>
      <c r="O686" s="7" t="str">
        <f>IFERROR(INDEX('Master data'!$B$2:$CL$1000,MATCH($B686,'Master data'!$A$2:$A$1000,0),MATCH(O$1,'Master data'!$B$1:$CL$1,0)),"")</f>
        <v/>
      </c>
      <c r="P686" s="5" t="str">
        <f>IFERROR(INDEX('Master data'!$B$2:$CL$1000,MATCH($B686,'Master data'!$A$2:$A$1000,0),MATCH(P$1,'Master data'!$B$1:$CL$1,0)),"")</f>
        <v/>
      </c>
      <c r="Q686" s="5" t="str">
        <f>IFERROR(INDEX('Master data'!$B$2:$CL$1000,MATCH($B686,'Master data'!$A$2:$A$1000,0),MATCH(Q$1,'Master data'!$B$1:$CL$1,0)),"")</f>
        <v/>
      </c>
    </row>
    <row r="687" spans="1:17" hidden="1">
      <c r="A687" t="str">
        <f t="shared" si="10"/>
        <v/>
      </c>
      <c r="B687" t="str">
        <f>IF('Master data'!A687="","",'Master data'!A687)</f>
        <v/>
      </c>
      <c r="C687" t="str">
        <f>IFERROR(INDEX('Master data'!$B$2:$CL$1000,MATCH($B687,'Master data'!$A$2:$A$1000,0),MATCH(C$1,'Master data'!$B$1:$CL$1,0)),"")</f>
        <v/>
      </c>
      <c r="D687" t="str">
        <f>IFERROR(INDEX('Master data'!$B$2:$CL$1000,MATCH($B687,'Master data'!$A$2:$A$1000,0),MATCH(D$1,'Master data'!$B$1:$CL$1,0)),"")</f>
        <v/>
      </c>
      <c r="E687" s="5" t="str">
        <f>IFERROR(INDEX('Master data'!$B$2:$CL$1000,MATCH($B687,'Master data'!$A$2:$A$1000,0),MATCH(E$1,'Master data'!$B$1:$CL$1,0)),"")</f>
        <v/>
      </c>
      <c r="F687" s="7" t="str">
        <f>IFERROR(INDEX('Master data'!$B$2:$CL$1000,MATCH($B687,'Master data'!$A$2:$A$1000,0),MATCH(F$1,'Master data'!$B$1:$CL$1,0)),"")</f>
        <v/>
      </c>
      <c r="G687" s="7" t="str">
        <f>IFERROR(INDEX('Master data'!$B$2:$CL$1000,MATCH($B687,'Master data'!$A$2:$A$1000,0),MATCH(G$1,'Master data'!$B$1:$CL$1,0)),"")</f>
        <v/>
      </c>
      <c r="H687" s="7" t="str">
        <f>IFERROR(INDEX('Master data'!$B$2:$CL$1000,MATCH($B687,'Master data'!$A$2:$A$1000,0),MATCH(H$1,'Master data'!$B$1:$CL$1,0)),"")</f>
        <v/>
      </c>
      <c r="I687" s="7" t="str">
        <f>IFERROR(INDEX('Master data'!$B$2:$CL$1000,MATCH($B687,'Master data'!$A$2:$A$1000,0),MATCH(I$1,'Master data'!$B$1:$CL$1,0)),"")</f>
        <v/>
      </c>
      <c r="J687" s="7" t="str">
        <f>IFERROR(INDEX('Master data'!$B$2:$CL$1000,MATCH($B687,'Master data'!$A$2:$A$1000,0),MATCH(J$1,'Master data'!$B$1:$CL$1,0)),"")</f>
        <v/>
      </c>
      <c r="K687" s="7" t="str">
        <f>IFERROR(INDEX('Master data'!$B$2:$CL$1000,MATCH($B687,'Master data'!$A$2:$A$1000,0),MATCH(K$1,'Master data'!$B$1:$CL$1,0)),"")</f>
        <v/>
      </c>
      <c r="L687" s="7" t="str">
        <f>IFERROR(INDEX('Master data'!$B$2:$CL$1000,MATCH($B687,'Master data'!$A$2:$A$1000,0),MATCH(L$1,'Master data'!$B$1:$CL$1,0)),"")</f>
        <v/>
      </c>
      <c r="M687" s="5" t="str">
        <f>IFERROR(INDEX('Master data'!$B$2:$CL$1000,MATCH($B687,'Master data'!$A$2:$A$1000,0),MATCH(M$1,'Master data'!$B$1:$CL$1,0)),"")</f>
        <v/>
      </c>
      <c r="N687" s="28" t="str">
        <f>IFERROR(INDEX('Master data'!$B$2:$CL$1000,MATCH($B687,'Master data'!$A$2:$A$1000,0),MATCH(N$1,'Master data'!$B$1:$CL$1,0)),"")</f>
        <v/>
      </c>
      <c r="O687" s="7" t="str">
        <f>IFERROR(INDEX('Master data'!$B$2:$CL$1000,MATCH($B687,'Master data'!$A$2:$A$1000,0),MATCH(O$1,'Master data'!$B$1:$CL$1,0)),"")</f>
        <v/>
      </c>
      <c r="P687" s="5" t="str">
        <f>IFERROR(INDEX('Master data'!$B$2:$CL$1000,MATCH($B687,'Master data'!$A$2:$A$1000,0),MATCH(P$1,'Master data'!$B$1:$CL$1,0)),"")</f>
        <v/>
      </c>
      <c r="Q687" s="5" t="str">
        <f>IFERROR(INDEX('Master data'!$B$2:$CL$1000,MATCH($B687,'Master data'!$A$2:$A$1000,0),MATCH(Q$1,'Master data'!$B$1:$CL$1,0)),"")</f>
        <v/>
      </c>
    </row>
    <row r="688" spans="1:17" hidden="1">
      <c r="A688" t="str">
        <f t="shared" si="10"/>
        <v/>
      </c>
      <c r="B688" t="str">
        <f>IF('Master data'!A688="","",'Master data'!A688)</f>
        <v/>
      </c>
      <c r="C688" t="str">
        <f>IFERROR(INDEX('Master data'!$B$2:$CL$1000,MATCH($B688,'Master data'!$A$2:$A$1000,0),MATCH(C$1,'Master data'!$B$1:$CL$1,0)),"")</f>
        <v/>
      </c>
      <c r="D688" t="str">
        <f>IFERROR(INDEX('Master data'!$B$2:$CL$1000,MATCH($B688,'Master data'!$A$2:$A$1000,0),MATCH(D$1,'Master data'!$B$1:$CL$1,0)),"")</f>
        <v/>
      </c>
      <c r="E688" s="5" t="str">
        <f>IFERROR(INDEX('Master data'!$B$2:$CL$1000,MATCH($B688,'Master data'!$A$2:$A$1000,0),MATCH(E$1,'Master data'!$B$1:$CL$1,0)),"")</f>
        <v/>
      </c>
      <c r="F688" s="7" t="str">
        <f>IFERROR(INDEX('Master data'!$B$2:$CL$1000,MATCH($B688,'Master data'!$A$2:$A$1000,0),MATCH(F$1,'Master data'!$B$1:$CL$1,0)),"")</f>
        <v/>
      </c>
      <c r="G688" s="7" t="str">
        <f>IFERROR(INDEX('Master data'!$B$2:$CL$1000,MATCH($B688,'Master data'!$A$2:$A$1000,0),MATCH(G$1,'Master data'!$B$1:$CL$1,0)),"")</f>
        <v/>
      </c>
      <c r="H688" s="7" t="str">
        <f>IFERROR(INDEX('Master data'!$B$2:$CL$1000,MATCH($B688,'Master data'!$A$2:$A$1000,0),MATCH(H$1,'Master data'!$B$1:$CL$1,0)),"")</f>
        <v/>
      </c>
      <c r="I688" s="7" t="str">
        <f>IFERROR(INDEX('Master data'!$B$2:$CL$1000,MATCH($B688,'Master data'!$A$2:$A$1000,0),MATCH(I$1,'Master data'!$B$1:$CL$1,0)),"")</f>
        <v/>
      </c>
      <c r="J688" s="7" t="str">
        <f>IFERROR(INDEX('Master data'!$B$2:$CL$1000,MATCH($B688,'Master data'!$A$2:$A$1000,0),MATCH(J$1,'Master data'!$B$1:$CL$1,0)),"")</f>
        <v/>
      </c>
      <c r="K688" s="7" t="str">
        <f>IFERROR(INDEX('Master data'!$B$2:$CL$1000,MATCH($B688,'Master data'!$A$2:$A$1000,0),MATCH(K$1,'Master data'!$B$1:$CL$1,0)),"")</f>
        <v/>
      </c>
      <c r="L688" s="7" t="str">
        <f>IFERROR(INDEX('Master data'!$B$2:$CL$1000,MATCH($B688,'Master data'!$A$2:$A$1000,0),MATCH(L$1,'Master data'!$B$1:$CL$1,0)),"")</f>
        <v/>
      </c>
      <c r="M688" s="5" t="str">
        <f>IFERROR(INDEX('Master data'!$B$2:$CL$1000,MATCH($B688,'Master data'!$A$2:$A$1000,0),MATCH(M$1,'Master data'!$B$1:$CL$1,0)),"")</f>
        <v/>
      </c>
      <c r="N688" s="28" t="str">
        <f>IFERROR(INDEX('Master data'!$B$2:$CL$1000,MATCH($B688,'Master data'!$A$2:$A$1000,0),MATCH(N$1,'Master data'!$B$1:$CL$1,0)),"")</f>
        <v/>
      </c>
      <c r="O688" s="7" t="str">
        <f>IFERROR(INDEX('Master data'!$B$2:$CL$1000,MATCH($B688,'Master data'!$A$2:$A$1000,0),MATCH(O$1,'Master data'!$B$1:$CL$1,0)),"")</f>
        <v/>
      </c>
      <c r="P688" s="5" t="str">
        <f>IFERROR(INDEX('Master data'!$B$2:$CL$1000,MATCH($B688,'Master data'!$A$2:$A$1000,0),MATCH(P$1,'Master data'!$B$1:$CL$1,0)),"")</f>
        <v/>
      </c>
      <c r="Q688" s="5" t="str">
        <f>IFERROR(INDEX('Master data'!$B$2:$CL$1000,MATCH($B688,'Master data'!$A$2:$A$1000,0),MATCH(Q$1,'Master data'!$B$1:$CL$1,0)),"")</f>
        <v/>
      </c>
    </row>
    <row r="689" spans="1:17" hidden="1">
      <c r="A689" t="str">
        <f t="shared" si="10"/>
        <v/>
      </c>
      <c r="B689" t="str">
        <f>IF('Master data'!A689="","",'Master data'!A689)</f>
        <v/>
      </c>
      <c r="C689" t="str">
        <f>IFERROR(INDEX('Master data'!$B$2:$CL$1000,MATCH($B689,'Master data'!$A$2:$A$1000,0),MATCH(C$1,'Master data'!$B$1:$CL$1,0)),"")</f>
        <v/>
      </c>
      <c r="D689" t="str">
        <f>IFERROR(INDEX('Master data'!$B$2:$CL$1000,MATCH($B689,'Master data'!$A$2:$A$1000,0),MATCH(D$1,'Master data'!$B$1:$CL$1,0)),"")</f>
        <v/>
      </c>
      <c r="E689" s="5" t="str">
        <f>IFERROR(INDEX('Master data'!$B$2:$CL$1000,MATCH($B689,'Master data'!$A$2:$A$1000,0),MATCH(E$1,'Master data'!$B$1:$CL$1,0)),"")</f>
        <v/>
      </c>
      <c r="F689" s="7" t="str">
        <f>IFERROR(INDEX('Master data'!$B$2:$CL$1000,MATCH($B689,'Master data'!$A$2:$A$1000,0),MATCH(F$1,'Master data'!$B$1:$CL$1,0)),"")</f>
        <v/>
      </c>
      <c r="G689" s="7" t="str">
        <f>IFERROR(INDEX('Master data'!$B$2:$CL$1000,MATCH($B689,'Master data'!$A$2:$A$1000,0),MATCH(G$1,'Master data'!$B$1:$CL$1,0)),"")</f>
        <v/>
      </c>
      <c r="H689" s="7" t="str">
        <f>IFERROR(INDEX('Master data'!$B$2:$CL$1000,MATCH($B689,'Master data'!$A$2:$A$1000,0),MATCH(H$1,'Master data'!$B$1:$CL$1,0)),"")</f>
        <v/>
      </c>
      <c r="I689" s="7" t="str">
        <f>IFERROR(INDEX('Master data'!$B$2:$CL$1000,MATCH($B689,'Master data'!$A$2:$A$1000,0),MATCH(I$1,'Master data'!$B$1:$CL$1,0)),"")</f>
        <v/>
      </c>
      <c r="J689" s="7" t="str">
        <f>IFERROR(INDEX('Master data'!$B$2:$CL$1000,MATCH($B689,'Master data'!$A$2:$A$1000,0),MATCH(J$1,'Master data'!$B$1:$CL$1,0)),"")</f>
        <v/>
      </c>
      <c r="K689" s="7" t="str">
        <f>IFERROR(INDEX('Master data'!$B$2:$CL$1000,MATCH($B689,'Master data'!$A$2:$A$1000,0),MATCH(K$1,'Master data'!$B$1:$CL$1,0)),"")</f>
        <v/>
      </c>
      <c r="L689" s="7" t="str">
        <f>IFERROR(INDEX('Master data'!$B$2:$CL$1000,MATCH($B689,'Master data'!$A$2:$A$1000,0),MATCH(L$1,'Master data'!$B$1:$CL$1,0)),"")</f>
        <v/>
      </c>
      <c r="M689" s="5" t="str">
        <f>IFERROR(INDEX('Master data'!$B$2:$CL$1000,MATCH($B689,'Master data'!$A$2:$A$1000,0),MATCH(M$1,'Master data'!$B$1:$CL$1,0)),"")</f>
        <v/>
      </c>
      <c r="N689" s="28" t="str">
        <f>IFERROR(INDEX('Master data'!$B$2:$CL$1000,MATCH($B689,'Master data'!$A$2:$A$1000,0),MATCH(N$1,'Master data'!$B$1:$CL$1,0)),"")</f>
        <v/>
      </c>
      <c r="O689" s="7" t="str">
        <f>IFERROR(INDEX('Master data'!$B$2:$CL$1000,MATCH($B689,'Master data'!$A$2:$A$1000,0),MATCH(O$1,'Master data'!$B$1:$CL$1,0)),"")</f>
        <v/>
      </c>
      <c r="P689" s="5" t="str">
        <f>IFERROR(INDEX('Master data'!$B$2:$CL$1000,MATCH($B689,'Master data'!$A$2:$A$1000,0),MATCH(P$1,'Master data'!$B$1:$CL$1,0)),"")</f>
        <v/>
      </c>
      <c r="Q689" s="5" t="str">
        <f>IFERROR(INDEX('Master data'!$B$2:$CL$1000,MATCH($B689,'Master data'!$A$2:$A$1000,0),MATCH(Q$1,'Master data'!$B$1:$CL$1,0)),"")</f>
        <v/>
      </c>
    </row>
    <row r="690" spans="1:17" hidden="1">
      <c r="A690" t="str">
        <f t="shared" si="10"/>
        <v/>
      </c>
      <c r="B690" t="str">
        <f>IF('Master data'!A690="","",'Master data'!A690)</f>
        <v/>
      </c>
      <c r="C690" t="str">
        <f>IFERROR(INDEX('Master data'!$B$2:$CL$1000,MATCH($B690,'Master data'!$A$2:$A$1000,0),MATCH(C$1,'Master data'!$B$1:$CL$1,0)),"")</f>
        <v/>
      </c>
      <c r="D690" t="str">
        <f>IFERROR(INDEX('Master data'!$B$2:$CL$1000,MATCH($B690,'Master data'!$A$2:$A$1000,0),MATCH(D$1,'Master data'!$B$1:$CL$1,0)),"")</f>
        <v/>
      </c>
      <c r="E690" s="5" t="str">
        <f>IFERROR(INDEX('Master data'!$B$2:$CL$1000,MATCH($B690,'Master data'!$A$2:$A$1000,0),MATCH(E$1,'Master data'!$B$1:$CL$1,0)),"")</f>
        <v/>
      </c>
      <c r="F690" s="7" t="str">
        <f>IFERROR(INDEX('Master data'!$B$2:$CL$1000,MATCH($B690,'Master data'!$A$2:$A$1000,0),MATCH(F$1,'Master data'!$B$1:$CL$1,0)),"")</f>
        <v/>
      </c>
      <c r="G690" s="7" t="str">
        <f>IFERROR(INDEX('Master data'!$B$2:$CL$1000,MATCH($B690,'Master data'!$A$2:$A$1000,0),MATCH(G$1,'Master data'!$B$1:$CL$1,0)),"")</f>
        <v/>
      </c>
      <c r="H690" s="7" t="str">
        <f>IFERROR(INDEX('Master data'!$B$2:$CL$1000,MATCH($B690,'Master data'!$A$2:$A$1000,0),MATCH(H$1,'Master data'!$B$1:$CL$1,0)),"")</f>
        <v/>
      </c>
      <c r="I690" s="7" t="str">
        <f>IFERROR(INDEX('Master data'!$B$2:$CL$1000,MATCH($B690,'Master data'!$A$2:$A$1000,0),MATCH(I$1,'Master data'!$B$1:$CL$1,0)),"")</f>
        <v/>
      </c>
      <c r="J690" s="7" t="str">
        <f>IFERROR(INDEX('Master data'!$B$2:$CL$1000,MATCH($B690,'Master data'!$A$2:$A$1000,0),MATCH(J$1,'Master data'!$B$1:$CL$1,0)),"")</f>
        <v/>
      </c>
      <c r="K690" s="7" t="str">
        <f>IFERROR(INDEX('Master data'!$B$2:$CL$1000,MATCH($B690,'Master data'!$A$2:$A$1000,0),MATCH(K$1,'Master data'!$B$1:$CL$1,0)),"")</f>
        <v/>
      </c>
      <c r="L690" s="7" t="str">
        <f>IFERROR(INDEX('Master data'!$B$2:$CL$1000,MATCH($B690,'Master data'!$A$2:$A$1000,0),MATCH(L$1,'Master data'!$B$1:$CL$1,0)),"")</f>
        <v/>
      </c>
      <c r="M690" s="5" t="str">
        <f>IFERROR(INDEX('Master data'!$B$2:$CL$1000,MATCH($B690,'Master data'!$A$2:$A$1000,0),MATCH(M$1,'Master data'!$B$1:$CL$1,0)),"")</f>
        <v/>
      </c>
      <c r="N690" s="28" t="str">
        <f>IFERROR(INDEX('Master data'!$B$2:$CL$1000,MATCH($B690,'Master data'!$A$2:$A$1000,0),MATCH(N$1,'Master data'!$B$1:$CL$1,0)),"")</f>
        <v/>
      </c>
      <c r="O690" s="7" t="str">
        <f>IFERROR(INDEX('Master data'!$B$2:$CL$1000,MATCH($B690,'Master data'!$A$2:$A$1000,0),MATCH(O$1,'Master data'!$B$1:$CL$1,0)),"")</f>
        <v/>
      </c>
      <c r="P690" s="5" t="str">
        <f>IFERROR(INDEX('Master data'!$B$2:$CL$1000,MATCH($B690,'Master data'!$A$2:$A$1000,0),MATCH(P$1,'Master data'!$B$1:$CL$1,0)),"")</f>
        <v/>
      </c>
      <c r="Q690" s="5" t="str">
        <f>IFERROR(INDEX('Master data'!$B$2:$CL$1000,MATCH($B690,'Master data'!$A$2:$A$1000,0),MATCH(Q$1,'Master data'!$B$1:$CL$1,0)),"")</f>
        <v/>
      </c>
    </row>
    <row r="691" spans="1:17" hidden="1">
      <c r="A691" t="str">
        <f t="shared" si="10"/>
        <v/>
      </c>
      <c r="B691" t="str">
        <f>IF('Master data'!A691="","",'Master data'!A691)</f>
        <v/>
      </c>
      <c r="C691" t="str">
        <f>IFERROR(INDEX('Master data'!$B$2:$CL$1000,MATCH($B691,'Master data'!$A$2:$A$1000,0),MATCH(C$1,'Master data'!$B$1:$CL$1,0)),"")</f>
        <v/>
      </c>
      <c r="D691" t="str">
        <f>IFERROR(INDEX('Master data'!$B$2:$CL$1000,MATCH($B691,'Master data'!$A$2:$A$1000,0),MATCH(D$1,'Master data'!$B$1:$CL$1,0)),"")</f>
        <v/>
      </c>
      <c r="E691" s="5" t="str">
        <f>IFERROR(INDEX('Master data'!$B$2:$CL$1000,MATCH($B691,'Master data'!$A$2:$A$1000,0),MATCH(E$1,'Master data'!$B$1:$CL$1,0)),"")</f>
        <v/>
      </c>
      <c r="F691" s="7" t="str">
        <f>IFERROR(INDEX('Master data'!$B$2:$CL$1000,MATCH($B691,'Master data'!$A$2:$A$1000,0),MATCH(F$1,'Master data'!$B$1:$CL$1,0)),"")</f>
        <v/>
      </c>
      <c r="G691" s="7" t="str">
        <f>IFERROR(INDEX('Master data'!$B$2:$CL$1000,MATCH($B691,'Master data'!$A$2:$A$1000,0),MATCH(G$1,'Master data'!$B$1:$CL$1,0)),"")</f>
        <v/>
      </c>
      <c r="H691" s="7" t="str">
        <f>IFERROR(INDEX('Master data'!$B$2:$CL$1000,MATCH($B691,'Master data'!$A$2:$A$1000,0),MATCH(H$1,'Master data'!$B$1:$CL$1,0)),"")</f>
        <v/>
      </c>
      <c r="I691" s="7" t="str">
        <f>IFERROR(INDEX('Master data'!$B$2:$CL$1000,MATCH($B691,'Master data'!$A$2:$A$1000,0),MATCH(I$1,'Master data'!$B$1:$CL$1,0)),"")</f>
        <v/>
      </c>
      <c r="J691" s="7" t="str">
        <f>IFERROR(INDEX('Master data'!$B$2:$CL$1000,MATCH($B691,'Master data'!$A$2:$A$1000,0),MATCH(J$1,'Master data'!$B$1:$CL$1,0)),"")</f>
        <v/>
      </c>
      <c r="K691" s="7" t="str">
        <f>IFERROR(INDEX('Master data'!$B$2:$CL$1000,MATCH($B691,'Master data'!$A$2:$A$1000,0),MATCH(K$1,'Master data'!$B$1:$CL$1,0)),"")</f>
        <v/>
      </c>
      <c r="L691" s="7" t="str">
        <f>IFERROR(INDEX('Master data'!$B$2:$CL$1000,MATCH($B691,'Master data'!$A$2:$A$1000,0),MATCH(L$1,'Master data'!$B$1:$CL$1,0)),"")</f>
        <v/>
      </c>
      <c r="M691" s="5" t="str">
        <f>IFERROR(INDEX('Master data'!$B$2:$CL$1000,MATCH($B691,'Master data'!$A$2:$A$1000,0),MATCH(M$1,'Master data'!$B$1:$CL$1,0)),"")</f>
        <v/>
      </c>
      <c r="N691" s="28" t="str">
        <f>IFERROR(INDEX('Master data'!$B$2:$CL$1000,MATCH($B691,'Master data'!$A$2:$A$1000,0),MATCH(N$1,'Master data'!$B$1:$CL$1,0)),"")</f>
        <v/>
      </c>
      <c r="O691" s="7" t="str">
        <f>IFERROR(INDEX('Master data'!$B$2:$CL$1000,MATCH($B691,'Master data'!$A$2:$A$1000,0),MATCH(O$1,'Master data'!$B$1:$CL$1,0)),"")</f>
        <v/>
      </c>
      <c r="P691" s="5" t="str">
        <f>IFERROR(INDEX('Master data'!$B$2:$CL$1000,MATCH($B691,'Master data'!$A$2:$A$1000,0),MATCH(P$1,'Master data'!$B$1:$CL$1,0)),"")</f>
        <v/>
      </c>
      <c r="Q691" s="5" t="str">
        <f>IFERROR(INDEX('Master data'!$B$2:$CL$1000,MATCH($B691,'Master data'!$A$2:$A$1000,0),MATCH(Q$1,'Master data'!$B$1:$CL$1,0)),"")</f>
        <v/>
      </c>
    </row>
    <row r="692" spans="1:17" hidden="1">
      <c r="A692" t="str">
        <f t="shared" si="10"/>
        <v/>
      </c>
      <c r="B692" t="str">
        <f>IF('Master data'!A692="","",'Master data'!A692)</f>
        <v/>
      </c>
      <c r="C692" t="str">
        <f>IFERROR(INDEX('Master data'!$B$2:$CL$1000,MATCH($B692,'Master data'!$A$2:$A$1000,0),MATCH(C$1,'Master data'!$B$1:$CL$1,0)),"")</f>
        <v/>
      </c>
      <c r="D692" t="str">
        <f>IFERROR(INDEX('Master data'!$B$2:$CL$1000,MATCH($B692,'Master data'!$A$2:$A$1000,0),MATCH(D$1,'Master data'!$B$1:$CL$1,0)),"")</f>
        <v/>
      </c>
      <c r="E692" s="5" t="str">
        <f>IFERROR(INDEX('Master data'!$B$2:$CL$1000,MATCH($B692,'Master data'!$A$2:$A$1000,0),MATCH(E$1,'Master data'!$B$1:$CL$1,0)),"")</f>
        <v/>
      </c>
      <c r="F692" s="7" t="str">
        <f>IFERROR(INDEX('Master data'!$B$2:$CL$1000,MATCH($B692,'Master data'!$A$2:$A$1000,0),MATCH(F$1,'Master data'!$B$1:$CL$1,0)),"")</f>
        <v/>
      </c>
      <c r="G692" s="7" t="str">
        <f>IFERROR(INDEX('Master data'!$B$2:$CL$1000,MATCH($B692,'Master data'!$A$2:$A$1000,0),MATCH(G$1,'Master data'!$B$1:$CL$1,0)),"")</f>
        <v/>
      </c>
      <c r="H692" s="7" t="str">
        <f>IFERROR(INDEX('Master data'!$B$2:$CL$1000,MATCH($B692,'Master data'!$A$2:$A$1000,0),MATCH(H$1,'Master data'!$B$1:$CL$1,0)),"")</f>
        <v/>
      </c>
      <c r="I692" s="7" t="str">
        <f>IFERROR(INDEX('Master data'!$B$2:$CL$1000,MATCH($B692,'Master data'!$A$2:$A$1000,0),MATCH(I$1,'Master data'!$B$1:$CL$1,0)),"")</f>
        <v/>
      </c>
      <c r="J692" s="7" t="str">
        <f>IFERROR(INDEX('Master data'!$B$2:$CL$1000,MATCH($B692,'Master data'!$A$2:$A$1000,0),MATCH(J$1,'Master data'!$B$1:$CL$1,0)),"")</f>
        <v/>
      </c>
      <c r="K692" s="7" t="str">
        <f>IFERROR(INDEX('Master data'!$B$2:$CL$1000,MATCH($B692,'Master data'!$A$2:$A$1000,0),MATCH(K$1,'Master data'!$B$1:$CL$1,0)),"")</f>
        <v/>
      </c>
      <c r="L692" s="7" t="str">
        <f>IFERROR(INDEX('Master data'!$B$2:$CL$1000,MATCH($B692,'Master data'!$A$2:$A$1000,0),MATCH(L$1,'Master data'!$B$1:$CL$1,0)),"")</f>
        <v/>
      </c>
      <c r="M692" s="5" t="str">
        <f>IFERROR(INDEX('Master data'!$B$2:$CL$1000,MATCH($B692,'Master data'!$A$2:$A$1000,0),MATCH(M$1,'Master data'!$B$1:$CL$1,0)),"")</f>
        <v/>
      </c>
      <c r="N692" s="28" t="str">
        <f>IFERROR(INDEX('Master data'!$B$2:$CL$1000,MATCH($B692,'Master data'!$A$2:$A$1000,0),MATCH(N$1,'Master data'!$B$1:$CL$1,0)),"")</f>
        <v/>
      </c>
      <c r="O692" s="7" t="str">
        <f>IFERROR(INDEX('Master data'!$B$2:$CL$1000,MATCH($B692,'Master data'!$A$2:$A$1000,0),MATCH(O$1,'Master data'!$B$1:$CL$1,0)),"")</f>
        <v/>
      </c>
      <c r="P692" s="5" t="str">
        <f>IFERROR(INDEX('Master data'!$B$2:$CL$1000,MATCH($B692,'Master data'!$A$2:$A$1000,0),MATCH(P$1,'Master data'!$B$1:$CL$1,0)),"")</f>
        <v/>
      </c>
      <c r="Q692" s="5" t="str">
        <f>IFERROR(INDEX('Master data'!$B$2:$CL$1000,MATCH($B692,'Master data'!$A$2:$A$1000,0),MATCH(Q$1,'Master data'!$B$1:$CL$1,0)),"")</f>
        <v/>
      </c>
    </row>
    <row r="693" spans="1:17" hidden="1">
      <c r="A693" t="str">
        <f t="shared" si="10"/>
        <v/>
      </c>
      <c r="B693" t="str">
        <f>IF('Master data'!A693="","",'Master data'!A693)</f>
        <v/>
      </c>
      <c r="C693" t="str">
        <f>IFERROR(INDEX('Master data'!$B$2:$CL$1000,MATCH($B693,'Master data'!$A$2:$A$1000,0),MATCH(C$1,'Master data'!$B$1:$CL$1,0)),"")</f>
        <v/>
      </c>
      <c r="D693" t="str">
        <f>IFERROR(INDEX('Master data'!$B$2:$CL$1000,MATCH($B693,'Master data'!$A$2:$A$1000,0),MATCH(D$1,'Master data'!$B$1:$CL$1,0)),"")</f>
        <v/>
      </c>
      <c r="E693" s="5" t="str">
        <f>IFERROR(INDEX('Master data'!$B$2:$CL$1000,MATCH($B693,'Master data'!$A$2:$A$1000,0),MATCH(E$1,'Master data'!$B$1:$CL$1,0)),"")</f>
        <v/>
      </c>
      <c r="F693" s="7" t="str">
        <f>IFERROR(INDEX('Master data'!$B$2:$CL$1000,MATCH($B693,'Master data'!$A$2:$A$1000,0),MATCH(F$1,'Master data'!$B$1:$CL$1,0)),"")</f>
        <v/>
      </c>
      <c r="G693" s="7" t="str">
        <f>IFERROR(INDEX('Master data'!$B$2:$CL$1000,MATCH($B693,'Master data'!$A$2:$A$1000,0),MATCH(G$1,'Master data'!$B$1:$CL$1,0)),"")</f>
        <v/>
      </c>
      <c r="H693" s="7" t="str">
        <f>IFERROR(INDEX('Master data'!$B$2:$CL$1000,MATCH($B693,'Master data'!$A$2:$A$1000,0),MATCH(H$1,'Master data'!$B$1:$CL$1,0)),"")</f>
        <v/>
      </c>
      <c r="I693" s="7" t="str">
        <f>IFERROR(INDEX('Master data'!$B$2:$CL$1000,MATCH($B693,'Master data'!$A$2:$A$1000,0),MATCH(I$1,'Master data'!$B$1:$CL$1,0)),"")</f>
        <v/>
      </c>
      <c r="J693" s="7" t="str">
        <f>IFERROR(INDEX('Master data'!$B$2:$CL$1000,MATCH($B693,'Master data'!$A$2:$A$1000,0),MATCH(J$1,'Master data'!$B$1:$CL$1,0)),"")</f>
        <v/>
      </c>
      <c r="K693" s="7" t="str">
        <f>IFERROR(INDEX('Master data'!$B$2:$CL$1000,MATCH($B693,'Master data'!$A$2:$A$1000,0),MATCH(K$1,'Master data'!$B$1:$CL$1,0)),"")</f>
        <v/>
      </c>
      <c r="L693" s="7" t="str">
        <f>IFERROR(INDEX('Master data'!$B$2:$CL$1000,MATCH($B693,'Master data'!$A$2:$A$1000,0),MATCH(L$1,'Master data'!$B$1:$CL$1,0)),"")</f>
        <v/>
      </c>
      <c r="M693" s="5" t="str">
        <f>IFERROR(INDEX('Master data'!$B$2:$CL$1000,MATCH($B693,'Master data'!$A$2:$A$1000,0),MATCH(M$1,'Master data'!$B$1:$CL$1,0)),"")</f>
        <v/>
      </c>
      <c r="N693" s="28" t="str">
        <f>IFERROR(INDEX('Master data'!$B$2:$CL$1000,MATCH($B693,'Master data'!$A$2:$A$1000,0),MATCH(N$1,'Master data'!$B$1:$CL$1,0)),"")</f>
        <v/>
      </c>
      <c r="O693" s="7" t="str">
        <f>IFERROR(INDEX('Master data'!$B$2:$CL$1000,MATCH($B693,'Master data'!$A$2:$A$1000,0),MATCH(O$1,'Master data'!$B$1:$CL$1,0)),"")</f>
        <v/>
      </c>
      <c r="P693" s="5" t="str">
        <f>IFERROR(INDEX('Master data'!$B$2:$CL$1000,MATCH($B693,'Master data'!$A$2:$A$1000,0),MATCH(P$1,'Master data'!$B$1:$CL$1,0)),"")</f>
        <v/>
      </c>
      <c r="Q693" s="5" t="str">
        <f>IFERROR(INDEX('Master data'!$B$2:$CL$1000,MATCH($B693,'Master data'!$A$2:$A$1000,0),MATCH(Q$1,'Master data'!$B$1:$CL$1,0)),"")</f>
        <v/>
      </c>
    </row>
    <row r="694" spans="1:17" hidden="1">
      <c r="A694" t="str">
        <f t="shared" si="10"/>
        <v/>
      </c>
      <c r="B694" t="str">
        <f>IF('Master data'!A694="","",'Master data'!A694)</f>
        <v/>
      </c>
      <c r="C694" t="str">
        <f>IFERROR(INDEX('Master data'!$B$2:$CL$1000,MATCH($B694,'Master data'!$A$2:$A$1000,0),MATCH(C$1,'Master data'!$B$1:$CL$1,0)),"")</f>
        <v/>
      </c>
      <c r="D694" t="str">
        <f>IFERROR(INDEX('Master data'!$B$2:$CL$1000,MATCH($B694,'Master data'!$A$2:$A$1000,0),MATCH(D$1,'Master data'!$B$1:$CL$1,0)),"")</f>
        <v/>
      </c>
      <c r="E694" s="5" t="str">
        <f>IFERROR(INDEX('Master data'!$B$2:$CL$1000,MATCH($B694,'Master data'!$A$2:$A$1000,0),MATCH(E$1,'Master data'!$B$1:$CL$1,0)),"")</f>
        <v/>
      </c>
      <c r="F694" s="7" t="str">
        <f>IFERROR(INDEX('Master data'!$B$2:$CL$1000,MATCH($B694,'Master data'!$A$2:$A$1000,0),MATCH(F$1,'Master data'!$B$1:$CL$1,0)),"")</f>
        <v/>
      </c>
      <c r="G694" s="7" t="str">
        <f>IFERROR(INDEX('Master data'!$B$2:$CL$1000,MATCH($B694,'Master data'!$A$2:$A$1000,0),MATCH(G$1,'Master data'!$B$1:$CL$1,0)),"")</f>
        <v/>
      </c>
      <c r="H694" s="7" t="str">
        <f>IFERROR(INDEX('Master data'!$B$2:$CL$1000,MATCH($B694,'Master data'!$A$2:$A$1000,0),MATCH(H$1,'Master data'!$B$1:$CL$1,0)),"")</f>
        <v/>
      </c>
      <c r="I694" s="7" t="str">
        <f>IFERROR(INDEX('Master data'!$B$2:$CL$1000,MATCH($B694,'Master data'!$A$2:$A$1000,0),MATCH(I$1,'Master data'!$B$1:$CL$1,0)),"")</f>
        <v/>
      </c>
      <c r="J694" s="7" t="str">
        <f>IFERROR(INDEX('Master data'!$B$2:$CL$1000,MATCH($B694,'Master data'!$A$2:$A$1000,0),MATCH(J$1,'Master data'!$B$1:$CL$1,0)),"")</f>
        <v/>
      </c>
      <c r="K694" s="7" t="str">
        <f>IFERROR(INDEX('Master data'!$B$2:$CL$1000,MATCH($B694,'Master data'!$A$2:$A$1000,0),MATCH(K$1,'Master data'!$B$1:$CL$1,0)),"")</f>
        <v/>
      </c>
      <c r="L694" s="7" t="str">
        <f>IFERROR(INDEX('Master data'!$B$2:$CL$1000,MATCH($B694,'Master data'!$A$2:$A$1000,0),MATCH(L$1,'Master data'!$B$1:$CL$1,0)),"")</f>
        <v/>
      </c>
      <c r="M694" s="5" t="str">
        <f>IFERROR(INDEX('Master data'!$B$2:$CL$1000,MATCH($B694,'Master data'!$A$2:$A$1000,0),MATCH(M$1,'Master data'!$B$1:$CL$1,0)),"")</f>
        <v/>
      </c>
      <c r="N694" s="28" t="str">
        <f>IFERROR(INDEX('Master data'!$B$2:$CL$1000,MATCH($B694,'Master data'!$A$2:$A$1000,0),MATCH(N$1,'Master data'!$B$1:$CL$1,0)),"")</f>
        <v/>
      </c>
      <c r="O694" s="7" t="str">
        <f>IFERROR(INDEX('Master data'!$B$2:$CL$1000,MATCH($B694,'Master data'!$A$2:$A$1000,0),MATCH(O$1,'Master data'!$B$1:$CL$1,0)),"")</f>
        <v/>
      </c>
      <c r="P694" s="5" t="str">
        <f>IFERROR(INDEX('Master data'!$B$2:$CL$1000,MATCH($B694,'Master data'!$A$2:$A$1000,0),MATCH(P$1,'Master data'!$B$1:$CL$1,0)),"")</f>
        <v/>
      </c>
      <c r="Q694" s="5" t="str">
        <f>IFERROR(INDEX('Master data'!$B$2:$CL$1000,MATCH($B694,'Master data'!$A$2:$A$1000,0),MATCH(Q$1,'Master data'!$B$1:$CL$1,0)),"")</f>
        <v/>
      </c>
    </row>
    <row r="695" spans="1:17" hidden="1">
      <c r="A695" t="str">
        <f t="shared" si="10"/>
        <v/>
      </c>
      <c r="B695" t="str">
        <f>IF('Master data'!A695="","",'Master data'!A695)</f>
        <v/>
      </c>
      <c r="C695" t="str">
        <f>IFERROR(INDEX('Master data'!$B$2:$CL$1000,MATCH($B695,'Master data'!$A$2:$A$1000,0),MATCH(C$1,'Master data'!$B$1:$CL$1,0)),"")</f>
        <v/>
      </c>
      <c r="D695" t="str">
        <f>IFERROR(INDEX('Master data'!$B$2:$CL$1000,MATCH($B695,'Master data'!$A$2:$A$1000,0),MATCH(D$1,'Master data'!$B$1:$CL$1,0)),"")</f>
        <v/>
      </c>
      <c r="E695" s="5" t="str">
        <f>IFERROR(INDEX('Master data'!$B$2:$CL$1000,MATCH($B695,'Master data'!$A$2:$A$1000,0),MATCH(E$1,'Master data'!$B$1:$CL$1,0)),"")</f>
        <v/>
      </c>
      <c r="F695" s="7" t="str">
        <f>IFERROR(INDEX('Master data'!$B$2:$CL$1000,MATCH($B695,'Master data'!$A$2:$A$1000,0),MATCH(F$1,'Master data'!$B$1:$CL$1,0)),"")</f>
        <v/>
      </c>
      <c r="G695" s="7" t="str">
        <f>IFERROR(INDEX('Master data'!$B$2:$CL$1000,MATCH($B695,'Master data'!$A$2:$A$1000,0),MATCH(G$1,'Master data'!$B$1:$CL$1,0)),"")</f>
        <v/>
      </c>
      <c r="H695" s="7" t="str">
        <f>IFERROR(INDEX('Master data'!$B$2:$CL$1000,MATCH($B695,'Master data'!$A$2:$A$1000,0),MATCH(H$1,'Master data'!$B$1:$CL$1,0)),"")</f>
        <v/>
      </c>
      <c r="I695" s="7" t="str">
        <f>IFERROR(INDEX('Master data'!$B$2:$CL$1000,MATCH($B695,'Master data'!$A$2:$A$1000,0),MATCH(I$1,'Master data'!$B$1:$CL$1,0)),"")</f>
        <v/>
      </c>
      <c r="J695" s="7" t="str">
        <f>IFERROR(INDEX('Master data'!$B$2:$CL$1000,MATCH($B695,'Master data'!$A$2:$A$1000,0),MATCH(J$1,'Master data'!$B$1:$CL$1,0)),"")</f>
        <v/>
      </c>
      <c r="K695" s="7" t="str">
        <f>IFERROR(INDEX('Master data'!$B$2:$CL$1000,MATCH($B695,'Master data'!$A$2:$A$1000,0),MATCH(K$1,'Master data'!$B$1:$CL$1,0)),"")</f>
        <v/>
      </c>
      <c r="L695" s="7" t="str">
        <f>IFERROR(INDEX('Master data'!$B$2:$CL$1000,MATCH($B695,'Master data'!$A$2:$A$1000,0),MATCH(L$1,'Master data'!$B$1:$CL$1,0)),"")</f>
        <v/>
      </c>
      <c r="M695" s="5" t="str">
        <f>IFERROR(INDEX('Master data'!$B$2:$CL$1000,MATCH($B695,'Master data'!$A$2:$A$1000,0),MATCH(M$1,'Master data'!$B$1:$CL$1,0)),"")</f>
        <v/>
      </c>
      <c r="N695" s="28" t="str">
        <f>IFERROR(INDEX('Master data'!$B$2:$CL$1000,MATCH($B695,'Master data'!$A$2:$A$1000,0),MATCH(N$1,'Master data'!$B$1:$CL$1,0)),"")</f>
        <v/>
      </c>
      <c r="O695" s="7" t="str">
        <f>IFERROR(INDEX('Master data'!$B$2:$CL$1000,MATCH($B695,'Master data'!$A$2:$A$1000,0),MATCH(O$1,'Master data'!$B$1:$CL$1,0)),"")</f>
        <v/>
      </c>
      <c r="P695" s="5" t="str">
        <f>IFERROR(INDEX('Master data'!$B$2:$CL$1000,MATCH($B695,'Master data'!$A$2:$A$1000,0),MATCH(P$1,'Master data'!$B$1:$CL$1,0)),"")</f>
        <v/>
      </c>
      <c r="Q695" s="5" t="str">
        <f>IFERROR(INDEX('Master data'!$B$2:$CL$1000,MATCH($B695,'Master data'!$A$2:$A$1000,0),MATCH(Q$1,'Master data'!$B$1:$CL$1,0)),"")</f>
        <v/>
      </c>
    </row>
    <row r="696" spans="1:17" hidden="1">
      <c r="A696" t="str">
        <f t="shared" si="10"/>
        <v/>
      </c>
      <c r="B696" t="str">
        <f>IF('Master data'!A696="","",'Master data'!A696)</f>
        <v/>
      </c>
      <c r="C696" t="str">
        <f>IFERROR(INDEX('Master data'!$B$2:$CL$1000,MATCH($B696,'Master data'!$A$2:$A$1000,0),MATCH(C$1,'Master data'!$B$1:$CL$1,0)),"")</f>
        <v/>
      </c>
      <c r="D696" t="str">
        <f>IFERROR(INDEX('Master data'!$B$2:$CL$1000,MATCH($B696,'Master data'!$A$2:$A$1000,0),MATCH(D$1,'Master data'!$B$1:$CL$1,0)),"")</f>
        <v/>
      </c>
      <c r="E696" s="5" t="str">
        <f>IFERROR(INDEX('Master data'!$B$2:$CL$1000,MATCH($B696,'Master data'!$A$2:$A$1000,0),MATCH(E$1,'Master data'!$B$1:$CL$1,0)),"")</f>
        <v/>
      </c>
      <c r="F696" s="7" t="str">
        <f>IFERROR(INDEX('Master data'!$B$2:$CL$1000,MATCH($B696,'Master data'!$A$2:$A$1000,0),MATCH(F$1,'Master data'!$B$1:$CL$1,0)),"")</f>
        <v/>
      </c>
      <c r="G696" s="7" t="str">
        <f>IFERROR(INDEX('Master data'!$B$2:$CL$1000,MATCH($B696,'Master data'!$A$2:$A$1000,0),MATCH(G$1,'Master data'!$B$1:$CL$1,0)),"")</f>
        <v/>
      </c>
      <c r="H696" s="7" t="str">
        <f>IFERROR(INDEX('Master data'!$B$2:$CL$1000,MATCH($B696,'Master data'!$A$2:$A$1000,0),MATCH(H$1,'Master data'!$B$1:$CL$1,0)),"")</f>
        <v/>
      </c>
      <c r="I696" s="7" t="str">
        <f>IFERROR(INDEX('Master data'!$B$2:$CL$1000,MATCH($B696,'Master data'!$A$2:$A$1000,0),MATCH(I$1,'Master data'!$B$1:$CL$1,0)),"")</f>
        <v/>
      </c>
      <c r="J696" s="7" t="str">
        <f>IFERROR(INDEX('Master data'!$B$2:$CL$1000,MATCH($B696,'Master data'!$A$2:$A$1000,0),MATCH(J$1,'Master data'!$B$1:$CL$1,0)),"")</f>
        <v/>
      </c>
      <c r="K696" s="7" t="str">
        <f>IFERROR(INDEX('Master data'!$B$2:$CL$1000,MATCH($B696,'Master data'!$A$2:$A$1000,0),MATCH(K$1,'Master data'!$B$1:$CL$1,0)),"")</f>
        <v/>
      </c>
      <c r="L696" s="7" t="str">
        <f>IFERROR(INDEX('Master data'!$B$2:$CL$1000,MATCH($B696,'Master data'!$A$2:$A$1000,0),MATCH(L$1,'Master data'!$B$1:$CL$1,0)),"")</f>
        <v/>
      </c>
      <c r="M696" s="5" t="str">
        <f>IFERROR(INDEX('Master data'!$B$2:$CL$1000,MATCH($B696,'Master data'!$A$2:$A$1000,0),MATCH(M$1,'Master data'!$B$1:$CL$1,0)),"")</f>
        <v/>
      </c>
      <c r="N696" s="28" t="str">
        <f>IFERROR(INDEX('Master data'!$B$2:$CL$1000,MATCH($B696,'Master data'!$A$2:$A$1000,0),MATCH(N$1,'Master data'!$B$1:$CL$1,0)),"")</f>
        <v/>
      </c>
      <c r="O696" s="7" t="str">
        <f>IFERROR(INDEX('Master data'!$B$2:$CL$1000,MATCH($B696,'Master data'!$A$2:$A$1000,0),MATCH(O$1,'Master data'!$B$1:$CL$1,0)),"")</f>
        <v/>
      </c>
      <c r="P696" s="5" t="str">
        <f>IFERROR(INDEX('Master data'!$B$2:$CL$1000,MATCH($B696,'Master data'!$A$2:$A$1000,0),MATCH(P$1,'Master data'!$B$1:$CL$1,0)),"")</f>
        <v/>
      </c>
      <c r="Q696" s="5" t="str">
        <f>IFERROR(INDEX('Master data'!$B$2:$CL$1000,MATCH($B696,'Master data'!$A$2:$A$1000,0),MATCH(Q$1,'Master data'!$B$1:$CL$1,0)),"")</f>
        <v/>
      </c>
    </row>
    <row r="697" spans="1:17" hidden="1">
      <c r="A697" t="str">
        <f t="shared" si="10"/>
        <v/>
      </c>
      <c r="B697" t="str">
        <f>IF('Master data'!A697="","",'Master data'!A697)</f>
        <v/>
      </c>
      <c r="C697" t="str">
        <f>IFERROR(INDEX('Master data'!$B$2:$CL$1000,MATCH($B697,'Master data'!$A$2:$A$1000,0),MATCH(C$1,'Master data'!$B$1:$CL$1,0)),"")</f>
        <v/>
      </c>
      <c r="D697" t="str">
        <f>IFERROR(INDEX('Master data'!$B$2:$CL$1000,MATCH($B697,'Master data'!$A$2:$A$1000,0),MATCH(D$1,'Master data'!$B$1:$CL$1,0)),"")</f>
        <v/>
      </c>
      <c r="E697" s="5" t="str">
        <f>IFERROR(INDEX('Master data'!$B$2:$CL$1000,MATCH($B697,'Master data'!$A$2:$A$1000,0),MATCH(E$1,'Master data'!$B$1:$CL$1,0)),"")</f>
        <v/>
      </c>
      <c r="F697" s="7" t="str">
        <f>IFERROR(INDEX('Master data'!$B$2:$CL$1000,MATCH($B697,'Master data'!$A$2:$A$1000,0),MATCH(F$1,'Master data'!$B$1:$CL$1,0)),"")</f>
        <v/>
      </c>
      <c r="G697" s="7" t="str">
        <f>IFERROR(INDEX('Master data'!$B$2:$CL$1000,MATCH($B697,'Master data'!$A$2:$A$1000,0),MATCH(G$1,'Master data'!$B$1:$CL$1,0)),"")</f>
        <v/>
      </c>
      <c r="H697" s="7" t="str">
        <f>IFERROR(INDEX('Master data'!$B$2:$CL$1000,MATCH($B697,'Master data'!$A$2:$A$1000,0),MATCH(H$1,'Master data'!$B$1:$CL$1,0)),"")</f>
        <v/>
      </c>
      <c r="I697" s="7" t="str">
        <f>IFERROR(INDEX('Master data'!$B$2:$CL$1000,MATCH($B697,'Master data'!$A$2:$A$1000,0),MATCH(I$1,'Master data'!$B$1:$CL$1,0)),"")</f>
        <v/>
      </c>
      <c r="J697" s="7" t="str">
        <f>IFERROR(INDEX('Master data'!$B$2:$CL$1000,MATCH($B697,'Master data'!$A$2:$A$1000,0),MATCH(J$1,'Master data'!$B$1:$CL$1,0)),"")</f>
        <v/>
      </c>
      <c r="K697" s="7" t="str">
        <f>IFERROR(INDEX('Master data'!$B$2:$CL$1000,MATCH($B697,'Master data'!$A$2:$A$1000,0),MATCH(K$1,'Master data'!$B$1:$CL$1,0)),"")</f>
        <v/>
      </c>
      <c r="L697" s="7" t="str">
        <f>IFERROR(INDEX('Master data'!$B$2:$CL$1000,MATCH($B697,'Master data'!$A$2:$A$1000,0),MATCH(L$1,'Master data'!$B$1:$CL$1,0)),"")</f>
        <v/>
      </c>
      <c r="M697" s="5" t="str">
        <f>IFERROR(INDEX('Master data'!$B$2:$CL$1000,MATCH($B697,'Master data'!$A$2:$A$1000,0),MATCH(M$1,'Master data'!$B$1:$CL$1,0)),"")</f>
        <v/>
      </c>
      <c r="N697" s="28" t="str">
        <f>IFERROR(INDEX('Master data'!$B$2:$CL$1000,MATCH($B697,'Master data'!$A$2:$A$1000,0),MATCH(N$1,'Master data'!$B$1:$CL$1,0)),"")</f>
        <v/>
      </c>
      <c r="O697" s="7" t="str">
        <f>IFERROR(INDEX('Master data'!$B$2:$CL$1000,MATCH($B697,'Master data'!$A$2:$A$1000,0),MATCH(O$1,'Master data'!$B$1:$CL$1,0)),"")</f>
        <v/>
      </c>
      <c r="P697" s="5" t="str">
        <f>IFERROR(INDEX('Master data'!$B$2:$CL$1000,MATCH($B697,'Master data'!$A$2:$A$1000,0),MATCH(P$1,'Master data'!$B$1:$CL$1,0)),"")</f>
        <v/>
      </c>
      <c r="Q697" s="5" t="str">
        <f>IFERROR(INDEX('Master data'!$B$2:$CL$1000,MATCH($B697,'Master data'!$A$2:$A$1000,0),MATCH(Q$1,'Master data'!$B$1:$CL$1,0)),"")</f>
        <v/>
      </c>
    </row>
    <row r="698" spans="1:17" hidden="1">
      <c r="A698" t="str">
        <f t="shared" si="10"/>
        <v/>
      </c>
      <c r="B698" t="str">
        <f>IF('Master data'!A698="","",'Master data'!A698)</f>
        <v/>
      </c>
      <c r="C698" t="str">
        <f>IFERROR(INDEX('Master data'!$B$2:$CL$1000,MATCH($B698,'Master data'!$A$2:$A$1000,0),MATCH(C$1,'Master data'!$B$1:$CL$1,0)),"")</f>
        <v/>
      </c>
      <c r="D698" t="str">
        <f>IFERROR(INDEX('Master data'!$B$2:$CL$1000,MATCH($B698,'Master data'!$A$2:$A$1000,0),MATCH(D$1,'Master data'!$B$1:$CL$1,0)),"")</f>
        <v/>
      </c>
      <c r="E698" s="5" t="str">
        <f>IFERROR(INDEX('Master data'!$B$2:$CL$1000,MATCH($B698,'Master data'!$A$2:$A$1000,0),MATCH(E$1,'Master data'!$B$1:$CL$1,0)),"")</f>
        <v/>
      </c>
      <c r="F698" s="7" t="str">
        <f>IFERROR(INDEX('Master data'!$B$2:$CL$1000,MATCH($B698,'Master data'!$A$2:$A$1000,0),MATCH(F$1,'Master data'!$B$1:$CL$1,0)),"")</f>
        <v/>
      </c>
      <c r="G698" s="7" t="str">
        <f>IFERROR(INDEX('Master data'!$B$2:$CL$1000,MATCH($B698,'Master data'!$A$2:$A$1000,0),MATCH(G$1,'Master data'!$B$1:$CL$1,0)),"")</f>
        <v/>
      </c>
      <c r="H698" s="7" t="str">
        <f>IFERROR(INDEX('Master data'!$B$2:$CL$1000,MATCH($B698,'Master data'!$A$2:$A$1000,0),MATCH(H$1,'Master data'!$B$1:$CL$1,0)),"")</f>
        <v/>
      </c>
      <c r="I698" s="7" t="str">
        <f>IFERROR(INDEX('Master data'!$B$2:$CL$1000,MATCH($B698,'Master data'!$A$2:$A$1000,0),MATCH(I$1,'Master data'!$B$1:$CL$1,0)),"")</f>
        <v/>
      </c>
      <c r="J698" s="7" t="str">
        <f>IFERROR(INDEX('Master data'!$B$2:$CL$1000,MATCH($B698,'Master data'!$A$2:$A$1000,0),MATCH(J$1,'Master data'!$B$1:$CL$1,0)),"")</f>
        <v/>
      </c>
      <c r="K698" s="7" t="str">
        <f>IFERROR(INDEX('Master data'!$B$2:$CL$1000,MATCH($B698,'Master data'!$A$2:$A$1000,0),MATCH(K$1,'Master data'!$B$1:$CL$1,0)),"")</f>
        <v/>
      </c>
      <c r="L698" s="7" t="str">
        <f>IFERROR(INDEX('Master data'!$B$2:$CL$1000,MATCH($B698,'Master data'!$A$2:$A$1000,0),MATCH(L$1,'Master data'!$B$1:$CL$1,0)),"")</f>
        <v/>
      </c>
      <c r="M698" s="5" t="str">
        <f>IFERROR(INDEX('Master data'!$B$2:$CL$1000,MATCH($B698,'Master data'!$A$2:$A$1000,0),MATCH(M$1,'Master data'!$B$1:$CL$1,0)),"")</f>
        <v/>
      </c>
      <c r="N698" s="28" t="str">
        <f>IFERROR(INDEX('Master data'!$B$2:$CL$1000,MATCH($B698,'Master data'!$A$2:$A$1000,0),MATCH(N$1,'Master data'!$B$1:$CL$1,0)),"")</f>
        <v/>
      </c>
      <c r="O698" s="7" t="str">
        <f>IFERROR(INDEX('Master data'!$B$2:$CL$1000,MATCH($B698,'Master data'!$A$2:$A$1000,0),MATCH(O$1,'Master data'!$B$1:$CL$1,0)),"")</f>
        <v/>
      </c>
      <c r="P698" s="5" t="str">
        <f>IFERROR(INDEX('Master data'!$B$2:$CL$1000,MATCH($B698,'Master data'!$A$2:$A$1000,0),MATCH(P$1,'Master data'!$B$1:$CL$1,0)),"")</f>
        <v/>
      </c>
      <c r="Q698" s="5" t="str">
        <f>IFERROR(INDEX('Master data'!$B$2:$CL$1000,MATCH($B698,'Master data'!$A$2:$A$1000,0),MATCH(Q$1,'Master data'!$B$1:$CL$1,0)),"")</f>
        <v/>
      </c>
    </row>
    <row r="699" spans="1:17" hidden="1">
      <c r="A699" t="str">
        <f t="shared" si="10"/>
        <v/>
      </c>
      <c r="B699" t="str">
        <f>IF('Master data'!A699="","",'Master data'!A699)</f>
        <v/>
      </c>
      <c r="C699" t="str">
        <f>IFERROR(INDEX('Master data'!$B$2:$CL$1000,MATCH($B699,'Master data'!$A$2:$A$1000,0),MATCH(C$1,'Master data'!$B$1:$CL$1,0)),"")</f>
        <v/>
      </c>
      <c r="D699" t="str">
        <f>IFERROR(INDEX('Master data'!$B$2:$CL$1000,MATCH($B699,'Master data'!$A$2:$A$1000,0),MATCH(D$1,'Master data'!$B$1:$CL$1,0)),"")</f>
        <v/>
      </c>
      <c r="E699" s="5" t="str">
        <f>IFERROR(INDEX('Master data'!$B$2:$CL$1000,MATCH($B699,'Master data'!$A$2:$A$1000,0),MATCH(E$1,'Master data'!$B$1:$CL$1,0)),"")</f>
        <v/>
      </c>
      <c r="F699" s="7" t="str">
        <f>IFERROR(INDEX('Master data'!$B$2:$CL$1000,MATCH($B699,'Master data'!$A$2:$A$1000,0),MATCH(F$1,'Master data'!$B$1:$CL$1,0)),"")</f>
        <v/>
      </c>
      <c r="G699" s="7" t="str">
        <f>IFERROR(INDEX('Master data'!$B$2:$CL$1000,MATCH($B699,'Master data'!$A$2:$A$1000,0),MATCH(G$1,'Master data'!$B$1:$CL$1,0)),"")</f>
        <v/>
      </c>
      <c r="H699" s="7" t="str">
        <f>IFERROR(INDEX('Master data'!$B$2:$CL$1000,MATCH($B699,'Master data'!$A$2:$A$1000,0),MATCH(H$1,'Master data'!$B$1:$CL$1,0)),"")</f>
        <v/>
      </c>
      <c r="I699" s="7" t="str">
        <f>IFERROR(INDEX('Master data'!$B$2:$CL$1000,MATCH($B699,'Master data'!$A$2:$A$1000,0),MATCH(I$1,'Master data'!$B$1:$CL$1,0)),"")</f>
        <v/>
      </c>
      <c r="J699" s="7" t="str">
        <f>IFERROR(INDEX('Master data'!$B$2:$CL$1000,MATCH($B699,'Master data'!$A$2:$A$1000,0),MATCH(J$1,'Master data'!$B$1:$CL$1,0)),"")</f>
        <v/>
      </c>
      <c r="K699" s="7" t="str">
        <f>IFERROR(INDEX('Master data'!$B$2:$CL$1000,MATCH($B699,'Master data'!$A$2:$A$1000,0),MATCH(K$1,'Master data'!$B$1:$CL$1,0)),"")</f>
        <v/>
      </c>
      <c r="L699" s="7" t="str">
        <f>IFERROR(INDEX('Master data'!$B$2:$CL$1000,MATCH($B699,'Master data'!$A$2:$A$1000,0),MATCH(L$1,'Master data'!$B$1:$CL$1,0)),"")</f>
        <v/>
      </c>
      <c r="M699" s="5" t="str">
        <f>IFERROR(INDEX('Master data'!$B$2:$CL$1000,MATCH($B699,'Master data'!$A$2:$A$1000,0),MATCH(M$1,'Master data'!$B$1:$CL$1,0)),"")</f>
        <v/>
      </c>
      <c r="N699" s="28" t="str">
        <f>IFERROR(INDEX('Master data'!$B$2:$CL$1000,MATCH($B699,'Master data'!$A$2:$A$1000,0),MATCH(N$1,'Master data'!$B$1:$CL$1,0)),"")</f>
        <v/>
      </c>
      <c r="O699" s="7" t="str">
        <f>IFERROR(INDEX('Master data'!$B$2:$CL$1000,MATCH($B699,'Master data'!$A$2:$A$1000,0),MATCH(O$1,'Master data'!$B$1:$CL$1,0)),"")</f>
        <v/>
      </c>
      <c r="P699" s="5" t="str">
        <f>IFERROR(INDEX('Master data'!$B$2:$CL$1000,MATCH($B699,'Master data'!$A$2:$A$1000,0),MATCH(P$1,'Master data'!$B$1:$CL$1,0)),"")</f>
        <v/>
      </c>
      <c r="Q699" s="5" t="str">
        <f>IFERROR(INDEX('Master data'!$B$2:$CL$1000,MATCH($B699,'Master data'!$A$2:$A$1000,0),MATCH(Q$1,'Master data'!$B$1:$CL$1,0)),"")</f>
        <v/>
      </c>
    </row>
    <row r="700" spans="1:17" hidden="1">
      <c r="A700" t="str">
        <f t="shared" si="10"/>
        <v/>
      </c>
      <c r="B700" t="str">
        <f>IF('Master data'!A700="","",'Master data'!A700)</f>
        <v/>
      </c>
      <c r="C700" t="str">
        <f>IFERROR(INDEX('Master data'!$B$2:$CL$1000,MATCH($B700,'Master data'!$A$2:$A$1000,0),MATCH(C$1,'Master data'!$B$1:$CL$1,0)),"")</f>
        <v/>
      </c>
      <c r="D700" t="str">
        <f>IFERROR(INDEX('Master data'!$B$2:$CL$1000,MATCH($B700,'Master data'!$A$2:$A$1000,0),MATCH(D$1,'Master data'!$B$1:$CL$1,0)),"")</f>
        <v/>
      </c>
      <c r="E700" s="5" t="str">
        <f>IFERROR(INDEX('Master data'!$B$2:$CL$1000,MATCH($B700,'Master data'!$A$2:$A$1000,0),MATCH(E$1,'Master data'!$B$1:$CL$1,0)),"")</f>
        <v/>
      </c>
      <c r="F700" s="7" t="str">
        <f>IFERROR(INDEX('Master data'!$B$2:$CL$1000,MATCH($B700,'Master data'!$A$2:$A$1000,0),MATCH(F$1,'Master data'!$B$1:$CL$1,0)),"")</f>
        <v/>
      </c>
      <c r="G700" s="7" t="str">
        <f>IFERROR(INDEX('Master data'!$B$2:$CL$1000,MATCH($B700,'Master data'!$A$2:$A$1000,0),MATCH(G$1,'Master data'!$B$1:$CL$1,0)),"")</f>
        <v/>
      </c>
      <c r="H700" s="7" t="str">
        <f>IFERROR(INDEX('Master data'!$B$2:$CL$1000,MATCH($B700,'Master data'!$A$2:$A$1000,0),MATCH(H$1,'Master data'!$B$1:$CL$1,0)),"")</f>
        <v/>
      </c>
      <c r="I700" s="7" t="str">
        <f>IFERROR(INDEX('Master data'!$B$2:$CL$1000,MATCH($B700,'Master data'!$A$2:$A$1000,0),MATCH(I$1,'Master data'!$B$1:$CL$1,0)),"")</f>
        <v/>
      </c>
      <c r="J700" s="7" t="str">
        <f>IFERROR(INDEX('Master data'!$B$2:$CL$1000,MATCH($B700,'Master data'!$A$2:$A$1000,0),MATCH(J$1,'Master data'!$B$1:$CL$1,0)),"")</f>
        <v/>
      </c>
      <c r="K700" s="7" t="str">
        <f>IFERROR(INDEX('Master data'!$B$2:$CL$1000,MATCH($B700,'Master data'!$A$2:$A$1000,0),MATCH(K$1,'Master data'!$B$1:$CL$1,0)),"")</f>
        <v/>
      </c>
      <c r="L700" s="7" t="str">
        <f>IFERROR(INDEX('Master data'!$B$2:$CL$1000,MATCH($B700,'Master data'!$A$2:$A$1000,0),MATCH(L$1,'Master data'!$B$1:$CL$1,0)),"")</f>
        <v/>
      </c>
      <c r="M700" s="5" t="str">
        <f>IFERROR(INDEX('Master data'!$B$2:$CL$1000,MATCH($B700,'Master data'!$A$2:$A$1000,0),MATCH(M$1,'Master data'!$B$1:$CL$1,0)),"")</f>
        <v/>
      </c>
      <c r="N700" s="28" t="str">
        <f>IFERROR(INDEX('Master data'!$B$2:$CL$1000,MATCH($B700,'Master data'!$A$2:$A$1000,0),MATCH(N$1,'Master data'!$B$1:$CL$1,0)),"")</f>
        <v/>
      </c>
      <c r="O700" s="7" t="str">
        <f>IFERROR(INDEX('Master data'!$B$2:$CL$1000,MATCH($B700,'Master data'!$A$2:$A$1000,0),MATCH(O$1,'Master data'!$B$1:$CL$1,0)),"")</f>
        <v/>
      </c>
      <c r="P700" s="5" t="str">
        <f>IFERROR(INDEX('Master data'!$B$2:$CL$1000,MATCH($B700,'Master data'!$A$2:$A$1000,0),MATCH(P$1,'Master data'!$B$1:$CL$1,0)),"")</f>
        <v/>
      </c>
      <c r="Q700" s="5" t="str">
        <f>IFERROR(INDEX('Master data'!$B$2:$CL$1000,MATCH($B700,'Master data'!$A$2:$A$1000,0),MATCH(Q$1,'Master data'!$B$1:$CL$1,0)),"")</f>
        <v/>
      </c>
    </row>
    <row r="701" spans="1:17" hidden="1">
      <c r="A701" t="str">
        <f t="shared" si="10"/>
        <v/>
      </c>
      <c r="B701" t="str">
        <f>IF('Master data'!A701="","",'Master data'!A701)</f>
        <v/>
      </c>
      <c r="C701" t="str">
        <f>IFERROR(INDEX('Master data'!$B$2:$CL$1000,MATCH($B701,'Master data'!$A$2:$A$1000,0),MATCH(C$1,'Master data'!$B$1:$CL$1,0)),"")</f>
        <v/>
      </c>
      <c r="D701" t="str">
        <f>IFERROR(INDEX('Master data'!$B$2:$CL$1000,MATCH($B701,'Master data'!$A$2:$A$1000,0),MATCH(D$1,'Master data'!$B$1:$CL$1,0)),"")</f>
        <v/>
      </c>
      <c r="E701" s="5" t="str">
        <f>IFERROR(INDEX('Master data'!$B$2:$CL$1000,MATCH($B701,'Master data'!$A$2:$A$1000,0),MATCH(E$1,'Master data'!$B$1:$CL$1,0)),"")</f>
        <v/>
      </c>
      <c r="F701" s="7" t="str">
        <f>IFERROR(INDEX('Master data'!$B$2:$CL$1000,MATCH($B701,'Master data'!$A$2:$A$1000,0),MATCH(F$1,'Master data'!$B$1:$CL$1,0)),"")</f>
        <v/>
      </c>
      <c r="G701" s="7" t="str">
        <f>IFERROR(INDEX('Master data'!$B$2:$CL$1000,MATCH($B701,'Master data'!$A$2:$A$1000,0),MATCH(G$1,'Master data'!$B$1:$CL$1,0)),"")</f>
        <v/>
      </c>
      <c r="H701" s="7" t="str">
        <f>IFERROR(INDEX('Master data'!$B$2:$CL$1000,MATCH($B701,'Master data'!$A$2:$A$1000,0),MATCH(H$1,'Master data'!$B$1:$CL$1,0)),"")</f>
        <v/>
      </c>
      <c r="I701" s="7" t="str">
        <f>IFERROR(INDEX('Master data'!$B$2:$CL$1000,MATCH($B701,'Master data'!$A$2:$A$1000,0),MATCH(I$1,'Master data'!$B$1:$CL$1,0)),"")</f>
        <v/>
      </c>
      <c r="J701" s="7" t="str">
        <f>IFERROR(INDEX('Master data'!$B$2:$CL$1000,MATCH($B701,'Master data'!$A$2:$A$1000,0),MATCH(J$1,'Master data'!$B$1:$CL$1,0)),"")</f>
        <v/>
      </c>
      <c r="K701" s="7" t="str">
        <f>IFERROR(INDEX('Master data'!$B$2:$CL$1000,MATCH($B701,'Master data'!$A$2:$A$1000,0),MATCH(K$1,'Master data'!$B$1:$CL$1,0)),"")</f>
        <v/>
      </c>
      <c r="L701" s="7" t="str">
        <f>IFERROR(INDEX('Master data'!$B$2:$CL$1000,MATCH($B701,'Master data'!$A$2:$A$1000,0),MATCH(L$1,'Master data'!$B$1:$CL$1,0)),"")</f>
        <v/>
      </c>
      <c r="M701" s="5" t="str">
        <f>IFERROR(INDEX('Master data'!$B$2:$CL$1000,MATCH($B701,'Master data'!$A$2:$A$1000,0),MATCH(M$1,'Master data'!$B$1:$CL$1,0)),"")</f>
        <v/>
      </c>
      <c r="N701" s="28" t="str">
        <f>IFERROR(INDEX('Master data'!$B$2:$CL$1000,MATCH($B701,'Master data'!$A$2:$A$1000,0),MATCH(N$1,'Master data'!$B$1:$CL$1,0)),"")</f>
        <v/>
      </c>
      <c r="O701" s="7" t="str">
        <f>IFERROR(INDEX('Master data'!$B$2:$CL$1000,MATCH($B701,'Master data'!$A$2:$A$1000,0),MATCH(O$1,'Master data'!$B$1:$CL$1,0)),"")</f>
        <v/>
      </c>
      <c r="P701" s="5" t="str">
        <f>IFERROR(INDEX('Master data'!$B$2:$CL$1000,MATCH($B701,'Master data'!$A$2:$A$1000,0),MATCH(P$1,'Master data'!$B$1:$CL$1,0)),"")</f>
        <v/>
      </c>
      <c r="Q701" s="5" t="str">
        <f>IFERROR(INDEX('Master data'!$B$2:$CL$1000,MATCH($B701,'Master data'!$A$2:$A$1000,0),MATCH(Q$1,'Master data'!$B$1:$CL$1,0)),"")</f>
        <v/>
      </c>
    </row>
    <row r="702" spans="1:17" hidden="1">
      <c r="A702" t="str">
        <f t="shared" si="10"/>
        <v/>
      </c>
      <c r="B702" t="str">
        <f>IF('Master data'!A702="","",'Master data'!A702)</f>
        <v/>
      </c>
      <c r="C702" t="str">
        <f>IFERROR(INDEX('Master data'!$B$2:$CL$1000,MATCH($B702,'Master data'!$A$2:$A$1000,0),MATCH(C$1,'Master data'!$B$1:$CL$1,0)),"")</f>
        <v/>
      </c>
      <c r="D702" t="str">
        <f>IFERROR(INDEX('Master data'!$B$2:$CL$1000,MATCH($B702,'Master data'!$A$2:$A$1000,0),MATCH(D$1,'Master data'!$B$1:$CL$1,0)),"")</f>
        <v/>
      </c>
      <c r="E702" s="5" t="str">
        <f>IFERROR(INDEX('Master data'!$B$2:$CL$1000,MATCH($B702,'Master data'!$A$2:$A$1000,0),MATCH(E$1,'Master data'!$B$1:$CL$1,0)),"")</f>
        <v/>
      </c>
      <c r="F702" s="7" t="str">
        <f>IFERROR(INDEX('Master data'!$B$2:$CL$1000,MATCH($B702,'Master data'!$A$2:$A$1000,0),MATCH(F$1,'Master data'!$B$1:$CL$1,0)),"")</f>
        <v/>
      </c>
      <c r="G702" s="7" t="str">
        <f>IFERROR(INDEX('Master data'!$B$2:$CL$1000,MATCH($B702,'Master data'!$A$2:$A$1000,0),MATCH(G$1,'Master data'!$B$1:$CL$1,0)),"")</f>
        <v/>
      </c>
      <c r="H702" s="7" t="str">
        <f>IFERROR(INDEX('Master data'!$B$2:$CL$1000,MATCH($B702,'Master data'!$A$2:$A$1000,0),MATCH(H$1,'Master data'!$B$1:$CL$1,0)),"")</f>
        <v/>
      </c>
      <c r="I702" s="7" t="str">
        <f>IFERROR(INDEX('Master data'!$B$2:$CL$1000,MATCH($B702,'Master data'!$A$2:$A$1000,0),MATCH(I$1,'Master data'!$B$1:$CL$1,0)),"")</f>
        <v/>
      </c>
      <c r="J702" s="7" t="str">
        <f>IFERROR(INDEX('Master data'!$B$2:$CL$1000,MATCH($B702,'Master data'!$A$2:$A$1000,0),MATCH(J$1,'Master data'!$B$1:$CL$1,0)),"")</f>
        <v/>
      </c>
      <c r="K702" s="7" t="str">
        <f>IFERROR(INDEX('Master data'!$B$2:$CL$1000,MATCH($B702,'Master data'!$A$2:$A$1000,0),MATCH(K$1,'Master data'!$B$1:$CL$1,0)),"")</f>
        <v/>
      </c>
      <c r="L702" s="7" t="str">
        <f>IFERROR(INDEX('Master data'!$B$2:$CL$1000,MATCH($B702,'Master data'!$A$2:$A$1000,0),MATCH(L$1,'Master data'!$B$1:$CL$1,0)),"")</f>
        <v/>
      </c>
      <c r="M702" s="5" t="str">
        <f>IFERROR(INDEX('Master data'!$B$2:$CL$1000,MATCH($B702,'Master data'!$A$2:$A$1000,0),MATCH(M$1,'Master data'!$B$1:$CL$1,0)),"")</f>
        <v/>
      </c>
      <c r="N702" s="28" t="str">
        <f>IFERROR(INDEX('Master data'!$B$2:$CL$1000,MATCH($B702,'Master data'!$A$2:$A$1000,0),MATCH(N$1,'Master data'!$B$1:$CL$1,0)),"")</f>
        <v/>
      </c>
      <c r="O702" s="7" t="str">
        <f>IFERROR(INDEX('Master data'!$B$2:$CL$1000,MATCH($B702,'Master data'!$A$2:$A$1000,0),MATCH(O$1,'Master data'!$B$1:$CL$1,0)),"")</f>
        <v/>
      </c>
      <c r="P702" s="5" t="str">
        <f>IFERROR(INDEX('Master data'!$B$2:$CL$1000,MATCH($B702,'Master data'!$A$2:$A$1000,0),MATCH(P$1,'Master data'!$B$1:$CL$1,0)),"")</f>
        <v/>
      </c>
      <c r="Q702" s="5" t="str">
        <f>IFERROR(INDEX('Master data'!$B$2:$CL$1000,MATCH($B702,'Master data'!$A$2:$A$1000,0),MATCH(Q$1,'Master data'!$B$1:$CL$1,0)),"")</f>
        <v/>
      </c>
    </row>
    <row r="703" spans="1:17" hidden="1">
      <c r="A703" t="str">
        <f t="shared" si="10"/>
        <v/>
      </c>
      <c r="B703" t="str">
        <f>IF('Master data'!A703="","",'Master data'!A703)</f>
        <v/>
      </c>
      <c r="C703" t="str">
        <f>IFERROR(INDEX('Master data'!$B$2:$CL$1000,MATCH($B703,'Master data'!$A$2:$A$1000,0),MATCH(C$1,'Master data'!$B$1:$CL$1,0)),"")</f>
        <v/>
      </c>
      <c r="D703" t="str">
        <f>IFERROR(INDEX('Master data'!$B$2:$CL$1000,MATCH($B703,'Master data'!$A$2:$A$1000,0),MATCH(D$1,'Master data'!$B$1:$CL$1,0)),"")</f>
        <v/>
      </c>
      <c r="E703" s="5" t="str">
        <f>IFERROR(INDEX('Master data'!$B$2:$CL$1000,MATCH($B703,'Master data'!$A$2:$A$1000,0),MATCH(E$1,'Master data'!$B$1:$CL$1,0)),"")</f>
        <v/>
      </c>
      <c r="F703" s="7" t="str">
        <f>IFERROR(INDEX('Master data'!$B$2:$CL$1000,MATCH($B703,'Master data'!$A$2:$A$1000,0),MATCH(F$1,'Master data'!$B$1:$CL$1,0)),"")</f>
        <v/>
      </c>
      <c r="G703" s="7" t="str">
        <f>IFERROR(INDEX('Master data'!$B$2:$CL$1000,MATCH($B703,'Master data'!$A$2:$A$1000,0),MATCH(G$1,'Master data'!$B$1:$CL$1,0)),"")</f>
        <v/>
      </c>
      <c r="H703" s="7" t="str">
        <f>IFERROR(INDEX('Master data'!$B$2:$CL$1000,MATCH($B703,'Master data'!$A$2:$A$1000,0),MATCH(H$1,'Master data'!$B$1:$CL$1,0)),"")</f>
        <v/>
      </c>
      <c r="I703" s="7" t="str">
        <f>IFERROR(INDEX('Master data'!$B$2:$CL$1000,MATCH($B703,'Master data'!$A$2:$A$1000,0),MATCH(I$1,'Master data'!$B$1:$CL$1,0)),"")</f>
        <v/>
      </c>
      <c r="J703" s="7" t="str">
        <f>IFERROR(INDEX('Master data'!$B$2:$CL$1000,MATCH($B703,'Master data'!$A$2:$A$1000,0),MATCH(J$1,'Master data'!$B$1:$CL$1,0)),"")</f>
        <v/>
      </c>
      <c r="K703" s="7" t="str">
        <f>IFERROR(INDEX('Master data'!$B$2:$CL$1000,MATCH($B703,'Master data'!$A$2:$A$1000,0),MATCH(K$1,'Master data'!$B$1:$CL$1,0)),"")</f>
        <v/>
      </c>
      <c r="L703" s="7" t="str">
        <f>IFERROR(INDEX('Master data'!$B$2:$CL$1000,MATCH($B703,'Master data'!$A$2:$A$1000,0),MATCH(L$1,'Master data'!$B$1:$CL$1,0)),"")</f>
        <v/>
      </c>
      <c r="M703" s="5" t="str">
        <f>IFERROR(INDEX('Master data'!$B$2:$CL$1000,MATCH($B703,'Master data'!$A$2:$A$1000,0),MATCH(M$1,'Master data'!$B$1:$CL$1,0)),"")</f>
        <v/>
      </c>
      <c r="N703" s="28" t="str">
        <f>IFERROR(INDEX('Master data'!$B$2:$CL$1000,MATCH($B703,'Master data'!$A$2:$A$1000,0),MATCH(N$1,'Master data'!$B$1:$CL$1,0)),"")</f>
        <v/>
      </c>
      <c r="O703" s="7" t="str">
        <f>IFERROR(INDEX('Master data'!$B$2:$CL$1000,MATCH($B703,'Master data'!$A$2:$A$1000,0),MATCH(O$1,'Master data'!$B$1:$CL$1,0)),"")</f>
        <v/>
      </c>
      <c r="P703" s="5" t="str">
        <f>IFERROR(INDEX('Master data'!$B$2:$CL$1000,MATCH($B703,'Master data'!$A$2:$A$1000,0),MATCH(P$1,'Master data'!$B$1:$CL$1,0)),"")</f>
        <v/>
      </c>
      <c r="Q703" s="5" t="str">
        <f>IFERROR(INDEX('Master data'!$B$2:$CL$1000,MATCH($B703,'Master data'!$A$2:$A$1000,0),MATCH(Q$1,'Master data'!$B$1:$CL$1,0)),"")</f>
        <v/>
      </c>
    </row>
    <row r="704" spans="1:17" hidden="1">
      <c r="A704" t="str">
        <f t="shared" si="10"/>
        <v/>
      </c>
      <c r="B704" t="str">
        <f>IF('Master data'!A704="","",'Master data'!A704)</f>
        <v/>
      </c>
      <c r="C704" t="str">
        <f>IFERROR(INDEX('Master data'!$B$2:$CL$1000,MATCH($B704,'Master data'!$A$2:$A$1000,0),MATCH(C$1,'Master data'!$B$1:$CL$1,0)),"")</f>
        <v/>
      </c>
      <c r="D704" t="str">
        <f>IFERROR(INDEX('Master data'!$B$2:$CL$1000,MATCH($B704,'Master data'!$A$2:$A$1000,0),MATCH(D$1,'Master data'!$B$1:$CL$1,0)),"")</f>
        <v/>
      </c>
      <c r="E704" s="5" t="str">
        <f>IFERROR(INDEX('Master data'!$B$2:$CL$1000,MATCH($B704,'Master data'!$A$2:$A$1000,0),MATCH(E$1,'Master data'!$B$1:$CL$1,0)),"")</f>
        <v/>
      </c>
      <c r="F704" s="7" t="str">
        <f>IFERROR(INDEX('Master data'!$B$2:$CL$1000,MATCH($B704,'Master data'!$A$2:$A$1000,0),MATCH(F$1,'Master data'!$B$1:$CL$1,0)),"")</f>
        <v/>
      </c>
      <c r="G704" s="7" t="str">
        <f>IFERROR(INDEX('Master data'!$B$2:$CL$1000,MATCH($B704,'Master data'!$A$2:$A$1000,0),MATCH(G$1,'Master data'!$B$1:$CL$1,0)),"")</f>
        <v/>
      </c>
      <c r="H704" s="7" t="str">
        <f>IFERROR(INDEX('Master data'!$B$2:$CL$1000,MATCH($B704,'Master data'!$A$2:$A$1000,0),MATCH(H$1,'Master data'!$B$1:$CL$1,0)),"")</f>
        <v/>
      </c>
      <c r="I704" s="7" t="str">
        <f>IFERROR(INDEX('Master data'!$B$2:$CL$1000,MATCH($B704,'Master data'!$A$2:$A$1000,0),MATCH(I$1,'Master data'!$B$1:$CL$1,0)),"")</f>
        <v/>
      </c>
      <c r="J704" s="7" t="str">
        <f>IFERROR(INDEX('Master data'!$B$2:$CL$1000,MATCH($B704,'Master data'!$A$2:$A$1000,0),MATCH(J$1,'Master data'!$B$1:$CL$1,0)),"")</f>
        <v/>
      </c>
      <c r="K704" s="7" t="str">
        <f>IFERROR(INDEX('Master data'!$B$2:$CL$1000,MATCH($B704,'Master data'!$A$2:$A$1000,0),MATCH(K$1,'Master data'!$B$1:$CL$1,0)),"")</f>
        <v/>
      </c>
      <c r="L704" s="7" t="str">
        <f>IFERROR(INDEX('Master data'!$B$2:$CL$1000,MATCH($B704,'Master data'!$A$2:$A$1000,0),MATCH(L$1,'Master data'!$B$1:$CL$1,0)),"")</f>
        <v/>
      </c>
      <c r="M704" s="5" t="str">
        <f>IFERROR(INDEX('Master data'!$B$2:$CL$1000,MATCH($B704,'Master data'!$A$2:$A$1000,0),MATCH(M$1,'Master data'!$B$1:$CL$1,0)),"")</f>
        <v/>
      </c>
      <c r="N704" s="28" t="str">
        <f>IFERROR(INDEX('Master data'!$B$2:$CL$1000,MATCH($B704,'Master data'!$A$2:$A$1000,0),MATCH(N$1,'Master data'!$B$1:$CL$1,0)),"")</f>
        <v/>
      </c>
      <c r="O704" s="7" t="str">
        <f>IFERROR(INDEX('Master data'!$B$2:$CL$1000,MATCH($B704,'Master data'!$A$2:$A$1000,0),MATCH(O$1,'Master data'!$B$1:$CL$1,0)),"")</f>
        <v/>
      </c>
      <c r="P704" s="5" t="str">
        <f>IFERROR(INDEX('Master data'!$B$2:$CL$1000,MATCH($B704,'Master data'!$A$2:$A$1000,0),MATCH(P$1,'Master data'!$B$1:$CL$1,0)),"")</f>
        <v/>
      </c>
      <c r="Q704" s="5" t="str">
        <f>IFERROR(INDEX('Master data'!$B$2:$CL$1000,MATCH($B704,'Master data'!$A$2:$A$1000,0),MATCH(Q$1,'Master data'!$B$1:$CL$1,0)),"")</f>
        <v/>
      </c>
    </row>
    <row r="705" spans="1:17" hidden="1">
      <c r="A705" t="str">
        <f t="shared" si="10"/>
        <v/>
      </c>
      <c r="B705" t="str">
        <f>IF('Master data'!A705="","",'Master data'!A705)</f>
        <v/>
      </c>
      <c r="C705" t="str">
        <f>IFERROR(INDEX('Master data'!$B$2:$CL$1000,MATCH($B705,'Master data'!$A$2:$A$1000,0),MATCH(C$1,'Master data'!$B$1:$CL$1,0)),"")</f>
        <v/>
      </c>
      <c r="D705" t="str">
        <f>IFERROR(INDEX('Master data'!$B$2:$CL$1000,MATCH($B705,'Master data'!$A$2:$A$1000,0),MATCH(D$1,'Master data'!$B$1:$CL$1,0)),"")</f>
        <v/>
      </c>
      <c r="E705" s="5" t="str">
        <f>IFERROR(INDEX('Master data'!$B$2:$CL$1000,MATCH($B705,'Master data'!$A$2:$A$1000,0),MATCH(E$1,'Master data'!$B$1:$CL$1,0)),"")</f>
        <v/>
      </c>
      <c r="F705" s="7" t="str">
        <f>IFERROR(INDEX('Master data'!$B$2:$CL$1000,MATCH($B705,'Master data'!$A$2:$A$1000,0),MATCH(F$1,'Master data'!$B$1:$CL$1,0)),"")</f>
        <v/>
      </c>
      <c r="G705" s="7" t="str">
        <f>IFERROR(INDEX('Master data'!$B$2:$CL$1000,MATCH($B705,'Master data'!$A$2:$A$1000,0),MATCH(G$1,'Master data'!$B$1:$CL$1,0)),"")</f>
        <v/>
      </c>
      <c r="H705" s="7" t="str">
        <f>IFERROR(INDEX('Master data'!$B$2:$CL$1000,MATCH($B705,'Master data'!$A$2:$A$1000,0),MATCH(H$1,'Master data'!$B$1:$CL$1,0)),"")</f>
        <v/>
      </c>
      <c r="I705" s="7" t="str">
        <f>IFERROR(INDEX('Master data'!$B$2:$CL$1000,MATCH($B705,'Master data'!$A$2:$A$1000,0),MATCH(I$1,'Master data'!$B$1:$CL$1,0)),"")</f>
        <v/>
      </c>
      <c r="J705" s="7" t="str">
        <f>IFERROR(INDEX('Master data'!$B$2:$CL$1000,MATCH($B705,'Master data'!$A$2:$A$1000,0),MATCH(J$1,'Master data'!$B$1:$CL$1,0)),"")</f>
        <v/>
      </c>
      <c r="K705" s="7" t="str">
        <f>IFERROR(INDEX('Master data'!$B$2:$CL$1000,MATCH($B705,'Master data'!$A$2:$A$1000,0),MATCH(K$1,'Master data'!$B$1:$CL$1,0)),"")</f>
        <v/>
      </c>
      <c r="L705" s="7" t="str">
        <f>IFERROR(INDEX('Master data'!$B$2:$CL$1000,MATCH($B705,'Master data'!$A$2:$A$1000,0),MATCH(L$1,'Master data'!$B$1:$CL$1,0)),"")</f>
        <v/>
      </c>
      <c r="M705" s="5" t="str">
        <f>IFERROR(INDEX('Master data'!$B$2:$CL$1000,MATCH($B705,'Master data'!$A$2:$A$1000,0),MATCH(M$1,'Master data'!$B$1:$CL$1,0)),"")</f>
        <v/>
      </c>
      <c r="N705" s="28" t="str">
        <f>IFERROR(INDEX('Master data'!$B$2:$CL$1000,MATCH($B705,'Master data'!$A$2:$A$1000,0),MATCH(N$1,'Master data'!$B$1:$CL$1,0)),"")</f>
        <v/>
      </c>
      <c r="O705" s="7" t="str">
        <f>IFERROR(INDEX('Master data'!$B$2:$CL$1000,MATCH($B705,'Master data'!$A$2:$A$1000,0),MATCH(O$1,'Master data'!$B$1:$CL$1,0)),"")</f>
        <v/>
      </c>
      <c r="P705" s="5" t="str">
        <f>IFERROR(INDEX('Master data'!$B$2:$CL$1000,MATCH($B705,'Master data'!$A$2:$A$1000,0),MATCH(P$1,'Master data'!$B$1:$CL$1,0)),"")</f>
        <v/>
      </c>
      <c r="Q705" s="5" t="str">
        <f>IFERROR(INDEX('Master data'!$B$2:$CL$1000,MATCH($B705,'Master data'!$A$2:$A$1000,0),MATCH(Q$1,'Master data'!$B$1:$CL$1,0)),"")</f>
        <v/>
      </c>
    </row>
    <row r="706" spans="1:17" hidden="1">
      <c r="A706" t="str">
        <f t="shared" si="10"/>
        <v/>
      </c>
      <c r="B706" t="str">
        <f>IF('Master data'!A706="","",'Master data'!A706)</f>
        <v/>
      </c>
      <c r="C706" t="str">
        <f>IFERROR(INDEX('Master data'!$B$2:$CL$1000,MATCH($B706,'Master data'!$A$2:$A$1000,0),MATCH(C$1,'Master data'!$B$1:$CL$1,0)),"")</f>
        <v/>
      </c>
      <c r="D706" t="str">
        <f>IFERROR(INDEX('Master data'!$B$2:$CL$1000,MATCH($B706,'Master data'!$A$2:$A$1000,0),MATCH(D$1,'Master data'!$B$1:$CL$1,0)),"")</f>
        <v/>
      </c>
      <c r="E706" s="5" t="str">
        <f>IFERROR(INDEX('Master data'!$B$2:$CL$1000,MATCH($B706,'Master data'!$A$2:$A$1000,0),MATCH(E$1,'Master data'!$B$1:$CL$1,0)),"")</f>
        <v/>
      </c>
      <c r="F706" s="7" t="str">
        <f>IFERROR(INDEX('Master data'!$B$2:$CL$1000,MATCH($B706,'Master data'!$A$2:$A$1000,0),MATCH(F$1,'Master data'!$B$1:$CL$1,0)),"")</f>
        <v/>
      </c>
      <c r="G706" s="7" t="str">
        <f>IFERROR(INDEX('Master data'!$B$2:$CL$1000,MATCH($B706,'Master data'!$A$2:$A$1000,0),MATCH(G$1,'Master data'!$B$1:$CL$1,0)),"")</f>
        <v/>
      </c>
      <c r="H706" s="7" t="str">
        <f>IFERROR(INDEX('Master data'!$B$2:$CL$1000,MATCH($B706,'Master data'!$A$2:$A$1000,0),MATCH(H$1,'Master data'!$B$1:$CL$1,0)),"")</f>
        <v/>
      </c>
      <c r="I706" s="7" t="str">
        <f>IFERROR(INDEX('Master data'!$B$2:$CL$1000,MATCH($B706,'Master data'!$A$2:$A$1000,0),MATCH(I$1,'Master data'!$B$1:$CL$1,0)),"")</f>
        <v/>
      </c>
      <c r="J706" s="7" t="str">
        <f>IFERROR(INDEX('Master data'!$B$2:$CL$1000,MATCH($B706,'Master data'!$A$2:$A$1000,0),MATCH(J$1,'Master data'!$B$1:$CL$1,0)),"")</f>
        <v/>
      </c>
      <c r="K706" s="7" t="str">
        <f>IFERROR(INDEX('Master data'!$B$2:$CL$1000,MATCH($B706,'Master data'!$A$2:$A$1000,0),MATCH(K$1,'Master data'!$B$1:$CL$1,0)),"")</f>
        <v/>
      </c>
      <c r="L706" s="7" t="str">
        <f>IFERROR(INDEX('Master data'!$B$2:$CL$1000,MATCH($B706,'Master data'!$A$2:$A$1000,0),MATCH(L$1,'Master data'!$B$1:$CL$1,0)),"")</f>
        <v/>
      </c>
      <c r="M706" s="5" t="str">
        <f>IFERROR(INDEX('Master data'!$B$2:$CL$1000,MATCH($B706,'Master data'!$A$2:$A$1000,0),MATCH(M$1,'Master data'!$B$1:$CL$1,0)),"")</f>
        <v/>
      </c>
      <c r="N706" s="28" t="str">
        <f>IFERROR(INDEX('Master data'!$B$2:$CL$1000,MATCH($B706,'Master data'!$A$2:$A$1000,0),MATCH(N$1,'Master data'!$B$1:$CL$1,0)),"")</f>
        <v/>
      </c>
      <c r="O706" s="7" t="str">
        <f>IFERROR(INDEX('Master data'!$B$2:$CL$1000,MATCH($B706,'Master data'!$A$2:$A$1000,0),MATCH(O$1,'Master data'!$B$1:$CL$1,0)),"")</f>
        <v/>
      </c>
      <c r="P706" s="5" t="str">
        <f>IFERROR(INDEX('Master data'!$B$2:$CL$1000,MATCH($B706,'Master data'!$A$2:$A$1000,0),MATCH(P$1,'Master data'!$B$1:$CL$1,0)),"")</f>
        <v/>
      </c>
      <c r="Q706" s="5" t="str">
        <f>IFERROR(INDEX('Master data'!$B$2:$CL$1000,MATCH($B706,'Master data'!$A$2:$A$1000,0),MATCH(Q$1,'Master data'!$B$1:$CL$1,0)),"")</f>
        <v/>
      </c>
    </row>
    <row r="707" spans="1:17" hidden="1">
      <c r="A707" t="str">
        <f t="shared" ref="A707:A770" si="11">IF(B707="","",ROW()-2)</f>
        <v/>
      </c>
      <c r="B707" t="str">
        <f>IF('Master data'!A707="","",'Master data'!A707)</f>
        <v/>
      </c>
      <c r="C707" t="str">
        <f>IFERROR(INDEX('Master data'!$B$2:$CL$1000,MATCH($B707,'Master data'!$A$2:$A$1000,0),MATCH(C$1,'Master data'!$B$1:$CL$1,0)),"")</f>
        <v/>
      </c>
      <c r="D707" t="str">
        <f>IFERROR(INDEX('Master data'!$B$2:$CL$1000,MATCH($B707,'Master data'!$A$2:$A$1000,0),MATCH(D$1,'Master data'!$B$1:$CL$1,0)),"")</f>
        <v/>
      </c>
      <c r="E707" s="5" t="str">
        <f>IFERROR(INDEX('Master data'!$B$2:$CL$1000,MATCH($B707,'Master data'!$A$2:$A$1000,0),MATCH(E$1,'Master data'!$B$1:$CL$1,0)),"")</f>
        <v/>
      </c>
      <c r="F707" s="7" t="str">
        <f>IFERROR(INDEX('Master data'!$B$2:$CL$1000,MATCH($B707,'Master data'!$A$2:$A$1000,0),MATCH(F$1,'Master data'!$B$1:$CL$1,0)),"")</f>
        <v/>
      </c>
      <c r="G707" s="7" t="str">
        <f>IFERROR(INDEX('Master data'!$B$2:$CL$1000,MATCH($B707,'Master data'!$A$2:$A$1000,0),MATCH(G$1,'Master data'!$B$1:$CL$1,0)),"")</f>
        <v/>
      </c>
      <c r="H707" s="7" t="str">
        <f>IFERROR(INDEX('Master data'!$B$2:$CL$1000,MATCH($B707,'Master data'!$A$2:$A$1000,0),MATCH(H$1,'Master data'!$B$1:$CL$1,0)),"")</f>
        <v/>
      </c>
      <c r="I707" s="7" t="str">
        <f>IFERROR(INDEX('Master data'!$B$2:$CL$1000,MATCH($B707,'Master data'!$A$2:$A$1000,0),MATCH(I$1,'Master data'!$B$1:$CL$1,0)),"")</f>
        <v/>
      </c>
      <c r="J707" s="7" t="str">
        <f>IFERROR(INDEX('Master data'!$B$2:$CL$1000,MATCH($B707,'Master data'!$A$2:$A$1000,0),MATCH(J$1,'Master data'!$B$1:$CL$1,0)),"")</f>
        <v/>
      </c>
      <c r="K707" s="7" t="str">
        <f>IFERROR(INDEX('Master data'!$B$2:$CL$1000,MATCH($B707,'Master data'!$A$2:$A$1000,0),MATCH(K$1,'Master data'!$B$1:$CL$1,0)),"")</f>
        <v/>
      </c>
      <c r="L707" s="7" t="str">
        <f>IFERROR(INDEX('Master data'!$B$2:$CL$1000,MATCH($B707,'Master data'!$A$2:$A$1000,0),MATCH(L$1,'Master data'!$B$1:$CL$1,0)),"")</f>
        <v/>
      </c>
      <c r="M707" s="5" t="str">
        <f>IFERROR(INDEX('Master data'!$B$2:$CL$1000,MATCH($B707,'Master data'!$A$2:$A$1000,0),MATCH(M$1,'Master data'!$B$1:$CL$1,0)),"")</f>
        <v/>
      </c>
      <c r="N707" s="28" t="str">
        <f>IFERROR(INDEX('Master data'!$B$2:$CL$1000,MATCH($B707,'Master data'!$A$2:$A$1000,0),MATCH(N$1,'Master data'!$B$1:$CL$1,0)),"")</f>
        <v/>
      </c>
      <c r="O707" s="7" t="str">
        <f>IFERROR(INDEX('Master data'!$B$2:$CL$1000,MATCH($B707,'Master data'!$A$2:$A$1000,0),MATCH(O$1,'Master data'!$B$1:$CL$1,0)),"")</f>
        <v/>
      </c>
      <c r="P707" s="5" t="str">
        <f>IFERROR(INDEX('Master data'!$B$2:$CL$1000,MATCH($B707,'Master data'!$A$2:$A$1000,0),MATCH(P$1,'Master data'!$B$1:$CL$1,0)),"")</f>
        <v/>
      </c>
      <c r="Q707" s="5" t="str">
        <f>IFERROR(INDEX('Master data'!$B$2:$CL$1000,MATCH($B707,'Master data'!$A$2:$A$1000,0),MATCH(Q$1,'Master data'!$B$1:$CL$1,0)),"")</f>
        <v/>
      </c>
    </row>
    <row r="708" spans="1:17" hidden="1">
      <c r="A708" t="str">
        <f t="shared" si="11"/>
        <v/>
      </c>
      <c r="B708" t="str">
        <f>IF('Master data'!A708="","",'Master data'!A708)</f>
        <v/>
      </c>
      <c r="C708" t="str">
        <f>IFERROR(INDEX('Master data'!$B$2:$CL$1000,MATCH($B708,'Master data'!$A$2:$A$1000,0),MATCH(C$1,'Master data'!$B$1:$CL$1,0)),"")</f>
        <v/>
      </c>
      <c r="D708" t="str">
        <f>IFERROR(INDEX('Master data'!$B$2:$CL$1000,MATCH($B708,'Master data'!$A$2:$A$1000,0),MATCH(D$1,'Master data'!$B$1:$CL$1,0)),"")</f>
        <v/>
      </c>
      <c r="E708" s="5" t="str">
        <f>IFERROR(INDEX('Master data'!$B$2:$CL$1000,MATCH($B708,'Master data'!$A$2:$A$1000,0),MATCH(E$1,'Master data'!$B$1:$CL$1,0)),"")</f>
        <v/>
      </c>
      <c r="F708" s="7" t="str">
        <f>IFERROR(INDEX('Master data'!$B$2:$CL$1000,MATCH($B708,'Master data'!$A$2:$A$1000,0),MATCH(F$1,'Master data'!$B$1:$CL$1,0)),"")</f>
        <v/>
      </c>
      <c r="G708" s="7" t="str">
        <f>IFERROR(INDEX('Master data'!$B$2:$CL$1000,MATCH($B708,'Master data'!$A$2:$A$1000,0),MATCH(G$1,'Master data'!$B$1:$CL$1,0)),"")</f>
        <v/>
      </c>
      <c r="H708" s="7" t="str">
        <f>IFERROR(INDEX('Master data'!$B$2:$CL$1000,MATCH($B708,'Master data'!$A$2:$A$1000,0),MATCH(H$1,'Master data'!$B$1:$CL$1,0)),"")</f>
        <v/>
      </c>
      <c r="I708" s="7" t="str">
        <f>IFERROR(INDEX('Master data'!$B$2:$CL$1000,MATCH($B708,'Master data'!$A$2:$A$1000,0),MATCH(I$1,'Master data'!$B$1:$CL$1,0)),"")</f>
        <v/>
      </c>
      <c r="J708" s="7" t="str">
        <f>IFERROR(INDEX('Master data'!$B$2:$CL$1000,MATCH($B708,'Master data'!$A$2:$A$1000,0),MATCH(J$1,'Master data'!$B$1:$CL$1,0)),"")</f>
        <v/>
      </c>
      <c r="K708" s="7" t="str">
        <f>IFERROR(INDEX('Master data'!$B$2:$CL$1000,MATCH($B708,'Master data'!$A$2:$A$1000,0),MATCH(K$1,'Master data'!$B$1:$CL$1,0)),"")</f>
        <v/>
      </c>
      <c r="L708" s="7" t="str">
        <f>IFERROR(INDEX('Master data'!$B$2:$CL$1000,MATCH($B708,'Master data'!$A$2:$A$1000,0),MATCH(L$1,'Master data'!$B$1:$CL$1,0)),"")</f>
        <v/>
      </c>
      <c r="M708" s="5" t="str">
        <f>IFERROR(INDEX('Master data'!$B$2:$CL$1000,MATCH($B708,'Master data'!$A$2:$A$1000,0),MATCH(M$1,'Master data'!$B$1:$CL$1,0)),"")</f>
        <v/>
      </c>
      <c r="N708" s="28" t="str">
        <f>IFERROR(INDEX('Master data'!$B$2:$CL$1000,MATCH($B708,'Master data'!$A$2:$A$1000,0),MATCH(N$1,'Master data'!$B$1:$CL$1,0)),"")</f>
        <v/>
      </c>
      <c r="O708" s="7" t="str">
        <f>IFERROR(INDEX('Master data'!$B$2:$CL$1000,MATCH($B708,'Master data'!$A$2:$A$1000,0),MATCH(O$1,'Master data'!$B$1:$CL$1,0)),"")</f>
        <v/>
      </c>
      <c r="P708" s="5" t="str">
        <f>IFERROR(INDEX('Master data'!$B$2:$CL$1000,MATCH($B708,'Master data'!$A$2:$A$1000,0),MATCH(P$1,'Master data'!$B$1:$CL$1,0)),"")</f>
        <v/>
      </c>
      <c r="Q708" s="5" t="str">
        <f>IFERROR(INDEX('Master data'!$B$2:$CL$1000,MATCH($B708,'Master data'!$A$2:$A$1000,0),MATCH(Q$1,'Master data'!$B$1:$CL$1,0)),"")</f>
        <v/>
      </c>
    </row>
    <row r="709" spans="1:17" hidden="1">
      <c r="A709" t="str">
        <f t="shared" si="11"/>
        <v/>
      </c>
      <c r="B709" t="str">
        <f>IF('Master data'!A709="","",'Master data'!A709)</f>
        <v/>
      </c>
      <c r="C709" t="str">
        <f>IFERROR(INDEX('Master data'!$B$2:$CL$1000,MATCH($B709,'Master data'!$A$2:$A$1000,0),MATCH(C$1,'Master data'!$B$1:$CL$1,0)),"")</f>
        <v/>
      </c>
      <c r="D709" t="str">
        <f>IFERROR(INDEX('Master data'!$B$2:$CL$1000,MATCH($B709,'Master data'!$A$2:$A$1000,0),MATCH(D$1,'Master data'!$B$1:$CL$1,0)),"")</f>
        <v/>
      </c>
      <c r="E709" s="5" t="str">
        <f>IFERROR(INDEX('Master data'!$B$2:$CL$1000,MATCH($B709,'Master data'!$A$2:$A$1000,0),MATCH(E$1,'Master data'!$B$1:$CL$1,0)),"")</f>
        <v/>
      </c>
      <c r="F709" s="7" t="str">
        <f>IFERROR(INDEX('Master data'!$B$2:$CL$1000,MATCH($B709,'Master data'!$A$2:$A$1000,0),MATCH(F$1,'Master data'!$B$1:$CL$1,0)),"")</f>
        <v/>
      </c>
      <c r="G709" s="7" t="str">
        <f>IFERROR(INDEX('Master data'!$B$2:$CL$1000,MATCH($B709,'Master data'!$A$2:$A$1000,0),MATCH(G$1,'Master data'!$B$1:$CL$1,0)),"")</f>
        <v/>
      </c>
      <c r="H709" s="7" t="str">
        <f>IFERROR(INDEX('Master data'!$B$2:$CL$1000,MATCH($B709,'Master data'!$A$2:$A$1000,0),MATCH(H$1,'Master data'!$B$1:$CL$1,0)),"")</f>
        <v/>
      </c>
      <c r="I709" s="7" t="str">
        <f>IFERROR(INDEX('Master data'!$B$2:$CL$1000,MATCH($B709,'Master data'!$A$2:$A$1000,0),MATCH(I$1,'Master data'!$B$1:$CL$1,0)),"")</f>
        <v/>
      </c>
      <c r="J709" s="7" t="str">
        <f>IFERROR(INDEX('Master data'!$B$2:$CL$1000,MATCH($B709,'Master data'!$A$2:$A$1000,0),MATCH(J$1,'Master data'!$B$1:$CL$1,0)),"")</f>
        <v/>
      </c>
      <c r="K709" s="7" t="str">
        <f>IFERROR(INDEX('Master data'!$B$2:$CL$1000,MATCH($B709,'Master data'!$A$2:$A$1000,0),MATCH(K$1,'Master data'!$B$1:$CL$1,0)),"")</f>
        <v/>
      </c>
      <c r="L709" s="7" t="str">
        <f>IFERROR(INDEX('Master data'!$B$2:$CL$1000,MATCH($B709,'Master data'!$A$2:$A$1000,0),MATCH(L$1,'Master data'!$B$1:$CL$1,0)),"")</f>
        <v/>
      </c>
      <c r="M709" s="5" t="str">
        <f>IFERROR(INDEX('Master data'!$B$2:$CL$1000,MATCH($B709,'Master data'!$A$2:$A$1000,0),MATCH(M$1,'Master data'!$B$1:$CL$1,0)),"")</f>
        <v/>
      </c>
      <c r="N709" s="28" t="str">
        <f>IFERROR(INDEX('Master data'!$B$2:$CL$1000,MATCH($B709,'Master data'!$A$2:$A$1000,0),MATCH(N$1,'Master data'!$B$1:$CL$1,0)),"")</f>
        <v/>
      </c>
      <c r="O709" s="7" t="str">
        <f>IFERROR(INDEX('Master data'!$B$2:$CL$1000,MATCH($B709,'Master data'!$A$2:$A$1000,0),MATCH(O$1,'Master data'!$B$1:$CL$1,0)),"")</f>
        <v/>
      </c>
      <c r="P709" s="5" t="str">
        <f>IFERROR(INDEX('Master data'!$B$2:$CL$1000,MATCH($B709,'Master data'!$A$2:$A$1000,0),MATCH(P$1,'Master data'!$B$1:$CL$1,0)),"")</f>
        <v/>
      </c>
      <c r="Q709" s="5" t="str">
        <f>IFERROR(INDEX('Master data'!$B$2:$CL$1000,MATCH($B709,'Master data'!$A$2:$A$1000,0),MATCH(Q$1,'Master data'!$B$1:$CL$1,0)),"")</f>
        <v/>
      </c>
    </row>
    <row r="710" spans="1:17" hidden="1">
      <c r="A710" t="str">
        <f t="shared" si="11"/>
        <v/>
      </c>
      <c r="B710" t="str">
        <f>IF('Master data'!A710="","",'Master data'!A710)</f>
        <v/>
      </c>
      <c r="C710" t="str">
        <f>IFERROR(INDEX('Master data'!$B$2:$CL$1000,MATCH($B710,'Master data'!$A$2:$A$1000,0),MATCH(C$1,'Master data'!$B$1:$CL$1,0)),"")</f>
        <v/>
      </c>
      <c r="D710" t="str">
        <f>IFERROR(INDEX('Master data'!$B$2:$CL$1000,MATCH($B710,'Master data'!$A$2:$A$1000,0),MATCH(D$1,'Master data'!$B$1:$CL$1,0)),"")</f>
        <v/>
      </c>
      <c r="E710" s="5" t="str">
        <f>IFERROR(INDEX('Master data'!$B$2:$CL$1000,MATCH($B710,'Master data'!$A$2:$A$1000,0),MATCH(E$1,'Master data'!$B$1:$CL$1,0)),"")</f>
        <v/>
      </c>
      <c r="F710" s="7" t="str">
        <f>IFERROR(INDEX('Master data'!$B$2:$CL$1000,MATCH($B710,'Master data'!$A$2:$A$1000,0),MATCH(F$1,'Master data'!$B$1:$CL$1,0)),"")</f>
        <v/>
      </c>
      <c r="G710" s="7" t="str">
        <f>IFERROR(INDEX('Master data'!$B$2:$CL$1000,MATCH($B710,'Master data'!$A$2:$A$1000,0),MATCH(G$1,'Master data'!$B$1:$CL$1,0)),"")</f>
        <v/>
      </c>
      <c r="H710" s="7" t="str">
        <f>IFERROR(INDEX('Master data'!$B$2:$CL$1000,MATCH($B710,'Master data'!$A$2:$A$1000,0),MATCH(H$1,'Master data'!$B$1:$CL$1,0)),"")</f>
        <v/>
      </c>
      <c r="I710" s="7" t="str">
        <f>IFERROR(INDEX('Master data'!$B$2:$CL$1000,MATCH($B710,'Master data'!$A$2:$A$1000,0),MATCH(I$1,'Master data'!$B$1:$CL$1,0)),"")</f>
        <v/>
      </c>
      <c r="J710" s="7" t="str">
        <f>IFERROR(INDEX('Master data'!$B$2:$CL$1000,MATCH($B710,'Master data'!$A$2:$A$1000,0),MATCH(J$1,'Master data'!$B$1:$CL$1,0)),"")</f>
        <v/>
      </c>
      <c r="K710" s="7" t="str">
        <f>IFERROR(INDEX('Master data'!$B$2:$CL$1000,MATCH($B710,'Master data'!$A$2:$A$1000,0),MATCH(K$1,'Master data'!$B$1:$CL$1,0)),"")</f>
        <v/>
      </c>
      <c r="L710" s="7" t="str">
        <f>IFERROR(INDEX('Master data'!$B$2:$CL$1000,MATCH($B710,'Master data'!$A$2:$A$1000,0),MATCH(L$1,'Master data'!$B$1:$CL$1,0)),"")</f>
        <v/>
      </c>
      <c r="M710" s="5" t="str">
        <f>IFERROR(INDEX('Master data'!$B$2:$CL$1000,MATCH($B710,'Master data'!$A$2:$A$1000,0),MATCH(M$1,'Master data'!$B$1:$CL$1,0)),"")</f>
        <v/>
      </c>
      <c r="N710" s="28" t="str">
        <f>IFERROR(INDEX('Master data'!$B$2:$CL$1000,MATCH($B710,'Master data'!$A$2:$A$1000,0),MATCH(N$1,'Master data'!$B$1:$CL$1,0)),"")</f>
        <v/>
      </c>
      <c r="O710" s="7" t="str">
        <f>IFERROR(INDEX('Master data'!$B$2:$CL$1000,MATCH($B710,'Master data'!$A$2:$A$1000,0),MATCH(O$1,'Master data'!$B$1:$CL$1,0)),"")</f>
        <v/>
      </c>
      <c r="P710" s="5" t="str">
        <f>IFERROR(INDEX('Master data'!$B$2:$CL$1000,MATCH($B710,'Master data'!$A$2:$A$1000,0),MATCH(P$1,'Master data'!$B$1:$CL$1,0)),"")</f>
        <v/>
      </c>
      <c r="Q710" s="5" t="str">
        <f>IFERROR(INDEX('Master data'!$B$2:$CL$1000,MATCH($B710,'Master data'!$A$2:$A$1000,0),MATCH(Q$1,'Master data'!$B$1:$CL$1,0)),"")</f>
        <v/>
      </c>
    </row>
    <row r="711" spans="1:17" hidden="1">
      <c r="A711" t="str">
        <f t="shared" si="11"/>
        <v/>
      </c>
      <c r="B711" t="str">
        <f>IF('Master data'!A711="","",'Master data'!A711)</f>
        <v/>
      </c>
      <c r="C711" t="str">
        <f>IFERROR(INDEX('Master data'!$B$2:$CL$1000,MATCH($B711,'Master data'!$A$2:$A$1000,0),MATCH(C$1,'Master data'!$B$1:$CL$1,0)),"")</f>
        <v/>
      </c>
      <c r="D711" t="str">
        <f>IFERROR(INDEX('Master data'!$B$2:$CL$1000,MATCH($B711,'Master data'!$A$2:$A$1000,0),MATCH(D$1,'Master data'!$B$1:$CL$1,0)),"")</f>
        <v/>
      </c>
      <c r="E711" s="5" t="str">
        <f>IFERROR(INDEX('Master data'!$B$2:$CL$1000,MATCH($B711,'Master data'!$A$2:$A$1000,0),MATCH(E$1,'Master data'!$B$1:$CL$1,0)),"")</f>
        <v/>
      </c>
      <c r="F711" s="7" t="str">
        <f>IFERROR(INDEX('Master data'!$B$2:$CL$1000,MATCH($B711,'Master data'!$A$2:$A$1000,0),MATCH(F$1,'Master data'!$B$1:$CL$1,0)),"")</f>
        <v/>
      </c>
      <c r="G711" s="7" t="str">
        <f>IFERROR(INDEX('Master data'!$B$2:$CL$1000,MATCH($B711,'Master data'!$A$2:$A$1000,0),MATCH(G$1,'Master data'!$B$1:$CL$1,0)),"")</f>
        <v/>
      </c>
      <c r="H711" s="7" t="str">
        <f>IFERROR(INDEX('Master data'!$B$2:$CL$1000,MATCH($B711,'Master data'!$A$2:$A$1000,0),MATCH(H$1,'Master data'!$B$1:$CL$1,0)),"")</f>
        <v/>
      </c>
      <c r="I711" s="7" t="str">
        <f>IFERROR(INDEX('Master data'!$B$2:$CL$1000,MATCH($B711,'Master data'!$A$2:$A$1000,0),MATCH(I$1,'Master data'!$B$1:$CL$1,0)),"")</f>
        <v/>
      </c>
      <c r="J711" s="7" t="str">
        <f>IFERROR(INDEX('Master data'!$B$2:$CL$1000,MATCH($B711,'Master data'!$A$2:$A$1000,0),MATCH(J$1,'Master data'!$B$1:$CL$1,0)),"")</f>
        <v/>
      </c>
      <c r="K711" s="7" t="str">
        <f>IFERROR(INDEX('Master data'!$B$2:$CL$1000,MATCH($B711,'Master data'!$A$2:$A$1000,0),MATCH(K$1,'Master data'!$B$1:$CL$1,0)),"")</f>
        <v/>
      </c>
      <c r="L711" s="7" t="str">
        <f>IFERROR(INDEX('Master data'!$B$2:$CL$1000,MATCH($B711,'Master data'!$A$2:$A$1000,0),MATCH(L$1,'Master data'!$B$1:$CL$1,0)),"")</f>
        <v/>
      </c>
      <c r="M711" s="5" t="str">
        <f>IFERROR(INDEX('Master data'!$B$2:$CL$1000,MATCH($B711,'Master data'!$A$2:$A$1000,0),MATCH(M$1,'Master data'!$B$1:$CL$1,0)),"")</f>
        <v/>
      </c>
      <c r="N711" s="28" t="str">
        <f>IFERROR(INDEX('Master data'!$B$2:$CL$1000,MATCH($B711,'Master data'!$A$2:$A$1000,0),MATCH(N$1,'Master data'!$B$1:$CL$1,0)),"")</f>
        <v/>
      </c>
      <c r="O711" s="7" t="str">
        <f>IFERROR(INDEX('Master data'!$B$2:$CL$1000,MATCH($B711,'Master data'!$A$2:$A$1000,0),MATCH(O$1,'Master data'!$B$1:$CL$1,0)),"")</f>
        <v/>
      </c>
      <c r="P711" s="5" t="str">
        <f>IFERROR(INDEX('Master data'!$B$2:$CL$1000,MATCH($B711,'Master data'!$A$2:$A$1000,0),MATCH(P$1,'Master data'!$B$1:$CL$1,0)),"")</f>
        <v/>
      </c>
      <c r="Q711" s="5" t="str">
        <f>IFERROR(INDEX('Master data'!$B$2:$CL$1000,MATCH($B711,'Master data'!$A$2:$A$1000,0),MATCH(Q$1,'Master data'!$B$1:$CL$1,0)),"")</f>
        <v/>
      </c>
    </row>
    <row r="712" spans="1:17" hidden="1">
      <c r="A712" t="str">
        <f t="shared" si="11"/>
        <v/>
      </c>
      <c r="B712" t="str">
        <f>IF('Master data'!A712="","",'Master data'!A712)</f>
        <v/>
      </c>
      <c r="C712" t="str">
        <f>IFERROR(INDEX('Master data'!$B$2:$CL$1000,MATCH($B712,'Master data'!$A$2:$A$1000,0),MATCH(C$1,'Master data'!$B$1:$CL$1,0)),"")</f>
        <v/>
      </c>
      <c r="D712" t="str">
        <f>IFERROR(INDEX('Master data'!$B$2:$CL$1000,MATCH($B712,'Master data'!$A$2:$A$1000,0),MATCH(D$1,'Master data'!$B$1:$CL$1,0)),"")</f>
        <v/>
      </c>
      <c r="E712" s="5" t="str">
        <f>IFERROR(INDEX('Master data'!$B$2:$CL$1000,MATCH($B712,'Master data'!$A$2:$A$1000,0),MATCH(E$1,'Master data'!$B$1:$CL$1,0)),"")</f>
        <v/>
      </c>
      <c r="F712" s="7" t="str">
        <f>IFERROR(INDEX('Master data'!$B$2:$CL$1000,MATCH($B712,'Master data'!$A$2:$A$1000,0),MATCH(F$1,'Master data'!$B$1:$CL$1,0)),"")</f>
        <v/>
      </c>
      <c r="G712" s="7" t="str">
        <f>IFERROR(INDEX('Master data'!$B$2:$CL$1000,MATCH($B712,'Master data'!$A$2:$A$1000,0),MATCH(G$1,'Master data'!$B$1:$CL$1,0)),"")</f>
        <v/>
      </c>
      <c r="H712" s="7" t="str">
        <f>IFERROR(INDEX('Master data'!$B$2:$CL$1000,MATCH($B712,'Master data'!$A$2:$A$1000,0),MATCH(H$1,'Master data'!$B$1:$CL$1,0)),"")</f>
        <v/>
      </c>
      <c r="I712" s="7" t="str">
        <f>IFERROR(INDEX('Master data'!$B$2:$CL$1000,MATCH($B712,'Master data'!$A$2:$A$1000,0),MATCH(I$1,'Master data'!$B$1:$CL$1,0)),"")</f>
        <v/>
      </c>
      <c r="J712" s="7" t="str">
        <f>IFERROR(INDEX('Master data'!$B$2:$CL$1000,MATCH($B712,'Master data'!$A$2:$A$1000,0),MATCH(J$1,'Master data'!$B$1:$CL$1,0)),"")</f>
        <v/>
      </c>
      <c r="K712" s="7" t="str">
        <f>IFERROR(INDEX('Master data'!$B$2:$CL$1000,MATCH($B712,'Master data'!$A$2:$A$1000,0),MATCH(K$1,'Master data'!$B$1:$CL$1,0)),"")</f>
        <v/>
      </c>
      <c r="L712" s="7" t="str">
        <f>IFERROR(INDEX('Master data'!$B$2:$CL$1000,MATCH($B712,'Master data'!$A$2:$A$1000,0),MATCH(L$1,'Master data'!$B$1:$CL$1,0)),"")</f>
        <v/>
      </c>
      <c r="M712" s="5" t="str">
        <f>IFERROR(INDEX('Master data'!$B$2:$CL$1000,MATCH($B712,'Master data'!$A$2:$A$1000,0),MATCH(M$1,'Master data'!$B$1:$CL$1,0)),"")</f>
        <v/>
      </c>
      <c r="N712" s="28" t="str">
        <f>IFERROR(INDEX('Master data'!$B$2:$CL$1000,MATCH($B712,'Master data'!$A$2:$A$1000,0),MATCH(N$1,'Master data'!$B$1:$CL$1,0)),"")</f>
        <v/>
      </c>
      <c r="O712" s="7" t="str">
        <f>IFERROR(INDEX('Master data'!$B$2:$CL$1000,MATCH($B712,'Master data'!$A$2:$A$1000,0),MATCH(O$1,'Master data'!$B$1:$CL$1,0)),"")</f>
        <v/>
      </c>
      <c r="P712" s="5" t="str">
        <f>IFERROR(INDEX('Master data'!$B$2:$CL$1000,MATCH($B712,'Master data'!$A$2:$A$1000,0),MATCH(P$1,'Master data'!$B$1:$CL$1,0)),"")</f>
        <v/>
      </c>
      <c r="Q712" s="5" t="str">
        <f>IFERROR(INDEX('Master data'!$B$2:$CL$1000,MATCH($B712,'Master data'!$A$2:$A$1000,0),MATCH(Q$1,'Master data'!$B$1:$CL$1,0)),"")</f>
        <v/>
      </c>
    </row>
    <row r="713" spans="1:17" hidden="1">
      <c r="A713" t="str">
        <f t="shared" si="11"/>
        <v/>
      </c>
      <c r="B713" t="str">
        <f>IF('Master data'!A713="","",'Master data'!A713)</f>
        <v/>
      </c>
      <c r="C713" t="str">
        <f>IFERROR(INDEX('Master data'!$B$2:$CL$1000,MATCH($B713,'Master data'!$A$2:$A$1000,0),MATCH(C$1,'Master data'!$B$1:$CL$1,0)),"")</f>
        <v/>
      </c>
      <c r="D713" t="str">
        <f>IFERROR(INDEX('Master data'!$B$2:$CL$1000,MATCH($B713,'Master data'!$A$2:$A$1000,0),MATCH(D$1,'Master data'!$B$1:$CL$1,0)),"")</f>
        <v/>
      </c>
      <c r="E713" s="5" t="str">
        <f>IFERROR(INDEX('Master data'!$B$2:$CL$1000,MATCH($B713,'Master data'!$A$2:$A$1000,0),MATCH(E$1,'Master data'!$B$1:$CL$1,0)),"")</f>
        <v/>
      </c>
      <c r="F713" s="7" t="str">
        <f>IFERROR(INDEX('Master data'!$B$2:$CL$1000,MATCH($B713,'Master data'!$A$2:$A$1000,0),MATCH(F$1,'Master data'!$B$1:$CL$1,0)),"")</f>
        <v/>
      </c>
      <c r="G713" s="7" t="str">
        <f>IFERROR(INDEX('Master data'!$B$2:$CL$1000,MATCH($B713,'Master data'!$A$2:$A$1000,0),MATCH(G$1,'Master data'!$B$1:$CL$1,0)),"")</f>
        <v/>
      </c>
      <c r="H713" s="7" t="str">
        <f>IFERROR(INDEX('Master data'!$B$2:$CL$1000,MATCH($B713,'Master data'!$A$2:$A$1000,0),MATCH(H$1,'Master data'!$B$1:$CL$1,0)),"")</f>
        <v/>
      </c>
      <c r="I713" s="7" t="str">
        <f>IFERROR(INDEX('Master data'!$B$2:$CL$1000,MATCH($B713,'Master data'!$A$2:$A$1000,0),MATCH(I$1,'Master data'!$B$1:$CL$1,0)),"")</f>
        <v/>
      </c>
      <c r="J713" s="7" t="str">
        <f>IFERROR(INDEX('Master data'!$B$2:$CL$1000,MATCH($B713,'Master data'!$A$2:$A$1000,0),MATCH(J$1,'Master data'!$B$1:$CL$1,0)),"")</f>
        <v/>
      </c>
      <c r="K713" s="7" t="str">
        <f>IFERROR(INDEX('Master data'!$B$2:$CL$1000,MATCH($B713,'Master data'!$A$2:$A$1000,0),MATCH(K$1,'Master data'!$B$1:$CL$1,0)),"")</f>
        <v/>
      </c>
      <c r="L713" s="7" t="str">
        <f>IFERROR(INDEX('Master data'!$B$2:$CL$1000,MATCH($B713,'Master data'!$A$2:$A$1000,0),MATCH(L$1,'Master data'!$B$1:$CL$1,0)),"")</f>
        <v/>
      </c>
      <c r="M713" s="5" t="str">
        <f>IFERROR(INDEX('Master data'!$B$2:$CL$1000,MATCH($B713,'Master data'!$A$2:$A$1000,0),MATCH(M$1,'Master data'!$B$1:$CL$1,0)),"")</f>
        <v/>
      </c>
      <c r="N713" s="28" t="str">
        <f>IFERROR(INDEX('Master data'!$B$2:$CL$1000,MATCH($B713,'Master data'!$A$2:$A$1000,0),MATCH(N$1,'Master data'!$B$1:$CL$1,0)),"")</f>
        <v/>
      </c>
      <c r="O713" s="7" t="str">
        <f>IFERROR(INDEX('Master data'!$B$2:$CL$1000,MATCH($B713,'Master data'!$A$2:$A$1000,0),MATCH(O$1,'Master data'!$B$1:$CL$1,0)),"")</f>
        <v/>
      </c>
      <c r="P713" s="5" t="str">
        <f>IFERROR(INDEX('Master data'!$B$2:$CL$1000,MATCH($B713,'Master data'!$A$2:$A$1000,0),MATCH(P$1,'Master data'!$B$1:$CL$1,0)),"")</f>
        <v/>
      </c>
      <c r="Q713" s="5" t="str">
        <f>IFERROR(INDEX('Master data'!$B$2:$CL$1000,MATCH($B713,'Master data'!$A$2:$A$1000,0),MATCH(Q$1,'Master data'!$B$1:$CL$1,0)),"")</f>
        <v/>
      </c>
    </row>
    <row r="714" spans="1:17" hidden="1">
      <c r="A714" t="str">
        <f t="shared" si="11"/>
        <v/>
      </c>
      <c r="B714" t="str">
        <f>IF('Master data'!A714="","",'Master data'!A714)</f>
        <v/>
      </c>
      <c r="C714" t="str">
        <f>IFERROR(INDEX('Master data'!$B$2:$CL$1000,MATCH($B714,'Master data'!$A$2:$A$1000,0),MATCH(C$1,'Master data'!$B$1:$CL$1,0)),"")</f>
        <v/>
      </c>
      <c r="D714" t="str">
        <f>IFERROR(INDEX('Master data'!$B$2:$CL$1000,MATCH($B714,'Master data'!$A$2:$A$1000,0),MATCH(D$1,'Master data'!$B$1:$CL$1,0)),"")</f>
        <v/>
      </c>
      <c r="E714" s="5" t="str">
        <f>IFERROR(INDEX('Master data'!$B$2:$CL$1000,MATCH($B714,'Master data'!$A$2:$A$1000,0),MATCH(E$1,'Master data'!$B$1:$CL$1,0)),"")</f>
        <v/>
      </c>
      <c r="F714" s="7" t="str">
        <f>IFERROR(INDEX('Master data'!$B$2:$CL$1000,MATCH($B714,'Master data'!$A$2:$A$1000,0),MATCH(F$1,'Master data'!$B$1:$CL$1,0)),"")</f>
        <v/>
      </c>
      <c r="G714" s="7" t="str">
        <f>IFERROR(INDEX('Master data'!$B$2:$CL$1000,MATCH($B714,'Master data'!$A$2:$A$1000,0),MATCH(G$1,'Master data'!$B$1:$CL$1,0)),"")</f>
        <v/>
      </c>
      <c r="H714" s="7" t="str">
        <f>IFERROR(INDEX('Master data'!$B$2:$CL$1000,MATCH($B714,'Master data'!$A$2:$A$1000,0),MATCH(H$1,'Master data'!$B$1:$CL$1,0)),"")</f>
        <v/>
      </c>
      <c r="I714" s="7" t="str">
        <f>IFERROR(INDEX('Master data'!$B$2:$CL$1000,MATCH($B714,'Master data'!$A$2:$A$1000,0),MATCH(I$1,'Master data'!$B$1:$CL$1,0)),"")</f>
        <v/>
      </c>
      <c r="J714" s="7" t="str">
        <f>IFERROR(INDEX('Master data'!$B$2:$CL$1000,MATCH($B714,'Master data'!$A$2:$A$1000,0),MATCH(J$1,'Master data'!$B$1:$CL$1,0)),"")</f>
        <v/>
      </c>
      <c r="K714" s="7" t="str">
        <f>IFERROR(INDEX('Master data'!$B$2:$CL$1000,MATCH($B714,'Master data'!$A$2:$A$1000,0),MATCH(K$1,'Master data'!$B$1:$CL$1,0)),"")</f>
        <v/>
      </c>
      <c r="L714" s="7" t="str">
        <f>IFERROR(INDEX('Master data'!$B$2:$CL$1000,MATCH($B714,'Master data'!$A$2:$A$1000,0),MATCH(L$1,'Master data'!$B$1:$CL$1,0)),"")</f>
        <v/>
      </c>
      <c r="M714" s="5" t="str">
        <f>IFERROR(INDEX('Master data'!$B$2:$CL$1000,MATCH($B714,'Master data'!$A$2:$A$1000,0),MATCH(M$1,'Master data'!$B$1:$CL$1,0)),"")</f>
        <v/>
      </c>
      <c r="N714" s="28" t="str">
        <f>IFERROR(INDEX('Master data'!$B$2:$CL$1000,MATCH($B714,'Master data'!$A$2:$A$1000,0),MATCH(N$1,'Master data'!$B$1:$CL$1,0)),"")</f>
        <v/>
      </c>
      <c r="O714" s="7" t="str">
        <f>IFERROR(INDEX('Master data'!$B$2:$CL$1000,MATCH($B714,'Master data'!$A$2:$A$1000,0),MATCH(O$1,'Master data'!$B$1:$CL$1,0)),"")</f>
        <v/>
      </c>
      <c r="P714" s="5" t="str">
        <f>IFERROR(INDEX('Master data'!$B$2:$CL$1000,MATCH($B714,'Master data'!$A$2:$A$1000,0),MATCH(P$1,'Master data'!$B$1:$CL$1,0)),"")</f>
        <v/>
      </c>
      <c r="Q714" s="5" t="str">
        <f>IFERROR(INDEX('Master data'!$B$2:$CL$1000,MATCH($B714,'Master data'!$A$2:$A$1000,0),MATCH(Q$1,'Master data'!$B$1:$CL$1,0)),"")</f>
        <v/>
      </c>
    </row>
    <row r="715" spans="1:17" hidden="1">
      <c r="A715" t="str">
        <f t="shared" si="11"/>
        <v/>
      </c>
      <c r="B715" t="str">
        <f>IF('Master data'!A715="","",'Master data'!A715)</f>
        <v/>
      </c>
      <c r="C715" t="str">
        <f>IFERROR(INDEX('Master data'!$B$2:$CL$1000,MATCH($B715,'Master data'!$A$2:$A$1000,0),MATCH(C$1,'Master data'!$B$1:$CL$1,0)),"")</f>
        <v/>
      </c>
      <c r="D715" t="str">
        <f>IFERROR(INDEX('Master data'!$B$2:$CL$1000,MATCH($B715,'Master data'!$A$2:$A$1000,0),MATCH(D$1,'Master data'!$B$1:$CL$1,0)),"")</f>
        <v/>
      </c>
      <c r="E715" s="5" t="str">
        <f>IFERROR(INDEX('Master data'!$B$2:$CL$1000,MATCH($B715,'Master data'!$A$2:$A$1000,0),MATCH(E$1,'Master data'!$B$1:$CL$1,0)),"")</f>
        <v/>
      </c>
      <c r="F715" s="7" t="str">
        <f>IFERROR(INDEX('Master data'!$B$2:$CL$1000,MATCH($B715,'Master data'!$A$2:$A$1000,0),MATCH(F$1,'Master data'!$B$1:$CL$1,0)),"")</f>
        <v/>
      </c>
      <c r="G715" s="7" t="str">
        <f>IFERROR(INDEX('Master data'!$B$2:$CL$1000,MATCH($B715,'Master data'!$A$2:$A$1000,0),MATCH(G$1,'Master data'!$B$1:$CL$1,0)),"")</f>
        <v/>
      </c>
      <c r="H715" s="7" t="str">
        <f>IFERROR(INDEX('Master data'!$B$2:$CL$1000,MATCH($B715,'Master data'!$A$2:$A$1000,0),MATCH(H$1,'Master data'!$B$1:$CL$1,0)),"")</f>
        <v/>
      </c>
      <c r="I715" s="7" t="str">
        <f>IFERROR(INDEX('Master data'!$B$2:$CL$1000,MATCH($B715,'Master data'!$A$2:$A$1000,0),MATCH(I$1,'Master data'!$B$1:$CL$1,0)),"")</f>
        <v/>
      </c>
      <c r="J715" s="7" t="str">
        <f>IFERROR(INDEX('Master data'!$B$2:$CL$1000,MATCH($B715,'Master data'!$A$2:$A$1000,0),MATCH(J$1,'Master data'!$B$1:$CL$1,0)),"")</f>
        <v/>
      </c>
      <c r="K715" s="7" t="str">
        <f>IFERROR(INDEX('Master data'!$B$2:$CL$1000,MATCH($B715,'Master data'!$A$2:$A$1000,0),MATCH(K$1,'Master data'!$B$1:$CL$1,0)),"")</f>
        <v/>
      </c>
      <c r="L715" s="7" t="str">
        <f>IFERROR(INDEX('Master data'!$B$2:$CL$1000,MATCH($B715,'Master data'!$A$2:$A$1000,0),MATCH(L$1,'Master data'!$B$1:$CL$1,0)),"")</f>
        <v/>
      </c>
      <c r="M715" s="5" t="str">
        <f>IFERROR(INDEX('Master data'!$B$2:$CL$1000,MATCH($B715,'Master data'!$A$2:$A$1000,0),MATCH(M$1,'Master data'!$B$1:$CL$1,0)),"")</f>
        <v/>
      </c>
      <c r="N715" s="28" t="str">
        <f>IFERROR(INDEX('Master data'!$B$2:$CL$1000,MATCH($B715,'Master data'!$A$2:$A$1000,0),MATCH(N$1,'Master data'!$B$1:$CL$1,0)),"")</f>
        <v/>
      </c>
      <c r="O715" s="7" t="str">
        <f>IFERROR(INDEX('Master data'!$B$2:$CL$1000,MATCH($B715,'Master data'!$A$2:$A$1000,0),MATCH(O$1,'Master data'!$B$1:$CL$1,0)),"")</f>
        <v/>
      </c>
      <c r="P715" s="5" t="str">
        <f>IFERROR(INDEX('Master data'!$B$2:$CL$1000,MATCH($B715,'Master data'!$A$2:$A$1000,0),MATCH(P$1,'Master data'!$B$1:$CL$1,0)),"")</f>
        <v/>
      </c>
      <c r="Q715" s="5" t="str">
        <f>IFERROR(INDEX('Master data'!$B$2:$CL$1000,MATCH($B715,'Master data'!$A$2:$A$1000,0),MATCH(Q$1,'Master data'!$B$1:$CL$1,0)),"")</f>
        <v/>
      </c>
    </row>
    <row r="716" spans="1:17" hidden="1">
      <c r="A716" t="str">
        <f t="shared" si="11"/>
        <v/>
      </c>
      <c r="B716" t="str">
        <f>IF('Master data'!A716="","",'Master data'!A716)</f>
        <v/>
      </c>
      <c r="C716" t="str">
        <f>IFERROR(INDEX('Master data'!$B$2:$CL$1000,MATCH($B716,'Master data'!$A$2:$A$1000,0),MATCH(C$1,'Master data'!$B$1:$CL$1,0)),"")</f>
        <v/>
      </c>
      <c r="D716" t="str">
        <f>IFERROR(INDEX('Master data'!$B$2:$CL$1000,MATCH($B716,'Master data'!$A$2:$A$1000,0),MATCH(D$1,'Master data'!$B$1:$CL$1,0)),"")</f>
        <v/>
      </c>
      <c r="E716" s="5" t="str">
        <f>IFERROR(INDEX('Master data'!$B$2:$CL$1000,MATCH($B716,'Master data'!$A$2:$A$1000,0),MATCH(E$1,'Master data'!$B$1:$CL$1,0)),"")</f>
        <v/>
      </c>
      <c r="F716" s="7" t="str">
        <f>IFERROR(INDEX('Master data'!$B$2:$CL$1000,MATCH($B716,'Master data'!$A$2:$A$1000,0),MATCH(F$1,'Master data'!$B$1:$CL$1,0)),"")</f>
        <v/>
      </c>
      <c r="G716" s="7" t="str">
        <f>IFERROR(INDEX('Master data'!$B$2:$CL$1000,MATCH($B716,'Master data'!$A$2:$A$1000,0),MATCH(G$1,'Master data'!$B$1:$CL$1,0)),"")</f>
        <v/>
      </c>
      <c r="H716" s="7" t="str">
        <f>IFERROR(INDEX('Master data'!$B$2:$CL$1000,MATCH($B716,'Master data'!$A$2:$A$1000,0),MATCH(H$1,'Master data'!$B$1:$CL$1,0)),"")</f>
        <v/>
      </c>
      <c r="I716" s="7" t="str">
        <f>IFERROR(INDEX('Master data'!$B$2:$CL$1000,MATCH($B716,'Master data'!$A$2:$A$1000,0),MATCH(I$1,'Master data'!$B$1:$CL$1,0)),"")</f>
        <v/>
      </c>
      <c r="J716" s="7" t="str">
        <f>IFERROR(INDEX('Master data'!$B$2:$CL$1000,MATCH($B716,'Master data'!$A$2:$A$1000,0),MATCH(J$1,'Master data'!$B$1:$CL$1,0)),"")</f>
        <v/>
      </c>
      <c r="K716" s="7" t="str">
        <f>IFERROR(INDEX('Master data'!$B$2:$CL$1000,MATCH($B716,'Master data'!$A$2:$A$1000,0),MATCH(K$1,'Master data'!$B$1:$CL$1,0)),"")</f>
        <v/>
      </c>
      <c r="L716" s="7" t="str">
        <f>IFERROR(INDEX('Master data'!$B$2:$CL$1000,MATCH($B716,'Master data'!$A$2:$A$1000,0),MATCH(L$1,'Master data'!$B$1:$CL$1,0)),"")</f>
        <v/>
      </c>
      <c r="M716" s="5" t="str">
        <f>IFERROR(INDEX('Master data'!$B$2:$CL$1000,MATCH($B716,'Master data'!$A$2:$A$1000,0),MATCH(M$1,'Master data'!$B$1:$CL$1,0)),"")</f>
        <v/>
      </c>
      <c r="N716" s="28" t="str">
        <f>IFERROR(INDEX('Master data'!$B$2:$CL$1000,MATCH($B716,'Master data'!$A$2:$A$1000,0),MATCH(N$1,'Master data'!$B$1:$CL$1,0)),"")</f>
        <v/>
      </c>
      <c r="O716" s="7" t="str">
        <f>IFERROR(INDEX('Master data'!$B$2:$CL$1000,MATCH($B716,'Master data'!$A$2:$A$1000,0),MATCH(O$1,'Master data'!$B$1:$CL$1,0)),"")</f>
        <v/>
      </c>
      <c r="P716" s="5" t="str">
        <f>IFERROR(INDEX('Master data'!$B$2:$CL$1000,MATCH($B716,'Master data'!$A$2:$A$1000,0),MATCH(P$1,'Master data'!$B$1:$CL$1,0)),"")</f>
        <v/>
      </c>
      <c r="Q716" s="5" t="str">
        <f>IFERROR(INDEX('Master data'!$B$2:$CL$1000,MATCH($B716,'Master data'!$A$2:$A$1000,0),MATCH(Q$1,'Master data'!$B$1:$CL$1,0)),"")</f>
        <v/>
      </c>
    </row>
    <row r="717" spans="1:17" hidden="1">
      <c r="A717" t="str">
        <f t="shared" si="11"/>
        <v/>
      </c>
      <c r="B717" t="str">
        <f>IF('Master data'!A717="","",'Master data'!A717)</f>
        <v/>
      </c>
      <c r="C717" t="str">
        <f>IFERROR(INDEX('Master data'!$B$2:$CL$1000,MATCH($B717,'Master data'!$A$2:$A$1000,0),MATCH(C$1,'Master data'!$B$1:$CL$1,0)),"")</f>
        <v/>
      </c>
      <c r="D717" t="str">
        <f>IFERROR(INDEX('Master data'!$B$2:$CL$1000,MATCH($B717,'Master data'!$A$2:$A$1000,0),MATCH(D$1,'Master data'!$B$1:$CL$1,0)),"")</f>
        <v/>
      </c>
      <c r="E717" s="5" t="str">
        <f>IFERROR(INDEX('Master data'!$B$2:$CL$1000,MATCH($B717,'Master data'!$A$2:$A$1000,0),MATCH(E$1,'Master data'!$B$1:$CL$1,0)),"")</f>
        <v/>
      </c>
      <c r="F717" s="7" t="str">
        <f>IFERROR(INDEX('Master data'!$B$2:$CL$1000,MATCH($B717,'Master data'!$A$2:$A$1000,0),MATCH(F$1,'Master data'!$B$1:$CL$1,0)),"")</f>
        <v/>
      </c>
      <c r="G717" s="7" t="str">
        <f>IFERROR(INDEX('Master data'!$B$2:$CL$1000,MATCH($B717,'Master data'!$A$2:$A$1000,0),MATCH(G$1,'Master data'!$B$1:$CL$1,0)),"")</f>
        <v/>
      </c>
      <c r="H717" s="7" t="str">
        <f>IFERROR(INDEX('Master data'!$B$2:$CL$1000,MATCH($B717,'Master data'!$A$2:$A$1000,0),MATCH(H$1,'Master data'!$B$1:$CL$1,0)),"")</f>
        <v/>
      </c>
      <c r="I717" s="7" t="str">
        <f>IFERROR(INDEX('Master data'!$B$2:$CL$1000,MATCH($B717,'Master data'!$A$2:$A$1000,0),MATCH(I$1,'Master data'!$B$1:$CL$1,0)),"")</f>
        <v/>
      </c>
      <c r="J717" s="7" t="str">
        <f>IFERROR(INDEX('Master data'!$B$2:$CL$1000,MATCH($B717,'Master data'!$A$2:$A$1000,0),MATCH(J$1,'Master data'!$B$1:$CL$1,0)),"")</f>
        <v/>
      </c>
      <c r="K717" s="7" t="str">
        <f>IFERROR(INDEX('Master data'!$B$2:$CL$1000,MATCH($B717,'Master data'!$A$2:$A$1000,0),MATCH(K$1,'Master data'!$B$1:$CL$1,0)),"")</f>
        <v/>
      </c>
      <c r="L717" s="7" t="str">
        <f>IFERROR(INDEX('Master data'!$B$2:$CL$1000,MATCH($B717,'Master data'!$A$2:$A$1000,0),MATCH(L$1,'Master data'!$B$1:$CL$1,0)),"")</f>
        <v/>
      </c>
      <c r="M717" s="5" t="str">
        <f>IFERROR(INDEX('Master data'!$B$2:$CL$1000,MATCH($B717,'Master data'!$A$2:$A$1000,0),MATCH(M$1,'Master data'!$B$1:$CL$1,0)),"")</f>
        <v/>
      </c>
      <c r="N717" s="28" t="str">
        <f>IFERROR(INDEX('Master data'!$B$2:$CL$1000,MATCH($B717,'Master data'!$A$2:$A$1000,0),MATCH(N$1,'Master data'!$B$1:$CL$1,0)),"")</f>
        <v/>
      </c>
      <c r="O717" s="7" t="str">
        <f>IFERROR(INDEX('Master data'!$B$2:$CL$1000,MATCH($B717,'Master data'!$A$2:$A$1000,0),MATCH(O$1,'Master data'!$B$1:$CL$1,0)),"")</f>
        <v/>
      </c>
      <c r="P717" s="5" t="str">
        <f>IFERROR(INDEX('Master data'!$B$2:$CL$1000,MATCH($B717,'Master data'!$A$2:$A$1000,0),MATCH(P$1,'Master data'!$B$1:$CL$1,0)),"")</f>
        <v/>
      </c>
      <c r="Q717" s="5" t="str">
        <f>IFERROR(INDEX('Master data'!$B$2:$CL$1000,MATCH($B717,'Master data'!$A$2:$A$1000,0),MATCH(Q$1,'Master data'!$B$1:$CL$1,0)),"")</f>
        <v/>
      </c>
    </row>
    <row r="718" spans="1:17" hidden="1">
      <c r="A718" t="str">
        <f t="shared" si="11"/>
        <v/>
      </c>
      <c r="B718" t="str">
        <f>IF('Master data'!A718="","",'Master data'!A718)</f>
        <v/>
      </c>
      <c r="C718" t="str">
        <f>IFERROR(INDEX('Master data'!$B$2:$CL$1000,MATCH($B718,'Master data'!$A$2:$A$1000,0),MATCH(C$1,'Master data'!$B$1:$CL$1,0)),"")</f>
        <v/>
      </c>
      <c r="D718" t="str">
        <f>IFERROR(INDEX('Master data'!$B$2:$CL$1000,MATCH($B718,'Master data'!$A$2:$A$1000,0),MATCH(D$1,'Master data'!$B$1:$CL$1,0)),"")</f>
        <v/>
      </c>
      <c r="E718" s="5" t="str">
        <f>IFERROR(INDEX('Master data'!$B$2:$CL$1000,MATCH($B718,'Master data'!$A$2:$A$1000,0),MATCH(E$1,'Master data'!$B$1:$CL$1,0)),"")</f>
        <v/>
      </c>
      <c r="F718" s="7" t="str">
        <f>IFERROR(INDEX('Master data'!$B$2:$CL$1000,MATCH($B718,'Master data'!$A$2:$A$1000,0),MATCH(F$1,'Master data'!$B$1:$CL$1,0)),"")</f>
        <v/>
      </c>
      <c r="G718" s="7" t="str">
        <f>IFERROR(INDEX('Master data'!$B$2:$CL$1000,MATCH($B718,'Master data'!$A$2:$A$1000,0),MATCH(G$1,'Master data'!$B$1:$CL$1,0)),"")</f>
        <v/>
      </c>
      <c r="H718" s="7" t="str">
        <f>IFERROR(INDEX('Master data'!$B$2:$CL$1000,MATCH($B718,'Master data'!$A$2:$A$1000,0),MATCH(H$1,'Master data'!$B$1:$CL$1,0)),"")</f>
        <v/>
      </c>
      <c r="I718" s="7" t="str">
        <f>IFERROR(INDEX('Master data'!$B$2:$CL$1000,MATCH($B718,'Master data'!$A$2:$A$1000,0),MATCH(I$1,'Master data'!$B$1:$CL$1,0)),"")</f>
        <v/>
      </c>
      <c r="J718" s="7" t="str">
        <f>IFERROR(INDEX('Master data'!$B$2:$CL$1000,MATCH($B718,'Master data'!$A$2:$A$1000,0),MATCH(J$1,'Master data'!$B$1:$CL$1,0)),"")</f>
        <v/>
      </c>
      <c r="K718" s="7" t="str">
        <f>IFERROR(INDEX('Master data'!$B$2:$CL$1000,MATCH($B718,'Master data'!$A$2:$A$1000,0),MATCH(K$1,'Master data'!$B$1:$CL$1,0)),"")</f>
        <v/>
      </c>
      <c r="L718" s="7" t="str">
        <f>IFERROR(INDEX('Master data'!$B$2:$CL$1000,MATCH($B718,'Master data'!$A$2:$A$1000,0),MATCH(L$1,'Master data'!$B$1:$CL$1,0)),"")</f>
        <v/>
      </c>
      <c r="M718" s="5" t="str">
        <f>IFERROR(INDEX('Master data'!$B$2:$CL$1000,MATCH($B718,'Master data'!$A$2:$A$1000,0),MATCH(M$1,'Master data'!$B$1:$CL$1,0)),"")</f>
        <v/>
      </c>
      <c r="N718" s="28" t="str">
        <f>IFERROR(INDEX('Master data'!$B$2:$CL$1000,MATCH($B718,'Master data'!$A$2:$A$1000,0),MATCH(N$1,'Master data'!$B$1:$CL$1,0)),"")</f>
        <v/>
      </c>
      <c r="O718" s="7" t="str">
        <f>IFERROR(INDEX('Master data'!$B$2:$CL$1000,MATCH($B718,'Master data'!$A$2:$A$1000,0),MATCH(O$1,'Master data'!$B$1:$CL$1,0)),"")</f>
        <v/>
      </c>
      <c r="P718" s="5" t="str">
        <f>IFERROR(INDEX('Master data'!$B$2:$CL$1000,MATCH($B718,'Master data'!$A$2:$A$1000,0),MATCH(P$1,'Master data'!$B$1:$CL$1,0)),"")</f>
        <v/>
      </c>
      <c r="Q718" s="5" t="str">
        <f>IFERROR(INDEX('Master data'!$B$2:$CL$1000,MATCH($B718,'Master data'!$A$2:$A$1000,0),MATCH(Q$1,'Master data'!$B$1:$CL$1,0)),"")</f>
        <v/>
      </c>
    </row>
    <row r="719" spans="1:17" hidden="1">
      <c r="A719" t="str">
        <f t="shared" si="11"/>
        <v/>
      </c>
      <c r="B719" t="str">
        <f>IF('Master data'!A719="","",'Master data'!A719)</f>
        <v/>
      </c>
      <c r="C719" t="str">
        <f>IFERROR(INDEX('Master data'!$B$2:$CL$1000,MATCH($B719,'Master data'!$A$2:$A$1000,0),MATCH(C$1,'Master data'!$B$1:$CL$1,0)),"")</f>
        <v/>
      </c>
      <c r="D719" t="str">
        <f>IFERROR(INDEX('Master data'!$B$2:$CL$1000,MATCH($B719,'Master data'!$A$2:$A$1000,0),MATCH(D$1,'Master data'!$B$1:$CL$1,0)),"")</f>
        <v/>
      </c>
      <c r="E719" s="5" t="str">
        <f>IFERROR(INDEX('Master data'!$B$2:$CL$1000,MATCH($B719,'Master data'!$A$2:$A$1000,0),MATCH(E$1,'Master data'!$B$1:$CL$1,0)),"")</f>
        <v/>
      </c>
      <c r="F719" s="7" t="str">
        <f>IFERROR(INDEX('Master data'!$B$2:$CL$1000,MATCH($B719,'Master data'!$A$2:$A$1000,0),MATCH(F$1,'Master data'!$B$1:$CL$1,0)),"")</f>
        <v/>
      </c>
      <c r="G719" s="7" t="str">
        <f>IFERROR(INDEX('Master data'!$B$2:$CL$1000,MATCH($B719,'Master data'!$A$2:$A$1000,0),MATCH(G$1,'Master data'!$B$1:$CL$1,0)),"")</f>
        <v/>
      </c>
      <c r="H719" s="7" t="str">
        <f>IFERROR(INDEX('Master data'!$B$2:$CL$1000,MATCH($B719,'Master data'!$A$2:$A$1000,0),MATCH(H$1,'Master data'!$B$1:$CL$1,0)),"")</f>
        <v/>
      </c>
      <c r="I719" s="7" t="str">
        <f>IFERROR(INDEX('Master data'!$B$2:$CL$1000,MATCH($B719,'Master data'!$A$2:$A$1000,0),MATCH(I$1,'Master data'!$B$1:$CL$1,0)),"")</f>
        <v/>
      </c>
      <c r="J719" s="7" t="str">
        <f>IFERROR(INDEX('Master data'!$B$2:$CL$1000,MATCH($B719,'Master data'!$A$2:$A$1000,0),MATCH(J$1,'Master data'!$B$1:$CL$1,0)),"")</f>
        <v/>
      </c>
      <c r="K719" s="7" t="str">
        <f>IFERROR(INDEX('Master data'!$B$2:$CL$1000,MATCH($B719,'Master data'!$A$2:$A$1000,0),MATCH(K$1,'Master data'!$B$1:$CL$1,0)),"")</f>
        <v/>
      </c>
      <c r="L719" s="7" t="str">
        <f>IFERROR(INDEX('Master data'!$B$2:$CL$1000,MATCH($B719,'Master data'!$A$2:$A$1000,0),MATCH(L$1,'Master data'!$B$1:$CL$1,0)),"")</f>
        <v/>
      </c>
      <c r="M719" s="5" t="str">
        <f>IFERROR(INDEX('Master data'!$B$2:$CL$1000,MATCH($B719,'Master data'!$A$2:$A$1000,0),MATCH(M$1,'Master data'!$B$1:$CL$1,0)),"")</f>
        <v/>
      </c>
      <c r="N719" s="28" t="str">
        <f>IFERROR(INDEX('Master data'!$B$2:$CL$1000,MATCH($B719,'Master data'!$A$2:$A$1000,0),MATCH(N$1,'Master data'!$B$1:$CL$1,0)),"")</f>
        <v/>
      </c>
      <c r="O719" s="7" t="str">
        <f>IFERROR(INDEX('Master data'!$B$2:$CL$1000,MATCH($B719,'Master data'!$A$2:$A$1000,0),MATCH(O$1,'Master data'!$B$1:$CL$1,0)),"")</f>
        <v/>
      </c>
      <c r="P719" s="5" t="str">
        <f>IFERROR(INDEX('Master data'!$B$2:$CL$1000,MATCH($B719,'Master data'!$A$2:$A$1000,0),MATCH(P$1,'Master data'!$B$1:$CL$1,0)),"")</f>
        <v/>
      </c>
      <c r="Q719" s="5" t="str">
        <f>IFERROR(INDEX('Master data'!$B$2:$CL$1000,MATCH($B719,'Master data'!$A$2:$A$1000,0),MATCH(Q$1,'Master data'!$B$1:$CL$1,0)),"")</f>
        <v/>
      </c>
    </row>
    <row r="720" spans="1:17" hidden="1">
      <c r="A720" t="str">
        <f t="shared" si="11"/>
        <v/>
      </c>
      <c r="B720" t="str">
        <f>IF('Master data'!A720="","",'Master data'!A720)</f>
        <v/>
      </c>
      <c r="C720" t="str">
        <f>IFERROR(INDEX('Master data'!$B$2:$CL$1000,MATCH($B720,'Master data'!$A$2:$A$1000,0),MATCH(C$1,'Master data'!$B$1:$CL$1,0)),"")</f>
        <v/>
      </c>
      <c r="D720" t="str">
        <f>IFERROR(INDEX('Master data'!$B$2:$CL$1000,MATCH($B720,'Master data'!$A$2:$A$1000,0),MATCH(D$1,'Master data'!$B$1:$CL$1,0)),"")</f>
        <v/>
      </c>
      <c r="E720" s="5" t="str">
        <f>IFERROR(INDEX('Master data'!$B$2:$CL$1000,MATCH($B720,'Master data'!$A$2:$A$1000,0),MATCH(E$1,'Master data'!$B$1:$CL$1,0)),"")</f>
        <v/>
      </c>
      <c r="F720" s="7" t="str">
        <f>IFERROR(INDEX('Master data'!$B$2:$CL$1000,MATCH($B720,'Master data'!$A$2:$A$1000,0),MATCH(F$1,'Master data'!$B$1:$CL$1,0)),"")</f>
        <v/>
      </c>
      <c r="G720" s="7" t="str">
        <f>IFERROR(INDEX('Master data'!$B$2:$CL$1000,MATCH($B720,'Master data'!$A$2:$A$1000,0),MATCH(G$1,'Master data'!$B$1:$CL$1,0)),"")</f>
        <v/>
      </c>
      <c r="H720" s="7" t="str">
        <f>IFERROR(INDEX('Master data'!$B$2:$CL$1000,MATCH($B720,'Master data'!$A$2:$A$1000,0),MATCH(H$1,'Master data'!$B$1:$CL$1,0)),"")</f>
        <v/>
      </c>
      <c r="I720" s="7" t="str">
        <f>IFERROR(INDEX('Master data'!$B$2:$CL$1000,MATCH($B720,'Master data'!$A$2:$A$1000,0),MATCH(I$1,'Master data'!$B$1:$CL$1,0)),"")</f>
        <v/>
      </c>
      <c r="J720" s="7" t="str">
        <f>IFERROR(INDEX('Master data'!$B$2:$CL$1000,MATCH($B720,'Master data'!$A$2:$A$1000,0),MATCH(J$1,'Master data'!$B$1:$CL$1,0)),"")</f>
        <v/>
      </c>
      <c r="K720" s="7" t="str">
        <f>IFERROR(INDEX('Master data'!$B$2:$CL$1000,MATCH($B720,'Master data'!$A$2:$A$1000,0),MATCH(K$1,'Master data'!$B$1:$CL$1,0)),"")</f>
        <v/>
      </c>
      <c r="L720" s="7" t="str">
        <f>IFERROR(INDEX('Master data'!$B$2:$CL$1000,MATCH($B720,'Master data'!$A$2:$A$1000,0),MATCH(L$1,'Master data'!$B$1:$CL$1,0)),"")</f>
        <v/>
      </c>
      <c r="M720" s="5" t="str">
        <f>IFERROR(INDEX('Master data'!$B$2:$CL$1000,MATCH($B720,'Master data'!$A$2:$A$1000,0),MATCH(M$1,'Master data'!$B$1:$CL$1,0)),"")</f>
        <v/>
      </c>
      <c r="N720" s="28" t="str">
        <f>IFERROR(INDEX('Master data'!$B$2:$CL$1000,MATCH($B720,'Master data'!$A$2:$A$1000,0),MATCH(N$1,'Master data'!$B$1:$CL$1,0)),"")</f>
        <v/>
      </c>
      <c r="O720" s="7" t="str">
        <f>IFERROR(INDEX('Master data'!$B$2:$CL$1000,MATCH($B720,'Master data'!$A$2:$A$1000,0),MATCH(O$1,'Master data'!$B$1:$CL$1,0)),"")</f>
        <v/>
      </c>
      <c r="P720" s="5" t="str">
        <f>IFERROR(INDEX('Master data'!$B$2:$CL$1000,MATCH($B720,'Master data'!$A$2:$A$1000,0),MATCH(P$1,'Master data'!$B$1:$CL$1,0)),"")</f>
        <v/>
      </c>
      <c r="Q720" s="5" t="str">
        <f>IFERROR(INDEX('Master data'!$B$2:$CL$1000,MATCH($B720,'Master data'!$A$2:$A$1000,0),MATCH(Q$1,'Master data'!$B$1:$CL$1,0)),"")</f>
        <v/>
      </c>
    </row>
    <row r="721" spans="1:17" hidden="1">
      <c r="A721" t="str">
        <f t="shared" si="11"/>
        <v/>
      </c>
      <c r="B721" t="str">
        <f>IF('Master data'!A721="","",'Master data'!A721)</f>
        <v/>
      </c>
      <c r="C721" t="str">
        <f>IFERROR(INDEX('Master data'!$B$2:$CL$1000,MATCH($B721,'Master data'!$A$2:$A$1000,0),MATCH(C$1,'Master data'!$B$1:$CL$1,0)),"")</f>
        <v/>
      </c>
      <c r="D721" t="str">
        <f>IFERROR(INDEX('Master data'!$B$2:$CL$1000,MATCH($B721,'Master data'!$A$2:$A$1000,0),MATCH(D$1,'Master data'!$B$1:$CL$1,0)),"")</f>
        <v/>
      </c>
      <c r="E721" s="5" t="str">
        <f>IFERROR(INDEX('Master data'!$B$2:$CL$1000,MATCH($B721,'Master data'!$A$2:$A$1000,0),MATCH(E$1,'Master data'!$B$1:$CL$1,0)),"")</f>
        <v/>
      </c>
      <c r="F721" s="7" t="str">
        <f>IFERROR(INDEX('Master data'!$B$2:$CL$1000,MATCH($B721,'Master data'!$A$2:$A$1000,0),MATCH(F$1,'Master data'!$B$1:$CL$1,0)),"")</f>
        <v/>
      </c>
      <c r="G721" s="7" t="str">
        <f>IFERROR(INDEX('Master data'!$B$2:$CL$1000,MATCH($B721,'Master data'!$A$2:$A$1000,0),MATCH(G$1,'Master data'!$B$1:$CL$1,0)),"")</f>
        <v/>
      </c>
      <c r="H721" s="7" t="str">
        <f>IFERROR(INDEX('Master data'!$B$2:$CL$1000,MATCH($B721,'Master data'!$A$2:$A$1000,0),MATCH(H$1,'Master data'!$B$1:$CL$1,0)),"")</f>
        <v/>
      </c>
      <c r="I721" s="7" t="str">
        <f>IFERROR(INDEX('Master data'!$B$2:$CL$1000,MATCH($B721,'Master data'!$A$2:$A$1000,0),MATCH(I$1,'Master data'!$B$1:$CL$1,0)),"")</f>
        <v/>
      </c>
      <c r="J721" s="7" t="str">
        <f>IFERROR(INDEX('Master data'!$B$2:$CL$1000,MATCH($B721,'Master data'!$A$2:$A$1000,0),MATCH(J$1,'Master data'!$B$1:$CL$1,0)),"")</f>
        <v/>
      </c>
      <c r="K721" s="7" t="str">
        <f>IFERROR(INDEX('Master data'!$B$2:$CL$1000,MATCH($B721,'Master data'!$A$2:$A$1000,0),MATCH(K$1,'Master data'!$B$1:$CL$1,0)),"")</f>
        <v/>
      </c>
      <c r="L721" s="7" t="str">
        <f>IFERROR(INDEX('Master data'!$B$2:$CL$1000,MATCH($B721,'Master data'!$A$2:$A$1000,0),MATCH(L$1,'Master data'!$B$1:$CL$1,0)),"")</f>
        <v/>
      </c>
      <c r="M721" s="5" t="str">
        <f>IFERROR(INDEX('Master data'!$B$2:$CL$1000,MATCH($B721,'Master data'!$A$2:$A$1000,0),MATCH(M$1,'Master data'!$B$1:$CL$1,0)),"")</f>
        <v/>
      </c>
      <c r="N721" s="28" t="str">
        <f>IFERROR(INDEX('Master data'!$B$2:$CL$1000,MATCH($B721,'Master data'!$A$2:$A$1000,0),MATCH(N$1,'Master data'!$B$1:$CL$1,0)),"")</f>
        <v/>
      </c>
      <c r="O721" s="7" t="str">
        <f>IFERROR(INDEX('Master data'!$B$2:$CL$1000,MATCH($B721,'Master data'!$A$2:$A$1000,0),MATCH(O$1,'Master data'!$B$1:$CL$1,0)),"")</f>
        <v/>
      </c>
      <c r="P721" s="5" t="str">
        <f>IFERROR(INDEX('Master data'!$B$2:$CL$1000,MATCH($B721,'Master data'!$A$2:$A$1000,0),MATCH(P$1,'Master data'!$B$1:$CL$1,0)),"")</f>
        <v/>
      </c>
      <c r="Q721" s="5" t="str">
        <f>IFERROR(INDEX('Master data'!$B$2:$CL$1000,MATCH($B721,'Master data'!$A$2:$A$1000,0),MATCH(Q$1,'Master data'!$B$1:$CL$1,0)),"")</f>
        <v/>
      </c>
    </row>
    <row r="722" spans="1:17" hidden="1">
      <c r="A722" t="str">
        <f t="shared" si="11"/>
        <v/>
      </c>
      <c r="B722" t="str">
        <f>IF('Master data'!A722="","",'Master data'!A722)</f>
        <v/>
      </c>
      <c r="C722" t="str">
        <f>IFERROR(INDEX('Master data'!$B$2:$CL$1000,MATCH($B722,'Master data'!$A$2:$A$1000,0),MATCH(C$1,'Master data'!$B$1:$CL$1,0)),"")</f>
        <v/>
      </c>
      <c r="D722" t="str">
        <f>IFERROR(INDEX('Master data'!$B$2:$CL$1000,MATCH($B722,'Master data'!$A$2:$A$1000,0),MATCH(D$1,'Master data'!$B$1:$CL$1,0)),"")</f>
        <v/>
      </c>
      <c r="E722" s="5" t="str">
        <f>IFERROR(INDEX('Master data'!$B$2:$CL$1000,MATCH($B722,'Master data'!$A$2:$A$1000,0),MATCH(E$1,'Master data'!$B$1:$CL$1,0)),"")</f>
        <v/>
      </c>
      <c r="F722" s="7" t="str">
        <f>IFERROR(INDEX('Master data'!$B$2:$CL$1000,MATCH($B722,'Master data'!$A$2:$A$1000,0),MATCH(F$1,'Master data'!$B$1:$CL$1,0)),"")</f>
        <v/>
      </c>
      <c r="G722" s="7" t="str">
        <f>IFERROR(INDEX('Master data'!$B$2:$CL$1000,MATCH($B722,'Master data'!$A$2:$A$1000,0),MATCH(G$1,'Master data'!$B$1:$CL$1,0)),"")</f>
        <v/>
      </c>
      <c r="H722" s="7" t="str">
        <f>IFERROR(INDEX('Master data'!$B$2:$CL$1000,MATCH($B722,'Master data'!$A$2:$A$1000,0),MATCH(H$1,'Master data'!$B$1:$CL$1,0)),"")</f>
        <v/>
      </c>
      <c r="I722" s="7" t="str">
        <f>IFERROR(INDEX('Master data'!$B$2:$CL$1000,MATCH($B722,'Master data'!$A$2:$A$1000,0),MATCH(I$1,'Master data'!$B$1:$CL$1,0)),"")</f>
        <v/>
      </c>
      <c r="J722" s="7" t="str">
        <f>IFERROR(INDEX('Master data'!$B$2:$CL$1000,MATCH($B722,'Master data'!$A$2:$A$1000,0),MATCH(J$1,'Master data'!$B$1:$CL$1,0)),"")</f>
        <v/>
      </c>
      <c r="K722" s="7" t="str">
        <f>IFERROR(INDEX('Master data'!$B$2:$CL$1000,MATCH($B722,'Master data'!$A$2:$A$1000,0),MATCH(K$1,'Master data'!$B$1:$CL$1,0)),"")</f>
        <v/>
      </c>
      <c r="L722" s="7" t="str">
        <f>IFERROR(INDEX('Master data'!$B$2:$CL$1000,MATCH($B722,'Master data'!$A$2:$A$1000,0),MATCH(L$1,'Master data'!$B$1:$CL$1,0)),"")</f>
        <v/>
      </c>
      <c r="M722" s="5" t="str">
        <f>IFERROR(INDEX('Master data'!$B$2:$CL$1000,MATCH($B722,'Master data'!$A$2:$A$1000,0),MATCH(M$1,'Master data'!$B$1:$CL$1,0)),"")</f>
        <v/>
      </c>
      <c r="N722" s="28" t="str">
        <f>IFERROR(INDEX('Master data'!$B$2:$CL$1000,MATCH($B722,'Master data'!$A$2:$A$1000,0),MATCH(N$1,'Master data'!$B$1:$CL$1,0)),"")</f>
        <v/>
      </c>
      <c r="O722" s="7" t="str">
        <f>IFERROR(INDEX('Master data'!$B$2:$CL$1000,MATCH($B722,'Master data'!$A$2:$A$1000,0),MATCH(O$1,'Master data'!$B$1:$CL$1,0)),"")</f>
        <v/>
      </c>
      <c r="P722" s="5" t="str">
        <f>IFERROR(INDEX('Master data'!$B$2:$CL$1000,MATCH($B722,'Master data'!$A$2:$A$1000,0),MATCH(P$1,'Master data'!$B$1:$CL$1,0)),"")</f>
        <v/>
      </c>
      <c r="Q722" s="5" t="str">
        <f>IFERROR(INDEX('Master data'!$B$2:$CL$1000,MATCH($B722,'Master data'!$A$2:$A$1000,0),MATCH(Q$1,'Master data'!$B$1:$CL$1,0)),"")</f>
        <v/>
      </c>
    </row>
    <row r="723" spans="1:17" hidden="1">
      <c r="A723" t="str">
        <f t="shared" si="11"/>
        <v/>
      </c>
      <c r="B723" t="str">
        <f>IF('Master data'!A723="","",'Master data'!A723)</f>
        <v/>
      </c>
      <c r="C723" t="str">
        <f>IFERROR(INDEX('Master data'!$B$2:$CL$1000,MATCH($B723,'Master data'!$A$2:$A$1000,0),MATCH(C$1,'Master data'!$B$1:$CL$1,0)),"")</f>
        <v/>
      </c>
      <c r="D723" t="str">
        <f>IFERROR(INDEX('Master data'!$B$2:$CL$1000,MATCH($B723,'Master data'!$A$2:$A$1000,0),MATCH(D$1,'Master data'!$B$1:$CL$1,0)),"")</f>
        <v/>
      </c>
      <c r="E723" s="5" t="str">
        <f>IFERROR(INDEX('Master data'!$B$2:$CL$1000,MATCH($B723,'Master data'!$A$2:$A$1000,0),MATCH(E$1,'Master data'!$B$1:$CL$1,0)),"")</f>
        <v/>
      </c>
      <c r="F723" s="7" t="str">
        <f>IFERROR(INDEX('Master data'!$B$2:$CL$1000,MATCH($B723,'Master data'!$A$2:$A$1000,0),MATCH(F$1,'Master data'!$B$1:$CL$1,0)),"")</f>
        <v/>
      </c>
      <c r="G723" s="7" t="str">
        <f>IFERROR(INDEX('Master data'!$B$2:$CL$1000,MATCH($B723,'Master data'!$A$2:$A$1000,0),MATCH(G$1,'Master data'!$B$1:$CL$1,0)),"")</f>
        <v/>
      </c>
      <c r="H723" s="7" t="str">
        <f>IFERROR(INDEX('Master data'!$B$2:$CL$1000,MATCH($B723,'Master data'!$A$2:$A$1000,0),MATCH(H$1,'Master data'!$B$1:$CL$1,0)),"")</f>
        <v/>
      </c>
      <c r="I723" s="7" t="str">
        <f>IFERROR(INDEX('Master data'!$B$2:$CL$1000,MATCH($B723,'Master data'!$A$2:$A$1000,0),MATCH(I$1,'Master data'!$B$1:$CL$1,0)),"")</f>
        <v/>
      </c>
      <c r="J723" s="7" t="str">
        <f>IFERROR(INDEX('Master data'!$B$2:$CL$1000,MATCH($B723,'Master data'!$A$2:$A$1000,0),MATCH(J$1,'Master data'!$B$1:$CL$1,0)),"")</f>
        <v/>
      </c>
      <c r="K723" s="7" t="str">
        <f>IFERROR(INDEX('Master data'!$B$2:$CL$1000,MATCH($B723,'Master data'!$A$2:$A$1000,0),MATCH(K$1,'Master data'!$B$1:$CL$1,0)),"")</f>
        <v/>
      </c>
      <c r="L723" s="7" t="str">
        <f>IFERROR(INDEX('Master data'!$B$2:$CL$1000,MATCH($B723,'Master data'!$A$2:$A$1000,0),MATCH(L$1,'Master data'!$B$1:$CL$1,0)),"")</f>
        <v/>
      </c>
      <c r="M723" s="5" t="str">
        <f>IFERROR(INDEX('Master data'!$B$2:$CL$1000,MATCH($B723,'Master data'!$A$2:$A$1000,0),MATCH(M$1,'Master data'!$B$1:$CL$1,0)),"")</f>
        <v/>
      </c>
      <c r="N723" s="28" t="str">
        <f>IFERROR(INDEX('Master data'!$B$2:$CL$1000,MATCH($B723,'Master data'!$A$2:$A$1000,0),MATCH(N$1,'Master data'!$B$1:$CL$1,0)),"")</f>
        <v/>
      </c>
      <c r="O723" s="7" t="str">
        <f>IFERROR(INDEX('Master data'!$B$2:$CL$1000,MATCH($B723,'Master data'!$A$2:$A$1000,0),MATCH(O$1,'Master data'!$B$1:$CL$1,0)),"")</f>
        <v/>
      </c>
      <c r="P723" s="5" t="str">
        <f>IFERROR(INDEX('Master data'!$B$2:$CL$1000,MATCH($B723,'Master data'!$A$2:$A$1000,0),MATCH(P$1,'Master data'!$B$1:$CL$1,0)),"")</f>
        <v/>
      </c>
      <c r="Q723" s="5" t="str">
        <f>IFERROR(INDEX('Master data'!$B$2:$CL$1000,MATCH($B723,'Master data'!$A$2:$A$1000,0),MATCH(Q$1,'Master data'!$B$1:$CL$1,0)),"")</f>
        <v/>
      </c>
    </row>
    <row r="724" spans="1:17" hidden="1">
      <c r="A724" t="str">
        <f t="shared" si="11"/>
        <v/>
      </c>
      <c r="B724" t="str">
        <f>IF('Master data'!A724="","",'Master data'!A724)</f>
        <v/>
      </c>
      <c r="C724" t="str">
        <f>IFERROR(INDEX('Master data'!$B$2:$CL$1000,MATCH($B724,'Master data'!$A$2:$A$1000,0),MATCH(C$1,'Master data'!$B$1:$CL$1,0)),"")</f>
        <v/>
      </c>
      <c r="D724" t="str">
        <f>IFERROR(INDEX('Master data'!$B$2:$CL$1000,MATCH($B724,'Master data'!$A$2:$A$1000,0),MATCH(D$1,'Master data'!$B$1:$CL$1,0)),"")</f>
        <v/>
      </c>
      <c r="E724" s="5" t="str">
        <f>IFERROR(INDEX('Master data'!$B$2:$CL$1000,MATCH($B724,'Master data'!$A$2:$A$1000,0),MATCH(E$1,'Master data'!$B$1:$CL$1,0)),"")</f>
        <v/>
      </c>
      <c r="F724" s="7" t="str">
        <f>IFERROR(INDEX('Master data'!$B$2:$CL$1000,MATCH($B724,'Master data'!$A$2:$A$1000,0),MATCH(F$1,'Master data'!$B$1:$CL$1,0)),"")</f>
        <v/>
      </c>
      <c r="G724" s="7" t="str">
        <f>IFERROR(INDEX('Master data'!$B$2:$CL$1000,MATCH($B724,'Master data'!$A$2:$A$1000,0),MATCH(G$1,'Master data'!$B$1:$CL$1,0)),"")</f>
        <v/>
      </c>
      <c r="H724" s="7" t="str">
        <f>IFERROR(INDEX('Master data'!$B$2:$CL$1000,MATCH($B724,'Master data'!$A$2:$A$1000,0),MATCH(H$1,'Master data'!$B$1:$CL$1,0)),"")</f>
        <v/>
      </c>
      <c r="I724" s="7" t="str">
        <f>IFERROR(INDEX('Master data'!$B$2:$CL$1000,MATCH($B724,'Master data'!$A$2:$A$1000,0),MATCH(I$1,'Master data'!$B$1:$CL$1,0)),"")</f>
        <v/>
      </c>
      <c r="J724" s="7" t="str">
        <f>IFERROR(INDEX('Master data'!$B$2:$CL$1000,MATCH($B724,'Master data'!$A$2:$A$1000,0),MATCH(J$1,'Master data'!$B$1:$CL$1,0)),"")</f>
        <v/>
      </c>
      <c r="K724" s="7" t="str">
        <f>IFERROR(INDEX('Master data'!$B$2:$CL$1000,MATCH($B724,'Master data'!$A$2:$A$1000,0),MATCH(K$1,'Master data'!$B$1:$CL$1,0)),"")</f>
        <v/>
      </c>
      <c r="L724" s="7" t="str">
        <f>IFERROR(INDEX('Master data'!$B$2:$CL$1000,MATCH($B724,'Master data'!$A$2:$A$1000,0),MATCH(L$1,'Master data'!$B$1:$CL$1,0)),"")</f>
        <v/>
      </c>
      <c r="M724" s="5" t="str">
        <f>IFERROR(INDEX('Master data'!$B$2:$CL$1000,MATCH($B724,'Master data'!$A$2:$A$1000,0),MATCH(M$1,'Master data'!$B$1:$CL$1,0)),"")</f>
        <v/>
      </c>
      <c r="N724" s="28" t="str">
        <f>IFERROR(INDEX('Master data'!$B$2:$CL$1000,MATCH($B724,'Master data'!$A$2:$A$1000,0),MATCH(N$1,'Master data'!$B$1:$CL$1,0)),"")</f>
        <v/>
      </c>
      <c r="O724" s="7" t="str">
        <f>IFERROR(INDEX('Master data'!$B$2:$CL$1000,MATCH($B724,'Master data'!$A$2:$A$1000,0),MATCH(O$1,'Master data'!$B$1:$CL$1,0)),"")</f>
        <v/>
      </c>
      <c r="P724" s="5" t="str">
        <f>IFERROR(INDEX('Master data'!$B$2:$CL$1000,MATCH($B724,'Master data'!$A$2:$A$1000,0),MATCH(P$1,'Master data'!$B$1:$CL$1,0)),"")</f>
        <v/>
      </c>
      <c r="Q724" s="5" t="str">
        <f>IFERROR(INDEX('Master data'!$B$2:$CL$1000,MATCH($B724,'Master data'!$A$2:$A$1000,0),MATCH(Q$1,'Master data'!$B$1:$CL$1,0)),"")</f>
        <v/>
      </c>
    </row>
    <row r="725" spans="1:17" hidden="1">
      <c r="A725" t="str">
        <f t="shared" si="11"/>
        <v/>
      </c>
      <c r="B725" t="str">
        <f>IF('Master data'!A725="","",'Master data'!A725)</f>
        <v/>
      </c>
      <c r="C725" t="str">
        <f>IFERROR(INDEX('Master data'!$B$2:$CL$1000,MATCH($B725,'Master data'!$A$2:$A$1000,0),MATCH(C$1,'Master data'!$B$1:$CL$1,0)),"")</f>
        <v/>
      </c>
      <c r="D725" t="str">
        <f>IFERROR(INDEX('Master data'!$B$2:$CL$1000,MATCH($B725,'Master data'!$A$2:$A$1000,0),MATCH(D$1,'Master data'!$B$1:$CL$1,0)),"")</f>
        <v/>
      </c>
      <c r="E725" s="5" t="str">
        <f>IFERROR(INDEX('Master data'!$B$2:$CL$1000,MATCH($B725,'Master data'!$A$2:$A$1000,0),MATCH(E$1,'Master data'!$B$1:$CL$1,0)),"")</f>
        <v/>
      </c>
      <c r="F725" s="7" t="str">
        <f>IFERROR(INDEX('Master data'!$B$2:$CL$1000,MATCH($B725,'Master data'!$A$2:$A$1000,0),MATCH(F$1,'Master data'!$B$1:$CL$1,0)),"")</f>
        <v/>
      </c>
      <c r="G725" s="7" t="str">
        <f>IFERROR(INDEX('Master data'!$B$2:$CL$1000,MATCH($B725,'Master data'!$A$2:$A$1000,0),MATCH(G$1,'Master data'!$B$1:$CL$1,0)),"")</f>
        <v/>
      </c>
      <c r="H725" s="7" t="str">
        <f>IFERROR(INDEX('Master data'!$B$2:$CL$1000,MATCH($B725,'Master data'!$A$2:$A$1000,0),MATCH(H$1,'Master data'!$B$1:$CL$1,0)),"")</f>
        <v/>
      </c>
      <c r="I725" s="7" t="str">
        <f>IFERROR(INDEX('Master data'!$B$2:$CL$1000,MATCH($B725,'Master data'!$A$2:$A$1000,0),MATCH(I$1,'Master data'!$B$1:$CL$1,0)),"")</f>
        <v/>
      </c>
      <c r="J725" s="7" t="str">
        <f>IFERROR(INDEX('Master data'!$B$2:$CL$1000,MATCH($B725,'Master data'!$A$2:$A$1000,0),MATCH(J$1,'Master data'!$B$1:$CL$1,0)),"")</f>
        <v/>
      </c>
      <c r="K725" s="7" t="str">
        <f>IFERROR(INDEX('Master data'!$B$2:$CL$1000,MATCH($B725,'Master data'!$A$2:$A$1000,0),MATCH(K$1,'Master data'!$B$1:$CL$1,0)),"")</f>
        <v/>
      </c>
      <c r="L725" s="7" t="str">
        <f>IFERROR(INDEX('Master data'!$B$2:$CL$1000,MATCH($B725,'Master data'!$A$2:$A$1000,0),MATCH(L$1,'Master data'!$B$1:$CL$1,0)),"")</f>
        <v/>
      </c>
      <c r="M725" s="5" t="str">
        <f>IFERROR(INDEX('Master data'!$B$2:$CL$1000,MATCH($B725,'Master data'!$A$2:$A$1000,0),MATCH(M$1,'Master data'!$B$1:$CL$1,0)),"")</f>
        <v/>
      </c>
      <c r="N725" s="28" t="str">
        <f>IFERROR(INDEX('Master data'!$B$2:$CL$1000,MATCH($B725,'Master data'!$A$2:$A$1000,0),MATCH(N$1,'Master data'!$B$1:$CL$1,0)),"")</f>
        <v/>
      </c>
      <c r="O725" s="7" t="str">
        <f>IFERROR(INDEX('Master data'!$B$2:$CL$1000,MATCH($B725,'Master data'!$A$2:$A$1000,0),MATCH(O$1,'Master data'!$B$1:$CL$1,0)),"")</f>
        <v/>
      </c>
      <c r="P725" s="5" t="str">
        <f>IFERROR(INDEX('Master data'!$B$2:$CL$1000,MATCH($B725,'Master data'!$A$2:$A$1000,0),MATCH(P$1,'Master data'!$B$1:$CL$1,0)),"")</f>
        <v/>
      </c>
      <c r="Q725" s="5" t="str">
        <f>IFERROR(INDEX('Master data'!$B$2:$CL$1000,MATCH($B725,'Master data'!$A$2:$A$1000,0),MATCH(Q$1,'Master data'!$B$1:$CL$1,0)),"")</f>
        <v/>
      </c>
    </row>
    <row r="726" spans="1:17" hidden="1">
      <c r="A726" t="str">
        <f t="shared" si="11"/>
        <v/>
      </c>
      <c r="B726" t="str">
        <f>IF('Master data'!A726="","",'Master data'!A726)</f>
        <v/>
      </c>
      <c r="C726" t="str">
        <f>IFERROR(INDEX('Master data'!$B$2:$CL$1000,MATCH($B726,'Master data'!$A$2:$A$1000,0),MATCH(C$1,'Master data'!$B$1:$CL$1,0)),"")</f>
        <v/>
      </c>
      <c r="D726" t="str">
        <f>IFERROR(INDEX('Master data'!$B$2:$CL$1000,MATCH($B726,'Master data'!$A$2:$A$1000,0),MATCH(D$1,'Master data'!$B$1:$CL$1,0)),"")</f>
        <v/>
      </c>
      <c r="E726" s="5" t="str">
        <f>IFERROR(INDEX('Master data'!$B$2:$CL$1000,MATCH($B726,'Master data'!$A$2:$A$1000,0),MATCH(E$1,'Master data'!$B$1:$CL$1,0)),"")</f>
        <v/>
      </c>
      <c r="F726" s="7" t="str">
        <f>IFERROR(INDEX('Master data'!$B$2:$CL$1000,MATCH($B726,'Master data'!$A$2:$A$1000,0),MATCH(F$1,'Master data'!$B$1:$CL$1,0)),"")</f>
        <v/>
      </c>
      <c r="G726" s="7" t="str">
        <f>IFERROR(INDEX('Master data'!$B$2:$CL$1000,MATCH($B726,'Master data'!$A$2:$A$1000,0),MATCH(G$1,'Master data'!$B$1:$CL$1,0)),"")</f>
        <v/>
      </c>
      <c r="H726" s="7" t="str">
        <f>IFERROR(INDEX('Master data'!$B$2:$CL$1000,MATCH($B726,'Master data'!$A$2:$A$1000,0),MATCH(H$1,'Master data'!$B$1:$CL$1,0)),"")</f>
        <v/>
      </c>
      <c r="I726" s="7" t="str">
        <f>IFERROR(INDEX('Master data'!$B$2:$CL$1000,MATCH($B726,'Master data'!$A$2:$A$1000,0),MATCH(I$1,'Master data'!$B$1:$CL$1,0)),"")</f>
        <v/>
      </c>
      <c r="J726" s="7" t="str">
        <f>IFERROR(INDEX('Master data'!$B$2:$CL$1000,MATCH($B726,'Master data'!$A$2:$A$1000,0),MATCH(J$1,'Master data'!$B$1:$CL$1,0)),"")</f>
        <v/>
      </c>
      <c r="K726" s="7" t="str">
        <f>IFERROR(INDEX('Master data'!$B$2:$CL$1000,MATCH($B726,'Master data'!$A$2:$A$1000,0),MATCH(K$1,'Master data'!$B$1:$CL$1,0)),"")</f>
        <v/>
      </c>
      <c r="L726" s="7" t="str">
        <f>IFERROR(INDEX('Master data'!$B$2:$CL$1000,MATCH($B726,'Master data'!$A$2:$A$1000,0),MATCH(L$1,'Master data'!$B$1:$CL$1,0)),"")</f>
        <v/>
      </c>
      <c r="M726" s="5" t="str">
        <f>IFERROR(INDEX('Master data'!$B$2:$CL$1000,MATCH($B726,'Master data'!$A$2:$A$1000,0),MATCH(M$1,'Master data'!$B$1:$CL$1,0)),"")</f>
        <v/>
      </c>
      <c r="N726" s="28" t="str">
        <f>IFERROR(INDEX('Master data'!$B$2:$CL$1000,MATCH($B726,'Master data'!$A$2:$A$1000,0),MATCH(N$1,'Master data'!$B$1:$CL$1,0)),"")</f>
        <v/>
      </c>
      <c r="O726" s="7" t="str">
        <f>IFERROR(INDEX('Master data'!$B$2:$CL$1000,MATCH($B726,'Master data'!$A$2:$A$1000,0),MATCH(O$1,'Master data'!$B$1:$CL$1,0)),"")</f>
        <v/>
      </c>
      <c r="P726" s="5" t="str">
        <f>IFERROR(INDEX('Master data'!$B$2:$CL$1000,MATCH($B726,'Master data'!$A$2:$A$1000,0),MATCH(P$1,'Master data'!$B$1:$CL$1,0)),"")</f>
        <v/>
      </c>
      <c r="Q726" s="5" t="str">
        <f>IFERROR(INDEX('Master data'!$B$2:$CL$1000,MATCH($B726,'Master data'!$A$2:$A$1000,0),MATCH(Q$1,'Master data'!$B$1:$CL$1,0)),"")</f>
        <v/>
      </c>
    </row>
    <row r="727" spans="1:17" hidden="1">
      <c r="A727" t="str">
        <f t="shared" si="11"/>
        <v/>
      </c>
      <c r="B727" t="str">
        <f>IF('Master data'!A727="","",'Master data'!A727)</f>
        <v/>
      </c>
      <c r="C727" t="str">
        <f>IFERROR(INDEX('Master data'!$B$2:$CL$1000,MATCH($B727,'Master data'!$A$2:$A$1000,0),MATCH(C$1,'Master data'!$B$1:$CL$1,0)),"")</f>
        <v/>
      </c>
      <c r="D727" t="str">
        <f>IFERROR(INDEX('Master data'!$B$2:$CL$1000,MATCH($B727,'Master data'!$A$2:$A$1000,0),MATCH(D$1,'Master data'!$B$1:$CL$1,0)),"")</f>
        <v/>
      </c>
      <c r="E727" s="5" t="str">
        <f>IFERROR(INDEX('Master data'!$B$2:$CL$1000,MATCH($B727,'Master data'!$A$2:$A$1000,0),MATCH(E$1,'Master data'!$B$1:$CL$1,0)),"")</f>
        <v/>
      </c>
      <c r="F727" s="7" t="str">
        <f>IFERROR(INDEX('Master data'!$B$2:$CL$1000,MATCH($B727,'Master data'!$A$2:$A$1000,0),MATCH(F$1,'Master data'!$B$1:$CL$1,0)),"")</f>
        <v/>
      </c>
      <c r="G727" s="7" t="str">
        <f>IFERROR(INDEX('Master data'!$B$2:$CL$1000,MATCH($B727,'Master data'!$A$2:$A$1000,0),MATCH(G$1,'Master data'!$B$1:$CL$1,0)),"")</f>
        <v/>
      </c>
      <c r="H727" s="7" t="str">
        <f>IFERROR(INDEX('Master data'!$B$2:$CL$1000,MATCH($B727,'Master data'!$A$2:$A$1000,0),MATCH(H$1,'Master data'!$B$1:$CL$1,0)),"")</f>
        <v/>
      </c>
      <c r="I727" s="7" t="str">
        <f>IFERROR(INDEX('Master data'!$B$2:$CL$1000,MATCH($B727,'Master data'!$A$2:$A$1000,0),MATCH(I$1,'Master data'!$B$1:$CL$1,0)),"")</f>
        <v/>
      </c>
      <c r="J727" s="7" t="str">
        <f>IFERROR(INDEX('Master data'!$B$2:$CL$1000,MATCH($B727,'Master data'!$A$2:$A$1000,0),MATCH(J$1,'Master data'!$B$1:$CL$1,0)),"")</f>
        <v/>
      </c>
      <c r="K727" s="7" t="str">
        <f>IFERROR(INDEX('Master data'!$B$2:$CL$1000,MATCH($B727,'Master data'!$A$2:$A$1000,0),MATCH(K$1,'Master data'!$B$1:$CL$1,0)),"")</f>
        <v/>
      </c>
      <c r="L727" s="7" t="str">
        <f>IFERROR(INDEX('Master data'!$B$2:$CL$1000,MATCH($B727,'Master data'!$A$2:$A$1000,0),MATCH(L$1,'Master data'!$B$1:$CL$1,0)),"")</f>
        <v/>
      </c>
      <c r="M727" s="5" t="str">
        <f>IFERROR(INDEX('Master data'!$B$2:$CL$1000,MATCH($B727,'Master data'!$A$2:$A$1000,0),MATCH(M$1,'Master data'!$B$1:$CL$1,0)),"")</f>
        <v/>
      </c>
      <c r="N727" s="28" t="str">
        <f>IFERROR(INDEX('Master data'!$B$2:$CL$1000,MATCH($B727,'Master data'!$A$2:$A$1000,0),MATCH(N$1,'Master data'!$B$1:$CL$1,0)),"")</f>
        <v/>
      </c>
      <c r="O727" s="7" t="str">
        <f>IFERROR(INDEX('Master data'!$B$2:$CL$1000,MATCH($B727,'Master data'!$A$2:$A$1000,0),MATCH(O$1,'Master data'!$B$1:$CL$1,0)),"")</f>
        <v/>
      </c>
      <c r="P727" s="5" t="str">
        <f>IFERROR(INDEX('Master data'!$B$2:$CL$1000,MATCH($B727,'Master data'!$A$2:$A$1000,0),MATCH(P$1,'Master data'!$B$1:$CL$1,0)),"")</f>
        <v/>
      </c>
      <c r="Q727" s="5" t="str">
        <f>IFERROR(INDEX('Master data'!$B$2:$CL$1000,MATCH($B727,'Master data'!$A$2:$A$1000,0),MATCH(Q$1,'Master data'!$B$1:$CL$1,0)),"")</f>
        <v/>
      </c>
    </row>
    <row r="728" spans="1:17" hidden="1">
      <c r="A728" t="str">
        <f t="shared" si="11"/>
        <v/>
      </c>
      <c r="B728" t="str">
        <f>IF('Master data'!A728="","",'Master data'!A728)</f>
        <v/>
      </c>
      <c r="C728" t="str">
        <f>IFERROR(INDEX('Master data'!$B$2:$CL$1000,MATCH($B728,'Master data'!$A$2:$A$1000,0),MATCH(C$1,'Master data'!$B$1:$CL$1,0)),"")</f>
        <v/>
      </c>
      <c r="D728" t="str">
        <f>IFERROR(INDEX('Master data'!$B$2:$CL$1000,MATCH($B728,'Master data'!$A$2:$A$1000,0),MATCH(D$1,'Master data'!$B$1:$CL$1,0)),"")</f>
        <v/>
      </c>
      <c r="E728" s="5" t="str">
        <f>IFERROR(INDEX('Master data'!$B$2:$CL$1000,MATCH($B728,'Master data'!$A$2:$A$1000,0),MATCH(E$1,'Master data'!$B$1:$CL$1,0)),"")</f>
        <v/>
      </c>
      <c r="F728" s="7" t="str">
        <f>IFERROR(INDEX('Master data'!$B$2:$CL$1000,MATCH($B728,'Master data'!$A$2:$A$1000,0),MATCH(F$1,'Master data'!$B$1:$CL$1,0)),"")</f>
        <v/>
      </c>
      <c r="G728" s="7" t="str">
        <f>IFERROR(INDEX('Master data'!$B$2:$CL$1000,MATCH($B728,'Master data'!$A$2:$A$1000,0),MATCH(G$1,'Master data'!$B$1:$CL$1,0)),"")</f>
        <v/>
      </c>
      <c r="H728" s="7" t="str">
        <f>IFERROR(INDEX('Master data'!$B$2:$CL$1000,MATCH($B728,'Master data'!$A$2:$A$1000,0),MATCH(H$1,'Master data'!$B$1:$CL$1,0)),"")</f>
        <v/>
      </c>
      <c r="I728" s="7" t="str">
        <f>IFERROR(INDEX('Master data'!$B$2:$CL$1000,MATCH($B728,'Master data'!$A$2:$A$1000,0),MATCH(I$1,'Master data'!$B$1:$CL$1,0)),"")</f>
        <v/>
      </c>
      <c r="J728" s="7" t="str">
        <f>IFERROR(INDEX('Master data'!$B$2:$CL$1000,MATCH($B728,'Master data'!$A$2:$A$1000,0),MATCH(J$1,'Master data'!$B$1:$CL$1,0)),"")</f>
        <v/>
      </c>
      <c r="K728" s="7" t="str">
        <f>IFERROR(INDEX('Master data'!$B$2:$CL$1000,MATCH($B728,'Master data'!$A$2:$A$1000,0),MATCH(K$1,'Master data'!$B$1:$CL$1,0)),"")</f>
        <v/>
      </c>
      <c r="L728" s="7" t="str">
        <f>IFERROR(INDEX('Master data'!$B$2:$CL$1000,MATCH($B728,'Master data'!$A$2:$A$1000,0),MATCH(L$1,'Master data'!$B$1:$CL$1,0)),"")</f>
        <v/>
      </c>
      <c r="M728" s="5" t="str">
        <f>IFERROR(INDEX('Master data'!$B$2:$CL$1000,MATCH($B728,'Master data'!$A$2:$A$1000,0),MATCH(M$1,'Master data'!$B$1:$CL$1,0)),"")</f>
        <v/>
      </c>
      <c r="N728" s="28" t="str">
        <f>IFERROR(INDEX('Master data'!$B$2:$CL$1000,MATCH($B728,'Master data'!$A$2:$A$1000,0),MATCH(N$1,'Master data'!$B$1:$CL$1,0)),"")</f>
        <v/>
      </c>
      <c r="O728" s="7" t="str">
        <f>IFERROR(INDEX('Master data'!$B$2:$CL$1000,MATCH($B728,'Master data'!$A$2:$A$1000,0),MATCH(O$1,'Master data'!$B$1:$CL$1,0)),"")</f>
        <v/>
      </c>
      <c r="P728" s="5" t="str">
        <f>IFERROR(INDEX('Master data'!$B$2:$CL$1000,MATCH($B728,'Master data'!$A$2:$A$1000,0),MATCH(P$1,'Master data'!$B$1:$CL$1,0)),"")</f>
        <v/>
      </c>
      <c r="Q728" s="5" t="str">
        <f>IFERROR(INDEX('Master data'!$B$2:$CL$1000,MATCH($B728,'Master data'!$A$2:$A$1000,0),MATCH(Q$1,'Master data'!$B$1:$CL$1,0)),"")</f>
        <v/>
      </c>
    </row>
    <row r="729" spans="1:17" hidden="1">
      <c r="A729" t="str">
        <f t="shared" si="11"/>
        <v/>
      </c>
      <c r="B729" t="str">
        <f>IF('Master data'!A729="","",'Master data'!A729)</f>
        <v/>
      </c>
      <c r="C729" t="str">
        <f>IFERROR(INDEX('Master data'!$B$2:$CL$1000,MATCH($B729,'Master data'!$A$2:$A$1000,0),MATCH(C$1,'Master data'!$B$1:$CL$1,0)),"")</f>
        <v/>
      </c>
      <c r="D729" t="str">
        <f>IFERROR(INDEX('Master data'!$B$2:$CL$1000,MATCH($B729,'Master data'!$A$2:$A$1000,0),MATCH(D$1,'Master data'!$B$1:$CL$1,0)),"")</f>
        <v/>
      </c>
      <c r="E729" s="5" t="str">
        <f>IFERROR(INDEX('Master data'!$B$2:$CL$1000,MATCH($B729,'Master data'!$A$2:$A$1000,0),MATCH(E$1,'Master data'!$B$1:$CL$1,0)),"")</f>
        <v/>
      </c>
      <c r="F729" s="7" t="str">
        <f>IFERROR(INDEX('Master data'!$B$2:$CL$1000,MATCH($B729,'Master data'!$A$2:$A$1000,0),MATCH(F$1,'Master data'!$B$1:$CL$1,0)),"")</f>
        <v/>
      </c>
      <c r="G729" s="7" t="str">
        <f>IFERROR(INDEX('Master data'!$B$2:$CL$1000,MATCH($B729,'Master data'!$A$2:$A$1000,0),MATCH(G$1,'Master data'!$B$1:$CL$1,0)),"")</f>
        <v/>
      </c>
      <c r="H729" s="7" t="str">
        <f>IFERROR(INDEX('Master data'!$B$2:$CL$1000,MATCH($B729,'Master data'!$A$2:$A$1000,0),MATCH(H$1,'Master data'!$B$1:$CL$1,0)),"")</f>
        <v/>
      </c>
      <c r="I729" s="7" t="str">
        <f>IFERROR(INDEX('Master data'!$B$2:$CL$1000,MATCH($B729,'Master data'!$A$2:$A$1000,0),MATCH(I$1,'Master data'!$B$1:$CL$1,0)),"")</f>
        <v/>
      </c>
      <c r="J729" s="7" t="str">
        <f>IFERROR(INDEX('Master data'!$B$2:$CL$1000,MATCH($B729,'Master data'!$A$2:$A$1000,0),MATCH(J$1,'Master data'!$B$1:$CL$1,0)),"")</f>
        <v/>
      </c>
      <c r="K729" s="7" t="str">
        <f>IFERROR(INDEX('Master data'!$B$2:$CL$1000,MATCH($B729,'Master data'!$A$2:$A$1000,0),MATCH(K$1,'Master data'!$B$1:$CL$1,0)),"")</f>
        <v/>
      </c>
      <c r="L729" s="7" t="str">
        <f>IFERROR(INDEX('Master data'!$B$2:$CL$1000,MATCH($B729,'Master data'!$A$2:$A$1000,0),MATCH(L$1,'Master data'!$B$1:$CL$1,0)),"")</f>
        <v/>
      </c>
      <c r="M729" s="5" t="str">
        <f>IFERROR(INDEX('Master data'!$B$2:$CL$1000,MATCH($B729,'Master data'!$A$2:$A$1000,0),MATCH(M$1,'Master data'!$B$1:$CL$1,0)),"")</f>
        <v/>
      </c>
      <c r="N729" s="28" t="str">
        <f>IFERROR(INDEX('Master data'!$B$2:$CL$1000,MATCH($B729,'Master data'!$A$2:$A$1000,0),MATCH(N$1,'Master data'!$B$1:$CL$1,0)),"")</f>
        <v/>
      </c>
      <c r="O729" s="7" t="str">
        <f>IFERROR(INDEX('Master data'!$B$2:$CL$1000,MATCH($B729,'Master data'!$A$2:$A$1000,0),MATCH(O$1,'Master data'!$B$1:$CL$1,0)),"")</f>
        <v/>
      </c>
      <c r="P729" s="5" t="str">
        <f>IFERROR(INDEX('Master data'!$B$2:$CL$1000,MATCH($B729,'Master data'!$A$2:$A$1000,0),MATCH(P$1,'Master data'!$B$1:$CL$1,0)),"")</f>
        <v/>
      </c>
      <c r="Q729" s="5" t="str">
        <f>IFERROR(INDEX('Master data'!$B$2:$CL$1000,MATCH($B729,'Master data'!$A$2:$A$1000,0),MATCH(Q$1,'Master data'!$B$1:$CL$1,0)),"")</f>
        <v/>
      </c>
    </row>
    <row r="730" spans="1:17" hidden="1">
      <c r="A730" t="str">
        <f t="shared" si="11"/>
        <v/>
      </c>
      <c r="B730" t="str">
        <f>IF('Master data'!A730="","",'Master data'!A730)</f>
        <v/>
      </c>
      <c r="C730" t="str">
        <f>IFERROR(INDEX('Master data'!$B$2:$CL$1000,MATCH($B730,'Master data'!$A$2:$A$1000,0),MATCH(C$1,'Master data'!$B$1:$CL$1,0)),"")</f>
        <v/>
      </c>
      <c r="D730" t="str">
        <f>IFERROR(INDEX('Master data'!$B$2:$CL$1000,MATCH($B730,'Master data'!$A$2:$A$1000,0),MATCH(D$1,'Master data'!$B$1:$CL$1,0)),"")</f>
        <v/>
      </c>
      <c r="E730" s="5" t="str">
        <f>IFERROR(INDEX('Master data'!$B$2:$CL$1000,MATCH($B730,'Master data'!$A$2:$A$1000,0),MATCH(E$1,'Master data'!$B$1:$CL$1,0)),"")</f>
        <v/>
      </c>
      <c r="F730" s="7" t="str">
        <f>IFERROR(INDEX('Master data'!$B$2:$CL$1000,MATCH($B730,'Master data'!$A$2:$A$1000,0),MATCH(F$1,'Master data'!$B$1:$CL$1,0)),"")</f>
        <v/>
      </c>
      <c r="G730" s="7" t="str">
        <f>IFERROR(INDEX('Master data'!$B$2:$CL$1000,MATCH($B730,'Master data'!$A$2:$A$1000,0),MATCH(G$1,'Master data'!$B$1:$CL$1,0)),"")</f>
        <v/>
      </c>
      <c r="H730" s="7" t="str">
        <f>IFERROR(INDEX('Master data'!$B$2:$CL$1000,MATCH($B730,'Master data'!$A$2:$A$1000,0),MATCH(H$1,'Master data'!$B$1:$CL$1,0)),"")</f>
        <v/>
      </c>
      <c r="I730" s="7" t="str">
        <f>IFERROR(INDEX('Master data'!$B$2:$CL$1000,MATCH($B730,'Master data'!$A$2:$A$1000,0),MATCH(I$1,'Master data'!$B$1:$CL$1,0)),"")</f>
        <v/>
      </c>
      <c r="J730" s="7" t="str">
        <f>IFERROR(INDEX('Master data'!$B$2:$CL$1000,MATCH($B730,'Master data'!$A$2:$A$1000,0),MATCH(J$1,'Master data'!$B$1:$CL$1,0)),"")</f>
        <v/>
      </c>
      <c r="K730" s="7" t="str">
        <f>IFERROR(INDEX('Master data'!$B$2:$CL$1000,MATCH($B730,'Master data'!$A$2:$A$1000,0),MATCH(K$1,'Master data'!$B$1:$CL$1,0)),"")</f>
        <v/>
      </c>
      <c r="L730" s="7" t="str">
        <f>IFERROR(INDEX('Master data'!$B$2:$CL$1000,MATCH($B730,'Master data'!$A$2:$A$1000,0),MATCH(L$1,'Master data'!$B$1:$CL$1,0)),"")</f>
        <v/>
      </c>
      <c r="M730" s="5" t="str">
        <f>IFERROR(INDEX('Master data'!$B$2:$CL$1000,MATCH($B730,'Master data'!$A$2:$A$1000,0),MATCH(M$1,'Master data'!$B$1:$CL$1,0)),"")</f>
        <v/>
      </c>
      <c r="N730" s="28" t="str">
        <f>IFERROR(INDEX('Master data'!$B$2:$CL$1000,MATCH($B730,'Master data'!$A$2:$A$1000,0),MATCH(N$1,'Master data'!$B$1:$CL$1,0)),"")</f>
        <v/>
      </c>
      <c r="O730" s="7" t="str">
        <f>IFERROR(INDEX('Master data'!$B$2:$CL$1000,MATCH($B730,'Master data'!$A$2:$A$1000,0),MATCH(O$1,'Master data'!$B$1:$CL$1,0)),"")</f>
        <v/>
      </c>
      <c r="P730" s="5" t="str">
        <f>IFERROR(INDEX('Master data'!$B$2:$CL$1000,MATCH($B730,'Master data'!$A$2:$A$1000,0),MATCH(P$1,'Master data'!$B$1:$CL$1,0)),"")</f>
        <v/>
      </c>
      <c r="Q730" s="5" t="str">
        <f>IFERROR(INDEX('Master data'!$B$2:$CL$1000,MATCH($B730,'Master data'!$A$2:$A$1000,0),MATCH(Q$1,'Master data'!$B$1:$CL$1,0)),"")</f>
        <v/>
      </c>
    </row>
    <row r="731" spans="1:17" hidden="1">
      <c r="A731" t="str">
        <f t="shared" si="11"/>
        <v/>
      </c>
      <c r="B731" t="str">
        <f>IF('Master data'!A731="","",'Master data'!A731)</f>
        <v/>
      </c>
      <c r="C731" t="str">
        <f>IFERROR(INDEX('Master data'!$B$2:$CL$1000,MATCH($B731,'Master data'!$A$2:$A$1000,0),MATCH(C$1,'Master data'!$B$1:$CL$1,0)),"")</f>
        <v/>
      </c>
      <c r="D731" t="str">
        <f>IFERROR(INDEX('Master data'!$B$2:$CL$1000,MATCH($B731,'Master data'!$A$2:$A$1000,0),MATCH(D$1,'Master data'!$B$1:$CL$1,0)),"")</f>
        <v/>
      </c>
      <c r="E731" s="5" t="str">
        <f>IFERROR(INDEX('Master data'!$B$2:$CL$1000,MATCH($B731,'Master data'!$A$2:$A$1000,0),MATCH(E$1,'Master data'!$B$1:$CL$1,0)),"")</f>
        <v/>
      </c>
      <c r="F731" s="7" t="str">
        <f>IFERROR(INDEX('Master data'!$B$2:$CL$1000,MATCH($B731,'Master data'!$A$2:$A$1000,0),MATCH(F$1,'Master data'!$B$1:$CL$1,0)),"")</f>
        <v/>
      </c>
      <c r="G731" s="7" t="str">
        <f>IFERROR(INDEX('Master data'!$B$2:$CL$1000,MATCH($B731,'Master data'!$A$2:$A$1000,0),MATCH(G$1,'Master data'!$B$1:$CL$1,0)),"")</f>
        <v/>
      </c>
      <c r="H731" s="7" t="str">
        <f>IFERROR(INDEX('Master data'!$B$2:$CL$1000,MATCH($B731,'Master data'!$A$2:$A$1000,0),MATCH(H$1,'Master data'!$B$1:$CL$1,0)),"")</f>
        <v/>
      </c>
      <c r="I731" s="7" t="str">
        <f>IFERROR(INDEX('Master data'!$B$2:$CL$1000,MATCH($B731,'Master data'!$A$2:$A$1000,0),MATCH(I$1,'Master data'!$B$1:$CL$1,0)),"")</f>
        <v/>
      </c>
      <c r="J731" s="7" t="str">
        <f>IFERROR(INDEX('Master data'!$B$2:$CL$1000,MATCH($B731,'Master data'!$A$2:$A$1000,0),MATCH(J$1,'Master data'!$B$1:$CL$1,0)),"")</f>
        <v/>
      </c>
      <c r="K731" s="7" t="str">
        <f>IFERROR(INDEX('Master data'!$B$2:$CL$1000,MATCH($B731,'Master data'!$A$2:$A$1000,0),MATCH(K$1,'Master data'!$B$1:$CL$1,0)),"")</f>
        <v/>
      </c>
      <c r="L731" s="7" t="str">
        <f>IFERROR(INDEX('Master data'!$B$2:$CL$1000,MATCH($B731,'Master data'!$A$2:$A$1000,0),MATCH(L$1,'Master data'!$B$1:$CL$1,0)),"")</f>
        <v/>
      </c>
      <c r="M731" s="5" t="str">
        <f>IFERROR(INDEX('Master data'!$B$2:$CL$1000,MATCH($B731,'Master data'!$A$2:$A$1000,0),MATCH(M$1,'Master data'!$B$1:$CL$1,0)),"")</f>
        <v/>
      </c>
      <c r="N731" s="28" t="str">
        <f>IFERROR(INDEX('Master data'!$B$2:$CL$1000,MATCH($B731,'Master data'!$A$2:$A$1000,0),MATCH(N$1,'Master data'!$B$1:$CL$1,0)),"")</f>
        <v/>
      </c>
      <c r="O731" s="7" t="str">
        <f>IFERROR(INDEX('Master data'!$B$2:$CL$1000,MATCH($B731,'Master data'!$A$2:$A$1000,0),MATCH(O$1,'Master data'!$B$1:$CL$1,0)),"")</f>
        <v/>
      </c>
      <c r="P731" s="5" t="str">
        <f>IFERROR(INDEX('Master data'!$B$2:$CL$1000,MATCH($B731,'Master data'!$A$2:$A$1000,0),MATCH(P$1,'Master data'!$B$1:$CL$1,0)),"")</f>
        <v/>
      </c>
      <c r="Q731" s="5" t="str">
        <f>IFERROR(INDEX('Master data'!$B$2:$CL$1000,MATCH($B731,'Master data'!$A$2:$A$1000,0),MATCH(Q$1,'Master data'!$B$1:$CL$1,0)),"")</f>
        <v/>
      </c>
    </row>
    <row r="732" spans="1:17" hidden="1">
      <c r="A732" t="str">
        <f t="shared" si="11"/>
        <v/>
      </c>
      <c r="B732" t="str">
        <f>IF('Master data'!A732="","",'Master data'!A732)</f>
        <v/>
      </c>
      <c r="C732" t="str">
        <f>IFERROR(INDEX('Master data'!$B$2:$CL$1000,MATCH($B732,'Master data'!$A$2:$A$1000,0),MATCH(C$1,'Master data'!$B$1:$CL$1,0)),"")</f>
        <v/>
      </c>
      <c r="D732" t="str">
        <f>IFERROR(INDEX('Master data'!$B$2:$CL$1000,MATCH($B732,'Master data'!$A$2:$A$1000,0),MATCH(D$1,'Master data'!$B$1:$CL$1,0)),"")</f>
        <v/>
      </c>
      <c r="E732" s="5" t="str">
        <f>IFERROR(INDEX('Master data'!$B$2:$CL$1000,MATCH($B732,'Master data'!$A$2:$A$1000,0),MATCH(E$1,'Master data'!$B$1:$CL$1,0)),"")</f>
        <v/>
      </c>
      <c r="F732" s="7" t="str">
        <f>IFERROR(INDEX('Master data'!$B$2:$CL$1000,MATCH($B732,'Master data'!$A$2:$A$1000,0),MATCH(F$1,'Master data'!$B$1:$CL$1,0)),"")</f>
        <v/>
      </c>
      <c r="G732" s="7" t="str">
        <f>IFERROR(INDEX('Master data'!$B$2:$CL$1000,MATCH($B732,'Master data'!$A$2:$A$1000,0),MATCH(G$1,'Master data'!$B$1:$CL$1,0)),"")</f>
        <v/>
      </c>
      <c r="H732" s="7" t="str">
        <f>IFERROR(INDEX('Master data'!$B$2:$CL$1000,MATCH($B732,'Master data'!$A$2:$A$1000,0),MATCH(H$1,'Master data'!$B$1:$CL$1,0)),"")</f>
        <v/>
      </c>
      <c r="I732" s="7" t="str">
        <f>IFERROR(INDEX('Master data'!$B$2:$CL$1000,MATCH($B732,'Master data'!$A$2:$A$1000,0),MATCH(I$1,'Master data'!$B$1:$CL$1,0)),"")</f>
        <v/>
      </c>
      <c r="J732" s="7" t="str">
        <f>IFERROR(INDEX('Master data'!$B$2:$CL$1000,MATCH($B732,'Master data'!$A$2:$A$1000,0),MATCH(J$1,'Master data'!$B$1:$CL$1,0)),"")</f>
        <v/>
      </c>
      <c r="K732" s="7" t="str">
        <f>IFERROR(INDEX('Master data'!$B$2:$CL$1000,MATCH($B732,'Master data'!$A$2:$A$1000,0),MATCH(K$1,'Master data'!$B$1:$CL$1,0)),"")</f>
        <v/>
      </c>
      <c r="L732" s="7" t="str">
        <f>IFERROR(INDEX('Master data'!$B$2:$CL$1000,MATCH($B732,'Master data'!$A$2:$A$1000,0),MATCH(L$1,'Master data'!$B$1:$CL$1,0)),"")</f>
        <v/>
      </c>
      <c r="M732" s="5" t="str">
        <f>IFERROR(INDEX('Master data'!$B$2:$CL$1000,MATCH($B732,'Master data'!$A$2:$A$1000,0),MATCH(M$1,'Master data'!$B$1:$CL$1,0)),"")</f>
        <v/>
      </c>
      <c r="N732" s="28" t="str">
        <f>IFERROR(INDEX('Master data'!$B$2:$CL$1000,MATCH($B732,'Master data'!$A$2:$A$1000,0),MATCH(N$1,'Master data'!$B$1:$CL$1,0)),"")</f>
        <v/>
      </c>
      <c r="O732" s="7" t="str">
        <f>IFERROR(INDEX('Master data'!$B$2:$CL$1000,MATCH($B732,'Master data'!$A$2:$A$1000,0),MATCH(O$1,'Master data'!$B$1:$CL$1,0)),"")</f>
        <v/>
      </c>
      <c r="P732" s="5" t="str">
        <f>IFERROR(INDEX('Master data'!$B$2:$CL$1000,MATCH($B732,'Master data'!$A$2:$A$1000,0),MATCH(P$1,'Master data'!$B$1:$CL$1,0)),"")</f>
        <v/>
      </c>
      <c r="Q732" s="5" t="str">
        <f>IFERROR(INDEX('Master data'!$B$2:$CL$1000,MATCH($B732,'Master data'!$A$2:$A$1000,0),MATCH(Q$1,'Master data'!$B$1:$CL$1,0)),"")</f>
        <v/>
      </c>
    </row>
    <row r="733" spans="1:17" hidden="1">
      <c r="A733" t="str">
        <f t="shared" si="11"/>
        <v/>
      </c>
      <c r="B733" t="str">
        <f>IF('Master data'!A733="","",'Master data'!A733)</f>
        <v/>
      </c>
      <c r="C733" t="str">
        <f>IFERROR(INDEX('Master data'!$B$2:$CL$1000,MATCH($B733,'Master data'!$A$2:$A$1000,0),MATCH(C$1,'Master data'!$B$1:$CL$1,0)),"")</f>
        <v/>
      </c>
      <c r="D733" t="str">
        <f>IFERROR(INDEX('Master data'!$B$2:$CL$1000,MATCH($B733,'Master data'!$A$2:$A$1000,0),MATCH(D$1,'Master data'!$B$1:$CL$1,0)),"")</f>
        <v/>
      </c>
      <c r="E733" s="5" t="str">
        <f>IFERROR(INDEX('Master data'!$B$2:$CL$1000,MATCH($B733,'Master data'!$A$2:$A$1000,0),MATCH(E$1,'Master data'!$B$1:$CL$1,0)),"")</f>
        <v/>
      </c>
      <c r="F733" s="7" t="str">
        <f>IFERROR(INDEX('Master data'!$B$2:$CL$1000,MATCH($B733,'Master data'!$A$2:$A$1000,0),MATCH(F$1,'Master data'!$B$1:$CL$1,0)),"")</f>
        <v/>
      </c>
      <c r="G733" s="7" t="str">
        <f>IFERROR(INDEX('Master data'!$B$2:$CL$1000,MATCH($B733,'Master data'!$A$2:$A$1000,0),MATCH(G$1,'Master data'!$B$1:$CL$1,0)),"")</f>
        <v/>
      </c>
      <c r="H733" s="7" t="str">
        <f>IFERROR(INDEX('Master data'!$B$2:$CL$1000,MATCH($B733,'Master data'!$A$2:$A$1000,0),MATCH(H$1,'Master data'!$B$1:$CL$1,0)),"")</f>
        <v/>
      </c>
      <c r="I733" s="7" t="str">
        <f>IFERROR(INDEX('Master data'!$B$2:$CL$1000,MATCH($B733,'Master data'!$A$2:$A$1000,0),MATCH(I$1,'Master data'!$B$1:$CL$1,0)),"")</f>
        <v/>
      </c>
      <c r="J733" s="7" t="str">
        <f>IFERROR(INDEX('Master data'!$B$2:$CL$1000,MATCH($B733,'Master data'!$A$2:$A$1000,0),MATCH(J$1,'Master data'!$B$1:$CL$1,0)),"")</f>
        <v/>
      </c>
      <c r="K733" s="7" t="str">
        <f>IFERROR(INDEX('Master data'!$B$2:$CL$1000,MATCH($B733,'Master data'!$A$2:$A$1000,0),MATCH(K$1,'Master data'!$B$1:$CL$1,0)),"")</f>
        <v/>
      </c>
      <c r="L733" s="7" t="str">
        <f>IFERROR(INDEX('Master data'!$B$2:$CL$1000,MATCH($B733,'Master data'!$A$2:$A$1000,0),MATCH(L$1,'Master data'!$B$1:$CL$1,0)),"")</f>
        <v/>
      </c>
      <c r="M733" s="5" t="str">
        <f>IFERROR(INDEX('Master data'!$B$2:$CL$1000,MATCH($B733,'Master data'!$A$2:$A$1000,0),MATCH(M$1,'Master data'!$B$1:$CL$1,0)),"")</f>
        <v/>
      </c>
      <c r="N733" s="28" t="str">
        <f>IFERROR(INDEX('Master data'!$B$2:$CL$1000,MATCH($B733,'Master data'!$A$2:$A$1000,0),MATCH(N$1,'Master data'!$B$1:$CL$1,0)),"")</f>
        <v/>
      </c>
      <c r="O733" s="7" t="str">
        <f>IFERROR(INDEX('Master data'!$B$2:$CL$1000,MATCH($B733,'Master data'!$A$2:$A$1000,0),MATCH(O$1,'Master data'!$B$1:$CL$1,0)),"")</f>
        <v/>
      </c>
      <c r="P733" s="5" t="str">
        <f>IFERROR(INDEX('Master data'!$B$2:$CL$1000,MATCH($B733,'Master data'!$A$2:$A$1000,0),MATCH(P$1,'Master data'!$B$1:$CL$1,0)),"")</f>
        <v/>
      </c>
      <c r="Q733" s="5" t="str">
        <f>IFERROR(INDEX('Master data'!$B$2:$CL$1000,MATCH($B733,'Master data'!$A$2:$A$1000,0),MATCH(Q$1,'Master data'!$B$1:$CL$1,0)),"")</f>
        <v/>
      </c>
    </row>
    <row r="734" spans="1:17" hidden="1">
      <c r="A734" t="str">
        <f t="shared" si="11"/>
        <v/>
      </c>
      <c r="B734" t="str">
        <f>IF('Master data'!A734="","",'Master data'!A734)</f>
        <v/>
      </c>
      <c r="C734" t="str">
        <f>IFERROR(INDEX('Master data'!$B$2:$CL$1000,MATCH($B734,'Master data'!$A$2:$A$1000,0),MATCH(C$1,'Master data'!$B$1:$CL$1,0)),"")</f>
        <v/>
      </c>
      <c r="D734" t="str">
        <f>IFERROR(INDEX('Master data'!$B$2:$CL$1000,MATCH($B734,'Master data'!$A$2:$A$1000,0),MATCH(D$1,'Master data'!$B$1:$CL$1,0)),"")</f>
        <v/>
      </c>
      <c r="E734" s="5" t="str">
        <f>IFERROR(INDEX('Master data'!$B$2:$CL$1000,MATCH($B734,'Master data'!$A$2:$A$1000,0),MATCH(E$1,'Master data'!$B$1:$CL$1,0)),"")</f>
        <v/>
      </c>
      <c r="F734" s="7" t="str">
        <f>IFERROR(INDEX('Master data'!$B$2:$CL$1000,MATCH($B734,'Master data'!$A$2:$A$1000,0),MATCH(F$1,'Master data'!$B$1:$CL$1,0)),"")</f>
        <v/>
      </c>
      <c r="G734" s="7" t="str">
        <f>IFERROR(INDEX('Master data'!$B$2:$CL$1000,MATCH($B734,'Master data'!$A$2:$A$1000,0),MATCH(G$1,'Master data'!$B$1:$CL$1,0)),"")</f>
        <v/>
      </c>
      <c r="H734" s="7" t="str">
        <f>IFERROR(INDEX('Master data'!$B$2:$CL$1000,MATCH($B734,'Master data'!$A$2:$A$1000,0),MATCH(H$1,'Master data'!$B$1:$CL$1,0)),"")</f>
        <v/>
      </c>
      <c r="I734" s="7" t="str">
        <f>IFERROR(INDEX('Master data'!$B$2:$CL$1000,MATCH($B734,'Master data'!$A$2:$A$1000,0),MATCH(I$1,'Master data'!$B$1:$CL$1,0)),"")</f>
        <v/>
      </c>
      <c r="J734" s="7" t="str">
        <f>IFERROR(INDEX('Master data'!$B$2:$CL$1000,MATCH($B734,'Master data'!$A$2:$A$1000,0),MATCH(J$1,'Master data'!$B$1:$CL$1,0)),"")</f>
        <v/>
      </c>
      <c r="K734" s="7" t="str">
        <f>IFERROR(INDEX('Master data'!$B$2:$CL$1000,MATCH($B734,'Master data'!$A$2:$A$1000,0),MATCH(K$1,'Master data'!$B$1:$CL$1,0)),"")</f>
        <v/>
      </c>
      <c r="L734" s="7" t="str">
        <f>IFERROR(INDEX('Master data'!$B$2:$CL$1000,MATCH($B734,'Master data'!$A$2:$A$1000,0),MATCH(L$1,'Master data'!$B$1:$CL$1,0)),"")</f>
        <v/>
      </c>
      <c r="M734" s="5" t="str">
        <f>IFERROR(INDEX('Master data'!$B$2:$CL$1000,MATCH($B734,'Master data'!$A$2:$A$1000,0),MATCH(M$1,'Master data'!$B$1:$CL$1,0)),"")</f>
        <v/>
      </c>
      <c r="N734" s="28" t="str">
        <f>IFERROR(INDEX('Master data'!$B$2:$CL$1000,MATCH($B734,'Master data'!$A$2:$A$1000,0),MATCH(N$1,'Master data'!$B$1:$CL$1,0)),"")</f>
        <v/>
      </c>
      <c r="O734" s="7" t="str">
        <f>IFERROR(INDEX('Master data'!$B$2:$CL$1000,MATCH($B734,'Master data'!$A$2:$A$1000,0),MATCH(O$1,'Master data'!$B$1:$CL$1,0)),"")</f>
        <v/>
      </c>
      <c r="P734" s="5" t="str">
        <f>IFERROR(INDEX('Master data'!$B$2:$CL$1000,MATCH($B734,'Master data'!$A$2:$A$1000,0),MATCH(P$1,'Master data'!$B$1:$CL$1,0)),"")</f>
        <v/>
      </c>
      <c r="Q734" s="5" t="str">
        <f>IFERROR(INDEX('Master data'!$B$2:$CL$1000,MATCH($B734,'Master data'!$A$2:$A$1000,0),MATCH(Q$1,'Master data'!$B$1:$CL$1,0)),"")</f>
        <v/>
      </c>
    </row>
    <row r="735" spans="1:17" hidden="1">
      <c r="A735" t="str">
        <f t="shared" si="11"/>
        <v/>
      </c>
      <c r="B735" t="str">
        <f>IF('Master data'!A735="","",'Master data'!A735)</f>
        <v/>
      </c>
      <c r="C735" t="str">
        <f>IFERROR(INDEX('Master data'!$B$2:$CL$1000,MATCH($B735,'Master data'!$A$2:$A$1000,0),MATCH(C$1,'Master data'!$B$1:$CL$1,0)),"")</f>
        <v/>
      </c>
      <c r="D735" t="str">
        <f>IFERROR(INDEX('Master data'!$B$2:$CL$1000,MATCH($B735,'Master data'!$A$2:$A$1000,0),MATCH(D$1,'Master data'!$B$1:$CL$1,0)),"")</f>
        <v/>
      </c>
      <c r="E735" s="5" t="str">
        <f>IFERROR(INDEX('Master data'!$B$2:$CL$1000,MATCH($B735,'Master data'!$A$2:$A$1000,0),MATCH(E$1,'Master data'!$B$1:$CL$1,0)),"")</f>
        <v/>
      </c>
      <c r="F735" s="7" t="str">
        <f>IFERROR(INDEX('Master data'!$B$2:$CL$1000,MATCH($B735,'Master data'!$A$2:$A$1000,0),MATCH(F$1,'Master data'!$B$1:$CL$1,0)),"")</f>
        <v/>
      </c>
      <c r="G735" s="7" t="str">
        <f>IFERROR(INDEX('Master data'!$B$2:$CL$1000,MATCH($B735,'Master data'!$A$2:$A$1000,0),MATCH(G$1,'Master data'!$B$1:$CL$1,0)),"")</f>
        <v/>
      </c>
      <c r="H735" s="7" t="str">
        <f>IFERROR(INDEX('Master data'!$B$2:$CL$1000,MATCH($B735,'Master data'!$A$2:$A$1000,0),MATCH(H$1,'Master data'!$B$1:$CL$1,0)),"")</f>
        <v/>
      </c>
      <c r="I735" s="7" t="str">
        <f>IFERROR(INDEX('Master data'!$B$2:$CL$1000,MATCH($B735,'Master data'!$A$2:$A$1000,0),MATCH(I$1,'Master data'!$B$1:$CL$1,0)),"")</f>
        <v/>
      </c>
      <c r="J735" s="7" t="str">
        <f>IFERROR(INDEX('Master data'!$B$2:$CL$1000,MATCH($B735,'Master data'!$A$2:$A$1000,0),MATCH(J$1,'Master data'!$B$1:$CL$1,0)),"")</f>
        <v/>
      </c>
      <c r="K735" s="7" t="str">
        <f>IFERROR(INDEX('Master data'!$B$2:$CL$1000,MATCH($B735,'Master data'!$A$2:$A$1000,0),MATCH(K$1,'Master data'!$B$1:$CL$1,0)),"")</f>
        <v/>
      </c>
      <c r="L735" s="7" t="str">
        <f>IFERROR(INDEX('Master data'!$B$2:$CL$1000,MATCH($B735,'Master data'!$A$2:$A$1000,0),MATCH(L$1,'Master data'!$B$1:$CL$1,0)),"")</f>
        <v/>
      </c>
      <c r="M735" s="5" t="str">
        <f>IFERROR(INDEX('Master data'!$B$2:$CL$1000,MATCH($B735,'Master data'!$A$2:$A$1000,0),MATCH(M$1,'Master data'!$B$1:$CL$1,0)),"")</f>
        <v/>
      </c>
      <c r="N735" s="28" t="str">
        <f>IFERROR(INDEX('Master data'!$B$2:$CL$1000,MATCH($B735,'Master data'!$A$2:$A$1000,0),MATCH(N$1,'Master data'!$B$1:$CL$1,0)),"")</f>
        <v/>
      </c>
      <c r="O735" s="7" t="str">
        <f>IFERROR(INDEX('Master data'!$B$2:$CL$1000,MATCH($B735,'Master data'!$A$2:$A$1000,0),MATCH(O$1,'Master data'!$B$1:$CL$1,0)),"")</f>
        <v/>
      </c>
      <c r="P735" s="5" t="str">
        <f>IFERROR(INDEX('Master data'!$B$2:$CL$1000,MATCH($B735,'Master data'!$A$2:$A$1000,0),MATCH(P$1,'Master data'!$B$1:$CL$1,0)),"")</f>
        <v/>
      </c>
      <c r="Q735" s="5" t="str">
        <f>IFERROR(INDEX('Master data'!$B$2:$CL$1000,MATCH($B735,'Master data'!$A$2:$A$1000,0),MATCH(Q$1,'Master data'!$B$1:$CL$1,0)),"")</f>
        <v/>
      </c>
    </row>
    <row r="736" spans="1:17" hidden="1">
      <c r="A736" t="str">
        <f t="shared" si="11"/>
        <v/>
      </c>
      <c r="B736" t="str">
        <f>IF('Master data'!A736="","",'Master data'!A736)</f>
        <v/>
      </c>
      <c r="C736" t="str">
        <f>IFERROR(INDEX('Master data'!$B$2:$CL$1000,MATCH($B736,'Master data'!$A$2:$A$1000,0),MATCH(C$1,'Master data'!$B$1:$CL$1,0)),"")</f>
        <v/>
      </c>
      <c r="D736" t="str">
        <f>IFERROR(INDEX('Master data'!$B$2:$CL$1000,MATCH($B736,'Master data'!$A$2:$A$1000,0),MATCH(D$1,'Master data'!$B$1:$CL$1,0)),"")</f>
        <v/>
      </c>
      <c r="E736" s="5" t="str">
        <f>IFERROR(INDEX('Master data'!$B$2:$CL$1000,MATCH($B736,'Master data'!$A$2:$A$1000,0),MATCH(E$1,'Master data'!$B$1:$CL$1,0)),"")</f>
        <v/>
      </c>
      <c r="F736" s="7" t="str">
        <f>IFERROR(INDEX('Master data'!$B$2:$CL$1000,MATCH($B736,'Master data'!$A$2:$A$1000,0),MATCH(F$1,'Master data'!$B$1:$CL$1,0)),"")</f>
        <v/>
      </c>
      <c r="G736" s="7" t="str">
        <f>IFERROR(INDEX('Master data'!$B$2:$CL$1000,MATCH($B736,'Master data'!$A$2:$A$1000,0),MATCH(G$1,'Master data'!$B$1:$CL$1,0)),"")</f>
        <v/>
      </c>
      <c r="H736" s="7" t="str">
        <f>IFERROR(INDEX('Master data'!$B$2:$CL$1000,MATCH($B736,'Master data'!$A$2:$A$1000,0),MATCH(H$1,'Master data'!$B$1:$CL$1,0)),"")</f>
        <v/>
      </c>
      <c r="I736" s="7" t="str">
        <f>IFERROR(INDEX('Master data'!$B$2:$CL$1000,MATCH($B736,'Master data'!$A$2:$A$1000,0),MATCH(I$1,'Master data'!$B$1:$CL$1,0)),"")</f>
        <v/>
      </c>
      <c r="J736" s="7" t="str">
        <f>IFERROR(INDEX('Master data'!$B$2:$CL$1000,MATCH($B736,'Master data'!$A$2:$A$1000,0),MATCH(J$1,'Master data'!$B$1:$CL$1,0)),"")</f>
        <v/>
      </c>
      <c r="K736" s="7" t="str">
        <f>IFERROR(INDEX('Master data'!$B$2:$CL$1000,MATCH($B736,'Master data'!$A$2:$A$1000,0),MATCH(K$1,'Master data'!$B$1:$CL$1,0)),"")</f>
        <v/>
      </c>
      <c r="L736" s="7" t="str">
        <f>IFERROR(INDEX('Master data'!$B$2:$CL$1000,MATCH($B736,'Master data'!$A$2:$A$1000,0),MATCH(L$1,'Master data'!$B$1:$CL$1,0)),"")</f>
        <v/>
      </c>
      <c r="M736" s="5" t="str">
        <f>IFERROR(INDEX('Master data'!$B$2:$CL$1000,MATCH($B736,'Master data'!$A$2:$A$1000,0),MATCH(M$1,'Master data'!$B$1:$CL$1,0)),"")</f>
        <v/>
      </c>
      <c r="N736" s="28" t="str">
        <f>IFERROR(INDEX('Master data'!$B$2:$CL$1000,MATCH($B736,'Master data'!$A$2:$A$1000,0),MATCH(N$1,'Master data'!$B$1:$CL$1,0)),"")</f>
        <v/>
      </c>
      <c r="O736" s="7" t="str">
        <f>IFERROR(INDEX('Master data'!$B$2:$CL$1000,MATCH($B736,'Master data'!$A$2:$A$1000,0),MATCH(O$1,'Master data'!$B$1:$CL$1,0)),"")</f>
        <v/>
      </c>
      <c r="P736" s="5" t="str">
        <f>IFERROR(INDEX('Master data'!$B$2:$CL$1000,MATCH($B736,'Master data'!$A$2:$A$1000,0),MATCH(P$1,'Master data'!$B$1:$CL$1,0)),"")</f>
        <v/>
      </c>
      <c r="Q736" s="5" t="str">
        <f>IFERROR(INDEX('Master data'!$B$2:$CL$1000,MATCH($B736,'Master data'!$A$2:$A$1000,0),MATCH(Q$1,'Master data'!$B$1:$CL$1,0)),"")</f>
        <v/>
      </c>
    </row>
    <row r="737" spans="1:17" hidden="1">
      <c r="A737" t="str">
        <f t="shared" si="11"/>
        <v/>
      </c>
      <c r="B737" t="str">
        <f>IF('Master data'!A737="","",'Master data'!A737)</f>
        <v/>
      </c>
      <c r="C737" t="str">
        <f>IFERROR(INDEX('Master data'!$B$2:$CL$1000,MATCH($B737,'Master data'!$A$2:$A$1000,0),MATCH(C$1,'Master data'!$B$1:$CL$1,0)),"")</f>
        <v/>
      </c>
      <c r="D737" t="str">
        <f>IFERROR(INDEX('Master data'!$B$2:$CL$1000,MATCH($B737,'Master data'!$A$2:$A$1000,0),MATCH(D$1,'Master data'!$B$1:$CL$1,0)),"")</f>
        <v/>
      </c>
      <c r="E737" s="5" t="str">
        <f>IFERROR(INDEX('Master data'!$B$2:$CL$1000,MATCH($B737,'Master data'!$A$2:$A$1000,0),MATCH(E$1,'Master data'!$B$1:$CL$1,0)),"")</f>
        <v/>
      </c>
      <c r="F737" s="7" t="str">
        <f>IFERROR(INDEX('Master data'!$B$2:$CL$1000,MATCH($B737,'Master data'!$A$2:$A$1000,0),MATCH(F$1,'Master data'!$B$1:$CL$1,0)),"")</f>
        <v/>
      </c>
      <c r="G737" s="7" t="str">
        <f>IFERROR(INDEX('Master data'!$B$2:$CL$1000,MATCH($B737,'Master data'!$A$2:$A$1000,0),MATCH(G$1,'Master data'!$B$1:$CL$1,0)),"")</f>
        <v/>
      </c>
      <c r="H737" s="7" t="str">
        <f>IFERROR(INDEX('Master data'!$B$2:$CL$1000,MATCH($B737,'Master data'!$A$2:$A$1000,0),MATCH(H$1,'Master data'!$B$1:$CL$1,0)),"")</f>
        <v/>
      </c>
      <c r="I737" s="7" t="str">
        <f>IFERROR(INDEX('Master data'!$B$2:$CL$1000,MATCH($B737,'Master data'!$A$2:$A$1000,0),MATCH(I$1,'Master data'!$B$1:$CL$1,0)),"")</f>
        <v/>
      </c>
      <c r="J737" s="7" t="str">
        <f>IFERROR(INDEX('Master data'!$B$2:$CL$1000,MATCH($B737,'Master data'!$A$2:$A$1000,0),MATCH(J$1,'Master data'!$B$1:$CL$1,0)),"")</f>
        <v/>
      </c>
      <c r="K737" s="7" t="str">
        <f>IFERROR(INDEX('Master data'!$B$2:$CL$1000,MATCH($B737,'Master data'!$A$2:$A$1000,0),MATCH(K$1,'Master data'!$B$1:$CL$1,0)),"")</f>
        <v/>
      </c>
      <c r="L737" s="7" t="str">
        <f>IFERROR(INDEX('Master data'!$B$2:$CL$1000,MATCH($B737,'Master data'!$A$2:$A$1000,0),MATCH(L$1,'Master data'!$B$1:$CL$1,0)),"")</f>
        <v/>
      </c>
      <c r="M737" s="5" t="str">
        <f>IFERROR(INDEX('Master data'!$B$2:$CL$1000,MATCH($B737,'Master data'!$A$2:$A$1000,0),MATCH(M$1,'Master data'!$B$1:$CL$1,0)),"")</f>
        <v/>
      </c>
      <c r="N737" s="28" t="str">
        <f>IFERROR(INDEX('Master data'!$B$2:$CL$1000,MATCH($B737,'Master data'!$A$2:$A$1000,0),MATCH(N$1,'Master data'!$B$1:$CL$1,0)),"")</f>
        <v/>
      </c>
      <c r="O737" s="7" t="str">
        <f>IFERROR(INDEX('Master data'!$B$2:$CL$1000,MATCH($B737,'Master data'!$A$2:$A$1000,0),MATCH(O$1,'Master data'!$B$1:$CL$1,0)),"")</f>
        <v/>
      </c>
      <c r="P737" s="5" t="str">
        <f>IFERROR(INDEX('Master data'!$B$2:$CL$1000,MATCH($B737,'Master data'!$A$2:$A$1000,0),MATCH(P$1,'Master data'!$B$1:$CL$1,0)),"")</f>
        <v/>
      </c>
      <c r="Q737" s="5" t="str">
        <f>IFERROR(INDEX('Master data'!$B$2:$CL$1000,MATCH($B737,'Master data'!$A$2:$A$1000,0),MATCH(Q$1,'Master data'!$B$1:$CL$1,0)),"")</f>
        <v/>
      </c>
    </row>
    <row r="738" spans="1:17" hidden="1">
      <c r="A738" t="str">
        <f t="shared" si="11"/>
        <v/>
      </c>
      <c r="B738" t="str">
        <f>IF('Master data'!A738="","",'Master data'!A738)</f>
        <v/>
      </c>
      <c r="C738" t="str">
        <f>IFERROR(INDEX('Master data'!$B$2:$CL$1000,MATCH($B738,'Master data'!$A$2:$A$1000,0),MATCH(C$1,'Master data'!$B$1:$CL$1,0)),"")</f>
        <v/>
      </c>
      <c r="D738" t="str">
        <f>IFERROR(INDEX('Master data'!$B$2:$CL$1000,MATCH($B738,'Master data'!$A$2:$A$1000,0),MATCH(D$1,'Master data'!$B$1:$CL$1,0)),"")</f>
        <v/>
      </c>
      <c r="E738" s="5" t="str">
        <f>IFERROR(INDEX('Master data'!$B$2:$CL$1000,MATCH($B738,'Master data'!$A$2:$A$1000,0),MATCH(E$1,'Master data'!$B$1:$CL$1,0)),"")</f>
        <v/>
      </c>
      <c r="F738" s="7" t="str">
        <f>IFERROR(INDEX('Master data'!$B$2:$CL$1000,MATCH($B738,'Master data'!$A$2:$A$1000,0),MATCH(F$1,'Master data'!$B$1:$CL$1,0)),"")</f>
        <v/>
      </c>
      <c r="G738" s="7" t="str">
        <f>IFERROR(INDEX('Master data'!$B$2:$CL$1000,MATCH($B738,'Master data'!$A$2:$A$1000,0),MATCH(G$1,'Master data'!$B$1:$CL$1,0)),"")</f>
        <v/>
      </c>
      <c r="H738" s="7" t="str">
        <f>IFERROR(INDEX('Master data'!$B$2:$CL$1000,MATCH($B738,'Master data'!$A$2:$A$1000,0),MATCH(H$1,'Master data'!$B$1:$CL$1,0)),"")</f>
        <v/>
      </c>
      <c r="I738" s="7" t="str">
        <f>IFERROR(INDEX('Master data'!$B$2:$CL$1000,MATCH($B738,'Master data'!$A$2:$A$1000,0),MATCH(I$1,'Master data'!$B$1:$CL$1,0)),"")</f>
        <v/>
      </c>
      <c r="J738" s="7" t="str">
        <f>IFERROR(INDEX('Master data'!$B$2:$CL$1000,MATCH($B738,'Master data'!$A$2:$A$1000,0),MATCH(J$1,'Master data'!$B$1:$CL$1,0)),"")</f>
        <v/>
      </c>
      <c r="K738" s="7" t="str">
        <f>IFERROR(INDEX('Master data'!$B$2:$CL$1000,MATCH($B738,'Master data'!$A$2:$A$1000,0),MATCH(K$1,'Master data'!$B$1:$CL$1,0)),"")</f>
        <v/>
      </c>
      <c r="L738" s="7" t="str">
        <f>IFERROR(INDEX('Master data'!$B$2:$CL$1000,MATCH($B738,'Master data'!$A$2:$A$1000,0),MATCH(L$1,'Master data'!$B$1:$CL$1,0)),"")</f>
        <v/>
      </c>
      <c r="M738" s="5" t="str">
        <f>IFERROR(INDEX('Master data'!$B$2:$CL$1000,MATCH($B738,'Master data'!$A$2:$A$1000,0),MATCH(M$1,'Master data'!$B$1:$CL$1,0)),"")</f>
        <v/>
      </c>
      <c r="N738" s="28" t="str">
        <f>IFERROR(INDEX('Master data'!$B$2:$CL$1000,MATCH($B738,'Master data'!$A$2:$A$1000,0),MATCH(N$1,'Master data'!$B$1:$CL$1,0)),"")</f>
        <v/>
      </c>
      <c r="O738" s="7" t="str">
        <f>IFERROR(INDEX('Master data'!$B$2:$CL$1000,MATCH($B738,'Master data'!$A$2:$A$1000,0),MATCH(O$1,'Master data'!$B$1:$CL$1,0)),"")</f>
        <v/>
      </c>
      <c r="P738" s="5" t="str">
        <f>IFERROR(INDEX('Master data'!$B$2:$CL$1000,MATCH($B738,'Master data'!$A$2:$A$1000,0),MATCH(P$1,'Master data'!$B$1:$CL$1,0)),"")</f>
        <v/>
      </c>
      <c r="Q738" s="5" t="str">
        <f>IFERROR(INDEX('Master data'!$B$2:$CL$1000,MATCH($B738,'Master data'!$A$2:$A$1000,0),MATCH(Q$1,'Master data'!$B$1:$CL$1,0)),"")</f>
        <v/>
      </c>
    </row>
    <row r="739" spans="1:17" hidden="1">
      <c r="A739" t="str">
        <f t="shared" si="11"/>
        <v/>
      </c>
      <c r="B739" t="str">
        <f>IF('Master data'!A739="","",'Master data'!A739)</f>
        <v/>
      </c>
      <c r="C739" t="str">
        <f>IFERROR(INDEX('Master data'!$B$2:$CL$1000,MATCH($B739,'Master data'!$A$2:$A$1000,0),MATCH(C$1,'Master data'!$B$1:$CL$1,0)),"")</f>
        <v/>
      </c>
      <c r="D739" t="str">
        <f>IFERROR(INDEX('Master data'!$B$2:$CL$1000,MATCH($B739,'Master data'!$A$2:$A$1000,0),MATCH(D$1,'Master data'!$B$1:$CL$1,0)),"")</f>
        <v/>
      </c>
      <c r="E739" s="5" t="str">
        <f>IFERROR(INDEX('Master data'!$B$2:$CL$1000,MATCH($B739,'Master data'!$A$2:$A$1000,0),MATCH(E$1,'Master data'!$B$1:$CL$1,0)),"")</f>
        <v/>
      </c>
      <c r="F739" s="7" t="str">
        <f>IFERROR(INDEX('Master data'!$B$2:$CL$1000,MATCH($B739,'Master data'!$A$2:$A$1000,0),MATCH(F$1,'Master data'!$B$1:$CL$1,0)),"")</f>
        <v/>
      </c>
      <c r="G739" s="7" t="str">
        <f>IFERROR(INDEX('Master data'!$B$2:$CL$1000,MATCH($B739,'Master data'!$A$2:$A$1000,0),MATCH(G$1,'Master data'!$B$1:$CL$1,0)),"")</f>
        <v/>
      </c>
      <c r="H739" s="7" t="str">
        <f>IFERROR(INDEX('Master data'!$B$2:$CL$1000,MATCH($B739,'Master data'!$A$2:$A$1000,0),MATCH(H$1,'Master data'!$B$1:$CL$1,0)),"")</f>
        <v/>
      </c>
      <c r="I739" s="7" t="str">
        <f>IFERROR(INDEX('Master data'!$B$2:$CL$1000,MATCH($B739,'Master data'!$A$2:$A$1000,0),MATCH(I$1,'Master data'!$B$1:$CL$1,0)),"")</f>
        <v/>
      </c>
      <c r="J739" s="7" t="str">
        <f>IFERROR(INDEX('Master data'!$B$2:$CL$1000,MATCH($B739,'Master data'!$A$2:$A$1000,0),MATCH(J$1,'Master data'!$B$1:$CL$1,0)),"")</f>
        <v/>
      </c>
      <c r="K739" s="7" t="str">
        <f>IFERROR(INDEX('Master data'!$B$2:$CL$1000,MATCH($B739,'Master data'!$A$2:$A$1000,0),MATCH(K$1,'Master data'!$B$1:$CL$1,0)),"")</f>
        <v/>
      </c>
      <c r="L739" s="7" t="str">
        <f>IFERROR(INDEX('Master data'!$B$2:$CL$1000,MATCH($B739,'Master data'!$A$2:$A$1000,0),MATCH(L$1,'Master data'!$B$1:$CL$1,0)),"")</f>
        <v/>
      </c>
      <c r="M739" s="5" t="str">
        <f>IFERROR(INDEX('Master data'!$B$2:$CL$1000,MATCH($B739,'Master data'!$A$2:$A$1000,0),MATCH(M$1,'Master data'!$B$1:$CL$1,0)),"")</f>
        <v/>
      </c>
      <c r="N739" s="28" t="str">
        <f>IFERROR(INDEX('Master data'!$B$2:$CL$1000,MATCH($B739,'Master data'!$A$2:$A$1000,0),MATCH(N$1,'Master data'!$B$1:$CL$1,0)),"")</f>
        <v/>
      </c>
      <c r="O739" s="7" t="str">
        <f>IFERROR(INDEX('Master data'!$B$2:$CL$1000,MATCH($B739,'Master data'!$A$2:$A$1000,0),MATCH(O$1,'Master data'!$B$1:$CL$1,0)),"")</f>
        <v/>
      </c>
      <c r="P739" s="5" t="str">
        <f>IFERROR(INDEX('Master data'!$B$2:$CL$1000,MATCH($B739,'Master data'!$A$2:$A$1000,0),MATCH(P$1,'Master data'!$B$1:$CL$1,0)),"")</f>
        <v/>
      </c>
      <c r="Q739" s="5" t="str">
        <f>IFERROR(INDEX('Master data'!$B$2:$CL$1000,MATCH($B739,'Master data'!$A$2:$A$1000,0),MATCH(Q$1,'Master data'!$B$1:$CL$1,0)),"")</f>
        <v/>
      </c>
    </row>
    <row r="740" spans="1:17" hidden="1">
      <c r="A740" t="str">
        <f t="shared" si="11"/>
        <v/>
      </c>
      <c r="B740" t="str">
        <f>IF('Master data'!A740="","",'Master data'!A740)</f>
        <v/>
      </c>
      <c r="C740" t="str">
        <f>IFERROR(INDEX('Master data'!$B$2:$CL$1000,MATCH($B740,'Master data'!$A$2:$A$1000,0),MATCH(C$1,'Master data'!$B$1:$CL$1,0)),"")</f>
        <v/>
      </c>
      <c r="D740" t="str">
        <f>IFERROR(INDEX('Master data'!$B$2:$CL$1000,MATCH($B740,'Master data'!$A$2:$A$1000,0),MATCH(D$1,'Master data'!$B$1:$CL$1,0)),"")</f>
        <v/>
      </c>
      <c r="E740" s="5" t="str">
        <f>IFERROR(INDEX('Master data'!$B$2:$CL$1000,MATCH($B740,'Master data'!$A$2:$A$1000,0),MATCH(E$1,'Master data'!$B$1:$CL$1,0)),"")</f>
        <v/>
      </c>
      <c r="F740" s="7" t="str">
        <f>IFERROR(INDEX('Master data'!$B$2:$CL$1000,MATCH($B740,'Master data'!$A$2:$A$1000,0),MATCH(F$1,'Master data'!$B$1:$CL$1,0)),"")</f>
        <v/>
      </c>
      <c r="G740" s="7" t="str">
        <f>IFERROR(INDEX('Master data'!$B$2:$CL$1000,MATCH($B740,'Master data'!$A$2:$A$1000,0),MATCH(G$1,'Master data'!$B$1:$CL$1,0)),"")</f>
        <v/>
      </c>
      <c r="H740" s="7" t="str">
        <f>IFERROR(INDEX('Master data'!$B$2:$CL$1000,MATCH($B740,'Master data'!$A$2:$A$1000,0),MATCH(H$1,'Master data'!$B$1:$CL$1,0)),"")</f>
        <v/>
      </c>
      <c r="I740" s="7" t="str">
        <f>IFERROR(INDEX('Master data'!$B$2:$CL$1000,MATCH($B740,'Master data'!$A$2:$A$1000,0),MATCH(I$1,'Master data'!$B$1:$CL$1,0)),"")</f>
        <v/>
      </c>
      <c r="J740" s="7" t="str">
        <f>IFERROR(INDEX('Master data'!$B$2:$CL$1000,MATCH($B740,'Master data'!$A$2:$A$1000,0),MATCH(J$1,'Master data'!$B$1:$CL$1,0)),"")</f>
        <v/>
      </c>
      <c r="K740" s="7" t="str">
        <f>IFERROR(INDEX('Master data'!$B$2:$CL$1000,MATCH($B740,'Master data'!$A$2:$A$1000,0),MATCH(K$1,'Master data'!$B$1:$CL$1,0)),"")</f>
        <v/>
      </c>
      <c r="L740" s="7" t="str">
        <f>IFERROR(INDEX('Master data'!$B$2:$CL$1000,MATCH($B740,'Master data'!$A$2:$A$1000,0),MATCH(L$1,'Master data'!$B$1:$CL$1,0)),"")</f>
        <v/>
      </c>
      <c r="M740" s="5" t="str">
        <f>IFERROR(INDEX('Master data'!$B$2:$CL$1000,MATCH($B740,'Master data'!$A$2:$A$1000,0),MATCH(M$1,'Master data'!$B$1:$CL$1,0)),"")</f>
        <v/>
      </c>
      <c r="N740" s="28" t="str">
        <f>IFERROR(INDEX('Master data'!$B$2:$CL$1000,MATCH($B740,'Master data'!$A$2:$A$1000,0),MATCH(N$1,'Master data'!$B$1:$CL$1,0)),"")</f>
        <v/>
      </c>
      <c r="O740" s="7" t="str">
        <f>IFERROR(INDEX('Master data'!$B$2:$CL$1000,MATCH($B740,'Master data'!$A$2:$A$1000,0),MATCH(O$1,'Master data'!$B$1:$CL$1,0)),"")</f>
        <v/>
      </c>
      <c r="P740" s="5" t="str">
        <f>IFERROR(INDEX('Master data'!$B$2:$CL$1000,MATCH($B740,'Master data'!$A$2:$A$1000,0),MATCH(P$1,'Master data'!$B$1:$CL$1,0)),"")</f>
        <v/>
      </c>
      <c r="Q740" s="5" t="str">
        <f>IFERROR(INDEX('Master data'!$B$2:$CL$1000,MATCH($B740,'Master data'!$A$2:$A$1000,0),MATCH(Q$1,'Master data'!$B$1:$CL$1,0)),"")</f>
        <v/>
      </c>
    </row>
    <row r="741" spans="1:17" hidden="1">
      <c r="A741" t="str">
        <f t="shared" si="11"/>
        <v/>
      </c>
      <c r="B741" t="str">
        <f>IF('Master data'!A741="","",'Master data'!A741)</f>
        <v/>
      </c>
      <c r="C741" t="str">
        <f>IFERROR(INDEX('Master data'!$B$2:$CL$1000,MATCH($B741,'Master data'!$A$2:$A$1000,0),MATCH(C$1,'Master data'!$B$1:$CL$1,0)),"")</f>
        <v/>
      </c>
      <c r="D741" t="str">
        <f>IFERROR(INDEX('Master data'!$B$2:$CL$1000,MATCH($B741,'Master data'!$A$2:$A$1000,0),MATCH(D$1,'Master data'!$B$1:$CL$1,0)),"")</f>
        <v/>
      </c>
      <c r="E741" s="5" t="str">
        <f>IFERROR(INDEX('Master data'!$B$2:$CL$1000,MATCH($B741,'Master data'!$A$2:$A$1000,0),MATCH(E$1,'Master data'!$B$1:$CL$1,0)),"")</f>
        <v/>
      </c>
      <c r="F741" s="7" t="str">
        <f>IFERROR(INDEX('Master data'!$B$2:$CL$1000,MATCH($B741,'Master data'!$A$2:$A$1000,0),MATCH(F$1,'Master data'!$B$1:$CL$1,0)),"")</f>
        <v/>
      </c>
      <c r="G741" s="7" t="str">
        <f>IFERROR(INDEX('Master data'!$B$2:$CL$1000,MATCH($B741,'Master data'!$A$2:$A$1000,0),MATCH(G$1,'Master data'!$B$1:$CL$1,0)),"")</f>
        <v/>
      </c>
      <c r="H741" s="7" t="str">
        <f>IFERROR(INDEX('Master data'!$B$2:$CL$1000,MATCH($B741,'Master data'!$A$2:$A$1000,0),MATCH(H$1,'Master data'!$B$1:$CL$1,0)),"")</f>
        <v/>
      </c>
      <c r="I741" s="7" t="str">
        <f>IFERROR(INDEX('Master data'!$B$2:$CL$1000,MATCH($B741,'Master data'!$A$2:$A$1000,0),MATCH(I$1,'Master data'!$B$1:$CL$1,0)),"")</f>
        <v/>
      </c>
      <c r="J741" s="7" t="str">
        <f>IFERROR(INDEX('Master data'!$B$2:$CL$1000,MATCH($B741,'Master data'!$A$2:$A$1000,0),MATCH(J$1,'Master data'!$B$1:$CL$1,0)),"")</f>
        <v/>
      </c>
      <c r="K741" s="7" t="str">
        <f>IFERROR(INDEX('Master data'!$B$2:$CL$1000,MATCH($B741,'Master data'!$A$2:$A$1000,0),MATCH(K$1,'Master data'!$B$1:$CL$1,0)),"")</f>
        <v/>
      </c>
      <c r="L741" s="7" t="str">
        <f>IFERROR(INDEX('Master data'!$B$2:$CL$1000,MATCH($B741,'Master data'!$A$2:$A$1000,0),MATCH(L$1,'Master data'!$B$1:$CL$1,0)),"")</f>
        <v/>
      </c>
      <c r="M741" s="5" t="str">
        <f>IFERROR(INDEX('Master data'!$B$2:$CL$1000,MATCH($B741,'Master data'!$A$2:$A$1000,0),MATCH(M$1,'Master data'!$B$1:$CL$1,0)),"")</f>
        <v/>
      </c>
      <c r="N741" s="28" t="str">
        <f>IFERROR(INDEX('Master data'!$B$2:$CL$1000,MATCH($B741,'Master data'!$A$2:$A$1000,0),MATCH(N$1,'Master data'!$B$1:$CL$1,0)),"")</f>
        <v/>
      </c>
      <c r="O741" s="7" t="str">
        <f>IFERROR(INDEX('Master data'!$B$2:$CL$1000,MATCH($B741,'Master data'!$A$2:$A$1000,0),MATCH(O$1,'Master data'!$B$1:$CL$1,0)),"")</f>
        <v/>
      </c>
      <c r="P741" s="5" t="str">
        <f>IFERROR(INDEX('Master data'!$B$2:$CL$1000,MATCH($B741,'Master data'!$A$2:$A$1000,0),MATCH(P$1,'Master data'!$B$1:$CL$1,0)),"")</f>
        <v/>
      </c>
      <c r="Q741" s="5" t="str">
        <f>IFERROR(INDEX('Master data'!$B$2:$CL$1000,MATCH($B741,'Master data'!$A$2:$A$1000,0),MATCH(Q$1,'Master data'!$B$1:$CL$1,0)),"")</f>
        <v/>
      </c>
    </row>
    <row r="742" spans="1:17" hidden="1">
      <c r="A742" t="str">
        <f t="shared" si="11"/>
        <v/>
      </c>
      <c r="B742" t="str">
        <f>IF('Master data'!A742="","",'Master data'!A742)</f>
        <v/>
      </c>
      <c r="C742" t="str">
        <f>IFERROR(INDEX('Master data'!$B$2:$CL$1000,MATCH($B742,'Master data'!$A$2:$A$1000,0),MATCH(C$1,'Master data'!$B$1:$CL$1,0)),"")</f>
        <v/>
      </c>
      <c r="D742" t="str">
        <f>IFERROR(INDEX('Master data'!$B$2:$CL$1000,MATCH($B742,'Master data'!$A$2:$A$1000,0),MATCH(D$1,'Master data'!$B$1:$CL$1,0)),"")</f>
        <v/>
      </c>
      <c r="E742" s="5" t="str">
        <f>IFERROR(INDEX('Master data'!$B$2:$CL$1000,MATCH($B742,'Master data'!$A$2:$A$1000,0),MATCH(E$1,'Master data'!$B$1:$CL$1,0)),"")</f>
        <v/>
      </c>
      <c r="F742" s="7" t="str">
        <f>IFERROR(INDEX('Master data'!$B$2:$CL$1000,MATCH($B742,'Master data'!$A$2:$A$1000,0),MATCH(F$1,'Master data'!$B$1:$CL$1,0)),"")</f>
        <v/>
      </c>
      <c r="G742" s="7" t="str">
        <f>IFERROR(INDEX('Master data'!$B$2:$CL$1000,MATCH($B742,'Master data'!$A$2:$A$1000,0),MATCH(G$1,'Master data'!$B$1:$CL$1,0)),"")</f>
        <v/>
      </c>
      <c r="H742" s="7" t="str">
        <f>IFERROR(INDEX('Master data'!$B$2:$CL$1000,MATCH($B742,'Master data'!$A$2:$A$1000,0),MATCH(H$1,'Master data'!$B$1:$CL$1,0)),"")</f>
        <v/>
      </c>
      <c r="I742" s="7" t="str">
        <f>IFERROR(INDEX('Master data'!$B$2:$CL$1000,MATCH($B742,'Master data'!$A$2:$A$1000,0),MATCH(I$1,'Master data'!$B$1:$CL$1,0)),"")</f>
        <v/>
      </c>
      <c r="J742" s="7" t="str">
        <f>IFERROR(INDEX('Master data'!$B$2:$CL$1000,MATCH($B742,'Master data'!$A$2:$A$1000,0),MATCH(J$1,'Master data'!$B$1:$CL$1,0)),"")</f>
        <v/>
      </c>
      <c r="K742" s="7" t="str">
        <f>IFERROR(INDEX('Master data'!$B$2:$CL$1000,MATCH($B742,'Master data'!$A$2:$A$1000,0),MATCH(K$1,'Master data'!$B$1:$CL$1,0)),"")</f>
        <v/>
      </c>
      <c r="L742" s="7" t="str">
        <f>IFERROR(INDEX('Master data'!$B$2:$CL$1000,MATCH($B742,'Master data'!$A$2:$A$1000,0),MATCH(L$1,'Master data'!$B$1:$CL$1,0)),"")</f>
        <v/>
      </c>
      <c r="M742" s="5" t="str">
        <f>IFERROR(INDEX('Master data'!$B$2:$CL$1000,MATCH($B742,'Master data'!$A$2:$A$1000,0),MATCH(M$1,'Master data'!$B$1:$CL$1,0)),"")</f>
        <v/>
      </c>
      <c r="N742" s="28" t="str">
        <f>IFERROR(INDEX('Master data'!$B$2:$CL$1000,MATCH($B742,'Master data'!$A$2:$A$1000,0),MATCH(N$1,'Master data'!$B$1:$CL$1,0)),"")</f>
        <v/>
      </c>
      <c r="O742" s="7" t="str">
        <f>IFERROR(INDEX('Master data'!$B$2:$CL$1000,MATCH($B742,'Master data'!$A$2:$A$1000,0),MATCH(O$1,'Master data'!$B$1:$CL$1,0)),"")</f>
        <v/>
      </c>
      <c r="P742" s="5" t="str">
        <f>IFERROR(INDEX('Master data'!$B$2:$CL$1000,MATCH($B742,'Master data'!$A$2:$A$1000,0),MATCH(P$1,'Master data'!$B$1:$CL$1,0)),"")</f>
        <v/>
      </c>
      <c r="Q742" s="5" t="str">
        <f>IFERROR(INDEX('Master data'!$B$2:$CL$1000,MATCH($B742,'Master data'!$A$2:$A$1000,0),MATCH(Q$1,'Master data'!$B$1:$CL$1,0)),"")</f>
        <v/>
      </c>
    </row>
    <row r="743" spans="1:17" hidden="1">
      <c r="A743" t="str">
        <f t="shared" si="11"/>
        <v/>
      </c>
      <c r="B743" t="str">
        <f>IF('Master data'!A743="","",'Master data'!A743)</f>
        <v/>
      </c>
      <c r="C743" t="str">
        <f>IFERROR(INDEX('Master data'!$B$2:$CL$1000,MATCH($B743,'Master data'!$A$2:$A$1000,0),MATCH(C$1,'Master data'!$B$1:$CL$1,0)),"")</f>
        <v/>
      </c>
      <c r="D743" t="str">
        <f>IFERROR(INDEX('Master data'!$B$2:$CL$1000,MATCH($B743,'Master data'!$A$2:$A$1000,0),MATCH(D$1,'Master data'!$B$1:$CL$1,0)),"")</f>
        <v/>
      </c>
      <c r="E743" s="5" t="str">
        <f>IFERROR(INDEX('Master data'!$B$2:$CL$1000,MATCH($B743,'Master data'!$A$2:$A$1000,0),MATCH(E$1,'Master data'!$B$1:$CL$1,0)),"")</f>
        <v/>
      </c>
      <c r="F743" s="7" t="str">
        <f>IFERROR(INDEX('Master data'!$B$2:$CL$1000,MATCH($B743,'Master data'!$A$2:$A$1000,0),MATCH(F$1,'Master data'!$B$1:$CL$1,0)),"")</f>
        <v/>
      </c>
      <c r="G743" s="7" t="str">
        <f>IFERROR(INDEX('Master data'!$B$2:$CL$1000,MATCH($B743,'Master data'!$A$2:$A$1000,0),MATCH(G$1,'Master data'!$B$1:$CL$1,0)),"")</f>
        <v/>
      </c>
      <c r="H743" s="7" t="str">
        <f>IFERROR(INDEX('Master data'!$B$2:$CL$1000,MATCH($B743,'Master data'!$A$2:$A$1000,0),MATCH(H$1,'Master data'!$B$1:$CL$1,0)),"")</f>
        <v/>
      </c>
      <c r="I743" s="7" t="str">
        <f>IFERROR(INDEX('Master data'!$B$2:$CL$1000,MATCH($B743,'Master data'!$A$2:$A$1000,0),MATCH(I$1,'Master data'!$B$1:$CL$1,0)),"")</f>
        <v/>
      </c>
      <c r="J743" s="7" t="str">
        <f>IFERROR(INDEX('Master data'!$B$2:$CL$1000,MATCH($B743,'Master data'!$A$2:$A$1000,0),MATCH(J$1,'Master data'!$B$1:$CL$1,0)),"")</f>
        <v/>
      </c>
      <c r="K743" s="7" t="str">
        <f>IFERROR(INDEX('Master data'!$B$2:$CL$1000,MATCH($B743,'Master data'!$A$2:$A$1000,0),MATCH(K$1,'Master data'!$B$1:$CL$1,0)),"")</f>
        <v/>
      </c>
      <c r="L743" s="7" t="str">
        <f>IFERROR(INDEX('Master data'!$B$2:$CL$1000,MATCH($B743,'Master data'!$A$2:$A$1000,0),MATCH(L$1,'Master data'!$B$1:$CL$1,0)),"")</f>
        <v/>
      </c>
      <c r="M743" s="5" t="str">
        <f>IFERROR(INDEX('Master data'!$B$2:$CL$1000,MATCH($B743,'Master data'!$A$2:$A$1000,0),MATCH(M$1,'Master data'!$B$1:$CL$1,0)),"")</f>
        <v/>
      </c>
      <c r="N743" s="28" t="str">
        <f>IFERROR(INDEX('Master data'!$B$2:$CL$1000,MATCH($B743,'Master data'!$A$2:$A$1000,0),MATCH(N$1,'Master data'!$B$1:$CL$1,0)),"")</f>
        <v/>
      </c>
      <c r="O743" s="7" t="str">
        <f>IFERROR(INDEX('Master data'!$B$2:$CL$1000,MATCH($B743,'Master data'!$A$2:$A$1000,0),MATCH(O$1,'Master data'!$B$1:$CL$1,0)),"")</f>
        <v/>
      </c>
      <c r="P743" s="5" t="str">
        <f>IFERROR(INDEX('Master data'!$B$2:$CL$1000,MATCH($B743,'Master data'!$A$2:$A$1000,0),MATCH(P$1,'Master data'!$B$1:$CL$1,0)),"")</f>
        <v/>
      </c>
      <c r="Q743" s="5" t="str">
        <f>IFERROR(INDEX('Master data'!$B$2:$CL$1000,MATCH($B743,'Master data'!$A$2:$A$1000,0),MATCH(Q$1,'Master data'!$B$1:$CL$1,0)),"")</f>
        <v/>
      </c>
    </row>
    <row r="744" spans="1:17" hidden="1">
      <c r="A744" t="str">
        <f t="shared" si="11"/>
        <v/>
      </c>
      <c r="B744" t="str">
        <f>IF('Master data'!A744="","",'Master data'!A744)</f>
        <v/>
      </c>
      <c r="C744" t="str">
        <f>IFERROR(INDEX('Master data'!$B$2:$CL$1000,MATCH($B744,'Master data'!$A$2:$A$1000,0),MATCH(C$1,'Master data'!$B$1:$CL$1,0)),"")</f>
        <v/>
      </c>
      <c r="D744" t="str">
        <f>IFERROR(INDEX('Master data'!$B$2:$CL$1000,MATCH($B744,'Master data'!$A$2:$A$1000,0),MATCH(D$1,'Master data'!$B$1:$CL$1,0)),"")</f>
        <v/>
      </c>
      <c r="E744" s="5" t="str">
        <f>IFERROR(INDEX('Master data'!$B$2:$CL$1000,MATCH($B744,'Master data'!$A$2:$A$1000,0),MATCH(E$1,'Master data'!$B$1:$CL$1,0)),"")</f>
        <v/>
      </c>
      <c r="F744" s="7" t="str">
        <f>IFERROR(INDEX('Master data'!$B$2:$CL$1000,MATCH($B744,'Master data'!$A$2:$A$1000,0),MATCH(F$1,'Master data'!$B$1:$CL$1,0)),"")</f>
        <v/>
      </c>
      <c r="G744" s="7" t="str">
        <f>IFERROR(INDEX('Master data'!$B$2:$CL$1000,MATCH($B744,'Master data'!$A$2:$A$1000,0),MATCH(G$1,'Master data'!$B$1:$CL$1,0)),"")</f>
        <v/>
      </c>
      <c r="H744" s="7" t="str">
        <f>IFERROR(INDEX('Master data'!$B$2:$CL$1000,MATCH($B744,'Master data'!$A$2:$A$1000,0),MATCH(H$1,'Master data'!$B$1:$CL$1,0)),"")</f>
        <v/>
      </c>
      <c r="I744" s="7" t="str">
        <f>IFERROR(INDEX('Master data'!$B$2:$CL$1000,MATCH($B744,'Master data'!$A$2:$A$1000,0),MATCH(I$1,'Master data'!$B$1:$CL$1,0)),"")</f>
        <v/>
      </c>
      <c r="J744" s="7" t="str">
        <f>IFERROR(INDEX('Master data'!$B$2:$CL$1000,MATCH($B744,'Master data'!$A$2:$A$1000,0),MATCH(J$1,'Master data'!$B$1:$CL$1,0)),"")</f>
        <v/>
      </c>
      <c r="K744" s="7" t="str">
        <f>IFERROR(INDEX('Master data'!$B$2:$CL$1000,MATCH($B744,'Master data'!$A$2:$A$1000,0),MATCH(K$1,'Master data'!$B$1:$CL$1,0)),"")</f>
        <v/>
      </c>
      <c r="L744" s="7" t="str">
        <f>IFERROR(INDEX('Master data'!$B$2:$CL$1000,MATCH($B744,'Master data'!$A$2:$A$1000,0),MATCH(L$1,'Master data'!$B$1:$CL$1,0)),"")</f>
        <v/>
      </c>
      <c r="M744" s="5" t="str">
        <f>IFERROR(INDEX('Master data'!$B$2:$CL$1000,MATCH($B744,'Master data'!$A$2:$A$1000,0),MATCH(M$1,'Master data'!$B$1:$CL$1,0)),"")</f>
        <v/>
      </c>
      <c r="N744" s="28" t="str">
        <f>IFERROR(INDEX('Master data'!$B$2:$CL$1000,MATCH($B744,'Master data'!$A$2:$A$1000,0),MATCH(N$1,'Master data'!$B$1:$CL$1,0)),"")</f>
        <v/>
      </c>
      <c r="O744" s="7" t="str">
        <f>IFERROR(INDEX('Master data'!$B$2:$CL$1000,MATCH($B744,'Master data'!$A$2:$A$1000,0),MATCH(O$1,'Master data'!$B$1:$CL$1,0)),"")</f>
        <v/>
      </c>
      <c r="P744" s="5" t="str">
        <f>IFERROR(INDEX('Master data'!$B$2:$CL$1000,MATCH($B744,'Master data'!$A$2:$A$1000,0),MATCH(P$1,'Master data'!$B$1:$CL$1,0)),"")</f>
        <v/>
      </c>
      <c r="Q744" s="5" t="str">
        <f>IFERROR(INDEX('Master data'!$B$2:$CL$1000,MATCH($B744,'Master data'!$A$2:$A$1000,0),MATCH(Q$1,'Master data'!$B$1:$CL$1,0)),"")</f>
        <v/>
      </c>
    </row>
    <row r="745" spans="1:17" hidden="1">
      <c r="A745" t="str">
        <f t="shared" si="11"/>
        <v/>
      </c>
      <c r="B745" t="str">
        <f>IF('Master data'!A745="","",'Master data'!A745)</f>
        <v/>
      </c>
      <c r="C745" t="str">
        <f>IFERROR(INDEX('Master data'!$B$2:$CL$1000,MATCH($B745,'Master data'!$A$2:$A$1000,0),MATCH(C$1,'Master data'!$B$1:$CL$1,0)),"")</f>
        <v/>
      </c>
      <c r="D745" t="str">
        <f>IFERROR(INDEX('Master data'!$B$2:$CL$1000,MATCH($B745,'Master data'!$A$2:$A$1000,0),MATCH(D$1,'Master data'!$B$1:$CL$1,0)),"")</f>
        <v/>
      </c>
      <c r="E745" s="5" t="str">
        <f>IFERROR(INDEX('Master data'!$B$2:$CL$1000,MATCH($B745,'Master data'!$A$2:$A$1000,0),MATCH(E$1,'Master data'!$B$1:$CL$1,0)),"")</f>
        <v/>
      </c>
      <c r="F745" s="7" t="str">
        <f>IFERROR(INDEX('Master data'!$B$2:$CL$1000,MATCH($B745,'Master data'!$A$2:$A$1000,0),MATCH(F$1,'Master data'!$B$1:$CL$1,0)),"")</f>
        <v/>
      </c>
      <c r="G745" s="7" t="str">
        <f>IFERROR(INDEX('Master data'!$B$2:$CL$1000,MATCH($B745,'Master data'!$A$2:$A$1000,0),MATCH(G$1,'Master data'!$B$1:$CL$1,0)),"")</f>
        <v/>
      </c>
      <c r="H745" s="7" t="str">
        <f>IFERROR(INDEX('Master data'!$B$2:$CL$1000,MATCH($B745,'Master data'!$A$2:$A$1000,0),MATCH(H$1,'Master data'!$B$1:$CL$1,0)),"")</f>
        <v/>
      </c>
      <c r="I745" s="7" t="str">
        <f>IFERROR(INDEX('Master data'!$B$2:$CL$1000,MATCH($B745,'Master data'!$A$2:$A$1000,0),MATCH(I$1,'Master data'!$B$1:$CL$1,0)),"")</f>
        <v/>
      </c>
      <c r="J745" s="7" t="str">
        <f>IFERROR(INDEX('Master data'!$B$2:$CL$1000,MATCH($B745,'Master data'!$A$2:$A$1000,0),MATCH(J$1,'Master data'!$B$1:$CL$1,0)),"")</f>
        <v/>
      </c>
      <c r="K745" s="7" t="str">
        <f>IFERROR(INDEX('Master data'!$B$2:$CL$1000,MATCH($B745,'Master data'!$A$2:$A$1000,0),MATCH(K$1,'Master data'!$B$1:$CL$1,0)),"")</f>
        <v/>
      </c>
      <c r="L745" s="7" t="str">
        <f>IFERROR(INDEX('Master data'!$B$2:$CL$1000,MATCH($B745,'Master data'!$A$2:$A$1000,0),MATCH(L$1,'Master data'!$B$1:$CL$1,0)),"")</f>
        <v/>
      </c>
      <c r="M745" s="5" t="str">
        <f>IFERROR(INDEX('Master data'!$B$2:$CL$1000,MATCH($B745,'Master data'!$A$2:$A$1000,0),MATCH(M$1,'Master data'!$B$1:$CL$1,0)),"")</f>
        <v/>
      </c>
      <c r="N745" s="28" t="str">
        <f>IFERROR(INDEX('Master data'!$B$2:$CL$1000,MATCH($B745,'Master data'!$A$2:$A$1000,0),MATCH(N$1,'Master data'!$B$1:$CL$1,0)),"")</f>
        <v/>
      </c>
      <c r="O745" s="7" t="str">
        <f>IFERROR(INDEX('Master data'!$B$2:$CL$1000,MATCH($B745,'Master data'!$A$2:$A$1000,0),MATCH(O$1,'Master data'!$B$1:$CL$1,0)),"")</f>
        <v/>
      </c>
      <c r="P745" s="5" t="str">
        <f>IFERROR(INDEX('Master data'!$B$2:$CL$1000,MATCH($B745,'Master data'!$A$2:$A$1000,0),MATCH(P$1,'Master data'!$B$1:$CL$1,0)),"")</f>
        <v/>
      </c>
      <c r="Q745" s="5" t="str">
        <f>IFERROR(INDEX('Master data'!$B$2:$CL$1000,MATCH($B745,'Master data'!$A$2:$A$1000,0),MATCH(Q$1,'Master data'!$B$1:$CL$1,0)),"")</f>
        <v/>
      </c>
    </row>
    <row r="746" spans="1:17" hidden="1">
      <c r="A746" t="str">
        <f t="shared" si="11"/>
        <v/>
      </c>
      <c r="B746" t="str">
        <f>IF('Master data'!A746="","",'Master data'!A746)</f>
        <v/>
      </c>
      <c r="C746" t="str">
        <f>IFERROR(INDEX('Master data'!$B$2:$CL$1000,MATCH($B746,'Master data'!$A$2:$A$1000,0),MATCH(C$1,'Master data'!$B$1:$CL$1,0)),"")</f>
        <v/>
      </c>
      <c r="D746" t="str">
        <f>IFERROR(INDEX('Master data'!$B$2:$CL$1000,MATCH($B746,'Master data'!$A$2:$A$1000,0),MATCH(D$1,'Master data'!$B$1:$CL$1,0)),"")</f>
        <v/>
      </c>
      <c r="E746" s="5" t="str">
        <f>IFERROR(INDEX('Master data'!$B$2:$CL$1000,MATCH($B746,'Master data'!$A$2:$A$1000,0),MATCH(E$1,'Master data'!$B$1:$CL$1,0)),"")</f>
        <v/>
      </c>
      <c r="F746" s="7" t="str">
        <f>IFERROR(INDEX('Master data'!$B$2:$CL$1000,MATCH($B746,'Master data'!$A$2:$A$1000,0),MATCH(F$1,'Master data'!$B$1:$CL$1,0)),"")</f>
        <v/>
      </c>
      <c r="G746" s="7" t="str">
        <f>IFERROR(INDEX('Master data'!$B$2:$CL$1000,MATCH($B746,'Master data'!$A$2:$A$1000,0),MATCH(G$1,'Master data'!$B$1:$CL$1,0)),"")</f>
        <v/>
      </c>
      <c r="H746" s="7" t="str">
        <f>IFERROR(INDEX('Master data'!$B$2:$CL$1000,MATCH($B746,'Master data'!$A$2:$A$1000,0),MATCH(H$1,'Master data'!$B$1:$CL$1,0)),"")</f>
        <v/>
      </c>
      <c r="I746" s="7" t="str">
        <f>IFERROR(INDEX('Master data'!$B$2:$CL$1000,MATCH($B746,'Master data'!$A$2:$A$1000,0),MATCH(I$1,'Master data'!$B$1:$CL$1,0)),"")</f>
        <v/>
      </c>
      <c r="J746" s="7" t="str">
        <f>IFERROR(INDEX('Master data'!$B$2:$CL$1000,MATCH($B746,'Master data'!$A$2:$A$1000,0),MATCH(J$1,'Master data'!$B$1:$CL$1,0)),"")</f>
        <v/>
      </c>
      <c r="K746" s="7" t="str">
        <f>IFERROR(INDEX('Master data'!$B$2:$CL$1000,MATCH($B746,'Master data'!$A$2:$A$1000,0),MATCH(K$1,'Master data'!$B$1:$CL$1,0)),"")</f>
        <v/>
      </c>
      <c r="L746" s="7" t="str">
        <f>IFERROR(INDEX('Master data'!$B$2:$CL$1000,MATCH($B746,'Master data'!$A$2:$A$1000,0),MATCH(L$1,'Master data'!$B$1:$CL$1,0)),"")</f>
        <v/>
      </c>
      <c r="M746" s="5" t="str">
        <f>IFERROR(INDEX('Master data'!$B$2:$CL$1000,MATCH($B746,'Master data'!$A$2:$A$1000,0),MATCH(M$1,'Master data'!$B$1:$CL$1,0)),"")</f>
        <v/>
      </c>
      <c r="N746" s="28" t="str">
        <f>IFERROR(INDEX('Master data'!$B$2:$CL$1000,MATCH($B746,'Master data'!$A$2:$A$1000,0),MATCH(N$1,'Master data'!$B$1:$CL$1,0)),"")</f>
        <v/>
      </c>
      <c r="O746" s="7" t="str">
        <f>IFERROR(INDEX('Master data'!$B$2:$CL$1000,MATCH($B746,'Master data'!$A$2:$A$1000,0),MATCH(O$1,'Master data'!$B$1:$CL$1,0)),"")</f>
        <v/>
      </c>
      <c r="P746" s="5" t="str">
        <f>IFERROR(INDEX('Master data'!$B$2:$CL$1000,MATCH($B746,'Master data'!$A$2:$A$1000,0),MATCH(P$1,'Master data'!$B$1:$CL$1,0)),"")</f>
        <v/>
      </c>
      <c r="Q746" s="5" t="str">
        <f>IFERROR(INDEX('Master data'!$B$2:$CL$1000,MATCH($B746,'Master data'!$A$2:$A$1000,0),MATCH(Q$1,'Master data'!$B$1:$CL$1,0)),"")</f>
        <v/>
      </c>
    </row>
    <row r="747" spans="1:17" hidden="1">
      <c r="A747" t="str">
        <f t="shared" si="11"/>
        <v/>
      </c>
      <c r="B747" t="str">
        <f>IF('Master data'!A747="","",'Master data'!A747)</f>
        <v/>
      </c>
      <c r="C747" t="str">
        <f>IFERROR(INDEX('Master data'!$B$2:$CL$1000,MATCH($B747,'Master data'!$A$2:$A$1000,0),MATCH(C$1,'Master data'!$B$1:$CL$1,0)),"")</f>
        <v/>
      </c>
      <c r="D747" t="str">
        <f>IFERROR(INDEX('Master data'!$B$2:$CL$1000,MATCH($B747,'Master data'!$A$2:$A$1000,0),MATCH(D$1,'Master data'!$B$1:$CL$1,0)),"")</f>
        <v/>
      </c>
      <c r="E747" s="5" t="str">
        <f>IFERROR(INDEX('Master data'!$B$2:$CL$1000,MATCH($B747,'Master data'!$A$2:$A$1000,0),MATCH(E$1,'Master data'!$B$1:$CL$1,0)),"")</f>
        <v/>
      </c>
      <c r="F747" s="7" t="str">
        <f>IFERROR(INDEX('Master data'!$B$2:$CL$1000,MATCH($B747,'Master data'!$A$2:$A$1000,0),MATCH(F$1,'Master data'!$B$1:$CL$1,0)),"")</f>
        <v/>
      </c>
      <c r="G747" s="7" t="str">
        <f>IFERROR(INDEX('Master data'!$B$2:$CL$1000,MATCH($B747,'Master data'!$A$2:$A$1000,0),MATCH(G$1,'Master data'!$B$1:$CL$1,0)),"")</f>
        <v/>
      </c>
      <c r="H747" s="7" t="str">
        <f>IFERROR(INDEX('Master data'!$B$2:$CL$1000,MATCH($B747,'Master data'!$A$2:$A$1000,0),MATCH(H$1,'Master data'!$B$1:$CL$1,0)),"")</f>
        <v/>
      </c>
      <c r="I747" s="7" t="str">
        <f>IFERROR(INDEX('Master data'!$B$2:$CL$1000,MATCH($B747,'Master data'!$A$2:$A$1000,0),MATCH(I$1,'Master data'!$B$1:$CL$1,0)),"")</f>
        <v/>
      </c>
      <c r="J747" s="7" t="str">
        <f>IFERROR(INDEX('Master data'!$B$2:$CL$1000,MATCH($B747,'Master data'!$A$2:$A$1000,0),MATCH(J$1,'Master data'!$B$1:$CL$1,0)),"")</f>
        <v/>
      </c>
      <c r="K747" s="7" t="str">
        <f>IFERROR(INDEX('Master data'!$B$2:$CL$1000,MATCH($B747,'Master data'!$A$2:$A$1000,0),MATCH(K$1,'Master data'!$B$1:$CL$1,0)),"")</f>
        <v/>
      </c>
      <c r="L747" s="7" t="str">
        <f>IFERROR(INDEX('Master data'!$B$2:$CL$1000,MATCH($B747,'Master data'!$A$2:$A$1000,0),MATCH(L$1,'Master data'!$B$1:$CL$1,0)),"")</f>
        <v/>
      </c>
      <c r="M747" s="5" t="str">
        <f>IFERROR(INDEX('Master data'!$B$2:$CL$1000,MATCH($B747,'Master data'!$A$2:$A$1000,0),MATCH(M$1,'Master data'!$B$1:$CL$1,0)),"")</f>
        <v/>
      </c>
      <c r="N747" s="28" t="str">
        <f>IFERROR(INDEX('Master data'!$B$2:$CL$1000,MATCH($B747,'Master data'!$A$2:$A$1000,0),MATCH(N$1,'Master data'!$B$1:$CL$1,0)),"")</f>
        <v/>
      </c>
      <c r="O747" s="7" t="str">
        <f>IFERROR(INDEX('Master data'!$B$2:$CL$1000,MATCH($B747,'Master data'!$A$2:$A$1000,0),MATCH(O$1,'Master data'!$B$1:$CL$1,0)),"")</f>
        <v/>
      </c>
      <c r="P747" s="5" t="str">
        <f>IFERROR(INDEX('Master data'!$B$2:$CL$1000,MATCH($B747,'Master data'!$A$2:$A$1000,0),MATCH(P$1,'Master data'!$B$1:$CL$1,0)),"")</f>
        <v/>
      </c>
      <c r="Q747" s="5" t="str">
        <f>IFERROR(INDEX('Master data'!$B$2:$CL$1000,MATCH($B747,'Master data'!$A$2:$A$1000,0),MATCH(Q$1,'Master data'!$B$1:$CL$1,0)),"")</f>
        <v/>
      </c>
    </row>
    <row r="748" spans="1:17" hidden="1">
      <c r="A748" t="str">
        <f t="shared" si="11"/>
        <v/>
      </c>
      <c r="B748" t="str">
        <f>IF('Master data'!A748="","",'Master data'!A748)</f>
        <v/>
      </c>
      <c r="C748" t="str">
        <f>IFERROR(INDEX('Master data'!$B$2:$CL$1000,MATCH($B748,'Master data'!$A$2:$A$1000,0),MATCH(C$1,'Master data'!$B$1:$CL$1,0)),"")</f>
        <v/>
      </c>
      <c r="D748" t="str">
        <f>IFERROR(INDEX('Master data'!$B$2:$CL$1000,MATCH($B748,'Master data'!$A$2:$A$1000,0),MATCH(D$1,'Master data'!$B$1:$CL$1,0)),"")</f>
        <v/>
      </c>
      <c r="E748" s="5" t="str">
        <f>IFERROR(INDEX('Master data'!$B$2:$CL$1000,MATCH($B748,'Master data'!$A$2:$A$1000,0),MATCH(E$1,'Master data'!$B$1:$CL$1,0)),"")</f>
        <v/>
      </c>
      <c r="F748" s="7" t="str">
        <f>IFERROR(INDEX('Master data'!$B$2:$CL$1000,MATCH($B748,'Master data'!$A$2:$A$1000,0),MATCH(F$1,'Master data'!$B$1:$CL$1,0)),"")</f>
        <v/>
      </c>
      <c r="G748" s="7" t="str">
        <f>IFERROR(INDEX('Master data'!$B$2:$CL$1000,MATCH($B748,'Master data'!$A$2:$A$1000,0),MATCH(G$1,'Master data'!$B$1:$CL$1,0)),"")</f>
        <v/>
      </c>
      <c r="H748" s="7" t="str">
        <f>IFERROR(INDEX('Master data'!$B$2:$CL$1000,MATCH($B748,'Master data'!$A$2:$A$1000,0),MATCH(H$1,'Master data'!$B$1:$CL$1,0)),"")</f>
        <v/>
      </c>
      <c r="I748" s="7" t="str">
        <f>IFERROR(INDEX('Master data'!$B$2:$CL$1000,MATCH($B748,'Master data'!$A$2:$A$1000,0),MATCH(I$1,'Master data'!$B$1:$CL$1,0)),"")</f>
        <v/>
      </c>
      <c r="J748" s="7" t="str">
        <f>IFERROR(INDEX('Master data'!$B$2:$CL$1000,MATCH($B748,'Master data'!$A$2:$A$1000,0),MATCH(J$1,'Master data'!$B$1:$CL$1,0)),"")</f>
        <v/>
      </c>
      <c r="K748" s="7" t="str">
        <f>IFERROR(INDEX('Master data'!$B$2:$CL$1000,MATCH($B748,'Master data'!$A$2:$A$1000,0),MATCH(K$1,'Master data'!$B$1:$CL$1,0)),"")</f>
        <v/>
      </c>
      <c r="L748" s="7" t="str">
        <f>IFERROR(INDEX('Master data'!$B$2:$CL$1000,MATCH($B748,'Master data'!$A$2:$A$1000,0),MATCH(L$1,'Master data'!$B$1:$CL$1,0)),"")</f>
        <v/>
      </c>
      <c r="M748" s="5" t="str">
        <f>IFERROR(INDEX('Master data'!$B$2:$CL$1000,MATCH($B748,'Master data'!$A$2:$A$1000,0),MATCH(M$1,'Master data'!$B$1:$CL$1,0)),"")</f>
        <v/>
      </c>
      <c r="N748" s="28" t="str">
        <f>IFERROR(INDEX('Master data'!$B$2:$CL$1000,MATCH($B748,'Master data'!$A$2:$A$1000,0),MATCH(N$1,'Master data'!$B$1:$CL$1,0)),"")</f>
        <v/>
      </c>
      <c r="O748" s="7" t="str">
        <f>IFERROR(INDEX('Master data'!$B$2:$CL$1000,MATCH($B748,'Master data'!$A$2:$A$1000,0),MATCH(O$1,'Master data'!$B$1:$CL$1,0)),"")</f>
        <v/>
      </c>
      <c r="P748" s="5" t="str">
        <f>IFERROR(INDEX('Master data'!$B$2:$CL$1000,MATCH($B748,'Master data'!$A$2:$A$1000,0),MATCH(P$1,'Master data'!$B$1:$CL$1,0)),"")</f>
        <v/>
      </c>
      <c r="Q748" s="5" t="str">
        <f>IFERROR(INDEX('Master data'!$B$2:$CL$1000,MATCH($B748,'Master data'!$A$2:$A$1000,0),MATCH(Q$1,'Master data'!$B$1:$CL$1,0)),"")</f>
        <v/>
      </c>
    </row>
    <row r="749" spans="1:17" hidden="1">
      <c r="A749" t="str">
        <f t="shared" si="11"/>
        <v/>
      </c>
      <c r="B749" t="str">
        <f>IF('Master data'!A749="","",'Master data'!A749)</f>
        <v/>
      </c>
      <c r="C749" t="str">
        <f>IFERROR(INDEX('Master data'!$B$2:$CL$1000,MATCH($B749,'Master data'!$A$2:$A$1000,0),MATCH(C$1,'Master data'!$B$1:$CL$1,0)),"")</f>
        <v/>
      </c>
      <c r="D749" t="str">
        <f>IFERROR(INDEX('Master data'!$B$2:$CL$1000,MATCH($B749,'Master data'!$A$2:$A$1000,0),MATCH(D$1,'Master data'!$B$1:$CL$1,0)),"")</f>
        <v/>
      </c>
      <c r="E749" s="5" t="str">
        <f>IFERROR(INDEX('Master data'!$B$2:$CL$1000,MATCH($B749,'Master data'!$A$2:$A$1000,0),MATCH(E$1,'Master data'!$B$1:$CL$1,0)),"")</f>
        <v/>
      </c>
      <c r="F749" s="7" t="str">
        <f>IFERROR(INDEX('Master data'!$B$2:$CL$1000,MATCH($B749,'Master data'!$A$2:$A$1000,0),MATCH(F$1,'Master data'!$B$1:$CL$1,0)),"")</f>
        <v/>
      </c>
      <c r="G749" s="7" t="str">
        <f>IFERROR(INDEX('Master data'!$B$2:$CL$1000,MATCH($B749,'Master data'!$A$2:$A$1000,0),MATCH(G$1,'Master data'!$B$1:$CL$1,0)),"")</f>
        <v/>
      </c>
      <c r="H749" s="7" t="str">
        <f>IFERROR(INDEX('Master data'!$B$2:$CL$1000,MATCH($B749,'Master data'!$A$2:$A$1000,0),MATCH(H$1,'Master data'!$B$1:$CL$1,0)),"")</f>
        <v/>
      </c>
      <c r="I749" s="7" t="str">
        <f>IFERROR(INDEX('Master data'!$B$2:$CL$1000,MATCH($B749,'Master data'!$A$2:$A$1000,0),MATCH(I$1,'Master data'!$B$1:$CL$1,0)),"")</f>
        <v/>
      </c>
      <c r="J749" s="7" t="str">
        <f>IFERROR(INDEX('Master data'!$B$2:$CL$1000,MATCH($B749,'Master data'!$A$2:$A$1000,0),MATCH(J$1,'Master data'!$B$1:$CL$1,0)),"")</f>
        <v/>
      </c>
      <c r="K749" s="7" t="str">
        <f>IFERROR(INDEX('Master data'!$B$2:$CL$1000,MATCH($B749,'Master data'!$A$2:$A$1000,0),MATCH(K$1,'Master data'!$B$1:$CL$1,0)),"")</f>
        <v/>
      </c>
      <c r="L749" s="7" t="str">
        <f>IFERROR(INDEX('Master data'!$B$2:$CL$1000,MATCH($B749,'Master data'!$A$2:$A$1000,0),MATCH(L$1,'Master data'!$B$1:$CL$1,0)),"")</f>
        <v/>
      </c>
      <c r="M749" s="5" t="str">
        <f>IFERROR(INDEX('Master data'!$B$2:$CL$1000,MATCH($B749,'Master data'!$A$2:$A$1000,0),MATCH(M$1,'Master data'!$B$1:$CL$1,0)),"")</f>
        <v/>
      </c>
      <c r="N749" s="28" t="str">
        <f>IFERROR(INDEX('Master data'!$B$2:$CL$1000,MATCH($B749,'Master data'!$A$2:$A$1000,0),MATCH(N$1,'Master data'!$B$1:$CL$1,0)),"")</f>
        <v/>
      </c>
      <c r="O749" s="7" t="str">
        <f>IFERROR(INDEX('Master data'!$B$2:$CL$1000,MATCH($B749,'Master data'!$A$2:$A$1000,0),MATCH(O$1,'Master data'!$B$1:$CL$1,0)),"")</f>
        <v/>
      </c>
      <c r="P749" s="5" t="str">
        <f>IFERROR(INDEX('Master data'!$B$2:$CL$1000,MATCH($B749,'Master data'!$A$2:$A$1000,0),MATCH(P$1,'Master data'!$B$1:$CL$1,0)),"")</f>
        <v/>
      </c>
      <c r="Q749" s="5" t="str">
        <f>IFERROR(INDEX('Master data'!$B$2:$CL$1000,MATCH($B749,'Master data'!$A$2:$A$1000,0),MATCH(Q$1,'Master data'!$B$1:$CL$1,0)),"")</f>
        <v/>
      </c>
    </row>
    <row r="750" spans="1:17" hidden="1">
      <c r="A750" t="str">
        <f t="shared" si="11"/>
        <v/>
      </c>
      <c r="B750" t="str">
        <f>IF('Master data'!A750="","",'Master data'!A750)</f>
        <v/>
      </c>
      <c r="C750" t="str">
        <f>IFERROR(INDEX('Master data'!$B$2:$CL$1000,MATCH($B750,'Master data'!$A$2:$A$1000,0),MATCH(C$1,'Master data'!$B$1:$CL$1,0)),"")</f>
        <v/>
      </c>
      <c r="D750" t="str">
        <f>IFERROR(INDEX('Master data'!$B$2:$CL$1000,MATCH($B750,'Master data'!$A$2:$A$1000,0),MATCH(D$1,'Master data'!$B$1:$CL$1,0)),"")</f>
        <v/>
      </c>
      <c r="E750" s="5" t="str">
        <f>IFERROR(INDEX('Master data'!$B$2:$CL$1000,MATCH($B750,'Master data'!$A$2:$A$1000,0),MATCH(E$1,'Master data'!$B$1:$CL$1,0)),"")</f>
        <v/>
      </c>
      <c r="F750" s="7" t="str">
        <f>IFERROR(INDEX('Master data'!$B$2:$CL$1000,MATCH($B750,'Master data'!$A$2:$A$1000,0),MATCH(F$1,'Master data'!$B$1:$CL$1,0)),"")</f>
        <v/>
      </c>
      <c r="G750" s="7" t="str">
        <f>IFERROR(INDEX('Master data'!$B$2:$CL$1000,MATCH($B750,'Master data'!$A$2:$A$1000,0),MATCH(G$1,'Master data'!$B$1:$CL$1,0)),"")</f>
        <v/>
      </c>
      <c r="H750" s="7" t="str">
        <f>IFERROR(INDEX('Master data'!$B$2:$CL$1000,MATCH($B750,'Master data'!$A$2:$A$1000,0),MATCH(H$1,'Master data'!$B$1:$CL$1,0)),"")</f>
        <v/>
      </c>
      <c r="I750" s="7" t="str">
        <f>IFERROR(INDEX('Master data'!$B$2:$CL$1000,MATCH($B750,'Master data'!$A$2:$A$1000,0),MATCH(I$1,'Master data'!$B$1:$CL$1,0)),"")</f>
        <v/>
      </c>
      <c r="J750" s="7" t="str">
        <f>IFERROR(INDEX('Master data'!$B$2:$CL$1000,MATCH($B750,'Master data'!$A$2:$A$1000,0),MATCH(J$1,'Master data'!$B$1:$CL$1,0)),"")</f>
        <v/>
      </c>
      <c r="K750" s="7" t="str">
        <f>IFERROR(INDEX('Master data'!$B$2:$CL$1000,MATCH($B750,'Master data'!$A$2:$A$1000,0),MATCH(K$1,'Master data'!$B$1:$CL$1,0)),"")</f>
        <v/>
      </c>
      <c r="L750" s="7" t="str">
        <f>IFERROR(INDEX('Master data'!$B$2:$CL$1000,MATCH($B750,'Master data'!$A$2:$A$1000,0),MATCH(L$1,'Master data'!$B$1:$CL$1,0)),"")</f>
        <v/>
      </c>
      <c r="M750" s="5" t="str">
        <f>IFERROR(INDEX('Master data'!$B$2:$CL$1000,MATCH($B750,'Master data'!$A$2:$A$1000,0),MATCH(M$1,'Master data'!$B$1:$CL$1,0)),"")</f>
        <v/>
      </c>
      <c r="N750" s="28" t="str">
        <f>IFERROR(INDEX('Master data'!$B$2:$CL$1000,MATCH($B750,'Master data'!$A$2:$A$1000,0),MATCH(N$1,'Master data'!$B$1:$CL$1,0)),"")</f>
        <v/>
      </c>
      <c r="O750" s="7" t="str">
        <f>IFERROR(INDEX('Master data'!$B$2:$CL$1000,MATCH($B750,'Master data'!$A$2:$A$1000,0),MATCH(O$1,'Master data'!$B$1:$CL$1,0)),"")</f>
        <v/>
      </c>
      <c r="P750" s="5" t="str">
        <f>IFERROR(INDEX('Master data'!$B$2:$CL$1000,MATCH($B750,'Master data'!$A$2:$A$1000,0),MATCH(P$1,'Master data'!$B$1:$CL$1,0)),"")</f>
        <v/>
      </c>
      <c r="Q750" s="5" t="str">
        <f>IFERROR(INDEX('Master data'!$B$2:$CL$1000,MATCH($B750,'Master data'!$A$2:$A$1000,0),MATCH(Q$1,'Master data'!$B$1:$CL$1,0)),"")</f>
        <v/>
      </c>
    </row>
    <row r="751" spans="1:17" hidden="1">
      <c r="A751" t="str">
        <f t="shared" si="11"/>
        <v/>
      </c>
      <c r="B751" t="str">
        <f>IF('Master data'!A751="","",'Master data'!A751)</f>
        <v/>
      </c>
      <c r="C751" t="str">
        <f>IFERROR(INDEX('Master data'!$B$2:$CL$1000,MATCH($B751,'Master data'!$A$2:$A$1000,0),MATCH(C$1,'Master data'!$B$1:$CL$1,0)),"")</f>
        <v/>
      </c>
      <c r="D751" t="str">
        <f>IFERROR(INDEX('Master data'!$B$2:$CL$1000,MATCH($B751,'Master data'!$A$2:$A$1000,0),MATCH(D$1,'Master data'!$B$1:$CL$1,0)),"")</f>
        <v/>
      </c>
      <c r="E751" s="5" t="str">
        <f>IFERROR(INDEX('Master data'!$B$2:$CL$1000,MATCH($B751,'Master data'!$A$2:$A$1000,0),MATCH(E$1,'Master data'!$B$1:$CL$1,0)),"")</f>
        <v/>
      </c>
      <c r="F751" s="7" t="str">
        <f>IFERROR(INDEX('Master data'!$B$2:$CL$1000,MATCH($B751,'Master data'!$A$2:$A$1000,0),MATCH(F$1,'Master data'!$B$1:$CL$1,0)),"")</f>
        <v/>
      </c>
      <c r="G751" s="7" t="str">
        <f>IFERROR(INDEX('Master data'!$B$2:$CL$1000,MATCH($B751,'Master data'!$A$2:$A$1000,0),MATCH(G$1,'Master data'!$B$1:$CL$1,0)),"")</f>
        <v/>
      </c>
      <c r="H751" s="7" t="str">
        <f>IFERROR(INDEX('Master data'!$B$2:$CL$1000,MATCH($B751,'Master data'!$A$2:$A$1000,0),MATCH(H$1,'Master data'!$B$1:$CL$1,0)),"")</f>
        <v/>
      </c>
      <c r="I751" s="7" t="str">
        <f>IFERROR(INDEX('Master data'!$B$2:$CL$1000,MATCH($B751,'Master data'!$A$2:$A$1000,0),MATCH(I$1,'Master data'!$B$1:$CL$1,0)),"")</f>
        <v/>
      </c>
      <c r="J751" s="7" t="str">
        <f>IFERROR(INDEX('Master data'!$B$2:$CL$1000,MATCH($B751,'Master data'!$A$2:$A$1000,0),MATCH(J$1,'Master data'!$B$1:$CL$1,0)),"")</f>
        <v/>
      </c>
      <c r="K751" s="7" t="str">
        <f>IFERROR(INDEX('Master data'!$B$2:$CL$1000,MATCH($B751,'Master data'!$A$2:$A$1000,0),MATCH(K$1,'Master data'!$B$1:$CL$1,0)),"")</f>
        <v/>
      </c>
      <c r="L751" s="7" t="str">
        <f>IFERROR(INDEX('Master data'!$B$2:$CL$1000,MATCH($B751,'Master data'!$A$2:$A$1000,0),MATCH(L$1,'Master data'!$B$1:$CL$1,0)),"")</f>
        <v/>
      </c>
      <c r="M751" s="5" t="str">
        <f>IFERROR(INDEX('Master data'!$B$2:$CL$1000,MATCH($B751,'Master data'!$A$2:$A$1000,0),MATCH(M$1,'Master data'!$B$1:$CL$1,0)),"")</f>
        <v/>
      </c>
      <c r="N751" s="28" t="str">
        <f>IFERROR(INDEX('Master data'!$B$2:$CL$1000,MATCH($B751,'Master data'!$A$2:$A$1000,0),MATCH(N$1,'Master data'!$B$1:$CL$1,0)),"")</f>
        <v/>
      </c>
      <c r="O751" s="7" t="str">
        <f>IFERROR(INDEX('Master data'!$B$2:$CL$1000,MATCH($B751,'Master data'!$A$2:$A$1000,0),MATCH(O$1,'Master data'!$B$1:$CL$1,0)),"")</f>
        <v/>
      </c>
      <c r="P751" s="5" t="str">
        <f>IFERROR(INDEX('Master data'!$B$2:$CL$1000,MATCH($B751,'Master data'!$A$2:$A$1000,0),MATCH(P$1,'Master data'!$B$1:$CL$1,0)),"")</f>
        <v/>
      </c>
      <c r="Q751" s="5" t="str">
        <f>IFERROR(INDEX('Master data'!$B$2:$CL$1000,MATCH($B751,'Master data'!$A$2:$A$1000,0),MATCH(Q$1,'Master data'!$B$1:$CL$1,0)),"")</f>
        <v/>
      </c>
    </row>
    <row r="752" spans="1:17" hidden="1">
      <c r="A752" t="str">
        <f t="shared" si="11"/>
        <v/>
      </c>
      <c r="B752" t="str">
        <f>IF('Master data'!A752="","",'Master data'!A752)</f>
        <v/>
      </c>
      <c r="C752" t="str">
        <f>IFERROR(INDEX('Master data'!$B$2:$CL$1000,MATCH($B752,'Master data'!$A$2:$A$1000,0),MATCH(C$1,'Master data'!$B$1:$CL$1,0)),"")</f>
        <v/>
      </c>
      <c r="D752" t="str">
        <f>IFERROR(INDEX('Master data'!$B$2:$CL$1000,MATCH($B752,'Master data'!$A$2:$A$1000,0),MATCH(D$1,'Master data'!$B$1:$CL$1,0)),"")</f>
        <v/>
      </c>
      <c r="E752" s="5" t="str">
        <f>IFERROR(INDEX('Master data'!$B$2:$CL$1000,MATCH($B752,'Master data'!$A$2:$A$1000,0),MATCH(E$1,'Master data'!$B$1:$CL$1,0)),"")</f>
        <v/>
      </c>
      <c r="F752" s="7" t="str">
        <f>IFERROR(INDEX('Master data'!$B$2:$CL$1000,MATCH($B752,'Master data'!$A$2:$A$1000,0),MATCH(F$1,'Master data'!$B$1:$CL$1,0)),"")</f>
        <v/>
      </c>
      <c r="G752" s="7" t="str">
        <f>IFERROR(INDEX('Master data'!$B$2:$CL$1000,MATCH($B752,'Master data'!$A$2:$A$1000,0),MATCH(G$1,'Master data'!$B$1:$CL$1,0)),"")</f>
        <v/>
      </c>
      <c r="H752" s="7" t="str">
        <f>IFERROR(INDEX('Master data'!$B$2:$CL$1000,MATCH($B752,'Master data'!$A$2:$A$1000,0),MATCH(H$1,'Master data'!$B$1:$CL$1,0)),"")</f>
        <v/>
      </c>
      <c r="I752" s="7" t="str">
        <f>IFERROR(INDEX('Master data'!$B$2:$CL$1000,MATCH($B752,'Master data'!$A$2:$A$1000,0),MATCH(I$1,'Master data'!$B$1:$CL$1,0)),"")</f>
        <v/>
      </c>
      <c r="J752" s="7" t="str">
        <f>IFERROR(INDEX('Master data'!$B$2:$CL$1000,MATCH($B752,'Master data'!$A$2:$A$1000,0),MATCH(J$1,'Master data'!$B$1:$CL$1,0)),"")</f>
        <v/>
      </c>
      <c r="K752" s="7" t="str">
        <f>IFERROR(INDEX('Master data'!$B$2:$CL$1000,MATCH($B752,'Master data'!$A$2:$A$1000,0),MATCH(K$1,'Master data'!$B$1:$CL$1,0)),"")</f>
        <v/>
      </c>
      <c r="L752" s="7" t="str">
        <f>IFERROR(INDEX('Master data'!$B$2:$CL$1000,MATCH($B752,'Master data'!$A$2:$A$1000,0),MATCH(L$1,'Master data'!$B$1:$CL$1,0)),"")</f>
        <v/>
      </c>
      <c r="M752" s="5" t="str">
        <f>IFERROR(INDEX('Master data'!$B$2:$CL$1000,MATCH($B752,'Master data'!$A$2:$A$1000,0),MATCH(M$1,'Master data'!$B$1:$CL$1,0)),"")</f>
        <v/>
      </c>
      <c r="N752" s="28" t="str">
        <f>IFERROR(INDEX('Master data'!$B$2:$CL$1000,MATCH($B752,'Master data'!$A$2:$A$1000,0),MATCH(N$1,'Master data'!$B$1:$CL$1,0)),"")</f>
        <v/>
      </c>
      <c r="O752" s="7" t="str">
        <f>IFERROR(INDEX('Master data'!$B$2:$CL$1000,MATCH($B752,'Master data'!$A$2:$A$1000,0),MATCH(O$1,'Master data'!$B$1:$CL$1,0)),"")</f>
        <v/>
      </c>
      <c r="P752" s="5" t="str">
        <f>IFERROR(INDEX('Master data'!$B$2:$CL$1000,MATCH($B752,'Master data'!$A$2:$A$1000,0),MATCH(P$1,'Master data'!$B$1:$CL$1,0)),"")</f>
        <v/>
      </c>
      <c r="Q752" s="5" t="str">
        <f>IFERROR(INDEX('Master data'!$B$2:$CL$1000,MATCH($B752,'Master data'!$A$2:$A$1000,0),MATCH(Q$1,'Master data'!$B$1:$CL$1,0)),"")</f>
        <v/>
      </c>
    </row>
    <row r="753" spans="1:17" hidden="1">
      <c r="A753" t="str">
        <f t="shared" si="11"/>
        <v/>
      </c>
      <c r="B753" t="str">
        <f>IF('Master data'!A753="","",'Master data'!A753)</f>
        <v/>
      </c>
      <c r="C753" t="str">
        <f>IFERROR(INDEX('Master data'!$B$2:$CL$1000,MATCH($B753,'Master data'!$A$2:$A$1000,0),MATCH(C$1,'Master data'!$B$1:$CL$1,0)),"")</f>
        <v/>
      </c>
      <c r="D753" t="str">
        <f>IFERROR(INDEX('Master data'!$B$2:$CL$1000,MATCH($B753,'Master data'!$A$2:$A$1000,0),MATCH(D$1,'Master data'!$B$1:$CL$1,0)),"")</f>
        <v/>
      </c>
      <c r="E753" s="5" t="str">
        <f>IFERROR(INDEX('Master data'!$B$2:$CL$1000,MATCH($B753,'Master data'!$A$2:$A$1000,0),MATCH(E$1,'Master data'!$B$1:$CL$1,0)),"")</f>
        <v/>
      </c>
      <c r="F753" s="7" t="str">
        <f>IFERROR(INDEX('Master data'!$B$2:$CL$1000,MATCH($B753,'Master data'!$A$2:$A$1000,0),MATCH(F$1,'Master data'!$B$1:$CL$1,0)),"")</f>
        <v/>
      </c>
      <c r="G753" s="7" t="str">
        <f>IFERROR(INDEX('Master data'!$B$2:$CL$1000,MATCH($B753,'Master data'!$A$2:$A$1000,0),MATCH(G$1,'Master data'!$B$1:$CL$1,0)),"")</f>
        <v/>
      </c>
      <c r="H753" s="7" t="str">
        <f>IFERROR(INDEX('Master data'!$B$2:$CL$1000,MATCH($B753,'Master data'!$A$2:$A$1000,0),MATCH(H$1,'Master data'!$B$1:$CL$1,0)),"")</f>
        <v/>
      </c>
      <c r="I753" s="7" t="str">
        <f>IFERROR(INDEX('Master data'!$B$2:$CL$1000,MATCH($B753,'Master data'!$A$2:$A$1000,0),MATCH(I$1,'Master data'!$B$1:$CL$1,0)),"")</f>
        <v/>
      </c>
      <c r="J753" s="7" t="str">
        <f>IFERROR(INDEX('Master data'!$B$2:$CL$1000,MATCH($B753,'Master data'!$A$2:$A$1000,0),MATCH(J$1,'Master data'!$B$1:$CL$1,0)),"")</f>
        <v/>
      </c>
      <c r="K753" s="7" t="str">
        <f>IFERROR(INDEX('Master data'!$B$2:$CL$1000,MATCH($B753,'Master data'!$A$2:$A$1000,0),MATCH(K$1,'Master data'!$B$1:$CL$1,0)),"")</f>
        <v/>
      </c>
      <c r="L753" s="7" t="str">
        <f>IFERROR(INDEX('Master data'!$B$2:$CL$1000,MATCH($B753,'Master data'!$A$2:$A$1000,0),MATCH(L$1,'Master data'!$B$1:$CL$1,0)),"")</f>
        <v/>
      </c>
      <c r="M753" s="5" t="str">
        <f>IFERROR(INDEX('Master data'!$B$2:$CL$1000,MATCH($B753,'Master data'!$A$2:$A$1000,0),MATCH(M$1,'Master data'!$B$1:$CL$1,0)),"")</f>
        <v/>
      </c>
      <c r="N753" s="28" t="str">
        <f>IFERROR(INDEX('Master data'!$B$2:$CL$1000,MATCH($B753,'Master data'!$A$2:$A$1000,0),MATCH(N$1,'Master data'!$B$1:$CL$1,0)),"")</f>
        <v/>
      </c>
      <c r="O753" s="7" t="str">
        <f>IFERROR(INDEX('Master data'!$B$2:$CL$1000,MATCH($B753,'Master data'!$A$2:$A$1000,0),MATCH(O$1,'Master data'!$B$1:$CL$1,0)),"")</f>
        <v/>
      </c>
      <c r="P753" s="5" t="str">
        <f>IFERROR(INDEX('Master data'!$B$2:$CL$1000,MATCH($B753,'Master data'!$A$2:$A$1000,0),MATCH(P$1,'Master data'!$B$1:$CL$1,0)),"")</f>
        <v/>
      </c>
      <c r="Q753" s="5" t="str">
        <f>IFERROR(INDEX('Master data'!$B$2:$CL$1000,MATCH($B753,'Master data'!$A$2:$A$1000,0),MATCH(Q$1,'Master data'!$B$1:$CL$1,0)),"")</f>
        <v/>
      </c>
    </row>
    <row r="754" spans="1:17" hidden="1">
      <c r="A754" t="str">
        <f t="shared" si="11"/>
        <v/>
      </c>
      <c r="B754" t="str">
        <f>IF('Master data'!A754="","",'Master data'!A754)</f>
        <v/>
      </c>
      <c r="C754" t="str">
        <f>IFERROR(INDEX('Master data'!$B$2:$CL$1000,MATCH($B754,'Master data'!$A$2:$A$1000,0),MATCH(C$1,'Master data'!$B$1:$CL$1,0)),"")</f>
        <v/>
      </c>
      <c r="D754" t="str">
        <f>IFERROR(INDEX('Master data'!$B$2:$CL$1000,MATCH($B754,'Master data'!$A$2:$A$1000,0),MATCH(D$1,'Master data'!$B$1:$CL$1,0)),"")</f>
        <v/>
      </c>
      <c r="E754" s="5" t="str">
        <f>IFERROR(INDEX('Master data'!$B$2:$CL$1000,MATCH($B754,'Master data'!$A$2:$A$1000,0),MATCH(E$1,'Master data'!$B$1:$CL$1,0)),"")</f>
        <v/>
      </c>
      <c r="F754" s="7" t="str">
        <f>IFERROR(INDEX('Master data'!$B$2:$CL$1000,MATCH($B754,'Master data'!$A$2:$A$1000,0),MATCH(F$1,'Master data'!$B$1:$CL$1,0)),"")</f>
        <v/>
      </c>
      <c r="G754" s="7" t="str">
        <f>IFERROR(INDEX('Master data'!$B$2:$CL$1000,MATCH($B754,'Master data'!$A$2:$A$1000,0),MATCH(G$1,'Master data'!$B$1:$CL$1,0)),"")</f>
        <v/>
      </c>
      <c r="H754" s="7" t="str">
        <f>IFERROR(INDEX('Master data'!$B$2:$CL$1000,MATCH($B754,'Master data'!$A$2:$A$1000,0),MATCH(H$1,'Master data'!$B$1:$CL$1,0)),"")</f>
        <v/>
      </c>
      <c r="I754" s="7" t="str">
        <f>IFERROR(INDEX('Master data'!$B$2:$CL$1000,MATCH($B754,'Master data'!$A$2:$A$1000,0),MATCH(I$1,'Master data'!$B$1:$CL$1,0)),"")</f>
        <v/>
      </c>
      <c r="J754" s="7" t="str">
        <f>IFERROR(INDEX('Master data'!$B$2:$CL$1000,MATCH($B754,'Master data'!$A$2:$A$1000,0),MATCH(J$1,'Master data'!$B$1:$CL$1,0)),"")</f>
        <v/>
      </c>
      <c r="K754" s="7" t="str">
        <f>IFERROR(INDEX('Master data'!$B$2:$CL$1000,MATCH($B754,'Master data'!$A$2:$A$1000,0),MATCH(K$1,'Master data'!$B$1:$CL$1,0)),"")</f>
        <v/>
      </c>
      <c r="L754" s="7" t="str">
        <f>IFERROR(INDEX('Master data'!$B$2:$CL$1000,MATCH($B754,'Master data'!$A$2:$A$1000,0),MATCH(L$1,'Master data'!$B$1:$CL$1,0)),"")</f>
        <v/>
      </c>
      <c r="M754" s="5" t="str">
        <f>IFERROR(INDEX('Master data'!$B$2:$CL$1000,MATCH($B754,'Master data'!$A$2:$A$1000,0),MATCH(M$1,'Master data'!$B$1:$CL$1,0)),"")</f>
        <v/>
      </c>
      <c r="N754" s="28" t="str">
        <f>IFERROR(INDEX('Master data'!$B$2:$CL$1000,MATCH($B754,'Master data'!$A$2:$A$1000,0),MATCH(N$1,'Master data'!$B$1:$CL$1,0)),"")</f>
        <v/>
      </c>
      <c r="O754" s="7" t="str">
        <f>IFERROR(INDEX('Master data'!$B$2:$CL$1000,MATCH($B754,'Master data'!$A$2:$A$1000,0),MATCH(O$1,'Master data'!$B$1:$CL$1,0)),"")</f>
        <v/>
      </c>
      <c r="P754" s="5" t="str">
        <f>IFERROR(INDEX('Master data'!$B$2:$CL$1000,MATCH($B754,'Master data'!$A$2:$A$1000,0),MATCH(P$1,'Master data'!$B$1:$CL$1,0)),"")</f>
        <v/>
      </c>
      <c r="Q754" s="5" t="str">
        <f>IFERROR(INDEX('Master data'!$B$2:$CL$1000,MATCH($B754,'Master data'!$A$2:$A$1000,0),MATCH(Q$1,'Master data'!$B$1:$CL$1,0)),"")</f>
        <v/>
      </c>
    </row>
    <row r="755" spans="1:17" hidden="1">
      <c r="A755" t="str">
        <f t="shared" si="11"/>
        <v/>
      </c>
      <c r="B755" t="str">
        <f>IF('Master data'!A755="","",'Master data'!A755)</f>
        <v/>
      </c>
      <c r="C755" t="str">
        <f>IFERROR(INDEX('Master data'!$B$2:$CL$1000,MATCH($B755,'Master data'!$A$2:$A$1000,0),MATCH(C$1,'Master data'!$B$1:$CL$1,0)),"")</f>
        <v/>
      </c>
      <c r="D755" t="str">
        <f>IFERROR(INDEX('Master data'!$B$2:$CL$1000,MATCH($B755,'Master data'!$A$2:$A$1000,0),MATCH(D$1,'Master data'!$B$1:$CL$1,0)),"")</f>
        <v/>
      </c>
      <c r="E755" s="5" t="str">
        <f>IFERROR(INDEX('Master data'!$B$2:$CL$1000,MATCH($B755,'Master data'!$A$2:$A$1000,0),MATCH(E$1,'Master data'!$B$1:$CL$1,0)),"")</f>
        <v/>
      </c>
      <c r="F755" s="7" t="str">
        <f>IFERROR(INDEX('Master data'!$B$2:$CL$1000,MATCH($B755,'Master data'!$A$2:$A$1000,0),MATCH(F$1,'Master data'!$B$1:$CL$1,0)),"")</f>
        <v/>
      </c>
      <c r="G755" s="7" t="str">
        <f>IFERROR(INDEX('Master data'!$B$2:$CL$1000,MATCH($B755,'Master data'!$A$2:$A$1000,0),MATCH(G$1,'Master data'!$B$1:$CL$1,0)),"")</f>
        <v/>
      </c>
      <c r="H755" s="7" t="str">
        <f>IFERROR(INDEX('Master data'!$B$2:$CL$1000,MATCH($B755,'Master data'!$A$2:$A$1000,0),MATCH(H$1,'Master data'!$B$1:$CL$1,0)),"")</f>
        <v/>
      </c>
      <c r="I755" s="7" t="str">
        <f>IFERROR(INDEX('Master data'!$B$2:$CL$1000,MATCH($B755,'Master data'!$A$2:$A$1000,0),MATCH(I$1,'Master data'!$B$1:$CL$1,0)),"")</f>
        <v/>
      </c>
      <c r="J755" s="7" t="str">
        <f>IFERROR(INDEX('Master data'!$B$2:$CL$1000,MATCH($B755,'Master data'!$A$2:$A$1000,0),MATCH(J$1,'Master data'!$B$1:$CL$1,0)),"")</f>
        <v/>
      </c>
      <c r="K755" s="7" t="str">
        <f>IFERROR(INDEX('Master data'!$B$2:$CL$1000,MATCH($B755,'Master data'!$A$2:$A$1000,0),MATCH(K$1,'Master data'!$B$1:$CL$1,0)),"")</f>
        <v/>
      </c>
      <c r="L755" s="7" t="str">
        <f>IFERROR(INDEX('Master data'!$B$2:$CL$1000,MATCH($B755,'Master data'!$A$2:$A$1000,0),MATCH(L$1,'Master data'!$B$1:$CL$1,0)),"")</f>
        <v/>
      </c>
      <c r="M755" s="5" t="str">
        <f>IFERROR(INDEX('Master data'!$B$2:$CL$1000,MATCH($B755,'Master data'!$A$2:$A$1000,0),MATCH(M$1,'Master data'!$B$1:$CL$1,0)),"")</f>
        <v/>
      </c>
      <c r="N755" s="28" t="str">
        <f>IFERROR(INDEX('Master data'!$B$2:$CL$1000,MATCH($B755,'Master data'!$A$2:$A$1000,0),MATCH(N$1,'Master data'!$B$1:$CL$1,0)),"")</f>
        <v/>
      </c>
      <c r="O755" s="7" t="str">
        <f>IFERROR(INDEX('Master data'!$B$2:$CL$1000,MATCH($B755,'Master data'!$A$2:$A$1000,0),MATCH(O$1,'Master data'!$B$1:$CL$1,0)),"")</f>
        <v/>
      </c>
      <c r="P755" s="5" t="str">
        <f>IFERROR(INDEX('Master data'!$B$2:$CL$1000,MATCH($B755,'Master data'!$A$2:$A$1000,0),MATCH(P$1,'Master data'!$B$1:$CL$1,0)),"")</f>
        <v/>
      </c>
      <c r="Q755" s="5" t="str">
        <f>IFERROR(INDEX('Master data'!$B$2:$CL$1000,MATCH($B755,'Master data'!$A$2:$A$1000,0),MATCH(Q$1,'Master data'!$B$1:$CL$1,0)),"")</f>
        <v/>
      </c>
    </row>
    <row r="756" spans="1:17" hidden="1">
      <c r="A756" t="str">
        <f t="shared" si="11"/>
        <v/>
      </c>
      <c r="B756" t="str">
        <f>IF('Master data'!A756="","",'Master data'!A756)</f>
        <v/>
      </c>
      <c r="C756" t="str">
        <f>IFERROR(INDEX('Master data'!$B$2:$CL$1000,MATCH($B756,'Master data'!$A$2:$A$1000,0),MATCH(C$1,'Master data'!$B$1:$CL$1,0)),"")</f>
        <v/>
      </c>
      <c r="D756" t="str">
        <f>IFERROR(INDEX('Master data'!$B$2:$CL$1000,MATCH($B756,'Master data'!$A$2:$A$1000,0),MATCH(D$1,'Master data'!$B$1:$CL$1,0)),"")</f>
        <v/>
      </c>
      <c r="E756" s="5" t="str">
        <f>IFERROR(INDEX('Master data'!$B$2:$CL$1000,MATCH($B756,'Master data'!$A$2:$A$1000,0),MATCH(E$1,'Master data'!$B$1:$CL$1,0)),"")</f>
        <v/>
      </c>
      <c r="F756" s="7" t="str">
        <f>IFERROR(INDEX('Master data'!$B$2:$CL$1000,MATCH($B756,'Master data'!$A$2:$A$1000,0),MATCH(F$1,'Master data'!$B$1:$CL$1,0)),"")</f>
        <v/>
      </c>
      <c r="G756" s="7" t="str">
        <f>IFERROR(INDEX('Master data'!$B$2:$CL$1000,MATCH($B756,'Master data'!$A$2:$A$1000,0),MATCH(G$1,'Master data'!$B$1:$CL$1,0)),"")</f>
        <v/>
      </c>
      <c r="H756" s="7" t="str">
        <f>IFERROR(INDEX('Master data'!$B$2:$CL$1000,MATCH($B756,'Master data'!$A$2:$A$1000,0),MATCH(H$1,'Master data'!$B$1:$CL$1,0)),"")</f>
        <v/>
      </c>
      <c r="I756" s="7" t="str">
        <f>IFERROR(INDEX('Master data'!$B$2:$CL$1000,MATCH($B756,'Master data'!$A$2:$A$1000,0),MATCH(I$1,'Master data'!$B$1:$CL$1,0)),"")</f>
        <v/>
      </c>
      <c r="J756" s="7" t="str">
        <f>IFERROR(INDEX('Master data'!$B$2:$CL$1000,MATCH($B756,'Master data'!$A$2:$A$1000,0),MATCH(J$1,'Master data'!$B$1:$CL$1,0)),"")</f>
        <v/>
      </c>
      <c r="K756" s="7" t="str">
        <f>IFERROR(INDEX('Master data'!$B$2:$CL$1000,MATCH($B756,'Master data'!$A$2:$A$1000,0),MATCH(K$1,'Master data'!$B$1:$CL$1,0)),"")</f>
        <v/>
      </c>
      <c r="L756" s="7" t="str">
        <f>IFERROR(INDEX('Master data'!$B$2:$CL$1000,MATCH($B756,'Master data'!$A$2:$A$1000,0),MATCH(L$1,'Master data'!$B$1:$CL$1,0)),"")</f>
        <v/>
      </c>
      <c r="M756" s="5" t="str">
        <f>IFERROR(INDEX('Master data'!$B$2:$CL$1000,MATCH($B756,'Master data'!$A$2:$A$1000,0),MATCH(M$1,'Master data'!$B$1:$CL$1,0)),"")</f>
        <v/>
      </c>
      <c r="N756" s="28" t="str">
        <f>IFERROR(INDEX('Master data'!$B$2:$CL$1000,MATCH($B756,'Master data'!$A$2:$A$1000,0),MATCH(N$1,'Master data'!$B$1:$CL$1,0)),"")</f>
        <v/>
      </c>
      <c r="O756" s="7" t="str">
        <f>IFERROR(INDEX('Master data'!$B$2:$CL$1000,MATCH($B756,'Master data'!$A$2:$A$1000,0),MATCH(O$1,'Master data'!$B$1:$CL$1,0)),"")</f>
        <v/>
      </c>
      <c r="P756" s="5" t="str">
        <f>IFERROR(INDEX('Master data'!$B$2:$CL$1000,MATCH($B756,'Master data'!$A$2:$A$1000,0),MATCH(P$1,'Master data'!$B$1:$CL$1,0)),"")</f>
        <v/>
      </c>
      <c r="Q756" s="5" t="str">
        <f>IFERROR(INDEX('Master data'!$B$2:$CL$1000,MATCH($B756,'Master data'!$A$2:$A$1000,0),MATCH(Q$1,'Master data'!$B$1:$CL$1,0)),"")</f>
        <v/>
      </c>
    </row>
    <row r="757" spans="1:17" hidden="1">
      <c r="A757" t="str">
        <f t="shared" si="11"/>
        <v/>
      </c>
      <c r="B757" t="str">
        <f>IF('Master data'!A757="","",'Master data'!A757)</f>
        <v/>
      </c>
      <c r="C757" t="str">
        <f>IFERROR(INDEX('Master data'!$B$2:$CL$1000,MATCH($B757,'Master data'!$A$2:$A$1000,0),MATCH(C$1,'Master data'!$B$1:$CL$1,0)),"")</f>
        <v/>
      </c>
      <c r="D757" t="str">
        <f>IFERROR(INDEX('Master data'!$B$2:$CL$1000,MATCH($B757,'Master data'!$A$2:$A$1000,0),MATCH(D$1,'Master data'!$B$1:$CL$1,0)),"")</f>
        <v/>
      </c>
      <c r="E757" s="5" t="str">
        <f>IFERROR(INDEX('Master data'!$B$2:$CL$1000,MATCH($B757,'Master data'!$A$2:$A$1000,0),MATCH(E$1,'Master data'!$B$1:$CL$1,0)),"")</f>
        <v/>
      </c>
      <c r="F757" s="7" t="str">
        <f>IFERROR(INDEX('Master data'!$B$2:$CL$1000,MATCH($B757,'Master data'!$A$2:$A$1000,0),MATCH(F$1,'Master data'!$B$1:$CL$1,0)),"")</f>
        <v/>
      </c>
      <c r="G757" s="7" t="str">
        <f>IFERROR(INDEX('Master data'!$B$2:$CL$1000,MATCH($B757,'Master data'!$A$2:$A$1000,0),MATCH(G$1,'Master data'!$B$1:$CL$1,0)),"")</f>
        <v/>
      </c>
      <c r="H757" s="7" t="str">
        <f>IFERROR(INDEX('Master data'!$B$2:$CL$1000,MATCH($B757,'Master data'!$A$2:$A$1000,0),MATCH(H$1,'Master data'!$B$1:$CL$1,0)),"")</f>
        <v/>
      </c>
      <c r="I757" s="7" t="str">
        <f>IFERROR(INDEX('Master data'!$B$2:$CL$1000,MATCH($B757,'Master data'!$A$2:$A$1000,0),MATCH(I$1,'Master data'!$B$1:$CL$1,0)),"")</f>
        <v/>
      </c>
      <c r="J757" s="7" t="str">
        <f>IFERROR(INDEX('Master data'!$B$2:$CL$1000,MATCH($B757,'Master data'!$A$2:$A$1000,0),MATCH(J$1,'Master data'!$B$1:$CL$1,0)),"")</f>
        <v/>
      </c>
      <c r="K757" s="7" t="str">
        <f>IFERROR(INDEX('Master data'!$B$2:$CL$1000,MATCH($B757,'Master data'!$A$2:$A$1000,0),MATCH(K$1,'Master data'!$B$1:$CL$1,0)),"")</f>
        <v/>
      </c>
      <c r="L757" s="7" t="str">
        <f>IFERROR(INDEX('Master data'!$B$2:$CL$1000,MATCH($B757,'Master data'!$A$2:$A$1000,0),MATCH(L$1,'Master data'!$B$1:$CL$1,0)),"")</f>
        <v/>
      </c>
      <c r="M757" s="5" t="str">
        <f>IFERROR(INDEX('Master data'!$B$2:$CL$1000,MATCH($B757,'Master data'!$A$2:$A$1000,0),MATCH(M$1,'Master data'!$B$1:$CL$1,0)),"")</f>
        <v/>
      </c>
      <c r="N757" s="28" t="str">
        <f>IFERROR(INDEX('Master data'!$B$2:$CL$1000,MATCH($B757,'Master data'!$A$2:$A$1000,0),MATCH(N$1,'Master data'!$B$1:$CL$1,0)),"")</f>
        <v/>
      </c>
      <c r="O757" s="7" t="str">
        <f>IFERROR(INDEX('Master data'!$B$2:$CL$1000,MATCH($B757,'Master data'!$A$2:$A$1000,0),MATCH(O$1,'Master data'!$B$1:$CL$1,0)),"")</f>
        <v/>
      </c>
      <c r="P757" s="5" t="str">
        <f>IFERROR(INDEX('Master data'!$B$2:$CL$1000,MATCH($B757,'Master data'!$A$2:$A$1000,0),MATCH(P$1,'Master data'!$B$1:$CL$1,0)),"")</f>
        <v/>
      </c>
      <c r="Q757" s="5" t="str">
        <f>IFERROR(INDEX('Master data'!$B$2:$CL$1000,MATCH($B757,'Master data'!$A$2:$A$1000,0),MATCH(Q$1,'Master data'!$B$1:$CL$1,0)),"")</f>
        <v/>
      </c>
    </row>
    <row r="758" spans="1:17" hidden="1">
      <c r="A758" t="str">
        <f t="shared" si="11"/>
        <v/>
      </c>
      <c r="B758" t="str">
        <f>IF('Master data'!A758="","",'Master data'!A758)</f>
        <v/>
      </c>
      <c r="C758" t="str">
        <f>IFERROR(INDEX('Master data'!$B$2:$CL$1000,MATCH($B758,'Master data'!$A$2:$A$1000,0),MATCH(C$1,'Master data'!$B$1:$CL$1,0)),"")</f>
        <v/>
      </c>
      <c r="D758" t="str">
        <f>IFERROR(INDEX('Master data'!$B$2:$CL$1000,MATCH($B758,'Master data'!$A$2:$A$1000,0),MATCH(D$1,'Master data'!$B$1:$CL$1,0)),"")</f>
        <v/>
      </c>
      <c r="E758" s="5" t="str">
        <f>IFERROR(INDEX('Master data'!$B$2:$CL$1000,MATCH($B758,'Master data'!$A$2:$A$1000,0),MATCH(E$1,'Master data'!$B$1:$CL$1,0)),"")</f>
        <v/>
      </c>
      <c r="F758" s="7" t="str">
        <f>IFERROR(INDEX('Master data'!$B$2:$CL$1000,MATCH($B758,'Master data'!$A$2:$A$1000,0),MATCH(F$1,'Master data'!$B$1:$CL$1,0)),"")</f>
        <v/>
      </c>
      <c r="G758" s="7" t="str">
        <f>IFERROR(INDEX('Master data'!$B$2:$CL$1000,MATCH($B758,'Master data'!$A$2:$A$1000,0),MATCH(G$1,'Master data'!$B$1:$CL$1,0)),"")</f>
        <v/>
      </c>
      <c r="H758" s="7" t="str">
        <f>IFERROR(INDEX('Master data'!$B$2:$CL$1000,MATCH($B758,'Master data'!$A$2:$A$1000,0),MATCH(H$1,'Master data'!$B$1:$CL$1,0)),"")</f>
        <v/>
      </c>
      <c r="I758" s="7" t="str">
        <f>IFERROR(INDEX('Master data'!$B$2:$CL$1000,MATCH($B758,'Master data'!$A$2:$A$1000,0),MATCH(I$1,'Master data'!$B$1:$CL$1,0)),"")</f>
        <v/>
      </c>
      <c r="J758" s="7" t="str">
        <f>IFERROR(INDEX('Master data'!$B$2:$CL$1000,MATCH($B758,'Master data'!$A$2:$A$1000,0),MATCH(J$1,'Master data'!$B$1:$CL$1,0)),"")</f>
        <v/>
      </c>
      <c r="K758" s="7" t="str">
        <f>IFERROR(INDEX('Master data'!$B$2:$CL$1000,MATCH($B758,'Master data'!$A$2:$A$1000,0),MATCH(K$1,'Master data'!$B$1:$CL$1,0)),"")</f>
        <v/>
      </c>
      <c r="L758" s="7" t="str">
        <f>IFERROR(INDEX('Master data'!$B$2:$CL$1000,MATCH($B758,'Master data'!$A$2:$A$1000,0),MATCH(L$1,'Master data'!$B$1:$CL$1,0)),"")</f>
        <v/>
      </c>
      <c r="M758" s="5" t="str">
        <f>IFERROR(INDEX('Master data'!$B$2:$CL$1000,MATCH($B758,'Master data'!$A$2:$A$1000,0),MATCH(M$1,'Master data'!$B$1:$CL$1,0)),"")</f>
        <v/>
      </c>
      <c r="N758" s="28" t="str">
        <f>IFERROR(INDEX('Master data'!$B$2:$CL$1000,MATCH($B758,'Master data'!$A$2:$A$1000,0),MATCH(N$1,'Master data'!$B$1:$CL$1,0)),"")</f>
        <v/>
      </c>
      <c r="O758" s="7" t="str">
        <f>IFERROR(INDEX('Master data'!$B$2:$CL$1000,MATCH($B758,'Master data'!$A$2:$A$1000,0),MATCH(O$1,'Master data'!$B$1:$CL$1,0)),"")</f>
        <v/>
      </c>
      <c r="P758" s="5" t="str">
        <f>IFERROR(INDEX('Master data'!$B$2:$CL$1000,MATCH($B758,'Master data'!$A$2:$A$1000,0),MATCH(P$1,'Master data'!$B$1:$CL$1,0)),"")</f>
        <v/>
      </c>
      <c r="Q758" s="5" t="str">
        <f>IFERROR(INDEX('Master data'!$B$2:$CL$1000,MATCH($B758,'Master data'!$A$2:$A$1000,0),MATCH(Q$1,'Master data'!$B$1:$CL$1,0)),"")</f>
        <v/>
      </c>
    </row>
    <row r="759" spans="1:17" hidden="1">
      <c r="A759" t="str">
        <f t="shared" si="11"/>
        <v/>
      </c>
      <c r="B759" t="str">
        <f>IF('Master data'!A759="","",'Master data'!A759)</f>
        <v/>
      </c>
      <c r="C759" t="str">
        <f>IFERROR(INDEX('Master data'!$B$2:$CL$1000,MATCH($B759,'Master data'!$A$2:$A$1000,0),MATCH(C$1,'Master data'!$B$1:$CL$1,0)),"")</f>
        <v/>
      </c>
      <c r="D759" t="str">
        <f>IFERROR(INDEX('Master data'!$B$2:$CL$1000,MATCH($B759,'Master data'!$A$2:$A$1000,0),MATCH(D$1,'Master data'!$B$1:$CL$1,0)),"")</f>
        <v/>
      </c>
      <c r="E759" s="5" t="str">
        <f>IFERROR(INDEX('Master data'!$B$2:$CL$1000,MATCH($B759,'Master data'!$A$2:$A$1000,0),MATCH(E$1,'Master data'!$B$1:$CL$1,0)),"")</f>
        <v/>
      </c>
      <c r="F759" s="7" t="str">
        <f>IFERROR(INDEX('Master data'!$B$2:$CL$1000,MATCH($B759,'Master data'!$A$2:$A$1000,0),MATCH(F$1,'Master data'!$B$1:$CL$1,0)),"")</f>
        <v/>
      </c>
      <c r="G759" s="7" t="str">
        <f>IFERROR(INDEX('Master data'!$B$2:$CL$1000,MATCH($B759,'Master data'!$A$2:$A$1000,0),MATCH(G$1,'Master data'!$B$1:$CL$1,0)),"")</f>
        <v/>
      </c>
      <c r="H759" s="7" t="str">
        <f>IFERROR(INDEX('Master data'!$B$2:$CL$1000,MATCH($B759,'Master data'!$A$2:$A$1000,0),MATCH(H$1,'Master data'!$B$1:$CL$1,0)),"")</f>
        <v/>
      </c>
      <c r="I759" s="7" t="str">
        <f>IFERROR(INDEX('Master data'!$B$2:$CL$1000,MATCH($B759,'Master data'!$A$2:$A$1000,0),MATCH(I$1,'Master data'!$B$1:$CL$1,0)),"")</f>
        <v/>
      </c>
      <c r="J759" s="7" t="str">
        <f>IFERROR(INDEX('Master data'!$B$2:$CL$1000,MATCH($B759,'Master data'!$A$2:$A$1000,0),MATCH(J$1,'Master data'!$B$1:$CL$1,0)),"")</f>
        <v/>
      </c>
      <c r="K759" s="7" t="str">
        <f>IFERROR(INDEX('Master data'!$B$2:$CL$1000,MATCH($B759,'Master data'!$A$2:$A$1000,0),MATCH(K$1,'Master data'!$B$1:$CL$1,0)),"")</f>
        <v/>
      </c>
      <c r="L759" s="7" t="str">
        <f>IFERROR(INDEX('Master data'!$B$2:$CL$1000,MATCH($B759,'Master data'!$A$2:$A$1000,0),MATCH(L$1,'Master data'!$B$1:$CL$1,0)),"")</f>
        <v/>
      </c>
      <c r="M759" s="5" t="str">
        <f>IFERROR(INDEX('Master data'!$B$2:$CL$1000,MATCH($B759,'Master data'!$A$2:$A$1000,0),MATCH(M$1,'Master data'!$B$1:$CL$1,0)),"")</f>
        <v/>
      </c>
      <c r="N759" s="28" t="str">
        <f>IFERROR(INDEX('Master data'!$B$2:$CL$1000,MATCH($B759,'Master data'!$A$2:$A$1000,0),MATCH(N$1,'Master data'!$B$1:$CL$1,0)),"")</f>
        <v/>
      </c>
      <c r="O759" s="7" t="str">
        <f>IFERROR(INDEX('Master data'!$B$2:$CL$1000,MATCH($B759,'Master data'!$A$2:$A$1000,0),MATCH(O$1,'Master data'!$B$1:$CL$1,0)),"")</f>
        <v/>
      </c>
      <c r="P759" s="5" t="str">
        <f>IFERROR(INDEX('Master data'!$B$2:$CL$1000,MATCH($B759,'Master data'!$A$2:$A$1000,0),MATCH(P$1,'Master data'!$B$1:$CL$1,0)),"")</f>
        <v/>
      </c>
      <c r="Q759" s="5" t="str">
        <f>IFERROR(INDEX('Master data'!$B$2:$CL$1000,MATCH($B759,'Master data'!$A$2:$A$1000,0),MATCH(Q$1,'Master data'!$B$1:$CL$1,0)),"")</f>
        <v/>
      </c>
    </row>
    <row r="760" spans="1:17" hidden="1">
      <c r="A760" t="str">
        <f t="shared" si="11"/>
        <v/>
      </c>
      <c r="B760" t="str">
        <f>IF('Master data'!A760="","",'Master data'!A760)</f>
        <v/>
      </c>
      <c r="C760" t="str">
        <f>IFERROR(INDEX('Master data'!$B$2:$CL$1000,MATCH($B760,'Master data'!$A$2:$A$1000,0),MATCH(C$1,'Master data'!$B$1:$CL$1,0)),"")</f>
        <v/>
      </c>
      <c r="D760" t="str">
        <f>IFERROR(INDEX('Master data'!$B$2:$CL$1000,MATCH($B760,'Master data'!$A$2:$A$1000,0),MATCH(D$1,'Master data'!$B$1:$CL$1,0)),"")</f>
        <v/>
      </c>
      <c r="E760" s="5" t="str">
        <f>IFERROR(INDEX('Master data'!$B$2:$CL$1000,MATCH($B760,'Master data'!$A$2:$A$1000,0),MATCH(E$1,'Master data'!$B$1:$CL$1,0)),"")</f>
        <v/>
      </c>
      <c r="F760" s="7" t="str">
        <f>IFERROR(INDEX('Master data'!$B$2:$CL$1000,MATCH($B760,'Master data'!$A$2:$A$1000,0),MATCH(F$1,'Master data'!$B$1:$CL$1,0)),"")</f>
        <v/>
      </c>
      <c r="G760" s="7" t="str">
        <f>IFERROR(INDEX('Master data'!$B$2:$CL$1000,MATCH($B760,'Master data'!$A$2:$A$1000,0),MATCH(G$1,'Master data'!$B$1:$CL$1,0)),"")</f>
        <v/>
      </c>
      <c r="H760" s="7" t="str">
        <f>IFERROR(INDEX('Master data'!$B$2:$CL$1000,MATCH($B760,'Master data'!$A$2:$A$1000,0),MATCH(H$1,'Master data'!$B$1:$CL$1,0)),"")</f>
        <v/>
      </c>
      <c r="I760" s="7" t="str">
        <f>IFERROR(INDEX('Master data'!$B$2:$CL$1000,MATCH($B760,'Master data'!$A$2:$A$1000,0),MATCH(I$1,'Master data'!$B$1:$CL$1,0)),"")</f>
        <v/>
      </c>
      <c r="J760" s="7" t="str">
        <f>IFERROR(INDEX('Master data'!$B$2:$CL$1000,MATCH($B760,'Master data'!$A$2:$A$1000,0),MATCH(J$1,'Master data'!$B$1:$CL$1,0)),"")</f>
        <v/>
      </c>
      <c r="K760" s="7" t="str">
        <f>IFERROR(INDEX('Master data'!$B$2:$CL$1000,MATCH($B760,'Master data'!$A$2:$A$1000,0),MATCH(K$1,'Master data'!$B$1:$CL$1,0)),"")</f>
        <v/>
      </c>
      <c r="L760" s="7" t="str">
        <f>IFERROR(INDEX('Master data'!$B$2:$CL$1000,MATCH($B760,'Master data'!$A$2:$A$1000,0),MATCH(L$1,'Master data'!$B$1:$CL$1,0)),"")</f>
        <v/>
      </c>
      <c r="M760" s="5" t="str">
        <f>IFERROR(INDEX('Master data'!$B$2:$CL$1000,MATCH($B760,'Master data'!$A$2:$A$1000,0),MATCH(M$1,'Master data'!$B$1:$CL$1,0)),"")</f>
        <v/>
      </c>
      <c r="N760" s="28" t="str">
        <f>IFERROR(INDEX('Master data'!$B$2:$CL$1000,MATCH($B760,'Master data'!$A$2:$A$1000,0),MATCH(N$1,'Master data'!$B$1:$CL$1,0)),"")</f>
        <v/>
      </c>
      <c r="O760" s="7" t="str">
        <f>IFERROR(INDEX('Master data'!$B$2:$CL$1000,MATCH($B760,'Master data'!$A$2:$A$1000,0),MATCH(O$1,'Master data'!$B$1:$CL$1,0)),"")</f>
        <v/>
      </c>
      <c r="P760" s="5" t="str">
        <f>IFERROR(INDEX('Master data'!$B$2:$CL$1000,MATCH($B760,'Master data'!$A$2:$A$1000,0),MATCH(P$1,'Master data'!$B$1:$CL$1,0)),"")</f>
        <v/>
      </c>
      <c r="Q760" s="5" t="str">
        <f>IFERROR(INDEX('Master data'!$B$2:$CL$1000,MATCH($B760,'Master data'!$A$2:$A$1000,0),MATCH(Q$1,'Master data'!$B$1:$CL$1,0)),"")</f>
        <v/>
      </c>
    </row>
    <row r="761" spans="1:17" hidden="1">
      <c r="A761" t="str">
        <f t="shared" si="11"/>
        <v/>
      </c>
      <c r="B761" t="str">
        <f>IF('Master data'!A761="","",'Master data'!A761)</f>
        <v/>
      </c>
      <c r="C761" t="str">
        <f>IFERROR(INDEX('Master data'!$B$2:$CL$1000,MATCH($B761,'Master data'!$A$2:$A$1000,0),MATCH(C$1,'Master data'!$B$1:$CL$1,0)),"")</f>
        <v/>
      </c>
      <c r="D761" t="str">
        <f>IFERROR(INDEX('Master data'!$B$2:$CL$1000,MATCH($B761,'Master data'!$A$2:$A$1000,0),MATCH(D$1,'Master data'!$B$1:$CL$1,0)),"")</f>
        <v/>
      </c>
      <c r="E761" s="5" t="str">
        <f>IFERROR(INDEX('Master data'!$B$2:$CL$1000,MATCH($B761,'Master data'!$A$2:$A$1000,0),MATCH(E$1,'Master data'!$B$1:$CL$1,0)),"")</f>
        <v/>
      </c>
      <c r="F761" s="7" t="str">
        <f>IFERROR(INDEX('Master data'!$B$2:$CL$1000,MATCH($B761,'Master data'!$A$2:$A$1000,0),MATCH(F$1,'Master data'!$B$1:$CL$1,0)),"")</f>
        <v/>
      </c>
      <c r="G761" s="7" t="str">
        <f>IFERROR(INDEX('Master data'!$B$2:$CL$1000,MATCH($B761,'Master data'!$A$2:$A$1000,0),MATCH(G$1,'Master data'!$B$1:$CL$1,0)),"")</f>
        <v/>
      </c>
      <c r="H761" s="7" t="str">
        <f>IFERROR(INDEX('Master data'!$B$2:$CL$1000,MATCH($B761,'Master data'!$A$2:$A$1000,0),MATCH(H$1,'Master data'!$B$1:$CL$1,0)),"")</f>
        <v/>
      </c>
      <c r="I761" s="7" t="str">
        <f>IFERROR(INDEX('Master data'!$B$2:$CL$1000,MATCH($B761,'Master data'!$A$2:$A$1000,0),MATCH(I$1,'Master data'!$B$1:$CL$1,0)),"")</f>
        <v/>
      </c>
      <c r="J761" s="7" t="str">
        <f>IFERROR(INDEX('Master data'!$B$2:$CL$1000,MATCH($B761,'Master data'!$A$2:$A$1000,0),MATCH(J$1,'Master data'!$B$1:$CL$1,0)),"")</f>
        <v/>
      </c>
      <c r="K761" s="7" t="str">
        <f>IFERROR(INDEX('Master data'!$B$2:$CL$1000,MATCH($B761,'Master data'!$A$2:$A$1000,0),MATCH(K$1,'Master data'!$B$1:$CL$1,0)),"")</f>
        <v/>
      </c>
      <c r="L761" s="7" t="str">
        <f>IFERROR(INDEX('Master data'!$B$2:$CL$1000,MATCH($B761,'Master data'!$A$2:$A$1000,0),MATCH(L$1,'Master data'!$B$1:$CL$1,0)),"")</f>
        <v/>
      </c>
      <c r="M761" s="5" t="str">
        <f>IFERROR(INDEX('Master data'!$B$2:$CL$1000,MATCH($B761,'Master data'!$A$2:$A$1000,0),MATCH(M$1,'Master data'!$B$1:$CL$1,0)),"")</f>
        <v/>
      </c>
      <c r="N761" s="28" t="str">
        <f>IFERROR(INDEX('Master data'!$B$2:$CL$1000,MATCH($B761,'Master data'!$A$2:$A$1000,0),MATCH(N$1,'Master data'!$B$1:$CL$1,0)),"")</f>
        <v/>
      </c>
      <c r="O761" s="7" t="str">
        <f>IFERROR(INDEX('Master data'!$B$2:$CL$1000,MATCH($B761,'Master data'!$A$2:$A$1000,0),MATCH(O$1,'Master data'!$B$1:$CL$1,0)),"")</f>
        <v/>
      </c>
      <c r="P761" s="5" t="str">
        <f>IFERROR(INDEX('Master data'!$B$2:$CL$1000,MATCH($B761,'Master data'!$A$2:$A$1000,0),MATCH(P$1,'Master data'!$B$1:$CL$1,0)),"")</f>
        <v/>
      </c>
      <c r="Q761" s="5" t="str">
        <f>IFERROR(INDEX('Master data'!$B$2:$CL$1000,MATCH($B761,'Master data'!$A$2:$A$1000,0),MATCH(Q$1,'Master data'!$B$1:$CL$1,0)),"")</f>
        <v/>
      </c>
    </row>
    <row r="762" spans="1:17" hidden="1">
      <c r="A762" t="str">
        <f t="shared" si="11"/>
        <v/>
      </c>
      <c r="B762" t="str">
        <f>IF('Master data'!A762="","",'Master data'!A762)</f>
        <v/>
      </c>
      <c r="C762" t="str">
        <f>IFERROR(INDEX('Master data'!$B$2:$CL$1000,MATCH($B762,'Master data'!$A$2:$A$1000,0),MATCH(C$1,'Master data'!$B$1:$CL$1,0)),"")</f>
        <v/>
      </c>
      <c r="D762" t="str">
        <f>IFERROR(INDEX('Master data'!$B$2:$CL$1000,MATCH($B762,'Master data'!$A$2:$A$1000,0),MATCH(D$1,'Master data'!$B$1:$CL$1,0)),"")</f>
        <v/>
      </c>
      <c r="E762" s="5" t="str">
        <f>IFERROR(INDEX('Master data'!$B$2:$CL$1000,MATCH($B762,'Master data'!$A$2:$A$1000,0),MATCH(E$1,'Master data'!$B$1:$CL$1,0)),"")</f>
        <v/>
      </c>
      <c r="F762" s="7" t="str">
        <f>IFERROR(INDEX('Master data'!$B$2:$CL$1000,MATCH($B762,'Master data'!$A$2:$A$1000,0),MATCH(F$1,'Master data'!$B$1:$CL$1,0)),"")</f>
        <v/>
      </c>
      <c r="G762" s="7" t="str">
        <f>IFERROR(INDEX('Master data'!$B$2:$CL$1000,MATCH($B762,'Master data'!$A$2:$A$1000,0),MATCH(G$1,'Master data'!$B$1:$CL$1,0)),"")</f>
        <v/>
      </c>
      <c r="H762" s="7" t="str">
        <f>IFERROR(INDEX('Master data'!$B$2:$CL$1000,MATCH($B762,'Master data'!$A$2:$A$1000,0),MATCH(H$1,'Master data'!$B$1:$CL$1,0)),"")</f>
        <v/>
      </c>
      <c r="I762" s="7" t="str">
        <f>IFERROR(INDEX('Master data'!$B$2:$CL$1000,MATCH($B762,'Master data'!$A$2:$A$1000,0),MATCH(I$1,'Master data'!$B$1:$CL$1,0)),"")</f>
        <v/>
      </c>
      <c r="J762" s="7" t="str">
        <f>IFERROR(INDEX('Master data'!$B$2:$CL$1000,MATCH($B762,'Master data'!$A$2:$A$1000,0),MATCH(J$1,'Master data'!$B$1:$CL$1,0)),"")</f>
        <v/>
      </c>
      <c r="K762" s="7" t="str">
        <f>IFERROR(INDEX('Master data'!$B$2:$CL$1000,MATCH($B762,'Master data'!$A$2:$A$1000,0),MATCH(K$1,'Master data'!$B$1:$CL$1,0)),"")</f>
        <v/>
      </c>
      <c r="L762" s="7" t="str">
        <f>IFERROR(INDEX('Master data'!$B$2:$CL$1000,MATCH($B762,'Master data'!$A$2:$A$1000,0),MATCH(L$1,'Master data'!$B$1:$CL$1,0)),"")</f>
        <v/>
      </c>
      <c r="M762" s="5" t="str">
        <f>IFERROR(INDEX('Master data'!$B$2:$CL$1000,MATCH($B762,'Master data'!$A$2:$A$1000,0),MATCH(M$1,'Master data'!$B$1:$CL$1,0)),"")</f>
        <v/>
      </c>
      <c r="N762" s="28" t="str">
        <f>IFERROR(INDEX('Master data'!$B$2:$CL$1000,MATCH($B762,'Master data'!$A$2:$A$1000,0),MATCH(N$1,'Master data'!$B$1:$CL$1,0)),"")</f>
        <v/>
      </c>
      <c r="O762" s="7" t="str">
        <f>IFERROR(INDEX('Master data'!$B$2:$CL$1000,MATCH($B762,'Master data'!$A$2:$A$1000,0),MATCH(O$1,'Master data'!$B$1:$CL$1,0)),"")</f>
        <v/>
      </c>
      <c r="P762" s="5" t="str">
        <f>IFERROR(INDEX('Master data'!$B$2:$CL$1000,MATCH($B762,'Master data'!$A$2:$A$1000,0),MATCH(P$1,'Master data'!$B$1:$CL$1,0)),"")</f>
        <v/>
      </c>
      <c r="Q762" s="5" t="str">
        <f>IFERROR(INDEX('Master data'!$B$2:$CL$1000,MATCH($B762,'Master data'!$A$2:$A$1000,0),MATCH(Q$1,'Master data'!$B$1:$CL$1,0)),"")</f>
        <v/>
      </c>
    </row>
    <row r="763" spans="1:17" hidden="1">
      <c r="A763" t="str">
        <f t="shared" si="11"/>
        <v/>
      </c>
      <c r="B763" t="str">
        <f>IF('Master data'!A763="","",'Master data'!A763)</f>
        <v/>
      </c>
      <c r="C763" t="str">
        <f>IFERROR(INDEX('Master data'!$B$2:$CL$1000,MATCH($B763,'Master data'!$A$2:$A$1000,0),MATCH(C$1,'Master data'!$B$1:$CL$1,0)),"")</f>
        <v/>
      </c>
      <c r="D763" t="str">
        <f>IFERROR(INDEX('Master data'!$B$2:$CL$1000,MATCH($B763,'Master data'!$A$2:$A$1000,0),MATCH(D$1,'Master data'!$B$1:$CL$1,0)),"")</f>
        <v/>
      </c>
      <c r="E763" s="5" t="str">
        <f>IFERROR(INDEX('Master data'!$B$2:$CL$1000,MATCH($B763,'Master data'!$A$2:$A$1000,0),MATCH(E$1,'Master data'!$B$1:$CL$1,0)),"")</f>
        <v/>
      </c>
      <c r="F763" s="7" t="str">
        <f>IFERROR(INDEX('Master data'!$B$2:$CL$1000,MATCH($B763,'Master data'!$A$2:$A$1000,0),MATCH(F$1,'Master data'!$B$1:$CL$1,0)),"")</f>
        <v/>
      </c>
      <c r="G763" s="7" t="str">
        <f>IFERROR(INDEX('Master data'!$B$2:$CL$1000,MATCH($B763,'Master data'!$A$2:$A$1000,0),MATCH(G$1,'Master data'!$B$1:$CL$1,0)),"")</f>
        <v/>
      </c>
      <c r="H763" s="7" t="str">
        <f>IFERROR(INDEX('Master data'!$B$2:$CL$1000,MATCH($B763,'Master data'!$A$2:$A$1000,0),MATCH(H$1,'Master data'!$B$1:$CL$1,0)),"")</f>
        <v/>
      </c>
      <c r="I763" s="7" t="str">
        <f>IFERROR(INDEX('Master data'!$B$2:$CL$1000,MATCH($B763,'Master data'!$A$2:$A$1000,0),MATCH(I$1,'Master data'!$B$1:$CL$1,0)),"")</f>
        <v/>
      </c>
      <c r="J763" s="7" t="str">
        <f>IFERROR(INDEX('Master data'!$B$2:$CL$1000,MATCH($B763,'Master data'!$A$2:$A$1000,0),MATCH(J$1,'Master data'!$B$1:$CL$1,0)),"")</f>
        <v/>
      </c>
      <c r="K763" s="7" t="str">
        <f>IFERROR(INDEX('Master data'!$B$2:$CL$1000,MATCH($B763,'Master data'!$A$2:$A$1000,0),MATCH(K$1,'Master data'!$B$1:$CL$1,0)),"")</f>
        <v/>
      </c>
      <c r="L763" s="7" t="str">
        <f>IFERROR(INDEX('Master data'!$B$2:$CL$1000,MATCH($B763,'Master data'!$A$2:$A$1000,0),MATCH(L$1,'Master data'!$B$1:$CL$1,0)),"")</f>
        <v/>
      </c>
      <c r="M763" s="5" t="str">
        <f>IFERROR(INDEX('Master data'!$B$2:$CL$1000,MATCH($B763,'Master data'!$A$2:$A$1000,0),MATCH(M$1,'Master data'!$B$1:$CL$1,0)),"")</f>
        <v/>
      </c>
      <c r="N763" s="28" t="str">
        <f>IFERROR(INDEX('Master data'!$B$2:$CL$1000,MATCH($B763,'Master data'!$A$2:$A$1000,0),MATCH(N$1,'Master data'!$B$1:$CL$1,0)),"")</f>
        <v/>
      </c>
      <c r="O763" s="7" t="str">
        <f>IFERROR(INDEX('Master data'!$B$2:$CL$1000,MATCH($B763,'Master data'!$A$2:$A$1000,0),MATCH(O$1,'Master data'!$B$1:$CL$1,0)),"")</f>
        <v/>
      </c>
      <c r="P763" s="5" t="str">
        <f>IFERROR(INDEX('Master data'!$B$2:$CL$1000,MATCH($B763,'Master data'!$A$2:$A$1000,0),MATCH(P$1,'Master data'!$B$1:$CL$1,0)),"")</f>
        <v/>
      </c>
      <c r="Q763" s="5" t="str">
        <f>IFERROR(INDEX('Master data'!$B$2:$CL$1000,MATCH($B763,'Master data'!$A$2:$A$1000,0),MATCH(Q$1,'Master data'!$B$1:$CL$1,0)),"")</f>
        <v/>
      </c>
    </row>
    <row r="764" spans="1:17" hidden="1">
      <c r="A764" t="str">
        <f t="shared" si="11"/>
        <v/>
      </c>
      <c r="B764" t="str">
        <f>IF('Master data'!A764="","",'Master data'!A764)</f>
        <v/>
      </c>
      <c r="C764" t="str">
        <f>IFERROR(INDEX('Master data'!$B$2:$CL$1000,MATCH($B764,'Master data'!$A$2:$A$1000,0),MATCH(C$1,'Master data'!$B$1:$CL$1,0)),"")</f>
        <v/>
      </c>
      <c r="D764" t="str">
        <f>IFERROR(INDEX('Master data'!$B$2:$CL$1000,MATCH($B764,'Master data'!$A$2:$A$1000,0),MATCH(D$1,'Master data'!$B$1:$CL$1,0)),"")</f>
        <v/>
      </c>
      <c r="E764" s="5" t="str">
        <f>IFERROR(INDEX('Master data'!$B$2:$CL$1000,MATCH($B764,'Master data'!$A$2:$A$1000,0),MATCH(E$1,'Master data'!$B$1:$CL$1,0)),"")</f>
        <v/>
      </c>
      <c r="F764" s="7" t="str">
        <f>IFERROR(INDEX('Master data'!$B$2:$CL$1000,MATCH($B764,'Master data'!$A$2:$A$1000,0),MATCH(F$1,'Master data'!$B$1:$CL$1,0)),"")</f>
        <v/>
      </c>
      <c r="G764" s="7" t="str">
        <f>IFERROR(INDEX('Master data'!$B$2:$CL$1000,MATCH($B764,'Master data'!$A$2:$A$1000,0),MATCH(G$1,'Master data'!$B$1:$CL$1,0)),"")</f>
        <v/>
      </c>
      <c r="H764" s="7" t="str">
        <f>IFERROR(INDEX('Master data'!$B$2:$CL$1000,MATCH($B764,'Master data'!$A$2:$A$1000,0),MATCH(H$1,'Master data'!$B$1:$CL$1,0)),"")</f>
        <v/>
      </c>
      <c r="I764" s="7" t="str">
        <f>IFERROR(INDEX('Master data'!$B$2:$CL$1000,MATCH($B764,'Master data'!$A$2:$A$1000,0),MATCH(I$1,'Master data'!$B$1:$CL$1,0)),"")</f>
        <v/>
      </c>
      <c r="J764" s="7" t="str">
        <f>IFERROR(INDEX('Master data'!$B$2:$CL$1000,MATCH($B764,'Master data'!$A$2:$A$1000,0),MATCH(J$1,'Master data'!$B$1:$CL$1,0)),"")</f>
        <v/>
      </c>
      <c r="K764" s="7" t="str">
        <f>IFERROR(INDEX('Master data'!$B$2:$CL$1000,MATCH($B764,'Master data'!$A$2:$A$1000,0),MATCH(K$1,'Master data'!$B$1:$CL$1,0)),"")</f>
        <v/>
      </c>
      <c r="L764" s="7" t="str">
        <f>IFERROR(INDEX('Master data'!$B$2:$CL$1000,MATCH($B764,'Master data'!$A$2:$A$1000,0),MATCH(L$1,'Master data'!$B$1:$CL$1,0)),"")</f>
        <v/>
      </c>
      <c r="M764" s="5" t="str">
        <f>IFERROR(INDEX('Master data'!$B$2:$CL$1000,MATCH($B764,'Master data'!$A$2:$A$1000,0),MATCH(M$1,'Master data'!$B$1:$CL$1,0)),"")</f>
        <v/>
      </c>
      <c r="N764" s="28" t="str">
        <f>IFERROR(INDEX('Master data'!$B$2:$CL$1000,MATCH($B764,'Master data'!$A$2:$A$1000,0),MATCH(N$1,'Master data'!$B$1:$CL$1,0)),"")</f>
        <v/>
      </c>
      <c r="O764" s="7" t="str">
        <f>IFERROR(INDEX('Master data'!$B$2:$CL$1000,MATCH($B764,'Master data'!$A$2:$A$1000,0),MATCH(O$1,'Master data'!$B$1:$CL$1,0)),"")</f>
        <v/>
      </c>
      <c r="P764" s="5" t="str">
        <f>IFERROR(INDEX('Master data'!$B$2:$CL$1000,MATCH($B764,'Master data'!$A$2:$A$1000,0),MATCH(P$1,'Master data'!$B$1:$CL$1,0)),"")</f>
        <v/>
      </c>
      <c r="Q764" s="5" t="str">
        <f>IFERROR(INDEX('Master data'!$B$2:$CL$1000,MATCH($B764,'Master data'!$A$2:$A$1000,0),MATCH(Q$1,'Master data'!$B$1:$CL$1,0)),"")</f>
        <v/>
      </c>
    </row>
    <row r="765" spans="1:17" hidden="1">
      <c r="A765" t="str">
        <f t="shared" si="11"/>
        <v/>
      </c>
      <c r="B765" t="str">
        <f>IF('Master data'!A765="","",'Master data'!A765)</f>
        <v/>
      </c>
      <c r="C765" t="str">
        <f>IFERROR(INDEX('Master data'!$B$2:$CL$1000,MATCH($B765,'Master data'!$A$2:$A$1000,0),MATCH(C$1,'Master data'!$B$1:$CL$1,0)),"")</f>
        <v/>
      </c>
      <c r="D765" t="str">
        <f>IFERROR(INDEX('Master data'!$B$2:$CL$1000,MATCH($B765,'Master data'!$A$2:$A$1000,0),MATCH(D$1,'Master data'!$B$1:$CL$1,0)),"")</f>
        <v/>
      </c>
      <c r="E765" s="5" t="str">
        <f>IFERROR(INDEX('Master data'!$B$2:$CL$1000,MATCH($B765,'Master data'!$A$2:$A$1000,0),MATCH(E$1,'Master data'!$B$1:$CL$1,0)),"")</f>
        <v/>
      </c>
      <c r="F765" s="7" t="str">
        <f>IFERROR(INDEX('Master data'!$B$2:$CL$1000,MATCH($B765,'Master data'!$A$2:$A$1000,0),MATCH(F$1,'Master data'!$B$1:$CL$1,0)),"")</f>
        <v/>
      </c>
      <c r="G765" s="7" t="str">
        <f>IFERROR(INDEX('Master data'!$B$2:$CL$1000,MATCH($B765,'Master data'!$A$2:$A$1000,0),MATCH(G$1,'Master data'!$B$1:$CL$1,0)),"")</f>
        <v/>
      </c>
      <c r="H765" s="7" t="str">
        <f>IFERROR(INDEX('Master data'!$B$2:$CL$1000,MATCH($B765,'Master data'!$A$2:$A$1000,0),MATCH(H$1,'Master data'!$B$1:$CL$1,0)),"")</f>
        <v/>
      </c>
      <c r="I765" s="7" t="str">
        <f>IFERROR(INDEX('Master data'!$B$2:$CL$1000,MATCH($B765,'Master data'!$A$2:$A$1000,0),MATCH(I$1,'Master data'!$B$1:$CL$1,0)),"")</f>
        <v/>
      </c>
      <c r="J765" s="7" t="str">
        <f>IFERROR(INDEX('Master data'!$B$2:$CL$1000,MATCH($B765,'Master data'!$A$2:$A$1000,0),MATCH(J$1,'Master data'!$B$1:$CL$1,0)),"")</f>
        <v/>
      </c>
      <c r="K765" s="7" t="str">
        <f>IFERROR(INDEX('Master data'!$B$2:$CL$1000,MATCH($B765,'Master data'!$A$2:$A$1000,0),MATCH(K$1,'Master data'!$B$1:$CL$1,0)),"")</f>
        <v/>
      </c>
      <c r="L765" s="7" t="str">
        <f>IFERROR(INDEX('Master data'!$B$2:$CL$1000,MATCH($B765,'Master data'!$A$2:$A$1000,0),MATCH(L$1,'Master data'!$B$1:$CL$1,0)),"")</f>
        <v/>
      </c>
      <c r="M765" s="5" t="str">
        <f>IFERROR(INDEX('Master data'!$B$2:$CL$1000,MATCH($B765,'Master data'!$A$2:$A$1000,0),MATCH(M$1,'Master data'!$B$1:$CL$1,0)),"")</f>
        <v/>
      </c>
      <c r="N765" s="28" t="str">
        <f>IFERROR(INDEX('Master data'!$B$2:$CL$1000,MATCH($B765,'Master data'!$A$2:$A$1000,0),MATCH(N$1,'Master data'!$B$1:$CL$1,0)),"")</f>
        <v/>
      </c>
      <c r="O765" s="7" t="str">
        <f>IFERROR(INDEX('Master data'!$B$2:$CL$1000,MATCH($B765,'Master data'!$A$2:$A$1000,0),MATCH(O$1,'Master data'!$B$1:$CL$1,0)),"")</f>
        <v/>
      </c>
      <c r="P765" s="5" t="str">
        <f>IFERROR(INDEX('Master data'!$B$2:$CL$1000,MATCH($B765,'Master data'!$A$2:$A$1000,0),MATCH(P$1,'Master data'!$B$1:$CL$1,0)),"")</f>
        <v/>
      </c>
      <c r="Q765" s="5" t="str">
        <f>IFERROR(INDEX('Master data'!$B$2:$CL$1000,MATCH($B765,'Master data'!$A$2:$A$1000,0),MATCH(Q$1,'Master data'!$B$1:$CL$1,0)),"")</f>
        <v/>
      </c>
    </row>
    <row r="766" spans="1:17" hidden="1">
      <c r="A766" t="str">
        <f t="shared" si="11"/>
        <v/>
      </c>
      <c r="B766" t="str">
        <f>IF('Master data'!A766="","",'Master data'!A766)</f>
        <v/>
      </c>
      <c r="C766" t="str">
        <f>IFERROR(INDEX('Master data'!$B$2:$CL$1000,MATCH($B766,'Master data'!$A$2:$A$1000,0),MATCH(C$1,'Master data'!$B$1:$CL$1,0)),"")</f>
        <v/>
      </c>
      <c r="D766" t="str">
        <f>IFERROR(INDEX('Master data'!$B$2:$CL$1000,MATCH($B766,'Master data'!$A$2:$A$1000,0),MATCH(D$1,'Master data'!$B$1:$CL$1,0)),"")</f>
        <v/>
      </c>
      <c r="E766" s="5" t="str">
        <f>IFERROR(INDEX('Master data'!$B$2:$CL$1000,MATCH($B766,'Master data'!$A$2:$A$1000,0),MATCH(E$1,'Master data'!$B$1:$CL$1,0)),"")</f>
        <v/>
      </c>
      <c r="F766" s="7" t="str">
        <f>IFERROR(INDEX('Master data'!$B$2:$CL$1000,MATCH($B766,'Master data'!$A$2:$A$1000,0),MATCH(F$1,'Master data'!$B$1:$CL$1,0)),"")</f>
        <v/>
      </c>
      <c r="G766" s="7" t="str">
        <f>IFERROR(INDEX('Master data'!$B$2:$CL$1000,MATCH($B766,'Master data'!$A$2:$A$1000,0),MATCH(G$1,'Master data'!$B$1:$CL$1,0)),"")</f>
        <v/>
      </c>
      <c r="H766" s="7" t="str">
        <f>IFERROR(INDEX('Master data'!$B$2:$CL$1000,MATCH($B766,'Master data'!$A$2:$A$1000,0),MATCH(H$1,'Master data'!$B$1:$CL$1,0)),"")</f>
        <v/>
      </c>
      <c r="I766" s="7" t="str">
        <f>IFERROR(INDEX('Master data'!$B$2:$CL$1000,MATCH($B766,'Master data'!$A$2:$A$1000,0),MATCH(I$1,'Master data'!$B$1:$CL$1,0)),"")</f>
        <v/>
      </c>
      <c r="J766" s="7" t="str">
        <f>IFERROR(INDEX('Master data'!$B$2:$CL$1000,MATCH($B766,'Master data'!$A$2:$A$1000,0),MATCH(J$1,'Master data'!$B$1:$CL$1,0)),"")</f>
        <v/>
      </c>
      <c r="K766" s="7" t="str">
        <f>IFERROR(INDEX('Master data'!$B$2:$CL$1000,MATCH($B766,'Master data'!$A$2:$A$1000,0),MATCH(K$1,'Master data'!$B$1:$CL$1,0)),"")</f>
        <v/>
      </c>
      <c r="L766" s="7" t="str">
        <f>IFERROR(INDEX('Master data'!$B$2:$CL$1000,MATCH($B766,'Master data'!$A$2:$A$1000,0),MATCH(L$1,'Master data'!$B$1:$CL$1,0)),"")</f>
        <v/>
      </c>
      <c r="M766" s="5" t="str">
        <f>IFERROR(INDEX('Master data'!$B$2:$CL$1000,MATCH($B766,'Master data'!$A$2:$A$1000,0),MATCH(M$1,'Master data'!$B$1:$CL$1,0)),"")</f>
        <v/>
      </c>
      <c r="N766" s="28" t="str">
        <f>IFERROR(INDEX('Master data'!$B$2:$CL$1000,MATCH($B766,'Master data'!$A$2:$A$1000,0),MATCH(N$1,'Master data'!$B$1:$CL$1,0)),"")</f>
        <v/>
      </c>
      <c r="O766" s="7" t="str">
        <f>IFERROR(INDEX('Master data'!$B$2:$CL$1000,MATCH($B766,'Master data'!$A$2:$A$1000,0),MATCH(O$1,'Master data'!$B$1:$CL$1,0)),"")</f>
        <v/>
      </c>
      <c r="P766" s="5" t="str">
        <f>IFERROR(INDEX('Master data'!$B$2:$CL$1000,MATCH($B766,'Master data'!$A$2:$A$1000,0),MATCH(P$1,'Master data'!$B$1:$CL$1,0)),"")</f>
        <v/>
      </c>
      <c r="Q766" s="5" t="str">
        <f>IFERROR(INDEX('Master data'!$B$2:$CL$1000,MATCH($B766,'Master data'!$A$2:$A$1000,0),MATCH(Q$1,'Master data'!$B$1:$CL$1,0)),"")</f>
        <v/>
      </c>
    </row>
    <row r="767" spans="1:17" hidden="1">
      <c r="A767" t="str">
        <f t="shared" si="11"/>
        <v/>
      </c>
      <c r="B767" t="str">
        <f>IF('Master data'!A767="","",'Master data'!A767)</f>
        <v/>
      </c>
      <c r="C767" t="str">
        <f>IFERROR(INDEX('Master data'!$B$2:$CL$1000,MATCH($B767,'Master data'!$A$2:$A$1000,0),MATCH(C$1,'Master data'!$B$1:$CL$1,0)),"")</f>
        <v/>
      </c>
      <c r="D767" t="str">
        <f>IFERROR(INDEX('Master data'!$B$2:$CL$1000,MATCH($B767,'Master data'!$A$2:$A$1000,0),MATCH(D$1,'Master data'!$B$1:$CL$1,0)),"")</f>
        <v/>
      </c>
      <c r="E767" s="5" t="str">
        <f>IFERROR(INDEX('Master data'!$B$2:$CL$1000,MATCH($B767,'Master data'!$A$2:$A$1000,0),MATCH(E$1,'Master data'!$B$1:$CL$1,0)),"")</f>
        <v/>
      </c>
      <c r="F767" s="7" t="str">
        <f>IFERROR(INDEX('Master data'!$B$2:$CL$1000,MATCH($B767,'Master data'!$A$2:$A$1000,0),MATCH(F$1,'Master data'!$B$1:$CL$1,0)),"")</f>
        <v/>
      </c>
      <c r="G767" s="7" t="str">
        <f>IFERROR(INDEX('Master data'!$B$2:$CL$1000,MATCH($B767,'Master data'!$A$2:$A$1000,0),MATCH(G$1,'Master data'!$B$1:$CL$1,0)),"")</f>
        <v/>
      </c>
      <c r="H767" s="7" t="str">
        <f>IFERROR(INDEX('Master data'!$B$2:$CL$1000,MATCH($B767,'Master data'!$A$2:$A$1000,0),MATCH(H$1,'Master data'!$B$1:$CL$1,0)),"")</f>
        <v/>
      </c>
      <c r="I767" s="7" t="str">
        <f>IFERROR(INDEX('Master data'!$B$2:$CL$1000,MATCH($B767,'Master data'!$A$2:$A$1000,0),MATCH(I$1,'Master data'!$B$1:$CL$1,0)),"")</f>
        <v/>
      </c>
      <c r="J767" s="7" t="str">
        <f>IFERROR(INDEX('Master data'!$B$2:$CL$1000,MATCH($B767,'Master data'!$A$2:$A$1000,0),MATCH(J$1,'Master data'!$B$1:$CL$1,0)),"")</f>
        <v/>
      </c>
      <c r="K767" s="7" t="str">
        <f>IFERROR(INDEX('Master data'!$B$2:$CL$1000,MATCH($B767,'Master data'!$A$2:$A$1000,0),MATCH(K$1,'Master data'!$B$1:$CL$1,0)),"")</f>
        <v/>
      </c>
      <c r="L767" s="7" t="str">
        <f>IFERROR(INDEX('Master data'!$B$2:$CL$1000,MATCH($B767,'Master data'!$A$2:$A$1000,0),MATCH(L$1,'Master data'!$B$1:$CL$1,0)),"")</f>
        <v/>
      </c>
      <c r="M767" s="5" t="str">
        <f>IFERROR(INDEX('Master data'!$B$2:$CL$1000,MATCH($B767,'Master data'!$A$2:$A$1000,0),MATCH(M$1,'Master data'!$B$1:$CL$1,0)),"")</f>
        <v/>
      </c>
      <c r="N767" s="28" t="str">
        <f>IFERROR(INDEX('Master data'!$B$2:$CL$1000,MATCH($B767,'Master data'!$A$2:$A$1000,0),MATCH(N$1,'Master data'!$B$1:$CL$1,0)),"")</f>
        <v/>
      </c>
      <c r="O767" s="7" t="str">
        <f>IFERROR(INDEX('Master data'!$B$2:$CL$1000,MATCH($B767,'Master data'!$A$2:$A$1000,0),MATCH(O$1,'Master data'!$B$1:$CL$1,0)),"")</f>
        <v/>
      </c>
      <c r="P767" s="5" t="str">
        <f>IFERROR(INDEX('Master data'!$B$2:$CL$1000,MATCH($B767,'Master data'!$A$2:$A$1000,0),MATCH(P$1,'Master data'!$B$1:$CL$1,0)),"")</f>
        <v/>
      </c>
      <c r="Q767" s="5" t="str">
        <f>IFERROR(INDEX('Master data'!$B$2:$CL$1000,MATCH($B767,'Master data'!$A$2:$A$1000,0),MATCH(Q$1,'Master data'!$B$1:$CL$1,0)),"")</f>
        <v/>
      </c>
    </row>
    <row r="768" spans="1:17" hidden="1">
      <c r="A768" t="str">
        <f t="shared" si="11"/>
        <v/>
      </c>
      <c r="B768" t="str">
        <f>IF('Master data'!A768="","",'Master data'!A768)</f>
        <v/>
      </c>
      <c r="C768" t="str">
        <f>IFERROR(INDEX('Master data'!$B$2:$CL$1000,MATCH($B768,'Master data'!$A$2:$A$1000,0),MATCH(C$1,'Master data'!$B$1:$CL$1,0)),"")</f>
        <v/>
      </c>
      <c r="D768" t="str">
        <f>IFERROR(INDEX('Master data'!$B$2:$CL$1000,MATCH($B768,'Master data'!$A$2:$A$1000,0),MATCH(D$1,'Master data'!$B$1:$CL$1,0)),"")</f>
        <v/>
      </c>
      <c r="E768" s="5" t="str">
        <f>IFERROR(INDEX('Master data'!$B$2:$CL$1000,MATCH($B768,'Master data'!$A$2:$A$1000,0),MATCH(E$1,'Master data'!$B$1:$CL$1,0)),"")</f>
        <v/>
      </c>
      <c r="F768" s="7" t="str">
        <f>IFERROR(INDEX('Master data'!$B$2:$CL$1000,MATCH($B768,'Master data'!$A$2:$A$1000,0),MATCH(F$1,'Master data'!$B$1:$CL$1,0)),"")</f>
        <v/>
      </c>
      <c r="G768" s="7" t="str">
        <f>IFERROR(INDEX('Master data'!$B$2:$CL$1000,MATCH($B768,'Master data'!$A$2:$A$1000,0),MATCH(G$1,'Master data'!$B$1:$CL$1,0)),"")</f>
        <v/>
      </c>
      <c r="H768" s="7" t="str">
        <f>IFERROR(INDEX('Master data'!$B$2:$CL$1000,MATCH($B768,'Master data'!$A$2:$A$1000,0),MATCH(H$1,'Master data'!$B$1:$CL$1,0)),"")</f>
        <v/>
      </c>
      <c r="I768" s="7" t="str">
        <f>IFERROR(INDEX('Master data'!$B$2:$CL$1000,MATCH($B768,'Master data'!$A$2:$A$1000,0),MATCH(I$1,'Master data'!$B$1:$CL$1,0)),"")</f>
        <v/>
      </c>
      <c r="J768" s="7" t="str">
        <f>IFERROR(INDEX('Master data'!$B$2:$CL$1000,MATCH($B768,'Master data'!$A$2:$A$1000,0),MATCH(J$1,'Master data'!$B$1:$CL$1,0)),"")</f>
        <v/>
      </c>
      <c r="K768" s="7" t="str">
        <f>IFERROR(INDEX('Master data'!$B$2:$CL$1000,MATCH($B768,'Master data'!$A$2:$A$1000,0),MATCH(K$1,'Master data'!$B$1:$CL$1,0)),"")</f>
        <v/>
      </c>
      <c r="L768" s="7" t="str">
        <f>IFERROR(INDEX('Master data'!$B$2:$CL$1000,MATCH($B768,'Master data'!$A$2:$A$1000,0),MATCH(L$1,'Master data'!$B$1:$CL$1,0)),"")</f>
        <v/>
      </c>
      <c r="M768" s="5" t="str">
        <f>IFERROR(INDEX('Master data'!$B$2:$CL$1000,MATCH($B768,'Master data'!$A$2:$A$1000,0),MATCH(M$1,'Master data'!$B$1:$CL$1,0)),"")</f>
        <v/>
      </c>
      <c r="N768" s="28" t="str">
        <f>IFERROR(INDEX('Master data'!$B$2:$CL$1000,MATCH($B768,'Master data'!$A$2:$A$1000,0),MATCH(N$1,'Master data'!$B$1:$CL$1,0)),"")</f>
        <v/>
      </c>
      <c r="O768" s="7" t="str">
        <f>IFERROR(INDEX('Master data'!$B$2:$CL$1000,MATCH($B768,'Master data'!$A$2:$A$1000,0),MATCH(O$1,'Master data'!$B$1:$CL$1,0)),"")</f>
        <v/>
      </c>
      <c r="P768" s="5" t="str">
        <f>IFERROR(INDEX('Master data'!$B$2:$CL$1000,MATCH($B768,'Master data'!$A$2:$A$1000,0),MATCH(P$1,'Master data'!$B$1:$CL$1,0)),"")</f>
        <v/>
      </c>
      <c r="Q768" s="5" t="str">
        <f>IFERROR(INDEX('Master data'!$B$2:$CL$1000,MATCH($B768,'Master data'!$A$2:$A$1000,0),MATCH(Q$1,'Master data'!$B$1:$CL$1,0)),"")</f>
        <v/>
      </c>
    </row>
    <row r="769" spans="1:17" hidden="1">
      <c r="A769" t="str">
        <f t="shared" si="11"/>
        <v/>
      </c>
      <c r="B769" t="str">
        <f>IF('Master data'!A769="","",'Master data'!A769)</f>
        <v/>
      </c>
      <c r="C769" t="str">
        <f>IFERROR(INDEX('Master data'!$B$2:$CL$1000,MATCH($B769,'Master data'!$A$2:$A$1000,0),MATCH(C$1,'Master data'!$B$1:$CL$1,0)),"")</f>
        <v/>
      </c>
      <c r="D769" t="str">
        <f>IFERROR(INDEX('Master data'!$B$2:$CL$1000,MATCH($B769,'Master data'!$A$2:$A$1000,0),MATCH(D$1,'Master data'!$B$1:$CL$1,0)),"")</f>
        <v/>
      </c>
      <c r="E769" s="5" t="str">
        <f>IFERROR(INDEX('Master data'!$B$2:$CL$1000,MATCH($B769,'Master data'!$A$2:$A$1000,0),MATCH(E$1,'Master data'!$B$1:$CL$1,0)),"")</f>
        <v/>
      </c>
      <c r="F769" s="7" t="str">
        <f>IFERROR(INDEX('Master data'!$B$2:$CL$1000,MATCH($B769,'Master data'!$A$2:$A$1000,0),MATCH(F$1,'Master data'!$B$1:$CL$1,0)),"")</f>
        <v/>
      </c>
      <c r="G769" s="7" t="str">
        <f>IFERROR(INDEX('Master data'!$B$2:$CL$1000,MATCH($B769,'Master data'!$A$2:$A$1000,0),MATCH(G$1,'Master data'!$B$1:$CL$1,0)),"")</f>
        <v/>
      </c>
      <c r="H769" s="7" t="str">
        <f>IFERROR(INDEX('Master data'!$B$2:$CL$1000,MATCH($B769,'Master data'!$A$2:$A$1000,0),MATCH(H$1,'Master data'!$B$1:$CL$1,0)),"")</f>
        <v/>
      </c>
      <c r="I769" s="7" t="str">
        <f>IFERROR(INDEX('Master data'!$B$2:$CL$1000,MATCH($B769,'Master data'!$A$2:$A$1000,0),MATCH(I$1,'Master data'!$B$1:$CL$1,0)),"")</f>
        <v/>
      </c>
      <c r="J769" s="7" t="str">
        <f>IFERROR(INDEX('Master data'!$B$2:$CL$1000,MATCH($B769,'Master data'!$A$2:$A$1000,0),MATCH(J$1,'Master data'!$B$1:$CL$1,0)),"")</f>
        <v/>
      </c>
      <c r="K769" s="7" t="str">
        <f>IFERROR(INDEX('Master data'!$B$2:$CL$1000,MATCH($B769,'Master data'!$A$2:$A$1000,0),MATCH(K$1,'Master data'!$B$1:$CL$1,0)),"")</f>
        <v/>
      </c>
      <c r="L769" s="7" t="str">
        <f>IFERROR(INDEX('Master data'!$B$2:$CL$1000,MATCH($B769,'Master data'!$A$2:$A$1000,0),MATCH(L$1,'Master data'!$B$1:$CL$1,0)),"")</f>
        <v/>
      </c>
      <c r="M769" s="5" t="str">
        <f>IFERROR(INDEX('Master data'!$B$2:$CL$1000,MATCH($B769,'Master data'!$A$2:$A$1000,0),MATCH(M$1,'Master data'!$B$1:$CL$1,0)),"")</f>
        <v/>
      </c>
      <c r="N769" s="28" t="str">
        <f>IFERROR(INDEX('Master data'!$B$2:$CL$1000,MATCH($B769,'Master data'!$A$2:$A$1000,0),MATCH(N$1,'Master data'!$B$1:$CL$1,0)),"")</f>
        <v/>
      </c>
      <c r="O769" s="7" t="str">
        <f>IFERROR(INDEX('Master data'!$B$2:$CL$1000,MATCH($B769,'Master data'!$A$2:$A$1000,0),MATCH(O$1,'Master data'!$B$1:$CL$1,0)),"")</f>
        <v/>
      </c>
      <c r="P769" s="5" t="str">
        <f>IFERROR(INDEX('Master data'!$B$2:$CL$1000,MATCH($B769,'Master data'!$A$2:$A$1000,0),MATCH(P$1,'Master data'!$B$1:$CL$1,0)),"")</f>
        <v/>
      </c>
      <c r="Q769" s="5" t="str">
        <f>IFERROR(INDEX('Master data'!$B$2:$CL$1000,MATCH($B769,'Master data'!$A$2:$A$1000,0),MATCH(Q$1,'Master data'!$B$1:$CL$1,0)),"")</f>
        <v/>
      </c>
    </row>
    <row r="770" spans="1:17" hidden="1">
      <c r="A770" t="str">
        <f t="shared" si="11"/>
        <v/>
      </c>
      <c r="B770" t="str">
        <f>IF('Master data'!A770="","",'Master data'!A770)</f>
        <v/>
      </c>
      <c r="C770" t="str">
        <f>IFERROR(INDEX('Master data'!$B$2:$CL$1000,MATCH($B770,'Master data'!$A$2:$A$1000,0),MATCH(C$1,'Master data'!$B$1:$CL$1,0)),"")</f>
        <v/>
      </c>
      <c r="D770" t="str">
        <f>IFERROR(INDEX('Master data'!$B$2:$CL$1000,MATCH($B770,'Master data'!$A$2:$A$1000,0),MATCH(D$1,'Master data'!$B$1:$CL$1,0)),"")</f>
        <v/>
      </c>
      <c r="E770" s="5" t="str">
        <f>IFERROR(INDEX('Master data'!$B$2:$CL$1000,MATCH($B770,'Master data'!$A$2:$A$1000,0),MATCH(E$1,'Master data'!$B$1:$CL$1,0)),"")</f>
        <v/>
      </c>
      <c r="F770" s="7" t="str">
        <f>IFERROR(INDEX('Master data'!$B$2:$CL$1000,MATCH($B770,'Master data'!$A$2:$A$1000,0),MATCH(F$1,'Master data'!$B$1:$CL$1,0)),"")</f>
        <v/>
      </c>
      <c r="G770" s="7" t="str">
        <f>IFERROR(INDEX('Master data'!$B$2:$CL$1000,MATCH($B770,'Master data'!$A$2:$A$1000,0),MATCH(G$1,'Master data'!$B$1:$CL$1,0)),"")</f>
        <v/>
      </c>
      <c r="H770" s="7" t="str">
        <f>IFERROR(INDEX('Master data'!$B$2:$CL$1000,MATCH($B770,'Master data'!$A$2:$A$1000,0),MATCH(H$1,'Master data'!$B$1:$CL$1,0)),"")</f>
        <v/>
      </c>
      <c r="I770" s="7" t="str">
        <f>IFERROR(INDEX('Master data'!$B$2:$CL$1000,MATCH($B770,'Master data'!$A$2:$A$1000,0),MATCH(I$1,'Master data'!$B$1:$CL$1,0)),"")</f>
        <v/>
      </c>
      <c r="J770" s="7" t="str">
        <f>IFERROR(INDEX('Master data'!$B$2:$CL$1000,MATCH($B770,'Master data'!$A$2:$A$1000,0),MATCH(J$1,'Master data'!$B$1:$CL$1,0)),"")</f>
        <v/>
      </c>
      <c r="K770" s="7" t="str">
        <f>IFERROR(INDEX('Master data'!$B$2:$CL$1000,MATCH($B770,'Master data'!$A$2:$A$1000,0),MATCH(K$1,'Master data'!$B$1:$CL$1,0)),"")</f>
        <v/>
      </c>
      <c r="L770" s="7" t="str">
        <f>IFERROR(INDEX('Master data'!$B$2:$CL$1000,MATCH($B770,'Master data'!$A$2:$A$1000,0),MATCH(L$1,'Master data'!$B$1:$CL$1,0)),"")</f>
        <v/>
      </c>
      <c r="M770" s="5" t="str">
        <f>IFERROR(INDEX('Master data'!$B$2:$CL$1000,MATCH($B770,'Master data'!$A$2:$A$1000,0),MATCH(M$1,'Master data'!$B$1:$CL$1,0)),"")</f>
        <v/>
      </c>
      <c r="N770" s="28" t="str">
        <f>IFERROR(INDEX('Master data'!$B$2:$CL$1000,MATCH($B770,'Master data'!$A$2:$A$1000,0),MATCH(N$1,'Master data'!$B$1:$CL$1,0)),"")</f>
        <v/>
      </c>
      <c r="O770" s="7" t="str">
        <f>IFERROR(INDEX('Master data'!$B$2:$CL$1000,MATCH($B770,'Master data'!$A$2:$A$1000,0),MATCH(O$1,'Master data'!$B$1:$CL$1,0)),"")</f>
        <v/>
      </c>
      <c r="P770" s="5" t="str">
        <f>IFERROR(INDEX('Master data'!$B$2:$CL$1000,MATCH($B770,'Master data'!$A$2:$A$1000,0),MATCH(P$1,'Master data'!$B$1:$CL$1,0)),"")</f>
        <v/>
      </c>
      <c r="Q770" s="5" t="str">
        <f>IFERROR(INDEX('Master data'!$B$2:$CL$1000,MATCH($B770,'Master data'!$A$2:$A$1000,0),MATCH(Q$1,'Master data'!$B$1:$CL$1,0)),"")</f>
        <v/>
      </c>
    </row>
    <row r="771" spans="1:17" hidden="1">
      <c r="A771" t="str">
        <f t="shared" ref="A771:A834" si="12">IF(B771="","",ROW()-2)</f>
        <v/>
      </c>
      <c r="B771" t="str">
        <f>IF('Master data'!A771="","",'Master data'!A771)</f>
        <v/>
      </c>
      <c r="C771" t="str">
        <f>IFERROR(INDEX('Master data'!$B$2:$CL$1000,MATCH($B771,'Master data'!$A$2:$A$1000,0),MATCH(C$1,'Master data'!$B$1:$CL$1,0)),"")</f>
        <v/>
      </c>
      <c r="D771" t="str">
        <f>IFERROR(INDEX('Master data'!$B$2:$CL$1000,MATCH($B771,'Master data'!$A$2:$A$1000,0),MATCH(D$1,'Master data'!$B$1:$CL$1,0)),"")</f>
        <v/>
      </c>
      <c r="E771" s="5" t="str">
        <f>IFERROR(INDEX('Master data'!$B$2:$CL$1000,MATCH($B771,'Master data'!$A$2:$A$1000,0),MATCH(E$1,'Master data'!$B$1:$CL$1,0)),"")</f>
        <v/>
      </c>
      <c r="F771" s="7" t="str">
        <f>IFERROR(INDEX('Master data'!$B$2:$CL$1000,MATCH($B771,'Master data'!$A$2:$A$1000,0),MATCH(F$1,'Master data'!$B$1:$CL$1,0)),"")</f>
        <v/>
      </c>
      <c r="G771" s="7" t="str">
        <f>IFERROR(INDEX('Master data'!$B$2:$CL$1000,MATCH($B771,'Master data'!$A$2:$A$1000,0),MATCH(G$1,'Master data'!$B$1:$CL$1,0)),"")</f>
        <v/>
      </c>
      <c r="H771" s="7" t="str">
        <f>IFERROR(INDEX('Master data'!$B$2:$CL$1000,MATCH($B771,'Master data'!$A$2:$A$1000,0),MATCH(H$1,'Master data'!$B$1:$CL$1,0)),"")</f>
        <v/>
      </c>
      <c r="I771" s="7" t="str">
        <f>IFERROR(INDEX('Master data'!$B$2:$CL$1000,MATCH($B771,'Master data'!$A$2:$A$1000,0),MATCH(I$1,'Master data'!$B$1:$CL$1,0)),"")</f>
        <v/>
      </c>
      <c r="J771" s="7" t="str">
        <f>IFERROR(INDEX('Master data'!$B$2:$CL$1000,MATCH($B771,'Master data'!$A$2:$A$1000,0),MATCH(J$1,'Master data'!$B$1:$CL$1,0)),"")</f>
        <v/>
      </c>
      <c r="K771" s="7" t="str">
        <f>IFERROR(INDEX('Master data'!$B$2:$CL$1000,MATCH($B771,'Master data'!$A$2:$A$1000,0),MATCH(K$1,'Master data'!$B$1:$CL$1,0)),"")</f>
        <v/>
      </c>
      <c r="L771" s="7" t="str">
        <f>IFERROR(INDEX('Master data'!$B$2:$CL$1000,MATCH($B771,'Master data'!$A$2:$A$1000,0),MATCH(L$1,'Master data'!$B$1:$CL$1,0)),"")</f>
        <v/>
      </c>
      <c r="M771" s="5" t="str">
        <f>IFERROR(INDEX('Master data'!$B$2:$CL$1000,MATCH($B771,'Master data'!$A$2:$A$1000,0),MATCH(M$1,'Master data'!$B$1:$CL$1,0)),"")</f>
        <v/>
      </c>
      <c r="N771" s="28" t="str">
        <f>IFERROR(INDEX('Master data'!$B$2:$CL$1000,MATCH($B771,'Master data'!$A$2:$A$1000,0),MATCH(N$1,'Master data'!$B$1:$CL$1,0)),"")</f>
        <v/>
      </c>
      <c r="O771" s="7" t="str">
        <f>IFERROR(INDEX('Master data'!$B$2:$CL$1000,MATCH($B771,'Master data'!$A$2:$A$1000,0),MATCH(O$1,'Master data'!$B$1:$CL$1,0)),"")</f>
        <v/>
      </c>
      <c r="P771" s="5" t="str">
        <f>IFERROR(INDEX('Master data'!$B$2:$CL$1000,MATCH($B771,'Master data'!$A$2:$A$1000,0),MATCH(P$1,'Master data'!$B$1:$CL$1,0)),"")</f>
        <v/>
      </c>
      <c r="Q771" s="5" t="str">
        <f>IFERROR(INDEX('Master data'!$B$2:$CL$1000,MATCH($B771,'Master data'!$A$2:$A$1000,0),MATCH(Q$1,'Master data'!$B$1:$CL$1,0)),"")</f>
        <v/>
      </c>
    </row>
    <row r="772" spans="1:17" hidden="1">
      <c r="A772" t="str">
        <f t="shared" si="12"/>
        <v/>
      </c>
      <c r="B772" t="str">
        <f>IF('Master data'!A772="","",'Master data'!A772)</f>
        <v/>
      </c>
      <c r="C772" t="str">
        <f>IFERROR(INDEX('Master data'!$B$2:$CL$1000,MATCH($B772,'Master data'!$A$2:$A$1000,0),MATCH(C$1,'Master data'!$B$1:$CL$1,0)),"")</f>
        <v/>
      </c>
      <c r="D772" t="str">
        <f>IFERROR(INDEX('Master data'!$B$2:$CL$1000,MATCH($B772,'Master data'!$A$2:$A$1000,0),MATCH(D$1,'Master data'!$B$1:$CL$1,0)),"")</f>
        <v/>
      </c>
      <c r="E772" s="5" t="str">
        <f>IFERROR(INDEX('Master data'!$B$2:$CL$1000,MATCH($B772,'Master data'!$A$2:$A$1000,0),MATCH(E$1,'Master data'!$B$1:$CL$1,0)),"")</f>
        <v/>
      </c>
      <c r="F772" s="7" t="str">
        <f>IFERROR(INDEX('Master data'!$B$2:$CL$1000,MATCH($B772,'Master data'!$A$2:$A$1000,0),MATCH(F$1,'Master data'!$B$1:$CL$1,0)),"")</f>
        <v/>
      </c>
      <c r="G772" s="7" t="str">
        <f>IFERROR(INDEX('Master data'!$B$2:$CL$1000,MATCH($B772,'Master data'!$A$2:$A$1000,0),MATCH(G$1,'Master data'!$B$1:$CL$1,0)),"")</f>
        <v/>
      </c>
      <c r="H772" s="7" t="str">
        <f>IFERROR(INDEX('Master data'!$B$2:$CL$1000,MATCH($B772,'Master data'!$A$2:$A$1000,0),MATCH(H$1,'Master data'!$B$1:$CL$1,0)),"")</f>
        <v/>
      </c>
      <c r="I772" s="7" t="str">
        <f>IFERROR(INDEX('Master data'!$B$2:$CL$1000,MATCH($B772,'Master data'!$A$2:$A$1000,0),MATCH(I$1,'Master data'!$B$1:$CL$1,0)),"")</f>
        <v/>
      </c>
      <c r="J772" s="7" t="str">
        <f>IFERROR(INDEX('Master data'!$B$2:$CL$1000,MATCH($B772,'Master data'!$A$2:$A$1000,0),MATCH(J$1,'Master data'!$B$1:$CL$1,0)),"")</f>
        <v/>
      </c>
      <c r="K772" s="7" t="str">
        <f>IFERROR(INDEX('Master data'!$B$2:$CL$1000,MATCH($B772,'Master data'!$A$2:$A$1000,0),MATCH(K$1,'Master data'!$B$1:$CL$1,0)),"")</f>
        <v/>
      </c>
      <c r="L772" s="7" t="str">
        <f>IFERROR(INDEX('Master data'!$B$2:$CL$1000,MATCH($B772,'Master data'!$A$2:$A$1000,0),MATCH(L$1,'Master data'!$B$1:$CL$1,0)),"")</f>
        <v/>
      </c>
      <c r="M772" s="5" t="str">
        <f>IFERROR(INDEX('Master data'!$B$2:$CL$1000,MATCH($B772,'Master data'!$A$2:$A$1000,0),MATCH(M$1,'Master data'!$B$1:$CL$1,0)),"")</f>
        <v/>
      </c>
      <c r="N772" s="28" t="str">
        <f>IFERROR(INDEX('Master data'!$B$2:$CL$1000,MATCH($B772,'Master data'!$A$2:$A$1000,0),MATCH(N$1,'Master data'!$B$1:$CL$1,0)),"")</f>
        <v/>
      </c>
      <c r="O772" s="7" t="str">
        <f>IFERROR(INDEX('Master data'!$B$2:$CL$1000,MATCH($B772,'Master data'!$A$2:$A$1000,0),MATCH(O$1,'Master data'!$B$1:$CL$1,0)),"")</f>
        <v/>
      </c>
      <c r="P772" s="5" t="str">
        <f>IFERROR(INDEX('Master data'!$B$2:$CL$1000,MATCH($B772,'Master data'!$A$2:$A$1000,0),MATCH(P$1,'Master data'!$B$1:$CL$1,0)),"")</f>
        <v/>
      </c>
      <c r="Q772" s="5" t="str">
        <f>IFERROR(INDEX('Master data'!$B$2:$CL$1000,MATCH($B772,'Master data'!$A$2:$A$1000,0),MATCH(Q$1,'Master data'!$B$1:$CL$1,0)),"")</f>
        <v/>
      </c>
    </row>
    <row r="773" spans="1:17" hidden="1">
      <c r="A773" t="str">
        <f t="shared" si="12"/>
        <v/>
      </c>
      <c r="B773" t="str">
        <f>IF('Master data'!A773="","",'Master data'!A773)</f>
        <v/>
      </c>
      <c r="C773" t="str">
        <f>IFERROR(INDEX('Master data'!$B$2:$CL$1000,MATCH($B773,'Master data'!$A$2:$A$1000,0),MATCH(C$1,'Master data'!$B$1:$CL$1,0)),"")</f>
        <v/>
      </c>
      <c r="D773" t="str">
        <f>IFERROR(INDEX('Master data'!$B$2:$CL$1000,MATCH($B773,'Master data'!$A$2:$A$1000,0),MATCH(D$1,'Master data'!$B$1:$CL$1,0)),"")</f>
        <v/>
      </c>
      <c r="E773" s="5" t="str">
        <f>IFERROR(INDEX('Master data'!$B$2:$CL$1000,MATCH($B773,'Master data'!$A$2:$A$1000,0),MATCH(E$1,'Master data'!$B$1:$CL$1,0)),"")</f>
        <v/>
      </c>
      <c r="F773" s="7" t="str">
        <f>IFERROR(INDEX('Master data'!$B$2:$CL$1000,MATCH($B773,'Master data'!$A$2:$A$1000,0),MATCH(F$1,'Master data'!$B$1:$CL$1,0)),"")</f>
        <v/>
      </c>
      <c r="G773" s="7" t="str">
        <f>IFERROR(INDEX('Master data'!$B$2:$CL$1000,MATCH($B773,'Master data'!$A$2:$A$1000,0),MATCH(G$1,'Master data'!$B$1:$CL$1,0)),"")</f>
        <v/>
      </c>
      <c r="H773" s="7" t="str">
        <f>IFERROR(INDEX('Master data'!$B$2:$CL$1000,MATCH($B773,'Master data'!$A$2:$A$1000,0),MATCH(H$1,'Master data'!$B$1:$CL$1,0)),"")</f>
        <v/>
      </c>
      <c r="I773" s="7" t="str">
        <f>IFERROR(INDEX('Master data'!$B$2:$CL$1000,MATCH($B773,'Master data'!$A$2:$A$1000,0),MATCH(I$1,'Master data'!$B$1:$CL$1,0)),"")</f>
        <v/>
      </c>
      <c r="J773" s="7" t="str">
        <f>IFERROR(INDEX('Master data'!$B$2:$CL$1000,MATCH($B773,'Master data'!$A$2:$A$1000,0),MATCH(J$1,'Master data'!$B$1:$CL$1,0)),"")</f>
        <v/>
      </c>
      <c r="K773" s="7" t="str">
        <f>IFERROR(INDEX('Master data'!$B$2:$CL$1000,MATCH($B773,'Master data'!$A$2:$A$1000,0),MATCH(K$1,'Master data'!$B$1:$CL$1,0)),"")</f>
        <v/>
      </c>
      <c r="L773" s="7" t="str">
        <f>IFERROR(INDEX('Master data'!$B$2:$CL$1000,MATCH($B773,'Master data'!$A$2:$A$1000,0),MATCH(L$1,'Master data'!$B$1:$CL$1,0)),"")</f>
        <v/>
      </c>
      <c r="M773" s="5" t="str">
        <f>IFERROR(INDEX('Master data'!$B$2:$CL$1000,MATCH($B773,'Master data'!$A$2:$A$1000,0),MATCH(M$1,'Master data'!$B$1:$CL$1,0)),"")</f>
        <v/>
      </c>
      <c r="N773" s="28" t="str">
        <f>IFERROR(INDEX('Master data'!$B$2:$CL$1000,MATCH($B773,'Master data'!$A$2:$A$1000,0),MATCH(N$1,'Master data'!$B$1:$CL$1,0)),"")</f>
        <v/>
      </c>
      <c r="O773" s="7" t="str">
        <f>IFERROR(INDEX('Master data'!$B$2:$CL$1000,MATCH($B773,'Master data'!$A$2:$A$1000,0),MATCH(O$1,'Master data'!$B$1:$CL$1,0)),"")</f>
        <v/>
      </c>
      <c r="P773" s="5" t="str">
        <f>IFERROR(INDEX('Master data'!$B$2:$CL$1000,MATCH($B773,'Master data'!$A$2:$A$1000,0),MATCH(P$1,'Master data'!$B$1:$CL$1,0)),"")</f>
        <v/>
      </c>
      <c r="Q773" s="5" t="str">
        <f>IFERROR(INDEX('Master data'!$B$2:$CL$1000,MATCH($B773,'Master data'!$A$2:$A$1000,0),MATCH(Q$1,'Master data'!$B$1:$CL$1,0)),"")</f>
        <v/>
      </c>
    </row>
    <row r="774" spans="1:17" hidden="1">
      <c r="A774" t="str">
        <f t="shared" si="12"/>
        <v/>
      </c>
      <c r="B774" t="str">
        <f>IF('Master data'!A774="","",'Master data'!A774)</f>
        <v/>
      </c>
      <c r="C774" t="str">
        <f>IFERROR(INDEX('Master data'!$B$2:$CL$1000,MATCH($B774,'Master data'!$A$2:$A$1000,0),MATCH(C$1,'Master data'!$B$1:$CL$1,0)),"")</f>
        <v/>
      </c>
      <c r="D774" t="str">
        <f>IFERROR(INDEX('Master data'!$B$2:$CL$1000,MATCH($B774,'Master data'!$A$2:$A$1000,0),MATCH(D$1,'Master data'!$B$1:$CL$1,0)),"")</f>
        <v/>
      </c>
      <c r="E774" s="5" t="str">
        <f>IFERROR(INDEX('Master data'!$B$2:$CL$1000,MATCH($B774,'Master data'!$A$2:$A$1000,0),MATCH(E$1,'Master data'!$B$1:$CL$1,0)),"")</f>
        <v/>
      </c>
      <c r="F774" s="7" t="str">
        <f>IFERROR(INDEX('Master data'!$B$2:$CL$1000,MATCH($B774,'Master data'!$A$2:$A$1000,0),MATCH(F$1,'Master data'!$B$1:$CL$1,0)),"")</f>
        <v/>
      </c>
      <c r="G774" s="7" t="str">
        <f>IFERROR(INDEX('Master data'!$B$2:$CL$1000,MATCH($B774,'Master data'!$A$2:$A$1000,0),MATCH(G$1,'Master data'!$B$1:$CL$1,0)),"")</f>
        <v/>
      </c>
      <c r="H774" s="7" t="str">
        <f>IFERROR(INDEX('Master data'!$B$2:$CL$1000,MATCH($B774,'Master data'!$A$2:$A$1000,0),MATCH(H$1,'Master data'!$B$1:$CL$1,0)),"")</f>
        <v/>
      </c>
      <c r="I774" s="7" t="str">
        <f>IFERROR(INDEX('Master data'!$B$2:$CL$1000,MATCH($B774,'Master data'!$A$2:$A$1000,0),MATCH(I$1,'Master data'!$B$1:$CL$1,0)),"")</f>
        <v/>
      </c>
      <c r="J774" s="7" t="str">
        <f>IFERROR(INDEX('Master data'!$B$2:$CL$1000,MATCH($B774,'Master data'!$A$2:$A$1000,0),MATCH(J$1,'Master data'!$B$1:$CL$1,0)),"")</f>
        <v/>
      </c>
      <c r="K774" s="7" t="str">
        <f>IFERROR(INDEX('Master data'!$B$2:$CL$1000,MATCH($B774,'Master data'!$A$2:$A$1000,0),MATCH(K$1,'Master data'!$B$1:$CL$1,0)),"")</f>
        <v/>
      </c>
      <c r="L774" s="7" t="str">
        <f>IFERROR(INDEX('Master data'!$B$2:$CL$1000,MATCH($B774,'Master data'!$A$2:$A$1000,0),MATCH(L$1,'Master data'!$B$1:$CL$1,0)),"")</f>
        <v/>
      </c>
      <c r="M774" s="5" t="str">
        <f>IFERROR(INDEX('Master data'!$B$2:$CL$1000,MATCH($B774,'Master data'!$A$2:$A$1000,0),MATCH(M$1,'Master data'!$B$1:$CL$1,0)),"")</f>
        <v/>
      </c>
      <c r="N774" s="28" t="str">
        <f>IFERROR(INDEX('Master data'!$B$2:$CL$1000,MATCH($B774,'Master data'!$A$2:$A$1000,0),MATCH(N$1,'Master data'!$B$1:$CL$1,0)),"")</f>
        <v/>
      </c>
      <c r="O774" s="7" t="str">
        <f>IFERROR(INDEX('Master data'!$B$2:$CL$1000,MATCH($B774,'Master data'!$A$2:$A$1000,0),MATCH(O$1,'Master data'!$B$1:$CL$1,0)),"")</f>
        <v/>
      </c>
      <c r="P774" s="5" t="str">
        <f>IFERROR(INDEX('Master data'!$B$2:$CL$1000,MATCH($B774,'Master data'!$A$2:$A$1000,0),MATCH(P$1,'Master data'!$B$1:$CL$1,0)),"")</f>
        <v/>
      </c>
      <c r="Q774" s="5" t="str">
        <f>IFERROR(INDEX('Master data'!$B$2:$CL$1000,MATCH($B774,'Master data'!$A$2:$A$1000,0),MATCH(Q$1,'Master data'!$B$1:$CL$1,0)),"")</f>
        <v/>
      </c>
    </row>
    <row r="775" spans="1:17" hidden="1">
      <c r="A775" t="str">
        <f t="shared" si="12"/>
        <v/>
      </c>
      <c r="B775" t="str">
        <f>IF('Master data'!A775="","",'Master data'!A775)</f>
        <v/>
      </c>
      <c r="C775" t="str">
        <f>IFERROR(INDEX('Master data'!$B$2:$CL$1000,MATCH($B775,'Master data'!$A$2:$A$1000,0),MATCH(C$1,'Master data'!$B$1:$CL$1,0)),"")</f>
        <v/>
      </c>
      <c r="D775" t="str">
        <f>IFERROR(INDEX('Master data'!$B$2:$CL$1000,MATCH($B775,'Master data'!$A$2:$A$1000,0),MATCH(D$1,'Master data'!$B$1:$CL$1,0)),"")</f>
        <v/>
      </c>
      <c r="E775" s="5" t="str">
        <f>IFERROR(INDEX('Master data'!$B$2:$CL$1000,MATCH($B775,'Master data'!$A$2:$A$1000,0),MATCH(E$1,'Master data'!$B$1:$CL$1,0)),"")</f>
        <v/>
      </c>
      <c r="F775" s="7" t="str">
        <f>IFERROR(INDEX('Master data'!$B$2:$CL$1000,MATCH($B775,'Master data'!$A$2:$A$1000,0),MATCH(F$1,'Master data'!$B$1:$CL$1,0)),"")</f>
        <v/>
      </c>
      <c r="G775" s="7" t="str">
        <f>IFERROR(INDEX('Master data'!$B$2:$CL$1000,MATCH($B775,'Master data'!$A$2:$A$1000,0),MATCH(G$1,'Master data'!$B$1:$CL$1,0)),"")</f>
        <v/>
      </c>
      <c r="H775" s="7" t="str">
        <f>IFERROR(INDEX('Master data'!$B$2:$CL$1000,MATCH($B775,'Master data'!$A$2:$A$1000,0),MATCH(H$1,'Master data'!$B$1:$CL$1,0)),"")</f>
        <v/>
      </c>
      <c r="I775" s="7" t="str">
        <f>IFERROR(INDEX('Master data'!$B$2:$CL$1000,MATCH($B775,'Master data'!$A$2:$A$1000,0),MATCH(I$1,'Master data'!$B$1:$CL$1,0)),"")</f>
        <v/>
      </c>
      <c r="J775" s="7" t="str">
        <f>IFERROR(INDEX('Master data'!$B$2:$CL$1000,MATCH($B775,'Master data'!$A$2:$A$1000,0),MATCH(J$1,'Master data'!$B$1:$CL$1,0)),"")</f>
        <v/>
      </c>
      <c r="K775" s="7" t="str">
        <f>IFERROR(INDEX('Master data'!$B$2:$CL$1000,MATCH($B775,'Master data'!$A$2:$A$1000,0),MATCH(K$1,'Master data'!$B$1:$CL$1,0)),"")</f>
        <v/>
      </c>
      <c r="L775" s="7" t="str">
        <f>IFERROR(INDEX('Master data'!$B$2:$CL$1000,MATCH($B775,'Master data'!$A$2:$A$1000,0),MATCH(L$1,'Master data'!$B$1:$CL$1,0)),"")</f>
        <v/>
      </c>
      <c r="M775" s="5" t="str">
        <f>IFERROR(INDEX('Master data'!$B$2:$CL$1000,MATCH($B775,'Master data'!$A$2:$A$1000,0),MATCH(M$1,'Master data'!$B$1:$CL$1,0)),"")</f>
        <v/>
      </c>
      <c r="N775" s="28" t="str">
        <f>IFERROR(INDEX('Master data'!$B$2:$CL$1000,MATCH($B775,'Master data'!$A$2:$A$1000,0),MATCH(N$1,'Master data'!$B$1:$CL$1,0)),"")</f>
        <v/>
      </c>
      <c r="O775" s="7" t="str">
        <f>IFERROR(INDEX('Master data'!$B$2:$CL$1000,MATCH($B775,'Master data'!$A$2:$A$1000,0),MATCH(O$1,'Master data'!$B$1:$CL$1,0)),"")</f>
        <v/>
      </c>
      <c r="P775" s="5" t="str">
        <f>IFERROR(INDEX('Master data'!$B$2:$CL$1000,MATCH($B775,'Master data'!$A$2:$A$1000,0),MATCH(P$1,'Master data'!$B$1:$CL$1,0)),"")</f>
        <v/>
      </c>
      <c r="Q775" s="5" t="str">
        <f>IFERROR(INDEX('Master data'!$B$2:$CL$1000,MATCH($B775,'Master data'!$A$2:$A$1000,0),MATCH(Q$1,'Master data'!$B$1:$CL$1,0)),"")</f>
        <v/>
      </c>
    </row>
    <row r="776" spans="1:17" hidden="1">
      <c r="A776" t="str">
        <f t="shared" si="12"/>
        <v/>
      </c>
      <c r="B776" t="str">
        <f>IF('Master data'!A776="","",'Master data'!A776)</f>
        <v/>
      </c>
      <c r="C776" t="str">
        <f>IFERROR(INDEX('Master data'!$B$2:$CL$1000,MATCH($B776,'Master data'!$A$2:$A$1000,0),MATCH(C$1,'Master data'!$B$1:$CL$1,0)),"")</f>
        <v/>
      </c>
      <c r="D776" t="str">
        <f>IFERROR(INDEX('Master data'!$B$2:$CL$1000,MATCH($B776,'Master data'!$A$2:$A$1000,0),MATCH(D$1,'Master data'!$B$1:$CL$1,0)),"")</f>
        <v/>
      </c>
      <c r="E776" s="5" t="str">
        <f>IFERROR(INDEX('Master data'!$B$2:$CL$1000,MATCH($B776,'Master data'!$A$2:$A$1000,0),MATCH(E$1,'Master data'!$B$1:$CL$1,0)),"")</f>
        <v/>
      </c>
      <c r="F776" s="7" t="str">
        <f>IFERROR(INDEX('Master data'!$B$2:$CL$1000,MATCH($B776,'Master data'!$A$2:$A$1000,0),MATCH(F$1,'Master data'!$B$1:$CL$1,0)),"")</f>
        <v/>
      </c>
      <c r="G776" s="7" t="str">
        <f>IFERROR(INDEX('Master data'!$B$2:$CL$1000,MATCH($B776,'Master data'!$A$2:$A$1000,0),MATCH(G$1,'Master data'!$B$1:$CL$1,0)),"")</f>
        <v/>
      </c>
      <c r="H776" s="7" t="str">
        <f>IFERROR(INDEX('Master data'!$B$2:$CL$1000,MATCH($B776,'Master data'!$A$2:$A$1000,0),MATCH(H$1,'Master data'!$B$1:$CL$1,0)),"")</f>
        <v/>
      </c>
      <c r="I776" s="7" t="str">
        <f>IFERROR(INDEX('Master data'!$B$2:$CL$1000,MATCH($B776,'Master data'!$A$2:$A$1000,0),MATCH(I$1,'Master data'!$B$1:$CL$1,0)),"")</f>
        <v/>
      </c>
      <c r="J776" s="7" t="str">
        <f>IFERROR(INDEX('Master data'!$B$2:$CL$1000,MATCH($B776,'Master data'!$A$2:$A$1000,0),MATCH(J$1,'Master data'!$B$1:$CL$1,0)),"")</f>
        <v/>
      </c>
      <c r="K776" s="7" t="str">
        <f>IFERROR(INDEX('Master data'!$B$2:$CL$1000,MATCH($B776,'Master data'!$A$2:$A$1000,0),MATCH(K$1,'Master data'!$B$1:$CL$1,0)),"")</f>
        <v/>
      </c>
      <c r="L776" s="7" t="str">
        <f>IFERROR(INDEX('Master data'!$B$2:$CL$1000,MATCH($B776,'Master data'!$A$2:$A$1000,0),MATCH(L$1,'Master data'!$B$1:$CL$1,0)),"")</f>
        <v/>
      </c>
      <c r="M776" s="5" t="str">
        <f>IFERROR(INDEX('Master data'!$B$2:$CL$1000,MATCH($B776,'Master data'!$A$2:$A$1000,0),MATCH(M$1,'Master data'!$B$1:$CL$1,0)),"")</f>
        <v/>
      </c>
      <c r="N776" s="28" t="str">
        <f>IFERROR(INDEX('Master data'!$B$2:$CL$1000,MATCH($B776,'Master data'!$A$2:$A$1000,0),MATCH(N$1,'Master data'!$B$1:$CL$1,0)),"")</f>
        <v/>
      </c>
      <c r="O776" s="7" t="str">
        <f>IFERROR(INDEX('Master data'!$B$2:$CL$1000,MATCH($B776,'Master data'!$A$2:$A$1000,0),MATCH(O$1,'Master data'!$B$1:$CL$1,0)),"")</f>
        <v/>
      </c>
      <c r="P776" s="5" t="str">
        <f>IFERROR(INDEX('Master data'!$B$2:$CL$1000,MATCH($B776,'Master data'!$A$2:$A$1000,0),MATCH(P$1,'Master data'!$B$1:$CL$1,0)),"")</f>
        <v/>
      </c>
      <c r="Q776" s="5" t="str">
        <f>IFERROR(INDEX('Master data'!$B$2:$CL$1000,MATCH($B776,'Master data'!$A$2:$A$1000,0),MATCH(Q$1,'Master data'!$B$1:$CL$1,0)),"")</f>
        <v/>
      </c>
    </row>
    <row r="777" spans="1:17" hidden="1">
      <c r="A777" t="str">
        <f t="shared" si="12"/>
        <v/>
      </c>
      <c r="B777" t="str">
        <f>IF('Master data'!A777="","",'Master data'!A777)</f>
        <v/>
      </c>
      <c r="C777" t="str">
        <f>IFERROR(INDEX('Master data'!$B$2:$CL$1000,MATCH($B777,'Master data'!$A$2:$A$1000,0),MATCH(C$1,'Master data'!$B$1:$CL$1,0)),"")</f>
        <v/>
      </c>
      <c r="D777" t="str">
        <f>IFERROR(INDEX('Master data'!$B$2:$CL$1000,MATCH($B777,'Master data'!$A$2:$A$1000,0),MATCH(D$1,'Master data'!$B$1:$CL$1,0)),"")</f>
        <v/>
      </c>
      <c r="E777" s="5" t="str">
        <f>IFERROR(INDEX('Master data'!$B$2:$CL$1000,MATCH($B777,'Master data'!$A$2:$A$1000,0),MATCH(E$1,'Master data'!$B$1:$CL$1,0)),"")</f>
        <v/>
      </c>
      <c r="F777" s="7" t="str">
        <f>IFERROR(INDEX('Master data'!$B$2:$CL$1000,MATCH($B777,'Master data'!$A$2:$A$1000,0),MATCH(F$1,'Master data'!$B$1:$CL$1,0)),"")</f>
        <v/>
      </c>
      <c r="G777" s="7" t="str">
        <f>IFERROR(INDEX('Master data'!$B$2:$CL$1000,MATCH($B777,'Master data'!$A$2:$A$1000,0),MATCH(G$1,'Master data'!$B$1:$CL$1,0)),"")</f>
        <v/>
      </c>
      <c r="H777" s="7" t="str">
        <f>IFERROR(INDEX('Master data'!$B$2:$CL$1000,MATCH($B777,'Master data'!$A$2:$A$1000,0),MATCH(H$1,'Master data'!$B$1:$CL$1,0)),"")</f>
        <v/>
      </c>
      <c r="I777" s="7" t="str">
        <f>IFERROR(INDEX('Master data'!$B$2:$CL$1000,MATCH($B777,'Master data'!$A$2:$A$1000,0),MATCH(I$1,'Master data'!$B$1:$CL$1,0)),"")</f>
        <v/>
      </c>
      <c r="J777" s="7" t="str">
        <f>IFERROR(INDEX('Master data'!$B$2:$CL$1000,MATCH($B777,'Master data'!$A$2:$A$1000,0),MATCH(J$1,'Master data'!$B$1:$CL$1,0)),"")</f>
        <v/>
      </c>
      <c r="K777" s="7" t="str">
        <f>IFERROR(INDEX('Master data'!$B$2:$CL$1000,MATCH($B777,'Master data'!$A$2:$A$1000,0),MATCH(K$1,'Master data'!$B$1:$CL$1,0)),"")</f>
        <v/>
      </c>
      <c r="L777" s="7" t="str">
        <f>IFERROR(INDEX('Master data'!$B$2:$CL$1000,MATCH($B777,'Master data'!$A$2:$A$1000,0),MATCH(L$1,'Master data'!$B$1:$CL$1,0)),"")</f>
        <v/>
      </c>
      <c r="M777" s="5" t="str">
        <f>IFERROR(INDEX('Master data'!$B$2:$CL$1000,MATCH($B777,'Master data'!$A$2:$A$1000,0),MATCH(M$1,'Master data'!$B$1:$CL$1,0)),"")</f>
        <v/>
      </c>
      <c r="N777" s="28" t="str">
        <f>IFERROR(INDEX('Master data'!$B$2:$CL$1000,MATCH($B777,'Master data'!$A$2:$A$1000,0),MATCH(N$1,'Master data'!$B$1:$CL$1,0)),"")</f>
        <v/>
      </c>
      <c r="O777" s="7" t="str">
        <f>IFERROR(INDEX('Master data'!$B$2:$CL$1000,MATCH($B777,'Master data'!$A$2:$A$1000,0),MATCH(O$1,'Master data'!$B$1:$CL$1,0)),"")</f>
        <v/>
      </c>
      <c r="P777" s="5" t="str">
        <f>IFERROR(INDEX('Master data'!$B$2:$CL$1000,MATCH($B777,'Master data'!$A$2:$A$1000,0),MATCH(P$1,'Master data'!$B$1:$CL$1,0)),"")</f>
        <v/>
      </c>
      <c r="Q777" s="5" t="str">
        <f>IFERROR(INDEX('Master data'!$B$2:$CL$1000,MATCH($B777,'Master data'!$A$2:$A$1000,0),MATCH(Q$1,'Master data'!$B$1:$CL$1,0)),"")</f>
        <v/>
      </c>
    </row>
    <row r="778" spans="1:17" hidden="1">
      <c r="A778" t="str">
        <f t="shared" si="12"/>
        <v/>
      </c>
      <c r="B778" t="str">
        <f>IF('Master data'!A778="","",'Master data'!A778)</f>
        <v/>
      </c>
      <c r="C778" t="str">
        <f>IFERROR(INDEX('Master data'!$B$2:$CL$1000,MATCH($B778,'Master data'!$A$2:$A$1000,0),MATCH(C$1,'Master data'!$B$1:$CL$1,0)),"")</f>
        <v/>
      </c>
      <c r="D778" t="str">
        <f>IFERROR(INDEX('Master data'!$B$2:$CL$1000,MATCH($B778,'Master data'!$A$2:$A$1000,0),MATCH(D$1,'Master data'!$B$1:$CL$1,0)),"")</f>
        <v/>
      </c>
      <c r="E778" s="5" t="str">
        <f>IFERROR(INDEX('Master data'!$B$2:$CL$1000,MATCH($B778,'Master data'!$A$2:$A$1000,0),MATCH(E$1,'Master data'!$B$1:$CL$1,0)),"")</f>
        <v/>
      </c>
      <c r="F778" s="7" t="str">
        <f>IFERROR(INDEX('Master data'!$B$2:$CL$1000,MATCH($B778,'Master data'!$A$2:$A$1000,0),MATCH(F$1,'Master data'!$B$1:$CL$1,0)),"")</f>
        <v/>
      </c>
      <c r="G778" s="7" t="str">
        <f>IFERROR(INDEX('Master data'!$B$2:$CL$1000,MATCH($B778,'Master data'!$A$2:$A$1000,0),MATCH(G$1,'Master data'!$B$1:$CL$1,0)),"")</f>
        <v/>
      </c>
      <c r="H778" s="7" t="str">
        <f>IFERROR(INDEX('Master data'!$B$2:$CL$1000,MATCH($B778,'Master data'!$A$2:$A$1000,0),MATCH(H$1,'Master data'!$B$1:$CL$1,0)),"")</f>
        <v/>
      </c>
      <c r="I778" s="7" t="str">
        <f>IFERROR(INDEX('Master data'!$B$2:$CL$1000,MATCH($B778,'Master data'!$A$2:$A$1000,0),MATCH(I$1,'Master data'!$B$1:$CL$1,0)),"")</f>
        <v/>
      </c>
      <c r="J778" s="7" t="str">
        <f>IFERROR(INDEX('Master data'!$B$2:$CL$1000,MATCH($B778,'Master data'!$A$2:$A$1000,0),MATCH(J$1,'Master data'!$B$1:$CL$1,0)),"")</f>
        <v/>
      </c>
      <c r="K778" s="7" t="str">
        <f>IFERROR(INDEX('Master data'!$B$2:$CL$1000,MATCH($B778,'Master data'!$A$2:$A$1000,0),MATCH(K$1,'Master data'!$B$1:$CL$1,0)),"")</f>
        <v/>
      </c>
      <c r="L778" s="7" t="str">
        <f>IFERROR(INDEX('Master data'!$B$2:$CL$1000,MATCH($B778,'Master data'!$A$2:$A$1000,0),MATCH(L$1,'Master data'!$B$1:$CL$1,0)),"")</f>
        <v/>
      </c>
      <c r="M778" s="5" t="str">
        <f>IFERROR(INDEX('Master data'!$B$2:$CL$1000,MATCH($B778,'Master data'!$A$2:$A$1000,0),MATCH(M$1,'Master data'!$B$1:$CL$1,0)),"")</f>
        <v/>
      </c>
      <c r="N778" s="28" t="str">
        <f>IFERROR(INDEX('Master data'!$B$2:$CL$1000,MATCH($B778,'Master data'!$A$2:$A$1000,0),MATCH(N$1,'Master data'!$B$1:$CL$1,0)),"")</f>
        <v/>
      </c>
      <c r="O778" s="7" t="str">
        <f>IFERROR(INDEX('Master data'!$B$2:$CL$1000,MATCH($B778,'Master data'!$A$2:$A$1000,0),MATCH(O$1,'Master data'!$B$1:$CL$1,0)),"")</f>
        <v/>
      </c>
      <c r="P778" s="5" t="str">
        <f>IFERROR(INDEX('Master data'!$B$2:$CL$1000,MATCH($B778,'Master data'!$A$2:$A$1000,0),MATCH(P$1,'Master data'!$B$1:$CL$1,0)),"")</f>
        <v/>
      </c>
      <c r="Q778" s="5" t="str">
        <f>IFERROR(INDEX('Master data'!$B$2:$CL$1000,MATCH($B778,'Master data'!$A$2:$A$1000,0),MATCH(Q$1,'Master data'!$B$1:$CL$1,0)),"")</f>
        <v/>
      </c>
    </row>
    <row r="779" spans="1:17" hidden="1">
      <c r="A779" t="str">
        <f t="shared" si="12"/>
        <v/>
      </c>
      <c r="B779" t="str">
        <f>IF('Master data'!A779="","",'Master data'!A779)</f>
        <v/>
      </c>
      <c r="C779" t="str">
        <f>IFERROR(INDEX('Master data'!$B$2:$CL$1000,MATCH($B779,'Master data'!$A$2:$A$1000,0),MATCH(C$1,'Master data'!$B$1:$CL$1,0)),"")</f>
        <v/>
      </c>
      <c r="D779" t="str">
        <f>IFERROR(INDEX('Master data'!$B$2:$CL$1000,MATCH($B779,'Master data'!$A$2:$A$1000,0),MATCH(D$1,'Master data'!$B$1:$CL$1,0)),"")</f>
        <v/>
      </c>
      <c r="E779" s="5" t="str">
        <f>IFERROR(INDEX('Master data'!$B$2:$CL$1000,MATCH($B779,'Master data'!$A$2:$A$1000,0),MATCH(E$1,'Master data'!$B$1:$CL$1,0)),"")</f>
        <v/>
      </c>
      <c r="F779" s="7" t="str">
        <f>IFERROR(INDEX('Master data'!$B$2:$CL$1000,MATCH($B779,'Master data'!$A$2:$A$1000,0),MATCH(F$1,'Master data'!$B$1:$CL$1,0)),"")</f>
        <v/>
      </c>
      <c r="G779" s="7" t="str">
        <f>IFERROR(INDEX('Master data'!$B$2:$CL$1000,MATCH($B779,'Master data'!$A$2:$A$1000,0),MATCH(G$1,'Master data'!$B$1:$CL$1,0)),"")</f>
        <v/>
      </c>
      <c r="H779" s="7" t="str">
        <f>IFERROR(INDEX('Master data'!$B$2:$CL$1000,MATCH($B779,'Master data'!$A$2:$A$1000,0),MATCH(H$1,'Master data'!$B$1:$CL$1,0)),"")</f>
        <v/>
      </c>
      <c r="I779" s="7" t="str">
        <f>IFERROR(INDEX('Master data'!$B$2:$CL$1000,MATCH($B779,'Master data'!$A$2:$A$1000,0),MATCH(I$1,'Master data'!$B$1:$CL$1,0)),"")</f>
        <v/>
      </c>
      <c r="J779" s="7" t="str">
        <f>IFERROR(INDEX('Master data'!$B$2:$CL$1000,MATCH($B779,'Master data'!$A$2:$A$1000,0),MATCH(J$1,'Master data'!$B$1:$CL$1,0)),"")</f>
        <v/>
      </c>
      <c r="K779" s="7" t="str">
        <f>IFERROR(INDEX('Master data'!$B$2:$CL$1000,MATCH($B779,'Master data'!$A$2:$A$1000,0),MATCH(K$1,'Master data'!$B$1:$CL$1,0)),"")</f>
        <v/>
      </c>
      <c r="L779" s="7" t="str">
        <f>IFERROR(INDEX('Master data'!$B$2:$CL$1000,MATCH($B779,'Master data'!$A$2:$A$1000,0),MATCH(L$1,'Master data'!$B$1:$CL$1,0)),"")</f>
        <v/>
      </c>
      <c r="M779" s="5" t="str">
        <f>IFERROR(INDEX('Master data'!$B$2:$CL$1000,MATCH($B779,'Master data'!$A$2:$A$1000,0),MATCH(M$1,'Master data'!$B$1:$CL$1,0)),"")</f>
        <v/>
      </c>
      <c r="N779" s="28" t="str">
        <f>IFERROR(INDEX('Master data'!$B$2:$CL$1000,MATCH($B779,'Master data'!$A$2:$A$1000,0),MATCH(N$1,'Master data'!$B$1:$CL$1,0)),"")</f>
        <v/>
      </c>
      <c r="O779" s="7" t="str">
        <f>IFERROR(INDEX('Master data'!$B$2:$CL$1000,MATCH($B779,'Master data'!$A$2:$A$1000,0),MATCH(O$1,'Master data'!$B$1:$CL$1,0)),"")</f>
        <v/>
      </c>
      <c r="P779" s="5" t="str">
        <f>IFERROR(INDEX('Master data'!$B$2:$CL$1000,MATCH($B779,'Master data'!$A$2:$A$1000,0),MATCH(P$1,'Master data'!$B$1:$CL$1,0)),"")</f>
        <v/>
      </c>
      <c r="Q779" s="5" t="str">
        <f>IFERROR(INDEX('Master data'!$B$2:$CL$1000,MATCH($B779,'Master data'!$A$2:$A$1000,0),MATCH(Q$1,'Master data'!$B$1:$CL$1,0)),"")</f>
        <v/>
      </c>
    </row>
    <row r="780" spans="1:17" hidden="1">
      <c r="A780" t="str">
        <f t="shared" si="12"/>
        <v/>
      </c>
      <c r="B780" t="str">
        <f>IF('Master data'!A780="","",'Master data'!A780)</f>
        <v/>
      </c>
      <c r="C780" t="str">
        <f>IFERROR(INDEX('Master data'!$B$2:$CL$1000,MATCH($B780,'Master data'!$A$2:$A$1000,0),MATCH(C$1,'Master data'!$B$1:$CL$1,0)),"")</f>
        <v/>
      </c>
      <c r="D780" t="str">
        <f>IFERROR(INDEX('Master data'!$B$2:$CL$1000,MATCH($B780,'Master data'!$A$2:$A$1000,0),MATCH(D$1,'Master data'!$B$1:$CL$1,0)),"")</f>
        <v/>
      </c>
      <c r="E780" s="5" t="str">
        <f>IFERROR(INDEX('Master data'!$B$2:$CL$1000,MATCH($B780,'Master data'!$A$2:$A$1000,0),MATCH(E$1,'Master data'!$B$1:$CL$1,0)),"")</f>
        <v/>
      </c>
      <c r="F780" s="7" t="str">
        <f>IFERROR(INDEX('Master data'!$B$2:$CL$1000,MATCH($B780,'Master data'!$A$2:$A$1000,0),MATCH(F$1,'Master data'!$B$1:$CL$1,0)),"")</f>
        <v/>
      </c>
      <c r="G780" s="7" t="str">
        <f>IFERROR(INDEX('Master data'!$B$2:$CL$1000,MATCH($B780,'Master data'!$A$2:$A$1000,0),MATCH(G$1,'Master data'!$B$1:$CL$1,0)),"")</f>
        <v/>
      </c>
      <c r="H780" s="7" t="str">
        <f>IFERROR(INDEX('Master data'!$B$2:$CL$1000,MATCH($B780,'Master data'!$A$2:$A$1000,0),MATCH(H$1,'Master data'!$B$1:$CL$1,0)),"")</f>
        <v/>
      </c>
      <c r="I780" s="7" t="str">
        <f>IFERROR(INDEX('Master data'!$B$2:$CL$1000,MATCH($B780,'Master data'!$A$2:$A$1000,0),MATCH(I$1,'Master data'!$B$1:$CL$1,0)),"")</f>
        <v/>
      </c>
      <c r="J780" s="7" t="str">
        <f>IFERROR(INDEX('Master data'!$B$2:$CL$1000,MATCH($B780,'Master data'!$A$2:$A$1000,0),MATCH(J$1,'Master data'!$B$1:$CL$1,0)),"")</f>
        <v/>
      </c>
      <c r="K780" s="7" t="str">
        <f>IFERROR(INDEX('Master data'!$B$2:$CL$1000,MATCH($B780,'Master data'!$A$2:$A$1000,0),MATCH(K$1,'Master data'!$B$1:$CL$1,0)),"")</f>
        <v/>
      </c>
      <c r="L780" s="7" t="str">
        <f>IFERROR(INDEX('Master data'!$B$2:$CL$1000,MATCH($B780,'Master data'!$A$2:$A$1000,0),MATCH(L$1,'Master data'!$B$1:$CL$1,0)),"")</f>
        <v/>
      </c>
      <c r="M780" s="5" t="str">
        <f>IFERROR(INDEX('Master data'!$B$2:$CL$1000,MATCH($B780,'Master data'!$A$2:$A$1000,0),MATCH(M$1,'Master data'!$B$1:$CL$1,0)),"")</f>
        <v/>
      </c>
      <c r="N780" s="28" t="str">
        <f>IFERROR(INDEX('Master data'!$B$2:$CL$1000,MATCH($B780,'Master data'!$A$2:$A$1000,0),MATCH(N$1,'Master data'!$B$1:$CL$1,0)),"")</f>
        <v/>
      </c>
      <c r="O780" s="7" t="str">
        <f>IFERROR(INDEX('Master data'!$B$2:$CL$1000,MATCH($B780,'Master data'!$A$2:$A$1000,0),MATCH(O$1,'Master data'!$B$1:$CL$1,0)),"")</f>
        <v/>
      </c>
      <c r="P780" s="5" t="str">
        <f>IFERROR(INDEX('Master data'!$B$2:$CL$1000,MATCH($B780,'Master data'!$A$2:$A$1000,0),MATCH(P$1,'Master data'!$B$1:$CL$1,0)),"")</f>
        <v/>
      </c>
      <c r="Q780" s="5" t="str">
        <f>IFERROR(INDEX('Master data'!$B$2:$CL$1000,MATCH($B780,'Master data'!$A$2:$A$1000,0),MATCH(Q$1,'Master data'!$B$1:$CL$1,0)),"")</f>
        <v/>
      </c>
    </row>
    <row r="781" spans="1:17" hidden="1">
      <c r="A781" t="str">
        <f t="shared" si="12"/>
        <v/>
      </c>
      <c r="B781" t="str">
        <f>IF('Master data'!A781="","",'Master data'!A781)</f>
        <v/>
      </c>
      <c r="C781" t="str">
        <f>IFERROR(INDEX('Master data'!$B$2:$CL$1000,MATCH($B781,'Master data'!$A$2:$A$1000,0),MATCH(C$1,'Master data'!$B$1:$CL$1,0)),"")</f>
        <v/>
      </c>
      <c r="D781" t="str">
        <f>IFERROR(INDEX('Master data'!$B$2:$CL$1000,MATCH($B781,'Master data'!$A$2:$A$1000,0),MATCH(D$1,'Master data'!$B$1:$CL$1,0)),"")</f>
        <v/>
      </c>
      <c r="E781" s="5" t="str">
        <f>IFERROR(INDEX('Master data'!$B$2:$CL$1000,MATCH($B781,'Master data'!$A$2:$A$1000,0),MATCH(E$1,'Master data'!$B$1:$CL$1,0)),"")</f>
        <v/>
      </c>
      <c r="F781" s="7" t="str">
        <f>IFERROR(INDEX('Master data'!$B$2:$CL$1000,MATCH($B781,'Master data'!$A$2:$A$1000,0),MATCH(F$1,'Master data'!$B$1:$CL$1,0)),"")</f>
        <v/>
      </c>
      <c r="G781" s="7" t="str">
        <f>IFERROR(INDEX('Master data'!$B$2:$CL$1000,MATCH($B781,'Master data'!$A$2:$A$1000,0),MATCH(G$1,'Master data'!$B$1:$CL$1,0)),"")</f>
        <v/>
      </c>
      <c r="H781" s="7" t="str">
        <f>IFERROR(INDEX('Master data'!$B$2:$CL$1000,MATCH($B781,'Master data'!$A$2:$A$1000,0),MATCH(H$1,'Master data'!$B$1:$CL$1,0)),"")</f>
        <v/>
      </c>
      <c r="I781" s="7" t="str">
        <f>IFERROR(INDEX('Master data'!$B$2:$CL$1000,MATCH($B781,'Master data'!$A$2:$A$1000,0),MATCH(I$1,'Master data'!$B$1:$CL$1,0)),"")</f>
        <v/>
      </c>
      <c r="J781" s="7" t="str">
        <f>IFERROR(INDEX('Master data'!$B$2:$CL$1000,MATCH($B781,'Master data'!$A$2:$A$1000,0),MATCH(J$1,'Master data'!$B$1:$CL$1,0)),"")</f>
        <v/>
      </c>
      <c r="K781" s="7" t="str">
        <f>IFERROR(INDEX('Master data'!$B$2:$CL$1000,MATCH($B781,'Master data'!$A$2:$A$1000,0),MATCH(K$1,'Master data'!$B$1:$CL$1,0)),"")</f>
        <v/>
      </c>
      <c r="L781" s="7" t="str">
        <f>IFERROR(INDEX('Master data'!$B$2:$CL$1000,MATCH($B781,'Master data'!$A$2:$A$1000,0),MATCH(L$1,'Master data'!$B$1:$CL$1,0)),"")</f>
        <v/>
      </c>
      <c r="M781" s="5" t="str">
        <f>IFERROR(INDEX('Master data'!$B$2:$CL$1000,MATCH($B781,'Master data'!$A$2:$A$1000,0),MATCH(M$1,'Master data'!$B$1:$CL$1,0)),"")</f>
        <v/>
      </c>
      <c r="N781" s="28" t="str">
        <f>IFERROR(INDEX('Master data'!$B$2:$CL$1000,MATCH($B781,'Master data'!$A$2:$A$1000,0),MATCH(N$1,'Master data'!$B$1:$CL$1,0)),"")</f>
        <v/>
      </c>
      <c r="O781" s="7" t="str">
        <f>IFERROR(INDEX('Master data'!$B$2:$CL$1000,MATCH($B781,'Master data'!$A$2:$A$1000,0),MATCH(O$1,'Master data'!$B$1:$CL$1,0)),"")</f>
        <v/>
      </c>
      <c r="P781" s="5" t="str">
        <f>IFERROR(INDEX('Master data'!$B$2:$CL$1000,MATCH($B781,'Master data'!$A$2:$A$1000,0),MATCH(P$1,'Master data'!$B$1:$CL$1,0)),"")</f>
        <v/>
      </c>
      <c r="Q781" s="5" t="str">
        <f>IFERROR(INDEX('Master data'!$B$2:$CL$1000,MATCH($B781,'Master data'!$A$2:$A$1000,0),MATCH(Q$1,'Master data'!$B$1:$CL$1,0)),"")</f>
        <v/>
      </c>
    </row>
    <row r="782" spans="1:17" hidden="1">
      <c r="A782" t="str">
        <f t="shared" si="12"/>
        <v/>
      </c>
      <c r="B782" t="str">
        <f>IF('Master data'!A782="","",'Master data'!A782)</f>
        <v/>
      </c>
      <c r="C782" t="str">
        <f>IFERROR(INDEX('Master data'!$B$2:$CL$1000,MATCH($B782,'Master data'!$A$2:$A$1000,0),MATCH(C$1,'Master data'!$B$1:$CL$1,0)),"")</f>
        <v/>
      </c>
      <c r="D782" t="str">
        <f>IFERROR(INDEX('Master data'!$B$2:$CL$1000,MATCH($B782,'Master data'!$A$2:$A$1000,0),MATCH(D$1,'Master data'!$B$1:$CL$1,0)),"")</f>
        <v/>
      </c>
      <c r="E782" s="5" t="str">
        <f>IFERROR(INDEX('Master data'!$B$2:$CL$1000,MATCH($B782,'Master data'!$A$2:$A$1000,0),MATCH(E$1,'Master data'!$B$1:$CL$1,0)),"")</f>
        <v/>
      </c>
      <c r="F782" s="7" t="str">
        <f>IFERROR(INDEX('Master data'!$B$2:$CL$1000,MATCH($B782,'Master data'!$A$2:$A$1000,0),MATCH(F$1,'Master data'!$B$1:$CL$1,0)),"")</f>
        <v/>
      </c>
      <c r="G782" s="7" t="str">
        <f>IFERROR(INDEX('Master data'!$B$2:$CL$1000,MATCH($B782,'Master data'!$A$2:$A$1000,0),MATCH(G$1,'Master data'!$B$1:$CL$1,0)),"")</f>
        <v/>
      </c>
      <c r="H782" s="7" t="str">
        <f>IFERROR(INDEX('Master data'!$B$2:$CL$1000,MATCH($B782,'Master data'!$A$2:$A$1000,0),MATCH(H$1,'Master data'!$B$1:$CL$1,0)),"")</f>
        <v/>
      </c>
      <c r="I782" s="7" t="str">
        <f>IFERROR(INDEX('Master data'!$B$2:$CL$1000,MATCH($B782,'Master data'!$A$2:$A$1000,0),MATCH(I$1,'Master data'!$B$1:$CL$1,0)),"")</f>
        <v/>
      </c>
      <c r="J782" s="7" t="str">
        <f>IFERROR(INDEX('Master data'!$B$2:$CL$1000,MATCH($B782,'Master data'!$A$2:$A$1000,0),MATCH(J$1,'Master data'!$B$1:$CL$1,0)),"")</f>
        <v/>
      </c>
      <c r="K782" s="7" t="str">
        <f>IFERROR(INDEX('Master data'!$B$2:$CL$1000,MATCH($B782,'Master data'!$A$2:$A$1000,0),MATCH(K$1,'Master data'!$B$1:$CL$1,0)),"")</f>
        <v/>
      </c>
      <c r="L782" s="7" t="str">
        <f>IFERROR(INDEX('Master data'!$B$2:$CL$1000,MATCH($B782,'Master data'!$A$2:$A$1000,0),MATCH(L$1,'Master data'!$B$1:$CL$1,0)),"")</f>
        <v/>
      </c>
      <c r="M782" s="5" t="str">
        <f>IFERROR(INDEX('Master data'!$B$2:$CL$1000,MATCH($B782,'Master data'!$A$2:$A$1000,0),MATCH(M$1,'Master data'!$B$1:$CL$1,0)),"")</f>
        <v/>
      </c>
      <c r="N782" s="28" t="str">
        <f>IFERROR(INDEX('Master data'!$B$2:$CL$1000,MATCH($B782,'Master data'!$A$2:$A$1000,0),MATCH(N$1,'Master data'!$B$1:$CL$1,0)),"")</f>
        <v/>
      </c>
      <c r="O782" s="7" t="str">
        <f>IFERROR(INDEX('Master data'!$B$2:$CL$1000,MATCH($B782,'Master data'!$A$2:$A$1000,0),MATCH(O$1,'Master data'!$B$1:$CL$1,0)),"")</f>
        <v/>
      </c>
      <c r="P782" s="5" t="str">
        <f>IFERROR(INDEX('Master data'!$B$2:$CL$1000,MATCH($B782,'Master data'!$A$2:$A$1000,0),MATCH(P$1,'Master data'!$B$1:$CL$1,0)),"")</f>
        <v/>
      </c>
      <c r="Q782" s="5" t="str">
        <f>IFERROR(INDEX('Master data'!$B$2:$CL$1000,MATCH($B782,'Master data'!$A$2:$A$1000,0),MATCH(Q$1,'Master data'!$B$1:$CL$1,0)),"")</f>
        <v/>
      </c>
    </row>
    <row r="783" spans="1:17" hidden="1">
      <c r="A783" t="str">
        <f t="shared" si="12"/>
        <v/>
      </c>
      <c r="B783" t="str">
        <f>IF('Master data'!A783="","",'Master data'!A783)</f>
        <v/>
      </c>
      <c r="C783" t="str">
        <f>IFERROR(INDEX('Master data'!$B$2:$CL$1000,MATCH($B783,'Master data'!$A$2:$A$1000,0),MATCH(C$1,'Master data'!$B$1:$CL$1,0)),"")</f>
        <v/>
      </c>
      <c r="D783" t="str">
        <f>IFERROR(INDEX('Master data'!$B$2:$CL$1000,MATCH($B783,'Master data'!$A$2:$A$1000,0),MATCH(D$1,'Master data'!$B$1:$CL$1,0)),"")</f>
        <v/>
      </c>
      <c r="E783" s="5" t="str">
        <f>IFERROR(INDEX('Master data'!$B$2:$CL$1000,MATCH($B783,'Master data'!$A$2:$A$1000,0),MATCH(E$1,'Master data'!$B$1:$CL$1,0)),"")</f>
        <v/>
      </c>
      <c r="F783" s="7" t="str">
        <f>IFERROR(INDEX('Master data'!$B$2:$CL$1000,MATCH($B783,'Master data'!$A$2:$A$1000,0),MATCH(F$1,'Master data'!$B$1:$CL$1,0)),"")</f>
        <v/>
      </c>
      <c r="G783" s="7" t="str">
        <f>IFERROR(INDEX('Master data'!$B$2:$CL$1000,MATCH($B783,'Master data'!$A$2:$A$1000,0),MATCH(G$1,'Master data'!$B$1:$CL$1,0)),"")</f>
        <v/>
      </c>
      <c r="H783" s="7" t="str">
        <f>IFERROR(INDEX('Master data'!$B$2:$CL$1000,MATCH($B783,'Master data'!$A$2:$A$1000,0),MATCH(H$1,'Master data'!$B$1:$CL$1,0)),"")</f>
        <v/>
      </c>
      <c r="I783" s="7" t="str">
        <f>IFERROR(INDEX('Master data'!$B$2:$CL$1000,MATCH($B783,'Master data'!$A$2:$A$1000,0),MATCH(I$1,'Master data'!$B$1:$CL$1,0)),"")</f>
        <v/>
      </c>
      <c r="J783" s="7" t="str">
        <f>IFERROR(INDEX('Master data'!$B$2:$CL$1000,MATCH($B783,'Master data'!$A$2:$A$1000,0),MATCH(J$1,'Master data'!$B$1:$CL$1,0)),"")</f>
        <v/>
      </c>
      <c r="K783" s="7" t="str">
        <f>IFERROR(INDEX('Master data'!$B$2:$CL$1000,MATCH($B783,'Master data'!$A$2:$A$1000,0),MATCH(K$1,'Master data'!$B$1:$CL$1,0)),"")</f>
        <v/>
      </c>
      <c r="L783" s="7" t="str">
        <f>IFERROR(INDEX('Master data'!$B$2:$CL$1000,MATCH($B783,'Master data'!$A$2:$A$1000,0),MATCH(L$1,'Master data'!$B$1:$CL$1,0)),"")</f>
        <v/>
      </c>
      <c r="M783" s="5" t="str">
        <f>IFERROR(INDEX('Master data'!$B$2:$CL$1000,MATCH($B783,'Master data'!$A$2:$A$1000,0),MATCH(M$1,'Master data'!$B$1:$CL$1,0)),"")</f>
        <v/>
      </c>
      <c r="N783" s="28" t="str">
        <f>IFERROR(INDEX('Master data'!$B$2:$CL$1000,MATCH($B783,'Master data'!$A$2:$A$1000,0),MATCH(N$1,'Master data'!$B$1:$CL$1,0)),"")</f>
        <v/>
      </c>
      <c r="O783" s="7" t="str">
        <f>IFERROR(INDEX('Master data'!$B$2:$CL$1000,MATCH($B783,'Master data'!$A$2:$A$1000,0),MATCH(O$1,'Master data'!$B$1:$CL$1,0)),"")</f>
        <v/>
      </c>
      <c r="P783" s="5" t="str">
        <f>IFERROR(INDEX('Master data'!$B$2:$CL$1000,MATCH($B783,'Master data'!$A$2:$A$1000,0),MATCH(P$1,'Master data'!$B$1:$CL$1,0)),"")</f>
        <v/>
      </c>
      <c r="Q783" s="5" t="str">
        <f>IFERROR(INDEX('Master data'!$B$2:$CL$1000,MATCH($B783,'Master data'!$A$2:$A$1000,0),MATCH(Q$1,'Master data'!$B$1:$CL$1,0)),"")</f>
        <v/>
      </c>
    </row>
    <row r="784" spans="1:17" hidden="1">
      <c r="A784" t="str">
        <f t="shared" si="12"/>
        <v/>
      </c>
      <c r="B784" t="str">
        <f>IF('Master data'!A784="","",'Master data'!A784)</f>
        <v/>
      </c>
      <c r="C784" t="str">
        <f>IFERROR(INDEX('Master data'!$B$2:$CL$1000,MATCH($B784,'Master data'!$A$2:$A$1000,0),MATCH(C$1,'Master data'!$B$1:$CL$1,0)),"")</f>
        <v/>
      </c>
      <c r="D784" t="str">
        <f>IFERROR(INDEX('Master data'!$B$2:$CL$1000,MATCH($B784,'Master data'!$A$2:$A$1000,0),MATCH(D$1,'Master data'!$B$1:$CL$1,0)),"")</f>
        <v/>
      </c>
      <c r="E784" s="5" t="str">
        <f>IFERROR(INDEX('Master data'!$B$2:$CL$1000,MATCH($B784,'Master data'!$A$2:$A$1000,0),MATCH(E$1,'Master data'!$B$1:$CL$1,0)),"")</f>
        <v/>
      </c>
      <c r="F784" s="7" t="str">
        <f>IFERROR(INDEX('Master data'!$B$2:$CL$1000,MATCH($B784,'Master data'!$A$2:$A$1000,0),MATCH(F$1,'Master data'!$B$1:$CL$1,0)),"")</f>
        <v/>
      </c>
      <c r="G784" s="7" t="str">
        <f>IFERROR(INDEX('Master data'!$B$2:$CL$1000,MATCH($B784,'Master data'!$A$2:$A$1000,0),MATCH(G$1,'Master data'!$B$1:$CL$1,0)),"")</f>
        <v/>
      </c>
      <c r="H784" s="7" t="str">
        <f>IFERROR(INDEX('Master data'!$B$2:$CL$1000,MATCH($B784,'Master data'!$A$2:$A$1000,0),MATCH(H$1,'Master data'!$B$1:$CL$1,0)),"")</f>
        <v/>
      </c>
      <c r="I784" s="7" t="str">
        <f>IFERROR(INDEX('Master data'!$B$2:$CL$1000,MATCH($B784,'Master data'!$A$2:$A$1000,0),MATCH(I$1,'Master data'!$B$1:$CL$1,0)),"")</f>
        <v/>
      </c>
      <c r="J784" s="7" t="str">
        <f>IFERROR(INDEX('Master data'!$B$2:$CL$1000,MATCH($B784,'Master data'!$A$2:$A$1000,0),MATCH(J$1,'Master data'!$B$1:$CL$1,0)),"")</f>
        <v/>
      </c>
      <c r="K784" s="7" t="str">
        <f>IFERROR(INDEX('Master data'!$B$2:$CL$1000,MATCH($B784,'Master data'!$A$2:$A$1000,0),MATCH(K$1,'Master data'!$B$1:$CL$1,0)),"")</f>
        <v/>
      </c>
      <c r="L784" s="7" t="str">
        <f>IFERROR(INDEX('Master data'!$B$2:$CL$1000,MATCH($B784,'Master data'!$A$2:$A$1000,0),MATCH(L$1,'Master data'!$B$1:$CL$1,0)),"")</f>
        <v/>
      </c>
      <c r="M784" s="5" t="str">
        <f>IFERROR(INDEX('Master data'!$B$2:$CL$1000,MATCH($B784,'Master data'!$A$2:$A$1000,0),MATCH(M$1,'Master data'!$B$1:$CL$1,0)),"")</f>
        <v/>
      </c>
      <c r="N784" s="28" t="str">
        <f>IFERROR(INDEX('Master data'!$B$2:$CL$1000,MATCH($B784,'Master data'!$A$2:$A$1000,0),MATCH(N$1,'Master data'!$B$1:$CL$1,0)),"")</f>
        <v/>
      </c>
      <c r="O784" s="7" t="str">
        <f>IFERROR(INDEX('Master data'!$B$2:$CL$1000,MATCH($B784,'Master data'!$A$2:$A$1000,0),MATCH(O$1,'Master data'!$B$1:$CL$1,0)),"")</f>
        <v/>
      </c>
      <c r="P784" s="5" t="str">
        <f>IFERROR(INDEX('Master data'!$B$2:$CL$1000,MATCH($B784,'Master data'!$A$2:$A$1000,0),MATCH(P$1,'Master data'!$B$1:$CL$1,0)),"")</f>
        <v/>
      </c>
      <c r="Q784" s="5" t="str">
        <f>IFERROR(INDEX('Master data'!$B$2:$CL$1000,MATCH($B784,'Master data'!$A$2:$A$1000,0),MATCH(Q$1,'Master data'!$B$1:$CL$1,0)),"")</f>
        <v/>
      </c>
    </row>
    <row r="785" spans="1:17" hidden="1">
      <c r="A785" t="str">
        <f t="shared" si="12"/>
        <v/>
      </c>
      <c r="B785" t="str">
        <f>IF('Master data'!A785="","",'Master data'!A785)</f>
        <v/>
      </c>
      <c r="C785" t="str">
        <f>IFERROR(INDEX('Master data'!$B$2:$CL$1000,MATCH($B785,'Master data'!$A$2:$A$1000,0),MATCH(C$1,'Master data'!$B$1:$CL$1,0)),"")</f>
        <v/>
      </c>
      <c r="D785" t="str">
        <f>IFERROR(INDEX('Master data'!$B$2:$CL$1000,MATCH($B785,'Master data'!$A$2:$A$1000,0),MATCH(D$1,'Master data'!$B$1:$CL$1,0)),"")</f>
        <v/>
      </c>
      <c r="E785" s="5" t="str">
        <f>IFERROR(INDEX('Master data'!$B$2:$CL$1000,MATCH($B785,'Master data'!$A$2:$A$1000,0),MATCH(E$1,'Master data'!$B$1:$CL$1,0)),"")</f>
        <v/>
      </c>
      <c r="F785" s="7" t="str">
        <f>IFERROR(INDEX('Master data'!$B$2:$CL$1000,MATCH($B785,'Master data'!$A$2:$A$1000,0),MATCH(F$1,'Master data'!$B$1:$CL$1,0)),"")</f>
        <v/>
      </c>
      <c r="G785" s="7" t="str">
        <f>IFERROR(INDEX('Master data'!$B$2:$CL$1000,MATCH($B785,'Master data'!$A$2:$A$1000,0),MATCH(G$1,'Master data'!$B$1:$CL$1,0)),"")</f>
        <v/>
      </c>
      <c r="H785" s="7" t="str">
        <f>IFERROR(INDEX('Master data'!$B$2:$CL$1000,MATCH($B785,'Master data'!$A$2:$A$1000,0),MATCH(H$1,'Master data'!$B$1:$CL$1,0)),"")</f>
        <v/>
      </c>
      <c r="I785" s="7" t="str">
        <f>IFERROR(INDEX('Master data'!$B$2:$CL$1000,MATCH($B785,'Master data'!$A$2:$A$1000,0),MATCH(I$1,'Master data'!$B$1:$CL$1,0)),"")</f>
        <v/>
      </c>
      <c r="J785" s="7" t="str">
        <f>IFERROR(INDEX('Master data'!$B$2:$CL$1000,MATCH($B785,'Master data'!$A$2:$A$1000,0),MATCH(J$1,'Master data'!$B$1:$CL$1,0)),"")</f>
        <v/>
      </c>
      <c r="K785" s="7" t="str">
        <f>IFERROR(INDEX('Master data'!$B$2:$CL$1000,MATCH($B785,'Master data'!$A$2:$A$1000,0),MATCH(K$1,'Master data'!$B$1:$CL$1,0)),"")</f>
        <v/>
      </c>
      <c r="L785" s="7" t="str">
        <f>IFERROR(INDEX('Master data'!$B$2:$CL$1000,MATCH($B785,'Master data'!$A$2:$A$1000,0),MATCH(L$1,'Master data'!$B$1:$CL$1,0)),"")</f>
        <v/>
      </c>
      <c r="M785" s="5" t="str">
        <f>IFERROR(INDEX('Master data'!$B$2:$CL$1000,MATCH($B785,'Master data'!$A$2:$A$1000,0),MATCH(M$1,'Master data'!$B$1:$CL$1,0)),"")</f>
        <v/>
      </c>
      <c r="N785" s="28" t="str">
        <f>IFERROR(INDEX('Master data'!$B$2:$CL$1000,MATCH($B785,'Master data'!$A$2:$A$1000,0),MATCH(N$1,'Master data'!$B$1:$CL$1,0)),"")</f>
        <v/>
      </c>
      <c r="O785" s="7" t="str">
        <f>IFERROR(INDEX('Master data'!$B$2:$CL$1000,MATCH($B785,'Master data'!$A$2:$A$1000,0),MATCH(O$1,'Master data'!$B$1:$CL$1,0)),"")</f>
        <v/>
      </c>
      <c r="P785" s="5" t="str">
        <f>IFERROR(INDEX('Master data'!$B$2:$CL$1000,MATCH($B785,'Master data'!$A$2:$A$1000,0),MATCH(P$1,'Master data'!$B$1:$CL$1,0)),"")</f>
        <v/>
      </c>
      <c r="Q785" s="5" t="str">
        <f>IFERROR(INDEX('Master data'!$B$2:$CL$1000,MATCH($B785,'Master data'!$A$2:$A$1000,0),MATCH(Q$1,'Master data'!$B$1:$CL$1,0)),"")</f>
        <v/>
      </c>
    </row>
    <row r="786" spans="1:17" hidden="1">
      <c r="A786" t="str">
        <f t="shared" si="12"/>
        <v/>
      </c>
      <c r="B786" t="str">
        <f>IF('Master data'!A786="","",'Master data'!A786)</f>
        <v/>
      </c>
      <c r="C786" t="str">
        <f>IFERROR(INDEX('Master data'!$B$2:$CL$1000,MATCH($B786,'Master data'!$A$2:$A$1000,0),MATCH(C$1,'Master data'!$B$1:$CL$1,0)),"")</f>
        <v/>
      </c>
      <c r="D786" t="str">
        <f>IFERROR(INDEX('Master data'!$B$2:$CL$1000,MATCH($B786,'Master data'!$A$2:$A$1000,0),MATCH(D$1,'Master data'!$B$1:$CL$1,0)),"")</f>
        <v/>
      </c>
      <c r="E786" s="5" t="str">
        <f>IFERROR(INDEX('Master data'!$B$2:$CL$1000,MATCH($B786,'Master data'!$A$2:$A$1000,0),MATCH(E$1,'Master data'!$B$1:$CL$1,0)),"")</f>
        <v/>
      </c>
      <c r="F786" s="7" t="str">
        <f>IFERROR(INDEX('Master data'!$B$2:$CL$1000,MATCH($B786,'Master data'!$A$2:$A$1000,0),MATCH(F$1,'Master data'!$B$1:$CL$1,0)),"")</f>
        <v/>
      </c>
      <c r="G786" s="7" t="str">
        <f>IFERROR(INDEX('Master data'!$B$2:$CL$1000,MATCH($B786,'Master data'!$A$2:$A$1000,0),MATCH(G$1,'Master data'!$B$1:$CL$1,0)),"")</f>
        <v/>
      </c>
      <c r="H786" s="7" t="str">
        <f>IFERROR(INDEX('Master data'!$B$2:$CL$1000,MATCH($B786,'Master data'!$A$2:$A$1000,0),MATCH(H$1,'Master data'!$B$1:$CL$1,0)),"")</f>
        <v/>
      </c>
      <c r="I786" s="7" t="str">
        <f>IFERROR(INDEX('Master data'!$B$2:$CL$1000,MATCH($B786,'Master data'!$A$2:$A$1000,0),MATCH(I$1,'Master data'!$B$1:$CL$1,0)),"")</f>
        <v/>
      </c>
      <c r="J786" s="7" t="str">
        <f>IFERROR(INDEX('Master data'!$B$2:$CL$1000,MATCH($B786,'Master data'!$A$2:$A$1000,0),MATCH(J$1,'Master data'!$B$1:$CL$1,0)),"")</f>
        <v/>
      </c>
      <c r="K786" s="7" t="str">
        <f>IFERROR(INDEX('Master data'!$B$2:$CL$1000,MATCH($B786,'Master data'!$A$2:$A$1000,0),MATCH(K$1,'Master data'!$B$1:$CL$1,0)),"")</f>
        <v/>
      </c>
      <c r="L786" s="7" t="str">
        <f>IFERROR(INDEX('Master data'!$B$2:$CL$1000,MATCH($B786,'Master data'!$A$2:$A$1000,0),MATCH(L$1,'Master data'!$B$1:$CL$1,0)),"")</f>
        <v/>
      </c>
      <c r="M786" s="5" t="str">
        <f>IFERROR(INDEX('Master data'!$B$2:$CL$1000,MATCH($B786,'Master data'!$A$2:$A$1000,0),MATCH(M$1,'Master data'!$B$1:$CL$1,0)),"")</f>
        <v/>
      </c>
      <c r="N786" s="28" t="str">
        <f>IFERROR(INDEX('Master data'!$B$2:$CL$1000,MATCH($B786,'Master data'!$A$2:$A$1000,0),MATCH(N$1,'Master data'!$B$1:$CL$1,0)),"")</f>
        <v/>
      </c>
      <c r="O786" s="7" t="str">
        <f>IFERROR(INDEX('Master data'!$B$2:$CL$1000,MATCH($B786,'Master data'!$A$2:$A$1000,0),MATCH(O$1,'Master data'!$B$1:$CL$1,0)),"")</f>
        <v/>
      </c>
      <c r="P786" s="5" t="str">
        <f>IFERROR(INDEX('Master data'!$B$2:$CL$1000,MATCH($B786,'Master data'!$A$2:$A$1000,0),MATCH(P$1,'Master data'!$B$1:$CL$1,0)),"")</f>
        <v/>
      </c>
      <c r="Q786" s="5" t="str">
        <f>IFERROR(INDEX('Master data'!$B$2:$CL$1000,MATCH($B786,'Master data'!$A$2:$A$1000,0),MATCH(Q$1,'Master data'!$B$1:$CL$1,0)),"")</f>
        <v/>
      </c>
    </row>
    <row r="787" spans="1:17" hidden="1">
      <c r="A787" t="str">
        <f t="shared" si="12"/>
        <v/>
      </c>
      <c r="B787" t="str">
        <f>IF('Master data'!A787="","",'Master data'!A787)</f>
        <v/>
      </c>
      <c r="C787" t="str">
        <f>IFERROR(INDEX('Master data'!$B$2:$CL$1000,MATCH($B787,'Master data'!$A$2:$A$1000,0),MATCH(C$1,'Master data'!$B$1:$CL$1,0)),"")</f>
        <v/>
      </c>
      <c r="D787" t="str">
        <f>IFERROR(INDEX('Master data'!$B$2:$CL$1000,MATCH($B787,'Master data'!$A$2:$A$1000,0),MATCH(D$1,'Master data'!$B$1:$CL$1,0)),"")</f>
        <v/>
      </c>
      <c r="E787" s="5" t="str">
        <f>IFERROR(INDEX('Master data'!$B$2:$CL$1000,MATCH($B787,'Master data'!$A$2:$A$1000,0),MATCH(E$1,'Master data'!$B$1:$CL$1,0)),"")</f>
        <v/>
      </c>
      <c r="F787" s="7" t="str">
        <f>IFERROR(INDEX('Master data'!$B$2:$CL$1000,MATCH($B787,'Master data'!$A$2:$A$1000,0),MATCH(F$1,'Master data'!$B$1:$CL$1,0)),"")</f>
        <v/>
      </c>
      <c r="G787" s="7" t="str">
        <f>IFERROR(INDEX('Master data'!$B$2:$CL$1000,MATCH($B787,'Master data'!$A$2:$A$1000,0),MATCH(G$1,'Master data'!$B$1:$CL$1,0)),"")</f>
        <v/>
      </c>
      <c r="H787" s="7" t="str">
        <f>IFERROR(INDEX('Master data'!$B$2:$CL$1000,MATCH($B787,'Master data'!$A$2:$A$1000,0),MATCH(H$1,'Master data'!$B$1:$CL$1,0)),"")</f>
        <v/>
      </c>
      <c r="I787" s="7" t="str">
        <f>IFERROR(INDEX('Master data'!$B$2:$CL$1000,MATCH($B787,'Master data'!$A$2:$A$1000,0),MATCH(I$1,'Master data'!$B$1:$CL$1,0)),"")</f>
        <v/>
      </c>
      <c r="J787" s="7" t="str">
        <f>IFERROR(INDEX('Master data'!$B$2:$CL$1000,MATCH($B787,'Master data'!$A$2:$A$1000,0),MATCH(J$1,'Master data'!$B$1:$CL$1,0)),"")</f>
        <v/>
      </c>
      <c r="K787" s="7" t="str">
        <f>IFERROR(INDEX('Master data'!$B$2:$CL$1000,MATCH($B787,'Master data'!$A$2:$A$1000,0),MATCH(K$1,'Master data'!$B$1:$CL$1,0)),"")</f>
        <v/>
      </c>
      <c r="L787" s="7" t="str">
        <f>IFERROR(INDEX('Master data'!$B$2:$CL$1000,MATCH($B787,'Master data'!$A$2:$A$1000,0),MATCH(L$1,'Master data'!$B$1:$CL$1,0)),"")</f>
        <v/>
      </c>
      <c r="M787" s="5" t="str">
        <f>IFERROR(INDEX('Master data'!$B$2:$CL$1000,MATCH($B787,'Master data'!$A$2:$A$1000,0),MATCH(M$1,'Master data'!$B$1:$CL$1,0)),"")</f>
        <v/>
      </c>
      <c r="N787" s="28" t="str">
        <f>IFERROR(INDEX('Master data'!$B$2:$CL$1000,MATCH($B787,'Master data'!$A$2:$A$1000,0),MATCH(N$1,'Master data'!$B$1:$CL$1,0)),"")</f>
        <v/>
      </c>
      <c r="O787" s="7" t="str">
        <f>IFERROR(INDEX('Master data'!$B$2:$CL$1000,MATCH($B787,'Master data'!$A$2:$A$1000,0),MATCH(O$1,'Master data'!$B$1:$CL$1,0)),"")</f>
        <v/>
      </c>
      <c r="P787" s="5" t="str">
        <f>IFERROR(INDEX('Master data'!$B$2:$CL$1000,MATCH($B787,'Master data'!$A$2:$A$1000,0),MATCH(P$1,'Master data'!$B$1:$CL$1,0)),"")</f>
        <v/>
      </c>
      <c r="Q787" s="5" t="str">
        <f>IFERROR(INDEX('Master data'!$B$2:$CL$1000,MATCH($B787,'Master data'!$A$2:$A$1000,0),MATCH(Q$1,'Master data'!$B$1:$CL$1,0)),"")</f>
        <v/>
      </c>
    </row>
    <row r="788" spans="1:17" hidden="1">
      <c r="A788" t="str">
        <f t="shared" si="12"/>
        <v/>
      </c>
      <c r="B788" t="str">
        <f>IF('Master data'!A788="","",'Master data'!A788)</f>
        <v/>
      </c>
      <c r="C788" t="str">
        <f>IFERROR(INDEX('Master data'!$B$2:$CL$1000,MATCH($B788,'Master data'!$A$2:$A$1000,0),MATCH(C$1,'Master data'!$B$1:$CL$1,0)),"")</f>
        <v/>
      </c>
      <c r="D788" t="str">
        <f>IFERROR(INDEX('Master data'!$B$2:$CL$1000,MATCH($B788,'Master data'!$A$2:$A$1000,0),MATCH(D$1,'Master data'!$B$1:$CL$1,0)),"")</f>
        <v/>
      </c>
      <c r="E788" s="5" t="str">
        <f>IFERROR(INDEX('Master data'!$B$2:$CL$1000,MATCH($B788,'Master data'!$A$2:$A$1000,0),MATCH(E$1,'Master data'!$B$1:$CL$1,0)),"")</f>
        <v/>
      </c>
      <c r="F788" s="7" t="str">
        <f>IFERROR(INDEX('Master data'!$B$2:$CL$1000,MATCH($B788,'Master data'!$A$2:$A$1000,0),MATCH(F$1,'Master data'!$B$1:$CL$1,0)),"")</f>
        <v/>
      </c>
      <c r="G788" s="7" t="str">
        <f>IFERROR(INDEX('Master data'!$B$2:$CL$1000,MATCH($B788,'Master data'!$A$2:$A$1000,0),MATCH(G$1,'Master data'!$B$1:$CL$1,0)),"")</f>
        <v/>
      </c>
      <c r="H788" s="7" t="str">
        <f>IFERROR(INDEX('Master data'!$B$2:$CL$1000,MATCH($B788,'Master data'!$A$2:$A$1000,0),MATCH(H$1,'Master data'!$B$1:$CL$1,0)),"")</f>
        <v/>
      </c>
      <c r="I788" s="7" t="str">
        <f>IFERROR(INDEX('Master data'!$B$2:$CL$1000,MATCH($B788,'Master data'!$A$2:$A$1000,0),MATCH(I$1,'Master data'!$B$1:$CL$1,0)),"")</f>
        <v/>
      </c>
      <c r="J788" s="7" t="str">
        <f>IFERROR(INDEX('Master data'!$B$2:$CL$1000,MATCH($B788,'Master data'!$A$2:$A$1000,0),MATCH(J$1,'Master data'!$B$1:$CL$1,0)),"")</f>
        <v/>
      </c>
      <c r="K788" s="7" t="str">
        <f>IFERROR(INDEX('Master data'!$B$2:$CL$1000,MATCH($B788,'Master data'!$A$2:$A$1000,0),MATCH(K$1,'Master data'!$B$1:$CL$1,0)),"")</f>
        <v/>
      </c>
      <c r="L788" s="7" t="str">
        <f>IFERROR(INDEX('Master data'!$B$2:$CL$1000,MATCH($B788,'Master data'!$A$2:$A$1000,0),MATCH(L$1,'Master data'!$B$1:$CL$1,0)),"")</f>
        <v/>
      </c>
      <c r="M788" s="5" t="str">
        <f>IFERROR(INDEX('Master data'!$B$2:$CL$1000,MATCH($B788,'Master data'!$A$2:$A$1000,0),MATCH(M$1,'Master data'!$B$1:$CL$1,0)),"")</f>
        <v/>
      </c>
      <c r="N788" s="28" t="str">
        <f>IFERROR(INDEX('Master data'!$B$2:$CL$1000,MATCH($B788,'Master data'!$A$2:$A$1000,0),MATCH(N$1,'Master data'!$B$1:$CL$1,0)),"")</f>
        <v/>
      </c>
      <c r="O788" s="7" t="str">
        <f>IFERROR(INDEX('Master data'!$B$2:$CL$1000,MATCH($B788,'Master data'!$A$2:$A$1000,0),MATCH(O$1,'Master data'!$B$1:$CL$1,0)),"")</f>
        <v/>
      </c>
      <c r="P788" s="5" t="str">
        <f>IFERROR(INDEX('Master data'!$B$2:$CL$1000,MATCH($B788,'Master data'!$A$2:$A$1000,0),MATCH(P$1,'Master data'!$B$1:$CL$1,0)),"")</f>
        <v/>
      </c>
      <c r="Q788" s="5" t="str">
        <f>IFERROR(INDEX('Master data'!$B$2:$CL$1000,MATCH($B788,'Master data'!$A$2:$A$1000,0),MATCH(Q$1,'Master data'!$B$1:$CL$1,0)),"")</f>
        <v/>
      </c>
    </row>
    <row r="789" spans="1:17" hidden="1">
      <c r="A789" t="str">
        <f t="shared" si="12"/>
        <v/>
      </c>
      <c r="B789" t="str">
        <f>IF('Master data'!A789="","",'Master data'!A789)</f>
        <v/>
      </c>
      <c r="C789" t="str">
        <f>IFERROR(INDEX('Master data'!$B$2:$CL$1000,MATCH($B789,'Master data'!$A$2:$A$1000,0),MATCH(C$1,'Master data'!$B$1:$CL$1,0)),"")</f>
        <v/>
      </c>
      <c r="D789" t="str">
        <f>IFERROR(INDEX('Master data'!$B$2:$CL$1000,MATCH($B789,'Master data'!$A$2:$A$1000,0),MATCH(D$1,'Master data'!$B$1:$CL$1,0)),"")</f>
        <v/>
      </c>
      <c r="E789" s="5" t="str">
        <f>IFERROR(INDEX('Master data'!$B$2:$CL$1000,MATCH($B789,'Master data'!$A$2:$A$1000,0),MATCH(E$1,'Master data'!$B$1:$CL$1,0)),"")</f>
        <v/>
      </c>
      <c r="F789" s="7" t="str">
        <f>IFERROR(INDEX('Master data'!$B$2:$CL$1000,MATCH($B789,'Master data'!$A$2:$A$1000,0),MATCH(F$1,'Master data'!$B$1:$CL$1,0)),"")</f>
        <v/>
      </c>
      <c r="G789" s="7" t="str">
        <f>IFERROR(INDEX('Master data'!$B$2:$CL$1000,MATCH($B789,'Master data'!$A$2:$A$1000,0),MATCH(G$1,'Master data'!$B$1:$CL$1,0)),"")</f>
        <v/>
      </c>
      <c r="H789" s="7" t="str">
        <f>IFERROR(INDEX('Master data'!$B$2:$CL$1000,MATCH($B789,'Master data'!$A$2:$A$1000,0),MATCH(H$1,'Master data'!$B$1:$CL$1,0)),"")</f>
        <v/>
      </c>
      <c r="I789" s="7" t="str">
        <f>IFERROR(INDEX('Master data'!$B$2:$CL$1000,MATCH($B789,'Master data'!$A$2:$A$1000,0),MATCH(I$1,'Master data'!$B$1:$CL$1,0)),"")</f>
        <v/>
      </c>
      <c r="J789" s="7" t="str">
        <f>IFERROR(INDEX('Master data'!$B$2:$CL$1000,MATCH($B789,'Master data'!$A$2:$A$1000,0),MATCH(J$1,'Master data'!$B$1:$CL$1,0)),"")</f>
        <v/>
      </c>
      <c r="K789" s="7" t="str">
        <f>IFERROR(INDEX('Master data'!$B$2:$CL$1000,MATCH($B789,'Master data'!$A$2:$A$1000,0),MATCH(K$1,'Master data'!$B$1:$CL$1,0)),"")</f>
        <v/>
      </c>
      <c r="L789" s="7" t="str">
        <f>IFERROR(INDEX('Master data'!$B$2:$CL$1000,MATCH($B789,'Master data'!$A$2:$A$1000,0),MATCH(L$1,'Master data'!$B$1:$CL$1,0)),"")</f>
        <v/>
      </c>
      <c r="M789" s="5" t="str">
        <f>IFERROR(INDEX('Master data'!$B$2:$CL$1000,MATCH($B789,'Master data'!$A$2:$A$1000,0),MATCH(M$1,'Master data'!$B$1:$CL$1,0)),"")</f>
        <v/>
      </c>
      <c r="N789" s="28" t="str">
        <f>IFERROR(INDEX('Master data'!$B$2:$CL$1000,MATCH($B789,'Master data'!$A$2:$A$1000,0),MATCH(N$1,'Master data'!$B$1:$CL$1,0)),"")</f>
        <v/>
      </c>
      <c r="O789" s="7" t="str">
        <f>IFERROR(INDEX('Master data'!$B$2:$CL$1000,MATCH($B789,'Master data'!$A$2:$A$1000,0),MATCH(O$1,'Master data'!$B$1:$CL$1,0)),"")</f>
        <v/>
      </c>
      <c r="P789" s="5" t="str">
        <f>IFERROR(INDEX('Master data'!$B$2:$CL$1000,MATCH($B789,'Master data'!$A$2:$A$1000,0),MATCH(P$1,'Master data'!$B$1:$CL$1,0)),"")</f>
        <v/>
      </c>
      <c r="Q789" s="5" t="str">
        <f>IFERROR(INDEX('Master data'!$B$2:$CL$1000,MATCH($B789,'Master data'!$A$2:$A$1000,0),MATCH(Q$1,'Master data'!$B$1:$CL$1,0)),"")</f>
        <v/>
      </c>
    </row>
    <row r="790" spans="1:17" hidden="1">
      <c r="A790" t="str">
        <f t="shared" si="12"/>
        <v/>
      </c>
      <c r="B790" t="str">
        <f>IF('Master data'!A790="","",'Master data'!A790)</f>
        <v/>
      </c>
      <c r="C790" t="str">
        <f>IFERROR(INDEX('Master data'!$B$2:$CL$1000,MATCH($B790,'Master data'!$A$2:$A$1000,0),MATCH(C$1,'Master data'!$B$1:$CL$1,0)),"")</f>
        <v/>
      </c>
      <c r="D790" t="str">
        <f>IFERROR(INDEX('Master data'!$B$2:$CL$1000,MATCH($B790,'Master data'!$A$2:$A$1000,0),MATCH(D$1,'Master data'!$B$1:$CL$1,0)),"")</f>
        <v/>
      </c>
      <c r="E790" s="5" t="str">
        <f>IFERROR(INDEX('Master data'!$B$2:$CL$1000,MATCH($B790,'Master data'!$A$2:$A$1000,0),MATCH(E$1,'Master data'!$B$1:$CL$1,0)),"")</f>
        <v/>
      </c>
      <c r="F790" s="7" t="str">
        <f>IFERROR(INDEX('Master data'!$B$2:$CL$1000,MATCH($B790,'Master data'!$A$2:$A$1000,0),MATCH(F$1,'Master data'!$B$1:$CL$1,0)),"")</f>
        <v/>
      </c>
      <c r="G790" s="7" t="str">
        <f>IFERROR(INDEX('Master data'!$B$2:$CL$1000,MATCH($B790,'Master data'!$A$2:$A$1000,0),MATCH(G$1,'Master data'!$B$1:$CL$1,0)),"")</f>
        <v/>
      </c>
      <c r="H790" s="7" t="str">
        <f>IFERROR(INDEX('Master data'!$B$2:$CL$1000,MATCH($B790,'Master data'!$A$2:$A$1000,0),MATCH(H$1,'Master data'!$B$1:$CL$1,0)),"")</f>
        <v/>
      </c>
      <c r="I790" s="7" t="str">
        <f>IFERROR(INDEX('Master data'!$B$2:$CL$1000,MATCH($B790,'Master data'!$A$2:$A$1000,0),MATCH(I$1,'Master data'!$B$1:$CL$1,0)),"")</f>
        <v/>
      </c>
      <c r="J790" s="7" t="str">
        <f>IFERROR(INDEX('Master data'!$B$2:$CL$1000,MATCH($B790,'Master data'!$A$2:$A$1000,0),MATCH(J$1,'Master data'!$B$1:$CL$1,0)),"")</f>
        <v/>
      </c>
      <c r="K790" s="7" t="str">
        <f>IFERROR(INDEX('Master data'!$B$2:$CL$1000,MATCH($B790,'Master data'!$A$2:$A$1000,0),MATCH(K$1,'Master data'!$B$1:$CL$1,0)),"")</f>
        <v/>
      </c>
      <c r="L790" s="7" t="str">
        <f>IFERROR(INDEX('Master data'!$B$2:$CL$1000,MATCH($B790,'Master data'!$A$2:$A$1000,0),MATCH(L$1,'Master data'!$B$1:$CL$1,0)),"")</f>
        <v/>
      </c>
      <c r="M790" s="5" t="str">
        <f>IFERROR(INDEX('Master data'!$B$2:$CL$1000,MATCH($B790,'Master data'!$A$2:$A$1000,0),MATCH(M$1,'Master data'!$B$1:$CL$1,0)),"")</f>
        <v/>
      </c>
      <c r="N790" s="28" t="str">
        <f>IFERROR(INDEX('Master data'!$B$2:$CL$1000,MATCH($B790,'Master data'!$A$2:$A$1000,0),MATCH(N$1,'Master data'!$B$1:$CL$1,0)),"")</f>
        <v/>
      </c>
      <c r="O790" s="7" t="str">
        <f>IFERROR(INDEX('Master data'!$B$2:$CL$1000,MATCH($B790,'Master data'!$A$2:$A$1000,0),MATCH(O$1,'Master data'!$B$1:$CL$1,0)),"")</f>
        <v/>
      </c>
      <c r="P790" s="5" t="str">
        <f>IFERROR(INDEX('Master data'!$B$2:$CL$1000,MATCH($B790,'Master data'!$A$2:$A$1000,0),MATCH(P$1,'Master data'!$B$1:$CL$1,0)),"")</f>
        <v/>
      </c>
      <c r="Q790" s="5" t="str">
        <f>IFERROR(INDEX('Master data'!$B$2:$CL$1000,MATCH($B790,'Master data'!$A$2:$A$1000,0),MATCH(Q$1,'Master data'!$B$1:$CL$1,0)),"")</f>
        <v/>
      </c>
    </row>
    <row r="791" spans="1:17" hidden="1">
      <c r="A791" t="str">
        <f t="shared" si="12"/>
        <v/>
      </c>
      <c r="B791" t="str">
        <f>IF('Master data'!A791="","",'Master data'!A791)</f>
        <v/>
      </c>
      <c r="C791" t="str">
        <f>IFERROR(INDEX('Master data'!$B$2:$CL$1000,MATCH($B791,'Master data'!$A$2:$A$1000,0),MATCH(C$1,'Master data'!$B$1:$CL$1,0)),"")</f>
        <v/>
      </c>
      <c r="D791" t="str">
        <f>IFERROR(INDEX('Master data'!$B$2:$CL$1000,MATCH($B791,'Master data'!$A$2:$A$1000,0),MATCH(D$1,'Master data'!$B$1:$CL$1,0)),"")</f>
        <v/>
      </c>
      <c r="E791" s="5" t="str">
        <f>IFERROR(INDEX('Master data'!$B$2:$CL$1000,MATCH($B791,'Master data'!$A$2:$A$1000,0),MATCH(E$1,'Master data'!$B$1:$CL$1,0)),"")</f>
        <v/>
      </c>
      <c r="F791" s="7" t="str">
        <f>IFERROR(INDEX('Master data'!$B$2:$CL$1000,MATCH($B791,'Master data'!$A$2:$A$1000,0),MATCH(F$1,'Master data'!$B$1:$CL$1,0)),"")</f>
        <v/>
      </c>
      <c r="G791" s="7" t="str">
        <f>IFERROR(INDEX('Master data'!$B$2:$CL$1000,MATCH($B791,'Master data'!$A$2:$A$1000,0),MATCH(G$1,'Master data'!$B$1:$CL$1,0)),"")</f>
        <v/>
      </c>
      <c r="H791" s="7" t="str">
        <f>IFERROR(INDEX('Master data'!$B$2:$CL$1000,MATCH($B791,'Master data'!$A$2:$A$1000,0),MATCH(H$1,'Master data'!$B$1:$CL$1,0)),"")</f>
        <v/>
      </c>
      <c r="I791" s="7" t="str">
        <f>IFERROR(INDEX('Master data'!$B$2:$CL$1000,MATCH($B791,'Master data'!$A$2:$A$1000,0),MATCH(I$1,'Master data'!$B$1:$CL$1,0)),"")</f>
        <v/>
      </c>
      <c r="J791" s="7" t="str">
        <f>IFERROR(INDEX('Master data'!$B$2:$CL$1000,MATCH($B791,'Master data'!$A$2:$A$1000,0),MATCH(J$1,'Master data'!$B$1:$CL$1,0)),"")</f>
        <v/>
      </c>
      <c r="K791" s="7" t="str">
        <f>IFERROR(INDEX('Master data'!$B$2:$CL$1000,MATCH($B791,'Master data'!$A$2:$A$1000,0),MATCH(K$1,'Master data'!$B$1:$CL$1,0)),"")</f>
        <v/>
      </c>
      <c r="L791" s="7" t="str">
        <f>IFERROR(INDEX('Master data'!$B$2:$CL$1000,MATCH($B791,'Master data'!$A$2:$A$1000,0),MATCH(L$1,'Master data'!$B$1:$CL$1,0)),"")</f>
        <v/>
      </c>
      <c r="M791" s="5" t="str">
        <f>IFERROR(INDEX('Master data'!$B$2:$CL$1000,MATCH($B791,'Master data'!$A$2:$A$1000,0),MATCH(M$1,'Master data'!$B$1:$CL$1,0)),"")</f>
        <v/>
      </c>
      <c r="N791" s="28" t="str">
        <f>IFERROR(INDEX('Master data'!$B$2:$CL$1000,MATCH($B791,'Master data'!$A$2:$A$1000,0),MATCH(N$1,'Master data'!$B$1:$CL$1,0)),"")</f>
        <v/>
      </c>
      <c r="O791" s="7" t="str">
        <f>IFERROR(INDEX('Master data'!$B$2:$CL$1000,MATCH($B791,'Master data'!$A$2:$A$1000,0),MATCH(O$1,'Master data'!$B$1:$CL$1,0)),"")</f>
        <v/>
      </c>
      <c r="P791" s="5" t="str">
        <f>IFERROR(INDEX('Master data'!$B$2:$CL$1000,MATCH($B791,'Master data'!$A$2:$A$1000,0),MATCH(P$1,'Master data'!$B$1:$CL$1,0)),"")</f>
        <v/>
      </c>
      <c r="Q791" s="5" t="str">
        <f>IFERROR(INDEX('Master data'!$B$2:$CL$1000,MATCH($B791,'Master data'!$A$2:$A$1000,0),MATCH(Q$1,'Master data'!$B$1:$CL$1,0)),"")</f>
        <v/>
      </c>
    </row>
    <row r="792" spans="1:17" hidden="1">
      <c r="A792" t="str">
        <f t="shared" si="12"/>
        <v/>
      </c>
      <c r="B792" t="str">
        <f>IF('Master data'!A792="","",'Master data'!A792)</f>
        <v/>
      </c>
      <c r="C792" t="str">
        <f>IFERROR(INDEX('Master data'!$B$2:$CL$1000,MATCH($B792,'Master data'!$A$2:$A$1000,0),MATCH(C$1,'Master data'!$B$1:$CL$1,0)),"")</f>
        <v/>
      </c>
      <c r="D792" t="str">
        <f>IFERROR(INDEX('Master data'!$B$2:$CL$1000,MATCH($B792,'Master data'!$A$2:$A$1000,0),MATCH(D$1,'Master data'!$B$1:$CL$1,0)),"")</f>
        <v/>
      </c>
      <c r="E792" s="5" t="str">
        <f>IFERROR(INDEX('Master data'!$B$2:$CL$1000,MATCH($B792,'Master data'!$A$2:$A$1000,0),MATCH(E$1,'Master data'!$B$1:$CL$1,0)),"")</f>
        <v/>
      </c>
      <c r="F792" s="7" t="str">
        <f>IFERROR(INDEX('Master data'!$B$2:$CL$1000,MATCH($B792,'Master data'!$A$2:$A$1000,0),MATCH(F$1,'Master data'!$B$1:$CL$1,0)),"")</f>
        <v/>
      </c>
      <c r="G792" s="7" t="str">
        <f>IFERROR(INDEX('Master data'!$B$2:$CL$1000,MATCH($B792,'Master data'!$A$2:$A$1000,0),MATCH(G$1,'Master data'!$B$1:$CL$1,0)),"")</f>
        <v/>
      </c>
      <c r="H792" s="7" t="str">
        <f>IFERROR(INDEX('Master data'!$B$2:$CL$1000,MATCH($B792,'Master data'!$A$2:$A$1000,0),MATCH(H$1,'Master data'!$B$1:$CL$1,0)),"")</f>
        <v/>
      </c>
      <c r="I792" s="7" t="str">
        <f>IFERROR(INDEX('Master data'!$B$2:$CL$1000,MATCH($B792,'Master data'!$A$2:$A$1000,0),MATCH(I$1,'Master data'!$B$1:$CL$1,0)),"")</f>
        <v/>
      </c>
      <c r="J792" s="7" t="str">
        <f>IFERROR(INDEX('Master data'!$B$2:$CL$1000,MATCH($B792,'Master data'!$A$2:$A$1000,0),MATCH(J$1,'Master data'!$B$1:$CL$1,0)),"")</f>
        <v/>
      </c>
      <c r="K792" s="7" t="str">
        <f>IFERROR(INDEX('Master data'!$B$2:$CL$1000,MATCH($B792,'Master data'!$A$2:$A$1000,0),MATCH(K$1,'Master data'!$B$1:$CL$1,0)),"")</f>
        <v/>
      </c>
      <c r="L792" s="7" t="str">
        <f>IFERROR(INDEX('Master data'!$B$2:$CL$1000,MATCH($B792,'Master data'!$A$2:$A$1000,0),MATCH(L$1,'Master data'!$B$1:$CL$1,0)),"")</f>
        <v/>
      </c>
      <c r="M792" s="5" t="str">
        <f>IFERROR(INDEX('Master data'!$B$2:$CL$1000,MATCH($B792,'Master data'!$A$2:$A$1000,0),MATCH(M$1,'Master data'!$B$1:$CL$1,0)),"")</f>
        <v/>
      </c>
      <c r="N792" s="28" t="str">
        <f>IFERROR(INDEX('Master data'!$B$2:$CL$1000,MATCH($B792,'Master data'!$A$2:$A$1000,0),MATCH(N$1,'Master data'!$B$1:$CL$1,0)),"")</f>
        <v/>
      </c>
      <c r="O792" s="7" t="str">
        <f>IFERROR(INDEX('Master data'!$B$2:$CL$1000,MATCH($B792,'Master data'!$A$2:$A$1000,0),MATCH(O$1,'Master data'!$B$1:$CL$1,0)),"")</f>
        <v/>
      </c>
      <c r="P792" s="5" t="str">
        <f>IFERROR(INDEX('Master data'!$B$2:$CL$1000,MATCH($B792,'Master data'!$A$2:$A$1000,0),MATCH(P$1,'Master data'!$B$1:$CL$1,0)),"")</f>
        <v/>
      </c>
      <c r="Q792" s="5" t="str">
        <f>IFERROR(INDEX('Master data'!$B$2:$CL$1000,MATCH($B792,'Master data'!$A$2:$A$1000,0),MATCH(Q$1,'Master data'!$B$1:$CL$1,0)),"")</f>
        <v/>
      </c>
    </row>
    <row r="793" spans="1:17" hidden="1">
      <c r="A793" t="str">
        <f t="shared" si="12"/>
        <v/>
      </c>
      <c r="B793" t="str">
        <f>IF('Master data'!A793="","",'Master data'!A793)</f>
        <v/>
      </c>
      <c r="C793" t="str">
        <f>IFERROR(INDEX('Master data'!$B$2:$CL$1000,MATCH($B793,'Master data'!$A$2:$A$1000,0),MATCH(C$1,'Master data'!$B$1:$CL$1,0)),"")</f>
        <v/>
      </c>
      <c r="D793" t="str">
        <f>IFERROR(INDEX('Master data'!$B$2:$CL$1000,MATCH($B793,'Master data'!$A$2:$A$1000,0),MATCH(D$1,'Master data'!$B$1:$CL$1,0)),"")</f>
        <v/>
      </c>
      <c r="E793" s="5" t="str">
        <f>IFERROR(INDEX('Master data'!$B$2:$CL$1000,MATCH($B793,'Master data'!$A$2:$A$1000,0),MATCH(E$1,'Master data'!$B$1:$CL$1,0)),"")</f>
        <v/>
      </c>
      <c r="F793" s="7" t="str">
        <f>IFERROR(INDEX('Master data'!$B$2:$CL$1000,MATCH($B793,'Master data'!$A$2:$A$1000,0),MATCH(F$1,'Master data'!$B$1:$CL$1,0)),"")</f>
        <v/>
      </c>
      <c r="G793" s="7" t="str">
        <f>IFERROR(INDEX('Master data'!$B$2:$CL$1000,MATCH($B793,'Master data'!$A$2:$A$1000,0),MATCH(G$1,'Master data'!$B$1:$CL$1,0)),"")</f>
        <v/>
      </c>
      <c r="H793" s="7" t="str">
        <f>IFERROR(INDEX('Master data'!$B$2:$CL$1000,MATCH($B793,'Master data'!$A$2:$A$1000,0),MATCH(H$1,'Master data'!$B$1:$CL$1,0)),"")</f>
        <v/>
      </c>
      <c r="I793" s="7" t="str">
        <f>IFERROR(INDEX('Master data'!$B$2:$CL$1000,MATCH($B793,'Master data'!$A$2:$A$1000,0),MATCH(I$1,'Master data'!$B$1:$CL$1,0)),"")</f>
        <v/>
      </c>
      <c r="J793" s="7" t="str">
        <f>IFERROR(INDEX('Master data'!$B$2:$CL$1000,MATCH($B793,'Master data'!$A$2:$A$1000,0),MATCH(J$1,'Master data'!$B$1:$CL$1,0)),"")</f>
        <v/>
      </c>
      <c r="K793" s="7" t="str">
        <f>IFERROR(INDEX('Master data'!$B$2:$CL$1000,MATCH($B793,'Master data'!$A$2:$A$1000,0),MATCH(K$1,'Master data'!$B$1:$CL$1,0)),"")</f>
        <v/>
      </c>
      <c r="L793" s="7" t="str">
        <f>IFERROR(INDEX('Master data'!$B$2:$CL$1000,MATCH($B793,'Master data'!$A$2:$A$1000,0),MATCH(L$1,'Master data'!$B$1:$CL$1,0)),"")</f>
        <v/>
      </c>
      <c r="M793" s="5" t="str">
        <f>IFERROR(INDEX('Master data'!$B$2:$CL$1000,MATCH($B793,'Master data'!$A$2:$A$1000,0),MATCH(M$1,'Master data'!$B$1:$CL$1,0)),"")</f>
        <v/>
      </c>
      <c r="N793" s="28" t="str">
        <f>IFERROR(INDEX('Master data'!$B$2:$CL$1000,MATCH($B793,'Master data'!$A$2:$A$1000,0),MATCH(N$1,'Master data'!$B$1:$CL$1,0)),"")</f>
        <v/>
      </c>
      <c r="O793" s="7" t="str">
        <f>IFERROR(INDEX('Master data'!$B$2:$CL$1000,MATCH($B793,'Master data'!$A$2:$A$1000,0),MATCH(O$1,'Master data'!$B$1:$CL$1,0)),"")</f>
        <v/>
      </c>
      <c r="P793" s="5" t="str">
        <f>IFERROR(INDEX('Master data'!$B$2:$CL$1000,MATCH($B793,'Master data'!$A$2:$A$1000,0),MATCH(P$1,'Master data'!$B$1:$CL$1,0)),"")</f>
        <v/>
      </c>
      <c r="Q793" s="5" t="str">
        <f>IFERROR(INDEX('Master data'!$B$2:$CL$1000,MATCH($B793,'Master data'!$A$2:$A$1000,0),MATCH(Q$1,'Master data'!$B$1:$CL$1,0)),"")</f>
        <v/>
      </c>
    </row>
    <row r="794" spans="1:17" hidden="1">
      <c r="A794" t="str">
        <f t="shared" si="12"/>
        <v/>
      </c>
      <c r="B794" t="str">
        <f>IF('Master data'!A794="","",'Master data'!A794)</f>
        <v/>
      </c>
      <c r="C794" t="str">
        <f>IFERROR(INDEX('Master data'!$B$2:$CL$1000,MATCH($B794,'Master data'!$A$2:$A$1000,0),MATCH(C$1,'Master data'!$B$1:$CL$1,0)),"")</f>
        <v/>
      </c>
      <c r="D794" t="str">
        <f>IFERROR(INDEX('Master data'!$B$2:$CL$1000,MATCH($B794,'Master data'!$A$2:$A$1000,0),MATCH(D$1,'Master data'!$B$1:$CL$1,0)),"")</f>
        <v/>
      </c>
      <c r="E794" s="5" t="str">
        <f>IFERROR(INDEX('Master data'!$B$2:$CL$1000,MATCH($B794,'Master data'!$A$2:$A$1000,0),MATCH(E$1,'Master data'!$B$1:$CL$1,0)),"")</f>
        <v/>
      </c>
      <c r="F794" s="7" t="str">
        <f>IFERROR(INDEX('Master data'!$B$2:$CL$1000,MATCH($B794,'Master data'!$A$2:$A$1000,0),MATCH(F$1,'Master data'!$B$1:$CL$1,0)),"")</f>
        <v/>
      </c>
      <c r="G794" s="7" t="str">
        <f>IFERROR(INDEX('Master data'!$B$2:$CL$1000,MATCH($B794,'Master data'!$A$2:$A$1000,0),MATCH(G$1,'Master data'!$B$1:$CL$1,0)),"")</f>
        <v/>
      </c>
      <c r="H794" s="7" t="str">
        <f>IFERROR(INDEX('Master data'!$B$2:$CL$1000,MATCH($B794,'Master data'!$A$2:$A$1000,0),MATCH(H$1,'Master data'!$B$1:$CL$1,0)),"")</f>
        <v/>
      </c>
      <c r="I794" s="7" t="str">
        <f>IFERROR(INDEX('Master data'!$B$2:$CL$1000,MATCH($B794,'Master data'!$A$2:$A$1000,0),MATCH(I$1,'Master data'!$B$1:$CL$1,0)),"")</f>
        <v/>
      </c>
      <c r="J794" s="7" t="str">
        <f>IFERROR(INDEX('Master data'!$B$2:$CL$1000,MATCH($B794,'Master data'!$A$2:$A$1000,0),MATCH(J$1,'Master data'!$B$1:$CL$1,0)),"")</f>
        <v/>
      </c>
      <c r="K794" s="7" t="str">
        <f>IFERROR(INDEX('Master data'!$B$2:$CL$1000,MATCH($B794,'Master data'!$A$2:$A$1000,0),MATCH(K$1,'Master data'!$B$1:$CL$1,0)),"")</f>
        <v/>
      </c>
      <c r="L794" s="7" t="str">
        <f>IFERROR(INDEX('Master data'!$B$2:$CL$1000,MATCH($B794,'Master data'!$A$2:$A$1000,0),MATCH(L$1,'Master data'!$B$1:$CL$1,0)),"")</f>
        <v/>
      </c>
      <c r="M794" s="5" t="str">
        <f>IFERROR(INDEX('Master data'!$B$2:$CL$1000,MATCH($B794,'Master data'!$A$2:$A$1000,0),MATCH(M$1,'Master data'!$B$1:$CL$1,0)),"")</f>
        <v/>
      </c>
      <c r="N794" s="28" t="str">
        <f>IFERROR(INDEX('Master data'!$B$2:$CL$1000,MATCH($B794,'Master data'!$A$2:$A$1000,0),MATCH(N$1,'Master data'!$B$1:$CL$1,0)),"")</f>
        <v/>
      </c>
      <c r="O794" s="7" t="str">
        <f>IFERROR(INDEX('Master data'!$B$2:$CL$1000,MATCH($B794,'Master data'!$A$2:$A$1000,0),MATCH(O$1,'Master data'!$B$1:$CL$1,0)),"")</f>
        <v/>
      </c>
      <c r="P794" s="5" t="str">
        <f>IFERROR(INDEX('Master data'!$B$2:$CL$1000,MATCH($B794,'Master data'!$A$2:$A$1000,0),MATCH(P$1,'Master data'!$B$1:$CL$1,0)),"")</f>
        <v/>
      </c>
      <c r="Q794" s="5" t="str">
        <f>IFERROR(INDEX('Master data'!$B$2:$CL$1000,MATCH($B794,'Master data'!$A$2:$A$1000,0),MATCH(Q$1,'Master data'!$B$1:$CL$1,0)),"")</f>
        <v/>
      </c>
    </row>
    <row r="795" spans="1:17" hidden="1">
      <c r="A795" t="str">
        <f t="shared" si="12"/>
        <v/>
      </c>
      <c r="B795" t="str">
        <f>IF('Master data'!A795="","",'Master data'!A795)</f>
        <v/>
      </c>
      <c r="C795" t="str">
        <f>IFERROR(INDEX('Master data'!$B$2:$CL$1000,MATCH($B795,'Master data'!$A$2:$A$1000,0),MATCH(C$1,'Master data'!$B$1:$CL$1,0)),"")</f>
        <v/>
      </c>
      <c r="D795" t="str">
        <f>IFERROR(INDEX('Master data'!$B$2:$CL$1000,MATCH($B795,'Master data'!$A$2:$A$1000,0),MATCH(D$1,'Master data'!$B$1:$CL$1,0)),"")</f>
        <v/>
      </c>
      <c r="E795" s="5" t="str">
        <f>IFERROR(INDEX('Master data'!$B$2:$CL$1000,MATCH($B795,'Master data'!$A$2:$A$1000,0),MATCH(E$1,'Master data'!$B$1:$CL$1,0)),"")</f>
        <v/>
      </c>
      <c r="F795" s="7" t="str">
        <f>IFERROR(INDEX('Master data'!$B$2:$CL$1000,MATCH($B795,'Master data'!$A$2:$A$1000,0),MATCH(F$1,'Master data'!$B$1:$CL$1,0)),"")</f>
        <v/>
      </c>
      <c r="G795" s="7" t="str">
        <f>IFERROR(INDEX('Master data'!$B$2:$CL$1000,MATCH($B795,'Master data'!$A$2:$A$1000,0),MATCH(G$1,'Master data'!$B$1:$CL$1,0)),"")</f>
        <v/>
      </c>
      <c r="H795" s="7" t="str">
        <f>IFERROR(INDEX('Master data'!$B$2:$CL$1000,MATCH($B795,'Master data'!$A$2:$A$1000,0),MATCH(H$1,'Master data'!$B$1:$CL$1,0)),"")</f>
        <v/>
      </c>
      <c r="I795" s="7" t="str">
        <f>IFERROR(INDEX('Master data'!$B$2:$CL$1000,MATCH($B795,'Master data'!$A$2:$A$1000,0),MATCH(I$1,'Master data'!$B$1:$CL$1,0)),"")</f>
        <v/>
      </c>
      <c r="J795" s="7" t="str">
        <f>IFERROR(INDEX('Master data'!$B$2:$CL$1000,MATCH($B795,'Master data'!$A$2:$A$1000,0),MATCH(J$1,'Master data'!$B$1:$CL$1,0)),"")</f>
        <v/>
      </c>
      <c r="K795" s="7" t="str">
        <f>IFERROR(INDEX('Master data'!$B$2:$CL$1000,MATCH($B795,'Master data'!$A$2:$A$1000,0),MATCH(K$1,'Master data'!$B$1:$CL$1,0)),"")</f>
        <v/>
      </c>
      <c r="L795" s="7" t="str">
        <f>IFERROR(INDEX('Master data'!$B$2:$CL$1000,MATCH($B795,'Master data'!$A$2:$A$1000,0),MATCH(L$1,'Master data'!$B$1:$CL$1,0)),"")</f>
        <v/>
      </c>
      <c r="M795" s="5" t="str">
        <f>IFERROR(INDEX('Master data'!$B$2:$CL$1000,MATCH($B795,'Master data'!$A$2:$A$1000,0),MATCH(M$1,'Master data'!$B$1:$CL$1,0)),"")</f>
        <v/>
      </c>
      <c r="N795" s="28" t="str">
        <f>IFERROR(INDEX('Master data'!$B$2:$CL$1000,MATCH($B795,'Master data'!$A$2:$A$1000,0),MATCH(N$1,'Master data'!$B$1:$CL$1,0)),"")</f>
        <v/>
      </c>
      <c r="O795" s="7" t="str">
        <f>IFERROR(INDEX('Master data'!$B$2:$CL$1000,MATCH($B795,'Master data'!$A$2:$A$1000,0),MATCH(O$1,'Master data'!$B$1:$CL$1,0)),"")</f>
        <v/>
      </c>
      <c r="P795" s="5" t="str">
        <f>IFERROR(INDEX('Master data'!$B$2:$CL$1000,MATCH($B795,'Master data'!$A$2:$A$1000,0),MATCH(P$1,'Master data'!$B$1:$CL$1,0)),"")</f>
        <v/>
      </c>
      <c r="Q795" s="5" t="str">
        <f>IFERROR(INDEX('Master data'!$B$2:$CL$1000,MATCH($B795,'Master data'!$A$2:$A$1000,0),MATCH(Q$1,'Master data'!$B$1:$CL$1,0)),"")</f>
        <v/>
      </c>
    </row>
    <row r="796" spans="1:17" hidden="1">
      <c r="A796" t="str">
        <f t="shared" si="12"/>
        <v/>
      </c>
      <c r="B796" t="str">
        <f>IF('Master data'!A796="","",'Master data'!A796)</f>
        <v/>
      </c>
      <c r="C796" t="str">
        <f>IFERROR(INDEX('Master data'!$B$2:$CL$1000,MATCH($B796,'Master data'!$A$2:$A$1000,0),MATCH(C$1,'Master data'!$B$1:$CL$1,0)),"")</f>
        <v/>
      </c>
      <c r="D796" t="str">
        <f>IFERROR(INDEX('Master data'!$B$2:$CL$1000,MATCH($B796,'Master data'!$A$2:$A$1000,0),MATCH(D$1,'Master data'!$B$1:$CL$1,0)),"")</f>
        <v/>
      </c>
      <c r="E796" s="5" t="str">
        <f>IFERROR(INDEX('Master data'!$B$2:$CL$1000,MATCH($B796,'Master data'!$A$2:$A$1000,0),MATCH(E$1,'Master data'!$B$1:$CL$1,0)),"")</f>
        <v/>
      </c>
      <c r="F796" s="7" t="str">
        <f>IFERROR(INDEX('Master data'!$B$2:$CL$1000,MATCH($B796,'Master data'!$A$2:$A$1000,0),MATCH(F$1,'Master data'!$B$1:$CL$1,0)),"")</f>
        <v/>
      </c>
      <c r="G796" s="7" t="str">
        <f>IFERROR(INDEX('Master data'!$B$2:$CL$1000,MATCH($B796,'Master data'!$A$2:$A$1000,0),MATCH(G$1,'Master data'!$B$1:$CL$1,0)),"")</f>
        <v/>
      </c>
      <c r="H796" s="7" t="str">
        <f>IFERROR(INDEX('Master data'!$B$2:$CL$1000,MATCH($B796,'Master data'!$A$2:$A$1000,0),MATCH(H$1,'Master data'!$B$1:$CL$1,0)),"")</f>
        <v/>
      </c>
      <c r="I796" s="7" t="str">
        <f>IFERROR(INDEX('Master data'!$B$2:$CL$1000,MATCH($B796,'Master data'!$A$2:$A$1000,0),MATCH(I$1,'Master data'!$B$1:$CL$1,0)),"")</f>
        <v/>
      </c>
      <c r="J796" s="7" t="str">
        <f>IFERROR(INDEX('Master data'!$B$2:$CL$1000,MATCH($B796,'Master data'!$A$2:$A$1000,0),MATCH(J$1,'Master data'!$B$1:$CL$1,0)),"")</f>
        <v/>
      </c>
      <c r="K796" s="7" t="str">
        <f>IFERROR(INDEX('Master data'!$B$2:$CL$1000,MATCH($B796,'Master data'!$A$2:$A$1000,0),MATCH(K$1,'Master data'!$B$1:$CL$1,0)),"")</f>
        <v/>
      </c>
      <c r="L796" s="7" t="str">
        <f>IFERROR(INDEX('Master data'!$B$2:$CL$1000,MATCH($B796,'Master data'!$A$2:$A$1000,0),MATCH(L$1,'Master data'!$B$1:$CL$1,0)),"")</f>
        <v/>
      </c>
      <c r="M796" s="5" t="str">
        <f>IFERROR(INDEX('Master data'!$B$2:$CL$1000,MATCH($B796,'Master data'!$A$2:$A$1000,0),MATCH(M$1,'Master data'!$B$1:$CL$1,0)),"")</f>
        <v/>
      </c>
      <c r="N796" s="28" t="str">
        <f>IFERROR(INDEX('Master data'!$B$2:$CL$1000,MATCH($B796,'Master data'!$A$2:$A$1000,0),MATCH(N$1,'Master data'!$B$1:$CL$1,0)),"")</f>
        <v/>
      </c>
      <c r="O796" s="7" t="str">
        <f>IFERROR(INDEX('Master data'!$B$2:$CL$1000,MATCH($B796,'Master data'!$A$2:$A$1000,0),MATCH(O$1,'Master data'!$B$1:$CL$1,0)),"")</f>
        <v/>
      </c>
      <c r="P796" s="5" t="str">
        <f>IFERROR(INDEX('Master data'!$B$2:$CL$1000,MATCH($B796,'Master data'!$A$2:$A$1000,0),MATCH(P$1,'Master data'!$B$1:$CL$1,0)),"")</f>
        <v/>
      </c>
      <c r="Q796" s="5" t="str">
        <f>IFERROR(INDEX('Master data'!$B$2:$CL$1000,MATCH($B796,'Master data'!$A$2:$A$1000,0),MATCH(Q$1,'Master data'!$B$1:$CL$1,0)),"")</f>
        <v/>
      </c>
    </row>
    <row r="797" spans="1:17" hidden="1">
      <c r="A797" t="str">
        <f t="shared" si="12"/>
        <v/>
      </c>
      <c r="B797" t="str">
        <f>IF('Master data'!A797="","",'Master data'!A797)</f>
        <v/>
      </c>
      <c r="C797" t="str">
        <f>IFERROR(INDEX('Master data'!$B$2:$CL$1000,MATCH($B797,'Master data'!$A$2:$A$1000,0),MATCH(C$1,'Master data'!$B$1:$CL$1,0)),"")</f>
        <v/>
      </c>
      <c r="D797" t="str">
        <f>IFERROR(INDEX('Master data'!$B$2:$CL$1000,MATCH($B797,'Master data'!$A$2:$A$1000,0),MATCH(D$1,'Master data'!$B$1:$CL$1,0)),"")</f>
        <v/>
      </c>
      <c r="E797" s="5" t="str">
        <f>IFERROR(INDEX('Master data'!$B$2:$CL$1000,MATCH($B797,'Master data'!$A$2:$A$1000,0),MATCH(E$1,'Master data'!$B$1:$CL$1,0)),"")</f>
        <v/>
      </c>
      <c r="F797" s="7" t="str">
        <f>IFERROR(INDEX('Master data'!$B$2:$CL$1000,MATCH($B797,'Master data'!$A$2:$A$1000,0),MATCH(F$1,'Master data'!$B$1:$CL$1,0)),"")</f>
        <v/>
      </c>
      <c r="G797" s="7" t="str">
        <f>IFERROR(INDEX('Master data'!$B$2:$CL$1000,MATCH($B797,'Master data'!$A$2:$A$1000,0),MATCH(G$1,'Master data'!$B$1:$CL$1,0)),"")</f>
        <v/>
      </c>
      <c r="H797" s="7" t="str">
        <f>IFERROR(INDEX('Master data'!$B$2:$CL$1000,MATCH($B797,'Master data'!$A$2:$A$1000,0),MATCH(H$1,'Master data'!$B$1:$CL$1,0)),"")</f>
        <v/>
      </c>
      <c r="I797" s="7" t="str">
        <f>IFERROR(INDEX('Master data'!$B$2:$CL$1000,MATCH($B797,'Master data'!$A$2:$A$1000,0),MATCH(I$1,'Master data'!$B$1:$CL$1,0)),"")</f>
        <v/>
      </c>
      <c r="J797" s="7" t="str">
        <f>IFERROR(INDEX('Master data'!$B$2:$CL$1000,MATCH($B797,'Master data'!$A$2:$A$1000,0),MATCH(J$1,'Master data'!$B$1:$CL$1,0)),"")</f>
        <v/>
      </c>
      <c r="K797" s="7" t="str">
        <f>IFERROR(INDEX('Master data'!$B$2:$CL$1000,MATCH($B797,'Master data'!$A$2:$A$1000,0),MATCH(K$1,'Master data'!$B$1:$CL$1,0)),"")</f>
        <v/>
      </c>
      <c r="L797" s="7" t="str">
        <f>IFERROR(INDEX('Master data'!$B$2:$CL$1000,MATCH($B797,'Master data'!$A$2:$A$1000,0),MATCH(L$1,'Master data'!$B$1:$CL$1,0)),"")</f>
        <v/>
      </c>
      <c r="M797" s="5" t="str">
        <f>IFERROR(INDEX('Master data'!$B$2:$CL$1000,MATCH($B797,'Master data'!$A$2:$A$1000,0),MATCH(M$1,'Master data'!$B$1:$CL$1,0)),"")</f>
        <v/>
      </c>
      <c r="N797" s="28" t="str">
        <f>IFERROR(INDEX('Master data'!$B$2:$CL$1000,MATCH($B797,'Master data'!$A$2:$A$1000,0),MATCH(N$1,'Master data'!$B$1:$CL$1,0)),"")</f>
        <v/>
      </c>
      <c r="O797" s="7" t="str">
        <f>IFERROR(INDEX('Master data'!$B$2:$CL$1000,MATCH($B797,'Master data'!$A$2:$A$1000,0),MATCH(O$1,'Master data'!$B$1:$CL$1,0)),"")</f>
        <v/>
      </c>
      <c r="P797" s="5" t="str">
        <f>IFERROR(INDEX('Master data'!$B$2:$CL$1000,MATCH($B797,'Master data'!$A$2:$A$1000,0),MATCH(P$1,'Master data'!$B$1:$CL$1,0)),"")</f>
        <v/>
      </c>
      <c r="Q797" s="5" t="str">
        <f>IFERROR(INDEX('Master data'!$B$2:$CL$1000,MATCH($B797,'Master data'!$A$2:$A$1000,0),MATCH(Q$1,'Master data'!$B$1:$CL$1,0)),"")</f>
        <v/>
      </c>
    </row>
    <row r="798" spans="1:17" hidden="1">
      <c r="A798" t="str">
        <f t="shared" si="12"/>
        <v/>
      </c>
      <c r="B798" t="str">
        <f>IF('Master data'!A798="","",'Master data'!A798)</f>
        <v/>
      </c>
      <c r="C798" t="str">
        <f>IFERROR(INDEX('Master data'!$B$2:$CL$1000,MATCH($B798,'Master data'!$A$2:$A$1000,0),MATCH(C$1,'Master data'!$B$1:$CL$1,0)),"")</f>
        <v/>
      </c>
      <c r="D798" t="str">
        <f>IFERROR(INDEX('Master data'!$B$2:$CL$1000,MATCH($B798,'Master data'!$A$2:$A$1000,0),MATCH(D$1,'Master data'!$B$1:$CL$1,0)),"")</f>
        <v/>
      </c>
      <c r="E798" s="5" t="str">
        <f>IFERROR(INDEX('Master data'!$B$2:$CL$1000,MATCH($B798,'Master data'!$A$2:$A$1000,0),MATCH(E$1,'Master data'!$B$1:$CL$1,0)),"")</f>
        <v/>
      </c>
      <c r="F798" s="7" t="str">
        <f>IFERROR(INDEX('Master data'!$B$2:$CL$1000,MATCH($B798,'Master data'!$A$2:$A$1000,0),MATCH(F$1,'Master data'!$B$1:$CL$1,0)),"")</f>
        <v/>
      </c>
      <c r="G798" s="7" t="str">
        <f>IFERROR(INDEX('Master data'!$B$2:$CL$1000,MATCH($B798,'Master data'!$A$2:$A$1000,0),MATCH(G$1,'Master data'!$B$1:$CL$1,0)),"")</f>
        <v/>
      </c>
      <c r="H798" s="7" t="str">
        <f>IFERROR(INDEX('Master data'!$B$2:$CL$1000,MATCH($B798,'Master data'!$A$2:$A$1000,0),MATCH(H$1,'Master data'!$B$1:$CL$1,0)),"")</f>
        <v/>
      </c>
      <c r="I798" s="7" t="str">
        <f>IFERROR(INDEX('Master data'!$B$2:$CL$1000,MATCH($B798,'Master data'!$A$2:$A$1000,0),MATCH(I$1,'Master data'!$B$1:$CL$1,0)),"")</f>
        <v/>
      </c>
      <c r="J798" s="7" t="str">
        <f>IFERROR(INDEX('Master data'!$B$2:$CL$1000,MATCH($B798,'Master data'!$A$2:$A$1000,0),MATCH(J$1,'Master data'!$B$1:$CL$1,0)),"")</f>
        <v/>
      </c>
      <c r="K798" s="7" t="str">
        <f>IFERROR(INDEX('Master data'!$B$2:$CL$1000,MATCH($B798,'Master data'!$A$2:$A$1000,0),MATCH(K$1,'Master data'!$B$1:$CL$1,0)),"")</f>
        <v/>
      </c>
      <c r="L798" s="7" t="str">
        <f>IFERROR(INDEX('Master data'!$B$2:$CL$1000,MATCH($B798,'Master data'!$A$2:$A$1000,0),MATCH(L$1,'Master data'!$B$1:$CL$1,0)),"")</f>
        <v/>
      </c>
      <c r="M798" s="5" t="str">
        <f>IFERROR(INDEX('Master data'!$B$2:$CL$1000,MATCH($B798,'Master data'!$A$2:$A$1000,0),MATCH(M$1,'Master data'!$B$1:$CL$1,0)),"")</f>
        <v/>
      </c>
      <c r="N798" s="28" t="str">
        <f>IFERROR(INDEX('Master data'!$B$2:$CL$1000,MATCH($B798,'Master data'!$A$2:$A$1000,0),MATCH(N$1,'Master data'!$B$1:$CL$1,0)),"")</f>
        <v/>
      </c>
      <c r="O798" s="7" t="str">
        <f>IFERROR(INDEX('Master data'!$B$2:$CL$1000,MATCH($B798,'Master data'!$A$2:$A$1000,0),MATCH(O$1,'Master data'!$B$1:$CL$1,0)),"")</f>
        <v/>
      </c>
      <c r="P798" s="5" t="str">
        <f>IFERROR(INDEX('Master data'!$B$2:$CL$1000,MATCH($B798,'Master data'!$A$2:$A$1000,0),MATCH(P$1,'Master data'!$B$1:$CL$1,0)),"")</f>
        <v/>
      </c>
      <c r="Q798" s="5" t="str">
        <f>IFERROR(INDEX('Master data'!$B$2:$CL$1000,MATCH($B798,'Master data'!$A$2:$A$1000,0),MATCH(Q$1,'Master data'!$B$1:$CL$1,0)),"")</f>
        <v/>
      </c>
    </row>
    <row r="799" spans="1:17" hidden="1">
      <c r="A799" t="str">
        <f t="shared" si="12"/>
        <v/>
      </c>
      <c r="B799" t="str">
        <f>IF('Master data'!A799="","",'Master data'!A799)</f>
        <v/>
      </c>
      <c r="C799" t="str">
        <f>IFERROR(INDEX('Master data'!$B$2:$CL$1000,MATCH($B799,'Master data'!$A$2:$A$1000,0),MATCH(C$1,'Master data'!$B$1:$CL$1,0)),"")</f>
        <v/>
      </c>
      <c r="D799" t="str">
        <f>IFERROR(INDEX('Master data'!$B$2:$CL$1000,MATCH($B799,'Master data'!$A$2:$A$1000,0),MATCH(D$1,'Master data'!$B$1:$CL$1,0)),"")</f>
        <v/>
      </c>
      <c r="E799" s="5" t="str">
        <f>IFERROR(INDEX('Master data'!$B$2:$CL$1000,MATCH($B799,'Master data'!$A$2:$A$1000,0),MATCH(E$1,'Master data'!$B$1:$CL$1,0)),"")</f>
        <v/>
      </c>
      <c r="F799" s="7" t="str">
        <f>IFERROR(INDEX('Master data'!$B$2:$CL$1000,MATCH($B799,'Master data'!$A$2:$A$1000,0),MATCH(F$1,'Master data'!$B$1:$CL$1,0)),"")</f>
        <v/>
      </c>
      <c r="G799" s="7" t="str">
        <f>IFERROR(INDEX('Master data'!$B$2:$CL$1000,MATCH($B799,'Master data'!$A$2:$A$1000,0),MATCH(G$1,'Master data'!$B$1:$CL$1,0)),"")</f>
        <v/>
      </c>
      <c r="H799" s="7" t="str">
        <f>IFERROR(INDEX('Master data'!$B$2:$CL$1000,MATCH($B799,'Master data'!$A$2:$A$1000,0),MATCH(H$1,'Master data'!$B$1:$CL$1,0)),"")</f>
        <v/>
      </c>
      <c r="I799" s="7" t="str">
        <f>IFERROR(INDEX('Master data'!$B$2:$CL$1000,MATCH($B799,'Master data'!$A$2:$A$1000,0),MATCH(I$1,'Master data'!$B$1:$CL$1,0)),"")</f>
        <v/>
      </c>
      <c r="J799" s="7" t="str">
        <f>IFERROR(INDEX('Master data'!$B$2:$CL$1000,MATCH($B799,'Master data'!$A$2:$A$1000,0),MATCH(J$1,'Master data'!$B$1:$CL$1,0)),"")</f>
        <v/>
      </c>
      <c r="K799" s="7" t="str">
        <f>IFERROR(INDEX('Master data'!$B$2:$CL$1000,MATCH($B799,'Master data'!$A$2:$A$1000,0),MATCH(K$1,'Master data'!$B$1:$CL$1,0)),"")</f>
        <v/>
      </c>
      <c r="L799" s="7" t="str">
        <f>IFERROR(INDEX('Master data'!$B$2:$CL$1000,MATCH($B799,'Master data'!$A$2:$A$1000,0),MATCH(L$1,'Master data'!$B$1:$CL$1,0)),"")</f>
        <v/>
      </c>
      <c r="M799" s="5" t="str">
        <f>IFERROR(INDEX('Master data'!$B$2:$CL$1000,MATCH($B799,'Master data'!$A$2:$A$1000,0),MATCH(M$1,'Master data'!$B$1:$CL$1,0)),"")</f>
        <v/>
      </c>
      <c r="N799" s="28" t="str">
        <f>IFERROR(INDEX('Master data'!$B$2:$CL$1000,MATCH($B799,'Master data'!$A$2:$A$1000,0),MATCH(N$1,'Master data'!$B$1:$CL$1,0)),"")</f>
        <v/>
      </c>
      <c r="O799" s="7" t="str">
        <f>IFERROR(INDEX('Master data'!$B$2:$CL$1000,MATCH($B799,'Master data'!$A$2:$A$1000,0),MATCH(O$1,'Master data'!$B$1:$CL$1,0)),"")</f>
        <v/>
      </c>
      <c r="P799" s="5" t="str">
        <f>IFERROR(INDEX('Master data'!$B$2:$CL$1000,MATCH($B799,'Master data'!$A$2:$A$1000,0),MATCH(P$1,'Master data'!$B$1:$CL$1,0)),"")</f>
        <v/>
      </c>
      <c r="Q799" s="5" t="str">
        <f>IFERROR(INDEX('Master data'!$B$2:$CL$1000,MATCH($B799,'Master data'!$A$2:$A$1000,0),MATCH(Q$1,'Master data'!$B$1:$CL$1,0)),"")</f>
        <v/>
      </c>
    </row>
    <row r="800" spans="1:17" hidden="1">
      <c r="A800" t="str">
        <f t="shared" si="12"/>
        <v/>
      </c>
      <c r="B800" t="str">
        <f>IF('Master data'!A800="","",'Master data'!A800)</f>
        <v/>
      </c>
      <c r="C800" t="str">
        <f>IFERROR(INDEX('Master data'!$B$2:$CL$1000,MATCH($B800,'Master data'!$A$2:$A$1000,0),MATCH(C$1,'Master data'!$B$1:$CL$1,0)),"")</f>
        <v/>
      </c>
      <c r="D800" t="str">
        <f>IFERROR(INDEX('Master data'!$B$2:$CL$1000,MATCH($B800,'Master data'!$A$2:$A$1000,0),MATCH(D$1,'Master data'!$B$1:$CL$1,0)),"")</f>
        <v/>
      </c>
      <c r="E800" s="5" t="str">
        <f>IFERROR(INDEX('Master data'!$B$2:$CL$1000,MATCH($B800,'Master data'!$A$2:$A$1000,0),MATCH(E$1,'Master data'!$B$1:$CL$1,0)),"")</f>
        <v/>
      </c>
      <c r="F800" s="7" t="str">
        <f>IFERROR(INDEX('Master data'!$B$2:$CL$1000,MATCH($B800,'Master data'!$A$2:$A$1000,0),MATCH(F$1,'Master data'!$B$1:$CL$1,0)),"")</f>
        <v/>
      </c>
      <c r="G800" s="7" t="str">
        <f>IFERROR(INDEX('Master data'!$B$2:$CL$1000,MATCH($B800,'Master data'!$A$2:$A$1000,0),MATCH(G$1,'Master data'!$B$1:$CL$1,0)),"")</f>
        <v/>
      </c>
      <c r="H800" s="7" t="str">
        <f>IFERROR(INDEX('Master data'!$B$2:$CL$1000,MATCH($B800,'Master data'!$A$2:$A$1000,0),MATCH(H$1,'Master data'!$B$1:$CL$1,0)),"")</f>
        <v/>
      </c>
      <c r="I800" s="7" t="str">
        <f>IFERROR(INDEX('Master data'!$B$2:$CL$1000,MATCH($B800,'Master data'!$A$2:$A$1000,0),MATCH(I$1,'Master data'!$B$1:$CL$1,0)),"")</f>
        <v/>
      </c>
      <c r="J800" s="7" t="str">
        <f>IFERROR(INDEX('Master data'!$B$2:$CL$1000,MATCH($B800,'Master data'!$A$2:$A$1000,0),MATCH(J$1,'Master data'!$B$1:$CL$1,0)),"")</f>
        <v/>
      </c>
      <c r="K800" s="7" t="str">
        <f>IFERROR(INDEX('Master data'!$B$2:$CL$1000,MATCH($B800,'Master data'!$A$2:$A$1000,0),MATCH(K$1,'Master data'!$B$1:$CL$1,0)),"")</f>
        <v/>
      </c>
      <c r="L800" s="7" t="str">
        <f>IFERROR(INDEX('Master data'!$B$2:$CL$1000,MATCH($B800,'Master data'!$A$2:$A$1000,0),MATCH(L$1,'Master data'!$B$1:$CL$1,0)),"")</f>
        <v/>
      </c>
      <c r="M800" s="5" t="str">
        <f>IFERROR(INDEX('Master data'!$B$2:$CL$1000,MATCH($B800,'Master data'!$A$2:$A$1000,0),MATCH(M$1,'Master data'!$B$1:$CL$1,0)),"")</f>
        <v/>
      </c>
      <c r="N800" s="28" t="str">
        <f>IFERROR(INDEX('Master data'!$B$2:$CL$1000,MATCH($B800,'Master data'!$A$2:$A$1000,0),MATCH(N$1,'Master data'!$B$1:$CL$1,0)),"")</f>
        <v/>
      </c>
      <c r="O800" s="7" t="str">
        <f>IFERROR(INDEX('Master data'!$B$2:$CL$1000,MATCH($B800,'Master data'!$A$2:$A$1000,0),MATCH(O$1,'Master data'!$B$1:$CL$1,0)),"")</f>
        <v/>
      </c>
      <c r="P800" s="5" t="str">
        <f>IFERROR(INDEX('Master data'!$B$2:$CL$1000,MATCH($B800,'Master data'!$A$2:$A$1000,0),MATCH(P$1,'Master data'!$B$1:$CL$1,0)),"")</f>
        <v/>
      </c>
      <c r="Q800" s="5" t="str">
        <f>IFERROR(INDEX('Master data'!$B$2:$CL$1000,MATCH($B800,'Master data'!$A$2:$A$1000,0),MATCH(Q$1,'Master data'!$B$1:$CL$1,0)),"")</f>
        <v/>
      </c>
    </row>
    <row r="801" spans="1:17" hidden="1">
      <c r="A801" t="str">
        <f t="shared" si="12"/>
        <v/>
      </c>
      <c r="B801" t="str">
        <f>IF('Master data'!A801="","",'Master data'!A801)</f>
        <v/>
      </c>
      <c r="C801" t="str">
        <f>IFERROR(INDEX('Master data'!$B$2:$CL$1000,MATCH($B801,'Master data'!$A$2:$A$1000,0),MATCH(C$1,'Master data'!$B$1:$CL$1,0)),"")</f>
        <v/>
      </c>
      <c r="D801" t="str">
        <f>IFERROR(INDEX('Master data'!$B$2:$CL$1000,MATCH($B801,'Master data'!$A$2:$A$1000,0),MATCH(D$1,'Master data'!$B$1:$CL$1,0)),"")</f>
        <v/>
      </c>
      <c r="E801" s="5" t="str">
        <f>IFERROR(INDEX('Master data'!$B$2:$CL$1000,MATCH($B801,'Master data'!$A$2:$A$1000,0),MATCH(E$1,'Master data'!$B$1:$CL$1,0)),"")</f>
        <v/>
      </c>
      <c r="F801" s="7" t="str">
        <f>IFERROR(INDEX('Master data'!$B$2:$CL$1000,MATCH($B801,'Master data'!$A$2:$A$1000,0),MATCH(F$1,'Master data'!$B$1:$CL$1,0)),"")</f>
        <v/>
      </c>
      <c r="G801" s="7" t="str">
        <f>IFERROR(INDEX('Master data'!$B$2:$CL$1000,MATCH($B801,'Master data'!$A$2:$A$1000,0),MATCH(G$1,'Master data'!$B$1:$CL$1,0)),"")</f>
        <v/>
      </c>
      <c r="H801" s="7" t="str">
        <f>IFERROR(INDEX('Master data'!$B$2:$CL$1000,MATCH($B801,'Master data'!$A$2:$A$1000,0),MATCH(H$1,'Master data'!$B$1:$CL$1,0)),"")</f>
        <v/>
      </c>
      <c r="I801" s="7" t="str">
        <f>IFERROR(INDEX('Master data'!$B$2:$CL$1000,MATCH($B801,'Master data'!$A$2:$A$1000,0),MATCH(I$1,'Master data'!$B$1:$CL$1,0)),"")</f>
        <v/>
      </c>
      <c r="J801" s="7" t="str">
        <f>IFERROR(INDEX('Master data'!$B$2:$CL$1000,MATCH($B801,'Master data'!$A$2:$A$1000,0),MATCH(J$1,'Master data'!$B$1:$CL$1,0)),"")</f>
        <v/>
      </c>
      <c r="K801" s="7" t="str">
        <f>IFERROR(INDEX('Master data'!$B$2:$CL$1000,MATCH($B801,'Master data'!$A$2:$A$1000,0),MATCH(K$1,'Master data'!$B$1:$CL$1,0)),"")</f>
        <v/>
      </c>
      <c r="L801" s="7" t="str">
        <f>IFERROR(INDEX('Master data'!$B$2:$CL$1000,MATCH($B801,'Master data'!$A$2:$A$1000,0),MATCH(L$1,'Master data'!$B$1:$CL$1,0)),"")</f>
        <v/>
      </c>
      <c r="M801" s="5" t="str">
        <f>IFERROR(INDEX('Master data'!$B$2:$CL$1000,MATCH($B801,'Master data'!$A$2:$A$1000,0),MATCH(M$1,'Master data'!$B$1:$CL$1,0)),"")</f>
        <v/>
      </c>
      <c r="N801" s="28" t="str">
        <f>IFERROR(INDEX('Master data'!$B$2:$CL$1000,MATCH($B801,'Master data'!$A$2:$A$1000,0),MATCH(N$1,'Master data'!$B$1:$CL$1,0)),"")</f>
        <v/>
      </c>
      <c r="O801" s="7" t="str">
        <f>IFERROR(INDEX('Master data'!$B$2:$CL$1000,MATCH($B801,'Master data'!$A$2:$A$1000,0),MATCH(O$1,'Master data'!$B$1:$CL$1,0)),"")</f>
        <v/>
      </c>
      <c r="P801" s="5" t="str">
        <f>IFERROR(INDEX('Master data'!$B$2:$CL$1000,MATCH($B801,'Master data'!$A$2:$A$1000,0),MATCH(P$1,'Master data'!$B$1:$CL$1,0)),"")</f>
        <v/>
      </c>
      <c r="Q801" s="5" t="str">
        <f>IFERROR(INDEX('Master data'!$B$2:$CL$1000,MATCH($B801,'Master data'!$A$2:$A$1000,0),MATCH(Q$1,'Master data'!$B$1:$CL$1,0)),"")</f>
        <v/>
      </c>
    </row>
    <row r="802" spans="1:17" hidden="1">
      <c r="A802" t="str">
        <f t="shared" si="12"/>
        <v/>
      </c>
      <c r="B802" t="str">
        <f>IF('Master data'!A802="","",'Master data'!A802)</f>
        <v/>
      </c>
      <c r="C802" t="str">
        <f>IFERROR(INDEX('Master data'!$B$2:$CL$1000,MATCH($B802,'Master data'!$A$2:$A$1000,0),MATCH(C$1,'Master data'!$B$1:$CL$1,0)),"")</f>
        <v/>
      </c>
      <c r="D802" t="str">
        <f>IFERROR(INDEX('Master data'!$B$2:$CL$1000,MATCH($B802,'Master data'!$A$2:$A$1000,0),MATCH(D$1,'Master data'!$B$1:$CL$1,0)),"")</f>
        <v/>
      </c>
      <c r="E802" s="5" t="str">
        <f>IFERROR(INDEX('Master data'!$B$2:$CL$1000,MATCH($B802,'Master data'!$A$2:$A$1000,0),MATCH(E$1,'Master data'!$B$1:$CL$1,0)),"")</f>
        <v/>
      </c>
      <c r="F802" s="7" t="str">
        <f>IFERROR(INDEX('Master data'!$B$2:$CL$1000,MATCH($B802,'Master data'!$A$2:$A$1000,0),MATCH(F$1,'Master data'!$B$1:$CL$1,0)),"")</f>
        <v/>
      </c>
      <c r="G802" s="7" t="str">
        <f>IFERROR(INDEX('Master data'!$B$2:$CL$1000,MATCH($B802,'Master data'!$A$2:$A$1000,0),MATCH(G$1,'Master data'!$B$1:$CL$1,0)),"")</f>
        <v/>
      </c>
      <c r="H802" s="7" t="str">
        <f>IFERROR(INDEX('Master data'!$B$2:$CL$1000,MATCH($B802,'Master data'!$A$2:$A$1000,0),MATCH(H$1,'Master data'!$B$1:$CL$1,0)),"")</f>
        <v/>
      </c>
      <c r="I802" s="7" t="str">
        <f>IFERROR(INDEX('Master data'!$B$2:$CL$1000,MATCH($B802,'Master data'!$A$2:$A$1000,0),MATCH(I$1,'Master data'!$B$1:$CL$1,0)),"")</f>
        <v/>
      </c>
      <c r="J802" s="7" t="str">
        <f>IFERROR(INDEX('Master data'!$B$2:$CL$1000,MATCH($B802,'Master data'!$A$2:$A$1000,0),MATCH(J$1,'Master data'!$B$1:$CL$1,0)),"")</f>
        <v/>
      </c>
      <c r="K802" s="7" t="str">
        <f>IFERROR(INDEX('Master data'!$B$2:$CL$1000,MATCH($B802,'Master data'!$A$2:$A$1000,0),MATCH(K$1,'Master data'!$B$1:$CL$1,0)),"")</f>
        <v/>
      </c>
      <c r="L802" s="7" t="str">
        <f>IFERROR(INDEX('Master data'!$B$2:$CL$1000,MATCH($B802,'Master data'!$A$2:$A$1000,0),MATCH(L$1,'Master data'!$B$1:$CL$1,0)),"")</f>
        <v/>
      </c>
      <c r="M802" s="5" t="str">
        <f>IFERROR(INDEX('Master data'!$B$2:$CL$1000,MATCH($B802,'Master data'!$A$2:$A$1000,0),MATCH(M$1,'Master data'!$B$1:$CL$1,0)),"")</f>
        <v/>
      </c>
      <c r="N802" s="28" t="str">
        <f>IFERROR(INDEX('Master data'!$B$2:$CL$1000,MATCH($B802,'Master data'!$A$2:$A$1000,0),MATCH(N$1,'Master data'!$B$1:$CL$1,0)),"")</f>
        <v/>
      </c>
      <c r="O802" s="7" t="str">
        <f>IFERROR(INDEX('Master data'!$B$2:$CL$1000,MATCH($B802,'Master data'!$A$2:$A$1000,0),MATCH(O$1,'Master data'!$B$1:$CL$1,0)),"")</f>
        <v/>
      </c>
      <c r="P802" s="5" t="str">
        <f>IFERROR(INDEX('Master data'!$B$2:$CL$1000,MATCH($B802,'Master data'!$A$2:$A$1000,0),MATCH(P$1,'Master data'!$B$1:$CL$1,0)),"")</f>
        <v/>
      </c>
      <c r="Q802" s="5" t="str">
        <f>IFERROR(INDEX('Master data'!$B$2:$CL$1000,MATCH($B802,'Master data'!$A$2:$A$1000,0),MATCH(Q$1,'Master data'!$B$1:$CL$1,0)),"")</f>
        <v/>
      </c>
    </row>
    <row r="803" spans="1:17" hidden="1">
      <c r="A803" t="str">
        <f t="shared" si="12"/>
        <v/>
      </c>
      <c r="B803" t="str">
        <f>IF('Master data'!A803="","",'Master data'!A803)</f>
        <v/>
      </c>
      <c r="C803" t="str">
        <f>IFERROR(INDEX('Master data'!$B$2:$CL$1000,MATCH($B803,'Master data'!$A$2:$A$1000,0),MATCH(C$1,'Master data'!$B$1:$CL$1,0)),"")</f>
        <v/>
      </c>
      <c r="D803" t="str">
        <f>IFERROR(INDEX('Master data'!$B$2:$CL$1000,MATCH($B803,'Master data'!$A$2:$A$1000,0),MATCH(D$1,'Master data'!$B$1:$CL$1,0)),"")</f>
        <v/>
      </c>
      <c r="E803" s="5" t="str">
        <f>IFERROR(INDEX('Master data'!$B$2:$CL$1000,MATCH($B803,'Master data'!$A$2:$A$1000,0),MATCH(E$1,'Master data'!$B$1:$CL$1,0)),"")</f>
        <v/>
      </c>
      <c r="F803" s="7" t="str">
        <f>IFERROR(INDEX('Master data'!$B$2:$CL$1000,MATCH($B803,'Master data'!$A$2:$A$1000,0),MATCH(F$1,'Master data'!$B$1:$CL$1,0)),"")</f>
        <v/>
      </c>
      <c r="G803" s="7" t="str">
        <f>IFERROR(INDEX('Master data'!$B$2:$CL$1000,MATCH($B803,'Master data'!$A$2:$A$1000,0),MATCH(G$1,'Master data'!$B$1:$CL$1,0)),"")</f>
        <v/>
      </c>
      <c r="H803" s="7" t="str">
        <f>IFERROR(INDEX('Master data'!$B$2:$CL$1000,MATCH($B803,'Master data'!$A$2:$A$1000,0),MATCH(H$1,'Master data'!$B$1:$CL$1,0)),"")</f>
        <v/>
      </c>
      <c r="I803" s="7" t="str">
        <f>IFERROR(INDEX('Master data'!$B$2:$CL$1000,MATCH($B803,'Master data'!$A$2:$A$1000,0),MATCH(I$1,'Master data'!$B$1:$CL$1,0)),"")</f>
        <v/>
      </c>
      <c r="J803" s="7" t="str">
        <f>IFERROR(INDEX('Master data'!$B$2:$CL$1000,MATCH($B803,'Master data'!$A$2:$A$1000,0),MATCH(J$1,'Master data'!$B$1:$CL$1,0)),"")</f>
        <v/>
      </c>
      <c r="K803" s="7" t="str">
        <f>IFERROR(INDEX('Master data'!$B$2:$CL$1000,MATCH($B803,'Master data'!$A$2:$A$1000,0),MATCH(K$1,'Master data'!$B$1:$CL$1,0)),"")</f>
        <v/>
      </c>
      <c r="L803" s="7" t="str">
        <f>IFERROR(INDEX('Master data'!$B$2:$CL$1000,MATCH($B803,'Master data'!$A$2:$A$1000,0),MATCH(L$1,'Master data'!$B$1:$CL$1,0)),"")</f>
        <v/>
      </c>
      <c r="M803" s="5" t="str">
        <f>IFERROR(INDEX('Master data'!$B$2:$CL$1000,MATCH($B803,'Master data'!$A$2:$A$1000,0),MATCH(M$1,'Master data'!$B$1:$CL$1,0)),"")</f>
        <v/>
      </c>
      <c r="N803" s="28" t="str">
        <f>IFERROR(INDEX('Master data'!$B$2:$CL$1000,MATCH($B803,'Master data'!$A$2:$A$1000,0),MATCH(N$1,'Master data'!$B$1:$CL$1,0)),"")</f>
        <v/>
      </c>
      <c r="O803" s="7" t="str">
        <f>IFERROR(INDEX('Master data'!$B$2:$CL$1000,MATCH($B803,'Master data'!$A$2:$A$1000,0),MATCH(O$1,'Master data'!$B$1:$CL$1,0)),"")</f>
        <v/>
      </c>
      <c r="P803" s="5" t="str">
        <f>IFERROR(INDEX('Master data'!$B$2:$CL$1000,MATCH($B803,'Master data'!$A$2:$A$1000,0),MATCH(P$1,'Master data'!$B$1:$CL$1,0)),"")</f>
        <v/>
      </c>
      <c r="Q803" s="5" t="str">
        <f>IFERROR(INDEX('Master data'!$B$2:$CL$1000,MATCH($B803,'Master data'!$A$2:$A$1000,0),MATCH(Q$1,'Master data'!$B$1:$CL$1,0)),"")</f>
        <v/>
      </c>
    </row>
    <row r="804" spans="1:17" hidden="1">
      <c r="A804" t="str">
        <f t="shared" si="12"/>
        <v/>
      </c>
      <c r="B804" t="str">
        <f>IF('Master data'!A804="","",'Master data'!A804)</f>
        <v/>
      </c>
      <c r="C804" t="str">
        <f>IFERROR(INDEX('Master data'!$B$2:$CL$1000,MATCH($B804,'Master data'!$A$2:$A$1000,0),MATCH(C$1,'Master data'!$B$1:$CL$1,0)),"")</f>
        <v/>
      </c>
      <c r="D804" t="str">
        <f>IFERROR(INDEX('Master data'!$B$2:$CL$1000,MATCH($B804,'Master data'!$A$2:$A$1000,0),MATCH(D$1,'Master data'!$B$1:$CL$1,0)),"")</f>
        <v/>
      </c>
      <c r="E804" s="5" t="str">
        <f>IFERROR(INDEX('Master data'!$B$2:$CL$1000,MATCH($B804,'Master data'!$A$2:$A$1000,0),MATCH(E$1,'Master data'!$B$1:$CL$1,0)),"")</f>
        <v/>
      </c>
      <c r="F804" s="7" t="str">
        <f>IFERROR(INDEX('Master data'!$B$2:$CL$1000,MATCH($B804,'Master data'!$A$2:$A$1000,0),MATCH(F$1,'Master data'!$B$1:$CL$1,0)),"")</f>
        <v/>
      </c>
      <c r="G804" s="7" t="str">
        <f>IFERROR(INDEX('Master data'!$B$2:$CL$1000,MATCH($B804,'Master data'!$A$2:$A$1000,0),MATCH(G$1,'Master data'!$B$1:$CL$1,0)),"")</f>
        <v/>
      </c>
      <c r="H804" s="7" t="str">
        <f>IFERROR(INDEX('Master data'!$B$2:$CL$1000,MATCH($B804,'Master data'!$A$2:$A$1000,0),MATCH(H$1,'Master data'!$B$1:$CL$1,0)),"")</f>
        <v/>
      </c>
      <c r="I804" s="7" t="str">
        <f>IFERROR(INDEX('Master data'!$B$2:$CL$1000,MATCH($B804,'Master data'!$A$2:$A$1000,0),MATCH(I$1,'Master data'!$B$1:$CL$1,0)),"")</f>
        <v/>
      </c>
      <c r="J804" s="7" t="str">
        <f>IFERROR(INDEX('Master data'!$B$2:$CL$1000,MATCH($B804,'Master data'!$A$2:$A$1000,0),MATCH(J$1,'Master data'!$B$1:$CL$1,0)),"")</f>
        <v/>
      </c>
      <c r="K804" s="7" t="str">
        <f>IFERROR(INDEX('Master data'!$B$2:$CL$1000,MATCH($B804,'Master data'!$A$2:$A$1000,0),MATCH(K$1,'Master data'!$B$1:$CL$1,0)),"")</f>
        <v/>
      </c>
      <c r="L804" s="7" t="str">
        <f>IFERROR(INDEX('Master data'!$B$2:$CL$1000,MATCH($B804,'Master data'!$A$2:$A$1000,0),MATCH(L$1,'Master data'!$B$1:$CL$1,0)),"")</f>
        <v/>
      </c>
      <c r="M804" s="5" t="str">
        <f>IFERROR(INDEX('Master data'!$B$2:$CL$1000,MATCH($B804,'Master data'!$A$2:$A$1000,0),MATCH(M$1,'Master data'!$B$1:$CL$1,0)),"")</f>
        <v/>
      </c>
      <c r="N804" s="28" t="str">
        <f>IFERROR(INDEX('Master data'!$B$2:$CL$1000,MATCH($B804,'Master data'!$A$2:$A$1000,0),MATCH(N$1,'Master data'!$B$1:$CL$1,0)),"")</f>
        <v/>
      </c>
      <c r="O804" s="7" t="str">
        <f>IFERROR(INDEX('Master data'!$B$2:$CL$1000,MATCH($B804,'Master data'!$A$2:$A$1000,0),MATCH(O$1,'Master data'!$B$1:$CL$1,0)),"")</f>
        <v/>
      </c>
      <c r="P804" s="5" t="str">
        <f>IFERROR(INDEX('Master data'!$B$2:$CL$1000,MATCH($B804,'Master data'!$A$2:$A$1000,0),MATCH(P$1,'Master data'!$B$1:$CL$1,0)),"")</f>
        <v/>
      </c>
      <c r="Q804" s="5" t="str">
        <f>IFERROR(INDEX('Master data'!$B$2:$CL$1000,MATCH($B804,'Master data'!$A$2:$A$1000,0),MATCH(Q$1,'Master data'!$B$1:$CL$1,0)),"")</f>
        <v/>
      </c>
    </row>
    <row r="805" spans="1:17" hidden="1">
      <c r="A805" t="str">
        <f t="shared" si="12"/>
        <v/>
      </c>
      <c r="B805" t="str">
        <f>IF('Master data'!A805="","",'Master data'!A805)</f>
        <v/>
      </c>
      <c r="C805" t="str">
        <f>IFERROR(INDEX('Master data'!$B$2:$CL$1000,MATCH($B805,'Master data'!$A$2:$A$1000,0),MATCH(C$1,'Master data'!$B$1:$CL$1,0)),"")</f>
        <v/>
      </c>
      <c r="D805" t="str">
        <f>IFERROR(INDEX('Master data'!$B$2:$CL$1000,MATCH($B805,'Master data'!$A$2:$A$1000,0),MATCH(D$1,'Master data'!$B$1:$CL$1,0)),"")</f>
        <v/>
      </c>
      <c r="E805" s="5" t="str">
        <f>IFERROR(INDEX('Master data'!$B$2:$CL$1000,MATCH($B805,'Master data'!$A$2:$A$1000,0),MATCH(E$1,'Master data'!$B$1:$CL$1,0)),"")</f>
        <v/>
      </c>
      <c r="F805" s="7" t="str">
        <f>IFERROR(INDEX('Master data'!$B$2:$CL$1000,MATCH($B805,'Master data'!$A$2:$A$1000,0),MATCH(F$1,'Master data'!$B$1:$CL$1,0)),"")</f>
        <v/>
      </c>
      <c r="G805" s="7" t="str">
        <f>IFERROR(INDEX('Master data'!$B$2:$CL$1000,MATCH($B805,'Master data'!$A$2:$A$1000,0),MATCH(G$1,'Master data'!$B$1:$CL$1,0)),"")</f>
        <v/>
      </c>
      <c r="H805" s="7" t="str">
        <f>IFERROR(INDEX('Master data'!$B$2:$CL$1000,MATCH($B805,'Master data'!$A$2:$A$1000,0),MATCH(H$1,'Master data'!$B$1:$CL$1,0)),"")</f>
        <v/>
      </c>
      <c r="I805" s="7" t="str">
        <f>IFERROR(INDEX('Master data'!$B$2:$CL$1000,MATCH($B805,'Master data'!$A$2:$A$1000,0),MATCH(I$1,'Master data'!$B$1:$CL$1,0)),"")</f>
        <v/>
      </c>
      <c r="J805" s="7" t="str">
        <f>IFERROR(INDEX('Master data'!$B$2:$CL$1000,MATCH($B805,'Master data'!$A$2:$A$1000,0),MATCH(J$1,'Master data'!$B$1:$CL$1,0)),"")</f>
        <v/>
      </c>
      <c r="K805" s="7" t="str">
        <f>IFERROR(INDEX('Master data'!$B$2:$CL$1000,MATCH($B805,'Master data'!$A$2:$A$1000,0),MATCH(K$1,'Master data'!$B$1:$CL$1,0)),"")</f>
        <v/>
      </c>
      <c r="L805" s="7" t="str">
        <f>IFERROR(INDEX('Master data'!$B$2:$CL$1000,MATCH($B805,'Master data'!$A$2:$A$1000,0),MATCH(L$1,'Master data'!$B$1:$CL$1,0)),"")</f>
        <v/>
      </c>
      <c r="M805" s="5" t="str">
        <f>IFERROR(INDEX('Master data'!$B$2:$CL$1000,MATCH($B805,'Master data'!$A$2:$A$1000,0),MATCH(M$1,'Master data'!$B$1:$CL$1,0)),"")</f>
        <v/>
      </c>
      <c r="N805" s="28" t="str">
        <f>IFERROR(INDEX('Master data'!$B$2:$CL$1000,MATCH($B805,'Master data'!$A$2:$A$1000,0),MATCH(N$1,'Master data'!$B$1:$CL$1,0)),"")</f>
        <v/>
      </c>
      <c r="O805" s="7" t="str">
        <f>IFERROR(INDEX('Master data'!$B$2:$CL$1000,MATCH($B805,'Master data'!$A$2:$A$1000,0),MATCH(O$1,'Master data'!$B$1:$CL$1,0)),"")</f>
        <v/>
      </c>
      <c r="P805" s="5" t="str">
        <f>IFERROR(INDEX('Master data'!$B$2:$CL$1000,MATCH($B805,'Master data'!$A$2:$A$1000,0),MATCH(P$1,'Master data'!$B$1:$CL$1,0)),"")</f>
        <v/>
      </c>
      <c r="Q805" s="5" t="str">
        <f>IFERROR(INDEX('Master data'!$B$2:$CL$1000,MATCH($B805,'Master data'!$A$2:$A$1000,0),MATCH(Q$1,'Master data'!$B$1:$CL$1,0)),"")</f>
        <v/>
      </c>
    </row>
    <row r="806" spans="1:17" hidden="1">
      <c r="A806" t="str">
        <f t="shared" si="12"/>
        <v/>
      </c>
      <c r="B806" t="str">
        <f>IF('Master data'!A806="","",'Master data'!A806)</f>
        <v/>
      </c>
      <c r="C806" t="str">
        <f>IFERROR(INDEX('Master data'!$B$2:$CL$1000,MATCH($B806,'Master data'!$A$2:$A$1000,0),MATCH(C$1,'Master data'!$B$1:$CL$1,0)),"")</f>
        <v/>
      </c>
      <c r="D806" t="str">
        <f>IFERROR(INDEX('Master data'!$B$2:$CL$1000,MATCH($B806,'Master data'!$A$2:$A$1000,0),MATCH(D$1,'Master data'!$B$1:$CL$1,0)),"")</f>
        <v/>
      </c>
      <c r="E806" s="5" t="str">
        <f>IFERROR(INDEX('Master data'!$B$2:$CL$1000,MATCH($B806,'Master data'!$A$2:$A$1000,0),MATCH(E$1,'Master data'!$B$1:$CL$1,0)),"")</f>
        <v/>
      </c>
      <c r="F806" s="7" t="str">
        <f>IFERROR(INDEX('Master data'!$B$2:$CL$1000,MATCH($B806,'Master data'!$A$2:$A$1000,0),MATCH(F$1,'Master data'!$B$1:$CL$1,0)),"")</f>
        <v/>
      </c>
      <c r="G806" s="7" t="str">
        <f>IFERROR(INDEX('Master data'!$B$2:$CL$1000,MATCH($B806,'Master data'!$A$2:$A$1000,0),MATCH(G$1,'Master data'!$B$1:$CL$1,0)),"")</f>
        <v/>
      </c>
      <c r="H806" s="7" t="str">
        <f>IFERROR(INDEX('Master data'!$B$2:$CL$1000,MATCH($B806,'Master data'!$A$2:$A$1000,0),MATCH(H$1,'Master data'!$B$1:$CL$1,0)),"")</f>
        <v/>
      </c>
      <c r="I806" s="7" t="str">
        <f>IFERROR(INDEX('Master data'!$B$2:$CL$1000,MATCH($B806,'Master data'!$A$2:$A$1000,0),MATCH(I$1,'Master data'!$B$1:$CL$1,0)),"")</f>
        <v/>
      </c>
      <c r="J806" s="7" t="str">
        <f>IFERROR(INDEX('Master data'!$B$2:$CL$1000,MATCH($B806,'Master data'!$A$2:$A$1000,0),MATCH(J$1,'Master data'!$B$1:$CL$1,0)),"")</f>
        <v/>
      </c>
      <c r="K806" s="7" t="str">
        <f>IFERROR(INDEX('Master data'!$B$2:$CL$1000,MATCH($B806,'Master data'!$A$2:$A$1000,0),MATCH(K$1,'Master data'!$B$1:$CL$1,0)),"")</f>
        <v/>
      </c>
      <c r="L806" s="7" t="str">
        <f>IFERROR(INDEX('Master data'!$B$2:$CL$1000,MATCH($B806,'Master data'!$A$2:$A$1000,0),MATCH(L$1,'Master data'!$B$1:$CL$1,0)),"")</f>
        <v/>
      </c>
      <c r="M806" s="5" t="str">
        <f>IFERROR(INDEX('Master data'!$B$2:$CL$1000,MATCH($B806,'Master data'!$A$2:$A$1000,0),MATCH(M$1,'Master data'!$B$1:$CL$1,0)),"")</f>
        <v/>
      </c>
      <c r="N806" s="28" t="str">
        <f>IFERROR(INDEX('Master data'!$B$2:$CL$1000,MATCH($B806,'Master data'!$A$2:$A$1000,0),MATCH(N$1,'Master data'!$B$1:$CL$1,0)),"")</f>
        <v/>
      </c>
      <c r="O806" s="7" t="str">
        <f>IFERROR(INDEX('Master data'!$B$2:$CL$1000,MATCH($B806,'Master data'!$A$2:$A$1000,0),MATCH(O$1,'Master data'!$B$1:$CL$1,0)),"")</f>
        <v/>
      </c>
      <c r="P806" s="5" t="str">
        <f>IFERROR(INDEX('Master data'!$B$2:$CL$1000,MATCH($B806,'Master data'!$A$2:$A$1000,0),MATCH(P$1,'Master data'!$B$1:$CL$1,0)),"")</f>
        <v/>
      </c>
      <c r="Q806" s="5" t="str">
        <f>IFERROR(INDEX('Master data'!$B$2:$CL$1000,MATCH($B806,'Master data'!$A$2:$A$1000,0),MATCH(Q$1,'Master data'!$B$1:$CL$1,0)),"")</f>
        <v/>
      </c>
    </row>
    <row r="807" spans="1:17" hidden="1">
      <c r="A807" t="str">
        <f t="shared" si="12"/>
        <v/>
      </c>
      <c r="B807" t="str">
        <f>IF('Master data'!A807="","",'Master data'!A807)</f>
        <v/>
      </c>
      <c r="C807" t="str">
        <f>IFERROR(INDEX('Master data'!$B$2:$CL$1000,MATCH($B807,'Master data'!$A$2:$A$1000,0),MATCH(C$1,'Master data'!$B$1:$CL$1,0)),"")</f>
        <v/>
      </c>
      <c r="D807" t="str">
        <f>IFERROR(INDEX('Master data'!$B$2:$CL$1000,MATCH($B807,'Master data'!$A$2:$A$1000,0),MATCH(D$1,'Master data'!$B$1:$CL$1,0)),"")</f>
        <v/>
      </c>
      <c r="E807" s="5" t="str">
        <f>IFERROR(INDEX('Master data'!$B$2:$CL$1000,MATCH($B807,'Master data'!$A$2:$A$1000,0),MATCH(E$1,'Master data'!$B$1:$CL$1,0)),"")</f>
        <v/>
      </c>
      <c r="F807" s="7" t="str">
        <f>IFERROR(INDEX('Master data'!$B$2:$CL$1000,MATCH($B807,'Master data'!$A$2:$A$1000,0),MATCH(F$1,'Master data'!$B$1:$CL$1,0)),"")</f>
        <v/>
      </c>
      <c r="G807" s="7" t="str">
        <f>IFERROR(INDEX('Master data'!$B$2:$CL$1000,MATCH($B807,'Master data'!$A$2:$A$1000,0),MATCH(G$1,'Master data'!$B$1:$CL$1,0)),"")</f>
        <v/>
      </c>
      <c r="H807" s="7" t="str">
        <f>IFERROR(INDEX('Master data'!$B$2:$CL$1000,MATCH($B807,'Master data'!$A$2:$A$1000,0),MATCH(H$1,'Master data'!$B$1:$CL$1,0)),"")</f>
        <v/>
      </c>
      <c r="I807" s="7" t="str">
        <f>IFERROR(INDEX('Master data'!$B$2:$CL$1000,MATCH($B807,'Master data'!$A$2:$A$1000,0),MATCH(I$1,'Master data'!$B$1:$CL$1,0)),"")</f>
        <v/>
      </c>
      <c r="J807" s="7" t="str">
        <f>IFERROR(INDEX('Master data'!$B$2:$CL$1000,MATCH($B807,'Master data'!$A$2:$A$1000,0),MATCH(J$1,'Master data'!$B$1:$CL$1,0)),"")</f>
        <v/>
      </c>
      <c r="K807" s="7" t="str">
        <f>IFERROR(INDEX('Master data'!$B$2:$CL$1000,MATCH($B807,'Master data'!$A$2:$A$1000,0),MATCH(K$1,'Master data'!$B$1:$CL$1,0)),"")</f>
        <v/>
      </c>
      <c r="L807" s="7" t="str">
        <f>IFERROR(INDEX('Master data'!$B$2:$CL$1000,MATCH($B807,'Master data'!$A$2:$A$1000,0),MATCH(L$1,'Master data'!$B$1:$CL$1,0)),"")</f>
        <v/>
      </c>
      <c r="M807" s="5" t="str">
        <f>IFERROR(INDEX('Master data'!$B$2:$CL$1000,MATCH($B807,'Master data'!$A$2:$A$1000,0),MATCH(M$1,'Master data'!$B$1:$CL$1,0)),"")</f>
        <v/>
      </c>
      <c r="N807" s="28" t="str">
        <f>IFERROR(INDEX('Master data'!$B$2:$CL$1000,MATCH($B807,'Master data'!$A$2:$A$1000,0),MATCH(N$1,'Master data'!$B$1:$CL$1,0)),"")</f>
        <v/>
      </c>
      <c r="O807" s="7" t="str">
        <f>IFERROR(INDEX('Master data'!$B$2:$CL$1000,MATCH($B807,'Master data'!$A$2:$A$1000,0),MATCH(O$1,'Master data'!$B$1:$CL$1,0)),"")</f>
        <v/>
      </c>
      <c r="P807" s="5" t="str">
        <f>IFERROR(INDEX('Master data'!$B$2:$CL$1000,MATCH($B807,'Master data'!$A$2:$A$1000,0),MATCH(P$1,'Master data'!$B$1:$CL$1,0)),"")</f>
        <v/>
      </c>
      <c r="Q807" s="5" t="str">
        <f>IFERROR(INDEX('Master data'!$B$2:$CL$1000,MATCH($B807,'Master data'!$A$2:$A$1000,0),MATCH(Q$1,'Master data'!$B$1:$CL$1,0)),"")</f>
        <v/>
      </c>
    </row>
    <row r="808" spans="1:17" hidden="1">
      <c r="A808" t="str">
        <f t="shared" si="12"/>
        <v/>
      </c>
      <c r="B808" t="str">
        <f>IF('Master data'!A808="","",'Master data'!A808)</f>
        <v/>
      </c>
      <c r="C808" t="str">
        <f>IFERROR(INDEX('Master data'!$B$2:$CL$1000,MATCH($B808,'Master data'!$A$2:$A$1000,0),MATCH(C$1,'Master data'!$B$1:$CL$1,0)),"")</f>
        <v/>
      </c>
      <c r="D808" t="str">
        <f>IFERROR(INDEX('Master data'!$B$2:$CL$1000,MATCH($B808,'Master data'!$A$2:$A$1000,0),MATCH(D$1,'Master data'!$B$1:$CL$1,0)),"")</f>
        <v/>
      </c>
      <c r="E808" s="5" t="str">
        <f>IFERROR(INDEX('Master data'!$B$2:$CL$1000,MATCH($B808,'Master data'!$A$2:$A$1000,0),MATCH(E$1,'Master data'!$B$1:$CL$1,0)),"")</f>
        <v/>
      </c>
      <c r="F808" s="7" t="str">
        <f>IFERROR(INDEX('Master data'!$B$2:$CL$1000,MATCH($B808,'Master data'!$A$2:$A$1000,0),MATCH(F$1,'Master data'!$B$1:$CL$1,0)),"")</f>
        <v/>
      </c>
      <c r="G808" s="7" t="str">
        <f>IFERROR(INDEX('Master data'!$B$2:$CL$1000,MATCH($B808,'Master data'!$A$2:$A$1000,0),MATCH(G$1,'Master data'!$B$1:$CL$1,0)),"")</f>
        <v/>
      </c>
      <c r="H808" s="7" t="str">
        <f>IFERROR(INDEX('Master data'!$B$2:$CL$1000,MATCH($B808,'Master data'!$A$2:$A$1000,0),MATCH(H$1,'Master data'!$B$1:$CL$1,0)),"")</f>
        <v/>
      </c>
      <c r="I808" s="7" t="str">
        <f>IFERROR(INDEX('Master data'!$B$2:$CL$1000,MATCH($B808,'Master data'!$A$2:$A$1000,0),MATCH(I$1,'Master data'!$B$1:$CL$1,0)),"")</f>
        <v/>
      </c>
      <c r="J808" s="7" t="str">
        <f>IFERROR(INDEX('Master data'!$B$2:$CL$1000,MATCH($B808,'Master data'!$A$2:$A$1000,0),MATCH(J$1,'Master data'!$B$1:$CL$1,0)),"")</f>
        <v/>
      </c>
      <c r="K808" s="7" t="str">
        <f>IFERROR(INDEX('Master data'!$B$2:$CL$1000,MATCH($B808,'Master data'!$A$2:$A$1000,0),MATCH(K$1,'Master data'!$B$1:$CL$1,0)),"")</f>
        <v/>
      </c>
      <c r="L808" s="7" t="str">
        <f>IFERROR(INDEX('Master data'!$B$2:$CL$1000,MATCH($B808,'Master data'!$A$2:$A$1000,0),MATCH(L$1,'Master data'!$B$1:$CL$1,0)),"")</f>
        <v/>
      </c>
      <c r="M808" s="5" t="str">
        <f>IFERROR(INDEX('Master data'!$B$2:$CL$1000,MATCH($B808,'Master data'!$A$2:$A$1000,0),MATCH(M$1,'Master data'!$B$1:$CL$1,0)),"")</f>
        <v/>
      </c>
      <c r="N808" s="28" t="str">
        <f>IFERROR(INDEX('Master data'!$B$2:$CL$1000,MATCH($B808,'Master data'!$A$2:$A$1000,0),MATCH(N$1,'Master data'!$B$1:$CL$1,0)),"")</f>
        <v/>
      </c>
      <c r="O808" s="7" t="str">
        <f>IFERROR(INDEX('Master data'!$B$2:$CL$1000,MATCH($B808,'Master data'!$A$2:$A$1000,0),MATCH(O$1,'Master data'!$B$1:$CL$1,0)),"")</f>
        <v/>
      </c>
      <c r="P808" s="5" t="str">
        <f>IFERROR(INDEX('Master data'!$B$2:$CL$1000,MATCH($B808,'Master data'!$A$2:$A$1000,0),MATCH(P$1,'Master data'!$B$1:$CL$1,0)),"")</f>
        <v/>
      </c>
      <c r="Q808" s="5" t="str">
        <f>IFERROR(INDEX('Master data'!$B$2:$CL$1000,MATCH($B808,'Master data'!$A$2:$A$1000,0),MATCH(Q$1,'Master data'!$B$1:$CL$1,0)),"")</f>
        <v/>
      </c>
    </row>
    <row r="809" spans="1:17" hidden="1">
      <c r="A809" t="str">
        <f t="shared" si="12"/>
        <v/>
      </c>
      <c r="B809" t="str">
        <f>IF('Master data'!A809="","",'Master data'!A809)</f>
        <v/>
      </c>
      <c r="C809" t="str">
        <f>IFERROR(INDEX('Master data'!$B$2:$CL$1000,MATCH($B809,'Master data'!$A$2:$A$1000,0),MATCH(C$1,'Master data'!$B$1:$CL$1,0)),"")</f>
        <v/>
      </c>
      <c r="D809" t="str">
        <f>IFERROR(INDEX('Master data'!$B$2:$CL$1000,MATCH($B809,'Master data'!$A$2:$A$1000,0),MATCH(D$1,'Master data'!$B$1:$CL$1,0)),"")</f>
        <v/>
      </c>
      <c r="E809" s="5" t="str">
        <f>IFERROR(INDEX('Master data'!$B$2:$CL$1000,MATCH($B809,'Master data'!$A$2:$A$1000,0),MATCH(E$1,'Master data'!$B$1:$CL$1,0)),"")</f>
        <v/>
      </c>
      <c r="F809" s="7" t="str">
        <f>IFERROR(INDEX('Master data'!$B$2:$CL$1000,MATCH($B809,'Master data'!$A$2:$A$1000,0),MATCH(F$1,'Master data'!$B$1:$CL$1,0)),"")</f>
        <v/>
      </c>
      <c r="G809" s="7" t="str">
        <f>IFERROR(INDEX('Master data'!$B$2:$CL$1000,MATCH($B809,'Master data'!$A$2:$A$1000,0),MATCH(G$1,'Master data'!$B$1:$CL$1,0)),"")</f>
        <v/>
      </c>
      <c r="H809" s="7" t="str">
        <f>IFERROR(INDEX('Master data'!$B$2:$CL$1000,MATCH($B809,'Master data'!$A$2:$A$1000,0),MATCH(H$1,'Master data'!$B$1:$CL$1,0)),"")</f>
        <v/>
      </c>
      <c r="I809" s="7" t="str">
        <f>IFERROR(INDEX('Master data'!$B$2:$CL$1000,MATCH($B809,'Master data'!$A$2:$A$1000,0),MATCH(I$1,'Master data'!$B$1:$CL$1,0)),"")</f>
        <v/>
      </c>
      <c r="J809" s="7" t="str">
        <f>IFERROR(INDEX('Master data'!$B$2:$CL$1000,MATCH($B809,'Master data'!$A$2:$A$1000,0),MATCH(J$1,'Master data'!$B$1:$CL$1,0)),"")</f>
        <v/>
      </c>
      <c r="K809" s="7" t="str">
        <f>IFERROR(INDEX('Master data'!$B$2:$CL$1000,MATCH($B809,'Master data'!$A$2:$A$1000,0),MATCH(K$1,'Master data'!$B$1:$CL$1,0)),"")</f>
        <v/>
      </c>
      <c r="L809" s="7" t="str">
        <f>IFERROR(INDEX('Master data'!$B$2:$CL$1000,MATCH($B809,'Master data'!$A$2:$A$1000,0),MATCH(L$1,'Master data'!$B$1:$CL$1,0)),"")</f>
        <v/>
      </c>
      <c r="M809" s="5" t="str">
        <f>IFERROR(INDEX('Master data'!$B$2:$CL$1000,MATCH($B809,'Master data'!$A$2:$A$1000,0),MATCH(M$1,'Master data'!$B$1:$CL$1,0)),"")</f>
        <v/>
      </c>
      <c r="N809" s="28" t="str">
        <f>IFERROR(INDEX('Master data'!$B$2:$CL$1000,MATCH($B809,'Master data'!$A$2:$A$1000,0),MATCH(N$1,'Master data'!$B$1:$CL$1,0)),"")</f>
        <v/>
      </c>
      <c r="O809" s="7" t="str">
        <f>IFERROR(INDEX('Master data'!$B$2:$CL$1000,MATCH($B809,'Master data'!$A$2:$A$1000,0),MATCH(O$1,'Master data'!$B$1:$CL$1,0)),"")</f>
        <v/>
      </c>
      <c r="P809" s="5" t="str">
        <f>IFERROR(INDEX('Master data'!$B$2:$CL$1000,MATCH($B809,'Master data'!$A$2:$A$1000,0),MATCH(P$1,'Master data'!$B$1:$CL$1,0)),"")</f>
        <v/>
      </c>
      <c r="Q809" s="5" t="str">
        <f>IFERROR(INDEX('Master data'!$B$2:$CL$1000,MATCH($B809,'Master data'!$A$2:$A$1000,0),MATCH(Q$1,'Master data'!$B$1:$CL$1,0)),"")</f>
        <v/>
      </c>
    </row>
    <row r="810" spans="1:17" hidden="1">
      <c r="A810" t="str">
        <f t="shared" si="12"/>
        <v/>
      </c>
      <c r="B810" t="str">
        <f>IF('Master data'!A810="","",'Master data'!A810)</f>
        <v/>
      </c>
      <c r="C810" t="str">
        <f>IFERROR(INDEX('Master data'!$B$2:$CL$1000,MATCH($B810,'Master data'!$A$2:$A$1000,0),MATCH(C$1,'Master data'!$B$1:$CL$1,0)),"")</f>
        <v/>
      </c>
      <c r="D810" t="str">
        <f>IFERROR(INDEX('Master data'!$B$2:$CL$1000,MATCH($B810,'Master data'!$A$2:$A$1000,0),MATCH(D$1,'Master data'!$B$1:$CL$1,0)),"")</f>
        <v/>
      </c>
      <c r="E810" s="5" t="str">
        <f>IFERROR(INDEX('Master data'!$B$2:$CL$1000,MATCH($B810,'Master data'!$A$2:$A$1000,0),MATCH(E$1,'Master data'!$B$1:$CL$1,0)),"")</f>
        <v/>
      </c>
      <c r="F810" s="7" t="str">
        <f>IFERROR(INDEX('Master data'!$B$2:$CL$1000,MATCH($B810,'Master data'!$A$2:$A$1000,0),MATCH(F$1,'Master data'!$B$1:$CL$1,0)),"")</f>
        <v/>
      </c>
      <c r="G810" s="7" t="str">
        <f>IFERROR(INDEX('Master data'!$B$2:$CL$1000,MATCH($B810,'Master data'!$A$2:$A$1000,0),MATCH(G$1,'Master data'!$B$1:$CL$1,0)),"")</f>
        <v/>
      </c>
      <c r="H810" s="7" t="str">
        <f>IFERROR(INDEX('Master data'!$B$2:$CL$1000,MATCH($B810,'Master data'!$A$2:$A$1000,0),MATCH(H$1,'Master data'!$B$1:$CL$1,0)),"")</f>
        <v/>
      </c>
      <c r="I810" s="7" t="str">
        <f>IFERROR(INDEX('Master data'!$B$2:$CL$1000,MATCH($B810,'Master data'!$A$2:$A$1000,0),MATCH(I$1,'Master data'!$B$1:$CL$1,0)),"")</f>
        <v/>
      </c>
      <c r="J810" s="7" t="str">
        <f>IFERROR(INDEX('Master data'!$B$2:$CL$1000,MATCH($B810,'Master data'!$A$2:$A$1000,0),MATCH(J$1,'Master data'!$B$1:$CL$1,0)),"")</f>
        <v/>
      </c>
      <c r="K810" s="7" t="str">
        <f>IFERROR(INDEX('Master data'!$B$2:$CL$1000,MATCH($B810,'Master data'!$A$2:$A$1000,0),MATCH(K$1,'Master data'!$B$1:$CL$1,0)),"")</f>
        <v/>
      </c>
      <c r="L810" s="7" t="str">
        <f>IFERROR(INDEX('Master data'!$B$2:$CL$1000,MATCH($B810,'Master data'!$A$2:$A$1000,0),MATCH(L$1,'Master data'!$B$1:$CL$1,0)),"")</f>
        <v/>
      </c>
      <c r="M810" s="5" t="str">
        <f>IFERROR(INDEX('Master data'!$B$2:$CL$1000,MATCH($B810,'Master data'!$A$2:$A$1000,0),MATCH(M$1,'Master data'!$B$1:$CL$1,0)),"")</f>
        <v/>
      </c>
      <c r="N810" s="28" t="str">
        <f>IFERROR(INDEX('Master data'!$B$2:$CL$1000,MATCH($B810,'Master data'!$A$2:$A$1000,0),MATCH(N$1,'Master data'!$B$1:$CL$1,0)),"")</f>
        <v/>
      </c>
      <c r="O810" s="7" t="str">
        <f>IFERROR(INDEX('Master data'!$B$2:$CL$1000,MATCH($B810,'Master data'!$A$2:$A$1000,0),MATCH(O$1,'Master data'!$B$1:$CL$1,0)),"")</f>
        <v/>
      </c>
      <c r="P810" s="5" t="str">
        <f>IFERROR(INDEX('Master data'!$B$2:$CL$1000,MATCH($B810,'Master data'!$A$2:$A$1000,0),MATCH(P$1,'Master data'!$B$1:$CL$1,0)),"")</f>
        <v/>
      </c>
      <c r="Q810" s="5" t="str">
        <f>IFERROR(INDEX('Master data'!$B$2:$CL$1000,MATCH($B810,'Master data'!$A$2:$A$1000,0),MATCH(Q$1,'Master data'!$B$1:$CL$1,0)),"")</f>
        <v/>
      </c>
    </row>
    <row r="811" spans="1:17" hidden="1">
      <c r="A811" t="str">
        <f t="shared" si="12"/>
        <v/>
      </c>
      <c r="B811" t="str">
        <f>IF('Master data'!A811="","",'Master data'!A811)</f>
        <v/>
      </c>
      <c r="C811" t="str">
        <f>IFERROR(INDEX('Master data'!$B$2:$CL$1000,MATCH($B811,'Master data'!$A$2:$A$1000,0),MATCH(C$1,'Master data'!$B$1:$CL$1,0)),"")</f>
        <v/>
      </c>
      <c r="D811" t="str">
        <f>IFERROR(INDEX('Master data'!$B$2:$CL$1000,MATCH($B811,'Master data'!$A$2:$A$1000,0),MATCH(D$1,'Master data'!$B$1:$CL$1,0)),"")</f>
        <v/>
      </c>
      <c r="E811" s="5" t="str">
        <f>IFERROR(INDEX('Master data'!$B$2:$CL$1000,MATCH($B811,'Master data'!$A$2:$A$1000,0),MATCH(E$1,'Master data'!$B$1:$CL$1,0)),"")</f>
        <v/>
      </c>
      <c r="F811" s="7" t="str">
        <f>IFERROR(INDEX('Master data'!$B$2:$CL$1000,MATCH($B811,'Master data'!$A$2:$A$1000,0),MATCH(F$1,'Master data'!$B$1:$CL$1,0)),"")</f>
        <v/>
      </c>
      <c r="G811" s="7" t="str">
        <f>IFERROR(INDEX('Master data'!$B$2:$CL$1000,MATCH($B811,'Master data'!$A$2:$A$1000,0),MATCH(G$1,'Master data'!$B$1:$CL$1,0)),"")</f>
        <v/>
      </c>
      <c r="H811" s="7" t="str">
        <f>IFERROR(INDEX('Master data'!$B$2:$CL$1000,MATCH($B811,'Master data'!$A$2:$A$1000,0),MATCH(H$1,'Master data'!$B$1:$CL$1,0)),"")</f>
        <v/>
      </c>
      <c r="I811" s="7" t="str">
        <f>IFERROR(INDEX('Master data'!$B$2:$CL$1000,MATCH($B811,'Master data'!$A$2:$A$1000,0),MATCH(I$1,'Master data'!$B$1:$CL$1,0)),"")</f>
        <v/>
      </c>
      <c r="J811" s="7" t="str">
        <f>IFERROR(INDEX('Master data'!$B$2:$CL$1000,MATCH($B811,'Master data'!$A$2:$A$1000,0),MATCH(J$1,'Master data'!$B$1:$CL$1,0)),"")</f>
        <v/>
      </c>
      <c r="K811" s="7" t="str">
        <f>IFERROR(INDEX('Master data'!$B$2:$CL$1000,MATCH($B811,'Master data'!$A$2:$A$1000,0),MATCH(K$1,'Master data'!$B$1:$CL$1,0)),"")</f>
        <v/>
      </c>
      <c r="L811" s="7" t="str">
        <f>IFERROR(INDEX('Master data'!$B$2:$CL$1000,MATCH($B811,'Master data'!$A$2:$A$1000,0),MATCH(L$1,'Master data'!$B$1:$CL$1,0)),"")</f>
        <v/>
      </c>
      <c r="M811" s="5" t="str">
        <f>IFERROR(INDEX('Master data'!$B$2:$CL$1000,MATCH($B811,'Master data'!$A$2:$A$1000,0),MATCH(M$1,'Master data'!$B$1:$CL$1,0)),"")</f>
        <v/>
      </c>
      <c r="N811" s="28" t="str">
        <f>IFERROR(INDEX('Master data'!$B$2:$CL$1000,MATCH($B811,'Master data'!$A$2:$A$1000,0),MATCH(N$1,'Master data'!$B$1:$CL$1,0)),"")</f>
        <v/>
      </c>
      <c r="O811" s="7" t="str">
        <f>IFERROR(INDEX('Master data'!$B$2:$CL$1000,MATCH($B811,'Master data'!$A$2:$A$1000,0),MATCH(O$1,'Master data'!$B$1:$CL$1,0)),"")</f>
        <v/>
      </c>
      <c r="P811" s="5" t="str">
        <f>IFERROR(INDEX('Master data'!$B$2:$CL$1000,MATCH($B811,'Master data'!$A$2:$A$1000,0),MATCH(P$1,'Master data'!$B$1:$CL$1,0)),"")</f>
        <v/>
      </c>
      <c r="Q811" s="5" t="str">
        <f>IFERROR(INDEX('Master data'!$B$2:$CL$1000,MATCH($B811,'Master data'!$A$2:$A$1000,0),MATCH(Q$1,'Master data'!$B$1:$CL$1,0)),"")</f>
        <v/>
      </c>
    </row>
    <row r="812" spans="1:17" hidden="1">
      <c r="A812" t="str">
        <f t="shared" si="12"/>
        <v/>
      </c>
      <c r="B812" t="str">
        <f>IF('Master data'!A812="","",'Master data'!A812)</f>
        <v/>
      </c>
      <c r="C812" t="str">
        <f>IFERROR(INDEX('Master data'!$B$2:$CL$1000,MATCH($B812,'Master data'!$A$2:$A$1000,0),MATCH(C$1,'Master data'!$B$1:$CL$1,0)),"")</f>
        <v/>
      </c>
      <c r="D812" t="str">
        <f>IFERROR(INDEX('Master data'!$B$2:$CL$1000,MATCH($B812,'Master data'!$A$2:$A$1000,0),MATCH(D$1,'Master data'!$B$1:$CL$1,0)),"")</f>
        <v/>
      </c>
      <c r="E812" s="5" t="str">
        <f>IFERROR(INDEX('Master data'!$B$2:$CL$1000,MATCH($B812,'Master data'!$A$2:$A$1000,0),MATCH(E$1,'Master data'!$B$1:$CL$1,0)),"")</f>
        <v/>
      </c>
      <c r="F812" s="7" t="str">
        <f>IFERROR(INDEX('Master data'!$B$2:$CL$1000,MATCH($B812,'Master data'!$A$2:$A$1000,0),MATCH(F$1,'Master data'!$B$1:$CL$1,0)),"")</f>
        <v/>
      </c>
      <c r="G812" s="7" t="str">
        <f>IFERROR(INDEX('Master data'!$B$2:$CL$1000,MATCH($B812,'Master data'!$A$2:$A$1000,0),MATCH(G$1,'Master data'!$B$1:$CL$1,0)),"")</f>
        <v/>
      </c>
      <c r="H812" s="7" t="str">
        <f>IFERROR(INDEX('Master data'!$B$2:$CL$1000,MATCH($B812,'Master data'!$A$2:$A$1000,0),MATCH(H$1,'Master data'!$B$1:$CL$1,0)),"")</f>
        <v/>
      </c>
      <c r="I812" s="7" t="str">
        <f>IFERROR(INDEX('Master data'!$B$2:$CL$1000,MATCH($B812,'Master data'!$A$2:$A$1000,0),MATCH(I$1,'Master data'!$B$1:$CL$1,0)),"")</f>
        <v/>
      </c>
      <c r="J812" s="7" t="str">
        <f>IFERROR(INDEX('Master data'!$B$2:$CL$1000,MATCH($B812,'Master data'!$A$2:$A$1000,0),MATCH(J$1,'Master data'!$B$1:$CL$1,0)),"")</f>
        <v/>
      </c>
      <c r="K812" s="7" t="str">
        <f>IFERROR(INDEX('Master data'!$B$2:$CL$1000,MATCH($B812,'Master data'!$A$2:$A$1000,0),MATCH(K$1,'Master data'!$B$1:$CL$1,0)),"")</f>
        <v/>
      </c>
      <c r="L812" s="7" t="str">
        <f>IFERROR(INDEX('Master data'!$B$2:$CL$1000,MATCH($B812,'Master data'!$A$2:$A$1000,0),MATCH(L$1,'Master data'!$B$1:$CL$1,0)),"")</f>
        <v/>
      </c>
      <c r="M812" s="5" t="str">
        <f>IFERROR(INDEX('Master data'!$B$2:$CL$1000,MATCH($B812,'Master data'!$A$2:$A$1000,0),MATCH(M$1,'Master data'!$B$1:$CL$1,0)),"")</f>
        <v/>
      </c>
      <c r="N812" s="28" t="str">
        <f>IFERROR(INDEX('Master data'!$B$2:$CL$1000,MATCH($B812,'Master data'!$A$2:$A$1000,0),MATCH(N$1,'Master data'!$B$1:$CL$1,0)),"")</f>
        <v/>
      </c>
      <c r="O812" s="7" t="str">
        <f>IFERROR(INDEX('Master data'!$B$2:$CL$1000,MATCH($B812,'Master data'!$A$2:$A$1000,0),MATCH(O$1,'Master data'!$B$1:$CL$1,0)),"")</f>
        <v/>
      </c>
      <c r="P812" s="5" t="str">
        <f>IFERROR(INDEX('Master data'!$B$2:$CL$1000,MATCH($B812,'Master data'!$A$2:$A$1000,0),MATCH(P$1,'Master data'!$B$1:$CL$1,0)),"")</f>
        <v/>
      </c>
      <c r="Q812" s="5" t="str">
        <f>IFERROR(INDEX('Master data'!$B$2:$CL$1000,MATCH($B812,'Master data'!$A$2:$A$1000,0),MATCH(Q$1,'Master data'!$B$1:$CL$1,0)),"")</f>
        <v/>
      </c>
    </row>
    <row r="813" spans="1:17" hidden="1">
      <c r="A813" t="str">
        <f t="shared" si="12"/>
        <v/>
      </c>
      <c r="B813" t="str">
        <f>IF('Master data'!A813="","",'Master data'!A813)</f>
        <v/>
      </c>
      <c r="C813" t="str">
        <f>IFERROR(INDEX('Master data'!$B$2:$CL$1000,MATCH($B813,'Master data'!$A$2:$A$1000,0),MATCH(C$1,'Master data'!$B$1:$CL$1,0)),"")</f>
        <v/>
      </c>
      <c r="D813" t="str">
        <f>IFERROR(INDEX('Master data'!$B$2:$CL$1000,MATCH($B813,'Master data'!$A$2:$A$1000,0),MATCH(D$1,'Master data'!$B$1:$CL$1,0)),"")</f>
        <v/>
      </c>
      <c r="E813" s="5" t="str">
        <f>IFERROR(INDEX('Master data'!$B$2:$CL$1000,MATCH($B813,'Master data'!$A$2:$A$1000,0),MATCH(E$1,'Master data'!$B$1:$CL$1,0)),"")</f>
        <v/>
      </c>
      <c r="F813" s="7" t="str">
        <f>IFERROR(INDEX('Master data'!$B$2:$CL$1000,MATCH($B813,'Master data'!$A$2:$A$1000,0),MATCH(F$1,'Master data'!$B$1:$CL$1,0)),"")</f>
        <v/>
      </c>
      <c r="G813" s="7" t="str">
        <f>IFERROR(INDEX('Master data'!$B$2:$CL$1000,MATCH($B813,'Master data'!$A$2:$A$1000,0),MATCH(G$1,'Master data'!$B$1:$CL$1,0)),"")</f>
        <v/>
      </c>
      <c r="H813" s="7" t="str">
        <f>IFERROR(INDEX('Master data'!$B$2:$CL$1000,MATCH($B813,'Master data'!$A$2:$A$1000,0),MATCH(H$1,'Master data'!$B$1:$CL$1,0)),"")</f>
        <v/>
      </c>
      <c r="I813" s="7" t="str">
        <f>IFERROR(INDEX('Master data'!$B$2:$CL$1000,MATCH($B813,'Master data'!$A$2:$A$1000,0),MATCH(I$1,'Master data'!$B$1:$CL$1,0)),"")</f>
        <v/>
      </c>
      <c r="J813" s="7" t="str">
        <f>IFERROR(INDEX('Master data'!$B$2:$CL$1000,MATCH($B813,'Master data'!$A$2:$A$1000,0),MATCH(J$1,'Master data'!$B$1:$CL$1,0)),"")</f>
        <v/>
      </c>
      <c r="K813" s="7" t="str">
        <f>IFERROR(INDEX('Master data'!$B$2:$CL$1000,MATCH($B813,'Master data'!$A$2:$A$1000,0),MATCH(K$1,'Master data'!$B$1:$CL$1,0)),"")</f>
        <v/>
      </c>
      <c r="L813" s="7" t="str">
        <f>IFERROR(INDEX('Master data'!$B$2:$CL$1000,MATCH($B813,'Master data'!$A$2:$A$1000,0),MATCH(L$1,'Master data'!$B$1:$CL$1,0)),"")</f>
        <v/>
      </c>
      <c r="M813" s="5" t="str">
        <f>IFERROR(INDEX('Master data'!$B$2:$CL$1000,MATCH($B813,'Master data'!$A$2:$A$1000,0),MATCH(M$1,'Master data'!$B$1:$CL$1,0)),"")</f>
        <v/>
      </c>
      <c r="N813" s="28" t="str">
        <f>IFERROR(INDEX('Master data'!$B$2:$CL$1000,MATCH($B813,'Master data'!$A$2:$A$1000,0),MATCH(N$1,'Master data'!$B$1:$CL$1,0)),"")</f>
        <v/>
      </c>
      <c r="O813" s="7" t="str">
        <f>IFERROR(INDEX('Master data'!$B$2:$CL$1000,MATCH($B813,'Master data'!$A$2:$A$1000,0),MATCH(O$1,'Master data'!$B$1:$CL$1,0)),"")</f>
        <v/>
      </c>
      <c r="P813" s="5" t="str">
        <f>IFERROR(INDEX('Master data'!$B$2:$CL$1000,MATCH($B813,'Master data'!$A$2:$A$1000,0),MATCH(P$1,'Master data'!$B$1:$CL$1,0)),"")</f>
        <v/>
      </c>
      <c r="Q813" s="5" t="str">
        <f>IFERROR(INDEX('Master data'!$B$2:$CL$1000,MATCH($B813,'Master data'!$A$2:$A$1000,0),MATCH(Q$1,'Master data'!$B$1:$CL$1,0)),"")</f>
        <v/>
      </c>
    </row>
    <row r="814" spans="1:17" hidden="1">
      <c r="A814" t="str">
        <f t="shared" si="12"/>
        <v/>
      </c>
      <c r="B814" t="str">
        <f>IF('Master data'!A814="","",'Master data'!A814)</f>
        <v/>
      </c>
      <c r="C814" t="str">
        <f>IFERROR(INDEX('Master data'!$B$2:$CL$1000,MATCH($B814,'Master data'!$A$2:$A$1000,0),MATCH(C$1,'Master data'!$B$1:$CL$1,0)),"")</f>
        <v/>
      </c>
      <c r="D814" t="str">
        <f>IFERROR(INDEX('Master data'!$B$2:$CL$1000,MATCH($B814,'Master data'!$A$2:$A$1000,0),MATCH(D$1,'Master data'!$B$1:$CL$1,0)),"")</f>
        <v/>
      </c>
      <c r="E814" s="5" t="str">
        <f>IFERROR(INDEX('Master data'!$B$2:$CL$1000,MATCH($B814,'Master data'!$A$2:$A$1000,0),MATCH(E$1,'Master data'!$B$1:$CL$1,0)),"")</f>
        <v/>
      </c>
      <c r="F814" s="7" t="str">
        <f>IFERROR(INDEX('Master data'!$B$2:$CL$1000,MATCH($B814,'Master data'!$A$2:$A$1000,0),MATCH(F$1,'Master data'!$B$1:$CL$1,0)),"")</f>
        <v/>
      </c>
      <c r="G814" s="7" t="str">
        <f>IFERROR(INDEX('Master data'!$B$2:$CL$1000,MATCH($B814,'Master data'!$A$2:$A$1000,0),MATCH(G$1,'Master data'!$B$1:$CL$1,0)),"")</f>
        <v/>
      </c>
      <c r="H814" s="7" t="str">
        <f>IFERROR(INDEX('Master data'!$B$2:$CL$1000,MATCH($B814,'Master data'!$A$2:$A$1000,0),MATCH(H$1,'Master data'!$B$1:$CL$1,0)),"")</f>
        <v/>
      </c>
      <c r="I814" s="7" t="str">
        <f>IFERROR(INDEX('Master data'!$B$2:$CL$1000,MATCH($B814,'Master data'!$A$2:$A$1000,0),MATCH(I$1,'Master data'!$B$1:$CL$1,0)),"")</f>
        <v/>
      </c>
      <c r="J814" s="7" t="str">
        <f>IFERROR(INDEX('Master data'!$B$2:$CL$1000,MATCH($B814,'Master data'!$A$2:$A$1000,0),MATCH(J$1,'Master data'!$B$1:$CL$1,0)),"")</f>
        <v/>
      </c>
      <c r="K814" s="7" t="str">
        <f>IFERROR(INDEX('Master data'!$B$2:$CL$1000,MATCH($B814,'Master data'!$A$2:$A$1000,0),MATCH(K$1,'Master data'!$B$1:$CL$1,0)),"")</f>
        <v/>
      </c>
      <c r="L814" s="7" t="str">
        <f>IFERROR(INDEX('Master data'!$B$2:$CL$1000,MATCH($B814,'Master data'!$A$2:$A$1000,0),MATCH(L$1,'Master data'!$B$1:$CL$1,0)),"")</f>
        <v/>
      </c>
      <c r="M814" s="5" t="str">
        <f>IFERROR(INDEX('Master data'!$B$2:$CL$1000,MATCH($B814,'Master data'!$A$2:$A$1000,0),MATCH(M$1,'Master data'!$B$1:$CL$1,0)),"")</f>
        <v/>
      </c>
      <c r="N814" s="28" t="str">
        <f>IFERROR(INDEX('Master data'!$B$2:$CL$1000,MATCH($B814,'Master data'!$A$2:$A$1000,0),MATCH(N$1,'Master data'!$B$1:$CL$1,0)),"")</f>
        <v/>
      </c>
      <c r="O814" s="7" t="str">
        <f>IFERROR(INDEX('Master data'!$B$2:$CL$1000,MATCH($B814,'Master data'!$A$2:$A$1000,0),MATCH(O$1,'Master data'!$B$1:$CL$1,0)),"")</f>
        <v/>
      </c>
      <c r="P814" s="5" t="str">
        <f>IFERROR(INDEX('Master data'!$B$2:$CL$1000,MATCH($B814,'Master data'!$A$2:$A$1000,0),MATCH(P$1,'Master data'!$B$1:$CL$1,0)),"")</f>
        <v/>
      </c>
      <c r="Q814" s="5" t="str">
        <f>IFERROR(INDEX('Master data'!$B$2:$CL$1000,MATCH($B814,'Master data'!$A$2:$A$1000,0),MATCH(Q$1,'Master data'!$B$1:$CL$1,0)),"")</f>
        <v/>
      </c>
    </row>
    <row r="815" spans="1:17" hidden="1">
      <c r="A815" t="str">
        <f t="shared" si="12"/>
        <v/>
      </c>
      <c r="B815" t="str">
        <f>IF('Master data'!A815="","",'Master data'!A815)</f>
        <v/>
      </c>
      <c r="C815" t="str">
        <f>IFERROR(INDEX('Master data'!$B$2:$CL$1000,MATCH($B815,'Master data'!$A$2:$A$1000,0),MATCH(C$1,'Master data'!$B$1:$CL$1,0)),"")</f>
        <v/>
      </c>
      <c r="D815" t="str">
        <f>IFERROR(INDEX('Master data'!$B$2:$CL$1000,MATCH($B815,'Master data'!$A$2:$A$1000,0),MATCH(D$1,'Master data'!$B$1:$CL$1,0)),"")</f>
        <v/>
      </c>
      <c r="E815" s="5" t="str">
        <f>IFERROR(INDEX('Master data'!$B$2:$CL$1000,MATCH($B815,'Master data'!$A$2:$A$1000,0),MATCH(E$1,'Master data'!$B$1:$CL$1,0)),"")</f>
        <v/>
      </c>
      <c r="F815" s="7" t="str">
        <f>IFERROR(INDEX('Master data'!$B$2:$CL$1000,MATCH($B815,'Master data'!$A$2:$A$1000,0),MATCH(F$1,'Master data'!$B$1:$CL$1,0)),"")</f>
        <v/>
      </c>
      <c r="G815" s="7" t="str">
        <f>IFERROR(INDEX('Master data'!$B$2:$CL$1000,MATCH($B815,'Master data'!$A$2:$A$1000,0),MATCH(G$1,'Master data'!$B$1:$CL$1,0)),"")</f>
        <v/>
      </c>
      <c r="H815" s="7" t="str">
        <f>IFERROR(INDEX('Master data'!$B$2:$CL$1000,MATCH($B815,'Master data'!$A$2:$A$1000,0),MATCH(H$1,'Master data'!$B$1:$CL$1,0)),"")</f>
        <v/>
      </c>
      <c r="I815" s="7" t="str">
        <f>IFERROR(INDEX('Master data'!$B$2:$CL$1000,MATCH($B815,'Master data'!$A$2:$A$1000,0),MATCH(I$1,'Master data'!$B$1:$CL$1,0)),"")</f>
        <v/>
      </c>
      <c r="J815" s="7" t="str">
        <f>IFERROR(INDEX('Master data'!$B$2:$CL$1000,MATCH($B815,'Master data'!$A$2:$A$1000,0),MATCH(J$1,'Master data'!$B$1:$CL$1,0)),"")</f>
        <v/>
      </c>
      <c r="K815" s="7" t="str">
        <f>IFERROR(INDEX('Master data'!$B$2:$CL$1000,MATCH($B815,'Master data'!$A$2:$A$1000,0),MATCH(K$1,'Master data'!$B$1:$CL$1,0)),"")</f>
        <v/>
      </c>
      <c r="L815" s="7" t="str">
        <f>IFERROR(INDEX('Master data'!$B$2:$CL$1000,MATCH($B815,'Master data'!$A$2:$A$1000,0),MATCH(L$1,'Master data'!$B$1:$CL$1,0)),"")</f>
        <v/>
      </c>
      <c r="M815" s="5" t="str">
        <f>IFERROR(INDEX('Master data'!$B$2:$CL$1000,MATCH($B815,'Master data'!$A$2:$A$1000,0),MATCH(M$1,'Master data'!$B$1:$CL$1,0)),"")</f>
        <v/>
      </c>
      <c r="N815" s="28" t="str">
        <f>IFERROR(INDEX('Master data'!$B$2:$CL$1000,MATCH($B815,'Master data'!$A$2:$A$1000,0),MATCH(N$1,'Master data'!$B$1:$CL$1,0)),"")</f>
        <v/>
      </c>
      <c r="O815" s="7" t="str">
        <f>IFERROR(INDEX('Master data'!$B$2:$CL$1000,MATCH($B815,'Master data'!$A$2:$A$1000,0),MATCH(O$1,'Master data'!$B$1:$CL$1,0)),"")</f>
        <v/>
      </c>
      <c r="P815" s="5" t="str">
        <f>IFERROR(INDEX('Master data'!$B$2:$CL$1000,MATCH($B815,'Master data'!$A$2:$A$1000,0),MATCH(P$1,'Master data'!$B$1:$CL$1,0)),"")</f>
        <v/>
      </c>
      <c r="Q815" s="5" t="str">
        <f>IFERROR(INDEX('Master data'!$B$2:$CL$1000,MATCH($B815,'Master data'!$A$2:$A$1000,0),MATCH(Q$1,'Master data'!$B$1:$CL$1,0)),"")</f>
        <v/>
      </c>
    </row>
    <row r="816" spans="1:17" hidden="1">
      <c r="A816" t="str">
        <f t="shared" si="12"/>
        <v/>
      </c>
      <c r="B816" t="str">
        <f>IF('Master data'!A816="","",'Master data'!A816)</f>
        <v/>
      </c>
      <c r="C816" t="str">
        <f>IFERROR(INDEX('Master data'!$B$2:$CL$1000,MATCH($B816,'Master data'!$A$2:$A$1000,0),MATCH(C$1,'Master data'!$B$1:$CL$1,0)),"")</f>
        <v/>
      </c>
      <c r="D816" t="str">
        <f>IFERROR(INDEX('Master data'!$B$2:$CL$1000,MATCH($B816,'Master data'!$A$2:$A$1000,0),MATCH(D$1,'Master data'!$B$1:$CL$1,0)),"")</f>
        <v/>
      </c>
      <c r="E816" s="5" t="str">
        <f>IFERROR(INDEX('Master data'!$B$2:$CL$1000,MATCH($B816,'Master data'!$A$2:$A$1000,0),MATCH(E$1,'Master data'!$B$1:$CL$1,0)),"")</f>
        <v/>
      </c>
      <c r="F816" s="7" t="str">
        <f>IFERROR(INDEX('Master data'!$B$2:$CL$1000,MATCH($B816,'Master data'!$A$2:$A$1000,0),MATCH(F$1,'Master data'!$B$1:$CL$1,0)),"")</f>
        <v/>
      </c>
      <c r="G816" s="7" t="str">
        <f>IFERROR(INDEX('Master data'!$B$2:$CL$1000,MATCH($B816,'Master data'!$A$2:$A$1000,0),MATCH(G$1,'Master data'!$B$1:$CL$1,0)),"")</f>
        <v/>
      </c>
      <c r="H816" s="7" t="str">
        <f>IFERROR(INDEX('Master data'!$B$2:$CL$1000,MATCH($B816,'Master data'!$A$2:$A$1000,0),MATCH(H$1,'Master data'!$B$1:$CL$1,0)),"")</f>
        <v/>
      </c>
      <c r="I816" s="7" t="str">
        <f>IFERROR(INDEX('Master data'!$B$2:$CL$1000,MATCH($B816,'Master data'!$A$2:$A$1000,0),MATCH(I$1,'Master data'!$B$1:$CL$1,0)),"")</f>
        <v/>
      </c>
      <c r="J816" s="7" t="str">
        <f>IFERROR(INDEX('Master data'!$B$2:$CL$1000,MATCH($B816,'Master data'!$A$2:$A$1000,0),MATCH(J$1,'Master data'!$B$1:$CL$1,0)),"")</f>
        <v/>
      </c>
      <c r="K816" s="7" t="str">
        <f>IFERROR(INDEX('Master data'!$B$2:$CL$1000,MATCH($B816,'Master data'!$A$2:$A$1000,0),MATCH(K$1,'Master data'!$B$1:$CL$1,0)),"")</f>
        <v/>
      </c>
      <c r="L816" s="7" t="str">
        <f>IFERROR(INDEX('Master data'!$B$2:$CL$1000,MATCH($B816,'Master data'!$A$2:$A$1000,0),MATCH(L$1,'Master data'!$B$1:$CL$1,0)),"")</f>
        <v/>
      </c>
      <c r="M816" s="5" t="str">
        <f>IFERROR(INDEX('Master data'!$B$2:$CL$1000,MATCH($B816,'Master data'!$A$2:$A$1000,0),MATCH(M$1,'Master data'!$B$1:$CL$1,0)),"")</f>
        <v/>
      </c>
      <c r="N816" s="28" t="str">
        <f>IFERROR(INDEX('Master data'!$B$2:$CL$1000,MATCH($B816,'Master data'!$A$2:$A$1000,0),MATCH(N$1,'Master data'!$B$1:$CL$1,0)),"")</f>
        <v/>
      </c>
      <c r="O816" s="7" t="str">
        <f>IFERROR(INDEX('Master data'!$B$2:$CL$1000,MATCH($B816,'Master data'!$A$2:$A$1000,0),MATCH(O$1,'Master data'!$B$1:$CL$1,0)),"")</f>
        <v/>
      </c>
      <c r="P816" s="5" t="str">
        <f>IFERROR(INDEX('Master data'!$B$2:$CL$1000,MATCH($B816,'Master data'!$A$2:$A$1000,0),MATCH(P$1,'Master data'!$B$1:$CL$1,0)),"")</f>
        <v/>
      </c>
      <c r="Q816" s="5" t="str">
        <f>IFERROR(INDEX('Master data'!$B$2:$CL$1000,MATCH($B816,'Master data'!$A$2:$A$1000,0),MATCH(Q$1,'Master data'!$B$1:$CL$1,0)),"")</f>
        <v/>
      </c>
    </row>
    <row r="817" spans="1:17" hidden="1">
      <c r="A817" t="str">
        <f t="shared" si="12"/>
        <v/>
      </c>
      <c r="B817" t="str">
        <f>IF('Master data'!A817="","",'Master data'!A817)</f>
        <v/>
      </c>
      <c r="C817" t="str">
        <f>IFERROR(INDEX('Master data'!$B$2:$CL$1000,MATCH($B817,'Master data'!$A$2:$A$1000,0),MATCH(C$1,'Master data'!$B$1:$CL$1,0)),"")</f>
        <v/>
      </c>
      <c r="D817" t="str">
        <f>IFERROR(INDEX('Master data'!$B$2:$CL$1000,MATCH($B817,'Master data'!$A$2:$A$1000,0),MATCH(D$1,'Master data'!$B$1:$CL$1,0)),"")</f>
        <v/>
      </c>
      <c r="E817" s="5" t="str">
        <f>IFERROR(INDEX('Master data'!$B$2:$CL$1000,MATCH($B817,'Master data'!$A$2:$A$1000,0),MATCH(E$1,'Master data'!$B$1:$CL$1,0)),"")</f>
        <v/>
      </c>
      <c r="F817" s="7" t="str">
        <f>IFERROR(INDEX('Master data'!$B$2:$CL$1000,MATCH($B817,'Master data'!$A$2:$A$1000,0),MATCH(F$1,'Master data'!$B$1:$CL$1,0)),"")</f>
        <v/>
      </c>
      <c r="G817" s="7" t="str">
        <f>IFERROR(INDEX('Master data'!$B$2:$CL$1000,MATCH($B817,'Master data'!$A$2:$A$1000,0),MATCH(G$1,'Master data'!$B$1:$CL$1,0)),"")</f>
        <v/>
      </c>
      <c r="H817" s="7" t="str">
        <f>IFERROR(INDEX('Master data'!$B$2:$CL$1000,MATCH($B817,'Master data'!$A$2:$A$1000,0),MATCH(H$1,'Master data'!$B$1:$CL$1,0)),"")</f>
        <v/>
      </c>
      <c r="I817" s="7" t="str">
        <f>IFERROR(INDEX('Master data'!$B$2:$CL$1000,MATCH($B817,'Master data'!$A$2:$A$1000,0),MATCH(I$1,'Master data'!$B$1:$CL$1,0)),"")</f>
        <v/>
      </c>
      <c r="J817" s="7" t="str">
        <f>IFERROR(INDEX('Master data'!$B$2:$CL$1000,MATCH($B817,'Master data'!$A$2:$A$1000,0),MATCH(J$1,'Master data'!$B$1:$CL$1,0)),"")</f>
        <v/>
      </c>
      <c r="K817" s="7" t="str">
        <f>IFERROR(INDEX('Master data'!$B$2:$CL$1000,MATCH($B817,'Master data'!$A$2:$A$1000,0),MATCH(K$1,'Master data'!$B$1:$CL$1,0)),"")</f>
        <v/>
      </c>
      <c r="L817" s="7" t="str">
        <f>IFERROR(INDEX('Master data'!$B$2:$CL$1000,MATCH($B817,'Master data'!$A$2:$A$1000,0),MATCH(L$1,'Master data'!$B$1:$CL$1,0)),"")</f>
        <v/>
      </c>
      <c r="M817" s="5" t="str">
        <f>IFERROR(INDEX('Master data'!$B$2:$CL$1000,MATCH($B817,'Master data'!$A$2:$A$1000,0),MATCH(M$1,'Master data'!$B$1:$CL$1,0)),"")</f>
        <v/>
      </c>
      <c r="N817" s="28" t="str">
        <f>IFERROR(INDEX('Master data'!$B$2:$CL$1000,MATCH($B817,'Master data'!$A$2:$A$1000,0),MATCH(N$1,'Master data'!$B$1:$CL$1,0)),"")</f>
        <v/>
      </c>
      <c r="O817" s="7" t="str">
        <f>IFERROR(INDEX('Master data'!$B$2:$CL$1000,MATCH($B817,'Master data'!$A$2:$A$1000,0),MATCH(O$1,'Master data'!$B$1:$CL$1,0)),"")</f>
        <v/>
      </c>
      <c r="P817" s="5" t="str">
        <f>IFERROR(INDEX('Master data'!$B$2:$CL$1000,MATCH($B817,'Master data'!$A$2:$A$1000,0),MATCH(P$1,'Master data'!$B$1:$CL$1,0)),"")</f>
        <v/>
      </c>
      <c r="Q817" s="5" t="str">
        <f>IFERROR(INDEX('Master data'!$B$2:$CL$1000,MATCH($B817,'Master data'!$A$2:$A$1000,0),MATCH(Q$1,'Master data'!$B$1:$CL$1,0)),"")</f>
        <v/>
      </c>
    </row>
    <row r="818" spans="1:17" hidden="1">
      <c r="A818" t="str">
        <f t="shared" si="12"/>
        <v/>
      </c>
      <c r="B818" t="str">
        <f>IF('Master data'!A818="","",'Master data'!A818)</f>
        <v/>
      </c>
      <c r="C818" t="str">
        <f>IFERROR(INDEX('Master data'!$B$2:$CL$1000,MATCH($B818,'Master data'!$A$2:$A$1000,0),MATCH(C$1,'Master data'!$B$1:$CL$1,0)),"")</f>
        <v/>
      </c>
      <c r="D818" t="str">
        <f>IFERROR(INDEX('Master data'!$B$2:$CL$1000,MATCH($B818,'Master data'!$A$2:$A$1000,0),MATCH(D$1,'Master data'!$B$1:$CL$1,0)),"")</f>
        <v/>
      </c>
      <c r="E818" s="5" t="str">
        <f>IFERROR(INDEX('Master data'!$B$2:$CL$1000,MATCH($B818,'Master data'!$A$2:$A$1000,0),MATCH(E$1,'Master data'!$B$1:$CL$1,0)),"")</f>
        <v/>
      </c>
      <c r="F818" s="7" t="str">
        <f>IFERROR(INDEX('Master data'!$B$2:$CL$1000,MATCH($B818,'Master data'!$A$2:$A$1000,0),MATCH(F$1,'Master data'!$B$1:$CL$1,0)),"")</f>
        <v/>
      </c>
      <c r="G818" s="7" t="str">
        <f>IFERROR(INDEX('Master data'!$B$2:$CL$1000,MATCH($B818,'Master data'!$A$2:$A$1000,0),MATCH(G$1,'Master data'!$B$1:$CL$1,0)),"")</f>
        <v/>
      </c>
      <c r="H818" s="7" t="str">
        <f>IFERROR(INDEX('Master data'!$B$2:$CL$1000,MATCH($B818,'Master data'!$A$2:$A$1000,0),MATCH(H$1,'Master data'!$B$1:$CL$1,0)),"")</f>
        <v/>
      </c>
      <c r="I818" s="7" t="str">
        <f>IFERROR(INDEX('Master data'!$B$2:$CL$1000,MATCH($B818,'Master data'!$A$2:$A$1000,0),MATCH(I$1,'Master data'!$B$1:$CL$1,0)),"")</f>
        <v/>
      </c>
      <c r="J818" s="7" t="str">
        <f>IFERROR(INDEX('Master data'!$B$2:$CL$1000,MATCH($B818,'Master data'!$A$2:$A$1000,0),MATCH(J$1,'Master data'!$B$1:$CL$1,0)),"")</f>
        <v/>
      </c>
      <c r="K818" s="7" t="str">
        <f>IFERROR(INDEX('Master data'!$B$2:$CL$1000,MATCH($B818,'Master data'!$A$2:$A$1000,0),MATCH(K$1,'Master data'!$B$1:$CL$1,0)),"")</f>
        <v/>
      </c>
      <c r="L818" s="7" t="str">
        <f>IFERROR(INDEX('Master data'!$B$2:$CL$1000,MATCH($B818,'Master data'!$A$2:$A$1000,0),MATCH(L$1,'Master data'!$B$1:$CL$1,0)),"")</f>
        <v/>
      </c>
      <c r="M818" s="5" t="str">
        <f>IFERROR(INDEX('Master data'!$B$2:$CL$1000,MATCH($B818,'Master data'!$A$2:$A$1000,0),MATCH(M$1,'Master data'!$B$1:$CL$1,0)),"")</f>
        <v/>
      </c>
      <c r="N818" s="28" t="str">
        <f>IFERROR(INDEX('Master data'!$B$2:$CL$1000,MATCH($B818,'Master data'!$A$2:$A$1000,0),MATCH(N$1,'Master data'!$B$1:$CL$1,0)),"")</f>
        <v/>
      </c>
      <c r="O818" s="7" t="str">
        <f>IFERROR(INDEX('Master data'!$B$2:$CL$1000,MATCH($B818,'Master data'!$A$2:$A$1000,0),MATCH(O$1,'Master data'!$B$1:$CL$1,0)),"")</f>
        <v/>
      </c>
      <c r="P818" s="5" t="str">
        <f>IFERROR(INDEX('Master data'!$B$2:$CL$1000,MATCH($B818,'Master data'!$A$2:$A$1000,0),MATCH(P$1,'Master data'!$B$1:$CL$1,0)),"")</f>
        <v/>
      </c>
      <c r="Q818" s="5" t="str">
        <f>IFERROR(INDEX('Master data'!$B$2:$CL$1000,MATCH($B818,'Master data'!$A$2:$A$1000,0),MATCH(Q$1,'Master data'!$B$1:$CL$1,0)),"")</f>
        <v/>
      </c>
    </row>
    <row r="819" spans="1:17" hidden="1">
      <c r="A819" t="str">
        <f t="shared" si="12"/>
        <v/>
      </c>
      <c r="B819" t="str">
        <f>IF('Master data'!A819="","",'Master data'!A819)</f>
        <v/>
      </c>
      <c r="C819" t="str">
        <f>IFERROR(INDEX('Master data'!$B$2:$CL$1000,MATCH($B819,'Master data'!$A$2:$A$1000,0),MATCH(C$1,'Master data'!$B$1:$CL$1,0)),"")</f>
        <v/>
      </c>
      <c r="D819" t="str">
        <f>IFERROR(INDEX('Master data'!$B$2:$CL$1000,MATCH($B819,'Master data'!$A$2:$A$1000,0),MATCH(D$1,'Master data'!$B$1:$CL$1,0)),"")</f>
        <v/>
      </c>
      <c r="E819" s="5" t="str">
        <f>IFERROR(INDEX('Master data'!$B$2:$CL$1000,MATCH($B819,'Master data'!$A$2:$A$1000,0),MATCH(E$1,'Master data'!$B$1:$CL$1,0)),"")</f>
        <v/>
      </c>
      <c r="F819" s="7" t="str">
        <f>IFERROR(INDEX('Master data'!$B$2:$CL$1000,MATCH($B819,'Master data'!$A$2:$A$1000,0),MATCH(F$1,'Master data'!$B$1:$CL$1,0)),"")</f>
        <v/>
      </c>
      <c r="G819" s="7" t="str">
        <f>IFERROR(INDEX('Master data'!$B$2:$CL$1000,MATCH($B819,'Master data'!$A$2:$A$1000,0),MATCH(G$1,'Master data'!$B$1:$CL$1,0)),"")</f>
        <v/>
      </c>
      <c r="H819" s="7" t="str">
        <f>IFERROR(INDEX('Master data'!$B$2:$CL$1000,MATCH($B819,'Master data'!$A$2:$A$1000,0),MATCH(H$1,'Master data'!$B$1:$CL$1,0)),"")</f>
        <v/>
      </c>
      <c r="I819" s="7" t="str">
        <f>IFERROR(INDEX('Master data'!$B$2:$CL$1000,MATCH($B819,'Master data'!$A$2:$A$1000,0),MATCH(I$1,'Master data'!$B$1:$CL$1,0)),"")</f>
        <v/>
      </c>
      <c r="J819" s="7" t="str">
        <f>IFERROR(INDEX('Master data'!$B$2:$CL$1000,MATCH($B819,'Master data'!$A$2:$A$1000,0),MATCH(J$1,'Master data'!$B$1:$CL$1,0)),"")</f>
        <v/>
      </c>
      <c r="K819" s="7" t="str">
        <f>IFERROR(INDEX('Master data'!$B$2:$CL$1000,MATCH($B819,'Master data'!$A$2:$A$1000,0),MATCH(K$1,'Master data'!$B$1:$CL$1,0)),"")</f>
        <v/>
      </c>
      <c r="L819" s="7" t="str">
        <f>IFERROR(INDEX('Master data'!$B$2:$CL$1000,MATCH($B819,'Master data'!$A$2:$A$1000,0),MATCH(L$1,'Master data'!$B$1:$CL$1,0)),"")</f>
        <v/>
      </c>
      <c r="M819" s="5" t="str">
        <f>IFERROR(INDEX('Master data'!$B$2:$CL$1000,MATCH($B819,'Master data'!$A$2:$A$1000,0),MATCH(M$1,'Master data'!$B$1:$CL$1,0)),"")</f>
        <v/>
      </c>
      <c r="N819" s="28" t="str">
        <f>IFERROR(INDEX('Master data'!$B$2:$CL$1000,MATCH($B819,'Master data'!$A$2:$A$1000,0),MATCH(N$1,'Master data'!$B$1:$CL$1,0)),"")</f>
        <v/>
      </c>
      <c r="O819" s="7" t="str">
        <f>IFERROR(INDEX('Master data'!$B$2:$CL$1000,MATCH($B819,'Master data'!$A$2:$A$1000,0),MATCH(O$1,'Master data'!$B$1:$CL$1,0)),"")</f>
        <v/>
      </c>
      <c r="P819" s="5" t="str">
        <f>IFERROR(INDEX('Master data'!$B$2:$CL$1000,MATCH($B819,'Master data'!$A$2:$A$1000,0),MATCH(P$1,'Master data'!$B$1:$CL$1,0)),"")</f>
        <v/>
      </c>
      <c r="Q819" s="5" t="str">
        <f>IFERROR(INDEX('Master data'!$B$2:$CL$1000,MATCH($B819,'Master data'!$A$2:$A$1000,0),MATCH(Q$1,'Master data'!$B$1:$CL$1,0)),"")</f>
        <v/>
      </c>
    </row>
    <row r="820" spans="1:17" hidden="1">
      <c r="A820" t="str">
        <f t="shared" si="12"/>
        <v/>
      </c>
      <c r="B820" t="str">
        <f>IF('Master data'!A820="","",'Master data'!A820)</f>
        <v/>
      </c>
      <c r="C820" t="str">
        <f>IFERROR(INDEX('Master data'!$B$2:$CL$1000,MATCH($B820,'Master data'!$A$2:$A$1000,0),MATCH(C$1,'Master data'!$B$1:$CL$1,0)),"")</f>
        <v/>
      </c>
      <c r="D820" t="str">
        <f>IFERROR(INDEX('Master data'!$B$2:$CL$1000,MATCH($B820,'Master data'!$A$2:$A$1000,0),MATCH(D$1,'Master data'!$B$1:$CL$1,0)),"")</f>
        <v/>
      </c>
      <c r="E820" s="5" t="str">
        <f>IFERROR(INDEX('Master data'!$B$2:$CL$1000,MATCH($B820,'Master data'!$A$2:$A$1000,0),MATCH(E$1,'Master data'!$B$1:$CL$1,0)),"")</f>
        <v/>
      </c>
      <c r="F820" s="7" t="str">
        <f>IFERROR(INDEX('Master data'!$B$2:$CL$1000,MATCH($B820,'Master data'!$A$2:$A$1000,0),MATCH(F$1,'Master data'!$B$1:$CL$1,0)),"")</f>
        <v/>
      </c>
      <c r="G820" s="7" t="str">
        <f>IFERROR(INDEX('Master data'!$B$2:$CL$1000,MATCH($B820,'Master data'!$A$2:$A$1000,0),MATCH(G$1,'Master data'!$B$1:$CL$1,0)),"")</f>
        <v/>
      </c>
      <c r="H820" s="7" t="str">
        <f>IFERROR(INDEX('Master data'!$B$2:$CL$1000,MATCH($B820,'Master data'!$A$2:$A$1000,0),MATCH(H$1,'Master data'!$B$1:$CL$1,0)),"")</f>
        <v/>
      </c>
      <c r="I820" s="7" t="str">
        <f>IFERROR(INDEX('Master data'!$B$2:$CL$1000,MATCH($B820,'Master data'!$A$2:$A$1000,0),MATCH(I$1,'Master data'!$B$1:$CL$1,0)),"")</f>
        <v/>
      </c>
      <c r="J820" s="7" t="str">
        <f>IFERROR(INDEX('Master data'!$B$2:$CL$1000,MATCH($B820,'Master data'!$A$2:$A$1000,0),MATCH(J$1,'Master data'!$B$1:$CL$1,0)),"")</f>
        <v/>
      </c>
      <c r="K820" s="7" t="str">
        <f>IFERROR(INDEX('Master data'!$B$2:$CL$1000,MATCH($B820,'Master data'!$A$2:$A$1000,0),MATCH(K$1,'Master data'!$B$1:$CL$1,0)),"")</f>
        <v/>
      </c>
      <c r="L820" s="7" t="str">
        <f>IFERROR(INDEX('Master data'!$B$2:$CL$1000,MATCH($B820,'Master data'!$A$2:$A$1000,0),MATCH(L$1,'Master data'!$B$1:$CL$1,0)),"")</f>
        <v/>
      </c>
      <c r="M820" s="5" t="str">
        <f>IFERROR(INDEX('Master data'!$B$2:$CL$1000,MATCH($B820,'Master data'!$A$2:$A$1000,0),MATCH(M$1,'Master data'!$B$1:$CL$1,0)),"")</f>
        <v/>
      </c>
      <c r="N820" s="28" t="str">
        <f>IFERROR(INDEX('Master data'!$B$2:$CL$1000,MATCH($B820,'Master data'!$A$2:$A$1000,0),MATCH(N$1,'Master data'!$B$1:$CL$1,0)),"")</f>
        <v/>
      </c>
      <c r="O820" s="7" t="str">
        <f>IFERROR(INDEX('Master data'!$B$2:$CL$1000,MATCH($B820,'Master data'!$A$2:$A$1000,0),MATCH(O$1,'Master data'!$B$1:$CL$1,0)),"")</f>
        <v/>
      </c>
      <c r="P820" s="5" t="str">
        <f>IFERROR(INDEX('Master data'!$B$2:$CL$1000,MATCH($B820,'Master data'!$A$2:$A$1000,0),MATCH(P$1,'Master data'!$B$1:$CL$1,0)),"")</f>
        <v/>
      </c>
      <c r="Q820" s="5" t="str">
        <f>IFERROR(INDEX('Master data'!$B$2:$CL$1000,MATCH($B820,'Master data'!$A$2:$A$1000,0),MATCH(Q$1,'Master data'!$B$1:$CL$1,0)),"")</f>
        <v/>
      </c>
    </row>
    <row r="821" spans="1:17" hidden="1">
      <c r="A821" t="str">
        <f t="shared" si="12"/>
        <v/>
      </c>
      <c r="B821" t="str">
        <f>IF('Master data'!A821="","",'Master data'!A821)</f>
        <v/>
      </c>
      <c r="C821" t="str">
        <f>IFERROR(INDEX('Master data'!$B$2:$CL$1000,MATCH($B821,'Master data'!$A$2:$A$1000,0),MATCH(C$1,'Master data'!$B$1:$CL$1,0)),"")</f>
        <v/>
      </c>
      <c r="D821" t="str">
        <f>IFERROR(INDEX('Master data'!$B$2:$CL$1000,MATCH($B821,'Master data'!$A$2:$A$1000,0),MATCH(D$1,'Master data'!$B$1:$CL$1,0)),"")</f>
        <v/>
      </c>
      <c r="E821" s="5" t="str">
        <f>IFERROR(INDEX('Master data'!$B$2:$CL$1000,MATCH($B821,'Master data'!$A$2:$A$1000,0),MATCH(E$1,'Master data'!$B$1:$CL$1,0)),"")</f>
        <v/>
      </c>
      <c r="F821" s="7" t="str">
        <f>IFERROR(INDEX('Master data'!$B$2:$CL$1000,MATCH($B821,'Master data'!$A$2:$A$1000,0),MATCH(F$1,'Master data'!$B$1:$CL$1,0)),"")</f>
        <v/>
      </c>
      <c r="G821" s="7" t="str">
        <f>IFERROR(INDEX('Master data'!$B$2:$CL$1000,MATCH($B821,'Master data'!$A$2:$A$1000,0),MATCH(G$1,'Master data'!$B$1:$CL$1,0)),"")</f>
        <v/>
      </c>
      <c r="H821" s="7" t="str">
        <f>IFERROR(INDEX('Master data'!$B$2:$CL$1000,MATCH($B821,'Master data'!$A$2:$A$1000,0),MATCH(H$1,'Master data'!$B$1:$CL$1,0)),"")</f>
        <v/>
      </c>
      <c r="I821" s="7" t="str">
        <f>IFERROR(INDEX('Master data'!$B$2:$CL$1000,MATCH($B821,'Master data'!$A$2:$A$1000,0),MATCH(I$1,'Master data'!$B$1:$CL$1,0)),"")</f>
        <v/>
      </c>
      <c r="J821" s="7" t="str">
        <f>IFERROR(INDEX('Master data'!$B$2:$CL$1000,MATCH($B821,'Master data'!$A$2:$A$1000,0),MATCH(J$1,'Master data'!$B$1:$CL$1,0)),"")</f>
        <v/>
      </c>
      <c r="K821" s="7" t="str">
        <f>IFERROR(INDEX('Master data'!$B$2:$CL$1000,MATCH($B821,'Master data'!$A$2:$A$1000,0),MATCH(K$1,'Master data'!$B$1:$CL$1,0)),"")</f>
        <v/>
      </c>
      <c r="L821" s="7" t="str">
        <f>IFERROR(INDEX('Master data'!$B$2:$CL$1000,MATCH($B821,'Master data'!$A$2:$A$1000,0),MATCH(L$1,'Master data'!$B$1:$CL$1,0)),"")</f>
        <v/>
      </c>
      <c r="M821" s="5" t="str">
        <f>IFERROR(INDEX('Master data'!$B$2:$CL$1000,MATCH($B821,'Master data'!$A$2:$A$1000,0),MATCH(M$1,'Master data'!$B$1:$CL$1,0)),"")</f>
        <v/>
      </c>
      <c r="N821" s="28" t="str">
        <f>IFERROR(INDEX('Master data'!$B$2:$CL$1000,MATCH($B821,'Master data'!$A$2:$A$1000,0),MATCH(N$1,'Master data'!$B$1:$CL$1,0)),"")</f>
        <v/>
      </c>
      <c r="O821" s="7" t="str">
        <f>IFERROR(INDEX('Master data'!$B$2:$CL$1000,MATCH($B821,'Master data'!$A$2:$A$1000,0),MATCH(O$1,'Master data'!$B$1:$CL$1,0)),"")</f>
        <v/>
      </c>
      <c r="P821" s="5" t="str">
        <f>IFERROR(INDEX('Master data'!$B$2:$CL$1000,MATCH($B821,'Master data'!$A$2:$A$1000,0),MATCH(P$1,'Master data'!$B$1:$CL$1,0)),"")</f>
        <v/>
      </c>
      <c r="Q821" s="5" t="str">
        <f>IFERROR(INDEX('Master data'!$B$2:$CL$1000,MATCH($B821,'Master data'!$A$2:$A$1000,0),MATCH(Q$1,'Master data'!$B$1:$CL$1,0)),"")</f>
        <v/>
      </c>
    </row>
    <row r="822" spans="1:17" hidden="1">
      <c r="A822" t="str">
        <f t="shared" si="12"/>
        <v/>
      </c>
      <c r="B822" t="str">
        <f>IF('Master data'!A822="","",'Master data'!A822)</f>
        <v/>
      </c>
      <c r="C822" t="str">
        <f>IFERROR(INDEX('Master data'!$B$2:$CL$1000,MATCH($B822,'Master data'!$A$2:$A$1000,0),MATCH(C$1,'Master data'!$B$1:$CL$1,0)),"")</f>
        <v/>
      </c>
      <c r="D822" t="str">
        <f>IFERROR(INDEX('Master data'!$B$2:$CL$1000,MATCH($B822,'Master data'!$A$2:$A$1000,0),MATCH(D$1,'Master data'!$B$1:$CL$1,0)),"")</f>
        <v/>
      </c>
      <c r="E822" s="5" t="str">
        <f>IFERROR(INDEX('Master data'!$B$2:$CL$1000,MATCH($B822,'Master data'!$A$2:$A$1000,0),MATCH(E$1,'Master data'!$B$1:$CL$1,0)),"")</f>
        <v/>
      </c>
      <c r="F822" s="7" t="str">
        <f>IFERROR(INDEX('Master data'!$B$2:$CL$1000,MATCH($B822,'Master data'!$A$2:$A$1000,0),MATCH(F$1,'Master data'!$B$1:$CL$1,0)),"")</f>
        <v/>
      </c>
      <c r="G822" s="7" t="str">
        <f>IFERROR(INDEX('Master data'!$B$2:$CL$1000,MATCH($B822,'Master data'!$A$2:$A$1000,0),MATCH(G$1,'Master data'!$B$1:$CL$1,0)),"")</f>
        <v/>
      </c>
      <c r="H822" s="7" t="str">
        <f>IFERROR(INDEX('Master data'!$B$2:$CL$1000,MATCH($B822,'Master data'!$A$2:$A$1000,0),MATCH(H$1,'Master data'!$B$1:$CL$1,0)),"")</f>
        <v/>
      </c>
      <c r="I822" s="7" t="str">
        <f>IFERROR(INDEX('Master data'!$B$2:$CL$1000,MATCH($B822,'Master data'!$A$2:$A$1000,0),MATCH(I$1,'Master data'!$B$1:$CL$1,0)),"")</f>
        <v/>
      </c>
      <c r="J822" s="7" t="str">
        <f>IFERROR(INDEX('Master data'!$B$2:$CL$1000,MATCH($B822,'Master data'!$A$2:$A$1000,0),MATCH(J$1,'Master data'!$B$1:$CL$1,0)),"")</f>
        <v/>
      </c>
      <c r="K822" s="7" t="str">
        <f>IFERROR(INDEX('Master data'!$B$2:$CL$1000,MATCH($B822,'Master data'!$A$2:$A$1000,0),MATCH(K$1,'Master data'!$B$1:$CL$1,0)),"")</f>
        <v/>
      </c>
      <c r="L822" s="7" t="str">
        <f>IFERROR(INDEX('Master data'!$B$2:$CL$1000,MATCH($B822,'Master data'!$A$2:$A$1000,0),MATCH(L$1,'Master data'!$B$1:$CL$1,0)),"")</f>
        <v/>
      </c>
      <c r="M822" s="5" t="str">
        <f>IFERROR(INDEX('Master data'!$B$2:$CL$1000,MATCH($B822,'Master data'!$A$2:$A$1000,0),MATCH(M$1,'Master data'!$B$1:$CL$1,0)),"")</f>
        <v/>
      </c>
      <c r="N822" s="28" t="str">
        <f>IFERROR(INDEX('Master data'!$B$2:$CL$1000,MATCH($B822,'Master data'!$A$2:$A$1000,0),MATCH(N$1,'Master data'!$B$1:$CL$1,0)),"")</f>
        <v/>
      </c>
      <c r="O822" s="7" t="str">
        <f>IFERROR(INDEX('Master data'!$B$2:$CL$1000,MATCH($B822,'Master data'!$A$2:$A$1000,0),MATCH(O$1,'Master data'!$B$1:$CL$1,0)),"")</f>
        <v/>
      </c>
      <c r="P822" s="5" t="str">
        <f>IFERROR(INDEX('Master data'!$B$2:$CL$1000,MATCH($B822,'Master data'!$A$2:$A$1000,0),MATCH(P$1,'Master data'!$B$1:$CL$1,0)),"")</f>
        <v/>
      </c>
      <c r="Q822" s="5" t="str">
        <f>IFERROR(INDEX('Master data'!$B$2:$CL$1000,MATCH($B822,'Master data'!$A$2:$A$1000,0),MATCH(Q$1,'Master data'!$B$1:$CL$1,0)),"")</f>
        <v/>
      </c>
    </row>
    <row r="823" spans="1:17" hidden="1">
      <c r="A823" t="str">
        <f t="shared" si="12"/>
        <v/>
      </c>
      <c r="B823" t="str">
        <f>IF('Master data'!A823="","",'Master data'!A823)</f>
        <v/>
      </c>
      <c r="C823" t="str">
        <f>IFERROR(INDEX('Master data'!$B$2:$CL$1000,MATCH($B823,'Master data'!$A$2:$A$1000,0),MATCH(C$1,'Master data'!$B$1:$CL$1,0)),"")</f>
        <v/>
      </c>
      <c r="D823" t="str">
        <f>IFERROR(INDEX('Master data'!$B$2:$CL$1000,MATCH($B823,'Master data'!$A$2:$A$1000,0),MATCH(D$1,'Master data'!$B$1:$CL$1,0)),"")</f>
        <v/>
      </c>
      <c r="E823" s="5" t="str">
        <f>IFERROR(INDEX('Master data'!$B$2:$CL$1000,MATCH($B823,'Master data'!$A$2:$A$1000,0),MATCH(E$1,'Master data'!$B$1:$CL$1,0)),"")</f>
        <v/>
      </c>
      <c r="F823" s="7" t="str">
        <f>IFERROR(INDEX('Master data'!$B$2:$CL$1000,MATCH($B823,'Master data'!$A$2:$A$1000,0),MATCH(F$1,'Master data'!$B$1:$CL$1,0)),"")</f>
        <v/>
      </c>
      <c r="G823" s="7" t="str">
        <f>IFERROR(INDEX('Master data'!$B$2:$CL$1000,MATCH($B823,'Master data'!$A$2:$A$1000,0),MATCH(G$1,'Master data'!$B$1:$CL$1,0)),"")</f>
        <v/>
      </c>
      <c r="H823" s="7" t="str">
        <f>IFERROR(INDEX('Master data'!$B$2:$CL$1000,MATCH($B823,'Master data'!$A$2:$A$1000,0),MATCH(H$1,'Master data'!$B$1:$CL$1,0)),"")</f>
        <v/>
      </c>
      <c r="I823" s="7" t="str">
        <f>IFERROR(INDEX('Master data'!$B$2:$CL$1000,MATCH($B823,'Master data'!$A$2:$A$1000,0),MATCH(I$1,'Master data'!$B$1:$CL$1,0)),"")</f>
        <v/>
      </c>
      <c r="J823" s="7" t="str">
        <f>IFERROR(INDEX('Master data'!$B$2:$CL$1000,MATCH($B823,'Master data'!$A$2:$A$1000,0),MATCH(J$1,'Master data'!$B$1:$CL$1,0)),"")</f>
        <v/>
      </c>
      <c r="K823" s="7" t="str">
        <f>IFERROR(INDEX('Master data'!$B$2:$CL$1000,MATCH($B823,'Master data'!$A$2:$A$1000,0),MATCH(K$1,'Master data'!$B$1:$CL$1,0)),"")</f>
        <v/>
      </c>
      <c r="L823" s="7" t="str">
        <f>IFERROR(INDEX('Master data'!$B$2:$CL$1000,MATCH($B823,'Master data'!$A$2:$A$1000,0),MATCH(L$1,'Master data'!$B$1:$CL$1,0)),"")</f>
        <v/>
      </c>
      <c r="M823" s="5" t="str">
        <f>IFERROR(INDEX('Master data'!$B$2:$CL$1000,MATCH($B823,'Master data'!$A$2:$A$1000,0),MATCH(M$1,'Master data'!$B$1:$CL$1,0)),"")</f>
        <v/>
      </c>
      <c r="N823" s="28" t="str">
        <f>IFERROR(INDEX('Master data'!$B$2:$CL$1000,MATCH($B823,'Master data'!$A$2:$A$1000,0),MATCH(N$1,'Master data'!$B$1:$CL$1,0)),"")</f>
        <v/>
      </c>
      <c r="O823" s="7" t="str">
        <f>IFERROR(INDEX('Master data'!$B$2:$CL$1000,MATCH($B823,'Master data'!$A$2:$A$1000,0),MATCH(O$1,'Master data'!$B$1:$CL$1,0)),"")</f>
        <v/>
      </c>
      <c r="P823" s="5" t="str">
        <f>IFERROR(INDEX('Master data'!$B$2:$CL$1000,MATCH($B823,'Master data'!$A$2:$A$1000,0),MATCH(P$1,'Master data'!$B$1:$CL$1,0)),"")</f>
        <v/>
      </c>
      <c r="Q823" s="5" t="str">
        <f>IFERROR(INDEX('Master data'!$B$2:$CL$1000,MATCH($B823,'Master data'!$A$2:$A$1000,0),MATCH(Q$1,'Master data'!$B$1:$CL$1,0)),"")</f>
        <v/>
      </c>
    </row>
    <row r="824" spans="1:17" hidden="1">
      <c r="A824" t="str">
        <f t="shared" si="12"/>
        <v/>
      </c>
      <c r="B824" t="str">
        <f>IF('Master data'!A824="","",'Master data'!A824)</f>
        <v/>
      </c>
      <c r="C824" t="str">
        <f>IFERROR(INDEX('Master data'!$B$2:$CL$1000,MATCH($B824,'Master data'!$A$2:$A$1000,0),MATCH(C$1,'Master data'!$B$1:$CL$1,0)),"")</f>
        <v/>
      </c>
      <c r="D824" t="str">
        <f>IFERROR(INDEX('Master data'!$B$2:$CL$1000,MATCH($B824,'Master data'!$A$2:$A$1000,0),MATCH(D$1,'Master data'!$B$1:$CL$1,0)),"")</f>
        <v/>
      </c>
      <c r="E824" s="5" t="str">
        <f>IFERROR(INDEX('Master data'!$B$2:$CL$1000,MATCH($B824,'Master data'!$A$2:$A$1000,0),MATCH(E$1,'Master data'!$B$1:$CL$1,0)),"")</f>
        <v/>
      </c>
      <c r="F824" s="7" t="str">
        <f>IFERROR(INDEX('Master data'!$B$2:$CL$1000,MATCH($B824,'Master data'!$A$2:$A$1000,0),MATCH(F$1,'Master data'!$B$1:$CL$1,0)),"")</f>
        <v/>
      </c>
      <c r="G824" s="7" t="str">
        <f>IFERROR(INDEX('Master data'!$B$2:$CL$1000,MATCH($B824,'Master data'!$A$2:$A$1000,0),MATCH(G$1,'Master data'!$B$1:$CL$1,0)),"")</f>
        <v/>
      </c>
      <c r="H824" s="7" t="str">
        <f>IFERROR(INDEX('Master data'!$B$2:$CL$1000,MATCH($B824,'Master data'!$A$2:$A$1000,0),MATCH(H$1,'Master data'!$B$1:$CL$1,0)),"")</f>
        <v/>
      </c>
      <c r="I824" s="7" t="str">
        <f>IFERROR(INDEX('Master data'!$B$2:$CL$1000,MATCH($B824,'Master data'!$A$2:$A$1000,0),MATCH(I$1,'Master data'!$B$1:$CL$1,0)),"")</f>
        <v/>
      </c>
      <c r="J824" s="7" t="str">
        <f>IFERROR(INDEX('Master data'!$B$2:$CL$1000,MATCH($B824,'Master data'!$A$2:$A$1000,0),MATCH(J$1,'Master data'!$B$1:$CL$1,0)),"")</f>
        <v/>
      </c>
      <c r="K824" s="7" t="str">
        <f>IFERROR(INDEX('Master data'!$B$2:$CL$1000,MATCH($B824,'Master data'!$A$2:$A$1000,0),MATCH(K$1,'Master data'!$B$1:$CL$1,0)),"")</f>
        <v/>
      </c>
      <c r="L824" s="7" t="str">
        <f>IFERROR(INDEX('Master data'!$B$2:$CL$1000,MATCH($B824,'Master data'!$A$2:$A$1000,0),MATCH(L$1,'Master data'!$B$1:$CL$1,0)),"")</f>
        <v/>
      </c>
      <c r="M824" s="5" t="str">
        <f>IFERROR(INDEX('Master data'!$B$2:$CL$1000,MATCH($B824,'Master data'!$A$2:$A$1000,0),MATCH(M$1,'Master data'!$B$1:$CL$1,0)),"")</f>
        <v/>
      </c>
      <c r="N824" s="28" t="str">
        <f>IFERROR(INDEX('Master data'!$B$2:$CL$1000,MATCH($B824,'Master data'!$A$2:$A$1000,0),MATCH(N$1,'Master data'!$B$1:$CL$1,0)),"")</f>
        <v/>
      </c>
      <c r="O824" s="7" t="str">
        <f>IFERROR(INDEX('Master data'!$B$2:$CL$1000,MATCH($B824,'Master data'!$A$2:$A$1000,0),MATCH(O$1,'Master data'!$B$1:$CL$1,0)),"")</f>
        <v/>
      </c>
      <c r="P824" s="5" t="str">
        <f>IFERROR(INDEX('Master data'!$B$2:$CL$1000,MATCH($B824,'Master data'!$A$2:$A$1000,0),MATCH(P$1,'Master data'!$B$1:$CL$1,0)),"")</f>
        <v/>
      </c>
      <c r="Q824" s="5" t="str">
        <f>IFERROR(INDEX('Master data'!$B$2:$CL$1000,MATCH($B824,'Master data'!$A$2:$A$1000,0),MATCH(Q$1,'Master data'!$B$1:$CL$1,0)),"")</f>
        <v/>
      </c>
    </row>
    <row r="825" spans="1:17" hidden="1">
      <c r="A825" t="str">
        <f t="shared" si="12"/>
        <v/>
      </c>
      <c r="B825" t="str">
        <f>IF('Master data'!A825="","",'Master data'!A825)</f>
        <v/>
      </c>
      <c r="C825" t="str">
        <f>IFERROR(INDEX('Master data'!$B$2:$CL$1000,MATCH($B825,'Master data'!$A$2:$A$1000,0),MATCH(C$1,'Master data'!$B$1:$CL$1,0)),"")</f>
        <v/>
      </c>
      <c r="D825" t="str">
        <f>IFERROR(INDEX('Master data'!$B$2:$CL$1000,MATCH($B825,'Master data'!$A$2:$A$1000,0),MATCH(D$1,'Master data'!$B$1:$CL$1,0)),"")</f>
        <v/>
      </c>
      <c r="E825" s="5" t="str">
        <f>IFERROR(INDEX('Master data'!$B$2:$CL$1000,MATCH($B825,'Master data'!$A$2:$A$1000,0),MATCH(E$1,'Master data'!$B$1:$CL$1,0)),"")</f>
        <v/>
      </c>
      <c r="F825" s="7" t="str">
        <f>IFERROR(INDEX('Master data'!$B$2:$CL$1000,MATCH($B825,'Master data'!$A$2:$A$1000,0),MATCH(F$1,'Master data'!$B$1:$CL$1,0)),"")</f>
        <v/>
      </c>
      <c r="G825" s="7" t="str">
        <f>IFERROR(INDEX('Master data'!$B$2:$CL$1000,MATCH($B825,'Master data'!$A$2:$A$1000,0),MATCH(G$1,'Master data'!$B$1:$CL$1,0)),"")</f>
        <v/>
      </c>
      <c r="H825" s="7" t="str">
        <f>IFERROR(INDEX('Master data'!$B$2:$CL$1000,MATCH($B825,'Master data'!$A$2:$A$1000,0),MATCH(H$1,'Master data'!$B$1:$CL$1,0)),"")</f>
        <v/>
      </c>
      <c r="I825" s="7" t="str">
        <f>IFERROR(INDEX('Master data'!$B$2:$CL$1000,MATCH($B825,'Master data'!$A$2:$A$1000,0),MATCH(I$1,'Master data'!$B$1:$CL$1,0)),"")</f>
        <v/>
      </c>
      <c r="J825" s="7" t="str">
        <f>IFERROR(INDEX('Master data'!$B$2:$CL$1000,MATCH($B825,'Master data'!$A$2:$A$1000,0),MATCH(J$1,'Master data'!$B$1:$CL$1,0)),"")</f>
        <v/>
      </c>
      <c r="K825" s="7" t="str">
        <f>IFERROR(INDEX('Master data'!$B$2:$CL$1000,MATCH($B825,'Master data'!$A$2:$A$1000,0),MATCH(K$1,'Master data'!$B$1:$CL$1,0)),"")</f>
        <v/>
      </c>
      <c r="L825" s="7" t="str">
        <f>IFERROR(INDEX('Master data'!$B$2:$CL$1000,MATCH($B825,'Master data'!$A$2:$A$1000,0),MATCH(L$1,'Master data'!$B$1:$CL$1,0)),"")</f>
        <v/>
      </c>
      <c r="M825" s="5" t="str">
        <f>IFERROR(INDEX('Master data'!$B$2:$CL$1000,MATCH($B825,'Master data'!$A$2:$A$1000,0),MATCH(M$1,'Master data'!$B$1:$CL$1,0)),"")</f>
        <v/>
      </c>
      <c r="N825" s="28" t="str">
        <f>IFERROR(INDEX('Master data'!$B$2:$CL$1000,MATCH($B825,'Master data'!$A$2:$A$1000,0),MATCH(N$1,'Master data'!$B$1:$CL$1,0)),"")</f>
        <v/>
      </c>
      <c r="O825" s="7" t="str">
        <f>IFERROR(INDEX('Master data'!$B$2:$CL$1000,MATCH($B825,'Master data'!$A$2:$A$1000,0),MATCH(O$1,'Master data'!$B$1:$CL$1,0)),"")</f>
        <v/>
      </c>
      <c r="P825" s="5" t="str">
        <f>IFERROR(INDEX('Master data'!$B$2:$CL$1000,MATCH($B825,'Master data'!$A$2:$A$1000,0),MATCH(P$1,'Master data'!$B$1:$CL$1,0)),"")</f>
        <v/>
      </c>
      <c r="Q825" s="5" t="str">
        <f>IFERROR(INDEX('Master data'!$B$2:$CL$1000,MATCH($B825,'Master data'!$A$2:$A$1000,0),MATCH(Q$1,'Master data'!$B$1:$CL$1,0)),"")</f>
        <v/>
      </c>
    </row>
    <row r="826" spans="1:17" hidden="1">
      <c r="A826" t="str">
        <f t="shared" si="12"/>
        <v/>
      </c>
      <c r="B826" t="str">
        <f>IF('Master data'!A826="","",'Master data'!A826)</f>
        <v/>
      </c>
      <c r="C826" t="str">
        <f>IFERROR(INDEX('Master data'!$B$2:$CL$1000,MATCH($B826,'Master data'!$A$2:$A$1000,0),MATCH(C$1,'Master data'!$B$1:$CL$1,0)),"")</f>
        <v/>
      </c>
      <c r="D826" t="str">
        <f>IFERROR(INDEX('Master data'!$B$2:$CL$1000,MATCH($B826,'Master data'!$A$2:$A$1000,0),MATCH(D$1,'Master data'!$B$1:$CL$1,0)),"")</f>
        <v/>
      </c>
      <c r="E826" s="5" t="str">
        <f>IFERROR(INDEX('Master data'!$B$2:$CL$1000,MATCH($B826,'Master data'!$A$2:$A$1000,0),MATCH(E$1,'Master data'!$B$1:$CL$1,0)),"")</f>
        <v/>
      </c>
      <c r="F826" s="7" t="str">
        <f>IFERROR(INDEX('Master data'!$B$2:$CL$1000,MATCH($B826,'Master data'!$A$2:$A$1000,0),MATCH(F$1,'Master data'!$B$1:$CL$1,0)),"")</f>
        <v/>
      </c>
      <c r="G826" s="7" t="str">
        <f>IFERROR(INDEX('Master data'!$B$2:$CL$1000,MATCH($B826,'Master data'!$A$2:$A$1000,0),MATCH(G$1,'Master data'!$B$1:$CL$1,0)),"")</f>
        <v/>
      </c>
      <c r="H826" s="7" t="str">
        <f>IFERROR(INDEX('Master data'!$B$2:$CL$1000,MATCH($B826,'Master data'!$A$2:$A$1000,0),MATCH(H$1,'Master data'!$B$1:$CL$1,0)),"")</f>
        <v/>
      </c>
      <c r="I826" s="7" t="str">
        <f>IFERROR(INDEX('Master data'!$B$2:$CL$1000,MATCH($B826,'Master data'!$A$2:$A$1000,0),MATCH(I$1,'Master data'!$B$1:$CL$1,0)),"")</f>
        <v/>
      </c>
      <c r="J826" s="7" t="str">
        <f>IFERROR(INDEX('Master data'!$B$2:$CL$1000,MATCH($B826,'Master data'!$A$2:$A$1000,0),MATCH(J$1,'Master data'!$B$1:$CL$1,0)),"")</f>
        <v/>
      </c>
      <c r="K826" s="7" t="str">
        <f>IFERROR(INDEX('Master data'!$B$2:$CL$1000,MATCH($B826,'Master data'!$A$2:$A$1000,0),MATCH(K$1,'Master data'!$B$1:$CL$1,0)),"")</f>
        <v/>
      </c>
      <c r="L826" s="7" t="str">
        <f>IFERROR(INDEX('Master data'!$B$2:$CL$1000,MATCH($B826,'Master data'!$A$2:$A$1000,0),MATCH(L$1,'Master data'!$B$1:$CL$1,0)),"")</f>
        <v/>
      </c>
      <c r="M826" s="5" t="str">
        <f>IFERROR(INDEX('Master data'!$B$2:$CL$1000,MATCH($B826,'Master data'!$A$2:$A$1000,0),MATCH(M$1,'Master data'!$B$1:$CL$1,0)),"")</f>
        <v/>
      </c>
      <c r="N826" s="28" t="str">
        <f>IFERROR(INDEX('Master data'!$B$2:$CL$1000,MATCH($B826,'Master data'!$A$2:$A$1000,0),MATCH(N$1,'Master data'!$B$1:$CL$1,0)),"")</f>
        <v/>
      </c>
      <c r="O826" s="7" t="str">
        <f>IFERROR(INDEX('Master data'!$B$2:$CL$1000,MATCH($B826,'Master data'!$A$2:$A$1000,0),MATCH(O$1,'Master data'!$B$1:$CL$1,0)),"")</f>
        <v/>
      </c>
      <c r="P826" s="5" t="str">
        <f>IFERROR(INDEX('Master data'!$B$2:$CL$1000,MATCH($B826,'Master data'!$A$2:$A$1000,0),MATCH(P$1,'Master data'!$B$1:$CL$1,0)),"")</f>
        <v/>
      </c>
      <c r="Q826" s="5" t="str">
        <f>IFERROR(INDEX('Master data'!$B$2:$CL$1000,MATCH($B826,'Master data'!$A$2:$A$1000,0),MATCH(Q$1,'Master data'!$B$1:$CL$1,0)),"")</f>
        <v/>
      </c>
    </row>
    <row r="827" spans="1:17" hidden="1">
      <c r="A827" t="str">
        <f t="shared" si="12"/>
        <v/>
      </c>
      <c r="B827" t="str">
        <f>IF('Master data'!A827="","",'Master data'!A827)</f>
        <v/>
      </c>
      <c r="C827" t="str">
        <f>IFERROR(INDEX('Master data'!$B$2:$CL$1000,MATCH($B827,'Master data'!$A$2:$A$1000,0),MATCH(C$1,'Master data'!$B$1:$CL$1,0)),"")</f>
        <v/>
      </c>
      <c r="D827" t="str">
        <f>IFERROR(INDEX('Master data'!$B$2:$CL$1000,MATCH($B827,'Master data'!$A$2:$A$1000,0),MATCH(D$1,'Master data'!$B$1:$CL$1,0)),"")</f>
        <v/>
      </c>
      <c r="E827" s="5" t="str">
        <f>IFERROR(INDEX('Master data'!$B$2:$CL$1000,MATCH($B827,'Master data'!$A$2:$A$1000,0),MATCH(E$1,'Master data'!$B$1:$CL$1,0)),"")</f>
        <v/>
      </c>
      <c r="F827" s="7" t="str">
        <f>IFERROR(INDEX('Master data'!$B$2:$CL$1000,MATCH($B827,'Master data'!$A$2:$A$1000,0),MATCH(F$1,'Master data'!$B$1:$CL$1,0)),"")</f>
        <v/>
      </c>
      <c r="G827" s="7" t="str">
        <f>IFERROR(INDEX('Master data'!$B$2:$CL$1000,MATCH($B827,'Master data'!$A$2:$A$1000,0),MATCH(G$1,'Master data'!$B$1:$CL$1,0)),"")</f>
        <v/>
      </c>
      <c r="H827" s="7" t="str">
        <f>IFERROR(INDEX('Master data'!$B$2:$CL$1000,MATCH($B827,'Master data'!$A$2:$A$1000,0),MATCH(H$1,'Master data'!$B$1:$CL$1,0)),"")</f>
        <v/>
      </c>
      <c r="I827" s="7" t="str">
        <f>IFERROR(INDEX('Master data'!$B$2:$CL$1000,MATCH($B827,'Master data'!$A$2:$A$1000,0),MATCH(I$1,'Master data'!$B$1:$CL$1,0)),"")</f>
        <v/>
      </c>
      <c r="J827" s="7" t="str">
        <f>IFERROR(INDEX('Master data'!$B$2:$CL$1000,MATCH($B827,'Master data'!$A$2:$A$1000,0),MATCH(J$1,'Master data'!$B$1:$CL$1,0)),"")</f>
        <v/>
      </c>
      <c r="K827" s="7" t="str">
        <f>IFERROR(INDEX('Master data'!$B$2:$CL$1000,MATCH($B827,'Master data'!$A$2:$A$1000,0),MATCH(K$1,'Master data'!$B$1:$CL$1,0)),"")</f>
        <v/>
      </c>
      <c r="L827" s="7" t="str">
        <f>IFERROR(INDEX('Master data'!$B$2:$CL$1000,MATCH($B827,'Master data'!$A$2:$A$1000,0),MATCH(L$1,'Master data'!$B$1:$CL$1,0)),"")</f>
        <v/>
      </c>
      <c r="M827" s="5" t="str">
        <f>IFERROR(INDEX('Master data'!$B$2:$CL$1000,MATCH($B827,'Master data'!$A$2:$A$1000,0),MATCH(M$1,'Master data'!$B$1:$CL$1,0)),"")</f>
        <v/>
      </c>
      <c r="N827" s="28" t="str">
        <f>IFERROR(INDEX('Master data'!$B$2:$CL$1000,MATCH($B827,'Master data'!$A$2:$A$1000,0),MATCH(N$1,'Master data'!$B$1:$CL$1,0)),"")</f>
        <v/>
      </c>
      <c r="O827" s="7" t="str">
        <f>IFERROR(INDEX('Master data'!$B$2:$CL$1000,MATCH($B827,'Master data'!$A$2:$A$1000,0),MATCH(O$1,'Master data'!$B$1:$CL$1,0)),"")</f>
        <v/>
      </c>
      <c r="P827" s="5" t="str">
        <f>IFERROR(INDEX('Master data'!$B$2:$CL$1000,MATCH($B827,'Master data'!$A$2:$A$1000,0),MATCH(P$1,'Master data'!$B$1:$CL$1,0)),"")</f>
        <v/>
      </c>
      <c r="Q827" s="5" t="str">
        <f>IFERROR(INDEX('Master data'!$B$2:$CL$1000,MATCH($B827,'Master data'!$A$2:$A$1000,0),MATCH(Q$1,'Master data'!$B$1:$CL$1,0)),"")</f>
        <v/>
      </c>
    </row>
    <row r="828" spans="1:17" hidden="1">
      <c r="A828" t="str">
        <f t="shared" si="12"/>
        <v/>
      </c>
      <c r="B828" t="str">
        <f>IF('Master data'!A828="","",'Master data'!A828)</f>
        <v/>
      </c>
      <c r="C828" t="str">
        <f>IFERROR(INDEX('Master data'!$B$2:$CL$1000,MATCH($B828,'Master data'!$A$2:$A$1000,0),MATCH(C$1,'Master data'!$B$1:$CL$1,0)),"")</f>
        <v/>
      </c>
      <c r="D828" t="str">
        <f>IFERROR(INDEX('Master data'!$B$2:$CL$1000,MATCH($B828,'Master data'!$A$2:$A$1000,0),MATCH(D$1,'Master data'!$B$1:$CL$1,0)),"")</f>
        <v/>
      </c>
      <c r="E828" s="5" t="str">
        <f>IFERROR(INDEX('Master data'!$B$2:$CL$1000,MATCH($B828,'Master data'!$A$2:$A$1000,0),MATCH(E$1,'Master data'!$B$1:$CL$1,0)),"")</f>
        <v/>
      </c>
      <c r="F828" s="7" t="str">
        <f>IFERROR(INDEX('Master data'!$B$2:$CL$1000,MATCH($B828,'Master data'!$A$2:$A$1000,0),MATCH(F$1,'Master data'!$B$1:$CL$1,0)),"")</f>
        <v/>
      </c>
      <c r="G828" s="7" t="str">
        <f>IFERROR(INDEX('Master data'!$B$2:$CL$1000,MATCH($B828,'Master data'!$A$2:$A$1000,0),MATCH(G$1,'Master data'!$B$1:$CL$1,0)),"")</f>
        <v/>
      </c>
      <c r="H828" s="7" t="str">
        <f>IFERROR(INDEX('Master data'!$B$2:$CL$1000,MATCH($B828,'Master data'!$A$2:$A$1000,0),MATCH(H$1,'Master data'!$B$1:$CL$1,0)),"")</f>
        <v/>
      </c>
      <c r="I828" s="7" t="str">
        <f>IFERROR(INDEX('Master data'!$B$2:$CL$1000,MATCH($B828,'Master data'!$A$2:$A$1000,0),MATCH(I$1,'Master data'!$B$1:$CL$1,0)),"")</f>
        <v/>
      </c>
      <c r="J828" s="7" t="str">
        <f>IFERROR(INDEX('Master data'!$B$2:$CL$1000,MATCH($B828,'Master data'!$A$2:$A$1000,0),MATCH(J$1,'Master data'!$B$1:$CL$1,0)),"")</f>
        <v/>
      </c>
      <c r="K828" s="7" t="str">
        <f>IFERROR(INDEX('Master data'!$B$2:$CL$1000,MATCH($B828,'Master data'!$A$2:$A$1000,0),MATCH(K$1,'Master data'!$B$1:$CL$1,0)),"")</f>
        <v/>
      </c>
      <c r="L828" s="7" t="str">
        <f>IFERROR(INDEX('Master data'!$B$2:$CL$1000,MATCH($B828,'Master data'!$A$2:$A$1000,0),MATCH(L$1,'Master data'!$B$1:$CL$1,0)),"")</f>
        <v/>
      </c>
      <c r="M828" s="5" t="str">
        <f>IFERROR(INDEX('Master data'!$B$2:$CL$1000,MATCH($B828,'Master data'!$A$2:$A$1000,0),MATCH(M$1,'Master data'!$B$1:$CL$1,0)),"")</f>
        <v/>
      </c>
      <c r="N828" s="28" t="str">
        <f>IFERROR(INDEX('Master data'!$B$2:$CL$1000,MATCH($B828,'Master data'!$A$2:$A$1000,0),MATCH(N$1,'Master data'!$B$1:$CL$1,0)),"")</f>
        <v/>
      </c>
      <c r="O828" s="7" t="str">
        <f>IFERROR(INDEX('Master data'!$B$2:$CL$1000,MATCH($B828,'Master data'!$A$2:$A$1000,0),MATCH(O$1,'Master data'!$B$1:$CL$1,0)),"")</f>
        <v/>
      </c>
      <c r="P828" s="5" t="str">
        <f>IFERROR(INDEX('Master data'!$B$2:$CL$1000,MATCH($B828,'Master data'!$A$2:$A$1000,0),MATCH(P$1,'Master data'!$B$1:$CL$1,0)),"")</f>
        <v/>
      </c>
      <c r="Q828" s="5" t="str">
        <f>IFERROR(INDEX('Master data'!$B$2:$CL$1000,MATCH($B828,'Master data'!$A$2:$A$1000,0),MATCH(Q$1,'Master data'!$B$1:$CL$1,0)),"")</f>
        <v/>
      </c>
    </row>
    <row r="829" spans="1:17" hidden="1">
      <c r="A829" t="str">
        <f t="shared" si="12"/>
        <v/>
      </c>
      <c r="B829" t="str">
        <f>IF('Master data'!A829="","",'Master data'!A829)</f>
        <v/>
      </c>
      <c r="C829" t="str">
        <f>IFERROR(INDEX('Master data'!$B$2:$CL$1000,MATCH($B829,'Master data'!$A$2:$A$1000,0),MATCH(C$1,'Master data'!$B$1:$CL$1,0)),"")</f>
        <v/>
      </c>
      <c r="D829" t="str">
        <f>IFERROR(INDEX('Master data'!$B$2:$CL$1000,MATCH($B829,'Master data'!$A$2:$A$1000,0),MATCH(D$1,'Master data'!$B$1:$CL$1,0)),"")</f>
        <v/>
      </c>
      <c r="E829" s="5" t="str">
        <f>IFERROR(INDEX('Master data'!$B$2:$CL$1000,MATCH($B829,'Master data'!$A$2:$A$1000,0),MATCH(E$1,'Master data'!$B$1:$CL$1,0)),"")</f>
        <v/>
      </c>
      <c r="F829" s="7" t="str">
        <f>IFERROR(INDEX('Master data'!$B$2:$CL$1000,MATCH($B829,'Master data'!$A$2:$A$1000,0),MATCH(F$1,'Master data'!$B$1:$CL$1,0)),"")</f>
        <v/>
      </c>
      <c r="G829" s="7" t="str">
        <f>IFERROR(INDEX('Master data'!$B$2:$CL$1000,MATCH($B829,'Master data'!$A$2:$A$1000,0),MATCH(G$1,'Master data'!$B$1:$CL$1,0)),"")</f>
        <v/>
      </c>
      <c r="H829" s="7" t="str">
        <f>IFERROR(INDEX('Master data'!$B$2:$CL$1000,MATCH($B829,'Master data'!$A$2:$A$1000,0),MATCH(H$1,'Master data'!$B$1:$CL$1,0)),"")</f>
        <v/>
      </c>
      <c r="I829" s="7" t="str">
        <f>IFERROR(INDEX('Master data'!$B$2:$CL$1000,MATCH($B829,'Master data'!$A$2:$A$1000,0),MATCH(I$1,'Master data'!$B$1:$CL$1,0)),"")</f>
        <v/>
      </c>
      <c r="J829" s="7" t="str">
        <f>IFERROR(INDEX('Master data'!$B$2:$CL$1000,MATCH($B829,'Master data'!$A$2:$A$1000,0),MATCH(J$1,'Master data'!$B$1:$CL$1,0)),"")</f>
        <v/>
      </c>
      <c r="K829" s="7" t="str">
        <f>IFERROR(INDEX('Master data'!$B$2:$CL$1000,MATCH($B829,'Master data'!$A$2:$A$1000,0),MATCH(K$1,'Master data'!$B$1:$CL$1,0)),"")</f>
        <v/>
      </c>
      <c r="L829" s="7" t="str">
        <f>IFERROR(INDEX('Master data'!$B$2:$CL$1000,MATCH($B829,'Master data'!$A$2:$A$1000,0),MATCH(L$1,'Master data'!$B$1:$CL$1,0)),"")</f>
        <v/>
      </c>
      <c r="M829" s="5" t="str">
        <f>IFERROR(INDEX('Master data'!$B$2:$CL$1000,MATCH($B829,'Master data'!$A$2:$A$1000,0),MATCH(M$1,'Master data'!$B$1:$CL$1,0)),"")</f>
        <v/>
      </c>
      <c r="N829" s="28" t="str">
        <f>IFERROR(INDEX('Master data'!$B$2:$CL$1000,MATCH($B829,'Master data'!$A$2:$A$1000,0),MATCH(N$1,'Master data'!$B$1:$CL$1,0)),"")</f>
        <v/>
      </c>
      <c r="O829" s="7" t="str">
        <f>IFERROR(INDEX('Master data'!$B$2:$CL$1000,MATCH($B829,'Master data'!$A$2:$A$1000,0),MATCH(O$1,'Master data'!$B$1:$CL$1,0)),"")</f>
        <v/>
      </c>
      <c r="P829" s="5" t="str">
        <f>IFERROR(INDEX('Master data'!$B$2:$CL$1000,MATCH($B829,'Master data'!$A$2:$A$1000,0),MATCH(P$1,'Master data'!$B$1:$CL$1,0)),"")</f>
        <v/>
      </c>
      <c r="Q829" s="5" t="str">
        <f>IFERROR(INDEX('Master data'!$B$2:$CL$1000,MATCH($B829,'Master data'!$A$2:$A$1000,0),MATCH(Q$1,'Master data'!$B$1:$CL$1,0)),"")</f>
        <v/>
      </c>
    </row>
    <row r="830" spans="1:17" hidden="1">
      <c r="A830" t="str">
        <f t="shared" si="12"/>
        <v/>
      </c>
      <c r="B830" t="str">
        <f>IF('Master data'!A830="","",'Master data'!A830)</f>
        <v/>
      </c>
      <c r="C830" t="str">
        <f>IFERROR(INDEX('Master data'!$B$2:$CL$1000,MATCH($B830,'Master data'!$A$2:$A$1000,0),MATCH(C$1,'Master data'!$B$1:$CL$1,0)),"")</f>
        <v/>
      </c>
      <c r="D830" t="str">
        <f>IFERROR(INDEX('Master data'!$B$2:$CL$1000,MATCH($B830,'Master data'!$A$2:$A$1000,0),MATCH(D$1,'Master data'!$B$1:$CL$1,0)),"")</f>
        <v/>
      </c>
      <c r="E830" s="5" t="str">
        <f>IFERROR(INDEX('Master data'!$B$2:$CL$1000,MATCH($B830,'Master data'!$A$2:$A$1000,0),MATCH(E$1,'Master data'!$B$1:$CL$1,0)),"")</f>
        <v/>
      </c>
      <c r="F830" s="7" t="str">
        <f>IFERROR(INDEX('Master data'!$B$2:$CL$1000,MATCH($B830,'Master data'!$A$2:$A$1000,0),MATCH(F$1,'Master data'!$B$1:$CL$1,0)),"")</f>
        <v/>
      </c>
      <c r="G830" s="7" t="str">
        <f>IFERROR(INDEX('Master data'!$B$2:$CL$1000,MATCH($B830,'Master data'!$A$2:$A$1000,0),MATCH(G$1,'Master data'!$B$1:$CL$1,0)),"")</f>
        <v/>
      </c>
      <c r="H830" s="7" t="str">
        <f>IFERROR(INDEX('Master data'!$B$2:$CL$1000,MATCH($B830,'Master data'!$A$2:$A$1000,0),MATCH(H$1,'Master data'!$B$1:$CL$1,0)),"")</f>
        <v/>
      </c>
      <c r="I830" s="7" t="str">
        <f>IFERROR(INDEX('Master data'!$B$2:$CL$1000,MATCH($B830,'Master data'!$A$2:$A$1000,0),MATCH(I$1,'Master data'!$B$1:$CL$1,0)),"")</f>
        <v/>
      </c>
      <c r="J830" s="7" t="str">
        <f>IFERROR(INDEX('Master data'!$B$2:$CL$1000,MATCH($B830,'Master data'!$A$2:$A$1000,0),MATCH(J$1,'Master data'!$B$1:$CL$1,0)),"")</f>
        <v/>
      </c>
      <c r="K830" s="7" t="str">
        <f>IFERROR(INDEX('Master data'!$B$2:$CL$1000,MATCH($B830,'Master data'!$A$2:$A$1000,0),MATCH(K$1,'Master data'!$B$1:$CL$1,0)),"")</f>
        <v/>
      </c>
      <c r="L830" s="7" t="str">
        <f>IFERROR(INDEX('Master data'!$B$2:$CL$1000,MATCH($B830,'Master data'!$A$2:$A$1000,0),MATCH(L$1,'Master data'!$B$1:$CL$1,0)),"")</f>
        <v/>
      </c>
      <c r="M830" s="5" t="str">
        <f>IFERROR(INDEX('Master data'!$B$2:$CL$1000,MATCH($B830,'Master data'!$A$2:$A$1000,0),MATCH(M$1,'Master data'!$B$1:$CL$1,0)),"")</f>
        <v/>
      </c>
      <c r="N830" s="28" t="str">
        <f>IFERROR(INDEX('Master data'!$B$2:$CL$1000,MATCH($B830,'Master data'!$A$2:$A$1000,0),MATCH(N$1,'Master data'!$B$1:$CL$1,0)),"")</f>
        <v/>
      </c>
      <c r="O830" s="7" t="str">
        <f>IFERROR(INDEX('Master data'!$B$2:$CL$1000,MATCH($B830,'Master data'!$A$2:$A$1000,0),MATCH(O$1,'Master data'!$B$1:$CL$1,0)),"")</f>
        <v/>
      </c>
      <c r="P830" s="5" t="str">
        <f>IFERROR(INDEX('Master data'!$B$2:$CL$1000,MATCH($B830,'Master data'!$A$2:$A$1000,0),MATCH(P$1,'Master data'!$B$1:$CL$1,0)),"")</f>
        <v/>
      </c>
      <c r="Q830" s="5" t="str">
        <f>IFERROR(INDEX('Master data'!$B$2:$CL$1000,MATCH($B830,'Master data'!$A$2:$A$1000,0),MATCH(Q$1,'Master data'!$B$1:$CL$1,0)),"")</f>
        <v/>
      </c>
    </row>
    <row r="831" spans="1:17" hidden="1">
      <c r="A831" t="str">
        <f t="shared" si="12"/>
        <v/>
      </c>
      <c r="B831" t="str">
        <f>IF('Master data'!A831="","",'Master data'!A831)</f>
        <v/>
      </c>
      <c r="C831" t="str">
        <f>IFERROR(INDEX('Master data'!$B$2:$CL$1000,MATCH($B831,'Master data'!$A$2:$A$1000,0),MATCH(C$1,'Master data'!$B$1:$CL$1,0)),"")</f>
        <v/>
      </c>
      <c r="D831" t="str">
        <f>IFERROR(INDEX('Master data'!$B$2:$CL$1000,MATCH($B831,'Master data'!$A$2:$A$1000,0),MATCH(D$1,'Master data'!$B$1:$CL$1,0)),"")</f>
        <v/>
      </c>
      <c r="E831" s="5" t="str">
        <f>IFERROR(INDEX('Master data'!$B$2:$CL$1000,MATCH($B831,'Master data'!$A$2:$A$1000,0),MATCH(E$1,'Master data'!$B$1:$CL$1,0)),"")</f>
        <v/>
      </c>
      <c r="F831" s="7" t="str">
        <f>IFERROR(INDEX('Master data'!$B$2:$CL$1000,MATCH($B831,'Master data'!$A$2:$A$1000,0),MATCH(F$1,'Master data'!$B$1:$CL$1,0)),"")</f>
        <v/>
      </c>
      <c r="G831" s="7" t="str">
        <f>IFERROR(INDEX('Master data'!$B$2:$CL$1000,MATCH($B831,'Master data'!$A$2:$A$1000,0),MATCH(G$1,'Master data'!$B$1:$CL$1,0)),"")</f>
        <v/>
      </c>
      <c r="H831" s="7" t="str">
        <f>IFERROR(INDEX('Master data'!$B$2:$CL$1000,MATCH($B831,'Master data'!$A$2:$A$1000,0),MATCH(H$1,'Master data'!$B$1:$CL$1,0)),"")</f>
        <v/>
      </c>
      <c r="I831" s="7" t="str">
        <f>IFERROR(INDEX('Master data'!$B$2:$CL$1000,MATCH($B831,'Master data'!$A$2:$A$1000,0),MATCH(I$1,'Master data'!$B$1:$CL$1,0)),"")</f>
        <v/>
      </c>
      <c r="J831" s="7" t="str">
        <f>IFERROR(INDEX('Master data'!$B$2:$CL$1000,MATCH($B831,'Master data'!$A$2:$A$1000,0),MATCH(J$1,'Master data'!$B$1:$CL$1,0)),"")</f>
        <v/>
      </c>
      <c r="K831" s="7" t="str">
        <f>IFERROR(INDEX('Master data'!$B$2:$CL$1000,MATCH($B831,'Master data'!$A$2:$A$1000,0),MATCH(K$1,'Master data'!$B$1:$CL$1,0)),"")</f>
        <v/>
      </c>
      <c r="L831" s="7" t="str">
        <f>IFERROR(INDEX('Master data'!$B$2:$CL$1000,MATCH($B831,'Master data'!$A$2:$A$1000,0),MATCH(L$1,'Master data'!$B$1:$CL$1,0)),"")</f>
        <v/>
      </c>
      <c r="M831" s="5" t="str">
        <f>IFERROR(INDEX('Master data'!$B$2:$CL$1000,MATCH($B831,'Master data'!$A$2:$A$1000,0),MATCH(M$1,'Master data'!$B$1:$CL$1,0)),"")</f>
        <v/>
      </c>
      <c r="N831" s="28" t="str">
        <f>IFERROR(INDEX('Master data'!$B$2:$CL$1000,MATCH($B831,'Master data'!$A$2:$A$1000,0),MATCH(N$1,'Master data'!$B$1:$CL$1,0)),"")</f>
        <v/>
      </c>
      <c r="O831" s="7" t="str">
        <f>IFERROR(INDEX('Master data'!$B$2:$CL$1000,MATCH($B831,'Master data'!$A$2:$A$1000,0),MATCH(O$1,'Master data'!$B$1:$CL$1,0)),"")</f>
        <v/>
      </c>
      <c r="P831" s="5" t="str">
        <f>IFERROR(INDEX('Master data'!$B$2:$CL$1000,MATCH($B831,'Master data'!$A$2:$A$1000,0),MATCH(P$1,'Master data'!$B$1:$CL$1,0)),"")</f>
        <v/>
      </c>
      <c r="Q831" s="5" t="str">
        <f>IFERROR(INDEX('Master data'!$B$2:$CL$1000,MATCH($B831,'Master data'!$A$2:$A$1000,0),MATCH(Q$1,'Master data'!$B$1:$CL$1,0)),"")</f>
        <v/>
      </c>
    </row>
    <row r="832" spans="1:17" hidden="1">
      <c r="A832" t="str">
        <f t="shared" si="12"/>
        <v/>
      </c>
      <c r="B832" t="str">
        <f>IF('Master data'!A832="","",'Master data'!A832)</f>
        <v/>
      </c>
      <c r="C832" t="str">
        <f>IFERROR(INDEX('Master data'!$B$2:$CL$1000,MATCH($B832,'Master data'!$A$2:$A$1000,0),MATCH(C$1,'Master data'!$B$1:$CL$1,0)),"")</f>
        <v/>
      </c>
      <c r="D832" t="str">
        <f>IFERROR(INDEX('Master data'!$B$2:$CL$1000,MATCH($B832,'Master data'!$A$2:$A$1000,0),MATCH(D$1,'Master data'!$B$1:$CL$1,0)),"")</f>
        <v/>
      </c>
      <c r="E832" s="5" t="str">
        <f>IFERROR(INDEX('Master data'!$B$2:$CL$1000,MATCH($B832,'Master data'!$A$2:$A$1000,0),MATCH(E$1,'Master data'!$B$1:$CL$1,0)),"")</f>
        <v/>
      </c>
      <c r="F832" s="7" t="str">
        <f>IFERROR(INDEX('Master data'!$B$2:$CL$1000,MATCH($B832,'Master data'!$A$2:$A$1000,0),MATCH(F$1,'Master data'!$B$1:$CL$1,0)),"")</f>
        <v/>
      </c>
      <c r="G832" s="7" t="str">
        <f>IFERROR(INDEX('Master data'!$B$2:$CL$1000,MATCH($B832,'Master data'!$A$2:$A$1000,0),MATCH(G$1,'Master data'!$B$1:$CL$1,0)),"")</f>
        <v/>
      </c>
      <c r="H832" s="7" t="str">
        <f>IFERROR(INDEX('Master data'!$B$2:$CL$1000,MATCH($B832,'Master data'!$A$2:$A$1000,0),MATCH(H$1,'Master data'!$B$1:$CL$1,0)),"")</f>
        <v/>
      </c>
      <c r="I832" s="7" t="str">
        <f>IFERROR(INDEX('Master data'!$B$2:$CL$1000,MATCH($B832,'Master data'!$A$2:$A$1000,0),MATCH(I$1,'Master data'!$B$1:$CL$1,0)),"")</f>
        <v/>
      </c>
      <c r="J832" s="7" t="str">
        <f>IFERROR(INDEX('Master data'!$B$2:$CL$1000,MATCH($B832,'Master data'!$A$2:$A$1000,0),MATCH(J$1,'Master data'!$B$1:$CL$1,0)),"")</f>
        <v/>
      </c>
      <c r="K832" s="7" t="str">
        <f>IFERROR(INDEX('Master data'!$B$2:$CL$1000,MATCH($B832,'Master data'!$A$2:$A$1000,0),MATCH(K$1,'Master data'!$B$1:$CL$1,0)),"")</f>
        <v/>
      </c>
      <c r="L832" s="7" t="str">
        <f>IFERROR(INDEX('Master data'!$B$2:$CL$1000,MATCH($B832,'Master data'!$A$2:$A$1000,0),MATCH(L$1,'Master data'!$B$1:$CL$1,0)),"")</f>
        <v/>
      </c>
      <c r="M832" s="5" t="str">
        <f>IFERROR(INDEX('Master data'!$B$2:$CL$1000,MATCH($B832,'Master data'!$A$2:$A$1000,0),MATCH(M$1,'Master data'!$B$1:$CL$1,0)),"")</f>
        <v/>
      </c>
      <c r="N832" s="28" t="str">
        <f>IFERROR(INDEX('Master data'!$B$2:$CL$1000,MATCH($B832,'Master data'!$A$2:$A$1000,0),MATCH(N$1,'Master data'!$B$1:$CL$1,0)),"")</f>
        <v/>
      </c>
      <c r="O832" s="7" t="str">
        <f>IFERROR(INDEX('Master data'!$B$2:$CL$1000,MATCH($B832,'Master data'!$A$2:$A$1000,0),MATCH(O$1,'Master data'!$B$1:$CL$1,0)),"")</f>
        <v/>
      </c>
      <c r="P832" s="5" t="str">
        <f>IFERROR(INDEX('Master data'!$B$2:$CL$1000,MATCH($B832,'Master data'!$A$2:$A$1000,0),MATCH(P$1,'Master data'!$B$1:$CL$1,0)),"")</f>
        <v/>
      </c>
      <c r="Q832" s="5" t="str">
        <f>IFERROR(INDEX('Master data'!$B$2:$CL$1000,MATCH($B832,'Master data'!$A$2:$A$1000,0),MATCH(Q$1,'Master data'!$B$1:$CL$1,0)),"")</f>
        <v/>
      </c>
    </row>
    <row r="833" spans="1:17" hidden="1">
      <c r="A833" t="str">
        <f t="shared" si="12"/>
        <v/>
      </c>
      <c r="B833" t="str">
        <f>IF('Master data'!A833="","",'Master data'!A833)</f>
        <v/>
      </c>
      <c r="C833" t="str">
        <f>IFERROR(INDEX('Master data'!$B$2:$CL$1000,MATCH($B833,'Master data'!$A$2:$A$1000,0),MATCH(C$1,'Master data'!$B$1:$CL$1,0)),"")</f>
        <v/>
      </c>
      <c r="D833" t="str">
        <f>IFERROR(INDEX('Master data'!$B$2:$CL$1000,MATCH($B833,'Master data'!$A$2:$A$1000,0),MATCH(D$1,'Master data'!$B$1:$CL$1,0)),"")</f>
        <v/>
      </c>
      <c r="E833" s="5" t="str">
        <f>IFERROR(INDEX('Master data'!$B$2:$CL$1000,MATCH($B833,'Master data'!$A$2:$A$1000,0),MATCH(E$1,'Master data'!$B$1:$CL$1,0)),"")</f>
        <v/>
      </c>
      <c r="F833" s="7" t="str">
        <f>IFERROR(INDEX('Master data'!$B$2:$CL$1000,MATCH($B833,'Master data'!$A$2:$A$1000,0),MATCH(F$1,'Master data'!$B$1:$CL$1,0)),"")</f>
        <v/>
      </c>
      <c r="G833" s="7" t="str">
        <f>IFERROR(INDEX('Master data'!$B$2:$CL$1000,MATCH($B833,'Master data'!$A$2:$A$1000,0),MATCH(G$1,'Master data'!$B$1:$CL$1,0)),"")</f>
        <v/>
      </c>
      <c r="H833" s="7" t="str">
        <f>IFERROR(INDEX('Master data'!$B$2:$CL$1000,MATCH($B833,'Master data'!$A$2:$A$1000,0),MATCH(H$1,'Master data'!$B$1:$CL$1,0)),"")</f>
        <v/>
      </c>
      <c r="I833" s="7" t="str">
        <f>IFERROR(INDEX('Master data'!$B$2:$CL$1000,MATCH($B833,'Master data'!$A$2:$A$1000,0),MATCH(I$1,'Master data'!$B$1:$CL$1,0)),"")</f>
        <v/>
      </c>
      <c r="J833" s="7" t="str">
        <f>IFERROR(INDEX('Master data'!$B$2:$CL$1000,MATCH($B833,'Master data'!$A$2:$A$1000,0),MATCH(J$1,'Master data'!$B$1:$CL$1,0)),"")</f>
        <v/>
      </c>
      <c r="K833" s="7" t="str">
        <f>IFERROR(INDEX('Master data'!$B$2:$CL$1000,MATCH($B833,'Master data'!$A$2:$A$1000,0),MATCH(K$1,'Master data'!$B$1:$CL$1,0)),"")</f>
        <v/>
      </c>
      <c r="L833" s="7" t="str">
        <f>IFERROR(INDEX('Master data'!$B$2:$CL$1000,MATCH($B833,'Master data'!$A$2:$A$1000,0),MATCH(L$1,'Master data'!$B$1:$CL$1,0)),"")</f>
        <v/>
      </c>
      <c r="M833" s="5" t="str">
        <f>IFERROR(INDEX('Master data'!$B$2:$CL$1000,MATCH($B833,'Master data'!$A$2:$A$1000,0),MATCH(M$1,'Master data'!$B$1:$CL$1,0)),"")</f>
        <v/>
      </c>
      <c r="N833" s="28" t="str">
        <f>IFERROR(INDEX('Master data'!$B$2:$CL$1000,MATCH($B833,'Master data'!$A$2:$A$1000,0),MATCH(N$1,'Master data'!$B$1:$CL$1,0)),"")</f>
        <v/>
      </c>
      <c r="O833" s="7" t="str">
        <f>IFERROR(INDEX('Master data'!$B$2:$CL$1000,MATCH($B833,'Master data'!$A$2:$A$1000,0),MATCH(O$1,'Master data'!$B$1:$CL$1,0)),"")</f>
        <v/>
      </c>
      <c r="P833" s="5" t="str">
        <f>IFERROR(INDEX('Master data'!$B$2:$CL$1000,MATCH($B833,'Master data'!$A$2:$A$1000,0),MATCH(P$1,'Master data'!$B$1:$CL$1,0)),"")</f>
        <v/>
      </c>
      <c r="Q833" s="5" t="str">
        <f>IFERROR(INDEX('Master data'!$B$2:$CL$1000,MATCH($B833,'Master data'!$A$2:$A$1000,0),MATCH(Q$1,'Master data'!$B$1:$CL$1,0)),"")</f>
        <v/>
      </c>
    </row>
    <row r="834" spans="1:17" hidden="1">
      <c r="A834" t="str">
        <f t="shared" si="12"/>
        <v/>
      </c>
      <c r="B834" t="str">
        <f>IF('Master data'!A834="","",'Master data'!A834)</f>
        <v/>
      </c>
      <c r="C834" t="str">
        <f>IFERROR(INDEX('Master data'!$B$2:$CL$1000,MATCH($B834,'Master data'!$A$2:$A$1000,0),MATCH(C$1,'Master data'!$B$1:$CL$1,0)),"")</f>
        <v/>
      </c>
      <c r="D834" t="str">
        <f>IFERROR(INDEX('Master data'!$B$2:$CL$1000,MATCH($B834,'Master data'!$A$2:$A$1000,0),MATCH(D$1,'Master data'!$B$1:$CL$1,0)),"")</f>
        <v/>
      </c>
      <c r="E834" s="5" t="str">
        <f>IFERROR(INDEX('Master data'!$B$2:$CL$1000,MATCH($B834,'Master data'!$A$2:$A$1000,0),MATCH(E$1,'Master data'!$B$1:$CL$1,0)),"")</f>
        <v/>
      </c>
      <c r="F834" s="7" t="str">
        <f>IFERROR(INDEX('Master data'!$B$2:$CL$1000,MATCH($B834,'Master data'!$A$2:$A$1000,0),MATCH(F$1,'Master data'!$B$1:$CL$1,0)),"")</f>
        <v/>
      </c>
      <c r="G834" s="7" t="str">
        <f>IFERROR(INDEX('Master data'!$B$2:$CL$1000,MATCH($B834,'Master data'!$A$2:$A$1000,0),MATCH(G$1,'Master data'!$B$1:$CL$1,0)),"")</f>
        <v/>
      </c>
      <c r="H834" s="7" t="str">
        <f>IFERROR(INDEX('Master data'!$B$2:$CL$1000,MATCH($B834,'Master data'!$A$2:$A$1000,0),MATCH(H$1,'Master data'!$B$1:$CL$1,0)),"")</f>
        <v/>
      </c>
      <c r="I834" s="7" t="str">
        <f>IFERROR(INDEX('Master data'!$B$2:$CL$1000,MATCH($B834,'Master data'!$A$2:$A$1000,0),MATCH(I$1,'Master data'!$B$1:$CL$1,0)),"")</f>
        <v/>
      </c>
      <c r="J834" s="7" t="str">
        <f>IFERROR(INDEX('Master data'!$B$2:$CL$1000,MATCH($B834,'Master data'!$A$2:$A$1000,0),MATCH(J$1,'Master data'!$B$1:$CL$1,0)),"")</f>
        <v/>
      </c>
      <c r="K834" s="7" t="str">
        <f>IFERROR(INDEX('Master data'!$B$2:$CL$1000,MATCH($B834,'Master data'!$A$2:$A$1000,0),MATCH(K$1,'Master data'!$B$1:$CL$1,0)),"")</f>
        <v/>
      </c>
      <c r="L834" s="7" t="str">
        <f>IFERROR(INDEX('Master data'!$B$2:$CL$1000,MATCH($B834,'Master data'!$A$2:$A$1000,0),MATCH(L$1,'Master data'!$B$1:$CL$1,0)),"")</f>
        <v/>
      </c>
      <c r="M834" s="5" t="str">
        <f>IFERROR(INDEX('Master data'!$B$2:$CL$1000,MATCH($B834,'Master data'!$A$2:$A$1000,0),MATCH(M$1,'Master data'!$B$1:$CL$1,0)),"")</f>
        <v/>
      </c>
      <c r="N834" s="28" t="str">
        <f>IFERROR(INDEX('Master data'!$B$2:$CL$1000,MATCH($B834,'Master data'!$A$2:$A$1000,0),MATCH(N$1,'Master data'!$B$1:$CL$1,0)),"")</f>
        <v/>
      </c>
      <c r="O834" s="7" t="str">
        <f>IFERROR(INDEX('Master data'!$B$2:$CL$1000,MATCH($B834,'Master data'!$A$2:$A$1000,0),MATCH(O$1,'Master data'!$B$1:$CL$1,0)),"")</f>
        <v/>
      </c>
      <c r="P834" s="5" t="str">
        <f>IFERROR(INDEX('Master data'!$B$2:$CL$1000,MATCH($B834,'Master data'!$A$2:$A$1000,0),MATCH(P$1,'Master data'!$B$1:$CL$1,0)),"")</f>
        <v/>
      </c>
      <c r="Q834" s="5" t="str">
        <f>IFERROR(INDEX('Master data'!$B$2:$CL$1000,MATCH($B834,'Master data'!$A$2:$A$1000,0),MATCH(Q$1,'Master data'!$B$1:$CL$1,0)),"")</f>
        <v/>
      </c>
    </row>
    <row r="835" spans="1:17" hidden="1">
      <c r="A835" t="str">
        <f t="shared" ref="A835:A898" si="13">IF(B835="","",ROW()-2)</f>
        <v/>
      </c>
      <c r="B835" t="str">
        <f>IF('Master data'!A835="","",'Master data'!A835)</f>
        <v/>
      </c>
      <c r="C835" t="str">
        <f>IFERROR(INDEX('Master data'!$B$2:$CL$1000,MATCH($B835,'Master data'!$A$2:$A$1000,0),MATCH(C$1,'Master data'!$B$1:$CL$1,0)),"")</f>
        <v/>
      </c>
      <c r="D835" t="str">
        <f>IFERROR(INDEX('Master data'!$B$2:$CL$1000,MATCH($B835,'Master data'!$A$2:$A$1000,0),MATCH(D$1,'Master data'!$B$1:$CL$1,0)),"")</f>
        <v/>
      </c>
      <c r="E835" s="5" t="str">
        <f>IFERROR(INDEX('Master data'!$B$2:$CL$1000,MATCH($B835,'Master data'!$A$2:$A$1000,0),MATCH(E$1,'Master data'!$B$1:$CL$1,0)),"")</f>
        <v/>
      </c>
      <c r="F835" s="7" t="str">
        <f>IFERROR(INDEX('Master data'!$B$2:$CL$1000,MATCH($B835,'Master data'!$A$2:$A$1000,0),MATCH(F$1,'Master data'!$B$1:$CL$1,0)),"")</f>
        <v/>
      </c>
      <c r="G835" s="7" t="str">
        <f>IFERROR(INDEX('Master data'!$B$2:$CL$1000,MATCH($B835,'Master data'!$A$2:$A$1000,0),MATCH(G$1,'Master data'!$B$1:$CL$1,0)),"")</f>
        <v/>
      </c>
      <c r="H835" s="7" t="str">
        <f>IFERROR(INDEX('Master data'!$B$2:$CL$1000,MATCH($B835,'Master data'!$A$2:$A$1000,0),MATCH(H$1,'Master data'!$B$1:$CL$1,0)),"")</f>
        <v/>
      </c>
      <c r="I835" s="7" t="str">
        <f>IFERROR(INDEX('Master data'!$B$2:$CL$1000,MATCH($B835,'Master data'!$A$2:$A$1000,0),MATCH(I$1,'Master data'!$B$1:$CL$1,0)),"")</f>
        <v/>
      </c>
      <c r="J835" s="7" t="str">
        <f>IFERROR(INDEX('Master data'!$B$2:$CL$1000,MATCH($B835,'Master data'!$A$2:$A$1000,0),MATCH(J$1,'Master data'!$B$1:$CL$1,0)),"")</f>
        <v/>
      </c>
      <c r="K835" s="7" t="str">
        <f>IFERROR(INDEX('Master data'!$B$2:$CL$1000,MATCH($B835,'Master data'!$A$2:$A$1000,0),MATCH(K$1,'Master data'!$B$1:$CL$1,0)),"")</f>
        <v/>
      </c>
      <c r="L835" s="7" t="str">
        <f>IFERROR(INDEX('Master data'!$B$2:$CL$1000,MATCH($B835,'Master data'!$A$2:$A$1000,0),MATCH(L$1,'Master data'!$B$1:$CL$1,0)),"")</f>
        <v/>
      </c>
      <c r="M835" s="5" t="str">
        <f>IFERROR(INDEX('Master data'!$B$2:$CL$1000,MATCH($B835,'Master data'!$A$2:$A$1000,0),MATCH(M$1,'Master data'!$B$1:$CL$1,0)),"")</f>
        <v/>
      </c>
      <c r="N835" s="28" t="str">
        <f>IFERROR(INDEX('Master data'!$B$2:$CL$1000,MATCH($B835,'Master data'!$A$2:$A$1000,0),MATCH(N$1,'Master data'!$B$1:$CL$1,0)),"")</f>
        <v/>
      </c>
      <c r="O835" s="7" t="str">
        <f>IFERROR(INDEX('Master data'!$B$2:$CL$1000,MATCH($B835,'Master data'!$A$2:$A$1000,0),MATCH(O$1,'Master data'!$B$1:$CL$1,0)),"")</f>
        <v/>
      </c>
      <c r="P835" s="5" t="str">
        <f>IFERROR(INDEX('Master data'!$B$2:$CL$1000,MATCH($B835,'Master data'!$A$2:$A$1000,0),MATCH(P$1,'Master data'!$B$1:$CL$1,0)),"")</f>
        <v/>
      </c>
      <c r="Q835" s="5" t="str">
        <f>IFERROR(INDEX('Master data'!$B$2:$CL$1000,MATCH($B835,'Master data'!$A$2:$A$1000,0),MATCH(Q$1,'Master data'!$B$1:$CL$1,0)),"")</f>
        <v/>
      </c>
    </row>
    <row r="836" spans="1:17" hidden="1">
      <c r="A836" t="str">
        <f t="shared" si="13"/>
        <v/>
      </c>
      <c r="B836" t="str">
        <f>IF('Master data'!A836="","",'Master data'!A836)</f>
        <v/>
      </c>
      <c r="C836" t="str">
        <f>IFERROR(INDEX('Master data'!$B$2:$CL$1000,MATCH($B836,'Master data'!$A$2:$A$1000,0),MATCH(C$1,'Master data'!$B$1:$CL$1,0)),"")</f>
        <v/>
      </c>
      <c r="D836" t="str">
        <f>IFERROR(INDEX('Master data'!$B$2:$CL$1000,MATCH($B836,'Master data'!$A$2:$A$1000,0),MATCH(D$1,'Master data'!$B$1:$CL$1,0)),"")</f>
        <v/>
      </c>
      <c r="E836" s="5" t="str">
        <f>IFERROR(INDEX('Master data'!$B$2:$CL$1000,MATCH($B836,'Master data'!$A$2:$A$1000,0),MATCH(E$1,'Master data'!$B$1:$CL$1,0)),"")</f>
        <v/>
      </c>
      <c r="F836" s="7" t="str">
        <f>IFERROR(INDEX('Master data'!$B$2:$CL$1000,MATCH($B836,'Master data'!$A$2:$A$1000,0),MATCH(F$1,'Master data'!$B$1:$CL$1,0)),"")</f>
        <v/>
      </c>
      <c r="G836" s="7" t="str">
        <f>IFERROR(INDEX('Master data'!$B$2:$CL$1000,MATCH($B836,'Master data'!$A$2:$A$1000,0),MATCH(G$1,'Master data'!$B$1:$CL$1,0)),"")</f>
        <v/>
      </c>
      <c r="H836" s="7" t="str">
        <f>IFERROR(INDEX('Master data'!$B$2:$CL$1000,MATCH($B836,'Master data'!$A$2:$A$1000,0),MATCH(H$1,'Master data'!$B$1:$CL$1,0)),"")</f>
        <v/>
      </c>
      <c r="I836" s="7" t="str">
        <f>IFERROR(INDEX('Master data'!$B$2:$CL$1000,MATCH($B836,'Master data'!$A$2:$A$1000,0),MATCH(I$1,'Master data'!$B$1:$CL$1,0)),"")</f>
        <v/>
      </c>
      <c r="J836" s="7" t="str">
        <f>IFERROR(INDEX('Master data'!$B$2:$CL$1000,MATCH($B836,'Master data'!$A$2:$A$1000,0),MATCH(J$1,'Master data'!$B$1:$CL$1,0)),"")</f>
        <v/>
      </c>
      <c r="K836" s="7" t="str">
        <f>IFERROR(INDEX('Master data'!$B$2:$CL$1000,MATCH($B836,'Master data'!$A$2:$A$1000,0),MATCH(K$1,'Master data'!$B$1:$CL$1,0)),"")</f>
        <v/>
      </c>
      <c r="L836" s="7" t="str">
        <f>IFERROR(INDEX('Master data'!$B$2:$CL$1000,MATCH($B836,'Master data'!$A$2:$A$1000,0),MATCH(L$1,'Master data'!$B$1:$CL$1,0)),"")</f>
        <v/>
      </c>
      <c r="M836" s="5" t="str">
        <f>IFERROR(INDEX('Master data'!$B$2:$CL$1000,MATCH($B836,'Master data'!$A$2:$A$1000,0),MATCH(M$1,'Master data'!$B$1:$CL$1,0)),"")</f>
        <v/>
      </c>
      <c r="N836" s="28" t="str">
        <f>IFERROR(INDEX('Master data'!$B$2:$CL$1000,MATCH($B836,'Master data'!$A$2:$A$1000,0),MATCH(N$1,'Master data'!$B$1:$CL$1,0)),"")</f>
        <v/>
      </c>
      <c r="O836" s="7" t="str">
        <f>IFERROR(INDEX('Master data'!$B$2:$CL$1000,MATCH($B836,'Master data'!$A$2:$A$1000,0),MATCH(O$1,'Master data'!$B$1:$CL$1,0)),"")</f>
        <v/>
      </c>
      <c r="P836" s="5" t="str">
        <f>IFERROR(INDEX('Master data'!$B$2:$CL$1000,MATCH($B836,'Master data'!$A$2:$A$1000,0),MATCH(P$1,'Master data'!$B$1:$CL$1,0)),"")</f>
        <v/>
      </c>
      <c r="Q836" s="5" t="str">
        <f>IFERROR(INDEX('Master data'!$B$2:$CL$1000,MATCH($B836,'Master data'!$A$2:$A$1000,0),MATCH(Q$1,'Master data'!$B$1:$CL$1,0)),"")</f>
        <v/>
      </c>
    </row>
    <row r="837" spans="1:17" hidden="1">
      <c r="A837" t="str">
        <f t="shared" si="13"/>
        <v/>
      </c>
      <c r="B837" t="str">
        <f>IF('Master data'!A837="","",'Master data'!A837)</f>
        <v/>
      </c>
      <c r="C837" t="str">
        <f>IFERROR(INDEX('Master data'!$B$2:$CL$1000,MATCH($B837,'Master data'!$A$2:$A$1000,0),MATCH(C$1,'Master data'!$B$1:$CL$1,0)),"")</f>
        <v/>
      </c>
      <c r="D837" t="str">
        <f>IFERROR(INDEX('Master data'!$B$2:$CL$1000,MATCH($B837,'Master data'!$A$2:$A$1000,0),MATCH(D$1,'Master data'!$B$1:$CL$1,0)),"")</f>
        <v/>
      </c>
      <c r="E837" s="5" t="str">
        <f>IFERROR(INDEX('Master data'!$B$2:$CL$1000,MATCH($B837,'Master data'!$A$2:$A$1000,0),MATCH(E$1,'Master data'!$B$1:$CL$1,0)),"")</f>
        <v/>
      </c>
      <c r="F837" s="7" t="str">
        <f>IFERROR(INDEX('Master data'!$B$2:$CL$1000,MATCH($B837,'Master data'!$A$2:$A$1000,0),MATCH(F$1,'Master data'!$B$1:$CL$1,0)),"")</f>
        <v/>
      </c>
      <c r="G837" s="7" t="str">
        <f>IFERROR(INDEX('Master data'!$B$2:$CL$1000,MATCH($B837,'Master data'!$A$2:$A$1000,0),MATCH(G$1,'Master data'!$B$1:$CL$1,0)),"")</f>
        <v/>
      </c>
      <c r="H837" s="7" t="str">
        <f>IFERROR(INDEX('Master data'!$B$2:$CL$1000,MATCH($B837,'Master data'!$A$2:$A$1000,0),MATCH(H$1,'Master data'!$B$1:$CL$1,0)),"")</f>
        <v/>
      </c>
      <c r="I837" s="7" t="str">
        <f>IFERROR(INDEX('Master data'!$B$2:$CL$1000,MATCH($B837,'Master data'!$A$2:$A$1000,0),MATCH(I$1,'Master data'!$B$1:$CL$1,0)),"")</f>
        <v/>
      </c>
      <c r="J837" s="7" t="str">
        <f>IFERROR(INDEX('Master data'!$B$2:$CL$1000,MATCH($B837,'Master data'!$A$2:$A$1000,0),MATCH(J$1,'Master data'!$B$1:$CL$1,0)),"")</f>
        <v/>
      </c>
      <c r="K837" s="7" t="str">
        <f>IFERROR(INDEX('Master data'!$B$2:$CL$1000,MATCH($B837,'Master data'!$A$2:$A$1000,0),MATCH(K$1,'Master data'!$B$1:$CL$1,0)),"")</f>
        <v/>
      </c>
      <c r="L837" s="7" t="str">
        <f>IFERROR(INDEX('Master data'!$B$2:$CL$1000,MATCH($B837,'Master data'!$A$2:$A$1000,0),MATCH(L$1,'Master data'!$B$1:$CL$1,0)),"")</f>
        <v/>
      </c>
      <c r="M837" s="5" t="str">
        <f>IFERROR(INDEX('Master data'!$B$2:$CL$1000,MATCH($B837,'Master data'!$A$2:$A$1000,0),MATCH(M$1,'Master data'!$B$1:$CL$1,0)),"")</f>
        <v/>
      </c>
      <c r="N837" s="28" t="str">
        <f>IFERROR(INDEX('Master data'!$B$2:$CL$1000,MATCH($B837,'Master data'!$A$2:$A$1000,0),MATCH(N$1,'Master data'!$B$1:$CL$1,0)),"")</f>
        <v/>
      </c>
      <c r="O837" s="7" t="str">
        <f>IFERROR(INDEX('Master data'!$B$2:$CL$1000,MATCH($B837,'Master data'!$A$2:$A$1000,0),MATCH(O$1,'Master data'!$B$1:$CL$1,0)),"")</f>
        <v/>
      </c>
      <c r="P837" s="5" t="str">
        <f>IFERROR(INDEX('Master data'!$B$2:$CL$1000,MATCH($B837,'Master data'!$A$2:$A$1000,0),MATCH(P$1,'Master data'!$B$1:$CL$1,0)),"")</f>
        <v/>
      </c>
      <c r="Q837" s="5" t="str">
        <f>IFERROR(INDEX('Master data'!$B$2:$CL$1000,MATCH($B837,'Master data'!$A$2:$A$1000,0),MATCH(Q$1,'Master data'!$B$1:$CL$1,0)),"")</f>
        <v/>
      </c>
    </row>
    <row r="838" spans="1:17" hidden="1">
      <c r="A838" t="str">
        <f t="shared" si="13"/>
        <v/>
      </c>
      <c r="B838" t="str">
        <f>IF('Master data'!A838="","",'Master data'!A838)</f>
        <v/>
      </c>
      <c r="C838" t="str">
        <f>IFERROR(INDEX('Master data'!$B$2:$CL$1000,MATCH($B838,'Master data'!$A$2:$A$1000,0),MATCH(C$1,'Master data'!$B$1:$CL$1,0)),"")</f>
        <v/>
      </c>
      <c r="D838" t="str">
        <f>IFERROR(INDEX('Master data'!$B$2:$CL$1000,MATCH($B838,'Master data'!$A$2:$A$1000,0),MATCH(D$1,'Master data'!$B$1:$CL$1,0)),"")</f>
        <v/>
      </c>
      <c r="E838" s="5" t="str">
        <f>IFERROR(INDEX('Master data'!$B$2:$CL$1000,MATCH($B838,'Master data'!$A$2:$A$1000,0),MATCH(E$1,'Master data'!$B$1:$CL$1,0)),"")</f>
        <v/>
      </c>
      <c r="F838" s="7" t="str">
        <f>IFERROR(INDEX('Master data'!$B$2:$CL$1000,MATCH($B838,'Master data'!$A$2:$A$1000,0),MATCH(F$1,'Master data'!$B$1:$CL$1,0)),"")</f>
        <v/>
      </c>
      <c r="G838" s="7" t="str">
        <f>IFERROR(INDEX('Master data'!$B$2:$CL$1000,MATCH($B838,'Master data'!$A$2:$A$1000,0),MATCH(G$1,'Master data'!$B$1:$CL$1,0)),"")</f>
        <v/>
      </c>
      <c r="H838" s="7" t="str">
        <f>IFERROR(INDEX('Master data'!$B$2:$CL$1000,MATCH($B838,'Master data'!$A$2:$A$1000,0),MATCH(H$1,'Master data'!$B$1:$CL$1,0)),"")</f>
        <v/>
      </c>
      <c r="I838" s="7" t="str">
        <f>IFERROR(INDEX('Master data'!$B$2:$CL$1000,MATCH($B838,'Master data'!$A$2:$A$1000,0),MATCH(I$1,'Master data'!$B$1:$CL$1,0)),"")</f>
        <v/>
      </c>
      <c r="J838" s="7" t="str">
        <f>IFERROR(INDEX('Master data'!$B$2:$CL$1000,MATCH($B838,'Master data'!$A$2:$A$1000,0),MATCH(J$1,'Master data'!$B$1:$CL$1,0)),"")</f>
        <v/>
      </c>
      <c r="K838" s="7" t="str">
        <f>IFERROR(INDEX('Master data'!$B$2:$CL$1000,MATCH($B838,'Master data'!$A$2:$A$1000,0),MATCH(K$1,'Master data'!$B$1:$CL$1,0)),"")</f>
        <v/>
      </c>
      <c r="L838" s="7" t="str">
        <f>IFERROR(INDEX('Master data'!$B$2:$CL$1000,MATCH($B838,'Master data'!$A$2:$A$1000,0),MATCH(L$1,'Master data'!$B$1:$CL$1,0)),"")</f>
        <v/>
      </c>
      <c r="M838" s="5" t="str">
        <f>IFERROR(INDEX('Master data'!$B$2:$CL$1000,MATCH($B838,'Master data'!$A$2:$A$1000,0),MATCH(M$1,'Master data'!$B$1:$CL$1,0)),"")</f>
        <v/>
      </c>
      <c r="N838" s="28" t="str">
        <f>IFERROR(INDEX('Master data'!$B$2:$CL$1000,MATCH($B838,'Master data'!$A$2:$A$1000,0),MATCH(N$1,'Master data'!$B$1:$CL$1,0)),"")</f>
        <v/>
      </c>
      <c r="O838" s="7" t="str">
        <f>IFERROR(INDEX('Master data'!$B$2:$CL$1000,MATCH($B838,'Master data'!$A$2:$A$1000,0),MATCH(O$1,'Master data'!$B$1:$CL$1,0)),"")</f>
        <v/>
      </c>
      <c r="P838" s="5" t="str">
        <f>IFERROR(INDEX('Master data'!$B$2:$CL$1000,MATCH($B838,'Master data'!$A$2:$A$1000,0),MATCH(P$1,'Master data'!$B$1:$CL$1,0)),"")</f>
        <v/>
      </c>
      <c r="Q838" s="5" t="str">
        <f>IFERROR(INDEX('Master data'!$B$2:$CL$1000,MATCH($B838,'Master data'!$A$2:$A$1000,0),MATCH(Q$1,'Master data'!$B$1:$CL$1,0)),"")</f>
        <v/>
      </c>
    </row>
    <row r="839" spans="1:17" hidden="1">
      <c r="A839" t="str">
        <f t="shared" si="13"/>
        <v/>
      </c>
      <c r="B839" t="str">
        <f>IF('Master data'!A839="","",'Master data'!A839)</f>
        <v/>
      </c>
      <c r="C839" t="str">
        <f>IFERROR(INDEX('Master data'!$B$2:$CL$1000,MATCH($B839,'Master data'!$A$2:$A$1000,0),MATCH(C$1,'Master data'!$B$1:$CL$1,0)),"")</f>
        <v/>
      </c>
      <c r="D839" t="str">
        <f>IFERROR(INDEX('Master data'!$B$2:$CL$1000,MATCH($B839,'Master data'!$A$2:$A$1000,0),MATCH(D$1,'Master data'!$B$1:$CL$1,0)),"")</f>
        <v/>
      </c>
      <c r="E839" s="5" t="str">
        <f>IFERROR(INDEX('Master data'!$B$2:$CL$1000,MATCH($B839,'Master data'!$A$2:$A$1000,0),MATCH(E$1,'Master data'!$B$1:$CL$1,0)),"")</f>
        <v/>
      </c>
      <c r="F839" s="7" t="str">
        <f>IFERROR(INDEX('Master data'!$B$2:$CL$1000,MATCH($B839,'Master data'!$A$2:$A$1000,0),MATCH(F$1,'Master data'!$B$1:$CL$1,0)),"")</f>
        <v/>
      </c>
      <c r="G839" s="7" t="str">
        <f>IFERROR(INDEX('Master data'!$B$2:$CL$1000,MATCH($B839,'Master data'!$A$2:$A$1000,0),MATCH(G$1,'Master data'!$B$1:$CL$1,0)),"")</f>
        <v/>
      </c>
      <c r="H839" s="7" t="str">
        <f>IFERROR(INDEX('Master data'!$B$2:$CL$1000,MATCH($B839,'Master data'!$A$2:$A$1000,0),MATCH(H$1,'Master data'!$B$1:$CL$1,0)),"")</f>
        <v/>
      </c>
      <c r="I839" s="7" t="str">
        <f>IFERROR(INDEX('Master data'!$B$2:$CL$1000,MATCH($B839,'Master data'!$A$2:$A$1000,0),MATCH(I$1,'Master data'!$B$1:$CL$1,0)),"")</f>
        <v/>
      </c>
      <c r="J839" s="7" t="str">
        <f>IFERROR(INDEX('Master data'!$B$2:$CL$1000,MATCH($B839,'Master data'!$A$2:$A$1000,0),MATCH(J$1,'Master data'!$B$1:$CL$1,0)),"")</f>
        <v/>
      </c>
      <c r="K839" s="7" t="str">
        <f>IFERROR(INDEX('Master data'!$B$2:$CL$1000,MATCH($B839,'Master data'!$A$2:$A$1000,0),MATCH(K$1,'Master data'!$B$1:$CL$1,0)),"")</f>
        <v/>
      </c>
      <c r="L839" s="7" t="str">
        <f>IFERROR(INDEX('Master data'!$B$2:$CL$1000,MATCH($B839,'Master data'!$A$2:$A$1000,0),MATCH(L$1,'Master data'!$B$1:$CL$1,0)),"")</f>
        <v/>
      </c>
      <c r="M839" s="5" t="str">
        <f>IFERROR(INDEX('Master data'!$B$2:$CL$1000,MATCH($B839,'Master data'!$A$2:$A$1000,0),MATCH(M$1,'Master data'!$B$1:$CL$1,0)),"")</f>
        <v/>
      </c>
      <c r="N839" s="28" t="str">
        <f>IFERROR(INDEX('Master data'!$B$2:$CL$1000,MATCH($B839,'Master data'!$A$2:$A$1000,0),MATCH(N$1,'Master data'!$B$1:$CL$1,0)),"")</f>
        <v/>
      </c>
      <c r="O839" s="7" t="str">
        <f>IFERROR(INDEX('Master data'!$B$2:$CL$1000,MATCH($B839,'Master data'!$A$2:$A$1000,0),MATCH(O$1,'Master data'!$B$1:$CL$1,0)),"")</f>
        <v/>
      </c>
      <c r="P839" s="5" t="str">
        <f>IFERROR(INDEX('Master data'!$B$2:$CL$1000,MATCH($B839,'Master data'!$A$2:$A$1000,0),MATCH(P$1,'Master data'!$B$1:$CL$1,0)),"")</f>
        <v/>
      </c>
      <c r="Q839" s="5" t="str">
        <f>IFERROR(INDEX('Master data'!$B$2:$CL$1000,MATCH($B839,'Master data'!$A$2:$A$1000,0),MATCH(Q$1,'Master data'!$B$1:$CL$1,0)),"")</f>
        <v/>
      </c>
    </row>
    <row r="840" spans="1:17" hidden="1">
      <c r="A840" t="str">
        <f t="shared" si="13"/>
        <v/>
      </c>
      <c r="B840" t="str">
        <f>IF('Master data'!A840="","",'Master data'!A840)</f>
        <v/>
      </c>
      <c r="C840" t="str">
        <f>IFERROR(INDEX('Master data'!$B$2:$CL$1000,MATCH($B840,'Master data'!$A$2:$A$1000,0),MATCH(C$1,'Master data'!$B$1:$CL$1,0)),"")</f>
        <v/>
      </c>
      <c r="D840" t="str">
        <f>IFERROR(INDEX('Master data'!$B$2:$CL$1000,MATCH($B840,'Master data'!$A$2:$A$1000,0),MATCH(D$1,'Master data'!$B$1:$CL$1,0)),"")</f>
        <v/>
      </c>
      <c r="E840" s="5" t="str">
        <f>IFERROR(INDEX('Master data'!$B$2:$CL$1000,MATCH($B840,'Master data'!$A$2:$A$1000,0),MATCH(E$1,'Master data'!$B$1:$CL$1,0)),"")</f>
        <v/>
      </c>
      <c r="F840" s="7" t="str">
        <f>IFERROR(INDEX('Master data'!$B$2:$CL$1000,MATCH($B840,'Master data'!$A$2:$A$1000,0),MATCH(F$1,'Master data'!$B$1:$CL$1,0)),"")</f>
        <v/>
      </c>
      <c r="G840" s="7" t="str">
        <f>IFERROR(INDEX('Master data'!$B$2:$CL$1000,MATCH($B840,'Master data'!$A$2:$A$1000,0),MATCH(G$1,'Master data'!$B$1:$CL$1,0)),"")</f>
        <v/>
      </c>
      <c r="H840" s="7" t="str">
        <f>IFERROR(INDEX('Master data'!$B$2:$CL$1000,MATCH($B840,'Master data'!$A$2:$A$1000,0),MATCH(H$1,'Master data'!$B$1:$CL$1,0)),"")</f>
        <v/>
      </c>
      <c r="I840" s="7" t="str">
        <f>IFERROR(INDEX('Master data'!$B$2:$CL$1000,MATCH($B840,'Master data'!$A$2:$A$1000,0),MATCH(I$1,'Master data'!$B$1:$CL$1,0)),"")</f>
        <v/>
      </c>
      <c r="J840" s="7" t="str">
        <f>IFERROR(INDEX('Master data'!$B$2:$CL$1000,MATCH($B840,'Master data'!$A$2:$A$1000,0),MATCH(J$1,'Master data'!$B$1:$CL$1,0)),"")</f>
        <v/>
      </c>
      <c r="K840" s="7" t="str">
        <f>IFERROR(INDEX('Master data'!$B$2:$CL$1000,MATCH($B840,'Master data'!$A$2:$A$1000,0),MATCH(K$1,'Master data'!$B$1:$CL$1,0)),"")</f>
        <v/>
      </c>
      <c r="L840" s="7" t="str">
        <f>IFERROR(INDEX('Master data'!$B$2:$CL$1000,MATCH($B840,'Master data'!$A$2:$A$1000,0),MATCH(L$1,'Master data'!$B$1:$CL$1,0)),"")</f>
        <v/>
      </c>
      <c r="M840" s="5" t="str">
        <f>IFERROR(INDEX('Master data'!$B$2:$CL$1000,MATCH($B840,'Master data'!$A$2:$A$1000,0),MATCH(M$1,'Master data'!$B$1:$CL$1,0)),"")</f>
        <v/>
      </c>
      <c r="N840" s="28" t="str">
        <f>IFERROR(INDEX('Master data'!$B$2:$CL$1000,MATCH($B840,'Master data'!$A$2:$A$1000,0),MATCH(N$1,'Master data'!$B$1:$CL$1,0)),"")</f>
        <v/>
      </c>
      <c r="O840" s="7" t="str">
        <f>IFERROR(INDEX('Master data'!$B$2:$CL$1000,MATCH($B840,'Master data'!$A$2:$A$1000,0),MATCH(O$1,'Master data'!$B$1:$CL$1,0)),"")</f>
        <v/>
      </c>
      <c r="P840" s="5" t="str">
        <f>IFERROR(INDEX('Master data'!$B$2:$CL$1000,MATCH($B840,'Master data'!$A$2:$A$1000,0),MATCH(P$1,'Master data'!$B$1:$CL$1,0)),"")</f>
        <v/>
      </c>
      <c r="Q840" s="5" t="str">
        <f>IFERROR(INDEX('Master data'!$B$2:$CL$1000,MATCH($B840,'Master data'!$A$2:$A$1000,0),MATCH(Q$1,'Master data'!$B$1:$CL$1,0)),"")</f>
        <v/>
      </c>
    </row>
    <row r="841" spans="1:17" hidden="1">
      <c r="A841" t="str">
        <f t="shared" si="13"/>
        <v/>
      </c>
      <c r="B841" t="str">
        <f>IF('Master data'!A841="","",'Master data'!A841)</f>
        <v/>
      </c>
      <c r="C841" t="str">
        <f>IFERROR(INDEX('Master data'!$B$2:$CL$1000,MATCH($B841,'Master data'!$A$2:$A$1000,0),MATCH(C$1,'Master data'!$B$1:$CL$1,0)),"")</f>
        <v/>
      </c>
      <c r="D841" t="str">
        <f>IFERROR(INDEX('Master data'!$B$2:$CL$1000,MATCH($B841,'Master data'!$A$2:$A$1000,0),MATCH(D$1,'Master data'!$B$1:$CL$1,0)),"")</f>
        <v/>
      </c>
      <c r="E841" s="5" t="str">
        <f>IFERROR(INDEX('Master data'!$B$2:$CL$1000,MATCH($B841,'Master data'!$A$2:$A$1000,0),MATCH(E$1,'Master data'!$B$1:$CL$1,0)),"")</f>
        <v/>
      </c>
      <c r="F841" s="7" t="str">
        <f>IFERROR(INDEX('Master data'!$B$2:$CL$1000,MATCH($B841,'Master data'!$A$2:$A$1000,0),MATCH(F$1,'Master data'!$B$1:$CL$1,0)),"")</f>
        <v/>
      </c>
      <c r="G841" s="7" t="str">
        <f>IFERROR(INDEX('Master data'!$B$2:$CL$1000,MATCH($B841,'Master data'!$A$2:$A$1000,0),MATCH(G$1,'Master data'!$B$1:$CL$1,0)),"")</f>
        <v/>
      </c>
      <c r="H841" s="7" t="str">
        <f>IFERROR(INDEX('Master data'!$B$2:$CL$1000,MATCH($B841,'Master data'!$A$2:$A$1000,0),MATCH(H$1,'Master data'!$B$1:$CL$1,0)),"")</f>
        <v/>
      </c>
      <c r="I841" s="7" t="str">
        <f>IFERROR(INDEX('Master data'!$B$2:$CL$1000,MATCH($B841,'Master data'!$A$2:$A$1000,0),MATCH(I$1,'Master data'!$B$1:$CL$1,0)),"")</f>
        <v/>
      </c>
      <c r="J841" s="7" t="str">
        <f>IFERROR(INDEX('Master data'!$B$2:$CL$1000,MATCH($B841,'Master data'!$A$2:$A$1000,0),MATCH(J$1,'Master data'!$B$1:$CL$1,0)),"")</f>
        <v/>
      </c>
      <c r="K841" s="7" t="str">
        <f>IFERROR(INDEX('Master data'!$B$2:$CL$1000,MATCH($B841,'Master data'!$A$2:$A$1000,0),MATCH(K$1,'Master data'!$B$1:$CL$1,0)),"")</f>
        <v/>
      </c>
      <c r="L841" s="7" t="str">
        <f>IFERROR(INDEX('Master data'!$B$2:$CL$1000,MATCH($B841,'Master data'!$A$2:$A$1000,0),MATCH(L$1,'Master data'!$B$1:$CL$1,0)),"")</f>
        <v/>
      </c>
      <c r="M841" s="5" t="str">
        <f>IFERROR(INDEX('Master data'!$B$2:$CL$1000,MATCH($B841,'Master data'!$A$2:$A$1000,0),MATCH(M$1,'Master data'!$B$1:$CL$1,0)),"")</f>
        <v/>
      </c>
      <c r="N841" s="28" t="str">
        <f>IFERROR(INDEX('Master data'!$B$2:$CL$1000,MATCH($B841,'Master data'!$A$2:$A$1000,0),MATCH(N$1,'Master data'!$B$1:$CL$1,0)),"")</f>
        <v/>
      </c>
      <c r="O841" s="7" t="str">
        <f>IFERROR(INDEX('Master data'!$B$2:$CL$1000,MATCH($B841,'Master data'!$A$2:$A$1000,0),MATCH(O$1,'Master data'!$B$1:$CL$1,0)),"")</f>
        <v/>
      </c>
      <c r="P841" s="5" t="str">
        <f>IFERROR(INDEX('Master data'!$B$2:$CL$1000,MATCH($B841,'Master data'!$A$2:$A$1000,0),MATCH(P$1,'Master data'!$B$1:$CL$1,0)),"")</f>
        <v/>
      </c>
      <c r="Q841" s="5" t="str">
        <f>IFERROR(INDEX('Master data'!$B$2:$CL$1000,MATCH($B841,'Master data'!$A$2:$A$1000,0),MATCH(Q$1,'Master data'!$B$1:$CL$1,0)),"")</f>
        <v/>
      </c>
    </row>
    <row r="842" spans="1:17" hidden="1">
      <c r="A842" t="str">
        <f t="shared" si="13"/>
        <v/>
      </c>
      <c r="B842" t="str">
        <f>IF('Master data'!A842="","",'Master data'!A842)</f>
        <v/>
      </c>
      <c r="C842" t="str">
        <f>IFERROR(INDEX('Master data'!$B$2:$CL$1000,MATCH($B842,'Master data'!$A$2:$A$1000,0),MATCH(C$1,'Master data'!$B$1:$CL$1,0)),"")</f>
        <v/>
      </c>
      <c r="D842" t="str">
        <f>IFERROR(INDEX('Master data'!$B$2:$CL$1000,MATCH($B842,'Master data'!$A$2:$A$1000,0),MATCH(D$1,'Master data'!$B$1:$CL$1,0)),"")</f>
        <v/>
      </c>
      <c r="E842" s="5" t="str">
        <f>IFERROR(INDEX('Master data'!$B$2:$CL$1000,MATCH($B842,'Master data'!$A$2:$A$1000,0),MATCH(E$1,'Master data'!$B$1:$CL$1,0)),"")</f>
        <v/>
      </c>
      <c r="F842" s="7" t="str">
        <f>IFERROR(INDEX('Master data'!$B$2:$CL$1000,MATCH($B842,'Master data'!$A$2:$A$1000,0),MATCH(F$1,'Master data'!$B$1:$CL$1,0)),"")</f>
        <v/>
      </c>
      <c r="G842" s="7" t="str">
        <f>IFERROR(INDEX('Master data'!$B$2:$CL$1000,MATCH($B842,'Master data'!$A$2:$A$1000,0),MATCH(G$1,'Master data'!$B$1:$CL$1,0)),"")</f>
        <v/>
      </c>
      <c r="H842" s="7" t="str">
        <f>IFERROR(INDEX('Master data'!$B$2:$CL$1000,MATCH($B842,'Master data'!$A$2:$A$1000,0),MATCH(H$1,'Master data'!$B$1:$CL$1,0)),"")</f>
        <v/>
      </c>
      <c r="I842" s="7" t="str">
        <f>IFERROR(INDEX('Master data'!$B$2:$CL$1000,MATCH($B842,'Master data'!$A$2:$A$1000,0),MATCH(I$1,'Master data'!$B$1:$CL$1,0)),"")</f>
        <v/>
      </c>
      <c r="J842" s="7" t="str">
        <f>IFERROR(INDEX('Master data'!$B$2:$CL$1000,MATCH($B842,'Master data'!$A$2:$A$1000,0),MATCH(J$1,'Master data'!$B$1:$CL$1,0)),"")</f>
        <v/>
      </c>
      <c r="K842" s="7" t="str">
        <f>IFERROR(INDEX('Master data'!$B$2:$CL$1000,MATCH($B842,'Master data'!$A$2:$A$1000,0),MATCH(K$1,'Master data'!$B$1:$CL$1,0)),"")</f>
        <v/>
      </c>
      <c r="L842" s="7" t="str">
        <f>IFERROR(INDEX('Master data'!$B$2:$CL$1000,MATCH($B842,'Master data'!$A$2:$A$1000,0),MATCH(L$1,'Master data'!$B$1:$CL$1,0)),"")</f>
        <v/>
      </c>
      <c r="M842" s="5" t="str">
        <f>IFERROR(INDEX('Master data'!$B$2:$CL$1000,MATCH($B842,'Master data'!$A$2:$A$1000,0),MATCH(M$1,'Master data'!$B$1:$CL$1,0)),"")</f>
        <v/>
      </c>
      <c r="N842" s="28" t="str">
        <f>IFERROR(INDEX('Master data'!$B$2:$CL$1000,MATCH($B842,'Master data'!$A$2:$A$1000,0),MATCH(N$1,'Master data'!$B$1:$CL$1,0)),"")</f>
        <v/>
      </c>
      <c r="O842" s="7" t="str">
        <f>IFERROR(INDEX('Master data'!$B$2:$CL$1000,MATCH($B842,'Master data'!$A$2:$A$1000,0),MATCH(O$1,'Master data'!$B$1:$CL$1,0)),"")</f>
        <v/>
      </c>
      <c r="P842" s="5" t="str">
        <f>IFERROR(INDEX('Master data'!$B$2:$CL$1000,MATCH($B842,'Master data'!$A$2:$A$1000,0),MATCH(P$1,'Master data'!$B$1:$CL$1,0)),"")</f>
        <v/>
      </c>
      <c r="Q842" s="5" t="str">
        <f>IFERROR(INDEX('Master data'!$B$2:$CL$1000,MATCH($B842,'Master data'!$A$2:$A$1000,0),MATCH(Q$1,'Master data'!$B$1:$CL$1,0)),"")</f>
        <v/>
      </c>
    </row>
    <row r="843" spans="1:17" hidden="1">
      <c r="A843" t="str">
        <f t="shared" si="13"/>
        <v/>
      </c>
      <c r="B843" t="str">
        <f>IF('Master data'!A843="","",'Master data'!A843)</f>
        <v/>
      </c>
      <c r="C843" t="str">
        <f>IFERROR(INDEX('Master data'!$B$2:$CL$1000,MATCH($B843,'Master data'!$A$2:$A$1000,0),MATCH(C$1,'Master data'!$B$1:$CL$1,0)),"")</f>
        <v/>
      </c>
      <c r="D843" t="str">
        <f>IFERROR(INDEX('Master data'!$B$2:$CL$1000,MATCH($B843,'Master data'!$A$2:$A$1000,0),MATCH(D$1,'Master data'!$B$1:$CL$1,0)),"")</f>
        <v/>
      </c>
      <c r="E843" s="5" t="str">
        <f>IFERROR(INDEX('Master data'!$B$2:$CL$1000,MATCH($B843,'Master data'!$A$2:$A$1000,0),MATCH(E$1,'Master data'!$B$1:$CL$1,0)),"")</f>
        <v/>
      </c>
      <c r="F843" s="7" t="str">
        <f>IFERROR(INDEX('Master data'!$B$2:$CL$1000,MATCH($B843,'Master data'!$A$2:$A$1000,0),MATCH(F$1,'Master data'!$B$1:$CL$1,0)),"")</f>
        <v/>
      </c>
      <c r="G843" s="7" t="str">
        <f>IFERROR(INDEX('Master data'!$B$2:$CL$1000,MATCH($B843,'Master data'!$A$2:$A$1000,0),MATCH(G$1,'Master data'!$B$1:$CL$1,0)),"")</f>
        <v/>
      </c>
      <c r="H843" s="7" t="str">
        <f>IFERROR(INDEX('Master data'!$B$2:$CL$1000,MATCH($B843,'Master data'!$A$2:$A$1000,0),MATCH(H$1,'Master data'!$B$1:$CL$1,0)),"")</f>
        <v/>
      </c>
      <c r="I843" s="7" t="str">
        <f>IFERROR(INDEX('Master data'!$B$2:$CL$1000,MATCH($B843,'Master data'!$A$2:$A$1000,0),MATCH(I$1,'Master data'!$B$1:$CL$1,0)),"")</f>
        <v/>
      </c>
      <c r="J843" s="7" t="str">
        <f>IFERROR(INDEX('Master data'!$B$2:$CL$1000,MATCH($B843,'Master data'!$A$2:$A$1000,0),MATCH(J$1,'Master data'!$B$1:$CL$1,0)),"")</f>
        <v/>
      </c>
      <c r="K843" s="7" t="str">
        <f>IFERROR(INDEX('Master data'!$B$2:$CL$1000,MATCH($B843,'Master data'!$A$2:$A$1000,0),MATCH(K$1,'Master data'!$B$1:$CL$1,0)),"")</f>
        <v/>
      </c>
      <c r="L843" s="7" t="str">
        <f>IFERROR(INDEX('Master data'!$B$2:$CL$1000,MATCH($B843,'Master data'!$A$2:$A$1000,0),MATCH(L$1,'Master data'!$B$1:$CL$1,0)),"")</f>
        <v/>
      </c>
      <c r="M843" s="5" t="str">
        <f>IFERROR(INDEX('Master data'!$B$2:$CL$1000,MATCH($B843,'Master data'!$A$2:$A$1000,0),MATCH(M$1,'Master data'!$B$1:$CL$1,0)),"")</f>
        <v/>
      </c>
      <c r="N843" s="28" t="str">
        <f>IFERROR(INDEX('Master data'!$B$2:$CL$1000,MATCH($B843,'Master data'!$A$2:$A$1000,0),MATCH(N$1,'Master data'!$B$1:$CL$1,0)),"")</f>
        <v/>
      </c>
      <c r="O843" s="7" t="str">
        <f>IFERROR(INDEX('Master data'!$B$2:$CL$1000,MATCH($B843,'Master data'!$A$2:$A$1000,0),MATCH(O$1,'Master data'!$B$1:$CL$1,0)),"")</f>
        <v/>
      </c>
      <c r="P843" s="5" t="str">
        <f>IFERROR(INDEX('Master data'!$B$2:$CL$1000,MATCH($B843,'Master data'!$A$2:$A$1000,0),MATCH(P$1,'Master data'!$B$1:$CL$1,0)),"")</f>
        <v/>
      </c>
      <c r="Q843" s="5" t="str">
        <f>IFERROR(INDEX('Master data'!$B$2:$CL$1000,MATCH($B843,'Master data'!$A$2:$A$1000,0),MATCH(Q$1,'Master data'!$B$1:$CL$1,0)),"")</f>
        <v/>
      </c>
    </row>
    <row r="844" spans="1:17" hidden="1">
      <c r="A844" t="str">
        <f t="shared" si="13"/>
        <v/>
      </c>
      <c r="B844" t="str">
        <f>IF('Master data'!A844="","",'Master data'!A844)</f>
        <v/>
      </c>
      <c r="C844" t="str">
        <f>IFERROR(INDEX('Master data'!$B$2:$CL$1000,MATCH($B844,'Master data'!$A$2:$A$1000,0),MATCH(C$1,'Master data'!$B$1:$CL$1,0)),"")</f>
        <v/>
      </c>
      <c r="D844" t="str">
        <f>IFERROR(INDEX('Master data'!$B$2:$CL$1000,MATCH($B844,'Master data'!$A$2:$A$1000,0),MATCH(D$1,'Master data'!$B$1:$CL$1,0)),"")</f>
        <v/>
      </c>
      <c r="E844" s="5" t="str">
        <f>IFERROR(INDEX('Master data'!$B$2:$CL$1000,MATCH($B844,'Master data'!$A$2:$A$1000,0),MATCH(E$1,'Master data'!$B$1:$CL$1,0)),"")</f>
        <v/>
      </c>
      <c r="F844" s="7" t="str">
        <f>IFERROR(INDEX('Master data'!$B$2:$CL$1000,MATCH($B844,'Master data'!$A$2:$A$1000,0),MATCH(F$1,'Master data'!$B$1:$CL$1,0)),"")</f>
        <v/>
      </c>
      <c r="G844" s="7" t="str">
        <f>IFERROR(INDEX('Master data'!$B$2:$CL$1000,MATCH($B844,'Master data'!$A$2:$A$1000,0),MATCH(G$1,'Master data'!$B$1:$CL$1,0)),"")</f>
        <v/>
      </c>
      <c r="H844" s="7" t="str">
        <f>IFERROR(INDEX('Master data'!$B$2:$CL$1000,MATCH($B844,'Master data'!$A$2:$A$1000,0),MATCH(H$1,'Master data'!$B$1:$CL$1,0)),"")</f>
        <v/>
      </c>
      <c r="I844" s="7" t="str">
        <f>IFERROR(INDEX('Master data'!$B$2:$CL$1000,MATCH($B844,'Master data'!$A$2:$A$1000,0),MATCH(I$1,'Master data'!$B$1:$CL$1,0)),"")</f>
        <v/>
      </c>
      <c r="J844" s="7" t="str">
        <f>IFERROR(INDEX('Master data'!$B$2:$CL$1000,MATCH($B844,'Master data'!$A$2:$A$1000,0),MATCH(J$1,'Master data'!$B$1:$CL$1,0)),"")</f>
        <v/>
      </c>
      <c r="K844" s="7" t="str">
        <f>IFERROR(INDEX('Master data'!$B$2:$CL$1000,MATCH($B844,'Master data'!$A$2:$A$1000,0),MATCH(K$1,'Master data'!$B$1:$CL$1,0)),"")</f>
        <v/>
      </c>
      <c r="L844" s="7" t="str">
        <f>IFERROR(INDEX('Master data'!$B$2:$CL$1000,MATCH($B844,'Master data'!$A$2:$A$1000,0),MATCH(L$1,'Master data'!$B$1:$CL$1,0)),"")</f>
        <v/>
      </c>
      <c r="M844" s="5" t="str">
        <f>IFERROR(INDEX('Master data'!$B$2:$CL$1000,MATCH($B844,'Master data'!$A$2:$A$1000,0),MATCH(M$1,'Master data'!$B$1:$CL$1,0)),"")</f>
        <v/>
      </c>
      <c r="N844" s="28" t="str">
        <f>IFERROR(INDEX('Master data'!$B$2:$CL$1000,MATCH($B844,'Master data'!$A$2:$A$1000,0),MATCH(N$1,'Master data'!$B$1:$CL$1,0)),"")</f>
        <v/>
      </c>
      <c r="O844" s="7" t="str">
        <f>IFERROR(INDEX('Master data'!$B$2:$CL$1000,MATCH($B844,'Master data'!$A$2:$A$1000,0),MATCH(O$1,'Master data'!$B$1:$CL$1,0)),"")</f>
        <v/>
      </c>
      <c r="P844" s="5" t="str">
        <f>IFERROR(INDEX('Master data'!$B$2:$CL$1000,MATCH($B844,'Master data'!$A$2:$A$1000,0),MATCH(P$1,'Master data'!$B$1:$CL$1,0)),"")</f>
        <v/>
      </c>
      <c r="Q844" s="5" t="str">
        <f>IFERROR(INDEX('Master data'!$B$2:$CL$1000,MATCH($B844,'Master data'!$A$2:$A$1000,0),MATCH(Q$1,'Master data'!$B$1:$CL$1,0)),"")</f>
        <v/>
      </c>
    </row>
    <row r="845" spans="1:17" hidden="1">
      <c r="A845" t="str">
        <f t="shared" si="13"/>
        <v/>
      </c>
      <c r="B845" t="str">
        <f>IF('Master data'!A845="","",'Master data'!A845)</f>
        <v/>
      </c>
      <c r="C845" t="str">
        <f>IFERROR(INDEX('Master data'!$B$2:$CL$1000,MATCH($B845,'Master data'!$A$2:$A$1000,0),MATCH(C$1,'Master data'!$B$1:$CL$1,0)),"")</f>
        <v/>
      </c>
      <c r="D845" t="str">
        <f>IFERROR(INDEX('Master data'!$B$2:$CL$1000,MATCH($B845,'Master data'!$A$2:$A$1000,0),MATCH(D$1,'Master data'!$B$1:$CL$1,0)),"")</f>
        <v/>
      </c>
      <c r="E845" s="5" t="str">
        <f>IFERROR(INDEX('Master data'!$B$2:$CL$1000,MATCH($B845,'Master data'!$A$2:$A$1000,0),MATCH(E$1,'Master data'!$B$1:$CL$1,0)),"")</f>
        <v/>
      </c>
      <c r="F845" s="7" t="str">
        <f>IFERROR(INDEX('Master data'!$B$2:$CL$1000,MATCH($B845,'Master data'!$A$2:$A$1000,0),MATCH(F$1,'Master data'!$B$1:$CL$1,0)),"")</f>
        <v/>
      </c>
      <c r="G845" s="7" t="str">
        <f>IFERROR(INDEX('Master data'!$B$2:$CL$1000,MATCH($B845,'Master data'!$A$2:$A$1000,0),MATCH(G$1,'Master data'!$B$1:$CL$1,0)),"")</f>
        <v/>
      </c>
      <c r="H845" s="7" t="str">
        <f>IFERROR(INDEX('Master data'!$B$2:$CL$1000,MATCH($B845,'Master data'!$A$2:$A$1000,0),MATCH(H$1,'Master data'!$B$1:$CL$1,0)),"")</f>
        <v/>
      </c>
      <c r="I845" s="7" t="str">
        <f>IFERROR(INDEX('Master data'!$B$2:$CL$1000,MATCH($B845,'Master data'!$A$2:$A$1000,0),MATCH(I$1,'Master data'!$B$1:$CL$1,0)),"")</f>
        <v/>
      </c>
      <c r="J845" s="7" t="str">
        <f>IFERROR(INDEX('Master data'!$B$2:$CL$1000,MATCH($B845,'Master data'!$A$2:$A$1000,0),MATCH(J$1,'Master data'!$B$1:$CL$1,0)),"")</f>
        <v/>
      </c>
      <c r="K845" s="7" t="str">
        <f>IFERROR(INDEX('Master data'!$B$2:$CL$1000,MATCH($B845,'Master data'!$A$2:$A$1000,0),MATCH(K$1,'Master data'!$B$1:$CL$1,0)),"")</f>
        <v/>
      </c>
      <c r="L845" s="7" t="str">
        <f>IFERROR(INDEX('Master data'!$B$2:$CL$1000,MATCH($B845,'Master data'!$A$2:$A$1000,0),MATCH(L$1,'Master data'!$B$1:$CL$1,0)),"")</f>
        <v/>
      </c>
      <c r="M845" s="5" t="str">
        <f>IFERROR(INDEX('Master data'!$B$2:$CL$1000,MATCH($B845,'Master data'!$A$2:$A$1000,0),MATCH(M$1,'Master data'!$B$1:$CL$1,0)),"")</f>
        <v/>
      </c>
      <c r="N845" s="28" t="str">
        <f>IFERROR(INDEX('Master data'!$B$2:$CL$1000,MATCH($B845,'Master data'!$A$2:$A$1000,0),MATCH(N$1,'Master data'!$B$1:$CL$1,0)),"")</f>
        <v/>
      </c>
      <c r="O845" s="7" t="str">
        <f>IFERROR(INDEX('Master data'!$B$2:$CL$1000,MATCH($B845,'Master data'!$A$2:$A$1000,0),MATCH(O$1,'Master data'!$B$1:$CL$1,0)),"")</f>
        <v/>
      </c>
      <c r="P845" s="5" t="str">
        <f>IFERROR(INDEX('Master data'!$B$2:$CL$1000,MATCH($B845,'Master data'!$A$2:$A$1000,0),MATCH(P$1,'Master data'!$B$1:$CL$1,0)),"")</f>
        <v/>
      </c>
      <c r="Q845" s="5" t="str">
        <f>IFERROR(INDEX('Master data'!$B$2:$CL$1000,MATCH($B845,'Master data'!$A$2:$A$1000,0),MATCH(Q$1,'Master data'!$B$1:$CL$1,0)),"")</f>
        <v/>
      </c>
    </row>
    <row r="846" spans="1:17" hidden="1">
      <c r="A846" t="str">
        <f t="shared" si="13"/>
        <v/>
      </c>
      <c r="B846" t="str">
        <f>IF('Master data'!A846="","",'Master data'!A846)</f>
        <v/>
      </c>
      <c r="C846" t="str">
        <f>IFERROR(INDEX('Master data'!$B$2:$CL$1000,MATCH($B846,'Master data'!$A$2:$A$1000,0),MATCH(C$1,'Master data'!$B$1:$CL$1,0)),"")</f>
        <v/>
      </c>
      <c r="D846" t="str">
        <f>IFERROR(INDEX('Master data'!$B$2:$CL$1000,MATCH($B846,'Master data'!$A$2:$A$1000,0),MATCH(D$1,'Master data'!$B$1:$CL$1,0)),"")</f>
        <v/>
      </c>
      <c r="E846" s="5" t="str">
        <f>IFERROR(INDEX('Master data'!$B$2:$CL$1000,MATCH($B846,'Master data'!$A$2:$A$1000,0),MATCH(E$1,'Master data'!$B$1:$CL$1,0)),"")</f>
        <v/>
      </c>
      <c r="F846" s="7" t="str">
        <f>IFERROR(INDEX('Master data'!$B$2:$CL$1000,MATCH($B846,'Master data'!$A$2:$A$1000,0),MATCH(F$1,'Master data'!$B$1:$CL$1,0)),"")</f>
        <v/>
      </c>
      <c r="G846" s="7" t="str">
        <f>IFERROR(INDEX('Master data'!$B$2:$CL$1000,MATCH($B846,'Master data'!$A$2:$A$1000,0),MATCH(G$1,'Master data'!$B$1:$CL$1,0)),"")</f>
        <v/>
      </c>
      <c r="H846" s="7" t="str">
        <f>IFERROR(INDEX('Master data'!$B$2:$CL$1000,MATCH($B846,'Master data'!$A$2:$A$1000,0),MATCH(H$1,'Master data'!$B$1:$CL$1,0)),"")</f>
        <v/>
      </c>
      <c r="I846" s="7" t="str">
        <f>IFERROR(INDEX('Master data'!$B$2:$CL$1000,MATCH($B846,'Master data'!$A$2:$A$1000,0),MATCH(I$1,'Master data'!$B$1:$CL$1,0)),"")</f>
        <v/>
      </c>
      <c r="J846" s="7" t="str">
        <f>IFERROR(INDEX('Master data'!$B$2:$CL$1000,MATCH($B846,'Master data'!$A$2:$A$1000,0),MATCH(J$1,'Master data'!$B$1:$CL$1,0)),"")</f>
        <v/>
      </c>
      <c r="K846" s="7" t="str">
        <f>IFERROR(INDEX('Master data'!$B$2:$CL$1000,MATCH($B846,'Master data'!$A$2:$A$1000,0),MATCH(K$1,'Master data'!$B$1:$CL$1,0)),"")</f>
        <v/>
      </c>
      <c r="L846" s="7" t="str">
        <f>IFERROR(INDEX('Master data'!$B$2:$CL$1000,MATCH($B846,'Master data'!$A$2:$A$1000,0),MATCH(L$1,'Master data'!$B$1:$CL$1,0)),"")</f>
        <v/>
      </c>
      <c r="M846" s="5" t="str">
        <f>IFERROR(INDEX('Master data'!$B$2:$CL$1000,MATCH($B846,'Master data'!$A$2:$A$1000,0),MATCH(M$1,'Master data'!$B$1:$CL$1,0)),"")</f>
        <v/>
      </c>
      <c r="N846" s="28" t="str">
        <f>IFERROR(INDEX('Master data'!$B$2:$CL$1000,MATCH($B846,'Master data'!$A$2:$A$1000,0),MATCH(N$1,'Master data'!$B$1:$CL$1,0)),"")</f>
        <v/>
      </c>
      <c r="O846" s="7" t="str">
        <f>IFERROR(INDEX('Master data'!$B$2:$CL$1000,MATCH($B846,'Master data'!$A$2:$A$1000,0),MATCH(O$1,'Master data'!$B$1:$CL$1,0)),"")</f>
        <v/>
      </c>
      <c r="P846" s="5" t="str">
        <f>IFERROR(INDEX('Master data'!$B$2:$CL$1000,MATCH($B846,'Master data'!$A$2:$A$1000,0),MATCH(P$1,'Master data'!$B$1:$CL$1,0)),"")</f>
        <v/>
      </c>
      <c r="Q846" s="5" t="str">
        <f>IFERROR(INDEX('Master data'!$B$2:$CL$1000,MATCH($B846,'Master data'!$A$2:$A$1000,0),MATCH(Q$1,'Master data'!$B$1:$CL$1,0)),"")</f>
        <v/>
      </c>
    </row>
    <row r="847" spans="1:17" hidden="1">
      <c r="A847" t="str">
        <f t="shared" si="13"/>
        <v/>
      </c>
      <c r="B847" t="str">
        <f>IF('Master data'!A847="","",'Master data'!A847)</f>
        <v/>
      </c>
      <c r="C847" t="str">
        <f>IFERROR(INDEX('Master data'!$B$2:$CL$1000,MATCH($B847,'Master data'!$A$2:$A$1000,0),MATCH(C$1,'Master data'!$B$1:$CL$1,0)),"")</f>
        <v/>
      </c>
      <c r="D847" t="str">
        <f>IFERROR(INDEX('Master data'!$B$2:$CL$1000,MATCH($B847,'Master data'!$A$2:$A$1000,0),MATCH(D$1,'Master data'!$B$1:$CL$1,0)),"")</f>
        <v/>
      </c>
      <c r="E847" s="5" t="str">
        <f>IFERROR(INDEX('Master data'!$B$2:$CL$1000,MATCH($B847,'Master data'!$A$2:$A$1000,0),MATCH(E$1,'Master data'!$B$1:$CL$1,0)),"")</f>
        <v/>
      </c>
      <c r="F847" s="7" t="str">
        <f>IFERROR(INDEX('Master data'!$B$2:$CL$1000,MATCH($B847,'Master data'!$A$2:$A$1000,0),MATCH(F$1,'Master data'!$B$1:$CL$1,0)),"")</f>
        <v/>
      </c>
      <c r="G847" s="7" t="str">
        <f>IFERROR(INDEX('Master data'!$B$2:$CL$1000,MATCH($B847,'Master data'!$A$2:$A$1000,0),MATCH(G$1,'Master data'!$B$1:$CL$1,0)),"")</f>
        <v/>
      </c>
      <c r="H847" s="7" t="str">
        <f>IFERROR(INDEX('Master data'!$B$2:$CL$1000,MATCH($B847,'Master data'!$A$2:$A$1000,0),MATCH(H$1,'Master data'!$B$1:$CL$1,0)),"")</f>
        <v/>
      </c>
      <c r="I847" s="7" t="str">
        <f>IFERROR(INDEX('Master data'!$B$2:$CL$1000,MATCH($B847,'Master data'!$A$2:$A$1000,0),MATCH(I$1,'Master data'!$B$1:$CL$1,0)),"")</f>
        <v/>
      </c>
      <c r="J847" s="7" t="str">
        <f>IFERROR(INDEX('Master data'!$B$2:$CL$1000,MATCH($B847,'Master data'!$A$2:$A$1000,0),MATCH(J$1,'Master data'!$B$1:$CL$1,0)),"")</f>
        <v/>
      </c>
      <c r="K847" s="7" t="str">
        <f>IFERROR(INDEX('Master data'!$B$2:$CL$1000,MATCH($B847,'Master data'!$A$2:$A$1000,0),MATCH(K$1,'Master data'!$B$1:$CL$1,0)),"")</f>
        <v/>
      </c>
      <c r="L847" s="7" t="str">
        <f>IFERROR(INDEX('Master data'!$B$2:$CL$1000,MATCH($B847,'Master data'!$A$2:$A$1000,0),MATCH(L$1,'Master data'!$B$1:$CL$1,0)),"")</f>
        <v/>
      </c>
      <c r="M847" s="5" t="str">
        <f>IFERROR(INDEX('Master data'!$B$2:$CL$1000,MATCH($B847,'Master data'!$A$2:$A$1000,0),MATCH(M$1,'Master data'!$B$1:$CL$1,0)),"")</f>
        <v/>
      </c>
      <c r="N847" s="28" t="str">
        <f>IFERROR(INDEX('Master data'!$B$2:$CL$1000,MATCH($B847,'Master data'!$A$2:$A$1000,0),MATCH(N$1,'Master data'!$B$1:$CL$1,0)),"")</f>
        <v/>
      </c>
      <c r="O847" s="7" t="str">
        <f>IFERROR(INDEX('Master data'!$B$2:$CL$1000,MATCH($B847,'Master data'!$A$2:$A$1000,0),MATCH(O$1,'Master data'!$B$1:$CL$1,0)),"")</f>
        <v/>
      </c>
      <c r="P847" s="5" t="str">
        <f>IFERROR(INDEX('Master data'!$B$2:$CL$1000,MATCH($B847,'Master data'!$A$2:$A$1000,0),MATCH(P$1,'Master data'!$B$1:$CL$1,0)),"")</f>
        <v/>
      </c>
      <c r="Q847" s="5" t="str">
        <f>IFERROR(INDEX('Master data'!$B$2:$CL$1000,MATCH($B847,'Master data'!$A$2:$A$1000,0),MATCH(Q$1,'Master data'!$B$1:$CL$1,0)),"")</f>
        <v/>
      </c>
    </row>
    <row r="848" spans="1:17" hidden="1">
      <c r="A848" t="str">
        <f t="shared" si="13"/>
        <v/>
      </c>
      <c r="B848" t="str">
        <f>IF('Master data'!A848="","",'Master data'!A848)</f>
        <v/>
      </c>
      <c r="C848" t="str">
        <f>IFERROR(INDEX('Master data'!$B$2:$CL$1000,MATCH($B848,'Master data'!$A$2:$A$1000,0),MATCH(C$1,'Master data'!$B$1:$CL$1,0)),"")</f>
        <v/>
      </c>
      <c r="D848" t="str">
        <f>IFERROR(INDEX('Master data'!$B$2:$CL$1000,MATCH($B848,'Master data'!$A$2:$A$1000,0),MATCH(D$1,'Master data'!$B$1:$CL$1,0)),"")</f>
        <v/>
      </c>
      <c r="E848" s="5" t="str">
        <f>IFERROR(INDEX('Master data'!$B$2:$CL$1000,MATCH($B848,'Master data'!$A$2:$A$1000,0),MATCH(E$1,'Master data'!$B$1:$CL$1,0)),"")</f>
        <v/>
      </c>
      <c r="F848" s="7" t="str">
        <f>IFERROR(INDEX('Master data'!$B$2:$CL$1000,MATCH($B848,'Master data'!$A$2:$A$1000,0),MATCH(F$1,'Master data'!$B$1:$CL$1,0)),"")</f>
        <v/>
      </c>
      <c r="G848" s="7" t="str">
        <f>IFERROR(INDEX('Master data'!$B$2:$CL$1000,MATCH($B848,'Master data'!$A$2:$A$1000,0),MATCH(G$1,'Master data'!$B$1:$CL$1,0)),"")</f>
        <v/>
      </c>
      <c r="H848" s="7" t="str">
        <f>IFERROR(INDEX('Master data'!$B$2:$CL$1000,MATCH($B848,'Master data'!$A$2:$A$1000,0),MATCH(H$1,'Master data'!$B$1:$CL$1,0)),"")</f>
        <v/>
      </c>
      <c r="I848" s="7" t="str">
        <f>IFERROR(INDEX('Master data'!$B$2:$CL$1000,MATCH($B848,'Master data'!$A$2:$A$1000,0),MATCH(I$1,'Master data'!$B$1:$CL$1,0)),"")</f>
        <v/>
      </c>
      <c r="J848" s="7" t="str">
        <f>IFERROR(INDEX('Master data'!$B$2:$CL$1000,MATCH($B848,'Master data'!$A$2:$A$1000,0),MATCH(J$1,'Master data'!$B$1:$CL$1,0)),"")</f>
        <v/>
      </c>
      <c r="K848" s="7" t="str">
        <f>IFERROR(INDEX('Master data'!$B$2:$CL$1000,MATCH($B848,'Master data'!$A$2:$A$1000,0),MATCH(K$1,'Master data'!$B$1:$CL$1,0)),"")</f>
        <v/>
      </c>
      <c r="L848" s="7" t="str">
        <f>IFERROR(INDEX('Master data'!$B$2:$CL$1000,MATCH($B848,'Master data'!$A$2:$A$1000,0),MATCH(L$1,'Master data'!$B$1:$CL$1,0)),"")</f>
        <v/>
      </c>
      <c r="M848" s="5" t="str">
        <f>IFERROR(INDEX('Master data'!$B$2:$CL$1000,MATCH($B848,'Master data'!$A$2:$A$1000,0),MATCH(M$1,'Master data'!$B$1:$CL$1,0)),"")</f>
        <v/>
      </c>
      <c r="N848" s="28" t="str">
        <f>IFERROR(INDEX('Master data'!$B$2:$CL$1000,MATCH($B848,'Master data'!$A$2:$A$1000,0),MATCH(N$1,'Master data'!$B$1:$CL$1,0)),"")</f>
        <v/>
      </c>
      <c r="O848" s="7" t="str">
        <f>IFERROR(INDEX('Master data'!$B$2:$CL$1000,MATCH($B848,'Master data'!$A$2:$A$1000,0),MATCH(O$1,'Master data'!$B$1:$CL$1,0)),"")</f>
        <v/>
      </c>
      <c r="P848" s="5" t="str">
        <f>IFERROR(INDEX('Master data'!$B$2:$CL$1000,MATCH($B848,'Master data'!$A$2:$A$1000,0),MATCH(P$1,'Master data'!$B$1:$CL$1,0)),"")</f>
        <v/>
      </c>
      <c r="Q848" s="5" t="str">
        <f>IFERROR(INDEX('Master data'!$B$2:$CL$1000,MATCH($B848,'Master data'!$A$2:$A$1000,0),MATCH(Q$1,'Master data'!$B$1:$CL$1,0)),"")</f>
        <v/>
      </c>
    </row>
    <row r="849" spans="1:17" hidden="1">
      <c r="A849" t="str">
        <f t="shared" si="13"/>
        <v/>
      </c>
      <c r="B849" t="str">
        <f>IF('Master data'!A849="","",'Master data'!A849)</f>
        <v/>
      </c>
      <c r="C849" t="str">
        <f>IFERROR(INDEX('Master data'!$B$2:$CL$1000,MATCH($B849,'Master data'!$A$2:$A$1000,0),MATCH(C$1,'Master data'!$B$1:$CL$1,0)),"")</f>
        <v/>
      </c>
      <c r="D849" t="str">
        <f>IFERROR(INDEX('Master data'!$B$2:$CL$1000,MATCH($B849,'Master data'!$A$2:$A$1000,0),MATCH(D$1,'Master data'!$B$1:$CL$1,0)),"")</f>
        <v/>
      </c>
      <c r="E849" s="5" t="str">
        <f>IFERROR(INDEX('Master data'!$B$2:$CL$1000,MATCH($B849,'Master data'!$A$2:$A$1000,0),MATCH(E$1,'Master data'!$B$1:$CL$1,0)),"")</f>
        <v/>
      </c>
      <c r="F849" s="7" t="str">
        <f>IFERROR(INDEX('Master data'!$B$2:$CL$1000,MATCH($B849,'Master data'!$A$2:$A$1000,0),MATCH(F$1,'Master data'!$B$1:$CL$1,0)),"")</f>
        <v/>
      </c>
      <c r="G849" s="7" t="str">
        <f>IFERROR(INDEX('Master data'!$B$2:$CL$1000,MATCH($B849,'Master data'!$A$2:$A$1000,0),MATCH(G$1,'Master data'!$B$1:$CL$1,0)),"")</f>
        <v/>
      </c>
      <c r="H849" s="7" t="str">
        <f>IFERROR(INDEX('Master data'!$B$2:$CL$1000,MATCH($B849,'Master data'!$A$2:$A$1000,0),MATCH(H$1,'Master data'!$B$1:$CL$1,0)),"")</f>
        <v/>
      </c>
      <c r="I849" s="7" t="str">
        <f>IFERROR(INDEX('Master data'!$B$2:$CL$1000,MATCH($B849,'Master data'!$A$2:$A$1000,0),MATCH(I$1,'Master data'!$B$1:$CL$1,0)),"")</f>
        <v/>
      </c>
      <c r="J849" s="7" t="str">
        <f>IFERROR(INDEX('Master data'!$B$2:$CL$1000,MATCH($B849,'Master data'!$A$2:$A$1000,0),MATCH(J$1,'Master data'!$B$1:$CL$1,0)),"")</f>
        <v/>
      </c>
      <c r="K849" s="7" t="str">
        <f>IFERROR(INDEX('Master data'!$B$2:$CL$1000,MATCH($B849,'Master data'!$A$2:$A$1000,0),MATCH(K$1,'Master data'!$B$1:$CL$1,0)),"")</f>
        <v/>
      </c>
      <c r="L849" s="7" t="str">
        <f>IFERROR(INDEX('Master data'!$B$2:$CL$1000,MATCH($B849,'Master data'!$A$2:$A$1000,0),MATCH(L$1,'Master data'!$B$1:$CL$1,0)),"")</f>
        <v/>
      </c>
      <c r="M849" s="5" t="str">
        <f>IFERROR(INDEX('Master data'!$B$2:$CL$1000,MATCH($B849,'Master data'!$A$2:$A$1000,0),MATCH(M$1,'Master data'!$B$1:$CL$1,0)),"")</f>
        <v/>
      </c>
      <c r="N849" s="28" t="str">
        <f>IFERROR(INDEX('Master data'!$B$2:$CL$1000,MATCH($B849,'Master data'!$A$2:$A$1000,0),MATCH(N$1,'Master data'!$B$1:$CL$1,0)),"")</f>
        <v/>
      </c>
      <c r="O849" s="7" t="str">
        <f>IFERROR(INDEX('Master data'!$B$2:$CL$1000,MATCH($B849,'Master data'!$A$2:$A$1000,0),MATCH(O$1,'Master data'!$B$1:$CL$1,0)),"")</f>
        <v/>
      </c>
      <c r="P849" s="5" t="str">
        <f>IFERROR(INDEX('Master data'!$B$2:$CL$1000,MATCH($B849,'Master data'!$A$2:$A$1000,0),MATCH(P$1,'Master data'!$B$1:$CL$1,0)),"")</f>
        <v/>
      </c>
      <c r="Q849" s="5" t="str">
        <f>IFERROR(INDEX('Master data'!$B$2:$CL$1000,MATCH($B849,'Master data'!$A$2:$A$1000,0),MATCH(Q$1,'Master data'!$B$1:$CL$1,0)),"")</f>
        <v/>
      </c>
    </row>
    <row r="850" spans="1:17" hidden="1">
      <c r="A850" t="str">
        <f t="shared" si="13"/>
        <v/>
      </c>
      <c r="B850" t="str">
        <f>IF('Master data'!A850="","",'Master data'!A850)</f>
        <v/>
      </c>
      <c r="C850" t="str">
        <f>IFERROR(INDEX('Master data'!$B$2:$CL$1000,MATCH($B850,'Master data'!$A$2:$A$1000,0),MATCH(C$1,'Master data'!$B$1:$CL$1,0)),"")</f>
        <v/>
      </c>
      <c r="D850" t="str">
        <f>IFERROR(INDEX('Master data'!$B$2:$CL$1000,MATCH($B850,'Master data'!$A$2:$A$1000,0),MATCH(D$1,'Master data'!$B$1:$CL$1,0)),"")</f>
        <v/>
      </c>
      <c r="E850" s="5" t="str">
        <f>IFERROR(INDEX('Master data'!$B$2:$CL$1000,MATCH($B850,'Master data'!$A$2:$A$1000,0),MATCH(E$1,'Master data'!$B$1:$CL$1,0)),"")</f>
        <v/>
      </c>
      <c r="F850" s="7" t="str">
        <f>IFERROR(INDEX('Master data'!$B$2:$CL$1000,MATCH($B850,'Master data'!$A$2:$A$1000,0),MATCH(F$1,'Master data'!$B$1:$CL$1,0)),"")</f>
        <v/>
      </c>
      <c r="G850" s="7" t="str">
        <f>IFERROR(INDEX('Master data'!$B$2:$CL$1000,MATCH($B850,'Master data'!$A$2:$A$1000,0),MATCH(G$1,'Master data'!$B$1:$CL$1,0)),"")</f>
        <v/>
      </c>
      <c r="H850" s="7" t="str">
        <f>IFERROR(INDEX('Master data'!$B$2:$CL$1000,MATCH($B850,'Master data'!$A$2:$A$1000,0),MATCH(H$1,'Master data'!$B$1:$CL$1,0)),"")</f>
        <v/>
      </c>
      <c r="I850" s="7" t="str">
        <f>IFERROR(INDEX('Master data'!$B$2:$CL$1000,MATCH($B850,'Master data'!$A$2:$A$1000,0),MATCH(I$1,'Master data'!$B$1:$CL$1,0)),"")</f>
        <v/>
      </c>
      <c r="J850" s="7" t="str">
        <f>IFERROR(INDEX('Master data'!$B$2:$CL$1000,MATCH($B850,'Master data'!$A$2:$A$1000,0),MATCH(J$1,'Master data'!$B$1:$CL$1,0)),"")</f>
        <v/>
      </c>
      <c r="K850" s="7" t="str">
        <f>IFERROR(INDEX('Master data'!$B$2:$CL$1000,MATCH($B850,'Master data'!$A$2:$A$1000,0),MATCH(K$1,'Master data'!$B$1:$CL$1,0)),"")</f>
        <v/>
      </c>
      <c r="L850" s="7" t="str">
        <f>IFERROR(INDEX('Master data'!$B$2:$CL$1000,MATCH($B850,'Master data'!$A$2:$A$1000,0),MATCH(L$1,'Master data'!$B$1:$CL$1,0)),"")</f>
        <v/>
      </c>
      <c r="M850" s="5" t="str">
        <f>IFERROR(INDEX('Master data'!$B$2:$CL$1000,MATCH($B850,'Master data'!$A$2:$A$1000,0),MATCH(M$1,'Master data'!$B$1:$CL$1,0)),"")</f>
        <v/>
      </c>
      <c r="N850" s="28" t="str">
        <f>IFERROR(INDEX('Master data'!$B$2:$CL$1000,MATCH($B850,'Master data'!$A$2:$A$1000,0),MATCH(N$1,'Master data'!$B$1:$CL$1,0)),"")</f>
        <v/>
      </c>
      <c r="O850" s="7" t="str">
        <f>IFERROR(INDEX('Master data'!$B$2:$CL$1000,MATCH($B850,'Master data'!$A$2:$A$1000,0),MATCH(O$1,'Master data'!$B$1:$CL$1,0)),"")</f>
        <v/>
      </c>
      <c r="P850" s="5" t="str">
        <f>IFERROR(INDEX('Master data'!$B$2:$CL$1000,MATCH($B850,'Master data'!$A$2:$A$1000,0),MATCH(P$1,'Master data'!$B$1:$CL$1,0)),"")</f>
        <v/>
      </c>
      <c r="Q850" s="5" t="str">
        <f>IFERROR(INDEX('Master data'!$B$2:$CL$1000,MATCH($B850,'Master data'!$A$2:$A$1000,0),MATCH(Q$1,'Master data'!$B$1:$CL$1,0)),"")</f>
        <v/>
      </c>
    </row>
    <row r="851" spans="1:17" hidden="1">
      <c r="A851" t="str">
        <f t="shared" si="13"/>
        <v/>
      </c>
      <c r="B851" t="str">
        <f>IF('Master data'!A851="","",'Master data'!A851)</f>
        <v/>
      </c>
      <c r="C851" t="str">
        <f>IFERROR(INDEX('Master data'!$B$2:$CL$1000,MATCH($B851,'Master data'!$A$2:$A$1000,0),MATCH(C$1,'Master data'!$B$1:$CL$1,0)),"")</f>
        <v/>
      </c>
      <c r="D851" t="str">
        <f>IFERROR(INDEX('Master data'!$B$2:$CL$1000,MATCH($B851,'Master data'!$A$2:$A$1000,0),MATCH(D$1,'Master data'!$B$1:$CL$1,0)),"")</f>
        <v/>
      </c>
      <c r="E851" s="5" t="str">
        <f>IFERROR(INDEX('Master data'!$B$2:$CL$1000,MATCH($B851,'Master data'!$A$2:$A$1000,0),MATCH(E$1,'Master data'!$B$1:$CL$1,0)),"")</f>
        <v/>
      </c>
      <c r="F851" s="7" t="str">
        <f>IFERROR(INDEX('Master data'!$B$2:$CL$1000,MATCH($B851,'Master data'!$A$2:$A$1000,0),MATCH(F$1,'Master data'!$B$1:$CL$1,0)),"")</f>
        <v/>
      </c>
      <c r="G851" s="7" t="str">
        <f>IFERROR(INDEX('Master data'!$B$2:$CL$1000,MATCH($B851,'Master data'!$A$2:$A$1000,0),MATCH(G$1,'Master data'!$B$1:$CL$1,0)),"")</f>
        <v/>
      </c>
      <c r="H851" s="7" t="str">
        <f>IFERROR(INDEX('Master data'!$B$2:$CL$1000,MATCH($B851,'Master data'!$A$2:$A$1000,0),MATCH(H$1,'Master data'!$B$1:$CL$1,0)),"")</f>
        <v/>
      </c>
      <c r="I851" s="7" t="str">
        <f>IFERROR(INDEX('Master data'!$B$2:$CL$1000,MATCH($B851,'Master data'!$A$2:$A$1000,0),MATCH(I$1,'Master data'!$B$1:$CL$1,0)),"")</f>
        <v/>
      </c>
      <c r="J851" s="7" t="str">
        <f>IFERROR(INDEX('Master data'!$B$2:$CL$1000,MATCH($B851,'Master data'!$A$2:$A$1000,0),MATCH(J$1,'Master data'!$B$1:$CL$1,0)),"")</f>
        <v/>
      </c>
      <c r="K851" s="7" t="str">
        <f>IFERROR(INDEX('Master data'!$B$2:$CL$1000,MATCH($B851,'Master data'!$A$2:$A$1000,0),MATCH(K$1,'Master data'!$B$1:$CL$1,0)),"")</f>
        <v/>
      </c>
      <c r="L851" s="7" t="str">
        <f>IFERROR(INDEX('Master data'!$B$2:$CL$1000,MATCH($B851,'Master data'!$A$2:$A$1000,0),MATCH(L$1,'Master data'!$B$1:$CL$1,0)),"")</f>
        <v/>
      </c>
      <c r="M851" s="5" t="str">
        <f>IFERROR(INDEX('Master data'!$B$2:$CL$1000,MATCH($B851,'Master data'!$A$2:$A$1000,0),MATCH(M$1,'Master data'!$B$1:$CL$1,0)),"")</f>
        <v/>
      </c>
      <c r="N851" s="28" t="str">
        <f>IFERROR(INDEX('Master data'!$B$2:$CL$1000,MATCH($B851,'Master data'!$A$2:$A$1000,0),MATCH(N$1,'Master data'!$B$1:$CL$1,0)),"")</f>
        <v/>
      </c>
      <c r="O851" s="7" t="str">
        <f>IFERROR(INDEX('Master data'!$B$2:$CL$1000,MATCH($B851,'Master data'!$A$2:$A$1000,0),MATCH(O$1,'Master data'!$B$1:$CL$1,0)),"")</f>
        <v/>
      </c>
      <c r="P851" s="5" t="str">
        <f>IFERROR(INDEX('Master data'!$B$2:$CL$1000,MATCH($B851,'Master data'!$A$2:$A$1000,0),MATCH(P$1,'Master data'!$B$1:$CL$1,0)),"")</f>
        <v/>
      </c>
      <c r="Q851" s="5" t="str">
        <f>IFERROR(INDEX('Master data'!$B$2:$CL$1000,MATCH($B851,'Master data'!$A$2:$A$1000,0),MATCH(Q$1,'Master data'!$B$1:$CL$1,0)),"")</f>
        <v/>
      </c>
    </row>
    <row r="852" spans="1:17" hidden="1">
      <c r="A852" t="str">
        <f t="shared" si="13"/>
        <v/>
      </c>
      <c r="B852" t="str">
        <f>IF('Master data'!A852="","",'Master data'!A852)</f>
        <v/>
      </c>
      <c r="C852" t="str">
        <f>IFERROR(INDEX('Master data'!$B$2:$CL$1000,MATCH($B852,'Master data'!$A$2:$A$1000,0),MATCH(C$1,'Master data'!$B$1:$CL$1,0)),"")</f>
        <v/>
      </c>
      <c r="D852" t="str">
        <f>IFERROR(INDEX('Master data'!$B$2:$CL$1000,MATCH($B852,'Master data'!$A$2:$A$1000,0),MATCH(D$1,'Master data'!$B$1:$CL$1,0)),"")</f>
        <v/>
      </c>
      <c r="E852" s="5" t="str">
        <f>IFERROR(INDEX('Master data'!$B$2:$CL$1000,MATCH($B852,'Master data'!$A$2:$A$1000,0),MATCH(E$1,'Master data'!$B$1:$CL$1,0)),"")</f>
        <v/>
      </c>
      <c r="F852" s="7" t="str">
        <f>IFERROR(INDEX('Master data'!$B$2:$CL$1000,MATCH($B852,'Master data'!$A$2:$A$1000,0),MATCH(F$1,'Master data'!$B$1:$CL$1,0)),"")</f>
        <v/>
      </c>
      <c r="G852" s="7" t="str">
        <f>IFERROR(INDEX('Master data'!$B$2:$CL$1000,MATCH($B852,'Master data'!$A$2:$A$1000,0),MATCH(G$1,'Master data'!$B$1:$CL$1,0)),"")</f>
        <v/>
      </c>
      <c r="H852" s="7" t="str">
        <f>IFERROR(INDEX('Master data'!$B$2:$CL$1000,MATCH($B852,'Master data'!$A$2:$A$1000,0),MATCH(H$1,'Master data'!$B$1:$CL$1,0)),"")</f>
        <v/>
      </c>
      <c r="I852" s="7" t="str">
        <f>IFERROR(INDEX('Master data'!$B$2:$CL$1000,MATCH($B852,'Master data'!$A$2:$A$1000,0),MATCH(I$1,'Master data'!$B$1:$CL$1,0)),"")</f>
        <v/>
      </c>
      <c r="J852" s="7" t="str">
        <f>IFERROR(INDEX('Master data'!$B$2:$CL$1000,MATCH($B852,'Master data'!$A$2:$A$1000,0),MATCH(J$1,'Master data'!$B$1:$CL$1,0)),"")</f>
        <v/>
      </c>
      <c r="K852" s="7" t="str">
        <f>IFERROR(INDEX('Master data'!$B$2:$CL$1000,MATCH($B852,'Master data'!$A$2:$A$1000,0),MATCH(K$1,'Master data'!$B$1:$CL$1,0)),"")</f>
        <v/>
      </c>
      <c r="L852" s="7" t="str">
        <f>IFERROR(INDEX('Master data'!$B$2:$CL$1000,MATCH($B852,'Master data'!$A$2:$A$1000,0),MATCH(L$1,'Master data'!$B$1:$CL$1,0)),"")</f>
        <v/>
      </c>
      <c r="M852" s="5" t="str">
        <f>IFERROR(INDEX('Master data'!$B$2:$CL$1000,MATCH($B852,'Master data'!$A$2:$A$1000,0),MATCH(M$1,'Master data'!$B$1:$CL$1,0)),"")</f>
        <v/>
      </c>
      <c r="N852" s="28" t="str">
        <f>IFERROR(INDEX('Master data'!$B$2:$CL$1000,MATCH($B852,'Master data'!$A$2:$A$1000,0),MATCH(N$1,'Master data'!$B$1:$CL$1,0)),"")</f>
        <v/>
      </c>
      <c r="O852" s="7" t="str">
        <f>IFERROR(INDEX('Master data'!$B$2:$CL$1000,MATCH($B852,'Master data'!$A$2:$A$1000,0),MATCH(O$1,'Master data'!$B$1:$CL$1,0)),"")</f>
        <v/>
      </c>
      <c r="P852" s="5" t="str">
        <f>IFERROR(INDEX('Master data'!$B$2:$CL$1000,MATCH($B852,'Master data'!$A$2:$A$1000,0),MATCH(P$1,'Master data'!$B$1:$CL$1,0)),"")</f>
        <v/>
      </c>
      <c r="Q852" s="5" t="str">
        <f>IFERROR(INDEX('Master data'!$B$2:$CL$1000,MATCH($B852,'Master data'!$A$2:$A$1000,0),MATCH(Q$1,'Master data'!$B$1:$CL$1,0)),"")</f>
        <v/>
      </c>
    </row>
    <row r="853" spans="1:17" hidden="1">
      <c r="A853" t="str">
        <f t="shared" si="13"/>
        <v/>
      </c>
      <c r="B853" t="str">
        <f>IF('Master data'!A853="","",'Master data'!A853)</f>
        <v/>
      </c>
      <c r="C853" t="str">
        <f>IFERROR(INDEX('Master data'!$B$2:$CL$1000,MATCH($B853,'Master data'!$A$2:$A$1000,0),MATCH(C$1,'Master data'!$B$1:$CL$1,0)),"")</f>
        <v/>
      </c>
      <c r="D853" t="str">
        <f>IFERROR(INDEX('Master data'!$B$2:$CL$1000,MATCH($B853,'Master data'!$A$2:$A$1000,0),MATCH(D$1,'Master data'!$B$1:$CL$1,0)),"")</f>
        <v/>
      </c>
      <c r="E853" s="5" t="str">
        <f>IFERROR(INDEX('Master data'!$B$2:$CL$1000,MATCH($B853,'Master data'!$A$2:$A$1000,0),MATCH(E$1,'Master data'!$B$1:$CL$1,0)),"")</f>
        <v/>
      </c>
      <c r="F853" s="7" t="str">
        <f>IFERROR(INDEX('Master data'!$B$2:$CL$1000,MATCH($B853,'Master data'!$A$2:$A$1000,0),MATCH(F$1,'Master data'!$B$1:$CL$1,0)),"")</f>
        <v/>
      </c>
      <c r="G853" s="7" t="str">
        <f>IFERROR(INDEX('Master data'!$B$2:$CL$1000,MATCH($B853,'Master data'!$A$2:$A$1000,0),MATCH(G$1,'Master data'!$B$1:$CL$1,0)),"")</f>
        <v/>
      </c>
      <c r="H853" s="7" t="str">
        <f>IFERROR(INDEX('Master data'!$B$2:$CL$1000,MATCH($B853,'Master data'!$A$2:$A$1000,0),MATCH(H$1,'Master data'!$B$1:$CL$1,0)),"")</f>
        <v/>
      </c>
      <c r="I853" s="7" t="str">
        <f>IFERROR(INDEX('Master data'!$B$2:$CL$1000,MATCH($B853,'Master data'!$A$2:$A$1000,0),MATCH(I$1,'Master data'!$B$1:$CL$1,0)),"")</f>
        <v/>
      </c>
      <c r="J853" s="7" t="str">
        <f>IFERROR(INDEX('Master data'!$B$2:$CL$1000,MATCH($B853,'Master data'!$A$2:$A$1000,0),MATCH(J$1,'Master data'!$B$1:$CL$1,0)),"")</f>
        <v/>
      </c>
      <c r="K853" s="7" t="str">
        <f>IFERROR(INDEX('Master data'!$B$2:$CL$1000,MATCH($B853,'Master data'!$A$2:$A$1000,0),MATCH(K$1,'Master data'!$B$1:$CL$1,0)),"")</f>
        <v/>
      </c>
      <c r="L853" s="7" t="str">
        <f>IFERROR(INDEX('Master data'!$B$2:$CL$1000,MATCH($B853,'Master data'!$A$2:$A$1000,0),MATCH(L$1,'Master data'!$B$1:$CL$1,0)),"")</f>
        <v/>
      </c>
      <c r="M853" s="5" t="str">
        <f>IFERROR(INDEX('Master data'!$B$2:$CL$1000,MATCH($B853,'Master data'!$A$2:$A$1000,0),MATCH(M$1,'Master data'!$B$1:$CL$1,0)),"")</f>
        <v/>
      </c>
      <c r="N853" s="28" t="str">
        <f>IFERROR(INDEX('Master data'!$B$2:$CL$1000,MATCH($B853,'Master data'!$A$2:$A$1000,0),MATCH(N$1,'Master data'!$B$1:$CL$1,0)),"")</f>
        <v/>
      </c>
      <c r="O853" s="7" t="str">
        <f>IFERROR(INDEX('Master data'!$B$2:$CL$1000,MATCH($B853,'Master data'!$A$2:$A$1000,0),MATCH(O$1,'Master data'!$B$1:$CL$1,0)),"")</f>
        <v/>
      </c>
      <c r="P853" s="5" t="str">
        <f>IFERROR(INDEX('Master data'!$B$2:$CL$1000,MATCH($B853,'Master data'!$A$2:$A$1000,0),MATCH(P$1,'Master data'!$B$1:$CL$1,0)),"")</f>
        <v/>
      </c>
      <c r="Q853" s="5" t="str">
        <f>IFERROR(INDEX('Master data'!$B$2:$CL$1000,MATCH($B853,'Master data'!$A$2:$A$1000,0),MATCH(Q$1,'Master data'!$B$1:$CL$1,0)),"")</f>
        <v/>
      </c>
    </row>
    <row r="854" spans="1:17" hidden="1">
      <c r="A854" t="str">
        <f t="shared" si="13"/>
        <v/>
      </c>
      <c r="B854" t="str">
        <f>IF('Master data'!A854="","",'Master data'!A854)</f>
        <v/>
      </c>
      <c r="C854" t="str">
        <f>IFERROR(INDEX('Master data'!$B$2:$CL$1000,MATCH($B854,'Master data'!$A$2:$A$1000,0),MATCH(C$1,'Master data'!$B$1:$CL$1,0)),"")</f>
        <v/>
      </c>
      <c r="D854" t="str">
        <f>IFERROR(INDEX('Master data'!$B$2:$CL$1000,MATCH($B854,'Master data'!$A$2:$A$1000,0),MATCH(D$1,'Master data'!$B$1:$CL$1,0)),"")</f>
        <v/>
      </c>
      <c r="E854" s="5" t="str">
        <f>IFERROR(INDEX('Master data'!$B$2:$CL$1000,MATCH($B854,'Master data'!$A$2:$A$1000,0),MATCH(E$1,'Master data'!$B$1:$CL$1,0)),"")</f>
        <v/>
      </c>
      <c r="F854" s="7" t="str">
        <f>IFERROR(INDEX('Master data'!$B$2:$CL$1000,MATCH($B854,'Master data'!$A$2:$A$1000,0),MATCH(F$1,'Master data'!$B$1:$CL$1,0)),"")</f>
        <v/>
      </c>
      <c r="G854" s="7" t="str">
        <f>IFERROR(INDEX('Master data'!$B$2:$CL$1000,MATCH($B854,'Master data'!$A$2:$A$1000,0),MATCH(G$1,'Master data'!$B$1:$CL$1,0)),"")</f>
        <v/>
      </c>
      <c r="H854" s="7" t="str">
        <f>IFERROR(INDEX('Master data'!$B$2:$CL$1000,MATCH($B854,'Master data'!$A$2:$A$1000,0),MATCH(H$1,'Master data'!$B$1:$CL$1,0)),"")</f>
        <v/>
      </c>
      <c r="I854" s="7" t="str">
        <f>IFERROR(INDEX('Master data'!$B$2:$CL$1000,MATCH($B854,'Master data'!$A$2:$A$1000,0),MATCH(I$1,'Master data'!$B$1:$CL$1,0)),"")</f>
        <v/>
      </c>
      <c r="J854" s="7" t="str">
        <f>IFERROR(INDEX('Master data'!$B$2:$CL$1000,MATCH($B854,'Master data'!$A$2:$A$1000,0),MATCH(J$1,'Master data'!$B$1:$CL$1,0)),"")</f>
        <v/>
      </c>
      <c r="K854" s="7" t="str">
        <f>IFERROR(INDEX('Master data'!$B$2:$CL$1000,MATCH($B854,'Master data'!$A$2:$A$1000,0),MATCH(K$1,'Master data'!$B$1:$CL$1,0)),"")</f>
        <v/>
      </c>
      <c r="L854" s="7" t="str">
        <f>IFERROR(INDEX('Master data'!$B$2:$CL$1000,MATCH($B854,'Master data'!$A$2:$A$1000,0),MATCH(L$1,'Master data'!$B$1:$CL$1,0)),"")</f>
        <v/>
      </c>
      <c r="M854" s="5" t="str">
        <f>IFERROR(INDEX('Master data'!$B$2:$CL$1000,MATCH($B854,'Master data'!$A$2:$A$1000,0),MATCH(M$1,'Master data'!$B$1:$CL$1,0)),"")</f>
        <v/>
      </c>
      <c r="N854" s="28" t="str">
        <f>IFERROR(INDEX('Master data'!$B$2:$CL$1000,MATCH($B854,'Master data'!$A$2:$A$1000,0),MATCH(N$1,'Master data'!$B$1:$CL$1,0)),"")</f>
        <v/>
      </c>
      <c r="O854" s="7" t="str">
        <f>IFERROR(INDEX('Master data'!$B$2:$CL$1000,MATCH($B854,'Master data'!$A$2:$A$1000,0),MATCH(O$1,'Master data'!$B$1:$CL$1,0)),"")</f>
        <v/>
      </c>
      <c r="P854" s="5" t="str">
        <f>IFERROR(INDEX('Master data'!$B$2:$CL$1000,MATCH($B854,'Master data'!$A$2:$A$1000,0),MATCH(P$1,'Master data'!$B$1:$CL$1,0)),"")</f>
        <v/>
      </c>
      <c r="Q854" s="5" t="str">
        <f>IFERROR(INDEX('Master data'!$B$2:$CL$1000,MATCH($B854,'Master data'!$A$2:$A$1000,0),MATCH(Q$1,'Master data'!$B$1:$CL$1,0)),"")</f>
        <v/>
      </c>
    </row>
    <row r="855" spans="1:17" hidden="1">
      <c r="A855" t="str">
        <f t="shared" si="13"/>
        <v/>
      </c>
      <c r="B855" t="str">
        <f>IF('Master data'!A855="","",'Master data'!A855)</f>
        <v/>
      </c>
      <c r="C855" t="str">
        <f>IFERROR(INDEX('Master data'!$B$2:$CL$1000,MATCH($B855,'Master data'!$A$2:$A$1000,0),MATCH(C$1,'Master data'!$B$1:$CL$1,0)),"")</f>
        <v/>
      </c>
      <c r="D855" t="str">
        <f>IFERROR(INDEX('Master data'!$B$2:$CL$1000,MATCH($B855,'Master data'!$A$2:$A$1000,0),MATCH(D$1,'Master data'!$B$1:$CL$1,0)),"")</f>
        <v/>
      </c>
      <c r="E855" s="5" t="str">
        <f>IFERROR(INDEX('Master data'!$B$2:$CL$1000,MATCH($B855,'Master data'!$A$2:$A$1000,0),MATCH(E$1,'Master data'!$B$1:$CL$1,0)),"")</f>
        <v/>
      </c>
      <c r="F855" s="7" t="str">
        <f>IFERROR(INDEX('Master data'!$B$2:$CL$1000,MATCH($B855,'Master data'!$A$2:$A$1000,0),MATCH(F$1,'Master data'!$B$1:$CL$1,0)),"")</f>
        <v/>
      </c>
      <c r="G855" s="7" t="str">
        <f>IFERROR(INDEX('Master data'!$B$2:$CL$1000,MATCH($B855,'Master data'!$A$2:$A$1000,0),MATCH(G$1,'Master data'!$B$1:$CL$1,0)),"")</f>
        <v/>
      </c>
      <c r="H855" s="7" t="str">
        <f>IFERROR(INDEX('Master data'!$B$2:$CL$1000,MATCH($B855,'Master data'!$A$2:$A$1000,0),MATCH(H$1,'Master data'!$B$1:$CL$1,0)),"")</f>
        <v/>
      </c>
      <c r="I855" s="7" t="str">
        <f>IFERROR(INDEX('Master data'!$B$2:$CL$1000,MATCH($B855,'Master data'!$A$2:$A$1000,0),MATCH(I$1,'Master data'!$B$1:$CL$1,0)),"")</f>
        <v/>
      </c>
      <c r="J855" s="7" t="str">
        <f>IFERROR(INDEX('Master data'!$B$2:$CL$1000,MATCH($B855,'Master data'!$A$2:$A$1000,0),MATCH(J$1,'Master data'!$B$1:$CL$1,0)),"")</f>
        <v/>
      </c>
      <c r="K855" s="7" t="str">
        <f>IFERROR(INDEX('Master data'!$B$2:$CL$1000,MATCH($B855,'Master data'!$A$2:$A$1000,0),MATCH(K$1,'Master data'!$B$1:$CL$1,0)),"")</f>
        <v/>
      </c>
      <c r="L855" s="7" t="str">
        <f>IFERROR(INDEX('Master data'!$B$2:$CL$1000,MATCH($B855,'Master data'!$A$2:$A$1000,0),MATCH(L$1,'Master data'!$B$1:$CL$1,0)),"")</f>
        <v/>
      </c>
      <c r="M855" s="5" t="str">
        <f>IFERROR(INDEX('Master data'!$B$2:$CL$1000,MATCH($B855,'Master data'!$A$2:$A$1000,0),MATCH(M$1,'Master data'!$B$1:$CL$1,0)),"")</f>
        <v/>
      </c>
      <c r="N855" s="28" t="str">
        <f>IFERROR(INDEX('Master data'!$B$2:$CL$1000,MATCH($B855,'Master data'!$A$2:$A$1000,0),MATCH(N$1,'Master data'!$B$1:$CL$1,0)),"")</f>
        <v/>
      </c>
      <c r="O855" s="7" t="str">
        <f>IFERROR(INDEX('Master data'!$B$2:$CL$1000,MATCH($B855,'Master data'!$A$2:$A$1000,0),MATCH(O$1,'Master data'!$B$1:$CL$1,0)),"")</f>
        <v/>
      </c>
      <c r="P855" s="5" t="str">
        <f>IFERROR(INDEX('Master data'!$B$2:$CL$1000,MATCH($B855,'Master data'!$A$2:$A$1000,0),MATCH(P$1,'Master data'!$B$1:$CL$1,0)),"")</f>
        <v/>
      </c>
      <c r="Q855" s="5" t="str">
        <f>IFERROR(INDEX('Master data'!$B$2:$CL$1000,MATCH($B855,'Master data'!$A$2:$A$1000,0),MATCH(Q$1,'Master data'!$B$1:$CL$1,0)),"")</f>
        <v/>
      </c>
    </row>
    <row r="856" spans="1:17" hidden="1">
      <c r="A856" t="str">
        <f t="shared" si="13"/>
        <v/>
      </c>
      <c r="B856" t="str">
        <f>IF('Master data'!A856="","",'Master data'!A856)</f>
        <v/>
      </c>
      <c r="C856" t="str">
        <f>IFERROR(INDEX('Master data'!$B$2:$CL$1000,MATCH($B856,'Master data'!$A$2:$A$1000,0),MATCH(C$1,'Master data'!$B$1:$CL$1,0)),"")</f>
        <v/>
      </c>
      <c r="D856" t="str">
        <f>IFERROR(INDEX('Master data'!$B$2:$CL$1000,MATCH($B856,'Master data'!$A$2:$A$1000,0),MATCH(D$1,'Master data'!$B$1:$CL$1,0)),"")</f>
        <v/>
      </c>
      <c r="E856" s="5" t="str">
        <f>IFERROR(INDEX('Master data'!$B$2:$CL$1000,MATCH($B856,'Master data'!$A$2:$A$1000,0),MATCH(E$1,'Master data'!$B$1:$CL$1,0)),"")</f>
        <v/>
      </c>
      <c r="F856" s="7" t="str">
        <f>IFERROR(INDEX('Master data'!$B$2:$CL$1000,MATCH($B856,'Master data'!$A$2:$A$1000,0),MATCH(F$1,'Master data'!$B$1:$CL$1,0)),"")</f>
        <v/>
      </c>
      <c r="G856" s="7" t="str">
        <f>IFERROR(INDEX('Master data'!$B$2:$CL$1000,MATCH($B856,'Master data'!$A$2:$A$1000,0),MATCH(G$1,'Master data'!$B$1:$CL$1,0)),"")</f>
        <v/>
      </c>
      <c r="H856" s="7" t="str">
        <f>IFERROR(INDEX('Master data'!$B$2:$CL$1000,MATCH($B856,'Master data'!$A$2:$A$1000,0),MATCH(H$1,'Master data'!$B$1:$CL$1,0)),"")</f>
        <v/>
      </c>
      <c r="I856" s="7" t="str">
        <f>IFERROR(INDEX('Master data'!$B$2:$CL$1000,MATCH($B856,'Master data'!$A$2:$A$1000,0),MATCH(I$1,'Master data'!$B$1:$CL$1,0)),"")</f>
        <v/>
      </c>
      <c r="J856" s="7" t="str">
        <f>IFERROR(INDEX('Master data'!$B$2:$CL$1000,MATCH($B856,'Master data'!$A$2:$A$1000,0),MATCH(J$1,'Master data'!$B$1:$CL$1,0)),"")</f>
        <v/>
      </c>
      <c r="K856" s="7" t="str">
        <f>IFERROR(INDEX('Master data'!$B$2:$CL$1000,MATCH($B856,'Master data'!$A$2:$A$1000,0),MATCH(K$1,'Master data'!$B$1:$CL$1,0)),"")</f>
        <v/>
      </c>
      <c r="L856" s="7" t="str">
        <f>IFERROR(INDEX('Master data'!$B$2:$CL$1000,MATCH($B856,'Master data'!$A$2:$A$1000,0),MATCH(L$1,'Master data'!$B$1:$CL$1,0)),"")</f>
        <v/>
      </c>
      <c r="M856" s="5" t="str">
        <f>IFERROR(INDEX('Master data'!$B$2:$CL$1000,MATCH($B856,'Master data'!$A$2:$A$1000,0),MATCH(M$1,'Master data'!$B$1:$CL$1,0)),"")</f>
        <v/>
      </c>
      <c r="N856" s="28" t="str">
        <f>IFERROR(INDEX('Master data'!$B$2:$CL$1000,MATCH($B856,'Master data'!$A$2:$A$1000,0),MATCH(N$1,'Master data'!$B$1:$CL$1,0)),"")</f>
        <v/>
      </c>
      <c r="O856" s="7" t="str">
        <f>IFERROR(INDEX('Master data'!$B$2:$CL$1000,MATCH($B856,'Master data'!$A$2:$A$1000,0),MATCH(O$1,'Master data'!$B$1:$CL$1,0)),"")</f>
        <v/>
      </c>
      <c r="P856" s="5" t="str">
        <f>IFERROR(INDEX('Master data'!$B$2:$CL$1000,MATCH($B856,'Master data'!$A$2:$A$1000,0),MATCH(P$1,'Master data'!$B$1:$CL$1,0)),"")</f>
        <v/>
      </c>
      <c r="Q856" s="5" t="str">
        <f>IFERROR(INDEX('Master data'!$B$2:$CL$1000,MATCH($B856,'Master data'!$A$2:$A$1000,0),MATCH(Q$1,'Master data'!$B$1:$CL$1,0)),"")</f>
        <v/>
      </c>
    </row>
    <row r="857" spans="1:17" hidden="1">
      <c r="A857" t="str">
        <f t="shared" si="13"/>
        <v/>
      </c>
      <c r="B857" t="str">
        <f>IF('Master data'!A857="","",'Master data'!A857)</f>
        <v/>
      </c>
      <c r="C857" t="str">
        <f>IFERROR(INDEX('Master data'!$B$2:$CL$1000,MATCH($B857,'Master data'!$A$2:$A$1000,0),MATCH(C$1,'Master data'!$B$1:$CL$1,0)),"")</f>
        <v/>
      </c>
      <c r="D857" t="str">
        <f>IFERROR(INDEX('Master data'!$B$2:$CL$1000,MATCH($B857,'Master data'!$A$2:$A$1000,0),MATCH(D$1,'Master data'!$B$1:$CL$1,0)),"")</f>
        <v/>
      </c>
      <c r="E857" s="5" t="str">
        <f>IFERROR(INDEX('Master data'!$B$2:$CL$1000,MATCH($B857,'Master data'!$A$2:$A$1000,0),MATCH(E$1,'Master data'!$B$1:$CL$1,0)),"")</f>
        <v/>
      </c>
      <c r="F857" s="7" t="str">
        <f>IFERROR(INDEX('Master data'!$B$2:$CL$1000,MATCH($B857,'Master data'!$A$2:$A$1000,0),MATCH(F$1,'Master data'!$B$1:$CL$1,0)),"")</f>
        <v/>
      </c>
      <c r="G857" s="7" t="str">
        <f>IFERROR(INDEX('Master data'!$B$2:$CL$1000,MATCH($B857,'Master data'!$A$2:$A$1000,0),MATCH(G$1,'Master data'!$B$1:$CL$1,0)),"")</f>
        <v/>
      </c>
      <c r="H857" s="7" t="str">
        <f>IFERROR(INDEX('Master data'!$B$2:$CL$1000,MATCH($B857,'Master data'!$A$2:$A$1000,0),MATCH(H$1,'Master data'!$B$1:$CL$1,0)),"")</f>
        <v/>
      </c>
      <c r="I857" s="7" t="str">
        <f>IFERROR(INDEX('Master data'!$B$2:$CL$1000,MATCH($B857,'Master data'!$A$2:$A$1000,0),MATCH(I$1,'Master data'!$B$1:$CL$1,0)),"")</f>
        <v/>
      </c>
      <c r="J857" s="7" t="str">
        <f>IFERROR(INDEX('Master data'!$B$2:$CL$1000,MATCH($B857,'Master data'!$A$2:$A$1000,0),MATCH(J$1,'Master data'!$B$1:$CL$1,0)),"")</f>
        <v/>
      </c>
      <c r="K857" s="7" t="str">
        <f>IFERROR(INDEX('Master data'!$B$2:$CL$1000,MATCH($B857,'Master data'!$A$2:$A$1000,0),MATCH(K$1,'Master data'!$B$1:$CL$1,0)),"")</f>
        <v/>
      </c>
      <c r="L857" s="7" t="str">
        <f>IFERROR(INDEX('Master data'!$B$2:$CL$1000,MATCH($B857,'Master data'!$A$2:$A$1000,0),MATCH(L$1,'Master data'!$B$1:$CL$1,0)),"")</f>
        <v/>
      </c>
      <c r="M857" s="5" t="str">
        <f>IFERROR(INDEX('Master data'!$B$2:$CL$1000,MATCH($B857,'Master data'!$A$2:$A$1000,0),MATCH(M$1,'Master data'!$B$1:$CL$1,0)),"")</f>
        <v/>
      </c>
      <c r="N857" s="28" t="str">
        <f>IFERROR(INDEX('Master data'!$B$2:$CL$1000,MATCH($B857,'Master data'!$A$2:$A$1000,0),MATCH(N$1,'Master data'!$B$1:$CL$1,0)),"")</f>
        <v/>
      </c>
      <c r="O857" s="7" t="str">
        <f>IFERROR(INDEX('Master data'!$B$2:$CL$1000,MATCH($B857,'Master data'!$A$2:$A$1000,0),MATCH(O$1,'Master data'!$B$1:$CL$1,0)),"")</f>
        <v/>
      </c>
      <c r="P857" s="5" t="str">
        <f>IFERROR(INDEX('Master data'!$B$2:$CL$1000,MATCH($B857,'Master data'!$A$2:$A$1000,0),MATCH(P$1,'Master data'!$B$1:$CL$1,0)),"")</f>
        <v/>
      </c>
      <c r="Q857" s="5" t="str">
        <f>IFERROR(INDEX('Master data'!$B$2:$CL$1000,MATCH($B857,'Master data'!$A$2:$A$1000,0),MATCH(Q$1,'Master data'!$B$1:$CL$1,0)),"")</f>
        <v/>
      </c>
    </row>
    <row r="858" spans="1:17" hidden="1">
      <c r="A858" t="str">
        <f t="shared" si="13"/>
        <v/>
      </c>
      <c r="B858" t="str">
        <f>IF('Master data'!A858="","",'Master data'!A858)</f>
        <v/>
      </c>
      <c r="C858" t="str">
        <f>IFERROR(INDEX('Master data'!$B$2:$CL$1000,MATCH($B858,'Master data'!$A$2:$A$1000,0),MATCH(C$1,'Master data'!$B$1:$CL$1,0)),"")</f>
        <v/>
      </c>
      <c r="D858" t="str">
        <f>IFERROR(INDEX('Master data'!$B$2:$CL$1000,MATCH($B858,'Master data'!$A$2:$A$1000,0),MATCH(D$1,'Master data'!$B$1:$CL$1,0)),"")</f>
        <v/>
      </c>
      <c r="E858" s="5" t="str">
        <f>IFERROR(INDEX('Master data'!$B$2:$CL$1000,MATCH($B858,'Master data'!$A$2:$A$1000,0),MATCH(E$1,'Master data'!$B$1:$CL$1,0)),"")</f>
        <v/>
      </c>
      <c r="F858" s="7" t="str">
        <f>IFERROR(INDEX('Master data'!$B$2:$CL$1000,MATCH($B858,'Master data'!$A$2:$A$1000,0),MATCH(F$1,'Master data'!$B$1:$CL$1,0)),"")</f>
        <v/>
      </c>
      <c r="G858" s="7" t="str">
        <f>IFERROR(INDEX('Master data'!$B$2:$CL$1000,MATCH($B858,'Master data'!$A$2:$A$1000,0),MATCH(G$1,'Master data'!$B$1:$CL$1,0)),"")</f>
        <v/>
      </c>
      <c r="H858" s="7" t="str">
        <f>IFERROR(INDEX('Master data'!$B$2:$CL$1000,MATCH($B858,'Master data'!$A$2:$A$1000,0),MATCH(H$1,'Master data'!$B$1:$CL$1,0)),"")</f>
        <v/>
      </c>
      <c r="I858" s="7" t="str">
        <f>IFERROR(INDEX('Master data'!$B$2:$CL$1000,MATCH($B858,'Master data'!$A$2:$A$1000,0),MATCH(I$1,'Master data'!$B$1:$CL$1,0)),"")</f>
        <v/>
      </c>
      <c r="J858" s="7" t="str">
        <f>IFERROR(INDEX('Master data'!$B$2:$CL$1000,MATCH($B858,'Master data'!$A$2:$A$1000,0),MATCH(J$1,'Master data'!$B$1:$CL$1,0)),"")</f>
        <v/>
      </c>
      <c r="K858" s="7" t="str">
        <f>IFERROR(INDEX('Master data'!$B$2:$CL$1000,MATCH($B858,'Master data'!$A$2:$A$1000,0),MATCH(K$1,'Master data'!$B$1:$CL$1,0)),"")</f>
        <v/>
      </c>
      <c r="L858" s="7" t="str">
        <f>IFERROR(INDEX('Master data'!$B$2:$CL$1000,MATCH($B858,'Master data'!$A$2:$A$1000,0),MATCH(L$1,'Master data'!$B$1:$CL$1,0)),"")</f>
        <v/>
      </c>
      <c r="M858" s="5" t="str">
        <f>IFERROR(INDEX('Master data'!$B$2:$CL$1000,MATCH($B858,'Master data'!$A$2:$A$1000,0),MATCH(M$1,'Master data'!$B$1:$CL$1,0)),"")</f>
        <v/>
      </c>
      <c r="N858" s="28" t="str">
        <f>IFERROR(INDEX('Master data'!$B$2:$CL$1000,MATCH($B858,'Master data'!$A$2:$A$1000,0),MATCH(N$1,'Master data'!$B$1:$CL$1,0)),"")</f>
        <v/>
      </c>
      <c r="O858" s="7" t="str">
        <f>IFERROR(INDEX('Master data'!$B$2:$CL$1000,MATCH($B858,'Master data'!$A$2:$A$1000,0),MATCH(O$1,'Master data'!$B$1:$CL$1,0)),"")</f>
        <v/>
      </c>
      <c r="P858" s="5" t="str">
        <f>IFERROR(INDEX('Master data'!$B$2:$CL$1000,MATCH($B858,'Master data'!$A$2:$A$1000,0),MATCH(P$1,'Master data'!$B$1:$CL$1,0)),"")</f>
        <v/>
      </c>
      <c r="Q858" s="5" t="str">
        <f>IFERROR(INDEX('Master data'!$B$2:$CL$1000,MATCH($B858,'Master data'!$A$2:$A$1000,0),MATCH(Q$1,'Master data'!$B$1:$CL$1,0)),"")</f>
        <v/>
      </c>
    </row>
    <row r="859" spans="1:17" hidden="1">
      <c r="A859" t="str">
        <f t="shared" si="13"/>
        <v/>
      </c>
      <c r="B859" t="str">
        <f>IF('Master data'!A859="","",'Master data'!A859)</f>
        <v/>
      </c>
      <c r="C859" t="str">
        <f>IFERROR(INDEX('Master data'!$B$2:$CL$1000,MATCH($B859,'Master data'!$A$2:$A$1000,0),MATCH(C$1,'Master data'!$B$1:$CL$1,0)),"")</f>
        <v/>
      </c>
      <c r="D859" t="str">
        <f>IFERROR(INDEX('Master data'!$B$2:$CL$1000,MATCH($B859,'Master data'!$A$2:$A$1000,0),MATCH(D$1,'Master data'!$B$1:$CL$1,0)),"")</f>
        <v/>
      </c>
      <c r="E859" s="5" t="str">
        <f>IFERROR(INDEX('Master data'!$B$2:$CL$1000,MATCH($B859,'Master data'!$A$2:$A$1000,0),MATCH(E$1,'Master data'!$B$1:$CL$1,0)),"")</f>
        <v/>
      </c>
      <c r="F859" s="7" t="str">
        <f>IFERROR(INDEX('Master data'!$B$2:$CL$1000,MATCH($B859,'Master data'!$A$2:$A$1000,0),MATCH(F$1,'Master data'!$B$1:$CL$1,0)),"")</f>
        <v/>
      </c>
      <c r="G859" s="7" t="str">
        <f>IFERROR(INDEX('Master data'!$B$2:$CL$1000,MATCH($B859,'Master data'!$A$2:$A$1000,0),MATCH(G$1,'Master data'!$B$1:$CL$1,0)),"")</f>
        <v/>
      </c>
      <c r="H859" s="7" t="str">
        <f>IFERROR(INDEX('Master data'!$B$2:$CL$1000,MATCH($B859,'Master data'!$A$2:$A$1000,0),MATCH(H$1,'Master data'!$B$1:$CL$1,0)),"")</f>
        <v/>
      </c>
      <c r="I859" s="7" t="str">
        <f>IFERROR(INDEX('Master data'!$B$2:$CL$1000,MATCH($B859,'Master data'!$A$2:$A$1000,0),MATCH(I$1,'Master data'!$B$1:$CL$1,0)),"")</f>
        <v/>
      </c>
      <c r="J859" s="7" t="str">
        <f>IFERROR(INDEX('Master data'!$B$2:$CL$1000,MATCH($B859,'Master data'!$A$2:$A$1000,0),MATCH(J$1,'Master data'!$B$1:$CL$1,0)),"")</f>
        <v/>
      </c>
      <c r="K859" s="7" t="str">
        <f>IFERROR(INDEX('Master data'!$B$2:$CL$1000,MATCH($B859,'Master data'!$A$2:$A$1000,0),MATCH(K$1,'Master data'!$B$1:$CL$1,0)),"")</f>
        <v/>
      </c>
      <c r="L859" s="7" t="str">
        <f>IFERROR(INDEX('Master data'!$B$2:$CL$1000,MATCH($B859,'Master data'!$A$2:$A$1000,0),MATCH(L$1,'Master data'!$B$1:$CL$1,0)),"")</f>
        <v/>
      </c>
      <c r="M859" s="5" t="str">
        <f>IFERROR(INDEX('Master data'!$B$2:$CL$1000,MATCH($B859,'Master data'!$A$2:$A$1000,0),MATCH(M$1,'Master data'!$B$1:$CL$1,0)),"")</f>
        <v/>
      </c>
      <c r="N859" s="28" t="str">
        <f>IFERROR(INDEX('Master data'!$B$2:$CL$1000,MATCH($B859,'Master data'!$A$2:$A$1000,0),MATCH(N$1,'Master data'!$B$1:$CL$1,0)),"")</f>
        <v/>
      </c>
      <c r="O859" s="7" t="str">
        <f>IFERROR(INDEX('Master data'!$B$2:$CL$1000,MATCH($B859,'Master data'!$A$2:$A$1000,0),MATCH(O$1,'Master data'!$B$1:$CL$1,0)),"")</f>
        <v/>
      </c>
      <c r="P859" s="5" t="str">
        <f>IFERROR(INDEX('Master data'!$B$2:$CL$1000,MATCH($B859,'Master data'!$A$2:$A$1000,0),MATCH(P$1,'Master data'!$B$1:$CL$1,0)),"")</f>
        <v/>
      </c>
      <c r="Q859" s="5" t="str">
        <f>IFERROR(INDEX('Master data'!$B$2:$CL$1000,MATCH($B859,'Master data'!$A$2:$A$1000,0),MATCH(Q$1,'Master data'!$B$1:$CL$1,0)),"")</f>
        <v/>
      </c>
    </row>
    <row r="860" spans="1:17" hidden="1">
      <c r="A860" t="str">
        <f t="shared" si="13"/>
        <v/>
      </c>
      <c r="B860" t="str">
        <f>IF('Master data'!A860="","",'Master data'!A860)</f>
        <v/>
      </c>
      <c r="C860" t="str">
        <f>IFERROR(INDEX('Master data'!$B$2:$CL$1000,MATCH($B860,'Master data'!$A$2:$A$1000,0),MATCH(C$1,'Master data'!$B$1:$CL$1,0)),"")</f>
        <v/>
      </c>
      <c r="D860" t="str">
        <f>IFERROR(INDEX('Master data'!$B$2:$CL$1000,MATCH($B860,'Master data'!$A$2:$A$1000,0),MATCH(D$1,'Master data'!$B$1:$CL$1,0)),"")</f>
        <v/>
      </c>
      <c r="E860" s="5" t="str">
        <f>IFERROR(INDEX('Master data'!$B$2:$CL$1000,MATCH($B860,'Master data'!$A$2:$A$1000,0),MATCH(E$1,'Master data'!$B$1:$CL$1,0)),"")</f>
        <v/>
      </c>
      <c r="F860" s="7" t="str">
        <f>IFERROR(INDEX('Master data'!$B$2:$CL$1000,MATCH($B860,'Master data'!$A$2:$A$1000,0),MATCH(F$1,'Master data'!$B$1:$CL$1,0)),"")</f>
        <v/>
      </c>
      <c r="G860" s="7" t="str">
        <f>IFERROR(INDEX('Master data'!$B$2:$CL$1000,MATCH($B860,'Master data'!$A$2:$A$1000,0),MATCH(G$1,'Master data'!$B$1:$CL$1,0)),"")</f>
        <v/>
      </c>
      <c r="H860" s="7" t="str">
        <f>IFERROR(INDEX('Master data'!$B$2:$CL$1000,MATCH($B860,'Master data'!$A$2:$A$1000,0),MATCH(H$1,'Master data'!$B$1:$CL$1,0)),"")</f>
        <v/>
      </c>
      <c r="I860" s="7" t="str">
        <f>IFERROR(INDEX('Master data'!$B$2:$CL$1000,MATCH($B860,'Master data'!$A$2:$A$1000,0),MATCH(I$1,'Master data'!$B$1:$CL$1,0)),"")</f>
        <v/>
      </c>
      <c r="J860" s="7" t="str">
        <f>IFERROR(INDEX('Master data'!$B$2:$CL$1000,MATCH($B860,'Master data'!$A$2:$A$1000,0),MATCH(J$1,'Master data'!$B$1:$CL$1,0)),"")</f>
        <v/>
      </c>
      <c r="K860" s="7" t="str">
        <f>IFERROR(INDEX('Master data'!$B$2:$CL$1000,MATCH($B860,'Master data'!$A$2:$A$1000,0),MATCH(K$1,'Master data'!$B$1:$CL$1,0)),"")</f>
        <v/>
      </c>
      <c r="L860" s="7" t="str">
        <f>IFERROR(INDEX('Master data'!$B$2:$CL$1000,MATCH($B860,'Master data'!$A$2:$A$1000,0),MATCH(L$1,'Master data'!$B$1:$CL$1,0)),"")</f>
        <v/>
      </c>
      <c r="M860" s="5" t="str">
        <f>IFERROR(INDEX('Master data'!$B$2:$CL$1000,MATCH($B860,'Master data'!$A$2:$A$1000,0),MATCH(M$1,'Master data'!$B$1:$CL$1,0)),"")</f>
        <v/>
      </c>
      <c r="N860" s="28" t="str">
        <f>IFERROR(INDEX('Master data'!$B$2:$CL$1000,MATCH($B860,'Master data'!$A$2:$A$1000,0),MATCH(N$1,'Master data'!$B$1:$CL$1,0)),"")</f>
        <v/>
      </c>
      <c r="O860" s="7" t="str">
        <f>IFERROR(INDEX('Master data'!$B$2:$CL$1000,MATCH($B860,'Master data'!$A$2:$A$1000,0),MATCH(O$1,'Master data'!$B$1:$CL$1,0)),"")</f>
        <v/>
      </c>
      <c r="P860" s="5" t="str">
        <f>IFERROR(INDEX('Master data'!$B$2:$CL$1000,MATCH($B860,'Master data'!$A$2:$A$1000,0),MATCH(P$1,'Master data'!$B$1:$CL$1,0)),"")</f>
        <v/>
      </c>
      <c r="Q860" s="5" t="str">
        <f>IFERROR(INDEX('Master data'!$B$2:$CL$1000,MATCH($B860,'Master data'!$A$2:$A$1000,0),MATCH(Q$1,'Master data'!$B$1:$CL$1,0)),"")</f>
        <v/>
      </c>
    </row>
    <row r="861" spans="1:17" hidden="1">
      <c r="A861" t="str">
        <f t="shared" si="13"/>
        <v/>
      </c>
      <c r="B861" t="str">
        <f>IF('Master data'!A861="","",'Master data'!A861)</f>
        <v/>
      </c>
      <c r="C861" t="str">
        <f>IFERROR(INDEX('Master data'!$B$2:$CL$1000,MATCH($B861,'Master data'!$A$2:$A$1000,0),MATCH(C$1,'Master data'!$B$1:$CL$1,0)),"")</f>
        <v/>
      </c>
      <c r="D861" t="str">
        <f>IFERROR(INDEX('Master data'!$B$2:$CL$1000,MATCH($B861,'Master data'!$A$2:$A$1000,0),MATCH(D$1,'Master data'!$B$1:$CL$1,0)),"")</f>
        <v/>
      </c>
      <c r="E861" s="5" t="str">
        <f>IFERROR(INDEX('Master data'!$B$2:$CL$1000,MATCH($B861,'Master data'!$A$2:$A$1000,0),MATCH(E$1,'Master data'!$B$1:$CL$1,0)),"")</f>
        <v/>
      </c>
      <c r="F861" s="7" t="str">
        <f>IFERROR(INDEX('Master data'!$B$2:$CL$1000,MATCH($B861,'Master data'!$A$2:$A$1000,0),MATCH(F$1,'Master data'!$B$1:$CL$1,0)),"")</f>
        <v/>
      </c>
      <c r="G861" s="7" t="str">
        <f>IFERROR(INDEX('Master data'!$B$2:$CL$1000,MATCH($B861,'Master data'!$A$2:$A$1000,0),MATCH(G$1,'Master data'!$B$1:$CL$1,0)),"")</f>
        <v/>
      </c>
      <c r="H861" s="7" t="str">
        <f>IFERROR(INDEX('Master data'!$B$2:$CL$1000,MATCH($B861,'Master data'!$A$2:$A$1000,0),MATCH(H$1,'Master data'!$B$1:$CL$1,0)),"")</f>
        <v/>
      </c>
      <c r="I861" s="7" t="str">
        <f>IFERROR(INDEX('Master data'!$B$2:$CL$1000,MATCH($B861,'Master data'!$A$2:$A$1000,0),MATCH(I$1,'Master data'!$B$1:$CL$1,0)),"")</f>
        <v/>
      </c>
      <c r="J861" s="7" t="str">
        <f>IFERROR(INDEX('Master data'!$B$2:$CL$1000,MATCH($B861,'Master data'!$A$2:$A$1000,0),MATCH(J$1,'Master data'!$B$1:$CL$1,0)),"")</f>
        <v/>
      </c>
      <c r="K861" s="7" t="str">
        <f>IFERROR(INDEX('Master data'!$B$2:$CL$1000,MATCH($B861,'Master data'!$A$2:$A$1000,0),MATCH(K$1,'Master data'!$B$1:$CL$1,0)),"")</f>
        <v/>
      </c>
      <c r="L861" s="7" t="str">
        <f>IFERROR(INDEX('Master data'!$B$2:$CL$1000,MATCH($B861,'Master data'!$A$2:$A$1000,0),MATCH(L$1,'Master data'!$B$1:$CL$1,0)),"")</f>
        <v/>
      </c>
      <c r="M861" s="5" t="str">
        <f>IFERROR(INDEX('Master data'!$B$2:$CL$1000,MATCH($B861,'Master data'!$A$2:$A$1000,0),MATCH(M$1,'Master data'!$B$1:$CL$1,0)),"")</f>
        <v/>
      </c>
      <c r="N861" s="28" t="str">
        <f>IFERROR(INDEX('Master data'!$B$2:$CL$1000,MATCH($B861,'Master data'!$A$2:$A$1000,0),MATCH(N$1,'Master data'!$B$1:$CL$1,0)),"")</f>
        <v/>
      </c>
      <c r="O861" s="7" t="str">
        <f>IFERROR(INDEX('Master data'!$B$2:$CL$1000,MATCH($B861,'Master data'!$A$2:$A$1000,0),MATCH(O$1,'Master data'!$B$1:$CL$1,0)),"")</f>
        <v/>
      </c>
      <c r="P861" s="5" t="str">
        <f>IFERROR(INDEX('Master data'!$B$2:$CL$1000,MATCH($B861,'Master data'!$A$2:$A$1000,0),MATCH(P$1,'Master data'!$B$1:$CL$1,0)),"")</f>
        <v/>
      </c>
      <c r="Q861" s="5" t="str">
        <f>IFERROR(INDEX('Master data'!$B$2:$CL$1000,MATCH($B861,'Master data'!$A$2:$A$1000,0),MATCH(Q$1,'Master data'!$B$1:$CL$1,0)),"")</f>
        <v/>
      </c>
    </row>
    <row r="862" spans="1:17" hidden="1">
      <c r="A862" t="str">
        <f t="shared" si="13"/>
        <v/>
      </c>
      <c r="B862" t="str">
        <f>IF('Master data'!A862="","",'Master data'!A862)</f>
        <v/>
      </c>
      <c r="C862" t="str">
        <f>IFERROR(INDEX('Master data'!$B$2:$CL$1000,MATCH($B862,'Master data'!$A$2:$A$1000,0),MATCH(C$1,'Master data'!$B$1:$CL$1,0)),"")</f>
        <v/>
      </c>
      <c r="D862" t="str">
        <f>IFERROR(INDEX('Master data'!$B$2:$CL$1000,MATCH($B862,'Master data'!$A$2:$A$1000,0),MATCH(D$1,'Master data'!$B$1:$CL$1,0)),"")</f>
        <v/>
      </c>
      <c r="E862" s="5" t="str">
        <f>IFERROR(INDEX('Master data'!$B$2:$CL$1000,MATCH($B862,'Master data'!$A$2:$A$1000,0),MATCH(E$1,'Master data'!$B$1:$CL$1,0)),"")</f>
        <v/>
      </c>
      <c r="F862" s="7" t="str">
        <f>IFERROR(INDEX('Master data'!$B$2:$CL$1000,MATCH($B862,'Master data'!$A$2:$A$1000,0),MATCH(F$1,'Master data'!$B$1:$CL$1,0)),"")</f>
        <v/>
      </c>
      <c r="G862" s="7" t="str">
        <f>IFERROR(INDEX('Master data'!$B$2:$CL$1000,MATCH($B862,'Master data'!$A$2:$A$1000,0),MATCH(G$1,'Master data'!$B$1:$CL$1,0)),"")</f>
        <v/>
      </c>
      <c r="H862" s="7" t="str">
        <f>IFERROR(INDEX('Master data'!$B$2:$CL$1000,MATCH($B862,'Master data'!$A$2:$A$1000,0),MATCH(H$1,'Master data'!$B$1:$CL$1,0)),"")</f>
        <v/>
      </c>
      <c r="I862" s="7" t="str">
        <f>IFERROR(INDEX('Master data'!$B$2:$CL$1000,MATCH($B862,'Master data'!$A$2:$A$1000,0),MATCH(I$1,'Master data'!$B$1:$CL$1,0)),"")</f>
        <v/>
      </c>
      <c r="J862" s="7" t="str">
        <f>IFERROR(INDEX('Master data'!$B$2:$CL$1000,MATCH($B862,'Master data'!$A$2:$A$1000,0),MATCH(J$1,'Master data'!$B$1:$CL$1,0)),"")</f>
        <v/>
      </c>
      <c r="K862" s="7" t="str">
        <f>IFERROR(INDEX('Master data'!$B$2:$CL$1000,MATCH($B862,'Master data'!$A$2:$A$1000,0),MATCH(K$1,'Master data'!$B$1:$CL$1,0)),"")</f>
        <v/>
      </c>
      <c r="L862" s="7" t="str">
        <f>IFERROR(INDEX('Master data'!$B$2:$CL$1000,MATCH($B862,'Master data'!$A$2:$A$1000,0),MATCH(L$1,'Master data'!$B$1:$CL$1,0)),"")</f>
        <v/>
      </c>
      <c r="M862" s="5" t="str">
        <f>IFERROR(INDEX('Master data'!$B$2:$CL$1000,MATCH($B862,'Master data'!$A$2:$A$1000,0),MATCH(M$1,'Master data'!$B$1:$CL$1,0)),"")</f>
        <v/>
      </c>
      <c r="N862" s="28" t="str">
        <f>IFERROR(INDEX('Master data'!$B$2:$CL$1000,MATCH($B862,'Master data'!$A$2:$A$1000,0),MATCH(N$1,'Master data'!$B$1:$CL$1,0)),"")</f>
        <v/>
      </c>
      <c r="O862" s="7" t="str">
        <f>IFERROR(INDEX('Master data'!$B$2:$CL$1000,MATCH($B862,'Master data'!$A$2:$A$1000,0),MATCH(O$1,'Master data'!$B$1:$CL$1,0)),"")</f>
        <v/>
      </c>
      <c r="P862" s="5" t="str">
        <f>IFERROR(INDEX('Master data'!$B$2:$CL$1000,MATCH($B862,'Master data'!$A$2:$A$1000,0),MATCH(P$1,'Master data'!$B$1:$CL$1,0)),"")</f>
        <v/>
      </c>
      <c r="Q862" s="5" t="str">
        <f>IFERROR(INDEX('Master data'!$B$2:$CL$1000,MATCH($B862,'Master data'!$A$2:$A$1000,0),MATCH(Q$1,'Master data'!$B$1:$CL$1,0)),"")</f>
        <v/>
      </c>
    </row>
    <row r="863" spans="1:17" hidden="1">
      <c r="A863" t="str">
        <f t="shared" si="13"/>
        <v/>
      </c>
      <c r="B863" t="str">
        <f>IF('Master data'!A863="","",'Master data'!A863)</f>
        <v/>
      </c>
      <c r="C863" t="str">
        <f>IFERROR(INDEX('Master data'!$B$2:$CL$1000,MATCH($B863,'Master data'!$A$2:$A$1000,0),MATCH(C$1,'Master data'!$B$1:$CL$1,0)),"")</f>
        <v/>
      </c>
      <c r="D863" t="str">
        <f>IFERROR(INDEX('Master data'!$B$2:$CL$1000,MATCH($B863,'Master data'!$A$2:$A$1000,0),MATCH(D$1,'Master data'!$B$1:$CL$1,0)),"")</f>
        <v/>
      </c>
      <c r="E863" s="5" t="str">
        <f>IFERROR(INDEX('Master data'!$B$2:$CL$1000,MATCH($B863,'Master data'!$A$2:$A$1000,0),MATCH(E$1,'Master data'!$B$1:$CL$1,0)),"")</f>
        <v/>
      </c>
      <c r="F863" s="7" t="str">
        <f>IFERROR(INDEX('Master data'!$B$2:$CL$1000,MATCH($B863,'Master data'!$A$2:$A$1000,0),MATCH(F$1,'Master data'!$B$1:$CL$1,0)),"")</f>
        <v/>
      </c>
      <c r="G863" s="7" t="str">
        <f>IFERROR(INDEX('Master data'!$B$2:$CL$1000,MATCH($B863,'Master data'!$A$2:$A$1000,0),MATCH(G$1,'Master data'!$B$1:$CL$1,0)),"")</f>
        <v/>
      </c>
      <c r="H863" s="7" t="str">
        <f>IFERROR(INDEX('Master data'!$B$2:$CL$1000,MATCH($B863,'Master data'!$A$2:$A$1000,0),MATCH(H$1,'Master data'!$B$1:$CL$1,0)),"")</f>
        <v/>
      </c>
      <c r="I863" s="7" t="str">
        <f>IFERROR(INDEX('Master data'!$B$2:$CL$1000,MATCH($B863,'Master data'!$A$2:$A$1000,0),MATCH(I$1,'Master data'!$B$1:$CL$1,0)),"")</f>
        <v/>
      </c>
      <c r="J863" s="7" t="str">
        <f>IFERROR(INDEX('Master data'!$B$2:$CL$1000,MATCH($B863,'Master data'!$A$2:$A$1000,0),MATCH(J$1,'Master data'!$B$1:$CL$1,0)),"")</f>
        <v/>
      </c>
      <c r="K863" s="7" t="str">
        <f>IFERROR(INDEX('Master data'!$B$2:$CL$1000,MATCH($B863,'Master data'!$A$2:$A$1000,0),MATCH(K$1,'Master data'!$B$1:$CL$1,0)),"")</f>
        <v/>
      </c>
      <c r="L863" s="7" t="str">
        <f>IFERROR(INDEX('Master data'!$B$2:$CL$1000,MATCH($B863,'Master data'!$A$2:$A$1000,0),MATCH(L$1,'Master data'!$B$1:$CL$1,0)),"")</f>
        <v/>
      </c>
      <c r="M863" s="5" t="str">
        <f>IFERROR(INDEX('Master data'!$B$2:$CL$1000,MATCH($B863,'Master data'!$A$2:$A$1000,0),MATCH(M$1,'Master data'!$B$1:$CL$1,0)),"")</f>
        <v/>
      </c>
      <c r="N863" s="28" t="str">
        <f>IFERROR(INDEX('Master data'!$B$2:$CL$1000,MATCH($B863,'Master data'!$A$2:$A$1000,0),MATCH(N$1,'Master data'!$B$1:$CL$1,0)),"")</f>
        <v/>
      </c>
      <c r="O863" s="7" t="str">
        <f>IFERROR(INDEX('Master data'!$B$2:$CL$1000,MATCH($B863,'Master data'!$A$2:$A$1000,0),MATCH(O$1,'Master data'!$B$1:$CL$1,0)),"")</f>
        <v/>
      </c>
      <c r="P863" s="5" t="str">
        <f>IFERROR(INDEX('Master data'!$B$2:$CL$1000,MATCH($B863,'Master data'!$A$2:$A$1000,0),MATCH(P$1,'Master data'!$B$1:$CL$1,0)),"")</f>
        <v/>
      </c>
      <c r="Q863" s="5" t="str">
        <f>IFERROR(INDEX('Master data'!$B$2:$CL$1000,MATCH($B863,'Master data'!$A$2:$A$1000,0),MATCH(Q$1,'Master data'!$B$1:$CL$1,0)),"")</f>
        <v/>
      </c>
    </row>
    <row r="864" spans="1:17" hidden="1">
      <c r="A864" t="str">
        <f t="shared" si="13"/>
        <v/>
      </c>
      <c r="B864" t="str">
        <f>IF('Master data'!A864="","",'Master data'!A864)</f>
        <v/>
      </c>
      <c r="C864" t="str">
        <f>IFERROR(INDEX('Master data'!$B$2:$CL$1000,MATCH($B864,'Master data'!$A$2:$A$1000,0),MATCH(C$1,'Master data'!$B$1:$CL$1,0)),"")</f>
        <v/>
      </c>
      <c r="D864" t="str">
        <f>IFERROR(INDEX('Master data'!$B$2:$CL$1000,MATCH($B864,'Master data'!$A$2:$A$1000,0),MATCH(D$1,'Master data'!$B$1:$CL$1,0)),"")</f>
        <v/>
      </c>
      <c r="E864" s="5" t="str">
        <f>IFERROR(INDEX('Master data'!$B$2:$CL$1000,MATCH($B864,'Master data'!$A$2:$A$1000,0),MATCH(E$1,'Master data'!$B$1:$CL$1,0)),"")</f>
        <v/>
      </c>
      <c r="F864" s="7" t="str">
        <f>IFERROR(INDEX('Master data'!$B$2:$CL$1000,MATCH($B864,'Master data'!$A$2:$A$1000,0),MATCH(F$1,'Master data'!$B$1:$CL$1,0)),"")</f>
        <v/>
      </c>
      <c r="G864" s="7" t="str">
        <f>IFERROR(INDEX('Master data'!$B$2:$CL$1000,MATCH($B864,'Master data'!$A$2:$A$1000,0),MATCH(G$1,'Master data'!$B$1:$CL$1,0)),"")</f>
        <v/>
      </c>
      <c r="H864" s="7" t="str">
        <f>IFERROR(INDEX('Master data'!$B$2:$CL$1000,MATCH($B864,'Master data'!$A$2:$A$1000,0),MATCH(H$1,'Master data'!$B$1:$CL$1,0)),"")</f>
        <v/>
      </c>
      <c r="I864" s="7" t="str">
        <f>IFERROR(INDEX('Master data'!$B$2:$CL$1000,MATCH($B864,'Master data'!$A$2:$A$1000,0),MATCH(I$1,'Master data'!$B$1:$CL$1,0)),"")</f>
        <v/>
      </c>
      <c r="J864" s="7" t="str">
        <f>IFERROR(INDEX('Master data'!$B$2:$CL$1000,MATCH($B864,'Master data'!$A$2:$A$1000,0),MATCH(J$1,'Master data'!$B$1:$CL$1,0)),"")</f>
        <v/>
      </c>
      <c r="K864" s="7" t="str">
        <f>IFERROR(INDEX('Master data'!$B$2:$CL$1000,MATCH($B864,'Master data'!$A$2:$A$1000,0),MATCH(K$1,'Master data'!$B$1:$CL$1,0)),"")</f>
        <v/>
      </c>
      <c r="L864" s="7" t="str">
        <f>IFERROR(INDEX('Master data'!$B$2:$CL$1000,MATCH($B864,'Master data'!$A$2:$A$1000,0),MATCH(L$1,'Master data'!$B$1:$CL$1,0)),"")</f>
        <v/>
      </c>
      <c r="M864" s="5" t="str">
        <f>IFERROR(INDEX('Master data'!$B$2:$CL$1000,MATCH($B864,'Master data'!$A$2:$A$1000,0),MATCH(M$1,'Master data'!$B$1:$CL$1,0)),"")</f>
        <v/>
      </c>
      <c r="N864" s="28" t="str">
        <f>IFERROR(INDEX('Master data'!$B$2:$CL$1000,MATCH($B864,'Master data'!$A$2:$A$1000,0),MATCH(N$1,'Master data'!$B$1:$CL$1,0)),"")</f>
        <v/>
      </c>
      <c r="O864" s="7" t="str">
        <f>IFERROR(INDEX('Master data'!$B$2:$CL$1000,MATCH($B864,'Master data'!$A$2:$A$1000,0),MATCH(O$1,'Master data'!$B$1:$CL$1,0)),"")</f>
        <v/>
      </c>
      <c r="P864" s="5" t="str">
        <f>IFERROR(INDEX('Master data'!$B$2:$CL$1000,MATCH($B864,'Master data'!$A$2:$A$1000,0),MATCH(P$1,'Master data'!$B$1:$CL$1,0)),"")</f>
        <v/>
      </c>
      <c r="Q864" s="5" t="str">
        <f>IFERROR(INDEX('Master data'!$B$2:$CL$1000,MATCH($B864,'Master data'!$A$2:$A$1000,0),MATCH(Q$1,'Master data'!$B$1:$CL$1,0)),"")</f>
        <v/>
      </c>
    </row>
    <row r="865" spans="1:17" hidden="1">
      <c r="A865" t="str">
        <f t="shared" si="13"/>
        <v/>
      </c>
      <c r="B865" t="str">
        <f>IF('Master data'!A865="","",'Master data'!A865)</f>
        <v/>
      </c>
      <c r="C865" t="str">
        <f>IFERROR(INDEX('Master data'!$B$2:$CL$1000,MATCH($B865,'Master data'!$A$2:$A$1000,0),MATCH(C$1,'Master data'!$B$1:$CL$1,0)),"")</f>
        <v/>
      </c>
      <c r="D865" t="str">
        <f>IFERROR(INDEX('Master data'!$B$2:$CL$1000,MATCH($B865,'Master data'!$A$2:$A$1000,0),MATCH(D$1,'Master data'!$B$1:$CL$1,0)),"")</f>
        <v/>
      </c>
      <c r="E865" s="5" t="str">
        <f>IFERROR(INDEX('Master data'!$B$2:$CL$1000,MATCH($B865,'Master data'!$A$2:$A$1000,0),MATCH(E$1,'Master data'!$B$1:$CL$1,0)),"")</f>
        <v/>
      </c>
      <c r="F865" s="7" t="str">
        <f>IFERROR(INDEX('Master data'!$B$2:$CL$1000,MATCH($B865,'Master data'!$A$2:$A$1000,0),MATCH(F$1,'Master data'!$B$1:$CL$1,0)),"")</f>
        <v/>
      </c>
      <c r="G865" s="7" t="str">
        <f>IFERROR(INDEX('Master data'!$B$2:$CL$1000,MATCH($B865,'Master data'!$A$2:$A$1000,0),MATCH(G$1,'Master data'!$B$1:$CL$1,0)),"")</f>
        <v/>
      </c>
      <c r="H865" s="7" t="str">
        <f>IFERROR(INDEX('Master data'!$B$2:$CL$1000,MATCH($B865,'Master data'!$A$2:$A$1000,0),MATCH(H$1,'Master data'!$B$1:$CL$1,0)),"")</f>
        <v/>
      </c>
      <c r="I865" s="7" t="str">
        <f>IFERROR(INDEX('Master data'!$B$2:$CL$1000,MATCH($B865,'Master data'!$A$2:$A$1000,0),MATCH(I$1,'Master data'!$B$1:$CL$1,0)),"")</f>
        <v/>
      </c>
      <c r="J865" s="7" t="str">
        <f>IFERROR(INDEX('Master data'!$B$2:$CL$1000,MATCH($B865,'Master data'!$A$2:$A$1000,0),MATCH(J$1,'Master data'!$B$1:$CL$1,0)),"")</f>
        <v/>
      </c>
      <c r="K865" s="7" t="str">
        <f>IFERROR(INDEX('Master data'!$B$2:$CL$1000,MATCH($B865,'Master data'!$A$2:$A$1000,0),MATCH(K$1,'Master data'!$B$1:$CL$1,0)),"")</f>
        <v/>
      </c>
      <c r="L865" s="7" t="str">
        <f>IFERROR(INDEX('Master data'!$B$2:$CL$1000,MATCH($B865,'Master data'!$A$2:$A$1000,0),MATCH(L$1,'Master data'!$B$1:$CL$1,0)),"")</f>
        <v/>
      </c>
      <c r="M865" s="5" t="str">
        <f>IFERROR(INDEX('Master data'!$B$2:$CL$1000,MATCH($B865,'Master data'!$A$2:$A$1000,0),MATCH(M$1,'Master data'!$B$1:$CL$1,0)),"")</f>
        <v/>
      </c>
      <c r="N865" s="28" t="str">
        <f>IFERROR(INDEX('Master data'!$B$2:$CL$1000,MATCH($B865,'Master data'!$A$2:$A$1000,0),MATCH(N$1,'Master data'!$B$1:$CL$1,0)),"")</f>
        <v/>
      </c>
      <c r="O865" s="7" t="str">
        <f>IFERROR(INDEX('Master data'!$B$2:$CL$1000,MATCH($B865,'Master data'!$A$2:$A$1000,0),MATCH(O$1,'Master data'!$B$1:$CL$1,0)),"")</f>
        <v/>
      </c>
      <c r="P865" s="5" t="str">
        <f>IFERROR(INDEX('Master data'!$B$2:$CL$1000,MATCH($B865,'Master data'!$A$2:$A$1000,0),MATCH(P$1,'Master data'!$B$1:$CL$1,0)),"")</f>
        <v/>
      </c>
      <c r="Q865" s="5" t="str">
        <f>IFERROR(INDEX('Master data'!$B$2:$CL$1000,MATCH($B865,'Master data'!$A$2:$A$1000,0),MATCH(Q$1,'Master data'!$B$1:$CL$1,0)),"")</f>
        <v/>
      </c>
    </row>
    <row r="866" spans="1:17" hidden="1">
      <c r="A866" t="str">
        <f t="shared" si="13"/>
        <v/>
      </c>
      <c r="B866" t="str">
        <f>IF('Master data'!A866="","",'Master data'!A866)</f>
        <v/>
      </c>
      <c r="C866" t="str">
        <f>IFERROR(INDEX('Master data'!$B$2:$CL$1000,MATCH($B866,'Master data'!$A$2:$A$1000,0),MATCH(C$1,'Master data'!$B$1:$CL$1,0)),"")</f>
        <v/>
      </c>
      <c r="D866" t="str">
        <f>IFERROR(INDEX('Master data'!$B$2:$CL$1000,MATCH($B866,'Master data'!$A$2:$A$1000,0),MATCH(D$1,'Master data'!$B$1:$CL$1,0)),"")</f>
        <v/>
      </c>
      <c r="E866" s="5" t="str">
        <f>IFERROR(INDEX('Master data'!$B$2:$CL$1000,MATCH($B866,'Master data'!$A$2:$A$1000,0),MATCH(E$1,'Master data'!$B$1:$CL$1,0)),"")</f>
        <v/>
      </c>
      <c r="F866" s="7" t="str">
        <f>IFERROR(INDEX('Master data'!$B$2:$CL$1000,MATCH($B866,'Master data'!$A$2:$A$1000,0),MATCH(F$1,'Master data'!$B$1:$CL$1,0)),"")</f>
        <v/>
      </c>
      <c r="G866" s="7" t="str">
        <f>IFERROR(INDEX('Master data'!$B$2:$CL$1000,MATCH($B866,'Master data'!$A$2:$A$1000,0),MATCH(G$1,'Master data'!$B$1:$CL$1,0)),"")</f>
        <v/>
      </c>
      <c r="H866" s="7" t="str">
        <f>IFERROR(INDEX('Master data'!$B$2:$CL$1000,MATCH($B866,'Master data'!$A$2:$A$1000,0),MATCH(H$1,'Master data'!$B$1:$CL$1,0)),"")</f>
        <v/>
      </c>
      <c r="I866" s="7" t="str">
        <f>IFERROR(INDEX('Master data'!$B$2:$CL$1000,MATCH($B866,'Master data'!$A$2:$A$1000,0),MATCH(I$1,'Master data'!$B$1:$CL$1,0)),"")</f>
        <v/>
      </c>
      <c r="J866" s="7" t="str">
        <f>IFERROR(INDEX('Master data'!$B$2:$CL$1000,MATCH($B866,'Master data'!$A$2:$A$1000,0),MATCH(J$1,'Master data'!$B$1:$CL$1,0)),"")</f>
        <v/>
      </c>
      <c r="K866" s="7" t="str">
        <f>IFERROR(INDEX('Master data'!$B$2:$CL$1000,MATCH($B866,'Master data'!$A$2:$A$1000,0),MATCH(K$1,'Master data'!$B$1:$CL$1,0)),"")</f>
        <v/>
      </c>
      <c r="L866" s="7" t="str">
        <f>IFERROR(INDEX('Master data'!$B$2:$CL$1000,MATCH($B866,'Master data'!$A$2:$A$1000,0),MATCH(L$1,'Master data'!$B$1:$CL$1,0)),"")</f>
        <v/>
      </c>
      <c r="M866" s="5" t="str">
        <f>IFERROR(INDEX('Master data'!$B$2:$CL$1000,MATCH($B866,'Master data'!$A$2:$A$1000,0),MATCH(M$1,'Master data'!$B$1:$CL$1,0)),"")</f>
        <v/>
      </c>
      <c r="N866" s="28" t="str">
        <f>IFERROR(INDEX('Master data'!$B$2:$CL$1000,MATCH($B866,'Master data'!$A$2:$A$1000,0),MATCH(N$1,'Master data'!$B$1:$CL$1,0)),"")</f>
        <v/>
      </c>
      <c r="O866" s="7" t="str">
        <f>IFERROR(INDEX('Master data'!$B$2:$CL$1000,MATCH($B866,'Master data'!$A$2:$A$1000,0),MATCH(O$1,'Master data'!$B$1:$CL$1,0)),"")</f>
        <v/>
      </c>
      <c r="P866" s="5" t="str">
        <f>IFERROR(INDEX('Master data'!$B$2:$CL$1000,MATCH($B866,'Master data'!$A$2:$A$1000,0),MATCH(P$1,'Master data'!$B$1:$CL$1,0)),"")</f>
        <v/>
      </c>
      <c r="Q866" s="5" t="str">
        <f>IFERROR(INDEX('Master data'!$B$2:$CL$1000,MATCH($B866,'Master data'!$A$2:$A$1000,0),MATCH(Q$1,'Master data'!$B$1:$CL$1,0)),"")</f>
        <v/>
      </c>
    </row>
    <row r="867" spans="1:17" hidden="1">
      <c r="A867" t="str">
        <f t="shared" si="13"/>
        <v/>
      </c>
      <c r="B867" t="str">
        <f>IF('Master data'!A867="","",'Master data'!A867)</f>
        <v/>
      </c>
      <c r="C867" t="str">
        <f>IFERROR(INDEX('Master data'!$B$2:$CL$1000,MATCH($B867,'Master data'!$A$2:$A$1000,0),MATCH(C$1,'Master data'!$B$1:$CL$1,0)),"")</f>
        <v/>
      </c>
      <c r="D867" t="str">
        <f>IFERROR(INDEX('Master data'!$B$2:$CL$1000,MATCH($B867,'Master data'!$A$2:$A$1000,0),MATCH(D$1,'Master data'!$B$1:$CL$1,0)),"")</f>
        <v/>
      </c>
      <c r="E867" s="5" t="str">
        <f>IFERROR(INDEX('Master data'!$B$2:$CL$1000,MATCH($B867,'Master data'!$A$2:$A$1000,0),MATCH(E$1,'Master data'!$B$1:$CL$1,0)),"")</f>
        <v/>
      </c>
      <c r="F867" s="7" t="str">
        <f>IFERROR(INDEX('Master data'!$B$2:$CL$1000,MATCH($B867,'Master data'!$A$2:$A$1000,0),MATCH(F$1,'Master data'!$B$1:$CL$1,0)),"")</f>
        <v/>
      </c>
      <c r="G867" s="7" t="str">
        <f>IFERROR(INDEX('Master data'!$B$2:$CL$1000,MATCH($B867,'Master data'!$A$2:$A$1000,0),MATCH(G$1,'Master data'!$B$1:$CL$1,0)),"")</f>
        <v/>
      </c>
      <c r="H867" s="7" t="str">
        <f>IFERROR(INDEX('Master data'!$B$2:$CL$1000,MATCH($B867,'Master data'!$A$2:$A$1000,0),MATCH(H$1,'Master data'!$B$1:$CL$1,0)),"")</f>
        <v/>
      </c>
      <c r="I867" s="7" t="str">
        <f>IFERROR(INDEX('Master data'!$B$2:$CL$1000,MATCH($B867,'Master data'!$A$2:$A$1000,0),MATCH(I$1,'Master data'!$B$1:$CL$1,0)),"")</f>
        <v/>
      </c>
      <c r="J867" s="7" t="str">
        <f>IFERROR(INDEX('Master data'!$B$2:$CL$1000,MATCH($B867,'Master data'!$A$2:$A$1000,0),MATCH(J$1,'Master data'!$B$1:$CL$1,0)),"")</f>
        <v/>
      </c>
      <c r="K867" s="7" t="str">
        <f>IFERROR(INDEX('Master data'!$B$2:$CL$1000,MATCH($B867,'Master data'!$A$2:$A$1000,0),MATCH(K$1,'Master data'!$B$1:$CL$1,0)),"")</f>
        <v/>
      </c>
      <c r="L867" s="7" t="str">
        <f>IFERROR(INDEX('Master data'!$B$2:$CL$1000,MATCH($B867,'Master data'!$A$2:$A$1000,0),MATCH(L$1,'Master data'!$B$1:$CL$1,0)),"")</f>
        <v/>
      </c>
      <c r="M867" s="5" t="str">
        <f>IFERROR(INDEX('Master data'!$B$2:$CL$1000,MATCH($B867,'Master data'!$A$2:$A$1000,0),MATCH(M$1,'Master data'!$B$1:$CL$1,0)),"")</f>
        <v/>
      </c>
      <c r="N867" s="28" t="str">
        <f>IFERROR(INDEX('Master data'!$B$2:$CL$1000,MATCH($B867,'Master data'!$A$2:$A$1000,0),MATCH(N$1,'Master data'!$B$1:$CL$1,0)),"")</f>
        <v/>
      </c>
      <c r="O867" s="7" t="str">
        <f>IFERROR(INDEX('Master data'!$B$2:$CL$1000,MATCH($B867,'Master data'!$A$2:$A$1000,0),MATCH(O$1,'Master data'!$B$1:$CL$1,0)),"")</f>
        <v/>
      </c>
      <c r="P867" s="5" t="str">
        <f>IFERROR(INDEX('Master data'!$B$2:$CL$1000,MATCH($B867,'Master data'!$A$2:$A$1000,0),MATCH(P$1,'Master data'!$B$1:$CL$1,0)),"")</f>
        <v/>
      </c>
      <c r="Q867" s="5" t="str">
        <f>IFERROR(INDEX('Master data'!$B$2:$CL$1000,MATCH($B867,'Master data'!$A$2:$A$1000,0),MATCH(Q$1,'Master data'!$B$1:$CL$1,0)),"")</f>
        <v/>
      </c>
    </row>
    <row r="868" spans="1:17" hidden="1">
      <c r="A868" t="str">
        <f t="shared" si="13"/>
        <v/>
      </c>
      <c r="B868" t="str">
        <f>IF('Master data'!A868="","",'Master data'!A868)</f>
        <v/>
      </c>
      <c r="C868" t="str">
        <f>IFERROR(INDEX('Master data'!$B$2:$CL$1000,MATCH($B868,'Master data'!$A$2:$A$1000,0),MATCH(C$1,'Master data'!$B$1:$CL$1,0)),"")</f>
        <v/>
      </c>
      <c r="D868" t="str">
        <f>IFERROR(INDEX('Master data'!$B$2:$CL$1000,MATCH($B868,'Master data'!$A$2:$A$1000,0),MATCH(D$1,'Master data'!$B$1:$CL$1,0)),"")</f>
        <v/>
      </c>
      <c r="E868" s="5" t="str">
        <f>IFERROR(INDEX('Master data'!$B$2:$CL$1000,MATCH($B868,'Master data'!$A$2:$A$1000,0),MATCH(E$1,'Master data'!$B$1:$CL$1,0)),"")</f>
        <v/>
      </c>
      <c r="F868" s="7" t="str">
        <f>IFERROR(INDEX('Master data'!$B$2:$CL$1000,MATCH($B868,'Master data'!$A$2:$A$1000,0),MATCH(F$1,'Master data'!$B$1:$CL$1,0)),"")</f>
        <v/>
      </c>
      <c r="G868" s="7" t="str">
        <f>IFERROR(INDEX('Master data'!$B$2:$CL$1000,MATCH($B868,'Master data'!$A$2:$A$1000,0),MATCH(G$1,'Master data'!$B$1:$CL$1,0)),"")</f>
        <v/>
      </c>
      <c r="H868" s="7" t="str">
        <f>IFERROR(INDEX('Master data'!$B$2:$CL$1000,MATCH($B868,'Master data'!$A$2:$A$1000,0),MATCH(H$1,'Master data'!$B$1:$CL$1,0)),"")</f>
        <v/>
      </c>
      <c r="I868" s="7" t="str">
        <f>IFERROR(INDEX('Master data'!$B$2:$CL$1000,MATCH($B868,'Master data'!$A$2:$A$1000,0),MATCH(I$1,'Master data'!$B$1:$CL$1,0)),"")</f>
        <v/>
      </c>
      <c r="J868" s="7" t="str">
        <f>IFERROR(INDEX('Master data'!$B$2:$CL$1000,MATCH($B868,'Master data'!$A$2:$A$1000,0),MATCH(J$1,'Master data'!$B$1:$CL$1,0)),"")</f>
        <v/>
      </c>
      <c r="K868" s="7" t="str">
        <f>IFERROR(INDEX('Master data'!$B$2:$CL$1000,MATCH($B868,'Master data'!$A$2:$A$1000,0),MATCH(K$1,'Master data'!$B$1:$CL$1,0)),"")</f>
        <v/>
      </c>
      <c r="L868" s="7" t="str">
        <f>IFERROR(INDEX('Master data'!$B$2:$CL$1000,MATCH($B868,'Master data'!$A$2:$A$1000,0),MATCH(L$1,'Master data'!$B$1:$CL$1,0)),"")</f>
        <v/>
      </c>
      <c r="M868" s="5" t="str">
        <f>IFERROR(INDEX('Master data'!$B$2:$CL$1000,MATCH($B868,'Master data'!$A$2:$A$1000,0),MATCH(M$1,'Master data'!$B$1:$CL$1,0)),"")</f>
        <v/>
      </c>
      <c r="N868" s="28" t="str">
        <f>IFERROR(INDEX('Master data'!$B$2:$CL$1000,MATCH($B868,'Master data'!$A$2:$A$1000,0),MATCH(N$1,'Master data'!$B$1:$CL$1,0)),"")</f>
        <v/>
      </c>
      <c r="O868" s="7" t="str">
        <f>IFERROR(INDEX('Master data'!$B$2:$CL$1000,MATCH($B868,'Master data'!$A$2:$A$1000,0),MATCH(O$1,'Master data'!$B$1:$CL$1,0)),"")</f>
        <v/>
      </c>
      <c r="P868" s="5" t="str">
        <f>IFERROR(INDEX('Master data'!$B$2:$CL$1000,MATCH($B868,'Master data'!$A$2:$A$1000,0),MATCH(P$1,'Master data'!$B$1:$CL$1,0)),"")</f>
        <v/>
      </c>
      <c r="Q868" s="5" t="str">
        <f>IFERROR(INDEX('Master data'!$B$2:$CL$1000,MATCH($B868,'Master data'!$A$2:$A$1000,0),MATCH(Q$1,'Master data'!$B$1:$CL$1,0)),"")</f>
        <v/>
      </c>
    </row>
    <row r="869" spans="1:17" hidden="1">
      <c r="A869" t="str">
        <f t="shared" si="13"/>
        <v/>
      </c>
      <c r="B869" t="str">
        <f>IF('Master data'!A869="","",'Master data'!A869)</f>
        <v/>
      </c>
      <c r="C869" t="str">
        <f>IFERROR(INDEX('Master data'!$B$2:$CL$1000,MATCH($B869,'Master data'!$A$2:$A$1000,0),MATCH(C$1,'Master data'!$B$1:$CL$1,0)),"")</f>
        <v/>
      </c>
      <c r="D869" t="str">
        <f>IFERROR(INDEX('Master data'!$B$2:$CL$1000,MATCH($B869,'Master data'!$A$2:$A$1000,0),MATCH(D$1,'Master data'!$B$1:$CL$1,0)),"")</f>
        <v/>
      </c>
      <c r="E869" s="5" t="str">
        <f>IFERROR(INDEX('Master data'!$B$2:$CL$1000,MATCH($B869,'Master data'!$A$2:$A$1000,0),MATCH(E$1,'Master data'!$B$1:$CL$1,0)),"")</f>
        <v/>
      </c>
      <c r="F869" s="7" t="str">
        <f>IFERROR(INDEX('Master data'!$B$2:$CL$1000,MATCH($B869,'Master data'!$A$2:$A$1000,0),MATCH(F$1,'Master data'!$B$1:$CL$1,0)),"")</f>
        <v/>
      </c>
      <c r="G869" s="7" t="str">
        <f>IFERROR(INDEX('Master data'!$B$2:$CL$1000,MATCH($B869,'Master data'!$A$2:$A$1000,0),MATCH(G$1,'Master data'!$B$1:$CL$1,0)),"")</f>
        <v/>
      </c>
      <c r="H869" s="7" t="str">
        <f>IFERROR(INDEX('Master data'!$B$2:$CL$1000,MATCH($B869,'Master data'!$A$2:$A$1000,0),MATCH(H$1,'Master data'!$B$1:$CL$1,0)),"")</f>
        <v/>
      </c>
      <c r="I869" s="7" t="str">
        <f>IFERROR(INDEX('Master data'!$B$2:$CL$1000,MATCH($B869,'Master data'!$A$2:$A$1000,0),MATCH(I$1,'Master data'!$B$1:$CL$1,0)),"")</f>
        <v/>
      </c>
      <c r="J869" s="7" t="str">
        <f>IFERROR(INDEX('Master data'!$B$2:$CL$1000,MATCH($B869,'Master data'!$A$2:$A$1000,0),MATCH(J$1,'Master data'!$B$1:$CL$1,0)),"")</f>
        <v/>
      </c>
      <c r="K869" s="7" t="str">
        <f>IFERROR(INDEX('Master data'!$B$2:$CL$1000,MATCH($B869,'Master data'!$A$2:$A$1000,0),MATCH(K$1,'Master data'!$B$1:$CL$1,0)),"")</f>
        <v/>
      </c>
      <c r="L869" s="7" t="str">
        <f>IFERROR(INDEX('Master data'!$B$2:$CL$1000,MATCH($B869,'Master data'!$A$2:$A$1000,0),MATCH(L$1,'Master data'!$B$1:$CL$1,0)),"")</f>
        <v/>
      </c>
      <c r="M869" s="5" t="str">
        <f>IFERROR(INDEX('Master data'!$B$2:$CL$1000,MATCH($B869,'Master data'!$A$2:$A$1000,0),MATCH(M$1,'Master data'!$B$1:$CL$1,0)),"")</f>
        <v/>
      </c>
      <c r="N869" s="28" t="str">
        <f>IFERROR(INDEX('Master data'!$B$2:$CL$1000,MATCH($B869,'Master data'!$A$2:$A$1000,0),MATCH(N$1,'Master data'!$B$1:$CL$1,0)),"")</f>
        <v/>
      </c>
      <c r="O869" s="7" t="str">
        <f>IFERROR(INDEX('Master data'!$B$2:$CL$1000,MATCH($B869,'Master data'!$A$2:$A$1000,0),MATCH(O$1,'Master data'!$B$1:$CL$1,0)),"")</f>
        <v/>
      </c>
      <c r="P869" s="5" t="str">
        <f>IFERROR(INDEX('Master data'!$B$2:$CL$1000,MATCH($B869,'Master data'!$A$2:$A$1000,0),MATCH(P$1,'Master data'!$B$1:$CL$1,0)),"")</f>
        <v/>
      </c>
      <c r="Q869" s="5" t="str">
        <f>IFERROR(INDEX('Master data'!$B$2:$CL$1000,MATCH($B869,'Master data'!$A$2:$A$1000,0),MATCH(Q$1,'Master data'!$B$1:$CL$1,0)),"")</f>
        <v/>
      </c>
    </row>
    <row r="870" spans="1:17" hidden="1">
      <c r="A870" t="str">
        <f t="shared" si="13"/>
        <v/>
      </c>
      <c r="B870" t="str">
        <f>IF('Master data'!A870="","",'Master data'!A870)</f>
        <v/>
      </c>
      <c r="C870" t="str">
        <f>IFERROR(INDEX('Master data'!$B$2:$CL$1000,MATCH($B870,'Master data'!$A$2:$A$1000,0),MATCH(C$1,'Master data'!$B$1:$CL$1,0)),"")</f>
        <v/>
      </c>
      <c r="D870" t="str">
        <f>IFERROR(INDEX('Master data'!$B$2:$CL$1000,MATCH($B870,'Master data'!$A$2:$A$1000,0),MATCH(D$1,'Master data'!$B$1:$CL$1,0)),"")</f>
        <v/>
      </c>
      <c r="E870" s="5" t="str">
        <f>IFERROR(INDEX('Master data'!$B$2:$CL$1000,MATCH($B870,'Master data'!$A$2:$A$1000,0),MATCH(E$1,'Master data'!$B$1:$CL$1,0)),"")</f>
        <v/>
      </c>
      <c r="F870" s="7" t="str">
        <f>IFERROR(INDEX('Master data'!$B$2:$CL$1000,MATCH($B870,'Master data'!$A$2:$A$1000,0),MATCH(F$1,'Master data'!$B$1:$CL$1,0)),"")</f>
        <v/>
      </c>
      <c r="G870" s="7" t="str">
        <f>IFERROR(INDEX('Master data'!$B$2:$CL$1000,MATCH($B870,'Master data'!$A$2:$A$1000,0),MATCH(G$1,'Master data'!$B$1:$CL$1,0)),"")</f>
        <v/>
      </c>
      <c r="H870" s="7" t="str">
        <f>IFERROR(INDEX('Master data'!$B$2:$CL$1000,MATCH($B870,'Master data'!$A$2:$A$1000,0),MATCH(H$1,'Master data'!$B$1:$CL$1,0)),"")</f>
        <v/>
      </c>
      <c r="I870" s="7" t="str">
        <f>IFERROR(INDEX('Master data'!$B$2:$CL$1000,MATCH($B870,'Master data'!$A$2:$A$1000,0),MATCH(I$1,'Master data'!$B$1:$CL$1,0)),"")</f>
        <v/>
      </c>
      <c r="J870" s="7" t="str">
        <f>IFERROR(INDEX('Master data'!$B$2:$CL$1000,MATCH($B870,'Master data'!$A$2:$A$1000,0),MATCH(J$1,'Master data'!$B$1:$CL$1,0)),"")</f>
        <v/>
      </c>
      <c r="K870" s="7" t="str">
        <f>IFERROR(INDEX('Master data'!$B$2:$CL$1000,MATCH($B870,'Master data'!$A$2:$A$1000,0),MATCH(K$1,'Master data'!$B$1:$CL$1,0)),"")</f>
        <v/>
      </c>
      <c r="L870" s="7" t="str">
        <f>IFERROR(INDEX('Master data'!$B$2:$CL$1000,MATCH($B870,'Master data'!$A$2:$A$1000,0),MATCH(L$1,'Master data'!$B$1:$CL$1,0)),"")</f>
        <v/>
      </c>
      <c r="M870" s="5" t="str">
        <f>IFERROR(INDEX('Master data'!$B$2:$CL$1000,MATCH($B870,'Master data'!$A$2:$A$1000,0),MATCH(M$1,'Master data'!$B$1:$CL$1,0)),"")</f>
        <v/>
      </c>
      <c r="N870" s="28" t="str">
        <f>IFERROR(INDEX('Master data'!$B$2:$CL$1000,MATCH($B870,'Master data'!$A$2:$A$1000,0),MATCH(N$1,'Master data'!$B$1:$CL$1,0)),"")</f>
        <v/>
      </c>
      <c r="O870" s="7" t="str">
        <f>IFERROR(INDEX('Master data'!$B$2:$CL$1000,MATCH($B870,'Master data'!$A$2:$A$1000,0),MATCH(O$1,'Master data'!$B$1:$CL$1,0)),"")</f>
        <v/>
      </c>
      <c r="P870" s="5" t="str">
        <f>IFERROR(INDEX('Master data'!$B$2:$CL$1000,MATCH($B870,'Master data'!$A$2:$A$1000,0),MATCH(P$1,'Master data'!$B$1:$CL$1,0)),"")</f>
        <v/>
      </c>
      <c r="Q870" s="5" t="str">
        <f>IFERROR(INDEX('Master data'!$B$2:$CL$1000,MATCH($B870,'Master data'!$A$2:$A$1000,0),MATCH(Q$1,'Master data'!$B$1:$CL$1,0)),"")</f>
        <v/>
      </c>
    </row>
    <row r="871" spans="1:17" hidden="1">
      <c r="A871" t="str">
        <f t="shared" si="13"/>
        <v/>
      </c>
      <c r="B871" t="str">
        <f>IF('Master data'!A871="","",'Master data'!A871)</f>
        <v/>
      </c>
      <c r="C871" t="str">
        <f>IFERROR(INDEX('Master data'!$B$2:$CL$1000,MATCH($B871,'Master data'!$A$2:$A$1000,0),MATCH(C$1,'Master data'!$B$1:$CL$1,0)),"")</f>
        <v/>
      </c>
      <c r="D871" t="str">
        <f>IFERROR(INDEX('Master data'!$B$2:$CL$1000,MATCH($B871,'Master data'!$A$2:$A$1000,0),MATCH(D$1,'Master data'!$B$1:$CL$1,0)),"")</f>
        <v/>
      </c>
      <c r="E871" s="5" t="str">
        <f>IFERROR(INDEX('Master data'!$B$2:$CL$1000,MATCH($B871,'Master data'!$A$2:$A$1000,0),MATCH(E$1,'Master data'!$B$1:$CL$1,0)),"")</f>
        <v/>
      </c>
      <c r="F871" s="7" t="str">
        <f>IFERROR(INDEX('Master data'!$B$2:$CL$1000,MATCH($B871,'Master data'!$A$2:$A$1000,0),MATCH(F$1,'Master data'!$B$1:$CL$1,0)),"")</f>
        <v/>
      </c>
      <c r="G871" s="7" t="str">
        <f>IFERROR(INDEX('Master data'!$B$2:$CL$1000,MATCH($B871,'Master data'!$A$2:$A$1000,0),MATCH(G$1,'Master data'!$B$1:$CL$1,0)),"")</f>
        <v/>
      </c>
      <c r="H871" s="7" t="str">
        <f>IFERROR(INDEX('Master data'!$B$2:$CL$1000,MATCH($B871,'Master data'!$A$2:$A$1000,0),MATCH(H$1,'Master data'!$B$1:$CL$1,0)),"")</f>
        <v/>
      </c>
      <c r="I871" s="7" t="str">
        <f>IFERROR(INDEX('Master data'!$B$2:$CL$1000,MATCH($B871,'Master data'!$A$2:$A$1000,0),MATCH(I$1,'Master data'!$B$1:$CL$1,0)),"")</f>
        <v/>
      </c>
      <c r="J871" s="7" t="str">
        <f>IFERROR(INDEX('Master data'!$B$2:$CL$1000,MATCH($B871,'Master data'!$A$2:$A$1000,0),MATCH(J$1,'Master data'!$B$1:$CL$1,0)),"")</f>
        <v/>
      </c>
      <c r="K871" s="7" t="str">
        <f>IFERROR(INDEX('Master data'!$B$2:$CL$1000,MATCH($B871,'Master data'!$A$2:$A$1000,0),MATCH(K$1,'Master data'!$B$1:$CL$1,0)),"")</f>
        <v/>
      </c>
      <c r="L871" s="7" t="str">
        <f>IFERROR(INDEX('Master data'!$B$2:$CL$1000,MATCH($B871,'Master data'!$A$2:$A$1000,0),MATCH(L$1,'Master data'!$B$1:$CL$1,0)),"")</f>
        <v/>
      </c>
      <c r="M871" s="5" t="str">
        <f>IFERROR(INDEX('Master data'!$B$2:$CL$1000,MATCH($B871,'Master data'!$A$2:$A$1000,0),MATCH(M$1,'Master data'!$B$1:$CL$1,0)),"")</f>
        <v/>
      </c>
      <c r="N871" s="28" t="str">
        <f>IFERROR(INDEX('Master data'!$B$2:$CL$1000,MATCH($B871,'Master data'!$A$2:$A$1000,0),MATCH(N$1,'Master data'!$B$1:$CL$1,0)),"")</f>
        <v/>
      </c>
      <c r="O871" s="7" t="str">
        <f>IFERROR(INDEX('Master data'!$B$2:$CL$1000,MATCH($B871,'Master data'!$A$2:$A$1000,0),MATCH(O$1,'Master data'!$B$1:$CL$1,0)),"")</f>
        <v/>
      </c>
      <c r="P871" s="5" t="str">
        <f>IFERROR(INDEX('Master data'!$B$2:$CL$1000,MATCH($B871,'Master data'!$A$2:$A$1000,0),MATCH(P$1,'Master data'!$B$1:$CL$1,0)),"")</f>
        <v/>
      </c>
      <c r="Q871" s="5" t="str">
        <f>IFERROR(INDEX('Master data'!$B$2:$CL$1000,MATCH($B871,'Master data'!$A$2:$A$1000,0),MATCH(Q$1,'Master data'!$B$1:$CL$1,0)),"")</f>
        <v/>
      </c>
    </row>
    <row r="872" spans="1:17" hidden="1">
      <c r="A872" t="str">
        <f t="shared" si="13"/>
        <v/>
      </c>
      <c r="B872" t="str">
        <f>IF('Master data'!A872="","",'Master data'!A872)</f>
        <v/>
      </c>
      <c r="C872" t="str">
        <f>IFERROR(INDEX('Master data'!$B$2:$CL$1000,MATCH($B872,'Master data'!$A$2:$A$1000,0),MATCH(C$1,'Master data'!$B$1:$CL$1,0)),"")</f>
        <v/>
      </c>
      <c r="D872" t="str">
        <f>IFERROR(INDEX('Master data'!$B$2:$CL$1000,MATCH($B872,'Master data'!$A$2:$A$1000,0),MATCH(D$1,'Master data'!$B$1:$CL$1,0)),"")</f>
        <v/>
      </c>
      <c r="E872" s="5" t="str">
        <f>IFERROR(INDEX('Master data'!$B$2:$CL$1000,MATCH($B872,'Master data'!$A$2:$A$1000,0),MATCH(E$1,'Master data'!$B$1:$CL$1,0)),"")</f>
        <v/>
      </c>
      <c r="F872" s="7" t="str">
        <f>IFERROR(INDEX('Master data'!$B$2:$CL$1000,MATCH($B872,'Master data'!$A$2:$A$1000,0),MATCH(F$1,'Master data'!$B$1:$CL$1,0)),"")</f>
        <v/>
      </c>
      <c r="G872" s="7" t="str">
        <f>IFERROR(INDEX('Master data'!$B$2:$CL$1000,MATCH($B872,'Master data'!$A$2:$A$1000,0),MATCH(G$1,'Master data'!$B$1:$CL$1,0)),"")</f>
        <v/>
      </c>
      <c r="H872" s="7" t="str">
        <f>IFERROR(INDEX('Master data'!$B$2:$CL$1000,MATCH($B872,'Master data'!$A$2:$A$1000,0),MATCH(H$1,'Master data'!$B$1:$CL$1,0)),"")</f>
        <v/>
      </c>
      <c r="I872" s="7" t="str">
        <f>IFERROR(INDEX('Master data'!$B$2:$CL$1000,MATCH($B872,'Master data'!$A$2:$A$1000,0),MATCH(I$1,'Master data'!$B$1:$CL$1,0)),"")</f>
        <v/>
      </c>
      <c r="J872" s="7" t="str">
        <f>IFERROR(INDEX('Master data'!$B$2:$CL$1000,MATCH($B872,'Master data'!$A$2:$A$1000,0),MATCH(J$1,'Master data'!$B$1:$CL$1,0)),"")</f>
        <v/>
      </c>
      <c r="K872" s="7" t="str">
        <f>IFERROR(INDEX('Master data'!$B$2:$CL$1000,MATCH($B872,'Master data'!$A$2:$A$1000,0),MATCH(K$1,'Master data'!$B$1:$CL$1,0)),"")</f>
        <v/>
      </c>
      <c r="L872" s="7" t="str">
        <f>IFERROR(INDEX('Master data'!$B$2:$CL$1000,MATCH($B872,'Master data'!$A$2:$A$1000,0),MATCH(L$1,'Master data'!$B$1:$CL$1,0)),"")</f>
        <v/>
      </c>
      <c r="M872" s="5" t="str">
        <f>IFERROR(INDEX('Master data'!$B$2:$CL$1000,MATCH($B872,'Master data'!$A$2:$A$1000,0),MATCH(M$1,'Master data'!$B$1:$CL$1,0)),"")</f>
        <v/>
      </c>
      <c r="N872" s="28" t="str">
        <f>IFERROR(INDEX('Master data'!$B$2:$CL$1000,MATCH($B872,'Master data'!$A$2:$A$1000,0),MATCH(N$1,'Master data'!$B$1:$CL$1,0)),"")</f>
        <v/>
      </c>
      <c r="O872" s="7" t="str">
        <f>IFERROR(INDEX('Master data'!$B$2:$CL$1000,MATCH($B872,'Master data'!$A$2:$A$1000,0),MATCH(O$1,'Master data'!$B$1:$CL$1,0)),"")</f>
        <v/>
      </c>
      <c r="P872" s="5" t="str">
        <f>IFERROR(INDEX('Master data'!$B$2:$CL$1000,MATCH($B872,'Master data'!$A$2:$A$1000,0),MATCH(P$1,'Master data'!$B$1:$CL$1,0)),"")</f>
        <v/>
      </c>
      <c r="Q872" s="5" t="str">
        <f>IFERROR(INDEX('Master data'!$B$2:$CL$1000,MATCH($B872,'Master data'!$A$2:$A$1000,0),MATCH(Q$1,'Master data'!$B$1:$CL$1,0)),"")</f>
        <v/>
      </c>
    </row>
    <row r="873" spans="1:17" hidden="1">
      <c r="A873" t="str">
        <f t="shared" si="13"/>
        <v/>
      </c>
      <c r="B873" t="str">
        <f>IF('Master data'!A873="","",'Master data'!A873)</f>
        <v/>
      </c>
      <c r="C873" t="str">
        <f>IFERROR(INDEX('Master data'!$B$2:$CL$1000,MATCH($B873,'Master data'!$A$2:$A$1000,0),MATCH(C$1,'Master data'!$B$1:$CL$1,0)),"")</f>
        <v/>
      </c>
      <c r="D873" t="str">
        <f>IFERROR(INDEX('Master data'!$B$2:$CL$1000,MATCH($B873,'Master data'!$A$2:$A$1000,0),MATCH(D$1,'Master data'!$B$1:$CL$1,0)),"")</f>
        <v/>
      </c>
      <c r="E873" s="5" t="str">
        <f>IFERROR(INDEX('Master data'!$B$2:$CL$1000,MATCH($B873,'Master data'!$A$2:$A$1000,0),MATCH(E$1,'Master data'!$B$1:$CL$1,0)),"")</f>
        <v/>
      </c>
      <c r="F873" s="7" t="str">
        <f>IFERROR(INDEX('Master data'!$B$2:$CL$1000,MATCH($B873,'Master data'!$A$2:$A$1000,0),MATCH(F$1,'Master data'!$B$1:$CL$1,0)),"")</f>
        <v/>
      </c>
      <c r="G873" s="7" t="str">
        <f>IFERROR(INDEX('Master data'!$B$2:$CL$1000,MATCH($B873,'Master data'!$A$2:$A$1000,0),MATCH(G$1,'Master data'!$B$1:$CL$1,0)),"")</f>
        <v/>
      </c>
      <c r="H873" s="7" t="str">
        <f>IFERROR(INDEX('Master data'!$B$2:$CL$1000,MATCH($B873,'Master data'!$A$2:$A$1000,0),MATCH(H$1,'Master data'!$B$1:$CL$1,0)),"")</f>
        <v/>
      </c>
      <c r="I873" s="7" t="str">
        <f>IFERROR(INDEX('Master data'!$B$2:$CL$1000,MATCH($B873,'Master data'!$A$2:$A$1000,0),MATCH(I$1,'Master data'!$B$1:$CL$1,0)),"")</f>
        <v/>
      </c>
      <c r="J873" s="7" t="str">
        <f>IFERROR(INDEX('Master data'!$B$2:$CL$1000,MATCH($B873,'Master data'!$A$2:$A$1000,0),MATCH(J$1,'Master data'!$B$1:$CL$1,0)),"")</f>
        <v/>
      </c>
      <c r="K873" s="7" t="str">
        <f>IFERROR(INDEX('Master data'!$B$2:$CL$1000,MATCH($B873,'Master data'!$A$2:$A$1000,0),MATCH(K$1,'Master data'!$B$1:$CL$1,0)),"")</f>
        <v/>
      </c>
      <c r="L873" s="7" t="str">
        <f>IFERROR(INDEX('Master data'!$B$2:$CL$1000,MATCH($B873,'Master data'!$A$2:$A$1000,0),MATCH(L$1,'Master data'!$B$1:$CL$1,0)),"")</f>
        <v/>
      </c>
      <c r="M873" s="5" t="str">
        <f>IFERROR(INDEX('Master data'!$B$2:$CL$1000,MATCH($B873,'Master data'!$A$2:$A$1000,0),MATCH(M$1,'Master data'!$B$1:$CL$1,0)),"")</f>
        <v/>
      </c>
      <c r="N873" s="28" t="str">
        <f>IFERROR(INDEX('Master data'!$B$2:$CL$1000,MATCH($B873,'Master data'!$A$2:$A$1000,0),MATCH(N$1,'Master data'!$B$1:$CL$1,0)),"")</f>
        <v/>
      </c>
      <c r="O873" s="7" t="str">
        <f>IFERROR(INDEX('Master data'!$B$2:$CL$1000,MATCH($B873,'Master data'!$A$2:$A$1000,0),MATCH(O$1,'Master data'!$B$1:$CL$1,0)),"")</f>
        <v/>
      </c>
      <c r="P873" s="5" t="str">
        <f>IFERROR(INDEX('Master data'!$B$2:$CL$1000,MATCH($B873,'Master data'!$A$2:$A$1000,0),MATCH(P$1,'Master data'!$B$1:$CL$1,0)),"")</f>
        <v/>
      </c>
      <c r="Q873" s="5" t="str">
        <f>IFERROR(INDEX('Master data'!$B$2:$CL$1000,MATCH($B873,'Master data'!$A$2:$A$1000,0),MATCH(Q$1,'Master data'!$B$1:$CL$1,0)),"")</f>
        <v/>
      </c>
    </row>
    <row r="874" spans="1:17" hidden="1">
      <c r="A874" t="str">
        <f t="shared" si="13"/>
        <v/>
      </c>
      <c r="B874" t="str">
        <f>IF('Master data'!A874="","",'Master data'!A874)</f>
        <v/>
      </c>
      <c r="C874" t="str">
        <f>IFERROR(INDEX('Master data'!$B$2:$CL$1000,MATCH($B874,'Master data'!$A$2:$A$1000,0),MATCH(C$1,'Master data'!$B$1:$CL$1,0)),"")</f>
        <v/>
      </c>
      <c r="D874" t="str">
        <f>IFERROR(INDEX('Master data'!$B$2:$CL$1000,MATCH($B874,'Master data'!$A$2:$A$1000,0),MATCH(D$1,'Master data'!$B$1:$CL$1,0)),"")</f>
        <v/>
      </c>
      <c r="E874" s="5" t="str">
        <f>IFERROR(INDEX('Master data'!$B$2:$CL$1000,MATCH($B874,'Master data'!$A$2:$A$1000,0),MATCH(E$1,'Master data'!$B$1:$CL$1,0)),"")</f>
        <v/>
      </c>
      <c r="F874" s="7" t="str">
        <f>IFERROR(INDEX('Master data'!$B$2:$CL$1000,MATCH($B874,'Master data'!$A$2:$A$1000,0),MATCH(F$1,'Master data'!$B$1:$CL$1,0)),"")</f>
        <v/>
      </c>
      <c r="G874" s="7" t="str">
        <f>IFERROR(INDEX('Master data'!$B$2:$CL$1000,MATCH($B874,'Master data'!$A$2:$A$1000,0),MATCH(G$1,'Master data'!$B$1:$CL$1,0)),"")</f>
        <v/>
      </c>
      <c r="H874" s="7" t="str">
        <f>IFERROR(INDEX('Master data'!$B$2:$CL$1000,MATCH($B874,'Master data'!$A$2:$A$1000,0),MATCH(H$1,'Master data'!$B$1:$CL$1,0)),"")</f>
        <v/>
      </c>
      <c r="I874" s="7" t="str">
        <f>IFERROR(INDEX('Master data'!$B$2:$CL$1000,MATCH($B874,'Master data'!$A$2:$A$1000,0),MATCH(I$1,'Master data'!$B$1:$CL$1,0)),"")</f>
        <v/>
      </c>
      <c r="J874" s="7" t="str">
        <f>IFERROR(INDEX('Master data'!$B$2:$CL$1000,MATCH($B874,'Master data'!$A$2:$A$1000,0),MATCH(J$1,'Master data'!$B$1:$CL$1,0)),"")</f>
        <v/>
      </c>
      <c r="K874" s="7" t="str">
        <f>IFERROR(INDEX('Master data'!$B$2:$CL$1000,MATCH($B874,'Master data'!$A$2:$A$1000,0),MATCH(K$1,'Master data'!$B$1:$CL$1,0)),"")</f>
        <v/>
      </c>
      <c r="L874" s="7" t="str">
        <f>IFERROR(INDEX('Master data'!$B$2:$CL$1000,MATCH($B874,'Master data'!$A$2:$A$1000,0),MATCH(L$1,'Master data'!$B$1:$CL$1,0)),"")</f>
        <v/>
      </c>
      <c r="M874" s="5" t="str">
        <f>IFERROR(INDEX('Master data'!$B$2:$CL$1000,MATCH($B874,'Master data'!$A$2:$A$1000,0),MATCH(M$1,'Master data'!$B$1:$CL$1,0)),"")</f>
        <v/>
      </c>
      <c r="N874" s="28" t="str">
        <f>IFERROR(INDEX('Master data'!$B$2:$CL$1000,MATCH($B874,'Master data'!$A$2:$A$1000,0),MATCH(N$1,'Master data'!$B$1:$CL$1,0)),"")</f>
        <v/>
      </c>
      <c r="O874" s="7" t="str">
        <f>IFERROR(INDEX('Master data'!$B$2:$CL$1000,MATCH($B874,'Master data'!$A$2:$A$1000,0),MATCH(O$1,'Master data'!$B$1:$CL$1,0)),"")</f>
        <v/>
      </c>
      <c r="P874" s="5" t="str">
        <f>IFERROR(INDEX('Master data'!$B$2:$CL$1000,MATCH($B874,'Master data'!$A$2:$A$1000,0),MATCH(P$1,'Master data'!$B$1:$CL$1,0)),"")</f>
        <v/>
      </c>
      <c r="Q874" s="5" t="str">
        <f>IFERROR(INDEX('Master data'!$B$2:$CL$1000,MATCH($B874,'Master data'!$A$2:$A$1000,0),MATCH(Q$1,'Master data'!$B$1:$CL$1,0)),"")</f>
        <v/>
      </c>
    </row>
    <row r="875" spans="1:17" hidden="1">
      <c r="A875" t="str">
        <f t="shared" si="13"/>
        <v/>
      </c>
      <c r="B875" t="str">
        <f>IF('Master data'!A875="","",'Master data'!A875)</f>
        <v/>
      </c>
      <c r="C875" t="str">
        <f>IFERROR(INDEX('Master data'!$B$2:$CL$1000,MATCH($B875,'Master data'!$A$2:$A$1000,0),MATCH(C$1,'Master data'!$B$1:$CL$1,0)),"")</f>
        <v/>
      </c>
      <c r="D875" t="str">
        <f>IFERROR(INDEX('Master data'!$B$2:$CL$1000,MATCH($B875,'Master data'!$A$2:$A$1000,0),MATCH(D$1,'Master data'!$B$1:$CL$1,0)),"")</f>
        <v/>
      </c>
      <c r="E875" s="5" t="str">
        <f>IFERROR(INDEX('Master data'!$B$2:$CL$1000,MATCH($B875,'Master data'!$A$2:$A$1000,0),MATCH(E$1,'Master data'!$B$1:$CL$1,0)),"")</f>
        <v/>
      </c>
      <c r="F875" s="7" t="str">
        <f>IFERROR(INDEX('Master data'!$B$2:$CL$1000,MATCH($B875,'Master data'!$A$2:$A$1000,0),MATCH(F$1,'Master data'!$B$1:$CL$1,0)),"")</f>
        <v/>
      </c>
      <c r="G875" s="7" t="str">
        <f>IFERROR(INDEX('Master data'!$B$2:$CL$1000,MATCH($B875,'Master data'!$A$2:$A$1000,0),MATCH(G$1,'Master data'!$B$1:$CL$1,0)),"")</f>
        <v/>
      </c>
      <c r="H875" s="7" t="str">
        <f>IFERROR(INDEX('Master data'!$B$2:$CL$1000,MATCH($B875,'Master data'!$A$2:$A$1000,0),MATCH(H$1,'Master data'!$B$1:$CL$1,0)),"")</f>
        <v/>
      </c>
      <c r="I875" s="7" t="str">
        <f>IFERROR(INDEX('Master data'!$B$2:$CL$1000,MATCH($B875,'Master data'!$A$2:$A$1000,0),MATCH(I$1,'Master data'!$B$1:$CL$1,0)),"")</f>
        <v/>
      </c>
      <c r="J875" s="7" t="str">
        <f>IFERROR(INDEX('Master data'!$B$2:$CL$1000,MATCH($B875,'Master data'!$A$2:$A$1000,0),MATCH(J$1,'Master data'!$B$1:$CL$1,0)),"")</f>
        <v/>
      </c>
      <c r="K875" s="7" t="str">
        <f>IFERROR(INDEX('Master data'!$B$2:$CL$1000,MATCH($B875,'Master data'!$A$2:$A$1000,0),MATCH(K$1,'Master data'!$B$1:$CL$1,0)),"")</f>
        <v/>
      </c>
      <c r="L875" s="7" t="str">
        <f>IFERROR(INDEX('Master data'!$B$2:$CL$1000,MATCH($B875,'Master data'!$A$2:$A$1000,0),MATCH(L$1,'Master data'!$B$1:$CL$1,0)),"")</f>
        <v/>
      </c>
      <c r="M875" s="5" t="str">
        <f>IFERROR(INDEX('Master data'!$B$2:$CL$1000,MATCH($B875,'Master data'!$A$2:$A$1000,0),MATCH(M$1,'Master data'!$B$1:$CL$1,0)),"")</f>
        <v/>
      </c>
      <c r="N875" s="28" t="str">
        <f>IFERROR(INDEX('Master data'!$B$2:$CL$1000,MATCH($B875,'Master data'!$A$2:$A$1000,0),MATCH(N$1,'Master data'!$B$1:$CL$1,0)),"")</f>
        <v/>
      </c>
      <c r="O875" s="7" t="str">
        <f>IFERROR(INDEX('Master data'!$B$2:$CL$1000,MATCH($B875,'Master data'!$A$2:$A$1000,0),MATCH(O$1,'Master data'!$B$1:$CL$1,0)),"")</f>
        <v/>
      </c>
      <c r="P875" s="5" t="str">
        <f>IFERROR(INDEX('Master data'!$B$2:$CL$1000,MATCH($B875,'Master data'!$A$2:$A$1000,0),MATCH(P$1,'Master data'!$B$1:$CL$1,0)),"")</f>
        <v/>
      </c>
      <c r="Q875" s="5" t="str">
        <f>IFERROR(INDEX('Master data'!$B$2:$CL$1000,MATCH($B875,'Master data'!$A$2:$A$1000,0),MATCH(Q$1,'Master data'!$B$1:$CL$1,0)),"")</f>
        <v/>
      </c>
    </row>
    <row r="876" spans="1:17" hidden="1">
      <c r="A876" t="str">
        <f t="shared" si="13"/>
        <v/>
      </c>
      <c r="B876" t="str">
        <f>IF('Master data'!A876="","",'Master data'!A876)</f>
        <v/>
      </c>
      <c r="C876" t="str">
        <f>IFERROR(INDEX('Master data'!$B$2:$CL$1000,MATCH($B876,'Master data'!$A$2:$A$1000,0),MATCH(C$1,'Master data'!$B$1:$CL$1,0)),"")</f>
        <v/>
      </c>
      <c r="D876" t="str">
        <f>IFERROR(INDEX('Master data'!$B$2:$CL$1000,MATCH($B876,'Master data'!$A$2:$A$1000,0),MATCH(D$1,'Master data'!$B$1:$CL$1,0)),"")</f>
        <v/>
      </c>
      <c r="E876" s="5" t="str">
        <f>IFERROR(INDEX('Master data'!$B$2:$CL$1000,MATCH($B876,'Master data'!$A$2:$A$1000,0),MATCH(E$1,'Master data'!$B$1:$CL$1,0)),"")</f>
        <v/>
      </c>
      <c r="F876" s="7" t="str">
        <f>IFERROR(INDEX('Master data'!$B$2:$CL$1000,MATCH($B876,'Master data'!$A$2:$A$1000,0),MATCH(F$1,'Master data'!$B$1:$CL$1,0)),"")</f>
        <v/>
      </c>
      <c r="G876" s="7" t="str">
        <f>IFERROR(INDEX('Master data'!$B$2:$CL$1000,MATCH($B876,'Master data'!$A$2:$A$1000,0),MATCH(G$1,'Master data'!$B$1:$CL$1,0)),"")</f>
        <v/>
      </c>
      <c r="H876" s="7" t="str">
        <f>IFERROR(INDEX('Master data'!$B$2:$CL$1000,MATCH($B876,'Master data'!$A$2:$A$1000,0),MATCH(H$1,'Master data'!$B$1:$CL$1,0)),"")</f>
        <v/>
      </c>
      <c r="I876" s="7" t="str">
        <f>IFERROR(INDEX('Master data'!$B$2:$CL$1000,MATCH($B876,'Master data'!$A$2:$A$1000,0),MATCH(I$1,'Master data'!$B$1:$CL$1,0)),"")</f>
        <v/>
      </c>
      <c r="J876" s="7" t="str">
        <f>IFERROR(INDEX('Master data'!$B$2:$CL$1000,MATCH($B876,'Master data'!$A$2:$A$1000,0),MATCH(J$1,'Master data'!$B$1:$CL$1,0)),"")</f>
        <v/>
      </c>
      <c r="K876" s="7" t="str">
        <f>IFERROR(INDEX('Master data'!$B$2:$CL$1000,MATCH($B876,'Master data'!$A$2:$A$1000,0),MATCH(K$1,'Master data'!$B$1:$CL$1,0)),"")</f>
        <v/>
      </c>
      <c r="L876" s="7" t="str">
        <f>IFERROR(INDEX('Master data'!$B$2:$CL$1000,MATCH($B876,'Master data'!$A$2:$A$1000,0),MATCH(L$1,'Master data'!$B$1:$CL$1,0)),"")</f>
        <v/>
      </c>
      <c r="M876" s="5" t="str">
        <f>IFERROR(INDEX('Master data'!$B$2:$CL$1000,MATCH($B876,'Master data'!$A$2:$A$1000,0),MATCH(M$1,'Master data'!$B$1:$CL$1,0)),"")</f>
        <v/>
      </c>
      <c r="N876" s="28" t="str">
        <f>IFERROR(INDEX('Master data'!$B$2:$CL$1000,MATCH($B876,'Master data'!$A$2:$A$1000,0),MATCH(N$1,'Master data'!$B$1:$CL$1,0)),"")</f>
        <v/>
      </c>
      <c r="O876" s="7" t="str">
        <f>IFERROR(INDEX('Master data'!$B$2:$CL$1000,MATCH($B876,'Master data'!$A$2:$A$1000,0),MATCH(O$1,'Master data'!$B$1:$CL$1,0)),"")</f>
        <v/>
      </c>
      <c r="P876" s="5" t="str">
        <f>IFERROR(INDEX('Master data'!$B$2:$CL$1000,MATCH($B876,'Master data'!$A$2:$A$1000,0),MATCH(P$1,'Master data'!$B$1:$CL$1,0)),"")</f>
        <v/>
      </c>
      <c r="Q876" s="5" t="str">
        <f>IFERROR(INDEX('Master data'!$B$2:$CL$1000,MATCH($B876,'Master data'!$A$2:$A$1000,0),MATCH(Q$1,'Master data'!$B$1:$CL$1,0)),"")</f>
        <v/>
      </c>
    </row>
    <row r="877" spans="1:17" hidden="1">
      <c r="A877" t="str">
        <f t="shared" si="13"/>
        <v/>
      </c>
      <c r="B877" t="str">
        <f>IF('Master data'!A877="","",'Master data'!A877)</f>
        <v/>
      </c>
      <c r="C877" t="str">
        <f>IFERROR(INDEX('Master data'!$B$2:$CL$1000,MATCH($B877,'Master data'!$A$2:$A$1000,0),MATCH(C$1,'Master data'!$B$1:$CL$1,0)),"")</f>
        <v/>
      </c>
      <c r="D877" t="str">
        <f>IFERROR(INDEX('Master data'!$B$2:$CL$1000,MATCH($B877,'Master data'!$A$2:$A$1000,0),MATCH(D$1,'Master data'!$B$1:$CL$1,0)),"")</f>
        <v/>
      </c>
      <c r="E877" s="5" t="str">
        <f>IFERROR(INDEX('Master data'!$B$2:$CL$1000,MATCH($B877,'Master data'!$A$2:$A$1000,0),MATCH(E$1,'Master data'!$B$1:$CL$1,0)),"")</f>
        <v/>
      </c>
      <c r="F877" s="7" t="str">
        <f>IFERROR(INDEX('Master data'!$B$2:$CL$1000,MATCH($B877,'Master data'!$A$2:$A$1000,0),MATCH(F$1,'Master data'!$B$1:$CL$1,0)),"")</f>
        <v/>
      </c>
      <c r="G877" s="7" t="str">
        <f>IFERROR(INDEX('Master data'!$B$2:$CL$1000,MATCH($B877,'Master data'!$A$2:$A$1000,0),MATCH(G$1,'Master data'!$B$1:$CL$1,0)),"")</f>
        <v/>
      </c>
      <c r="H877" s="7" t="str">
        <f>IFERROR(INDEX('Master data'!$B$2:$CL$1000,MATCH($B877,'Master data'!$A$2:$A$1000,0),MATCH(H$1,'Master data'!$B$1:$CL$1,0)),"")</f>
        <v/>
      </c>
      <c r="I877" s="7" t="str">
        <f>IFERROR(INDEX('Master data'!$B$2:$CL$1000,MATCH($B877,'Master data'!$A$2:$A$1000,0),MATCH(I$1,'Master data'!$B$1:$CL$1,0)),"")</f>
        <v/>
      </c>
      <c r="J877" s="7" t="str">
        <f>IFERROR(INDEX('Master data'!$B$2:$CL$1000,MATCH($B877,'Master data'!$A$2:$A$1000,0),MATCH(J$1,'Master data'!$B$1:$CL$1,0)),"")</f>
        <v/>
      </c>
      <c r="K877" s="7" t="str">
        <f>IFERROR(INDEX('Master data'!$B$2:$CL$1000,MATCH($B877,'Master data'!$A$2:$A$1000,0),MATCH(K$1,'Master data'!$B$1:$CL$1,0)),"")</f>
        <v/>
      </c>
      <c r="L877" s="7" t="str">
        <f>IFERROR(INDEX('Master data'!$B$2:$CL$1000,MATCH($B877,'Master data'!$A$2:$A$1000,0),MATCH(L$1,'Master data'!$B$1:$CL$1,0)),"")</f>
        <v/>
      </c>
      <c r="M877" s="5" t="str">
        <f>IFERROR(INDEX('Master data'!$B$2:$CL$1000,MATCH($B877,'Master data'!$A$2:$A$1000,0),MATCH(M$1,'Master data'!$B$1:$CL$1,0)),"")</f>
        <v/>
      </c>
      <c r="N877" s="28" t="str">
        <f>IFERROR(INDEX('Master data'!$B$2:$CL$1000,MATCH($B877,'Master data'!$A$2:$A$1000,0),MATCH(N$1,'Master data'!$B$1:$CL$1,0)),"")</f>
        <v/>
      </c>
      <c r="O877" s="7" t="str">
        <f>IFERROR(INDEX('Master data'!$B$2:$CL$1000,MATCH($B877,'Master data'!$A$2:$A$1000,0),MATCH(O$1,'Master data'!$B$1:$CL$1,0)),"")</f>
        <v/>
      </c>
      <c r="P877" s="5" t="str">
        <f>IFERROR(INDEX('Master data'!$B$2:$CL$1000,MATCH($B877,'Master data'!$A$2:$A$1000,0),MATCH(P$1,'Master data'!$B$1:$CL$1,0)),"")</f>
        <v/>
      </c>
      <c r="Q877" s="5" t="str">
        <f>IFERROR(INDEX('Master data'!$B$2:$CL$1000,MATCH($B877,'Master data'!$A$2:$A$1000,0),MATCH(Q$1,'Master data'!$B$1:$CL$1,0)),"")</f>
        <v/>
      </c>
    </row>
    <row r="878" spans="1:17" hidden="1">
      <c r="A878" t="str">
        <f t="shared" si="13"/>
        <v/>
      </c>
      <c r="B878" t="str">
        <f>IF('Master data'!A878="","",'Master data'!A878)</f>
        <v/>
      </c>
      <c r="C878" t="str">
        <f>IFERROR(INDEX('Master data'!$B$2:$CL$1000,MATCH($B878,'Master data'!$A$2:$A$1000,0),MATCH(C$1,'Master data'!$B$1:$CL$1,0)),"")</f>
        <v/>
      </c>
      <c r="D878" t="str">
        <f>IFERROR(INDEX('Master data'!$B$2:$CL$1000,MATCH($B878,'Master data'!$A$2:$A$1000,0),MATCH(D$1,'Master data'!$B$1:$CL$1,0)),"")</f>
        <v/>
      </c>
      <c r="E878" s="5" t="str">
        <f>IFERROR(INDEX('Master data'!$B$2:$CL$1000,MATCH($B878,'Master data'!$A$2:$A$1000,0),MATCH(E$1,'Master data'!$B$1:$CL$1,0)),"")</f>
        <v/>
      </c>
      <c r="F878" s="7" t="str">
        <f>IFERROR(INDEX('Master data'!$B$2:$CL$1000,MATCH($B878,'Master data'!$A$2:$A$1000,0),MATCH(F$1,'Master data'!$B$1:$CL$1,0)),"")</f>
        <v/>
      </c>
      <c r="G878" s="7" t="str">
        <f>IFERROR(INDEX('Master data'!$B$2:$CL$1000,MATCH($B878,'Master data'!$A$2:$A$1000,0),MATCH(G$1,'Master data'!$B$1:$CL$1,0)),"")</f>
        <v/>
      </c>
      <c r="H878" s="7" t="str">
        <f>IFERROR(INDEX('Master data'!$B$2:$CL$1000,MATCH($B878,'Master data'!$A$2:$A$1000,0),MATCH(H$1,'Master data'!$B$1:$CL$1,0)),"")</f>
        <v/>
      </c>
      <c r="I878" s="7" t="str">
        <f>IFERROR(INDEX('Master data'!$B$2:$CL$1000,MATCH($B878,'Master data'!$A$2:$A$1000,0),MATCH(I$1,'Master data'!$B$1:$CL$1,0)),"")</f>
        <v/>
      </c>
      <c r="J878" s="7" t="str">
        <f>IFERROR(INDEX('Master data'!$B$2:$CL$1000,MATCH($B878,'Master data'!$A$2:$A$1000,0),MATCH(J$1,'Master data'!$B$1:$CL$1,0)),"")</f>
        <v/>
      </c>
      <c r="K878" s="7" t="str">
        <f>IFERROR(INDEX('Master data'!$B$2:$CL$1000,MATCH($B878,'Master data'!$A$2:$A$1000,0),MATCH(K$1,'Master data'!$B$1:$CL$1,0)),"")</f>
        <v/>
      </c>
      <c r="L878" s="7" t="str">
        <f>IFERROR(INDEX('Master data'!$B$2:$CL$1000,MATCH($B878,'Master data'!$A$2:$A$1000,0),MATCH(L$1,'Master data'!$B$1:$CL$1,0)),"")</f>
        <v/>
      </c>
      <c r="M878" s="5" t="str">
        <f>IFERROR(INDEX('Master data'!$B$2:$CL$1000,MATCH($B878,'Master data'!$A$2:$A$1000,0),MATCH(M$1,'Master data'!$B$1:$CL$1,0)),"")</f>
        <v/>
      </c>
      <c r="N878" s="28" t="str">
        <f>IFERROR(INDEX('Master data'!$B$2:$CL$1000,MATCH($B878,'Master data'!$A$2:$A$1000,0),MATCH(N$1,'Master data'!$B$1:$CL$1,0)),"")</f>
        <v/>
      </c>
      <c r="O878" s="7" t="str">
        <f>IFERROR(INDEX('Master data'!$B$2:$CL$1000,MATCH($B878,'Master data'!$A$2:$A$1000,0),MATCH(O$1,'Master data'!$B$1:$CL$1,0)),"")</f>
        <v/>
      </c>
      <c r="P878" s="5" t="str">
        <f>IFERROR(INDEX('Master data'!$B$2:$CL$1000,MATCH($B878,'Master data'!$A$2:$A$1000,0),MATCH(P$1,'Master data'!$B$1:$CL$1,0)),"")</f>
        <v/>
      </c>
      <c r="Q878" s="5" t="str">
        <f>IFERROR(INDEX('Master data'!$B$2:$CL$1000,MATCH($B878,'Master data'!$A$2:$A$1000,0),MATCH(Q$1,'Master data'!$B$1:$CL$1,0)),"")</f>
        <v/>
      </c>
    </row>
    <row r="879" spans="1:17" hidden="1">
      <c r="A879" t="str">
        <f t="shared" si="13"/>
        <v/>
      </c>
      <c r="B879" t="str">
        <f>IF('Master data'!A879="","",'Master data'!A879)</f>
        <v/>
      </c>
      <c r="C879" t="str">
        <f>IFERROR(INDEX('Master data'!$B$2:$CL$1000,MATCH($B879,'Master data'!$A$2:$A$1000,0),MATCH(C$1,'Master data'!$B$1:$CL$1,0)),"")</f>
        <v/>
      </c>
      <c r="D879" t="str">
        <f>IFERROR(INDEX('Master data'!$B$2:$CL$1000,MATCH($B879,'Master data'!$A$2:$A$1000,0),MATCH(D$1,'Master data'!$B$1:$CL$1,0)),"")</f>
        <v/>
      </c>
      <c r="E879" s="5" t="str">
        <f>IFERROR(INDEX('Master data'!$B$2:$CL$1000,MATCH($B879,'Master data'!$A$2:$A$1000,0),MATCH(E$1,'Master data'!$B$1:$CL$1,0)),"")</f>
        <v/>
      </c>
      <c r="F879" s="7" t="str">
        <f>IFERROR(INDEX('Master data'!$B$2:$CL$1000,MATCH($B879,'Master data'!$A$2:$A$1000,0),MATCH(F$1,'Master data'!$B$1:$CL$1,0)),"")</f>
        <v/>
      </c>
      <c r="G879" s="7" t="str">
        <f>IFERROR(INDEX('Master data'!$B$2:$CL$1000,MATCH($B879,'Master data'!$A$2:$A$1000,0),MATCH(G$1,'Master data'!$B$1:$CL$1,0)),"")</f>
        <v/>
      </c>
      <c r="H879" s="7" t="str">
        <f>IFERROR(INDEX('Master data'!$B$2:$CL$1000,MATCH($B879,'Master data'!$A$2:$A$1000,0),MATCH(H$1,'Master data'!$B$1:$CL$1,0)),"")</f>
        <v/>
      </c>
      <c r="I879" s="7" t="str">
        <f>IFERROR(INDEX('Master data'!$B$2:$CL$1000,MATCH($B879,'Master data'!$A$2:$A$1000,0),MATCH(I$1,'Master data'!$B$1:$CL$1,0)),"")</f>
        <v/>
      </c>
      <c r="J879" s="7" t="str">
        <f>IFERROR(INDEX('Master data'!$B$2:$CL$1000,MATCH($B879,'Master data'!$A$2:$A$1000,0),MATCH(J$1,'Master data'!$B$1:$CL$1,0)),"")</f>
        <v/>
      </c>
      <c r="K879" s="7" t="str">
        <f>IFERROR(INDEX('Master data'!$B$2:$CL$1000,MATCH($B879,'Master data'!$A$2:$A$1000,0),MATCH(K$1,'Master data'!$B$1:$CL$1,0)),"")</f>
        <v/>
      </c>
      <c r="L879" s="7" t="str">
        <f>IFERROR(INDEX('Master data'!$B$2:$CL$1000,MATCH($B879,'Master data'!$A$2:$A$1000,0),MATCH(L$1,'Master data'!$B$1:$CL$1,0)),"")</f>
        <v/>
      </c>
      <c r="M879" s="5" t="str">
        <f>IFERROR(INDEX('Master data'!$B$2:$CL$1000,MATCH($B879,'Master data'!$A$2:$A$1000,0),MATCH(M$1,'Master data'!$B$1:$CL$1,0)),"")</f>
        <v/>
      </c>
      <c r="N879" s="28" t="str">
        <f>IFERROR(INDEX('Master data'!$B$2:$CL$1000,MATCH($B879,'Master data'!$A$2:$A$1000,0),MATCH(N$1,'Master data'!$B$1:$CL$1,0)),"")</f>
        <v/>
      </c>
      <c r="O879" s="7" t="str">
        <f>IFERROR(INDEX('Master data'!$B$2:$CL$1000,MATCH($B879,'Master data'!$A$2:$A$1000,0),MATCH(O$1,'Master data'!$B$1:$CL$1,0)),"")</f>
        <v/>
      </c>
      <c r="P879" s="5" t="str">
        <f>IFERROR(INDEX('Master data'!$B$2:$CL$1000,MATCH($B879,'Master data'!$A$2:$A$1000,0),MATCH(P$1,'Master data'!$B$1:$CL$1,0)),"")</f>
        <v/>
      </c>
      <c r="Q879" s="5" t="str">
        <f>IFERROR(INDEX('Master data'!$B$2:$CL$1000,MATCH($B879,'Master data'!$A$2:$A$1000,0),MATCH(Q$1,'Master data'!$B$1:$CL$1,0)),"")</f>
        <v/>
      </c>
    </row>
    <row r="880" spans="1:17" hidden="1">
      <c r="A880" t="str">
        <f t="shared" si="13"/>
        <v/>
      </c>
      <c r="B880" t="str">
        <f>IF('Master data'!A880="","",'Master data'!A880)</f>
        <v/>
      </c>
      <c r="C880" t="str">
        <f>IFERROR(INDEX('Master data'!$B$2:$CL$1000,MATCH($B880,'Master data'!$A$2:$A$1000,0),MATCH(C$1,'Master data'!$B$1:$CL$1,0)),"")</f>
        <v/>
      </c>
      <c r="D880" t="str">
        <f>IFERROR(INDEX('Master data'!$B$2:$CL$1000,MATCH($B880,'Master data'!$A$2:$A$1000,0),MATCH(D$1,'Master data'!$B$1:$CL$1,0)),"")</f>
        <v/>
      </c>
      <c r="E880" s="5" t="str">
        <f>IFERROR(INDEX('Master data'!$B$2:$CL$1000,MATCH($B880,'Master data'!$A$2:$A$1000,0),MATCH(E$1,'Master data'!$B$1:$CL$1,0)),"")</f>
        <v/>
      </c>
      <c r="F880" s="7" t="str">
        <f>IFERROR(INDEX('Master data'!$B$2:$CL$1000,MATCH($B880,'Master data'!$A$2:$A$1000,0),MATCH(F$1,'Master data'!$B$1:$CL$1,0)),"")</f>
        <v/>
      </c>
      <c r="G880" s="7" t="str">
        <f>IFERROR(INDEX('Master data'!$B$2:$CL$1000,MATCH($B880,'Master data'!$A$2:$A$1000,0),MATCH(G$1,'Master data'!$B$1:$CL$1,0)),"")</f>
        <v/>
      </c>
      <c r="H880" s="7" t="str">
        <f>IFERROR(INDEX('Master data'!$B$2:$CL$1000,MATCH($B880,'Master data'!$A$2:$A$1000,0),MATCH(H$1,'Master data'!$B$1:$CL$1,0)),"")</f>
        <v/>
      </c>
      <c r="I880" s="7" t="str">
        <f>IFERROR(INDEX('Master data'!$B$2:$CL$1000,MATCH($B880,'Master data'!$A$2:$A$1000,0),MATCH(I$1,'Master data'!$B$1:$CL$1,0)),"")</f>
        <v/>
      </c>
      <c r="J880" s="7" t="str">
        <f>IFERROR(INDEX('Master data'!$B$2:$CL$1000,MATCH($B880,'Master data'!$A$2:$A$1000,0),MATCH(J$1,'Master data'!$B$1:$CL$1,0)),"")</f>
        <v/>
      </c>
      <c r="K880" s="7" t="str">
        <f>IFERROR(INDEX('Master data'!$B$2:$CL$1000,MATCH($B880,'Master data'!$A$2:$A$1000,0),MATCH(K$1,'Master data'!$B$1:$CL$1,0)),"")</f>
        <v/>
      </c>
      <c r="L880" s="7" t="str">
        <f>IFERROR(INDEX('Master data'!$B$2:$CL$1000,MATCH($B880,'Master data'!$A$2:$A$1000,0),MATCH(L$1,'Master data'!$B$1:$CL$1,0)),"")</f>
        <v/>
      </c>
      <c r="M880" s="5" t="str">
        <f>IFERROR(INDEX('Master data'!$B$2:$CL$1000,MATCH($B880,'Master data'!$A$2:$A$1000,0),MATCH(M$1,'Master data'!$B$1:$CL$1,0)),"")</f>
        <v/>
      </c>
      <c r="N880" s="28" t="str">
        <f>IFERROR(INDEX('Master data'!$B$2:$CL$1000,MATCH($B880,'Master data'!$A$2:$A$1000,0),MATCH(N$1,'Master data'!$B$1:$CL$1,0)),"")</f>
        <v/>
      </c>
      <c r="O880" s="7" t="str">
        <f>IFERROR(INDEX('Master data'!$B$2:$CL$1000,MATCH($B880,'Master data'!$A$2:$A$1000,0),MATCH(O$1,'Master data'!$B$1:$CL$1,0)),"")</f>
        <v/>
      </c>
      <c r="P880" s="5" t="str">
        <f>IFERROR(INDEX('Master data'!$B$2:$CL$1000,MATCH($B880,'Master data'!$A$2:$A$1000,0),MATCH(P$1,'Master data'!$B$1:$CL$1,0)),"")</f>
        <v/>
      </c>
      <c r="Q880" s="5" t="str">
        <f>IFERROR(INDEX('Master data'!$B$2:$CL$1000,MATCH($B880,'Master data'!$A$2:$A$1000,0),MATCH(Q$1,'Master data'!$B$1:$CL$1,0)),"")</f>
        <v/>
      </c>
    </row>
    <row r="881" spans="1:17" hidden="1">
      <c r="A881" t="str">
        <f t="shared" si="13"/>
        <v/>
      </c>
      <c r="B881" t="str">
        <f>IF('Master data'!A881="","",'Master data'!A881)</f>
        <v/>
      </c>
      <c r="C881" t="str">
        <f>IFERROR(INDEX('Master data'!$B$2:$CL$1000,MATCH($B881,'Master data'!$A$2:$A$1000,0),MATCH(C$1,'Master data'!$B$1:$CL$1,0)),"")</f>
        <v/>
      </c>
      <c r="D881" t="str">
        <f>IFERROR(INDEX('Master data'!$B$2:$CL$1000,MATCH($B881,'Master data'!$A$2:$A$1000,0),MATCH(D$1,'Master data'!$B$1:$CL$1,0)),"")</f>
        <v/>
      </c>
      <c r="E881" s="5" t="str">
        <f>IFERROR(INDEX('Master data'!$B$2:$CL$1000,MATCH($B881,'Master data'!$A$2:$A$1000,0),MATCH(E$1,'Master data'!$B$1:$CL$1,0)),"")</f>
        <v/>
      </c>
      <c r="F881" s="7" t="str">
        <f>IFERROR(INDEX('Master data'!$B$2:$CL$1000,MATCH($B881,'Master data'!$A$2:$A$1000,0),MATCH(F$1,'Master data'!$B$1:$CL$1,0)),"")</f>
        <v/>
      </c>
      <c r="G881" s="7" t="str">
        <f>IFERROR(INDEX('Master data'!$B$2:$CL$1000,MATCH($B881,'Master data'!$A$2:$A$1000,0),MATCH(G$1,'Master data'!$B$1:$CL$1,0)),"")</f>
        <v/>
      </c>
      <c r="H881" s="7" t="str">
        <f>IFERROR(INDEX('Master data'!$B$2:$CL$1000,MATCH($B881,'Master data'!$A$2:$A$1000,0),MATCH(H$1,'Master data'!$B$1:$CL$1,0)),"")</f>
        <v/>
      </c>
      <c r="I881" s="7" t="str">
        <f>IFERROR(INDEX('Master data'!$B$2:$CL$1000,MATCH($B881,'Master data'!$A$2:$A$1000,0),MATCH(I$1,'Master data'!$B$1:$CL$1,0)),"")</f>
        <v/>
      </c>
      <c r="J881" s="7" t="str">
        <f>IFERROR(INDEX('Master data'!$B$2:$CL$1000,MATCH($B881,'Master data'!$A$2:$A$1000,0),MATCH(J$1,'Master data'!$B$1:$CL$1,0)),"")</f>
        <v/>
      </c>
      <c r="K881" s="7" t="str">
        <f>IFERROR(INDEX('Master data'!$B$2:$CL$1000,MATCH($B881,'Master data'!$A$2:$A$1000,0),MATCH(K$1,'Master data'!$B$1:$CL$1,0)),"")</f>
        <v/>
      </c>
      <c r="L881" s="7" t="str">
        <f>IFERROR(INDEX('Master data'!$B$2:$CL$1000,MATCH($B881,'Master data'!$A$2:$A$1000,0),MATCH(L$1,'Master data'!$B$1:$CL$1,0)),"")</f>
        <v/>
      </c>
      <c r="M881" s="5" t="str">
        <f>IFERROR(INDEX('Master data'!$B$2:$CL$1000,MATCH($B881,'Master data'!$A$2:$A$1000,0),MATCH(M$1,'Master data'!$B$1:$CL$1,0)),"")</f>
        <v/>
      </c>
      <c r="N881" s="28" t="str">
        <f>IFERROR(INDEX('Master data'!$B$2:$CL$1000,MATCH($B881,'Master data'!$A$2:$A$1000,0),MATCH(N$1,'Master data'!$B$1:$CL$1,0)),"")</f>
        <v/>
      </c>
      <c r="O881" s="7" t="str">
        <f>IFERROR(INDEX('Master data'!$B$2:$CL$1000,MATCH($B881,'Master data'!$A$2:$A$1000,0),MATCH(O$1,'Master data'!$B$1:$CL$1,0)),"")</f>
        <v/>
      </c>
      <c r="P881" s="5" t="str">
        <f>IFERROR(INDEX('Master data'!$B$2:$CL$1000,MATCH($B881,'Master data'!$A$2:$A$1000,0),MATCH(P$1,'Master data'!$B$1:$CL$1,0)),"")</f>
        <v/>
      </c>
      <c r="Q881" s="5" t="str">
        <f>IFERROR(INDEX('Master data'!$B$2:$CL$1000,MATCH($B881,'Master data'!$A$2:$A$1000,0),MATCH(Q$1,'Master data'!$B$1:$CL$1,0)),"")</f>
        <v/>
      </c>
    </row>
    <row r="882" spans="1:17" hidden="1">
      <c r="A882" t="str">
        <f t="shared" si="13"/>
        <v/>
      </c>
      <c r="B882" t="str">
        <f>IF('Master data'!A882="","",'Master data'!A882)</f>
        <v/>
      </c>
      <c r="C882" t="str">
        <f>IFERROR(INDEX('Master data'!$B$2:$CL$1000,MATCH($B882,'Master data'!$A$2:$A$1000,0),MATCH(C$1,'Master data'!$B$1:$CL$1,0)),"")</f>
        <v/>
      </c>
      <c r="D882" t="str">
        <f>IFERROR(INDEX('Master data'!$B$2:$CL$1000,MATCH($B882,'Master data'!$A$2:$A$1000,0),MATCH(D$1,'Master data'!$B$1:$CL$1,0)),"")</f>
        <v/>
      </c>
      <c r="E882" s="5" t="str">
        <f>IFERROR(INDEX('Master data'!$B$2:$CL$1000,MATCH($B882,'Master data'!$A$2:$A$1000,0),MATCH(E$1,'Master data'!$B$1:$CL$1,0)),"")</f>
        <v/>
      </c>
      <c r="F882" s="7" t="str">
        <f>IFERROR(INDEX('Master data'!$B$2:$CL$1000,MATCH($B882,'Master data'!$A$2:$A$1000,0),MATCH(F$1,'Master data'!$B$1:$CL$1,0)),"")</f>
        <v/>
      </c>
      <c r="G882" s="7" t="str">
        <f>IFERROR(INDEX('Master data'!$B$2:$CL$1000,MATCH($B882,'Master data'!$A$2:$A$1000,0),MATCH(G$1,'Master data'!$B$1:$CL$1,0)),"")</f>
        <v/>
      </c>
      <c r="H882" s="7" t="str">
        <f>IFERROR(INDEX('Master data'!$B$2:$CL$1000,MATCH($B882,'Master data'!$A$2:$A$1000,0),MATCH(H$1,'Master data'!$B$1:$CL$1,0)),"")</f>
        <v/>
      </c>
      <c r="I882" s="7" t="str">
        <f>IFERROR(INDEX('Master data'!$B$2:$CL$1000,MATCH($B882,'Master data'!$A$2:$A$1000,0),MATCH(I$1,'Master data'!$B$1:$CL$1,0)),"")</f>
        <v/>
      </c>
      <c r="J882" s="7" t="str">
        <f>IFERROR(INDEX('Master data'!$B$2:$CL$1000,MATCH($B882,'Master data'!$A$2:$A$1000,0),MATCH(J$1,'Master data'!$B$1:$CL$1,0)),"")</f>
        <v/>
      </c>
      <c r="K882" s="7" t="str">
        <f>IFERROR(INDEX('Master data'!$B$2:$CL$1000,MATCH($B882,'Master data'!$A$2:$A$1000,0),MATCH(K$1,'Master data'!$B$1:$CL$1,0)),"")</f>
        <v/>
      </c>
      <c r="L882" s="7" t="str">
        <f>IFERROR(INDEX('Master data'!$B$2:$CL$1000,MATCH($B882,'Master data'!$A$2:$A$1000,0),MATCH(L$1,'Master data'!$B$1:$CL$1,0)),"")</f>
        <v/>
      </c>
      <c r="M882" s="5" t="str">
        <f>IFERROR(INDEX('Master data'!$B$2:$CL$1000,MATCH($B882,'Master data'!$A$2:$A$1000,0),MATCH(M$1,'Master data'!$B$1:$CL$1,0)),"")</f>
        <v/>
      </c>
      <c r="N882" s="28" t="str">
        <f>IFERROR(INDEX('Master data'!$B$2:$CL$1000,MATCH($B882,'Master data'!$A$2:$A$1000,0),MATCH(N$1,'Master data'!$B$1:$CL$1,0)),"")</f>
        <v/>
      </c>
      <c r="O882" s="7" t="str">
        <f>IFERROR(INDEX('Master data'!$B$2:$CL$1000,MATCH($B882,'Master data'!$A$2:$A$1000,0),MATCH(O$1,'Master data'!$B$1:$CL$1,0)),"")</f>
        <v/>
      </c>
      <c r="P882" s="5" t="str">
        <f>IFERROR(INDEX('Master data'!$B$2:$CL$1000,MATCH($B882,'Master data'!$A$2:$A$1000,0),MATCH(P$1,'Master data'!$B$1:$CL$1,0)),"")</f>
        <v/>
      </c>
      <c r="Q882" s="5" t="str">
        <f>IFERROR(INDEX('Master data'!$B$2:$CL$1000,MATCH($B882,'Master data'!$A$2:$A$1000,0),MATCH(Q$1,'Master data'!$B$1:$CL$1,0)),"")</f>
        <v/>
      </c>
    </row>
    <row r="883" spans="1:17" hidden="1">
      <c r="A883" t="str">
        <f t="shared" si="13"/>
        <v/>
      </c>
      <c r="B883" t="str">
        <f>IF('Master data'!A883="","",'Master data'!A883)</f>
        <v/>
      </c>
      <c r="C883" t="str">
        <f>IFERROR(INDEX('Master data'!$B$2:$CL$1000,MATCH($B883,'Master data'!$A$2:$A$1000,0),MATCH(C$1,'Master data'!$B$1:$CL$1,0)),"")</f>
        <v/>
      </c>
      <c r="D883" t="str">
        <f>IFERROR(INDEX('Master data'!$B$2:$CL$1000,MATCH($B883,'Master data'!$A$2:$A$1000,0),MATCH(D$1,'Master data'!$B$1:$CL$1,0)),"")</f>
        <v/>
      </c>
      <c r="E883" s="5" t="str">
        <f>IFERROR(INDEX('Master data'!$B$2:$CL$1000,MATCH($B883,'Master data'!$A$2:$A$1000,0),MATCH(E$1,'Master data'!$B$1:$CL$1,0)),"")</f>
        <v/>
      </c>
      <c r="F883" s="7" t="str">
        <f>IFERROR(INDEX('Master data'!$B$2:$CL$1000,MATCH($B883,'Master data'!$A$2:$A$1000,0),MATCH(F$1,'Master data'!$B$1:$CL$1,0)),"")</f>
        <v/>
      </c>
      <c r="G883" s="7" t="str">
        <f>IFERROR(INDEX('Master data'!$B$2:$CL$1000,MATCH($B883,'Master data'!$A$2:$A$1000,0),MATCH(G$1,'Master data'!$B$1:$CL$1,0)),"")</f>
        <v/>
      </c>
      <c r="H883" s="7" t="str">
        <f>IFERROR(INDEX('Master data'!$B$2:$CL$1000,MATCH($B883,'Master data'!$A$2:$A$1000,0),MATCH(H$1,'Master data'!$B$1:$CL$1,0)),"")</f>
        <v/>
      </c>
      <c r="I883" s="7" t="str">
        <f>IFERROR(INDEX('Master data'!$B$2:$CL$1000,MATCH($B883,'Master data'!$A$2:$A$1000,0),MATCH(I$1,'Master data'!$B$1:$CL$1,0)),"")</f>
        <v/>
      </c>
      <c r="J883" s="7" t="str">
        <f>IFERROR(INDEX('Master data'!$B$2:$CL$1000,MATCH($B883,'Master data'!$A$2:$A$1000,0),MATCH(J$1,'Master data'!$B$1:$CL$1,0)),"")</f>
        <v/>
      </c>
      <c r="K883" s="7" t="str">
        <f>IFERROR(INDEX('Master data'!$B$2:$CL$1000,MATCH($B883,'Master data'!$A$2:$A$1000,0),MATCH(K$1,'Master data'!$B$1:$CL$1,0)),"")</f>
        <v/>
      </c>
      <c r="L883" s="7" t="str">
        <f>IFERROR(INDEX('Master data'!$B$2:$CL$1000,MATCH($B883,'Master data'!$A$2:$A$1000,0),MATCH(L$1,'Master data'!$B$1:$CL$1,0)),"")</f>
        <v/>
      </c>
      <c r="M883" s="5" t="str">
        <f>IFERROR(INDEX('Master data'!$B$2:$CL$1000,MATCH($B883,'Master data'!$A$2:$A$1000,0),MATCH(M$1,'Master data'!$B$1:$CL$1,0)),"")</f>
        <v/>
      </c>
      <c r="N883" s="28" t="str">
        <f>IFERROR(INDEX('Master data'!$B$2:$CL$1000,MATCH($B883,'Master data'!$A$2:$A$1000,0),MATCH(N$1,'Master data'!$B$1:$CL$1,0)),"")</f>
        <v/>
      </c>
      <c r="O883" s="7" t="str">
        <f>IFERROR(INDEX('Master data'!$B$2:$CL$1000,MATCH($B883,'Master data'!$A$2:$A$1000,0),MATCH(O$1,'Master data'!$B$1:$CL$1,0)),"")</f>
        <v/>
      </c>
      <c r="P883" s="5" t="str">
        <f>IFERROR(INDEX('Master data'!$B$2:$CL$1000,MATCH($B883,'Master data'!$A$2:$A$1000,0),MATCH(P$1,'Master data'!$B$1:$CL$1,0)),"")</f>
        <v/>
      </c>
      <c r="Q883" s="5" t="str">
        <f>IFERROR(INDEX('Master data'!$B$2:$CL$1000,MATCH($B883,'Master data'!$A$2:$A$1000,0),MATCH(Q$1,'Master data'!$B$1:$CL$1,0)),"")</f>
        <v/>
      </c>
    </row>
    <row r="884" spans="1:17" hidden="1">
      <c r="A884" t="str">
        <f t="shared" si="13"/>
        <v/>
      </c>
      <c r="B884" t="str">
        <f>IF('Master data'!A884="","",'Master data'!A884)</f>
        <v/>
      </c>
      <c r="C884" t="str">
        <f>IFERROR(INDEX('Master data'!$B$2:$CL$1000,MATCH($B884,'Master data'!$A$2:$A$1000,0),MATCH(C$1,'Master data'!$B$1:$CL$1,0)),"")</f>
        <v/>
      </c>
      <c r="D884" t="str">
        <f>IFERROR(INDEX('Master data'!$B$2:$CL$1000,MATCH($B884,'Master data'!$A$2:$A$1000,0),MATCH(D$1,'Master data'!$B$1:$CL$1,0)),"")</f>
        <v/>
      </c>
      <c r="E884" s="5" t="str">
        <f>IFERROR(INDEX('Master data'!$B$2:$CL$1000,MATCH($B884,'Master data'!$A$2:$A$1000,0),MATCH(E$1,'Master data'!$B$1:$CL$1,0)),"")</f>
        <v/>
      </c>
      <c r="F884" s="7" t="str">
        <f>IFERROR(INDEX('Master data'!$B$2:$CL$1000,MATCH($B884,'Master data'!$A$2:$A$1000,0),MATCH(F$1,'Master data'!$B$1:$CL$1,0)),"")</f>
        <v/>
      </c>
      <c r="G884" s="7" t="str">
        <f>IFERROR(INDEX('Master data'!$B$2:$CL$1000,MATCH($B884,'Master data'!$A$2:$A$1000,0),MATCH(G$1,'Master data'!$B$1:$CL$1,0)),"")</f>
        <v/>
      </c>
      <c r="H884" s="7" t="str">
        <f>IFERROR(INDEX('Master data'!$B$2:$CL$1000,MATCH($B884,'Master data'!$A$2:$A$1000,0),MATCH(H$1,'Master data'!$B$1:$CL$1,0)),"")</f>
        <v/>
      </c>
      <c r="I884" s="7" t="str">
        <f>IFERROR(INDEX('Master data'!$B$2:$CL$1000,MATCH($B884,'Master data'!$A$2:$A$1000,0),MATCH(I$1,'Master data'!$B$1:$CL$1,0)),"")</f>
        <v/>
      </c>
      <c r="J884" s="7" t="str">
        <f>IFERROR(INDEX('Master data'!$B$2:$CL$1000,MATCH($B884,'Master data'!$A$2:$A$1000,0),MATCH(J$1,'Master data'!$B$1:$CL$1,0)),"")</f>
        <v/>
      </c>
      <c r="K884" s="7" t="str">
        <f>IFERROR(INDEX('Master data'!$B$2:$CL$1000,MATCH($B884,'Master data'!$A$2:$A$1000,0),MATCH(K$1,'Master data'!$B$1:$CL$1,0)),"")</f>
        <v/>
      </c>
      <c r="L884" s="7" t="str">
        <f>IFERROR(INDEX('Master data'!$B$2:$CL$1000,MATCH($B884,'Master data'!$A$2:$A$1000,0),MATCH(L$1,'Master data'!$B$1:$CL$1,0)),"")</f>
        <v/>
      </c>
      <c r="M884" s="5" t="str">
        <f>IFERROR(INDEX('Master data'!$B$2:$CL$1000,MATCH($B884,'Master data'!$A$2:$A$1000,0),MATCH(M$1,'Master data'!$B$1:$CL$1,0)),"")</f>
        <v/>
      </c>
      <c r="N884" s="28" t="str">
        <f>IFERROR(INDEX('Master data'!$B$2:$CL$1000,MATCH($B884,'Master data'!$A$2:$A$1000,0),MATCH(N$1,'Master data'!$B$1:$CL$1,0)),"")</f>
        <v/>
      </c>
      <c r="O884" s="7" t="str">
        <f>IFERROR(INDEX('Master data'!$B$2:$CL$1000,MATCH($B884,'Master data'!$A$2:$A$1000,0),MATCH(O$1,'Master data'!$B$1:$CL$1,0)),"")</f>
        <v/>
      </c>
      <c r="P884" s="5" t="str">
        <f>IFERROR(INDEX('Master data'!$B$2:$CL$1000,MATCH($B884,'Master data'!$A$2:$A$1000,0),MATCH(P$1,'Master data'!$B$1:$CL$1,0)),"")</f>
        <v/>
      </c>
      <c r="Q884" s="5" t="str">
        <f>IFERROR(INDEX('Master data'!$B$2:$CL$1000,MATCH($B884,'Master data'!$A$2:$A$1000,0),MATCH(Q$1,'Master data'!$B$1:$CL$1,0)),"")</f>
        <v/>
      </c>
    </row>
    <row r="885" spans="1:17" hidden="1">
      <c r="A885" t="str">
        <f t="shared" si="13"/>
        <v/>
      </c>
      <c r="B885" t="str">
        <f>IF('Master data'!A885="","",'Master data'!A885)</f>
        <v/>
      </c>
      <c r="C885" t="str">
        <f>IFERROR(INDEX('Master data'!$B$2:$CL$1000,MATCH($B885,'Master data'!$A$2:$A$1000,0),MATCH(C$1,'Master data'!$B$1:$CL$1,0)),"")</f>
        <v/>
      </c>
      <c r="D885" t="str">
        <f>IFERROR(INDEX('Master data'!$B$2:$CL$1000,MATCH($B885,'Master data'!$A$2:$A$1000,0),MATCH(D$1,'Master data'!$B$1:$CL$1,0)),"")</f>
        <v/>
      </c>
      <c r="E885" s="5" t="str">
        <f>IFERROR(INDEX('Master data'!$B$2:$CL$1000,MATCH($B885,'Master data'!$A$2:$A$1000,0),MATCH(E$1,'Master data'!$B$1:$CL$1,0)),"")</f>
        <v/>
      </c>
      <c r="F885" s="7" t="str">
        <f>IFERROR(INDEX('Master data'!$B$2:$CL$1000,MATCH($B885,'Master data'!$A$2:$A$1000,0),MATCH(F$1,'Master data'!$B$1:$CL$1,0)),"")</f>
        <v/>
      </c>
      <c r="G885" s="7" t="str">
        <f>IFERROR(INDEX('Master data'!$B$2:$CL$1000,MATCH($B885,'Master data'!$A$2:$A$1000,0),MATCH(G$1,'Master data'!$B$1:$CL$1,0)),"")</f>
        <v/>
      </c>
      <c r="H885" s="7" t="str">
        <f>IFERROR(INDEX('Master data'!$B$2:$CL$1000,MATCH($B885,'Master data'!$A$2:$A$1000,0),MATCH(H$1,'Master data'!$B$1:$CL$1,0)),"")</f>
        <v/>
      </c>
      <c r="I885" s="7" t="str">
        <f>IFERROR(INDEX('Master data'!$B$2:$CL$1000,MATCH($B885,'Master data'!$A$2:$A$1000,0),MATCH(I$1,'Master data'!$B$1:$CL$1,0)),"")</f>
        <v/>
      </c>
      <c r="J885" s="7" t="str">
        <f>IFERROR(INDEX('Master data'!$B$2:$CL$1000,MATCH($B885,'Master data'!$A$2:$A$1000,0),MATCH(J$1,'Master data'!$B$1:$CL$1,0)),"")</f>
        <v/>
      </c>
      <c r="K885" s="7" t="str">
        <f>IFERROR(INDEX('Master data'!$B$2:$CL$1000,MATCH($B885,'Master data'!$A$2:$A$1000,0),MATCH(K$1,'Master data'!$B$1:$CL$1,0)),"")</f>
        <v/>
      </c>
      <c r="L885" s="7" t="str">
        <f>IFERROR(INDEX('Master data'!$B$2:$CL$1000,MATCH($B885,'Master data'!$A$2:$A$1000,0),MATCH(L$1,'Master data'!$B$1:$CL$1,0)),"")</f>
        <v/>
      </c>
      <c r="M885" s="5" t="str">
        <f>IFERROR(INDEX('Master data'!$B$2:$CL$1000,MATCH($B885,'Master data'!$A$2:$A$1000,0),MATCH(M$1,'Master data'!$B$1:$CL$1,0)),"")</f>
        <v/>
      </c>
      <c r="N885" s="28" t="str">
        <f>IFERROR(INDEX('Master data'!$B$2:$CL$1000,MATCH($B885,'Master data'!$A$2:$A$1000,0),MATCH(N$1,'Master data'!$B$1:$CL$1,0)),"")</f>
        <v/>
      </c>
      <c r="O885" s="7" t="str">
        <f>IFERROR(INDEX('Master data'!$B$2:$CL$1000,MATCH($B885,'Master data'!$A$2:$A$1000,0),MATCH(O$1,'Master data'!$B$1:$CL$1,0)),"")</f>
        <v/>
      </c>
      <c r="P885" s="5" t="str">
        <f>IFERROR(INDEX('Master data'!$B$2:$CL$1000,MATCH($B885,'Master data'!$A$2:$A$1000,0),MATCH(P$1,'Master data'!$B$1:$CL$1,0)),"")</f>
        <v/>
      </c>
      <c r="Q885" s="5" t="str">
        <f>IFERROR(INDEX('Master data'!$B$2:$CL$1000,MATCH($B885,'Master data'!$A$2:$A$1000,0),MATCH(Q$1,'Master data'!$B$1:$CL$1,0)),"")</f>
        <v/>
      </c>
    </row>
    <row r="886" spans="1:17" hidden="1">
      <c r="A886" t="str">
        <f t="shared" si="13"/>
        <v/>
      </c>
      <c r="B886" t="str">
        <f>IF('Master data'!A886="","",'Master data'!A886)</f>
        <v/>
      </c>
      <c r="C886" t="str">
        <f>IFERROR(INDEX('Master data'!$B$2:$CL$1000,MATCH($B886,'Master data'!$A$2:$A$1000,0),MATCH(C$1,'Master data'!$B$1:$CL$1,0)),"")</f>
        <v/>
      </c>
      <c r="D886" t="str">
        <f>IFERROR(INDEX('Master data'!$B$2:$CL$1000,MATCH($B886,'Master data'!$A$2:$A$1000,0),MATCH(D$1,'Master data'!$B$1:$CL$1,0)),"")</f>
        <v/>
      </c>
      <c r="E886" s="5" t="str">
        <f>IFERROR(INDEX('Master data'!$B$2:$CL$1000,MATCH($B886,'Master data'!$A$2:$A$1000,0),MATCH(E$1,'Master data'!$B$1:$CL$1,0)),"")</f>
        <v/>
      </c>
      <c r="F886" s="7" t="str">
        <f>IFERROR(INDEX('Master data'!$B$2:$CL$1000,MATCH($B886,'Master data'!$A$2:$A$1000,0),MATCH(F$1,'Master data'!$B$1:$CL$1,0)),"")</f>
        <v/>
      </c>
      <c r="G886" s="7" t="str">
        <f>IFERROR(INDEX('Master data'!$B$2:$CL$1000,MATCH($B886,'Master data'!$A$2:$A$1000,0),MATCH(G$1,'Master data'!$B$1:$CL$1,0)),"")</f>
        <v/>
      </c>
      <c r="H886" s="7" t="str">
        <f>IFERROR(INDEX('Master data'!$B$2:$CL$1000,MATCH($B886,'Master data'!$A$2:$A$1000,0),MATCH(H$1,'Master data'!$B$1:$CL$1,0)),"")</f>
        <v/>
      </c>
      <c r="I886" s="7" t="str">
        <f>IFERROR(INDEX('Master data'!$B$2:$CL$1000,MATCH($B886,'Master data'!$A$2:$A$1000,0),MATCH(I$1,'Master data'!$B$1:$CL$1,0)),"")</f>
        <v/>
      </c>
      <c r="J886" s="7" t="str">
        <f>IFERROR(INDEX('Master data'!$B$2:$CL$1000,MATCH($B886,'Master data'!$A$2:$A$1000,0),MATCH(J$1,'Master data'!$B$1:$CL$1,0)),"")</f>
        <v/>
      </c>
      <c r="K886" s="7" t="str">
        <f>IFERROR(INDEX('Master data'!$B$2:$CL$1000,MATCH($B886,'Master data'!$A$2:$A$1000,0),MATCH(K$1,'Master data'!$B$1:$CL$1,0)),"")</f>
        <v/>
      </c>
      <c r="L886" s="7" t="str">
        <f>IFERROR(INDEX('Master data'!$B$2:$CL$1000,MATCH($B886,'Master data'!$A$2:$A$1000,0),MATCH(L$1,'Master data'!$B$1:$CL$1,0)),"")</f>
        <v/>
      </c>
      <c r="M886" s="5" t="str">
        <f>IFERROR(INDEX('Master data'!$B$2:$CL$1000,MATCH($B886,'Master data'!$A$2:$A$1000,0),MATCH(M$1,'Master data'!$B$1:$CL$1,0)),"")</f>
        <v/>
      </c>
      <c r="N886" s="28" t="str">
        <f>IFERROR(INDEX('Master data'!$B$2:$CL$1000,MATCH($B886,'Master data'!$A$2:$A$1000,0),MATCH(N$1,'Master data'!$B$1:$CL$1,0)),"")</f>
        <v/>
      </c>
      <c r="O886" s="7" t="str">
        <f>IFERROR(INDEX('Master data'!$B$2:$CL$1000,MATCH($B886,'Master data'!$A$2:$A$1000,0),MATCH(O$1,'Master data'!$B$1:$CL$1,0)),"")</f>
        <v/>
      </c>
      <c r="P886" s="5" t="str">
        <f>IFERROR(INDEX('Master data'!$B$2:$CL$1000,MATCH($B886,'Master data'!$A$2:$A$1000,0),MATCH(P$1,'Master data'!$B$1:$CL$1,0)),"")</f>
        <v/>
      </c>
      <c r="Q886" s="5" t="str">
        <f>IFERROR(INDEX('Master data'!$B$2:$CL$1000,MATCH($B886,'Master data'!$A$2:$A$1000,0),MATCH(Q$1,'Master data'!$B$1:$CL$1,0)),"")</f>
        <v/>
      </c>
    </row>
    <row r="887" spans="1:17" hidden="1">
      <c r="A887" t="str">
        <f t="shared" si="13"/>
        <v/>
      </c>
      <c r="B887" t="str">
        <f>IF('Master data'!A887="","",'Master data'!A887)</f>
        <v/>
      </c>
      <c r="C887" t="str">
        <f>IFERROR(INDEX('Master data'!$B$2:$CL$1000,MATCH($B887,'Master data'!$A$2:$A$1000,0),MATCH(C$1,'Master data'!$B$1:$CL$1,0)),"")</f>
        <v/>
      </c>
      <c r="D887" t="str">
        <f>IFERROR(INDEX('Master data'!$B$2:$CL$1000,MATCH($B887,'Master data'!$A$2:$A$1000,0),MATCH(D$1,'Master data'!$B$1:$CL$1,0)),"")</f>
        <v/>
      </c>
      <c r="E887" s="5" t="str">
        <f>IFERROR(INDEX('Master data'!$B$2:$CL$1000,MATCH($B887,'Master data'!$A$2:$A$1000,0),MATCH(E$1,'Master data'!$B$1:$CL$1,0)),"")</f>
        <v/>
      </c>
      <c r="F887" s="7" t="str">
        <f>IFERROR(INDEX('Master data'!$B$2:$CL$1000,MATCH($B887,'Master data'!$A$2:$A$1000,0),MATCH(F$1,'Master data'!$B$1:$CL$1,0)),"")</f>
        <v/>
      </c>
      <c r="G887" s="7" t="str">
        <f>IFERROR(INDEX('Master data'!$B$2:$CL$1000,MATCH($B887,'Master data'!$A$2:$A$1000,0),MATCH(G$1,'Master data'!$B$1:$CL$1,0)),"")</f>
        <v/>
      </c>
      <c r="H887" s="7" t="str">
        <f>IFERROR(INDEX('Master data'!$B$2:$CL$1000,MATCH($B887,'Master data'!$A$2:$A$1000,0),MATCH(H$1,'Master data'!$B$1:$CL$1,0)),"")</f>
        <v/>
      </c>
      <c r="I887" s="7" t="str">
        <f>IFERROR(INDEX('Master data'!$B$2:$CL$1000,MATCH($B887,'Master data'!$A$2:$A$1000,0),MATCH(I$1,'Master data'!$B$1:$CL$1,0)),"")</f>
        <v/>
      </c>
      <c r="J887" s="7" t="str">
        <f>IFERROR(INDEX('Master data'!$B$2:$CL$1000,MATCH($B887,'Master data'!$A$2:$A$1000,0),MATCH(J$1,'Master data'!$B$1:$CL$1,0)),"")</f>
        <v/>
      </c>
      <c r="K887" s="7" t="str">
        <f>IFERROR(INDEX('Master data'!$B$2:$CL$1000,MATCH($B887,'Master data'!$A$2:$A$1000,0),MATCH(K$1,'Master data'!$B$1:$CL$1,0)),"")</f>
        <v/>
      </c>
      <c r="L887" s="7" t="str">
        <f>IFERROR(INDEX('Master data'!$B$2:$CL$1000,MATCH($B887,'Master data'!$A$2:$A$1000,0),MATCH(L$1,'Master data'!$B$1:$CL$1,0)),"")</f>
        <v/>
      </c>
      <c r="M887" s="5" t="str">
        <f>IFERROR(INDEX('Master data'!$B$2:$CL$1000,MATCH($B887,'Master data'!$A$2:$A$1000,0),MATCH(M$1,'Master data'!$B$1:$CL$1,0)),"")</f>
        <v/>
      </c>
      <c r="N887" s="28" t="str">
        <f>IFERROR(INDEX('Master data'!$B$2:$CL$1000,MATCH($B887,'Master data'!$A$2:$A$1000,0),MATCH(N$1,'Master data'!$B$1:$CL$1,0)),"")</f>
        <v/>
      </c>
      <c r="O887" s="7" t="str">
        <f>IFERROR(INDEX('Master data'!$B$2:$CL$1000,MATCH($B887,'Master data'!$A$2:$A$1000,0),MATCH(O$1,'Master data'!$B$1:$CL$1,0)),"")</f>
        <v/>
      </c>
      <c r="P887" s="5" t="str">
        <f>IFERROR(INDEX('Master data'!$B$2:$CL$1000,MATCH($B887,'Master data'!$A$2:$A$1000,0),MATCH(P$1,'Master data'!$B$1:$CL$1,0)),"")</f>
        <v/>
      </c>
      <c r="Q887" s="5" t="str">
        <f>IFERROR(INDEX('Master data'!$B$2:$CL$1000,MATCH($B887,'Master data'!$A$2:$A$1000,0),MATCH(Q$1,'Master data'!$B$1:$CL$1,0)),"")</f>
        <v/>
      </c>
    </row>
    <row r="888" spans="1:17" hidden="1">
      <c r="A888" t="str">
        <f t="shared" si="13"/>
        <v/>
      </c>
      <c r="B888" t="str">
        <f>IF('Master data'!A888="","",'Master data'!A888)</f>
        <v/>
      </c>
      <c r="C888" t="str">
        <f>IFERROR(INDEX('Master data'!$B$2:$CL$1000,MATCH($B888,'Master data'!$A$2:$A$1000,0),MATCH(C$1,'Master data'!$B$1:$CL$1,0)),"")</f>
        <v/>
      </c>
      <c r="D888" t="str">
        <f>IFERROR(INDEX('Master data'!$B$2:$CL$1000,MATCH($B888,'Master data'!$A$2:$A$1000,0),MATCH(D$1,'Master data'!$B$1:$CL$1,0)),"")</f>
        <v/>
      </c>
      <c r="E888" s="5" t="str">
        <f>IFERROR(INDEX('Master data'!$B$2:$CL$1000,MATCH($B888,'Master data'!$A$2:$A$1000,0),MATCH(E$1,'Master data'!$B$1:$CL$1,0)),"")</f>
        <v/>
      </c>
      <c r="F888" s="7" t="str">
        <f>IFERROR(INDEX('Master data'!$B$2:$CL$1000,MATCH($B888,'Master data'!$A$2:$A$1000,0),MATCH(F$1,'Master data'!$B$1:$CL$1,0)),"")</f>
        <v/>
      </c>
      <c r="G888" s="7" t="str">
        <f>IFERROR(INDEX('Master data'!$B$2:$CL$1000,MATCH($B888,'Master data'!$A$2:$A$1000,0),MATCH(G$1,'Master data'!$B$1:$CL$1,0)),"")</f>
        <v/>
      </c>
      <c r="H888" s="7" t="str">
        <f>IFERROR(INDEX('Master data'!$B$2:$CL$1000,MATCH($B888,'Master data'!$A$2:$A$1000,0),MATCH(H$1,'Master data'!$B$1:$CL$1,0)),"")</f>
        <v/>
      </c>
      <c r="I888" s="7" t="str">
        <f>IFERROR(INDEX('Master data'!$B$2:$CL$1000,MATCH($B888,'Master data'!$A$2:$A$1000,0),MATCH(I$1,'Master data'!$B$1:$CL$1,0)),"")</f>
        <v/>
      </c>
      <c r="J888" s="7" t="str">
        <f>IFERROR(INDEX('Master data'!$B$2:$CL$1000,MATCH($B888,'Master data'!$A$2:$A$1000,0),MATCH(J$1,'Master data'!$B$1:$CL$1,0)),"")</f>
        <v/>
      </c>
      <c r="K888" s="7" t="str">
        <f>IFERROR(INDEX('Master data'!$B$2:$CL$1000,MATCH($B888,'Master data'!$A$2:$A$1000,0),MATCH(K$1,'Master data'!$B$1:$CL$1,0)),"")</f>
        <v/>
      </c>
      <c r="L888" s="7" t="str">
        <f>IFERROR(INDEX('Master data'!$B$2:$CL$1000,MATCH($B888,'Master data'!$A$2:$A$1000,0),MATCH(L$1,'Master data'!$B$1:$CL$1,0)),"")</f>
        <v/>
      </c>
      <c r="M888" s="5" t="str">
        <f>IFERROR(INDEX('Master data'!$B$2:$CL$1000,MATCH($B888,'Master data'!$A$2:$A$1000,0),MATCH(M$1,'Master data'!$B$1:$CL$1,0)),"")</f>
        <v/>
      </c>
      <c r="N888" s="28" t="str">
        <f>IFERROR(INDEX('Master data'!$B$2:$CL$1000,MATCH($B888,'Master data'!$A$2:$A$1000,0),MATCH(N$1,'Master data'!$B$1:$CL$1,0)),"")</f>
        <v/>
      </c>
      <c r="O888" s="7" t="str">
        <f>IFERROR(INDEX('Master data'!$B$2:$CL$1000,MATCH($B888,'Master data'!$A$2:$A$1000,0),MATCH(O$1,'Master data'!$B$1:$CL$1,0)),"")</f>
        <v/>
      </c>
      <c r="P888" s="5" t="str">
        <f>IFERROR(INDEX('Master data'!$B$2:$CL$1000,MATCH($B888,'Master data'!$A$2:$A$1000,0),MATCH(P$1,'Master data'!$B$1:$CL$1,0)),"")</f>
        <v/>
      </c>
      <c r="Q888" s="5" t="str">
        <f>IFERROR(INDEX('Master data'!$B$2:$CL$1000,MATCH($B888,'Master data'!$A$2:$A$1000,0),MATCH(Q$1,'Master data'!$B$1:$CL$1,0)),"")</f>
        <v/>
      </c>
    </row>
    <row r="889" spans="1:17" hidden="1">
      <c r="A889" t="str">
        <f t="shared" si="13"/>
        <v/>
      </c>
      <c r="B889" t="str">
        <f>IF('Master data'!A889="","",'Master data'!A889)</f>
        <v/>
      </c>
      <c r="C889" t="str">
        <f>IFERROR(INDEX('Master data'!$B$2:$CL$1000,MATCH($B889,'Master data'!$A$2:$A$1000,0),MATCH(C$1,'Master data'!$B$1:$CL$1,0)),"")</f>
        <v/>
      </c>
      <c r="D889" t="str">
        <f>IFERROR(INDEX('Master data'!$B$2:$CL$1000,MATCH($B889,'Master data'!$A$2:$A$1000,0),MATCH(D$1,'Master data'!$B$1:$CL$1,0)),"")</f>
        <v/>
      </c>
      <c r="E889" s="5" t="str">
        <f>IFERROR(INDEX('Master data'!$B$2:$CL$1000,MATCH($B889,'Master data'!$A$2:$A$1000,0),MATCH(E$1,'Master data'!$B$1:$CL$1,0)),"")</f>
        <v/>
      </c>
      <c r="F889" s="7" t="str">
        <f>IFERROR(INDEX('Master data'!$B$2:$CL$1000,MATCH($B889,'Master data'!$A$2:$A$1000,0),MATCH(F$1,'Master data'!$B$1:$CL$1,0)),"")</f>
        <v/>
      </c>
      <c r="G889" s="7" t="str">
        <f>IFERROR(INDEX('Master data'!$B$2:$CL$1000,MATCH($B889,'Master data'!$A$2:$A$1000,0),MATCH(G$1,'Master data'!$B$1:$CL$1,0)),"")</f>
        <v/>
      </c>
      <c r="H889" s="7" t="str">
        <f>IFERROR(INDEX('Master data'!$B$2:$CL$1000,MATCH($B889,'Master data'!$A$2:$A$1000,0),MATCH(H$1,'Master data'!$B$1:$CL$1,0)),"")</f>
        <v/>
      </c>
      <c r="I889" s="7" t="str">
        <f>IFERROR(INDEX('Master data'!$B$2:$CL$1000,MATCH($B889,'Master data'!$A$2:$A$1000,0),MATCH(I$1,'Master data'!$B$1:$CL$1,0)),"")</f>
        <v/>
      </c>
      <c r="J889" s="7" t="str">
        <f>IFERROR(INDEX('Master data'!$B$2:$CL$1000,MATCH($B889,'Master data'!$A$2:$A$1000,0),MATCH(J$1,'Master data'!$B$1:$CL$1,0)),"")</f>
        <v/>
      </c>
      <c r="K889" s="7" t="str">
        <f>IFERROR(INDEX('Master data'!$B$2:$CL$1000,MATCH($B889,'Master data'!$A$2:$A$1000,0),MATCH(K$1,'Master data'!$B$1:$CL$1,0)),"")</f>
        <v/>
      </c>
      <c r="L889" s="7" t="str">
        <f>IFERROR(INDEX('Master data'!$B$2:$CL$1000,MATCH($B889,'Master data'!$A$2:$A$1000,0),MATCH(L$1,'Master data'!$B$1:$CL$1,0)),"")</f>
        <v/>
      </c>
      <c r="M889" s="5" t="str">
        <f>IFERROR(INDEX('Master data'!$B$2:$CL$1000,MATCH($B889,'Master data'!$A$2:$A$1000,0),MATCH(M$1,'Master data'!$B$1:$CL$1,0)),"")</f>
        <v/>
      </c>
      <c r="N889" s="28" t="str">
        <f>IFERROR(INDEX('Master data'!$B$2:$CL$1000,MATCH($B889,'Master data'!$A$2:$A$1000,0),MATCH(N$1,'Master data'!$B$1:$CL$1,0)),"")</f>
        <v/>
      </c>
      <c r="O889" s="7" t="str">
        <f>IFERROR(INDEX('Master data'!$B$2:$CL$1000,MATCH($B889,'Master data'!$A$2:$A$1000,0),MATCH(O$1,'Master data'!$B$1:$CL$1,0)),"")</f>
        <v/>
      </c>
      <c r="P889" s="5" t="str">
        <f>IFERROR(INDEX('Master data'!$B$2:$CL$1000,MATCH($B889,'Master data'!$A$2:$A$1000,0),MATCH(P$1,'Master data'!$B$1:$CL$1,0)),"")</f>
        <v/>
      </c>
      <c r="Q889" s="5" t="str">
        <f>IFERROR(INDEX('Master data'!$B$2:$CL$1000,MATCH($B889,'Master data'!$A$2:$A$1000,0),MATCH(Q$1,'Master data'!$B$1:$CL$1,0)),"")</f>
        <v/>
      </c>
    </row>
    <row r="890" spans="1:17" hidden="1">
      <c r="A890" t="str">
        <f t="shared" si="13"/>
        <v/>
      </c>
      <c r="B890" t="str">
        <f>IF('Master data'!A890="","",'Master data'!A890)</f>
        <v/>
      </c>
      <c r="C890" t="str">
        <f>IFERROR(INDEX('Master data'!$B$2:$CL$1000,MATCH($B890,'Master data'!$A$2:$A$1000,0),MATCH(C$1,'Master data'!$B$1:$CL$1,0)),"")</f>
        <v/>
      </c>
      <c r="D890" t="str">
        <f>IFERROR(INDEX('Master data'!$B$2:$CL$1000,MATCH($B890,'Master data'!$A$2:$A$1000,0),MATCH(D$1,'Master data'!$B$1:$CL$1,0)),"")</f>
        <v/>
      </c>
      <c r="E890" s="5" t="str">
        <f>IFERROR(INDEX('Master data'!$B$2:$CL$1000,MATCH($B890,'Master data'!$A$2:$A$1000,0),MATCH(E$1,'Master data'!$B$1:$CL$1,0)),"")</f>
        <v/>
      </c>
      <c r="F890" s="7" t="str">
        <f>IFERROR(INDEX('Master data'!$B$2:$CL$1000,MATCH($B890,'Master data'!$A$2:$A$1000,0),MATCH(F$1,'Master data'!$B$1:$CL$1,0)),"")</f>
        <v/>
      </c>
      <c r="G890" s="7" t="str">
        <f>IFERROR(INDEX('Master data'!$B$2:$CL$1000,MATCH($B890,'Master data'!$A$2:$A$1000,0),MATCH(G$1,'Master data'!$B$1:$CL$1,0)),"")</f>
        <v/>
      </c>
      <c r="H890" s="7" t="str">
        <f>IFERROR(INDEX('Master data'!$B$2:$CL$1000,MATCH($B890,'Master data'!$A$2:$A$1000,0),MATCH(H$1,'Master data'!$B$1:$CL$1,0)),"")</f>
        <v/>
      </c>
      <c r="I890" s="7" t="str">
        <f>IFERROR(INDEX('Master data'!$B$2:$CL$1000,MATCH($B890,'Master data'!$A$2:$A$1000,0),MATCH(I$1,'Master data'!$B$1:$CL$1,0)),"")</f>
        <v/>
      </c>
      <c r="J890" s="7" t="str">
        <f>IFERROR(INDEX('Master data'!$B$2:$CL$1000,MATCH($B890,'Master data'!$A$2:$A$1000,0),MATCH(J$1,'Master data'!$B$1:$CL$1,0)),"")</f>
        <v/>
      </c>
      <c r="K890" s="7" t="str">
        <f>IFERROR(INDEX('Master data'!$B$2:$CL$1000,MATCH($B890,'Master data'!$A$2:$A$1000,0),MATCH(K$1,'Master data'!$B$1:$CL$1,0)),"")</f>
        <v/>
      </c>
      <c r="L890" s="7" t="str">
        <f>IFERROR(INDEX('Master data'!$B$2:$CL$1000,MATCH($B890,'Master data'!$A$2:$A$1000,0),MATCH(L$1,'Master data'!$B$1:$CL$1,0)),"")</f>
        <v/>
      </c>
      <c r="M890" s="5" t="str">
        <f>IFERROR(INDEX('Master data'!$B$2:$CL$1000,MATCH($B890,'Master data'!$A$2:$A$1000,0),MATCH(M$1,'Master data'!$B$1:$CL$1,0)),"")</f>
        <v/>
      </c>
      <c r="N890" s="28" t="str">
        <f>IFERROR(INDEX('Master data'!$B$2:$CL$1000,MATCH($B890,'Master data'!$A$2:$A$1000,0),MATCH(N$1,'Master data'!$B$1:$CL$1,0)),"")</f>
        <v/>
      </c>
      <c r="O890" s="7" t="str">
        <f>IFERROR(INDEX('Master data'!$B$2:$CL$1000,MATCH($B890,'Master data'!$A$2:$A$1000,0),MATCH(O$1,'Master data'!$B$1:$CL$1,0)),"")</f>
        <v/>
      </c>
      <c r="P890" s="5" t="str">
        <f>IFERROR(INDEX('Master data'!$B$2:$CL$1000,MATCH($B890,'Master data'!$A$2:$A$1000,0),MATCH(P$1,'Master data'!$B$1:$CL$1,0)),"")</f>
        <v/>
      </c>
      <c r="Q890" s="5" t="str">
        <f>IFERROR(INDEX('Master data'!$B$2:$CL$1000,MATCH($B890,'Master data'!$A$2:$A$1000,0),MATCH(Q$1,'Master data'!$B$1:$CL$1,0)),"")</f>
        <v/>
      </c>
    </row>
    <row r="891" spans="1:17" hidden="1">
      <c r="A891" t="str">
        <f t="shared" si="13"/>
        <v/>
      </c>
      <c r="B891" t="str">
        <f>IF('Master data'!A891="","",'Master data'!A891)</f>
        <v/>
      </c>
      <c r="C891" t="str">
        <f>IFERROR(INDEX('Master data'!$B$2:$CL$1000,MATCH($B891,'Master data'!$A$2:$A$1000,0),MATCH(C$1,'Master data'!$B$1:$CL$1,0)),"")</f>
        <v/>
      </c>
      <c r="D891" t="str">
        <f>IFERROR(INDEX('Master data'!$B$2:$CL$1000,MATCH($B891,'Master data'!$A$2:$A$1000,0),MATCH(D$1,'Master data'!$B$1:$CL$1,0)),"")</f>
        <v/>
      </c>
      <c r="E891" s="5" t="str">
        <f>IFERROR(INDEX('Master data'!$B$2:$CL$1000,MATCH($B891,'Master data'!$A$2:$A$1000,0),MATCH(E$1,'Master data'!$B$1:$CL$1,0)),"")</f>
        <v/>
      </c>
      <c r="F891" s="7" t="str">
        <f>IFERROR(INDEX('Master data'!$B$2:$CL$1000,MATCH($B891,'Master data'!$A$2:$A$1000,0),MATCH(F$1,'Master data'!$B$1:$CL$1,0)),"")</f>
        <v/>
      </c>
      <c r="G891" s="7" t="str">
        <f>IFERROR(INDEX('Master data'!$B$2:$CL$1000,MATCH($B891,'Master data'!$A$2:$A$1000,0),MATCH(G$1,'Master data'!$B$1:$CL$1,0)),"")</f>
        <v/>
      </c>
      <c r="H891" s="7" t="str">
        <f>IFERROR(INDEX('Master data'!$B$2:$CL$1000,MATCH($B891,'Master data'!$A$2:$A$1000,0),MATCH(H$1,'Master data'!$B$1:$CL$1,0)),"")</f>
        <v/>
      </c>
      <c r="I891" s="7" t="str">
        <f>IFERROR(INDEX('Master data'!$B$2:$CL$1000,MATCH($B891,'Master data'!$A$2:$A$1000,0),MATCH(I$1,'Master data'!$B$1:$CL$1,0)),"")</f>
        <v/>
      </c>
      <c r="J891" s="7" t="str">
        <f>IFERROR(INDEX('Master data'!$B$2:$CL$1000,MATCH($B891,'Master data'!$A$2:$A$1000,0),MATCH(J$1,'Master data'!$B$1:$CL$1,0)),"")</f>
        <v/>
      </c>
      <c r="K891" s="7" t="str">
        <f>IFERROR(INDEX('Master data'!$B$2:$CL$1000,MATCH($B891,'Master data'!$A$2:$A$1000,0),MATCH(K$1,'Master data'!$B$1:$CL$1,0)),"")</f>
        <v/>
      </c>
      <c r="L891" s="7" t="str">
        <f>IFERROR(INDEX('Master data'!$B$2:$CL$1000,MATCH($B891,'Master data'!$A$2:$A$1000,0),MATCH(L$1,'Master data'!$B$1:$CL$1,0)),"")</f>
        <v/>
      </c>
      <c r="M891" s="5" t="str">
        <f>IFERROR(INDEX('Master data'!$B$2:$CL$1000,MATCH($B891,'Master data'!$A$2:$A$1000,0),MATCH(M$1,'Master data'!$B$1:$CL$1,0)),"")</f>
        <v/>
      </c>
      <c r="N891" s="28" t="str">
        <f>IFERROR(INDEX('Master data'!$B$2:$CL$1000,MATCH($B891,'Master data'!$A$2:$A$1000,0),MATCH(N$1,'Master data'!$B$1:$CL$1,0)),"")</f>
        <v/>
      </c>
      <c r="O891" s="7" t="str">
        <f>IFERROR(INDEX('Master data'!$B$2:$CL$1000,MATCH($B891,'Master data'!$A$2:$A$1000,0),MATCH(O$1,'Master data'!$B$1:$CL$1,0)),"")</f>
        <v/>
      </c>
      <c r="P891" s="5" t="str">
        <f>IFERROR(INDEX('Master data'!$B$2:$CL$1000,MATCH($B891,'Master data'!$A$2:$A$1000,0),MATCH(P$1,'Master data'!$B$1:$CL$1,0)),"")</f>
        <v/>
      </c>
      <c r="Q891" s="5" t="str">
        <f>IFERROR(INDEX('Master data'!$B$2:$CL$1000,MATCH($B891,'Master data'!$A$2:$A$1000,0),MATCH(Q$1,'Master data'!$B$1:$CL$1,0)),"")</f>
        <v/>
      </c>
    </row>
    <row r="892" spans="1:17" hidden="1">
      <c r="A892" t="str">
        <f t="shared" si="13"/>
        <v/>
      </c>
      <c r="B892" t="str">
        <f>IF('Master data'!A892="","",'Master data'!A892)</f>
        <v/>
      </c>
      <c r="C892" t="str">
        <f>IFERROR(INDEX('Master data'!$B$2:$CL$1000,MATCH($B892,'Master data'!$A$2:$A$1000,0),MATCH(C$1,'Master data'!$B$1:$CL$1,0)),"")</f>
        <v/>
      </c>
      <c r="D892" t="str">
        <f>IFERROR(INDEX('Master data'!$B$2:$CL$1000,MATCH($B892,'Master data'!$A$2:$A$1000,0),MATCH(D$1,'Master data'!$B$1:$CL$1,0)),"")</f>
        <v/>
      </c>
      <c r="E892" s="5" t="str">
        <f>IFERROR(INDEX('Master data'!$B$2:$CL$1000,MATCH($B892,'Master data'!$A$2:$A$1000,0),MATCH(E$1,'Master data'!$B$1:$CL$1,0)),"")</f>
        <v/>
      </c>
      <c r="F892" s="7" t="str">
        <f>IFERROR(INDEX('Master data'!$B$2:$CL$1000,MATCH($B892,'Master data'!$A$2:$A$1000,0),MATCH(F$1,'Master data'!$B$1:$CL$1,0)),"")</f>
        <v/>
      </c>
      <c r="G892" s="7" t="str">
        <f>IFERROR(INDEX('Master data'!$B$2:$CL$1000,MATCH($B892,'Master data'!$A$2:$A$1000,0),MATCH(G$1,'Master data'!$B$1:$CL$1,0)),"")</f>
        <v/>
      </c>
      <c r="H892" s="7" t="str">
        <f>IFERROR(INDEX('Master data'!$B$2:$CL$1000,MATCH($B892,'Master data'!$A$2:$A$1000,0),MATCH(H$1,'Master data'!$B$1:$CL$1,0)),"")</f>
        <v/>
      </c>
      <c r="I892" s="7" t="str">
        <f>IFERROR(INDEX('Master data'!$B$2:$CL$1000,MATCH($B892,'Master data'!$A$2:$A$1000,0),MATCH(I$1,'Master data'!$B$1:$CL$1,0)),"")</f>
        <v/>
      </c>
      <c r="J892" s="7" t="str">
        <f>IFERROR(INDEX('Master data'!$B$2:$CL$1000,MATCH($B892,'Master data'!$A$2:$A$1000,0),MATCH(J$1,'Master data'!$B$1:$CL$1,0)),"")</f>
        <v/>
      </c>
      <c r="K892" s="7" t="str">
        <f>IFERROR(INDEX('Master data'!$B$2:$CL$1000,MATCH($B892,'Master data'!$A$2:$A$1000,0),MATCH(K$1,'Master data'!$B$1:$CL$1,0)),"")</f>
        <v/>
      </c>
      <c r="L892" s="7" t="str">
        <f>IFERROR(INDEX('Master data'!$B$2:$CL$1000,MATCH($B892,'Master data'!$A$2:$A$1000,0),MATCH(L$1,'Master data'!$B$1:$CL$1,0)),"")</f>
        <v/>
      </c>
      <c r="M892" s="5" t="str">
        <f>IFERROR(INDEX('Master data'!$B$2:$CL$1000,MATCH($B892,'Master data'!$A$2:$A$1000,0),MATCH(M$1,'Master data'!$B$1:$CL$1,0)),"")</f>
        <v/>
      </c>
      <c r="N892" s="28" t="str">
        <f>IFERROR(INDEX('Master data'!$B$2:$CL$1000,MATCH($B892,'Master data'!$A$2:$A$1000,0),MATCH(N$1,'Master data'!$B$1:$CL$1,0)),"")</f>
        <v/>
      </c>
      <c r="O892" s="7" t="str">
        <f>IFERROR(INDEX('Master data'!$B$2:$CL$1000,MATCH($B892,'Master data'!$A$2:$A$1000,0),MATCH(O$1,'Master data'!$B$1:$CL$1,0)),"")</f>
        <v/>
      </c>
      <c r="P892" s="5" t="str">
        <f>IFERROR(INDEX('Master data'!$B$2:$CL$1000,MATCH($B892,'Master data'!$A$2:$A$1000,0),MATCH(P$1,'Master data'!$B$1:$CL$1,0)),"")</f>
        <v/>
      </c>
      <c r="Q892" s="5" t="str">
        <f>IFERROR(INDEX('Master data'!$B$2:$CL$1000,MATCH($B892,'Master data'!$A$2:$A$1000,0),MATCH(Q$1,'Master data'!$B$1:$CL$1,0)),"")</f>
        <v/>
      </c>
    </row>
    <row r="893" spans="1:17" hidden="1">
      <c r="A893" t="str">
        <f t="shared" si="13"/>
        <v/>
      </c>
      <c r="B893" t="str">
        <f>IF('Master data'!A893="","",'Master data'!A893)</f>
        <v/>
      </c>
      <c r="C893" t="str">
        <f>IFERROR(INDEX('Master data'!$B$2:$CL$1000,MATCH($B893,'Master data'!$A$2:$A$1000,0),MATCH(C$1,'Master data'!$B$1:$CL$1,0)),"")</f>
        <v/>
      </c>
      <c r="D893" t="str">
        <f>IFERROR(INDEX('Master data'!$B$2:$CL$1000,MATCH($B893,'Master data'!$A$2:$A$1000,0),MATCH(D$1,'Master data'!$B$1:$CL$1,0)),"")</f>
        <v/>
      </c>
      <c r="E893" s="5" t="str">
        <f>IFERROR(INDEX('Master data'!$B$2:$CL$1000,MATCH($B893,'Master data'!$A$2:$A$1000,0),MATCH(E$1,'Master data'!$B$1:$CL$1,0)),"")</f>
        <v/>
      </c>
      <c r="F893" s="7" t="str">
        <f>IFERROR(INDEX('Master data'!$B$2:$CL$1000,MATCH($B893,'Master data'!$A$2:$A$1000,0),MATCH(F$1,'Master data'!$B$1:$CL$1,0)),"")</f>
        <v/>
      </c>
      <c r="G893" s="7" t="str">
        <f>IFERROR(INDEX('Master data'!$B$2:$CL$1000,MATCH($B893,'Master data'!$A$2:$A$1000,0),MATCH(G$1,'Master data'!$B$1:$CL$1,0)),"")</f>
        <v/>
      </c>
      <c r="H893" s="7" t="str">
        <f>IFERROR(INDEX('Master data'!$B$2:$CL$1000,MATCH($B893,'Master data'!$A$2:$A$1000,0),MATCH(H$1,'Master data'!$B$1:$CL$1,0)),"")</f>
        <v/>
      </c>
      <c r="I893" s="7" t="str">
        <f>IFERROR(INDEX('Master data'!$B$2:$CL$1000,MATCH($B893,'Master data'!$A$2:$A$1000,0),MATCH(I$1,'Master data'!$B$1:$CL$1,0)),"")</f>
        <v/>
      </c>
      <c r="J893" s="7" t="str">
        <f>IFERROR(INDEX('Master data'!$B$2:$CL$1000,MATCH($B893,'Master data'!$A$2:$A$1000,0),MATCH(J$1,'Master data'!$B$1:$CL$1,0)),"")</f>
        <v/>
      </c>
      <c r="K893" s="7" t="str">
        <f>IFERROR(INDEX('Master data'!$B$2:$CL$1000,MATCH($B893,'Master data'!$A$2:$A$1000,0),MATCH(K$1,'Master data'!$B$1:$CL$1,0)),"")</f>
        <v/>
      </c>
      <c r="L893" s="7" t="str">
        <f>IFERROR(INDEX('Master data'!$B$2:$CL$1000,MATCH($B893,'Master data'!$A$2:$A$1000,0),MATCH(L$1,'Master data'!$B$1:$CL$1,0)),"")</f>
        <v/>
      </c>
      <c r="M893" s="5" t="str">
        <f>IFERROR(INDEX('Master data'!$B$2:$CL$1000,MATCH($B893,'Master data'!$A$2:$A$1000,0),MATCH(M$1,'Master data'!$B$1:$CL$1,0)),"")</f>
        <v/>
      </c>
      <c r="N893" s="28" t="str">
        <f>IFERROR(INDEX('Master data'!$B$2:$CL$1000,MATCH($B893,'Master data'!$A$2:$A$1000,0),MATCH(N$1,'Master data'!$B$1:$CL$1,0)),"")</f>
        <v/>
      </c>
      <c r="O893" s="7" t="str">
        <f>IFERROR(INDEX('Master data'!$B$2:$CL$1000,MATCH($B893,'Master data'!$A$2:$A$1000,0),MATCH(O$1,'Master data'!$B$1:$CL$1,0)),"")</f>
        <v/>
      </c>
      <c r="P893" s="5" t="str">
        <f>IFERROR(INDEX('Master data'!$B$2:$CL$1000,MATCH($B893,'Master data'!$A$2:$A$1000,0),MATCH(P$1,'Master data'!$B$1:$CL$1,0)),"")</f>
        <v/>
      </c>
      <c r="Q893" s="5" t="str">
        <f>IFERROR(INDEX('Master data'!$B$2:$CL$1000,MATCH($B893,'Master data'!$A$2:$A$1000,0),MATCH(Q$1,'Master data'!$B$1:$CL$1,0)),"")</f>
        <v/>
      </c>
    </row>
    <row r="894" spans="1:17" hidden="1">
      <c r="A894" t="str">
        <f t="shared" si="13"/>
        <v/>
      </c>
      <c r="B894" t="str">
        <f>IF('Master data'!A894="","",'Master data'!A894)</f>
        <v/>
      </c>
      <c r="C894" t="str">
        <f>IFERROR(INDEX('Master data'!$B$2:$CL$1000,MATCH($B894,'Master data'!$A$2:$A$1000,0),MATCH(C$1,'Master data'!$B$1:$CL$1,0)),"")</f>
        <v/>
      </c>
      <c r="D894" t="str">
        <f>IFERROR(INDEX('Master data'!$B$2:$CL$1000,MATCH($B894,'Master data'!$A$2:$A$1000,0),MATCH(D$1,'Master data'!$B$1:$CL$1,0)),"")</f>
        <v/>
      </c>
      <c r="E894" s="5" t="str">
        <f>IFERROR(INDEX('Master data'!$B$2:$CL$1000,MATCH($B894,'Master data'!$A$2:$A$1000,0),MATCH(E$1,'Master data'!$B$1:$CL$1,0)),"")</f>
        <v/>
      </c>
      <c r="F894" s="7" t="str">
        <f>IFERROR(INDEX('Master data'!$B$2:$CL$1000,MATCH($B894,'Master data'!$A$2:$A$1000,0),MATCH(F$1,'Master data'!$B$1:$CL$1,0)),"")</f>
        <v/>
      </c>
      <c r="G894" s="7" t="str">
        <f>IFERROR(INDEX('Master data'!$B$2:$CL$1000,MATCH($B894,'Master data'!$A$2:$A$1000,0),MATCH(G$1,'Master data'!$B$1:$CL$1,0)),"")</f>
        <v/>
      </c>
      <c r="H894" s="7" t="str">
        <f>IFERROR(INDEX('Master data'!$B$2:$CL$1000,MATCH($B894,'Master data'!$A$2:$A$1000,0),MATCH(H$1,'Master data'!$B$1:$CL$1,0)),"")</f>
        <v/>
      </c>
      <c r="I894" s="7" t="str">
        <f>IFERROR(INDEX('Master data'!$B$2:$CL$1000,MATCH($B894,'Master data'!$A$2:$A$1000,0),MATCH(I$1,'Master data'!$B$1:$CL$1,0)),"")</f>
        <v/>
      </c>
      <c r="J894" s="7" t="str">
        <f>IFERROR(INDEX('Master data'!$B$2:$CL$1000,MATCH($B894,'Master data'!$A$2:$A$1000,0),MATCH(J$1,'Master data'!$B$1:$CL$1,0)),"")</f>
        <v/>
      </c>
      <c r="K894" s="7" t="str">
        <f>IFERROR(INDEX('Master data'!$B$2:$CL$1000,MATCH($B894,'Master data'!$A$2:$A$1000,0),MATCH(K$1,'Master data'!$B$1:$CL$1,0)),"")</f>
        <v/>
      </c>
      <c r="L894" s="7" t="str">
        <f>IFERROR(INDEX('Master data'!$B$2:$CL$1000,MATCH($B894,'Master data'!$A$2:$A$1000,0),MATCH(L$1,'Master data'!$B$1:$CL$1,0)),"")</f>
        <v/>
      </c>
      <c r="M894" s="5" t="str">
        <f>IFERROR(INDEX('Master data'!$B$2:$CL$1000,MATCH($B894,'Master data'!$A$2:$A$1000,0),MATCH(M$1,'Master data'!$B$1:$CL$1,0)),"")</f>
        <v/>
      </c>
      <c r="N894" s="28" t="str">
        <f>IFERROR(INDEX('Master data'!$B$2:$CL$1000,MATCH($B894,'Master data'!$A$2:$A$1000,0),MATCH(N$1,'Master data'!$B$1:$CL$1,0)),"")</f>
        <v/>
      </c>
      <c r="O894" s="7" t="str">
        <f>IFERROR(INDEX('Master data'!$B$2:$CL$1000,MATCH($B894,'Master data'!$A$2:$A$1000,0),MATCH(O$1,'Master data'!$B$1:$CL$1,0)),"")</f>
        <v/>
      </c>
      <c r="P894" s="5" t="str">
        <f>IFERROR(INDEX('Master data'!$B$2:$CL$1000,MATCH($B894,'Master data'!$A$2:$A$1000,0),MATCH(P$1,'Master data'!$B$1:$CL$1,0)),"")</f>
        <v/>
      </c>
      <c r="Q894" s="5" t="str">
        <f>IFERROR(INDEX('Master data'!$B$2:$CL$1000,MATCH($B894,'Master data'!$A$2:$A$1000,0),MATCH(Q$1,'Master data'!$B$1:$CL$1,0)),"")</f>
        <v/>
      </c>
    </row>
    <row r="895" spans="1:17" hidden="1">
      <c r="A895" t="str">
        <f t="shared" si="13"/>
        <v/>
      </c>
      <c r="B895" t="str">
        <f>IF('Master data'!A895="","",'Master data'!A895)</f>
        <v/>
      </c>
      <c r="C895" t="str">
        <f>IFERROR(INDEX('Master data'!$B$2:$CL$1000,MATCH($B895,'Master data'!$A$2:$A$1000,0),MATCH(C$1,'Master data'!$B$1:$CL$1,0)),"")</f>
        <v/>
      </c>
      <c r="D895" t="str">
        <f>IFERROR(INDEX('Master data'!$B$2:$CL$1000,MATCH($B895,'Master data'!$A$2:$A$1000,0),MATCH(D$1,'Master data'!$B$1:$CL$1,0)),"")</f>
        <v/>
      </c>
      <c r="E895" s="5" t="str">
        <f>IFERROR(INDEX('Master data'!$B$2:$CL$1000,MATCH($B895,'Master data'!$A$2:$A$1000,0),MATCH(E$1,'Master data'!$B$1:$CL$1,0)),"")</f>
        <v/>
      </c>
      <c r="F895" s="7" t="str">
        <f>IFERROR(INDEX('Master data'!$B$2:$CL$1000,MATCH($B895,'Master data'!$A$2:$A$1000,0),MATCH(F$1,'Master data'!$B$1:$CL$1,0)),"")</f>
        <v/>
      </c>
      <c r="G895" s="7" t="str">
        <f>IFERROR(INDEX('Master data'!$B$2:$CL$1000,MATCH($B895,'Master data'!$A$2:$A$1000,0),MATCH(G$1,'Master data'!$B$1:$CL$1,0)),"")</f>
        <v/>
      </c>
      <c r="H895" s="7" t="str">
        <f>IFERROR(INDEX('Master data'!$B$2:$CL$1000,MATCH($B895,'Master data'!$A$2:$A$1000,0),MATCH(H$1,'Master data'!$B$1:$CL$1,0)),"")</f>
        <v/>
      </c>
      <c r="I895" s="7" t="str">
        <f>IFERROR(INDEX('Master data'!$B$2:$CL$1000,MATCH($B895,'Master data'!$A$2:$A$1000,0),MATCH(I$1,'Master data'!$B$1:$CL$1,0)),"")</f>
        <v/>
      </c>
      <c r="J895" s="7" t="str">
        <f>IFERROR(INDEX('Master data'!$B$2:$CL$1000,MATCH($B895,'Master data'!$A$2:$A$1000,0),MATCH(J$1,'Master data'!$B$1:$CL$1,0)),"")</f>
        <v/>
      </c>
      <c r="K895" s="7" t="str">
        <f>IFERROR(INDEX('Master data'!$B$2:$CL$1000,MATCH($B895,'Master data'!$A$2:$A$1000,0),MATCH(K$1,'Master data'!$B$1:$CL$1,0)),"")</f>
        <v/>
      </c>
      <c r="L895" s="7" t="str">
        <f>IFERROR(INDEX('Master data'!$B$2:$CL$1000,MATCH($B895,'Master data'!$A$2:$A$1000,0),MATCH(L$1,'Master data'!$B$1:$CL$1,0)),"")</f>
        <v/>
      </c>
      <c r="M895" s="5" t="str">
        <f>IFERROR(INDEX('Master data'!$B$2:$CL$1000,MATCH($B895,'Master data'!$A$2:$A$1000,0),MATCH(M$1,'Master data'!$B$1:$CL$1,0)),"")</f>
        <v/>
      </c>
      <c r="N895" s="28" t="str">
        <f>IFERROR(INDEX('Master data'!$B$2:$CL$1000,MATCH($B895,'Master data'!$A$2:$A$1000,0),MATCH(N$1,'Master data'!$B$1:$CL$1,0)),"")</f>
        <v/>
      </c>
      <c r="O895" s="7" t="str">
        <f>IFERROR(INDEX('Master data'!$B$2:$CL$1000,MATCH($B895,'Master data'!$A$2:$A$1000,0),MATCH(O$1,'Master data'!$B$1:$CL$1,0)),"")</f>
        <v/>
      </c>
      <c r="P895" s="5" t="str">
        <f>IFERROR(INDEX('Master data'!$B$2:$CL$1000,MATCH($B895,'Master data'!$A$2:$A$1000,0),MATCH(P$1,'Master data'!$B$1:$CL$1,0)),"")</f>
        <v/>
      </c>
      <c r="Q895" s="5" t="str">
        <f>IFERROR(INDEX('Master data'!$B$2:$CL$1000,MATCH($B895,'Master data'!$A$2:$A$1000,0),MATCH(Q$1,'Master data'!$B$1:$CL$1,0)),"")</f>
        <v/>
      </c>
    </row>
    <row r="896" spans="1:17" hidden="1">
      <c r="A896" t="str">
        <f t="shared" si="13"/>
        <v/>
      </c>
      <c r="B896" t="str">
        <f>IF('Master data'!A896="","",'Master data'!A896)</f>
        <v/>
      </c>
      <c r="C896" t="str">
        <f>IFERROR(INDEX('Master data'!$B$2:$CL$1000,MATCH($B896,'Master data'!$A$2:$A$1000,0),MATCH(C$1,'Master data'!$B$1:$CL$1,0)),"")</f>
        <v/>
      </c>
      <c r="D896" t="str">
        <f>IFERROR(INDEX('Master data'!$B$2:$CL$1000,MATCH($B896,'Master data'!$A$2:$A$1000,0),MATCH(D$1,'Master data'!$B$1:$CL$1,0)),"")</f>
        <v/>
      </c>
      <c r="E896" s="5" t="str">
        <f>IFERROR(INDEX('Master data'!$B$2:$CL$1000,MATCH($B896,'Master data'!$A$2:$A$1000,0),MATCH(E$1,'Master data'!$B$1:$CL$1,0)),"")</f>
        <v/>
      </c>
      <c r="F896" s="7" t="str">
        <f>IFERROR(INDEX('Master data'!$B$2:$CL$1000,MATCH($B896,'Master data'!$A$2:$A$1000,0),MATCH(F$1,'Master data'!$B$1:$CL$1,0)),"")</f>
        <v/>
      </c>
      <c r="G896" s="7" t="str">
        <f>IFERROR(INDEX('Master data'!$B$2:$CL$1000,MATCH($B896,'Master data'!$A$2:$A$1000,0),MATCH(G$1,'Master data'!$B$1:$CL$1,0)),"")</f>
        <v/>
      </c>
      <c r="H896" s="7" t="str">
        <f>IFERROR(INDEX('Master data'!$B$2:$CL$1000,MATCH($B896,'Master data'!$A$2:$A$1000,0),MATCH(H$1,'Master data'!$B$1:$CL$1,0)),"")</f>
        <v/>
      </c>
      <c r="I896" s="7" t="str">
        <f>IFERROR(INDEX('Master data'!$B$2:$CL$1000,MATCH($B896,'Master data'!$A$2:$A$1000,0),MATCH(I$1,'Master data'!$B$1:$CL$1,0)),"")</f>
        <v/>
      </c>
      <c r="J896" s="7" t="str">
        <f>IFERROR(INDEX('Master data'!$B$2:$CL$1000,MATCH($B896,'Master data'!$A$2:$A$1000,0),MATCH(J$1,'Master data'!$B$1:$CL$1,0)),"")</f>
        <v/>
      </c>
      <c r="K896" s="7" t="str">
        <f>IFERROR(INDEX('Master data'!$B$2:$CL$1000,MATCH($B896,'Master data'!$A$2:$A$1000,0),MATCH(K$1,'Master data'!$B$1:$CL$1,0)),"")</f>
        <v/>
      </c>
      <c r="L896" s="7" t="str">
        <f>IFERROR(INDEX('Master data'!$B$2:$CL$1000,MATCH($B896,'Master data'!$A$2:$A$1000,0),MATCH(L$1,'Master data'!$B$1:$CL$1,0)),"")</f>
        <v/>
      </c>
      <c r="M896" s="5" t="str">
        <f>IFERROR(INDEX('Master data'!$B$2:$CL$1000,MATCH($B896,'Master data'!$A$2:$A$1000,0),MATCH(M$1,'Master data'!$B$1:$CL$1,0)),"")</f>
        <v/>
      </c>
      <c r="N896" s="28" t="str">
        <f>IFERROR(INDEX('Master data'!$B$2:$CL$1000,MATCH($B896,'Master data'!$A$2:$A$1000,0),MATCH(N$1,'Master data'!$B$1:$CL$1,0)),"")</f>
        <v/>
      </c>
      <c r="O896" s="7" t="str">
        <f>IFERROR(INDEX('Master data'!$B$2:$CL$1000,MATCH($B896,'Master data'!$A$2:$A$1000,0),MATCH(O$1,'Master data'!$B$1:$CL$1,0)),"")</f>
        <v/>
      </c>
      <c r="P896" s="5" t="str">
        <f>IFERROR(INDEX('Master data'!$B$2:$CL$1000,MATCH($B896,'Master data'!$A$2:$A$1000,0),MATCH(P$1,'Master data'!$B$1:$CL$1,0)),"")</f>
        <v/>
      </c>
      <c r="Q896" s="5" t="str">
        <f>IFERROR(INDEX('Master data'!$B$2:$CL$1000,MATCH($B896,'Master data'!$A$2:$A$1000,0),MATCH(Q$1,'Master data'!$B$1:$CL$1,0)),"")</f>
        <v/>
      </c>
    </row>
    <row r="897" spans="1:17" hidden="1">
      <c r="A897" t="str">
        <f t="shared" si="13"/>
        <v/>
      </c>
      <c r="B897" t="str">
        <f>IF('Master data'!A897="","",'Master data'!A897)</f>
        <v/>
      </c>
      <c r="C897" t="str">
        <f>IFERROR(INDEX('Master data'!$B$2:$CL$1000,MATCH($B897,'Master data'!$A$2:$A$1000,0),MATCH(C$1,'Master data'!$B$1:$CL$1,0)),"")</f>
        <v/>
      </c>
      <c r="D897" t="str">
        <f>IFERROR(INDEX('Master data'!$B$2:$CL$1000,MATCH($B897,'Master data'!$A$2:$A$1000,0),MATCH(D$1,'Master data'!$B$1:$CL$1,0)),"")</f>
        <v/>
      </c>
      <c r="E897" s="5" t="str">
        <f>IFERROR(INDEX('Master data'!$B$2:$CL$1000,MATCH($B897,'Master data'!$A$2:$A$1000,0),MATCH(E$1,'Master data'!$B$1:$CL$1,0)),"")</f>
        <v/>
      </c>
      <c r="F897" s="7" t="str">
        <f>IFERROR(INDEX('Master data'!$B$2:$CL$1000,MATCH($B897,'Master data'!$A$2:$A$1000,0),MATCH(F$1,'Master data'!$B$1:$CL$1,0)),"")</f>
        <v/>
      </c>
      <c r="G897" s="7" t="str">
        <f>IFERROR(INDEX('Master data'!$B$2:$CL$1000,MATCH($B897,'Master data'!$A$2:$A$1000,0),MATCH(G$1,'Master data'!$B$1:$CL$1,0)),"")</f>
        <v/>
      </c>
      <c r="H897" s="7" t="str">
        <f>IFERROR(INDEX('Master data'!$B$2:$CL$1000,MATCH($B897,'Master data'!$A$2:$A$1000,0),MATCH(H$1,'Master data'!$B$1:$CL$1,0)),"")</f>
        <v/>
      </c>
      <c r="I897" s="7" t="str">
        <f>IFERROR(INDEX('Master data'!$B$2:$CL$1000,MATCH($B897,'Master data'!$A$2:$A$1000,0),MATCH(I$1,'Master data'!$B$1:$CL$1,0)),"")</f>
        <v/>
      </c>
      <c r="J897" s="7" t="str">
        <f>IFERROR(INDEX('Master data'!$B$2:$CL$1000,MATCH($B897,'Master data'!$A$2:$A$1000,0),MATCH(J$1,'Master data'!$B$1:$CL$1,0)),"")</f>
        <v/>
      </c>
      <c r="K897" s="7" t="str">
        <f>IFERROR(INDEX('Master data'!$B$2:$CL$1000,MATCH($B897,'Master data'!$A$2:$A$1000,0),MATCH(K$1,'Master data'!$B$1:$CL$1,0)),"")</f>
        <v/>
      </c>
      <c r="L897" s="7" t="str">
        <f>IFERROR(INDEX('Master data'!$B$2:$CL$1000,MATCH($B897,'Master data'!$A$2:$A$1000,0),MATCH(L$1,'Master data'!$B$1:$CL$1,0)),"")</f>
        <v/>
      </c>
      <c r="M897" s="5" t="str">
        <f>IFERROR(INDEX('Master data'!$B$2:$CL$1000,MATCH($B897,'Master data'!$A$2:$A$1000,0),MATCH(M$1,'Master data'!$B$1:$CL$1,0)),"")</f>
        <v/>
      </c>
      <c r="N897" s="28" t="str">
        <f>IFERROR(INDEX('Master data'!$B$2:$CL$1000,MATCH($B897,'Master data'!$A$2:$A$1000,0),MATCH(N$1,'Master data'!$B$1:$CL$1,0)),"")</f>
        <v/>
      </c>
      <c r="O897" s="7" t="str">
        <f>IFERROR(INDEX('Master data'!$B$2:$CL$1000,MATCH($B897,'Master data'!$A$2:$A$1000,0),MATCH(O$1,'Master data'!$B$1:$CL$1,0)),"")</f>
        <v/>
      </c>
      <c r="P897" s="5" t="str">
        <f>IFERROR(INDEX('Master data'!$B$2:$CL$1000,MATCH($B897,'Master data'!$A$2:$A$1000,0),MATCH(P$1,'Master data'!$B$1:$CL$1,0)),"")</f>
        <v/>
      </c>
      <c r="Q897" s="5" t="str">
        <f>IFERROR(INDEX('Master data'!$B$2:$CL$1000,MATCH($B897,'Master data'!$A$2:$A$1000,0),MATCH(Q$1,'Master data'!$B$1:$CL$1,0)),"")</f>
        <v/>
      </c>
    </row>
    <row r="898" spans="1:17" hidden="1">
      <c r="A898" t="str">
        <f t="shared" si="13"/>
        <v/>
      </c>
      <c r="B898" t="str">
        <f>IF('Master data'!A898="","",'Master data'!A898)</f>
        <v/>
      </c>
      <c r="C898" t="str">
        <f>IFERROR(INDEX('Master data'!$B$2:$CL$1000,MATCH($B898,'Master data'!$A$2:$A$1000,0),MATCH(C$1,'Master data'!$B$1:$CL$1,0)),"")</f>
        <v/>
      </c>
      <c r="D898" t="str">
        <f>IFERROR(INDEX('Master data'!$B$2:$CL$1000,MATCH($B898,'Master data'!$A$2:$A$1000,0),MATCH(D$1,'Master data'!$B$1:$CL$1,0)),"")</f>
        <v/>
      </c>
      <c r="E898" s="5" t="str">
        <f>IFERROR(INDEX('Master data'!$B$2:$CL$1000,MATCH($B898,'Master data'!$A$2:$A$1000,0),MATCH(E$1,'Master data'!$B$1:$CL$1,0)),"")</f>
        <v/>
      </c>
      <c r="F898" s="7" t="str">
        <f>IFERROR(INDEX('Master data'!$B$2:$CL$1000,MATCH($B898,'Master data'!$A$2:$A$1000,0),MATCH(F$1,'Master data'!$B$1:$CL$1,0)),"")</f>
        <v/>
      </c>
      <c r="G898" s="7" t="str">
        <f>IFERROR(INDEX('Master data'!$B$2:$CL$1000,MATCH($B898,'Master data'!$A$2:$A$1000,0),MATCH(G$1,'Master data'!$B$1:$CL$1,0)),"")</f>
        <v/>
      </c>
      <c r="H898" s="7" t="str">
        <f>IFERROR(INDEX('Master data'!$B$2:$CL$1000,MATCH($B898,'Master data'!$A$2:$A$1000,0),MATCH(H$1,'Master data'!$B$1:$CL$1,0)),"")</f>
        <v/>
      </c>
      <c r="I898" s="7" t="str">
        <f>IFERROR(INDEX('Master data'!$B$2:$CL$1000,MATCH($B898,'Master data'!$A$2:$A$1000,0),MATCH(I$1,'Master data'!$B$1:$CL$1,0)),"")</f>
        <v/>
      </c>
      <c r="J898" s="7" t="str">
        <f>IFERROR(INDEX('Master data'!$B$2:$CL$1000,MATCH($B898,'Master data'!$A$2:$A$1000,0),MATCH(J$1,'Master data'!$B$1:$CL$1,0)),"")</f>
        <v/>
      </c>
      <c r="K898" s="7" t="str">
        <f>IFERROR(INDEX('Master data'!$B$2:$CL$1000,MATCH($B898,'Master data'!$A$2:$A$1000,0),MATCH(K$1,'Master data'!$B$1:$CL$1,0)),"")</f>
        <v/>
      </c>
      <c r="L898" s="7" t="str">
        <f>IFERROR(INDEX('Master data'!$B$2:$CL$1000,MATCH($B898,'Master data'!$A$2:$A$1000,0),MATCH(L$1,'Master data'!$B$1:$CL$1,0)),"")</f>
        <v/>
      </c>
      <c r="M898" s="5" t="str">
        <f>IFERROR(INDEX('Master data'!$B$2:$CL$1000,MATCH($B898,'Master data'!$A$2:$A$1000,0),MATCH(M$1,'Master data'!$B$1:$CL$1,0)),"")</f>
        <v/>
      </c>
      <c r="N898" s="28" t="str">
        <f>IFERROR(INDEX('Master data'!$B$2:$CL$1000,MATCH($B898,'Master data'!$A$2:$A$1000,0),MATCH(N$1,'Master data'!$B$1:$CL$1,0)),"")</f>
        <v/>
      </c>
      <c r="O898" s="7" t="str">
        <f>IFERROR(INDEX('Master data'!$B$2:$CL$1000,MATCH($B898,'Master data'!$A$2:$A$1000,0),MATCH(O$1,'Master data'!$B$1:$CL$1,0)),"")</f>
        <v/>
      </c>
      <c r="P898" s="5" t="str">
        <f>IFERROR(INDEX('Master data'!$B$2:$CL$1000,MATCH($B898,'Master data'!$A$2:$A$1000,0),MATCH(P$1,'Master data'!$B$1:$CL$1,0)),"")</f>
        <v/>
      </c>
      <c r="Q898" s="5" t="str">
        <f>IFERROR(INDEX('Master data'!$B$2:$CL$1000,MATCH($B898,'Master data'!$A$2:$A$1000,0),MATCH(Q$1,'Master data'!$B$1:$CL$1,0)),"")</f>
        <v/>
      </c>
    </row>
    <row r="899" spans="1:17" hidden="1">
      <c r="A899" t="str">
        <f t="shared" ref="A899:A962" si="14">IF(B899="","",ROW()-2)</f>
        <v/>
      </c>
      <c r="B899" t="str">
        <f>IF('Master data'!A899="","",'Master data'!A899)</f>
        <v/>
      </c>
      <c r="C899" t="str">
        <f>IFERROR(INDEX('Master data'!$B$2:$CL$1000,MATCH($B899,'Master data'!$A$2:$A$1000,0),MATCH(C$1,'Master data'!$B$1:$CL$1,0)),"")</f>
        <v/>
      </c>
      <c r="D899" t="str">
        <f>IFERROR(INDEX('Master data'!$B$2:$CL$1000,MATCH($B899,'Master data'!$A$2:$A$1000,0),MATCH(D$1,'Master data'!$B$1:$CL$1,0)),"")</f>
        <v/>
      </c>
      <c r="E899" s="5" t="str">
        <f>IFERROR(INDEX('Master data'!$B$2:$CL$1000,MATCH($B899,'Master data'!$A$2:$A$1000,0),MATCH(E$1,'Master data'!$B$1:$CL$1,0)),"")</f>
        <v/>
      </c>
      <c r="F899" s="7" t="str">
        <f>IFERROR(INDEX('Master data'!$B$2:$CL$1000,MATCH($B899,'Master data'!$A$2:$A$1000,0),MATCH(F$1,'Master data'!$B$1:$CL$1,0)),"")</f>
        <v/>
      </c>
      <c r="G899" s="7" t="str">
        <f>IFERROR(INDEX('Master data'!$B$2:$CL$1000,MATCH($B899,'Master data'!$A$2:$A$1000,0),MATCH(G$1,'Master data'!$B$1:$CL$1,0)),"")</f>
        <v/>
      </c>
      <c r="H899" s="7" t="str">
        <f>IFERROR(INDEX('Master data'!$B$2:$CL$1000,MATCH($B899,'Master data'!$A$2:$A$1000,0),MATCH(H$1,'Master data'!$B$1:$CL$1,0)),"")</f>
        <v/>
      </c>
      <c r="I899" s="7" t="str">
        <f>IFERROR(INDEX('Master data'!$B$2:$CL$1000,MATCH($B899,'Master data'!$A$2:$A$1000,0),MATCH(I$1,'Master data'!$B$1:$CL$1,0)),"")</f>
        <v/>
      </c>
      <c r="J899" s="7" t="str">
        <f>IFERROR(INDEX('Master data'!$B$2:$CL$1000,MATCH($B899,'Master data'!$A$2:$A$1000,0),MATCH(J$1,'Master data'!$B$1:$CL$1,0)),"")</f>
        <v/>
      </c>
      <c r="K899" s="7" t="str">
        <f>IFERROR(INDEX('Master data'!$B$2:$CL$1000,MATCH($B899,'Master data'!$A$2:$A$1000,0),MATCH(K$1,'Master data'!$B$1:$CL$1,0)),"")</f>
        <v/>
      </c>
      <c r="L899" s="7" t="str">
        <f>IFERROR(INDEX('Master data'!$B$2:$CL$1000,MATCH($B899,'Master data'!$A$2:$A$1000,0),MATCH(L$1,'Master data'!$B$1:$CL$1,0)),"")</f>
        <v/>
      </c>
      <c r="M899" s="5" t="str">
        <f>IFERROR(INDEX('Master data'!$B$2:$CL$1000,MATCH($B899,'Master data'!$A$2:$A$1000,0),MATCH(M$1,'Master data'!$B$1:$CL$1,0)),"")</f>
        <v/>
      </c>
      <c r="N899" s="28" t="str">
        <f>IFERROR(INDEX('Master data'!$B$2:$CL$1000,MATCH($B899,'Master data'!$A$2:$A$1000,0),MATCH(N$1,'Master data'!$B$1:$CL$1,0)),"")</f>
        <v/>
      </c>
      <c r="O899" s="7" t="str">
        <f>IFERROR(INDEX('Master data'!$B$2:$CL$1000,MATCH($B899,'Master data'!$A$2:$A$1000,0),MATCH(O$1,'Master data'!$B$1:$CL$1,0)),"")</f>
        <v/>
      </c>
      <c r="P899" s="5" t="str">
        <f>IFERROR(INDEX('Master data'!$B$2:$CL$1000,MATCH($B899,'Master data'!$A$2:$A$1000,0),MATCH(P$1,'Master data'!$B$1:$CL$1,0)),"")</f>
        <v/>
      </c>
      <c r="Q899" s="5" t="str">
        <f>IFERROR(INDEX('Master data'!$B$2:$CL$1000,MATCH($B899,'Master data'!$A$2:$A$1000,0),MATCH(Q$1,'Master data'!$B$1:$CL$1,0)),"")</f>
        <v/>
      </c>
    </row>
    <row r="900" spans="1:17" hidden="1">
      <c r="A900" t="str">
        <f t="shared" si="14"/>
        <v/>
      </c>
      <c r="B900" t="str">
        <f>IF('Master data'!A900="","",'Master data'!A900)</f>
        <v/>
      </c>
      <c r="C900" t="str">
        <f>IFERROR(INDEX('Master data'!$B$2:$CL$1000,MATCH($B900,'Master data'!$A$2:$A$1000,0),MATCH(C$1,'Master data'!$B$1:$CL$1,0)),"")</f>
        <v/>
      </c>
      <c r="D900" t="str">
        <f>IFERROR(INDEX('Master data'!$B$2:$CL$1000,MATCH($B900,'Master data'!$A$2:$A$1000,0),MATCH(D$1,'Master data'!$B$1:$CL$1,0)),"")</f>
        <v/>
      </c>
      <c r="E900" s="5" t="str">
        <f>IFERROR(INDEX('Master data'!$B$2:$CL$1000,MATCH($B900,'Master data'!$A$2:$A$1000,0),MATCH(E$1,'Master data'!$B$1:$CL$1,0)),"")</f>
        <v/>
      </c>
      <c r="F900" s="7" t="str">
        <f>IFERROR(INDEX('Master data'!$B$2:$CL$1000,MATCH($B900,'Master data'!$A$2:$A$1000,0),MATCH(F$1,'Master data'!$B$1:$CL$1,0)),"")</f>
        <v/>
      </c>
      <c r="G900" s="7" t="str">
        <f>IFERROR(INDEX('Master data'!$B$2:$CL$1000,MATCH($B900,'Master data'!$A$2:$A$1000,0),MATCH(G$1,'Master data'!$B$1:$CL$1,0)),"")</f>
        <v/>
      </c>
      <c r="H900" s="7" t="str">
        <f>IFERROR(INDEX('Master data'!$B$2:$CL$1000,MATCH($B900,'Master data'!$A$2:$A$1000,0),MATCH(H$1,'Master data'!$B$1:$CL$1,0)),"")</f>
        <v/>
      </c>
      <c r="I900" s="7" t="str">
        <f>IFERROR(INDEX('Master data'!$B$2:$CL$1000,MATCH($B900,'Master data'!$A$2:$A$1000,0),MATCH(I$1,'Master data'!$B$1:$CL$1,0)),"")</f>
        <v/>
      </c>
      <c r="J900" s="7" t="str">
        <f>IFERROR(INDEX('Master data'!$B$2:$CL$1000,MATCH($B900,'Master data'!$A$2:$A$1000,0),MATCH(J$1,'Master data'!$B$1:$CL$1,0)),"")</f>
        <v/>
      </c>
      <c r="K900" s="7" t="str">
        <f>IFERROR(INDEX('Master data'!$B$2:$CL$1000,MATCH($B900,'Master data'!$A$2:$A$1000,0),MATCH(K$1,'Master data'!$B$1:$CL$1,0)),"")</f>
        <v/>
      </c>
      <c r="L900" s="7" t="str">
        <f>IFERROR(INDEX('Master data'!$B$2:$CL$1000,MATCH($B900,'Master data'!$A$2:$A$1000,0),MATCH(L$1,'Master data'!$B$1:$CL$1,0)),"")</f>
        <v/>
      </c>
      <c r="M900" s="5" t="str">
        <f>IFERROR(INDEX('Master data'!$B$2:$CL$1000,MATCH($B900,'Master data'!$A$2:$A$1000,0),MATCH(M$1,'Master data'!$B$1:$CL$1,0)),"")</f>
        <v/>
      </c>
      <c r="N900" s="28" t="str">
        <f>IFERROR(INDEX('Master data'!$B$2:$CL$1000,MATCH($B900,'Master data'!$A$2:$A$1000,0),MATCH(N$1,'Master data'!$B$1:$CL$1,0)),"")</f>
        <v/>
      </c>
      <c r="O900" s="7" t="str">
        <f>IFERROR(INDEX('Master data'!$B$2:$CL$1000,MATCH($B900,'Master data'!$A$2:$A$1000,0),MATCH(O$1,'Master data'!$B$1:$CL$1,0)),"")</f>
        <v/>
      </c>
      <c r="P900" s="5" t="str">
        <f>IFERROR(INDEX('Master data'!$B$2:$CL$1000,MATCH($B900,'Master data'!$A$2:$A$1000,0),MATCH(P$1,'Master data'!$B$1:$CL$1,0)),"")</f>
        <v/>
      </c>
      <c r="Q900" s="5" t="str">
        <f>IFERROR(INDEX('Master data'!$B$2:$CL$1000,MATCH($B900,'Master data'!$A$2:$A$1000,0),MATCH(Q$1,'Master data'!$B$1:$CL$1,0)),"")</f>
        <v/>
      </c>
    </row>
    <row r="901" spans="1:17" hidden="1">
      <c r="A901" t="str">
        <f t="shared" si="14"/>
        <v/>
      </c>
      <c r="B901" t="str">
        <f>IF('Master data'!A901="","",'Master data'!A901)</f>
        <v/>
      </c>
      <c r="C901" t="str">
        <f>IFERROR(INDEX('Master data'!$B$2:$CL$1000,MATCH($B901,'Master data'!$A$2:$A$1000,0),MATCH(C$1,'Master data'!$B$1:$CL$1,0)),"")</f>
        <v/>
      </c>
      <c r="D901" t="str">
        <f>IFERROR(INDEX('Master data'!$B$2:$CL$1000,MATCH($B901,'Master data'!$A$2:$A$1000,0),MATCH(D$1,'Master data'!$B$1:$CL$1,0)),"")</f>
        <v/>
      </c>
      <c r="E901" s="5" t="str">
        <f>IFERROR(INDEX('Master data'!$B$2:$CL$1000,MATCH($B901,'Master data'!$A$2:$A$1000,0),MATCH(E$1,'Master data'!$B$1:$CL$1,0)),"")</f>
        <v/>
      </c>
      <c r="F901" s="7" t="str">
        <f>IFERROR(INDEX('Master data'!$B$2:$CL$1000,MATCH($B901,'Master data'!$A$2:$A$1000,0),MATCH(F$1,'Master data'!$B$1:$CL$1,0)),"")</f>
        <v/>
      </c>
      <c r="G901" s="7" t="str">
        <f>IFERROR(INDEX('Master data'!$B$2:$CL$1000,MATCH($B901,'Master data'!$A$2:$A$1000,0),MATCH(G$1,'Master data'!$B$1:$CL$1,0)),"")</f>
        <v/>
      </c>
      <c r="H901" s="7" t="str">
        <f>IFERROR(INDEX('Master data'!$B$2:$CL$1000,MATCH($B901,'Master data'!$A$2:$A$1000,0),MATCH(H$1,'Master data'!$B$1:$CL$1,0)),"")</f>
        <v/>
      </c>
      <c r="I901" s="7" t="str">
        <f>IFERROR(INDEX('Master data'!$B$2:$CL$1000,MATCH($B901,'Master data'!$A$2:$A$1000,0),MATCH(I$1,'Master data'!$B$1:$CL$1,0)),"")</f>
        <v/>
      </c>
      <c r="J901" s="7" t="str">
        <f>IFERROR(INDEX('Master data'!$B$2:$CL$1000,MATCH($B901,'Master data'!$A$2:$A$1000,0),MATCH(J$1,'Master data'!$B$1:$CL$1,0)),"")</f>
        <v/>
      </c>
      <c r="K901" s="7" t="str">
        <f>IFERROR(INDEX('Master data'!$B$2:$CL$1000,MATCH($B901,'Master data'!$A$2:$A$1000,0),MATCH(K$1,'Master data'!$B$1:$CL$1,0)),"")</f>
        <v/>
      </c>
      <c r="L901" s="7" t="str">
        <f>IFERROR(INDEX('Master data'!$B$2:$CL$1000,MATCH($B901,'Master data'!$A$2:$A$1000,0),MATCH(L$1,'Master data'!$B$1:$CL$1,0)),"")</f>
        <v/>
      </c>
      <c r="M901" s="5" t="str">
        <f>IFERROR(INDEX('Master data'!$B$2:$CL$1000,MATCH($B901,'Master data'!$A$2:$A$1000,0),MATCH(M$1,'Master data'!$B$1:$CL$1,0)),"")</f>
        <v/>
      </c>
      <c r="N901" s="28" t="str">
        <f>IFERROR(INDEX('Master data'!$B$2:$CL$1000,MATCH($B901,'Master data'!$A$2:$A$1000,0),MATCH(N$1,'Master data'!$B$1:$CL$1,0)),"")</f>
        <v/>
      </c>
      <c r="O901" s="7" t="str">
        <f>IFERROR(INDEX('Master data'!$B$2:$CL$1000,MATCH($B901,'Master data'!$A$2:$A$1000,0),MATCH(O$1,'Master data'!$B$1:$CL$1,0)),"")</f>
        <v/>
      </c>
      <c r="P901" s="5" t="str">
        <f>IFERROR(INDEX('Master data'!$B$2:$CL$1000,MATCH($B901,'Master data'!$A$2:$A$1000,0),MATCH(P$1,'Master data'!$B$1:$CL$1,0)),"")</f>
        <v/>
      </c>
      <c r="Q901" s="5" t="str">
        <f>IFERROR(INDEX('Master data'!$B$2:$CL$1000,MATCH($B901,'Master data'!$A$2:$A$1000,0),MATCH(Q$1,'Master data'!$B$1:$CL$1,0)),"")</f>
        <v/>
      </c>
    </row>
    <row r="902" spans="1:17" hidden="1">
      <c r="A902" t="str">
        <f t="shared" si="14"/>
        <v/>
      </c>
      <c r="B902" t="str">
        <f>IF('Master data'!A902="","",'Master data'!A902)</f>
        <v/>
      </c>
      <c r="C902" t="str">
        <f>IFERROR(INDEX('Master data'!$B$2:$CL$1000,MATCH($B902,'Master data'!$A$2:$A$1000,0),MATCH(C$1,'Master data'!$B$1:$CL$1,0)),"")</f>
        <v/>
      </c>
      <c r="D902" t="str">
        <f>IFERROR(INDEX('Master data'!$B$2:$CL$1000,MATCH($B902,'Master data'!$A$2:$A$1000,0),MATCH(D$1,'Master data'!$B$1:$CL$1,0)),"")</f>
        <v/>
      </c>
      <c r="E902" s="5" t="str">
        <f>IFERROR(INDEX('Master data'!$B$2:$CL$1000,MATCH($B902,'Master data'!$A$2:$A$1000,0),MATCH(E$1,'Master data'!$B$1:$CL$1,0)),"")</f>
        <v/>
      </c>
      <c r="F902" s="7" t="str">
        <f>IFERROR(INDEX('Master data'!$B$2:$CL$1000,MATCH($B902,'Master data'!$A$2:$A$1000,0),MATCH(F$1,'Master data'!$B$1:$CL$1,0)),"")</f>
        <v/>
      </c>
      <c r="G902" s="7" t="str">
        <f>IFERROR(INDEX('Master data'!$B$2:$CL$1000,MATCH($B902,'Master data'!$A$2:$A$1000,0),MATCH(G$1,'Master data'!$B$1:$CL$1,0)),"")</f>
        <v/>
      </c>
      <c r="H902" s="7" t="str">
        <f>IFERROR(INDEX('Master data'!$B$2:$CL$1000,MATCH($B902,'Master data'!$A$2:$A$1000,0),MATCH(H$1,'Master data'!$B$1:$CL$1,0)),"")</f>
        <v/>
      </c>
      <c r="I902" s="7" t="str">
        <f>IFERROR(INDEX('Master data'!$B$2:$CL$1000,MATCH($B902,'Master data'!$A$2:$A$1000,0),MATCH(I$1,'Master data'!$B$1:$CL$1,0)),"")</f>
        <v/>
      </c>
      <c r="J902" s="7" t="str">
        <f>IFERROR(INDEX('Master data'!$B$2:$CL$1000,MATCH($B902,'Master data'!$A$2:$A$1000,0),MATCH(J$1,'Master data'!$B$1:$CL$1,0)),"")</f>
        <v/>
      </c>
      <c r="K902" s="7" t="str">
        <f>IFERROR(INDEX('Master data'!$B$2:$CL$1000,MATCH($B902,'Master data'!$A$2:$A$1000,0),MATCH(K$1,'Master data'!$B$1:$CL$1,0)),"")</f>
        <v/>
      </c>
      <c r="L902" s="7" t="str">
        <f>IFERROR(INDEX('Master data'!$B$2:$CL$1000,MATCH($B902,'Master data'!$A$2:$A$1000,0),MATCH(L$1,'Master data'!$B$1:$CL$1,0)),"")</f>
        <v/>
      </c>
      <c r="M902" s="5" t="str">
        <f>IFERROR(INDEX('Master data'!$B$2:$CL$1000,MATCH($B902,'Master data'!$A$2:$A$1000,0),MATCH(M$1,'Master data'!$B$1:$CL$1,0)),"")</f>
        <v/>
      </c>
      <c r="N902" s="28" t="str">
        <f>IFERROR(INDEX('Master data'!$B$2:$CL$1000,MATCH($B902,'Master data'!$A$2:$A$1000,0),MATCH(N$1,'Master data'!$B$1:$CL$1,0)),"")</f>
        <v/>
      </c>
      <c r="O902" s="7" t="str">
        <f>IFERROR(INDEX('Master data'!$B$2:$CL$1000,MATCH($B902,'Master data'!$A$2:$A$1000,0),MATCH(O$1,'Master data'!$B$1:$CL$1,0)),"")</f>
        <v/>
      </c>
      <c r="P902" s="5" t="str">
        <f>IFERROR(INDEX('Master data'!$B$2:$CL$1000,MATCH($B902,'Master data'!$A$2:$A$1000,0),MATCH(P$1,'Master data'!$B$1:$CL$1,0)),"")</f>
        <v/>
      </c>
      <c r="Q902" s="5" t="str">
        <f>IFERROR(INDEX('Master data'!$B$2:$CL$1000,MATCH($B902,'Master data'!$A$2:$A$1000,0),MATCH(Q$1,'Master data'!$B$1:$CL$1,0)),"")</f>
        <v/>
      </c>
    </row>
    <row r="903" spans="1:17" hidden="1">
      <c r="A903" t="str">
        <f t="shared" si="14"/>
        <v/>
      </c>
      <c r="B903" t="str">
        <f>IF('Master data'!A903="","",'Master data'!A903)</f>
        <v/>
      </c>
      <c r="C903" t="str">
        <f>IFERROR(INDEX('Master data'!$B$2:$CL$1000,MATCH($B903,'Master data'!$A$2:$A$1000,0),MATCH(C$1,'Master data'!$B$1:$CL$1,0)),"")</f>
        <v/>
      </c>
      <c r="D903" t="str">
        <f>IFERROR(INDEX('Master data'!$B$2:$CL$1000,MATCH($B903,'Master data'!$A$2:$A$1000,0),MATCH(D$1,'Master data'!$B$1:$CL$1,0)),"")</f>
        <v/>
      </c>
      <c r="E903" s="5" t="str">
        <f>IFERROR(INDEX('Master data'!$B$2:$CL$1000,MATCH($B903,'Master data'!$A$2:$A$1000,0),MATCH(E$1,'Master data'!$B$1:$CL$1,0)),"")</f>
        <v/>
      </c>
      <c r="F903" s="7" t="str">
        <f>IFERROR(INDEX('Master data'!$B$2:$CL$1000,MATCH($B903,'Master data'!$A$2:$A$1000,0),MATCH(F$1,'Master data'!$B$1:$CL$1,0)),"")</f>
        <v/>
      </c>
      <c r="G903" s="7" t="str">
        <f>IFERROR(INDEX('Master data'!$B$2:$CL$1000,MATCH($B903,'Master data'!$A$2:$A$1000,0),MATCH(G$1,'Master data'!$B$1:$CL$1,0)),"")</f>
        <v/>
      </c>
      <c r="H903" s="7" t="str">
        <f>IFERROR(INDEX('Master data'!$B$2:$CL$1000,MATCH($B903,'Master data'!$A$2:$A$1000,0),MATCH(H$1,'Master data'!$B$1:$CL$1,0)),"")</f>
        <v/>
      </c>
      <c r="I903" s="7" t="str">
        <f>IFERROR(INDEX('Master data'!$B$2:$CL$1000,MATCH($B903,'Master data'!$A$2:$A$1000,0),MATCH(I$1,'Master data'!$B$1:$CL$1,0)),"")</f>
        <v/>
      </c>
      <c r="J903" s="7" t="str">
        <f>IFERROR(INDEX('Master data'!$B$2:$CL$1000,MATCH($B903,'Master data'!$A$2:$A$1000,0),MATCH(J$1,'Master data'!$B$1:$CL$1,0)),"")</f>
        <v/>
      </c>
      <c r="K903" s="7" t="str">
        <f>IFERROR(INDEX('Master data'!$B$2:$CL$1000,MATCH($B903,'Master data'!$A$2:$A$1000,0),MATCH(K$1,'Master data'!$B$1:$CL$1,0)),"")</f>
        <v/>
      </c>
      <c r="L903" s="7" t="str">
        <f>IFERROR(INDEX('Master data'!$B$2:$CL$1000,MATCH($B903,'Master data'!$A$2:$A$1000,0),MATCH(L$1,'Master data'!$B$1:$CL$1,0)),"")</f>
        <v/>
      </c>
      <c r="M903" s="5" t="str">
        <f>IFERROR(INDEX('Master data'!$B$2:$CL$1000,MATCH($B903,'Master data'!$A$2:$A$1000,0),MATCH(M$1,'Master data'!$B$1:$CL$1,0)),"")</f>
        <v/>
      </c>
      <c r="N903" s="28" t="str">
        <f>IFERROR(INDEX('Master data'!$B$2:$CL$1000,MATCH($B903,'Master data'!$A$2:$A$1000,0),MATCH(N$1,'Master data'!$B$1:$CL$1,0)),"")</f>
        <v/>
      </c>
      <c r="O903" s="7" t="str">
        <f>IFERROR(INDEX('Master data'!$B$2:$CL$1000,MATCH($B903,'Master data'!$A$2:$A$1000,0),MATCH(O$1,'Master data'!$B$1:$CL$1,0)),"")</f>
        <v/>
      </c>
      <c r="P903" s="5" t="str">
        <f>IFERROR(INDEX('Master data'!$B$2:$CL$1000,MATCH($B903,'Master data'!$A$2:$A$1000,0),MATCH(P$1,'Master data'!$B$1:$CL$1,0)),"")</f>
        <v/>
      </c>
      <c r="Q903" s="5" t="str">
        <f>IFERROR(INDEX('Master data'!$B$2:$CL$1000,MATCH($B903,'Master data'!$A$2:$A$1000,0),MATCH(Q$1,'Master data'!$B$1:$CL$1,0)),"")</f>
        <v/>
      </c>
    </row>
    <row r="904" spans="1:17" hidden="1">
      <c r="A904" t="str">
        <f t="shared" si="14"/>
        <v/>
      </c>
      <c r="B904" t="str">
        <f>IF('Master data'!A904="","",'Master data'!A904)</f>
        <v/>
      </c>
      <c r="C904" t="str">
        <f>IFERROR(INDEX('Master data'!$B$2:$CL$1000,MATCH($B904,'Master data'!$A$2:$A$1000,0),MATCH(C$1,'Master data'!$B$1:$CL$1,0)),"")</f>
        <v/>
      </c>
      <c r="D904" t="str">
        <f>IFERROR(INDEX('Master data'!$B$2:$CL$1000,MATCH($B904,'Master data'!$A$2:$A$1000,0),MATCH(D$1,'Master data'!$B$1:$CL$1,0)),"")</f>
        <v/>
      </c>
      <c r="E904" s="5" t="str">
        <f>IFERROR(INDEX('Master data'!$B$2:$CL$1000,MATCH($B904,'Master data'!$A$2:$A$1000,0),MATCH(E$1,'Master data'!$B$1:$CL$1,0)),"")</f>
        <v/>
      </c>
      <c r="F904" s="7" t="str">
        <f>IFERROR(INDEX('Master data'!$B$2:$CL$1000,MATCH($B904,'Master data'!$A$2:$A$1000,0),MATCH(F$1,'Master data'!$B$1:$CL$1,0)),"")</f>
        <v/>
      </c>
      <c r="G904" s="7" t="str">
        <f>IFERROR(INDEX('Master data'!$B$2:$CL$1000,MATCH($B904,'Master data'!$A$2:$A$1000,0),MATCH(G$1,'Master data'!$B$1:$CL$1,0)),"")</f>
        <v/>
      </c>
      <c r="H904" s="7" t="str">
        <f>IFERROR(INDEX('Master data'!$B$2:$CL$1000,MATCH($B904,'Master data'!$A$2:$A$1000,0),MATCH(H$1,'Master data'!$B$1:$CL$1,0)),"")</f>
        <v/>
      </c>
      <c r="I904" s="7" t="str">
        <f>IFERROR(INDEX('Master data'!$B$2:$CL$1000,MATCH($B904,'Master data'!$A$2:$A$1000,0),MATCH(I$1,'Master data'!$B$1:$CL$1,0)),"")</f>
        <v/>
      </c>
      <c r="J904" s="7" t="str">
        <f>IFERROR(INDEX('Master data'!$B$2:$CL$1000,MATCH($B904,'Master data'!$A$2:$A$1000,0),MATCH(J$1,'Master data'!$B$1:$CL$1,0)),"")</f>
        <v/>
      </c>
      <c r="K904" s="7" t="str">
        <f>IFERROR(INDEX('Master data'!$B$2:$CL$1000,MATCH($B904,'Master data'!$A$2:$A$1000,0),MATCH(K$1,'Master data'!$B$1:$CL$1,0)),"")</f>
        <v/>
      </c>
      <c r="L904" s="7" t="str">
        <f>IFERROR(INDEX('Master data'!$B$2:$CL$1000,MATCH($B904,'Master data'!$A$2:$A$1000,0),MATCH(L$1,'Master data'!$B$1:$CL$1,0)),"")</f>
        <v/>
      </c>
      <c r="M904" s="5" t="str">
        <f>IFERROR(INDEX('Master data'!$B$2:$CL$1000,MATCH($B904,'Master data'!$A$2:$A$1000,0),MATCH(M$1,'Master data'!$B$1:$CL$1,0)),"")</f>
        <v/>
      </c>
      <c r="N904" s="28" t="str">
        <f>IFERROR(INDEX('Master data'!$B$2:$CL$1000,MATCH($B904,'Master data'!$A$2:$A$1000,0),MATCH(N$1,'Master data'!$B$1:$CL$1,0)),"")</f>
        <v/>
      </c>
      <c r="O904" s="7" t="str">
        <f>IFERROR(INDEX('Master data'!$B$2:$CL$1000,MATCH($B904,'Master data'!$A$2:$A$1000,0),MATCH(O$1,'Master data'!$B$1:$CL$1,0)),"")</f>
        <v/>
      </c>
      <c r="P904" s="5" t="str">
        <f>IFERROR(INDEX('Master data'!$B$2:$CL$1000,MATCH($B904,'Master data'!$A$2:$A$1000,0),MATCH(P$1,'Master data'!$B$1:$CL$1,0)),"")</f>
        <v/>
      </c>
      <c r="Q904" s="5" t="str">
        <f>IFERROR(INDEX('Master data'!$B$2:$CL$1000,MATCH($B904,'Master data'!$A$2:$A$1000,0),MATCH(Q$1,'Master data'!$B$1:$CL$1,0)),"")</f>
        <v/>
      </c>
    </row>
    <row r="905" spans="1:17" hidden="1">
      <c r="A905" t="str">
        <f t="shared" si="14"/>
        <v/>
      </c>
      <c r="B905" t="str">
        <f>IF('Master data'!A905="","",'Master data'!A905)</f>
        <v/>
      </c>
      <c r="C905" t="str">
        <f>IFERROR(INDEX('Master data'!$B$2:$CL$1000,MATCH($B905,'Master data'!$A$2:$A$1000,0),MATCH(C$1,'Master data'!$B$1:$CL$1,0)),"")</f>
        <v/>
      </c>
      <c r="D905" t="str">
        <f>IFERROR(INDEX('Master data'!$B$2:$CL$1000,MATCH($B905,'Master data'!$A$2:$A$1000,0),MATCH(D$1,'Master data'!$B$1:$CL$1,0)),"")</f>
        <v/>
      </c>
      <c r="E905" s="5" t="str">
        <f>IFERROR(INDEX('Master data'!$B$2:$CL$1000,MATCH($B905,'Master data'!$A$2:$A$1000,0),MATCH(E$1,'Master data'!$B$1:$CL$1,0)),"")</f>
        <v/>
      </c>
      <c r="F905" s="7" t="str">
        <f>IFERROR(INDEX('Master data'!$B$2:$CL$1000,MATCH($B905,'Master data'!$A$2:$A$1000,0),MATCH(F$1,'Master data'!$B$1:$CL$1,0)),"")</f>
        <v/>
      </c>
      <c r="G905" s="7" t="str">
        <f>IFERROR(INDEX('Master data'!$B$2:$CL$1000,MATCH($B905,'Master data'!$A$2:$A$1000,0),MATCH(G$1,'Master data'!$B$1:$CL$1,0)),"")</f>
        <v/>
      </c>
      <c r="H905" s="7" t="str">
        <f>IFERROR(INDEX('Master data'!$B$2:$CL$1000,MATCH($B905,'Master data'!$A$2:$A$1000,0),MATCH(H$1,'Master data'!$B$1:$CL$1,0)),"")</f>
        <v/>
      </c>
      <c r="I905" s="7" t="str">
        <f>IFERROR(INDEX('Master data'!$B$2:$CL$1000,MATCH($B905,'Master data'!$A$2:$A$1000,0),MATCH(I$1,'Master data'!$B$1:$CL$1,0)),"")</f>
        <v/>
      </c>
      <c r="J905" s="7" t="str">
        <f>IFERROR(INDEX('Master data'!$B$2:$CL$1000,MATCH($B905,'Master data'!$A$2:$A$1000,0),MATCH(J$1,'Master data'!$B$1:$CL$1,0)),"")</f>
        <v/>
      </c>
      <c r="K905" s="7" t="str">
        <f>IFERROR(INDEX('Master data'!$B$2:$CL$1000,MATCH($B905,'Master data'!$A$2:$A$1000,0),MATCH(K$1,'Master data'!$B$1:$CL$1,0)),"")</f>
        <v/>
      </c>
      <c r="L905" s="7" t="str">
        <f>IFERROR(INDEX('Master data'!$B$2:$CL$1000,MATCH($B905,'Master data'!$A$2:$A$1000,0),MATCH(L$1,'Master data'!$B$1:$CL$1,0)),"")</f>
        <v/>
      </c>
      <c r="M905" s="5" t="str">
        <f>IFERROR(INDEX('Master data'!$B$2:$CL$1000,MATCH($B905,'Master data'!$A$2:$A$1000,0),MATCH(M$1,'Master data'!$B$1:$CL$1,0)),"")</f>
        <v/>
      </c>
      <c r="N905" s="28" t="str">
        <f>IFERROR(INDEX('Master data'!$B$2:$CL$1000,MATCH($B905,'Master data'!$A$2:$A$1000,0),MATCH(N$1,'Master data'!$B$1:$CL$1,0)),"")</f>
        <v/>
      </c>
      <c r="O905" s="7" t="str">
        <f>IFERROR(INDEX('Master data'!$B$2:$CL$1000,MATCH($B905,'Master data'!$A$2:$A$1000,0),MATCH(O$1,'Master data'!$B$1:$CL$1,0)),"")</f>
        <v/>
      </c>
      <c r="P905" s="5" t="str">
        <f>IFERROR(INDEX('Master data'!$B$2:$CL$1000,MATCH($B905,'Master data'!$A$2:$A$1000,0),MATCH(P$1,'Master data'!$B$1:$CL$1,0)),"")</f>
        <v/>
      </c>
      <c r="Q905" s="5" t="str">
        <f>IFERROR(INDEX('Master data'!$B$2:$CL$1000,MATCH($B905,'Master data'!$A$2:$A$1000,0),MATCH(Q$1,'Master data'!$B$1:$CL$1,0)),"")</f>
        <v/>
      </c>
    </row>
    <row r="906" spans="1:17" hidden="1">
      <c r="A906" t="str">
        <f t="shared" si="14"/>
        <v/>
      </c>
      <c r="B906" t="str">
        <f>IF('Master data'!A906="","",'Master data'!A906)</f>
        <v/>
      </c>
      <c r="C906" t="str">
        <f>IFERROR(INDEX('Master data'!$B$2:$CL$1000,MATCH($B906,'Master data'!$A$2:$A$1000,0),MATCH(C$1,'Master data'!$B$1:$CL$1,0)),"")</f>
        <v/>
      </c>
      <c r="D906" t="str">
        <f>IFERROR(INDEX('Master data'!$B$2:$CL$1000,MATCH($B906,'Master data'!$A$2:$A$1000,0),MATCH(D$1,'Master data'!$B$1:$CL$1,0)),"")</f>
        <v/>
      </c>
      <c r="E906" s="5" t="str">
        <f>IFERROR(INDEX('Master data'!$B$2:$CL$1000,MATCH($B906,'Master data'!$A$2:$A$1000,0),MATCH(E$1,'Master data'!$B$1:$CL$1,0)),"")</f>
        <v/>
      </c>
      <c r="F906" s="7" t="str">
        <f>IFERROR(INDEX('Master data'!$B$2:$CL$1000,MATCH($B906,'Master data'!$A$2:$A$1000,0),MATCH(F$1,'Master data'!$B$1:$CL$1,0)),"")</f>
        <v/>
      </c>
      <c r="G906" s="7" t="str">
        <f>IFERROR(INDEX('Master data'!$B$2:$CL$1000,MATCH($B906,'Master data'!$A$2:$A$1000,0),MATCH(G$1,'Master data'!$B$1:$CL$1,0)),"")</f>
        <v/>
      </c>
      <c r="H906" s="7" t="str">
        <f>IFERROR(INDEX('Master data'!$B$2:$CL$1000,MATCH($B906,'Master data'!$A$2:$A$1000,0),MATCH(H$1,'Master data'!$B$1:$CL$1,0)),"")</f>
        <v/>
      </c>
      <c r="I906" s="7" t="str">
        <f>IFERROR(INDEX('Master data'!$B$2:$CL$1000,MATCH($B906,'Master data'!$A$2:$A$1000,0),MATCH(I$1,'Master data'!$B$1:$CL$1,0)),"")</f>
        <v/>
      </c>
      <c r="J906" s="7" t="str">
        <f>IFERROR(INDEX('Master data'!$B$2:$CL$1000,MATCH($B906,'Master data'!$A$2:$A$1000,0),MATCH(J$1,'Master data'!$B$1:$CL$1,0)),"")</f>
        <v/>
      </c>
      <c r="K906" s="7" t="str">
        <f>IFERROR(INDEX('Master data'!$B$2:$CL$1000,MATCH($B906,'Master data'!$A$2:$A$1000,0),MATCH(K$1,'Master data'!$B$1:$CL$1,0)),"")</f>
        <v/>
      </c>
      <c r="L906" s="7" t="str">
        <f>IFERROR(INDEX('Master data'!$B$2:$CL$1000,MATCH($B906,'Master data'!$A$2:$A$1000,0),MATCH(L$1,'Master data'!$B$1:$CL$1,0)),"")</f>
        <v/>
      </c>
      <c r="M906" s="5" t="str">
        <f>IFERROR(INDEX('Master data'!$B$2:$CL$1000,MATCH($B906,'Master data'!$A$2:$A$1000,0),MATCH(M$1,'Master data'!$B$1:$CL$1,0)),"")</f>
        <v/>
      </c>
      <c r="N906" s="28" t="str">
        <f>IFERROR(INDEX('Master data'!$B$2:$CL$1000,MATCH($B906,'Master data'!$A$2:$A$1000,0),MATCH(N$1,'Master data'!$B$1:$CL$1,0)),"")</f>
        <v/>
      </c>
      <c r="O906" s="7" t="str">
        <f>IFERROR(INDEX('Master data'!$B$2:$CL$1000,MATCH($B906,'Master data'!$A$2:$A$1000,0),MATCH(O$1,'Master data'!$B$1:$CL$1,0)),"")</f>
        <v/>
      </c>
      <c r="P906" s="5" t="str">
        <f>IFERROR(INDEX('Master data'!$B$2:$CL$1000,MATCH($B906,'Master data'!$A$2:$A$1000,0),MATCH(P$1,'Master data'!$B$1:$CL$1,0)),"")</f>
        <v/>
      </c>
      <c r="Q906" s="5" t="str">
        <f>IFERROR(INDEX('Master data'!$B$2:$CL$1000,MATCH($B906,'Master data'!$A$2:$A$1000,0),MATCH(Q$1,'Master data'!$B$1:$CL$1,0)),"")</f>
        <v/>
      </c>
    </row>
    <row r="907" spans="1:17" hidden="1">
      <c r="A907" t="str">
        <f t="shared" si="14"/>
        <v/>
      </c>
      <c r="B907" t="str">
        <f>IF('Master data'!A907="","",'Master data'!A907)</f>
        <v/>
      </c>
      <c r="C907" t="str">
        <f>IFERROR(INDEX('Master data'!$B$2:$CL$1000,MATCH($B907,'Master data'!$A$2:$A$1000,0),MATCH(C$1,'Master data'!$B$1:$CL$1,0)),"")</f>
        <v/>
      </c>
      <c r="D907" t="str">
        <f>IFERROR(INDEX('Master data'!$B$2:$CL$1000,MATCH($B907,'Master data'!$A$2:$A$1000,0),MATCH(D$1,'Master data'!$B$1:$CL$1,0)),"")</f>
        <v/>
      </c>
      <c r="E907" s="5" t="str">
        <f>IFERROR(INDEX('Master data'!$B$2:$CL$1000,MATCH($B907,'Master data'!$A$2:$A$1000,0),MATCH(E$1,'Master data'!$B$1:$CL$1,0)),"")</f>
        <v/>
      </c>
      <c r="F907" s="7" t="str">
        <f>IFERROR(INDEX('Master data'!$B$2:$CL$1000,MATCH($B907,'Master data'!$A$2:$A$1000,0),MATCH(F$1,'Master data'!$B$1:$CL$1,0)),"")</f>
        <v/>
      </c>
      <c r="G907" s="7" t="str">
        <f>IFERROR(INDEX('Master data'!$B$2:$CL$1000,MATCH($B907,'Master data'!$A$2:$A$1000,0),MATCH(G$1,'Master data'!$B$1:$CL$1,0)),"")</f>
        <v/>
      </c>
      <c r="H907" s="7" t="str">
        <f>IFERROR(INDEX('Master data'!$B$2:$CL$1000,MATCH($B907,'Master data'!$A$2:$A$1000,0),MATCH(H$1,'Master data'!$B$1:$CL$1,0)),"")</f>
        <v/>
      </c>
      <c r="I907" s="7" t="str">
        <f>IFERROR(INDEX('Master data'!$B$2:$CL$1000,MATCH($B907,'Master data'!$A$2:$A$1000,0),MATCH(I$1,'Master data'!$B$1:$CL$1,0)),"")</f>
        <v/>
      </c>
      <c r="J907" s="7" t="str">
        <f>IFERROR(INDEX('Master data'!$B$2:$CL$1000,MATCH($B907,'Master data'!$A$2:$A$1000,0),MATCH(J$1,'Master data'!$B$1:$CL$1,0)),"")</f>
        <v/>
      </c>
      <c r="K907" s="7" t="str">
        <f>IFERROR(INDEX('Master data'!$B$2:$CL$1000,MATCH($B907,'Master data'!$A$2:$A$1000,0),MATCH(K$1,'Master data'!$B$1:$CL$1,0)),"")</f>
        <v/>
      </c>
      <c r="L907" s="7" t="str">
        <f>IFERROR(INDEX('Master data'!$B$2:$CL$1000,MATCH($B907,'Master data'!$A$2:$A$1000,0),MATCH(L$1,'Master data'!$B$1:$CL$1,0)),"")</f>
        <v/>
      </c>
      <c r="M907" s="5" t="str">
        <f>IFERROR(INDEX('Master data'!$B$2:$CL$1000,MATCH($B907,'Master data'!$A$2:$A$1000,0),MATCH(M$1,'Master data'!$B$1:$CL$1,0)),"")</f>
        <v/>
      </c>
      <c r="N907" s="28" t="str">
        <f>IFERROR(INDEX('Master data'!$B$2:$CL$1000,MATCH($B907,'Master data'!$A$2:$A$1000,0),MATCH(N$1,'Master data'!$B$1:$CL$1,0)),"")</f>
        <v/>
      </c>
      <c r="O907" s="7" t="str">
        <f>IFERROR(INDEX('Master data'!$B$2:$CL$1000,MATCH($B907,'Master data'!$A$2:$A$1000,0),MATCH(O$1,'Master data'!$B$1:$CL$1,0)),"")</f>
        <v/>
      </c>
      <c r="P907" s="5" t="str">
        <f>IFERROR(INDEX('Master data'!$B$2:$CL$1000,MATCH($B907,'Master data'!$A$2:$A$1000,0),MATCH(P$1,'Master data'!$B$1:$CL$1,0)),"")</f>
        <v/>
      </c>
      <c r="Q907" s="5" t="str">
        <f>IFERROR(INDEX('Master data'!$B$2:$CL$1000,MATCH($B907,'Master data'!$A$2:$A$1000,0),MATCH(Q$1,'Master data'!$B$1:$CL$1,0)),"")</f>
        <v/>
      </c>
    </row>
    <row r="908" spans="1:17" hidden="1">
      <c r="A908" t="str">
        <f t="shared" si="14"/>
        <v/>
      </c>
      <c r="B908" t="str">
        <f>IF('Master data'!A908="","",'Master data'!A908)</f>
        <v/>
      </c>
      <c r="C908" t="str">
        <f>IFERROR(INDEX('Master data'!$B$2:$CL$1000,MATCH($B908,'Master data'!$A$2:$A$1000,0),MATCH(C$1,'Master data'!$B$1:$CL$1,0)),"")</f>
        <v/>
      </c>
      <c r="D908" t="str">
        <f>IFERROR(INDEX('Master data'!$B$2:$CL$1000,MATCH($B908,'Master data'!$A$2:$A$1000,0),MATCH(D$1,'Master data'!$B$1:$CL$1,0)),"")</f>
        <v/>
      </c>
      <c r="E908" s="5" t="str">
        <f>IFERROR(INDEX('Master data'!$B$2:$CL$1000,MATCH($B908,'Master data'!$A$2:$A$1000,0),MATCH(E$1,'Master data'!$B$1:$CL$1,0)),"")</f>
        <v/>
      </c>
      <c r="F908" s="7" t="str">
        <f>IFERROR(INDEX('Master data'!$B$2:$CL$1000,MATCH($B908,'Master data'!$A$2:$A$1000,0),MATCH(F$1,'Master data'!$B$1:$CL$1,0)),"")</f>
        <v/>
      </c>
      <c r="G908" s="7" t="str">
        <f>IFERROR(INDEX('Master data'!$B$2:$CL$1000,MATCH($B908,'Master data'!$A$2:$A$1000,0),MATCH(G$1,'Master data'!$B$1:$CL$1,0)),"")</f>
        <v/>
      </c>
      <c r="H908" s="7" t="str">
        <f>IFERROR(INDEX('Master data'!$B$2:$CL$1000,MATCH($B908,'Master data'!$A$2:$A$1000,0),MATCH(H$1,'Master data'!$B$1:$CL$1,0)),"")</f>
        <v/>
      </c>
      <c r="I908" s="7" t="str">
        <f>IFERROR(INDEX('Master data'!$B$2:$CL$1000,MATCH($B908,'Master data'!$A$2:$A$1000,0),MATCH(I$1,'Master data'!$B$1:$CL$1,0)),"")</f>
        <v/>
      </c>
      <c r="J908" s="7" t="str">
        <f>IFERROR(INDEX('Master data'!$B$2:$CL$1000,MATCH($B908,'Master data'!$A$2:$A$1000,0),MATCH(J$1,'Master data'!$B$1:$CL$1,0)),"")</f>
        <v/>
      </c>
      <c r="K908" s="7" t="str">
        <f>IFERROR(INDEX('Master data'!$B$2:$CL$1000,MATCH($B908,'Master data'!$A$2:$A$1000,0),MATCH(K$1,'Master data'!$B$1:$CL$1,0)),"")</f>
        <v/>
      </c>
      <c r="L908" s="7" t="str">
        <f>IFERROR(INDEX('Master data'!$B$2:$CL$1000,MATCH($B908,'Master data'!$A$2:$A$1000,0),MATCH(L$1,'Master data'!$B$1:$CL$1,0)),"")</f>
        <v/>
      </c>
      <c r="M908" s="5" t="str">
        <f>IFERROR(INDEX('Master data'!$B$2:$CL$1000,MATCH($B908,'Master data'!$A$2:$A$1000,0),MATCH(M$1,'Master data'!$B$1:$CL$1,0)),"")</f>
        <v/>
      </c>
      <c r="N908" s="28" t="str">
        <f>IFERROR(INDEX('Master data'!$B$2:$CL$1000,MATCH($B908,'Master data'!$A$2:$A$1000,0),MATCH(N$1,'Master data'!$B$1:$CL$1,0)),"")</f>
        <v/>
      </c>
      <c r="O908" s="7" t="str">
        <f>IFERROR(INDEX('Master data'!$B$2:$CL$1000,MATCH($B908,'Master data'!$A$2:$A$1000,0),MATCH(O$1,'Master data'!$B$1:$CL$1,0)),"")</f>
        <v/>
      </c>
      <c r="P908" s="5" t="str">
        <f>IFERROR(INDEX('Master data'!$B$2:$CL$1000,MATCH($B908,'Master data'!$A$2:$A$1000,0),MATCH(P$1,'Master data'!$B$1:$CL$1,0)),"")</f>
        <v/>
      </c>
      <c r="Q908" s="5" t="str">
        <f>IFERROR(INDEX('Master data'!$B$2:$CL$1000,MATCH($B908,'Master data'!$A$2:$A$1000,0),MATCH(Q$1,'Master data'!$B$1:$CL$1,0)),"")</f>
        <v/>
      </c>
    </row>
    <row r="909" spans="1:17" hidden="1">
      <c r="A909" t="str">
        <f t="shared" si="14"/>
        <v/>
      </c>
      <c r="B909" t="str">
        <f>IF('Master data'!A909="","",'Master data'!A909)</f>
        <v/>
      </c>
      <c r="C909" t="str">
        <f>IFERROR(INDEX('Master data'!$B$2:$CL$1000,MATCH($B909,'Master data'!$A$2:$A$1000,0),MATCH(C$1,'Master data'!$B$1:$CL$1,0)),"")</f>
        <v/>
      </c>
      <c r="D909" t="str">
        <f>IFERROR(INDEX('Master data'!$B$2:$CL$1000,MATCH($B909,'Master data'!$A$2:$A$1000,0),MATCH(D$1,'Master data'!$B$1:$CL$1,0)),"")</f>
        <v/>
      </c>
      <c r="E909" s="5" t="str">
        <f>IFERROR(INDEX('Master data'!$B$2:$CL$1000,MATCH($B909,'Master data'!$A$2:$A$1000,0),MATCH(E$1,'Master data'!$B$1:$CL$1,0)),"")</f>
        <v/>
      </c>
      <c r="F909" s="7" t="str">
        <f>IFERROR(INDEX('Master data'!$B$2:$CL$1000,MATCH($B909,'Master data'!$A$2:$A$1000,0),MATCH(F$1,'Master data'!$B$1:$CL$1,0)),"")</f>
        <v/>
      </c>
      <c r="G909" s="7" t="str">
        <f>IFERROR(INDEX('Master data'!$B$2:$CL$1000,MATCH($B909,'Master data'!$A$2:$A$1000,0),MATCH(G$1,'Master data'!$B$1:$CL$1,0)),"")</f>
        <v/>
      </c>
      <c r="H909" s="7" t="str">
        <f>IFERROR(INDEX('Master data'!$B$2:$CL$1000,MATCH($B909,'Master data'!$A$2:$A$1000,0),MATCH(H$1,'Master data'!$B$1:$CL$1,0)),"")</f>
        <v/>
      </c>
      <c r="I909" s="7" t="str">
        <f>IFERROR(INDEX('Master data'!$B$2:$CL$1000,MATCH($B909,'Master data'!$A$2:$A$1000,0),MATCH(I$1,'Master data'!$B$1:$CL$1,0)),"")</f>
        <v/>
      </c>
      <c r="J909" s="7" t="str">
        <f>IFERROR(INDEX('Master data'!$B$2:$CL$1000,MATCH($B909,'Master data'!$A$2:$A$1000,0),MATCH(J$1,'Master data'!$B$1:$CL$1,0)),"")</f>
        <v/>
      </c>
      <c r="K909" s="7" t="str">
        <f>IFERROR(INDEX('Master data'!$B$2:$CL$1000,MATCH($B909,'Master data'!$A$2:$A$1000,0),MATCH(K$1,'Master data'!$B$1:$CL$1,0)),"")</f>
        <v/>
      </c>
      <c r="L909" s="7" t="str">
        <f>IFERROR(INDEX('Master data'!$B$2:$CL$1000,MATCH($B909,'Master data'!$A$2:$A$1000,0),MATCH(L$1,'Master data'!$B$1:$CL$1,0)),"")</f>
        <v/>
      </c>
      <c r="M909" s="5" t="str">
        <f>IFERROR(INDEX('Master data'!$B$2:$CL$1000,MATCH($B909,'Master data'!$A$2:$A$1000,0),MATCH(M$1,'Master data'!$B$1:$CL$1,0)),"")</f>
        <v/>
      </c>
      <c r="N909" s="28" t="str">
        <f>IFERROR(INDEX('Master data'!$B$2:$CL$1000,MATCH($B909,'Master data'!$A$2:$A$1000,0),MATCH(N$1,'Master data'!$B$1:$CL$1,0)),"")</f>
        <v/>
      </c>
      <c r="O909" s="7" t="str">
        <f>IFERROR(INDEX('Master data'!$B$2:$CL$1000,MATCH($B909,'Master data'!$A$2:$A$1000,0),MATCH(O$1,'Master data'!$B$1:$CL$1,0)),"")</f>
        <v/>
      </c>
      <c r="P909" s="5" t="str">
        <f>IFERROR(INDEX('Master data'!$B$2:$CL$1000,MATCH($B909,'Master data'!$A$2:$A$1000,0),MATCH(P$1,'Master data'!$B$1:$CL$1,0)),"")</f>
        <v/>
      </c>
      <c r="Q909" s="5" t="str">
        <f>IFERROR(INDEX('Master data'!$B$2:$CL$1000,MATCH($B909,'Master data'!$A$2:$A$1000,0),MATCH(Q$1,'Master data'!$B$1:$CL$1,0)),"")</f>
        <v/>
      </c>
    </row>
    <row r="910" spans="1:17" hidden="1">
      <c r="A910" t="str">
        <f t="shared" si="14"/>
        <v/>
      </c>
      <c r="B910" t="str">
        <f>IF('Master data'!A910="","",'Master data'!A910)</f>
        <v/>
      </c>
      <c r="C910" t="str">
        <f>IFERROR(INDEX('Master data'!$B$2:$CL$1000,MATCH($B910,'Master data'!$A$2:$A$1000,0),MATCH(C$1,'Master data'!$B$1:$CL$1,0)),"")</f>
        <v/>
      </c>
      <c r="D910" t="str">
        <f>IFERROR(INDEX('Master data'!$B$2:$CL$1000,MATCH($B910,'Master data'!$A$2:$A$1000,0),MATCH(D$1,'Master data'!$B$1:$CL$1,0)),"")</f>
        <v/>
      </c>
      <c r="E910" s="5" t="str">
        <f>IFERROR(INDEX('Master data'!$B$2:$CL$1000,MATCH($B910,'Master data'!$A$2:$A$1000,0),MATCH(E$1,'Master data'!$B$1:$CL$1,0)),"")</f>
        <v/>
      </c>
      <c r="F910" s="7" t="str">
        <f>IFERROR(INDEX('Master data'!$B$2:$CL$1000,MATCH($B910,'Master data'!$A$2:$A$1000,0),MATCH(F$1,'Master data'!$B$1:$CL$1,0)),"")</f>
        <v/>
      </c>
      <c r="G910" s="7" t="str">
        <f>IFERROR(INDEX('Master data'!$B$2:$CL$1000,MATCH($B910,'Master data'!$A$2:$A$1000,0),MATCH(G$1,'Master data'!$B$1:$CL$1,0)),"")</f>
        <v/>
      </c>
      <c r="H910" s="7" t="str">
        <f>IFERROR(INDEX('Master data'!$B$2:$CL$1000,MATCH($B910,'Master data'!$A$2:$A$1000,0),MATCH(H$1,'Master data'!$B$1:$CL$1,0)),"")</f>
        <v/>
      </c>
      <c r="I910" s="7" t="str">
        <f>IFERROR(INDEX('Master data'!$B$2:$CL$1000,MATCH($B910,'Master data'!$A$2:$A$1000,0),MATCH(I$1,'Master data'!$B$1:$CL$1,0)),"")</f>
        <v/>
      </c>
      <c r="J910" s="7" t="str">
        <f>IFERROR(INDEX('Master data'!$B$2:$CL$1000,MATCH($B910,'Master data'!$A$2:$A$1000,0),MATCH(J$1,'Master data'!$B$1:$CL$1,0)),"")</f>
        <v/>
      </c>
      <c r="K910" s="7" t="str">
        <f>IFERROR(INDEX('Master data'!$B$2:$CL$1000,MATCH($B910,'Master data'!$A$2:$A$1000,0),MATCH(K$1,'Master data'!$B$1:$CL$1,0)),"")</f>
        <v/>
      </c>
      <c r="L910" s="7" t="str">
        <f>IFERROR(INDEX('Master data'!$B$2:$CL$1000,MATCH($B910,'Master data'!$A$2:$A$1000,0),MATCH(L$1,'Master data'!$B$1:$CL$1,0)),"")</f>
        <v/>
      </c>
      <c r="M910" s="5" t="str">
        <f>IFERROR(INDEX('Master data'!$B$2:$CL$1000,MATCH($B910,'Master data'!$A$2:$A$1000,0),MATCH(M$1,'Master data'!$B$1:$CL$1,0)),"")</f>
        <v/>
      </c>
      <c r="N910" s="28" t="str">
        <f>IFERROR(INDEX('Master data'!$B$2:$CL$1000,MATCH($B910,'Master data'!$A$2:$A$1000,0),MATCH(N$1,'Master data'!$B$1:$CL$1,0)),"")</f>
        <v/>
      </c>
      <c r="O910" s="7" t="str">
        <f>IFERROR(INDEX('Master data'!$B$2:$CL$1000,MATCH($B910,'Master data'!$A$2:$A$1000,0),MATCH(O$1,'Master data'!$B$1:$CL$1,0)),"")</f>
        <v/>
      </c>
      <c r="P910" s="5" t="str">
        <f>IFERROR(INDEX('Master data'!$B$2:$CL$1000,MATCH($B910,'Master data'!$A$2:$A$1000,0),MATCH(P$1,'Master data'!$B$1:$CL$1,0)),"")</f>
        <v/>
      </c>
      <c r="Q910" s="5" t="str">
        <f>IFERROR(INDEX('Master data'!$B$2:$CL$1000,MATCH($B910,'Master data'!$A$2:$A$1000,0),MATCH(Q$1,'Master data'!$B$1:$CL$1,0)),"")</f>
        <v/>
      </c>
    </row>
    <row r="911" spans="1:17" hidden="1">
      <c r="A911" t="str">
        <f t="shared" si="14"/>
        <v/>
      </c>
      <c r="B911" t="str">
        <f>IF('Master data'!A911="","",'Master data'!A911)</f>
        <v/>
      </c>
      <c r="C911" t="str">
        <f>IFERROR(INDEX('Master data'!$B$2:$CL$1000,MATCH($B911,'Master data'!$A$2:$A$1000,0),MATCH(C$1,'Master data'!$B$1:$CL$1,0)),"")</f>
        <v/>
      </c>
      <c r="D911" t="str">
        <f>IFERROR(INDEX('Master data'!$B$2:$CL$1000,MATCH($B911,'Master data'!$A$2:$A$1000,0),MATCH(D$1,'Master data'!$B$1:$CL$1,0)),"")</f>
        <v/>
      </c>
      <c r="E911" s="5" t="str">
        <f>IFERROR(INDEX('Master data'!$B$2:$CL$1000,MATCH($B911,'Master data'!$A$2:$A$1000,0),MATCH(E$1,'Master data'!$B$1:$CL$1,0)),"")</f>
        <v/>
      </c>
      <c r="F911" s="7" t="str">
        <f>IFERROR(INDEX('Master data'!$B$2:$CL$1000,MATCH($B911,'Master data'!$A$2:$A$1000,0),MATCH(F$1,'Master data'!$B$1:$CL$1,0)),"")</f>
        <v/>
      </c>
      <c r="G911" s="7" t="str">
        <f>IFERROR(INDEX('Master data'!$B$2:$CL$1000,MATCH($B911,'Master data'!$A$2:$A$1000,0),MATCH(G$1,'Master data'!$B$1:$CL$1,0)),"")</f>
        <v/>
      </c>
      <c r="H911" s="7" t="str">
        <f>IFERROR(INDEX('Master data'!$B$2:$CL$1000,MATCH($B911,'Master data'!$A$2:$A$1000,0),MATCH(H$1,'Master data'!$B$1:$CL$1,0)),"")</f>
        <v/>
      </c>
      <c r="I911" s="7" t="str">
        <f>IFERROR(INDEX('Master data'!$B$2:$CL$1000,MATCH($B911,'Master data'!$A$2:$A$1000,0),MATCH(I$1,'Master data'!$B$1:$CL$1,0)),"")</f>
        <v/>
      </c>
      <c r="J911" s="7" t="str">
        <f>IFERROR(INDEX('Master data'!$B$2:$CL$1000,MATCH($B911,'Master data'!$A$2:$A$1000,0),MATCH(J$1,'Master data'!$B$1:$CL$1,0)),"")</f>
        <v/>
      </c>
      <c r="K911" s="7" t="str">
        <f>IFERROR(INDEX('Master data'!$B$2:$CL$1000,MATCH($B911,'Master data'!$A$2:$A$1000,0),MATCH(K$1,'Master data'!$B$1:$CL$1,0)),"")</f>
        <v/>
      </c>
      <c r="L911" s="7" t="str">
        <f>IFERROR(INDEX('Master data'!$B$2:$CL$1000,MATCH($B911,'Master data'!$A$2:$A$1000,0),MATCH(L$1,'Master data'!$B$1:$CL$1,0)),"")</f>
        <v/>
      </c>
      <c r="M911" s="5" t="str">
        <f>IFERROR(INDEX('Master data'!$B$2:$CL$1000,MATCH($B911,'Master data'!$A$2:$A$1000,0),MATCH(M$1,'Master data'!$B$1:$CL$1,0)),"")</f>
        <v/>
      </c>
      <c r="N911" s="28" t="str">
        <f>IFERROR(INDEX('Master data'!$B$2:$CL$1000,MATCH($B911,'Master data'!$A$2:$A$1000,0),MATCH(N$1,'Master data'!$B$1:$CL$1,0)),"")</f>
        <v/>
      </c>
      <c r="O911" s="7" t="str">
        <f>IFERROR(INDEX('Master data'!$B$2:$CL$1000,MATCH($B911,'Master data'!$A$2:$A$1000,0),MATCH(O$1,'Master data'!$B$1:$CL$1,0)),"")</f>
        <v/>
      </c>
      <c r="P911" s="5" t="str">
        <f>IFERROR(INDEX('Master data'!$B$2:$CL$1000,MATCH($B911,'Master data'!$A$2:$A$1000,0),MATCH(P$1,'Master data'!$B$1:$CL$1,0)),"")</f>
        <v/>
      </c>
      <c r="Q911" s="5" t="str">
        <f>IFERROR(INDEX('Master data'!$B$2:$CL$1000,MATCH($B911,'Master data'!$A$2:$A$1000,0),MATCH(Q$1,'Master data'!$B$1:$CL$1,0)),"")</f>
        <v/>
      </c>
    </row>
    <row r="912" spans="1:17" hidden="1">
      <c r="A912" t="str">
        <f t="shared" si="14"/>
        <v/>
      </c>
      <c r="B912" t="str">
        <f>IF('Master data'!A912="","",'Master data'!A912)</f>
        <v/>
      </c>
      <c r="C912" t="str">
        <f>IFERROR(INDEX('Master data'!$B$2:$CL$1000,MATCH($B912,'Master data'!$A$2:$A$1000,0),MATCH(C$1,'Master data'!$B$1:$CL$1,0)),"")</f>
        <v/>
      </c>
      <c r="D912" t="str">
        <f>IFERROR(INDEX('Master data'!$B$2:$CL$1000,MATCH($B912,'Master data'!$A$2:$A$1000,0),MATCH(D$1,'Master data'!$B$1:$CL$1,0)),"")</f>
        <v/>
      </c>
      <c r="E912" s="5" t="str">
        <f>IFERROR(INDEX('Master data'!$B$2:$CL$1000,MATCH($B912,'Master data'!$A$2:$A$1000,0),MATCH(E$1,'Master data'!$B$1:$CL$1,0)),"")</f>
        <v/>
      </c>
      <c r="F912" s="7" t="str">
        <f>IFERROR(INDEX('Master data'!$B$2:$CL$1000,MATCH($B912,'Master data'!$A$2:$A$1000,0),MATCH(F$1,'Master data'!$B$1:$CL$1,0)),"")</f>
        <v/>
      </c>
      <c r="G912" s="7" t="str">
        <f>IFERROR(INDEX('Master data'!$B$2:$CL$1000,MATCH($B912,'Master data'!$A$2:$A$1000,0),MATCH(G$1,'Master data'!$B$1:$CL$1,0)),"")</f>
        <v/>
      </c>
      <c r="H912" s="7" t="str">
        <f>IFERROR(INDEX('Master data'!$B$2:$CL$1000,MATCH($B912,'Master data'!$A$2:$A$1000,0),MATCH(H$1,'Master data'!$B$1:$CL$1,0)),"")</f>
        <v/>
      </c>
      <c r="I912" s="7" t="str">
        <f>IFERROR(INDEX('Master data'!$B$2:$CL$1000,MATCH($B912,'Master data'!$A$2:$A$1000,0),MATCH(I$1,'Master data'!$B$1:$CL$1,0)),"")</f>
        <v/>
      </c>
      <c r="J912" s="7" t="str">
        <f>IFERROR(INDEX('Master data'!$B$2:$CL$1000,MATCH($B912,'Master data'!$A$2:$A$1000,0),MATCH(J$1,'Master data'!$B$1:$CL$1,0)),"")</f>
        <v/>
      </c>
      <c r="K912" s="7" t="str">
        <f>IFERROR(INDEX('Master data'!$B$2:$CL$1000,MATCH($B912,'Master data'!$A$2:$A$1000,0),MATCH(K$1,'Master data'!$B$1:$CL$1,0)),"")</f>
        <v/>
      </c>
      <c r="L912" s="7" t="str">
        <f>IFERROR(INDEX('Master data'!$B$2:$CL$1000,MATCH($B912,'Master data'!$A$2:$A$1000,0),MATCH(L$1,'Master data'!$B$1:$CL$1,0)),"")</f>
        <v/>
      </c>
      <c r="M912" s="5" t="str">
        <f>IFERROR(INDEX('Master data'!$B$2:$CL$1000,MATCH($B912,'Master data'!$A$2:$A$1000,0),MATCH(M$1,'Master data'!$B$1:$CL$1,0)),"")</f>
        <v/>
      </c>
      <c r="N912" s="28" t="str">
        <f>IFERROR(INDEX('Master data'!$B$2:$CL$1000,MATCH($B912,'Master data'!$A$2:$A$1000,0),MATCH(N$1,'Master data'!$B$1:$CL$1,0)),"")</f>
        <v/>
      </c>
      <c r="O912" s="7" t="str">
        <f>IFERROR(INDEX('Master data'!$B$2:$CL$1000,MATCH($B912,'Master data'!$A$2:$A$1000,0),MATCH(O$1,'Master data'!$B$1:$CL$1,0)),"")</f>
        <v/>
      </c>
      <c r="P912" s="5" t="str">
        <f>IFERROR(INDEX('Master data'!$B$2:$CL$1000,MATCH($B912,'Master data'!$A$2:$A$1000,0),MATCH(P$1,'Master data'!$B$1:$CL$1,0)),"")</f>
        <v/>
      </c>
      <c r="Q912" s="5" t="str">
        <f>IFERROR(INDEX('Master data'!$B$2:$CL$1000,MATCH($B912,'Master data'!$A$2:$A$1000,0),MATCH(Q$1,'Master data'!$B$1:$CL$1,0)),"")</f>
        <v/>
      </c>
    </row>
    <row r="913" spans="1:17" hidden="1">
      <c r="A913" t="str">
        <f t="shared" si="14"/>
        <v/>
      </c>
      <c r="B913" t="str">
        <f>IF('Master data'!A913="","",'Master data'!A913)</f>
        <v/>
      </c>
      <c r="C913" t="str">
        <f>IFERROR(INDEX('Master data'!$B$2:$CL$1000,MATCH($B913,'Master data'!$A$2:$A$1000,0),MATCH(C$1,'Master data'!$B$1:$CL$1,0)),"")</f>
        <v/>
      </c>
      <c r="D913" t="str">
        <f>IFERROR(INDEX('Master data'!$B$2:$CL$1000,MATCH($B913,'Master data'!$A$2:$A$1000,0),MATCH(D$1,'Master data'!$B$1:$CL$1,0)),"")</f>
        <v/>
      </c>
      <c r="E913" s="5" t="str">
        <f>IFERROR(INDEX('Master data'!$B$2:$CL$1000,MATCH($B913,'Master data'!$A$2:$A$1000,0),MATCH(E$1,'Master data'!$B$1:$CL$1,0)),"")</f>
        <v/>
      </c>
      <c r="F913" s="7" t="str">
        <f>IFERROR(INDEX('Master data'!$B$2:$CL$1000,MATCH($B913,'Master data'!$A$2:$A$1000,0),MATCH(F$1,'Master data'!$B$1:$CL$1,0)),"")</f>
        <v/>
      </c>
      <c r="G913" s="7" t="str">
        <f>IFERROR(INDEX('Master data'!$B$2:$CL$1000,MATCH($B913,'Master data'!$A$2:$A$1000,0),MATCH(G$1,'Master data'!$B$1:$CL$1,0)),"")</f>
        <v/>
      </c>
      <c r="H913" s="7" t="str">
        <f>IFERROR(INDEX('Master data'!$B$2:$CL$1000,MATCH($B913,'Master data'!$A$2:$A$1000,0),MATCH(H$1,'Master data'!$B$1:$CL$1,0)),"")</f>
        <v/>
      </c>
      <c r="I913" s="7" t="str">
        <f>IFERROR(INDEX('Master data'!$B$2:$CL$1000,MATCH($B913,'Master data'!$A$2:$A$1000,0),MATCH(I$1,'Master data'!$B$1:$CL$1,0)),"")</f>
        <v/>
      </c>
      <c r="J913" s="7" t="str">
        <f>IFERROR(INDEX('Master data'!$B$2:$CL$1000,MATCH($B913,'Master data'!$A$2:$A$1000,0),MATCH(J$1,'Master data'!$B$1:$CL$1,0)),"")</f>
        <v/>
      </c>
      <c r="K913" s="7" t="str">
        <f>IFERROR(INDEX('Master data'!$B$2:$CL$1000,MATCH($B913,'Master data'!$A$2:$A$1000,0),MATCH(K$1,'Master data'!$B$1:$CL$1,0)),"")</f>
        <v/>
      </c>
      <c r="L913" s="7" t="str">
        <f>IFERROR(INDEX('Master data'!$B$2:$CL$1000,MATCH($B913,'Master data'!$A$2:$A$1000,0),MATCH(L$1,'Master data'!$B$1:$CL$1,0)),"")</f>
        <v/>
      </c>
      <c r="M913" s="5" t="str">
        <f>IFERROR(INDEX('Master data'!$B$2:$CL$1000,MATCH($B913,'Master data'!$A$2:$A$1000,0),MATCH(M$1,'Master data'!$B$1:$CL$1,0)),"")</f>
        <v/>
      </c>
      <c r="N913" s="28" t="str">
        <f>IFERROR(INDEX('Master data'!$B$2:$CL$1000,MATCH($B913,'Master data'!$A$2:$A$1000,0),MATCH(N$1,'Master data'!$B$1:$CL$1,0)),"")</f>
        <v/>
      </c>
      <c r="O913" s="7" t="str">
        <f>IFERROR(INDEX('Master data'!$B$2:$CL$1000,MATCH($B913,'Master data'!$A$2:$A$1000,0),MATCH(O$1,'Master data'!$B$1:$CL$1,0)),"")</f>
        <v/>
      </c>
      <c r="P913" s="5" t="str">
        <f>IFERROR(INDEX('Master data'!$B$2:$CL$1000,MATCH($B913,'Master data'!$A$2:$A$1000,0),MATCH(P$1,'Master data'!$B$1:$CL$1,0)),"")</f>
        <v/>
      </c>
      <c r="Q913" s="5" t="str">
        <f>IFERROR(INDEX('Master data'!$B$2:$CL$1000,MATCH($B913,'Master data'!$A$2:$A$1000,0),MATCH(Q$1,'Master data'!$B$1:$CL$1,0)),"")</f>
        <v/>
      </c>
    </row>
    <row r="914" spans="1:17" hidden="1">
      <c r="A914" t="str">
        <f t="shared" si="14"/>
        <v/>
      </c>
      <c r="B914" t="str">
        <f>IF('Master data'!A914="","",'Master data'!A914)</f>
        <v/>
      </c>
      <c r="C914" t="str">
        <f>IFERROR(INDEX('Master data'!$B$2:$CL$1000,MATCH($B914,'Master data'!$A$2:$A$1000,0),MATCH(C$1,'Master data'!$B$1:$CL$1,0)),"")</f>
        <v/>
      </c>
      <c r="D914" t="str">
        <f>IFERROR(INDEX('Master data'!$B$2:$CL$1000,MATCH($B914,'Master data'!$A$2:$A$1000,0),MATCH(D$1,'Master data'!$B$1:$CL$1,0)),"")</f>
        <v/>
      </c>
      <c r="E914" s="5" t="str">
        <f>IFERROR(INDEX('Master data'!$B$2:$CL$1000,MATCH($B914,'Master data'!$A$2:$A$1000,0),MATCH(E$1,'Master data'!$B$1:$CL$1,0)),"")</f>
        <v/>
      </c>
      <c r="F914" s="7" t="str">
        <f>IFERROR(INDEX('Master data'!$B$2:$CL$1000,MATCH($B914,'Master data'!$A$2:$A$1000,0),MATCH(F$1,'Master data'!$B$1:$CL$1,0)),"")</f>
        <v/>
      </c>
      <c r="G914" s="7" t="str">
        <f>IFERROR(INDEX('Master data'!$B$2:$CL$1000,MATCH($B914,'Master data'!$A$2:$A$1000,0),MATCH(G$1,'Master data'!$B$1:$CL$1,0)),"")</f>
        <v/>
      </c>
      <c r="H914" s="7" t="str">
        <f>IFERROR(INDEX('Master data'!$B$2:$CL$1000,MATCH($B914,'Master data'!$A$2:$A$1000,0),MATCH(H$1,'Master data'!$B$1:$CL$1,0)),"")</f>
        <v/>
      </c>
      <c r="I914" s="7" t="str">
        <f>IFERROR(INDEX('Master data'!$B$2:$CL$1000,MATCH($B914,'Master data'!$A$2:$A$1000,0),MATCH(I$1,'Master data'!$B$1:$CL$1,0)),"")</f>
        <v/>
      </c>
      <c r="J914" s="7" t="str">
        <f>IFERROR(INDEX('Master data'!$B$2:$CL$1000,MATCH($B914,'Master data'!$A$2:$A$1000,0),MATCH(J$1,'Master data'!$B$1:$CL$1,0)),"")</f>
        <v/>
      </c>
      <c r="K914" s="7" t="str">
        <f>IFERROR(INDEX('Master data'!$B$2:$CL$1000,MATCH($B914,'Master data'!$A$2:$A$1000,0),MATCH(K$1,'Master data'!$B$1:$CL$1,0)),"")</f>
        <v/>
      </c>
      <c r="L914" s="7" t="str">
        <f>IFERROR(INDEX('Master data'!$B$2:$CL$1000,MATCH($B914,'Master data'!$A$2:$A$1000,0),MATCH(L$1,'Master data'!$B$1:$CL$1,0)),"")</f>
        <v/>
      </c>
      <c r="M914" s="5" t="str">
        <f>IFERROR(INDEX('Master data'!$B$2:$CL$1000,MATCH($B914,'Master data'!$A$2:$A$1000,0),MATCH(M$1,'Master data'!$B$1:$CL$1,0)),"")</f>
        <v/>
      </c>
      <c r="N914" s="28" t="str">
        <f>IFERROR(INDEX('Master data'!$B$2:$CL$1000,MATCH($B914,'Master data'!$A$2:$A$1000,0),MATCH(N$1,'Master data'!$B$1:$CL$1,0)),"")</f>
        <v/>
      </c>
      <c r="O914" s="7" t="str">
        <f>IFERROR(INDEX('Master data'!$B$2:$CL$1000,MATCH($B914,'Master data'!$A$2:$A$1000,0),MATCH(O$1,'Master data'!$B$1:$CL$1,0)),"")</f>
        <v/>
      </c>
      <c r="P914" s="5" t="str">
        <f>IFERROR(INDEX('Master data'!$B$2:$CL$1000,MATCH($B914,'Master data'!$A$2:$A$1000,0),MATCH(P$1,'Master data'!$B$1:$CL$1,0)),"")</f>
        <v/>
      </c>
      <c r="Q914" s="5" t="str">
        <f>IFERROR(INDEX('Master data'!$B$2:$CL$1000,MATCH($B914,'Master data'!$A$2:$A$1000,0),MATCH(Q$1,'Master data'!$B$1:$CL$1,0)),"")</f>
        <v/>
      </c>
    </row>
    <row r="915" spans="1:17" hidden="1">
      <c r="A915" t="str">
        <f t="shared" si="14"/>
        <v/>
      </c>
      <c r="B915" t="str">
        <f>IF('Master data'!A915="","",'Master data'!A915)</f>
        <v/>
      </c>
      <c r="C915" t="str">
        <f>IFERROR(INDEX('Master data'!$B$2:$CL$1000,MATCH($B915,'Master data'!$A$2:$A$1000,0),MATCH(C$1,'Master data'!$B$1:$CL$1,0)),"")</f>
        <v/>
      </c>
      <c r="D915" t="str">
        <f>IFERROR(INDEX('Master data'!$B$2:$CL$1000,MATCH($B915,'Master data'!$A$2:$A$1000,0),MATCH(D$1,'Master data'!$B$1:$CL$1,0)),"")</f>
        <v/>
      </c>
      <c r="E915" s="5" t="str">
        <f>IFERROR(INDEX('Master data'!$B$2:$CL$1000,MATCH($B915,'Master data'!$A$2:$A$1000,0),MATCH(E$1,'Master data'!$B$1:$CL$1,0)),"")</f>
        <v/>
      </c>
      <c r="F915" s="7" t="str">
        <f>IFERROR(INDEX('Master data'!$B$2:$CL$1000,MATCH($B915,'Master data'!$A$2:$A$1000,0),MATCH(F$1,'Master data'!$B$1:$CL$1,0)),"")</f>
        <v/>
      </c>
      <c r="G915" s="7" t="str">
        <f>IFERROR(INDEX('Master data'!$B$2:$CL$1000,MATCH($B915,'Master data'!$A$2:$A$1000,0),MATCH(G$1,'Master data'!$B$1:$CL$1,0)),"")</f>
        <v/>
      </c>
      <c r="H915" s="7" t="str">
        <f>IFERROR(INDEX('Master data'!$B$2:$CL$1000,MATCH($B915,'Master data'!$A$2:$A$1000,0),MATCH(H$1,'Master data'!$B$1:$CL$1,0)),"")</f>
        <v/>
      </c>
      <c r="I915" s="7" t="str">
        <f>IFERROR(INDEX('Master data'!$B$2:$CL$1000,MATCH($B915,'Master data'!$A$2:$A$1000,0),MATCH(I$1,'Master data'!$B$1:$CL$1,0)),"")</f>
        <v/>
      </c>
      <c r="J915" s="7" t="str">
        <f>IFERROR(INDEX('Master data'!$B$2:$CL$1000,MATCH($B915,'Master data'!$A$2:$A$1000,0),MATCH(J$1,'Master data'!$B$1:$CL$1,0)),"")</f>
        <v/>
      </c>
      <c r="K915" s="7" t="str">
        <f>IFERROR(INDEX('Master data'!$B$2:$CL$1000,MATCH($B915,'Master data'!$A$2:$A$1000,0),MATCH(K$1,'Master data'!$B$1:$CL$1,0)),"")</f>
        <v/>
      </c>
      <c r="L915" s="7" t="str">
        <f>IFERROR(INDEX('Master data'!$B$2:$CL$1000,MATCH($B915,'Master data'!$A$2:$A$1000,0),MATCH(L$1,'Master data'!$B$1:$CL$1,0)),"")</f>
        <v/>
      </c>
      <c r="M915" s="5" t="str">
        <f>IFERROR(INDEX('Master data'!$B$2:$CL$1000,MATCH($B915,'Master data'!$A$2:$A$1000,0),MATCH(M$1,'Master data'!$B$1:$CL$1,0)),"")</f>
        <v/>
      </c>
      <c r="N915" s="28" t="str">
        <f>IFERROR(INDEX('Master data'!$B$2:$CL$1000,MATCH($B915,'Master data'!$A$2:$A$1000,0),MATCH(N$1,'Master data'!$B$1:$CL$1,0)),"")</f>
        <v/>
      </c>
      <c r="O915" s="7" t="str">
        <f>IFERROR(INDEX('Master data'!$B$2:$CL$1000,MATCH($B915,'Master data'!$A$2:$A$1000,0),MATCH(O$1,'Master data'!$B$1:$CL$1,0)),"")</f>
        <v/>
      </c>
      <c r="P915" s="5" t="str">
        <f>IFERROR(INDEX('Master data'!$B$2:$CL$1000,MATCH($B915,'Master data'!$A$2:$A$1000,0),MATCH(P$1,'Master data'!$B$1:$CL$1,0)),"")</f>
        <v/>
      </c>
      <c r="Q915" s="5" t="str">
        <f>IFERROR(INDEX('Master data'!$B$2:$CL$1000,MATCH($B915,'Master data'!$A$2:$A$1000,0),MATCH(Q$1,'Master data'!$B$1:$CL$1,0)),"")</f>
        <v/>
      </c>
    </row>
    <row r="916" spans="1:17" hidden="1">
      <c r="A916" t="str">
        <f t="shared" si="14"/>
        <v/>
      </c>
      <c r="B916" t="str">
        <f>IF('Master data'!A916="","",'Master data'!A916)</f>
        <v/>
      </c>
      <c r="C916" t="str">
        <f>IFERROR(INDEX('Master data'!$B$2:$CL$1000,MATCH($B916,'Master data'!$A$2:$A$1000,0),MATCH(C$1,'Master data'!$B$1:$CL$1,0)),"")</f>
        <v/>
      </c>
      <c r="D916" t="str">
        <f>IFERROR(INDEX('Master data'!$B$2:$CL$1000,MATCH($B916,'Master data'!$A$2:$A$1000,0),MATCH(D$1,'Master data'!$B$1:$CL$1,0)),"")</f>
        <v/>
      </c>
      <c r="E916" s="5" t="str">
        <f>IFERROR(INDEX('Master data'!$B$2:$CL$1000,MATCH($B916,'Master data'!$A$2:$A$1000,0),MATCH(E$1,'Master data'!$B$1:$CL$1,0)),"")</f>
        <v/>
      </c>
      <c r="F916" s="7" t="str">
        <f>IFERROR(INDEX('Master data'!$B$2:$CL$1000,MATCH($B916,'Master data'!$A$2:$A$1000,0),MATCH(F$1,'Master data'!$B$1:$CL$1,0)),"")</f>
        <v/>
      </c>
      <c r="G916" s="7" t="str">
        <f>IFERROR(INDEX('Master data'!$B$2:$CL$1000,MATCH($B916,'Master data'!$A$2:$A$1000,0),MATCH(G$1,'Master data'!$B$1:$CL$1,0)),"")</f>
        <v/>
      </c>
      <c r="H916" s="7" t="str">
        <f>IFERROR(INDEX('Master data'!$B$2:$CL$1000,MATCH($B916,'Master data'!$A$2:$A$1000,0),MATCH(H$1,'Master data'!$B$1:$CL$1,0)),"")</f>
        <v/>
      </c>
      <c r="I916" s="7" t="str">
        <f>IFERROR(INDEX('Master data'!$B$2:$CL$1000,MATCH($B916,'Master data'!$A$2:$A$1000,0),MATCH(I$1,'Master data'!$B$1:$CL$1,0)),"")</f>
        <v/>
      </c>
      <c r="J916" s="7" t="str">
        <f>IFERROR(INDEX('Master data'!$B$2:$CL$1000,MATCH($B916,'Master data'!$A$2:$A$1000,0),MATCH(J$1,'Master data'!$B$1:$CL$1,0)),"")</f>
        <v/>
      </c>
      <c r="K916" s="7" t="str">
        <f>IFERROR(INDEX('Master data'!$B$2:$CL$1000,MATCH($B916,'Master data'!$A$2:$A$1000,0),MATCH(K$1,'Master data'!$B$1:$CL$1,0)),"")</f>
        <v/>
      </c>
      <c r="L916" s="7" t="str">
        <f>IFERROR(INDEX('Master data'!$B$2:$CL$1000,MATCH($B916,'Master data'!$A$2:$A$1000,0),MATCH(L$1,'Master data'!$B$1:$CL$1,0)),"")</f>
        <v/>
      </c>
      <c r="M916" s="5" t="str">
        <f>IFERROR(INDEX('Master data'!$B$2:$CL$1000,MATCH($B916,'Master data'!$A$2:$A$1000,0),MATCH(M$1,'Master data'!$B$1:$CL$1,0)),"")</f>
        <v/>
      </c>
      <c r="N916" s="28" t="str">
        <f>IFERROR(INDEX('Master data'!$B$2:$CL$1000,MATCH($B916,'Master data'!$A$2:$A$1000,0),MATCH(N$1,'Master data'!$B$1:$CL$1,0)),"")</f>
        <v/>
      </c>
      <c r="O916" s="7" t="str">
        <f>IFERROR(INDEX('Master data'!$B$2:$CL$1000,MATCH($B916,'Master data'!$A$2:$A$1000,0),MATCH(O$1,'Master data'!$B$1:$CL$1,0)),"")</f>
        <v/>
      </c>
      <c r="P916" s="5" t="str">
        <f>IFERROR(INDEX('Master data'!$B$2:$CL$1000,MATCH($B916,'Master data'!$A$2:$A$1000,0),MATCH(P$1,'Master data'!$B$1:$CL$1,0)),"")</f>
        <v/>
      </c>
      <c r="Q916" s="5" t="str">
        <f>IFERROR(INDEX('Master data'!$B$2:$CL$1000,MATCH($B916,'Master data'!$A$2:$A$1000,0),MATCH(Q$1,'Master data'!$B$1:$CL$1,0)),"")</f>
        <v/>
      </c>
    </row>
    <row r="917" spans="1:17" hidden="1">
      <c r="A917" t="str">
        <f t="shared" si="14"/>
        <v/>
      </c>
      <c r="B917" t="str">
        <f>IF('Master data'!A917="","",'Master data'!A917)</f>
        <v/>
      </c>
      <c r="C917" t="str">
        <f>IFERROR(INDEX('Master data'!$B$2:$CL$1000,MATCH($B917,'Master data'!$A$2:$A$1000,0),MATCH(C$1,'Master data'!$B$1:$CL$1,0)),"")</f>
        <v/>
      </c>
      <c r="D917" t="str">
        <f>IFERROR(INDEX('Master data'!$B$2:$CL$1000,MATCH($B917,'Master data'!$A$2:$A$1000,0),MATCH(D$1,'Master data'!$B$1:$CL$1,0)),"")</f>
        <v/>
      </c>
      <c r="E917" s="5" t="str">
        <f>IFERROR(INDEX('Master data'!$B$2:$CL$1000,MATCH($B917,'Master data'!$A$2:$A$1000,0),MATCH(E$1,'Master data'!$B$1:$CL$1,0)),"")</f>
        <v/>
      </c>
      <c r="F917" s="7" t="str">
        <f>IFERROR(INDEX('Master data'!$B$2:$CL$1000,MATCH($B917,'Master data'!$A$2:$A$1000,0),MATCH(F$1,'Master data'!$B$1:$CL$1,0)),"")</f>
        <v/>
      </c>
      <c r="G917" s="7" t="str">
        <f>IFERROR(INDEX('Master data'!$B$2:$CL$1000,MATCH($B917,'Master data'!$A$2:$A$1000,0),MATCH(G$1,'Master data'!$B$1:$CL$1,0)),"")</f>
        <v/>
      </c>
      <c r="H917" s="7" t="str">
        <f>IFERROR(INDEX('Master data'!$B$2:$CL$1000,MATCH($B917,'Master data'!$A$2:$A$1000,0),MATCH(H$1,'Master data'!$B$1:$CL$1,0)),"")</f>
        <v/>
      </c>
      <c r="I917" s="7" t="str">
        <f>IFERROR(INDEX('Master data'!$B$2:$CL$1000,MATCH($B917,'Master data'!$A$2:$A$1000,0),MATCH(I$1,'Master data'!$B$1:$CL$1,0)),"")</f>
        <v/>
      </c>
      <c r="J917" s="7" t="str">
        <f>IFERROR(INDEX('Master data'!$B$2:$CL$1000,MATCH($B917,'Master data'!$A$2:$A$1000,0),MATCH(J$1,'Master data'!$B$1:$CL$1,0)),"")</f>
        <v/>
      </c>
      <c r="K917" s="7" t="str">
        <f>IFERROR(INDEX('Master data'!$B$2:$CL$1000,MATCH($B917,'Master data'!$A$2:$A$1000,0),MATCH(K$1,'Master data'!$B$1:$CL$1,0)),"")</f>
        <v/>
      </c>
      <c r="L917" s="7" t="str">
        <f>IFERROR(INDEX('Master data'!$B$2:$CL$1000,MATCH($B917,'Master data'!$A$2:$A$1000,0),MATCH(L$1,'Master data'!$B$1:$CL$1,0)),"")</f>
        <v/>
      </c>
      <c r="M917" s="5" t="str">
        <f>IFERROR(INDEX('Master data'!$B$2:$CL$1000,MATCH($B917,'Master data'!$A$2:$A$1000,0),MATCH(M$1,'Master data'!$B$1:$CL$1,0)),"")</f>
        <v/>
      </c>
      <c r="N917" s="28" t="str">
        <f>IFERROR(INDEX('Master data'!$B$2:$CL$1000,MATCH($B917,'Master data'!$A$2:$A$1000,0),MATCH(N$1,'Master data'!$B$1:$CL$1,0)),"")</f>
        <v/>
      </c>
      <c r="O917" s="7" t="str">
        <f>IFERROR(INDEX('Master data'!$B$2:$CL$1000,MATCH($B917,'Master data'!$A$2:$A$1000,0),MATCH(O$1,'Master data'!$B$1:$CL$1,0)),"")</f>
        <v/>
      </c>
      <c r="P917" s="5" t="str">
        <f>IFERROR(INDEX('Master data'!$B$2:$CL$1000,MATCH($B917,'Master data'!$A$2:$A$1000,0),MATCH(P$1,'Master data'!$B$1:$CL$1,0)),"")</f>
        <v/>
      </c>
      <c r="Q917" s="5" t="str">
        <f>IFERROR(INDEX('Master data'!$B$2:$CL$1000,MATCH($B917,'Master data'!$A$2:$A$1000,0),MATCH(Q$1,'Master data'!$B$1:$CL$1,0)),"")</f>
        <v/>
      </c>
    </row>
    <row r="918" spans="1:17" hidden="1">
      <c r="A918" t="str">
        <f t="shared" si="14"/>
        <v/>
      </c>
      <c r="B918" t="str">
        <f>IF('Master data'!A918="","",'Master data'!A918)</f>
        <v/>
      </c>
      <c r="C918" t="str">
        <f>IFERROR(INDEX('Master data'!$B$2:$CL$1000,MATCH($B918,'Master data'!$A$2:$A$1000,0),MATCH(C$1,'Master data'!$B$1:$CL$1,0)),"")</f>
        <v/>
      </c>
      <c r="D918" t="str">
        <f>IFERROR(INDEX('Master data'!$B$2:$CL$1000,MATCH($B918,'Master data'!$A$2:$A$1000,0),MATCH(D$1,'Master data'!$B$1:$CL$1,0)),"")</f>
        <v/>
      </c>
      <c r="E918" s="5" t="str">
        <f>IFERROR(INDEX('Master data'!$B$2:$CL$1000,MATCH($B918,'Master data'!$A$2:$A$1000,0),MATCH(E$1,'Master data'!$B$1:$CL$1,0)),"")</f>
        <v/>
      </c>
      <c r="F918" s="7" t="str">
        <f>IFERROR(INDEX('Master data'!$B$2:$CL$1000,MATCH($B918,'Master data'!$A$2:$A$1000,0),MATCH(F$1,'Master data'!$B$1:$CL$1,0)),"")</f>
        <v/>
      </c>
      <c r="G918" s="7" t="str">
        <f>IFERROR(INDEX('Master data'!$B$2:$CL$1000,MATCH($B918,'Master data'!$A$2:$A$1000,0),MATCH(G$1,'Master data'!$B$1:$CL$1,0)),"")</f>
        <v/>
      </c>
      <c r="H918" s="7" t="str">
        <f>IFERROR(INDEX('Master data'!$B$2:$CL$1000,MATCH($B918,'Master data'!$A$2:$A$1000,0),MATCH(H$1,'Master data'!$B$1:$CL$1,0)),"")</f>
        <v/>
      </c>
      <c r="I918" s="7" t="str">
        <f>IFERROR(INDEX('Master data'!$B$2:$CL$1000,MATCH($B918,'Master data'!$A$2:$A$1000,0),MATCH(I$1,'Master data'!$B$1:$CL$1,0)),"")</f>
        <v/>
      </c>
      <c r="J918" s="7" t="str">
        <f>IFERROR(INDEX('Master data'!$B$2:$CL$1000,MATCH($B918,'Master data'!$A$2:$A$1000,0),MATCH(J$1,'Master data'!$B$1:$CL$1,0)),"")</f>
        <v/>
      </c>
      <c r="K918" s="7" t="str">
        <f>IFERROR(INDEX('Master data'!$B$2:$CL$1000,MATCH($B918,'Master data'!$A$2:$A$1000,0),MATCH(K$1,'Master data'!$B$1:$CL$1,0)),"")</f>
        <v/>
      </c>
      <c r="L918" s="7" t="str">
        <f>IFERROR(INDEX('Master data'!$B$2:$CL$1000,MATCH($B918,'Master data'!$A$2:$A$1000,0),MATCH(L$1,'Master data'!$B$1:$CL$1,0)),"")</f>
        <v/>
      </c>
      <c r="M918" s="5" t="str">
        <f>IFERROR(INDEX('Master data'!$B$2:$CL$1000,MATCH($B918,'Master data'!$A$2:$A$1000,0),MATCH(M$1,'Master data'!$B$1:$CL$1,0)),"")</f>
        <v/>
      </c>
      <c r="N918" s="28" t="str">
        <f>IFERROR(INDEX('Master data'!$B$2:$CL$1000,MATCH($B918,'Master data'!$A$2:$A$1000,0),MATCH(N$1,'Master data'!$B$1:$CL$1,0)),"")</f>
        <v/>
      </c>
      <c r="O918" s="7" t="str">
        <f>IFERROR(INDEX('Master data'!$B$2:$CL$1000,MATCH($B918,'Master data'!$A$2:$A$1000,0),MATCH(O$1,'Master data'!$B$1:$CL$1,0)),"")</f>
        <v/>
      </c>
      <c r="P918" s="5" t="str">
        <f>IFERROR(INDEX('Master data'!$B$2:$CL$1000,MATCH($B918,'Master data'!$A$2:$A$1000,0),MATCH(P$1,'Master data'!$B$1:$CL$1,0)),"")</f>
        <v/>
      </c>
      <c r="Q918" s="5" t="str">
        <f>IFERROR(INDEX('Master data'!$B$2:$CL$1000,MATCH($B918,'Master data'!$A$2:$A$1000,0),MATCH(Q$1,'Master data'!$B$1:$CL$1,0)),"")</f>
        <v/>
      </c>
    </row>
    <row r="919" spans="1:17" hidden="1">
      <c r="A919" t="str">
        <f t="shared" si="14"/>
        <v/>
      </c>
      <c r="B919" t="str">
        <f>IF('Master data'!A919="","",'Master data'!A919)</f>
        <v/>
      </c>
      <c r="C919" t="str">
        <f>IFERROR(INDEX('Master data'!$B$2:$CL$1000,MATCH($B919,'Master data'!$A$2:$A$1000,0),MATCH(C$1,'Master data'!$B$1:$CL$1,0)),"")</f>
        <v/>
      </c>
      <c r="D919" t="str">
        <f>IFERROR(INDEX('Master data'!$B$2:$CL$1000,MATCH($B919,'Master data'!$A$2:$A$1000,0),MATCH(D$1,'Master data'!$B$1:$CL$1,0)),"")</f>
        <v/>
      </c>
      <c r="E919" s="5" t="str">
        <f>IFERROR(INDEX('Master data'!$B$2:$CL$1000,MATCH($B919,'Master data'!$A$2:$A$1000,0),MATCH(E$1,'Master data'!$B$1:$CL$1,0)),"")</f>
        <v/>
      </c>
      <c r="F919" s="7" t="str">
        <f>IFERROR(INDEX('Master data'!$B$2:$CL$1000,MATCH($B919,'Master data'!$A$2:$A$1000,0),MATCH(F$1,'Master data'!$B$1:$CL$1,0)),"")</f>
        <v/>
      </c>
      <c r="G919" s="7" t="str">
        <f>IFERROR(INDEX('Master data'!$B$2:$CL$1000,MATCH($B919,'Master data'!$A$2:$A$1000,0),MATCH(G$1,'Master data'!$B$1:$CL$1,0)),"")</f>
        <v/>
      </c>
      <c r="H919" s="7" t="str">
        <f>IFERROR(INDEX('Master data'!$B$2:$CL$1000,MATCH($B919,'Master data'!$A$2:$A$1000,0),MATCH(H$1,'Master data'!$B$1:$CL$1,0)),"")</f>
        <v/>
      </c>
      <c r="I919" s="7" t="str">
        <f>IFERROR(INDEX('Master data'!$B$2:$CL$1000,MATCH($B919,'Master data'!$A$2:$A$1000,0),MATCH(I$1,'Master data'!$B$1:$CL$1,0)),"")</f>
        <v/>
      </c>
      <c r="J919" s="7" t="str">
        <f>IFERROR(INDEX('Master data'!$B$2:$CL$1000,MATCH($B919,'Master data'!$A$2:$A$1000,0),MATCH(J$1,'Master data'!$B$1:$CL$1,0)),"")</f>
        <v/>
      </c>
      <c r="K919" s="7" t="str">
        <f>IFERROR(INDEX('Master data'!$B$2:$CL$1000,MATCH($B919,'Master data'!$A$2:$A$1000,0),MATCH(K$1,'Master data'!$B$1:$CL$1,0)),"")</f>
        <v/>
      </c>
      <c r="L919" s="7" t="str">
        <f>IFERROR(INDEX('Master data'!$B$2:$CL$1000,MATCH($B919,'Master data'!$A$2:$A$1000,0),MATCH(L$1,'Master data'!$B$1:$CL$1,0)),"")</f>
        <v/>
      </c>
      <c r="M919" s="5" t="str">
        <f>IFERROR(INDEX('Master data'!$B$2:$CL$1000,MATCH($B919,'Master data'!$A$2:$A$1000,0),MATCH(M$1,'Master data'!$B$1:$CL$1,0)),"")</f>
        <v/>
      </c>
      <c r="N919" s="28" t="str">
        <f>IFERROR(INDEX('Master data'!$B$2:$CL$1000,MATCH($B919,'Master data'!$A$2:$A$1000,0),MATCH(N$1,'Master data'!$B$1:$CL$1,0)),"")</f>
        <v/>
      </c>
      <c r="O919" s="7" t="str">
        <f>IFERROR(INDEX('Master data'!$B$2:$CL$1000,MATCH($B919,'Master data'!$A$2:$A$1000,0),MATCH(O$1,'Master data'!$B$1:$CL$1,0)),"")</f>
        <v/>
      </c>
      <c r="P919" s="5" t="str">
        <f>IFERROR(INDEX('Master data'!$B$2:$CL$1000,MATCH($B919,'Master data'!$A$2:$A$1000,0),MATCH(P$1,'Master data'!$B$1:$CL$1,0)),"")</f>
        <v/>
      </c>
      <c r="Q919" s="5" t="str">
        <f>IFERROR(INDEX('Master data'!$B$2:$CL$1000,MATCH($B919,'Master data'!$A$2:$A$1000,0),MATCH(Q$1,'Master data'!$B$1:$CL$1,0)),"")</f>
        <v/>
      </c>
    </row>
    <row r="920" spans="1:17" hidden="1">
      <c r="A920" t="str">
        <f t="shared" si="14"/>
        <v/>
      </c>
      <c r="B920" t="str">
        <f>IF('Master data'!A920="","",'Master data'!A920)</f>
        <v/>
      </c>
      <c r="C920" t="str">
        <f>IFERROR(INDEX('Master data'!$B$2:$CL$1000,MATCH($B920,'Master data'!$A$2:$A$1000,0),MATCH(C$1,'Master data'!$B$1:$CL$1,0)),"")</f>
        <v/>
      </c>
      <c r="D920" t="str">
        <f>IFERROR(INDEX('Master data'!$B$2:$CL$1000,MATCH($B920,'Master data'!$A$2:$A$1000,0),MATCH(D$1,'Master data'!$B$1:$CL$1,0)),"")</f>
        <v/>
      </c>
      <c r="E920" s="5" t="str">
        <f>IFERROR(INDEX('Master data'!$B$2:$CL$1000,MATCH($B920,'Master data'!$A$2:$A$1000,0),MATCH(E$1,'Master data'!$B$1:$CL$1,0)),"")</f>
        <v/>
      </c>
      <c r="F920" s="7" t="str">
        <f>IFERROR(INDEX('Master data'!$B$2:$CL$1000,MATCH($B920,'Master data'!$A$2:$A$1000,0),MATCH(F$1,'Master data'!$B$1:$CL$1,0)),"")</f>
        <v/>
      </c>
      <c r="G920" s="7" t="str">
        <f>IFERROR(INDEX('Master data'!$B$2:$CL$1000,MATCH($B920,'Master data'!$A$2:$A$1000,0),MATCH(G$1,'Master data'!$B$1:$CL$1,0)),"")</f>
        <v/>
      </c>
      <c r="H920" s="7" t="str">
        <f>IFERROR(INDEX('Master data'!$B$2:$CL$1000,MATCH($B920,'Master data'!$A$2:$A$1000,0),MATCH(H$1,'Master data'!$B$1:$CL$1,0)),"")</f>
        <v/>
      </c>
      <c r="I920" s="7" t="str">
        <f>IFERROR(INDEX('Master data'!$B$2:$CL$1000,MATCH($B920,'Master data'!$A$2:$A$1000,0),MATCH(I$1,'Master data'!$B$1:$CL$1,0)),"")</f>
        <v/>
      </c>
      <c r="J920" s="7" t="str">
        <f>IFERROR(INDEX('Master data'!$B$2:$CL$1000,MATCH($B920,'Master data'!$A$2:$A$1000,0),MATCH(J$1,'Master data'!$B$1:$CL$1,0)),"")</f>
        <v/>
      </c>
      <c r="K920" s="7" t="str">
        <f>IFERROR(INDEX('Master data'!$B$2:$CL$1000,MATCH($B920,'Master data'!$A$2:$A$1000,0),MATCH(K$1,'Master data'!$B$1:$CL$1,0)),"")</f>
        <v/>
      </c>
      <c r="L920" s="7" t="str">
        <f>IFERROR(INDEX('Master data'!$B$2:$CL$1000,MATCH($B920,'Master data'!$A$2:$A$1000,0),MATCH(L$1,'Master data'!$B$1:$CL$1,0)),"")</f>
        <v/>
      </c>
      <c r="M920" s="5" t="str">
        <f>IFERROR(INDEX('Master data'!$B$2:$CL$1000,MATCH($B920,'Master data'!$A$2:$A$1000,0),MATCH(M$1,'Master data'!$B$1:$CL$1,0)),"")</f>
        <v/>
      </c>
      <c r="N920" s="28" t="str">
        <f>IFERROR(INDEX('Master data'!$B$2:$CL$1000,MATCH($B920,'Master data'!$A$2:$A$1000,0),MATCH(N$1,'Master data'!$B$1:$CL$1,0)),"")</f>
        <v/>
      </c>
      <c r="O920" s="7" t="str">
        <f>IFERROR(INDEX('Master data'!$B$2:$CL$1000,MATCH($B920,'Master data'!$A$2:$A$1000,0),MATCH(O$1,'Master data'!$B$1:$CL$1,0)),"")</f>
        <v/>
      </c>
      <c r="P920" s="5" t="str">
        <f>IFERROR(INDEX('Master data'!$B$2:$CL$1000,MATCH($B920,'Master data'!$A$2:$A$1000,0),MATCH(P$1,'Master data'!$B$1:$CL$1,0)),"")</f>
        <v/>
      </c>
      <c r="Q920" s="5" t="str">
        <f>IFERROR(INDEX('Master data'!$B$2:$CL$1000,MATCH($B920,'Master data'!$A$2:$A$1000,0),MATCH(Q$1,'Master data'!$B$1:$CL$1,0)),"")</f>
        <v/>
      </c>
    </row>
    <row r="921" spans="1:17" hidden="1">
      <c r="A921" t="str">
        <f t="shared" si="14"/>
        <v/>
      </c>
      <c r="B921" t="str">
        <f>IF('Master data'!A921="","",'Master data'!A921)</f>
        <v/>
      </c>
      <c r="C921" t="str">
        <f>IFERROR(INDEX('Master data'!$B$2:$CL$1000,MATCH($B921,'Master data'!$A$2:$A$1000,0),MATCH(C$1,'Master data'!$B$1:$CL$1,0)),"")</f>
        <v/>
      </c>
      <c r="D921" t="str">
        <f>IFERROR(INDEX('Master data'!$B$2:$CL$1000,MATCH($B921,'Master data'!$A$2:$A$1000,0),MATCH(D$1,'Master data'!$B$1:$CL$1,0)),"")</f>
        <v/>
      </c>
      <c r="E921" s="5" t="str">
        <f>IFERROR(INDEX('Master data'!$B$2:$CL$1000,MATCH($B921,'Master data'!$A$2:$A$1000,0),MATCH(E$1,'Master data'!$B$1:$CL$1,0)),"")</f>
        <v/>
      </c>
      <c r="F921" s="7" t="str">
        <f>IFERROR(INDEX('Master data'!$B$2:$CL$1000,MATCH($B921,'Master data'!$A$2:$A$1000,0),MATCH(F$1,'Master data'!$B$1:$CL$1,0)),"")</f>
        <v/>
      </c>
      <c r="G921" s="7" t="str">
        <f>IFERROR(INDEX('Master data'!$B$2:$CL$1000,MATCH($B921,'Master data'!$A$2:$A$1000,0),MATCH(G$1,'Master data'!$B$1:$CL$1,0)),"")</f>
        <v/>
      </c>
      <c r="H921" s="7" t="str">
        <f>IFERROR(INDEX('Master data'!$B$2:$CL$1000,MATCH($B921,'Master data'!$A$2:$A$1000,0),MATCH(H$1,'Master data'!$B$1:$CL$1,0)),"")</f>
        <v/>
      </c>
      <c r="I921" s="7" t="str">
        <f>IFERROR(INDEX('Master data'!$B$2:$CL$1000,MATCH($B921,'Master data'!$A$2:$A$1000,0),MATCH(I$1,'Master data'!$B$1:$CL$1,0)),"")</f>
        <v/>
      </c>
      <c r="J921" s="7" t="str">
        <f>IFERROR(INDEX('Master data'!$B$2:$CL$1000,MATCH($B921,'Master data'!$A$2:$A$1000,0),MATCH(J$1,'Master data'!$B$1:$CL$1,0)),"")</f>
        <v/>
      </c>
      <c r="K921" s="7" t="str">
        <f>IFERROR(INDEX('Master data'!$B$2:$CL$1000,MATCH($B921,'Master data'!$A$2:$A$1000,0),MATCH(K$1,'Master data'!$B$1:$CL$1,0)),"")</f>
        <v/>
      </c>
      <c r="L921" s="7" t="str">
        <f>IFERROR(INDEX('Master data'!$B$2:$CL$1000,MATCH($B921,'Master data'!$A$2:$A$1000,0),MATCH(L$1,'Master data'!$B$1:$CL$1,0)),"")</f>
        <v/>
      </c>
      <c r="M921" s="5" t="str">
        <f>IFERROR(INDEX('Master data'!$B$2:$CL$1000,MATCH($B921,'Master data'!$A$2:$A$1000,0),MATCH(M$1,'Master data'!$B$1:$CL$1,0)),"")</f>
        <v/>
      </c>
      <c r="N921" s="28" t="str">
        <f>IFERROR(INDEX('Master data'!$B$2:$CL$1000,MATCH($B921,'Master data'!$A$2:$A$1000,0),MATCH(N$1,'Master data'!$B$1:$CL$1,0)),"")</f>
        <v/>
      </c>
      <c r="O921" s="7" t="str">
        <f>IFERROR(INDEX('Master data'!$B$2:$CL$1000,MATCH($B921,'Master data'!$A$2:$A$1000,0),MATCH(O$1,'Master data'!$B$1:$CL$1,0)),"")</f>
        <v/>
      </c>
      <c r="P921" s="5" t="str">
        <f>IFERROR(INDEX('Master data'!$B$2:$CL$1000,MATCH($B921,'Master data'!$A$2:$A$1000,0),MATCH(P$1,'Master data'!$B$1:$CL$1,0)),"")</f>
        <v/>
      </c>
      <c r="Q921" s="5" t="str">
        <f>IFERROR(INDEX('Master data'!$B$2:$CL$1000,MATCH($B921,'Master data'!$A$2:$A$1000,0),MATCH(Q$1,'Master data'!$B$1:$CL$1,0)),"")</f>
        <v/>
      </c>
    </row>
    <row r="922" spans="1:17" hidden="1">
      <c r="A922" t="str">
        <f t="shared" si="14"/>
        <v/>
      </c>
      <c r="B922" t="str">
        <f>IF('Master data'!A922="","",'Master data'!A922)</f>
        <v/>
      </c>
      <c r="C922" t="str">
        <f>IFERROR(INDEX('Master data'!$B$2:$CL$1000,MATCH($B922,'Master data'!$A$2:$A$1000,0),MATCH(C$1,'Master data'!$B$1:$CL$1,0)),"")</f>
        <v/>
      </c>
      <c r="D922" t="str">
        <f>IFERROR(INDEX('Master data'!$B$2:$CL$1000,MATCH($B922,'Master data'!$A$2:$A$1000,0),MATCH(D$1,'Master data'!$B$1:$CL$1,0)),"")</f>
        <v/>
      </c>
      <c r="E922" s="5" t="str">
        <f>IFERROR(INDEX('Master data'!$B$2:$CL$1000,MATCH($B922,'Master data'!$A$2:$A$1000,0),MATCH(E$1,'Master data'!$B$1:$CL$1,0)),"")</f>
        <v/>
      </c>
      <c r="F922" s="7" t="str">
        <f>IFERROR(INDEX('Master data'!$B$2:$CL$1000,MATCH($B922,'Master data'!$A$2:$A$1000,0),MATCH(F$1,'Master data'!$B$1:$CL$1,0)),"")</f>
        <v/>
      </c>
      <c r="G922" s="7" t="str">
        <f>IFERROR(INDEX('Master data'!$B$2:$CL$1000,MATCH($B922,'Master data'!$A$2:$A$1000,0),MATCH(G$1,'Master data'!$B$1:$CL$1,0)),"")</f>
        <v/>
      </c>
      <c r="H922" s="7" t="str">
        <f>IFERROR(INDEX('Master data'!$B$2:$CL$1000,MATCH($B922,'Master data'!$A$2:$A$1000,0),MATCH(H$1,'Master data'!$B$1:$CL$1,0)),"")</f>
        <v/>
      </c>
      <c r="I922" s="7" t="str">
        <f>IFERROR(INDEX('Master data'!$B$2:$CL$1000,MATCH($B922,'Master data'!$A$2:$A$1000,0),MATCH(I$1,'Master data'!$B$1:$CL$1,0)),"")</f>
        <v/>
      </c>
      <c r="J922" s="7" t="str">
        <f>IFERROR(INDEX('Master data'!$B$2:$CL$1000,MATCH($B922,'Master data'!$A$2:$A$1000,0),MATCH(J$1,'Master data'!$B$1:$CL$1,0)),"")</f>
        <v/>
      </c>
      <c r="K922" s="7" t="str">
        <f>IFERROR(INDEX('Master data'!$B$2:$CL$1000,MATCH($B922,'Master data'!$A$2:$A$1000,0),MATCH(K$1,'Master data'!$B$1:$CL$1,0)),"")</f>
        <v/>
      </c>
      <c r="L922" s="7" t="str">
        <f>IFERROR(INDEX('Master data'!$B$2:$CL$1000,MATCH($B922,'Master data'!$A$2:$A$1000,0),MATCH(L$1,'Master data'!$B$1:$CL$1,0)),"")</f>
        <v/>
      </c>
      <c r="M922" s="5" t="str">
        <f>IFERROR(INDEX('Master data'!$B$2:$CL$1000,MATCH($B922,'Master data'!$A$2:$A$1000,0),MATCH(M$1,'Master data'!$B$1:$CL$1,0)),"")</f>
        <v/>
      </c>
      <c r="N922" s="28" t="str">
        <f>IFERROR(INDEX('Master data'!$B$2:$CL$1000,MATCH($B922,'Master data'!$A$2:$A$1000,0),MATCH(N$1,'Master data'!$B$1:$CL$1,0)),"")</f>
        <v/>
      </c>
      <c r="O922" s="7" t="str">
        <f>IFERROR(INDEX('Master data'!$B$2:$CL$1000,MATCH($B922,'Master data'!$A$2:$A$1000,0),MATCH(O$1,'Master data'!$B$1:$CL$1,0)),"")</f>
        <v/>
      </c>
      <c r="P922" s="5" t="str">
        <f>IFERROR(INDEX('Master data'!$B$2:$CL$1000,MATCH($B922,'Master data'!$A$2:$A$1000,0),MATCH(P$1,'Master data'!$B$1:$CL$1,0)),"")</f>
        <v/>
      </c>
      <c r="Q922" s="5" t="str">
        <f>IFERROR(INDEX('Master data'!$B$2:$CL$1000,MATCH($B922,'Master data'!$A$2:$A$1000,0),MATCH(Q$1,'Master data'!$B$1:$CL$1,0)),"")</f>
        <v/>
      </c>
    </row>
    <row r="923" spans="1:17" hidden="1">
      <c r="A923" t="str">
        <f t="shared" si="14"/>
        <v/>
      </c>
      <c r="B923" t="str">
        <f>IF('Master data'!A923="","",'Master data'!A923)</f>
        <v/>
      </c>
      <c r="C923" t="str">
        <f>IFERROR(INDEX('Master data'!$B$2:$CL$1000,MATCH($B923,'Master data'!$A$2:$A$1000,0),MATCH(C$1,'Master data'!$B$1:$CL$1,0)),"")</f>
        <v/>
      </c>
      <c r="D923" t="str">
        <f>IFERROR(INDEX('Master data'!$B$2:$CL$1000,MATCH($B923,'Master data'!$A$2:$A$1000,0),MATCH(D$1,'Master data'!$B$1:$CL$1,0)),"")</f>
        <v/>
      </c>
      <c r="E923" s="5" t="str">
        <f>IFERROR(INDEX('Master data'!$B$2:$CL$1000,MATCH($B923,'Master data'!$A$2:$A$1000,0),MATCH(E$1,'Master data'!$B$1:$CL$1,0)),"")</f>
        <v/>
      </c>
      <c r="F923" s="7" t="str">
        <f>IFERROR(INDEX('Master data'!$B$2:$CL$1000,MATCH($B923,'Master data'!$A$2:$A$1000,0),MATCH(F$1,'Master data'!$B$1:$CL$1,0)),"")</f>
        <v/>
      </c>
      <c r="G923" s="7" t="str">
        <f>IFERROR(INDEX('Master data'!$B$2:$CL$1000,MATCH($B923,'Master data'!$A$2:$A$1000,0),MATCH(G$1,'Master data'!$B$1:$CL$1,0)),"")</f>
        <v/>
      </c>
      <c r="H923" s="7" t="str">
        <f>IFERROR(INDEX('Master data'!$B$2:$CL$1000,MATCH($B923,'Master data'!$A$2:$A$1000,0),MATCH(H$1,'Master data'!$B$1:$CL$1,0)),"")</f>
        <v/>
      </c>
      <c r="I923" s="7" t="str">
        <f>IFERROR(INDEX('Master data'!$B$2:$CL$1000,MATCH($B923,'Master data'!$A$2:$A$1000,0),MATCH(I$1,'Master data'!$B$1:$CL$1,0)),"")</f>
        <v/>
      </c>
      <c r="J923" s="7" t="str">
        <f>IFERROR(INDEX('Master data'!$B$2:$CL$1000,MATCH($B923,'Master data'!$A$2:$A$1000,0),MATCH(J$1,'Master data'!$B$1:$CL$1,0)),"")</f>
        <v/>
      </c>
      <c r="K923" s="7" t="str">
        <f>IFERROR(INDEX('Master data'!$B$2:$CL$1000,MATCH($B923,'Master data'!$A$2:$A$1000,0),MATCH(K$1,'Master data'!$B$1:$CL$1,0)),"")</f>
        <v/>
      </c>
      <c r="L923" s="7" t="str">
        <f>IFERROR(INDEX('Master data'!$B$2:$CL$1000,MATCH($B923,'Master data'!$A$2:$A$1000,0),MATCH(L$1,'Master data'!$B$1:$CL$1,0)),"")</f>
        <v/>
      </c>
      <c r="M923" s="5" t="str">
        <f>IFERROR(INDEX('Master data'!$B$2:$CL$1000,MATCH($B923,'Master data'!$A$2:$A$1000,0),MATCH(M$1,'Master data'!$B$1:$CL$1,0)),"")</f>
        <v/>
      </c>
      <c r="N923" s="28" t="str">
        <f>IFERROR(INDEX('Master data'!$B$2:$CL$1000,MATCH($B923,'Master data'!$A$2:$A$1000,0),MATCH(N$1,'Master data'!$B$1:$CL$1,0)),"")</f>
        <v/>
      </c>
      <c r="O923" s="7" t="str">
        <f>IFERROR(INDEX('Master data'!$B$2:$CL$1000,MATCH($B923,'Master data'!$A$2:$A$1000,0),MATCH(O$1,'Master data'!$B$1:$CL$1,0)),"")</f>
        <v/>
      </c>
      <c r="P923" s="5" t="str">
        <f>IFERROR(INDEX('Master data'!$B$2:$CL$1000,MATCH($B923,'Master data'!$A$2:$A$1000,0),MATCH(P$1,'Master data'!$B$1:$CL$1,0)),"")</f>
        <v/>
      </c>
      <c r="Q923" s="5" t="str">
        <f>IFERROR(INDEX('Master data'!$B$2:$CL$1000,MATCH($B923,'Master data'!$A$2:$A$1000,0),MATCH(Q$1,'Master data'!$B$1:$CL$1,0)),"")</f>
        <v/>
      </c>
    </row>
    <row r="924" spans="1:17" hidden="1">
      <c r="A924" t="str">
        <f t="shared" si="14"/>
        <v/>
      </c>
      <c r="B924" t="str">
        <f>IF('Master data'!A924="","",'Master data'!A924)</f>
        <v/>
      </c>
      <c r="C924" t="str">
        <f>IFERROR(INDEX('Master data'!$B$2:$CL$1000,MATCH($B924,'Master data'!$A$2:$A$1000,0),MATCH(C$1,'Master data'!$B$1:$CL$1,0)),"")</f>
        <v/>
      </c>
      <c r="D924" t="str">
        <f>IFERROR(INDEX('Master data'!$B$2:$CL$1000,MATCH($B924,'Master data'!$A$2:$A$1000,0),MATCH(D$1,'Master data'!$B$1:$CL$1,0)),"")</f>
        <v/>
      </c>
      <c r="E924" s="5" t="str">
        <f>IFERROR(INDEX('Master data'!$B$2:$CL$1000,MATCH($B924,'Master data'!$A$2:$A$1000,0),MATCH(E$1,'Master data'!$B$1:$CL$1,0)),"")</f>
        <v/>
      </c>
      <c r="F924" s="7" t="str">
        <f>IFERROR(INDEX('Master data'!$B$2:$CL$1000,MATCH($B924,'Master data'!$A$2:$A$1000,0),MATCH(F$1,'Master data'!$B$1:$CL$1,0)),"")</f>
        <v/>
      </c>
      <c r="G924" s="7" t="str">
        <f>IFERROR(INDEX('Master data'!$B$2:$CL$1000,MATCH($B924,'Master data'!$A$2:$A$1000,0),MATCH(G$1,'Master data'!$B$1:$CL$1,0)),"")</f>
        <v/>
      </c>
      <c r="H924" s="7" t="str">
        <f>IFERROR(INDEX('Master data'!$B$2:$CL$1000,MATCH($B924,'Master data'!$A$2:$A$1000,0),MATCH(H$1,'Master data'!$B$1:$CL$1,0)),"")</f>
        <v/>
      </c>
      <c r="I924" s="7" t="str">
        <f>IFERROR(INDEX('Master data'!$B$2:$CL$1000,MATCH($B924,'Master data'!$A$2:$A$1000,0),MATCH(I$1,'Master data'!$B$1:$CL$1,0)),"")</f>
        <v/>
      </c>
      <c r="J924" s="7" t="str">
        <f>IFERROR(INDEX('Master data'!$B$2:$CL$1000,MATCH($B924,'Master data'!$A$2:$A$1000,0),MATCH(J$1,'Master data'!$B$1:$CL$1,0)),"")</f>
        <v/>
      </c>
      <c r="K924" s="7" t="str">
        <f>IFERROR(INDEX('Master data'!$B$2:$CL$1000,MATCH($B924,'Master data'!$A$2:$A$1000,0),MATCH(K$1,'Master data'!$B$1:$CL$1,0)),"")</f>
        <v/>
      </c>
      <c r="L924" s="7" t="str">
        <f>IFERROR(INDEX('Master data'!$B$2:$CL$1000,MATCH($B924,'Master data'!$A$2:$A$1000,0),MATCH(L$1,'Master data'!$B$1:$CL$1,0)),"")</f>
        <v/>
      </c>
      <c r="M924" s="5" t="str">
        <f>IFERROR(INDEX('Master data'!$B$2:$CL$1000,MATCH($B924,'Master data'!$A$2:$A$1000,0),MATCH(M$1,'Master data'!$B$1:$CL$1,0)),"")</f>
        <v/>
      </c>
      <c r="N924" s="28" t="str">
        <f>IFERROR(INDEX('Master data'!$B$2:$CL$1000,MATCH($B924,'Master data'!$A$2:$A$1000,0),MATCH(N$1,'Master data'!$B$1:$CL$1,0)),"")</f>
        <v/>
      </c>
      <c r="O924" s="7" t="str">
        <f>IFERROR(INDEX('Master data'!$B$2:$CL$1000,MATCH($B924,'Master data'!$A$2:$A$1000,0),MATCH(O$1,'Master data'!$B$1:$CL$1,0)),"")</f>
        <v/>
      </c>
      <c r="P924" s="5" t="str">
        <f>IFERROR(INDEX('Master data'!$B$2:$CL$1000,MATCH($B924,'Master data'!$A$2:$A$1000,0),MATCH(P$1,'Master data'!$B$1:$CL$1,0)),"")</f>
        <v/>
      </c>
      <c r="Q924" s="5" t="str">
        <f>IFERROR(INDEX('Master data'!$B$2:$CL$1000,MATCH($B924,'Master data'!$A$2:$A$1000,0),MATCH(Q$1,'Master data'!$B$1:$CL$1,0)),"")</f>
        <v/>
      </c>
    </row>
    <row r="925" spans="1:17" hidden="1">
      <c r="A925" t="str">
        <f t="shared" si="14"/>
        <v/>
      </c>
      <c r="B925" t="str">
        <f>IF('Master data'!A925="","",'Master data'!A925)</f>
        <v/>
      </c>
      <c r="C925" t="str">
        <f>IFERROR(INDEX('Master data'!$B$2:$CL$1000,MATCH($B925,'Master data'!$A$2:$A$1000,0),MATCH(C$1,'Master data'!$B$1:$CL$1,0)),"")</f>
        <v/>
      </c>
      <c r="D925" t="str">
        <f>IFERROR(INDEX('Master data'!$B$2:$CL$1000,MATCH($B925,'Master data'!$A$2:$A$1000,0),MATCH(D$1,'Master data'!$B$1:$CL$1,0)),"")</f>
        <v/>
      </c>
      <c r="E925" s="5" t="str">
        <f>IFERROR(INDEX('Master data'!$B$2:$CL$1000,MATCH($B925,'Master data'!$A$2:$A$1000,0),MATCH(E$1,'Master data'!$B$1:$CL$1,0)),"")</f>
        <v/>
      </c>
      <c r="F925" s="7" t="str">
        <f>IFERROR(INDEX('Master data'!$B$2:$CL$1000,MATCH($B925,'Master data'!$A$2:$A$1000,0),MATCH(F$1,'Master data'!$B$1:$CL$1,0)),"")</f>
        <v/>
      </c>
      <c r="G925" s="7" t="str">
        <f>IFERROR(INDEX('Master data'!$B$2:$CL$1000,MATCH($B925,'Master data'!$A$2:$A$1000,0),MATCH(G$1,'Master data'!$B$1:$CL$1,0)),"")</f>
        <v/>
      </c>
      <c r="H925" s="7" t="str">
        <f>IFERROR(INDEX('Master data'!$B$2:$CL$1000,MATCH($B925,'Master data'!$A$2:$A$1000,0),MATCH(H$1,'Master data'!$B$1:$CL$1,0)),"")</f>
        <v/>
      </c>
      <c r="I925" s="7" t="str">
        <f>IFERROR(INDEX('Master data'!$B$2:$CL$1000,MATCH($B925,'Master data'!$A$2:$A$1000,0),MATCH(I$1,'Master data'!$B$1:$CL$1,0)),"")</f>
        <v/>
      </c>
      <c r="J925" s="7" t="str">
        <f>IFERROR(INDEX('Master data'!$B$2:$CL$1000,MATCH($B925,'Master data'!$A$2:$A$1000,0),MATCH(J$1,'Master data'!$B$1:$CL$1,0)),"")</f>
        <v/>
      </c>
      <c r="K925" s="7" t="str">
        <f>IFERROR(INDEX('Master data'!$B$2:$CL$1000,MATCH($B925,'Master data'!$A$2:$A$1000,0),MATCH(K$1,'Master data'!$B$1:$CL$1,0)),"")</f>
        <v/>
      </c>
      <c r="L925" s="7" t="str">
        <f>IFERROR(INDEX('Master data'!$B$2:$CL$1000,MATCH($B925,'Master data'!$A$2:$A$1000,0),MATCH(L$1,'Master data'!$B$1:$CL$1,0)),"")</f>
        <v/>
      </c>
      <c r="M925" s="5" t="str">
        <f>IFERROR(INDEX('Master data'!$B$2:$CL$1000,MATCH($B925,'Master data'!$A$2:$A$1000,0),MATCH(M$1,'Master data'!$B$1:$CL$1,0)),"")</f>
        <v/>
      </c>
      <c r="N925" s="28" t="str">
        <f>IFERROR(INDEX('Master data'!$B$2:$CL$1000,MATCH($B925,'Master data'!$A$2:$A$1000,0),MATCH(N$1,'Master data'!$B$1:$CL$1,0)),"")</f>
        <v/>
      </c>
      <c r="O925" s="7" t="str">
        <f>IFERROR(INDEX('Master data'!$B$2:$CL$1000,MATCH($B925,'Master data'!$A$2:$A$1000,0),MATCH(O$1,'Master data'!$B$1:$CL$1,0)),"")</f>
        <v/>
      </c>
      <c r="P925" s="5" t="str">
        <f>IFERROR(INDEX('Master data'!$B$2:$CL$1000,MATCH($B925,'Master data'!$A$2:$A$1000,0),MATCH(P$1,'Master data'!$B$1:$CL$1,0)),"")</f>
        <v/>
      </c>
      <c r="Q925" s="5" t="str">
        <f>IFERROR(INDEX('Master data'!$B$2:$CL$1000,MATCH($B925,'Master data'!$A$2:$A$1000,0),MATCH(Q$1,'Master data'!$B$1:$CL$1,0)),"")</f>
        <v/>
      </c>
    </row>
    <row r="926" spans="1:17" hidden="1">
      <c r="A926" t="str">
        <f t="shared" si="14"/>
        <v/>
      </c>
      <c r="B926" t="str">
        <f>IF('Master data'!A926="","",'Master data'!A926)</f>
        <v/>
      </c>
      <c r="C926" t="str">
        <f>IFERROR(INDEX('Master data'!$B$2:$CL$1000,MATCH($B926,'Master data'!$A$2:$A$1000,0),MATCH(C$1,'Master data'!$B$1:$CL$1,0)),"")</f>
        <v/>
      </c>
      <c r="D926" t="str">
        <f>IFERROR(INDEX('Master data'!$B$2:$CL$1000,MATCH($B926,'Master data'!$A$2:$A$1000,0),MATCH(D$1,'Master data'!$B$1:$CL$1,0)),"")</f>
        <v/>
      </c>
      <c r="E926" s="5" t="str">
        <f>IFERROR(INDEX('Master data'!$B$2:$CL$1000,MATCH($B926,'Master data'!$A$2:$A$1000,0),MATCH(E$1,'Master data'!$B$1:$CL$1,0)),"")</f>
        <v/>
      </c>
      <c r="F926" s="7" t="str">
        <f>IFERROR(INDEX('Master data'!$B$2:$CL$1000,MATCH($B926,'Master data'!$A$2:$A$1000,0),MATCH(F$1,'Master data'!$B$1:$CL$1,0)),"")</f>
        <v/>
      </c>
      <c r="G926" s="7" t="str">
        <f>IFERROR(INDEX('Master data'!$B$2:$CL$1000,MATCH($B926,'Master data'!$A$2:$A$1000,0),MATCH(G$1,'Master data'!$B$1:$CL$1,0)),"")</f>
        <v/>
      </c>
      <c r="H926" s="7" t="str">
        <f>IFERROR(INDEX('Master data'!$B$2:$CL$1000,MATCH($B926,'Master data'!$A$2:$A$1000,0),MATCH(H$1,'Master data'!$B$1:$CL$1,0)),"")</f>
        <v/>
      </c>
      <c r="I926" s="7" t="str">
        <f>IFERROR(INDEX('Master data'!$B$2:$CL$1000,MATCH($B926,'Master data'!$A$2:$A$1000,0),MATCH(I$1,'Master data'!$B$1:$CL$1,0)),"")</f>
        <v/>
      </c>
      <c r="J926" s="7" t="str">
        <f>IFERROR(INDEX('Master data'!$B$2:$CL$1000,MATCH($B926,'Master data'!$A$2:$A$1000,0),MATCH(J$1,'Master data'!$B$1:$CL$1,0)),"")</f>
        <v/>
      </c>
      <c r="K926" s="7" t="str">
        <f>IFERROR(INDEX('Master data'!$B$2:$CL$1000,MATCH($B926,'Master data'!$A$2:$A$1000,0),MATCH(K$1,'Master data'!$B$1:$CL$1,0)),"")</f>
        <v/>
      </c>
      <c r="L926" s="7" t="str">
        <f>IFERROR(INDEX('Master data'!$B$2:$CL$1000,MATCH($B926,'Master data'!$A$2:$A$1000,0),MATCH(L$1,'Master data'!$B$1:$CL$1,0)),"")</f>
        <v/>
      </c>
      <c r="M926" s="5" t="str">
        <f>IFERROR(INDEX('Master data'!$B$2:$CL$1000,MATCH($B926,'Master data'!$A$2:$A$1000,0),MATCH(M$1,'Master data'!$B$1:$CL$1,0)),"")</f>
        <v/>
      </c>
      <c r="N926" s="28" t="str">
        <f>IFERROR(INDEX('Master data'!$B$2:$CL$1000,MATCH($B926,'Master data'!$A$2:$A$1000,0),MATCH(N$1,'Master data'!$B$1:$CL$1,0)),"")</f>
        <v/>
      </c>
      <c r="O926" s="7" t="str">
        <f>IFERROR(INDEX('Master data'!$B$2:$CL$1000,MATCH($B926,'Master data'!$A$2:$A$1000,0),MATCH(O$1,'Master data'!$B$1:$CL$1,0)),"")</f>
        <v/>
      </c>
      <c r="P926" s="5" t="str">
        <f>IFERROR(INDEX('Master data'!$B$2:$CL$1000,MATCH($B926,'Master data'!$A$2:$A$1000,0),MATCH(P$1,'Master data'!$B$1:$CL$1,0)),"")</f>
        <v/>
      </c>
      <c r="Q926" s="5" t="str">
        <f>IFERROR(INDEX('Master data'!$B$2:$CL$1000,MATCH($B926,'Master data'!$A$2:$A$1000,0),MATCH(Q$1,'Master data'!$B$1:$CL$1,0)),"")</f>
        <v/>
      </c>
    </row>
    <row r="927" spans="1:17" hidden="1">
      <c r="A927" t="str">
        <f t="shared" si="14"/>
        <v/>
      </c>
      <c r="B927" t="str">
        <f>IF('Master data'!A927="","",'Master data'!A927)</f>
        <v/>
      </c>
      <c r="C927" t="str">
        <f>IFERROR(INDEX('Master data'!$B$2:$CL$1000,MATCH($B927,'Master data'!$A$2:$A$1000,0),MATCH(C$1,'Master data'!$B$1:$CL$1,0)),"")</f>
        <v/>
      </c>
      <c r="D927" t="str">
        <f>IFERROR(INDEX('Master data'!$B$2:$CL$1000,MATCH($B927,'Master data'!$A$2:$A$1000,0),MATCH(D$1,'Master data'!$B$1:$CL$1,0)),"")</f>
        <v/>
      </c>
      <c r="E927" s="5" t="str">
        <f>IFERROR(INDEX('Master data'!$B$2:$CL$1000,MATCH($B927,'Master data'!$A$2:$A$1000,0),MATCH(E$1,'Master data'!$B$1:$CL$1,0)),"")</f>
        <v/>
      </c>
      <c r="F927" s="7" t="str">
        <f>IFERROR(INDEX('Master data'!$B$2:$CL$1000,MATCH($B927,'Master data'!$A$2:$A$1000,0),MATCH(F$1,'Master data'!$B$1:$CL$1,0)),"")</f>
        <v/>
      </c>
      <c r="G927" s="7" t="str">
        <f>IFERROR(INDEX('Master data'!$B$2:$CL$1000,MATCH($B927,'Master data'!$A$2:$A$1000,0),MATCH(G$1,'Master data'!$B$1:$CL$1,0)),"")</f>
        <v/>
      </c>
      <c r="H927" s="7" t="str">
        <f>IFERROR(INDEX('Master data'!$B$2:$CL$1000,MATCH($B927,'Master data'!$A$2:$A$1000,0),MATCH(H$1,'Master data'!$B$1:$CL$1,0)),"")</f>
        <v/>
      </c>
      <c r="I927" s="7" t="str">
        <f>IFERROR(INDEX('Master data'!$B$2:$CL$1000,MATCH($B927,'Master data'!$A$2:$A$1000,0),MATCH(I$1,'Master data'!$B$1:$CL$1,0)),"")</f>
        <v/>
      </c>
      <c r="J927" s="7" t="str">
        <f>IFERROR(INDEX('Master data'!$B$2:$CL$1000,MATCH($B927,'Master data'!$A$2:$A$1000,0),MATCH(J$1,'Master data'!$B$1:$CL$1,0)),"")</f>
        <v/>
      </c>
      <c r="K927" s="7" t="str">
        <f>IFERROR(INDEX('Master data'!$B$2:$CL$1000,MATCH($B927,'Master data'!$A$2:$A$1000,0),MATCH(K$1,'Master data'!$B$1:$CL$1,0)),"")</f>
        <v/>
      </c>
      <c r="L927" s="7" t="str">
        <f>IFERROR(INDEX('Master data'!$B$2:$CL$1000,MATCH($B927,'Master data'!$A$2:$A$1000,0),MATCH(L$1,'Master data'!$B$1:$CL$1,0)),"")</f>
        <v/>
      </c>
      <c r="M927" s="5" t="str">
        <f>IFERROR(INDEX('Master data'!$B$2:$CL$1000,MATCH($B927,'Master data'!$A$2:$A$1000,0),MATCH(M$1,'Master data'!$B$1:$CL$1,0)),"")</f>
        <v/>
      </c>
      <c r="N927" s="28" t="str">
        <f>IFERROR(INDEX('Master data'!$B$2:$CL$1000,MATCH($B927,'Master data'!$A$2:$A$1000,0),MATCH(N$1,'Master data'!$B$1:$CL$1,0)),"")</f>
        <v/>
      </c>
      <c r="O927" s="7" t="str">
        <f>IFERROR(INDEX('Master data'!$B$2:$CL$1000,MATCH($B927,'Master data'!$A$2:$A$1000,0),MATCH(O$1,'Master data'!$B$1:$CL$1,0)),"")</f>
        <v/>
      </c>
      <c r="P927" s="5" t="str">
        <f>IFERROR(INDEX('Master data'!$B$2:$CL$1000,MATCH($B927,'Master data'!$A$2:$A$1000,0),MATCH(P$1,'Master data'!$B$1:$CL$1,0)),"")</f>
        <v/>
      </c>
      <c r="Q927" s="5" t="str">
        <f>IFERROR(INDEX('Master data'!$B$2:$CL$1000,MATCH($B927,'Master data'!$A$2:$A$1000,0),MATCH(Q$1,'Master data'!$B$1:$CL$1,0)),"")</f>
        <v/>
      </c>
    </row>
    <row r="928" spans="1:17" hidden="1">
      <c r="A928" t="str">
        <f t="shared" si="14"/>
        <v/>
      </c>
      <c r="B928" t="str">
        <f>IF('Master data'!A928="","",'Master data'!A928)</f>
        <v/>
      </c>
      <c r="C928" t="str">
        <f>IFERROR(INDEX('Master data'!$B$2:$CL$1000,MATCH($B928,'Master data'!$A$2:$A$1000,0),MATCH(C$1,'Master data'!$B$1:$CL$1,0)),"")</f>
        <v/>
      </c>
      <c r="D928" t="str">
        <f>IFERROR(INDEX('Master data'!$B$2:$CL$1000,MATCH($B928,'Master data'!$A$2:$A$1000,0),MATCH(D$1,'Master data'!$B$1:$CL$1,0)),"")</f>
        <v/>
      </c>
      <c r="E928" s="5" t="str">
        <f>IFERROR(INDEX('Master data'!$B$2:$CL$1000,MATCH($B928,'Master data'!$A$2:$A$1000,0),MATCH(E$1,'Master data'!$B$1:$CL$1,0)),"")</f>
        <v/>
      </c>
      <c r="F928" s="7" t="str">
        <f>IFERROR(INDEX('Master data'!$B$2:$CL$1000,MATCH($B928,'Master data'!$A$2:$A$1000,0),MATCH(F$1,'Master data'!$B$1:$CL$1,0)),"")</f>
        <v/>
      </c>
      <c r="G928" s="7" t="str">
        <f>IFERROR(INDEX('Master data'!$B$2:$CL$1000,MATCH($B928,'Master data'!$A$2:$A$1000,0),MATCH(G$1,'Master data'!$B$1:$CL$1,0)),"")</f>
        <v/>
      </c>
      <c r="H928" s="7" t="str">
        <f>IFERROR(INDEX('Master data'!$B$2:$CL$1000,MATCH($B928,'Master data'!$A$2:$A$1000,0),MATCH(H$1,'Master data'!$B$1:$CL$1,0)),"")</f>
        <v/>
      </c>
      <c r="I928" s="7" t="str">
        <f>IFERROR(INDEX('Master data'!$B$2:$CL$1000,MATCH($B928,'Master data'!$A$2:$A$1000,0),MATCH(I$1,'Master data'!$B$1:$CL$1,0)),"")</f>
        <v/>
      </c>
      <c r="J928" s="7" t="str">
        <f>IFERROR(INDEX('Master data'!$B$2:$CL$1000,MATCH($B928,'Master data'!$A$2:$A$1000,0),MATCH(J$1,'Master data'!$B$1:$CL$1,0)),"")</f>
        <v/>
      </c>
      <c r="K928" s="7" t="str">
        <f>IFERROR(INDEX('Master data'!$B$2:$CL$1000,MATCH($B928,'Master data'!$A$2:$A$1000,0),MATCH(K$1,'Master data'!$B$1:$CL$1,0)),"")</f>
        <v/>
      </c>
      <c r="L928" s="7" t="str">
        <f>IFERROR(INDEX('Master data'!$B$2:$CL$1000,MATCH($B928,'Master data'!$A$2:$A$1000,0),MATCH(L$1,'Master data'!$B$1:$CL$1,0)),"")</f>
        <v/>
      </c>
      <c r="M928" s="5" t="str">
        <f>IFERROR(INDEX('Master data'!$B$2:$CL$1000,MATCH($B928,'Master data'!$A$2:$A$1000,0),MATCH(M$1,'Master data'!$B$1:$CL$1,0)),"")</f>
        <v/>
      </c>
      <c r="N928" s="28" t="str">
        <f>IFERROR(INDEX('Master data'!$B$2:$CL$1000,MATCH($B928,'Master data'!$A$2:$A$1000,0),MATCH(N$1,'Master data'!$B$1:$CL$1,0)),"")</f>
        <v/>
      </c>
      <c r="O928" s="7" t="str">
        <f>IFERROR(INDEX('Master data'!$B$2:$CL$1000,MATCH($B928,'Master data'!$A$2:$A$1000,0),MATCH(O$1,'Master data'!$B$1:$CL$1,0)),"")</f>
        <v/>
      </c>
      <c r="P928" s="5" t="str">
        <f>IFERROR(INDEX('Master data'!$B$2:$CL$1000,MATCH($B928,'Master data'!$A$2:$A$1000,0),MATCH(P$1,'Master data'!$B$1:$CL$1,0)),"")</f>
        <v/>
      </c>
      <c r="Q928" s="5" t="str">
        <f>IFERROR(INDEX('Master data'!$B$2:$CL$1000,MATCH($B928,'Master data'!$A$2:$A$1000,0),MATCH(Q$1,'Master data'!$B$1:$CL$1,0)),"")</f>
        <v/>
      </c>
    </row>
    <row r="929" spans="1:17" hidden="1">
      <c r="A929" t="str">
        <f t="shared" si="14"/>
        <v/>
      </c>
      <c r="B929" t="str">
        <f>IF('Master data'!A929="","",'Master data'!A929)</f>
        <v/>
      </c>
      <c r="C929" t="str">
        <f>IFERROR(INDEX('Master data'!$B$2:$CL$1000,MATCH($B929,'Master data'!$A$2:$A$1000,0),MATCH(C$1,'Master data'!$B$1:$CL$1,0)),"")</f>
        <v/>
      </c>
      <c r="D929" t="str">
        <f>IFERROR(INDEX('Master data'!$B$2:$CL$1000,MATCH($B929,'Master data'!$A$2:$A$1000,0),MATCH(D$1,'Master data'!$B$1:$CL$1,0)),"")</f>
        <v/>
      </c>
      <c r="E929" s="5" t="str">
        <f>IFERROR(INDEX('Master data'!$B$2:$CL$1000,MATCH($B929,'Master data'!$A$2:$A$1000,0),MATCH(E$1,'Master data'!$B$1:$CL$1,0)),"")</f>
        <v/>
      </c>
      <c r="F929" s="7" t="str">
        <f>IFERROR(INDEX('Master data'!$B$2:$CL$1000,MATCH($B929,'Master data'!$A$2:$A$1000,0),MATCH(F$1,'Master data'!$B$1:$CL$1,0)),"")</f>
        <v/>
      </c>
      <c r="G929" s="7" t="str">
        <f>IFERROR(INDEX('Master data'!$B$2:$CL$1000,MATCH($B929,'Master data'!$A$2:$A$1000,0),MATCH(G$1,'Master data'!$B$1:$CL$1,0)),"")</f>
        <v/>
      </c>
      <c r="H929" s="7" t="str">
        <f>IFERROR(INDEX('Master data'!$B$2:$CL$1000,MATCH($B929,'Master data'!$A$2:$A$1000,0),MATCH(H$1,'Master data'!$B$1:$CL$1,0)),"")</f>
        <v/>
      </c>
      <c r="I929" s="7" t="str">
        <f>IFERROR(INDEX('Master data'!$B$2:$CL$1000,MATCH($B929,'Master data'!$A$2:$A$1000,0),MATCH(I$1,'Master data'!$B$1:$CL$1,0)),"")</f>
        <v/>
      </c>
      <c r="J929" s="7" t="str">
        <f>IFERROR(INDEX('Master data'!$B$2:$CL$1000,MATCH($B929,'Master data'!$A$2:$A$1000,0),MATCH(J$1,'Master data'!$B$1:$CL$1,0)),"")</f>
        <v/>
      </c>
      <c r="K929" s="7" t="str">
        <f>IFERROR(INDEX('Master data'!$B$2:$CL$1000,MATCH($B929,'Master data'!$A$2:$A$1000,0),MATCH(K$1,'Master data'!$B$1:$CL$1,0)),"")</f>
        <v/>
      </c>
      <c r="L929" s="7" t="str">
        <f>IFERROR(INDEX('Master data'!$B$2:$CL$1000,MATCH($B929,'Master data'!$A$2:$A$1000,0),MATCH(L$1,'Master data'!$B$1:$CL$1,0)),"")</f>
        <v/>
      </c>
      <c r="M929" s="5" t="str">
        <f>IFERROR(INDEX('Master data'!$B$2:$CL$1000,MATCH($B929,'Master data'!$A$2:$A$1000,0),MATCH(M$1,'Master data'!$B$1:$CL$1,0)),"")</f>
        <v/>
      </c>
      <c r="N929" s="28" t="str">
        <f>IFERROR(INDEX('Master data'!$B$2:$CL$1000,MATCH($B929,'Master data'!$A$2:$A$1000,0),MATCH(N$1,'Master data'!$B$1:$CL$1,0)),"")</f>
        <v/>
      </c>
      <c r="O929" s="7" t="str">
        <f>IFERROR(INDEX('Master data'!$B$2:$CL$1000,MATCH($B929,'Master data'!$A$2:$A$1000,0),MATCH(O$1,'Master data'!$B$1:$CL$1,0)),"")</f>
        <v/>
      </c>
      <c r="P929" s="5" t="str">
        <f>IFERROR(INDEX('Master data'!$B$2:$CL$1000,MATCH($B929,'Master data'!$A$2:$A$1000,0),MATCH(P$1,'Master data'!$B$1:$CL$1,0)),"")</f>
        <v/>
      </c>
      <c r="Q929" s="5" t="str">
        <f>IFERROR(INDEX('Master data'!$B$2:$CL$1000,MATCH($B929,'Master data'!$A$2:$A$1000,0),MATCH(Q$1,'Master data'!$B$1:$CL$1,0)),"")</f>
        <v/>
      </c>
    </row>
    <row r="930" spans="1:17" hidden="1">
      <c r="A930" t="str">
        <f t="shared" si="14"/>
        <v/>
      </c>
      <c r="B930" t="str">
        <f>IF('Master data'!A930="","",'Master data'!A930)</f>
        <v/>
      </c>
      <c r="C930" t="str">
        <f>IFERROR(INDEX('Master data'!$B$2:$CL$1000,MATCH($B930,'Master data'!$A$2:$A$1000,0),MATCH(C$1,'Master data'!$B$1:$CL$1,0)),"")</f>
        <v/>
      </c>
      <c r="D930" t="str">
        <f>IFERROR(INDEX('Master data'!$B$2:$CL$1000,MATCH($B930,'Master data'!$A$2:$A$1000,0),MATCH(D$1,'Master data'!$B$1:$CL$1,0)),"")</f>
        <v/>
      </c>
      <c r="E930" s="5" t="str">
        <f>IFERROR(INDEX('Master data'!$B$2:$CL$1000,MATCH($B930,'Master data'!$A$2:$A$1000,0),MATCH(E$1,'Master data'!$B$1:$CL$1,0)),"")</f>
        <v/>
      </c>
      <c r="F930" s="7" t="str">
        <f>IFERROR(INDEX('Master data'!$B$2:$CL$1000,MATCH($B930,'Master data'!$A$2:$A$1000,0),MATCH(F$1,'Master data'!$B$1:$CL$1,0)),"")</f>
        <v/>
      </c>
      <c r="G930" s="7" t="str">
        <f>IFERROR(INDEX('Master data'!$B$2:$CL$1000,MATCH($B930,'Master data'!$A$2:$A$1000,0),MATCH(G$1,'Master data'!$B$1:$CL$1,0)),"")</f>
        <v/>
      </c>
      <c r="H930" s="7" t="str">
        <f>IFERROR(INDEX('Master data'!$B$2:$CL$1000,MATCH($B930,'Master data'!$A$2:$A$1000,0),MATCH(H$1,'Master data'!$B$1:$CL$1,0)),"")</f>
        <v/>
      </c>
      <c r="I930" s="7" t="str">
        <f>IFERROR(INDEX('Master data'!$B$2:$CL$1000,MATCH($B930,'Master data'!$A$2:$A$1000,0),MATCH(I$1,'Master data'!$B$1:$CL$1,0)),"")</f>
        <v/>
      </c>
      <c r="J930" s="7" t="str">
        <f>IFERROR(INDEX('Master data'!$B$2:$CL$1000,MATCH($B930,'Master data'!$A$2:$A$1000,0),MATCH(J$1,'Master data'!$B$1:$CL$1,0)),"")</f>
        <v/>
      </c>
      <c r="K930" s="7" t="str">
        <f>IFERROR(INDEX('Master data'!$B$2:$CL$1000,MATCH($B930,'Master data'!$A$2:$A$1000,0),MATCH(K$1,'Master data'!$B$1:$CL$1,0)),"")</f>
        <v/>
      </c>
      <c r="L930" s="7" t="str">
        <f>IFERROR(INDEX('Master data'!$B$2:$CL$1000,MATCH($B930,'Master data'!$A$2:$A$1000,0),MATCH(L$1,'Master data'!$B$1:$CL$1,0)),"")</f>
        <v/>
      </c>
      <c r="M930" s="5" t="str">
        <f>IFERROR(INDEX('Master data'!$B$2:$CL$1000,MATCH($B930,'Master data'!$A$2:$A$1000,0),MATCH(M$1,'Master data'!$B$1:$CL$1,0)),"")</f>
        <v/>
      </c>
      <c r="N930" s="28" t="str">
        <f>IFERROR(INDEX('Master data'!$B$2:$CL$1000,MATCH($B930,'Master data'!$A$2:$A$1000,0),MATCH(N$1,'Master data'!$B$1:$CL$1,0)),"")</f>
        <v/>
      </c>
      <c r="O930" s="7" t="str">
        <f>IFERROR(INDEX('Master data'!$B$2:$CL$1000,MATCH($B930,'Master data'!$A$2:$A$1000,0),MATCH(O$1,'Master data'!$B$1:$CL$1,0)),"")</f>
        <v/>
      </c>
      <c r="P930" s="5" t="str">
        <f>IFERROR(INDEX('Master data'!$B$2:$CL$1000,MATCH($B930,'Master data'!$A$2:$A$1000,0),MATCH(P$1,'Master data'!$B$1:$CL$1,0)),"")</f>
        <v/>
      </c>
      <c r="Q930" s="5" t="str">
        <f>IFERROR(INDEX('Master data'!$B$2:$CL$1000,MATCH($B930,'Master data'!$A$2:$A$1000,0),MATCH(Q$1,'Master data'!$B$1:$CL$1,0)),"")</f>
        <v/>
      </c>
    </row>
    <row r="931" spans="1:17" hidden="1">
      <c r="A931" t="str">
        <f t="shared" si="14"/>
        <v/>
      </c>
      <c r="B931" t="str">
        <f>IF('Master data'!A931="","",'Master data'!A931)</f>
        <v/>
      </c>
      <c r="C931" t="str">
        <f>IFERROR(INDEX('Master data'!$B$2:$CL$1000,MATCH($B931,'Master data'!$A$2:$A$1000,0),MATCH(C$1,'Master data'!$B$1:$CL$1,0)),"")</f>
        <v/>
      </c>
      <c r="D931" t="str">
        <f>IFERROR(INDEX('Master data'!$B$2:$CL$1000,MATCH($B931,'Master data'!$A$2:$A$1000,0),MATCH(D$1,'Master data'!$B$1:$CL$1,0)),"")</f>
        <v/>
      </c>
      <c r="E931" s="5" t="str">
        <f>IFERROR(INDEX('Master data'!$B$2:$CL$1000,MATCH($B931,'Master data'!$A$2:$A$1000,0),MATCH(E$1,'Master data'!$B$1:$CL$1,0)),"")</f>
        <v/>
      </c>
      <c r="F931" s="7" t="str">
        <f>IFERROR(INDEX('Master data'!$B$2:$CL$1000,MATCH($B931,'Master data'!$A$2:$A$1000,0),MATCH(F$1,'Master data'!$B$1:$CL$1,0)),"")</f>
        <v/>
      </c>
      <c r="G931" s="7" t="str">
        <f>IFERROR(INDEX('Master data'!$B$2:$CL$1000,MATCH($B931,'Master data'!$A$2:$A$1000,0),MATCH(G$1,'Master data'!$B$1:$CL$1,0)),"")</f>
        <v/>
      </c>
      <c r="H931" s="7" t="str">
        <f>IFERROR(INDEX('Master data'!$B$2:$CL$1000,MATCH($B931,'Master data'!$A$2:$A$1000,0),MATCH(H$1,'Master data'!$B$1:$CL$1,0)),"")</f>
        <v/>
      </c>
      <c r="I931" s="7" t="str">
        <f>IFERROR(INDEX('Master data'!$B$2:$CL$1000,MATCH($B931,'Master data'!$A$2:$A$1000,0),MATCH(I$1,'Master data'!$B$1:$CL$1,0)),"")</f>
        <v/>
      </c>
      <c r="J931" s="7" t="str">
        <f>IFERROR(INDEX('Master data'!$B$2:$CL$1000,MATCH($B931,'Master data'!$A$2:$A$1000,0),MATCH(J$1,'Master data'!$B$1:$CL$1,0)),"")</f>
        <v/>
      </c>
      <c r="K931" s="7" t="str">
        <f>IFERROR(INDEX('Master data'!$B$2:$CL$1000,MATCH($B931,'Master data'!$A$2:$A$1000,0),MATCH(K$1,'Master data'!$B$1:$CL$1,0)),"")</f>
        <v/>
      </c>
      <c r="L931" s="7" t="str">
        <f>IFERROR(INDEX('Master data'!$B$2:$CL$1000,MATCH($B931,'Master data'!$A$2:$A$1000,0),MATCH(L$1,'Master data'!$B$1:$CL$1,0)),"")</f>
        <v/>
      </c>
      <c r="M931" s="5" t="str">
        <f>IFERROR(INDEX('Master data'!$B$2:$CL$1000,MATCH($B931,'Master data'!$A$2:$A$1000,0),MATCH(M$1,'Master data'!$B$1:$CL$1,0)),"")</f>
        <v/>
      </c>
      <c r="N931" s="28" t="str">
        <f>IFERROR(INDEX('Master data'!$B$2:$CL$1000,MATCH($B931,'Master data'!$A$2:$A$1000,0),MATCH(N$1,'Master data'!$B$1:$CL$1,0)),"")</f>
        <v/>
      </c>
      <c r="O931" s="7" t="str">
        <f>IFERROR(INDEX('Master data'!$B$2:$CL$1000,MATCH($B931,'Master data'!$A$2:$A$1000,0),MATCH(O$1,'Master data'!$B$1:$CL$1,0)),"")</f>
        <v/>
      </c>
      <c r="P931" s="5" t="str">
        <f>IFERROR(INDEX('Master data'!$B$2:$CL$1000,MATCH($B931,'Master data'!$A$2:$A$1000,0),MATCH(P$1,'Master data'!$B$1:$CL$1,0)),"")</f>
        <v/>
      </c>
      <c r="Q931" s="5" t="str">
        <f>IFERROR(INDEX('Master data'!$B$2:$CL$1000,MATCH($B931,'Master data'!$A$2:$A$1000,0),MATCH(Q$1,'Master data'!$B$1:$CL$1,0)),"")</f>
        <v/>
      </c>
    </row>
    <row r="932" spans="1:17" hidden="1">
      <c r="A932" t="str">
        <f t="shared" si="14"/>
        <v/>
      </c>
      <c r="B932" t="str">
        <f>IF('Master data'!A932="","",'Master data'!A932)</f>
        <v/>
      </c>
      <c r="C932" t="str">
        <f>IFERROR(INDEX('Master data'!$B$2:$CL$1000,MATCH($B932,'Master data'!$A$2:$A$1000,0),MATCH(C$1,'Master data'!$B$1:$CL$1,0)),"")</f>
        <v/>
      </c>
      <c r="D932" t="str">
        <f>IFERROR(INDEX('Master data'!$B$2:$CL$1000,MATCH($B932,'Master data'!$A$2:$A$1000,0),MATCH(D$1,'Master data'!$B$1:$CL$1,0)),"")</f>
        <v/>
      </c>
      <c r="E932" s="5" t="str">
        <f>IFERROR(INDEX('Master data'!$B$2:$CL$1000,MATCH($B932,'Master data'!$A$2:$A$1000,0),MATCH(E$1,'Master data'!$B$1:$CL$1,0)),"")</f>
        <v/>
      </c>
      <c r="F932" s="7" t="str">
        <f>IFERROR(INDEX('Master data'!$B$2:$CL$1000,MATCH($B932,'Master data'!$A$2:$A$1000,0),MATCH(F$1,'Master data'!$B$1:$CL$1,0)),"")</f>
        <v/>
      </c>
      <c r="G932" s="7" t="str">
        <f>IFERROR(INDEX('Master data'!$B$2:$CL$1000,MATCH($B932,'Master data'!$A$2:$A$1000,0),MATCH(G$1,'Master data'!$B$1:$CL$1,0)),"")</f>
        <v/>
      </c>
      <c r="H932" s="7" t="str">
        <f>IFERROR(INDEX('Master data'!$B$2:$CL$1000,MATCH($B932,'Master data'!$A$2:$A$1000,0),MATCH(H$1,'Master data'!$B$1:$CL$1,0)),"")</f>
        <v/>
      </c>
      <c r="I932" s="7" t="str">
        <f>IFERROR(INDEX('Master data'!$B$2:$CL$1000,MATCH($B932,'Master data'!$A$2:$A$1000,0),MATCH(I$1,'Master data'!$B$1:$CL$1,0)),"")</f>
        <v/>
      </c>
      <c r="J932" s="7" t="str">
        <f>IFERROR(INDEX('Master data'!$B$2:$CL$1000,MATCH($B932,'Master data'!$A$2:$A$1000,0),MATCH(J$1,'Master data'!$B$1:$CL$1,0)),"")</f>
        <v/>
      </c>
      <c r="K932" s="7" t="str">
        <f>IFERROR(INDEX('Master data'!$B$2:$CL$1000,MATCH($B932,'Master data'!$A$2:$A$1000,0),MATCH(K$1,'Master data'!$B$1:$CL$1,0)),"")</f>
        <v/>
      </c>
      <c r="L932" s="7" t="str">
        <f>IFERROR(INDEX('Master data'!$B$2:$CL$1000,MATCH($B932,'Master data'!$A$2:$A$1000,0),MATCH(L$1,'Master data'!$B$1:$CL$1,0)),"")</f>
        <v/>
      </c>
      <c r="M932" s="5" t="str">
        <f>IFERROR(INDEX('Master data'!$B$2:$CL$1000,MATCH($B932,'Master data'!$A$2:$A$1000,0),MATCH(M$1,'Master data'!$B$1:$CL$1,0)),"")</f>
        <v/>
      </c>
      <c r="N932" s="28" t="str">
        <f>IFERROR(INDEX('Master data'!$B$2:$CL$1000,MATCH($B932,'Master data'!$A$2:$A$1000,0),MATCH(N$1,'Master data'!$B$1:$CL$1,0)),"")</f>
        <v/>
      </c>
      <c r="O932" s="7" t="str">
        <f>IFERROR(INDEX('Master data'!$B$2:$CL$1000,MATCH($B932,'Master data'!$A$2:$A$1000,0),MATCH(O$1,'Master data'!$B$1:$CL$1,0)),"")</f>
        <v/>
      </c>
      <c r="P932" s="5" t="str">
        <f>IFERROR(INDEX('Master data'!$B$2:$CL$1000,MATCH($B932,'Master data'!$A$2:$A$1000,0),MATCH(P$1,'Master data'!$B$1:$CL$1,0)),"")</f>
        <v/>
      </c>
      <c r="Q932" s="5" t="str">
        <f>IFERROR(INDEX('Master data'!$B$2:$CL$1000,MATCH($B932,'Master data'!$A$2:$A$1000,0),MATCH(Q$1,'Master data'!$B$1:$CL$1,0)),"")</f>
        <v/>
      </c>
    </row>
    <row r="933" spans="1:17" hidden="1">
      <c r="A933" t="str">
        <f t="shared" si="14"/>
        <v/>
      </c>
      <c r="B933" t="str">
        <f>IF('Master data'!A933="","",'Master data'!A933)</f>
        <v/>
      </c>
      <c r="C933" t="str">
        <f>IFERROR(INDEX('Master data'!$B$2:$CL$1000,MATCH($B933,'Master data'!$A$2:$A$1000,0),MATCH(C$1,'Master data'!$B$1:$CL$1,0)),"")</f>
        <v/>
      </c>
      <c r="D933" t="str">
        <f>IFERROR(INDEX('Master data'!$B$2:$CL$1000,MATCH($B933,'Master data'!$A$2:$A$1000,0),MATCH(D$1,'Master data'!$B$1:$CL$1,0)),"")</f>
        <v/>
      </c>
      <c r="E933" s="5" t="str">
        <f>IFERROR(INDEX('Master data'!$B$2:$CL$1000,MATCH($B933,'Master data'!$A$2:$A$1000,0),MATCH(E$1,'Master data'!$B$1:$CL$1,0)),"")</f>
        <v/>
      </c>
      <c r="F933" s="7" t="str">
        <f>IFERROR(INDEX('Master data'!$B$2:$CL$1000,MATCH($B933,'Master data'!$A$2:$A$1000,0),MATCH(F$1,'Master data'!$B$1:$CL$1,0)),"")</f>
        <v/>
      </c>
      <c r="G933" s="7" t="str">
        <f>IFERROR(INDEX('Master data'!$B$2:$CL$1000,MATCH($B933,'Master data'!$A$2:$A$1000,0),MATCH(G$1,'Master data'!$B$1:$CL$1,0)),"")</f>
        <v/>
      </c>
      <c r="H933" s="7" t="str">
        <f>IFERROR(INDEX('Master data'!$B$2:$CL$1000,MATCH($B933,'Master data'!$A$2:$A$1000,0),MATCH(H$1,'Master data'!$B$1:$CL$1,0)),"")</f>
        <v/>
      </c>
      <c r="I933" s="7" t="str">
        <f>IFERROR(INDEX('Master data'!$B$2:$CL$1000,MATCH($B933,'Master data'!$A$2:$A$1000,0),MATCH(I$1,'Master data'!$B$1:$CL$1,0)),"")</f>
        <v/>
      </c>
      <c r="J933" s="7" t="str">
        <f>IFERROR(INDEX('Master data'!$B$2:$CL$1000,MATCH($B933,'Master data'!$A$2:$A$1000,0),MATCH(J$1,'Master data'!$B$1:$CL$1,0)),"")</f>
        <v/>
      </c>
      <c r="K933" s="7" t="str">
        <f>IFERROR(INDEX('Master data'!$B$2:$CL$1000,MATCH($B933,'Master data'!$A$2:$A$1000,0),MATCH(K$1,'Master data'!$B$1:$CL$1,0)),"")</f>
        <v/>
      </c>
      <c r="L933" s="7" t="str">
        <f>IFERROR(INDEX('Master data'!$B$2:$CL$1000,MATCH($B933,'Master data'!$A$2:$A$1000,0),MATCH(L$1,'Master data'!$B$1:$CL$1,0)),"")</f>
        <v/>
      </c>
      <c r="M933" s="5" t="str">
        <f>IFERROR(INDEX('Master data'!$B$2:$CL$1000,MATCH($B933,'Master data'!$A$2:$A$1000,0),MATCH(M$1,'Master data'!$B$1:$CL$1,0)),"")</f>
        <v/>
      </c>
      <c r="N933" s="28" t="str">
        <f>IFERROR(INDEX('Master data'!$B$2:$CL$1000,MATCH($B933,'Master data'!$A$2:$A$1000,0),MATCH(N$1,'Master data'!$B$1:$CL$1,0)),"")</f>
        <v/>
      </c>
      <c r="O933" s="7" t="str">
        <f>IFERROR(INDEX('Master data'!$B$2:$CL$1000,MATCH($B933,'Master data'!$A$2:$A$1000,0),MATCH(O$1,'Master data'!$B$1:$CL$1,0)),"")</f>
        <v/>
      </c>
      <c r="P933" s="5" t="str">
        <f>IFERROR(INDEX('Master data'!$B$2:$CL$1000,MATCH($B933,'Master data'!$A$2:$A$1000,0),MATCH(P$1,'Master data'!$B$1:$CL$1,0)),"")</f>
        <v/>
      </c>
      <c r="Q933" s="5" t="str">
        <f>IFERROR(INDEX('Master data'!$B$2:$CL$1000,MATCH($B933,'Master data'!$A$2:$A$1000,0),MATCH(Q$1,'Master data'!$B$1:$CL$1,0)),"")</f>
        <v/>
      </c>
    </row>
    <row r="934" spans="1:17" hidden="1">
      <c r="A934" t="str">
        <f t="shared" si="14"/>
        <v/>
      </c>
      <c r="B934" t="str">
        <f>IF('Master data'!A934="","",'Master data'!A934)</f>
        <v/>
      </c>
      <c r="C934" t="str">
        <f>IFERROR(INDEX('Master data'!$B$2:$CL$1000,MATCH($B934,'Master data'!$A$2:$A$1000,0),MATCH(C$1,'Master data'!$B$1:$CL$1,0)),"")</f>
        <v/>
      </c>
      <c r="D934" t="str">
        <f>IFERROR(INDEX('Master data'!$B$2:$CL$1000,MATCH($B934,'Master data'!$A$2:$A$1000,0),MATCH(D$1,'Master data'!$B$1:$CL$1,0)),"")</f>
        <v/>
      </c>
      <c r="E934" s="5" t="str">
        <f>IFERROR(INDEX('Master data'!$B$2:$CL$1000,MATCH($B934,'Master data'!$A$2:$A$1000,0),MATCH(E$1,'Master data'!$B$1:$CL$1,0)),"")</f>
        <v/>
      </c>
      <c r="F934" s="7" t="str">
        <f>IFERROR(INDEX('Master data'!$B$2:$CL$1000,MATCH($B934,'Master data'!$A$2:$A$1000,0),MATCH(F$1,'Master data'!$B$1:$CL$1,0)),"")</f>
        <v/>
      </c>
      <c r="G934" s="7" t="str">
        <f>IFERROR(INDEX('Master data'!$B$2:$CL$1000,MATCH($B934,'Master data'!$A$2:$A$1000,0),MATCH(G$1,'Master data'!$B$1:$CL$1,0)),"")</f>
        <v/>
      </c>
      <c r="H934" s="7" t="str">
        <f>IFERROR(INDEX('Master data'!$B$2:$CL$1000,MATCH($B934,'Master data'!$A$2:$A$1000,0),MATCH(H$1,'Master data'!$B$1:$CL$1,0)),"")</f>
        <v/>
      </c>
      <c r="I934" s="7" t="str">
        <f>IFERROR(INDEX('Master data'!$B$2:$CL$1000,MATCH($B934,'Master data'!$A$2:$A$1000,0),MATCH(I$1,'Master data'!$B$1:$CL$1,0)),"")</f>
        <v/>
      </c>
      <c r="J934" s="7" t="str">
        <f>IFERROR(INDEX('Master data'!$B$2:$CL$1000,MATCH($B934,'Master data'!$A$2:$A$1000,0),MATCH(J$1,'Master data'!$B$1:$CL$1,0)),"")</f>
        <v/>
      </c>
      <c r="K934" s="7" t="str">
        <f>IFERROR(INDEX('Master data'!$B$2:$CL$1000,MATCH($B934,'Master data'!$A$2:$A$1000,0),MATCH(K$1,'Master data'!$B$1:$CL$1,0)),"")</f>
        <v/>
      </c>
      <c r="L934" s="7" t="str">
        <f>IFERROR(INDEX('Master data'!$B$2:$CL$1000,MATCH($B934,'Master data'!$A$2:$A$1000,0),MATCH(L$1,'Master data'!$B$1:$CL$1,0)),"")</f>
        <v/>
      </c>
      <c r="M934" s="5" t="str">
        <f>IFERROR(INDEX('Master data'!$B$2:$CL$1000,MATCH($B934,'Master data'!$A$2:$A$1000,0),MATCH(M$1,'Master data'!$B$1:$CL$1,0)),"")</f>
        <v/>
      </c>
      <c r="N934" s="28" t="str">
        <f>IFERROR(INDEX('Master data'!$B$2:$CL$1000,MATCH($B934,'Master data'!$A$2:$A$1000,0),MATCH(N$1,'Master data'!$B$1:$CL$1,0)),"")</f>
        <v/>
      </c>
      <c r="O934" s="7" t="str">
        <f>IFERROR(INDEX('Master data'!$B$2:$CL$1000,MATCH($B934,'Master data'!$A$2:$A$1000,0),MATCH(O$1,'Master data'!$B$1:$CL$1,0)),"")</f>
        <v/>
      </c>
      <c r="P934" s="5" t="str">
        <f>IFERROR(INDEX('Master data'!$B$2:$CL$1000,MATCH($B934,'Master data'!$A$2:$A$1000,0),MATCH(P$1,'Master data'!$B$1:$CL$1,0)),"")</f>
        <v/>
      </c>
      <c r="Q934" s="5" t="str">
        <f>IFERROR(INDEX('Master data'!$B$2:$CL$1000,MATCH($B934,'Master data'!$A$2:$A$1000,0),MATCH(Q$1,'Master data'!$B$1:$CL$1,0)),"")</f>
        <v/>
      </c>
    </row>
    <row r="935" spans="1:17" hidden="1">
      <c r="A935" t="str">
        <f t="shared" si="14"/>
        <v/>
      </c>
      <c r="B935" t="str">
        <f>IF('Master data'!A935="","",'Master data'!A935)</f>
        <v/>
      </c>
      <c r="C935" t="str">
        <f>IFERROR(INDEX('Master data'!$B$2:$CL$1000,MATCH($B935,'Master data'!$A$2:$A$1000,0),MATCH(C$1,'Master data'!$B$1:$CL$1,0)),"")</f>
        <v/>
      </c>
      <c r="D935" t="str">
        <f>IFERROR(INDEX('Master data'!$B$2:$CL$1000,MATCH($B935,'Master data'!$A$2:$A$1000,0),MATCH(D$1,'Master data'!$B$1:$CL$1,0)),"")</f>
        <v/>
      </c>
      <c r="E935" s="5" t="str">
        <f>IFERROR(INDEX('Master data'!$B$2:$CL$1000,MATCH($B935,'Master data'!$A$2:$A$1000,0),MATCH(E$1,'Master data'!$B$1:$CL$1,0)),"")</f>
        <v/>
      </c>
      <c r="F935" s="7" t="str">
        <f>IFERROR(INDEX('Master data'!$B$2:$CL$1000,MATCH($B935,'Master data'!$A$2:$A$1000,0),MATCH(F$1,'Master data'!$B$1:$CL$1,0)),"")</f>
        <v/>
      </c>
      <c r="G935" s="7" t="str">
        <f>IFERROR(INDEX('Master data'!$B$2:$CL$1000,MATCH($B935,'Master data'!$A$2:$A$1000,0),MATCH(G$1,'Master data'!$B$1:$CL$1,0)),"")</f>
        <v/>
      </c>
      <c r="H935" s="7" t="str">
        <f>IFERROR(INDEX('Master data'!$B$2:$CL$1000,MATCH($B935,'Master data'!$A$2:$A$1000,0),MATCH(H$1,'Master data'!$B$1:$CL$1,0)),"")</f>
        <v/>
      </c>
      <c r="I935" s="7" t="str">
        <f>IFERROR(INDEX('Master data'!$B$2:$CL$1000,MATCH($B935,'Master data'!$A$2:$A$1000,0),MATCH(I$1,'Master data'!$B$1:$CL$1,0)),"")</f>
        <v/>
      </c>
      <c r="J935" s="7" t="str">
        <f>IFERROR(INDEX('Master data'!$B$2:$CL$1000,MATCH($B935,'Master data'!$A$2:$A$1000,0),MATCH(J$1,'Master data'!$B$1:$CL$1,0)),"")</f>
        <v/>
      </c>
      <c r="K935" s="7" t="str">
        <f>IFERROR(INDEX('Master data'!$B$2:$CL$1000,MATCH($B935,'Master data'!$A$2:$A$1000,0),MATCH(K$1,'Master data'!$B$1:$CL$1,0)),"")</f>
        <v/>
      </c>
      <c r="L935" s="7" t="str">
        <f>IFERROR(INDEX('Master data'!$B$2:$CL$1000,MATCH($B935,'Master data'!$A$2:$A$1000,0),MATCH(L$1,'Master data'!$B$1:$CL$1,0)),"")</f>
        <v/>
      </c>
      <c r="M935" s="5" t="str">
        <f>IFERROR(INDEX('Master data'!$B$2:$CL$1000,MATCH($B935,'Master data'!$A$2:$A$1000,0),MATCH(M$1,'Master data'!$B$1:$CL$1,0)),"")</f>
        <v/>
      </c>
      <c r="N935" s="28" t="str">
        <f>IFERROR(INDEX('Master data'!$B$2:$CL$1000,MATCH($B935,'Master data'!$A$2:$A$1000,0),MATCH(N$1,'Master data'!$B$1:$CL$1,0)),"")</f>
        <v/>
      </c>
      <c r="O935" s="7" t="str">
        <f>IFERROR(INDEX('Master data'!$B$2:$CL$1000,MATCH($B935,'Master data'!$A$2:$A$1000,0),MATCH(O$1,'Master data'!$B$1:$CL$1,0)),"")</f>
        <v/>
      </c>
      <c r="P935" s="5" t="str">
        <f>IFERROR(INDEX('Master data'!$B$2:$CL$1000,MATCH($B935,'Master data'!$A$2:$A$1000,0),MATCH(P$1,'Master data'!$B$1:$CL$1,0)),"")</f>
        <v/>
      </c>
      <c r="Q935" s="5" t="str">
        <f>IFERROR(INDEX('Master data'!$B$2:$CL$1000,MATCH($B935,'Master data'!$A$2:$A$1000,0),MATCH(Q$1,'Master data'!$B$1:$CL$1,0)),"")</f>
        <v/>
      </c>
    </row>
    <row r="936" spans="1:17" hidden="1">
      <c r="A936" t="str">
        <f t="shared" si="14"/>
        <v/>
      </c>
      <c r="B936" t="str">
        <f>IF('Master data'!A936="","",'Master data'!A936)</f>
        <v/>
      </c>
      <c r="C936" t="str">
        <f>IFERROR(INDEX('Master data'!$B$2:$CL$1000,MATCH($B936,'Master data'!$A$2:$A$1000,0),MATCH(C$1,'Master data'!$B$1:$CL$1,0)),"")</f>
        <v/>
      </c>
      <c r="D936" t="str">
        <f>IFERROR(INDEX('Master data'!$B$2:$CL$1000,MATCH($B936,'Master data'!$A$2:$A$1000,0),MATCH(D$1,'Master data'!$B$1:$CL$1,0)),"")</f>
        <v/>
      </c>
      <c r="E936" s="5" t="str">
        <f>IFERROR(INDEX('Master data'!$B$2:$CL$1000,MATCH($B936,'Master data'!$A$2:$A$1000,0),MATCH(E$1,'Master data'!$B$1:$CL$1,0)),"")</f>
        <v/>
      </c>
      <c r="F936" s="7" t="str">
        <f>IFERROR(INDEX('Master data'!$B$2:$CL$1000,MATCH($B936,'Master data'!$A$2:$A$1000,0),MATCH(F$1,'Master data'!$B$1:$CL$1,0)),"")</f>
        <v/>
      </c>
      <c r="G936" s="7" t="str">
        <f>IFERROR(INDEX('Master data'!$B$2:$CL$1000,MATCH($B936,'Master data'!$A$2:$A$1000,0),MATCH(G$1,'Master data'!$B$1:$CL$1,0)),"")</f>
        <v/>
      </c>
      <c r="H936" s="7" t="str">
        <f>IFERROR(INDEX('Master data'!$B$2:$CL$1000,MATCH($B936,'Master data'!$A$2:$A$1000,0),MATCH(H$1,'Master data'!$B$1:$CL$1,0)),"")</f>
        <v/>
      </c>
      <c r="I936" s="7" t="str">
        <f>IFERROR(INDEX('Master data'!$B$2:$CL$1000,MATCH($B936,'Master data'!$A$2:$A$1000,0),MATCH(I$1,'Master data'!$B$1:$CL$1,0)),"")</f>
        <v/>
      </c>
      <c r="J936" s="7" t="str">
        <f>IFERROR(INDEX('Master data'!$B$2:$CL$1000,MATCH($B936,'Master data'!$A$2:$A$1000,0),MATCH(J$1,'Master data'!$B$1:$CL$1,0)),"")</f>
        <v/>
      </c>
      <c r="K936" s="7" t="str">
        <f>IFERROR(INDEX('Master data'!$B$2:$CL$1000,MATCH($B936,'Master data'!$A$2:$A$1000,0),MATCH(K$1,'Master data'!$B$1:$CL$1,0)),"")</f>
        <v/>
      </c>
      <c r="L936" s="7" t="str">
        <f>IFERROR(INDEX('Master data'!$B$2:$CL$1000,MATCH($B936,'Master data'!$A$2:$A$1000,0),MATCH(L$1,'Master data'!$B$1:$CL$1,0)),"")</f>
        <v/>
      </c>
      <c r="M936" s="5" t="str">
        <f>IFERROR(INDEX('Master data'!$B$2:$CL$1000,MATCH($B936,'Master data'!$A$2:$A$1000,0),MATCH(M$1,'Master data'!$B$1:$CL$1,0)),"")</f>
        <v/>
      </c>
      <c r="N936" s="28" t="str">
        <f>IFERROR(INDEX('Master data'!$B$2:$CL$1000,MATCH($B936,'Master data'!$A$2:$A$1000,0),MATCH(N$1,'Master data'!$B$1:$CL$1,0)),"")</f>
        <v/>
      </c>
      <c r="O936" s="7" t="str">
        <f>IFERROR(INDEX('Master data'!$B$2:$CL$1000,MATCH($B936,'Master data'!$A$2:$A$1000,0),MATCH(O$1,'Master data'!$B$1:$CL$1,0)),"")</f>
        <v/>
      </c>
      <c r="P936" s="5" t="str">
        <f>IFERROR(INDEX('Master data'!$B$2:$CL$1000,MATCH($B936,'Master data'!$A$2:$A$1000,0),MATCH(P$1,'Master data'!$B$1:$CL$1,0)),"")</f>
        <v/>
      </c>
      <c r="Q936" s="5" t="str">
        <f>IFERROR(INDEX('Master data'!$B$2:$CL$1000,MATCH($B936,'Master data'!$A$2:$A$1000,0),MATCH(Q$1,'Master data'!$B$1:$CL$1,0)),"")</f>
        <v/>
      </c>
    </row>
    <row r="937" spans="1:17" hidden="1">
      <c r="A937" t="str">
        <f t="shared" si="14"/>
        <v/>
      </c>
      <c r="B937" t="str">
        <f>IF('Master data'!A937="","",'Master data'!A937)</f>
        <v/>
      </c>
      <c r="C937" t="str">
        <f>IFERROR(INDEX('Master data'!$B$2:$CL$1000,MATCH($B937,'Master data'!$A$2:$A$1000,0),MATCH(C$1,'Master data'!$B$1:$CL$1,0)),"")</f>
        <v/>
      </c>
      <c r="D937" t="str">
        <f>IFERROR(INDEX('Master data'!$B$2:$CL$1000,MATCH($B937,'Master data'!$A$2:$A$1000,0),MATCH(D$1,'Master data'!$B$1:$CL$1,0)),"")</f>
        <v/>
      </c>
      <c r="E937" s="5" t="str">
        <f>IFERROR(INDEX('Master data'!$B$2:$CL$1000,MATCH($B937,'Master data'!$A$2:$A$1000,0),MATCH(E$1,'Master data'!$B$1:$CL$1,0)),"")</f>
        <v/>
      </c>
      <c r="F937" s="7" t="str">
        <f>IFERROR(INDEX('Master data'!$B$2:$CL$1000,MATCH($B937,'Master data'!$A$2:$A$1000,0),MATCH(F$1,'Master data'!$B$1:$CL$1,0)),"")</f>
        <v/>
      </c>
      <c r="G937" s="7" t="str">
        <f>IFERROR(INDEX('Master data'!$B$2:$CL$1000,MATCH($B937,'Master data'!$A$2:$A$1000,0),MATCH(G$1,'Master data'!$B$1:$CL$1,0)),"")</f>
        <v/>
      </c>
      <c r="H937" s="7" t="str">
        <f>IFERROR(INDEX('Master data'!$B$2:$CL$1000,MATCH($B937,'Master data'!$A$2:$A$1000,0),MATCH(H$1,'Master data'!$B$1:$CL$1,0)),"")</f>
        <v/>
      </c>
      <c r="I937" s="7" t="str">
        <f>IFERROR(INDEX('Master data'!$B$2:$CL$1000,MATCH($B937,'Master data'!$A$2:$A$1000,0),MATCH(I$1,'Master data'!$B$1:$CL$1,0)),"")</f>
        <v/>
      </c>
      <c r="J937" s="7" t="str">
        <f>IFERROR(INDEX('Master data'!$B$2:$CL$1000,MATCH($B937,'Master data'!$A$2:$A$1000,0),MATCH(J$1,'Master data'!$B$1:$CL$1,0)),"")</f>
        <v/>
      </c>
      <c r="K937" s="7" t="str">
        <f>IFERROR(INDEX('Master data'!$B$2:$CL$1000,MATCH($B937,'Master data'!$A$2:$A$1000,0),MATCH(K$1,'Master data'!$B$1:$CL$1,0)),"")</f>
        <v/>
      </c>
      <c r="L937" s="7" t="str">
        <f>IFERROR(INDEX('Master data'!$B$2:$CL$1000,MATCH($B937,'Master data'!$A$2:$A$1000,0),MATCH(L$1,'Master data'!$B$1:$CL$1,0)),"")</f>
        <v/>
      </c>
      <c r="M937" s="5" t="str">
        <f>IFERROR(INDEX('Master data'!$B$2:$CL$1000,MATCH($B937,'Master data'!$A$2:$A$1000,0),MATCH(M$1,'Master data'!$B$1:$CL$1,0)),"")</f>
        <v/>
      </c>
      <c r="N937" s="28" t="str">
        <f>IFERROR(INDEX('Master data'!$B$2:$CL$1000,MATCH($B937,'Master data'!$A$2:$A$1000,0),MATCH(N$1,'Master data'!$B$1:$CL$1,0)),"")</f>
        <v/>
      </c>
      <c r="O937" s="7" t="str">
        <f>IFERROR(INDEX('Master data'!$B$2:$CL$1000,MATCH($B937,'Master data'!$A$2:$A$1000,0),MATCH(O$1,'Master data'!$B$1:$CL$1,0)),"")</f>
        <v/>
      </c>
      <c r="P937" s="5" t="str">
        <f>IFERROR(INDEX('Master data'!$B$2:$CL$1000,MATCH($B937,'Master data'!$A$2:$A$1000,0),MATCH(P$1,'Master data'!$B$1:$CL$1,0)),"")</f>
        <v/>
      </c>
      <c r="Q937" s="5" t="str">
        <f>IFERROR(INDEX('Master data'!$B$2:$CL$1000,MATCH($B937,'Master data'!$A$2:$A$1000,0),MATCH(Q$1,'Master data'!$B$1:$CL$1,0)),"")</f>
        <v/>
      </c>
    </row>
    <row r="938" spans="1:17" hidden="1">
      <c r="A938" t="str">
        <f t="shared" si="14"/>
        <v/>
      </c>
      <c r="B938" t="str">
        <f>IF('Master data'!A938="","",'Master data'!A938)</f>
        <v/>
      </c>
      <c r="C938" t="str">
        <f>IFERROR(INDEX('Master data'!$B$2:$CL$1000,MATCH($B938,'Master data'!$A$2:$A$1000,0),MATCH(C$1,'Master data'!$B$1:$CL$1,0)),"")</f>
        <v/>
      </c>
      <c r="D938" t="str">
        <f>IFERROR(INDEX('Master data'!$B$2:$CL$1000,MATCH($B938,'Master data'!$A$2:$A$1000,0),MATCH(D$1,'Master data'!$B$1:$CL$1,0)),"")</f>
        <v/>
      </c>
      <c r="E938" s="5" t="str">
        <f>IFERROR(INDEX('Master data'!$B$2:$CL$1000,MATCH($B938,'Master data'!$A$2:$A$1000,0),MATCH(E$1,'Master data'!$B$1:$CL$1,0)),"")</f>
        <v/>
      </c>
      <c r="F938" s="7" t="str">
        <f>IFERROR(INDEX('Master data'!$B$2:$CL$1000,MATCH($B938,'Master data'!$A$2:$A$1000,0),MATCH(F$1,'Master data'!$B$1:$CL$1,0)),"")</f>
        <v/>
      </c>
      <c r="G938" s="7" t="str">
        <f>IFERROR(INDEX('Master data'!$B$2:$CL$1000,MATCH($B938,'Master data'!$A$2:$A$1000,0),MATCH(G$1,'Master data'!$B$1:$CL$1,0)),"")</f>
        <v/>
      </c>
      <c r="H938" s="7" t="str">
        <f>IFERROR(INDEX('Master data'!$B$2:$CL$1000,MATCH($B938,'Master data'!$A$2:$A$1000,0),MATCH(H$1,'Master data'!$B$1:$CL$1,0)),"")</f>
        <v/>
      </c>
      <c r="I938" s="7" t="str">
        <f>IFERROR(INDEX('Master data'!$B$2:$CL$1000,MATCH($B938,'Master data'!$A$2:$A$1000,0),MATCH(I$1,'Master data'!$B$1:$CL$1,0)),"")</f>
        <v/>
      </c>
      <c r="J938" s="7" t="str">
        <f>IFERROR(INDEX('Master data'!$B$2:$CL$1000,MATCH($B938,'Master data'!$A$2:$A$1000,0),MATCH(J$1,'Master data'!$B$1:$CL$1,0)),"")</f>
        <v/>
      </c>
      <c r="K938" s="7" t="str">
        <f>IFERROR(INDEX('Master data'!$B$2:$CL$1000,MATCH($B938,'Master data'!$A$2:$A$1000,0),MATCH(K$1,'Master data'!$B$1:$CL$1,0)),"")</f>
        <v/>
      </c>
      <c r="L938" s="7" t="str">
        <f>IFERROR(INDEX('Master data'!$B$2:$CL$1000,MATCH($B938,'Master data'!$A$2:$A$1000,0),MATCH(L$1,'Master data'!$B$1:$CL$1,0)),"")</f>
        <v/>
      </c>
      <c r="M938" s="5" t="str">
        <f>IFERROR(INDEX('Master data'!$B$2:$CL$1000,MATCH($B938,'Master data'!$A$2:$A$1000,0),MATCH(M$1,'Master data'!$B$1:$CL$1,0)),"")</f>
        <v/>
      </c>
      <c r="N938" s="28" t="str">
        <f>IFERROR(INDEX('Master data'!$B$2:$CL$1000,MATCH($B938,'Master data'!$A$2:$A$1000,0),MATCH(N$1,'Master data'!$B$1:$CL$1,0)),"")</f>
        <v/>
      </c>
      <c r="O938" s="7" t="str">
        <f>IFERROR(INDEX('Master data'!$B$2:$CL$1000,MATCH($B938,'Master data'!$A$2:$A$1000,0),MATCH(O$1,'Master data'!$B$1:$CL$1,0)),"")</f>
        <v/>
      </c>
      <c r="P938" s="5" t="str">
        <f>IFERROR(INDEX('Master data'!$B$2:$CL$1000,MATCH($B938,'Master data'!$A$2:$A$1000,0),MATCH(P$1,'Master data'!$B$1:$CL$1,0)),"")</f>
        <v/>
      </c>
      <c r="Q938" s="5" t="str">
        <f>IFERROR(INDEX('Master data'!$B$2:$CL$1000,MATCH($B938,'Master data'!$A$2:$A$1000,0),MATCH(Q$1,'Master data'!$B$1:$CL$1,0)),"")</f>
        <v/>
      </c>
    </row>
    <row r="939" spans="1:17" hidden="1">
      <c r="A939" t="str">
        <f t="shared" si="14"/>
        <v/>
      </c>
      <c r="B939" t="str">
        <f>IF('Master data'!A939="","",'Master data'!A939)</f>
        <v/>
      </c>
      <c r="C939" t="str">
        <f>IFERROR(INDEX('Master data'!$B$2:$CL$1000,MATCH($B939,'Master data'!$A$2:$A$1000,0),MATCH(C$1,'Master data'!$B$1:$CL$1,0)),"")</f>
        <v/>
      </c>
      <c r="D939" t="str">
        <f>IFERROR(INDEX('Master data'!$B$2:$CL$1000,MATCH($B939,'Master data'!$A$2:$A$1000,0),MATCH(D$1,'Master data'!$B$1:$CL$1,0)),"")</f>
        <v/>
      </c>
      <c r="E939" s="5" t="str">
        <f>IFERROR(INDEX('Master data'!$B$2:$CL$1000,MATCH($B939,'Master data'!$A$2:$A$1000,0),MATCH(E$1,'Master data'!$B$1:$CL$1,0)),"")</f>
        <v/>
      </c>
      <c r="F939" s="7" t="str">
        <f>IFERROR(INDEX('Master data'!$B$2:$CL$1000,MATCH($B939,'Master data'!$A$2:$A$1000,0),MATCH(F$1,'Master data'!$B$1:$CL$1,0)),"")</f>
        <v/>
      </c>
      <c r="G939" s="7" t="str">
        <f>IFERROR(INDEX('Master data'!$B$2:$CL$1000,MATCH($B939,'Master data'!$A$2:$A$1000,0),MATCH(G$1,'Master data'!$B$1:$CL$1,0)),"")</f>
        <v/>
      </c>
      <c r="H939" s="7" t="str">
        <f>IFERROR(INDEX('Master data'!$B$2:$CL$1000,MATCH($B939,'Master data'!$A$2:$A$1000,0),MATCH(H$1,'Master data'!$B$1:$CL$1,0)),"")</f>
        <v/>
      </c>
      <c r="I939" s="7" t="str">
        <f>IFERROR(INDEX('Master data'!$B$2:$CL$1000,MATCH($B939,'Master data'!$A$2:$A$1000,0),MATCH(I$1,'Master data'!$B$1:$CL$1,0)),"")</f>
        <v/>
      </c>
      <c r="J939" s="7" t="str">
        <f>IFERROR(INDEX('Master data'!$B$2:$CL$1000,MATCH($B939,'Master data'!$A$2:$A$1000,0),MATCH(J$1,'Master data'!$B$1:$CL$1,0)),"")</f>
        <v/>
      </c>
      <c r="K939" s="7" t="str">
        <f>IFERROR(INDEX('Master data'!$B$2:$CL$1000,MATCH($B939,'Master data'!$A$2:$A$1000,0),MATCH(K$1,'Master data'!$B$1:$CL$1,0)),"")</f>
        <v/>
      </c>
      <c r="L939" s="7" t="str">
        <f>IFERROR(INDEX('Master data'!$B$2:$CL$1000,MATCH($B939,'Master data'!$A$2:$A$1000,0),MATCH(L$1,'Master data'!$B$1:$CL$1,0)),"")</f>
        <v/>
      </c>
      <c r="M939" s="5" t="str">
        <f>IFERROR(INDEX('Master data'!$B$2:$CL$1000,MATCH($B939,'Master data'!$A$2:$A$1000,0),MATCH(M$1,'Master data'!$B$1:$CL$1,0)),"")</f>
        <v/>
      </c>
      <c r="N939" s="28" t="str">
        <f>IFERROR(INDEX('Master data'!$B$2:$CL$1000,MATCH($B939,'Master data'!$A$2:$A$1000,0),MATCH(N$1,'Master data'!$B$1:$CL$1,0)),"")</f>
        <v/>
      </c>
      <c r="O939" s="7" t="str">
        <f>IFERROR(INDEX('Master data'!$B$2:$CL$1000,MATCH($B939,'Master data'!$A$2:$A$1000,0),MATCH(O$1,'Master data'!$B$1:$CL$1,0)),"")</f>
        <v/>
      </c>
      <c r="P939" s="5" t="str">
        <f>IFERROR(INDEX('Master data'!$B$2:$CL$1000,MATCH($B939,'Master data'!$A$2:$A$1000,0),MATCH(P$1,'Master data'!$B$1:$CL$1,0)),"")</f>
        <v/>
      </c>
      <c r="Q939" s="5" t="str">
        <f>IFERROR(INDEX('Master data'!$B$2:$CL$1000,MATCH($B939,'Master data'!$A$2:$A$1000,0),MATCH(Q$1,'Master data'!$B$1:$CL$1,0)),"")</f>
        <v/>
      </c>
    </row>
    <row r="940" spans="1:17" hidden="1">
      <c r="A940" t="str">
        <f t="shared" si="14"/>
        <v/>
      </c>
      <c r="B940" t="str">
        <f>IF('Master data'!A940="","",'Master data'!A940)</f>
        <v/>
      </c>
      <c r="C940" t="str">
        <f>IFERROR(INDEX('Master data'!$B$2:$CL$1000,MATCH($B940,'Master data'!$A$2:$A$1000,0),MATCH(C$1,'Master data'!$B$1:$CL$1,0)),"")</f>
        <v/>
      </c>
      <c r="D940" t="str">
        <f>IFERROR(INDEX('Master data'!$B$2:$CL$1000,MATCH($B940,'Master data'!$A$2:$A$1000,0),MATCH(D$1,'Master data'!$B$1:$CL$1,0)),"")</f>
        <v/>
      </c>
      <c r="E940" s="5" t="str">
        <f>IFERROR(INDEX('Master data'!$B$2:$CL$1000,MATCH($B940,'Master data'!$A$2:$A$1000,0),MATCH(E$1,'Master data'!$B$1:$CL$1,0)),"")</f>
        <v/>
      </c>
      <c r="F940" s="7" t="str">
        <f>IFERROR(INDEX('Master data'!$B$2:$CL$1000,MATCH($B940,'Master data'!$A$2:$A$1000,0),MATCH(F$1,'Master data'!$B$1:$CL$1,0)),"")</f>
        <v/>
      </c>
      <c r="G940" s="7" t="str">
        <f>IFERROR(INDEX('Master data'!$B$2:$CL$1000,MATCH($B940,'Master data'!$A$2:$A$1000,0),MATCH(G$1,'Master data'!$B$1:$CL$1,0)),"")</f>
        <v/>
      </c>
      <c r="H940" s="7" t="str">
        <f>IFERROR(INDEX('Master data'!$B$2:$CL$1000,MATCH($B940,'Master data'!$A$2:$A$1000,0),MATCH(H$1,'Master data'!$B$1:$CL$1,0)),"")</f>
        <v/>
      </c>
      <c r="I940" s="7" t="str">
        <f>IFERROR(INDEX('Master data'!$B$2:$CL$1000,MATCH($B940,'Master data'!$A$2:$A$1000,0),MATCH(I$1,'Master data'!$B$1:$CL$1,0)),"")</f>
        <v/>
      </c>
      <c r="J940" s="7" t="str">
        <f>IFERROR(INDEX('Master data'!$B$2:$CL$1000,MATCH($B940,'Master data'!$A$2:$A$1000,0),MATCH(J$1,'Master data'!$B$1:$CL$1,0)),"")</f>
        <v/>
      </c>
      <c r="K940" s="7" t="str">
        <f>IFERROR(INDEX('Master data'!$B$2:$CL$1000,MATCH($B940,'Master data'!$A$2:$A$1000,0),MATCH(K$1,'Master data'!$B$1:$CL$1,0)),"")</f>
        <v/>
      </c>
      <c r="L940" s="7" t="str">
        <f>IFERROR(INDEX('Master data'!$B$2:$CL$1000,MATCH($B940,'Master data'!$A$2:$A$1000,0),MATCH(L$1,'Master data'!$B$1:$CL$1,0)),"")</f>
        <v/>
      </c>
      <c r="M940" s="5" t="str">
        <f>IFERROR(INDEX('Master data'!$B$2:$CL$1000,MATCH($B940,'Master data'!$A$2:$A$1000,0),MATCH(M$1,'Master data'!$B$1:$CL$1,0)),"")</f>
        <v/>
      </c>
      <c r="N940" s="28" t="str">
        <f>IFERROR(INDEX('Master data'!$B$2:$CL$1000,MATCH($B940,'Master data'!$A$2:$A$1000,0),MATCH(N$1,'Master data'!$B$1:$CL$1,0)),"")</f>
        <v/>
      </c>
      <c r="O940" s="7" t="str">
        <f>IFERROR(INDEX('Master data'!$B$2:$CL$1000,MATCH($B940,'Master data'!$A$2:$A$1000,0),MATCH(O$1,'Master data'!$B$1:$CL$1,0)),"")</f>
        <v/>
      </c>
      <c r="P940" s="5" t="str">
        <f>IFERROR(INDEX('Master data'!$B$2:$CL$1000,MATCH($B940,'Master data'!$A$2:$A$1000,0),MATCH(P$1,'Master data'!$B$1:$CL$1,0)),"")</f>
        <v/>
      </c>
      <c r="Q940" s="5" t="str">
        <f>IFERROR(INDEX('Master data'!$B$2:$CL$1000,MATCH($B940,'Master data'!$A$2:$A$1000,0),MATCH(Q$1,'Master data'!$B$1:$CL$1,0)),"")</f>
        <v/>
      </c>
    </row>
    <row r="941" spans="1:17" hidden="1">
      <c r="A941" t="str">
        <f t="shared" si="14"/>
        <v/>
      </c>
      <c r="B941" t="str">
        <f>IF('Master data'!A941="","",'Master data'!A941)</f>
        <v/>
      </c>
      <c r="C941" t="str">
        <f>IFERROR(INDEX('Master data'!$B$2:$CL$1000,MATCH($B941,'Master data'!$A$2:$A$1000,0),MATCH(C$1,'Master data'!$B$1:$CL$1,0)),"")</f>
        <v/>
      </c>
      <c r="D941" t="str">
        <f>IFERROR(INDEX('Master data'!$B$2:$CL$1000,MATCH($B941,'Master data'!$A$2:$A$1000,0),MATCH(D$1,'Master data'!$B$1:$CL$1,0)),"")</f>
        <v/>
      </c>
      <c r="E941" s="5" t="str">
        <f>IFERROR(INDEX('Master data'!$B$2:$CL$1000,MATCH($B941,'Master data'!$A$2:$A$1000,0),MATCH(E$1,'Master data'!$B$1:$CL$1,0)),"")</f>
        <v/>
      </c>
      <c r="F941" s="7" t="str">
        <f>IFERROR(INDEX('Master data'!$B$2:$CL$1000,MATCH($B941,'Master data'!$A$2:$A$1000,0),MATCH(F$1,'Master data'!$B$1:$CL$1,0)),"")</f>
        <v/>
      </c>
      <c r="G941" s="7" t="str">
        <f>IFERROR(INDEX('Master data'!$B$2:$CL$1000,MATCH($B941,'Master data'!$A$2:$A$1000,0),MATCH(G$1,'Master data'!$B$1:$CL$1,0)),"")</f>
        <v/>
      </c>
      <c r="H941" s="7" t="str">
        <f>IFERROR(INDEX('Master data'!$B$2:$CL$1000,MATCH($B941,'Master data'!$A$2:$A$1000,0),MATCH(H$1,'Master data'!$B$1:$CL$1,0)),"")</f>
        <v/>
      </c>
      <c r="I941" s="7" t="str">
        <f>IFERROR(INDEX('Master data'!$B$2:$CL$1000,MATCH($B941,'Master data'!$A$2:$A$1000,0),MATCH(I$1,'Master data'!$B$1:$CL$1,0)),"")</f>
        <v/>
      </c>
      <c r="J941" s="7" t="str">
        <f>IFERROR(INDEX('Master data'!$B$2:$CL$1000,MATCH($B941,'Master data'!$A$2:$A$1000,0),MATCH(J$1,'Master data'!$B$1:$CL$1,0)),"")</f>
        <v/>
      </c>
      <c r="K941" s="7" t="str">
        <f>IFERROR(INDEX('Master data'!$B$2:$CL$1000,MATCH($B941,'Master data'!$A$2:$A$1000,0),MATCH(K$1,'Master data'!$B$1:$CL$1,0)),"")</f>
        <v/>
      </c>
      <c r="L941" s="7" t="str">
        <f>IFERROR(INDEX('Master data'!$B$2:$CL$1000,MATCH($B941,'Master data'!$A$2:$A$1000,0),MATCH(L$1,'Master data'!$B$1:$CL$1,0)),"")</f>
        <v/>
      </c>
      <c r="M941" s="5" t="str">
        <f>IFERROR(INDEX('Master data'!$B$2:$CL$1000,MATCH($B941,'Master data'!$A$2:$A$1000,0),MATCH(M$1,'Master data'!$B$1:$CL$1,0)),"")</f>
        <v/>
      </c>
      <c r="N941" s="28" t="str">
        <f>IFERROR(INDEX('Master data'!$B$2:$CL$1000,MATCH($B941,'Master data'!$A$2:$A$1000,0),MATCH(N$1,'Master data'!$B$1:$CL$1,0)),"")</f>
        <v/>
      </c>
      <c r="O941" s="7" t="str">
        <f>IFERROR(INDEX('Master data'!$B$2:$CL$1000,MATCH($B941,'Master data'!$A$2:$A$1000,0),MATCH(O$1,'Master data'!$B$1:$CL$1,0)),"")</f>
        <v/>
      </c>
      <c r="P941" s="5" t="str">
        <f>IFERROR(INDEX('Master data'!$B$2:$CL$1000,MATCH($B941,'Master data'!$A$2:$A$1000,0),MATCH(P$1,'Master data'!$B$1:$CL$1,0)),"")</f>
        <v/>
      </c>
      <c r="Q941" s="5" t="str">
        <f>IFERROR(INDEX('Master data'!$B$2:$CL$1000,MATCH($B941,'Master data'!$A$2:$A$1000,0),MATCH(Q$1,'Master data'!$B$1:$CL$1,0)),"")</f>
        <v/>
      </c>
    </row>
    <row r="942" spans="1:17" hidden="1">
      <c r="A942" t="str">
        <f t="shared" si="14"/>
        <v/>
      </c>
      <c r="B942" t="str">
        <f>IF('Master data'!A942="","",'Master data'!A942)</f>
        <v/>
      </c>
      <c r="C942" t="str">
        <f>IFERROR(INDEX('Master data'!$B$2:$CL$1000,MATCH($B942,'Master data'!$A$2:$A$1000,0),MATCH(C$1,'Master data'!$B$1:$CL$1,0)),"")</f>
        <v/>
      </c>
      <c r="D942" t="str">
        <f>IFERROR(INDEX('Master data'!$B$2:$CL$1000,MATCH($B942,'Master data'!$A$2:$A$1000,0),MATCH(D$1,'Master data'!$B$1:$CL$1,0)),"")</f>
        <v/>
      </c>
      <c r="E942" s="5" t="str">
        <f>IFERROR(INDEX('Master data'!$B$2:$CL$1000,MATCH($B942,'Master data'!$A$2:$A$1000,0),MATCH(E$1,'Master data'!$B$1:$CL$1,0)),"")</f>
        <v/>
      </c>
      <c r="F942" s="7" t="str">
        <f>IFERROR(INDEX('Master data'!$B$2:$CL$1000,MATCH($B942,'Master data'!$A$2:$A$1000,0),MATCH(F$1,'Master data'!$B$1:$CL$1,0)),"")</f>
        <v/>
      </c>
      <c r="G942" s="7" t="str">
        <f>IFERROR(INDEX('Master data'!$B$2:$CL$1000,MATCH($B942,'Master data'!$A$2:$A$1000,0),MATCH(G$1,'Master data'!$B$1:$CL$1,0)),"")</f>
        <v/>
      </c>
      <c r="H942" s="7" t="str">
        <f>IFERROR(INDEX('Master data'!$B$2:$CL$1000,MATCH($B942,'Master data'!$A$2:$A$1000,0),MATCH(H$1,'Master data'!$B$1:$CL$1,0)),"")</f>
        <v/>
      </c>
      <c r="I942" s="7" t="str">
        <f>IFERROR(INDEX('Master data'!$B$2:$CL$1000,MATCH($B942,'Master data'!$A$2:$A$1000,0),MATCH(I$1,'Master data'!$B$1:$CL$1,0)),"")</f>
        <v/>
      </c>
      <c r="J942" s="7" t="str">
        <f>IFERROR(INDEX('Master data'!$B$2:$CL$1000,MATCH($B942,'Master data'!$A$2:$A$1000,0),MATCH(J$1,'Master data'!$B$1:$CL$1,0)),"")</f>
        <v/>
      </c>
      <c r="K942" s="7" t="str">
        <f>IFERROR(INDEX('Master data'!$B$2:$CL$1000,MATCH($B942,'Master data'!$A$2:$A$1000,0),MATCH(K$1,'Master data'!$B$1:$CL$1,0)),"")</f>
        <v/>
      </c>
      <c r="L942" s="7" t="str">
        <f>IFERROR(INDEX('Master data'!$B$2:$CL$1000,MATCH($B942,'Master data'!$A$2:$A$1000,0),MATCH(L$1,'Master data'!$B$1:$CL$1,0)),"")</f>
        <v/>
      </c>
      <c r="M942" s="5" t="str">
        <f>IFERROR(INDEX('Master data'!$B$2:$CL$1000,MATCH($B942,'Master data'!$A$2:$A$1000,0),MATCH(M$1,'Master data'!$B$1:$CL$1,0)),"")</f>
        <v/>
      </c>
      <c r="N942" s="28" t="str">
        <f>IFERROR(INDEX('Master data'!$B$2:$CL$1000,MATCH($B942,'Master data'!$A$2:$A$1000,0),MATCH(N$1,'Master data'!$B$1:$CL$1,0)),"")</f>
        <v/>
      </c>
      <c r="O942" s="7" t="str">
        <f>IFERROR(INDEX('Master data'!$B$2:$CL$1000,MATCH($B942,'Master data'!$A$2:$A$1000,0),MATCH(O$1,'Master data'!$B$1:$CL$1,0)),"")</f>
        <v/>
      </c>
      <c r="P942" s="5" t="str">
        <f>IFERROR(INDEX('Master data'!$B$2:$CL$1000,MATCH($B942,'Master data'!$A$2:$A$1000,0),MATCH(P$1,'Master data'!$B$1:$CL$1,0)),"")</f>
        <v/>
      </c>
      <c r="Q942" s="5" t="str">
        <f>IFERROR(INDEX('Master data'!$B$2:$CL$1000,MATCH($B942,'Master data'!$A$2:$A$1000,0),MATCH(Q$1,'Master data'!$B$1:$CL$1,0)),"")</f>
        <v/>
      </c>
    </row>
    <row r="943" spans="1:17" hidden="1">
      <c r="A943" t="str">
        <f t="shared" si="14"/>
        <v/>
      </c>
      <c r="B943" t="str">
        <f>IF('Master data'!A943="","",'Master data'!A943)</f>
        <v/>
      </c>
      <c r="C943" t="str">
        <f>IFERROR(INDEX('Master data'!$B$2:$CL$1000,MATCH($B943,'Master data'!$A$2:$A$1000,0),MATCH(C$1,'Master data'!$B$1:$CL$1,0)),"")</f>
        <v/>
      </c>
      <c r="D943" t="str">
        <f>IFERROR(INDEX('Master data'!$B$2:$CL$1000,MATCH($B943,'Master data'!$A$2:$A$1000,0),MATCH(D$1,'Master data'!$B$1:$CL$1,0)),"")</f>
        <v/>
      </c>
      <c r="E943" s="5" t="str">
        <f>IFERROR(INDEX('Master data'!$B$2:$CL$1000,MATCH($B943,'Master data'!$A$2:$A$1000,0),MATCH(E$1,'Master data'!$B$1:$CL$1,0)),"")</f>
        <v/>
      </c>
      <c r="F943" s="7" t="str">
        <f>IFERROR(INDEX('Master data'!$B$2:$CL$1000,MATCH($B943,'Master data'!$A$2:$A$1000,0),MATCH(F$1,'Master data'!$B$1:$CL$1,0)),"")</f>
        <v/>
      </c>
      <c r="G943" s="7" t="str">
        <f>IFERROR(INDEX('Master data'!$B$2:$CL$1000,MATCH($B943,'Master data'!$A$2:$A$1000,0),MATCH(G$1,'Master data'!$B$1:$CL$1,0)),"")</f>
        <v/>
      </c>
      <c r="H943" s="7" t="str">
        <f>IFERROR(INDEX('Master data'!$B$2:$CL$1000,MATCH($B943,'Master data'!$A$2:$A$1000,0),MATCH(H$1,'Master data'!$B$1:$CL$1,0)),"")</f>
        <v/>
      </c>
      <c r="I943" s="7" t="str">
        <f>IFERROR(INDEX('Master data'!$B$2:$CL$1000,MATCH($B943,'Master data'!$A$2:$A$1000,0),MATCH(I$1,'Master data'!$B$1:$CL$1,0)),"")</f>
        <v/>
      </c>
      <c r="J943" s="7" t="str">
        <f>IFERROR(INDEX('Master data'!$B$2:$CL$1000,MATCH($B943,'Master data'!$A$2:$A$1000,0),MATCH(J$1,'Master data'!$B$1:$CL$1,0)),"")</f>
        <v/>
      </c>
      <c r="K943" s="7" t="str">
        <f>IFERROR(INDEX('Master data'!$B$2:$CL$1000,MATCH($B943,'Master data'!$A$2:$A$1000,0),MATCH(K$1,'Master data'!$B$1:$CL$1,0)),"")</f>
        <v/>
      </c>
      <c r="L943" s="7" t="str">
        <f>IFERROR(INDEX('Master data'!$B$2:$CL$1000,MATCH($B943,'Master data'!$A$2:$A$1000,0),MATCH(L$1,'Master data'!$B$1:$CL$1,0)),"")</f>
        <v/>
      </c>
      <c r="M943" s="5" t="str">
        <f>IFERROR(INDEX('Master data'!$B$2:$CL$1000,MATCH($B943,'Master data'!$A$2:$A$1000,0),MATCH(M$1,'Master data'!$B$1:$CL$1,0)),"")</f>
        <v/>
      </c>
      <c r="N943" s="28" t="str">
        <f>IFERROR(INDEX('Master data'!$B$2:$CL$1000,MATCH($B943,'Master data'!$A$2:$A$1000,0),MATCH(N$1,'Master data'!$B$1:$CL$1,0)),"")</f>
        <v/>
      </c>
      <c r="O943" s="7" t="str">
        <f>IFERROR(INDEX('Master data'!$B$2:$CL$1000,MATCH($B943,'Master data'!$A$2:$A$1000,0),MATCH(O$1,'Master data'!$B$1:$CL$1,0)),"")</f>
        <v/>
      </c>
      <c r="P943" s="5" t="str">
        <f>IFERROR(INDEX('Master data'!$B$2:$CL$1000,MATCH($B943,'Master data'!$A$2:$A$1000,0),MATCH(P$1,'Master data'!$B$1:$CL$1,0)),"")</f>
        <v/>
      </c>
      <c r="Q943" s="5" t="str">
        <f>IFERROR(INDEX('Master data'!$B$2:$CL$1000,MATCH($B943,'Master data'!$A$2:$A$1000,0),MATCH(Q$1,'Master data'!$B$1:$CL$1,0)),"")</f>
        <v/>
      </c>
    </row>
    <row r="944" spans="1:17" hidden="1">
      <c r="A944" t="str">
        <f t="shared" si="14"/>
        <v/>
      </c>
      <c r="B944" t="str">
        <f>IF('Master data'!A944="","",'Master data'!A944)</f>
        <v/>
      </c>
      <c r="C944" t="str">
        <f>IFERROR(INDEX('Master data'!$B$2:$CL$1000,MATCH($B944,'Master data'!$A$2:$A$1000,0),MATCH(C$1,'Master data'!$B$1:$CL$1,0)),"")</f>
        <v/>
      </c>
      <c r="D944" t="str">
        <f>IFERROR(INDEX('Master data'!$B$2:$CL$1000,MATCH($B944,'Master data'!$A$2:$A$1000,0),MATCH(D$1,'Master data'!$B$1:$CL$1,0)),"")</f>
        <v/>
      </c>
      <c r="E944" s="5" t="str">
        <f>IFERROR(INDEX('Master data'!$B$2:$CL$1000,MATCH($B944,'Master data'!$A$2:$A$1000,0),MATCH(E$1,'Master data'!$B$1:$CL$1,0)),"")</f>
        <v/>
      </c>
      <c r="F944" s="7" t="str">
        <f>IFERROR(INDEX('Master data'!$B$2:$CL$1000,MATCH($B944,'Master data'!$A$2:$A$1000,0),MATCH(F$1,'Master data'!$B$1:$CL$1,0)),"")</f>
        <v/>
      </c>
      <c r="G944" s="7" t="str">
        <f>IFERROR(INDEX('Master data'!$B$2:$CL$1000,MATCH($B944,'Master data'!$A$2:$A$1000,0),MATCH(G$1,'Master data'!$B$1:$CL$1,0)),"")</f>
        <v/>
      </c>
      <c r="H944" s="7" t="str">
        <f>IFERROR(INDEX('Master data'!$B$2:$CL$1000,MATCH($B944,'Master data'!$A$2:$A$1000,0),MATCH(H$1,'Master data'!$B$1:$CL$1,0)),"")</f>
        <v/>
      </c>
      <c r="I944" s="7" t="str">
        <f>IFERROR(INDEX('Master data'!$B$2:$CL$1000,MATCH($B944,'Master data'!$A$2:$A$1000,0),MATCH(I$1,'Master data'!$B$1:$CL$1,0)),"")</f>
        <v/>
      </c>
      <c r="J944" s="7" t="str">
        <f>IFERROR(INDEX('Master data'!$B$2:$CL$1000,MATCH($B944,'Master data'!$A$2:$A$1000,0),MATCH(J$1,'Master data'!$B$1:$CL$1,0)),"")</f>
        <v/>
      </c>
      <c r="K944" s="7" t="str">
        <f>IFERROR(INDEX('Master data'!$B$2:$CL$1000,MATCH($B944,'Master data'!$A$2:$A$1000,0),MATCH(K$1,'Master data'!$B$1:$CL$1,0)),"")</f>
        <v/>
      </c>
      <c r="L944" s="7" t="str">
        <f>IFERROR(INDEX('Master data'!$B$2:$CL$1000,MATCH($B944,'Master data'!$A$2:$A$1000,0),MATCH(L$1,'Master data'!$B$1:$CL$1,0)),"")</f>
        <v/>
      </c>
      <c r="M944" s="5" t="str">
        <f>IFERROR(INDEX('Master data'!$B$2:$CL$1000,MATCH($B944,'Master data'!$A$2:$A$1000,0),MATCH(M$1,'Master data'!$B$1:$CL$1,0)),"")</f>
        <v/>
      </c>
      <c r="N944" s="28" t="str">
        <f>IFERROR(INDEX('Master data'!$B$2:$CL$1000,MATCH($B944,'Master data'!$A$2:$A$1000,0),MATCH(N$1,'Master data'!$B$1:$CL$1,0)),"")</f>
        <v/>
      </c>
      <c r="O944" s="7" t="str">
        <f>IFERROR(INDEX('Master data'!$B$2:$CL$1000,MATCH($B944,'Master data'!$A$2:$A$1000,0),MATCH(O$1,'Master data'!$B$1:$CL$1,0)),"")</f>
        <v/>
      </c>
      <c r="P944" s="5" t="str">
        <f>IFERROR(INDEX('Master data'!$B$2:$CL$1000,MATCH($B944,'Master data'!$A$2:$A$1000,0),MATCH(P$1,'Master data'!$B$1:$CL$1,0)),"")</f>
        <v/>
      </c>
      <c r="Q944" s="5" t="str">
        <f>IFERROR(INDEX('Master data'!$B$2:$CL$1000,MATCH($B944,'Master data'!$A$2:$A$1000,0),MATCH(Q$1,'Master data'!$B$1:$CL$1,0)),"")</f>
        <v/>
      </c>
    </row>
    <row r="945" spans="1:17" hidden="1">
      <c r="A945" t="str">
        <f t="shared" si="14"/>
        <v/>
      </c>
      <c r="B945" t="str">
        <f>IF('Master data'!A945="","",'Master data'!A945)</f>
        <v/>
      </c>
      <c r="C945" t="str">
        <f>IFERROR(INDEX('Master data'!$B$2:$CL$1000,MATCH($B945,'Master data'!$A$2:$A$1000,0),MATCH(C$1,'Master data'!$B$1:$CL$1,0)),"")</f>
        <v/>
      </c>
      <c r="D945" t="str">
        <f>IFERROR(INDEX('Master data'!$B$2:$CL$1000,MATCH($B945,'Master data'!$A$2:$A$1000,0),MATCH(D$1,'Master data'!$B$1:$CL$1,0)),"")</f>
        <v/>
      </c>
      <c r="E945" s="5" t="str">
        <f>IFERROR(INDEX('Master data'!$B$2:$CL$1000,MATCH($B945,'Master data'!$A$2:$A$1000,0),MATCH(E$1,'Master data'!$B$1:$CL$1,0)),"")</f>
        <v/>
      </c>
      <c r="F945" s="7" t="str">
        <f>IFERROR(INDEX('Master data'!$B$2:$CL$1000,MATCH($B945,'Master data'!$A$2:$A$1000,0),MATCH(F$1,'Master data'!$B$1:$CL$1,0)),"")</f>
        <v/>
      </c>
      <c r="G945" s="7" t="str">
        <f>IFERROR(INDEX('Master data'!$B$2:$CL$1000,MATCH($B945,'Master data'!$A$2:$A$1000,0),MATCH(G$1,'Master data'!$B$1:$CL$1,0)),"")</f>
        <v/>
      </c>
      <c r="H945" s="7" t="str">
        <f>IFERROR(INDEX('Master data'!$B$2:$CL$1000,MATCH($B945,'Master data'!$A$2:$A$1000,0),MATCH(H$1,'Master data'!$B$1:$CL$1,0)),"")</f>
        <v/>
      </c>
      <c r="I945" s="7" t="str">
        <f>IFERROR(INDEX('Master data'!$B$2:$CL$1000,MATCH($B945,'Master data'!$A$2:$A$1000,0),MATCH(I$1,'Master data'!$B$1:$CL$1,0)),"")</f>
        <v/>
      </c>
      <c r="J945" s="7" t="str">
        <f>IFERROR(INDEX('Master data'!$B$2:$CL$1000,MATCH($B945,'Master data'!$A$2:$A$1000,0),MATCH(J$1,'Master data'!$B$1:$CL$1,0)),"")</f>
        <v/>
      </c>
      <c r="K945" s="7" t="str">
        <f>IFERROR(INDEX('Master data'!$B$2:$CL$1000,MATCH($B945,'Master data'!$A$2:$A$1000,0),MATCH(K$1,'Master data'!$B$1:$CL$1,0)),"")</f>
        <v/>
      </c>
      <c r="L945" s="7" t="str">
        <f>IFERROR(INDEX('Master data'!$B$2:$CL$1000,MATCH($B945,'Master data'!$A$2:$A$1000,0),MATCH(L$1,'Master data'!$B$1:$CL$1,0)),"")</f>
        <v/>
      </c>
      <c r="M945" s="5" t="str">
        <f>IFERROR(INDEX('Master data'!$B$2:$CL$1000,MATCH($B945,'Master data'!$A$2:$A$1000,0),MATCH(M$1,'Master data'!$B$1:$CL$1,0)),"")</f>
        <v/>
      </c>
      <c r="N945" s="28" t="str">
        <f>IFERROR(INDEX('Master data'!$B$2:$CL$1000,MATCH($B945,'Master data'!$A$2:$A$1000,0),MATCH(N$1,'Master data'!$B$1:$CL$1,0)),"")</f>
        <v/>
      </c>
      <c r="O945" s="7" t="str">
        <f>IFERROR(INDEX('Master data'!$B$2:$CL$1000,MATCH($B945,'Master data'!$A$2:$A$1000,0),MATCH(O$1,'Master data'!$B$1:$CL$1,0)),"")</f>
        <v/>
      </c>
      <c r="P945" s="5" t="str">
        <f>IFERROR(INDEX('Master data'!$B$2:$CL$1000,MATCH($B945,'Master data'!$A$2:$A$1000,0),MATCH(P$1,'Master data'!$B$1:$CL$1,0)),"")</f>
        <v/>
      </c>
      <c r="Q945" s="5" t="str">
        <f>IFERROR(INDEX('Master data'!$B$2:$CL$1000,MATCH($B945,'Master data'!$A$2:$A$1000,0),MATCH(Q$1,'Master data'!$B$1:$CL$1,0)),"")</f>
        <v/>
      </c>
    </row>
    <row r="946" spans="1:17" hidden="1">
      <c r="A946" t="str">
        <f t="shared" si="14"/>
        <v/>
      </c>
      <c r="B946" t="str">
        <f>IF('Master data'!A946="","",'Master data'!A946)</f>
        <v/>
      </c>
      <c r="C946" t="str">
        <f>IFERROR(INDEX('Master data'!$B$2:$CL$1000,MATCH($B946,'Master data'!$A$2:$A$1000,0),MATCH(C$1,'Master data'!$B$1:$CL$1,0)),"")</f>
        <v/>
      </c>
      <c r="D946" t="str">
        <f>IFERROR(INDEX('Master data'!$B$2:$CL$1000,MATCH($B946,'Master data'!$A$2:$A$1000,0),MATCH(D$1,'Master data'!$B$1:$CL$1,0)),"")</f>
        <v/>
      </c>
      <c r="E946" s="5" t="str">
        <f>IFERROR(INDEX('Master data'!$B$2:$CL$1000,MATCH($B946,'Master data'!$A$2:$A$1000,0),MATCH(E$1,'Master data'!$B$1:$CL$1,0)),"")</f>
        <v/>
      </c>
      <c r="F946" s="7" t="str">
        <f>IFERROR(INDEX('Master data'!$B$2:$CL$1000,MATCH($B946,'Master data'!$A$2:$A$1000,0),MATCH(F$1,'Master data'!$B$1:$CL$1,0)),"")</f>
        <v/>
      </c>
      <c r="G946" s="7" t="str">
        <f>IFERROR(INDEX('Master data'!$B$2:$CL$1000,MATCH($B946,'Master data'!$A$2:$A$1000,0),MATCH(G$1,'Master data'!$B$1:$CL$1,0)),"")</f>
        <v/>
      </c>
      <c r="H946" s="7" t="str">
        <f>IFERROR(INDEX('Master data'!$B$2:$CL$1000,MATCH($B946,'Master data'!$A$2:$A$1000,0),MATCH(H$1,'Master data'!$B$1:$CL$1,0)),"")</f>
        <v/>
      </c>
      <c r="I946" s="7" t="str">
        <f>IFERROR(INDEX('Master data'!$B$2:$CL$1000,MATCH($B946,'Master data'!$A$2:$A$1000,0),MATCH(I$1,'Master data'!$B$1:$CL$1,0)),"")</f>
        <v/>
      </c>
      <c r="J946" s="7" t="str">
        <f>IFERROR(INDEX('Master data'!$B$2:$CL$1000,MATCH($B946,'Master data'!$A$2:$A$1000,0),MATCH(J$1,'Master data'!$B$1:$CL$1,0)),"")</f>
        <v/>
      </c>
      <c r="K946" s="7" t="str">
        <f>IFERROR(INDEX('Master data'!$B$2:$CL$1000,MATCH($B946,'Master data'!$A$2:$A$1000,0),MATCH(K$1,'Master data'!$B$1:$CL$1,0)),"")</f>
        <v/>
      </c>
      <c r="L946" s="7" t="str">
        <f>IFERROR(INDEX('Master data'!$B$2:$CL$1000,MATCH($B946,'Master data'!$A$2:$A$1000,0),MATCH(L$1,'Master data'!$B$1:$CL$1,0)),"")</f>
        <v/>
      </c>
      <c r="M946" s="5" t="str">
        <f>IFERROR(INDEX('Master data'!$B$2:$CL$1000,MATCH($B946,'Master data'!$A$2:$A$1000,0),MATCH(M$1,'Master data'!$B$1:$CL$1,0)),"")</f>
        <v/>
      </c>
      <c r="N946" s="28" t="str">
        <f>IFERROR(INDEX('Master data'!$B$2:$CL$1000,MATCH($B946,'Master data'!$A$2:$A$1000,0),MATCH(N$1,'Master data'!$B$1:$CL$1,0)),"")</f>
        <v/>
      </c>
      <c r="O946" s="7" t="str">
        <f>IFERROR(INDEX('Master data'!$B$2:$CL$1000,MATCH($B946,'Master data'!$A$2:$A$1000,0),MATCH(O$1,'Master data'!$B$1:$CL$1,0)),"")</f>
        <v/>
      </c>
      <c r="P946" s="5" t="str">
        <f>IFERROR(INDEX('Master data'!$B$2:$CL$1000,MATCH($B946,'Master data'!$A$2:$A$1000,0),MATCH(P$1,'Master data'!$B$1:$CL$1,0)),"")</f>
        <v/>
      </c>
      <c r="Q946" s="5" t="str">
        <f>IFERROR(INDEX('Master data'!$B$2:$CL$1000,MATCH($B946,'Master data'!$A$2:$A$1000,0),MATCH(Q$1,'Master data'!$B$1:$CL$1,0)),"")</f>
        <v/>
      </c>
    </row>
    <row r="947" spans="1:17" hidden="1">
      <c r="A947" t="str">
        <f t="shared" si="14"/>
        <v/>
      </c>
      <c r="B947" t="str">
        <f>IF('Master data'!A947="","",'Master data'!A947)</f>
        <v/>
      </c>
      <c r="C947" t="str">
        <f>IFERROR(INDEX('Master data'!$B$2:$CL$1000,MATCH($B947,'Master data'!$A$2:$A$1000,0),MATCH(C$1,'Master data'!$B$1:$CL$1,0)),"")</f>
        <v/>
      </c>
      <c r="D947" t="str">
        <f>IFERROR(INDEX('Master data'!$B$2:$CL$1000,MATCH($B947,'Master data'!$A$2:$A$1000,0),MATCH(D$1,'Master data'!$B$1:$CL$1,0)),"")</f>
        <v/>
      </c>
      <c r="E947" s="5" t="str">
        <f>IFERROR(INDEX('Master data'!$B$2:$CL$1000,MATCH($B947,'Master data'!$A$2:$A$1000,0),MATCH(E$1,'Master data'!$B$1:$CL$1,0)),"")</f>
        <v/>
      </c>
      <c r="F947" s="7" t="str">
        <f>IFERROR(INDEX('Master data'!$B$2:$CL$1000,MATCH($B947,'Master data'!$A$2:$A$1000,0),MATCH(F$1,'Master data'!$B$1:$CL$1,0)),"")</f>
        <v/>
      </c>
      <c r="G947" s="7" t="str">
        <f>IFERROR(INDEX('Master data'!$B$2:$CL$1000,MATCH($B947,'Master data'!$A$2:$A$1000,0),MATCH(G$1,'Master data'!$B$1:$CL$1,0)),"")</f>
        <v/>
      </c>
      <c r="H947" s="7" t="str">
        <f>IFERROR(INDEX('Master data'!$B$2:$CL$1000,MATCH($B947,'Master data'!$A$2:$A$1000,0),MATCH(H$1,'Master data'!$B$1:$CL$1,0)),"")</f>
        <v/>
      </c>
      <c r="I947" s="7" t="str">
        <f>IFERROR(INDEX('Master data'!$B$2:$CL$1000,MATCH($B947,'Master data'!$A$2:$A$1000,0),MATCH(I$1,'Master data'!$B$1:$CL$1,0)),"")</f>
        <v/>
      </c>
      <c r="J947" s="7" t="str">
        <f>IFERROR(INDEX('Master data'!$B$2:$CL$1000,MATCH($B947,'Master data'!$A$2:$A$1000,0),MATCH(J$1,'Master data'!$B$1:$CL$1,0)),"")</f>
        <v/>
      </c>
      <c r="K947" s="7" t="str">
        <f>IFERROR(INDEX('Master data'!$B$2:$CL$1000,MATCH($B947,'Master data'!$A$2:$A$1000,0),MATCH(K$1,'Master data'!$B$1:$CL$1,0)),"")</f>
        <v/>
      </c>
      <c r="L947" s="7" t="str">
        <f>IFERROR(INDEX('Master data'!$B$2:$CL$1000,MATCH($B947,'Master data'!$A$2:$A$1000,0),MATCH(L$1,'Master data'!$B$1:$CL$1,0)),"")</f>
        <v/>
      </c>
      <c r="M947" s="5" t="str">
        <f>IFERROR(INDEX('Master data'!$B$2:$CL$1000,MATCH($B947,'Master data'!$A$2:$A$1000,0),MATCH(M$1,'Master data'!$B$1:$CL$1,0)),"")</f>
        <v/>
      </c>
      <c r="N947" s="28" t="str">
        <f>IFERROR(INDEX('Master data'!$B$2:$CL$1000,MATCH($B947,'Master data'!$A$2:$A$1000,0),MATCH(N$1,'Master data'!$B$1:$CL$1,0)),"")</f>
        <v/>
      </c>
      <c r="O947" s="7" t="str">
        <f>IFERROR(INDEX('Master data'!$B$2:$CL$1000,MATCH($B947,'Master data'!$A$2:$A$1000,0),MATCH(O$1,'Master data'!$B$1:$CL$1,0)),"")</f>
        <v/>
      </c>
      <c r="P947" s="5" t="str">
        <f>IFERROR(INDEX('Master data'!$B$2:$CL$1000,MATCH($B947,'Master data'!$A$2:$A$1000,0),MATCH(P$1,'Master data'!$B$1:$CL$1,0)),"")</f>
        <v/>
      </c>
      <c r="Q947" s="5" t="str">
        <f>IFERROR(INDEX('Master data'!$B$2:$CL$1000,MATCH($B947,'Master data'!$A$2:$A$1000,0),MATCH(Q$1,'Master data'!$B$1:$CL$1,0)),"")</f>
        <v/>
      </c>
    </row>
    <row r="948" spans="1:17" hidden="1">
      <c r="A948" t="str">
        <f t="shared" si="14"/>
        <v/>
      </c>
      <c r="B948" t="str">
        <f>IF('Master data'!A948="","",'Master data'!A948)</f>
        <v/>
      </c>
      <c r="C948" t="str">
        <f>IFERROR(INDEX('Master data'!$B$2:$CL$1000,MATCH($B948,'Master data'!$A$2:$A$1000,0),MATCH(C$1,'Master data'!$B$1:$CL$1,0)),"")</f>
        <v/>
      </c>
      <c r="D948" t="str">
        <f>IFERROR(INDEX('Master data'!$B$2:$CL$1000,MATCH($B948,'Master data'!$A$2:$A$1000,0),MATCH(D$1,'Master data'!$B$1:$CL$1,0)),"")</f>
        <v/>
      </c>
      <c r="E948" s="5" t="str">
        <f>IFERROR(INDEX('Master data'!$B$2:$CL$1000,MATCH($B948,'Master data'!$A$2:$A$1000,0),MATCH(E$1,'Master data'!$B$1:$CL$1,0)),"")</f>
        <v/>
      </c>
      <c r="F948" s="7" t="str">
        <f>IFERROR(INDEX('Master data'!$B$2:$CL$1000,MATCH($B948,'Master data'!$A$2:$A$1000,0),MATCH(F$1,'Master data'!$B$1:$CL$1,0)),"")</f>
        <v/>
      </c>
      <c r="G948" s="7" t="str">
        <f>IFERROR(INDEX('Master data'!$B$2:$CL$1000,MATCH($B948,'Master data'!$A$2:$A$1000,0),MATCH(G$1,'Master data'!$B$1:$CL$1,0)),"")</f>
        <v/>
      </c>
      <c r="H948" s="7" t="str">
        <f>IFERROR(INDEX('Master data'!$B$2:$CL$1000,MATCH($B948,'Master data'!$A$2:$A$1000,0),MATCH(H$1,'Master data'!$B$1:$CL$1,0)),"")</f>
        <v/>
      </c>
      <c r="I948" s="7" t="str">
        <f>IFERROR(INDEX('Master data'!$B$2:$CL$1000,MATCH($B948,'Master data'!$A$2:$A$1000,0),MATCH(I$1,'Master data'!$B$1:$CL$1,0)),"")</f>
        <v/>
      </c>
      <c r="J948" s="7" t="str">
        <f>IFERROR(INDEX('Master data'!$B$2:$CL$1000,MATCH($B948,'Master data'!$A$2:$A$1000,0),MATCH(J$1,'Master data'!$B$1:$CL$1,0)),"")</f>
        <v/>
      </c>
      <c r="K948" s="7" t="str">
        <f>IFERROR(INDEX('Master data'!$B$2:$CL$1000,MATCH($B948,'Master data'!$A$2:$A$1000,0),MATCH(K$1,'Master data'!$B$1:$CL$1,0)),"")</f>
        <v/>
      </c>
      <c r="L948" s="7" t="str">
        <f>IFERROR(INDEX('Master data'!$B$2:$CL$1000,MATCH($B948,'Master data'!$A$2:$A$1000,0),MATCH(L$1,'Master data'!$B$1:$CL$1,0)),"")</f>
        <v/>
      </c>
      <c r="M948" s="5" t="str">
        <f>IFERROR(INDEX('Master data'!$B$2:$CL$1000,MATCH($B948,'Master data'!$A$2:$A$1000,0),MATCH(M$1,'Master data'!$B$1:$CL$1,0)),"")</f>
        <v/>
      </c>
      <c r="N948" s="28" t="str">
        <f>IFERROR(INDEX('Master data'!$B$2:$CL$1000,MATCH($B948,'Master data'!$A$2:$A$1000,0),MATCH(N$1,'Master data'!$B$1:$CL$1,0)),"")</f>
        <v/>
      </c>
      <c r="O948" s="7" t="str">
        <f>IFERROR(INDEX('Master data'!$B$2:$CL$1000,MATCH($B948,'Master data'!$A$2:$A$1000,0),MATCH(O$1,'Master data'!$B$1:$CL$1,0)),"")</f>
        <v/>
      </c>
      <c r="P948" s="5" t="str">
        <f>IFERROR(INDEX('Master data'!$B$2:$CL$1000,MATCH($B948,'Master data'!$A$2:$A$1000,0),MATCH(P$1,'Master data'!$B$1:$CL$1,0)),"")</f>
        <v/>
      </c>
      <c r="Q948" s="5" t="str">
        <f>IFERROR(INDEX('Master data'!$B$2:$CL$1000,MATCH($B948,'Master data'!$A$2:$A$1000,0),MATCH(Q$1,'Master data'!$B$1:$CL$1,0)),"")</f>
        <v/>
      </c>
    </row>
    <row r="949" spans="1:17" hidden="1">
      <c r="A949" t="str">
        <f t="shared" si="14"/>
        <v/>
      </c>
      <c r="B949" t="str">
        <f>IF('Master data'!A949="","",'Master data'!A949)</f>
        <v/>
      </c>
      <c r="C949" t="str">
        <f>IFERROR(INDEX('Master data'!$B$2:$CL$1000,MATCH($B949,'Master data'!$A$2:$A$1000,0),MATCH(C$1,'Master data'!$B$1:$CL$1,0)),"")</f>
        <v/>
      </c>
      <c r="D949" t="str">
        <f>IFERROR(INDEX('Master data'!$B$2:$CL$1000,MATCH($B949,'Master data'!$A$2:$A$1000,0),MATCH(D$1,'Master data'!$B$1:$CL$1,0)),"")</f>
        <v/>
      </c>
      <c r="E949" s="5" t="str">
        <f>IFERROR(INDEX('Master data'!$B$2:$CL$1000,MATCH($B949,'Master data'!$A$2:$A$1000,0),MATCH(E$1,'Master data'!$B$1:$CL$1,0)),"")</f>
        <v/>
      </c>
      <c r="F949" s="7" t="str">
        <f>IFERROR(INDEX('Master data'!$B$2:$CL$1000,MATCH($B949,'Master data'!$A$2:$A$1000,0),MATCH(F$1,'Master data'!$B$1:$CL$1,0)),"")</f>
        <v/>
      </c>
      <c r="G949" s="7" t="str">
        <f>IFERROR(INDEX('Master data'!$B$2:$CL$1000,MATCH($B949,'Master data'!$A$2:$A$1000,0),MATCH(G$1,'Master data'!$B$1:$CL$1,0)),"")</f>
        <v/>
      </c>
      <c r="H949" s="7" t="str">
        <f>IFERROR(INDEX('Master data'!$B$2:$CL$1000,MATCH($B949,'Master data'!$A$2:$A$1000,0),MATCH(H$1,'Master data'!$B$1:$CL$1,0)),"")</f>
        <v/>
      </c>
      <c r="I949" s="7" t="str">
        <f>IFERROR(INDEX('Master data'!$B$2:$CL$1000,MATCH($B949,'Master data'!$A$2:$A$1000,0),MATCH(I$1,'Master data'!$B$1:$CL$1,0)),"")</f>
        <v/>
      </c>
      <c r="J949" s="7" t="str">
        <f>IFERROR(INDEX('Master data'!$B$2:$CL$1000,MATCH($B949,'Master data'!$A$2:$A$1000,0),MATCH(J$1,'Master data'!$B$1:$CL$1,0)),"")</f>
        <v/>
      </c>
      <c r="K949" s="7" t="str">
        <f>IFERROR(INDEX('Master data'!$B$2:$CL$1000,MATCH($B949,'Master data'!$A$2:$A$1000,0),MATCH(K$1,'Master data'!$B$1:$CL$1,0)),"")</f>
        <v/>
      </c>
      <c r="L949" s="7" t="str">
        <f>IFERROR(INDEX('Master data'!$B$2:$CL$1000,MATCH($B949,'Master data'!$A$2:$A$1000,0),MATCH(L$1,'Master data'!$B$1:$CL$1,0)),"")</f>
        <v/>
      </c>
      <c r="M949" s="5" t="str">
        <f>IFERROR(INDEX('Master data'!$B$2:$CL$1000,MATCH($B949,'Master data'!$A$2:$A$1000,0),MATCH(M$1,'Master data'!$B$1:$CL$1,0)),"")</f>
        <v/>
      </c>
      <c r="N949" s="28" t="str">
        <f>IFERROR(INDEX('Master data'!$B$2:$CL$1000,MATCH($B949,'Master data'!$A$2:$A$1000,0),MATCH(N$1,'Master data'!$B$1:$CL$1,0)),"")</f>
        <v/>
      </c>
      <c r="O949" s="7" t="str">
        <f>IFERROR(INDEX('Master data'!$B$2:$CL$1000,MATCH($B949,'Master data'!$A$2:$A$1000,0),MATCH(O$1,'Master data'!$B$1:$CL$1,0)),"")</f>
        <v/>
      </c>
      <c r="P949" s="5" t="str">
        <f>IFERROR(INDEX('Master data'!$B$2:$CL$1000,MATCH($B949,'Master data'!$A$2:$A$1000,0),MATCH(P$1,'Master data'!$B$1:$CL$1,0)),"")</f>
        <v/>
      </c>
      <c r="Q949" s="5" t="str">
        <f>IFERROR(INDEX('Master data'!$B$2:$CL$1000,MATCH($B949,'Master data'!$A$2:$A$1000,0),MATCH(Q$1,'Master data'!$B$1:$CL$1,0)),"")</f>
        <v/>
      </c>
    </row>
    <row r="950" spans="1:17" hidden="1">
      <c r="A950" t="str">
        <f t="shared" si="14"/>
        <v/>
      </c>
      <c r="B950" t="str">
        <f>IF('Master data'!A950="","",'Master data'!A950)</f>
        <v/>
      </c>
      <c r="C950" t="str">
        <f>IFERROR(INDEX('Master data'!$B$2:$CL$1000,MATCH($B950,'Master data'!$A$2:$A$1000,0),MATCH(C$1,'Master data'!$B$1:$CL$1,0)),"")</f>
        <v/>
      </c>
      <c r="D950" t="str">
        <f>IFERROR(INDEX('Master data'!$B$2:$CL$1000,MATCH($B950,'Master data'!$A$2:$A$1000,0),MATCH(D$1,'Master data'!$B$1:$CL$1,0)),"")</f>
        <v/>
      </c>
      <c r="E950" s="5" t="str">
        <f>IFERROR(INDEX('Master data'!$B$2:$CL$1000,MATCH($B950,'Master data'!$A$2:$A$1000,0),MATCH(E$1,'Master data'!$B$1:$CL$1,0)),"")</f>
        <v/>
      </c>
      <c r="F950" s="7" t="str">
        <f>IFERROR(INDEX('Master data'!$B$2:$CL$1000,MATCH($B950,'Master data'!$A$2:$A$1000,0),MATCH(F$1,'Master data'!$B$1:$CL$1,0)),"")</f>
        <v/>
      </c>
      <c r="G950" s="7" t="str">
        <f>IFERROR(INDEX('Master data'!$B$2:$CL$1000,MATCH($B950,'Master data'!$A$2:$A$1000,0),MATCH(G$1,'Master data'!$B$1:$CL$1,0)),"")</f>
        <v/>
      </c>
      <c r="H950" s="7" t="str">
        <f>IFERROR(INDEX('Master data'!$B$2:$CL$1000,MATCH($B950,'Master data'!$A$2:$A$1000,0),MATCH(H$1,'Master data'!$B$1:$CL$1,0)),"")</f>
        <v/>
      </c>
      <c r="I950" s="7" t="str">
        <f>IFERROR(INDEX('Master data'!$B$2:$CL$1000,MATCH($B950,'Master data'!$A$2:$A$1000,0),MATCH(I$1,'Master data'!$B$1:$CL$1,0)),"")</f>
        <v/>
      </c>
      <c r="J950" s="7" t="str">
        <f>IFERROR(INDEX('Master data'!$B$2:$CL$1000,MATCH($B950,'Master data'!$A$2:$A$1000,0),MATCH(J$1,'Master data'!$B$1:$CL$1,0)),"")</f>
        <v/>
      </c>
      <c r="K950" s="7" t="str">
        <f>IFERROR(INDEX('Master data'!$B$2:$CL$1000,MATCH($B950,'Master data'!$A$2:$A$1000,0),MATCH(K$1,'Master data'!$B$1:$CL$1,0)),"")</f>
        <v/>
      </c>
      <c r="L950" s="7" t="str">
        <f>IFERROR(INDEX('Master data'!$B$2:$CL$1000,MATCH($B950,'Master data'!$A$2:$A$1000,0),MATCH(L$1,'Master data'!$B$1:$CL$1,0)),"")</f>
        <v/>
      </c>
      <c r="M950" s="5" t="str">
        <f>IFERROR(INDEX('Master data'!$B$2:$CL$1000,MATCH($B950,'Master data'!$A$2:$A$1000,0),MATCH(M$1,'Master data'!$B$1:$CL$1,0)),"")</f>
        <v/>
      </c>
      <c r="N950" s="28" t="str">
        <f>IFERROR(INDEX('Master data'!$B$2:$CL$1000,MATCH($B950,'Master data'!$A$2:$A$1000,0),MATCH(N$1,'Master data'!$B$1:$CL$1,0)),"")</f>
        <v/>
      </c>
      <c r="O950" s="7" t="str">
        <f>IFERROR(INDEX('Master data'!$B$2:$CL$1000,MATCH($B950,'Master data'!$A$2:$A$1000,0),MATCH(O$1,'Master data'!$B$1:$CL$1,0)),"")</f>
        <v/>
      </c>
      <c r="P950" s="5" t="str">
        <f>IFERROR(INDEX('Master data'!$B$2:$CL$1000,MATCH($B950,'Master data'!$A$2:$A$1000,0),MATCH(P$1,'Master data'!$B$1:$CL$1,0)),"")</f>
        <v/>
      </c>
      <c r="Q950" s="5" t="str">
        <f>IFERROR(INDEX('Master data'!$B$2:$CL$1000,MATCH($B950,'Master data'!$A$2:$A$1000,0),MATCH(Q$1,'Master data'!$B$1:$CL$1,0)),"")</f>
        <v/>
      </c>
    </row>
    <row r="951" spans="1:17" hidden="1">
      <c r="A951" t="str">
        <f t="shared" si="14"/>
        <v/>
      </c>
      <c r="B951" t="str">
        <f>IF('Master data'!A951="","",'Master data'!A951)</f>
        <v/>
      </c>
      <c r="C951" t="str">
        <f>IFERROR(INDEX('Master data'!$B$2:$CL$1000,MATCH($B951,'Master data'!$A$2:$A$1000,0),MATCH(C$1,'Master data'!$B$1:$CL$1,0)),"")</f>
        <v/>
      </c>
      <c r="D951" t="str">
        <f>IFERROR(INDEX('Master data'!$B$2:$CL$1000,MATCH($B951,'Master data'!$A$2:$A$1000,0),MATCH(D$1,'Master data'!$B$1:$CL$1,0)),"")</f>
        <v/>
      </c>
      <c r="E951" s="5" t="str">
        <f>IFERROR(INDEX('Master data'!$B$2:$CL$1000,MATCH($B951,'Master data'!$A$2:$A$1000,0),MATCH(E$1,'Master data'!$B$1:$CL$1,0)),"")</f>
        <v/>
      </c>
      <c r="F951" s="7" t="str">
        <f>IFERROR(INDEX('Master data'!$B$2:$CL$1000,MATCH($B951,'Master data'!$A$2:$A$1000,0),MATCH(F$1,'Master data'!$B$1:$CL$1,0)),"")</f>
        <v/>
      </c>
      <c r="G951" s="7" t="str">
        <f>IFERROR(INDEX('Master data'!$B$2:$CL$1000,MATCH($B951,'Master data'!$A$2:$A$1000,0),MATCH(G$1,'Master data'!$B$1:$CL$1,0)),"")</f>
        <v/>
      </c>
      <c r="H951" s="7" t="str">
        <f>IFERROR(INDEX('Master data'!$B$2:$CL$1000,MATCH($B951,'Master data'!$A$2:$A$1000,0),MATCH(H$1,'Master data'!$B$1:$CL$1,0)),"")</f>
        <v/>
      </c>
      <c r="I951" s="7" t="str">
        <f>IFERROR(INDEX('Master data'!$B$2:$CL$1000,MATCH($B951,'Master data'!$A$2:$A$1000,0),MATCH(I$1,'Master data'!$B$1:$CL$1,0)),"")</f>
        <v/>
      </c>
      <c r="J951" s="7" t="str">
        <f>IFERROR(INDEX('Master data'!$B$2:$CL$1000,MATCH($B951,'Master data'!$A$2:$A$1000,0),MATCH(J$1,'Master data'!$B$1:$CL$1,0)),"")</f>
        <v/>
      </c>
      <c r="K951" s="7" t="str">
        <f>IFERROR(INDEX('Master data'!$B$2:$CL$1000,MATCH($B951,'Master data'!$A$2:$A$1000,0),MATCH(K$1,'Master data'!$B$1:$CL$1,0)),"")</f>
        <v/>
      </c>
      <c r="L951" s="7" t="str">
        <f>IFERROR(INDEX('Master data'!$B$2:$CL$1000,MATCH($B951,'Master data'!$A$2:$A$1000,0),MATCH(L$1,'Master data'!$B$1:$CL$1,0)),"")</f>
        <v/>
      </c>
      <c r="M951" s="5" t="str">
        <f>IFERROR(INDEX('Master data'!$B$2:$CL$1000,MATCH($B951,'Master data'!$A$2:$A$1000,0),MATCH(M$1,'Master data'!$B$1:$CL$1,0)),"")</f>
        <v/>
      </c>
      <c r="N951" s="28" t="str">
        <f>IFERROR(INDEX('Master data'!$B$2:$CL$1000,MATCH($B951,'Master data'!$A$2:$A$1000,0),MATCH(N$1,'Master data'!$B$1:$CL$1,0)),"")</f>
        <v/>
      </c>
      <c r="O951" s="7" t="str">
        <f>IFERROR(INDEX('Master data'!$B$2:$CL$1000,MATCH($B951,'Master data'!$A$2:$A$1000,0),MATCH(O$1,'Master data'!$B$1:$CL$1,0)),"")</f>
        <v/>
      </c>
      <c r="P951" s="5" t="str">
        <f>IFERROR(INDEX('Master data'!$B$2:$CL$1000,MATCH($B951,'Master data'!$A$2:$A$1000,0),MATCH(P$1,'Master data'!$B$1:$CL$1,0)),"")</f>
        <v/>
      </c>
      <c r="Q951" s="5" t="str">
        <f>IFERROR(INDEX('Master data'!$B$2:$CL$1000,MATCH($B951,'Master data'!$A$2:$A$1000,0),MATCH(Q$1,'Master data'!$B$1:$CL$1,0)),"")</f>
        <v/>
      </c>
    </row>
    <row r="952" spans="1:17" hidden="1">
      <c r="A952" t="str">
        <f t="shared" si="14"/>
        <v/>
      </c>
      <c r="B952" t="str">
        <f>IF('Master data'!A952="","",'Master data'!A952)</f>
        <v/>
      </c>
      <c r="C952" t="str">
        <f>IFERROR(INDEX('Master data'!$B$2:$CL$1000,MATCH($B952,'Master data'!$A$2:$A$1000,0),MATCH(C$1,'Master data'!$B$1:$CL$1,0)),"")</f>
        <v/>
      </c>
      <c r="D952" t="str">
        <f>IFERROR(INDEX('Master data'!$B$2:$CL$1000,MATCH($B952,'Master data'!$A$2:$A$1000,0),MATCH(D$1,'Master data'!$B$1:$CL$1,0)),"")</f>
        <v/>
      </c>
      <c r="E952" s="5" t="str">
        <f>IFERROR(INDEX('Master data'!$B$2:$CL$1000,MATCH($B952,'Master data'!$A$2:$A$1000,0),MATCH(E$1,'Master data'!$B$1:$CL$1,0)),"")</f>
        <v/>
      </c>
      <c r="F952" s="7" t="str">
        <f>IFERROR(INDEX('Master data'!$B$2:$CL$1000,MATCH($B952,'Master data'!$A$2:$A$1000,0),MATCH(F$1,'Master data'!$B$1:$CL$1,0)),"")</f>
        <v/>
      </c>
      <c r="G952" s="7" t="str">
        <f>IFERROR(INDEX('Master data'!$B$2:$CL$1000,MATCH($B952,'Master data'!$A$2:$A$1000,0),MATCH(G$1,'Master data'!$B$1:$CL$1,0)),"")</f>
        <v/>
      </c>
      <c r="H952" s="7" t="str">
        <f>IFERROR(INDEX('Master data'!$B$2:$CL$1000,MATCH($B952,'Master data'!$A$2:$A$1000,0),MATCH(H$1,'Master data'!$B$1:$CL$1,0)),"")</f>
        <v/>
      </c>
      <c r="I952" s="7" t="str">
        <f>IFERROR(INDEX('Master data'!$B$2:$CL$1000,MATCH($B952,'Master data'!$A$2:$A$1000,0),MATCH(I$1,'Master data'!$B$1:$CL$1,0)),"")</f>
        <v/>
      </c>
      <c r="J952" s="7" t="str">
        <f>IFERROR(INDEX('Master data'!$B$2:$CL$1000,MATCH($B952,'Master data'!$A$2:$A$1000,0),MATCH(J$1,'Master data'!$B$1:$CL$1,0)),"")</f>
        <v/>
      </c>
      <c r="K952" s="7" t="str">
        <f>IFERROR(INDEX('Master data'!$B$2:$CL$1000,MATCH($B952,'Master data'!$A$2:$A$1000,0),MATCH(K$1,'Master data'!$B$1:$CL$1,0)),"")</f>
        <v/>
      </c>
      <c r="L952" s="7" t="str">
        <f>IFERROR(INDEX('Master data'!$B$2:$CL$1000,MATCH($B952,'Master data'!$A$2:$A$1000,0),MATCH(L$1,'Master data'!$B$1:$CL$1,0)),"")</f>
        <v/>
      </c>
      <c r="M952" s="5" t="str">
        <f>IFERROR(INDEX('Master data'!$B$2:$CL$1000,MATCH($B952,'Master data'!$A$2:$A$1000,0),MATCH(M$1,'Master data'!$B$1:$CL$1,0)),"")</f>
        <v/>
      </c>
      <c r="N952" s="28" t="str">
        <f>IFERROR(INDEX('Master data'!$B$2:$CL$1000,MATCH($B952,'Master data'!$A$2:$A$1000,0),MATCH(N$1,'Master data'!$B$1:$CL$1,0)),"")</f>
        <v/>
      </c>
      <c r="O952" s="7" t="str">
        <f>IFERROR(INDEX('Master data'!$B$2:$CL$1000,MATCH($B952,'Master data'!$A$2:$A$1000,0),MATCH(O$1,'Master data'!$B$1:$CL$1,0)),"")</f>
        <v/>
      </c>
      <c r="P952" s="5" t="str">
        <f>IFERROR(INDEX('Master data'!$B$2:$CL$1000,MATCH($B952,'Master data'!$A$2:$A$1000,0),MATCH(P$1,'Master data'!$B$1:$CL$1,0)),"")</f>
        <v/>
      </c>
      <c r="Q952" s="5" t="str">
        <f>IFERROR(INDEX('Master data'!$B$2:$CL$1000,MATCH($B952,'Master data'!$A$2:$A$1000,0),MATCH(Q$1,'Master data'!$B$1:$CL$1,0)),"")</f>
        <v/>
      </c>
    </row>
    <row r="953" spans="1:17" hidden="1">
      <c r="A953" t="str">
        <f t="shared" si="14"/>
        <v/>
      </c>
      <c r="B953" t="str">
        <f>IF('Master data'!A953="","",'Master data'!A953)</f>
        <v/>
      </c>
      <c r="C953" t="str">
        <f>IFERROR(INDEX('Master data'!$B$2:$CL$1000,MATCH($B953,'Master data'!$A$2:$A$1000,0),MATCH(C$1,'Master data'!$B$1:$CL$1,0)),"")</f>
        <v/>
      </c>
      <c r="D953" t="str">
        <f>IFERROR(INDEX('Master data'!$B$2:$CL$1000,MATCH($B953,'Master data'!$A$2:$A$1000,0),MATCH(D$1,'Master data'!$B$1:$CL$1,0)),"")</f>
        <v/>
      </c>
      <c r="E953" s="5" t="str">
        <f>IFERROR(INDEX('Master data'!$B$2:$CL$1000,MATCH($B953,'Master data'!$A$2:$A$1000,0),MATCH(E$1,'Master data'!$B$1:$CL$1,0)),"")</f>
        <v/>
      </c>
      <c r="F953" s="7" t="str">
        <f>IFERROR(INDEX('Master data'!$B$2:$CL$1000,MATCH($B953,'Master data'!$A$2:$A$1000,0),MATCH(F$1,'Master data'!$B$1:$CL$1,0)),"")</f>
        <v/>
      </c>
      <c r="G953" s="7" t="str">
        <f>IFERROR(INDEX('Master data'!$B$2:$CL$1000,MATCH($B953,'Master data'!$A$2:$A$1000,0),MATCH(G$1,'Master data'!$B$1:$CL$1,0)),"")</f>
        <v/>
      </c>
      <c r="H953" s="7" t="str">
        <f>IFERROR(INDEX('Master data'!$B$2:$CL$1000,MATCH($B953,'Master data'!$A$2:$A$1000,0),MATCH(H$1,'Master data'!$B$1:$CL$1,0)),"")</f>
        <v/>
      </c>
      <c r="I953" s="7" t="str">
        <f>IFERROR(INDEX('Master data'!$B$2:$CL$1000,MATCH($B953,'Master data'!$A$2:$A$1000,0),MATCH(I$1,'Master data'!$B$1:$CL$1,0)),"")</f>
        <v/>
      </c>
      <c r="J953" s="7" t="str">
        <f>IFERROR(INDEX('Master data'!$B$2:$CL$1000,MATCH($B953,'Master data'!$A$2:$A$1000,0),MATCH(J$1,'Master data'!$B$1:$CL$1,0)),"")</f>
        <v/>
      </c>
      <c r="K953" s="7" t="str">
        <f>IFERROR(INDEX('Master data'!$B$2:$CL$1000,MATCH($B953,'Master data'!$A$2:$A$1000,0),MATCH(K$1,'Master data'!$B$1:$CL$1,0)),"")</f>
        <v/>
      </c>
      <c r="L953" s="7" t="str">
        <f>IFERROR(INDEX('Master data'!$B$2:$CL$1000,MATCH($B953,'Master data'!$A$2:$A$1000,0),MATCH(L$1,'Master data'!$B$1:$CL$1,0)),"")</f>
        <v/>
      </c>
      <c r="M953" s="5" t="str">
        <f>IFERROR(INDEX('Master data'!$B$2:$CL$1000,MATCH($B953,'Master data'!$A$2:$A$1000,0),MATCH(M$1,'Master data'!$B$1:$CL$1,0)),"")</f>
        <v/>
      </c>
      <c r="N953" s="28" t="str">
        <f>IFERROR(INDEX('Master data'!$B$2:$CL$1000,MATCH($B953,'Master data'!$A$2:$A$1000,0),MATCH(N$1,'Master data'!$B$1:$CL$1,0)),"")</f>
        <v/>
      </c>
      <c r="O953" s="7" t="str">
        <f>IFERROR(INDEX('Master data'!$B$2:$CL$1000,MATCH($B953,'Master data'!$A$2:$A$1000,0),MATCH(O$1,'Master data'!$B$1:$CL$1,0)),"")</f>
        <v/>
      </c>
      <c r="P953" s="5" t="str">
        <f>IFERROR(INDEX('Master data'!$B$2:$CL$1000,MATCH($B953,'Master data'!$A$2:$A$1000,0),MATCH(P$1,'Master data'!$B$1:$CL$1,0)),"")</f>
        <v/>
      </c>
      <c r="Q953" s="5" t="str">
        <f>IFERROR(INDEX('Master data'!$B$2:$CL$1000,MATCH($B953,'Master data'!$A$2:$A$1000,0),MATCH(Q$1,'Master data'!$B$1:$CL$1,0)),"")</f>
        <v/>
      </c>
    </row>
    <row r="954" spans="1:17" hidden="1">
      <c r="A954" t="str">
        <f t="shared" si="14"/>
        <v/>
      </c>
      <c r="B954" t="str">
        <f>IF('Master data'!A954="","",'Master data'!A954)</f>
        <v/>
      </c>
      <c r="C954" t="str">
        <f>IFERROR(INDEX('Master data'!$B$2:$CL$1000,MATCH($B954,'Master data'!$A$2:$A$1000,0),MATCH(C$1,'Master data'!$B$1:$CL$1,0)),"")</f>
        <v/>
      </c>
      <c r="D954" t="str">
        <f>IFERROR(INDEX('Master data'!$B$2:$CL$1000,MATCH($B954,'Master data'!$A$2:$A$1000,0),MATCH(D$1,'Master data'!$B$1:$CL$1,0)),"")</f>
        <v/>
      </c>
      <c r="E954" s="5" t="str">
        <f>IFERROR(INDEX('Master data'!$B$2:$CL$1000,MATCH($B954,'Master data'!$A$2:$A$1000,0),MATCH(E$1,'Master data'!$B$1:$CL$1,0)),"")</f>
        <v/>
      </c>
      <c r="F954" s="7" t="str">
        <f>IFERROR(INDEX('Master data'!$B$2:$CL$1000,MATCH($B954,'Master data'!$A$2:$A$1000,0),MATCH(F$1,'Master data'!$B$1:$CL$1,0)),"")</f>
        <v/>
      </c>
      <c r="G954" s="7" t="str">
        <f>IFERROR(INDEX('Master data'!$B$2:$CL$1000,MATCH($B954,'Master data'!$A$2:$A$1000,0),MATCH(G$1,'Master data'!$B$1:$CL$1,0)),"")</f>
        <v/>
      </c>
      <c r="H954" s="7" t="str">
        <f>IFERROR(INDEX('Master data'!$B$2:$CL$1000,MATCH($B954,'Master data'!$A$2:$A$1000,0),MATCH(H$1,'Master data'!$B$1:$CL$1,0)),"")</f>
        <v/>
      </c>
      <c r="I954" s="7" t="str">
        <f>IFERROR(INDEX('Master data'!$B$2:$CL$1000,MATCH($B954,'Master data'!$A$2:$A$1000,0),MATCH(I$1,'Master data'!$B$1:$CL$1,0)),"")</f>
        <v/>
      </c>
      <c r="J954" s="7" t="str">
        <f>IFERROR(INDEX('Master data'!$B$2:$CL$1000,MATCH($B954,'Master data'!$A$2:$A$1000,0),MATCH(J$1,'Master data'!$B$1:$CL$1,0)),"")</f>
        <v/>
      </c>
      <c r="K954" s="7" t="str">
        <f>IFERROR(INDEX('Master data'!$B$2:$CL$1000,MATCH($B954,'Master data'!$A$2:$A$1000,0),MATCH(K$1,'Master data'!$B$1:$CL$1,0)),"")</f>
        <v/>
      </c>
      <c r="L954" s="7" t="str">
        <f>IFERROR(INDEX('Master data'!$B$2:$CL$1000,MATCH($B954,'Master data'!$A$2:$A$1000,0),MATCH(L$1,'Master data'!$B$1:$CL$1,0)),"")</f>
        <v/>
      </c>
      <c r="M954" s="5" t="str">
        <f>IFERROR(INDEX('Master data'!$B$2:$CL$1000,MATCH($B954,'Master data'!$A$2:$A$1000,0),MATCH(M$1,'Master data'!$B$1:$CL$1,0)),"")</f>
        <v/>
      </c>
      <c r="N954" s="28" t="str">
        <f>IFERROR(INDEX('Master data'!$B$2:$CL$1000,MATCH($B954,'Master data'!$A$2:$A$1000,0),MATCH(N$1,'Master data'!$B$1:$CL$1,0)),"")</f>
        <v/>
      </c>
      <c r="O954" s="7" t="str">
        <f>IFERROR(INDEX('Master data'!$B$2:$CL$1000,MATCH($B954,'Master data'!$A$2:$A$1000,0),MATCH(O$1,'Master data'!$B$1:$CL$1,0)),"")</f>
        <v/>
      </c>
      <c r="P954" s="5" t="str">
        <f>IFERROR(INDEX('Master data'!$B$2:$CL$1000,MATCH($B954,'Master data'!$A$2:$A$1000,0),MATCH(P$1,'Master data'!$B$1:$CL$1,0)),"")</f>
        <v/>
      </c>
      <c r="Q954" s="5" t="str">
        <f>IFERROR(INDEX('Master data'!$B$2:$CL$1000,MATCH($B954,'Master data'!$A$2:$A$1000,0),MATCH(Q$1,'Master data'!$B$1:$CL$1,0)),"")</f>
        <v/>
      </c>
    </row>
    <row r="955" spans="1:17" hidden="1">
      <c r="A955" t="str">
        <f t="shared" si="14"/>
        <v/>
      </c>
      <c r="B955" t="str">
        <f>IF('Master data'!A955="","",'Master data'!A955)</f>
        <v/>
      </c>
      <c r="C955" t="str">
        <f>IFERROR(INDEX('Master data'!$B$2:$CL$1000,MATCH($B955,'Master data'!$A$2:$A$1000,0),MATCH(C$1,'Master data'!$B$1:$CL$1,0)),"")</f>
        <v/>
      </c>
      <c r="D955" t="str">
        <f>IFERROR(INDEX('Master data'!$B$2:$CL$1000,MATCH($B955,'Master data'!$A$2:$A$1000,0),MATCH(D$1,'Master data'!$B$1:$CL$1,0)),"")</f>
        <v/>
      </c>
      <c r="E955" s="5" t="str">
        <f>IFERROR(INDEX('Master data'!$B$2:$CL$1000,MATCH($B955,'Master data'!$A$2:$A$1000,0),MATCH(E$1,'Master data'!$B$1:$CL$1,0)),"")</f>
        <v/>
      </c>
      <c r="F955" s="7" t="str">
        <f>IFERROR(INDEX('Master data'!$B$2:$CL$1000,MATCH($B955,'Master data'!$A$2:$A$1000,0),MATCH(F$1,'Master data'!$B$1:$CL$1,0)),"")</f>
        <v/>
      </c>
      <c r="G955" s="7" t="str">
        <f>IFERROR(INDEX('Master data'!$B$2:$CL$1000,MATCH($B955,'Master data'!$A$2:$A$1000,0),MATCH(G$1,'Master data'!$B$1:$CL$1,0)),"")</f>
        <v/>
      </c>
      <c r="H955" s="7" t="str">
        <f>IFERROR(INDEX('Master data'!$B$2:$CL$1000,MATCH($B955,'Master data'!$A$2:$A$1000,0),MATCH(H$1,'Master data'!$B$1:$CL$1,0)),"")</f>
        <v/>
      </c>
      <c r="I955" s="7" t="str">
        <f>IFERROR(INDEX('Master data'!$B$2:$CL$1000,MATCH($B955,'Master data'!$A$2:$A$1000,0),MATCH(I$1,'Master data'!$B$1:$CL$1,0)),"")</f>
        <v/>
      </c>
      <c r="J955" s="7" t="str">
        <f>IFERROR(INDEX('Master data'!$B$2:$CL$1000,MATCH($B955,'Master data'!$A$2:$A$1000,0),MATCH(J$1,'Master data'!$B$1:$CL$1,0)),"")</f>
        <v/>
      </c>
      <c r="K955" s="7" t="str">
        <f>IFERROR(INDEX('Master data'!$B$2:$CL$1000,MATCH($B955,'Master data'!$A$2:$A$1000,0),MATCH(K$1,'Master data'!$B$1:$CL$1,0)),"")</f>
        <v/>
      </c>
      <c r="L955" s="7" t="str">
        <f>IFERROR(INDEX('Master data'!$B$2:$CL$1000,MATCH($B955,'Master data'!$A$2:$A$1000,0),MATCH(L$1,'Master data'!$B$1:$CL$1,0)),"")</f>
        <v/>
      </c>
      <c r="M955" s="5" t="str">
        <f>IFERROR(INDEX('Master data'!$B$2:$CL$1000,MATCH($B955,'Master data'!$A$2:$A$1000,0),MATCH(M$1,'Master data'!$B$1:$CL$1,0)),"")</f>
        <v/>
      </c>
      <c r="N955" s="28" t="str">
        <f>IFERROR(INDEX('Master data'!$B$2:$CL$1000,MATCH($B955,'Master data'!$A$2:$A$1000,0),MATCH(N$1,'Master data'!$B$1:$CL$1,0)),"")</f>
        <v/>
      </c>
      <c r="O955" s="7" t="str">
        <f>IFERROR(INDEX('Master data'!$B$2:$CL$1000,MATCH($B955,'Master data'!$A$2:$A$1000,0),MATCH(O$1,'Master data'!$B$1:$CL$1,0)),"")</f>
        <v/>
      </c>
      <c r="P955" s="5" t="str">
        <f>IFERROR(INDEX('Master data'!$B$2:$CL$1000,MATCH($B955,'Master data'!$A$2:$A$1000,0),MATCH(P$1,'Master data'!$B$1:$CL$1,0)),"")</f>
        <v/>
      </c>
      <c r="Q955" s="5" t="str">
        <f>IFERROR(INDEX('Master data'!$B$2:$CL$1000,MATCH($B955,'Master data'!$A$2:$A$1000,0),MATCH(Q$1,'Master data'!$B$1:$CL$1,0)),"")</f>
        <v/>
      </c>
    </row>
    <row r="956" spans="1:17" hidden="1">
      <c r="A956" t="str">
        <f t="shared" si="14"/>
        <v/>
      </c>
      <c r="B956" t="str">
        <f>IF('Master data'!A956="","",'Master data'!A956)</f>
        <v/>
      </c>
      <c r="C956" t="str">
        <f>IFERROR(INDEX('Master data'!$B$2:$CL$1000,MATCH($B956,'Master data'!$A$2:$A$1000,0),MATCH(C$1,'Master data'!$B$1:$CL$1,0)),"")</f>
        <v/>
      </c>
      <c r="D956" t="str">
        <f>IFERROR(INDEX('Master data'!$B$2:$CL$1000,MATCH($B956,'Master data'!$A$2:$A$1000,0),MATCH(D$1,'Master data'!$B$1:$CL$1,0)),"")</f>
        <v/>
      </c>
      <c r="E956" s="5" t="str">
        <f>IFERROR(INDEX('Master data'!$B$2:$CL$1000,MATCH($B956,'Master data'!$A$2:$A$1000,0),MATCH(E$1,'Master data'!$B$1:$CL$1,0)),"")</f>
        <v/>
      </c>
      <c r="F956" s="7" t="str">
        <f>IFERROR(INDEX('Master data'!$B$2:$CL$1000,MATCH($B956,'Master data'!$A$2:$A$1000,0),MATCH(F$1,'Master data'!$B$1:$CL$1,0)),"")</f>
        <v/>
      </c>
      <c r="G956" s="7" t="str">
        <f>IFERROR(INDEX('Master data'!$B$2:$CL$1000,MATCH($B956,'Master data'!$A$2:$A$1000,0),MATCH(G$1,'Master data'!$B$1:$CL$1,0)),"")</f>
        <v/>
      </c>
      <c r="H956" s="7" t="str">
        <f>IFERROR(INDEX('Master data'!$B$2:$CL$1000,MATCH($B956,'Master data'!$A$2:$A$1000,0),MATCH(H$1,'Master data'!$B$1:$CL$1,0)),"")</f>
        <v/>
      </c>
      <c r="I956" s="7" t="str">
        <f>IFERROR(INDEX('Master data'!$B$2:$CL$1000,MATCH($B956,'Master data'!$A$2:$A$1000,0),MATCH(I$1,'Master data'!$B$1:$CL$1,0)),"")</f>
        <v/>
      </c>
      <c r="J956" s="7" t="str">
        <f>IFERROR(INDEX('Master data'!$B$2:$CL$1000,MATCH($B956,'Master data'!$A$2:$A$1000,0),MATCH(J$1,'Master data'!$B$1:$CL$1,0)),"")</f>
        <v/>
      </c>
      <c r="K956" s="7" t="str">
        <f>IFERROR(INDEX('Master data'!$B$2:$CL$1000,MATCH($B956,'Master data'!$A$2:$A$1000,0),MATCH(K$1,'Master data'!$B$1:$CL$1,0)),"")</f>
        <v/>
      </c>
      <c r="L956" s="7" t="str">
        <f>IFERROR(INDEX('Master data'!$B$2:$CL$1000,MATCH($B956,'Master data'!$A$2:$A$1000,0),MATCH(L$1,'Master data'!$B$1:$CL$1,0)),"")</f>
        <v/>
      </c>
      <c r="M956" s="5" t="str">
        <f>IFERROR(INDEX('Master data'!$B$2:$CL$1000,MATCH($B956,'Master data'!$A$2:$A$1000,0),MATCH(M$1,'Master data'!$B$1:$CL$1,0)),"")</f>
        <v/>
      </c>
      <c r="N956" s="28" t="str">
        <f>IFERROR(INDEX('Master data'!$B$2:$CL$1000,MATCH($B956,'Master data'!$A$2:$A$1000,0),MATCH(N$1,'Master data'!$B$1:$CL$1,0)),"")</f>
        <v/>
      </c>
      <c r="O956" s="7" t="str">
        <f>IFERROR(INDEX('Master data'!$B$2:$CL$1000,MATCH($B956,'Master data'!$A$2:$A$1000,0),MATCH(O$1,'Master data'!$B$1:$CL$1,0)),"")</f>
        <v/>
      </c>
      <c r="P956" s="5" t="str">
        <f>IFERROR(INDEX('Master data'!$B$2:$CL$1000,MATCH($B956,'Master data'!$A$2:$A$1000,0),MATCH(P$1,'Master data'!$B$1:$CL$1,0)),"")</f>
        <v/>
      </c>
      <c r="Q956" s="5" t="str">
        <f>IFERROR(INDEX('Master data'!$B$2:$CL$1000,MATCH($B956,'Master data'!$A$2:$A$1000,0),MATCH(Q$1,'Master data'!$B$1:$CL$1,0)),"")</f>
        <v/>
      </c>
    </row>
    <row r="957" spans="1:17" hidden="1">
      <c r="A957" t="str">
        <f t="shared" si="14"/>
        <v/>
      </c>
      <c r="B957" t="str">
        <f>IF('Master data'!A957="","",'Master data'!A957)</f>
        <v/>
      </c>
      <c r="C957" t="str">
        <f>IFERROR(INDEX('Master data'!$B$2:$CL$1000,MATCH($B957,'Master data'!$A$2:$A$1000,0),MATCH(C$1,'Master data'!$B$1:$CL$1,0)),"")</f>
        <v/>
      </c>
      <c r="D957" t="str">
        <f>IFERROR(INDEX('Master data'!$B$2:$CL$1000,MATCH($B957,'Master data'!$A$2:$A$1000,0),MATCH(D$1,'Master data'!$B$1:$CL$1,0)),"")</f>
        <v/>
      </c>
      <c r="E957" s="5" t="str">
        <f>IFERROR(INDEX('Master data'!$B$2:$CL$1000,MATCH($B957,'Master data'!$A$2:$A$1000,0),MATCH(E$1,'Master data'!$B$1:$CL$1,0)),"")</f>
        <v/>
      </c>
      <c r="F957" s="7" t="str">
        <f>IFERROR(INDEX('Master data'!$B$2:$CL$1000,MATCH($B957,'Master data'!$A$2:$A$1000,0),MATCH(F$1,'Master data'!$B$1:$CL$1,0)),"")</f>
        <v/>
      </c>
      <c r="G957" s="7" t="str">
        <f>IFERROR(INDEX('Master data'!$B$2:$CL$1000,MATCH($B957,'Master data'!$A$2:$A$1000,0),MATCH(G$1,'Master data'!$B$1:$CL$1,0)),"")</f>
        <v/>
      </c>
      <c r="H957" s="7" t="str">
        <f>IFERROR(INDEX('Master data'!$B$2:$CL$1000,MATCH($B957,'Master data'!$A$2:$A$1000,0),MATCH(H$1,'Master data'!$B$1:$CL$1,0)),"")</f>
        <v/>
      </c>
      <c r="I957" s="7" t="str">
        <f>IFERROR(INDEX('Master data'!$B$2:$CL$1000,MATCH($B957,'Master data'!$A$2:$A$1000,0),MATCH(I$1,'Master data'!$B$1:$CL$1,0)),"")</f>
        <v/>
      </c>
      <c r="J957" s="7" t="str">
        <f>IFERROR(INDEX('Master data'!$B$2:$CL$1000,MATCH($B957,'Master data'!$A$2:$A$1000,0),MATCH(J$1,'Master data'!$B$1:$CL$1,0)),"")</f>
        <v/>
      </c>
      <c r="K957" s="7" t="str">
        <f>IFERROR(INDEX('Master data'!$B$2:$CL$1000,MATCH($B957,'Master data'!$A$2:$A$1000,0),MATCH(K$1,'Master data'!$B$1:$CL$1,0)),"")</f>
        <v/>
      </c>
      <c r="L957" s="7" t="str">
        <f>IFERROR(INDEX('Master data'!$B$2:$CL$1000,MATCH($B957,'Master data'!$A$2:$A$1000,0),MATCH(L$1,'Master data'!$B$1:$CL$1,0)),"")</f>
        <v/>
      </c>
      <c r="M957" s="5" t="str">
        <f>IFERROR(INDEX('Master data'!$B$2:$CL$1000,MATCH($B957,'Master data'!$A$2:$A$1000,0),MATCH(M$1,'Master data'!$B$1:$CL$1,0)),"")</f>
        <v/>
      </c>
      <c r="N957" s="28" t="str">
        <f>IFERROR(INDEX('Master data'!$B$2:$CL$1000,MATCH($B957,'Master data'!$A$2:$A$1000,0),MATCH(N$1,'Master data'!$B$1:$CL$1,0)),"")</f>
        <v/>
      </c>
      <c r="O957" s="7" t="str">
        <f>IFERROR(INDEX('Master data'!$B$2:$CL$1000,MATCH($B957,'Master data'!$A$2:$A$1000,0),MATCH(O$1,'Master data'!$B$1:$CL$1,0)),"")</f>
        <v/>
      </c>
      <c r="P957" s="5" t="str">
        <f>IFERROR(INDEX('Master data'!$B$2:$CL$1000,MATCH($B957,'Master data'!$A$2:$A$1000,0),MATCH(P$1,'Master data'!$B$1:$CL$1,0)),"")</f>
        <v/>
      </c>
      <c r="Q957" s="5" t="str">
        <f>IFERROR(INDEX('Master data'!$B$2:$CL$1000,MATCH($B957,'Master data'!$A$2:$A$1000,0),MATCH(Q$1,'Master data'!$B$1:$CL$1,0)),"")</f>
        <v/>
      </c>
    </row>
    <row r="958" spans="1:17" hidden="1">
      <c r="A958" t="str">
        <f t="shared" si="14"/>
        <v/>
      </c>
      <c r="B958" t="str">
        <f>IF('Master data'!A958="","",'Master data'!A958)</f>
        <v/>
      </c>
      <c r="C958" t="str">
        <f>IFERROR(INDEX('Master data'!$B$2:$CL$1000,MATCH($B958,'Master data'!$A$2:$A$1000,0),MATCH(C$1,'Master data'!$B$1:$CL$1,0)),"")</f>
        <v/>
      </c>
      <c r="D958" t="str">
        <f>IFERROR(INDEX('Master data'!$B$2:$CL$1000,MATCH($B958,'Master data'!$A$2:$A$1000,0),MATCH(D$1,'Master data'!$B$1:$CL$1,0)),"")</f>
        <v/>
      </c>
      <c r="E958" s="5" t="str">
        <f>IFERROR(INDEX('Master data'!$B$2:$CL$1000,MATCH($B958,'Master data'!$A$2:$A$1000,0),MATCH(E$1,'Master data'!$B$1:$CL$1,0)),"")</f>
        <v/>
      </c>
      <c r="F958" s="7" t="str">
        <f>IFERROR(INDEX('Master data'!$B$2:$CL$1000,MATCH($B958,'Master data'!$A$2:$A$1000,0),MATCH(F$1,'Master data'!$B$1:$CL$1,0)),"")</f>
        <v/>
      </c>
      <c r="G958" s="7" t="str">
        <f>IFERROR(INDEX('Master data'!$B$2:$CL$1000,MATCH($B958,'Master data'!$A$2:$A$1000,0),MATCH(G$1,'Master data'!$B$1:$CL$1,0)),"")</f>
        <v/>
      </c>
      <c r="H958" s="7" t="str">
        <f>IFERROR(INDEX('Master data'!$B$2:$CL$1000,MATCH($B958,'Master data'!$A$2:$A$1000,0),MATCH(H$1,'Master data'!$B$1:$CL$1,0)),"")</f>
        <v/>
      </c>
      <c r="I958" s="7" t="str">
        <f>IFERROR(INDEX('Master data'!$B$2:$CL$1000,MATCH($B958,'Master data'!$A$2:$A$1000,0),MATCH(I$1,'Master data'!$B$1:$CL$1,0)),"")</f>
        <v/>
      </c>
      <c r="J958" s="7" t="str">
        <f>IFERROR(INDEX('Master data'!$B$2:$CL$1000,MATCH($B958,'Master data'!$A$2:$A$1000,0),MATCH(J$1,'Master data'!$B$1:$CL$1,0)),"")</f>
        <v/>
      </c>
      <c r="K958" s="7" t="str">
        <f>IFERROR(INDEX('Master data'!$B$2:$CL$1000,MATCH($B958,'Master data'!$A$2:$A$1000,0),MATCH(K$1,'Master data'!$B$1:$CL$1,0)),"")</f>
        <v/>
      </c>
      <c r="L958" s="7" t="str">
        <f>IFERROR(INDEX('Master data'!$B$2:$CL$1000,MATCH($B958,'Master data'!$A$2:$A$1000,0),MATCH(L$1,'Master data'!$B$1:$CL$1,0)),"")</f>
        <v/>
      </c>
      <c r="M958" s="5" t="str">
        <f>IFERROR(INDEX('Master data'!$B$2:$CL$1000,MATCH($B958,'Master data'!$A$2:$A$1000,0),MATCH(M$1,'Master data'!$B$1:$CL$1,0)),"")</f>
        <v/>
      </c>
      <c r="N958" s="28" t="str">
        <f>IFERROR(INDEX('Master data'!$B$2:$CL$1000,MATCH($B958,'Master data'!$A$2:$A$1000,0),MATCH(N$1,'Master data'!$B$1:$CL$1,0)),"")</f>
        <v/>
      </c>
      <c r="O958" s="7" t="str">
        <f>IFERROR(INDEX('Master data'!$B$2:$CL$1000,MATCH($B958,'Master data'!$A$2:$A$1000,0),MATCH(O$1,'Master data'!$B$1:$CL$1,0)),"")</f>
        <v/>
      </c>
      <c r="P958" s="5" t="str">
        <f>IFERROR(INDEX('Master data'!$B$2:$CL$1000,MATCH($B958,'Master data'!$A$2:$A$1000,0),MATCH(P$1,'Master data'!$B$1:$CL$1,0)),"")</f>
        <v/>
      </c>
      <c r="Q958" s="5" t="str">
        <f>IFERROR(INDEX('Master data'!$B$2:$CL$1000,MATCH($B958,'Master data'!$A$2:$A$1000,0),MATCH(Q$1,'Master data'!$B$1:$CL$1,0)),"")</f>
        <v/>
      </c>
    </row>
    <row r="959" spans="1:17" hidden="1">
      <c r="A959" t="str">
        <f t="shared" si="14"/>
        <v/>
      </c>
      <c r="B959" t="str">
        <f>IF('Master data'!A959="","",'Master data'!A959)</f>
        <v/>
      </c>
      <c r="C959" t="str">
        <f>IFERROR(INDEX('Master data'!$B$2:$CL$1000,MATCH($B959,'Master data'!$A$2:$A$1000,0),MATCH(C$1,'Master data'!$B$1:$CL$1,0)),"")</f>
        <v/>
      </c>
      <c r="D959" t="str">
        <f>IFERROR(INDEX('Master data'!$B$2:$CL$1000,MATCH($B959,'Master data'!$A$2:$A$1000,0),MATCH(D$1,'Master data'!$B$1:$CL$1,0)),"")</f>
        <v/>
      </c>
      <c r="E959" s="5" t="str">
        <f>IFERROR(INDEX('Master data'!$B$2:$CL$1000,MATCH($B959,'Master data'!$A$2:$A$1000,0),MATCH(E$1,'Master data'!$B$1:$CL$1,0)),"")</f>
        <v/>
      </c>
      <c r="F959" s="7" t="str">
        <f>IFERROR(INDEX('Master data'!$B$2:$CL$1000,MATCH($B959,'Master data'!$A$2:$A$1000,0),MATCH(F$1,'Master data'!$B$1:$CL$1,0)),"")</f>
        <v/>
      </c>
      <c r="G959" s="7" t="str">
        <f>IFERROR(INDEX('Master data'!$B$2:$CL$1000,MATCH($B959,'Master data'!$A$2:$A$1000,0),MATCH(G$1,'Master data'!$B$1:$CL$1,0)),"")</f>
        <v/>
      </c>
      <c r="H959" s="7" t="str">
        <f>IFERROR(INDEX('Master data'!$B$2:$CL$1000,MATCH($B959,'Master data'!$A$2:$A$1000,0),MATCH(H$1,'Master data'!$B$1:$CL$1,0)),"")</f>
        <v/>
      </c>
      <c r="I959" s="7" t="str">
        <f>IFERROR(INDEX('Master data'!$B$2:$CL$1000,MATCH($B959,'Master data'!$A$2:$A$1000,0),MATCH(I$1,'Master data'!$B$1:$CL$1,0)),"")</f>
        <v/>
      </c>
      <c r="J959" s="7" t="str">
        <f>IFERROR(INDEX('Master data'!$B$2:$CL$1000,MATCH($B959,'Master data'!$A$2:$A$1000,0),MATCH(J$1,'Master data'!$B$1:$CL$1,0)),"")</f>
        <v/>
      </c>
      <c r="K959" s="7" t="str">
        <f>IFERROR(INDEX('Master data'!$B$2:$CL$1000,MATCH($B959,'Master data'!$A$2:$A$1000,0),MATCH(K$1,'Master data'!$B$1:$CL$1,0)),"")</f>
        <v/>
      </c>
      <c r="L959" s="7" t="str">
        <f>IFERROR(INDEX('Master data'!$B$2:$CL$1000,MATCH($B959,'Master data'!$A$2:$A$1000,0),MATCH(L$1,'Master data'!$B$1:$CL$1,0)),"")</f>
        <v/>
      </c>
      <c r="M959" s="5" t="str">
        <f>IFERROR(INDEX('Master data'!$B$2:$CL$1000,MATCH($B959,'Master data'!$A$2:$A$1000,0),MATCH(M$1,'Master data'!$B$1:$CL$1,0)),"")</f>
        <v/>
      </c>
      <c r="N959" s="28" t="str">
        <f>IFERROR(INDEX('Master data'!$B$2:$CL$1000,MATCH($B959,'Master data'!$A$2:$A$1000,0),MATCH(N$1,'Master data'!$B$1:$CL$1,0)),"")</f>
        <v/>
      </c>
      <c r="O959" s="7" t="str">
        <f>IFERROR(INDEX('Master data'!$B$2:$CL$1000,MATCH($B959,'Master data'!$A$2:$A$1000,0),MATCH(O$1,'Master data'!$B$1:$CL$1,0)),"")</f>
        <v/>
      </c>
      <c r="P959" s="5" t="str">
        <f>IFERROR(INDEX('Master data'!$B$2:$CL$1000,MATCH($B959,'Master data'!$A$2:$A$1000,0),MATCH(P$1,'Master data'!$B$1:$CL$1,0)),"")</f>
        <v/>
      </c>
      <c r="Q959" s="5" t="str">
        <f>IFERROR(INDEX('Master data'!$B$2:$CL$1000,MATCH($B959,'Master data'!$A$2:$A$1000,0),MATCH(Q$1,'Master data'!$B$1:$CL$1,0)),"")</f>
        <v/>
      </c>
    </row>
    <row r="960" spans="1:17" hidden="1">
      <c r="A960" t="str">
        <f t="shared" si="14"/>
        <v/>
      </c>
      <c r="B960" t="str">
        <f>IF('Master data'!A960="","",'Master data'!A960)</f>
        <v/>
      </c>
      <c r="C960" t="str">
        <f>IFERROR(INDEX('Master data'!$B$2:$CL$1000,MATCH($B960,'Master data'!$A$2:$A$1000,0),MATCH(C$1,'Master data'!$B$1:$CL$1,0)),"")</f>
        <v/>
      </c>
      <c r="D960" t="str">
        <f>IFERROR(INDEX('Master data'!$B$2:$CL$1000,MATCH($B960,'Master data'!$A$2:$A$1000,0),MATCH(D$1,'Master data'!$B$1:$CL$1,0)),"")</f>
        <v/>
      </c>
      <c r="E960" s="5" t="str">
        <f>IFERROR(INDEX('Master data'!$B$2:$CL$1000,MATCH($B960,'Master data'!$A$2:$A$1000,0),MATCH(E$1,'Master data'!$B$1:$CL$1,0)),"")</f>
        <v/>
      </c>
      <c r="F960" s="7" t="str">
        <f>IFERROR(INDEX('Master data'!$B$2:$CL$1000,MATCH($B960,'Master data'!$A$2:$A$1000,0),MATCH(F$1,'Master data'!$B$1:$CL$1,0)),"")</f>
        <v/>
      </c>
      <c r="G960" s="7" t="str">
        <f>IFERROR(INDEX('Master data'!$B$2:$CL$1000,MATCH($B960,'Master data'!$A$2:$A$1000,0),MATCH(G$1,'Master data'!$B$1:$CL$1,0)),"")</f>
        <v/>
      </c>
      <c r="H960" s="7" t="str">
        <f>IFERROR(INDEX('Master data'!$B$2:$CL$1000,MATCH($B960,'Master data'!$A$2:$A$1000,0),MATCH(H$1,'Master data'!$B$1:$CL$1,0)),"")</f>
        <v/>
      </c>
      <c r="I960" s="7" t="str">
        <f>IFERROR(INDEX('Master data'!$B$2:$CL$1000,MATCH($B960,'Master data'!$A$2:$A$1000,0),MATCH(I$1,'Master data'!$B$1:$CL$1,0)),"")</f>
        <v/>
      </c>
      <c r="J960" s="7" t="str">
        <f>IFERROR(INDEX('Master data'!$B$2:$CL$1000,MATCH($B960,'Master data'!$A$2:$A$1000,0),MATCH(J$1,'Master data'!$B$1:$CL$1,0)),"")</f>
        <v/>
      </c>
      <c r="K960" s="7" t="str">
        <f>IFERROR(INDEX('Master data'!$B$2:$CL$1000,MATCH($B960,'Master data'!$A$2:$A$1000,0),MATCH(K$1,'Master data'!$B$1:$CL$1,0)),"")</f>
        <v/>
      </c>
      <c r="L960" s="7" t="str">
        <f>IFERROR(INDEX('Master data'!$B$2:$CL$1000,MATCH($B960,'Master data'!$A$2:$A$1000,0),MATCH(L$1,'Master data'!$B$1:$CL$1,0)),"")</f>
        <v/>
      </c>
      <c r="M960" s="5" t="str">
        <f>IFERROR(INDEX('Master data'!$B$2:$CL$1000,MATCH($B960,'Master data'!$A$2:$A$1000,0),MATCH(M$1,'Master data'!$B$1:$CL$1,0)),"")</f>
        <v/>
      </c>
      <c r="N960" s="28" t="str">
        <f>IFERROR(INDEX('Master data'!$B$2:$CL$1000,MATCH($B960,'Master data'!$A$2:$A$1000,0),MATCH(N$1,'Master data'!$B$1:$CL$1,0)),"")</f>
        <v/>
      </c>
      <c r="O960" s="7" t="str">
        <f>IFERROR(INDEX('Master data'!$B$2:$CL$1000,MATCH($B960,'Master data'!$A$2:$A$1000,0),MATCH(O$1,'Master data'!$B$1:$CL$1,0)),"")</f>
        <v/>
      </c>
      <c r="P960" s="5" t="str">
        <f>IFERROR(INDEX('Master data'!$B$2:$CL$1000,MATCH($B960,'Master data'!$A$2:$A$1000,0),MATCH(P$1,'Master data'!$B$1:$CL$1,0)),"")</f>
        <v/>
      </c>
      <c r="Q960" s="5" t="str">
        <f>IFERROR(INDEX('Master data'!$B$2:$CL$1000,MATCH($B960,'Master data'!$A$2:$A$1000,0),MATCH(Q$1,'Master data'!$B$1:$CL$1,0)),"")</f>
        <v/>
      </c>
    </row>
    <row r="961" spans="1:17" hidden="1">
      <c r="A961" t="str">
        <f t="shared" si="14"/>
        <v/>
      </c>
      <c r="B961" t="str">
        <f>IF('Master data'!A961="","",'Master data'!A961)</f>
        <v/>
      </c>
      <c r="C961" t="str">
        <f>IFERROR(INDEX('Master data'!$B$2:$CL$1000,MATCH($B961,'Master data'!$A$2:$A$1000,0),MATCH(C$1,'Master data'!$B$1:$CL$1,0)),"")</f>
        <v/>
      </c>
      <c r="D961" t="str">
        <f>IFERROR(INDEX('Master data'!$B$2:$CL$1000,MATCH($B961,'Master data'!$A$2:$A$1000,0),MATCH(D$1,'Master data'!$B$1:$CL$1,0)),"")</f>
        <v/>
      </c>
      <c r="E961" s="5" t="str">
        <f>IFERROR(INDEX('Master data'!$B$2:$CL$1000,MATCH($B961,'Master data'!$A$2:$A$1000,0),MATCH(E$1,'Master data'!$B$1:$CL$1,0)),"")</f>
        <v/>
      </c>
      <c r="F961" s="7" t="str">
        <f>IFERROR(INDEX('Master data'!$B$2:$CL$1000,MATCH($B961,'Master data'!$A$2:$A$1000,0),MATCH(F$1,'Master data'!$B$1:$CL$1,0)),"")</f>
        <v/>
      </c>
      <c r="G961" s="7" t="str">
        <f>IFERROR(INDEX('Master data'!$B$2:$CL$1000,MATCH($B961,'Master data'!$A$2:$A$1000,0),MATCH(G$1,'Master data'!$B$1:$CL$1,0)),"")</f>
        <v/>
      </c>
      <c r="H961" s="7" t="str">
        <f>IFERROR(INDEX('Master data'!$B$2:$CL$1000,MATCH($B961,'Master data'!$A$2:$A$1000,0),MATCH(H$1,'Master data'!$B$1:$CL$1,0)),"")</f>
        <v/>
      </c>
      <c r="I961" s="7" t="str">
        <f>IFERROR(INDEX('Master data'!$B$2:$CL$1000,MATCH($B961,'Master data'!$A$2:$A$1000,0),MATCH(I$1,'Master data'!$B$1:$CL$1,0)),"")</f>
        <v/>
      </c>
      <c r="J961" s="7" t="str">
        <f>IFERROR(INDEX('Master data'!$B$2:$CL$1000,MATCH($B961,'Master data'!$A$2:$A$1000,0),MATCH(J$1,'Master data'!$B$1:$CL$1,0)),"")</f>
        <v/>
      </c>
      <c r="K961" s="7" t="str">
        <f>IFERROR(INDEX('Master data'!$B$2:$CL$1000,MATCH($B961,'Master data'!$A$2:$A$1000,0),MATCH(K$1,'Master data'!$B$1:$CL$1,0)),"")</f>
        <v/>
      </c>
      <c r="L961" s="7" t="str">
        <f>IFERROR(INDEX('Master data'!$B$2:$CL$1000,MATCH($B961,'Master data'!$A$2:$A$1000,0),MATCH(L$1,'Master data'!$B$1:$CL$1,0)),"")</f>
        <v/>
      </c>
      <c r="M961" s="5" t="str">
        <f>IFERROR(INDEX('Master data'!$B$2:$CL$1000,MATCH($B961,'Master data'!$A$2:$A$1000,0),MATCH(M$1,'Master data'!$B$1:$CL$1,0)),"")</f>
        <v/>
      </c>
      <c r="N961" s="28" t="str">
        <f>IFERROR(INDEX('Master data'!$B$2:$CL$1000,MATCH($B961,'Master data'!$A$2:$A$1000,0),MATCH(N$1,'Master data'!$B$1:$CL$1,0)),"")</f>
        <v/>
      </c>
      <c r="O961" s="7" t="str">
        <f>IFERROR(INDEX('Master data'!$B$2:$CL$1000,MATCH($B961,'Master data'!$A$2:$A$1000,0),MATCH(O$1,'Master data'!$B$1:$CL$1,0)),"")</f>
        <v/>
      </c>
      <c r="P961" s="5" t="str">
        <f>IFERROR(INDEX('Master data'!$B$2:$CL$1000,MATCH($B961,'Master data'!$A$2:$A$1000,0),MATCH(P$1,'Master data'!$B$1:$CL$1,0)),"")</f>
        <v/>
      </c>
      <c r="Q961" s="5" t="str">
        <f>IFERROR(INDEX('Master data'!$B$2:$CL$1000,MATCH($B961,'Master data'!$A$2:$A$1000,0),MATCH(Q$1,'Master data'!$B$1:$CL$1,0)),"")</f>
        <v/>
      </c>
    </row>
    <row r="962" spans="1:17" hidden="1">
      <c r="A962" t="str">
        <f t="shared" si="14"/>
        <v/>
      </c>
      <c r="B962" t="str">
        <f>IF('Master data'!A962="","",'Master data'!A962)</f>
        <v/>
      </c>
      <c r="C962" t="str">
        <f>IFERROR(INDEX('Master data'!$B$2:$CL$1000,MATCH($B962,'Master data'!$A$2:$A$1000,0),MATCH(C$1,'Master data'!$B$1:$CL$1,0)),"")</f>
        <v/>
      </c>
      <c r="D962" t="str">
        <f>IFERROR(INDEX('Master data'!$B$2:$CL$1000,MATCH($B962,'Master data'!$A$2:$A$1000,0),MATCH(D$1,'Master data'!$B$1:$CL$1,0)),"")</f>
        <v/>
      </c>
      <c r="E962" s="5" t="str">
        <f>IFERROR(INDEX('Master data'!$B$2:$CL$1000,MATCH($B962,'Master data'!$A$2:$A$1000,0),MATCH(E$1,'Master data'!$B$1:$CL$1,0)),"")</f>
        <v/>
      </c>
      <c r="F962" s="7" t="str">
        <f>IFERROR(INDEX('Master data'!$B$2:$CL$1000,MATCH($B962,'Master data'!$A$2:$A$1000,0),MATCH(F$1,'Master data'!$B$1:$CL$1,0)),"")</f>
        <v/>
      </c>
      <c r="G962" s="7" t="str">
        <f>IFERROR(INDEX('Master data'!$B$2:$CL$1000,MATCH($B962,'Master data'!$A$2:$A$1000,0),MATCH(G$1,'Master data'!$B$1:$CL$1,0)),"")</f>
        <v/>
      </c>
      <c r="H962" s="7" t="str">
        <f>IFERROR(INDEX('Master data'!$B$2:$CL$1000,MATCH($B962,'Master data'!$A$2:$A$1000,0),MATCH(H$1,'Master data'!$B$1:$CL$1,0)),"")</f>
        <v/>
      </c>
      <c r="I962" s="7" t="str">
        <f>IFERROR(INDEX('Master data'!$B$2:$CL$1000,MATCH($B962,'Master data'!$A$2:$A$1000,0),MATCH(I$1,'Master data'!$B$1:$CL$1,0)),"")</f>
        <v/>
      </c>
      <c r="J962" s="7" t="str">
        <f>IFERROR(INDEX('Master data'!$B$2:$CL$1000,MATCH($B962,'Master data'!$A$2:$A$1000,0),MATCH(J$1,'Master data'!$B$1:$CL$1,0)),"")</f>
        <v/>
      </c>
      <c r="K962" s="7" t="str">
        <f>IFERROR(INDEX('Master data'!$B$2:$CL$1000,MATCH($B962,'Master data'!$A$2:$A$1000,0),MATCH(K$1,'Master data'!$B$1:$CL$1,0)),"")</f>
        <v/>
      </c>
      <c r="L962" s="7" t="str">
        <f>IFERROR(INDEX('Master data'!$B$2:$CL$1000,MATCH($B962,'Master data'!$A$2:$A$1000,0),MATCH(L$1,'Master data'!$B$1:$CL$1,0)),"")</f>
        <v/>
      </c>
      <c r="M962" s="5" t="str">
        <f>IFERROR(INDEX('Master data'!$B$2:$CL$1000,MATCH($B962,'Master data'!$A$2:$A$1000,0),MATCH(M$1,'Master data'!$B$1:$CL$1,0)),"")</f>
        <v/>
      </c>
      <c r="N962" s="28" t="str">
        <f>IFERROR(INDEX('Master data'!$B$2:$CL$1000,MATCH($B962,'Master data'!$A$2:$A$1000,0),MATCH(N$1,'Master data'!$B$1:$CL$1,0)),"")</f>
        <v/>
      </c>
      <c r="O962" s="7" t="str">
        <f>IFERROR(INDEX('Master data'!$B$2:$CL$1000,MATCH($B962,'Master data'!$A$2:$A$1000,0),MATCH(O$1,'Master data'!$B$1:$CL$1,0)),"")</f>
        <v/>
      </c>
      <c r="P962" s="5" t="str">
        <f>IFERROR(INDEX('Master data'!$B$2:$CL$1000,MATCH($B962,'Master data'!$A$2:$A$1000,0),MATCH(P$1,'Master data'!$B$1:$CL$1,0)),"")</f>
        <v/>
      </c>
      <c r="Q962" s="5" t="str">
        <f>IFERROR(INDEX('Master data'!$B$2:$CL$1000,MATCH($B962,'Master data'!$A$2:$A$1000,0),MATCH(Q$1,'Master data'!$B$1:$CL$1,0)),"")</f>
        <v/>
      </c>
    </row>
    <row r="963" spans="1:17" hidden="1">
      <c r="A963" t="str">
        <f t="shared" ref="A963:A1000" si="15">IF(B963="","",ROW()-2)</f>
        <v/>
      </c>
      <c r="B963" t="str">
        <f>IF('Master data'!A963="","",'Master data'!A963)</f>
        <v/>
      </c>
      <c r="C963" t="str">
        <f>IFERROR(INDEX('Master data'!$B$2:$CL$1000,MATCH($B963,'Master data'!$A$2:$A$1000,0),MATCH(C$1,'Master data'!$B$1:$CL$1,0)),"")</f>
        <v/>
      </c>
      <c r="D963" t="str">
        <f>IFERROR(INDEX('Master data'!$B$2:$CL$1000,MATCH($B963,'Master data'!$A$2:$A$1000,0),MATCH(D$1,'Master data'!$B$1:$CL$1,0)),"")</f>
        <v/>
      </c>
      <c r="E963" s="5" t="str">
        <f>IFERROR(INDEX('Master data'!$B$2:$CL$1000,MATCH($B963,'Master data'!$A$2:$A$1000,0),MATCH(E$1,'Master data'!$B$1:$CL$1,0)),"")</f>
        <v/>
      </c>
      <c r="F963" s="7" t="str">
        <f>IFERROR(INDEX('Master data'!$B$2:$CL$1000,MATCH($B963,'Master data'!$A$2:$A$1000,0),MATCH(F$1,'Master data'!$B$1:$CL$1,0)),"")</f>
        <v/>
      </c>
      <c r="G963" s="7" t="str">
        <f>IFERROR(INDEX('Master data'!$B$2:$CL$1000,MATCH($B963,'Master data'!$A$2:$A$1000,0),MATCH(G$1,'Master data'!$B$1:$CL$1,0)),"")</f>
        <v/>
      </c>
      <c r="H963" s="7" t="str">
        <f>IFERROR(INDEX('Master data'!$B$2:$CL$1000,MATCH($B963,'Master data'!$A$2:$A$1000,0),MATCH(H$1,'Master data'!$B$1:$CL$1,0)),"")</f>
        <v/>
      </c>
      <c r="I963" s="7" t="str">
        <f>IFERROR(INDEX('Master data'!$B$2:$CL$1000,MATCH($B963,'Master data'!$A$2:$A$1000,0),MATCH(I$1,'Master data'!$B$1:$CL$1,0)),"")</f>
        <v/>
      </c>
      <c r="J963" s="7" t="str">
        <f>IFERROR(INDEX('Master data'!$B$2:$CL$1000,MATCH($B963,'Master data'!$A$2:$A$1000,0),MATCH(J$1,'Master data'!$B$1:$CL$1,0)),"")</f>
        <v/>
      </c>
      <c r="K963" s="7" t="str">
        <f>IFERROR(INDEX('Master data'!$B$2:$CL$1000,MATCH($B963,'Master data'!$A$2:$A$1000,0),MATCH(K$1,'Master data'!$B$1:$CL$1,0)),"")</f>
        <v/>
      </c>
      <c r="L963" s="7" t="str">
        <f>IFERROR(INDEX('Master data'!$B$2:$CL$1000,MATCH($B963,'Master data'!$A$2:$A$1000,0),MATCH(L$1,'Master data'!$B$1:$CL$1,0)),"")</f>
        <v/>
      </c>
      <c r="M963" s="5" t="str">
        <f>IFERROR(INDEX('Master data'!$B$2:$CL$1000,MATCH($B963,'Master data'!$A$2:$A$1000,0),MATCH(M$1,'Master data'!$B$1:$CL$1,0)),"")</f>
        <v/>
      </c>
      <c r="N963" s="28" t="str">
        <f>IFERROR(INDEX('Master data'!$B$2:$CL$1000,MATCH($B963,'Master data'!$A$2:$A$1000,0),MATCH(N$1,'Master data'!$B$1:$CL$1,0)),"")</f>
        <v/>
      </c>
      <c r="O963" s="7" t="str">
        <f>IFERROR(INDEX('Master data'!$B$2:$CL$1000,MATCH($B963,'Master data'!$A$2:$A$1000,0),MATCH(O$1,'Master data'!$B$1:$CL$1,0)),"")</f>
        <v/>
      </c>
      <c r="P963" s="5" t="str">
        <f>IFERROR(INDEX('Master data'!$B$2:$CL$1000,MATCH($B963,'Master data'!$A$2:$A$1000,0),MATCH(P$1,'Master data'!$B$1:$CL$1,0)),"")</f>
        <v/>
      </c>
      <c r="Q963" s="5" t="str">
        <f>IFERROR(INDEX('Master data'!$B$2:$CL$1000,MATCH($B963,'Master data'!$A$2:$A$1000,0),MATCH(Q$1,'Master data'!$B$1:$CL$1,0)),"")</f>
        <v/>
      </c>
    </row>
    <row r="964" spans="1:17" hidden="1">
      <c r="A964" t="str">
        <f t="shared" si="15"/>
        <v/>
      </c>
      <c r="B964" t="str">
        <f>IF('Master data'!A964="","",'Master data'!A964)</f>
        <v/>
      </c>
      <c r="C964" t="str">
        <f>IFERROR(INDEX('Master data'!$B$2:$CL$1000,MATCH($B964,'Master data'!$A$2:$A$1000,0),MATCH(C$1,'Master data'!$B$1:$CL$1,0)),"")</f>
        <v/>
      </c>
      <c r="D964" t="str">
        <f>IFERROR(INDEX('Master data'!$B$2:$CL$1000,MATCH($B964,'Master data'!$A$2:$A$1000,0),MATCH(D$1,'Master data'!$B$1:$CL$1,0)),"")</f>
        <v/>
      </c>
      <c r="E964" s="5" t="str">
        <f>IFERROR(INDEX('Master data'!$B$2:$CL$1000,MATCH($B964,'Master data'!$A$2:$A$1000,0),MATCH(E$1,'Master data'!$B$1:$CL$1,0)),"")</f>
        <v/>
      </c>
      <c r="F964" s="7" t="str">
        <f>IFERROR(INDEX('Master data'!$B$2:$CL$1000,MATCH($B964,'Master data'!$A$2:$A$1000,0),MATCH(F$1,'Master data'!$B$1:$CL$1,0)),"")</f>
        <v/>
      </c>
      <c r="G964" s="7" t="str">
        <f>IFERROR(INDEX('Master data'!$B$2:$CL$1000,MATCH($B964,'Master data'!$A$2:$A$1000,0),MATCH(G$1,'Master data'!$B$1:$CL$1,0)),"")</f>
        <v/>
      </c>
      <c r="H964" s="7" t="str">
        <f>IFERROR(INDEX('Master data'!$B$2:$CL$1000,MATCH($B964,'Master data'!$A$2:$A$1000,0),MATCH(H$1,'Master data'!$B$1:$CL$1,0)),"")</f>
        <v/>
      </c>
      <c r="I964" s="7" t="str">
        <f>IFERROR(INDEX('Master data'!$B$2:$CL$1000,MATCH($B964,'Master data'!$A$2:$A$1000,0),MATCH(I$1,'Master data'!$B$1:$CL$1,0)),"")</f>
        <v/>
      </c>
      <c r="J964" s="7" t="str">
        <f>IFERROR(INDEX('Master data'!$B$2:$CL$1000,MATCH($B964,'Master data'!$A$2:$A$1000,0),MATCH(J$1,'Master data'!$B$1:$CL$1,0)),"")</f>
        <v/>
      </c>
      <c r="K964" s="7" t="str">
        <f>IFERROR(INDEX('Master data'!$B$2:$CL$1000,MATCH($B964,'Master data'!$A$2:$A$1000,0),MATCH(K$1,'Master data'!$B$1:$CL$1,0)),"")</f>
        <v/>
      </c>
      <c r="L964" s="7" t="str">
        <f>IFERROR(INDEX('Master data'!$B$2:$CL$1000,MATCH($B964,'Master data'!$A$2:$A$1000,0),MATCH(L$1,'Master data'!$B$1:$CL$1,0)),"")</f>
        <v/>
      </c>
      <c r="M964" s="5" t="str">
        <f>IFERROR(INDEX('Master data'!$B$2:$CL$1000,MATCH($B964,'Master data'!$A$2:$A$1000,0),MATCH(M$1,'Master data'!$B$1:$CL$1,0)),"")</f>
        <v/>
      </c>
      <c r="N964" s="28" t="str">
        <f>IFERROR(INDEX('Master data'!$B$2:$CL$1000,MATCH($B964,'Master data'!$A$2:$A$1000,0),MATCH(N$1,'Master data'!$B$1:$CL$1,0)),"")</f>
        <v/>
      </c>
      <c r="O964" s="7" t="str">
        <f>IFERROR(INDEX('Master data'!$B$2:$CL$1000,MATCH($B964,'Master data'!$A$2:$A$1000,0),MATCH(O$1,'Master data'!$B$1:$CL$1,0)),"")</f>
        <v/>
      </c>
      <c r="P964" s="5" t="str">
        <f>IFERROR(INDEX('Master data'!$B$2:$CL$1000,MATCH($B964,'Master data'!$A$2:$A$1000,0),MATCH(P$1,'Master data'!$B$1:$CL$1,0)),"")</f>
        <v/>
      </c>
      <c r="Q964" s="5" t="str">
        <f>IFERROR(INDEX('Master data'!$B$2:$CL$1000,MATCH($B964,'Master data'!$A$2:$A$1000,0),MATCH(Q$1,'Master data'!$B$1:$CL$1,0)),"")</f>
        <v/>
      </c>
    </row>
    <row r="965" spans="1:17" hidden="1">
      <c r="A965" t="str">
        <f t="shared" si="15"/>
        <v/>
      </c>
      <c r="B965" t="str">
        <f>IF('Master data'!A965="","",'Master data'!A965)</f>
        <v/>
      </c>
      <c r="C965" t="str">
        <f>IFERROR(INDEX('Master data'!$B$2:$CL$1000,MATCH($B965,'Master data'!$A$2:$A$1000,0),MATCH(C$1,'Master data'!$B$1:$CL$1,0)),"")</f>
        <v/>
      </c>
      <c r="D965" t="str">
        <f>IFERROR(INDEX('Master data'!$B$2:$CL$1000,MATCH($B965,'Master data'!$A$2:$A$1000,0),MATCH(D$1,'Master data'!$B$1:$CL$1,0)),"")</f>
        <v/>
      </c>
      <c r="E965" s="5" t="str">
        <f>IFERROR(INDEX('Master data'!$B$2:$CL$1000,MATCH($B965,'Master data'!$A$2:$A$1000,0),MATCH(E$1,'Master data'!$B$1:$CL$1,0)),"")</f>
        <v/>
      </c>
      <c r="F965" s="7" t="str">
        <f>IFERROR(INDEX('Master data'!$B$2:$CL$1000,MATCH($B965,'Master data'!$A$2:$A$1000,0),MATCH(F$1,'Master data'!$B$1:$CL$1,0)),"")</f>
        <v/>
      </c>
      <c r="G965" s="7" t="str">
        <f>IFERROR(INDEX('Master data'!$B$2:$CL$1000,MATCH($B965,'Master data'!$A$2:$A$1000,0),MATCH(G$1,'Master data'!$B$1:$CL$1,0)),"")</f>
        <v/>
      </c>
      <c r="H965" s="7" t="str">
        <f>IFERROR(INDEX('Master data'!$B$2:$CL$1000,MATCH($B965,'Master data'!$A$2:$A$1000,0),MATCH(H$1,'Master data'!$B$1:$CL$1,0)),"")</f>
        <v/>
      </c>
      <c r="I965" s="7" t="str">
        <f>IFERROR(INDEX('Master data'!$B$2:$CL$1000,MATCH($B965,'Master data'!$A$2:$A$1000,0),MATCH(I$1,'Master data'!$B$1:$CL$1,0)),"")</f>
        <v/>
      </c>
      <c r="J965" s="7" t="str">
        <f>IFERROR(INDEX('Master data'!$B$2:$CL$1000,MATCH($B965,'Master data'!$A$2:$A$1000,0),MATCH(J$1,'Master data'!$B$1:$CL$1,0)),"")</f>
        <v/>
      </c>
      <c r="K965" s="7" t="str">
        <f>IFERROR(INDEX('Master data'!$B$2:$CL$1000,MATCH($B965,'Master data'!$A$2:$A$1000,0),MATCH(K$1,'Master data'!$B$1:$CL$1,0)),"")</f>
        <v/>
      </c>
      <c r="L965" s="7" t="str">
        <f>IFERROR(INDEX('Master data'!$B$2:$CL$1000,MATCH($B965,'Master data'!$A$2:$A$1000,0),MATCH(L$1,'Master data'!$B$1:$CL$1,0)),"")</f>
        <v/>
      </c>
      <c r="M965" s="5" t="str">
        <f>IFERROR(INDEX('Master data'!$B$2:$CL$1000,MATCH($B965,'Master data'!$A$2:$A$1000,0),MATCH(M$1,'Master data'!$B$1:$CL$1,0)),"")</f>
        <v/>
      </c>
      <c r="N965" s="28" t="str">
        <f>IFERROR(INDEX('Master data'!$B$2:$CL$1000,MATCH($B965,'Master data'!$A$2:$A$1000,0),MATCH(N$1,'Master data'!$B$1:$CL$1,0)),"")</f>
        <v/>
      </c>
      <c r="O965" s="7" t="str">
        <f>IFERROR(INDEX('Master data'!$B$2:$CL$1000,MATCH($B965,'Master data'!$A$2:$A$1000,0),MATCH(O$1,'Master data'!$B$1:$CL$1,0)),"")</f>
        <v/>
      </c>
      <c r="P965" s="5" t="str">
        <f>IFERROR(INDEX('Master data'!$B$2:$CL$1000,MATCH($B965,'Master data'!$A$2:$A$1000,0),MATCH(P$1,'Master data'!$B$1:$CL$1,0)),"")</f>
        <v/>
      </c>
      <c r="Q965" s="5" t="str">
        <f>IFERROR(INDEX('Master data'!$B$2:$CL$1000,MATCH($B965,'Master data'!$A$2:$A$1000,0),MATCH(Q$1,'Master data'!$B$1:$CL$1,0)),"")</f>
        <v/>
      </c>
    </row>
    <row r="966" spans="1:17" hidden="1">
      <c r="A966" t="str">
        <f t="shared" si="15"/>
        <v/>
      </c>
      <c r="B966" t="str">
        <f>IF('Master data'!A966="","",'Master data'!A966)</f>
        <v/>
      </c>
      <c r="C966" t="str">
        <f>IFERROR(INDEX('Master data'!$B$2:$CL$1000,MATCH($B966,'Master data'!$A$2:$A$1000,0),MATCH(C$1,'Master data'!$B$1:$CL$1,0)),"")</f>
        <v/>
      </c>
      <c r="D966" t="str">
        <f>IFERROR(INDEX('Master data'!$B$2:$CL$1000,MATCH($B966,'Master data'!$A$2:$A$1000,0),MATCH(D$1,'Master data'!$B$1:$CL$1,0)),"")</f>
        <v/>
      </c>
      <c r="E966" s="5" t="str">
        <f>IFERROR(INDEX('Master data'!$B$2:$CL$1000,MATCH($B966,'Master data'!$A$2:$A$1000,0),MATCH(E$1,'Master data'!$B$1:$CL$1,0)),"")</f>
        <v/>
      </c>
      <c r="F966" s="7" t="str">
        <f>IFERROR(INDEX('Master data'!$B$2:$CL$1000,MATCH($B966,'Master data'!$A$2:$A$1000,0),MATCH(F$1,'Master data'!$B$1:$CL$1,0)),"")</f>
        <v/>
      </c>
      <c r="G966" s="7" t="str">
        <f>IFERROR(INDEX('Master data'!$B$2:$CL$1000,MATCH($B966,'Master data'!$A$2:$A$1000,0),MATCH(G$1,'Master data'!$B$1:$CL$1,0)),"")</f>
        <v/>
      </c>
      <c r="H966" s="7" t="str">
        <f>IFERROR(INDEX('Master data'!$B$2:$CL$1000,MATCH($B966,'Master data'!$A$2:$A$1000,0),MATCH(H$1,'Master data'!$B$1:$CL$1,0)),"")</f>
        <v/>
      </c>
      <c r="I966" s="7" t="str">
        <f>IFERROR(INDEX('Master data'!$B$2:$CL$1000,MATCH($B966,'Master data'!$A$2:$A$1000,0),MATCH(I$1,'Master data'!$B$1:$CL$1,0)),"")</f>
        <v/>
      </c>
      <c r="J966" s="7" t="str">
        <f>IFERROR(INDEX('Master data'!$B$2:$CL$1000,MATCH($B966,'Master data'!$A$2:$A$1000,0),MATCH(J$1,'Master data'!$B$1:$CL$1,0)),"")</f>
        <v/>
      </c>
      <c r="K966" s="7" t="str">
        <f>IFERROR(INDEX('Master data'!$B$2:$CL$1000,MATCH($B966,'Master data'!$A$2:$A$1000,0),MATCH(K$1,'Master data'!$B$1:$CL$1,0)),"")</f>
        <v/>
      </c>
      <c r="L966" s="7" t="str">
        <f>IFERROR(INDEX('Master data'!$B$2:$CL$1000,MATCH($B966,'Master data'!$A$2:$A$1000,0),MATCH(L$1,'Master data'!$B$1:$CL$1,0)),"")</f>
        <v/>
      </c>
      <c r="M966" s="5" t="str">
        <f>IFERROR(INDEX('Master data'!$B$2:$CL$1000,MATCH($B966,'Master data'!$A$2:$A$1000,0),MATCH(M$1,'Master data'!$B$1:$CL$1,0)),"")</f>
        <v/>
      </c>
      <c r="N966" s="28" t="str">
        <f>IFERROR(INDEX('Master data'!$B$2:$CL$1000,MATCH($B966,'Master data'!$A$2:$A$1000,0),MATCH(N$1,'Master data'!$B$1:$CL$1,0)),"")</f>
        <v/>
      </c>
      <c r="O966" s="7" t="str">
        <f>IFERROR(INDEX('Master data'!$B$2:$CL$1000,MATCH($B966,'Master data'!$A$2:$A$1000,0),MATCH(O$1,'Master data'!$B$1:$CL$1,0)),"")</f>
        <v/>
      </c>
      <c r="P966" s="5" t="str">
        <f>IFERROR(INDEX('Master data'!$B$2:$CL$1000,MATCH($B966,'Master data'!$A$2:$A$1000,0),MATCH(P$1,'Master data'!$B$1:$CL$1,0)),"")</f>
        <v/>
      </c>
      <c r="Q966" s="5" t="str">
        <f>IFERROR(INDEX('Master data'!$B$2:$CL$1000,MATCH($B966,'Master data'!$A$2:$A$1000,0),MATCH(Q$1,'Master data'!$B$1:$CL$1,0)),"")</f>
        <v/>
      </c>
    </row>
    <row r="967" spans="1:17" hidden="1">
      <c r="A967" t="str">
        <f t="shared" si="15"/>
        <v/>
      </c>
      <c r="B967" t="str">
        <f>IF('Master data'!A967="","",'Master data'!A967)</f>
        <v/>
      </c>
      <c r="C967" t="str">
        <f>IFERROR(INDEX('Master data'!$B$2:$CL$1000,MATCH($B967,'Master data'!$A$2:$A$1000,0),MATCH(C$1,'Master data'!$B$1:$CL$1,0)),"")</f>
        <v/>
      </c>
      <c r="D967" t="str">
        <f>IFERROR(INDEX('Master data'!$B$2:$CL$1000,MATCH($B967,'Master data'!$A$2:$A$1000,0),MATCH(D$1,'Master data'!$B$1:$CL$1,0)),"")</f>
        <v/>
      </c>
      <c r="E967" s="5" t="str">
        <f>IFERROR(INDEX('Master data'!$B$2:$CL$1000,MATCH($B967,'Master data'!$A$2:$A$1000,0),MATCH(E$1,'Master data'!$B$1:$CL$1,0)),"")</f>
        <v/>
      </c>
      <c r="F967" s="7" t="str">
        <f>IFERROR(INDEX('Master data'!$B$2:$CL$1000,MATCH($B967,'Master data'!$A$2:$A$1000,0),MATCH(F$1,'Master data'!$B$1:$CL$1,0)),"")</f>
        <v/>
      </c>
      <c r="G967" s="7" t="str">
        <f>IFERROR(INDEX('Master data'!$B$2:$CL$1000,MATCH($B967,'Master data'!$A$2:$A$1000,0),MATCH(G$1,'Master data'!$B$1:$CL$1,0)),"")</f>
        <v/>
      </c>
      <c r="H967" s="7" t="str">
        <f>IFERROR(INDEX('Master data'!$B$2:$CL$1000,MATCH($B967,'Master data'!$A$2:$A$1000,0),MATCH(H$1,'Master data'!$B$1:$CL$1,0)),"")</f>
        <v/>
      </c>
      <c r="I967" s="7" t="str">
        <f>IFERROR(INDEX('Master data'!$B$2:$CL$1000,MATCH($B967,'Master data'!$A$2:$A$1000,0),MATCH(I$1,'Master data'!$B$1:$CL$1,0)),"")</f>
        <v/>
      </c>
      <c r="J967" s="7" t="str">
        <f>IFERROR(INDEX('Master data'!$B$2:$CL$1000,MATCH($B967,'Master data'!$A$2:$A$1000,0),MATCH(J$1,'Master data'!$B$1:$CL$1,0)),"")</f>
        <v/>
      </c>
      <c r="K967" s="7" t="str">
        <f>IFERROR(INDEX('Master data'!$B$2:$CL$1000,MATCH($B967,'Master data'!$A$2:$A$1000,0),MATCH(K$1,'Master data'!$B$1:$CL$1,0)),"")</f>
        <v/>
      </c>
      <c r="L967" s="7" t="str">
        <f>IFERROR(INDEX('Master data'!$B$2:$CL$1000,MATCH($B967,'Master data'!$A$2:$A$1000,0),MATCH(L$1,'Master data'!$B$1:$CL$1,0)),"")</f>
        <v/>
      </c>
      <c r="M967" s="5" t="str">
        <f>IFERROR(INDEX('Master data'!$B$2:$CL$1000,MATCH($B967,'Master data'!$A$2:$A$1000,0),MATCH(M$1,'Master data'!$B$1:$CL$1,0)),"")</f>
        <v/>
      </c>
      <c r="N967" s="28" t="str">
        <f>IFERROR(INDEX('Master data'!$B$2:$CL$1000,MATCH($B967,'Master data'!$A$2:$A$1000,0),MATCH(N$1,'Master data'!$B$1:$CL$1,0)),"")</f>
        <v/>
      </c>
      <c r="O967" s="7" t="str">
        <f>IFERROR(INDEX('Master data'!$B$2:$CL$1000,MATCH($B967,'Master data'!$A$2:$A$1000,0),MATCH(O$1,'Master data'!$B$1:$CL$1,0)),"")</f>
        <v/>
      </c>
      <c r="P967" s="5" t="str">
        <f>IFERROR(INDEX('Master data'!$B$2:$CL$1000,MATCH($B967,'Master data'!$A$2:$A$1000,0),MATCH(P$1,'Master data'!$B$1:$CL$1,0)),"")</f>
        <v/>
      </c>
      <c r="Q967" s="5" t="str">
        <f>IFERROR(INDEX('Master data'!$B$2:$CL$1000,MATCH($B967,'Master data'!$A$2:$A$1000,0),MATCH(Q$1,'Master data'!$B$1:$CL$1,0)),"")</f>
        <v/>
      </c>
    </row>
    <row r="968" spans="1:17" hidden="1">
      <c r="A968" t="str">
        <f t="shared" si="15"/>
        <v/>
      </c>
      <c r="B968" t="str">
        <f>IF('Master data'!A968="","",'Master data'!A968)</f>
        <v/>
      </c>
      <c r="C968" t="str">
        <f>IFERROR(INDEX('Master data'!$B$2:$CL$1000,MATCH($B968,'Master data'!$A$2:$A$1000,0),MATCH(C$1,'Master data'!$B$1:$CL$1,0)),"")</f>
        <v/>
      </c>
      <c r="D968" t="str">
        <f>IFERROR(INDEX('Master data'!$B$2:$CL$1000,MATCH($B968,'Master data'!$A$2:$A$1000,0),MATCH(D$1,'Master data'!$B$1:$CL$1,0)),"")</f>
        <v/>
      </c>
      <c r="E968" s="5" t="str">
        <f>IFERROR(INDEX('Master data'!$B$2:$CL$1000,MATCH($B968,'Master data'!$A$2:$A$1000,0),MATCH(E$1,'Master data'!$B$1:$CL$1,0)),"")</f>
        <v/>
      </c>
      <c r="F968" s="7" t="str">
        <f>IFERROR(INDEX('Master data'!$B$2:$CL$1000,MATCH($B968,'Master data'!$A$2:$A$1000,0),MATCH(F$1,'Master data'!$B$1:$CL$1,0)),"")</f>
        <v/>
      </c>
      <c r="G968" s="7" t="str">
        <f>IFERROR(INDEX('Master data'!$B$2:$CL$1000,MATCH($B968,'Master data'!$A$2:$A$1000,0),MATCH(G$1,'Master data'!$B$1:$CL$1,0)),"")</f>
        <v/>
      </c>
      <c r="H968" s="7" t="str">
        <f>IFERROR(INDEX('Master data'!$B$2:$CL$1000,MATCH($B968,'Master data'!$A$2:$A$1000,0),MATCH(H$1,'Master data'!$B$1:$CL$1,0)),"")</f>
        <v/>
      </c>
      <c r="I968" s="7" t="str">
        <f>IFERROR(INDEX('Master data'!$B$2:$CL$1000,MATCH($B968,'Master data'!$A$2:$A$1000,0),MATCH(I$1,'Master data'!$B$1:$CL$1,0)),"")</f>
        <v/>
      </c>
      <c r="J968" s="7" t="str">
        <f>IFERROR(INDEX('Master data'!$B$2:$CL$1000,MATCH($B968,'Master data'!$A$2:$A$1000,0),MATCH(J$1,'Master data'!$B$1:$CL$1,0)),"")</f>
        <v/>
      </c>
      <c r="K968" s="7" t="str">
        <f>IFERROR(INDEX('Master data'!$B$2:$CL$1000,MATCH($B968,'Master data'!$A$2:$A$1000,0),MATCH(K$1,'Master data'!$B$1:$CL$1,0)),"")</f>
        <v/>
      </c>
      <c r="L968" s="7" t="str">
        <f>IFERROR(INDEX('Master data'!$B$2:$CL$1000,MATCH($B968,'Master data'!$A$2:$A$1000,0),MATCH(L$1,'Master data'!$B$1:$CL$1,0)),"")</f>
        <v/>
      </c>
      <c r="M968" s="5" t="str">
        <f>IFERROR(INDEX('Master data'!$B$2:$CL$1000,MATCH($B968,'Master data'!$A$2:$A$1000,0),MATCH(M$1,'Master data'!$B$1:$CL$1,0)),"")</f>
        <v/>
      </c>
      <c r="N968" s="28" t="str">
        <f>IFERROR(INDEX('Master data'!$B$2:$CL$1000,MATCH($B968,'Master data'!$A$2:$A$1000,0),MATCH(N$1,'Master data'!$B$1:$CL$1,0)),"")</f>
        <v/>
      </c>
      <c r="O968" s="7" t="str">
        <f>IFERROR(INDEX('Master data'!$B$2:$CL$1000,MATCH($B968,'Master data'!$A$2:$A$1000,0),MATCH(O$1,'Master data'!$B$1:$CL$1,0)),"")</f>
        <v/>
      </c>
      <c r="P968" s="5" t="str">
        <f>IFERROR(INDEX('Master data'!$B$2:$CL$1000,MATCH($B968,'Master data'!$A$2:$A$1000,0),MATCH(P$1,'Master data'!$B$1:$CL$1,0)),"")</f>
        <v/>
      </c>
      <c r="Q968" s="5" t="str">
        <f>IFERROR(INDEX('Master data'!$B$2:$CL$1000,MATCH($B968,'Master data'!$A$2:$A$1000,0),MATCH(Q$1,'Master data'!$B$1:$CL$1,0)),"")</f>
        <v/>
      </c>
    </row>
    <row r="969" spans="1:17" hidden="1">
      <c r="A969" t="str">
        <f t="shared" si="15"/>
        <v/>
      </c>
      <c r="B969" t="str">
        <f>IF('Master data'!A969="","",'Master data'!A969)</f>
        <v/>
      </c>
      <c r="C969" t="str">
        <f>IFERROR(INDEX('Master data'!$B$2:$CL$1000,MATCH($B969,'Master data'!$A$2:$A$1000,0),MATCH(C$1,'Master data'!$B$1:$CL$1,0)),"")</f>
        <v/>
      </c>
      <c r="D969" t="str">
        <f>IFERROR(INDEX('Master data'!$B$2:$CL$1000,MATCH($B969,'Master data'!$A$2:$A$1000,0),MATCH(D$1,'Master data'!$B$1:$CL$1,0)),"")</f>
        <v/>
      </c>
      <c r="E969" s="5" t="str">
        <f>IFERROR(INDEX('Master data'!$B$2:$CL$1000,MATCH($B969,'Master data'!$A$2:$A$1000,0),MATCH(E$1,'Master data'!$B$1:$CL$1,0)),"")</f>
        <v/>
      </c>
      <c r="F969" s="7" t="str">
        <f>IFERROR(INDEX('Master data'!$B$2:$CL$1000,MATCH($B969,'Master data'!$A$2:$A$1000,0),MATCH(F$1,'Master data'!$B$1:$CL$1,0)),"")</f>
        <v/>
      </c>
      <c r="G969" s="7" t="str">
        <f>IFERROR(INDEX('Master data'!$B$2:$CL$1000,MATCH($B969,'Master data'!$A$2:$A$1000,0),MATCH(G$1,'Master data'!$B$1:$CL$1,0)),"")</f>
        <v/>
      </c>
      <c r="H969" s="7" t="str">
        <f>IFERROR(INDEX('Master data'!$B$2:$CL$1000,MATCH($B969,'Master data'!$A$2:$A$1000,0),MATCH(H$1,'Master data'!$B$1:$CL$1,0)),"")</f>
        <v/>
      </c>
      <c r="I969" s="7" t="str">
        <f>IFERROR(INDEX('Master data'!$B$2:$CL$1000,MATCH($B969,'Master data'!$A$2:$A$1000,0),MATCH(I$1,'Master data'!$B$1:$CL$1,0)),"")</f>
        <v/>
      </c>
      <c r="J969" s="7" t="str">
        <f>IFERROR(INDEX('Master data'!$B$2:$CL$1000,MATCH($B969,'Master data'!$A$2:$A$1000,0),MATCH(J$1,'Master data'!$B$1:$CL$1,0)),"")</f>
        <v/>
      </c>
      <c r="K969" s="7" t="str">
        <f>IFERROR(INDEX('Master data'!$B$2:$CL$1000,MATCH($B969,'Master data'!$A$2:$A$1000,0),MATCH(K$1,'Master data'!$B$1:$CL$1,0)),"")</f>
        <v/>
      </c>
      <c r="L969" s="7" t="str">
        <f>IFERROR(INDEX('Master data'!$B$2:$CL$1000,MATCH($B969,'Master data'!$A$2:$A$1000,0),MATCH(L$1,'Master data'!$B$1:$CL$1,0)),"")</f>
        <v/>
      </c>
      <c r="M969" s="5" t="str">
        <f>IFERROR(INDEX('Master data'!$B$2:$CL$1000,MATCH($B969,'Master data'!$A$2:$A$1000,0),MATCH(M$1,'Master data'!$B$1:$CL$1,0)),"")</f>
        <v/>
      </c>
      <c r="N969" s="28" t="str">
        <f>IFERROR(INDEX('Master data'!$B$2:$CL$1000,MATCH($B969,'Master data'!$A$2:$A$1000,0),MATCH(N$1,'Master data'!$B$1:$CL$1,0)),"")</f>
        <v/>
      </c>
      <c r="O969" s="7" t="str">
        <f>IFERROR(INDEX('Master data'!$B$2:$CL$1000,MATCH($B969,'Master data'!$A$2:$A$1000,0),MATCH(O$1,'Master data'!$B$1:$CL$1,0)),"")</f>
        <v/>
      </c>
      <c r="P969" s="5" t="str">
        <f>IFERROR(INDEX('Master data'!$B$2:$CL$1000,MATCH($B969,'Master data'!$A$2:$A$1000,0),MATCH(P$1,'Master data'!$B$1:$CL$1,0)),"")</f>
        <v/>
      </c>
      <c r="Q969" s="5" t="str">
        <f>IFERROR(INDEX('Master data'!$B$2:$CL$1000,MATCH($B969,'Master data'!$A$2:$A$1000,0),MATCH(Q$1,'Master data'!$B$1:$CL$1,0)),"")</f>
        <v/>
      </c>
    </row>
    <row r="970" spans="1:17" hidden="1">
      <c r="A970" t="str">
        <f t="shared" si="15"/>
        <v/>
      </c>
      <c r="B970" t="str">
        <f>IF('Master data'!A970="","",'Master data'!A970)</f>
        <v/>
      </c>
      <c r="C970" t="str">
        <f>IFERROR(INDEX('Master data'!$B$2:$CL$1000,MATCH($B970,'Master data'!$A$2:$A$1000,0),MATCH(C$1,'Master data'!$B$1:$CL$1,0)),"")</f>
        <v/>
      </c>
      <c r="D970" t="str">
        <f>IFERROR(INDEX('Master data'!$B$2:$CL$1000,MATCH($B970,'Master data'!$A$2:$A$1000,0),MATCH(D$1,'Master data'!$B$1:$CL$1,0)),"")</f>
        <v/>
      </c>
      <c r="E970" s="5" t="str">
        <f>IFERROR(INDEX('Master data'!$B$2:$CL$1000,MATCH($B970,'Master data'!$A$2:$A$1000,0),MATCH(E$1,'Master data'!$B$1:$CL$1,0)),"")</f>
        <v/>
      </c>
      <c r="F970" s="7" t="str">
        <f>IFERROR(INDEX('Master data'!$B$2:$CL$1000,MATCH($B970,'Master data'!$A$2:$A$1000,0),MATCH(F$1,'Master data'!$B$1:$CL$1,0)),"")</f>
        <v/>
      </c>
      <c r="G970" s="7" t="str">
        <f>IFERROR(INDEX('Master data'!$B$2:$CL$1000,MATCH($B970,'Master data'!$A$2:$A$1000,0),MATCH(G$1,'Master data'!$B$1:$CL$1,0)),"")</f>
        <v/>
      </c>
      <c r="H970" s="7" t="str">
        <f>IFERROR(INDEX('Master data'!$B$2:$CL$1000,MATCH($B970,'Master data'!$A$2:$A$1000,0),MATCH(H$1,'Master data'!$B$1:$CL$1,0)),"")</f>
        <v/>
      </c>
      <c r="I970" s="7" t="str">
        <f>IFERROR(INDEX('Master data'!$B$2:$CL$1000,MATCH($B970,'Master data'!$A$2:$A$1000,0),MATCH(I$1,'Master data'!$B$1:$CL$1,0)),"")</f>
        <v/>
      </c>
      <c r="J970" s="7" t="str">
        <f>IFERROR(INDEX('Master data'!$B$2:$CL$1000,MATCH($B970,'Master data'!$A$2:$A$1000,0),MATCH(J$1,'Master data'!$B$1:$CL$1,0)),"")</f>
        <v/>
      </c>
      <c r="K970" s="7" t="str">
        <f>IFERROR(INDEX('Master data'!$B$2:$CL$1000,MATCH($B970,'Master data'!$A$2:$A$1000,0),MATCH(K$1,'Master data'!$B$1:$CL$1,0)),"")</f>
        <v/>
      </c>
      <c r="L970" s="7" t="str">
        <f>IFERROR(INDEX('Master data'!$B$2:$CL$1000,MATCH($B970,'Master data'!$A$2:$A$1000,0),MATCH(L$1,'Master data'!$B$1:$CL$1,0)),"")</f>
        <v/>
      </c>
      <c r="M970" s="5" t="str">
        <f>IFERROR(INDEX('Master data'!$B$2:$CL$1000,MATCH($B970,'Master data'!$A$2:$A$1000,0),MATCH(M$1,'Master data'!$B$1:$CL$1,0)),"")</f>
        <v/>
      </c>
      <c r="N970" s="28" t="str">
        <f>IFERROR(INDEX('Master data'!$B$2:$CL$1000,MATCH($B970,'Master data'!$A$2:$A$1000,0),MATCH(N$1,'Master data'!$B$1:$CL$1,0)),"")</f>
        <v/>
      </c>
      <c r="O970" s="7" t="str">
        <f>IFERROR(INDEX('Master data'!$B$2:$CL$1000,MATCH($B970,'Master data'!$A$2:$A$1000,0),MATCH(O$1,'Master data'!$B$1:$CL$1,0)),"")</f>
        <v/>
      </c>
      <c r="P970" s="5" t="str">
        <f>IFERROR(INDEX('Master data'!$B$2:$CL$1000,MATCH($B970,'Master data'!$A$2:$A$1000,0),MATCH(P$1,'Master data'!$B$1:$CL$1,0)),"")</f>
        <v/>
      </c>
      <c r="Q970" s="5" t="str">
        <f>IFERROR(INDEX('Master data'!$B$2:$CL$1000,MATCH($B970,'Master data'!$A$2:$A$1000,0),MATCH(Q$1,'Master data'!$B$1:$CL$1,0)),"")</f>
        <v/>
      </c>
    </row>
    <row r="971" spans="1:17" hidden="1">
      <c r="A971" t="str">
        <f t="shared" si="15"/>
        <v/>
      </c>
      <c r="B971" t="str">
        <f>IF('Master data'!A971="","",'Master data'!A971)</f>
        <v/>
      </c>
      <c r="C971" t="str">
        <f>IFERROR(INDEX('Master data'!$B$2:$CL$1000,MATCH($B971,'Master data'!$A$2:$A$1000,0),MATCH(C$1,'Master data'!$B$1:$CL$1,0)),"")</f>
        <v/>
      </c>
      <c r="D971" t="str">
        <f>IFERROR(INDEX('Master data'!$B$2:$CL$1000,MATCH($B971,'Master data'!$A$2:$A$1000,0),MATCH(D$1,'Master data'!$B$1:$CL$1,0)),"")</f>
        <v/>
      </c>
      <c r="E971" s="5" t="str">
        <f>IFERROR(INDEX('Master data'!$B$2:$CL$1000,MATCH($B971,'Master data'!$A$2:$A$1000,0),MATCH(E$1,'Master data'!$B$1:$CL$1,0)),"")</f>
        <v/>
      </c>
      <c r="F971" s="7" t="str">
        <f>IFERROR(INDEX('Master data'!$B$2:$CL$1000,MATCH($B971,'Master data'!$A$2:$A$1000,0),MATCH(F$1,'Master data'!$B$1:$CL$1,0)),"")</f>
        <v/>
      </c>
      <c r="G971" s="7" t="str">
        <f>IFERROR(INDEX('Master data'!$B$2:$CL$1000,MATCH($B971,'Master data'!$A$2:$A$1000,0),MATCH(G$1,'Master data'!$B$1:$CL$1,0)),"")</f>
        <v/>
      </c>
      <c r="H971" s="7" t="str">
        <f>IFERROR(INDEX('Master data'!$B$2:$CL$1000,MATCH($B971,'Master data'!$A$2:$A$1000,0),MATCH(H$1,'Master data'!$B$1:$CL$1,0)),"")</f>
        <v/>
      </c>
      <c r="I971" s="7" t="str">
        <f>IFERROR(INDEX('Master data'!$B$2:$CL$1000,MATCH($B971,'Master data'!$A$2:$A$1000,0),MATCH(I$1,'Master data'!$B$1:$CL$1,0)),"")</f>
        <v/>
      </c>
      <c r="J971" s="7" t="str">
        <f>IFERROR(INDEX('Master data'!$B$2:$CL$1000,MATCH($B971,'Master data'!$A$2:$A$1000,0),MATCH(J$1,'Master data'!$B$1:$CL$1,0)),"")</f>
        <v/>
      </c>
      <c r="K971" s="7" t="str">
        <f>IFERROR(INDEX('Master data'!$B$2:$CL$1000,MATCH($B971,'Master data'!$A$2:$A$1000,0),MATCH(K$1,'Master data'!$B$1:$CL$1,0)),"")</f>
        <v/>
      </c>
      <c r="L971" s="7" t="str">
        <f>IFERROR(INDEX('Master data'!$B$2:$CL$1000,MATCH($B971,'Master data'!$A$2:$A$1000,0),MATCH(L$1,'Master data'!$B$1:$CL$1,0)),"")</f>
        <v/>
      </c>
      <c r="M971" s="5" t="str">
        <f>IFERROR(INDEX('Master data'!$B$2:$CL$1000,MATCH($B971,'Master data'!$A$2:$A$1000,0),MATCH(M$1,'Master data'!$B$1:$CL$1,0)),"")</f>
        <v/>
      </c>
      <c r="N971" s="28" t="str">
        <f>IFERROR(INDEX('Master data'!$B$2:$CL$1000,MATCH($B971,'Master data'!$A$2:$A$1000,0),MATCH(N$1,'Master data'!$B$1:$CL$1,0)),"")</f>
        <v/>
      </c>
      <c r="O971" s="7" t="str">
        <f>IFERROR(INDEX('Master data'!$B$2:$CL$1000,MATCH($B971,'Master data'!$A$2:$A$1000,0),MATCH(O$1,'Master data'!$B$1:$CL$1,0)),"")</f>
        <v/>
      </c>
      <c r="P971" s="5" t="str">
        <f>IFERROR(INDEX('Master data'!$B$2:$CL$1000,MATCH($B971,'Master data'!$A$2:$A$1000,0),MATCH(P$1,'Master data'!$B$1:$CL$1,0)),"")</f>
        <v/>
      </c>
      <c r="Q971" s="5" t="str">
        <f>IFERROR(INDEX('Master data'!$B$2:$CL$1000,MATCH($B971,'Master data'!$A$2:$A$1000,0),MATCH(Q$1,'Master data'!$B$1:$CL$1,0)),"")</f>
        <v/>
      </c>
    </row>
    <row r="972" spans="1:17" hidden="1">
      <c r="A972" t="str">
        <f t="shared" si="15"/>
        <v/>
      </c>
      <c r="B972" t="str">
        <f>IF('Master data'!A972="","",'Master data'!A972)</f>
        <v/>
      </c>
      <c r="C972" t="str">
        <f>IFERROR(INDEX('Master data'!$B$2:$CL$1000,MATCH($B972,'Master data'!$A$2:$A$1000,0),MATCH(C$1,'Master data'!$B$1:$CL$1,0)),"")</f>
        <v/>
      </c>
      <c r="D972" t="str">
        <f>IFERROR(INDEX('Master data'!$B$2:$CL$1000,MATCH($B972,'Master data'!$A$2:$A$1000,0),MATCH(D$1,'Master data'!$B$1:$CL$1,0)),"")</f>
        <v/>
      </c>
      <c r="E972" s="5" t="str">
        <f>IFERROR(INDEX('Master data'!$B$2:$CL$1000,MATCH($B972,'Master data'!$A$2:$A$1000,0),MATCH(E$1,'Master data'!$B$1:$CL$1,0)),"")</f>
        <v/>
      </c>
      <c r="F972" s="7" t="str">
        <f>IFERROR(INDEX('Master data'!$B$2:$CL$1000,MATCH($B972,'Master data'!$A$2:$A$1000,0),MATCH(F$1,'Master data'!$B$1:$CL$1,0)),"")</f>
        <v/>
      </c>
      <c r="G972" s="7" t="str">
        <f>IFERROR(INDEX('Master data'!$B$2:$CL$1000,MATCH($B972,'Master data'!$A$2:$A$1000,0),MATCH(G$1,'Master data'!$B$1:$CL$1,0)),"")</f>
        <v/>
      </c>
      <c r="H972" s="7" t="str">
        <f>IFERROR(INDEX('Master data'!$B$2:$CL$1000,MATCH($B972,'Master data'!$A$2:$A$1000,0),MATCH(H$1,'Master data'!$B$1:$CL$1,0)),"")</f>
        <v/>
      </c>
      <c r="I972" s="7" t="str">
        <f>IFERROR(INDEX('Master data'!$B$2:$CL$1000,MATCH($B972,'Master data'!$A$2:$A$1000,0),MATCH(I$1,'Master data'!$B$1:$CL$1,0)),"")</f>
        <v/>
      </c>
      <c r="J972" s="7" t="str">
        <f>IFERROR(INDEX('Master data'!$B$2:$CL$1000,MATCH($B972,'Master data'!$A$2:$A$1000,0),MATCH(J$1,'Master data'!$B$1:$CL$1,0)),"")</f>
        <v/>
      </c>
      <c r="K972" s="7" t="str">
        <f>IFERROR(INDEX('Master data'!$B$2:$CL$1000,MATCH($B972,'Master data'!$A$2:$A$1000,0),MATCH(K$1,'Master data'!$B$1:$CL$1,0)),"")</f>
        <v/>
      </c>
      <c r="L972" s="7" t="str">
        <f>IFERROR(INDEX('Master data'!$B$2:$CL$1000,MATCH($B972,'Master data'!$A$2:$A$1000,0),MATCH(L$1,'Master data'!$B$1:$CL$1,0)),"")</f>
        <v/>
      </c>
      <c r="M972" s="5" t="str">
        <f>IFERROR(INDEX('Master data'!$B$2:$CL$1000,MATCH($B972,'Master data'!$A$2:$A$1000,0),MATCH(M$1,'Master data'!$B$1:$CL$1,0)),"")</f>
        <v/>
      </c>
      <c r="N972" s="28" t="str">
        <f>IFERROR(INDEX('Master data'!$B$2:$CL$1000,MATCH($B972,'Master data'!$A$2:$A$1000,0),MATCH(N$1,'Master data'!$B$1:$CL$1,0)),"")</f>
        <v/>
      </c>
      <c r="O972" s="7" t="str">
        <f>IFERROR(INDEX('Master data'!$B$2:$CL$1000,MATCH($B972,'Master data'!$A$2:$A$1000,0),MATCH(O$1,'Master data'!$B$1:$CL$1,0)),"")</f>
        <v/>
      </c>
      <c r="P972" s="5" t="str">
        <f>IFERROR(INDEX('Master data'!$B$2:$CL$1000,MATCH($B972,'Master data'!$A$2:$A$1000,0),MATCH(P$1,'Master data'!$B$1:$CL$1,0)),"")</f>
        <v/>
      </c>
      <c r="Q972" s="5" t="str">
        <f>IFERROR(INDEX('Master data'!$B$2:$CL$1000,MATCH($B972,'Master data'!$A$2:$A$1000,0),MATCH(Q$1,'Master data'!$B$1:$CL$1,0)),"")</f>
        <v/>
      </c>
    </row>
    <row r="973" spans="1:17" hidden="1">
      <c r="A973" t="str">
        <f t="shared" si="15"/>
        <v/>
      </c>
      <c r="B973" t="str">
        <f>IF('Master data'!A973="","",'Master data'!A973)</f>
        <v/>
      </c>
      <c r="C973" t="str">
        <f>IFERROR(INDEX('Master data'!$B$2:$CL$1000,MATCH($B973,'Master data'!$A$2:$A$1000,0),MATCH(C$1,'Master data'!$B$1:$CL$1,0)),"")</f>
        <v/>
      </c>
      <c r="D973" t="str">
        <f>IFERROR(INDEX('Master data'!$B$2:$CL$1000,MATCH($B973,'Master data'!$A$2:$A$1000,0),MATCH(D$1,'Master data'!$B$1:$CL$1,0)),"")</f>
        <v/>
      </c>
      <c r="E973" s="5" t="str">
        <f>IFERROR(INDEX('Master data'!$B$2:$CL$1000,MATCH($B973,'Master data'!$A$2:$A$1000,0),MATCH(E$1,'Master data'!$B$1:$CL$1,0)),"")</f>
        <v/>
      </c>
      <c r="F973" s="7" t="str">
        <f>IFERROR(INDEX('Master data'!$B$2:$CL$1000,MATCH($B973,'Master data'!$A$2:$A$1000,0),MATCH(F$1,'Master data'!$B$1:$CL$1,0)),"")</f>
        <v/>
      </c>
      <c r="G973" s="7" t="str">
        <f>IFERROR(INDEX('Master data'!$B$2:$CL$1000,MATCH($B973,'Master data'!$A$2:$A$1000,0),MATCH(G$1,'Master data'!$B$1:$CL$1,0)),"")</f>
        <v/>
      </c>
      <c r="H973" s="7" t="str">
        <f>IFERROR(INDEX('Master data'!$B$2:$CL$1000,MATCH($B973,'Master data'!$A$2:$A$1000,0),MATCH(H$1,'Master data'!$B$1:$CL$1,0)),"")</f>
        <v/>
      </c>
      <c r="I973" s="7" t="str">
        <f>IFERROR(INDEX('Master data'!$B$2:$CL$1000,MATCH($B973,'Master data'!$A$2:$A$1000,0),MATCH(I$1,'Master data'!$B$1:$CL$1,0)),"")</f>
        <v/>
      </c>
      <c r="J973" s="7" t="str">
        <f>IFERROR(INDEX('Master data'!$B$2:$CL$1000,MATCH($B973,'Master data'!$A$2:$A$1000,0),MATCH(J$1,'Master data'!$B$1:$CL$1,0)),"")</f>
        <v/>
      </c>
      <c r="K973" s="7" t="str">
        <f>IFERROR(INDEX('Master data'!$B$2:$CL$1000,MATCH($B973,'Master data'!$A$2:$A$1000,0),MATCH(K$1,'Master data'!$B$1:$CL$1,0)),"")</f>
        <v/>
      </c>
      <c r="L973" s="7" t="str">
        <f>IFERROR(INDEX('Master data'!$B$2:$CL$1000,MATCH($B973,'Master data'!$A$2:$A$1000,0),MATCH(L$1,'Master data'!$B$1:$CL$1,0)),"")</f>
        <v/>
      </c>
      <c r="M973" s="5" t="str">
        <f>IFERROR(INDEX('Master data'!$B$2:$CL$1000,MATCH($B973,'Master data'!$A$2:$A$1000,0),MATCH(M$1,'Master data'!$B$1:$CL$1,0)),"")</f>
        <v/>
      </c>
      <c r="N973" s="28" t="str">
        <f>IFERROR(INDEX('Master data'!$B$2:$CL$1000,MATCH($B973,'Master data'!$A$2:$A$1000,0),MATCH(N$1,'Master data'!$B$1:$CL$1,0)),"")</f>
        <v/>
      </c>
      <c r="O973" s="7" t="str">
        <f>IFERROR(INDEX('Master data'!$B$2:$CL$1000,MATCH($B973,'Master data'!$A$2:$A$1000,0),MATCH(O$1,'Master data'!$B$1:$CL$1,0)),"")</f>
        <v/>
      </c>
      <c r="P973" s="5" t="str">
        <f>IFERROR(INDEX('Master data'!$B$2:$CL$1000,MATCH($B973,'Master data'!$A$2:$A$1000,0),MATCH(P$1,'Master data'!$B$1:$CL$1,0)),"")</f>
        <v/>
      </c>
      <c r="Q973" s="5" t="str">
        <f>IFERROR(INDEX('Master data'!$B$2:$CL$1000,MATCH($B973,'Master data'!$A$2:$A$1000,0),MATCH(Q$1,'Master data'!$B$1:$CL$1,0)),"")</f>
        <v/>
      </c>
    </row>
    <row r="974" spans="1:17" hidden="1">
      <c r="A974" t="str">
        <f t="shared" si="15"/>
        <v/>
      </c>
      <c r="B974" t="str">
        <f>IF('Master data'!A974="","",'Master data'!A974)</f>
        <v/>
      </c>
      <c r="C974" t="str">
        <f>IFERROR(INDEX('Master data'!$B$2:$CL$1000,MATCH($B974,'Master data'!$A$2:$A$1000,0),MATCH(C$1,'Master data'!$B$1:$CL$1,0)),"")</f>
        <v/>
      </c>
      <c r="D974" t="str">
        <f>IFERROR(INDEX('Master data'!$B$2:$CL$1000,MATCH($B974,'Master data'!$A$2:$A$1000,0),MATCH(D$1,'Master data'!$B$1:$CL$1,0)),"")</f>
        <v/>
      </c>
      <c r="E974" s="5" t="str">
        <f>IFERROR(INDEX('Master data'!$B$2:$CL$1000,MATCH($B974,'Master data'!$A$2:$A$1000,0),MATCH(E$1,'Master data'!$B$1:$CL$1,0)),"")</f>
        <v/>
      </c>
      <c r="F974" s="7" t="str">
        <f>IFERROR(INDEX('Master data'!$B$2:$CL$1000,MATCH($B974,'Master data'!$A$2:$A$1000,0),MATCH(F$1,'Master data'!$B$1:$CL$1,0)),"")</f>
        <v/>
      </c>
      <c r="G974" s="7" t="str">
        <f>IFERROR(INDEX('Master data'!$B$2:$CL$1000,MATCH($B974,'Master data'!$A$2:$A$1000,0),MATCH(G$1,'Master data'!$B$1:$CL$1,0)),"")</f>
        <v/>
      </c>
      <c r="H974" s="7" t="str">
        <f>IFERROR(INDEX('Master data'!$B$2:$CL$1000,MATCH($B974,'Master data'!$A$2:$A$1000,0),MATCH(H$1,'Master data'!$B$1:$CL$1,0)),"")</f>
        <v/>
      </c>
      <c r="I974" s="7" t="str">
        <f>IFERROR(INDEX('Master data'!$B$2:$CL$1000,MATCH($B974,'Master data'!$A$2:$A$1000,0),MATCH(I$1,'Master data'!$B$1:$CL$1,0)),"")</f>
        <v/>
      </c>
      <c r="J974" s="7" t="str">
        <f>IFERROR(INDEX('Master data'!$B$2:$CL$1000,MATCH($B974,'Master data'!$A$2:$A$1000,0),MATCH(J$1,'Master data'!$B$1:$CL$1,0)),"")</f>
        <v/>
      </c>
      <c r="K974" s="7" t="str">
        <f>IFERROR(INDEX('Master data'!$B$2:$CL$1000,MATCH($B974,'Master data'!$A$2:$A$1000,0),MATCH(K$1,'Master data'!$B$1:$CL$1,0)),"")</f>
        <v/>
      </c>
      <c r="L974" s="7" t="str">
        <f>IFERROR(INDEX('Master data'!$B$2:$CL$1000,MATCH($B974,'Master data'!$A$2:$A$1000,0),MATCH(L$1,'Master data'!$B$1:$CL$1,0)),"")</f>
        <v/>
      </c>
      <c r="M974" s="5" t="str">
        <f>IFERROR(INDEX('Master data'!$B$2:$CL$1000,MATCH($B974,'Master data'!$A$2:$A$1000,0),MATCH(M$1,'Master data'!$B$1:$CL$1,0)),"")</f>
        <v/>
      </c>
      <c r="N974" s="28" t="str">
        <f>IFERROR(INDEX('Master data'!$B$2:$CL$1000,MATCH($B974,'Master data'!$A$2:$A$1000,0),MATCH(N$1,'Master data'!$B$1:$CL$1,0)),"")</f>
        <v/>
      </c>
      <c r="O974" s="7" t="str">
        <f>IFERROR(INDEX('Master data'!$B$2:$CL$1000,MATCH($B974,'Master data'!$A$2:$A$1000,0),MATCH(O$1,'Master data'!$B$1:$CL$1,0)),"")</f>
        <v/>
      </c>
      <c r="P974" s="5" t="str">
        <f>IFERROR(INDEX('Master data'!$B$2:$CL$1000,MATCH($B974,'Master data'!$A$2:$A$1000,0),MATCH(P$1,'Master data'!$B$1:$CL$1,0)),"")</f>
        <v/>
      </c>
      <c r="Q974" s="5" t="str">
        <f>IFERROR(INDEX('Master data'!$B$2:$CL$1000,MATCH($B974,'Master data'!$A$2:$A$1000,0),MATCH(Q$1,'Master data'!$B$1:$CL$1,0)),"")</f>
        <v/>
      </c>
    </row>
    <row r="975" spans="1:17" hidden="1">
      <c r="A975" t="str">
        <f t="shared" si="15"/>
        <v/>
      </c>
      <c r="B975" t="str">
        <f>IF('Master data'!A975="","",'Master data'!A975)</f>
        <v/>
      </c>
      <c r="C975" t="str">
        <f>IFERROR(INDEX('Master data'!$B$2:$CL$1000,MATCH($B975,'Master data'!$A$2:$A$1000,0),MATCH(C$1,'Master data'!$B$1:$CL$1,0)),"")</f>
        <v/>
      </c>
      <c r="D975" t="str">
        <f>IFERROR(INDEX('Master data'!$B$2:$CL$1000,MATCH($B975,'Master data'!$A$2:$A$1000,0),MATCH(D$1,'Master data'!$B$1:$CL$1,0)),"")</f>
        <v/>
      </c>
      <c r="E975" s="5" t="str">
        <f>IFERROR(INDEX('Master data'!$B$2:$CL$1000,MATCH($B975,'Master data'!$A$2:$A$1000,0),MATCH(E$1,'Master data'!$B$1:$CL$1,0)),"")</f>
        <v/>
      </c>
      <c r="F975" s="7" t="str">
        <f>IFERROR(INDEX('Master data'!$B$2:$CL$1000,MATCH($B975,'Master data'!$A$2:$A$1000,0),MATCH(F$1,'Master data'!$B$1:$CL$1,0)),"")</f>
        <v/>
      </c>
      <c r="G975" s="7" t="str">
        <f>IFERROR(INDEX('Master data'!$B$2:$CL$1000,MATCH($B975,'Master data'!$A$2:$A$1000,0),MATCH(G$1,'Master data'!$B$1:$CL$1,0)),"")</f>
        <v/>
      </c>
      <c r="H975" s="7" t="str">
        <f>IFERROR(INDEX('Master data'!$B$2:$CL$1000,MATCH($B975,'Master data'!$A$2:$A$1000,0),MATCH(H$1,'Master data'!$B$1:$CL$1,0)),"")</f>
        <v/>
      </c>
      <c r="I975" s="7" t="str">
        <f>IFERROR(INDEX('Master data'!$B$2:$CL$1000,MATCH($B975,'Master data'!$A$2:$A$1000,0),MATCH(I$1,'Master data'!$B$1:$CL$1,0)),"")</f>
        <v/>
      </c>
      <c r="J975" s="7" t="str">
        <f>IFERROR(INDEX('Master data'!$B$2:$CL$1000,MATCH($B975,'Master data'!$A$2:$A$1000,0),MATCH(J$1,'Master data'!$B$1:$CL$1,0)),"")</f>
        <v/>
      </c>
      <c r="K975" s="7" t="str">
        <f>IFERROR(INDEX('Master data'!$B$2:$CL$1000,MATCH($B975,'Master data'!$A$2:$A$1000,0),MATCH(K$1,'Master data'!$B$1:$CL$1,0)),"")</f>
        <v/>
      </c>
      <c r="L975" s="7" t="str">
        <f>IFERROR(INDEX('Master data'!$B$2:$CL$1000,MATCH($B975,'Master data'!$A$2:$A$1000,0),MATCH(L$1,'Master data'!$B$1:$CL$1,0)),"")</f>
        <v/>
      </c>
      <c r="M975" s="5" t="str">
        <f>IFERROR(INDEX('Master data'!$B$2:$CL$1000,MATCH($B975,'Master data'!$A$2:$A$1000,0),MATCH(M$1,'Master data'!$B$1:$CL$1,0)),"")</f>
        <v/>
      </c>
      <c r="N975" s="28" t="str">
        <f>IFERROR(INDEX('Master data'!$B$2:$CL$1000,MATCH($B975,'Master data'!$A$2:$A$1000,0),MATCH(N$1,'Master data'!$B$1:$CL$1,0)),"")</f>
        <v/>
      </c>
      <c r="O975" s="7" t="str">
        <f>IFERROR(INDEX('Master data'!$B$2:$CL$1000,MATCH($B975,'Master data'!$A$2:$A$1000,0),MATCH(O$1,'Master data'!$B$1:$CL$1,0)),"")</f>
        <v/>
      </c>
      <c r="P975" s="5" t="str">
        <f>IFERROR(INDEX('Master data'!$B$2:$CL$1000,MATCH($B975,'Master data'!$A$2:$A$1000,0),MATCH(P$1,'Master data'!$B$1:$CL$1,0)),"")</f>
        <v/>
      </c>
      <c r="Q975" s="5" t="str">
        <f>IFERROR(INDEX('Master data'!$B$2:$CL$1000,MATCH($B975,'Master data'!$A$2:$A$1000,0),MATCH(Q$1,'Master data'!$B$1:$CL$1,0)),"")</f>
        <v/>
      </c>
    </row>
    <row r="976" spans="1:17" hidden="1">
      <c r="A976" t="str">
        <f t="shared" si="15"/>
        <v/>
      </c>
      <c r="B976" t="str">
        <f>IF('Master data'!A976="","",'Master data'!A976)</f>
        <v/>
      </c>
      <c r="C976" t="str">
        <f>IFERROR(INDEX('Master data'!$B$2:$CL$1000,MATCH($B976,'Master data'!$A$2:$A$1000,0),MATCH(C$1,'Master data'!$B$1:$CL$1,0)),"")</f>
        <v/>
      </c>
      <c r="D976" t="str">
        <f>IFERROR(INDEX('Master data'!$B$2:$CL$1000,MATCH($B976,'Master data'!$A$2:$A$1000,0),MATCH(D$1,'Master data'!$B$1:$CL$1,0)),"")</f>
        <v/>
      </c>
      <c r="E976" s="5" t="str">
        <f>IFERROR(INDEX('Master data'!$B$2:$CL$1000,MATCH($B976,'Master data'!$A$2:$A$1000,0),MATCH(E$1,'Master data'!$B$1:$CL$1,0)),"")</f>
        <v/>
      </c>
      <c r="F976" s="7" t="str">
        <f>IFERROR(INDEX('Master data'!$B$2:$CL$1000,MATCH($B976,'Master data'!$A$2:$A$1000,0),MATCH(F$1,'Master data'!$B$1:$CL$1,0)),"")</f>
        <v/>
      </c>
      <c r="G976" s="7" t="str">
        <f>IFERROR(INDEX('Master data'!$B$2:$CL$1000,MATCH($B976,'Master data'!$A$2:$A$1000,0),MATCH(G$1,'Master data'!$B$1:$CL$1,0)),"")</f>
        <v/>
      </c>
      <c r="H976" s="7" t="str">
        <f>IFERROR(INDEX('Master data'!$B$2:$CL$1000,MATCH($B976,'Master data'!$A$2:$A$1000,0),MATCH(H$1,'Master data'!$B$1:$CL$1,0)),"")</f>
        <v/>
      </c>
      <c r="I976" s="7" t="str">
        <f>IFERROR(INDEX('Master data'!$B$2:$CL$1000,MATCH($B976,'Master data'!$A$2:$A$1000,0),MATCH(I$1,'Master data'!$B$1:$CL$1,0)),"")</f>
        <v/>
      </c>
      <c r="J976" s="7" t="str">
        <f>IFERROR(INDEX('Master data'!$B$2:$CL$1000,MATCH($B976,'Master data'!$A$2:$A$1000,0),MATCH(J$1,'Master data'!$B$1:$CL$1,0)),"")</f>
        <v/>
      </c>
      <c r="K976" s="7" t="str">
        <f>IFERROR(INDEX('Master data'!$B$2:$CL$1000,MATCH($B976,'Master data'!$A$2:$A$1000,0),MATCH(K$1,'Master data'!$B$1:$CL$1,0)),"")</f>
        <v/>
      </c>
      <c r="L976" s="7" t="str">
        <f>IFERROR(INDEX('Master data'!$B$2:$CL$1000,MATCH($B976,'Master data'!$A$2:$A$1000,0),MATCH(L$1,'Master data'!$B$1:$CL$1,0)),"")</f>
        <v/>
      </c>
      <c r="M976" s="5" t="str">
        <f>IFERROR(INDEX('Master data'!$B$2:$CL$1000,MATCH($B976,'Master data'!$A$2:$A$1000,0),MATCH(M$1,'Master data'!$B$1:$CL$1,0)),"")</f>
        <v/>
      </c>
      <c r="N976" s="28" t="str">
        <f>IFERROR(INDEX('Master data'!$B$2:$CL$1000,MATCH($B976,'Master data'!$A$2:$A$1000,0),MATCH(N$1,'Master data'!$B$1:$CL$1,0)),"")</f>
        <v/>
      </c>
      <c r="O976" s="7" t="str">
        <f>IFERROR(INDEX('Master data'!$B$2:$CL$1000,MATCH($B976,'Master data'!$A$2:$A$1000,0),MATCH(O$1,'Master data'!$B$1:$CL$1,0)),"")</f>
        <v/>
      </c>
      <c r="P976" s="5" t="str">
        <f>IFERROR(INDEX('Master data'!$B$2:$CL$1000,MATCH($B976,'Master data'!$A$2:$A$1000,0),MATCH(P$1,'Master data'!$B$1:$CL$1,0)),"")</f>
        <v/>
      </c>
      <c r="Q976" s="5" t="str">
        <f>IFERROR(INDEX('Master data'!$B$2:$CL$1000,MATCH($B976,'Master data'!$A$2:$A$1000,0),MATCH(Q$1,'Master data'!$B$1:$CL$1,0)),"")</f>
        <v/>
      </c>
    </row>
    <row r="977" spans="1:17" hidden="1">
      <c r="A977" t="str">
        <f t="shared" si="15"/>
        <v/>
      </c>
      <c r="B977" t="str">
        <f>IF('Master data'!A977="","",'Master data'!A977)</f>
        <v/>
      </c>
      <c r="C977" t="str">
        <f>IFERROR(INDEX('Master data'!$B$2:$CL$1000,MATCH($B977,'Master data'!$A$2:$A$1000,0),MATCH(C$1,'Master data'!$B$1:$CL$1,0)),"")</f>
        <v/>
      </c>
      <c r="D977" t="str">
        <f>IFERROR(INDEX('Master data'!$B$2:$CL$1000,MATCH($B977,'Master data'!$A$2:$A$1000,0),MATCH(D$1,'Master data'!$B$1:$CL$1,0)),"")</f>
        <v/>
      </c>
      <c r="E977" s="5" t="str">
        <f>IFERROR(INDEX('Master data'!$B$2:$CL$1000,MATCH($B977,'Master data'!$A$2:$A$1000,0),MATCH(E$1,'Master data'!$B$1:$CL$1,0)),"")</f>
        <v/>
      </c>
      <c r="F977" s="7" t="str">
        <f>IFERROR(INDEX('Master data'!$B$2:$CL$1000,MATCH($B977,'Master data'!$A$2:$A$1000,0),MATCH(F$1,'Master data'!$B$1:$CL$1,0)),"")</f>
        <v/>
      </c>
      <c r="G977" s="7" t="str">
        <f>IFERROR(INDEX('Master data'!$B$2:$CL$1000,MATCH($B977,'Master data'!$A$2:$A$1000,0),MATCH(G$1,'Master data'!$B$1:$CL$1,0)),"")</f>
        <v/>
      </c>
      <c r="H977" s="7" t="str">
        <f>IFERROR(INDEX('Master data'!$B$2:$CL$1000,MATCH($B977,'Master data'!$A$2:$A$1000,0),MATCH(H$1,'Master data'!$B$1:$CL$1,0)),"")</f>
        <v/>
      </c>
      <c r="I977" s="7" t="str">
        <f>IFERROR(INDEX('Master data'!$B$2:$CL$1000,MATCH($B977,'Master data'!$A$2:$A$1000,0),MATCH(I$1,'Master data'!$B$1:$CL$1,0)),"")</f>
        <v/>
      </c>
      <c r="J977" s="7" t="str">
        <f>IFERROR(INDEX('Master data'!$B$2:$CL$1000,MATCH($B977,'Master data'!$A$2:$A$1000,0),MATCH(J$1,'Master data'!$B$1:$CL$1,0)),"")</f>
        <v/>
      </c>
      <c r="K977" s="7" t="str">
        <f>IFERROR(INDEX('Master data'!$B$2:$CL$1000,MATCH($B977,'Master data'!$A$2:$A$1000,0),MATCH(K$1,'Master data'!$B$1:$CL$1,0)),"")</f>
        <v/>
      </c>
      <c r="L977" s="7" t="str">
        <f>IFERROR(INDEX('Master data'!$B$2:$CL$1000,MATCH($B977,'Master data'!$A$2:$A$1000,0),MATCH(L$1,'Master data'!$B$1:$CL$1,0)),"")</f>
        <v/>
      </c>
      <c r="M977" s="5" t="str">
        <f>IFERROR(INDEX('Master data'!$B$2:$CL$1000,MATCH($B977,'Master data'!$A$2:$A$1000,0),MATCH(M$1,'Master data'!$B$1:$CL$1,0)),"")</f>
        <v/>
      </c>
      <c r="N977" s="28" t="str">
        <f>IFERROR(INDEX('Master data'!$B$2:$CL$1000,MATCH($B977,'Master data'!$A$2:$A$1000,0),MATCH(N$1,'Master data'!$B$1:$CL$1,0)),"")</f>
        <v/>
      </c>
      <c r="O977" s="7" t="str">
        <f>IFERROR(INDEX('Master data'!$B$2:$CL$1000,MATCH($B977,'Master data'!$A$2:$A$1000,0),MATCH(O$1,'Master data'!$B$1:$CL$1,0)),"")</f>
        <v/>
      </c>
      <c r="P977" s="5" t="str">
        <f>IFERROR(INDEX('Master data'!$B$2:$CL$1000,MATCH($B977,'Master data'!$A$2:$A$1000,0),MATCH(P$1,'Master data'!$B$1:$CL$1,0)),"")</f>
        <v/>
      </c>
      <c r="Q977" s="5" t="str">
        <f>IFERROR(INDEX('Master data'!$B$2:$CL$1000,MATCH($B977,'Master data'!$A$2:$A$1000,0),MATCH(Q$1,'Master data'!$B$1:$CL$1,0)),"")</f>
        <v/>
      </c>
    </row>
    <row r="978" spans="1:17" hidden="1">
      <c r="A978" t="str">
        <f t="shared" si="15"/>
        <v/>
      </c>
      <c r="B978" t="str">
        <f>IF('Master data'!A978="","",'Master data'!A978)</f>
        <v/>
      </c>
      <c r="C978" t="str">
        <f>IFERROR(INDEX('Master data'!$B$2:$CL$1000,MATCH($B978,'Master data'!$A$2:$A$1000,0),MATCH(C$1,'Master data'!$B$1:$CL$1,0)),"")</f>
        <v/>
      </c>
      <c r="D978" t="str">
        <f>IFERROR(INDEX('Master data'!$B$2:$CL$1000,MATCH($B978,'Master data'!$A$2:$A$1000,0),MATCH(D$1,'Master data'!$B$1:$CL$1,0)),"")</f>
        <v/>
      </c>
      <c r="E978" s="5" t="str">
        <f>IFERROR(INDEX('Master data'!$B$2:$CL$1000,MATCH($B978,'Master data'!$A$2:$A$1000,0),MATCH(E$1,'Master data'!$B$1:$CL$1,0)),"")</f>
        <v/>
      </c>
      <c r="F978" s="7" t="str">
        <f>IFERROR(INDEX('Master data'!$B$2:$CL$1000,MATCH($B978,'Master data'!$A$2:$A$1000,0),MATCH(F$1,'Master data'!$B$1:$CL$1,0)),"")</f>
        <v/>
      </c>
      <c r="G978" s="7" t="str">
        <f>IFERROR(INDEX('Master data'!$B$2:$CL$1000,MATCH($B978,'Master data'!$A$2:$A$1000,0),MATCH(G$1,'Master data'!$B$1:$CL$1,0)),"")</f>
        <v/>
      </c>
      <c r="H978" s="7" t="str">
        <f>IFERROR(INDEX('Master data'!$B$2:$CL$1000,MATCH($B978,'Master data'!$A$2:$A$1000,0),MATCH(H$1,'Master data'!$B$1:$CL$1,0)),"")</f>
        <v/>
      </c>
      <c r="I978" s="7" t="str">
        <f>IFERROR(INDEX('Master data'!$B$2:$CL$1000,MATCH($B978,'Master data'!$A$2:$A$1000,0),MATCH(I$1,'Master data'!$B$1:$CL$1,0)),"")</f>
        <v/>
      </c>
      <c r="J978" s="7" t="str">
        <f>IFERROR(INDEX('Master data'!$B$2:$CL$1000,MATCH($B978,'Master data'!$A$2:$A$1000,0),MATCH(J$1,'Master data'!$B$1:$CL$1,0)),"")</f>
        <v/>
      </c>
      <c r="K978" s="7" t="str">
        <f>IFERROR(INDEX('Master data'!$B$2:$CL$1000,MATCH($B978,'Master data'!$A$2:$A$1000,0),MATCH(K$1,'Master data'!$B$1:$CL$1,0)),"")</f>
        <v/>
      </c>
      <c r="L978" s="7" t="str">
        <f>IFERROR(INDEX('Master data'!$B$2:$CL$1000,MATCH($B978,'Master data'!$A$2:$A$1000,0),MATCH(L$1,'Master data'!$B$1:$CL$1,0)),"")</f>
        <v/>
      </c>
      <c r="M978" s="5" t="str">
        <f>IFERROR(INDEX('Master data'!$B$2:$CL$1000,MATCH($B978,'Master data'!$A$2:$A$1000,0),MATCH(M$1,'Master data'!$B$1:$CL$1,0)),"")</f>
        <v/>
      </c>
      <c r="N978" s="28" t="str">
        <f>IFERROR(INDEX('Master data'!$B$2:$CL$1000,MATCH($B978,'Master data'!$A$2:$A$1000,0),MATCH(N$1,'Master data'!$B$1:$CL$1,0)),"")</f>
        <v/>
      </c>
      <c r="O978" s="7" t="str">
        <f>IFERROR(INDEX('Master data'!$B$2:$CL$1000,MATCH($B978,'Master data'!$A$2:$A$1000,0),MATCH(O$1,'Master data'!$B$1:$CL$1,0)),"")</f>
        <v/>
      </c>
      <c r="P978" s="5" t="str">
        <f>IFERROR(INDEX('Master data'!$B$2:$CL$1000,MATCH($B978,'Master data'!$A$2:$A$1000,0),MATCH(P$1,'Master data'!$B$1:$CL$1,0)),"")</f>
        <v/>
      </c>
      <c r="Q978" s="5" t="str">
        <f>IFERROR(INDEX('Master data'!$B$2:$CL$1000,MATCH($B978,'Master data'!$A$2:$A$1000,0),MATCH(Q$1,'Master data'!$B$1:$CL$1,0)),"")</f>
        <v/>
      </c>
    </row>
    <row r="979" spans="1:17" hidden="1">
      <c r="A979" t="str">
        <f t="shared" si="15"/>
        <v/>
      </c>
      <c r="B979" t="str">
        <f>IF('Master data'!A979="","",'Master data'!A979)</f>
        <v/>
      </c>
      <c r="C979" t="str">
        <f>IFERROR(INDEX('Master data'!$B$2:$CL$1000,MATCH($B979,'Master data'!$A$2:$A$1000,0),MATCH(C$1,'Master data'!$B$1:$CL$1,0)),"")</f>
        <v/>
      </c>
      <c r="D979" t="str">
        <f>IFERROR(INDEX('Master data'!$B$2:$CL$1000,MATCH($B979,'Master data'!$A$2:$A$1000,0),MATCH(D$1,'Master data'!$B$1:$CL$1,0)),"")</f>
        <v/>
      </c>
      <c r="E979" s="5" t="str">
        <f>IFERROR(INDEX('Master data'!$B$2:$CL$1000,MATCH($B979,'Master data'!$A$2:$A$1000,0),MATCH(E$1,'Master data'!$B$1:$CL$1,0)),"")</f>
        <v/>
      </c>
      <c r="F979" s="7" t="str">
        <f>IFERROR(INDEX('Master data'!$B$2:$CL$1000,MATCH($B979,'Master data'!$A$2:$A$1000,0),MATCH(F$1,'Master data'!$B$1:$CL$1,0)),"")</f>
        <v/>
      </c>
      <c r="G979" s="7" t="str">
        <f>IFERROR(INDEX('Master data'!$B$2:$CL$1000,MATCH($B979,'Master data'!$A$2:$A$1000,0),MATCH(G$1,'Master data'!$B$1:$CL$1,0)),"")</f>
        <v/>
      </c>
      <c r="H979" s="7" t="str">
        <f>IFERROR(INDEX('Master data'!$B$2:$CL$1000,MATCH($B979,'Master data'!$A$2:$A$1000,0),MATCH(H$1,'Master data'!$B$1:$CL$1,0)),"")</f>
        <v/>
      </c>
      <c r="I979" s="7" t="str">
        <f>IFERROR(INDEX('Master data'!$B$2:$CL$1000,MATCH($B979,'Master data'!$A$2:$A$1000,0),MATCH(I$1,'Master data'!$B$1:$CL$1,0)),"")</f>
        <v/>
      </c>
      <c r="J979" s="7" t="str">
        <f>IFERROR(INDEX('Master data'!$B$2:$CL$1000,MATCH($B979,'Master data'!$A$2:$A$1000,0),MATCH(J$1,'Master data'!$B$1:$CL$1,0)),"")</f>
        <v/>
      </c>
      <c r="K979" s="7" t="str">
        <f>IFERROR(INDEX('Master data'!$B$2:$CL$1000,MATCH($B979,'Master data'!$A$2:$A$1000,0),MATCH(K$1,'Master data'!$B$1:$CL$1,0)),"")</f>
        <v/>
      </c>
      <c r="L979" s="7" t="str">
        <f>IFERROR(INDEX('Master data'!$B$2:$CL$1000,MATCH($B979,'Master data'!$A$2:$A$1000,0),MATCH(L$1,'Master data'!$B$1:$CL$1,0)),"")</f>
        <v/>
      </c>
      <c r="M979" s="5" t="str">
        <f>IFERROR(INDEX('Master data'!$B$2:$CL$1000,MATCH($B979,'Master data'!$A$2:$A$1000,0),MATCH(M$1,'Master data'!$B$1:$CL$1,0)),"")</f>
        <v/>
      </c>
      <c r="N979" s="28" t="str">
        <f>IFERROR(INDEX('Master data'!$B$2:$CL$1000,MATCH($B979,'Master data'!$A$2:$A$1000,0),MATCH(N$1,'Master data'!$B$1:$CL$1,0)),"")</f>
        <v/>
      </c>
      <c r="O979" s="7" t="str">
        <f>IFERROR(INDEX('Master data'!$B$2:$CL$1000,MATCH($B979,'Master data'!$A$2:$A$1000,0),MATCH(O$1,'Master data'!$B$1:$CL$1,0)),"")</f>
        <v/>
      </c>
      <c r="P979" s="5" t="str">
        <f>IFERROR(INDEX('Master data'!$B$2:$CL$1000,MATCH($B979,'Master data'!$A$2:$A$1000,0),MATCH(P$1,'Master data'!$B$1:$CL$1,0)),"")</f>
        <v/>
      </c>
      <c r="Q979" s="5" t="str">
        <f>IFERROR(INDEX('Master data'!$B$2:$CL$1000,MATCH($B979,'Master data'!$A$2:$A$1000,0),MATCH(Q$1,'Master data'!$B$1:$CL$1,0)),"")</f>
        <v/>
      </c>
    </row>
    <row r="980" spans="1:17" hidden="1">
      <c r="A980" t="str">
        <f t="shared" si="15"/>
        <v/>
      </c>
      <c r="B980" t="str">
        <f>IF('Master data'!A980="","",'Master data'!A980)</f>
        <v/>
      </c>
      <c r="C980" t="str">
        <f>IFERROR(INDEX('Master data'!$B$2:$CL$1000,MATCH($B980,'Master data'!$A$2:$A$1000,0),MATCH(C$1,'Master data'!$B$1:$CL$1,0)),"")</f>
        <v/>
      </c>
      <c r="D980" t="str">
        <f>IFERROR(INDEX('Master data'!$B$2:$CL$1000,MATCH($B980,'Master data'!$A$2:$A$1000,0),MATCH(D$1,'Master data'!$B$1:$CL$1,0)),"")</f>
        <v/>
      </c>
      <c r="E980" s="5" t="str">
        <f>IFERROR(INDEX('Master data'!$B$2:$CL$1000,MATCH($B980,'Master data'!$A$2:$A$1000,0),MATCH(E$1,'Master data'!$B$1:$CL$1,0)),"")</f>
        <v/>
      </c>
      <c r="F980" s="7" t="str">
        <f>IFERROR(INDEX('Master data'!$B$2:$CL$1000,MATCH($B980,'Master data'!$A$2:$A$1000,0),MATCH(F$1,'Master data'!$B$1:$CL$1,0)),"")</f>
        <v/>
      </c>
      <c r="G980" s="7" t="str">
        <f>IFERROR(INDEX('Master data'!$B$2:$CL$1000,MATCH($B980,'Master data'!$A$2:$A$1000,0),MATCH(G$1,'Master data'!$B$1:$CL$1,0)),"")</f>
        <v/>
      </c>
      <c r="H980" s="7" t="str">
        <f>IFERROR(INDEX('Master data'!$B$2:$CL$1000,MATCH($B980,'Master data'!$A$2:$A$1000,0),MATCH(H$1,'Master data'!$B$1:$CL$1,0)),"")</f>
        <v/>
      </c>
      <c r="I980" s="7" t="str">
        <f>IFERROR(INDEX('Master data'!$B$2:$CL$1000,MATCH($B980,'Master data'!$A$2:$A$1000,0),MATCH(I$1,'Master data'!$B$1:$CL$1,0)),"")</f>
        <v/>
      </c>
      <c r="J980" s="7" t="str">
        <f>IFERROR(INDEX('Master data'!$B$2:$CL$1000,MATCH($B980,'Master data'!$A$2:$A$1000,0),MATCH(J$1,'Master data'!$B$1:$CL$1,0)),"")</f>
        <v/>
      </c>
      <c r="K980" s="7" t="str">
        <f>IFERROR(INDEX('Master data'!$B$2:$CL$1000,MATCH($B980,'Master data'!$A$2:$A$1000,0),MATCH(K$1,'Master data'!$B$1:$CL$1,0)),"")</f>
        <v/>
      </c>
      <c r="L980" s="7" t="str">
        <f>IFERROR(INDEX('Master data'!$B$2:$CL$1000,MATCH($B980,'Master data'!$A$2:$A$1000,0),MATCH(L$1,'Master data'!$B$1:$CL$1,0)),"")</f>
        <v/>
      </c>
      <c r="M980" s="5" t="str">
        <f>IFERROR(INDEX('Master data'!$B$2:$CL$1000,MATCH($B980,'Master data'!$A$2:$A$1000,0),MATCH(M$1,'Master data'!$B$1:$CL$1,0)),"")</f>
        <v/>
      </c>
      <c r="N980" s="28" t="str">
        <f>IFERROR(INDEX('Master data'!$B$2:$CL$1000,MATCH($B980,'Master data'!$A$2:$A$1000,0),MATCH(N$1,'Master data'!$B$1:$CL$1,0)),"")</f>
        <v/>
      </c>
      <c r="O980" s="7" t="str">
        <f>IFERROR(INDEX('Master data'!$B$2:$CL$1000,MATCH($B980,'Master data'!$A$2:$A$1000,0),MATCH(O$1,'Master data'!$B$1:$CL$1,0)),"")</f>
        <v/>
      </c>
      <c r="P980" s="5" t="str">
        <f>IFERROR(INDEX('Master data'!$B$2:$CL$1000,MATCH($B980,'Master data'!$A$2:$A$1000,0),MATCH(P$1,'Master data'!$B$1:$CL$1,0)),"")</f>
        <v/>
      </c>
      <c r="Q980" s="5" t="str">
        <f>IFERROR(INDEX('Master data'!$B$2:$CL$1000,MATCH($B980,'Master data'!$A$2:$A$1000,0),MATCH(Q$1,'Master data'!$B$1:$CL$1,0)),"")</f>
        <v/>
      </c>
    </row>
    <row r="981" spans="1:17" hidden="1">
      <c r="A981" t="str">
        <f t="shared" si="15"/>
        <v/>
      </c>
      <c r="B981" t="str">
        <f>IF('Master data'!A981="","",'Master data'!A981)</f>
        <v/>
      </c>
      <c r="C981" t="str">
        <f>IFERROR(INDEX('Master data'!$B$2:$CL$1000,MATCH($B981,'Master data'!$A$2:$A$1000,0),MATCH(C$1,'Master data'!$B$1:$CL$1,0)),"")</f>
        <v/>
      </c>
      <c r="D981" t="str">
        <f>IFERROR(INDEX('Master data'!$B$2:$CL$1000,MATCH($B981,'Master data'!$A$2:$A$1000,0),MATCH(D$1,'Master data'!$B$1:$CL$1,0)),"")</f>
        <v/>
      </c>
      <c r="E981" s="5" t="str">
        <f>IFERROR(INDEX('Master data'!$B$2:$CL$1000,MATCH($B981,'Master data'!$A$2:$A$1000,0),MATCH(E$1,'Master data'!$B$1:$CL$1,0)),"")</f>
        <v/>
      </c>
      <c r="F981" s="7" t="str">
        <f>IFERROR(INDEX('Master data'!$B$2:$CL$1000,MATCH($B981,'Master data'!$A$2:$A$1000,0),MATCH(F$1,'Master data'!$B$1:$CL$1,0)),"")</f>
        <v/>
      </c>
      <c r="G981" s="7" t="str">
        <f>IFERROR(INDEX('Master data'!$B$2:$CL$1000,MATCH($B981,'Master data'!$A$2:$A$1000,0),MATCH(G$1,'Master data'!$B$1:$CL$1,0)),"")</f>
        <v/>
      </c>
      <c r="H981" s="7" t="str">
        <f>IFERROR(INDEX('Master data'!$B$2:$CL$1000,MATCH($B981,'Master data'!$A$2:$A$1000,0),MATCH(H$1,'Master data'!$B$1:$CL$1,0)),"")</f>
        <v/>
      </c>
      <c r="I981" s="7" t="str">
        <f>IFERROR(INDEX('Master data'!$B$2:$CL$1000,MATCH($B981,'Master data'!$A$2:$A$1000,0),MATCH(I$1,'Master data'!$B$1:$CL$1,0)),"")</f>
        <v/>
      </c>
      <c r="J981" s="7" t="str">
        <f>IFERROR(INDEX('Master data'!$B$2:$CL$1000,MATCH($B981,'Master data'!$A$2:$A$1000,0),MATCH(J$1,'Master data'!$B$1:$CL$1,0)),"")</f>
        <v/>
      </c>
      <c r="K981" s="7" t="str">
        <f>IFERROR(INDEX('Master data'!$B$2:$CL$1000,MATCH($B981,'Master data'!$A$2:$A$1000,0),MATCH(K$1,'Master data'!$B$1:$CL$1,0)),"")</f>
        <v/>
      </c>
      <c r="L981" s="7" t="str">
        <f>IFERROR(INDEX('Master data'!$B$2:$CL$1000,MATCH($B981,'Master data'!$A$2:$A$1000,0),MATCH(L$1,'Master data'!$B$1:$CL$1,0)),"")</f>
        <v/>
      </c>
      <c r="M981" s="5" t="str">
        <f>IFERROR(INDEX('Master data'!$B$2:$CL$1000,MATCH($B981,'Master data'!$A$2:$A$1000,0),MATCH(M$1,'Master data'!$B$1:$CL$1,0)),"")</f>
        <v/>
      </c>
      <c r="N981" s="28" t="str">
        <f>IFERROR(INDEX('Master data'!$B$2:$CL$1000,MATCH($B981,'Master data'!$A$2:$A$1000,0),MATCH(N$1,'Master data'!$B$1:$CL$1,0)),"")</f>
        <v/>
      </c>
      <c r="O981" s="7" t="str">
        <f>IFERROR(INDEX('Master data'!$B$2:$CL$1000,MATCH($B981,'Master data'!$A$2:$A$1000,0),MATCH(O$1,'Master data'!$B$1:$CL$1,0)),"")</f>
        <v/>
      </c>
      <c r="P981" s="5" t="str">
        <f>IFERROR(INDEX('Master data'!$B$2:$CL$1000,MATCH($B981,'Master data'!$A$2:$A$1000,0),MATCH(P$1,'Master data'!$B$1:$CL$1,0)),"")</f>
        <v/>
      </c>
      <c r="Q981" s="5" t="str">
        <f>IFERROR(INDEX('Master data'!$B$2:$CL$1000,MATCH($B981,'Master data'!$A$2:$A$1000,0),MATCH(Q$1,'Master data'!$B$1:$CL$1,0)),"")</f>
        <v/>
      </c>
    </row>
    <row r="982" spans="1:17" hidden="1">
      <c r="A982" t="str">
        <f t="shared" si="15"/>
        <v/>
      </c>
      <c r="B982" t="str">
        <f>IF('Master data'!A982="","",'Master data'!A982)</f>
        <v/>
      </c>
      <c r="C982" t="str">
        <f>IFERROR(INDEX('Master data'!$B$2:$CL$1000,MATCH($B982,'Master data'!$A$2:$A$1000,0),MATCH(C$1,'Master data'!$B$1:$CL$1,0)),"")</f>
        <v/>
      </c>
      <c r="D982" t="str">
        <f>IFERROR(INDEX('Master data'!$B$2:$CL$1000,MATCH($B982,'Master data'!$A$2:$A$1000,0),MATCH(D$1,'Master data'!$B$1:$CL$1,0)),"")</f>
        <v/>
      </c>
      <c r="E982" s="5" t="str">
        <f>IFERROR(INDEX('Master data'!$B$2:$CL$1000,MATCH($B982,'Master data'!$A$2:$A$1000,0),MATCH(E$1,'Master data'!$B$1:$CL$1,0)),"")</f>
        <v/>
      </c>
      <c r="F982" s="7" t="str">
        <f>IFERROR(INDEX('Master data'!$B$2:$CL$1000,MATCH($B982,'Master data'!$A$2:$A$1000,0),MATCH(F$1,'Master data'!$B$1:$CL$1,0)),"")</f>
        <v/>
      </c>
      <c r="G982" s="7" t="str">
        <f>IFERROR(INDEX('Master data'!$B$2:$CL$1000,MATCH($B982,'Master data'!$A$2:$A$1000,0),MATCH(G$1,'Master data'!$B$1:$CL$1,0)),"")</f>
        <v/>
      </c>
      <c r="H982" s="7" t="str">
        <f>IFERROR(INDEX('Master data'!$B$2:$CL$1000,MATCH($B982,'Master data'!$A$2:$A$1000,0),MATCH(H$1,'Master data'!$B$1:$CL$1,0)),"")</f>
        <v/>
      </c>
      <c r="I982" s="7" t="str">
        <f>IFERROR(INDEX('Master data'!$B$2:$CL$1000,MATCH($B982,'Master data'!$A$2:$A$1000,0),MATCH(I$1,'Master data'!$B$1:$CL$1,0)),"")</f>
        <v/>
      </c>
      <c r="J982" s="7" t="str">
        <f>IFERROR(INDEX('Master data'!$B$2:$CL$1000,MATCH($B982,'Master data'!$A$2:$A$1000,0),MATCH(J$1,'Master data'!$B$1:$CL$1,0)),"")</f>
        <v/>
      </c>
      <c r="K982" s="7" t="str">
        <f>IFERROR(INDEX('Master data'!$B$2:$CL$1000,MATCH($B982,'Master data'!$A$2:$A$1000,0),MATCH(K$1,'Master data'!$B$1:$CL$1,0)),"")</f>
        <v/>
      </c>
      <c r="L982" s="7" t="str">
        <f>IFERROR(INDEX('Master data'!$B$2:$CL$1000,MATCH($B982,'Master data'!$A$2:$A$1000,0),MATCH(L$1,'Master data'!$B$1:$CL$1,0)),"")</f>
        <v/>
      </c>
      <c r="M982" s="5" t="str">
        <f>IFERROR(INDEX('Master data'!$B$2:$CL$1000,MATCH($B982,'Master data'!$A$2:$A$1000,0),MATCH(M$1,'Master data'!$B$1:$CL$1,0)),"")</f>
        <v/>
      </c>
      <c r="N982" s="28" t="str">
        <f>IFERROR(INDEX('Master data'!$B$2:$CL$1000,MATCH($B982,'Master data'!$A$2:$A$1000,0),MATCH(N$1,'Master data'!$B$1:$CL$1,0)),"")</f>
        <v/>
      </c>
      <c r="O982" s="7" t="str">
        <f>IFERROR(INDEX('Master data'!$B$2:$CL$1000,MATCH($B982,'Master data'!$A$2:$A$1000,0),MATCH(O$1,'Master data'!$B$1:$CL$1,0)),"")</f>
        <v/>
      </c>
      <c r="P982" s="5" t="str">
        <f>IFERROR(INDEX('Master data'!$B$2:$CL$1000,MATCH($B982,'Master data'!$A$2:$A$1000,0),MATCH(P$1,'Master data'!$B$1:$CL$1,0)),"")</f>
        <v/>
      </c>
      <c r="Q982" s="5" t="str">
        <f>IFERROR(INDEX('Master data'!$B$2:$CL$1000,MATCH($B982,'Master data'!$A$2:$A$1000,0),MATCH(Q$1,'Master data'!$B$1:$CL$1,0)),"")</f>
        <v/>
      </c>
    </row>
    <row r="983" spans="1:17" hidden="1">
      <c r="A983" t="str">
        <f t="shared" si="15"/>
        <v/>
      </c>
      <c r="B983" t="str">
        <f>IF('Master data'!A983="","",'Master data'!A983)</f>
        <v/>
      </c>
      <c r="C983" t="str">
        <f>IFERROR(INDEX('Master data'!$B$2:$CL$1000,MATCH($B983,'Master data'!$A$2:$A$1000,0),MATCH(C$1,'Master data'!$B$1:$CL$1,0)),"")</f>
        <v/>
      </c>
      <c r="D983" t="str">
        <f>IFERROR(INDEX('Master data'!$B$2:$CL$1000,MATCH($B983,'Master data'!$A$2:$A$1000,0),MATCH(D$1,'Master data'!$B$1:$CL$1,0)),"")</f>
        <v/>
      </c>
      <c r="E983" s="5" t="str">
        <f>IFERROR(INDEX('Master data'!$B$2:$CL$1000,MATCH($B983,'Master data'!$A$2:$A$1000,0),MATCH(E$1,'Master data'!$B$1:$CL$1,0)),"")</f>
        <v/>
      </c>
      <c r="F983" s="7" t="str">
        <f>IFERROR(INDEX('Master data'!$B$2:$CL$1000,MATCH($B983,'Master data'!$A$2:$A$1000,0),MATCH(F$1,'Master data'!$B$1:$CL$1,0)),"")</f>
        <v/>
      </c>
      <c r="G983" s="7" t="str">
        <f>IFERROR(INDEX('Master data'!$B$2:$CL$1000,MATCH($B983,'Master data'!$A$2:$A$1000,0),MATCH(G$1,'Master data'!$B$1:$CL$1,0)),"")</f>
        <v/>
      </c>
      <c r="H983" s="7" t="str">
        <f>IFERROR(INDEX('Master data'!$B$2:$CL$1000,MATCH($B983,'Master data'!$A$2:$A$1000,0),MATCH(H$1,'Master data'!$B$1:$CL$1,0)),"")</f>
        <v/>
      </c>
      <c r="I983" s="7" t="str">
        <f>IFERROR(INDEX('Master data'!$B$2:$CL$1000,MATCH($B983,'Master data'!$A$2:$A$1000,0),MATCH(I$1,'Master data'!$B$1:$CL$1,0)),"")</f>
        <v/>
      </c>
      <c r="J983" s="7" t="str">
        <f>IFERROR(INDEX('Master data'!$B$2:$CL$1000,MATCH($B983,'Master data'!$A$2:$A$1000,0),MATCH(J$1,'Master data'!$B$1:$CL$1,0)),"")</f>
        <v/>
      </c>
      <c r="K983" s="7" t="str">
        <f>IFERROR(INDEX('Master data'!$B$2:$CL$1000,MATCH($B983,'Master data'!$A$2:$A$1000,0),MATCH(K$1,'Master data'!$B$1:$CL$1,0)),"")</f>
        <v/>
      </c>
      <c r="L983" s="7" t="str">
        <f>IFERROR(INDEX('Master data'!$B$2:$CL$1000,MATCH($B983,'Master data'!$A$2:$A$1000,0),MATCH(L$1,'Master data'!$B$1:$CL$1,0)),"")</f>
        <v/>
      </c>
      <c r="M983" s="5" t="str">
        <f>IFERROR(INDEX('Master data'!$B$2:$CL$1000,MATCH($B983,'Master data'!$A$2:$A$1000,0),MATCH(M$1,'Master data'!$B$1:$CL$1,0)),"")</f>
        <v/>
      </c>
      <c r="N983" s="28" t="str">
        <f>IFERROR(INDEX('Master data'!$B$2:$CL$1000,MATCH($B983,'Master data'!$A$2:$A$1000,0),MATCH(N$1,'Master data'!$B$1:$CL$1,0)),"")</f>
        <v/>
      </c>
      <c r="O983" s="7" t="str">
        <f>IFERROR(INDEX('Master data'!$B$2:$CL$1000,MATCH($B983,'Master data'!$A$2:$A$1000,0),MATCH(O$1,'Master data'!$B$1:$CL$1,0)),"")</f>
        <v/>
      </c>
      <c r="P983" s="5" t="str">
        <f>IFERROR(INDEX('Master data'!$B$2:$CL$1000,MATCH($B983,'Master data'!$A$2:$A$1000,0),MATCH(P$1,'Master data'!$B$1:$CL$1,0)),"")</f>
        <v/>
      </c>
      <c r="Q983" s="5" t="str">
        <f>IFERROR(INDEX('Master data'!$B$2:$CL$1000,MATCH($B983,'Master data'!$A$2:$A$1000,0),MATCH(Q$1,'Master data'!$B$1:$CL$1,0)),"")</f>
        <v/>
      </c>
    </row>
    <row r="984" spans="1:17" hidden="1">
      <c r="A984" t="str">
        <f t="shared" si="15"/>
        <v/>
      </c>
      <c r="B984" t="str">
        <f>IF('Master data'!A984="","",'Master data'!A984)</f>
        <v/>
      </c>
      <c r="C984" t="str">
        <f>IFERROR(INDEX('Master data'!$B$2:$CL$1000,MATCH($B984,'Master data'!$A$2:$A$1000,0),MATCH(C$1,'Master data'!$B$1:$CL$1,0)),"")</f>
        <v/>
      </c>
      <c r="D984" t="str">
        <f>IFERROR(INDEX('Master data'!$B$2:$CL$1000,MATCH($B984,'Master data'!$A$2:$A$1000,0),MATCH(D$1,'Master data'!$B$1:$CL$1,0)),"")</f>
        <v/>
      </c>
      <c r="E984" s="5" t="str">
        <f>IFERROR(INDEX('Master data'!$B$2:$CL$1000,MATCH($B984,'Master data'!$A$2:$A$1000,0),MATCH(E$1,'Master data'!$B$1:$CL$1,0)),"")</f>
        <v/>
      </c>
      <c r="F984" s="7" t="str">
        <f>IFERROR(INDEX('Master data'!$B$2:$CL$1000,MATCH($B984,'Master data'!$A$2:$A$1000,0),MATCH(F$1,'Master data'!$B$1:$CL$1,0)),"")</f>
        <v/>
      </c>
      <c r="G984" s="7" t="str">
        <f>IFERROR(INDEX('Master data'!$B$2:$CL$1000,MATCH($B984,'Master data'!$A$2:$A$1000,0),MATCH(G$1,'Master data'!$B$1:$CL$1,0)),"")</f>
        <v/>
      </c>
      <c r="H984" s="7" t="str">
        <f>IFERROR(INDEX('Master data'!$B$2:$CL$1000,MATCH($B984,'Master data'!$A$2:$A$1000,0),MATCH(H$1,'Master data'!$B$1:$CL$1,0)),"")</f>
        <v/>
      </c>
      <c r="I984" s="7" t="str">
        <f>IFERROR(INDEX('Master data'!$B$2:$CL$1000,MATCH($B984,'Master data'!$A$2:$A$1000,0),MATCH(I$1,'Master data'!$B$1:$CL$1,0)),"")</f>
        <v/>
      </c>
      <c r="J984" s="7" t="str">
        <f>IFERROR(INDEX('Master data'!$B$2:$CL$1000,MATCH($B984,'Master data'!$A$2:$A$1000,0),MATCH(J$1,'Master data'!$B$1:$CL$1,0)),"")</f>
        <v/>
      </c>
      <c r="K984" s="7" t="str">
        <f>IFERROR(INDEX('Master data'!$B$2:$CL$1000,MATCH($B984,'Master data'!$A$2:$A$1000,0),MATCH(K$1,'Master data'!$B$1:$CL$1,0)),"")</f>
        <v/>
      </c>
      <c r="L984" s="7" t="str">
        <f>IFERROR(INDEX('Master data'!$B$2:$CL$1000,MATCH($B984,'Master data'!$A$2:$A$1000,0),MATCH(L$1,'Master data'!$B$1:$CL$1,0)),"")</f>
        <v/>
      </c>
      <c r="M984" s="5" t="str">
        <f>IFERROR(INDEX('Master data'!$B$2:$CL$1000,MATCH($B984,'Master data'!$A$2:$A$1000,0),MATCH(M$1,'Master data'!$B$1:$CL$1,0)),"")</f>
        <v/>
      </c>
      <c r="N984" s="28" t="str">
        <f>IFERROR(INDEX('Master data'!$B$2:$CL$1000,MATCH($B984,'Master data'!$A$2:$A$1000,0),MATCH(N$1,'Master data'!$B$1:$CL$1,0)),"")</f>
        <v/>
      </c>
      <c r="O984" s="7" t="str">
        <f>IFERROR(INDEX('Master data'!$B$2:$CL$1000,MATCH($B984,'Master data'!$A$2:$A$1000,0),MATCH(O$1,'Master data'!$B$1:$CL$1,0)),"")</f>
        <v/>
      </c>
      <c r="P984" s="5" t="str">
        <f>IFERROR(INDEX('Master data'!$B$2:$CL$1000,MATCH($B984,'Master data'!$A$2:$A$1000,0),MATCH(P$1,'Master data'!$B$1:$CL$1,0)),"")</f>
        <v/>
      </c>
      <c r="Q984" s="5" t="str">
        <f>IFERROR(INDEX('Master data'!$B$2:$CL$1000,MATCH($B984,'Master data'!$A$2:$A$1000,0),MATCH(Q$1,'Master data'!$B$1:$CL$1,0)),"")</f>
        <v/>
      </c>
    </row>
    <row r="985" spans="1:17" hidden="1">
      <c r="A985" t="str">
        <f t="shared" si="15"/>
        <v/>
      </c>
      <c r="B985" t="str">
        <f>IF('Master data'!A985="","",'Master data'!A985)</f>
        <v/>
      </c>
      <c r="C985" t="str">
        <f>IFERROR(INDEX('Master data'!$B$2:$CL$1000,MATCH($B985,'Master data'!$A$2:$A$1000,0),MATCH(C$1,'Master data'!$B$1:$CL$1,0)),"")</f>
        <v/>
      </c>
      <c r="D985" t="str">
        <f>IFERROR(INDEX('Master data'!$B$2:$CL$1000,MATCH($B985,'Master data'!$A$2:$A$1000,0),MATCH(D$1,'Master data'!$B$1:$CL$1,0)),"")</f>
        <v/>
      </c>
      <c r="E985" s="5" t="str">
        <f>IFERROR(INDEX('Master data'!$B$2:$CL$1000,MATCH($B985,'Master data'!$A$2:$A$1000,0),MATCH(E$1,'Master data'!$B$1:$CL$1,0)),"")</f>
        <v/>
      </c>
      <c r="F985" s="7" t="str">
        <f>IFERROR(INDEX('Master data'!$B$2:$CL$1000,MATCH($B985,'Master data'!$A$2:$A$1000,0),MATCH(F$1,'Master data'!$B$1:$CL$1,0)),"")</f>
        <v/>
      </c>
      <c r="G985" s="7" t="str">
        <f>IFERROR(INDEX('Master data'!$B$2:$CL$1000,MATCH($B985,'Master data'!$A$2:$A$1000,0),MATCH(G$1,'Master data'!$B$1:$CL$1,0)),"")</f>
        <v/>
      </c>
      <c r="H985" s="7" t="str">
        <f>IFERROR(INDEX('Master data'!$B$2:$CL$1000,MATCH($B985,'Master data'!$A$2:$A$1000,0),MATCH(H$1,'Master data'!$B$1:$CL$1,0)),"")</f>
        <v/>
      </c>
      <c r="I985" s="7" t="str">
        <f>IFERROR(INDEX('Master data'!$B$2:$CL$1000,MATCH($B985,'Master data'!$A$2:$A$1000,0),MATCH(I$1,'Master data'!$B$1:$CL$1,0)),"")</f>
        <v/>
      </c>
      <c r="J985" s="7" t="str">
        <f>IFERROR(INDEX('Master data'!$B$2:$CL$1000,MATCH($B985,'Master data'!$A$2:$A$1000,0),MATCH(J$1,'Master data'!$B$1:$CL$1,0)),"")</f>
        <v/>
      </c>
      <c r="K985" s="7" t="str">
        <f>IFERROR(INDEX('Master data'!$B$2:$CL$1000,MATCH($B985,'Master data'!$A$2:$A$1000,0),MATCH(K$1,'Master data'!$B$1:$CL$1,0)),"")</f>
        <v/>
      </c>
      <c r="L985" s="7" t="str">
        <f>IFERROR(INDEX('Master data'!$B$2:$CL$1000,MATCH($B985,'Master data'!$A$2:$A$1000,0),MATCH(L$1,'Master data'!$B$1:$CL$1,0)),"")</f>
        <v/>
      </c>
      <c r="M985" s="5" t="str">
        <f>IFERROR(INDEX('Master data'!$B$2:$CL$1000,MATCH($B985,'Master data'!$A$2:$A$1000,0),MATCH(M$1,'Master data'!$B$1:$CL$1,0)),"")</f>
        <v/>
      </c>
      <c r="N985" s="28" t="str">
        <f>IFERROR(INDEX('Master data'!$B$2:$CL$1000,MATCH($B985,'Master data'!$A$2:$A$1000,0),MATCH(N$1,'Master data'!$B$1:$CL$1,0)),"")</f>
        <v/>
      </c>
      <c r="O985" s="7" t="str">
        <f>IFERROR(INDEX('Master data'!$B$2:$CL$1000,MATCH($B985,'Master data'!$A$2:$A$1000,0),MATCH(O$1,'Master data'!$B$1:$CL$1,0)),"")</f>
        <v/>
      </c>
      <c r="P985" s="5" t="str">
        <f>IFERROR(INDEX('Master data'!$B$2:$CL$1000,MATCH($B985,'Master data'!$A$2:$A$1000,0),MATCH(P$1,'Master data'!$B$1:$CL$1,0)),"")</f>
        <v/>
      </c>
      <c r="Q985" s="5" t="str">
        <f>IFERROR(INDEX('Master data'!$B$2:$CL$1000,MATCH($B985,'Master data'!$A$2:$A$1000,0),MATCH(Q$1,'Master data'!$B$1:$CL$1,0)),"")</f>
        <v/>
      </c>
    </row>
    <row r="986" spans="1:17" hidden="1">
      <c r="A986" t="str">
        <f t="shared" si="15"/>
        <v/>
      </c>
      <c r="B986" t="str">
        <f>IF('Master data'!A986="","",'Master data'!A986)</f>
        <v/>
      </c>
      <c r="C986" t="str">
        <f>IFERROR(INDEX('Master data'!$B$2:$CL$1000,MATCH($B986,'Master data'!$A$2:$A$1000,0),MATCH(C$1,'Master data'!$B$1:$CL$1,0)),"")</f>
        <v/>
      </c>
      <c r="D986" t="str">
        <f>IFERROR(INDEX('Master data'!$B$2:$CL$1000,MATCH($B986,'Master data'!$A$2:$A$1000,0),MATCH(D$1,'Master data'!$B$1:$CL$1,0)),"")</f>
        <v/>
      </c>
      <c r="E986" s="5" t="str">
        <f>IFERROR(INDEX('Master data'!$B$2:$CL$1000,MATCH($B986,'Master data'!$A$2:$A$1000,0),MATCH(E$1,'Master data'!$B$1:$CL$1,0)),"")</f>
        <v/>
      </c>
      <c r="F986" s="7" t="str">
        <f>IFERROR(INDEX('Master data'!$B$2:$CL$1000,MATCH($B986,'Master data'!$A$2:$A$1000,0),MATCH(F$1,'Master data'!$B$1:$CL$1,0)),"")</f>
        <v/>
      </c>
      <c r="G986" s="7" t="str">
        <f>IFERROR(INDEX('Master data'!$B$2:$CL$1000,MATCH($B986,'Master data'!$A$2:$A$1000,0),MATCH(G$1,'Master data'!$B$1:$CL$1,0)),"")</f>
        <v/>
      </c>
      <c r="H986" s="7" t="str">
        <f>IFERROR(INDEX('Master data'!$B$2:$CL$1000,MATCH($B986,'Master data'!$A$2:$A$1000,0),MATCH(H$1,'Master data'!$B$1:$CL$1,0)),"")</f>
        <v/>
      </c>
      <c r="I986" s="7" t="str">
        <f>IFERROR(INDEX('Master data'!$B$2:$CL$1000,MATCH($B986,'Master data'!$A$2:$A$1000,0),MATCH(I$1,'Master data'!$B$1:$CL$1,0)),"")</f>
        <v/>
      </c>
      <c r="J986" s="7" t="str">
        <f>IFERROR(INDEX('Master data'!$B$2:$CL$1000,MATCH($B986,'Master data'!$A$2:$A$1000,0),MATCH(J$1,'Master data'!$B$1:$CL$1,0)),"")</f>
        <v/>
      </c>
      <c r="K986" s="7" t="str">
        <f>IFERROR(INDEX('Master data'!$B$2:$CL$1000,MATCH($B986,'Master data'!$A$2:$A$1000,0),MATCH(K$1,'Master data'!$B$1:$CL$1,0)),"")</f>
        <v/>
      </c>
      <c r="L986" s="7" t="str">
        <f>IFERROR(INDEX('Master data'!$B$2:$CL$1000,MATCH($B986,'Master data'!$A$2:$A$1000,0),MATCH(L$1,'Master data'!$B$1:$CL$1,0)),"")</f>
        <v/>
      </c>
      <c r="M986" s="5" t="str">
        <f>IFERROR(INDEX('Master data'!$B$2:$CL$1000,MATCH($B986,'Master data'!$A$2:$A$1000,0),MATCH(M$1,'Master data'!$B$1:$CL$1,0)),"")</f>
        <v/>
      </c>
      <c r="N986" s="28" t="str">
        <f>IFERROR(INDEX('Master data'!$B$2:$CL$1000,MATCH($B986,'Master data'!$A$2:$A$1000,0),MATCH(N$1,'Master data'!$B$1:$CL$1,0)),"")</f>
        <v/>
      </c>
      <c r="O986" s="7" t="str">
        <f>IFERROR(INDEX('Master data'!$B$2:$CL$1000,MATCH($B986,'Master data'!$A$2:$A$1000,0),MATCH(O$1,'Master data'!$B$1:$CL$1,0)),"")</f>
        <v/>
      </c>
      <c r="P986" s="5" t="str">
        <f>IFERROR(INDEX('Master data'!$B$2:$CL$1000,MATCH($B986,'Master data'!$A$2:$A$1000,0),MATCH(P$1,'Master data'!$B$1:$CL$1,0)),"")</f>
        <v/>
      </c>
      <c r="Q986" s="5" t="str">
        <f>IFERROR(INDEX('Master data'!$B$2:$CL$1000,MATCH($B986,'Master data'!$A$2:$A$1000,0),MATCH(Q$1,'Master data'!$B$1:$CL$1,0)),"")</f>
        <v/>
      </c>
    </row>
    <row r="987" spans="1:17" hidden="1">
      <c r="A987" t="str">
        <f t="shared" si="15"/>
        <v/>
      </c>
      <c r="B987" t="str">
        <f>IF('Master data'!A987="","",'Master data'!A987)</f>
        <v/>
      </c>
      <c r="C987" t="str">
        <f>IFERROR(INDEX('Master data'!$B$2:$CL$1000,MATCH($B987,'Master data'!$A$2:$A$1000,0),MATCH(C$1,'Master data'!$B$1:$CL$1,0)),"")</f>
        <v/>
      </c>
      <c r="D987" t="str">
        <f>IFERROR(INDEX('Master data'!$B$2:$CL$1000,MATCH($B987,'Master data'!$A$2:$A$1000,0),MATCH(D$1,'Master data'!$B$1:$CL$1,0)),"")</f>
        <v/>
      </c>
      <c r="E987" s="5" t="str">
        <f>IFERROR(INDEX('Master data'!$B$2:$CL$1000,MATCH($B987,'Master data'!$A$2:$A$1000,0),MATCH(E$1,'Master data'!$B$1:$CL$1,0)),"")</f>
        <v/>
      </c>
      <c r="F987" s="7" t="str">
        <f>IFERROR(INDEX('Master data'!$B$2:$CL$1000,MATCH($B987,'Master data'!$A$2:$A$1000,0),MATCH(F$1,'Master data'!$B$1:$CL$1,0)),"")</f>
        <v/>
      </c>
      <c r="G987" s="7" t="str">
        <f>IFERROR(INDEX('Master data'!$B$2:$CL$1000,MATCH($B987,'Master data'!$A$2:$A$1000,0),MATCH(G$1,'Master data'!$B$1:$CL$1,0)),"")</f>
        <v/>
      </c>
      <c r="H987" s="7" t="str">
        <f>IFERROR(INDEX('Master data'!$B$2:$CL$1000,MATCH($B987,'Master data'!$A$2:$A$1000,0),MATCH(H$1,'Master data'!$B$1:$CL$1,0)),"")</f>
        <v/>
      </c>
      <c r="I987" s="7" t="str">
        <f>IFERROR(INDEX('Master data'!$B$2:$CL$1000,MATCH($B987,'Master data'!$A$2:$A$1000,0),MATCH(I$1,'Master data'!$B$1:$CL$1,0)),"")</f>
        <v/>
      </c>
      <c r="J987" s="7" t="str">
        <f>IFERROR(INDEX('Master data'!$B$2:$CL$1000,MATCH($B987,'Master data'!$A$2:$A$1000,0),MATCH(J$1,'Master data'!$B$1:$CL$1,0)),"")</f>
        <v/>
      </c>
      <c r="K987" s="7" t="str">
        <f>IFERROR(INDEX('Master data'!$B$2:$CL$1000,MATCH($B987,'Master data'!$A$2:$A$1000,0),MATCH(K$1,'Master data'!$B$1:$CL$1,0)),"")</f>
        <v/>
      </c>
      <c r="L987" s="7" t="str">
        <f>IFERROR(INDEX('Master data'!$B$2:$CL$1000,MATCH($B987,'Master data'!$A$2:$A$1000,0),MATCH(L$1,'Master data'!$B$1:$CL$1,0)),"")</f>
        <v/>
      </c>
      <c r="M987" s="5" t="str">
        <f>IFERROR(INDEX('Master data'!$B$2:$CL$1000,MATCH($B987,'Master data'!$A$2:$A$1000,0),MATCH(M$1,'Master data'!$B$1:$CL$1,0)),"")</f>
        <v/>
      </c>
      <c r="N987" s="28" t="str">
        <f>IFERROR(INDEX('Master data'!$B$2:$CL$1000,MATCH($B987,'Master data'!$A$2:$A$1000,0),MATCH(N$1,'Master data'!$B$1:$CL$1,0)),"")</f>
        <v/>
      </c>
      <c r="O987" s="7" t="str">
        <f>IFERROR(INDEX('Master data'!$B$2:$CL$1000,MATCH($B987,'Master data'!$A$2:$A$1000,0),MATCH(O$1,'Master data'!$B$1:$CL$1,0)),"")</f>
        <v/>
      </c>
      <c r="P987" s="5" t="str">
        <f>IFERROR(INDEX('Master data'!$B$2:$CL$1000,MATCH($B987,'Master data'!$A$2:$A$1000,0),MATCH(P$1,'Master data'!$B$1:$CL$1,0)),"")</f>
        <v/>
      </c>
      <c r="Q987" s="5" t="str">
        <f>IFERROR(INDEX('Master data'!$B$2:$CL$1000,MATCH($B987,'Master data'!$A$2:$A$1000,0),MATCH(Q$1,'Master data'!$B$1:$CL$1,0)),"")</f>
        <v/>
      </c>
    </row>
    <row r="988" spans="1:17" hidden="1">
      <c r="A988" t="str">
        <f t="shared" si="15"/>
        <v/>
      </c>
      <c r="B988" t="str">
        <f>IF('Master data'!A988="","",'Master data'!A988)</f>
        <v/>
      </c>
      <c r="C988" t="str">
        <f>IFERROR(INDEX('Master data'!$B$2:$CL$1000,MATCH($B988,'Master data'!$A$2:$A$1000,0),MATCH(C$1,'Master data'!$B$1:$CL$1,0)),"")</f>
        <v/>
      </c>
      <c r="D988" t="str">
        <f>IFERROR(INDEX('Master data'!$B$2:$CL$1000,MATCH($B988,'Master data'!$A$2:$A$1000,0),MATCH(D$1,'Master data'!$B$1:$CL$1,0)),"")</f>
        <v/>
      </c>
      <c r="E988" s="5" t="str">
        <f>IFERROR(INDEX('Master data'!$B$2:$CL$1000,MATCH($B988,'Master data'!$A$2:$A$1000,0),MATCH(E$1,'Master data'!$B$1:$CL$1,0)),"")</f>
        <v/>
      </c>
      <c r="F988" s="7" t="str">
        <f>IFERROR(INDEX('Master data'!$B$2:$CL$1000,MATCH($B988,'Master data'!$A$2:$A$1000,0),MATCH(F$1,'Master data'!$B$1:$CL$1,0)),"")</f>
        <v/>
      </c>
      <c r="G988" s="7" t="str">
        <f>IFERROR(INDEX('Master data'!$B$2:$CL$1000,MATCH($B988,'Master data'!$A$2:$A$1000,0),MATCH(G$1,'Master data'!$B$1:$CL$1,0)),"")</f>
        <v/>
      </c>
      <c r="H988" s="7" t="str">
        <f>IFERROR(INDEX('Master data'!$B$2:$CL$1000,MATCH($B988,'Master data'!$A$2:$A$1000,0),MATCH(H$1,'Master data'!$B$1:$CL$1,0)),"")</f>
        <v/>
      </c>
      <c r="I988" s="7" t="str">
        <f>IFERROR(INDEX('Master data'!$B$2:$CL$1000,MATCH($B988,'Master data'!$A$2:$A$1000,0),MATCH(I$1,'Master data'!$B$1:$CL$1,0)),"")</f>
        <v/>
      </c>
      <c r="J988" s="7" t="str">
        <f>IFERROR(INDEX('Master data'!$B$2:$CL$1000,MATCH($B988,'Master data'!$A$2:$A$1000,0),MATCH(J$1,'Master data'!$B$1:$CL$1,0)),"")</f>
        <v/>
      </c>
      <c r="K988" s="7" t="str">
        <f>IFERROR(INDEX('Master data'!$B$2:$CL$1000,MATCH($B988,'Master data'!$A$2:$A$1000,0),MATCH(K$1,'Master data'!$B$1:$CL$1,0)),"")</f>
        <v/>
      </c>
      <c r="L988" s="7" t="str">
        <f>IFERROR(INDEX('Master data'!$B$2:$CL$1000,MATCH($B988,'Master data'!$A$2:$A$1000,0),MATCH(L$1,'Master data'!$B$1:$CL$1,0)),"")</f>
        <v/>
      </c>
      <c r="M988" s="5" t="str">
        <f>IFERROR(INDEX('Master data'!$B$2:$CL$1000,MATCH($B988,'Master data'!$A$2:$A$1000,0),MATCH(M$1,'Master data'!$B$1:$CL$1,0)),"")</f>
        <v/>
      </c>
      <c r="N988" s="28" t="str">
        <f>IFERROR(INDEX('Master data'!$B$2:$CL$1000,MATCH($B988,'Master data'!$A$2:$A$1000,0),MATCH(N$1,'Master data'!$B$1:$CL$1,0)),"")</f>
        <v/>
      </c>
      <c r="O988" s="7" t="str">
        <f>IFERROR(INDEX('Master data'!$B$2:$CL$1000,MATCH($B988,'Master data'!$A$2:$A$1000,0),MATCH(O$1,'Master data'!$B$1:$CL$1,0)),"")</f>
        <v/>
      </c>
      <c r="P988" s="5" t="str">
        <f>IFERROR(INDEX('Master data'!$B$2:$CL$1000,MATCH($B988,'Master data'!$A$2:$A$1000,0),MATCH(P$1,'Master data'!$B$1:$CL$1,0)),"")</f>
        <v/>
      </c>
      <c r="Q988" s="5" t="str">
        <f>IFERROR(INDEX('Master data'!$B$2:$CL$1000,MATCH($B988,'Master data'!$A$2:$A$1000,0),MATCH(Q$1,'Master data'!$B$1:$CL$1,0)),"")</f>
        <v/>
      </c>
    </row>
    <row r="989" spans="1:17" hidden="1">
      <c r="A989" t="str">
        <f t="shared" si="15"/>
        <v/>
      </c>
      <c r="B989" t="str">
        <f>IF('Master data'!A989="","",'Master data'!A989)</f>
        <v/>
      </c>
      <c r="C989" t="str">
        <f>IFERROR(INDEX('Master data'!$B$2:$CL$1000,MATCH($B989,'Master data'!$A$2:$A$1000,0),MATCH(C$1,'Master data'!$B$1:$CL$1,0)),"")</f>
        <v/>
      </c>
      <c r="D989" t="str">
        <f>IFERROR(INDEX('Master data'!$B$2:$CL$1000,MATCH($B989,'Master data'!$A$2:$A$1000,0),MATCH(D$1,'Master data'!$B$1:$CL$1,0)),"")</f>
        <v/>
      </c>
      <c r="E989" s="5" t="str">
        <f>IFERROR(INDEX('Master data'!$B$2:$CL$1000,MATCH($B989,'Master data'!$A$2:$A$1000,0),MATCH(E$1,'Master data'!$B$1:$CL$1,0)),"")</f>
        <v/>
      </c>
      <c r="F989" s="7" t="str">
        <f>IFERROR(INDEX('Master data'!$B$2:$CL$1000,MATCH($B989,'Master data'!$A$2:$A$1000,0),MATCH(F$1,'Master data'!$B$1:$CL$1,0)),"")</f>
        <v/>
      </c>
      <c r="G989" s="7" t="str">
        <f>IFERROR(INDEX('Master data'!$B$2:$CL$1000,MATCH($B989,'Master data'!$A$2:$A$1000,0),MATCH(G$1,'Master data'!$B$1:$CL$1,0)),"")</f>
        <v/>
      </c>
      <c r="H989" s="7" t="str">
        <f>IFERROR(INDEX('Master data'!$B$2:$CL$1000,MATCH($B989,'Master data'!$A$2:$A$1000,0),MATCH(H$1,'Master data'!$B$1:$CL$1,0)),"")</f>
        <v/>
      </c>
      <c r="I989" s="7" t="str">
        <f>IFERROR(INDEX('Master data'!$B$2:$CL$1000,MATCH($B989,'Master data'!$A$2:$A$1000,0),MATCH(I$1,'Master data'!$B$1:$CL$1,0)),"")</f>
        <v/>
      </c>
      <c r="J989" s="7" t="str">
        <f>IFERROR(INDEX('Master data'!$B$2:$CL$1000,MATCH($B989,'Master data'!$A$2:$A$1000,0),MATCH(J$1,'Master data'!$B$1:$CL$1,0)),"")</f>
        <v/>
      </c>
      <c r="K989" s="7" t="str">
        <f>IFERROR(INDEX('Master data'!$B$2:$CL$1000,MATCH($B989,'Master data'!$A$2:$A$1000,0),MATCH(K$1,'Master data'!$B$1:$CL$1,0)),"")</f>
        <v/>
      </c>
      <c r="L989" s="7" t="str">
        <f>IFERROR(INDEX('Master data'!$B$2:$CL$1000,MATCH($B989,'Master data'!$A$2:$A$1000,0),MATCH(L$1,'Master data'!$B$1:$CL$1,0)),"")</f>
        <v/>
      </c>
      <c r="M989" s="5" t="str">
        <f>IFERROR(INDEX('Master data'!$B$2:$CL$1000,MATCH($B989,'Master data'!$A$2:$A$1000,0),MATCH(M$1,'Master data'!$B$1:$CL$1,0)),"")</f>
        <v/>
      </c>
      <c r="N989" s="28" t="str">
        <f>IFERROR(INDEX('Master data'!$B$2:$CL$1000,MATCH($B989,'Master data'!$A$2:$A$1000,0),MATCH(N$1,'Master data'!$B$1:$CL$1,0)),"")</f>
        <v/>
      </c>
      <c r="O989" s="7" t="str">
        <f>IFERROR(INDEX('Master data'!$B$2:$CL$1000,MATCH($B989,'Master data'!$A$2:$A$1000,0),MATCH(O$1,'Master data'!$B$1:$CL$1,0)),"")</f>
        <v/>
      </c>
      <c r="P989" s="5" t="str">
        <f>IFERROR(INDEX('Master data'!$B$2:$CL$1000,MATCH($B989,'Master data'!$A$2:$A$1000,0),MATCH(P$1,'Master data'!$B$1:$CL$1,0)),"")</f>
        <v/>
      </c>
      <c r="Q989" s="5" t="str">
        <f>IFERROR(INDEX('Master data'!$B$2:$CL$1000,MATCH($B989,'Master data'!$A$2:$A$1000,0),MATCH(Q$1,'Master data'!$B$1:$CL$1,0)),"")</f>
        <v/>
      </c>
    </row>
    <row r="990" spans="1:17" hidden="1">
      <c r="A990" t="str">
        <f t="shared" si="15"/>
        <v/>
      </c>
      <c r="B990" t="str">
        <f>IF('Master data'!A990="","",'Master data'!A990)</f>
        <v/>
      </c>
      <c r="C990" t="str">
        <f>IFERROR(INDEX('Master data'!$B$2:$CL$1000,MATCH($B990,'Master data'!$A$2:$A$1000,0),MATCH(C$1,'Master data'!$B$1:$CL$1,0)),"")</f>
        <v/>
      </c>
      <c r="D990" t="str">
        <f>IFERROR(INDEX('Master data'!$B$2:$CL$1000,MATCH($B990,'Master data'!$A$2:$A$1000,0),MATCH(D$1,'Master data'!$B$1:$CL$1,0)),"")</f>
        <v/>
      </c>
      <c r="E990" s="5" t="str">
        <f>IFERROR(INDEX('Master data'!$B$2:$CL$1000,MATCH($B990,'Master data'!$A$2:$A$1000,0),MATCH(E$1,'Master data'!$B$1:$CL$1,0)),"")</f>
        <v/>
      </c>
      <c r="F990" s="7" t="str">
        <f>IFERROR(INDEX('Master data'!$B$2:$CL$1000,MATCH($B990,'Master data'!$A$2:$A$1000,0),MATCH(F$1,'Master data'!$B$1:$CL$1,0)),"")</f>
        <v/>
      </c>
      <c r="G990" s="7" t="str">
        <f>IFERROR(INDEX('Master data'!$B$2:$CL$1000,MATCH($B990,'Master data'!$A$2:$A$1000,0),MATCH(G$1,'Master data'!$B$1:$CL$1,0)),"")</f>
        <v/>
      </c>
      <c r="H990" s="7" t="str">
        <f>IFERROR(INDEX('Master data'!$B$2:$CL$1000,MATCH($B990,'Master data'!$A$2:$A$1000,0),MATCH(H$1,'Master data'!$B$1:$CL$1,0)),"")</f>
        <v/>
      </c>
      <c r="I990" s="7" t="str">
        <f>IFERROR(INDEX('Master data'!$B$2:$CL$1000,MATCH($B990,'Master data'!$A$2:$A$1000,0),MATCH(I$1,'Master data'!$B$1:$CL$1,0)),"")</f>
        <v/>
      </c>
      <c r="J990" s="7" t="str">
        <f>IFERROR(INDEX('Master data'!$B$2:$CL$1000,MATCH($B990,'Master data'!$A$2:$A$1000,0),MATCH(J$1,'Master data'!$B$1:$CL$1,0)),"")</f>
        <v/>
      </c>
      <c r="K990" s="7" t="str">
        <f>IFERROR(INDEX('Master data'!$B$2:$CL$1000,MATCH($B990,'Master data'!$A$2:$A$1000,0),MATCH(K$1,'Master data'!$B$1:$CL$1,0)),"")</f>
        <v/>
      </c>
      <c r="L990" s="7" t="str">
        <f>IFERROR(INDEX('Master data'!$B$2:$CL$1000,MATCH($B990,'Master data'!$A$2:$A$1000,0),MATCH(L$1,'Master data'!$B$1:$CL$1,0)),"")</f>
        <v/>
      </c>
      <c r="M990" s="5" t="str">
        <f>IFERROR(INDEX('Master data'!$B$2:$CL$1000,MATCH($B990,'Master data'!$A$2:$A$1000,0),MATCH(M$1,'Master data'!$B$1:$CL$1,0)),"")</f>
        <v/>
      </c>
      <c r="N990" s="28" t="str">
        <f>IFERROR(INDEX('Master data'!$B$2:$CL$1000,MATCH($B990,'Master data'!$A$2:$A$1000,0),MATCH(N$1,'Master data'!$B$1:$CL$1,0)),"")</f>
        <v/>
      </c>
      <c r="O990" s="7" t="str">
        <f>IFERROR(INDEX('Master data'!$B$2:$CL$1000,MATCH($B990,'Master data'!$A$2:$A$1000,0),MATCH(O$1,'Master data'!$B$1:$CL$1,0)),"")</f>
        <v/>
      </c>
      <c r="P990" s="5" t="str">
        <f>IFERROR(INDEX('Master data'!$B$2:$CL$1000,MATCH($B990,'Master data'!$A$2:$A$1000,0),MATCH(P$1,'Master data'!$B$1:$CL$1,0)),"")</f>
        <v/>
      </c>
      <c r="Q990" s="5" t="str">
        <f>IFERROR(INDEX('Master data'!$B$2:$CL$1000,MATCH($B990,'Master data'!$A$2:$A$1000,0),MATCH(Q$1,'Master data'!$B$1:$CL$1,0)),"")</f>
        <v/>
      </c>
    </row>
    <row r="991" spans="1:17" hidden="1">
      <c r="A991" t="str">
        <f t="shared" si="15"/>
        <v/>
      </c>
      <c r="B991" t="str">
        <f>IF('Master data'!A991="","",'Master data'!A991)</f>
        <v/>
      </c>
      <c r="C991" t="str">
        <f>IFERROR(INDEX('Master data'!$B$2:$CL$1000,MATCH($B991,'Master data'!$A$2:$A$1000,0),MATCH(C$1,'Master data'!$B$1:$CL$1,0)),"")</f>
        <v/>
      </c>
      <c r="D991" t="str">
        <f>IFERROR(INDEX('Master data'!$B$2:$CL$1000,MATCH($B991,'Master data'!$A$2:$A$1000,0),MATCH(D$1,'Master data'!$B$1:$CL$1,0)),"")</f>
        <v/>
      </c>
      <c r="E991" s="5" t="str">
        <f>IFERROR(INDEX('Master data'!$B$2:$CL$1000,MATCH($B991,'Master data'!$A$2:$A$1000,0),MATCH(E$1,'Master data'!$B$1:$CL$1,0)),"")</f>
        <v/>
      </c>
      <c r="F991" s="7" t="str">
        <f>IFERROR(INDEX('Master data'!$B$2:$CL$1000,MATCH($B991,'Master data'!$A$2:$A$1000,0),MATCH(F$1,'Master data'!$B$1:$CL$1,0)),"")</f>
        <v/>
      </c>
      <c r="G991" s="7" t="str">
        <f>IFERROR(INDEX('Master data'!$B$2:$CL$1000,MATCH($B991,'Master data'!$A$2:$A$1000,0),MATCH(G$1,'Master data'!$B$1:$CL$1,0)),"")</f>
        <v/>
      </c>
      <c r="H991" s="7" t="str">
        <f>IFERROR(INDEX('Master data'!$B$2:$CL$1000,MATCH($B991,'Master data'!$A$2:$A$1000,0),MATCH(H$1,'Master data'!$B$1:$CL$1,0)),"")</f>
        <v/>
      </c>
      <c r="I991" s="7" t="str">
        <f>IFERROR(INDEX('Master data'!$B$2:$CL$1000,MATCH($B991,'Master data'!$A$2:$A$1000,0),MATCH(I$1,'Master data'!$B$1:$CL$1,0)),"")</f>
        <v/>
      </c>
      <c r="J991" s="7" t="str">
        <f>IFERROR(INDEX('Master data'!$B$2:$CL$1000,MATCH($B991,'Master data'!$A$2:$A$1000,0),MATCH(J$1,'Master data'!$B$1:$CL$1,0)),"")</f>
        <v/>
      </c>
      <c r="K991" s="7" t="str">
        <f>IFERROR(INDEX('Master data'!$B$2:$CL$1000,MATCH($B991,'Master data'!$A$2:$A$1000,0),MATCH(K$1,'Master data'!$B$1:$CL$1,0)),"")</f>
        <v/>
      </c>
      <c r="L991" s="7" t="str">
        <f>IFERROR(INDEX('Master data'!$B$2:$CL$1000,MATCH($B991,'Master data'!$A$2:$A$1000,0),MATCH(L$1,'Master data'!$B$1:$CL$1,0)),"")</f>
        <v/>
      </c>
      <c r="M991" s="5" t="str">
        <f>IFERROR(INDEX('Master data'!$B$2:$CL$1000,MATCH($B991,'Master data'!$A$2:$A$1000,0),MATCH(M$1,'Master data'!$B$1:$CL$1,0)),"")</f>
        <v/>
      </c>
      <c r="N991" s="28" t="str">
        <f>IFERROR(INDEX('Master data'!$B$2:$CL$1000,MATCH($B991,'Master data'!$A$2:$A$1000,0),MATCH(N$1,'Master data'!$B$1:$CL$1,0)),"")</f>
        <v/>
      </c>
      <c r="O991" s="7" t="str">
        <f>IFERROR(INDEX('Master data'!$B$2:$CL$1000,MATCH($B991,'Master data'!$A$2:$A$1000,0),MATCH(O$1,'Master data'!$B$1:$CL$1,0)),"")</f>
        <v/>
      </c>
      <c r="P991" s="5" t="str">
        <f>IFERROR(INDEX('Master data'!$B$2:$CL$1000,MATCH($B991,'Master data'!$A$2:$A$1000,0),MATCH(P$1,'Master data'!$B$1:$CL$1,0)),"")</f>
        <v/>
      </c>
      <c r="Q991" s="5" t="str">
        <f>IFERROR(INDEX('Master data'!$B$2:$CL$1000,MATCH($B991,'Master data'!$A$2:$A$1000,0),MATCH(Q$1,'Master data'!$B$1:$CL$1,0)),"")</f>
        <v/>
      </c>
    </row>
    <row r="992" spans="1:17" hidden="1">
      <c r="A992" t="str">
        <f t="shared" si="15"/>
        <v/>
      </c>
      <c r="B992" t="str">
        <f>IF('Master data'!A992="","",'Master data'!A992)</f>
        <v/>
      </c>
      <c r="C992" t="str">
        <f>IFERROR(INDEX('Master data'!$B$2:$CL$1000,MATCH($B992,'Master data'!$A$2:$A$1000,0),MATCH(C$1,'Master data'!$B$1:$CL$1,0)),"")</f>
        <v/>
      </c>
      <c r="D992" t="str">
        <f>IFERROR(INDEX('Master data'!$B$2:$CL$1000,MATCH($B992,'Master data'!$A$2:$A$1000,0),MATCH(D$1,'Master data'!$B$1:$CL$1,0)),"")</f>
        <v/>
      </c>
      <c r="E992" s="5" t="str">
        <f>IFERROR(INDEX('Master data'!$B$2:$CL$1000,MATCH($B992,'Master data'!$A$2:$A$1000,0),MATCH(E$1,'Master data'!$B$1:$CL$1,0)),"")</f>
        <v/>
      </c>
      <c r="F992" s="7" t="str">
        <f>IFERROR(INDEX('Master data'!$B$2:$CL$1000,MATCH($B992,'Master data'!$A$2:$A$1000,0),MATCH(F$1,'Master data'!$B$1:$CL$1,0)),"")</f>
        <v/>
      </c>
      <c r="G992" s="7" t="str">
        <f>IFERROR(INDEX('Master data'!$B$2:$CL$1000,MATCH($B992,'Master data'!$A$2:$A$1000,0),MATCH(G$1,'Master data'!$B$1:$CL$1,0)),"")</f>
        <v/>
      </c>
      <c r="H992" s="7" t="str">
        <f>IFERROR(INDEX('Master data'!$B$2:$CL$1000,MATCH($B992,'Master data'!$A$2:$A$1000,0),MATCH(H$1,'Master data'!$B$1:$CL$1,0)),"")</f>
        <v/>
      </c>
      <c r="I992" s="7" t="str">
        <f>IFERROR(INDEX('Master data'!$B$2:$CL$1000,MATCH($B992,'Master data'!$A$2:$A$1000,0),MATCH(I$1,'Master data'!$B$1:$CL$1,0)),"")</f>
        <v/>
      </c>
      <c r="J992" s="7" t="str">
        <f>IFERROR(INDEX('Master data'!$B$2:$CL$1000,MATCH($B992,'Master data'!$A$2:$A$1000,0),MATCH(J$1,'Master data'!$B$1:$CL$1,0)),"")</f>
        <v/>
      </c>
      <c r="K992" s="7" t="str">
        <f>IFERROR(INDEX('Master data'!$B$2:$CL$1000,MATCH($B992,'Master data'!$A$2:$A$1000,0),MATCH(K$1,'Master data'!$B$1:$CL$1,0)),"")</f>
        <v/>
      </c>
      <c r="L992" s="7" t="str">
        <f>IFERROR(INDEX('Master data'!$B$2:$CL$1000,MATCH($B992,'Master data'!$A$2:$A$1000,0),MATCH(L$1,'Master data'!$B$1:$CL$1,0)),"")</f>
        <v/>
      </c>
      <c r="M992" s="5" t="str">
        <f>IFERROR(INDEX('Master data'!$B$2:$CL$1000,MATCH($B992,'Master data'!$A$2:$A$1000,0),MATCH(M$1,'Master data'!$B$1:$CL$1,0)),"")</f>
        <v/>
      </c>
      <c r="N992" s="28" t="str">
        <f>IFERROR(INDEX('Master data'!$B$2:$CL$1000,MATCH($B992,'Master data'!$A$2:$A$1000,0),MATCH(N$1,'Master data'!$B$1:$CL$1,0)),"")</f>
        <v/>
      </c>
      <c r="O992" s="7" t="str">
        <f>IFERROR(INDEX('Master data'!$B$2:$CL$1000,MATCH($B992,'Master data'!$A$2:$A$1000,0),MATCH(O$1,'Master data'!$B$1:$CL$1,0)),"")</f>
        <v/>
      </c>
      <c r="P992" s="5" t="str">
        <f>IFERROR(INDEX('Master data'!$B$2:$CL$1000,MATCH($B992,'Master data'!$A$2:$A$1000,0),MATCH(P$1,'Master data'!$B$1:$CL$1,0)),"")</f>
        <v/>
      </c>
      <c r="Q992" s="5" t="str">
        <f>IFERROR(INDEX('Master data'!$B$2:$CL$1000,MATCH($B992,'Master data'!$A$2:$A$1000,0),MATCH(Q$1,'Master data'!$B$1:$CL$1,0)),"")</f>
        <v/>
      </c>
    </row>
    <row r="993" spans="1:17" hidden="1">
      <c r="A993" t="str">
        <f t="shared" si="15"/>
        <v/>
      </c>
      <c r="B993" t="str">
        <f>IF('Master data'!A993="","",'Master data'!A993)</f>
        <v/>
      </c>
      <c r="C993" t="str">
        <f>IFERROR(INDEX('Master data'!$B$2:$CL$1000,MATCH($B993,'Master data'!$A$2:$A$1000,0),MATCH(C$1,'Master data'!$B$1:$CL$1,0)),"")</f>
        <v/>
      </c>
      <c r="D993" t="str">
        <f>IFERROR(INDEX('Master data'!$B$2:$CL$1000,MATCH($B993,'Master data'!$A$2:$A$1000,0),MATCH(D$1,'Master data'!$B$1:$CL$1,0)),"")</f>
        <v/>
      </c>
      <c r="E993" s="5" t="str">
        <f>IFERROR(INDEX('Master data'!$B$2:$CL$1000,MATCH($B993,'Master data'!$A$2:$A$1000,0),MATCH(E$1,'Master data'!$B$1:$CL$1,0)),"")</f>
        <v/>
      </c>
      <c r="F993" s="7" t="str">
        <f>IFERROR(INDEX('Master data'!$B$2:$CL$1000,MATCH($B993,'Master data'!$A$2:$A$1000,0),MATCH(F$1,'Master data'!$B$1:$CL$1,0)),"")</f>
        <v/>
      </c>
      <c r="G993" s="7" t="str">
        <f>IFERROR(INDEX('Master data'!$B$2:$CL$1000,MATCH($B993,'Master data'!$A$2:$A$1000,0),MATCH(G$1,'Master data'!$B$1:$CL$1,0)),"")</f>
        <v/>
      </c>
      <c r="H993" s="7" t="str">
        <f>IFERROR(INDEX('Master data'!$B$2:$CL$1000,MATCH($B993,'Master data'!$A$2:$A$1000,0),MATCH(H$1,'Master data'!$B$1:$CL$1,0)),"")</f>
        <v/>
      </c>
      <c r="I993" s="7" t="str">
        <f>IFERROR(INDEX('Master data'!$B$2:$CL$1000,MATCH($B993,'Master data'!$A$2:$A$1000,0),MATCH(I$1,'Master data'!$B$1:$CL$1,0)),"")</f>
        <v/>
      </c>
      <c r="J993" s="7" t="str">
        <f>IFERROR(INDEX('Master data'!$B$2:$CL$1000,MATCH($B993,'Master data'!$A$2:$A$1000,0),MATCH(J$1,'Master data'!$B$1:$CL$1,0)),"")</f>
        <v/>
      </c>
      <c r="K993" s="7" t="str">
        <f>IFERROR(INDEX('Master data'!$B$2:$CL$1000,MATCH($B993,'Master data'!$A$2:$A$1000,0),MATCH(K$1,'Master data'!$B$1:$CL$1,0)),"")</f>
        <v/>
      </c>
      <c r="L993" s="7" t="str">
        <f>IFERROR(INDEX('Master data'!$B$2:$CL$1000,MATCH($B993,'Master data'!$A$2:$A$1000,0),MATCH(L$1,'Master data'!$B$1:$CL$1,0)),"")</f>
        <v/>
      </c>
      <c r="M993" s="5" t="str">
        <f>IFERROR(INDEX('Master data'!$B$2:$CL$1000,MATCH($B993,'Master data'!$A$2:$A$1000,0),MATCH(M$1,'Master data'!$B$1:$CL$1,0)),"")</f>
        <v/>
      </c>
      <c r="N993" s="28" t="str">
        <f>IFERROR(INDEX('Master data'!$B$2:$CL$1000,MATCH($B993,'Master data'!$A$2:$A$1000,0),MATCH(N$1,'Master data'!$B$1:$CL$1,0)),"")</f>
        <v/>
      </c>
      <c r="O993" s="7" t="str">
        <f>IFERROR(INDEX('Master data'!$B$2:$CL$1000,MATCH($B993,'Master data'!$A$2:$A$1000,0),MATCH(O$1,'Master data'!$B$1:$CL$1,0)),"")</f>
        <v/>
      </c>
      <c r="P993" s="5" t="str">
        <f>IFERROR(INDEX('Master data'!$B$2:$CL$1000,MATCH($B993,'Master data'!$A$2:$A$1000,0),MATCH(P$1,'Master data'!$B$1:$CL$1,0)),"")</f>
        <v/>
      </c>
      <c r="Q993" s="5" t="str">
        <f>IFERROR(INDEX('Master data'!$B$2:$CL$1000,MATCH($B993,'Master data'!$A$2:$A$1000,0),MATCH(Q$1,'Master data'!$B$1:$CL$1,0)),"")</f>
        <v/>
      </c>
    </row>
    <row r="994" spans="1:17" hidden="1">
      <c r="A994" t="str">
        <f t="shared" si="15"/>
        <v/>
      </c>
      <c r="B994" t="str">
        <f>IF('Master data'!A994="","",'Master data'!A994)</f>
        <v/>
      </c>
      <c r="C994" t="str">
        <f>IFERROR(INDEX('Master data'!$B$2:$CL$1000,MATCH($B994,'Master data'!$A$2:$A$1000,0),MATCH(C$1,'Master data'!$B$1:$CL$1,0)),"")</f>
        <v/>
      </c>
      <c r="D994" t="str">
        <f>IFERROR(INDEX('Master data'!$B$2:$CL$1000,MATCH($B994,'Master data'!$A$2:$A$1000,0),MATCH(D$1,'Master data'!$B$1:$CL$1,0)),"")</f>
        <v/>
      </c>
      <c r="E994" s="5" t="str">
        <f>IFERROR(INDEX('Master data'!$B$2:$CL$1000,MATCH($B994,'Master data'!$A$2:$A$1000,0),MATCH(E$1,'Master data'!$B$1:$CL$1,0)),"")</f>
        <v/>
      </c>
      <c r="F994" s="7" t="str">
        <f>IFERROR(INDEX('Master data'!$B$2:$CL$1000,MATCH($B994,'Master data'!$A$2:$A$1000,0),MATCH(F$1,'Master data'!$B$1:$CL$1,0)),"")</f>
        <v/>
      </c>
      <c r="G994" s="7" t="str">
        <f>IFERROR(INDEX('Master data'!$B$2:$CL$1000,MATCH($B994,'Master data'!$A$2:$A$1000,0),MATCH(G$1,'Master data'!$B$1:$CL$1,0)),"")</f>
        <v/>
      </c>
      <c r="H994" s="7" t="str">
        <f>IFERROR(INDEX('Master data'!$B$2:$CL$1000,MATCH($B994,'Master data'!$A$2:$A$1000,0),MATCH(H$1,'Master data'!$B$1:$CL$1,0)),"")</f>
        <v/>
      </c>
      <c r="I994" s="7" t="str">
        <f>IFERROR(INDEX('Master data'!$B$2:$CL$1000,MATCH($B994,'Master data'!$A$2:$A$1000,0),MATCH(I$1,'Master data'!$B$1:$CL$1,0)),"")</f>
        <v/>
      </c>
      <c r="J994" s="7" t="str">
        <f>IFERROR(INDEX('Master data'!$B$2:$CL$1000,MATCH($B994,'Master data'!$A$2:$A$1000,0),MATCH(J$1,'Master data'!$B$1:$CL$1,0)),"")</f>
        <v/>
      </c>
      <c r="K994" s="7" t="str">
        <f>IFERROR(INDEX('Master data'!$B$2:$CL$1000,MATCH($B994,'Master data'!$A$2:$A$1000,0),MATCH(K$1,'Master data'!$B$1:$CL$1,0)),"")</f>
        <v/>
      </c>
      <c r="L994" s="7" t="str">
        <f>IFERROR(INDEX('Master data'!$B$2:$CL$1000,MATCH($B994,'Master data'!$A$2:$A$1000,0),MATCH(L$1,'Master data'!$B$1:$CL$1,0)),"")</f>
        <v/>
      </c>
      <c r="M994" s="5" t="str">
        <f>IFERROR(INDEX('Master data'!$B$2:$CL$1000,MATCH($B994,'Master data'!$A$2:$A$1000,0),MATCH(M$1,'Master data'!$B$1:$CL$1,0)),"")</f>
        <v/>
      </c>
      <c r="N994" s="28" t="str">
        <f>IFERROR(INDEX('Master data'!$B$2:$CL$1000,MATCH($B994,'Master data'!$A$2:$A$1000,0),MATCH(N$1,'Master data'!$B$1:$CL$1,0)),"")</f>
        <v/>
      </c>
      <c r="O994" s="7" t="str">
        <f>IFERROR(INDEX('Master data'!$B$2:$CL$1000,MATCH($B994,'Master data'!$A$2:$A$1000,0),MATCH(O$1,'Master data'!$B$1:$CL$1,0)),"")</f>
        <v/>
      </c>
      <c r="P994" s="5" t="str">
        <f>IFERROR(INDEX('Master data'!$B$2:$CL$1000,MATCH($B994,'Master data'!$A$2:$A$1000,0),MATCH(P$1,'Master data'!$B$1:$CL$1,0)),"")</f>
        <v/>
      </c>
      <c r="Q994" s="5" t="str">
        <f>IFERROR(INDEX('Master data'!$B$2:$CL$1000,MATCH($B994,'Master data'!$A$2:$A$1000,0),MATCH(Q$1,'Master data'!$B$1:$CL$1,0)),"")</f>
        <v/>
      </c>
    </row>
    <row r="995" spans="1:17" hidden="1">
      <c r="A995" t="str">
        <f t="shared" si="15"/>
        <v/>
      </c>
      <c r="B995" t="str">
        <f>IF('Master data'!A995="","",'Master data'!A995)</f>
        <v/>
      </c>
      <c r="C995" t="str">
        <f>IFERROR(INDEX('Master data'!$B$2:$CL$1000,MATCH($B995,'Master data'!$A$2:$A$1000,0),MATCH(C$1,'Master data'!$B$1:$CL$1,0)),"")</f>
        <v/>
      </c>
      <c r="D995" t="str">
        <f>IFERROR(INDEX('Master data'!$B$2:$CL$1000,MATCH($B995,'Master data'!$A$2:$A$1000,0),MATCH(D$1,'Master data'!$B$1:$CL$1,0)),"")</f>
        <v/>
      </c>
      <c r="E995" s="5" t="str">
        <f>IFERROR(INDEX('Master data'!$B$2:$CL$1000,MATCH($B995,'Master data'!$A$2:$A$1000,0),MATCH(E$1,'Master data'!$B$1:$CL$1,0)),"")</f>
        <v/>
      </c>
      <c r="F995" s="7" t="str">
        <f>IFERROR(INDEX('Master data'!$B$2:$CL$1000,MATCH($B995,'Master data'!$A$2:$A$1000,0),MATCH(F$1,'Master data'!$B$1:$CL$1,0)),"")</f>
        <v/>
      </c>
      <c r="G995" s="7" t="str">
        <f>IFERROR(INDEX('Master data'!$B$2:$CL$1000,MATCH($B995,'Master data'!$A$2:$A$1000,0),MATCH(G$1,'Master data'!$B$1:$CL$1,0)),"")</f>
        <v/>
      </c>
      <c r="H995" s="7" t="str">
        <f>IFERROR(INDEX('Master data'!$B$2:$CL$1000,MATCH($B995,'Master data'!$A$2:$A$1000,0),MATCH(H$1,'Master data'!$B$1:$CL$1,0)),"")</f>
        <v/>
      </c>
      <c r="I995" s="7" t="str">
        <f>IFERROR(INDEX('Master data'!$B$2:$CL$1000,MATCH($B995,'Master data'!$A$2:$A$1000,0),MATCH(I$1,'Master data'!$B$1:$CL$1,0)),"")</f>
        <v/>
      </c>
      <c r="J995" s="7" t="str">
        <f>IFERROR(INDEX('Master data'!$B$2:$CL$1000,MATCH($B995,'Master data'!$A$2:$A$1000,0),MATCH(J$1,'Master data'!$B$1:$CL$1,0)),"")</f>
        <v/>
      </c>
      <c r="K995" s="7" t="str">
        <f>IFERROR(INDEX('Master data'!$B$2:$CL$1000,MATCH($B995,'Master data'!$A$2:$A$1000,0),MATCH(K$1,'Master data'!$B$1:$CL$1,0)),"")</f>
        <v/>
      </c>
      <c r="L995" s="7" t="str">
        <f>IFERROR(INDEX('Master data'!$B$2:$CL$1000,MATCH($B995,'Master data'!$A$2:$A$1000,0),MATCH(L$1,'Master data'!$B$1:$CL$1,0)),"")</f>
        <v/>
      </c>
      <c r="M995" s="5" t="str">
        <f>IFERROR(INDEX('Master data'!$B$2:$CL$1000,MATCH($B995,'Master data'!$A$2:$A$1000,0),MATCH(M$1,'Master data'!$B$1:$CL$1,0)),"")</f>
        <v/>
      </c>
      <c r="N995" s="28" t="str">
        <f>IFERROR(INDEX('Master data'!$B$2:$CL$1000,MATCH($B995,'Master data'!$A$2:$A$1000,0),MATCH(N$1,'Master data'!$B$1:$CL$1,0)),"")</f>
        <v/>
      </c>
      <c r="O995" s="7" t="str">
        <f>IFERROR(INDEX('Master data'!$B$2:$CL$1000,MATCH($B995,'Master data'!$A$2:$A$1000,0),MATCH(O$1,'Master data'!$B$1:$CL$1,0)),"")</f>
        <v/>
      </c>
      <c r="P995" s="5" t="str">
        <f>IFERROR(INDEX('Master data'!$B$2:$CL$1000,MATCH($B995,'Master data'!$A$2:$A$1000,0),MATCH(P$1,'Master data'!$B$1:$CL$1,0)),"")</f>
        <v/>
      </c>
      <c r="Q995" s="5" t="str">
        <f>IFERROR(INDEX('Master data'!$B$2:$CL$1000,MATCH($B995,'Master data'!$A$2:$A$1000,0),MATCH(Q$1,'Master data'!$B$1:$CL$1,0)),"")</f>
        <v/>
      </c>
    </row>
    <row r="996" spans="1:17" hidden="1">
      <c r="A996" t="str">
        <f t="shared" si="15"/>
        <v/>
      </c>
      <c r="B996" t="str">
        <f>IF('Master data'!A996="","",'Master data'!A996)</f>
        <v/>
      </c>
      <c r="C996" t="str">
        <f>IFERROR(INDEX('Master data'!$B$2:$CL$1000,MATCH($B996,'Master data'!$A$2:$A$1000,0),MATCH(C$1,'Master data'!$B$1:$CL$1,0)),"")</f>
        <v/>
      </c>
      <c r="D996" t="str">
        <f>IFERROR(INDEX('Master data'!$B$2:$CL$1000,MATCH($B996,'Master data'!$A$2:$A$1000,0),MATCH(D$1,'Master data'!$B$1:$CL$1,0)),"")</f>
        <v/>
      </c>
      <c r="E996" s="5" t="str">
        <f>IFERROR(INDEX('Master data'!$B$2:$CL$1000,MATCH($B996,'Master data'!$A$2:$A$1000,0),MATCH(E$1,'Master data'!$B$1:$CL$1,0)),"")</f>
        <v/>
      </c>
      <c r="F996" s="7" t="str">
        <f>IFERROR(INDEX('Master data'!$B$2:$CL$1000,MATCH($B996,'Master data'!$A$2:$A$1000,0),MATCH(F$1,'Master data'!$B$1:$CL$1,0)),"")</f>
        <v/>
      </c>
      <c r="G996" s="7" t="str">
        <f>IFERROR(INDEX('Master data'!$B$2:$CL$1000,MATCH($B996,'Master data'!$A$2:$A$1000,0),MATCH(G$1,'Master data'!$B$1:$CL$1,0)),"")</f>
        <v/>
      </c>
      <c r="H996" s="7" t="str">
        <f>IFERROR(INDEX('Master data'!$B$2:$CL$1000,MATCH($B996,'Master data'!$A$2:$A$1000,0),MATCH(H$1,'Master data'!$B$1:$CL$1,0)),"")</f>
        <v/>
      </c>
      <c r="I996" s="7" t="str">
        <f>IFERROR(INDEX('Master data'!$B$2:$CL$1000,MATCH($B996,'Master data'!$A$2:$A$1000,0),MATCH(I$1,'Master data'!$B$1:$CL$1,0)),"")</f>
        <v/>
      </c>
      <c r="J996" s="7" t="str">
        <f>IFERROR(INDEX('Master data'!$B$2:$CL$1000,MATCH($B996,'Master data'!$A$2:$A$1000,0),MATCH(J$1,'Master data'!$B$1:$CL$1,0)),"")</f>
        <v/>
      </c>
      <c r="K996" s="7" t="str">
        <f>IFERROR(INDEX('Master data'!$B$2:$CL$1000,MATCH($B996,'Master data'!$A$2:$A$1000,0),MATCH(K$1,'Master data'!$B$1:$CL$1,0)),"")</f>
        <v/>
      </c>
      <c r="L996" s="7" t="str">
        <f>IFERROR(INDEX('Master data'!$B$2:$CL$1000,MATCH($B996,'Master data'!$A$2:$A$1000,0),MATCH(L$1,'Master data'!$B$1:$CL$1,0)),"")</f>
        <v/>
      </c>
      <c r="M996" s="5" t="str">
        <f>IFERROR(INDEX('Master data'!$B$2:$CL$1000,MATCH($B996,'Master data'!$A$2:$A$1000,0),MATCH(M$1,'Master data'!$B$1:$CL$1,0)),"")</f>
        <v/>
      </c>
      <c r="N996" s="28" t="str">
        <f>IFERROR(INDEX('Master data'!$B$2:$CL$1000,MATCH($B996,'Master data'!$A$2:$A$1000,0),MATCH(N$1,'Master data'!$B$1:$CL$1,0)),"")</f>
        <v/>
      </c>
      <c r="O996" s="7" t="str">
        <f>IFERROR(INDEX('Master data'!$B$2:$CL$1000,MATCH($B996,'Master data'!$A$2:$A$1000,0),MATCH(O$1,'Master data'!$B$1:$CL$1,0)),"")</f>
        <v/>
      </c>
      <c r="P996" s="5" t="str">
        <f>IFERROR(INDEX('Master data'!$B$2:$CL$1000,MATCH($B996,'Master data'!$A$2:$A$1000,0),MATCH(P$1,'Master data'!$B$1:$CL$1,0)),"")</f>
        <v/>
      </c>
      <c r="Q996" s="5" t="str">
        <f>IFERROR(INDEX('Master data'!$B$2:$CL$1000,MATCH($B996,'Master data'!$A$2:$A$1000,0),MATCH(Q$1,'Master data'!$B$1:$CL$1,0)),"")</f>
        <v/>
      </c>
    </row>
    <row r="997" spans="1:17" hidden="1">
      <c r="A997" t="str">
        <f t="shared" si="15"/>
        <v/>
      </c>
      <c r="B997" t="str">
        <f>IF('Master data'!A997="","",'Master data'!A997)</f>
        <v/>
      </c>
      <c r="C997" t="str">
        <f>IFERROR(INDEX('Master data'!$B$2:$CL$1000,MATCH($B997,'Master data'!$A$2:$A$1000,0),MATCH(C$1,'Master data'!$B$1:$CL$1,0)),"")</f>
        <v/>
      </c>
      <c r="D997" t="str">
        <f>IFERROR(INDEX('Master data'!$B$2:$CL$1000,MATCH($B997,'Master data'!$A$2:$A$1000,0),MATCH(D$1,'Master data'!$B$1:$CL$1,0)),"")</f>
        <v/>
      </c>
      <c r="E997" s="5" t="str">
        <f>IFERROR(INDEX('Master data'!$B$2:$CL$1000,MATCH($B997,'Master data'!$A$2:$A$1000,0),MATCH(E$1,'Master data'!$B$1:$CL$1,0)),"")</f>
        <v/>
      </c>
      <c r="F997" s="7" t="str">
        <f>IFERROR(INDEX('Master data'!$B$2:$CL$1000,MATCH($B997,'Master data'!$A$2:$A$1000,0),MATCH(F$1,'Master data'!$B$1:$CL$1,0)),"")</f>
        <v/>
      </c>
      <c r="G997" s="7" t="str">
        <f>IFERROR(INDEX('Master data'!$B$2:$CL$1000,MATCH($B997,'Master data'!$A$2:$A$1000,0),MATCH(G$1,'Master data'!$B$1:$CL$1,0)),"")</f>
        <v/>
      </c>
      <c r="H997" s="7" t="str">
        <f>IFERROR(INDEX('Master data'!$B$2:$CL$1000,MATCH($B997,'Master data'!$A$2:$A$1000,0),MATCH(H$1,'Master data'!$B$1:$CL$1,0)),"")</f>
        <v/>
      </c>
      <c r="I997" s="7" t="str">
        <f>IFERROR(INDEX('Master data'!$B$2:$CL$1000,MATCH($B997,'Master data'!$A$2:$A$1000,0),MATCH(I$1,'Master data'!$B$1:$CL$1,0)),"")</f>
        <v/>
      </c>
      <c r="J997" s="7" t="str">
        <f>IFERROR(INDEX('Master data'!$B$2:$CL$1000,MATCH($B997,'Master data'!$A$2:$A$1000,0),MATCH(J$1,'Master data'!$B$1:$CL$1,0)),"")</f>
        <v/>
      </c>
      <c r="K997" s="7" t="str">
        <f>IFERROR(INDEX('Master data'!$B$2:$CL$1000,MATCH($B997,'Master data'!$A$2:$A$1000,0),MATCH(K$1,'Master data'!$B$1:$CL$1,0)),"")</f>
        <v/>
      </c>
      <c r="L997" s="7" t="str">
        <f>IFERROR(INDEX('Master data'!$B$2:$CL$1000,MATCH($B997,'Master data'!$A$2:$A$1000,0),MATCH(L$1,'Master data'!$B$1:$CL$1,0)),"")</f>
        <v/>
      </c>
      <c r="M997" s="5" t="str">
        <f>IFERROR(INDEX('Master data'!$B$2:$CL$1000,MATCH($B997,'Master data'!$A$2:$A$1000,0),MATCH(M$1,'Master data'!$B$1:$CL$1,0)),"")</f>
        <v/>
      </c>
      <c r="N997" s="28" t="str">
        <f>IFERROR(INDEX('Master data'!$B$2:$CL$1000,MATCH($B997,'Master data'!$A$2:$A$1000,0),MATCH(N$1,'Master data'!$B$1:$CL$1,0)),"")</f>
        <v/>
      </c>
      <c r="O997" s="7" t="str">
        <f>IFERROR(INDEX('Master data'!$B$2:$CL$1000,MATCH($B997,'Master data'!$A$2:$A$1000,0),MATCH(O$1,'Master data'!$B$1:$CL$1,0)),"")</f>
        <v/>
      </c>
      <c r="P997" s="5" t="str">
        <f>IFERROR(INDEX('Master data'!$B$2:$CL$1000,MATCH($B997,'Master data'!$A$2:$A$1000,0),MATCH(P$1,'Master data'!$B$1:$CL$1,0)),"")</f>
        <v/>
      </c>
      <c r="Q997" s="5" t="str">
        <f>IFERROR(INDEX('Master data'!$B$2:$CL$1000,MATCH($B997,'Master data'!$A$2:$A$1000,0),MATCH(Q$1,'Master data'!$B$1:$CL$1,0)),"")</f>
        <v/>
      </c>
    </row>
    <row r="998" spans="1:17" hidden="1">
      <c r="A998" t="str">
        <f t="shared" si="15"/>
        <v/>
      </c>
      <c r="B998" t="str">
        <f>IF('Master data'!A998="","",'Master data'!A998)</f>
        <v/>
      </c>
      <c r="C998" t="str">
        <f>IFERROR(INDEX('Master data'!$B$2:$CL$1000,MATCH($B998,'Master data'!$A$2:$A$1000,0),MATCH(C$1,'Master data'!$B$1:$CL$1,0)),"")</f>
        <v/>
      </c>
      <c r="D998" t="str">
        <f>IFERROR(INDEX('Master data'!$B$2:$CL$1000,MATCH($B998,'Master data'!$A$2:$A$1000,0),MATCH(D$1,'Master data'!$B$1:$CL$1,0)),"")</f>
        <v/>
      </c>
      <c r="E998" s="5" t="str">
        <f>IFERROR(INDEX('Master data'!$B$2:$CL$1000,MATCH($B998,'Master data'!$A$2:$A$1000,0),MATCH(E$1,'Master data'!$B$1:$CL$1,0)),"")</f>
        <v/>
      </c>
      <c r="F998" s="7" t="str">
        <f>IFERROR(INDEX('Master data'!$B$2:$CL$1000,MATCH($B998,'Master data'!$A$2:$A$1000,0),MATCH(F$1,'Master data'!$B$1:$CL$1,0)),"")</f>
        <v/>
      </c>
      <c r="G998" s="7" t="str">
        <f>IFERROR(INDEX('Master data'!$B$2:$CL$1000,MATCH($B998,'Master data'!$A$2:$A$1000,0),MATCH(G$1,'Master data'!$B$1:$CL$1,0)),"")</f>
        <v/>
      </c>
      <c r="H998" s="7" t="str">
        <f>IFERROR(INDEX('Master data'!$B$2:$CL$1000,MATCH($B998,'Master data'!$A$2:$A$1000,0),MATCH(H$1,'Master data'!$B$1:$CL$1,0)),"")</f>
        <v/>
      </c>
      <c r="I998" s="7" t="str">
        <f>IFERROR(INDEX('Master data'!$B$2:$CL$1000,MATCH($B998,'Master data'!$A$2:$A$1000,0),MATCH(I$1,'Master data'!$B$1:$CL$1,0)),"")</f>
        <v/>
      </c>
      <c r="J998" s="7" t="str">
        <f>IFERROR(INDEX('Master data'!$B$2:$CL$1000,MATCH($B998,'Master data'!$A$2:$A$1000,0),MATCH(J$1,'Master data'!$B$1:$CL$1,0)),"")</f>
        <v/>
      </c>
      <c r="K998" s="7" t="str">
        <f>IFERROR(INDEX('Master data'!$B$2:$CL$1000,MATCH($B998,'Master data'!$A$2:$A$1000,0),MATCH(K$1,'Master data'!$B$1:$CL$1,0)),"")</f>
        <v/>
      </c>
      <c r="L998" s="7" t="str">
        <f>IFERROR(INDEX('Master data'!$B$2:$CL$1000,MATCH($B998,'Master data'!$A$2:$A$1000,0),MATCH(L$1,'Master data'!$B$1:$CL$1,0)),"")</f>
        <v/>
      </c>
      <c r="M998" s="5" t="str">
        <f>IFERROR(INDEX('Master data'!$B$2:$CL$1000,MATCH($B998,'Master data'!$A$2:$A$1000,0),MATCH(M$1,'Master data'!$B$1:$CL$1,0)),"")</f>
        <v/>
      </c>
      <c r="N998" s="28" t="str">
        <f>IFERROR(INDEX('Master data'!$B$2:$CL$1000,MATCH($B998,'Master data'!$A$2:$A$1000,0),MATCH(N$1,'Master data'!$B$1:$CL$1,0)),"")</f>
        <v/>
      </c>
      <c r="O998" s="7" t="str">
        <f>IFERROR(INDEX('Master data'!$B$2:$CL$1000,MATCH($B998,'Master data'!$A$2:$A$1000,0),MATCH(O$1,'Master data'!$B$1:$CL$1,0)),"")</f>
        <v/>
      </c>
      <c r="P998" s="5" t="str">
        <f>IFERROR(INDEX('Master data'!$B$2:$CL$1000,MATCH($B998,'Master data'!$A$2:$A$1000,0),MATCH(P$1,'Master data'!$B$1:$CL$1,0)),"")</f>
        <v/>
      </c>
      <c r="Q998" s="5" t="str">
        <f>IFERROR(INDEX('Master data'!$B$2:$CL$1000,MATCH($B998,'Master data'!$A$2:$A$1000,0),MATCH(Q$1,'Master data'!$B$1:$CL$1,0)),"")</f>
        <v/>
      </c>
    </row>
    <row r="999" spans="1:17" hidden="1">
      <c r="A999" t="str">
        <f t="shared" si="15"/>
        <v/>
      </c>
      <c r="B999" t="str">
        <f>IF('Master data'!A999="","",'Master data'!A999)</f>
        <v/>
      </c>
      <c r="C999" t="str">
        <f>IFERROR(INDEX('Master data'!$B$2:$CL$1000,MATCH($B999,'Master data'!$A$2:$A$1000,0),MATCH(C$1,'Master data'!$B$1:$CL$1,0)),"")</f>
        <v/>
      </c>
      <c r="D999" t="str">
        <f>IFERROR(INDEX('Master data'!$B$2:$CL$1000,MATCH($B999,'Master data'!$A$2:$A$1000,0),MATCH(D$1,'Master data'!$B$1:$CL$1,0)),"")</f>
        <v/>
      </c>
      <c r="E999" s="5" t="str">
        <f>IFERROR(INDEX('Master data'!$B$2:$CL$1000,MATCH($B999,'Master data'!$A$2:$A$1000,0),MATCH(E$1,'Master data'!$B$1:$CL$1,0)),"")</f>
        <v/>
      </c>
      <c r="F999" s="7" t="str">
        <f>IFERROR(INDEX('Master data'!$B$2:$CL$1000,MATCH($B999,'Master data'!$A$2:$A$1000,0),MATCH(F$1,'Master data'!$B$1:$CL$1,0)),"")</f>
        <v/>
      </c>
      <c r="G999" s="7" t="str">
        <f>IFERROR(INDEX('Master data'!$B$2:$CL$1000,MATCH($B999,'Master data'!$A$2:$A$1000,0),MATCH(G$1,'Master data'!$B$1:$CL$1,0)),"")</f>
        <v/>
      </c>
      <c r="H999" s="7" t="str">
        <f>IFERROR(INDEX('Master data'!$B$2:$CL$1000,MATCH($B999,'Master data'!$A$2:$A$1000,0),MATCH(H$1,'Master data'!$B$1:$CL$1,0)),"")</f>
        <v/>
      </c>
      <c r="I999" s="7" t="str">
        <f>IFERROR(INDEX('Master data'!$B$2:$CL$1000,MATCH($B999,'Master data'!$A$2:$A$1000,0),MATCH(I$1,'Master data'!$B$1:$CL$1,0)),"")</f>
        <v/>
      </c>
      <c r="J999" s="7" t="str">
        <f>IFERROR(INDEX('Master data'!$B$2:$CL$1000,MATCH($B999,'Master data'!$A$2:$A$1000,0),MATCH(J$1,'Master data'!$B$1:$CL$1,0)),"")</f>
        <v/>
      </c>
      <c r="K999" s="7" t="str">
        <f>IFERROR(INDEX('Master data'!$B$2:$CL$1000,MATCH($B999,'Master data'!$A$2:$A$1000,0),MATCH(K$1,'Master data'!$B$1:$CL$1,0)),"")</f>
        <v/>
      </c>
      <c r="L999" s="7" t="str">
        <f>IFERROR(INDEX('Master data'!$B$2:$CL$1000,MATCH($B999,'Master data'!$A$2:$A$1000,0),MATCH(L$1,'Master data'!$B$1:$CL$1,0)),"")</f>
        <v/>
      </c>
      <c r="M999" s="5" t="str">
        <f>IFERROR(INDEX('Master data'!$B$2:$CL$1000,MATCH($B999,'Master data'!$A$2:$A$1000,0),MATCH(M$1,'Master data'!$B$1:$CL$1,0)),"")</f>
        <v/>
      </c>
      <c r="N999" s="28" t="str">
        <f>IFERROR(INDEX('Master data'!$B$2:$CL$1000,MATCH($B999,'Master data'!$A$2:$A$1000,0),MATCH(N$1,'Master data'!$B$1:$CL$1,0)),"")</f>
        <v/>
      </c>
      <c r="O999" s="7" t="str">
        <f>IFERROR(INDEX('Master data'!$B$2:$CL$1000,MATCH($B999,'Master data'!$A$2:$A$1000,0),MATCH(O$1,'Master data'!$B$1:$CL$1,0)),"")</f>
        <v/>
      </c>
      <c r="P999" s="5" t="str">
        <f>IFERROR(INDEX('Master data'!$B$2:$CL$1000,MATCH($B999,'Master data'!$A$2:$A$1000,0),MATCH(P$1,'Master data'!$B$1:$CL$1,0)),"")</f>
        <v/>
      </c>
      <c r="Q999" s="5" t="str">
        <f>IFERROR(INDEX('Master data'!$B$2:$CL$1000,MATCH($B999,'Master data'!$A$2:$A$1000,0),MATCH(Q$1,'Master data'!$B$1:$CL$1,0)),"")</f>
        <v/>
      </c>
    </row>
    <row r="1000" spans="1:17" hidden="1">
      <c r="A1000" t="str">
        <f t="shared" si="15"/>
        <v/>
      </c>
      <c r="B1000" t="str">
        <f>IF('Master data'!A1000="","",'Master data'!A1000)</f>
        <v/>
      </c>
      <c r="C1000" t="str">
        <f>IFERROR(INDEX('Master data'!$B$2:$CL$1000,MATCH($B1000,'Master data'!$A$2:$A$1000,0),MATCH(C$1,'Master data'!$B$1:$CL$1,0)),"")</f>
        <v/>
      </c>
      <c r="D1000" t="str">
        <f>IFERROR(INDEX('Master data'!$B$2:$CL$1000,MATCH($B1000,'Master data'!$A$2:$A$1000,0),MATCH(D$1,'Master data'!$B$1:$CL$1,0)),"")</f>
        <v/>
      </c>
      <c r="E1000" s="5" t="str">
        <f>IFERROR(INDEX('Master data'!$B$2:$CL$1000,MATCH($B1000,'Master data'!$A$2:$A$1000,0),MATCH(E$1,'Master data'!$B$1:$CL$1,0)),"")</f>
        <v/>
      </c>
      <c r="F1000" s="7" t="str">
        <f>IFERROR(INDEX('Master data'!$B$2:$CL$1000,MATCH($B1000,'Master data'!$A$2:$A$1000,0),MATCH(F$1,'Master data'!$B$1:$CL$1,0)),"")</f>
        <v/>
      </c>
      <c r="G1000" s="7" t="str">
        <f>IFERROR(INDEX('Master data'!$B$2:$CL$1000,MATCH($B1000,'Master data'!$A$2:$A$1000,0),MATCH(G$1,'Master data'!$B$1:$CL$1,0)),"")</f>
        <v/>
      </c>
      <c r="H1000" s="7" t="str">
        <f>IFERROR(INDEX('Master data'!$B$2:$CL$1000,MATCH($B1000,'Master data'!$A$2:$A$1000,0),MATCH(H$1,'Master data'!$B$1:$CL$1,0)),"")</f>
        <v/>
      </c>
      <c r="I1000" s="7" t="str">
        <f>IFERROR(INDEX('Master data'!$B$2:$CL$1000,MATCH($B1000,'Master data'!$A$2:$A$1000,0),MATCH(I$1,'Master data'!$B$1:$CL$1,0)),"")</f>
        <v/>
      </c>
      <c r="J1000" s="7" t="str">
        <f>IFERROR(INDEX('Master data'!$B$2:$CL$1000,MATCH($B1000,'Master data'!$A$2:$A$1000,0),MATCH(J$1,'Master data'!$B$1:$CL$1,0)),"")</f>
        <v/>
      </c>
      <c r="K1000" s="7" t="str">
        <f>IFERROR(INDEX('Master data'!$B$2:$CL$1000,MATCH($B1000,'Master data'!$A$2:$A$1000,0),MATCH(K$1,'Master data'!$B$1:$CL$1,0)),"")</f>
        <v/>
      </c>
      <c r="L1000" s="7" t="str">
        <f>IFERROR(INDEX('Master data'!$B$2:$CL$1000,MATCH($B1000,'Master data'!$A$2:$A$1000,0),MATCH(L$1,'Master data'!$B$1:$CL$1,0)),"")</f>
        <v/>
      </c>
      <c r="M1000" s="5" t="str">
        <f>IFERROR(INDEX('Master data'!$B$2:$CL$1000,MATCH($B1000,'Master data'!$A$2:$A$1000,0),MATCH(M$1,'Master data'!$B$1:$CL$1,0)),"")</f>
        <v/>
      </c>
      <c r="N1000" s="28" t="str">
        <f>IFERROR(INDEX('Master data'!$B$2:$CL$1000,MATCH($B1000,'Master data'!$A$2:$A$1000,0),MATCH(N$1,'Master data'!$B$1:$CL$1,0)),"")</f>
        <v/>
      </c>
      <c r="O1000" s="7" t="str">
        <f>IFERROR(INDEX('Master data'!$B$2:$CL$1000,MATCH($B1000,'Master data'!$A$2:$A$1000,0),MATCH(O$1,'Master data'!$B$1:$CL$1,0)),"")</f>
        <v/>
      </c>
      <c r="P1000" s="5" t="str">
        <f>IFERROR(INDEX('Master data'!$B$2:$CL$1000,MATCH($B1000,'Master data'!$A$2:$A$1000,0),MATCH(P$1,'Master data'!$B$1:$CL$1,0)),"")</f>
        <v/>
      </c>
      <c r="Q1000" s="5" t="str">
        <f>IFERROR(INDEX('Master data'!$B$2:$CL$1000,MATCH($B1000,'Master data'!$A$2:$A$1000,0),MATCH(Q$1,'Master data'!$B$1:$CL$1,0)),"")</f>
        <v/>
      </c>
    </row>
  </sheetData>
  <autoFilter ref="B1:K1000" xr:uid="{64B752F3-DE8D-4844-B1F1-22D3CDD12038}">
    <filterColumn colId="0">
      <filters>
        <filter val="Memphis Depay"/>
      </filters>
    </filterColumn>
  </autoFilter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2"/>
  <sheetViews>
    <sheetView zoomScale="101" workbookViewId="0">
      <pane xSplit="1" ySplit="1" topLeftCell="BS2" activePane="bottomRight" state="frozen"/>
      <selection pane="topRight" activeCell="B1" sqref="B1"/>
      <selection pane="bottomLeft" activeCell="A2" sqref="A2"/>
      <selection pane="bottomRight" activeCell="CD1" sqref="CD1"/>
    </sheetView>
  </sheetViews>
  <sheetFormatPr defaultColWidth="11" defaultRowHeight="15.75"/>
  <cols>
    <col min="1" max="1" width="24.625" bestFit="1" customWidth="1"/>
    <col min="2" max="2" width="17" bestFit="1" customWidth="1"/>
    <col min="3" max="3" width="11" customWidth="1"/>
    <col min="4" max="4" width="12" customWidth="1"/>
    <col min="5" max="5" width="18.625" customWidth="1"/>
    <col min="6" max="6" width="11.625" customWidth="1"/>
    <col min="7" max="15" width="11" customWidth="1"/>
    <col min="16" max="16" width="15" customWidth="1"/>
    <col min="17" max="17" width="13.875" customWidth="1"/>
    <col min="18" max="20" width="13.5" customWidth="1"/>
    <col min="21" max="24" width="11" customWidth="1"/>
    <col min="25" max="25" width="11.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75" customWidth="1"/>
    <col min="34" max="36" width="13.625" customWidth="1"/>
    <col min="37" max="81" width="11" customWidth="1"/>
    <col min="82" max="82" width="31.5" bestFit="1" customWidth="1"/>
    <col min="83" max="84" width="11" customWidth="1"/>
    <col min="89" max="89" width="14.625" bestFit="1" customWidth="1"/>
    <col min="90" max="90" width="15.5" bestFit="1" customWidth="1"/>
  </cols>
  <sheetData>
    <row r="1" spans="1:108" s="60" customFormat="1" ht="31.5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3472</v>
      </c>
      <c r="AP1" s="59" t="s">
        <v>3481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3473</v>
      </c>
      <c r="BI1" s="59" t="s">
        <v>3482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5224</v>
      </c>
      <c r="BY1" s="59" t="s">
        <v>5225</v>
      </c>
      <c r="BZ1" s="59" t="s">
        <v>5220</v>
      </c>
      <c r="CA1" s="59" t="s">
        <v>5221</v>
      </c>
      <c r="CB1" s="59" t="s">
        <v>5222</v>
      </c>
      <c r="CC1" s="59" t="s">
        <v>5223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1.5223243214152651</v>
      </c>
      <c r="I2" s="16">
        <f>INDEX('Team forecast'!$B$2:$AO$26,MATCH('Master data'!$B2,'Team forecast'!$B$2:$B$26,0),MATCH('Master data'!I$1,'Team forecast'!$B$2:$AO$2,0))</f>
        <v>0.74990395996081205</v>
      </c>
      <c r="J2" s="16">
        <f>INDEX('Team forecast'!$B$2:$AO$26,MATCH('Master data'!$B2,'Team forecast'!$B$2:$B$26,0),MATCH('Master data'!J$1,'Team forecast'!$B$2:$AO$2,0))</f>
        <v>0.47241192102180191</v>
      </c>
      <c r="K2" s="16">
        <f>INDEX('Team forecast'!$B$2:$AO$26,MATCH('Master data'!$B2,'Team forecast'!$B$2:$B$26,0),MATCH('Master data'!K$1,'Team forecast'!$B$2:$AO$2,0))</f>
        <v>3.7411838276290243</v>
      </c>
      <c r="L2" s="16">
        <f>INDEX('Team forecast'!$B$2:$AO$26,MATCH('Master data'!$B2,'Team forecast'!$B$2:$B$26,0),MATCH('Master data'!L$1,'Team forecast'!$B$2:$AO$2,0))</f>
        <v>2.461805929164282</v>
      </c>
      <c r="M2">
        <f>IF(Players!BC3=1,95,0)</f>
        <v>95</v>
      </c>
      <c r="N2" s="2">
        <f>Players!BN3</f>
        <v>0.25309107096106032</v>
      </c>
      <c r="O2" s="2">
        <f>Players!BO3</f>
        <v>0.24884365967041261</v>
      </c>
      <c r="P2" s="2">
        <f>Players!BP3</f>
        <v>0.25290558963387128</v>
      </c>
      <c r="Q2" s="2">
        <f>Players!BQ3</f>
        <v>1.4586709886547811E-2</v>
      </c>
      <c r="R2" s="2">
        <f>Players!BR3</f>
        <v>0</v>
      </c>
      <c r="S2" s="2">
        <f>H2</f>
        <v>1.5223243214152651</v>
      </c>
      <c r="T2" s="2">
        <f>I2</f>
        <v>0.74990395996081205</v>
      </c>
      <c r="U2" s="16">
        <f>INDEX('Team forecast'!$B$2:$AO$26,MATCH('Master data'!$B2,'Team forecast'!$B$2:$B$26,0),MATCH('Master data'!U$1,'Team forecast'!$B$2:$AO$2,0))</f>
        <v>0.56576277966682864</v>
      </c>
      <c r="V2" s="16">
        <f>INDEX('Team forecast'!$B$2:$AO$26,MATCH('Master data'!$B2,'Team forecast'!$B$2:$B$26,0),MATCH('Master data'!V$1,'Team forecast'!$B$2:$AO$2,0))</f>
        <v>0.26245106723433442</v>
      </c>
      <c r="W2" s="16">
        <f>INDEX('Team forecast'!$B$2:$AO$26,MATCH('Master data'!$B2,'Team forecast'!$B$2:$B$26,0),MATCH('Master data'!W$1,'Team forecast'!$B$2:$AO$2,0))</f>
        <v>0.17178615309883699</v>
      </c>
      <c r="X2" s="5">
        <f t="shared" ref="X2" si="1">IF(M2&gt;95,7000*2,IF(M2&gt;0,7000,-5000))</f>
        <v>7000</v>
      </c>
      <c r="Y2" s="5">
        <f>IF($X2&gt;0,U2*25000,0)</f>
        <v>14144.069491670716</v>
      </c>
      <c r="Z2" s="5">
        <f t="shared" ref="Z2" si="2">IF($X2&gt;0,V2*5000,0)</f>
        <v>1312.2553361716721</v>
      </c>
      <c r="AA2" s="5">
        <f>IF($X2&gt;0,W2*(-15000),0)</f>
        <v>-2576.7922964825548</v>
      </c>
      <c r="AB2" s="5">
        <f>IF($C2="Defense",$N2*150000,IF($C2="Midfield",$N2*125000,IF($C2="Striker",$N2*100000,0)))*$H2</f>
        <v>38528.669285705888</v>
      </c>
      <c r="AC2" s="5">
        <f>$O2*50000*H2</f>
        <v>18941.037767312602</v>
      </c>
      <c r="AD2" s="5">
        <f>$P2*K2*10000</f>
        <v>9461.663018552219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15223.243214152651</v>
      </c>
      <c r="AJ2" s="5">
        <f t="shared" ref="AJ2" si="3">IF(M2&gt;0,T2*(-8000),0)</f>
        <v>-5999.2316796864961</v>
      </c>
      <c r="AK2" s="5">
        <f>IFERROR(SUM(X2:AJ2),-5000)*((Cockpit!$C$3)^0)</f>
        <v>95743.179939665744</v>
      </c>
      <c r="AL2" s="16">
        <f>INDEX('Team forecast'!$B$2:$AO$26,MATCH('Master data'!$B2,'Team forecast'!$B$2:$B$26,0),MATCH('Master data'!AL$1,'Team forecast'!$B$2:$AO$2,0))</f>
        <v>2.0067977929974719</v>
      </c>
      <c r="AM2" s="16">
        <f>INDEX('Team forecast'!$B$2:$AO$26,MATCH('Master data'!$B2,'Team forecast'!$B$2:$B$26,0),MATCH('Master data'!AM$1,'Team forecast'!$B$2:$AO$2,0))</f>
        <v>0.66520361079548807</v>
      </c>
      <c r="AN2" s="16">
        <f>INDEX('Team forecast'!$B$2:$AO$26,MATCH('Master data'!$B2,'Team forecast'!$B$2:$B$26,0),MATCH('Master data'!AN$1,'Team forecast'!$B$2:$AO$2,0))</f>
        <v>0.51416882672404407</v>
      </c>
      <c r="AO2" s="16">
        <f>INDEX('Team forecast'!$B$2:$AO$26,MATCH('Master data'!$B2,'Team forecast'!$B$2:$B$26,0),MATCH('Master data'!AO$1,'Team forecast'!$B$2:$AO$2,0))</f>
        <v>4.9318002365645421</v>
      </c>
      <c r="AP2" s="16">
        <f>INDEX('Team forecast'!$B$2:$AO$26,MATCH('Master data'!$B2,'Team forecast'!$B$2:$B$26,0),MATCH('Master data'!AP$1,'Team forecast'!$B$2:$AO$2,0))</f>
        <v>2.1837492273589256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17296.488104871336</v>
      </c>
      <c r="AS2" s="16">
        <f>INDEX('Team forecast'!$B$2:$AO$26,MATCH('Master data'!$B2,'Team forecast'!$B$2:$B$26,0),MATCH('Master data'!AS$1,'Team forecast'!$B$2:$AO$2,0))*IF(X2&gt;0,5000,0)</f>
        <v>1045.4766143388899</v>
      </c>
      <c r="AT2" s="16">
        <f>INDEX('Team forecast'!$B$2:$AO$26,MATCH('Master data'!$B2,'Team forecast'!$B$2:$B$26,0),MATCH('Master data'!AT$1,'Team forecast'!$B$2:$AO$2,0))*IF(X2&gt;0,-15000,0)</f>
        <v>-1485.6772940605274</v>
      </c>
      <c r="AU2" s="5">
        <f>IF($C2="Defense",$N2*150000,IF($C2="Midfield",$N2*125000,IF($C2="Striker",$N2*100000,0)))*$AL2</f>
        <v>50790.260263202239</v>
      </c>
      <c r="AV2" s="5">
        <f>$O2*50000*AL2</f>
        <v>24968.9453513999</v>
      </c>
      <c r="AW2" s="5">
        <f>$P2*AO2*10000</f>
        <v>12472.798467848213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20067.977929974717</v>
      </c>
      <c r="BC2" s="5">
        <f>IF(X2&gt;0,AM2*(-8000),0)</f>
        <v>-5321.6288863639047</v>
      </c>
      <c r="BD2" s="5">
        <f>IFERROR(SUM(AQ2:BC2),0)</f>
        <v>126542.90635347992</v>
      </c>
      <c r="BE2" s="16">
        <f>INDEX('Team forecast'!$B$2:$AO$26,MATCH('Master data'!$B2,'Team forecast'!$B$2:$B$26,0),MATCH('Master data'!BE$1,'Team forecast'!$B$2:$AO$2,0))</f>
        <v>2.2346287595631029</v>
      </c>
      <c r="BF2" s="16">
        <f>INDEX('Team forecast'!$B$2:$AO$26,MATCH('Master data'!$B2,'Team forecast'!$B$2:$B$26,0),MATCH('Master data'!BF$1,'Team forecast'!$B$2:$AO$2,0))</f>
        <v>0.82586154259115363</v>
      </c>
      <c r="BG2" s="16">
        <f>INDEX('Team forecast'!$B$2:$AO$26,MATCH('Master data'!$B2,'Team forecast'!$B$2:$B$26,0),MATCH('Master data'!BG$1,'Team forecast'!$B$2:$AO$2,0))</f>
        <v>0.43785759694850601</v>
      </c>
      <c r="BH2" s="16">
        <f>INDEX('Team forecast'!$B$2:$AO$26,MATCH('Master data'!$B2,'Team forecast'!$B$2:$B$26,0),MATCH('Master data'!BH$1,'Team forecast'!$B$2:$AO$2,0))</f>
        <v>5.4917055836432862</v>
      </c>
      <c r="BI2" s="16">
        <f>INDEX('Team forecast'!$B$2:$AO$26,MATCH('Master data'!$B2,'Team forecast'!$B$2:$B$26,0),MATCH('Master data'!BI$1,'Team forecast'!$B$2:$AO$2,0))</f>
        <v>2.7111616297184336</v>
      </c>
      <c r="BJ2" s="5">
        <f>AQ2</f>
        <v>7000</v>
      </c>
      <c r="BK2" s="5">
        <f>INDEX('Team forecast'!$R$3:$BH$26,MATCH($B2,'Team forecast'!$B$3:$B$26,0),MATCH(BK$1,'Team forecast'!$R$2:$BH$2,0))*IF($X2&gt;0,25000,0)</f>
        <v>16608.391608391608</v>
      </c>
      <c r="BL2" s="5">
        <f>INDEX('Team forecast'!$R$3:$BH$26,MATCH($B2,'Team forecast'!$B$3:$B$26,0),MATCH(BL$1,'Team forecast'!$R$2:$BH$2,0))*IF($X2&gt;0,5000,0)</f>
        <v>1013.9860139860141</v>
      </c>
      <c r="BM2" s="5">
        <f>INDEX('Team forecast'!$R$3:$BH$26,MATCH($B2,'Team forecast'!$B$3:$B$26,0),MATCH(BM$1,'Team forecast'!$R$2:$BH$2,0))*IF($X2&gt;0,-15000,0)</f>
        <v>-1993.0069930069933</v>
      </c>
      <c r="BN2" s="5">
        <f>IF($C2="Defense",$N2*150000,IF($C2="Midfield",$N2*125000,IF($C2="Striker",$N2*100000,0)))*$BE2</f>
        <v>56556.458595821146</v>
      </c>
      <c r="BO2" s="5">
        <f>$O2*50000*$BE2</f>
        <v>27803.659926721852</v>
      </c>
      <c r="BP2" s="5">
        <f>$P2*BH2*10000</f>
        <v>13888.830387269285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22346.287595631031</v>
      </c>
      <c r="BV2" s="5">
        <f>IF(AQ2&gt;0,BF2*(-8000),0)</f>
        <v>-6606.8923407292286</v>
      </c>
      <c r="BW2" s="5">
        <f>IFERROR(SUM(BJ2:BV2),0)</f>
        <v>136325.98059635377</v>
      </c>
      <c r="BX2" s="5">
        <f>AVERAGE(AK2,BD2,BW2)</f>
        <v>119537.35562983314</v>
      </c>
      <c r="BY2" s="5">
        <f>BX2*3</f>
        <v>358612.06688949943</v>
      </c>
      <c r="BZ2" s="5">
        <f>INDEX('Team forecast'!$R$3:$BH$26,MATCH($B2,'Team forecast'!$B$3:$B$26,0),MATCH(BZ$1,'Team forecast'!$R$2:$BH$2,0))*($BX2-(BY2+CH2)*0.01)</f>
        <v>29640.72667801231</v>
      </c>
      <c r="CA2" s="5">
        <f>INDEX('Team forecast'!$R$3:$BH$26,MATCH($B2,'Team forecast'!$B$3:$B$26,0),MATCH(CA$1,'Team forecast'!$R$2:$BH$2,0))*($BX2-(BY2+BX2+CH2)*0.01)</f>
        <v>14707.348855657392</v>
      </c>
      <c r="CB2" s="5">
        <f>INDEX('Team forecast'!$R$3:$BH$26,MATCH($B2,'Team forecast'!$B$3:$B$26,0),MATCH(CB$1,'Team forecast'!$R$2:$BH$2,0))*($BX2-(BY2+BX2*2+CH2)*0.01)</f>
        <v>7473.2330664102128</v>
      </c>
      <c r="CC2" s="5">
        <f>INDEX('Team forecast'!$R$3:$BH$26,MATCH($B2,'Team forecast'!$B$3:$B$26,0),MATCH(CC$1,'Team forecast'!$R$2:$BH$2,0))*($BX2-(BY2+BX2*3+CH2)*0.01)</f>
        <v>4092.9278613478987</v>
      </c>
      <c r="CD2" s="5">
        <f>+AK2+BD2*Cockpit!$C$3+BW2*Cockpit!$C$3^2+BZ2*Cockpit!$C$3^3+CA2*Cockpit!$C$3^4+CB2*Cockpit!$C$3^5+CC2*Cockpit!$C$3^6</f>
        <v>253725.48879587537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IFERROR(BY2/CI2,-100%)</f>
        <v>4.2189654928176404E-2</v>
      </c>
      <c r="CK2" s="5">
        <f>RANK(BY2,$BY$2:$BY$623)+COUNTIF($BY$2:$BY2,$BY2)-1</f>
        <v>2</v>
      </c>
      <c r="CL2" s="5">
        <f>RANK(CJ2,$CJ$2:$CJ$623)+COUNTIF($CJ$2:$CJ2,$CJ2)-1</f>
        <v>65</v>
      </c>
    </row>
    <row r="3" spans="1:108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1.2386203137003762</v>
      </c>
      <c r="I3" s="16">
        <f>INDEX('Team forecast'!$B$2:$AO$26,MATCH('Master data'!$B3,'Team forecast'!$B$2:$B$26,0),MATCH('Master data'!I$1,'Team forecast'!$B$2:$AO$2,0))</f>
        <v>1.2386203137003762</v>
      </c>
      <c r="J3" s="16">
        <f>INDEX('Team forecast'!$B$2:$AO$26,MATCH('Master data'!$B3,'Team forecast'!$B$2:$B$26,0),MATCH('Master data'!J$1,'Team forecast'!$B$2:$AO$2,0))</f>
        <v>0.28978375293296982</v>
      </c>
      <c r="K3" s="16">
        <f>INDEX('Team forecast'!$B$2:$AO$26,MATCH('Master data'!$B3,'Team forecast'!$B$2:$B$26,0),MATCH('Master data'!K$1,'Team forecast'!$B$2:$AO$2,0))</f>
        <v>3.2404985504377408</v>
      </c>
      <c r="L3" s="16">
        <f>INDEX('Team forecast'!$B$2:$AO$26,MATCH('Master data'!$B3,'Team forecast'!$B$2:$B$26,0),MATCH('Master data'!L$1,'Team forecast'!$B$2:$AO$2,0))</f>
        <v>3.7600973808761418</v>
      </c>
      <c r="M3">
        <f>IF(Players!BC4=1,95,0)</f>
        <v>95</v>
      </c>
      <c r="N3" s="2">
        <f>Players!BN4</f>
        <v>0.26919783798303371</v>
      </c>
      <c r="O3" s="2">
        <f>Players!BO4</f>
        <v>0.17769475202786075</v>
      </c>
      <c r="P3" s="2">
        <f>Players!BP4</f>
        <v>0.28494567237876411</v>
      </c>
      <c r="Q3" s="2">
        <f>Players!BQ4</f>
        <v>0.1941816659690247</v>
      </c>
      <c r="R3" s="2">
        <f>Players!BR4</f>
        <v>0</v>
      </c>
      <c r="S3" s="2">
        <f t="shared" ref="S3:S66" si="4">H3</f>
        <v>1.2386203137003762</v>
      </c>
      <c r="T3" s="2">
        <f t="shared" ref="T3:T66" si="5">I3</f>
        <v>1.2386203137003762</v>
      </c>
      <c r="U3" s="16">
        <f>INDEX('Team forecast'!$B$2:$AO$26,MATCH('Master data'!$B3,'Team forecast'!$B$2:$B$26,0),MATCH('Master data'!U$1,'Team forecast'!$B$2:$AO$2,0))</f>
        <v>0.36933223413025562</v>
      </c>
      <c r="V3" s="16">
        <f>INDEX('Team forecast'!$B$2:$AO$26,MATCH('Master data'!$B3,'Team forecast'!$B$2:$B$26,0),MATCH('Master data'!V$1,'Team forecast'!$B$2:$AO$2,0))</f>
        <v>0.29431162407254741</v>
      </c>
      <c r="W3" s="16">
        <f>INDEX('Team forecast'!$B$2:$AO$26,MATCH('Master data'!$B3,'Team forecast'!$B$2:$B$26,0),MATCH('Master data'!W$1,'Team forecast'!$B$2:$AO$2,0))</f>
        <v>0.33635614179719708</v>
      </c>
      <c r="X3" s="5">
        <f t="shared" ref="X3:X66" si="6">IF(M3&gt;95,7000*2,IF(M3&gt;0,7000,-5000))</f>
        <v>7000</v>
      </c>
      <c r="Y3" s="5">
        <f t="shared" ref="Y3:Y66" si="7">IF($X3&gt;0,U3*25000,0)</f>
        <v>9233.30585325639</v>
      </c>
      <c r="Z3" s="5">
        <f t="shared" ref="Z3:Z66" si="8">IF($X3&gt;0,V3*5000,0)</f>
        <v>1471.5581203627371</v>
      </c>
      <c r="AA3" s="5">
        <f t="shared" ref="AA3:AA66" si="9">IF($X3&gt;0,W3*(-15000),0)</f>
        <v>-5045.3421269579567</v>
      </c>
      <c r="AB3" s="5">
        <f t="shared" ref="AB3:AB66" si="10">IF($C3="Defense",$N3*150000,IF($C3="Midfield",$N3*125000,IF($C3="Striker",$N3*100000,0)))*$H3</f>
        <v>33343.391053000829</v>
      </c>
      <c r="AC3" s="5">
        <f t="shared" ref="AC3:AC66" si="11">$O3*50000*H3</f>
        <v>11004.816474982972</v>
      </c>
      <c r="AD3" s="5">
        <f t="shared" ref="AD3:AD66" si="12">$P3*K3*10000</f>
        <v>9233.6603829689266</v>
      </c>
      <c r="AE3" s="5">
        <f t="shared" ref="AE3:AE66" si="13">IF($C3="Goalkeeper",J3*75000,IF($C3="Defense",J3*50000,0))</f>
        <v>0</v>
      </c>
      <c r="AF3" s="5">
        <f t="shared" ref="AF3:AF66" si="14">IF($C3="Goalkeeper",(L3-I3)*5000,0)</f>
        <v>0</v>
      </c>
      <c r="AG3" s="5">
        <f t="shared" ref="AG3:AG66" si="15">IF(M3&gt;0,Q3*(-20000),0)</f>
        <v>-3883.633319380494</v>
      </c>
      <c r="AH3" s="5">
        <f t="shared" ref="AH3:AH66" si="16">IF(M3&gt;0,R3*(-50000),0)</f>
        <v>0</v>
      </c>
      <c r="AI3" s="5">
        <f t="shared" ref="AI3:AI66" si="17">IF(M3&gt;0,S3*10000,0)</f>
        <v>12386.203137003762</v>
      </c>
      <c r="AJ3" s="5">
        <f t="shared" ref="AJ3:AJ66" si="18">IF(M3&gt;0,T3*(-8000),0)</f>
        <v>-9908.9625096030086</v>
      </c>
      <c r="AK3" s="5">
        <f>IFERROR(SUM(X3:AJ3),-5000)*((Cockpit!$C$3)^0)</f>
        <v>64834.997065634161</v>
      </c>
      <c r="AL3" s="16">
        <f>INDEX('Team forecast'!$B$2:$AO$26,MATCH('Master data'!$B3,'Team forecast'!$B$2:$B$26,0),MATCH('Master data'!AL$1,'Team forecast'!$B$2:$AO$2,0))</f>
        <v>2.140423422331811</v>
      </c>
      <c r="AM3" s="16">
        <f>INDEX('Team forecast'!$B$2:$AO$26,MATCH('Master data'!$B3,'Team forecast'!$B$2:$B$26,0),MATCH('Master data'!AM$1,'Team forecast'!$B$2:$AO$2,0))</f>
        <v>0.80291922538135296</v>
      </c>
      <c r="AN3" s="16">
        <f>INDEX('Team forecast'!$B$2:$AO$26,MATCH('Master data'!$B3,'Team forecast'!$B$2:$B$26,0),MATCH('Master data'!AN$1,'Team forecast'!$B$2:$AO$2,0))</f>
        <v>0.44801918430198229</v>
      </c>
      <c r="AO3" s="16">
        <f>INDEX('Team forecast'!$B$2:$AO$26,MATCH('Master data'!$B3,'Team forecast'!$B$2:$B$26,0),MATCH('Master data'!AO$1,'Team forecast'!$B$2:$AO$2,0))</f>
        <v>5.5998104670734943</v>
      </c>
      <c r="AP3" s="16">
        <f>INDEX('Team forecast'!$B$2:$AO$26,MATCH('Master data'!$B3,'Team forecast'!$B$2:$B$26,0),MATCH('Master data'!AP$1,'Team forecast'!$B$2:$AO$2,0))</f>
        <v>2.4374333627648213</v>
      </c>
      <c r="AQ3" s="5">
        <f t="shared" ref="AQ3:AQ66" si="19">X3</f>
        <v>7000</v>
      </c>
      <c r="AR3" s="5">
        <f>INDEX('Team forecast'!$B$2:$AO$26,MATCH('Master data'!$B3,'Team forecast'!$B$2:$B$26,0),MATCH('Master data'!AR$1,'Team forecast'!$B$2:$AO$2,0))*IF(X3&gt;0,25000,0)</f>
        <v>16800.719411324339</v>
      </c>
      <c r="AS3" s="16">
        <f>INDEX('Team forecast'!$B$2:$AO$26,MATCH('Master data'!$B3,'Team forecast'!$B$2:$B$26,0),MATCH('Master data'!AS$1,'Team forecast'!$B$2:$AO$2,0))*IF(X3&gt;0,5000,0)</f>
        <v>1086.42065477386</v>
      </c>
      <c r="AT3" s="16">
        <f>INDEX('Team forecast'!$B$2:$AO$26,MATCH('Master data'!$B3,'Team forecast'!$B$2:$B$26,0),MATCH('Master data'!AT$1,'Team forecast'!$B$2:$AO$2,0))*IF(X3&gt;0,-15000,0)</f>
        <v>-1660.3063888838174</v>
      </c>
      <c r="AU3" s="5">
        <f t="shared" ref="AU3:AU66" si="20">IF($C3="Defense",$N3*150000,IF($C3="Midfield",$N3*125000,IF($C3="Striker",$N3*100000,0)))*$AL3</f>
        <v>57619.735765996942</v>
      </c>
      <c r="AV3" s="5">
        <f t="shared" ref="AV3:AV66" si="21">$O3*50000*AL3</f>
        <v>19017.100463293809</v>
      </c>
      <c r="AW3" s="5">
        <f t="shared" ref="AW3:AW66" si="22">$P3*AO3*10000</f>
        <v>15956.41758733898</v>
      </c>
      <c r="AX3" s="5">
        <f t="shared" ref="AX3:AX66" si="23">IF($C3="Goalkeeper",AN3*75000,IF($C3="Defense",AN3*50000,0))</f>
        <v>0</v>
      </c>
      <c r="AY3" s="5">
        <f t="shared" ref="AY3:AY66" si="24">IF($C3="Goalkeeper",(AP3-AM3)*5000,0)</f>
        <v>0</v>
      </c>
      <c r="AZ3" s="5">
        <f t="shared" ref="AZ3:AZ66" si="25">$AG3</f>
        <v>-3883.633319380494</v>
      </c>
      <c r="BA3" s="5">
        <f t="shared" ref="BA3:BA66" si="26">$AH3</f>
        <v>0</v>
      </c>
      <c r="BB3" s="5">
        <f t="shared" ref="BB3:BB66" si="27">IF(X3&gt;0,AL3*10000,0)</f>
        <v>21404.234223318112</v>
      </c>
      <c r="BC3" s="5">
        <f t="shared" ref="BC3:BC66" si="28">IF(X3&gt;0,AM3*(-8000),0)</f>
        <v>-6423.3538030508234</v>
      </c>
      <c r="BD3" s="5">
        <f t="shared" ref="BD3:BD66" si="29">IFERROR(SUM(AQ3:BC3),0)</f>
        <v>126917.33459473093</v>
      </c>
      <c r="BE3" s="16">
        <f>INDEX('Team forecast'!$B$2:$AO$26,MATCH('Master data'!$B3,'Team forecast'!$B$2:$B$26,0),MATCH('Master data'!BE$1,'Team forecast'!$B$2:$AO$2,0))</f>
        <v>1.2965069481471114</v>
      </c>
      <c r="BF3" s="16">
        <f>INDEX('Team forecast'!$B$2:$AO$26,MATCH('Master data'!$B3,'Team forecast'!$B$2:$B$26,0),MATCH('Master data'!BF$1,'Team forecast'!$B$2:$AO$2,0))</f>
        <v>1.0107278258414167</v>
      </c>
      <c r="BG3" s="16">
        <f>INDEX('Team forecast'!$B$2:$AO$26,MATCH('Master data'!$B3,'Team forecast'!$B$2:$B$26,0),MATCH('Master data'!BG$1,'Team forecast'!$B$2:$AO$2,0))</f>
        <v>0.36395398803179979</v>
      </c>
      <c r="BH3" s="16">
        <f>INDEX('Team forecast'!$B$2:$AO$26,MATCH('Master data'!$B3,'Team forecast'!$B$2:$B$26,0),MATCH('Master data'!BH$1,'Team forecast'!$B$2:$AO$2,0))</f>
        <v>3.3919425021794698</v>
      </c>
      <c r="BI3" s="16">
        <f>INDEX('Team forecast'!$B$2:$AO$26,MATCH('Master data'!$B3,'Team forecast'!$B$2:$B$26,0),MATCH('Master data'!BI$1,'Team forecast'!$B$2:$AO$2,0))</f>
        <v>3.0682808998757292</v>
      </c>
      <c r="BJ3" s="5">
        <f t="shared" ref="BJ3:BJ66" si="30">AQ3</f>
        <v>7000</v>
      </c>
      <c r="BK3" s="5">
        <f>INDEX('Team forecast'!$R$3:$BH$26,MATCH($B3,'Team forecast'!$B$3:$B$26,0),MATCH(BK$1,'Team forecast'!$R$2:$BH$2,0))*IF($X3&gt;0,25000,0)</f>
        <v>10270.375413343707</v>
      </c>
      <c r="BL3" s="5">
        <f>INDEX('Team forecast'!$R$3:$BH$26,MATCH($B3,'Team forecast'!$B$3:$B$26,0),MATCH(BL$1,'Team forecast'!$R$2:$BH$2,0))*IF($X3&gt;0,5000,0)</f>
        <v>1495.6234195681775</v>
      </c>
      <c r="BM3" s="5">
        <f>INDEX('Team forecast'!$R$3:$BH$26,MATCH($B3,'Team forecast'!$B$3:$B$26,0),MATCH(BM$1,'Team forecast'!$R$2:$BH$2,0))*IF($X3&gt;0,-15000,0)</f>
        <v>-4350.9044932892448</v>
      </c>
      <c r="BN3" s="5">
        <f t="shared" ref="BN3:BN66" si="31">IF($C3="Defense",$N3*150000,IF($C3="Midfield",$N3*125000,IF($C3="Striker",$N3*100000,0)))*$BE3</f>
        <v>34901.686737118362</v>
      </c>
      <c r="BO3" s="5">
        <f t="shared" ref="BO3:BO66" si="32">$O3*50000*$BE3</f>
        <v>11519.124032669974</v>
      </c>
      <c r="BP3" s="5">
        <f t="shared" ref="BP3:BP66" si="33">$P3*BH3*10000</f>
        <v>9665.1933695363659</v>
      </c>
      <c r="BQ3" s="5">
        <f t="shared" ref="BQ3:BQ66" si="34">IF($C3="Goalkeeper",BG3*75000,IF($C3="Defense",BG3*50000,0))</f>
        <v>0</v>
      </c>
      <c r="BR3" s="5">
        <f t="shared" ref="BR3:BR66" si="35">IF($C3="Goalkeeper",(BI3-BF3)*5000,0)</f>
        <v>0</v>
      </c>
      <c r="BS3" s="5">
        <f t="shared" ref="BS3:BS66" si="36">$AG3</f>
        <v>-3883.633319380494</v>
      </c>
      <c r="BT3" s="5">
        <f t="shared" ref="BT3:BT66" si="37">$AH3</f>
        <v>0</v>
      </c>
      <c r="BU3" s="5">
        <f t="shared" ref="BU3:BU66" si="38">IF(AQ3&gt;0,BE3*10000,0)</f>
        <v>12965.069481471115</v>
      </c>
      <c r="BV3" s="5">
        <f t="shared" ref="BV3:BV66" si="39">IF(AQ3&gt;0,BF3*(-8000),0)</f>
        <v>-8085.8226067313335</v>
      </c>
      <c r="BW3" s="5">
        <f t="shared" ref="BW3:BW66" si="40">IFERROR(SUM(BJ3:BV3),0)</f>
        <v>71496.712034306634</v>
      </c>
      <c r="BX3" s="5">
        <f t="shared" ref="BX3:BX66" si="41">AVERAGE(AK3,BD3,BW3)</f>
        <v>87749.681231557232</v>
      </c>
      <c r="BY3" s="5">
        <f t="shared" ref="BY3:BY66" si="42">BX3*3</f>
        <v>263249.04369467171</v>
      </c>
      <c r="BZ3" s="5">
        <f>INDEX('Team forecast'!$R$3:$BH$26,MATCH($B3,'Team forecast'!$B$3:$B$26,0),MATCH(BZ$1,'Team forecast'!$R$2:$BH$2,0))*($BX3-(BY3+CH3)*0.01)</f>
        <v>103.44568706534028</v>
      </c>
      <c r="CA3" s="5">
        <f>INDEX('Team forecast'!$R$3:$BH$26,MATCH($B3,'Team forecast'!$B$3:$B$26,0),MATCH(CA$1,'Team forecast'!$R$2:$BH$2,0))*($BX3-(BY3+BX3+CH3)*0.01)</f>
        <v>-348.81188280432821</v>
      </c>
      <c r="CB3" s="5">
        <f>INDEX('Team forecast'!$R$3:$BH$26,MATCH($B3,'Team forecast'!$B$3:$B$26,0),MATCH(CB$1,'Team forecast'!$R$2:$BH$2,0))*($BX3-(BY3+BX3*2+CH3)*0.01)</f>
        <v>-402.55016419717981</v>
      </c>
      <c r="CC3" s="5">
        <f>INDEX('Team forecast'!$R$3:$BH$26,MATCH($B3,'Team forecast'!$B$3:$B$26,0),MATCH(CC$1,'Team forecast'!$R$2:$BH$2,0))*($BX3-(BY3+BX3*3+CH3)*0.01)</f>
        <v>-362.29769391970763</v>
      </c>
      <c r="CD3" s="5">
        <f>+AK3+BD3*Cockpit!$C$3+BW3*Cockpit!$C$3^2+BZ3*Cockpit!$C$3^3+CA3*Cockpit!$C$3^4+CB3*Cockpit!$C$3^5+CC3*Cockpit!$C$3^6</f>
        <v>181099.80200563843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IFERROR(BY3/CI3,-100%)</f>
        <v>3.0970475728784908E-2</v>
      </c>
      <c r="CK3" s="5">
        <f>RANK(BY3,$BY$2:$BY$623)+COUNTIF($BY$2:$BY3,$BY3)-1</f>
        <v>14</v>
      </c>
      <c r="CL3" s="5">
        <f>RANK(CJ3,$CJ$2:$CJ$623)+COUNTIF($CJ$2:$CJ3,$CJ3)-1</f>
        <v>134</v>
      </c>
      <c r="DD3" s="2"/>
    </row>
    <row r="4" spans="1:108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1.5602309947683257</v>
      </c>
      <c r="I4" s="16">
        <f>INDEX('Team forecast'!$B$2:$AO$26,MATCH('Master data'!$B4,'Team forecast'!$B$2:$B$26,0),MATCH('Master data'!I$1,'Team forecast'!$B$2:$AO$2,0))</f>
        <v>0.84461095835632183</v>
      </c>
      <c r="J4" s="16">
        <f>INDEX('Team forecast'!$B$2:$AO$26,MATCH('Master data'!$B4,'Team forecast'!$B$2:$B$26,0),MATCH('Master data'!J$1,'Team forecast'!$B$2:$AO$2,0))</f>
        <v>0.42972450642313093</v>
      </c>
      <c r="K4" s="16">
        <f>INDEX('Team forecast'!$B$2:$AO$26,MATCH('Master data'!$B4,'Team forecast'!$B$2:$B$26,0),MATCH('Master data'!K$1,'Team forecast'!$B$2:$AO$2,0))</f>
        <v>4.1655927994293096</v>
      </c>
      <c r="L4" s="16">
        <f>INDEX('Team forecast'!$B$2:$AO$26,MATCH('Master data'!$B4,'Team forecast'!$B$2:$B$26,0),MATCH('Master data'!L$1,'Team forecast'!$B$2:$AO$2,0))</f>
        <v>2.7727127420788342</v>
      </c>
      <c r="M4">
        <f>IF(Players!BC5=1,95,0)</f>
        <v>95</v>
      </c>
      <c r="N4" s="2">
        <f>Players!BN5</f>
        <v>0.10943151993535509</v>
      </c>
      <c r="O4" s="2">
        <f>Players!BO5</f>
        <v>0.26971410803771179</v>
      </c>
      <c r="P4" s="2">
        <f>Players!BP5</f>
        <v>0.17343421185461214</v>
      </c>
      <c r="Q4" s="2">
        <f>Players!BQ5</f>
        <v>0.11748875562218891</v>
      </c>
      <c r="R4" s="2">
        <f>Players!BR5</f>
        <v>0</v>
      </c>
      <c r="S4" s="2">
        <f t="shared" si="4"/>
        <v>1.5602309947683257</v>
      </c>
      <c r="T4" s="2">
        <f t="shared" si="5"/>
        <v>0.84461095835632183</v>
      </c>
      <c r="U4" s="16">
        <f>INDEX('Team forecast'!$B$2:$AO$26,MATCH('Master data'!$B4,'Team forecast'!$B$2:$B$26,0),MATCH('Master data'!U$1,'Team forecast'!$B$2:$AO$2,0))</f>
        <v>0.58357649020425184</v>
      </c>
      <c r="V4" s="16">
        <f>INDEX('Team forecast'!$B$2:$AO$26,MATCH('Master data'!$B4,'Team forecast'!$B$2:$B$26,0),MATCH('Master data'!V$1,'Team forecast'!$B$2:$AO$2,0))</f>
        <v>0.23634847853272201</v>
      </c>
      <c r="W4" s="16">
        <f>INDEX('Team forecast'!$B$2:$AO$26,MATCH('Master data'!$B4,'Team forecast'!$B$2:$B$26,0),MATCH('Master data'!W$1,'Team forecast'!$B$2:$AO$2,0))</f>
        <v>0.18007503126302629</v>
      </c>
      <c r="X4" s="5">
        <f t="shared" si="6"/>
        <v>7000</v>
      </c>
      <c r="Y4" s="5">
        <f t="shared" si="7"/>
        <v>14589.412255106296</v>
      </c>
      <c r="Z4" s="5">
        <f t="shared" si="8"/>
        <v>1181.74239266361</v>
      </c>
      <c r="AA4" s="5">
        <f t="shared" si="9"/>
        <v>-2701.1254689453945</v>
      </c>
      <c r="AB4" s="5">
        <f t="shared" si="10"/>
        <v>21342.306150968616</v>
      </c>
      <c r="AC4" s="5">
        <f t="shared" si="11"/>
        <v>21040.815554336536</v>
      </c>
      <c r="AD4" s="5">
        <f t="shared" si="12"/>
        <v>7224.5630407626968</v>
      </c>
      <c r="AE4" s="5">
        <f t="shared" si="13"/>
        <v>0</v>
      </c>
      <c r="AF4" s="5">
        <f t="shared" si="14"/>
        <v>0</v>
      </c>
      <c r="AG4" s="5">
        <f t="shared" si="15"/>
        <v>-2349.7751124437782</v>
      </c>
      <c r="AH4" s="5">
        <f t="shared" si="16"/>
        <v>0</v>
      </c>
      <c r="AI4" s="5">
        <f t="shared" si="17"/>
        <v>15602.309947683258</v>
      </c>
      <c r="AJ4" s="5">
        <f t="shared" si="18"/>
        <v>-6756.8876668505745</v>
      </c>
      <c r="AK4" s="5">
        <f>IFERROR(SUM(X4:AJ4),-5000)*((Cockpit!$C$3)^0)</f>
        <v>76173.361093281273</v>
      </c>
      <c r="AL4" s="16">
        <f>INDEX('Team forecast'!$B$2:$AO$26,MATCH('Master data'!$B4,'Team forecast'!$B$2:$B$26,0),MATCH('Master data'!AL$1,'Team forecast'!$B$2:$AO$2,0))</f>
        <v>1.5279674504451852</v>
      </c>
      <c r="AM4" s="16">
        <f>INDEX('Team forecast'!$B$2:$AO$26,MATCH('Master data'!$B4,'Team forecast'!$B$2:$B$26,0),MATCH('Master data'!AM$1,'Team forecast'!$B$2:$AO$2,0))</f>
        <v>1.1610121970988967</v>
      </c>
      <c r="AN4" s="16">
        <f>INDEX('Team forecast'!$B$2:$AO$26,MATCH('Master data'!$B4,'Team forecast'!$B$2:$B$26,0),MATCH('Master data'!AN$1,'Team forecast'!$B$2:$AO$2,0))</f>
        <v>0.31316903161563348</v>
      </c>
      <c r="AO4" s="16">
        <f>INDEX('Team forecast'!$B$2:$AO$26,MATCH('Master data'!$B4,'Team forecast'!$B$2:$B$26,0),MATCH('Master data'!AO$1,'Team forecast'!$B$2:$AO$2,0))</f>
        <v>4.0794537672172888</v>
      </c>
      <c r="AP4" s="16">
        <f>INDEX('Team forecast'!$B$2:$AO$26,MATCH('Master data'!$B4,'Team forecast'!$B$2:$B$26,0),MATCH('Master data'!AP$1,'Team forecast'!$B$2:$AO$2,0))</f>
        <v>3.8114036773448627</v>
      </c>
      <c r="AQ4" s="5">
        <f t="shared" si="19"/>
        <v>7000</v>
      </c>
      <c r="AR4" s="5">
        <f>INDEX('Team forecast'!$B$2:$AO$26,MATCH('Master data'!$B4,'Team forecast'!$B$2:$B$26,0),MATCH('Master data'!AR$1,'Team forecast'!$B$2:$AO$2,0))*IF(X4&gt;0,25000,0)</f>
        <v>11743.838685586257</v>
      </c>
      <c r="AS4" s="16">
        <f>INDEX('Team forecast'!$B$2:$AO$26,MATCH('Master data'!$B4,'Team forecast'!$B$2:$B$26,0),MATCH('Master data'!AS$1,'Team forecast'!$B$2:$AO$2,0))*IF(X4&gt;0,5000,0)</f>
        <v>1381.628080657207</v>
      </c>
      <c r="AT4" s="16">
        <f>INDEX('Team forecast'!$B$2:$AO$26,MATCH('Master data'!$B4,'Team forecast'!$B$2:$B$26,0),MATCH('Master data'!AT$1,'Team forecast'!$B$2:$AO$2,0))*IF(X4&gt;0,-15000,0)</f>
        <v>-3808.8125466766246</v>
      </c>
      <c r="AU4" s="5">
        <f t="shared" si="20"/>
        <v>20900.975064245747</v>
      </c>
      <c r="AV4" s="5">
        <f t="shared" si="21"/>
        <v>20605.718900373984</v>
      </c>
      <c r="AW4" s="5">
        <f t="shared" si="22"/>
        <v>7075.1684891465884</v>
      </c>
      <c r="AX4" s="5">
        <f t="shared" si="23"/>
        <v>0</v>
      </c>
      <c r="AY4" s="5">
        <f t="shared" si="24"/>
        <v>0</v>
      </c>
      <c r="AZ4" s="5">
        <f t="shared" si="25"/>
        <v>-2349.7751124437782</v>
      </c>
      <c r="BA4" s="5">
        <f t="shared" si="26"/>
        <v>0</v>
      </c>
      <c r="BB4" s="5">
        <f t="shared" si="27"/>
        <v>15279.674504451852</v>
      </c>
      <c r="BC4" s="5">
        <f t="shared" si="28"/>
        <v>-9288.0975767911732</v>
      </c>
      <c r="BD4" s="5">
        <f t="shared" si="29"/>
        <v>68540.318488550052</v>
      </c>
      <c r="BE4" s="16">
        <f>INDEX('Team forecast'!$B$2:$AO$26,MATCH('Master data'!$B4,'Team forecast'!$B$2:$B$26,0),MATCH('Master data'!BE$1,'Team forecast'!$B$2:$AO$2,0))</f>
        <v>2.3394224481215296</v>
      </c>
      <c r="BF4" s="16">
        <f>INDEX('Team forecast'!$B$2:$AO$26,MATCH('Master data'!$B4,'Team forecast'!$B$2:$B$26,0),MATCH('Master data'!BF$1,'Team forecast'!$B$2:$AO$2,0))</f>
        <v>0.62462402002960304</v>
      </c>
      <c r="BG4" s="16">
        <f>INDEX('Team forecast'!$B$2:$AO$26,MATCH('Master data'!$B4,'Team forecast'!$B$2:$B$26,0),MATCH('Master data'!BG$1,'Team forecast'!$B$2:$AO$2,0))</f>
        <v>0.53546271393231015</v>
      </c>
      <c r="BH4" s="16">
        <f>INDEX('Team forecast'!$B$2:$AO$26,MATCH('Master data'!$B4,'Team forecast'!$B$2:$B$26,0),MATCH('Master data'!BH$1,'Team forecast'!$B$2:$AO$2,0))</f>
        <v>6.2459221342192031</v>
      </c>
      <c r="BI4" s="16">
        <f>INDEX('Team forecast'!$B$2:$AO$26,MATCH('Master data'!$B4,'Team forecast'!$B$2:$B$26,0),MATCH('Master data'!BI$1,'Team forecast'!$B$2:$AO$2,0))</f>
        <v>2.0505333990870809</v>
      </c>
      <c r="BJ4" s="5">
        <f t="shared" si="30"/>
        <v>7000</v>
      </c>
      <c r="BK4" s="5">
        <f>INDEX('Team forecast'!$R$3:$BH$26,MATCH($B4,'Team forecast'!$B$3:$B$26,0),MATCH(BK$1,'Team forecast'!$R$2:$BH$2,0))*IF($X4&gt;0,25000,0)</f>
        <v>19590.099290206468</v>
      </c>
      <c r="BL4" s="5">
        <f>INDEX('Team forecast'!$R$3:$BH$26,MATCH($B4,'Team forecast'!$B$3:$B$26,0),MATCH(BL$1,'Team forecast'!$R$2:$BH$2,0))*IF($X4&gt;0,5000,0)</f>
        <v>771.06630806252645</v>
      </c>
      <c r="BM4" s="5">
        <f>INDEX('Team forecast'!$R$3:$BH$26,MATCH($B4,'Team forecast'!$B$3:$B$26,0),MATCH(BM$1,'Team forecast'!$R$2:$BH$2,0))*IF($X4&gt;0,-15000,0)</f>
        <v>-932.74150168854032</v>
      </c>
      <c r="BN4" s="5">
        <f t="shared" si="31"/>
        <v>32000.819283603545</v>
      </c>
      <c r="BO4" s="5">
        <f t="shared" si="32"/>
        <v>31548.761945924918</v>
      </c>
      <c r="BP4" s="5">
        <f t="shared" si="33"/>
        <v>10832.565826535845</v>
      </c>
      <c r="BQ4" s="5">
        <f t="shared" si="34"/>
        <v>0</v>
      </c>
      <c r="BR4" s="5">
        <f t="shared" si="35"/>
        <v>0</v>
      </c>
      <c r="BS4" s="5">
        <f t="shared" si="36"/>
        <v>-2349.7751124437782</v>
      </c>
      <c r="BT4" s="5">
        <f t="shared" si="37"/>
        <v>0</v>
      </c>
      <c r="BU4" s="5">
        <f t="shared" si="38"/>
        <v>23394.224481215297</v>
      </c>
      <c r="BV4" s="5">
        <f t="shared" si="39"/>
        <v>-4996.992160236824</v>
      </c>
      <c r="BW4" s="5">
        <f t="shared" si="40"/>
        <v>116858.02836117946</v>
      </c>
      <c r="BX4" s="5">
        <f t="shared" si="41"/>
        <v>87190.569314336928</v>
      </c>
      <c r="BY4" s="5">
        <f t="shared" si="42"/>
        <v>261571.70794301078</v>
      </c>
      <c r="BZ4" s="5">
        <f>INDEX('Team forecast'!$R$3:$BH$26,MATCH($B4,'Team forecast'!$B$3:$B$26,0),MATCH(BZ$1,'Team forecast'!$R$2:$BH$2,0))*($BX4-(BY4+CH4)*0.01)</f>
        <v>4381.1481143903538</v>
      </c>
      <c r="CA4" s="5">
        <f>INDEX('Team forecast'!$R$3:$BH$26,MATCH($B4,'Team forecast'!$B$3:$B$26,0),MATCH(CA$1,'Team forecast'!$R$2:$BH$2,0))*($BX4-(BY4+BX4+CH4)*0.01)</f>
        <v>1809.1302925877924</v>
      </c>
      <c r="CB4" s="5">
        <f>INDEX('Team forecast'!$R$3:$BH$26,MATCH($B4,'Team forecast'!$B$3:$B$26,0),MATCH(CB$1,'Team forecast'!$R$2:$BH$2,0))*($BX4-(BY4+BX4*2+CH4)*0.01)</f>
        <v>717.51438910798504</v>
      </c>
      <c r="CC4" s="5">
        <f>INDEX('Team forecast'!$R$3:$BH$26,MATCH($B4,'Team forecast'!$B$3:$B$26,0),MATCH(CC$1,'Team forecast'!$R$2:$BH$2,0))*($BX4-(BY4+BX4*3+CH4)*0.01)</f>
        <v>271.41476352781524</v>
      </c>
      <c r="CD4" s="5">
        <f>+AK4+BD4*Cockpit!$C$3+BW4*Cockpit!$C$3^2+BZ4*Cockpit!$C$3^3+CA4*Cockpit!$C$3^4+CB4*Cockpit!$C$3^5+CC4*Cockpit!$C$3^6</f>
        <v>175577.60067561129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3.2696463492876346E-2</v>
      </c>
      <c r="CK4" s="5">
        <f>RANK(BY4,$BY$2:$BY$623)+COUNTIF($BY$2:$BY4,$BY4)-1</f>
        <v>16</v>
      </c>
      <c r="CL4" s="5">
        <f>RANK(CJ4,$CJ$2:$CJ$623)+COUNTIF($CJ$2:$CJ4,$CJ4)-1</f>
        <v>122</v>
      </c>
    </row>
    <row r="5" spans="1:108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1.5223243214152651</v>
      </c>
      <c r="I5" s="16">
        <f>INDEX('Team forecast'!$B$2:$AO$26,MATCH('Master data'!$B5,'Team forecast'!$B$2:$B$26,0),MATCH('Master data'!I$1,'Team forecast'!$B$2:$AO$2,0))</f>
        <v>0.74990395996081205</v>
      </c>
      <c r="J5" s="16">
        <f>INDEX('Team forecast'!$B$2:$AO$26,MATCH('Master data'!$B5,'Team forecast'!$B$2:$B$26,0),MATCH('Master data'!J$1,'Team forecast'!$B$2:$AO$2,0))</f>
        <v>0.47241192102180191</v>
      </c>
      <c r="K5" s="16">
        <f>INDEX('Team forecast'!$B$2:$AO$26,MATCH('Master data'!$B5,'Team forecast'!$B$2:$B$26,0),MATCH('Master data'!K$1,'Team forecast'!$B$2:$AO$2,0))</f>
        <v>3.7411838276290243</v>
      </c>
      <c r="L5" s="16">
        <f>INDEX('Team forecast'!$B$2:$AO$26,MATCH('Master data'!$B5,'Team forecast'!$B$2:$B$26,0),MATCH('Master data'!L$1,'Team forecast'!$B$2:$AO$2,0))</f>
        <v>2.461805929164282</v>
      </c>
      <c r="M5">
        <f>IF(Players!BC6=1,95,0)</f>
        <v>95</v>
      </c>
      <c r="N5" s="2">
        <f>Players!BN6</f>
        <v>0.18893691261197357</v>
      </c>
      <c r="O5" s="2">
        <f>Players!BO6</f>
        <v>0.23769762334385341</v>
      </c>
      <c r="P5" s="2">
        <f>Players!BP6</f>
        <v>0.16247078954175412</v>
      </c>
      <c r="Q5" s="2">
        <f>Players!BQ6</f>
        <v>0.15094994087504926</v>
      </c>
      <c r="R5" s="2">
        <f>Players!BR6</f>
        <v>0</v>
      </c>
      <c r="S5" s="2">
        <f t="shared" si="4"/>
        <v>1.5223243214152651</v>
      </c>
      <c r="T5" s="2">
        <f t="shared" si="5"/>
        <v>0.74990395996081205</v>
      </c>
      <c r="U5" s="16">
        <f>INDEX('Team forecast'!$B$2:$AO$26,MATCH('Master data'!$B5,'Team forecast'!$B$2:$B$26,0),MATCH('Master data'!U$1,'Team forecast'!$B$2:$AO$2,0))</f>
        <v>0.56576277966682864</v>
      </c>
      <c r="V5" s="16">
        <f>INDEX('Team forecast'!$B$2:$AO$26,MATCH('Master data'!$B5,'Team forecast'!$B$2:$B$26,0),MATCH('Master data'!V$1,'Team forecast'!$B$2:$AO$2,0))</f>
        <v>0.26245106723433442</v>
      </c>
      <c r="W5" s="16">
        <f>INDEX('Team forecast'!$B$2:$AO$26,MATCH('Master data'!$B5,'Team forecast'!$B$2:$B$26,0),MATCH('Master data'!W$1,'Team forecast'!$B$2:$AO$2,0))</f>
        <v>0.17178615309883699</v>
      </c>
      <c r="X5" s="5">
        <f t="shared" si="6"/>
        <v>7000</v>
      </c>
      <c r="Y5" s="5">
        <f t="shared" si="7"/>
        <v>14144.069491670716</v>
      </c>
      <c r="Z5" s="5">
        <f t="shared" si="8"/>
        <v>1312.2553361716721</v>
      </c>
      <c r="AA5" s="5">
        <f t="shared" si="9"/>
        <v>-2576.7922964825548</v>
      </c>
      <c r="AB5" s="5">
        <f t="shared" si="10"/>
        <v>28762.32572823179</v>
      </c>
      <c r="AC5" s="5">
        <f t="shared" si="11"/>
        <v>18092.643657947647</v>
      </c>
      <c r="AD5" s="5">
        <f t="shared" si="12"/>
        <v>6078.3309029572929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15223.243214152651</v>
      </c>
      <c r="AJ5" s="5">
        <f t="shared" si="18"/>
        <v>-5999.2316796864961</v>
      </c>
      <c r="AK5" s="5">
        <f>IFERROR(SUM(X5:AJ5),-5000)*((Cockpit!$C$3)^0)</f>
        <v>79017.845537461748</v>
      </c>
      <c r="AL5" s="16">
        <f>INDEX('Team forecast'!$B$2:$AO$26,MATCH('Master data'!$B5,'Team forecast'!$B$2:$B$26,0),MATCH('Master data'!AL$1,'Team forecast'!$B$2:$AO$2,0))</f>
        <v>2.0067977929974719</v>
      </c>
      <c r="AM5" s="16">
        <f>INDEX('Team forecast'!$B$2:$AO$26,MATCH('Master data'!$B5,'Team forecast'!$B$2:$B$26,0),MATCH('Master data'!AM$1,'Team forecast'!$B$2:$AO$2,0))</f>
        <v>0.66520361079548807</v>
      </c>
      <c r="AN5" s="16">
        <f>INDEX('Team forecast'!$B$2:$AO$26,MATCH('Master data'!$B5,'Team forecast'!$B$2:$B$26,0),MATCH('Master data'!AN$1,'Team forecast'!$B$2:$AO$2,0))</f>
        <v>0.51416882672404407</v>
      </c>
      <c r="AO5" s="16">
        <f>INDEX('Team forecast'!$B$2:$AO$26,MATCH('Master data'!$B5,'Team forecast'!$B$2:$B$26,0),MATCH('Master data'!AO$1,'Team forecast'!$B$2:$AO$2,0))</f>
        <v>4.9318002365645421</v>
      </c>
      <c r="AP5" s="16">
        <f>INDEX('Team forecast'!$B$2:$AO$26,MATCH('Master data'!$B5,'Team forecast'!$B$2:$B$26,0),MATCH('Master data'!AP$1,'Team forecast'!$B$2:$AO$2,0))</f>
        <v>2.1837492273589256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17296.488104871336</v>
      </c>
      <c r="AS5" s="16">
        <f>INDEX('Team forecast'!$B$2:$AO$26,MATCH('Master data'!$B5,'Team forecast'!$B$2:$B$26,0),MATCH('Master data'!AS$1,'Team forecast'!$B$2:$AO$2,0))*IF(X5&gt;0,5000,0)</f>
        <v>1045.4766143388899</v>
      </c>
      <c r="AT5" s="16">
        <f>INDEX('Team forecast'!$B$2:$AO$26,MATCH('Master data'!$B5,'Team forecast'!$B$2:$B$26,0),MATCH('Master data'!AT$1,'Team forecast'!$B$2:$AO$2,0))*IF(X5&gt;0,-15000,0)</f>
        <v>-1485.6772940605274</v>
      </c>
      <c r="AU5" s="5">
        <f t="shared" si="20"/>
        <v>37915.817924546478</v>
      </c>
      <c r="AV5" s="5">
        <f t="shared" si="21"/>
        <v>23850.553296359467</v>
      </c>
      <c r="AW5" s="5">
        <f t="shared" si="22"/>
        <v>8012.7347829685095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20067.977929974717</v>
      </c>
      <c r="BC5" s="5">
        <f t="shared" si="28"/>
        <v>-5321.6288863639047</v>
      </c>
      <c r="BD5" s="5">
        <f t="shared" si="29"/>
        <v>105362.74365513398</v>
      </c>
      <c r="BE5" s="16">
        <f>INDEX('Team forecast'!$B$2:$AO$26,MATCH('Master data'!$B5,'Team forecast'!$B$2:$B$26,0),MATCH('Master data'!BE$1,'Team forecast'!$B$2:$AO$2,0))</f>
        <v>2.2346287595631029</v>
      </c>
      <c r="BF5" s="16">
        <f>INDEX('Team forecast'!$B$2:$AO$26,MATCH('Master data'!$B5,'Team forecast'!$B$2:$B$26,0),MATCH('Master data'!BF$1,'Team forecast'!$B$2:$AO$2,0))</f>
        <v>0.82586154259115363</v>
      </c>
      <c r="BG5" s="16">
        <f>INDEX('Team forecast'!$B$2:$AO$26,MATCH('Master data'!$B5,'Team forecast'!$B$2:$B$26,0),MATCH('Master data'!BG$1,'Team forecast'!$B$2:$AO$2,0))</f>
        <v>0.43785759694850601</v>
      </c>
      <c r="BH5" s="16">
        <f>INDEX('Team forecast'!$B$2:$AO$26,MATCH('Master data'!$B5,'Team forecast'!$B$2:$B$26,0),MATCH('Master data'!BH$1,'Team forecast'!$B$2:$AO$2,0))</f>
        <v>5.4917055836432862</v>
      </c>
      <c r="BI5" s="16">
        <f>INDEX('Team forecast'!$B$2:$AO$26,MATCH('Master data'!$B5,'Team forecast'!$B$2:$B$26,0),MATCH('Master data'!BI$1,'Team forecast'!$B$2:$AO$2,0))</f>
        <v>2.7111616297184336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16608.391608391608</v>
      </c>
      <c r="BL5" s="5">
        <f>INDEX('Team forecast'!$R$3:$BH$26,MATCH($B5,'Team forecast'!$B$3:$B$26,0),MATCH(BL$1,'Team forecast'!$R$2:$BH$2,0))*IF($X5&gt;0,5000,0)</f>
        <v>1013.9860139860141</v>
      </c>
      <c r="BM5" s="5">
        <f>INDEX('Team forecast'!$R$3:$BH$26,MATCH($B5,'Team forecast'!$B$3:$B$26,0),MATCH(BM$1,'Team forecast'!$R$2:$BH$2,0))*IF($X5&gt;0,-15000,0)</f>
        <v>-1993.0069930069933</v>
      </c>
      <c r="BN5" s="5">
        <f t="shared" si="31"/>
        <v>42220.385866577686</v>
      </c>
      <c r="BO5" s="5">
        <f t="shared" si="32"/>
        <v>26558.29726019864</v>
      </c>
      <c r="BP5" s="5">
        <f t="shared" si="33"/>
        <v>8922.417421053844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22346.287595631031</v>
      </c>
      <c r="BV5" s="5">
        <f t="shared" si="39"/>
        <v>-6606.8923407292286</v>
      </c>
      <c r="BW5" s="5">
        <f t="shared" si="40"/>
        <v>113050.86761460162</v>
      </c>
      <c r="BX5" s="5">
        <f t="shared" si="41"/>
        <v>99143.818935732459</v>
      </c>
      <c r="BY5" s="5">
        <f t="shared" si="42"/>
        <v>297431.45680719736</v>
      </c>
      <c r="BZ5" s="5">
        <f>INDEX('Team forecast'!$R$3:$BH$26,MATCH($B5,'Team forecast'!$B$3:$B$26,0),MATCH(BZ$1,'Team forecast'!$R$2:$BH$2,0))*($BX5-(BY5+CH5)*0.01)</f>
        <v>20273.164985588453</v>
      </c>
      <c r="CA5" s="5">
        <f>INDEX('Team forecast'!$R$3:$BH$26,MATCH($B5,'Team forecast'!$B$3:$B$26,0),MATCH(CA$1,'Team forecast'!$R$2:$BH$2,0))*($BX5-(BY5+BX5+CH5)*0.01)</f>
        <v>9973.3580043685688</v>
      </c>
      <c r="CB5" s="5">
        <f>INDEX('Team forecast'!$R$3:$BH$26,MATCH($B5,'Team forecast'!$B$3:$B$26,0),MATCH(CB$1,'Team forecast'!$R$2:$BH$2,0))*($BX5-(BY5+BX5*2+CH5)*0.01)</f>
        <v>5020.4374477527736</v>
      </c>
      <c r="CC5" s="5">
        <f>INDEX('Team forecast'!$R$3:$BH$26,MATCH($B5,'Team forecast'!$B$3:$B$26,0),MATCH(CC$1,'Team forecast'!$R$2:$BH$2,0))*($BX5-(BY5+BX5*3+CH5)*0.01)</f>
        <v>2721.4064768186527</v>
      </c>
      <c r="CD5" s="5">
        <f>+AK5+BD5*Cockpit!$C$3+BW5*Cockpit!$C$3^2+BZ5*Cockpit!$C$3^3+CA5*Cockpit!$C$3^4+CB5*Cockpit!$C$3^5+CC5*Cockpit!$C$3^6</f>
        <v>208381.4583255864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3.9657527574292979E-2</v>
      </c>
      <c r="CK5" s="5">
        <f>RANK(BY5,$BY$2:$BY$623)+COUNTIF($BY$2:$BY5,$BY5)-1</f>
        <v>5</v>
      </c>
      <c r="CL5" s="5">
        <f>RANK(CJ5,$CJ$2:$CJ$623)+COUNTIF($CJ$2:$CJ5,$CJ5)-1</f>
        <v>77</v>
      </c>
    </row>
    <row r="6" spans="1:108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1.5602309947683257</v>
      </c>
      <c r="I6" s="16">
        <f>INDEX('Team forecast'!$B$2:$AO$26,MATCH('Master data'!$B6,'Team forecast'!$B$2:$B$26,0),MATCH('Master data'!I$1,'Team forecast'!$B$2:$AO$2,0))</f>
        <v>0.84461095835632183</v>
      </c>
      <c r="J6" s="16">
        <f>INDEX('Team forecast'!$B$2:$AO$26,MATCH('Master data'!$B6,'Team forecast'!$B$2:$B$26,0),MATCH('Master data'!J$1,'Team forecast'!$B$2:$AO$2,0))</f>
        <v>0.42972450642313093</v>
      </c>
      <c r="K6" s="16">
        <f>INDEX('Team forecast'!$B$2:$AO$26,MATCH('Master data'!$B6,'Team forecast'!$B$2:$B$26,0),MATCH('Master data'!K$1,'Team forecast'!$B$2:$AO$2,0))</f>
        <v>4.1655927994293096</v>
      </c>
      <c r="L6" s="16">
        <f>INDEX('Team forecast'!$B$2:$AO$26,MATCH('Master data'!$B6,'Team forecast'!$B$2:$B$26,0),MATCH('Master data'!L$1,'Team forecast'!$B$2:$AO$2,0))</f>
        <v>2.7727127420788342</v>
      </c>
      <c r="M6">
        <f>IF(Players!BC7=1,95,0)</f>
        <v>95</v>
      </c>
      <c r="N6" s="2">
        <f>Players!BN7</f>
        <v>0.27026381513505904</v>
      </c>
      <c r="O6" s="2">
        <f>Players!BO7</f>
        <v>0.16895576147093816</v>
      </c>
      <c r="P6" s="2">
        <f>Players!BP7</f>
        <v>0.22200022895958987</v>
      </c>
      <c r="Q6" s="2">
        <f>Players!BQ7</f>
        <v>6.2370062370062374E-2</v>
      </c>
      <c r="R6" s="2">
        <f>Players!BR7</f>
        <v>0</v>
      </c>
      <c r="S6" s="2">
        <f t="shared" si="4"/>
        <v>1.5602309947683257</v>
      </c>
      <c r="T6" s="2">
        <f t="shared" si="5"/>
        <v>0.84461095835632183</v>
      </c>
      <c r="U6" s="16">
        <f>INDEX('Team forecast'!$B$2:$AO$26,MATCH('Master data'!$B6,'Team forecast'!$B$2:$B$26,0),MATCH('Master data'!U$1,'Team forecast'!$B$2:$AO$2,0))</f>
        <v>0.58357649020425184</v>
      </c>
      <c r="V6" s="16">
        <f>INDEX('Team forecast'!$B$2:$AO$26,MATCH('Master data'!$B6,'Team forecast'!$B$2:$B$26,0),MATCH('Master data'!V$1,'Team forecast'!$B$2:$AO$2,0))</f>
        <v>0.23634847853272201</v>
      </c>
      <c r="W6" s="16">
        <f>INDEX('Team forecast'!$B$2:$AO$26,MATCH('Master data'!$B6,'Team forecast'!$B$2:$B$26,0),MATCH('Master data'!W$1,'Team forecast'!$B$2:$AO$2,0))</f>
        <v>0.18007503126302629</v>
      </c>
      <c r="X6" s="5">
        <f t="shared" si="6"/>
        <v>7000</v>
      </c>
      <c r="Y6" s="5">
        <f t="shared" si="7"/>
        <v>14589.412255106296</v>
      </c>
      <c r="Z6" s="5">
        <f t="shared" si="8"/>
        <v>1181.74239266361</v>
      </c>
      <c r="AA6" s="5">
        <f t="shared" si="9"/>
        <v>-2701.1254689453945</v>
      </c>
      <c r="AB6" s="5">
        <f t="shared" si="10"/>
        <v>42167.398113805604</v>
      </c>
      <c r="AC6" s="5">
        <f t="shared" si="11"/>
        <v>13180.500789582091</v>
      </c>
      <c r="AD6" s="5">
        <f t="shared" si="12"/>
        <v>9247.6255522572574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15602.309947683258</v>
      </c>
      <c r="AJ6" s="5">
        <f t="shared" si="18"/>
        <v>-6756.8876668505745</v>
      </c>
      <c r="AK6" s="5">
        <f>IFERROR(SUM(X6:AJ6),-5000)*((Cockpit!$C$3)^0)</f>
        <v>92263.574667900917</v>
      </c>
      <c r="AL6" s="16">
        <f>INDEX('Team forecast'!$B$2:$AO$26,MATCH('Master data'!$B6,'Team forecast'!$B$2:$B$26,0),MATCH('Master data'!AL$1,'Team forecast'!$B$2:$AO$2,0))</f>
        <v>1.5279674504451852</v>
      </c>
      <c r="AM6" s="16">
        <f>INDEX('Team forecast'!$B$2:$AO$26,MATCH('Master data'!$B6,'Team forecast'!$B$2:$B$26,0),MATCH('Master data'!AM$1,'Team forecast'!$B$2:$AO$2,0))</f>
        <v>1.1610121970988967</v>
      </c>
      <c r="AN6" s="16">
        <f>INDEX('Team forecast'!$B$2:$AO$26,MATCH('Master data'!$B6,'Team forecast'!$B$2:$B$26,0),MATCH('Master data'!AN$1,'Team forecast'!$B$2:$AO$2,0))</f>
        <v>0.31316903161563348</v>
      </c>
      <c r="AO6" s="16">
        <f>INDEX('Team forecast'!$B$2:$AO$26,MATCH('Master data'!$B6,'Team forecast'!$B$2:$B$26,0),MATCH('Master data'!AO$1,'Team forecast'!$B$2:$AO$2,0))</f>
        <v>4.0794537672172888</v>
      </c>
      <c r="AP6" s="16">
        <f>INDEX('Team forecast'!$B$2:$AO$26,MATCH('Master data'!$B6,'Team forecast'!$B$2:$B$26,0),MATCH('Master data'!AP$1,'Team forecast'!$B$2:$AO$2,0))</f>
        <v>3.8114036773448627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11743.838685586257</v>
      </c>
      <c r="AS6" s="16">
        <f>INDEX('Team forecast'!$B$2:$AO$26,MATCH('Master data'!$B6,'Team forecast'!$B$2:$B$26,0),MATCH('Master data'!AS$1,'Team forecast'!$B$2:$AO$2,0))*IF(X6&gt;0,5000,0)</f>
        <v>1381.628080657207</v>
      </c>
      <c r="AT6" s="16">
        <f>INDEX('Team forecast'!$B$2:$AO$26,MATCH('Master data'!$B6,'Team forecast'!$B$2:$B$26,0),MATCH('Master data'!AT$1,'Team forecast'!$B$2:$AO$2,0))*IF(X6&gt;0,-15000,0)</f>
        <v>-3808.8125466766246</v>
      </c>
      <c r="AU6" s="5">
        <f t="shared" si="20"/>
        <v>41295.431255950505</v>
      </c>
      <c r="AV6" s="5">
        <f t="shared" si="21"/>
        <v>12907.945204638712</v>
      </c>
      <c r="AW6" s="5">
        <f t="shared" si="22"/>
        <v>9056.3967035229962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15279.674504451852</v>
      </c>
      <c r="BC6" s="5">
        <f t="shared" si="28"/>
        <v>-9288.0975767911732</v>
      </c>
      <c r="BD6" s="5">
        <f t="shared" si="29"/>
        <v>84320.603063938484</v>
      </c>
      <c r="BE6" s="16">
        <f>INDEX('Team forecast'!$B$2:$AO$26,MATCH('Master data'!$B6,'Team forecast'!$B$2:$B$26,0),MATCH('Master data'!BE$1,'Team forecast'!$B$2:$AO$2,0))</f>
        <v>2.3394224481215296</v>
      </c>
      <c r="BF6" s="16">
        <f>INDEX('Team forecast'!$B$2:$AO$26,MATCH('Master data'!$B6,'Team forecast'!$B$2:$B$26,0),MATCH('Master data'!BF$1,'Team forecast'!$B$2:$AO$2,0))</f>
        <v>0.62462402002960304</v>
      </c>
      <c r="BG6" s="16">
        <f>INDEX('Team forecast'!$B$2:$AO$26,MATCH('Master data'!$B6,'Team forecast'!$B$2:$B$26,0),MATCH('Master data'!BG$1,'Team forecast'!$B$2:$AO$2,0))</f>
        <v>0.53546271393231015</v>
      </c>
      <c r="BH6" s="16">
        <f>INDEX('Team forecast'!$B$2:$AO$26,MATCH('Master data'!$B6,'Team forecast'!$B$2:$B$26,0),MATCH('Master data'!BH$1,'Team forecast'!$B$2:$AO$2,0))</f>
        <v>6.2459221342192031</v>
      </c>
      <c r="BI6" s="16">
        <f>INDEX('Team forecast'!$B$2:$AO$26,MATCH('Master data'!$B6,'Team forecast'!$B$2:$B$26,0),MATCH('Master data'!BI$1,'Team forecast'!$B$2:$AO$2,0))</f>
        <v>2.0505333990870809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19590.099290206468</v>
      </c>
      <c r="BL6" s="5">
        <f>INDEX('Team forecast'!$R$3:$BH$26,MATCH($B6,'Team forecast'!$B$3:$B$26,0),MATCH(BL$1,'Team forecast'!$R$2:$BH$2,0))*IF($X6&gt;0,5000,0)</f>
        <v>771.06630806252645</v>
      </c>
      <c r="BM6" s="5">
        <f>INDEX('Team forecast'!$R$3:$BH$26,MATCH($B6,'Team forecast'!$B$3:$B$26,0),MATCH(BM$1,'Team forecast'!$R$2:$BH$2,0))*IF($X6&gt;0,-15000,0)</f>
        <v>-932.74150168854032</v>
      </c>
      <c r="BN6" s="5">
        <f t="shared" si="31"/>
        <v>63226.123604192435</v>
      </c>
      <c r="BO6" s="5">
        <f t="shared" si="32"/>
        <v>19762.945056228968</v>
      </c>
      <c r="BP6" s="5">
        <f t="shared" si="33"/>
        <v>13865.961438604332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23394.224481215297</v>
      </c>
      <c r="BV6" s="5">
        <f t="shared" si="39"/>
        <v>-4996.992160236824</v>
      </c>
      <c r="BW6" s="5">
        <f t="shared" si="40"/>
        <v>140433.28526918346</v>
      </c>
      <c r="BX6" s="5">
        <f t="shared" si="41"/>
        <v>105672.48766700762</v>
      </c>
      <c r="BY6" s="5">
        <f t="shared" si="42"/>
        <v>317017.46300102287</v>
      </c>
      <c r="BZ6" s="5">
        <f>INDEX('Team forecast'!$R$3:$BH$26,MATCH($B6,'Team forecast'!$B$3:$B$26,0),MATCH(BZ$1,'Team forecast'!$R$2:$BH$2,0))*($BX6-(BY6+CH6)*0.01)</f>
        <v>16761.246445170182</v>
      </c>
      <c r="CA6" s="5">
        <f>INDEX('Team forecast'!$R$3:$BH$26,MATCH($B6,'Team forecast'!$B$3:$B$26,0),MATCH(CA$1,'Team forecast'!$R$2:$BH$2,0))*($BX6-(BY6+BX6+CH6)*0.01)</f>
        <v>8034.739736237836</v>
      </c>
      <c r="CB6" s="5">
        <f>INDEX('Team forecast'!$R$3:$BH$26,MATCH($B6,'Team forecast'!$B$3:$B$26,0),MATCH(CB$1,'Team forecast'!$R$2:$BH$2,0))*($BX6-(BY6+BX6*2+CH6)*0.01)</f>
        <v>3900.2372019540435</v>
      </c>
      <c r="CC6" s="5">
        <f>INDEX('Team forecast'!$R$3:$BH$26,MATCH($B6,'Team forecast'!$B$3:$B$26,0),MATCH(CC$1,'Team forecast'!$R$2:$BH$2,0))*($BX6-(BY6+BX6*3+CH6)*0.01)</f>
        <v>1985.5465028566764</v>
      </c>
      <c r="CD6" s="5">
        <f>+AK6+BD6*Cockpit!$C$3+BW6*Cockpit!$C$3^2+BZ6*Cockpit!$C$3^3+CA6*Cockpit!$C$3^4+CB6*Cockpit!$C$3^5+CC6*Cockpit!$C$3^6</f>
        <v>218133.43340320265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3.7296172117767395E-2</v>
      </c>
      <c r="CK6" s="5">
        <f>RANK(BY6,$BY$2:$BY$623)+COUNTIF($BY$2:$BY6,$BY6)-1</f>
        <v>4</v>
      </c>
      <c r="CL6" s="5">
        <f>RANK(CJ6,$CJ$2:$CJ$623)+COUNTIF($CJ$2:$CJ6,$CJ6)-1</f>
        <v>89</v>
      </c>
    </row>
    <row r="7" spans="1:108">
      <c r="A7" t="str">
        <f>Players!P8</f>
        <v>Eden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1.5602309947683257</v>
      </c>
      <c r="I7" s="16">
        <f>INDEX('Team forecast'!$B$2:$AO$26,MATCH('Master data'!$B7,'Team forecast'!$B$2:$B$26,0),MATCH('Master data'!I$1,'Team forecast'!$B$2:$AO$2,0))</f>
        <v>0.84461095835632183</v>
      </c>
      <c r="J7" s="16">
        <f>INDEX('Team forecast'!$B$2:$AO$26,MATCH('Master data'!$B7,'Team forecast'!$B$2:$B$26,0),MATCH('Master data'!J$1,'Team forecast'!$B$2:$AO$2,0))</f>
        <v>0.42972450642313093</v>
      </c>
      <c r="K7" s="16">
        <f>INDEX('Team forecast'!$B$2:$AO$26,MATCH('Master data'!$B7,'Team forecast'!$B$2:$B$26,0),MATCH('Master data'!K$1,'Team forecast'!$B$2:$AO$2,0))</f>
        <v>4.1655927994293096</v>
      </c>
      <c r="L7" s="16">
        <f>INDEX('Team forecast'!$B$2:$AO$26,MATCH('Master data'!$B7,'Team forecast'!$B$2:$B$26,0),MATCH('Master data'!L$1,'Team forecast'!$B$2:$AO$2,0))</f>
        <v>2.7727127420788342</v>
      </c>
      <c r="M7">
        <f>IF(Players!BC8=1,95,0)</f>
        <v>95</v>
      </c>
      <c r="N7" s="2">
        <f>Players!BN8</f>
        <v>0.21225103550836413</v>
      </c>
      <c r="O7" s="2">
        <f>Players!BO8</f>
        <v>0.23537364324288826</v>
      </c>
      <c r="P7" s="2">
        <f>Players!BP8</f>
        <v>0.12544890757702387</v>
      </c>
      <c r="Q7" s="2">
        <f>Players!BQ8</f>
        <v>0</v>
      </c>
      <c r="R7" s="2">
        <f>Players!BR8</f>
        <v>0</v>
      </c>
      <c r="S7" s="2">
        <f t="shared" si="4"/>
        <v>1.5602309947683257</v>
      </c>
      <c r="T7" s="2">
        <f t="shared" si="5"/>
        <v>0.84461095835632183</v>
      </c>
      <c r="U7" s="16">
        <f>INDEX('Team forecast'!$B$2:$AO$26,MATCH('Master data'!$B7,'Team forecast'!$B$2:$B$26,0),MATCH('Master data'!U$1,'Team forecast'!$B$2:$AO$2,0))</f>
        <v>0.58357649020425184</v>
      </c>
      <c r="V7" s="16">
        <f>INDEX('Team forecast'!$B$2:$AO$26,MATCH('Master data'!$B7,'Team forecast'!$B$2:$B$26,0),MATCH('Master data'!V$1,'Team forecast'!$B$2:$AO$2,0))</f>
        <v>0.23634847853272201</v>
      </c>
      <c r="W7" s="16">
        <f>INDEX('Team forecast'!$B$2:$AO$26,MATCH('Master data'!$B7,'Team forecast'!$B$2:$B$26,0),MATCH('Master data'!W$1,'Team forecast'!$B$2:$AO$2,0))</f>
        <v>0.18007503126302629</v>
      </c>
      <c r="X7" s="5">
        <f t="shared" si="6"/>
        <v>7000</v>
      </c>
      <c r="Y7" s="5">
        <f t="shared" si="7"/>
        <v>14589.412255106296</v>
      </c>
      <c r="Z7" s="5">
        <f t="shared" si="8"/>
        <v>1181.74239266361</v>
      </c>
      <c r="AA7" s="5">
        <f t="shared" si="9"/>
        <v>-2701.1254689453945</v>
      </c>
      <c r="AB7" s="5">
        <f t="shared" si="10"/>
        <v>33116.064427182224</v>
      </c>
      <c r="AC7" s="5">
        <f t="shared" si="11"/>
        <v>18361.862676954828</v>
      </c>
      <c r="AD7" s="5">
        <f t="shared" si="12"/>
        <v>5225.6906609912357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15602.309947683258</v>
      </c>
      <c r="AJ7" s="5">
        <f t="shared" si="18"/>
        <v>-6756.8876668505745</v>
      </c>
      <c r="AK7" s="5">
        <f>IFERROR(SUM(X7:AJ7),-5000)*((Cockpit!$C$3)^0)</f>
        <v>85619.069224785489</v>
      </c>
      <c r="AL7" s="16">
        <f>INDEX('Team forecast'!$B$2:$AO$26,MATCH('Master data'!$B7,'Team forecast'!$B$2:$B$26,0),MATCH('Master data'!AL$1,'Team forecast'!$B$2:$AO$2,0))</f>
        <v>1.5279674504451852</v>
      </c>
      <c r="AM7" s="16">
        <f>INDEX('Team forecast'!$B$2:$AO$26,MATCH('Master data'!$B7,'Team forecast'!$B$2:$B$26,0),MATCH('Master data'!AM$1,'Team forecast'!$B$2:$AO$2,0))</f>
        <v>1.1610121970988967</v>
      </c>
      <c r="AN7" s="16">
        <f>INDEX('Team forecast'!$B$2:$AO$26,MATCH('Master data'!$B7,'Team forecast'!$B$2:$B$26,0),MATCH('Master data'!AN$1,'Team forecast'!$B$2:$AO$2,0))</f>
        <v>0.31316903161563348</v>
      </c>
      <c r="AO7" s="16">
        <f>INDEX('Team forecast'!$B$2:$AO$26,MATCH('Master data'!$B7,'Team forecast'!$B$2:$B$26,0),MATCH('Master data'!AO$1,'Team forecast'!$B$2:$AO$2,0))</f>
        <v>4.0794537672172888</v>
      </c>
      <c r="AP7" s="16">
        <f>INDEX('Team forecast'!$B$2:$AO$26,MATCH('Master data'!$B7,'Team forecast'!$B$2:$B$26,0),MATCH('Master data'!AP$1,'Team forecast'!$B$2:$AO$2,0))</f>
        <v>3.8114036773448627</v>
      </c>
      <c r="AQ7" s="5">
        <f t="shared" si="19"/>
        <v>7000</v>
      </c>
      <c r="AR7" s="5">
        <f>INDEX('Team forecast'!$B$2:$AO$26,MATCH('Master data'!$B7,'Team forecast'!$B$2:$B$26,0),MATCH('Master data'!AR$1,'Team forecast'!$B$2:$AO$2,0))*IF(X7&gt;0,25000,0)</f>
        <v>11743.838685586257</v>
      </c>
      <c r="AS7" s="16">
        <f>INDEX('Team forecast'!$B$2:$AO$26,MATCH('Master data'!$B7,'Team forecast'!$B$2:$B$26,0),MATCH('Master data'!AS$1,'Team forecast'!$B$2:$AO$2,0))*IF(X7&gt;0,5000,0)</f>
        <v>1381.628080657207</v>
      </c>
      <c r="AT7" s="16">
        <f>INDEX('Team forecast'!$B$2:$AO$26,MATCH('Master data'!$B7,'Team forecast'!$B$2:$B$26,0),MATCH('Master data'!AT$1,'Team forecast'!$B$2:$AO$2,0))*IF(X7&gt;0,-15000,0)</f>
        <v>-3808.8125466766246</v>
      </c>
      <c r="AU7" s="5">
        <f t="shared" si="20"/>
        <v>32431.267358006564</v>
      </c>
      <c r="AV7" s="5">
        <f t="shared" si="21"/>
        <v>17982.163278391527</v>
      </c>
      <c r="AW7" s="5">
        <f t="shared" si="22"/>
        <v>5117.6301860838348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15279.674504451852</v>
      </c>
      <c r="BC7" s="5">
        <f t="shared" si="28"/>
        <v>-9288.0975767911732</v>
      </c>
      <c r="BD7" s="5">
        <f t="shared" si="29"/>
        <v>77839.291969709433</v>
      </c>
      <c r="BE7" s="16">
        <f>INDEX('Team forecast'!$B$2:$AO$26,MATCH('Master data'!$B7,'Team forecast'!$B$2:$B$26,0),MATCH('Master data'!BE$1,'Team forecast'!$B$2:$AO$2,0))</f>
        <v>2.3394224481215296</v>
      </c>
      <c r="BF7" s="16">
        <f>INDEX('Team forecast'!$B$2:$AO$26,MATCH('Master data'!$B7,'Team forecast'!$B$2:$B$26,0),MATCH('Master data'!BF$1,'Team forecast'!$B$2:$AO$2,0))</f>
        <v>0.62462402002960304</v>
      </c>
      <c r="BG7" s="16">
        <f>INDEX('Team forecast'!$B$2:$AO$26,MATCH('Master data'!$B7,'Team forecast'!$B$2:$B$26,0),MATCH('Master data'!BG$1,'Team forecast'!$B$2:$AO$2,0))</f>
        <v>0.53546271393231015</v>
      </c>
      <c r="BH7" s="16">
        <f>INDEX('Team forecast'!$B$2:$AO$26,MATCH('Master data'!$B7,'Team forecast'!$B$2:$B$26,0),MATCH('Master data'!BH$1,'Team forecast'!$B$2:$AO$2,0))</f>
        <v>6.2459221342192031</v>
      </c>
      <c r="BI7" s="16">
        <f>INDEX('Team forecast'!$B$2:$AO$26,MATCH('Master data'!$B7,'Team forecast'!$B$2:$B$26,0),MATCH('Master data'!BI$1,'Team forecast'!$B$2:$AO$2,0))</f>
        <v>2.0505333990870809</v>
      </c>
      <c r="BJ7" s="5">
        <f t="shared" si="30"/>
        <v>7000</v>
      </c>
      <c r="BK7" s="5">
        <f>INDEX('Team forecast'!$R$3:$BH$26,MATCH($B7,'Team forecast'!$B$3:$B$26,0),MATCH(BK$1,'Team forecast'!$R$2:$BH$2,0))*IF($X7&gt;0,25000,0)</f>
        <v>19590.099290206468</v>
      </c>
      <c r="BL7" s="5">
        <f>INDEX('Team forecast'!$R$3:$BH$26,MATCH($B7,'Team forecast'!$B$3:$B$26,0),MATCH(BL$1,'Team forecast'!$R$2:$BH$2,0))*IF($X7&gt;0,5000,0)</f>
        <v>771.06630806252645</v>
      </c>
      <c r="BM7" s="5">
        <f>INDEX('Team forecast'!$R$3:$BH$26,MATCH($B7,'Team forecast'!$B$3:$B$26,0),MATCH(BM$1,'Team forecast'!$R$2:$BH$2,0))*IF($X7&gt;0,-15000,0)</f>
        <v>-932.74150168854032</v>
      </c>
      <c r="BN7" s="5">
        <f t="shared" si="31"/>
        <v>49654.483710530694</v>
      </c>
      <c r="BO7" s="5">
        <f t="shared" si="32"/>
        <v>27531.919234928057</v>
      </c>
      <c r="BP7" s="5">
        <f t="shared" si="33"/>
        <v>7835.441085489525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23394.224481215297</v>
      </c>
      <c r="BV7" s="5">
        <f t="shared" si="39"/>
        <v>-4996.992160236824</v>
      </c>
      <c r="BW7" s="5">
        <f t="shared" si="40"/>
        <v>129847.50044850721</v>
      </c>
      <c r="BX7" s="5">
        <f t="shared" si="41"/>
        <v>97768.620547667379</v>
      </c>
      <c r="BY7" s="5">
        <f t="shared" si="42"/>
        <v>293305.86164300214</v>
      </c>
      <c r="BZ7" s="5">
        <f>INDEX('Team forecast'!$R$3:$BH$26,MATCH($B7,'Team forecast'!$B$3:$B$26,0),MATCH(BZ$1,'Team forecast'!$R$2:$BH$2,0))*($BX7-(BY7+CH7)*0.01)</f>
        <v>33360.587103613274</v>
      </c>
      <c r="CA7" s="5">
        <f>INDEX('Team forecast'!$R$3:$BH$26,MATCH($B7,'Team forecast'!$B$3:$B$26,0),MATCH(CA$1,'Team forecast'!$R$2:$BH$2,0))*($BX7-(BY7+BX7+CH7)*0.01)</f>
        <v>16541.775023567032</v>
      </c>
      <c r="CB7" s="5">
        <f>INDEX('Team forecast'!$R$3:$BH$26,MATCH($B7,'Team forecast'!$B$3:$B$26,0),MATCH(CB$1,'Team forecast'!$R$2:$BH$2,0))*($BX7-(BY7+BX7*2+CH7)*0.01)</f>
        <v>8333.3340488183348</v>
      </c>
      <c r="CC7" s="5">
        <f>INDEX('Team forecast'!$R$3:$BH$26,MATCH($B7,'Team forecast'!$B$3:$B$26,0),MATCH(CC$1,'Team forecast'!$R$2:$BH$2,0))*($BX7-(BY7+BX7*3+CH7)*0.01)</f>
        <v>4419.7105896080384</v>
      </c>
      <c r="CD7" s="5">
        <f>+AK7+BD7*Cockpit!$C$3+BW7*Cockpit!$C$3^2+BZ7*Cockpit!$C$3^3+CA7*Cockpit!$C$3^4+CB7*Cockpit!$C$3^5+CC7*Cockpit!$C$3^6</f>
        <v>209859.4670393132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4.8884310273833692E-2</v>
      </c>
      <c r="CK7" s="5">
        <f>RANK(BY7,$BY$2:$BY$623)+COUNTIF($BY$2:$BY7,$BY7)-1</f>
        <v>6</v>
      </c>
      <c r="CL7" s="5">
        <f>RANK(CJ7,$CJ$2:$CJ$623)+COUNTIF($CJ$2:$CJ7,$CJ7)-1</f>
        <v>34</v>
      </c>
    </row>
    <row r="8" spans="1:108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1.5223243214152651</v>
      </c>
      <c r="I8" s="16">
        <f>INDEX('Team forecast'!$B$2:$AO$26,MATCH('Master data'!$B8,'Team forecast'!$B$2:$B$26,0),MATCH('Master data'!I$1,'Team forecast'!$B$2:$AO$2,0))</f>
        <v>0.74990395996081205</v>
      </c>
      <c r="J8" s="16">
        <f>INDEX('Team forecast'!$B$2:$AO$26,MATCH('Master data'!$B8,'Team forecast'!$B$2:$B$26,0),MATCH('Master data'!J$1,'Team forecast'!$B$2:$AO$2,0))</f>
        <v>0.47241192102180191</v>
      </c>
      <c r="K8" s="16">
        <f>INDEX('Team forecast'!$B$2:$AO$26,MATCH('Master data'!$B8,'Team forecast'!$B$2:$B$26,0),MATCH('Master data'!K$1,'Team forecast'!$B$2:$AO$2,0))</f>
        <v>3.7411838276290243</v>
      </c>
      <c r="L8" s="16">
        <f>INDEX('Team forecast'!$B$2:$AO$26,MATCH('Master data'!$B8,'Team forecast'!$B$2:$B$26,0),MATCH('Master data'!L$1,'Team forecast'!$B$2:$AO$2,0))</f>
        <v>2.461805929164282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1.5223243214152651</v>
      </c>
      <c r="T8" s="2">
        <f t="shared" si="5"/>
        <v>0.74990395996081205</v>
      </c>
      <c r="U8" s="16">
        <f>INDEX('Team forecast'!$B$2:$AO$26,MATCH('Master data'!$B8,'Team forecast'!$B$2:$B$26,0),MATCH('Master data'!U$1,'Team forecast'!$B$2:$AO$2,0))</f>
        <v>0.56576277966682864</v>
      </c>
      <c r="V8" s="16">
        <f>INDEX('Team forecast'!$B$2:$AO$26,MATCH('Master data'!$B8,'Team forecast'!$B$2:$B$26,0),MATCH('Master data'!V$1,'Team forecast'!$B$2:$AO$2,0))</f>
        <v>0.26245106723433442</v>
      </c>
      <c r="W8" s="16">
        <f>INDEX('Team forecast'!$B$2:$AO$26,MATCH('Master data'!$B8,'Team forecast'!$B$2:$B$26,0),MATCH('Master data'!W$1,'Team forecast'!$B$2:$AO$2,0))</f>
        <v>0.17178615309883699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2.0067977929974719</v>
      </c>
      <c r="AM8" s="16">
        <f>INDEX('Team forecast'!$B$2:$AO$26,MATCH('Master data'!$B8,'Team forecast'!$B$2:$B$26,0),MATCH('Master data'!AM$1,'Team forecast'!$B$2:$AO$2,0))</f>
        <v>0.66520361079548807</v>
      </c>
      <c r="AN8" s="16">
        <f>INDEX('Team forecast'!$B$2:$AO$26,MATCH('Master data'!$B8,'Team forecast'!$B$2:$B$26,0),MATCH('Master data'!AN$1,'Team forecast'!$B$2:$AO$2,0))</f>
        <v>0.51416882672404407</v>
      </c>
      <c r="AO8" s="16">
        <f>INDEX('Team forecast'!$B$2:$AO$26,MATCH('Master data'!$B8,'Team forecast'!$B$2:$B$26,0),MATCH('Master data'!AO$1,'Team forecast'!$B$2:$AO$2,0))</f>
        <v>4.9318002365645421</v>
      </c>
      <c r="AP8" s="16">
        <f>INDEX('Team forecast'!$B$2:$AO$26,MATCH('Master data'!$B8,'Team forecast'!$B$2:$B$26,0),MATCH('Master data'!AP$1,'Team forecast'!$B$2:$AO$2,0))</f>
        <v>2.1837492273589256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2.2346287595631029</v>
      </c>
      <c r="BF8" s="16">
        <f>INDEX('Team forecast'!$B$2:$AO$26,MATCH('Master data'!$B8,'Team forecast'!$B$2:$B$26,0),MATCH('Master data'!BF$1,'Team forecast'!$B$2:$AO$2,0))</f>
        <v>0.82586154259115363</v>
      </c>
      <c r="BG8" s="16">
        <f>INDEX('Team forecast'!$B$2:$AO$26,MATCH('Master data'!$B8,'Team forecast'!$B$2:$B$26,0),MATCH('Master data'!BG$1,'Team forecast'!$B$2:$AO$2,0))</f>
        <v>0.43785759694850601</v>
      </c>
      <c r="BH8" s="16">
        <f>INDEX('Team forecast'!$B$2:$AO$26,MATCH('Master data'!$B8,'Team forecast'!$B$2:$B$26,0),MATCH('Master data'!BH$1,'Team forecast'!$B$2:$AO$2,0))</f>
        <v>5.4917055836432862</v>
      </c>
      <c r="BI8" s="16">
        <f>INDEX('Team forecast'!$B$2:$AO$26,MATCH('Master data'!$B8,'Team forecast'!$B$2:$B$26,0),MATCH('Master data'!BI$1,'Team forecast'!$B$2:$AO$2,0))</f>
        <v>2.7111616297184336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INDEX('Team forecast'!$R$3:$BH$26,MATCH($B8,'Team forecast'!$B$3:$B$26,0),MATCH(BZ$1,'Team forecast'!$R$2:$BH$2,0))*($BX8-(BY8+CH8)*0.01)</f>
        <v>-52527.59252872465</v>
      </c>
      <c r="CA8" s="5">
        <f>INDEX('Team forecast'!$R$3:$BH$26,MATCH($B8,'Team forecast'!$B$3:$B$26,0),MATCH(CA$1,'Team forecast'!$R$2:$BH$2,0))*($BX8-(BY8+BX8+CH8)*0.01)</f>
        <v>-27085.847266527187</v>
      </c>
      <c r="CB8" s="5">
        <f>INDEX('Team forecast'!$R$3:$BH$26,MATCH($B8,'Team forecast'!$B$3:$B$26,0),MATCH(CB$1,'Team forecast'!$R$2:$BH$2,0))*($BX8-(BY8+BX8*2+CH8)*0.01)</f>
        <v>-14326.068677770125</v>
      </c>
      <c r="CC8" s="5">
        <f>INDEX('Team forecast'!$R$3:$BH$26,MATCH($B8,'Team forecast'!$B$3:$B$26,0),MATCH(CC$1,'Team forecast'!$R$2:$BH$2,0))*($BX8-(BY8+BX8*3+CH8)*0.01)</f>
        <v>-8181.3345132210079</v>
      </c>
      <c r="CD8" s="5">
        <f>+AK8+BD8*Cockpit!$C$3+BW8*Cockpit!$C$3^2+BZ8*Cockpit!$C$3^3+CA8*Cockpit!$C$3^4+CB8*Cockpit!$C$3^5+CC8*Cockpit!$C$3^6</f>
        <v>-34074.389567210586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RANK(BY8,$BY$2:$BY$623)+COUNTIF($BY$2:$BY8,$BY8)-1</f>
        <v>415</v>
      </c>
      <c r="CL8" s="5">
        <f>RANK(CJ8,$CJ$2:$CJ$623)+COUNTIF($CJ$2:$CJ8,$CJ8)-1</f>
        <v>425</v>
      </c>
    </row>
    <row r="9" spans="1:108">
      <c r="A9" t="str">
        <f>Players!P10</f>
        <v>Thorgan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1.5602309947683257</v>
      </c>
      <c r="I9" s="16">
        <f>INDEX('Team forecast'!$B$2:$AO$26,MATCH('Master data'!$B9,'Team forecast'!$B$2:$B$26,0),MATCH('Master data'!I$1,'Team forecast'!$B$2:$AO$2,0))</f>
        <v>0.84461095835632183</v>
      </c>
      <c r="J9" s="16">
        <f>INDEX('Team forecast'!$B$2:$AO$26,MATCH('Master data'!$B9,'Team forecast'!$B$2:$B$26,0),MATCH('Master data'!J$1,'Team forecast'!$B$2:$AO$2,0))</f>
        <v>0.42972450642313093</v>
      </c>
      <c r="K9" s="16">
        <f>INDEX('Team forecast'!$B$2:$AO$26,MATCH('Master data'!$B9,'Team forecast'!$B$2:$B$26,0),MATCH('Master data'!K$1,'Team forecast'!$B$2:$AO$2,0))</f>
        <v>4.1655927994293096</v>
      </c>
      <c r="L9" s="16">
        <f>INDEX('Team forecast'!$B$2:$AO$26,MATCH('Master data'!$B9,'Team forecast'!$B$2:$B$26,0),MATCH('Master data'!L$1,'Team forecast'!$B$2:$AO$2,0))</f>
        <v>2.7727127420788342</v>
      </c>
      <c r="M9">
        <f>IF(Players!BC10=1,95,0)</f>
        <v>95</v>
      </c>
      <c r="N9" s="2">
        <f>Players!BN10</f>
        <v>7.2691978354902931E-2</v>
      </c>
      <c r="O9" s="2">
        <f>Players!BO10</f>
        <v>0.13012514483192522</v>
      </c>
      <c r="P9" s="2">
        <f>Players!BP10</f>
        <v>8.1762718322789224E-2</v>
      </c>
      <c r="Q9" s="2">
        <f>Players!BQ10</f>
        <v>0</v>
      </c>
      <c r="R9" s="2">
        <f>Players!BR10</f>
        <v>0</v>
      </c>
      <c r="S9" s="2">
        <f t="shared" si="4"/>
        <v>1.5602309947683257</v>
      </c>
      <c r="T9" s="2">
        <f t="shared" si="5"/>
        <v>0.84461095835632183</v>
      </c>
      <c r="U9" s="16">
        <f>INDEX('Team forecast'!$B$2:$AO$26,MATCH('Master data'!$B9,'Team forecast'!$B$2:$B$26,0),MATCH('Master data'!U$1,'Team forecast'!$B$2:$AO$2,0))</f>
        <v>0.58357649020425184</v>
      </c>
      <c r="V9" s="16">
        <f>INDEX('Team forecast'!$B$2:$AO$26,MATCH('Master data'!$B9,'Team forecast'!$B$2:$B$26,0),MATCH('Master data'!V$1,'Team forecast'!$B$2:$AO$2,0))</f>
        <v>0.23634847853272201</v>
      </c>
      <c r="W9" s="16">
        <f>INDEX('Team forecast'!$B$2:$AO$26,MATCH('Master data'!$B9,'Team forecast'!$B$2:$B$26,0),MATCH('Master data'!W$1,'Team forecast'!$B$2:$AO$2,0))</f>
        <v>0.18007503126302629</v>
      </c>
      <c r="X9" s="5">
        <f t="shared" si="6"/>
        <v>7000</v>
      </c>
      <c r="Y9" s="5">
        <f t="shared" si="7"/>
        <v>14589.412255106296</v>
      </c>
      <c r="Z9" s="5">
        <f t="shared" si="8"/>
        <v>1181.74239266361</v>
      </c>
      <c r="AA9" s="5">
        <f t="shared" si="9"/>
        <v>-2701.1254689453945</v>
      </c>
      <c r="AB9" s="5">
        <f t="shared" si="10"/>
        <v>14177.034712543476</v>
      </c>
      <c r="AC9" s="5">
        <f t="shared" si="11"/>
        <v>10151.264208274357</v>
      </c>
      <c r="AD9" s="5">
        <f t="shared" si="12"/>
        <v>3405.9019070717768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15602.309947683258</v>
      </c>
      <c r="AJ9" s="5">
        <f t="shared" si="18"/>
        <v>-6756.8876668505745</v>
      </c>
      <c r="AK9" s="5">
        <f>IFERROR(SUM(X9:AJ9),-5000)*((Cockpit!$C$3)^0)</f>
        <v>56649.652287546807</v>
      </c>
      <c r="AL9" s="16">
        <f>INDEX('Team forecast'!$B$2:$AO$26,MATCH('Master data'!$B9,'Team forecast'!$B$2:$B$26,0),MATCH('Master data'!AL$1,'Team forecast'!$B$2:$AO$2,0))</f>
        <v>1.5279674504451852</v>
      </c>
      <c r="AM9" s="16">
        <f>INDEX('Team forecast'!$B$2:$AO$26,MATCH('Master data'!$B9,'Team forecast'!$B$2:$B$26,0),MATCH('Master data'!AM$1,'Team forecast'!$B$2:$AO$2,0))</f>
        <v>1.1610121970988967</v>
      </c>
      <c r="AN9" s="16">
        <f>INDEX('Team forecast'!$B$2:$AO$26,MATCH('Master data'!$B9,'Team forecast'!$B$2:$B$26,0),MATCH('Master data'!AN$1,'Team forecast'!$B$2:$AO$2,0))</f>
        <v>0.31316903161563348</v>
      </c>
      <c r="AO9" s="16">
        <f>INDEX('Team forecast'!$B$2:$AO$26,MATCH('Master data'!$B9,'Team forecast'!$B$2:$B$26,0),MATCH('Master data'!AO$1,'Team forecast'!$B$2:$AO$2,0))</f>
        <v>4.0794537672172888</v>
      </c>
      <c r="AP9" s="16">
        <f>INDEX('Team forecast'!$B$2:$AO$26,MATCH('Master data'!$B9,'Team forecast'!$B$2:$B$26,0),MATCH('Master data'!AP$1,'Team forecast'!$B$2:$AO$2,0))</f>
        <v>3.8114036773448627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11743.838685586257</v>
      </c>
      <c r="AS9" s="16">
        <f>INDEX('Team forecast'!$B$2:$AO$26,MATCH('Master data'!$B9,'Team forecast'!$B$2:$B$26,0),MATCH('Master data'!AS$1,'Team forecast'!$B$2:$AO$2,0))*IF(X9&gt;0,5000,0)</f>
        <v>1381.628080657207</v>
      </c>
      <c r="AT9" s="16">
        <f>INDEX('Team forecast'!$B$2:$AO$26,MATCH('Master data'!$B9,'Team forecast'!$B$2:$B$26,0),MATCH('Master data'!AT$1,'Team forecast'!$B$2:$AO$2,0))*IF(X9&gt;0,-15000,0)</f>
        <v>-3808.8125466766246</v>
      </c>
      <c r="AU9" s="5">
        <f t="shared" si="20"/>
        <v>13883.872104344704</v>
      </c>
      <c r="AV9" s="5">
        <f t="shared" si="21"/>
        <v>9941.3492893823623</v>
      </c>
      <c r="AW9" s="5">
        <f t="shared" si="22"/>
        <v>3335.4722927982857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15279.674504451852</v>
      </c>
      <c r="BC9" s="5">
        <f t="shared" si="28"/>
        <v>-9288.0975767911732</v>
      </c>
      <c r="BD9" s="5">
        <f t="shared" si="29"/>
        <v>49468.92483375287</v>
      </c>
      <c r="BE9" s="16">
        <f>INDEX('Team forecast'!$B$2:$AO$26,MATCH('Master data'!$B9,'Team forecast'!$B$2:$B$26,0),MATCH('Master data'!BE$1,'Team forecast'!$B$2:$AO$2,0))</f>
        <v>2.3394224481215296</v>
      </c>
      <c r="BF9" s="16">
        <f>INDEX('Team forecast'!$B$2:$AO$26,MATCH('Master data'!$B9,'Team forecast'!$B$2:$B$26,0),MATCH('Master data'!BF$1,'Team forecast'!$B$2:$AO$2,0))</f>
        <v>0.62462402002960304</v>
      </c>
      <c r="BG9" s="16">
        <f>INDEX('Team forecast'!$B$2:$AO$26,MATCH('Master data'!$B9,'Team forecast'!$B$2:$B$26,0),MATCH('Master data'!BG$1,'Team forecast'!$B$2:$AO$2,0))</f>
        <v>0.53546271393231015</v>
      </c>
      <c r="BH9" s="16">
        <f>INDEX('Team forecast'!$B$2:$AO$26,MATCH('Master data'!$B9,'Team forecast'!$B$2:$B$26,0),MATCH('Master data'!BH$1,'Team forecast'!$B$2:$AO$2,0))</f>
        <v>6.2459221342192031</v>
      </c>
      <c r="BI9" s="16">
        <f>INDEX('Team forecast'!$B$2:$AO$26,MATCH('Master data'!$B9,'Team forecast'!$B$2:$B$26,0),MATCH('Master data'!BI$1,'Team forecast'!$B$2:$AO$2,0))</f>
        <v>2.0505333990870809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19590.099290206468</v>
      </c>
      <c r="BL9" s="5">
        <f>INDEX('Team forecast'!$R$3:$BH$26,MATCH($B9,'Team forecast'!$B$3:$B$26,0),MATCH(BL$1,'Team forecast'!$R$2:$BH$2,0))*IF($X9&gt;0,5000,0)</f>
        <v>771.06630806252645</v>
      </c>
      <c r="BM9" s="5">
        <f>INDEX('Team forecast'!$R$3:$BH$26,MATCH($B9,'Team forecast'!$B$3:$B$26,0),MATCH(BM$1,'Team forecast'!$R$2:$BH$2,0))*IF($X9&gt;0,-15000,0)</f>
        <v>-932.74150168854032</v>
      </c>
      <c r="BN9" s="5">
        <f t="shared" si="31"/>
        <v>21257.155745228032</v>
      </c>
      <c r="BO9" s="5">
        <f t="shared" si="32"/>
        <v>15220.884244243556</v>
      </c>
      <c r="BP9" s="5">
        <f t="shared" si="33"/>
        <v>5106.8357212623914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23394.224481215297</v>
      </c>
      <c r="BV9" s="5">
        <f t="shared" si="39"/>
        <v>-4996.992160236824</v>
      </c>
      <c r="BW9" s="5">
        <f t="shared" si="40"/>
        <v>86410.532128292907</v>
      </c>
      <c r="BX9" s="5">
        <f t="shared" si="41"/>
        <v>64176.369749864192</v>
      </c>
      <c r="BY9" s="5">
        <f t="shared" si="42"/>
        <v>192529.10924959258</v>
      </c>
      <c r="BZ9" s="5">
        <f>INDEX('Team forecast'!$R$3:$BH$26,MATCH($B9,'Team forecast'!$B$3:$B$26,0),MATCH(BZ$1,'Team forecast'!$R$2:$BH$2,0))*($BX9-(BY9+CH9)*0.01)</f>
        <v>6944.0602572100634</v>
      </c>
      <c r="CA9" s="5">
        <f>INDEX('Team forecast'!$R$3:$BH$26,MATCH($B9,'Team forecast'!$B$3:$B$26,0),MATCH(CA$1,'Team forecast'!$R$2:$BH$2,0))*($BX9-(BY9+BX9+CH9)*0.01)</f>
        <v>3229.0803478517109</v>
      </c>
      <c r="CB9" s="5">
        <f>INDEX('Team forecast'!$R$3:$BH$26,MATCH($B9,'Team forecast'!$B$3:$B$26,0),MATCH(CB$1,'Team forecast'!$R$2:$BH$2,0))*($BX9-(BY9+BX9*2+CH9)*0.01)</f>
        <v>1512.4486460793178</v>
      </c>
      <c r="CC9" s="5">
        <f>INDEX('Team forecast'!$R$3:$BH$26,MATCH($B9,'Team forecast'!$B$3:$B$26,0),MATCH(CC$1,'Team forecast'!$R$2:$BH$2,0))*($BX9-(BY9+BX9*3+CH9)*0.01)</f>
        <v>737.82422232501926</v>
      </c>
      <c r="CD9" s="5">
        <f>+AK9+BD9*Cockpit!$C$3+BW9*Cockpit!$C$3^2+BZ9*Cockpit!$C$3^3+CA9*Cockpit!$C$3^4+CB9*Cockpit!$C$3^5+CC9*Cockpit!$C$3^6</f>
        <v>130992.9037068489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3.5005292590835013E-2</v>
      </c>
      <c r="CK9" s="5">
        <f>RANK(BY9,$BY$2:$BY$623)+COUNTIF($BY$2:$BY9,$BY9)-1</f>
        <v>57</v>
      </c>
      <c r="CL9" s="5">
        <f>RANK(CJ9,$CJ$2:$CJ$623)+COUNTIF($CJ$2:$CJ9,$CJ9)-1</f>
        <v>103</v>
      </c>
    </row>
    <row r="10" spans="1:108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1.2386203137003762</v>
      </c>
      <c r="I10" s="16">
        <f>INDEX('Team forecast'!$B$2:$AO$26,MATCH('Master data'!$B10,'Team forecast'!$B$2:$B$26,0),MATCH('Master data'!I$1,'Team forecast'!$B$2:$AO$2,0))</f>
        <v>1.2386203137003762</v>
      </c>
      <c r="J10" s="16">
        <f>INDEX('Team forecast'!$B$2:$AO$26,MATCH('Master data'!$B10,'Team forecast'!$B$2:$B$26,0),MATCH('Master data'!J$1,'Team forecast'!$B$2:$AO$2,0))</f>
        <v>0.28978375293296982</v>
      </c>
      <c r="K10" s="16">
        <f>INDEX('Team forecast'!$B$2:$AO$26,MATCH('Master data'!$B10,'Team forecast'!$B$2:$B$26,0),MATCH('Master data'!K$1,'Team forecast'!$B$2:$AO$2,0))</f>
        <v>3.2404985504377408</v>
      </c>
      <c r="L10" s="16">
        <f>INDEX('Team forecast'!$B$2:$AO$26,MATCH('Master data'!$B10,'Team forecast'!$B$2:$B$26,0),MATCH('Master data'!L$1,'Team forecast'!$B$2:$AO$2,0))</f>
        <v>3.7600973808761418</v>
      </c>
      <c r="M10">
        <f>IF(Players!BC11=1,95,0)</f>
        <v>95</v>
      </c>
      <c r="N10" s="2">
        <f>Players!BN11</f>
        <v>0.16750928518114253</v>
      </c>
      <c r="O10" s="2">
        <f>Players!BO11</f>
        <v>0.24308707194940229</v>
      </c>
      <c r="P10" s="2">
        <f>Players!BP11</f>
        <v>0.16061760711060022</v>
      </c>
      <c r="Q10" s="2">
        <f>Players!BQ11</f>
        <v>0.16870229007633589</v>
      </c>
      <c r="R10" s="2">
        <f>Players!BR11</f>
        <v>0</v>
      </c>
      <c r="S10" s="2">
        <f t="shared" si="4"/>
        <v>1.2386203137003762</v>
      </c>
      <c r="T10" s="2">
        <f t="shared" si="5"/>
        <v>1.2386203137003762</v>
      </c>
      <c r="U10" s="16">
        <f>INDEX('Team forecast'!$B$2:$AO$26,MATCH('Master data'!$B10,'Team forecast'!$B$2:$B$26,0),MATCH('Master data'!U$1,'Team forecast'!$B$2:$AO$2,0))</f>
        <v>0.36933223413025562</v>
      </c>
      <c r="V10" s="16">
        <f>INDEX('Team forecast'!$B$2:$AO$26,MATCH('Master data'!$B10,'Team forecast'!$B$2:$B$26,0),MATCH('Master data'!V$1,'Team forecast'!$B$2:$AO$2,0))</f>
        <v>0.29431162407254741</v>
      </c>
      <c r="W10" s="16">
        <f>INDEX('Team forecast'!$B$2:$AO$26,MATCH('Master data'!$B10,'Team forecast'!$B$2:$B$26,0),MATCH('Master data'!W$1,'Team forecast'!$B$2:$AO$2,0))</f>
        <v>0.33635614179719708</v>
      </c>
      <c r="X10" s="5">
        <f t="shared" si="6"/>
        <v>7000</v>
      </c>
      <c r="Y10" s="5">
        <f t="shared" si="7"/>
        <v>9233.30585325639</v>
      </c>
      <c r="Z10" s="5">
        <f t="shared" si="8"/>
        <v>1471.5581203627371</v>
      </c>
      <c r="AA10" s="5">
        <f t="shared" si="9"/>
        <v>-5045.3421269579567</v>
      </c>
      <c r="AB10" s="5">
        <f t="shared" si="10"/>
        <v>20748.04033587925</v>
      </c>
      <c r="AC10" s="5">
        <f t="shared" si="11"/>
        <v>15054.62926572373</v>
      </c>
      <c r="AD10" s="5">
        <f t="shared" si="12"/>
        <v>5204.8112301667861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12386.203137003762</v>
      </c>
      <c r="AJ10" s="5">
        <f t="shared" si="18"/>
        <v>-9908.9625096030086</v>
      </c>
      <c r="AK10" s="5">
        <f>IFERROR(SUM(X10:AJ10),-5000)*((Cockpit!$C$3)^0)</f>
        <v>52770.197504304975</v>
      </c>
      <c r="AL10" s="16">
        <f>INDEX('Team forecast'!$B$2:$AO$26,MATCH('Master data'!$B10,'Team forecast'!$B$2:$B$26,0),MATCH('Master data'!AL$1,'Team forecast'!$B$2:$AO$2,0))</f>
        <v>2.140423422331811</v>
      </c>
      <c r="AM10" s="16">
        <f>INDEX('Team forecast'!$B$2:$AO$26,MATCH('Master data'!$B10,'Team forecast'!$B$2:$B$26,0),MATCH('Master data'!AM$1,'Team forecast'!$B$2:$AO$2,0))</f>
        <v>0.80291922538135296</v>
      </c>
      <c r="AN10" s="16">
        <f>INDEX('Team forecast'!$B$2:$AO$26,MATCH('Master data'!$B10,'Team forecast'!$B$2:$B$26,0),MATCH('Master data'!AN$1,'Team forecast'!$B$2:$AO$2,0))</f>
        <v>0.44801918430198229</v>
      </c>
      <c r="AO10" s="16">
        <f>INDEX('Team forecast'!$B$2:$AO$26,MATCH('Master data'!$B10,'Team forecast'!$B$2:$B$26,0),MATCH('Master data'!AO$1,'Team forecast'!$B$2:$AO$2,0))</f>
        <v>5.5998104670734943</v>
      </c>
      <c r="AP10" s="16">
        <f>INDEX('Team forecast'!$B$2:$AO$26,MATCH('Master data'!$B10,'Team forecast'!$B$2:$B$26,0),MATCH('Master data'!AP$1,'Team forecast'!$B$2:$AO$2,0))</f>
        <v>2.4374333627648213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16800.719411324339</v>
      </c>
      <c r="AS10" s="16">
        <f>INDEX('Team forecast'!$B$2:$AO$26,MATCH('Master data'!$B10,'Team forecast'!$B$2:$B$26,0),MATCH('Master data'!AS$1,'Team forecast'!$B$2:$AO$2,0))*IF(X10&gt;0,5000,0)</f>
        <v>1086.42065477386</v>
      </c>
      <c r="AT10" s="16">
        <f>INDEX('Team forecast'!$B$2:$AO$26,MATCH('Master data'!$B10,'Team forecast'!$B$2:$B$26,0),MATCH('Master data'!AT$1,'Team forecast'!$B$2:$AO$2,0))*IF(X10&gt;0,-15000,0)</f>
        <v>-1660.3063888838174</v>
      </c>
      <c r="AU10" s="5">
        <f t="shared" si="20"/>
        <v>35854.079745977637</v>
      </c>
      <c r="AV10" s="5">
        <f t="shared" si="21"/>
        <v>26015.463123327943</v>
      </c>
      <c r="AW10" s="5">
        <f t="shared" si="22"/>
        <v>8994.2815749423717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21404.234223318112</v>
      </c>
      <c r="BC10" s="5">
        <f t="shared" si="28"/>
        <v>-6423.3538030508234</v>
      </c>
      <c r="BD10" s="5">
        <f t="shared" si="29"/>
        <v>105697.4927402029</v>
      </c>
      <c r="BE10" s="16">
        <f>INDEX('Team forecast'!$B$2:$AO$26,MATCH('Master data'!$B10,'Team forecast'!$B$2:$B$26,0),MATCH('Master data'!BE$1,'Team forecast'!$B$2:$AO$2,0))</f>
        <v>1.2965069481471114</v>
      </c>
      <c r="BF10" s="16">
        <f>INDEX('Team forecast'!$B$2:$AO$26,MATCH('Master data'!$B10,'Team forecast'!$B$2:$B$26,0),MATCH('Master data'!BF$1,'Team forecast'!$B$2:$AO$2,0))</f>
        <v>1.0107278258414167</v>
      </c>
      <c r="BG10" s="16">
        <f>INDEX('Team forecast'!$B$2:$AO$26,MATCH('Master data'!$B10,'Team forecast'!$B$2:$B$26,0),MATCH('Master data'!BG$1,'Team forecast'!$B$2:$AO$2,0))</f>
        <v>0.36395398803179979</v>
      </c>
      <c r="BH10" s="16">
        <f>INDEX('Team forecast'!$B$2:$AO$26,MATCH('Master data'!$B10,'Team forecast'!$B$2:$B$26,0),MATCH('Master data'!BH$1,'Team forecast'!$B$2:$AO$2,0))</f>
        <v>3.3919425021794698</v>
      </c>
      <c r="BI10" s="16">
        <f>INDEX('Team forecast'!$B$2:$AO$26,MATCH('Master data'!$B10,'Team forecast'!$B$2:$B$26,0),MATCH('Master data'!BI$1,'Team forecast'!$B$2:$AO$2,0))</f>
        <v>3.0682808998757292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10270.375413343707</v>
      </c>
      <c r="BL10" s="5">
        <f>INDEX('Team forecast'!$R$3:$BH$26,MATCH($B10,'Team forecast'!$B$3:$B$26,0),MATCH(BL$1,'Team forecast'!$R$2:$BH$2,0))*IF($X10&gt;0,5000,0)</f>
        <v>1495.6234195681775</v>
      </c>
      <c r="BM10" s="5">
        <f>INDEX('Team forecast'!$R$3:$BH$26,MATCH($B10,'Team forecast'!$B$3:$B$26,0),MATCH(BM$1,'Team forecast'!$R$2:$BH$2,0))*IF($X10&gt;0,-15000,0)</f>
        <v>-4350.9044932892448</v>
      </c>
      <c r="BN10" s="5">
        <f t="shared" si="31"/>
        <v>21717.695211650724</v>
      </c>
      <c r="BO10" s="5">
        <f t="shared" si="32"/>
        <v>15758.203889356844</v>
      </c>
      <c r="BP10" s="5">
        <f t="shared" si="33"/>
        <v>5448.0568815680826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12965.069481471115</v>
      </c>
      <c r="BV10" s="5">
        <f t="shared" si="39"/>
        <v>-8085.8226067313335</v>
      </c>
      <c r="BW10" s="5">
        <f t="shared" si="40"/>
        <v>58844.251395411353</v>
      </c>
      <c r="BX10" s="5">
        <f t="shared" si="41"/>
        <v>72437.313879973066</v>
      </c>
      <c r="BY10" s="5">
        <f t="shared" si="42"/>
        <v>217311.94163991918</v>
      </c>
      <c r="BZ10" s="5">
        <f>INDEX('Team forecast'!$R$3:$BH$26,MATCH($B10,'Team forecast'!$B$3:$B$26,0),MATCH(BZ$1,'Team forecast'!$R$2:$BH$2,0))*($BX10-(BY10+CH10)*0.01)</f>
        <v>233.20754752187048</v>
      </c>
      <c r="CA10" s="5">
        <f>INDEX('Team forecast'!$R$3:$BH$26,MATCH($B10,'Team forecast'!$B$3:$B$26,0),MATCH(CA$1,'Team forecast'!$R$2:$BH$2,0))*($BX10-(BY10+BX10+CH10)*0.01)</f>
        <v>-211.11997852712184</v>
      </c>
      <c r="CB10" s="5">
        <f>INDEX('Team forecast'!$R$3:$BH$26,MATCH($B10,'Team forecast'!$B$3:$B$26,0),MATCH(CB$1,'Team forecast'!$R$2:$BH$2,0))*($BX10-(BY10+BX10*2+CH10)*0.01)</f>
        <v>-291.14708956148269</v>
      </c>
      <c r="CC10" s="5">
        <f>INDEX('Team forecast'!$R$3:$BH$26,MATCH($B10,'Team forecast'!$B$3:$B$26,0),MATCH(CC$1,'Team forecast'!$R$2:$BH$2,0))*($BX10-(BY10+BX10*3+CH10)*0.01)</f>
        <v>-274.95694613626665</v>
      </c>
      <c r="CD10" s="5">
        <f>+AK10+BD10*Cockpit!$C$3+BW10*Cockpit!$C$3^2+BZ10*Cockpit!$C$3^3+CA10*Cockpit!$C$3^4+CB10*Cockpit!$C$3^5+CC10*Cockpit!$C$3^6</f>
        <v>149353.10986652458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3.1044563091417027E-2</v>
      </c>
      <c r="CK10" s="5">
        <f>RANK(BY10,$BY$2:$BY$623)+COUNTIF($BY$2:$BY10,$BY10)-1</f>
        <v>39</v>
      </c>
      <c r="CL10" s="5">
        <f>RANK(CJ10,$CJ$2:$CJ$623)+COUNTIF($CJ$2:$CJ10,$CJ10)-1</f>
        <v>133</v>
      </c>
    </row>
    <row r="11" spans="1:108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1.5223243214152651</v>
      </c>
      <c r="I11" s="16">
        <f>INDEX('Team forecast'!$B$2:$AO$26,MATCH('Master data'!$B11,'Team forecast'!$B$2:$B$26,0),MATCH('Master data'!I$1,'Team forecast'!$B$2:$AO$2,0))</f>
        <v>0.74990395996081205</v>
      </c>
      <c r="J11" s="16">
        <f>INDEX('Team forecast'!$B$2:$AO$26,MATCH('Master data'!$B11,'Team forecast'!$B$2:$B$26,0),MATCH('Master data'!J$1,'Team forecast'!$B$2:$AO$2,0))</f>
        <v>0.47241192102180191</v>
      </c>
      <c r="K11" s="16">
        <f>INDEX('Team forecast'!$B$2:$AO$26,MATCH('Master data'!$B11,'Team forecast'!$B$2:$B$26,0),MATCH('Master data'!K$1,'Team forecast'!$B$2:$AO$2,0))</f>
        <v>3.7411838276290243</v>
      </c>
      <c r="L11" s="16">
        <f>INDEX('Team forecast'!$B$2:$AO$26,MATCH('Master data'!$B11,'Team forecast'!$B$2:$B$26,0),MATCH('Master data'!L$1,'Team forecast'!$B$2:$AO$2,0))</f>
        <v>2.461805929164282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1.5223243214152651</v>
      </c>
      <c r="T11" s="2">
        <f t="shared" si="5"/>
        <v>0.74990395996081205</v>
      </c>
      <c r="U11" s="16">
        <f>INDEX('Team forecast'!$B$2:$AO$26,MATCH('Master data'!$B11,'Team forecast'!$B$2:$B$26,0),MATCH('Master data'!U$1,'Team forecast'!$B$2:$AO$2,0))</f>
        <v>0.56576277966682864</v>
      </c>
      <c r="V11" s="16">
        <f>INDEX('Team forecast'!$B$2:$AO$26,MATCH('Master data'!$B11,'Team forecast'!$B$2:$B$26,0),MATCH('Master data'!V$1,'Team forecast'!$B$2:$AO$2,0))</f>
        <v>0.26245106723433442</v>
      </c>
      <c r="W11" s="16">
        <f>INDEX('Team forecast'!$B$2:$AO$26,MATCH('Master data'!$B11,'Team forecast'!$B$2:$B$26,0),MATCH('Master data'!W$1,'Team forecast'!$B$2:$AO$2,0))</f>
        <v>0.17178615309883699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2.0067977929974719</v>
      </c>
      <c r="AM11" s="16">
        <f>INDEX('Team forecast'!$B$2:$AO$26,MATCH('Master data'!$B11,'Team forecast'!$B$2:$B$26,0),MATCH('Master data'!AM$1,'Team forecast'!$B$2:$AO$2,0))</f>
        <v>0.66520361079548807</v>
      </c>
      <c r="AN11" s="16">
        <f>INDEX('Team forecast'!$B$2:$AO$26,MATCH('Master data'!$B11,'Team forecast'!$B$2:$B$26,0),MATCH('Master data'!AN$1,'Team forecast'!$B$2:$AO$2,0))</f>
        <v>0.51416882672404407</v>
      </c>
      <c r="AO11" s="16">
        <f>INDEX('Team forecast'!$B$2:$AO$26,MATCH('Master data'!$B11,'Team forecast'!$B$2:$B$26,0),MATCH('Master data'!AO$1,'Team forecast'!$B$2:$AO$2,0))</f>
        <v>4.9318002365645421</v>
      </c>
      <c r="AP11" s="16">
        <f>INDEX('Team forecast'!$B$2:$AO$26,MATCH('Master data'!$B11,'Team forecast'!$B$2:$B$26,0),MATCH('Master data'!AP$1,'Team forecast'!$B$2:$AO$2,0))</f>
        <v>2.1837492273589256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2.2346287595631029</v>
      </c>
      <c r="BF11" s="16">
        <f>INDEX('Team forecast'!$B$2:$AO$26,MATCH('Master data'!$B11,'Team forecast'!$B$2:$B$26,0),MATCH('Master data'!BF$1,'Team forecast'!$B$2:$AO$2,0))</f>
        <v>0.82586154259115363</v>
      </c>
      <c r="BG11" s="16">
        <f>INDEX('Team forecast'!$B$2:$AO$26,MATCH('Master data'!$B11,'Team forecast'!$B$2:$B$26,0),MATCH('Master data'!BG$1,'Team forecast'!$B$2:$AO$2,0))</f>
        <v>0.43785759694850601</v>
      </c>
      <c r="BH11" s="16">
        <f>INDEX('Team forecast'!$B$2:$AO$26,MATCH('Master data'!$B11,'Team forecast'!$B$2:$B$26,0),MATCH('Master data'!BH$1,'Team forecast'!$B$2:$AO$2,0))</f>
        <v>5.4917055836432862</v>
      </c>
      <c r="BI11" s="16">
        <f>INDEX('Team forecast'!$B$2:$AO$26,MATCH('Master data'!$B11,'Team forecast'!$B$2:$B$26,0),MATCH('Master data'!BI$1,'Team forecast'!$B$2:$AO$2,0))</f>
        <v>2.7111616297184336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INDEX('Team forecast'!$R$3:$BH$26,MATCH($B11,'Team forecast'!$B$3:$B$26,0),MATCH(BZ$1,'Team forecast'!$R$2:$BH$2,0))*($BX11-(BY11+CH11)*0.01)</f>
        <v>-57315.887198617507</v>
      </c>
      <c r="CA11" s="5">
        <f>INDEX('Team forecast'!$R$3:$BH$26,MATCH($B11,'Team forecast'!$B$3:$B$26,0),MATCH(CA$1,'Team forecast'!$R$2:$BH$2,0))*($BX11-(BY11+BX11+CH11)*0.01)</f>
        <v>-29557.183695954849</v>
      </c>
      <c r="CB11" s="5">
        <f>INDEX('Team forecast'!$R$3:$BH$26,MATCH($B11,'Team forecast'!$B$3:$B$26,0),MATCH(CB$1,'Team forecast'!$R$2:$BH$2,0))*($BX11-(BY11+BX11*2+CH11)*0.01)</f>
        <v>-15634.385451995708</v>
      </c>
      <c r="CC11" s="5">
        <f>INDEX('Team forecast'!$R$3:$BH$26,MATCH($B11,'Team forecast'!$B$3:$B$26,0),MATCH(CC$1,'Team forecast'!$R$2:$BH$2,0))*($BX11-(BY11+BX11*3+CH11)*0.01)</f>
        <v>-8929.1713060200036</v>
      </c>
      <c r="CD11" s="5">
        <f>+AK11+BD11*Cockpit!$C$3+BW11*Cockpit!$C$3^2+BZ11*Cockpit!$C$3^3+CA11*Cockpit!$C$3^4+CB11*Cockpit!$C$3^5+CC11*Cockpit!$C$3^6</f>
        <v>-36219.251103012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-2.7272727272727275E-3</v>
      </c>
      <c r="CK11" s="5">
        <f>RANK(BY11,$BY$2:$BY$623)+COUNTIF($BY$2:$BY11,$BY11)-1</f>
        <v>416</v>
      </c>
      <c r="CL11" s="5">
        <f>RANK(CJ11,$CJ$2:$CJ$623)+COUNTIF($CJ$2:$CJ11,$CJ11)-1</f>
        <v>420</v>
      </c>
    </row>
    <row r="12" spans="1:108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1.7625676631272518</v>
      </c>
      <c r="I12" s="16">
        <f>INDEX('Team forecast'!$B$2:$AO$26,MATCH('Master data'!$B12,'Team forecast'!$B$2:$B$26,0),MATCH('Master data'!I$1,'Team forecast'!$B$2:$AO$2,0))</f>
        <v>0.75096675144877167</v>
      </c>
      <c r="J12" s="16">
        <f>INDEX('Team forecast'!$B$2:$AO$26,MATCH('Master data'!$B12,'Team forecast'!$B$2:$B$26,0),MATCH('Master data'!J$1,'Team forecast'!$B$2:$AO$2,0))</f>
        <v>0.47191011235955049</v>
      </c>
      <c r="K12" s="16">
        <f>INDEX('Team forecast'!$B$2:$AO$26,MATCH('Master data'!$B12,'Team forecast'!$B$2:$B$26,0),MATCH('Master data'!K$1,'Team forecast'!$B$2:$AO$2,0))</f>
        <v>4.4913621777278765</v>
      </c>
      <c r="L12" s="16">
        <f>INDEX('Team forecast'!$B$2:$AO$26,MATCH('Master data'!$B12,'Team forecast'!$B$2:$B$26,0),MATCH('Master data'!L$1,'Team forecast'!$B$2:$AO$2,0))</f>
        <v>2.0995338051067773</v>
      </c>
      <c r="M12">
        <f>IF(Players!BC13=1,95,0)</f>
        <v>95</v>
      </c>
      <c r="N12" s="2">
        <f>Players!BN13</f>
        <v>0.28359863560257242</v>
      </c>
      <c r="O12" s="2">
        <f>Players!BO13</f>
        <v>6.6745203095072259E-2</v>
      </c>
      <c r="P12" s="2">
        <f>Players!BP13</f>
        <v>0.28476710792482879</v>
      </c>
      <c r="Q12" s="2">
        <f>Players!BQ13</f>
        <v>4.816268283981448E-2</v>
      </c>
      <c r="R12" s="2">
        <f>Players!BR13</f>
        <v>0</v>
      </c>
      <c r="S12" s="2">
        <f t="shared" si="4"/>
        <v>1.7625676631272518</v>
      </c>
      <c r="T12" s="2">
        <f t="shared" si="5"/>
        <v>0.75096675144877167</v>
      </c>
      <c r="U12" s="16">
        <f>INDEX('Team forecast'!$B$2:$AO$26,MATCH('Master data'!$B12,'Team forecast'!$B$2:$B$26,0),MATCH('Master data'!U$1,'Team forecast'!$B$2:$AO$2,0))</f>
        <v>0.6292134831460674</v>
      </c>
      <c r="V12" s="16">
        <f>INDEX('Team forecast'!$B$2:$AO$26,MATCH('Master data'!$B12,'Team forecast'!$B$2:$B$26,0),MATCH('Master data'!V$1,'Team forecast'!$B$2:$AO$2,0))</f>
        <v>0.2359550561797753</v>
      </c>
      <c r="W12" s="16">
        <f>INDEX('Team forecast'!$B$2:$AO$26,MATCH('Master data'!$B12,'Team forecast'!$B$2:$B$26,0),MATCH('Master data'!W$1,'Team forecast'!$B$2:$AO$2,0))</f>
        <v>0.1348314606741573</v>
      </c>
      <c r="X12" s="5">
        <f t="shared" si="6"/>
        <v>7000</v>
      </c>
      <c r="Y12" s="5">
        <f t="shared" si="7"/>
        <v>15730.337078651684</v>
      </c>
      <c r="Z12" s="5">
        <f t="shared" si="8"/>
        <v>1179.7752808988764</v>
      </c>
      <c r="AA12" s="5">
        <f t="shared" si="9"/>
        <v>-2022.4719101123594</v>
      </c>
      <c r="AB12" s="5">
        <f t="shared" si="10"/>
        <v>49986.178442010314</v>
      </c>
      <c r="AC12" s="5">
        <f t="shared" si="11"/>
        <v>5882.1468322117662</v>
      </c>
      <c r="AD12" s="5">
        <f t="shared" si="12"/>
        <v>12789.922179945283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17625.676631272519</v>
      </c>
      <c r="AJ12" s="5">
        <f t="shared" si="18"/>
        <v>-6007.7340115901734</v>
      </c>
      <c r="AK12" s="5">
        <f>IFERROR(SUM(X12:AJ12),-5000)*((Cockpit!$C$3)^0)</f>
        <v>101200.57686649162</v>
      </c>
      <c r="AL12" s="16">
        <f>INDEX('Team forecast'!$B$2:$AO$26,MATCH('Master data'!$B12,'Team forecast'!$B$2:$B$26,0),MATCH('Master data'!AL$1,'Team forecast'!$B$2:$AO$2,0))</f>
        <v>1.1612459518433673</v>
      </c>
      <c r="AM12" s="16">
        <f>INDEX('Team forecast'!$B$2:$AO$26,MATCH('Master data'!$B12,'Team forecast'!$B$2:$B$26,0),MATCH('Master data'!AM$1,'Team forecast'!$B$2:$AO$2,0))</f>
        <v>1.384389503157577</v>
      </c>
      <c r="AN12" s="16">
        <f>INDEX('Team forecast'!$B$2:$AO$26,MATCH('Master data'!$B12,'Team forecast'!$B$2:$B$26,0),MATCH('Master data'!AN$1,'Team forecast'!$B$2:$AO$2,0))</f>
        <v>0.25047666833918708</v>
      </c>
      <c r="AO12" s="16">
        <f>INDEX('Team forecast'!$B$2:$AO$26,MATCH('Master data'!$B12,'Team forecast'!$B$2:$B$26,0),MATCH('Master data'!AO$1,'Team forecast'!$B$2:$AO$2,0))</f>
        <v>2.9590785399382193</v>
      </c>
      <c r="AP12" s="16">
        <f>INDEX('Team forecast'!$B$2:$AO$26,MATCH('Master data'!$B12,'Team forecast'!$B$2:$B$26,0),MATCH('Master data'!AP$1,'Team forecast'!$B$2:$AO$2,0))</f>
        <v>3.8704410757292824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7225.2885097842445</v>
      </c>
      <c r="AS12" s="16">
        <f>INDEX('Team forecast'!$B$2:$AO$26,MATCH('Master data'!$B12,'Team forecast'!$B$2:$B$26,0),MATCH('Master data'!AS$1,'Team forecast'!$B$2:$AO$2,0))*IF(X12&gt;0,5000,0)</f>
        <v>1467.6367285499246</v>
      </c>
      <c r="AT12" s="16">
        <f>INDEX('Team forecast'!$B$2:$AO$26,MATCH('Master data'!$B12,'Team forecast'!$B$2:$B$26,0),MATCH('Master data'!AT$1,'Team forecast'!$B$2:$AO$2,0))*IF(X12&gt;0,-15000,0)</f>
        <v>-6261.91670847968</v>
      </c>
      <c r="AU12" s="5">
        <f t="shared" si="20"/>
        <v>32932.776754178951</v>
      </c>
      <c r="AV12" s="5">
        <f t="shared" si="21"/>
        <v>3875.3798449558026</v>
      </c>
      <c r="AW12" s="5">
        <f t="shared" si="22"/>
        <v>8426.4823794063177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11612.459518433674</v>
      </c>
      <c r="BC12" s="5">
        <f t="shared" si="28"/>
        <v>-11075.116025260617</v>
      </c>
      <c r="BD12" s="5">
        <f t="shared" si="29"/>
        <v>54239.737344772322</v>
      </c>
      <c r="BE12" s="16">
        <f>INDEX('Team forecast'!$B$2:$AO$26,MATCH('Master data'!$B12,'Team forecast'!$B$2:$B$26,0),MATCH('Master data'!BE$1,'Team forecast'!$B$2:$AO$2,0))</f>
        <v>1.0107278258414167</v>
      </c>
      <c r="BF12" s="16">
        <f>INDEX('Team forecast'!$B$2:$AO$26,MATCH('Master data'!$B12,'Team forecast'!$B$2:$B$26,0),MATCH('Master data'!BF$1,'Team forecast'!$B$2:$AO$2,0))</f>
        <v>1.2965069481471114</v>
      </c>
      <c r="BG12" s="16">
        <f>INDEX('Team forecast'!$B$2:$AO$26,MATCH('Master data'!$B12,'Team forecast'!$B$2:$B$26,0),MATCH('Master data'!BG$1,'Team forecast'!$B$2:$AO$2,0))</f>
        <v>0.27348542529246672</v>
      </c>
      <c r="BH12" s="16">
        <f>INDEX('Team forecast'!$B$2:$AO$26,MATCH('Master data'!$B12,'Team forecast'!$B$2:$B$26,0),MATCH('Master data'!BH$1,'Team forecast'!$B$2:$AO$2,0))</f>
        <v>2.5755293393428875</v>
      </c>
      <c r="BI12" s="16">
        <f>INDEX('Team forecast'!$B$2:$AO$26,MATCH('Master data'!$B12,'Team forecast'!$B$2:$B$26,0),MATCH('Master data'!BI$1,'Team forecast'!$B$2:$AO$2,0))</f>
        <v>3.6247412564394597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7251.5074888154077</v>
      </c>
      <c r="BL12" s="5">
        <f>INDEX('Team forecast'!$R$3:$BH$26,MATCH($B12,'Team forecast'!$B$3:$B$26,0),MATCH(BL$1,'Team forecast'!$R$2:$BH$2,0))*IF($X12&gt;0,5000,0)</f>
        <v>1495.6234195681775</v>
      </c>
      <c r="BM12" s="5">
        <f>INDEX('Team forecast'!$R$3:$BH$26,MATCH($B12,'Team forecast'!$B$3:$B$26,0),MATCH(BM$1,'Team forecast'!$R$2:$BH$2,0))*IF($X12&gt;0,-15000,0)</f>
        <v>-6162.2252480062243</v>
      </c>
      <c r="BN12" s="5">
        <f t="shared" si="31"/>
        <v>28664.103237418025</v>
      </c>
      <c r="BO12" s="5">
        <f t="shared" si="32"/>
        <v>3373.0617004813089</v>
      </c>
      <c r="BP12" s="5">
        <f t="shared" si="33"/>
        <v>7334.2604134021904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10107.278258414168</v>
      </c>
      <c r="BV12" s="5">
        <f t="shared" si="39"/>
        <v>-10372.055585176891</v>
      </c>
      <c r="BW12" s="5">
        <f t="shared" si="40"/>
        <v>47728.300028119877</v>
      </c>
      <c r="BX12" s="5">
        <f t="shared" si="41"/>
        <v>67722.871413127941</v>
      </c>
      <c r="BY12" s="5">
        <f t="shared" si="42"/>
        <v>203168.61423938384</v>
      </c>
      <c r="BZ12" s="5">
        <f>INDEX('Team forecast'!$R$3:$BH$26,MATCH($B12,'Team forecast'!$B$3:$B$26,0),MATCH(BZ$1,'Team forecast'!$R$2:$BH$2,0))*($BX12-(BY12+CH12)*0.01)</f>
        <v>-10759.364530172743</v>
      </c>
      <c r="CA12" s="5">
        <f>INDEX('Team forecast'!$R$3:$BH$26,MATCH($B12,'Team forecast'!$B$3:$B$26,0),MATCH(CA$1,'Team forecast'!$R$2:$BH$2,0))*($BX12-(BY12+BX12+CH12)*0.01)</f>
        <v>-5742.5571271746066</v>
      </c>
      <c r="CB12" s="5">
        <f>INDEX('Team forecast'!$R$3:$BH$26,MATCH($B12,'Team forecast'!$B$3:$B$26,0),MATCH(CB$1,'Team forecast'!$R$2:$BH$2,0))*($BX12-(BY12+BX12*2+CH12)*0.01)</f>
        <v>-3107.5271216232281</v>
      </c>
      <c r="CC12" s="5">
        <f>INDEX('Team forecast'!$R$3:$BH$26,MATCH($B12,'Team forecast'!$B$3:$B$26,0),MATCH(CC$1,'Team forecast'!$R$2:$BH$2,0))*($BX12-(BY12+BX12*3+CH12)*0.01)</f>
        <v>-1764.2013168684121</v>
      </c>
      <c r="CD12" s="5">
        <f>+AK12+BD12*Cockpit!$C$3+BW12*Cockpit!$C$3^2+BZ12*Cockpit!$C$3^3+CA12*Cockpit!$C$3^4+CB12*Cockpit!$C$3^5+CC12*Cockpit!$C$3^6</f>
        <v>153686.5838704482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2.539607677992298E-2</v>
      </c>
      <c r="CK12" s="5">
        <f>RANK(BY12,$BY$2:$BY$623)+COUNTIF($BY$2:$BY12,$BY12)-1</f>
        <v>49</v>
      </c>
      <c r="CL12" s="5">
        <f>RANK(CJ12,$CJ$2:$CJ$623)+COUNTIF($CJ$2:$CJ12,$CJ12)-1</f>
        <v>202</v>
      </c>
    </row>
    <row r="13" spans="1:108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1.7533592214060363</v>
      </c>
      <c r="I13" s="16">
        <f>INDEX('Team forecast'!$B$2:$AO$26,MATCH('Master data'!$B13,'Team forecast'!$B$2:$B$26,0),MATCH('Master data'!I$1,'Team forecast'!$B$2:$AO$2,0))</f>
        <v>0.63639779406972985</v>
      </c>
      <c r="J13" s="16">
        <f>INDEX('Team forecast'!$B$2:$AO$26,MATCH('Master data'!$B13,'Team forecast'!$B$2:$B$26,0),MATCH('Master data'!J$1,'Team forecast'!$B$2:$AO$2,0))</f>
        <v>0.52919526509499659</v>
      </c>
      <c r="K13" s="16">
        <f>INDEX('Team forecast'!$B$2:$AO$26,MATCH('Master data'!$B13,'Team forecast'!$B$2:$B$26,0),MATCH('Master data'!K$1,'Team forecast'!$B$2:$AO$2,0))</f>
        <v>4.835748720224867</v>
      </c>
      <c r="L13" s="16">
        <f>INDEX('Team forecast'!$B$2:$AO$26,MATCH('Master data'!$B13,'Team forecast'!$B$2:$B$26,0),MATCH('Master data'!L$1,'Team forecast'!$B$2:$AO$2,0))</f>
        <v>2.0891846775016383</v>
      </c>
      <c r="M13">
        <f>IF(Players!BC14=1,95,0)</f>
        <v>95</v>
      </c>
      <c r="N13" s="2">
        <f>Players!BN14</f>
        <v>0.18216888973758572</v>
      </c>
      <c r="O13" s="2">
        <f>Players!BO14</f>
        <v>0.12563909310493884</v>
      </c>
      <c r="P13" s="2">
        <f>Players!BP14</f>
        <v>0.17467268967565333</v>
      </c>
      <c r="Q13" s="2">
        <f>Players!BQ14</f>
        <v>6.6931085770946946E-2</v>
      </c>
      <c r="R13" s="2">
        <f>Players!BR14</f>
        <v>4.4620723847297962E-2</v>
      </c>
      <c r="S13" s="2">
        <f>H13</f>
        <v>1.7533592214060363</v>
      </c>
      <c r="T13" s="2">
        <f>I13</f>
        <v>0.63639779406972985</v>
      </c>
      <c r="U13" s="16">
        <f>INDEX('Team forecast'!$B$2:$AO$26,MATCH('Master data'!$B13,'Team forecast'!$B$2:$B$26,0),MATCH('Master data'!U$1,'Team forecast'!$B$2:$AO$2,0))</f>
        <v>0.68039391226499568</v>
      </c>
      <c r="V13" s="16">
        <f>INDEX('Team forecast'!$B$2:$AO$26,MATCH('Master data'!$B13,'Team forecast'!$B$2:$B$26,0),MATCH('Master data'!V$1,'Team forecast'!$B$2:$AO$2,0))</f>
        <v>0.20053715308863029</v>
      </c>
      <c r="W13" s="16">
        <f>INDEX('Team forecast'!$B$2:$AO$26,MATCH('Master data'!$B13,'Team forecast'!$B$2:$B$26,0),MATCH('Master data'!W$1,'Team forecast'!$B$2:$AO$2,0))</f>
        <v>0.11906893464637421</v>
      </c>
      <c r="X13" s="5">
        <f>IF(M13&gt;95,7000*2,IF(M13&gt;0,7000,-5000))</f>
        <v>7000</v>
      </c>
      <c r="Y13" s="5">
        <f>IF($X13&gt;0,U13*25000,0)</f>
        <v>17009.847806624894</v>
      </c>
      <c r="Z13" s="5">
        <f>IF($X13&gt;0,V13*5000,0)</f>
        <v>1002.6857654431515</v>
      </c>
      <c r="AA13" s="5">
        <f>IF($X13&gt;0,W13*(-15000),0)</f>
        <v>-1786.0340196956131</v>
      </c>
      <c r="AB13" s="5">
        <f>IF($C13="Defense",$N13*150000,IF($C13="Midfield",$N13*125000,IF($C13="Striker",$N13*100000,0)))*$H13</f>
        <v>31940.750267469535</v>
      </c>
      <c r="AC13" s="5">
        <f>$O13*50000*H13</f>
        <v>11014.523123231804</v>
      </c>
      <c r="AD13" s="5">
        <f>$P13*K13*10000</f>
        <v>8446.7323555727598</v>
      </c>
      <c r="AE13" s="5">
        <f>IF($C13="Goalkeeper",J13*75000,IF($C13="Defense",J13*50000,0))</f>
        <v>0</v>
      </c>
      <c r="AF13" s="5">
        <f>IF($C13="Goalkeeper",(L13-I13)*5000,0)</f>
        <v>0</v>
      </c>
      <c r="AG13" s="5">
        <f>IF(M13&gt;0,Q13*(-20000),0)</f>
        <v>-1338.6217154189389</v>
      </c>
      <c r="AH13" s="5">
        <f>IF(M13&gt;0,R13*(-50000),0)</f>
        <v>-2231.0361923648979</v>
      </c>
      <c r="AI13" s="5">
        <f>IF(M13&gt;0,S13*10000,0)</f>
        <v>17533.592214060362</v>
      </c>
      <c r="AJ13" s="5">
        <f>IF(M13&gt;0,T13*(-8000),0)</f>
        <v>-5091.1823525578384</v>
      </c>
      <c r="AK13" s="5">
        <f>IFERROR(SUM(X13:AJ13),-5000)*((Cockpit!$C$3)^0)</f>
        <v>83501.25725236522</v>
      </c>
      <c r="AL13" s="16">
        <f>INDEX('Team forecast'!$B$2:$AO$26,MATCH('Master data'!$B13,'Team forecast'!$B$2:$B$26,0),MATCH('Master data'!AL$1,'Team forecast'!$B$2:$AO$2,0))</f>
        <v>1.9080439968215523</v>
      </c>
      <c r="AM13" s="16">
        <f>INDEX('Team forecast'!$B$2:$AO$26,MATCH('Master data'!$B13,'Team forecast'!$B$2:$B$26,0),MATCH('Master data'!AM$1,'Team forecast'!$B$2:$AO$2,0))</f>
        <v>0.77817916464933856</v>
      </c>
      <c r="AN13" s="16">
        <f>INDEX('Team forecast'!$B$2:$AO$26,MATCH('Master data'!$B13,'Team forecast'!$B$2:$B$26,0),MATCH('Master data'!AN$1,'Team forecast'!$B$2:$AO$2,0))</f>
        <v>0.459241453546125</v>
      </c>
      <c r="AO13" s="16">
        <f>INDEX('Team forecast'!$B$2:$AO$26,MATCH('Master data'!$B13,'Team forecast'!$B$2:$B$26,0),MATCH('Master data'!AO$1,'Team forecast'!$B$2:$AO$2,0))</f>
        <v>5.26236791817451</v>
      </c>
      <c r="AP13" s="16">
        <f>INDEX('Team forecast'!$B$2:$AO$26,MATCH('Master data'!$B13,'Team forecast'!$B$2:$B$26,0),MATCH('Master data'!AP$1,'Team forecast'!$B$2:$AO$2,0))</f>
        <v>2.5546285708185357</v>
      </c>
      <c r="AQ13" s="5">
        <f>X13</f>
        <v>7000</v>
      </c>
      <c r="AR13" s="5">
        <f>INDEX('Team forecast'!$B$2:$AO$26,MATCH('Master data'!$B13,'Team forecast'!$B$2:$B$26,0),MATCH('Master data'!AR$1,'Team forecast'!$B$2:$AO$2,0))*IF(X13&gt;0,25000,0)</f>
        <v>16181.32638333662</v>
      </c>
      <c r="AS13" s="16">
        <f>INDEX('Team forecast'!$B$2:$AO$26,MATCH('Master data'!$B13,'Team forecast'!$B$2:$B$26,0),MATCH('Master data'!AS$1,'Team forecast'!$B$2:$AO$2,0))*IF(X13&gt;0,5000,0)</f>
        <v>1059.787969721827</v>
      </c>
      <c r="AT13" s="16">
        <f>INDEX('Team forecast'!$B$2:$AO$26,MATCH('Master data'!$B13,'Team forecast'!$B$2:$B$26,0),MATCH('Master data'!AT$1,'Team forecast'!$B$2:$AO$2,0))*IF(X13&gt;0,-15000,0)</f>
        <v>-2111.8402608325455</v>
      </c>
      <c r="AU13" s="5">
        <f>IF($C13="Defense",$N13*150000,IF($C13="Midfield",$N13*125000,IF($C13="Striker",$N13*100000,0)))*$AL13</f>
        <v>34758.62564714477</v>
      </c>
      <c r="AV13" s="5">
        <f>$O13*50000*AL13</f>
        <v>11986.245868249132</v>
      </c>
      <c r="AW13" s="5">
        <f>$P13*AO13*10000</f>
        <v>9191.9195833040994</v>
      </c>
      <c r="AX13" s="5">
        <f>IF($C13="Goalkeeper",AN13*75000,IF($C13="Defense",AN13*50000,0))</f>
        <v>0</v>
      </c>
      <c r="AY13" s="5">
        <f>IF($C13="Goalkeeper",(AP13-AM13)*5000,0)</f>
        <v>0</v>
      </c>
      <c r="AZ13" s="5">
        <f>$AG13</f>
        <v>-1338.6217154189389</v>
      </c>
      <c r="BA13" s="5">
        <f>$AH13</f>
        <v>-2231.0361923648979</v>
      </c>
      <c r="BB13" s="5">
        <f>IF(X13&gt;0,AL13*10000,0)</f>
        <v>19080.439968215524</v>
      </c>
      <c r="BC13" s="5">
        <f>IF(X13&gt;0,AM13*(-8000),0)</f>
        <v>-6225.4333171947083</v>
      </c>
      <c r="BD13" s="5">
        <f>IFERROR(SUM(AQ13:BC13),0)</f>
        <v>87351.413934160882</v>
      </c>
      <c r="BE13" s="16">
        <f>INDEX('Team forecast'!$B$2:$AO$26,MATCH('Master data'!$B13,'Team forecast'!$B$2:$B$26,0),MATCH('Master data'!BE$1,'Team forecast'!$B$2:$AO$2,0))</f>
        <v>2.3513752571634776</v>
      </c>
      <c r="BF13" s="16">
        <f>INDEX('Team forecast'!$B$2:$AO$26,MATCH('Master data'!$B13,'Team forecast'!$B$2:$B$26,0),MATCH('Master data'!BF$1,'Team forecast'!$B$2:$AO$2,0))</f>
        <v>0.56161379059809569</v>
      </c>
      <c r="BG13" s="16">
        <f>INDEX('Team forecast'!$B$2:$AO$26,MATCH('Master data'!$B13,'Team forecast'!$B$2:$B$26,0),MATCH('Master data'!BG$1,'Team forecast'!$B$2:$AO$2,0))</f>
        <v>0.57028799543769604</v>
      </c>
      <c r="BH13" s="16">
        <f>INDEX('Team forecast'!$B$2:$AO$26,MATCH('Master data'!$B13,'Team forecast'!$B$2:$B$26,0),MATCH('Master data'!BH$1,'Team forecast'!$B$2:$AO$2,0))</f>
        <v>6.4850714855102307</v>
      </c>
      <c r="BI13" s="16">
        <f>INDEX('Team forecast'!$B$2:$AO$26,MATCH('Master data'!$B13,'Team forecast'!$B$2:$B$26,0),MATCH('Master data'!BI$1,'Team forecast'!$B$2:$AO$2,0))</f>
        <v>1.8436816358018293</v>
      </c>
      <c r="BJ13" s="5">
        <f>AQ13</f>
        <v>7000</v>
      </c>
      <c r="BK13" s="5">
        <f>INDEX('Team forecast'!$R$3:$BH$26,MATCH($B13,'Team forecast'!$B$3:$B$26,0),MATCH(BK$1,'Team forecast'!$R$2:$BH$2,0))*IF($X13&gt;0,25000,0)</f>
        <v>19047.619047619046</v>
      </c>
      <c r="BL13" s="5">
        <f>INDEX('Team forecast'!$R$3:$BH$26,MATCH($B13,'Team forecast'!$B$3:$B$26,0),MATCH(BL$1,'Team forecast'!$R$2:$BH$2,0))*IF($X13&gt;0,5000,0)</f>
        <v>850.34013605442146</v>
      </c>
      <c r="BM13" s="5">
        <f>INDEX('Team forecast'!$R$3:$BH$26,MATCH($B13,'Team forecast'!$B$3:$B$26,0),MATCH(BM$1,'Team forecast'!$R$2:$BH$2,0))*IF($X13&gt;0,-15000,0)</f>
        <v>-1020.408163265306</v>
      </c>
      <c r="BN13" s="5">
        <f>IF($C13="Defense",$N13*150000,IF($C13="Midfield",$N13*125000,IF($C13="Striker",$N13*100000,0)))*$BE13</f>
        <v>42834.741995390075</v>
      </c>
      <c r="BO13" s="5">
        <f>$O13*50000*$BE13</f>
        <v>14771.232742970584</v>
      </c>
      <c r="BP13" s="5">
        <f>$P13*BH13*10000</f>
        <v>11327.648791129568</v>
      </c>
      <c r="BQ13" s="5">
        <f>IF($C13="Goalkeeper",BG13*75000,IF($C13="Defense",BG13*50000,0))</f>
        <v>0</v>
      </c>
      <c r="BR13" s="5">
        <f>IF($C13="Goalkeeper",(BI13-BF13)*5000,0)</f>
        <v>0</v>
      </c>
      <c r="BS13" s="5">
        <f>$AG13</f>
        <v>-1338.6217154189389</v>
      </c>
      <c r="BT13" s="5">
        <f>$AH13</f>
        <v>-2231.0361923648979</v>
      </c>
      <c r="BU13" s="5">
        <f>IF(AQ13&gt;0,BE13*10000,0)</f>
        <v>23513.752571634777</v>
      </c>
      <c r="BV13" s="5">
        <f>IF(AQ13&gt;0,BF13*(-8000),0)</f>
        <v>-4492.9103247847652</v>
      </c>
      <c r="BW13" s="5">
        <f>IFERROR(SUM(BJ13:BV13),0)</f>
        <v>110262.35888896455</v>
      </c>
      <c r="BX13" s="5">
        <f>AVERAGE(AK13,BD13,BW13)</f>
        <v>93705.010025163545</v>
      </c>
      <c r="BY13" s="5">
        <f>BX13*3</f>
        <v>281115.03007549065</v>
      </c>
      <c r="BZ13" s="5">
        <f>INDEX('Team forecast'!$R$3:$BH$26,MATCH($B13,'Team forecast'!$B$3:$B$26,0),MATCH(BZ$1,'Team forecast'!$R$2:$BH$2,0))*($BX13-(BY13+CH13)*0.01)</f>
        <v>25033.652634556114</v>
      </c>
      <c r="CA13" s="5">
        <f>INDEX('Team forecast'!$R$3:$BH$26,MATCH($B13,'Team forecast'!$B$3:$B$26,0),MATCH(CA$1,'Team forecast'!$R$2:$BH$2,0))*($BX13-(BY13+BX13+CH13)*0.01)</f>
        <v>12226.616869502486</v>
      </c>
      <c r="CB13" s="5">
        <f>INDEX('Team forecast'!$R$3:$BH$26,MATCH($B13,'Team forecast'!$B$3:$B$26,0),MATCH(CB$1,'Team forecast'!$R$2:$BH$2,0))*($BX13-(BY13+BX13*2+CH13)*0.01)</f>
        <v>6031.1988807626922</v>
      </c>
      <c r="CC13" s="5">
        <f>INDEX('Team forecast'!$R$3:$BH$26,MATCH($B13,'Team forecast'!$B$3:$B$26,0),MATCH(CC$1,'Team forecast'!$R$2:$BH$2,0))*($BX13-(BY13+BX13*3+CH13)*0.01)</f>
        <v>3080.6417916384107</v>
      </c>
      <c r="CD13" s="5">
        <f>+AK13+BD13*Cockpit!$C$3+BW13*Cockpit!$C$3^2+BZ13*Cockpit!$C$3^3+CA13*Cockpit!$C$3^4+CB13*Cockpit!$C$3^5+CC13*Cockpit!$C$3^6</f>
        <v>201638.22490328053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4.3248466165460103E-2</v>
      </c>
      <c r="CK13" s="5">
        <f>RANK(BY13,$BY$2:$BY$623)+COUNTIF($BY$2:$BY13,$BY13)-1</f>
        <v>11</v>
      </c>
      <c r="CL13" s="5">
        <f>RANK(CJ13,$CJ$2:$CJ$623)+COUNTIF($CJ$2:$CJ13,$CJ13)-1</f>
        <v>62</v>
      </c>
    </row>
    <row r="14" spans="1:108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1.2386203137003762</v>
      </c>
      <c r="I14" s="16">
        <f>INDEX('Team forecast'!$B$2:$AO$26,MATCH('Master data'!$B14,'Team forecast'!$B$2:$B$26,0),MATCH('Master data'!I$1,'Team forecast'!$B$2:$AO$2,0))</f>
        <v>1.2386203137003762</v>
      </c>
      <c r="J14" s="16">
        <f>INDEX('Team forecast'!$B$2:$AO$26,MATCH('Master data'!$B14,'Team forecast'!$B$2:$B$26,0),MATCH('Master data'!J$1,'Team forecast'!$B$2:$AO$2,0))</f>
        <v>0.28978375293296982</v>
      </c>
      <c r="K14" s="16">
        <f>INDEX('Team forecast'!$B$2:$AO$26,MATCH('Master data'!$B14,'Team forecast'!$B$2:$B$26,0),MATCH('Master data'!K$1,'Team forecast'!$B$2:$AO$2,0))</f>
        <v>3.2404985504377408</v>
      </c>
      <c r="L14" s="16">
        <f>INDEX('Team forecast'!$B$2:$AO$26,MATCH('Master data'!$B14,'Team forecast'!$B$2:$B$26,0),MATCH('Master data'!L$1,'Team forecast'!$B$2:$AO$2,0))</f>
        <v>3.7600973808761418</v>
      </c>
      <c r="M14">
        <f>IF(Players!BC15=1,95,0)</f>
        <v>95</v>
      </c>
      <c r="N14" s="2">
        <f>Players!BN15</f>
        <v>0.21604211100615764</v>
      </c>
      <c r="O14" s="2">
        <f>Players!BO15</f>
        <v>0.1166846872846454</v>
      </c>
      <c r="P14" s="2">
        <f>Players!BP15</f>
        <v>0.23465536412025764</v>
      </c>
      <c r="Q14" s="2">
        <f>Players!BQ15</f>
        <v>0.55602378490175808</v>
      </c>
      <c r="R14" s="2">
        <f>Players!BR15</f>
        <v>0</v>
      </c>
      <c r="S14" s="2">
        <f>H14</f>
        <v>1.2386203137003762</v>
      </c>
      <c r="T14" s="2">
        <f>I14</f>
        <v>1.2386203137003762</v>
      </c>
      <c r="U14" s="16">
        <f>INDEX('Team forecast'!$B$2:$AO$26,MATCH('Master data'!$B14,'Team forecast'!$B$2:$B$26,0),MATCH('Master data'!U$1,'Team forecast'!$B$2:$AO$2,0))</f>
        <v>0.36933223413025562</v>
      </c>
      <c r="V14" s="16">
        <f>INDEX('Team forecast'!$B$2:$AO$26,MATCH('Master data'!$B14,'Team forecast'!$B$2:$B$26,0),MATCH('Master data'!V$1,'Team forecast'!$B$2:$AO$2,0))</f>
        <v>0.29431162407254741</v>
      </c>
      <c r="W14" s="16">
        <f>INDEX('Team forecast'!$B$2:$AO$26,MATCH('Master data'!$B14,'Team forecast'!$B$2:$B$26,0),MATCH('Master data'!W$1,'Team forecast'!$B$2:$AO$2,0))</f>
        <v>0.33635614179719708</v>
      </c>
      <c r="X14" s="5">
        <f>IF(M14&gt;95,7000*2,IF(M14&gt;0,7000,-5000))</f>
        <v>7000</v>
      </c>
      <c r="Y14" s="5">
        <f>IF($X14&gt;0,U14*25000,0)</f>
        <v>9233.30585325639</v>
      </c>
      <c r="Z14" s="5">
        <f>IF($X14&gt;0,V14*5000,0)</f>
        <v>1471.5581203627371</v>
      </c>
      <c r="AA14" s="5">
        <f>IF($X14&gt;0,W14*(-15000),0)</f>
        <v>-5045.3421269579567</v>
      </c>
      <c r="AB14" s="5">
        <f>IF($C14="Defense",$N14*150000,IF($C14="Midfield",$N14*125000,IF($C14="Striker",$N14*100000,0)))*$H14</f>
        <v>26759.414730693847</v>
      </c>
      <c r="AC14" s="5">
        <f>$O14*50000*H14</f>
        <v>7226.4011984268891</v>
      </c>
      <c r="AD14" s="5">
        <f>$P14*K14*10000</f>
        <v>7604.0036728413515</v>
      </c>
      <c r="AE14" s="5">
        <f>IF($C14="Goalkeeper",J14*75000,IF($C14="Defense",J14*50000,0))</f>
        <v>0</v>
      </c>
      <c r="AF14" s="5">
        <f>IF($C14="Goalkeeper",(L14-I14)*5000,0)</f>
        <v>0</v>
      </c>
      <c r="AG14" s="5">
        <f>IF(M14&gt;0,Q14*(-20000),0)</f>
        <v>-11120.475698035161</v>
      </c>
      <c r="AH14" s="5">
        <f>IF(M14&gt;0,R14*(-50000),0)</f>
        <v>0</v>
      </c>
      <c r="AI14" s="5">
        <f>IF(M14&gt;0,S14*10000,0)</f>
        <v>12386.203137003762</v>
      </c>
      <c r="AJ14" s="5">
        <f>IF(M14&gt;0,T14*(-8000),0)</f>
        <v>-9908.9625096030086</v>
      </c>
      <c r="AK14" s="5">
        <f>IFERROR(SUM(X14:AJ14),-5000)*((Cockpit!$C$3)^0)</f>
        <v>45606.10637798885</v>
      </c>
      <c r="AL14" s="16">
        <f>INDEX('Team forecast'!$B$2:$AO$26,MATCH('Master data'!$B14,'Team forecast'!$B$2:$B$26,0),MATCH('Master data'!AL$1,'Team forecast'!$B$2:$AO$2,0))</f>
        <v>2.140423422331811</v>
      </c>
      <c r="AM14" s="16">
        <f>INDEX('Team forecast'!$B$2:$AO$26,MATCH('Master data'!$B14,'Team forecast'!$B$2:$B$26,0),MATCH('Master data'!AM$1,'Team forecast'!$B$2:$AO$2,0))</f>
        <v>0.80291922538135296</v>
      </c>
      <c r="AN14" s="16">
        <f>INDEX('Team forecast'!$B$2:$AO$26,MATCH('Master data'!$B14,'Team forecast'!$B$2:$B$26,0),MATCH('Master data'!AN$1,'Team forecast'!$B$2:$AO$2,0))</f>
        <v>0.44801918430198229</v>
      </c>
      <c r="AO14" s="16">
        <f>INDEX('Team forecast'!$B$2:$AO$26,MATCH('Master data'!$B14,'Team forecast'!$B$2:$B$26,0),MATCH('Master data'!AO$1,'Team forecast'!$B$2:$AO$2,0))</f>
        <v>5.5998104670734943</v>
      </c>
      <c r="AP14" s="16">
        <f>INDEX('Team forecast'!$B$2:$AO$26,MATCH('Master data'!$B14,'Team forecast'!$B$2:$B$26,0),MATCH('Master data'!AP$1,'Team forecast'!$B$2:$AO$2,0))</f>
        <v>2.4374333627648213</v>
      </c>
      <c r="AQ14" s="5">
        <f>X14</f>
        <v>7000</v>
      </c>
      <c r="AR14" s="5">
        <f>INDEX('Team forecast'!$B$2:$AO$26,MATCH('Master data'!$B14,'Team forecast'!$B$2:$B$26,0),MATCH('Master data'!AR$1,'Team forecast'!$B$2:$AO$2,0))*IF(X14&gt;0,25000,0)</f>
        <v>16800.719411324339</v>
      </c>
      <c r="AS14" s="16">
        <f>INDEX('Team forecast'!$B$2:$AO$26,MATCH('Master data'!$B14,'Team forecast'!$B$2:$B$26,0),MATCH('Master data'!AS$1,'Team forecast'!$B$2:$AO$2,0))*IF(X14&gt;0,5000,0)</f>
        <v>1086.42065477386</v>
      </c>
      <c r="AT14" s="16">
        <f>INDEX('Team forecast'!$B$2:$AO$26,MATCH('Master data'!$B14,'Team forecast'!$B$2:$B$26,0),MATCH('Master data'!AT$1,'Team forecast'!$B$2:$AO$2,0))*IF(X14&gt;0,-15000,0)</f>
        <v>-1660.3063888838174</v>
      </c>
      <c r="AU14" s="5">
        <f>IF($C14="Defense",$N14*150000,IF($C14="Midfield",$N14*125000,IF($C14="Striker",$N14*100000,0)))*$AL14</f>
        <v>46242.1594607589</v>
      </c>
      <c r="AV14" s="5">
        <f>$O14*50000*AL14</f>
        <v>12487.731884575895</v>
      </c>
      <c r="AW14" s="5">
        <f>$P14*AO14*10000</f>
        <v>13140.255641555606</v>
      </c>
      <c r="AX14" s="5">
        <f>IF($C14="Goalkeeper",AN14*75000,IF($C14="Defense",AN14*50000,0))</f>
        <v>0</v>
      </c>
      <c r="AY14" s="5">
        <f>IF($C14="Goalkeeper",(AP14-AM14)*5000,0)</f>
        <v>0</v>
      </c>
      <c r="AZ14" s="5">
        <f>$AG14</f>
        <v>-11120.475698035161</v>
      </c>
      <c r="BA14" s="5">
        <f>$AH14</f>
        <v>0</v>
      </c>
      <c r="BB14" s="5">
        <f>IF(X14&gt;0,AL14*10000,0)</f>
        <v>21404.234223318112</v>
      </c>
      <c r="BC14" s="5">
        <f>IF(X14&gt;0,AM14*(-8000),0)</f>
        <v>-6423.3538030508234</v>
      </c>
      <c r="BD14" s="5">
        <f>IFERROR(SUM(AQ14:BC14),0)</f>
        <v>98957.3853863369</v>
      </c>
      <c r="BE14" s="16">
        <f>INDEX('Team forecast'!$B$2:$AO$26,MATCH('Master data'!$B14,'Team forecast'!$B$2:$B$26,0),MATCH('Master data'!BE$1,'Team forecast'!$B$2:$AO$2,0))</f>
        <v>1.2965069481471114</v>
      </c>
      <c r="BF14" s="16">
        <f>INDEX('Team forecast'!$B$2:$AO$26,MATCH('Master data'!$B14,'Team forecast'!$B$2:$B$26,0),MATCH('Master data'!BF$1,'Team forecast'!$B$2:$AO$2,0))</f>
        <v>1.0107278258414167</v>
      </c>
      <c r="BG14" s="16">
        <f>INDEX('Team forecast'!$B$2:$AO$26,MATCH('Master data'!$B14,'Team forecast'!$B$2:$B$26,0),MATCH('Master data'!BG$1,'Team forecast'!$B$2:$AO$2,0))</f>
        <v>0.36395398803179979</v>
      </c>
      <c r="BH14" s="16">
        <f>INDEX('Team forecast'!$B$2:$AO$26,MATCH('Master data'!$B14,'Team forecast'!$B$2:$B$26,0),MATCH('Master data'!BH$1,'Team forecast'!$B$2:$AO$2,0))</f>
        <v>3.3919425021794698</v>
      </c>
      <c r="BI14" s="16">
        <f>INDEX('Team forecast'!$B$2:$AO$26,MATCH('Master data'!$B14,'Team forecast'!$B$2:$B$26,0),MATCH('Master data'!BI$1,'Team forecast'!$B$2:$AO$2,0))</f>
        <v>3.0682808998757292</v>
      </c>
      <c r="BJ14" s="5">
        <f>AQ14</f>
        <v>7000</v>
      </c>
      <c r="BK14" s="5">
        <f>INDEX('Team forecast'!$R$3:$BH$26,MATCH($B14,'Team forecast'!$B$3:$B$26,0),MATCH(BK$1,'Team forecast'!$R$2:$BH$2,0))*IF($X14&gt;0,25000,0)</f>
        <v>10270.375413343707</v>
      </c>
      <c r="BL14" s="5">
        <f>INDEX('Team forecast'!$R$3:$BH$26,MATCH($B14,'Team forecast'!$B$3:$B$26,0),MATCH(BL$1,'Team forecast'!$R$2:$BH$2,0))*IF($X14&gt;0,5000,0)</f>
        <v>1495.6234195681775</v>
      </c>
      <c r="BM14" s="5">
        <f>INDEX('Team forecast'!$R$3:$BH$26,MATCH($B14,'Team forecast'!$B$3:$B$26,0),MATCH(BM$1,'Team forecast'!$R$2:$BH$2,0))*IF($X14&gt;0,-15000,0)</f>
        <v>-4350.9044932892448</v>
      </c>
      <c r="BN14" s="5">
        <f>IF($C14="Defense",$N14*150000,IF($C14="Midfield",$N14*125000,IF($C14="Striker",$N14*100000,0)))*$BE14</f>
        <v>28010.009801185293</v>
      </c>
      <c r="BO14" s="5">
        <f>$O14*50000*$BE14</f>
        <v>7564.1253903457837</v>
      </c>
      <c r="BP14" s="5">
        <f>$P14*BH14*10000</f>
        <v>7959.3750292390132</v>
      </c>
      <c r="BQ14" s="5">
        <f>IF($C14="Goalkeeper",BG14*75000,IF($C14="Defense",BG14*50000,0))</f>
        <v>0</v>
      </c>
      <c r="BR14" s="5">
        <f>IF($C14="Goalkeeper",(BI14-BF14)*5000,0)</f>
        <v>0</v>
      </c>
      <c r="BS14" s="5">
        <f>$AG14</f>
        <v>-11120.475698035161</v>
      </c>
      <c r="BT14" s="5">
        <f>$AH14</f>
        <v>0</v>
      </c>
      <c r="BU14" s="5">
        <f>IF(AQ14&gt;0,BE14*10000,0)</f>
        <v>12965.069481471115</v>
      </c>
      <c r="BV14" s="5">
        <f>IF(AQ14&gt;0,BF14*(-8000),0)</f>
        <v>-8085.8226067313335</v>
      </c>
      <c r="BW14" s="5">
        <f>IFERROR(SUM(BJ14:BV14),0)</f>
        <v>51707.375737097347</v>
      </c>
      <c r="BX14" s="5">
        <f>AVERAGE(AK14,BD14,BW14)</f>
        <v>65423.622500474368</v>
      </c>
      <c r="BY14" s="5">
        <f>BX14*3</f>
        <v>196270.86750142311</v>
      </c>
      <c r="BZ14" s="5">
        <f>INDEX('Team forecast'!$R$3:$BH$26,MATCH($B14,'Team forecast'!$B$3:$B$26,0),MATCH(BZ$1,'Team forecast'!$R$2:$BH$2,0))*($BX14-(BY14+CH14)*0.01)</f>
        <v>-10185.686524257848</v>
      </c>
      <c r="CA14" s="5">
        <f>INDEX('Team forecast'!$R$3:$BH$26,MATCH($B14,'Team forecast'!$B$3:$B$26,0),MATCH(CA$1,'Team forecast'!$R$2:$BH$2,0))*($BX14-(BY14+BX14+CH14)*0.01)</f>
        <v>-5594.0314094360119</v>
      </c>
      <c r="CB14" s="5">
        <f>INDEX('Team forecast'!$R$3:$BH$26,MATCH($B14,'Team forecast'!$B$3:$B$26,0),MATCH(CB$1,'Team forecast'!$R$2:$BH$2,0))*($BX14-(BY14+BX14*2+CH14)*0.01)</f>
        <v>-3157.7591264633943</v>
      </c>
      <c r="CC14" s="5">
        <f>INDEX('Team forecast'!$R$3:$BH$26,MATCH($B14,'Team forecast'!$B$3:$B$26,0),MATCH(CC$1,'Team forecast'!$R$2:$BH$2,0))*($BX14-(BY14+BX14*3+CH14)*0.01)</f>
        <v>-1944.765965627495</v>
      </c>
      <c r="CD14" s="5">
        <f>+AK14+BD14*Cockpit!$C$3+BW14*Cockpit!$C$3^2+BZ14*Cockpit!$C$3^3+CA14*Cockpit!$C$3^4+CB14*Cockpit!$C$3^5+CC14*Cockpit!$C$3^6</f>
        <v>129849.20696295475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2.6169449000189748E-2</v>
      </c>
      <c r="CK14" s="5">
        <f>RANK(BY14,$BY$2:$BY$623)+COUNTIF($BY$2:$BY14,$BY14)-1</f>
        <v>54</v>
      </c>
      <c r="CL14" s="5">
        <f>RANK(CJ14,$CJ$2:$CJ$623)+COUNTIF($CJ$2:$CJ14,$CJ14)-1</f>
        <v>189</v>
      </c>
    </row>
    <row r="15" spans="1:108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1.2386203137003762</v>
      </c>
      <c r="I15" s="16">
        <f>INDEX('Team forecast'!$B$2:$AO$26,MATCH('Master data'!$B15,'Team forecast'!$B$2:$B$26,0),MATCH('Master data'!I$1,'Team forecast'!$B$2:$AO$2,0))</f>
        <v>1.2386203137003762</v>
      </c>
      <c r="J15" s="16">
        <f>INDEX('Team forecast'!$B$2:$AO$26,MATCH('Master data'!$B15,'Team forecast'!$B$2:$B$26,0),MATCH('Master data'!J$1,'Team forecast'!$B$2:$AO$2,0))</f>
        <v>0.28978375293296982</v>
      </c>
      <c r="K15" s="16">
        <f>INDEX('Team forecast'!$B$2:$AO$26,MATCH('Master data'!$B15,'Team forecast'!$B$2:$B$26,0),MATCH('Master data'!K$1,'Team forecast'!$B$2:$AO$2,0))</f>
        <v>3.2490442399577706</v>
      </c>
      <c r="L15" s="16">
        <f>INDEX('Team forecast'!$B$2:$AO$26,MATCH('Master data'!$B15,'Team forecast'!$B$2:$B$26,0),MATCH('Master data'!L$1,'Team forecast'!$B$2:$AO$2,0))</f>
        <v>3.2998357975681776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>H15</f>
        <v>1.2386203137003762</v>
      </c>
      <c r="T15" s="2">
        <f>I15</f>
        <v>1.2386203137003762</v>
      </c>
      <c r="U15" s="16">
        <f>INDEX('Team forecast'!$B$2:$AO$26,MATCH('Master data'!$B15,'Team forecast'!$B$2:$B$26,0),MATCH('Master data'!U$1,'Team forecast'!$B$2:$AO$2,0))</f>
        <v>0.33635614179719708</v>
      </c>
      <c r="V15" s="16">
        <f>INDEX('Team forecast'!$B$2:$AO$26,MATCH('Master data'!$B15,'Team forecast'!$B$2:$B$26,0),MATCH('Master data'!V$1,'Team forecast'!$B$2:$AO$2,0))</f>
        <v>0.29431162407254741</v>
      </c>
      <c r="W15" s="16">
        <f>INDEX('Team forecast'!$B$2:$AO$26,MATCH('Master data'!$B15,'Team forecast'!$B$2:$B$26,0),MATCH('Master data'!W$1,'Team forecast'!$B$2:$AO$2,0))</f>
        <v>0.36933223413025562</v>
      </c>
      <c r="X15" s="5">
        <f>IF(M15&gt;95,7000*2,IF(M15&gt;0,7000,-5000))</f>
        <v>-5000</v>
      </c>
      <c r="Y15" s="5">
        <f>IF($X15&gt;0,U15*25000,0)</f>
        <v>0</v>
      </c>
      <c r="Z15" s="5">
        <f>IF($X15&gt;0,V15*5000,0)</f>
        <v>0</v>
      </c>
      <c r="AA15" s="5">
        <f>IF($X15&gt;0,W15*(-15000),0)</f>
        <v>0</v>
      </c>
      <c r="AB15" s="5">
        <f>IF($C15="Defense",$N15*150000,IF($C15="Midfield",$N15*125000,IF($C15="Striker",$N15*100000,0)))*$H15</f>
        <v>0</v>
      </c>
      <c r="AC15" s="5">
        <f>$O15*50000*H15</f>
        <v>0</v>
      </c>
      <c r="AD15" s="5">
        <f>$P15*K15*10000</f>
        <v>0</v>
      </c>
      <c r="AE15" s="5">
        <f>IF($C15="Goalkeeper",J15*75000,IF($C15="Defense",J15*50000,0))</f>
        <v>0</v>
      </c>
      <c r="AF15" s="5">
        <f>IF($C15="Goalkeeper",(L15-I15)*5000,0)</f>
        <v>0</v>
      </c>
      <c r="AG15" s="5">
        <f>IF(M15&gt;0,Q15*(-20000),0)</f>
        <v>0</v>
      </c>
      <c r="AH15" s="5">
        <f>IF(M15&gt;0,R15*(-50000),0)</f>
        <v>0</v>
      </c>
      <c r="AI15" s="5">
        <f>IF(M15&gt;0,S15*10000,0)</f>
        <v>0</v>
      </c>
      <c r="AJ15" s="5">
        <f>IF(M15&gt;0,T15*(-8000),0)</f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1.384389503157577</v>
      </c>
      <c r="AM15" s="16">
        <f>INDEX('Team forecast'!$B$2:$AO$26,MATCH('Master data'!$B15,'Team forecast'!$B$2:$B$26,0),MATCH('Master data'!AM$1,'Team forecast'!$B$2:$AO$2,0))</f>
        <v>1.1612459518433673</v>
      </c>
      <c r="AN15" s="16">
        <f>INDEX('Team forecast'!$B$2:$AO$26,MATCH('Master data'!$B15,'Team forecast'!$B$2:$B$26,0),MATCH('Master data'!AN$1,'Team forecast'!$B$2:$AO$2,0))</f>
        <v>0.31309583542398389</v>
      </c>
      <c r="AO15" s="16">
        <f>INDEX('Team forecast'!$B$2:$AO$26,MATCH('Master data'!$B15,'Team forecast'!$B$2:$B$26,0),MATCH('Master data'!AO$1,'Team forecast'!$B$2:$AO$2,0))</f>
        <v>3.6314136715992724</v>
      </c>
      <c r="AP15" s="16">
        <f>INDEX('Team forecast'!$B$2:$AO$26,MATCH('Master data'!$B15,'Team forecast'!$B$2:$B$26,0),MATCH('Master data'!AP$1,'Team forecast'!$B$2:$AO$2,0))</f>
        <v>3.0937010472773676</v>
      </c>
      <c r="AQ15" s="5">
        <f>X15</f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>IF($C15="Defense",$N15*150000,IF($C15="Midfield",$N15*125000,IF($C15="Striker",$N15*100000,0)))*$AL15</f>
        <v>0</v>
      </c>
      <c r="AV15" s="5">
        <f>$O15*50000*AL15</f>
        <v>0</v>
      </c>
      <c r="AW15" s="5">
        <f>$P15*AO15*10000</f>
        <v>0</v>
      </c>
      <c r="AX15" s="5">
        <f>IF($C15="Goalkeeper",AN15*75000,IF($C15="Defense",AN15*50000,0))</f>
        <v>0</v>
      </c>
      <c r="AY15" s="5">
        <f>IF($C15="Goalkeeper",(AP15-AM15)*5000,0)</f>
        <v>0</v>
      </c>
      <c r="AZ15" s="5">
        <f>$AG15</f>
        <v>0</v>
      </c>
      <c r="BA15" s="5">
        <f>$AH15</f>
        <v>0</v>
      </c>
      <c r="BB15" s="5">
        <f>IF(X15&gt;0,AL15*10000,0)</f>
        <v>0</v>
      </c>
      <c r="BC15" s="5">
        <f>IF(X15&gt;0,AM15*(-8000),0)</f>
        <v>0</v>
      </c>
      <c r="BD15" s="5">
        <f>IFERROR(SUM(AQ15:BC15),0)</f>
        <v>-5000</v>
      </c>
      <c r="BE15" s="16">
        <f>INDEX('Team forecast'!$B$2:$AO$26,MATCH('Master data'!$B15,'Team forecast'!$B$2:$B$26,0),MATCH('Master data'!BE$1,'Team forecast'!$B$2:$AO$2,0))</f>
        <v>2.4374022591536644</v>
      </c>
      <c r="BF15" s="16">
        <f>INDEX('Team forecast'!$B$2:$AO$26,MATCH('Master data'!$B15,'Team forecast'!$B$2:$B$26,0),MATCH('Master data'!BF$1,'Team forecast'!$B$2:$AO$2,0))</f>
        <v>0.68661022841383224</v>
      </c>
      <c r="BG15" s="16">
        <f>INDEX('Team forecast'!$B$2:$AO$26,MATCH('Master data'!$B15,'Team forecast'!$B$2:$B$26,0),MATCH('Master data'!BG$1,'Team forecast'!$B$2:$AO$2,0))</f>
        <v>0.50327918232493496</v>
      </c>
      <c r="BH15" s="16">
        <f>INDEX('Team forecast'!$B$2:$AO$26,MATCH('Master data'!$B15,'Team forecast'!$B$2:$B$26,0),MATCH('Master data'!BH$1,'Team forecast'!$B$2:$AO$2,0))</f>
        <v>6.3935878355689084</v>
      </c>
      <c r="BI15" s="16">
        <f>INDEX('Team forecast'!$B$2:$AO$26,MATCH('Master data'!$B15,'Team forecast'!$B$2:$B$26,0),MATCH('Master data'!BI$1,'Team forecast'!$B$2:$AO$2,0))</f>
        <v>1.8292135092857056</v>
      </c>
      <c r="BJ15" s="5">
        <f>AQ15</f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>IF($C15="Defense",$N15*150000,IF($C15="Midfield",$N15*125000,IF($C15="Striker",$N15*100000,0)))*$BE15</f>
        <v>0</v>
      </c>
      <c r="BO15" s="5">
        <f>$O15*50000*$BE15</f>
        <v>0</v>
      </c>
      <c r="BP15" s="5">
        <f>$P15*BH15*10000</f>
        <v>0</v>
      </c>
      <c r="BQ15" s="5">
        <f>IF($C15="Goalkeeper",BG15*75000,IF($C15="Defense",BG15*50000,0))</f>
        <v>0</v>
      </c>
      <c r="BR15" s="5">
        <f>IF($C15="Goalkeeper",(BI15-BF15)*5000,0)</f>
        <v>0</v>
      </c>
      <c r="BS15" s="5">
        <f>$AG15</f>
        <v>0</v>
      </c>
      <c r="BT15" s="5">
        <f>$AH15</f>
        <v>0</v>
      </c>
      <c r="BU15" s="5">
        <f>IF(AQ15&gt;0,BE15*10000,0)</f>
        <v>0</v>
      </c>
      <c r="BV15" s="5">
        <f>IF(AQ15&gt;0,BF15*(-8000),0)</f>
        <v>0</v>
      </c>
      <c r="BW15" s="5">
        <f>IFERROR(SUM(BJ15:BV15),0)</f>
        <v>-5000</v>
      </c>
      <c r="BX15" s="5">
        <f>AVERAGE(AK15,BD15,BW15)</f>
        <v>-5000</v>
      </c>
      <c r="BY15" s="5">
        <f>BX15*3</f>
        <v>-15000</v>
      </c>
      <c r="BZ15" s="5">
        <f>INDEX('Team forecast'!$R$3:$BH$26,MATCH($B15,'Team forecast'!$B$3:$B$26,0),MATCH(BZ$1,'Team forecast'!$R$2:$BH$2,0))*($BX15-(BY15+CH15)*0.01)</f>
        <v>-57745.993667211405</v>
      </c>
      <c r="CA15" s="5">
        <f>INDEX('Team forecast'!$R$3:$BH$26,MATCH($B15,'Team forecast'!$B$3:$B$26,0),MATCH(CA$1,'Team forecast'!$R$2:$BH$2,0))*($BX15-(BY15+BX15+CH15)*0.01)</f>
        <v>-29323.783776904798</v>
      </c>
      <c r="CB15" s="5">
        <f>INDEX('Team forecast'!$R$3:$BH$26,MATCH($B15,'Team forecast'!$B$3:$B$26,0),MATCH(CB$1,'Team forecast'!$R$2:$BH$2,0))*($BX15-(BY15+BX15*2+CH15)*0.01)</f>
        <v>-15095.457106705529</v>
      </c>
      <c r="CC15" s="5">
        <f>INDEX('Team forecast'!$R$3:$BH$26,MATCH($B15,'Team forecast'!$B$3:$B$26,0),MATCH(CC$1,'Team forecast'!$R$2:$BH$2,0))*($BX15-(BY15+BX15*3+CH15)*0.01)</f>
        <v>-8115.1162093906078</v>
      </c>
      <c r="CD15" s="5">
        <f>+AK15+BD15*Cockpit!$C$3+BW15*Cockpit!$C$3^2+BZ15*Cockpit!$C$3^3+CA15*Cockpit!$C$3^4+CB15*Cockpit!$C$3^5+CC15*Cockpit!$C$3^6</f>
        <v>-36158.149266991328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-2.5000000000000001E-3</v>
      </c>
      <c r="CK15" s="5">
        <f>RANK(BY15,$BY$2:$BY$623)+COUNTIF($BY$2:$BY15,$BY15)-1</f>
        <v>417</v>
      </c>
      <c r="CL15" s="5">
        <f>RANK(CJ15,$CJ$2:$CJ$623)+COUNTIF($CJ$2:$CJ15,$CJ15)-1</f>
        <v>417</v>
      </c>
    </row>
    <row r="16" spans="1:108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1.5223243214152651</v>
      </c>
      <c r="I16" s="16">
        <f>INDEX('Team forecast'!$B$2:$AO$26,MATCH('Master data'!$B16,'Team forecast'!$B$2:$B$26,0),MATCH('Master data'!I$1,'Team forecast'!$B$2:$AO$2,0))</f>
        <v>0.74990395996081205</v>
      </c>
      <c r="J16" s="16">
        <f>INDEX('Team forecast'!$B$2:$AO$26,MATCH('Master data'!$B16,'Team forecast'!$B$2:$B$26,0),MATCH('Master data'!J$1,'Team forecast'!$B$2:$AO$2,0))</f>
        <v>0.47241192102180191</v>
      </c>
      <c r="K16" s="16">
        <f>INDEX('Team forecast'!$B$2:$AO$26,MATCH('Master data'!$B16,'Team forecast'!$B$2:$B$26,0),MATCH('Master data'!K$1,'Team forecast'!$B$2:$AO$2,0))</f>
        <v>3.7411838276290243</v>
      </c>
      <c r="L16" s="16">
        <f>INDEX('Team forecast'!$B$2:$AO$26,MATCH('Master data'!$B16,'Team forecast'!$B$2:$B$26,0),MATCH('Master data'!L$1,'Team forecast'!$B$2:$AO$2,0))</f>
        <v>2.461805929164282</v>
      </c>
      <c r="M16">
        <f>IF(Players!BC17=1,95,0)</f>
        <v>0</v>
      </c>
      <c r="N16" s="2">
        <f>Players!BN17</f>
        <v>0</v>
      </c>
      <c r="O16" s="2">
        <f>Players!BO17</f>
        <v>0</v>
      </c>
      <c r="P16" s="2">
        <f>Players!BP17</f>
        <v>0</v>
      </c>
      <c r="Q16" s="2">
        <f>Players!BQ17</f>
        <v>0.12362637362637363</v>
      </c>
      <c r="R16" s="2">
        <f>Players!BR17</f>
        <v>0</v>
      </c>
      <c r="S16" s="2">
        <f>H16</f>
        <v>1.5223243214152651</v>
      </c>
      <c r="T16" s="2">
        <f>I16</f>
        <v>0.74990395996081205</v>
      </c>
      <c r="U16" s="16">
        <f>INDEX('Team forecast'!$B$2:$AO$26,MATCH('Master data'!$B16,'Team forecast'!$B$2:$B$26,0),MATCH('Master data'!U$1,'Team forecast'!$B$2:$AO$2,0))</f>
        <v>0.56576277966682864</v>
      </c>
      <c r="V16" s="16">
        <f>INDEX('Team forecast'!$B$2:$AO$26,MATCH('Master data'!$B16,'Team forecast'!$B$2:$B$26,0),MATCH('Master data'!V$1,'Team forecast'!$B$2:$AO$2,0))</f>
        <v>0.26245106723433442</v>
      </c>
      <c r="W16" s="16">
        <f>INDEX('Team forecast'!$B$2:$AO$26,MATCH('Master data'!$B16,'Team forecast'!$B$2:$B$26,0),MATCH('Master data'!W$1,'Team forecast'!$B$2:$AO$2,0))</f>
        <v>0.17178615309883699</v>
      </c>
      <c r="X16" s="5">
        <f>IF(M16&gt;95,7000*2,IF(M16&gt;0,7000,-5000))</f>
        <v>-5000</v>
      </c>
      <c r="Y16" s="5">
        <f>IF($X16&gt;0,U16*25000,0)</f>
        <v>0</v>
      </c>
      <c r="Z16" s="5">
        <f>IF($X16&gt;0,V16*5000,0)</f>
        <v>0</v>
      </c>
      <c r="AA16" s="5">
        <f>IF($X16&gt;0,W16*(-15000),0)</f>
        <v>0</v>
      </c>
      <c r="AB16" s="5">
        <f>IF($C16="Defense",$N16*150000,IF($C16="Midfield",$N16*125000,IF($C16="Striker",$N16*100000,0)))*$H16</f>
        <v>0</v>
      </c>
      <c r="AC16" s="5">
        <f>$O16*50000*H16</f>
        <v>0</v>
      </c>
      <c r="AD16" s="5">
        <f>$P16*K16*10000</f>
        <v>0</v>
      </c>
      <c r="AE16" s="5">
        <f>IF($C16="Goalkeeper",J16*75000,IF($C16="Defense",J16*50000,0))</f>
        <v>0</v>
      </c>
      <c r="AF16" s="5">
        <f>IF($C16="Goalkeeper",(L16-I16)*5000,0)</f>
        <v>0</v>
      </c>
      <c r="AG16" s="5">
        <f>IF(M16&gt;0,Q16*(-20000),0)</f>
        <v>0</v>
      </c>
      <c r="AH16" s="5">
        <f>IF(M16&gt;0,R16*(-50000),0)</f>
        <v>0</v>
      </c>
      <c r="AI16" s="5">
        <f>IF(M16&gt;0,S16*10000,0)</f>
        <v>0</v>
      </c>
      <c r="AJ16" s="5">
        <f>IF(M16&gt;0,T16*(-8000),0)</f>
        <v>0</v>
      </c>
      <c r="AK16" s="5">
        <f>IFERROR(SUM(X16:AJ16),-5000)*((Cockpit!$C$3)^0)</f>
        <v>-5000</v>
      </c>
      <c r="AL16" s="16">
        <f>INDEX('Team forecast'!$B$2:$AO$26,MATCH('Master data'!$B16,'Team forecast'!$B$2:$B$26,0),MATCH('Master data'!AL$1,'Team forecast'!$B$2:$AO$2,0))</f>
        <v>2.0067977929974719</v>
      </c>
      <c r="AM16" s="16">
        <f>INDEX('Team forecast'!$B$2:$AO$26,MATCH('Master data'!$B16,'Team forecast'!$B$2:$B$26,0),MATCH('Master data'!AM$1,'Team forecast'!$B$2:$AO$2,0))</f>
        <v>0.66520361079548807</v>
      </c>
      <c r="AN16" s="16">
        <f>INDEX('Team forecast'!$B$2:$AO$26,MATCH('Master data'!$B16,'Team forecast'!$B$2:$B$26,0),MATCH('Master data'!AN$1,'Team forecast'!$B$2:$AO$2,0))</f>
        <v>0.51416882672404407</v>
      </c>
      <c r="AO16" s="16">
        <f>INDEX('Team forecast'!$B$2:$AO$26,MATCH('Master data'!$B16,'Team forecast'!$B$2:$B$26,0),MATCH('Master data'!AO$1,'Team forecast'!$B$2:$AO$2,0))</f>
        <v>4.9318002365645421</v>
      </c>
      <c r="AP16" s="16">
        <f>INDEX('Team forecast'!$B$2:$AO$26,MATCH('Master data'!$B16,'Team forecast'!$B$2:$B$26,0),MATCH('Master data'!AP$1,'Team forecast'!$B$2:$AO$2,0))</f>
        <v>2.1837492273589256</v>
      </c>
      <c r="AQ16" s="5">
        <f>X16</f>
        <v>-5000</v>
      </c>
      <c r="AR16" s="5">
        <f>INDEX('Team forecast'!$B$2:$AO$26,MATCH('Master data'!$B16,'Team forecast'!$B$2:$B$26,0),MATCH('Master data'!AR$1,'Team forecast'!$B$2:$AO$2,0))*IF(X16&gt;0,25000,0)</f>
        <v>0</v>
      </c>
      <c r="AS16" s="16">
        <f>INDEX('Team forecast'!$B$2:$AO$26,MATCH('Master data'!$B16,'Team forecast'!$B$2:$B$26,0),MATCH('Master data'!AS$1,'Team forecast'!$B$2:$AO$2,0))*IF(X16&gt;0,5000,0)</f>
        <v>0</v>
      </c>
      <c r="AT16" s="16">
        <f>INDEX('Team forecast'!$B$2:$AO$26,MATCH('Master data'!$B16,'Team forecast'!$B$2:$B$26,0),MATCH('Master data'!AT$1,'Team forecast'!$B$2:$AO$2,0))*IF(X16&gt;0,-15000,0)</f>
        <v>0</v>
      </c>
      <c r="AU16" s="5">
        <f>IF($C16="Defense",$N16*150000,IF($C16="Midfield",$N16*125000,IF($C16="Striker",$N16*100000,0)))*$AL16</f>
        <v>0</v>
      </c>
      <c r="AV16" s="5">
        <f>$O16*50000*AL16</f>
        <v>0</v>
      </c>
      <c r="AW16" s="5">
        <f>$P16*AO16*10000</f>
        <v>0</v>
      </c>
      <c r="AX16" s="5">
        <f>IF($C16="Goalkeeper",AN16*75000,IF($C16="Defense",AN16*50000,0))</f>
        <v>0</v>
      </c>
      <c r="AY16" s="5">
        <f>IF($C16="Goalkeeper",(AP16-AM16)*5000,0)</f>
        <v>0</v>
      </c>
      <c r="AZ16" s="5">
        <f>$AG16</f>
        <v>0</v>
      </c>
      <c r="BA16" s="5">
        <f>$AH16</f>
        <v>0</v>
      </c>
      <c r="BB16" s="5">
        <f>IF(X16&gt;0,AL16*10000,0)</f>
        <v>0</v>
      </c>
      <c r="BC16" s="5">
        <f>IF(X16&gt;0,AM16*(-8000),0)</f>
        <v>0</v>
      </c>
      <c r="BD16" s="5">
        <f>IFERROR(SUM(AQ16:BC16),0)</f>
        <v>-5000</v>
      </c>
      <c r="BE16" s="16">
        <f>INDEX('Team forecast'!$B$2:$AO$26,MATCH('Master data'!$B16,'Team forecast'!$B$2:$B$26,0),MATCH('Master data'!BE$1,'Team forecast'!$B$2:$AO$2,0))</f>
        <v>2.2346287595631029</v>
      </c>
      <c r="BF16" s="16">
        <f>INDEX('Team forecast'!$B$2:$AO$26,MATCH('Master data'!$B16,'Team forecast'!$B$2:$B$26,0),MATCH('Master data'!BF$1,'Team forecast'!$B$2:$AO$2,0))</f>
        <v>0.82586154259115363</v>
      </c>
      <c r="BG16" s="16">
        <f>INDEX('Team forecast'!$B$2:$AO$26,MATCH('Master data'!$B16,'Team forecast'!$B$2:$B$26,0),MATCH('Master data'!BG$1,'Team forecast'!$B$2:$AO$2,0))</f>
        <v>0.43785759694850601</v>
      </c>
      <c r="BH16" s="16">
        <f>INDEX('Team forecast'!$B$2:$AO$26,MATCH('Master data'!$B16,'Team forecast'!$B$2:$B$26,0),MATCH('Master data'!BH$1,'Team forecast'!$B$2:$AO$2,0))</f>
        <v>5.4917055836432862</v>
      </c>
      <c r="BI16" s="16">
        <f>INDEX('Team forecast'!$B$2:$AO$26,MATCH('Master data'!$B16,'Team forecast'!$B$2:$B$26,0),MATCH('Master data'!BI$1,'Team forecast'!$B$2:$AO$2,0))</f>
        <v>2.7111616297184336</v>
      </c>
      <c r="BJ16" s="5">
        <f>AQ16</f>
        <v>-5000</v>
      </c>
      <c r="BK16" s="5">
        <f>INDEX('Team forecast'!$R$3:$BH$26,MATCH($B16,'Team forecast'!$B$3:$B$26,0),MATCH(BK$1,'Team forecast'!$R$2:$BH$2,0))*IF($X16&gt;0,25000,0)</f>
        <v>0</v>
      </c>
      <c r="BL16" s="5">
        <f>INDEX('Team forecast'!$R$3:$BH$26,MATCH($B16,'Team forecast'!$B$3:$B$26,0),MATCH(BL$1,'Team forecast'!$R$2:$BH$2,0))*IF($X16&gt;0,5000,0)</f>
        <v>0</v>
      </c>
      <c r="BM16" s="5">
        <f>INDEX('Team forecast'!$R$3:$BH$26,MATCH($B16,'Team forecast'!$B$3:$B$26,0),MATCH(BM$1,'Team forecast'!$R$2:$BH$2,0))*IF($X16&gt;0,-15000,0)</f>
        <v>0</v>
      </c>
      <c r="BN16" s="5">
        <f>IF($C16="Defense",$N16*150000,IF($C16="Midfield",$N16*125000,IF($C16="Striker",$N16*100000,0)))*$BE16</f>
        <v>0</v>
      </c>
      <c r="BO16" s="5">
        <f>$O16*50000*$BE16</f>
        <v>0</v>
      </c>
      <c r="BP16" s="5">
        <f>$P16*BH16*10000</f>
        <v>0</v>
      </c>
      <c r="BQ16" s="5">
        <f>IF($C16="Goalkeeper",BG16*75000,IF($C16="Defense",BG16*50000,0))</f>
        <v>0</v>
      </c>
      <c r="BR16" s="5">
        <f>IF($C16="Goalkeeper",(BI16-BF16)*5000,0)</f>
        <v>0</v>
      </c>
      <c r="BS16" s="5">
        <f>$AG16</f>
        <v>0</v>
      </c>
      <c r="BT16" s="5">
        <f>$AH16</f>
        <v>0</v>
      </c>
      <c r="BU16" s="5">
        <f>IF(AQ16&gt;0,BE16*10000,0)</f>
        <v>0</v>
      </c>
      <c r="BV16" s="5">
        <f>IF(AQ16&gt;0,BF16*(-8000),0)</f>
        <v>0</v>
      </c>
      <c r="BW16" s="5">
        <f>IFERROR(SUM(BJ16:BV16),0)</f>
        <v>-5000</v>
      </c>
      <c r="BX16" s="5">
        <f>AVERAGE(AK16,BD16,BW16)</f>
        <v>-5000</v>
      </c>
      <c r="BY16" s="5">
        <f>BX16*3</f>
        <v>-15000</v>
      </c>
      <c r="BZ16" s="5">
        <f>INDEX('Team forecast'!$R$3:$BH$26,MATCH($B16,'Team forecast'!$B$3:$B$26,0),MATCH(BZ$1,'Team forecast'!$R$2:$BH$2,0))*($BX16-(BY16+CH16)*0.01)</f>
        <v>-38162.708519046078</v>
      </c>
      <c r="CA16" s="5">
        <f>INDEX('Team forecast'!$R$3:$BH$26,MATCH($B16,'Team forecast'!$B$3:$B$26,0),MATCH(CA$1,'Team forecast'!$R$2:$BH$2,0))*($BX16-(BY16+BX16+CH16)*0.01)</f>
        <v>-19671.837978244199</v>
      </c>
      <c r="CB16" s="5">
        <f>INDEX('Team forecast'!$R$3:$BH$26,MATCH($B16,'Team forecast'!$B$3:$B$26,0),MATCH(CB$1,'Team forecast'!$R$2:$BH$2,0))*($BX16-(BY16+BX16*2+CH16)*0.01)</f>
        <v>-10401.118355093378</v>
      </c>
      <c r="CC16" s="5">
        <f>INDEX('Team forecast'!$R$3:$BH$26,MATCH($B16,'Team forecast'!$B$3:$B$26,0),MATCH(CC$1,'Team forecast'!$R$2:$BH$2,0))*($BX16-(BY16+BX16*3+CH16)*0.01)</f>
        <v>-5937.8241348240226</v>
      </c>
      <c r="CD16" s="5">
        <f>+AK16+BD16*Cockpit!$C$3+BW16*Cockpit!$C$3^2+BZ16*Cockpit!$C$3^3+CA16*Cockpit!$C$3^4+CB16*Cockpit!$C$3^5+CC16*Cockpit!$C$3^6</f>
        <v>-27639.804959806333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-4.2857142857142859E-3</v>
      </c>
      <c r="CK16" s="5">
        <f>RANK(BY16,$BY$2:$BY$623)+COUNTIF($BY$2:$BY16,$BY16)-1</f>
        <v>418</v>
      </c>
      <c r="CL16" s="5">
        <f>RANK(CJ16,$CJ$2:$CJ$623)+COUNTIF($CJ$2:$CJ16,$CJ16)-1</f>
        <v>453</v>
      </c>
    </row>
    <row r="17" spans="1:90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1.6593477618235051</v>
      </c>
      <c r="I17" s="16">
        <f>INDEX('Team forecast'!$B$2:$AO$26,MATCH('Master data'!$B17,'Team forecast'!$B$2:$B$26,0),MATCH('Master data'!I$1,'Team forecast'!$B$2:$AO$2,0))</f>
        <v>0.65422581624273402</v>
      </c>
      <c r="J17" s="16">
        <f>INDEX('Team forecast'!$B$2:$AO$26,MATCH('Master data'!$B17,'Team forecast'!$B$2:$B$26,0),MATCH('Master data'!J$1,'Team forecast'!$B$2:$AO$2,0))</f>
        <v>0.51984436190144767</v>
      </c>
      <c r="K17" s="16">
        <f>INDEX('Team forecast'!$B$2:$AO$26,MATCH('Master data'!$B17,'Team forecast'!$B$2:$B$26,0),MATCH('Master data'!K$1,'Team forecast'!$B$2:$AO$2,0))</f>
        <v>4.5343674133251923</v>
      </c>
      <c r="L17" s="16">
        <f>INDEX('Team forecast'!$B$2:$AO$26,MATCH('Master data'!$B17,'Team forecast'!$B$2:$B$26,0),MATCH('Master data'!L$1,'Team forecast'!$B$2:$AO$2,0))</f>
        <v>2.1477110129180663</v>
      </c>
      <c r="M17">
        <f>IF(Players!BC18=1,95,0)</f>
        <v>95</v>
      </c>
      <c r="N17" s="2">
        <f>Players!BN18</f>
        <v>0.25313976709628194</v>
      </c>
      <c r="O17" s="2">
        <f>Players!BO18</f>
        <v>0.14897081808573334</v>
      </c>
      <c r="P17" s="2">
        <f>Players!BP18</f>
        <v>0.27329165767581531</v>
      </c>
      <c r="Q17" s="2">
        <f>Players!BQ18</f>
        <v>4.7103977669225403E-2</v>
      </c>
      <c r="R17" s="2">
        <f>Players!BR18</f>
        <v>3.1402651779483599E-2</v>
      </c>
      <c r="S17" s="2">
        <f>H17</f>
        <v>1.6593477618235051</v>
      </c>
      <c r="T17" s="2">
        <f>I17</f>
        <v>0.65422581624273402</v>
      </c>
      <c r="U17" s="16">
        <f>INDEX('Team forecast'!$B$2:$AO$26,MATCH('Master data'!$B17,'Team forecast'!$B$2:$B$26,0),MATCH('Master data'!U$1,'Team forecast'!$B$2:$AO$2,0))</f>
        <v>0.61375173050299947</v>
      </c>
      <c r="V17" s="16">
        <f>INDEX('Team forecast'!$B$2:$AO$26,MATCH('Master data'!$B17,'Team forecast'!$B$2:$B$26,0),MATCH('Master data'!V$1,'Team forecast'!$B$2:$AO$2,0))</f>
        <v>0.25034610059990769</v>
      </c>
      <c r="W17" s="16">
        <f>INDEX('Team forecast'!$B$2:$AO$26,MATCH('Master data'!$B17,'Team forecast'!$B$2:$B$26,0),MATCH('Master data'!W$1,'Team forecast'!$B$2:$AO$2,0))</f>
        <v>0.13590216889709281</v>
      </c>
      <c r="X17" s="5">
        <f>IF(M17&gt;95,7000*2,IF(M17&gt;0,7000,-5000))</f>
        <v>7000</v>
      </c>
      <c r="Y17" s="5">
        <f>IF($X17&gt;0,U17*25000,0)</f>
        <v>15343.793262574987</v>
      </c>
      <c r="Z17" s="5">
        <f>IF($X17&gt;0,V17*5000,0)</f>
        <v>1251.7305029995384</v>
      </c>
      <c r="AA17" s="5">
        <f>IF($X17&gt;0,W17*(-15000),0)</f>
        <v>-2038.532533456392</v>
      </c>
      <c r="AB17" s="5">
        <f>IF($C17="Defense",$N17*150000,IF($C17="Midfield",$N17*125000,IF($C17="Striker",$N17*100000,0)))*$H17</f>
        <v>42004.69059597388</v>
      </c>
      <c r="AC17" s="5">
        <f>$O17*50000*H17</f>
        <v>12359.719678378908</v>
      </c>
      <c r="AD17" s="5">
        <f>$P17*K17*10000</f>
        <v>12392.047868988408</v>
      </c>
      <c r="AE17" s="5">
        <f>IF($C17="Goalkeeper",J17*75000,IF($C17="Defense",J17*50000,0))</f>
        <v>0</v>
      </c>
      <c r="AF17" s="5">
        <f>IF($C17="Goalkeeper",(L17-I17)*5000,0)</f>
        <v>0</v>
      </c>
      <c r="AG17" s="5">
        <f>IF(M17&gt;0,Q17*(-20000),0)</f>
        <v>-942.07955338450802</v>
      </c>
      <c r="AH17" s="5">
        <f>IF(M17&gt;0,R17*(-50000),0)</f>
        <v>-1570.13258897418</v>
      </c>
      <c r="AI17" s="5">
        <f>IF(M17&gt;0,S17*10000,0)</f>
        <v>16593.477618235051</v>
      </c>
      <c r="AJ17" s="5">
        <f>IF(M17&gt;0,T17*(-8000),0)</f>
        <v>-5233.8065299418722</v>
      </c>
      <c r="AK17" s="5">
        <f>IFERROR(SUM(X17:AJ17),-5000)*((Cockpit!$C$3)^0)</f>
        <v>97160.908321393814</v>
      </c>
      <c r="AL17" s="16">
        <f>INDEX('Team forecast'!$B$2:$AO$26,MATCH('Master data'!$B17,'Team forecast'!$B$2:$B$26,0),MATCH('Master data'!AL$1,'Team forecast'!$B$2:$AO$2,0))</f>
        <v>1.5198357804321134</v>
      </c>
      <c r="AM17" s="16">
        <f>INDEX('Team forecast'!$B$2:$AO$26,MATCH('Master data'!$B17,'Team forecast'!$B$2:$B$26,0),MATCH('Master data'!AM$1,'Team forecast'!$B$2:$AO$2,0))</f>
        <v>0.79620558314709244</v>
      </c>
      <c r="AN17" s="16">
        <f>INDEX('Team forecast'!$B$2:$AO$26,MATCH('Master data'!$B17,'Team forecast'!$B$2:$B$26,0),MATCH('Master data'!AN$1,'Team forecast'!$B$2:$AO$2,0))</f>
        <v>0.45103714423540769</v>
      </c>
      <c r="AO17" s="16">
        <f>INDEX('Team forecast'!$B$2:$AO$26,MATCH('Master data'!$B17,'Team forecast'!$B$2:$B$26,0),MATCH('Master data'!AO$1,'Team forecast'!$B$2:$AO$2,0))</f>
        <v>4.1531341379722457</v>
      </c>
      <c r="AP17" s="16">
        <f>INDEX('Team forecast'!$B$2:$AO$26,MATCH('Master data'!$B17,'Team forecast'!$B$2:$B$26,0),MATCH('Master data'!AP$1,'Team forecast'!$B$2:$AO$2,0))</f>
        <v>2.6138062073010611</v>
      </c>
      <c r="AQ17" s="5">
        <f>X17</f>
        <v>7000</v>
      </c>
      <c r="AR17" s="5">
        <f>INDEX('Team forecast'!$B$2:$AO$26,MATCH('Master data'!$B17,'Team forecast'!$B$2:$B$26,0),MATCH('Master data'!AR$1,'Team forecast'!$B$2:$AO$2,0))*IF(X17&gt;0,25000,0)</f>
        <v>13929.088277858178</v>
      </c>
      <c r="AS17" s="16">
        <f>INDEX('Team forecast'!$B$2:$AO$26,MATCH('Master data'!$B17,'Team forecast'!$B$2:$B$26,0),MATCH('Master data'!AS$1,'Team forecast'!$B$2:$AO$2,0))*IF(X17&gt;0,5000,0)</f>
        <v>1353.111432706223</v>
      </c>
      <c r="AT17" s="16">
        <f>INDEX('Team forecast'!$B$2:$AO$26,MATCH('Master data'!$B17,'Team forecast'!$B$2:$B$26,0),MATCH('Master data'!AT$1,'Team forecast'!$B$2:$AO$2,0))*IF(X17&gt;0,-15000,0)</f>
        <v>-2583.2127351664258</v>
      </c>
      <c r="AU17" s="5">
        <f>IF($C17="Defense",$N17*150000,IF($C17="Midfield",$N17*125000,IF($C17="Striker",$N17*100000,0)))*$AL17</f>
        <v>38473.087548318108</v>
      </c>
      <c r="AV17" s="5">
        <f>$O17*50000*AL17</f>
        <v>11320.558978347046</v>
      </c>
      <c r="AW17" s="5">
        <f>$P17*AO17*10000</f>
        <v>11350.169131164534</v>
      </c>
      <c r="AX17" s="5">
        <f>IF($C17="Goalkeeper",AN17*75000,IF($C17="Defense",AN17*50000,0))</f>
        <v>0</v>
      </c>
      <c r="AY17" s="5">
        <f>IF($C17="Goalkeeper",(AP17-AM17)*5000,0)</f>
        <v>0</v>
      </c>
      <c r="AZ17" s="5">
        <f>$AG17</f>
        <v>-942.07955338450802</v>
      </c>
      <c r="BA17" s="5">
        <f>$AH17</f>
        <v>-1570.13258897418</v>
      </c>
      <c r="BB17" s="5">
        <f>IF(X17&gt;0,AL17*10000,0)</f>
        <v>15198.357804321135</v>
      </c>
      <c r="BC17" s="5">
        <f>IF(X17&gt;0,AM17*(-8000),0)</f>
        <v>-6369.6446651767392</v>
      </c>
      <c r="BD17" s="5">
        <f>IFERROR(SUM(AQ17:BC17),0)</f>
        <v>87159.303630013368</v>
      </c>
      <c r="BE17" s="16">
        <f>INDEX('Team forecast'!$B$2:$AO$26,MATCH('Master data'!$B17,'Team forecast'!$B$2:$B$26,0),MATCH('Master data'!BE$1,'Team forecast'!$B$2:$AO$2,0))</f>
        <v>1.8402581758343768</v>
      </c>
      <c r="BF17" s="16">
        <f>INDEX('Team forecast'!$B$2:$AO$26,MATCH('Master data'!$B17,'Team forecast'!$B$2:$B$26,0),MATCH('Master data'!BF$1,'Team forecast'!$B$2:$AO$2,0))</f>
        <v>0.65281467345965161</v>
      </c>
      <c r="BG17" s="16">
        <f>INDEX('Team forecast'!$B$2:$AO$26,MATCH('Master data'!$B17,'Team forecast'!$B$2:$B$26,0),MATCH('Master data'!BG$1,'Team forecast'!$B$2:$AO$2,0))</f>
        <v>0.52057845435388617</v>
      </c>
      <c r="BH17" s="16">
        <f>INDEX('Team forecast'!$B$2:$AO$26,MATCH('Master data'!$B17,'Team forecast'!$B$2:$B$26,0),MATCH('Master data'!BH$1,'Team forecast'!$B$2:$AO$2,0))</f>
        <v>5.0287268869057034</v>
      </c>
      <c r="BI17" s="16">
        <f>INDEX('Team forecast'!$B$2:$AO$26,MATCH('Master data'!$B17,'Team forecast'!$B$2:$B$26,0),MATCH('Master data'!BI$1,'Team forecast'!$B$2:$AO$2,0))</f>
        <v>2.1430784734786541</v>
      </c>
      <c r="BJ17" s="5">
        <f>AQ17</f>
        <v>7000</v>
      </c>
      <c r="BK17" s="5">
        <f>INDEX('Team forecast'!$R$3:$BH$26,MATCH($B17,'Team forecast'!$B$3:$B$26,0),MATCH(BK$1,'Team forecast'!$R$2:$BH$2,0))*IF($X17&gt;0,25000,0)</f>
        <v>16539.211310201594</v>
      </c>
      <c r="BL17" s="5">
        <f>INDEX('Team forecast'!$R$3:$BH$26,MATCH($B17,'Team forecast'!$B$3:$B$26,0),MATCH(BL$1,'Team forecast'!$R$2:$BH$2,0))*IF($X17&gt;0,5000,0)</f>
        <v>1147.781411406761</v>
      </c>
      <c r="BM17" s="5">
        <f>INDEX('Team forecast'!$R$3:$BH$26,MATCH($B17,'Team forecast'!$B$3:$B$26,0),MATCH(BM$1,'Team forecast'!$R$2:$BH$2,0))*IF($X17&gt;0,-15000,0)</f>
        <v>-1633.128979658763</v>
      </c>
      <c r="BN17" s="5">
        <f>IF($C17="Defense",$N17*150000,IF($C17="Midfield",$N17*125000,IF($C17="Striker",$N17*100000,0)))*$BE17</f>
        <v>46584.252602774279</v>
      </c>
      <c r="BO17" s="5">
        <f>$O17*50000*$BE17</f>
        <v>13707.238297150321</v>
      </c>
      <c r="BP17" s="5">
        <f>$P17*BH17*10000</f>
        <v>13743.091069214019</v>
      </c>
      <c r="BQ17" s="5">
        <f>IF($C17="Goalkeeper",BG17*75000,IF($C17="Defense",BG17*50000,0))</f>
        <v>0</v>
      </c>
      <c r="BR17" s="5">
        <f>IF($C17="Goalkeeper",(BI17-BF17)*5000,0)</f>
        <v>0</v>
      </c>
      <c r="BS17" s="5">
        <f>$AG17</f>
        <v>-942.07955338450802</v>
      </c>
      <c r="BT17" s="5">
        <f>$AH17</f>
        <v>-1570.13258897418</v>
      </c>
      <c r="BU17" s="5">
        <f>IF(AQ17&gt;0,BE17*10000,0)</f>
        <v>18402.581758343767</v>
      </c>
      <c r="BV17" s="5">
        <f>IF(AQ17&gt;0,BF17*(-8000),0)</f>
        <v>-5222.5173876772133</v>
      </c>
      <c r="BW17" s="5">
        <f>IFERROR(SUM(BJ17:BV17),0)</f>
        <v>107756.29793939608</v>
      </c>
      <c r="BX17" s="5">
        <f>AVERAGE(AK17,BD17,BW17)</f>
        <v>97358.836630267746</v>
      </c>
      <c r="BY17" s="5">
        <f>BX17*3</f>
        <v>292076.50989080325</v>
      </c>
      <c r="BZ17" s="5">
        <f>INDEX('Team forecast'!$R$3:$BH$26,MATCH($B17,'Team forecast'!$B$3:$B$26,0),MATCH(BZ$1,'Team forecast'!$R$2:$BH$2,0))*($BX17-(BY17+CH17)*0.01)</f>
        <v>28191.632201106884</v>
      </c>
      <c r="CA17" s="5">
        <f>INDEX('Team forecast'!$R$3:$BH$26,MATCH($B17,'Team forecast'!$B$3:$B$26,0),MATCH(CA$1,'Team forecast'!$R$2:$BH$2,0))*($BX17-(BY17+BX17+CH17)*0.01)</f>
        <v>13740.169567490882</v>
      </c>
      <c r="CB17" s="5">
        <f>INDEX('Team forecast'!$R$3:$BH$26,MATCH($B17,'Team forecast'!$B$3:$B$26,0),MATCH(CB$1,'Team forecast'!$R$2:$BH$2,0))*($BX17-(BY17+BX17*2+CH17)*0.01)</f>
        <v>6735.5788025361817</v>
      </c>
      <c r="CC17" s="5">
        <f>INDEX('Team forecast'!$R$3:$BH$26,MATCH($B17,'Team forecast'!$B$3:$B$26,0),MATCH(CC$1,'Team forecast'!$R$2:$BH$2,0))*($BX17-(BY17+BX17*3+CH17)*0.01)</f>
        <v>3373.4918385742089</v>
      </c>
      <c r="CD17" s="5">
        <f>+AK17+BD17*Cockpit!$C$3+BW17*Cockpit!$C$3^2+BZ17*Cockpit!$C$3^3+CA17*Cockpit!$C$3^4+CB17*Cockpit!$C$3^5+CC17*Cockpit!$C$3^6</f>
        <v>215409.13618479687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4.4934847675508191E-2</v>
      </c>
      <c r="CK17" s="5">
        <f>RANK(BY17,$BY$2:$BY$623)+COUNTIF($BY$2:$BY17,$BY17)-1</f>
        <v>7</v>
      </c>
      <c r="CL17" s="5">
        <f>RANK(CJ17,$CJ$2:$CJ$623)+COUNTIF($CJ$2:$CJ17,$CJ17)-1</f>
        <v>53</v>
      </c>
    </row>
    <row r="18" spans="1:90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1.5602309947683257</v>
      </c>
      <c r="I18" s="16">
        <f>INDEX('Team forecast'!$B$2:$AO$26,MATCH('Master data'!$B18,'Team forecast'!$B$2:$B$26,0),MATCH('Master data'!I$1,'Team forecast'!$B$2:$AO$2,0))</f>
        <v>0.84461095835632183</v>
      </c>
      <c r="J18" s="16">
        <f>INDEX('Team forecast'!$B$2:$AO$26,MATCH('Master data'!$B18,'Team forecast'!$B$2:$B$26,0),MATCH('Master data'!J$1,'Team forecast'!$B$2:$AO$2,0))</f>
        <v>0.42972450642313093</v>
      </c>
      <c r="K18" s="16">
        <f>INDEX('Team forecast'!$B$2:$AO$26,MATCH('Master data'!$B18,'Team forecast'!$B$2:$B$26,0),MATCH('Master data'!K$1,'Team forecast'!$B$2:$AO$2,0))</f>
        <v>4.1655927994293096</v>
      </c>
      <c r="L18" s="16">
        <f>INDEX('Team forecast'!$B$2:$AO$26,MATCH('Master data'!$B18,'Team forecast'!$B$2:$B$26,0),MATCH('Master data'!L$1,'Team forecast'!$B$2:$AO$2,0))</f>
        <v>2.7727127420788342</v>
      </c>
      <c r="M18">
        <f>IF(Players!BC19=1,95,0)</f>
        <v>0</v>
      </c>
      <c r="N18" s="2">
        <f>Players!BN19</f>
        <v>0</v>
      </c>
      <c r="O18" s="2">
        <f>Players!BO19</f>
        <v>0</v>
      </c>
      <c r="P18" s="2">
        <f>Players!BP19</f>
        <v>0</v>
      </c>
      <c r="Q18" s="2">
        <f>Players!BQ19</f>
        <v>0.22151742993848259</v>
      </c>
      <c r="R18" s="2">
        <f>Players!BR19</f>
        <v>0</v>
      </c>
      <c r="S18" s="2">
        <f>H18</f>
        <v>1.5602309947683257</v>
      </c>
      <c r="T18" s="2">
        <f>I18</f>
        <v>0.84461095835632183</v>
      </c>
      <c r="U18" s="16">
        <f>INDEX('Team forecast'!$B$2:$AO$26,MATCH('Master data'!$B18,'Team forecast'!$B$2:$B$26,0),MATCH('Master data'!U$1,'Team forecast'!$B$2:$AO$2,0))</f>
        <v>0.58357649020425184</v>
      </c>
      <c r="V18" s="16">
        <f>INDEX('Team forecast'!$B$2:$AO$26,MATCH('Master data'!$B18,'Team forecast'!$B$2:$B$26,0),MATCH('Master data'!V$1,'Team forecast'!$B$2:$AO$2,0))</f>
        <v>0.23634847853272201</v>
      </c>
      <c r="W18" s="16">
        <f>INDEX('Team forecast'!$B$2:$AO$26,MATCH('Master data'!$B18,'Team forecast'!$B$2:$B$26,0),MATCH('Master data'!W$1,'Team forecast'!$B$2:$AO$2,0))</f>
        <v>0.18007503126302629</v>
      </c>
      <c r="X18" s="5">
        <f>IF(M18&gt;95,7000*2,IF(M18&gt;0,7000,-5000))</f>
        <v>-5000</v>
      </c>
      <c r="Y18" s="5">
        <f>IF($X18&gt;0,U18*25000,0)</f>
        <v>0</v>
      </c>
      <c r="Z18" s="5">
        <f>IF($X18&gt;0,V18*5000,0)</f>
        <v>0</v>
      </c>
      <c r="AA18" s="5">
        <f>IF($X18&gt;0,W18*(-15000),0)</f>
        <v>0</v>
      </c>
      <c r="AB18" s="5">
        <f>IF($C18="Defense",$N18*150000,IF($C18="Midfield",$N18*125000,IF($C18="Striker",$N18*100000,0)))*$H18</f>
        <v>0</v>
      </c>
      <c r="AC18" s="5">
        <f>$O18*50000*H18</f>
        <v>0</v>
      </c>
      <c r="AD18" s="5">
        <f>$P18*K18*10000</f>
        <v>0</v>
      </c>
      <c r="AE18" s="5">
        <f>IF($C18="Goalkeeper",J18*75000,IF($C18="Defense",J18*50000,0))</f>
        <v>0</v>
      </c>
      <c r="AF18" s="5">
        <f>IF($C18="Goalkeeper",(L18-I18)*5000,0)</f>
        <v>0</v>
      </c>
      <c r="AG18" s="5">
        <f>IF(M18&gt;0,Q18*(-20000),0)</f>
        <v>0</v>
      </c>
      <c r="AH18" s="5">
        <f>IF(M18&gt;0,R18*(-50000),0)</f>
        <v>0</v>
      </c>
      <c r="AI18" s="5">
        <f>IF(M18&gt;0,S18*10000,0)</f>
        <v>0</v>
      </c>
      <c r="AJ18" s="5">
        <f>IF(M18&gt;0,T18*(-8000),0)</f>
        <v>0</v>
      </c>
      <c r="AK18" s="5">
        <f>IFERROR(SUM(X18:AJ18),-5000)*((Cockpit!$C$3)^0)</f>
        <v>-5000</v>
      </c>
      <c r="AL18" s="16">
        <f>INDEX('Team forecast'!$B$2:$AO$26,MATCH('Master data'!$B18,'Team forecast'!$B$2:$B$26,0),MATCH('Master data'!AL$1,'Team forecast'!$B$2:$AO$2,0))</f>
        <v>1.5279674504451852</v>
      </c>
      <c r="AM18" s="16">
        <f>INDEX('Team forecast'!$B$2:$AO$26,MATCH('Master data'!$B18,'Team forecast'!$B$2:$B$26,0),MATCH('Master data'!AM$1,'Team forecast'!$B$2:$AO$2,0))</f>
        <v>1.1610121970988967</v>
      </c>
      <c r="AN18" s="16">
        <f>INDEX('Team forecast'!$B$2:$AO$26,MATCH('Master data'!$B18,'Team forecast'!$B$2:$B$26,0),MATCH('Master data'!AN$1,'Team forecast'!$B$2:$AO$2,0))</f>
        <v>0.31316903161563348</v>
      </c>
      <c r="AO18" s="16">
        <f>INDEX('Team forecast'!$B$2:$AO$26,MATCH('Master data'!$B18,'Team forecast'!$B$2:$B$26,0),MATCH('Master data'!AO$1,'Team forecast'!$B$2:$AO$2,0))</f>
        <v>4.0794537672172888</v>
      </c>
      <c r="AP18" s="16">
        <f>INDEX('Team forecast'!$B$2:$AO$26,MATCH('Master data'!$B18,'Team forecast'!$B$2:$B$26,0),MATCH('Master data'!AP$1,'Team forecast'!$B$2:$AO$2,0))</f>
        <v>3.8114036773448627</v>
      </c>
      <c r="AQ18" s="5">
        <f>X18</f>
        <v>-5000</v>
      </c>
      <c r="AR18" s="5">
        <f>INDEX('Team forecast'!$B$2:$AO$26,MATCH('Master data'!$B18,'Team forecast'!$B$2:$B$26,0),MATCH('Master data'!AR$1,'Team forecast'!$B$2:$AO$2,0))*IF(X18&gt;0,25000,0)</f>
        <v>0</v>
      </c>
      <c r="AS18" s="16">
        <f>INDEX('Team forecast'!$B$2:$AO$26,MATCH('Master data'!$B18,'Team forecast'!$B$2:$B$26,0),MATCH('Master data'!AS$1,'Team forecast'!$B$2:$AO$2,0))*IF(X18&gt;0,5000,0)</f>
        <v>0</v>
      </c>
      <c r="AT18" s="16">
        <f>INDEX('Team forecast'!$B$2:$AO$26,MATCH('Master data'!$B18,'Team forecast'!$B$2:$B$26,0),MATCH('Master data'!AT$1,'Team forecast'!$B$2:$AO$2,0))*IF(X18&gt;0,-15000,0)</f>
        <v>0</v>
      </c>
      <c r="AU18" s="5">
        <f>IF($C18="Defense",$N18*150000,IF($C18="Midfield",$N18*125000,IF($C18="Striker",$N18*100000,0)))*$AL18</f>
        <v>0</v>
      </c>
      <c r="AV18" s="5">
        <f>$O18*50000*AL18</f>
        <v>0</v>
      </c>
      <c r="AW18" s="5">
        <f>$P18*AO18*10000</f>
        <v>0</v>
      </c>
      <c r="AX18" s="5">
        <f>IF($C18="Goalkeeper",AN18*75000,IF($C18="Defense",AN18*50000,0))</f>
        <v>0</v>
      </c>
      <c r="AY18" s="5">
        <f>IF($C18="Goalkeeper",(AP18-AM18)*5000,0)</f>
        <v>0</v>
      </c>
      <c r="AZ18" s="5">
        <f>$AG18</f>
        <v>0</v>
      </c>
      <c r="BA18" s="5">
        <f>$AH18</f>
        <v>0</v>
      </c>
      <c r="BB18" s="5">
        <f>IF(X18&gt;0,AL18*10000,0)</f>
        <v>0</v>
      </c>
      <c r="BC18" s="5">
        <f>IF(X18&gt;0,AM18*(-8000),0)</f>
        <v>0</v>
      </c>
      <c r="BD18" s="5">
        <f>IFERROR(SUM(AQ18:BC18),0)</f>
        <v>-5000</v>
      </c>
      <c r="BE18" s="16">
        <f>INDEX('Team forecast'!$B$2:$AO$26,MATCH('Master data'!$B18,'Team forecast'!$B$2:$B$26,0),MATCH('Master data'!BE$1,'Team forecast'!$B$2:$AO$2,0))</f>
        <v>2.3394224481215296</v>
      </c>
      <c r="BF18" s="16">
        <f>INDEX('Team forecast'!$B$2:$AO$26,MATCH('Master data'!$B18,'Team forecast'!$B$2:$B$26,0),MATCH('Master data'!BF$1,'Team forecast'!$B$2:$AO$2,0))</f>
        <v>0.62462402002960304</v>
      </c>
      <c r="BG18" s="16">
        <f>INDEX('Team forecast'!$B$2:$AO$26,MATCH('Master data'!$B18,'Team forecast'!$B$2:$B$26,0),MATCH('Master data'!BG$1,'Team forecast'!$B$2:$AO$2,0))</f>
        <v>0.53546271393231015</v>
      </c>
      <c r="BH18" s="16">
        <f>INDEX('Team forecast'!$B$2:$AO$26,MATCH('Master data'!$B18,'Team forecast'!$B$2:$B$26,0),MATCH('Master data'!BH$1,'Team forecast'!$B$2:$AO$2,0))</f>
        <v>6.2459221342192031</v>
      </c>
      <c r="BI18" s="16">
        <f>INDEX('Team forecast'!$B$2:$AO$26,MATCH('Master data'!$B18,'Team forecast'!$B$2:$B$26,0),MATCH('Master data'!BI$1,'Team forecast'!$B$2:$AO$2,0))</f>
        <v>2.0505333990870809</v>
      </c>
      <c r="BJ18" s="5">
        <f>AQ18</f>
        <v>-5000</v>
      </c>
      <c r="BK18" s="5">
        <f>INDEX('Team forecast'!$R$3:$BH$26,MATCH($B18,'Team forecast'!$B$3:$B$26,0),MATCH(BK$1,'Team forecast'!$R$2:$BH$2,0))*IF($X18&gt;0,25000,0)</f>
        <v>0</v>
      </c>
      <c r="BL18" s="5">
        <f>INDEX('Team forecast'!$R$3:$BH$26,MATCH($B18,'Team forecast'!$B$3:$B$26,0),MATCH(BL$1,'Team forecast'!$R$2:$BH$2,0))*IF($X18&gt;0,5000,0)</f>
        <v>0</v>
      </c>
      <c r="BM18" s="5">
        <f>INDEX('Team forecast'!$R$3:$BH$26,MATCH($B18,'Team forecast'!$B$3:$B$26,0),MATCH(BM$1,'Team forecast'!$R$2:$BH$2,0))*IF($X18&gt;0,-15000,0)</f>
        <v>0</v>
      </c>
      <c r="BN18" s="5">
        <f>IF($C18="Defense",$N18*150000,IF($C18="Midfield",$N18*125000,IF($C18="Striker",$N18*100000,0)))*$BE18</f>
        <v>0</v>
      </c>
      <c r="BO18" s="5">
        <f>$O18*50000*$BE18</f>
        <v>0</v>
      </c>
      <c r="BP18" s="5">
        <f>$P18*BH18*10000</f>
        <v>0</v>
      </c>
      <c r="BQ18" s="5">
        <f>IF($C18="Goalkeeper",BG18*75000,IF($C18="Defense",BG18*50000,0))</f>
        <v>0</v>
      </c>
      <c r="BR18" s="5">
        <f>IF($C18="Goalkeeper",(BI18-BF18)*5000,0)</f>
        <v>0</v>
      </c>
      <c r="BS18" s="5">
        <f>$AG18</f>
        <v>0</v>
      </c>
      <c r="BT18" s="5">
        <f>$AH18</f>
        <v>0</v>
      </c>
      <c r="BU18" s="5">
        <f>IF(AQ18&gt;0,BE18*10000,0)</f>
        <v>0</v>
      </c>
      <c r="BV18" s="5">
        <f>IF(AQ18&gt;0,BF18*(-8000),0)</f>
        <v>0</v>
      </c>
      <c r="BW18" s="5">
        <f>IFERROR(SUM(BJ18:BV18),0)</f>
        <v>-5000</v>
      </c>
      <c r="BX18" s="5">
        <f>AVERAGE(AK18,BD18,BW18)</f>
        <v>-5000</v>
      </c>
      <c r="BY18" s="5">
        <f>BX18*3</f>
        <v>-15000</v>
      </c>
      <c r="BZ18" s="5">
        <f>INDEX('Team forecast'!$R$3:$BH$26,MATCH($B18,'Team forecast'!$B$3:$B$26,0),MATCH(BZ$1,'Team forecast'!$R$2:$BH$2,0))*($BX18-(BY18+CH18)*0.01)</f>
        <v>-71680.771208296079</v>
      </c>
      <c r="CA18" s="5">
        <f>INDEX('Team forecast'!$R$3:$BH$26,MATCH($B18,'Team forecast'!$B$3:$B$26,0),MATCH(CA$1,'Team forecast'!$R$2:$BH$2,0))*($BX18-(BY18+BX18+CH18)*0.01)</f>
        <v>-36544.666351332795</v>
      </c>
      <c r="CB18" s="5">
        <f>INDEX('Team forecast'!$R$3:$BH$26,MATCH($B18,'Team forecast'!$B$3:$B$26,0),MATCH(CB$1,'Team forecast'!$R$2:$BH$2,0))*($BX18-(BY18+BX18*2+CH18)*0.01)</f>
        <v>-18945.046523070952</v>
      </c>
      <c r="CC18" s="5">
        <f>INDEX('Team forecast'!$R$3:$BH$26,MATCH($B18,'Team forecast'!$B$3:$B$26,0),MATCH(CC$1,'Team forecast'!$R$2:$BH$2,0))*($BX18-(BY18+BX18*3+CH18)*0.01)</f>
        <v>-10348.792312184558</v>
      </c>
      <c r="CD18" s="5">
        <f>+AK18+BD18*Cockpit!$C$3+BW18*Cockpit!$C$3^2+BZ18*Cockpit!$C$3^3+CA18*Cockpit!$C$3^4+CB18*Cockpit!$C$3^5+CC18*Cockpit!$C$3^6</f>
        <v>-42416.358998324409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-2.142857142857143E-3</v>
      </c>
      <c r="CK18" s="5">
        <f>RANK(BY18,$BY$2:$BY$623)+COUNTIF($BY$2:$BY18,$BY18)-1</f>
        <v>419</v>
      </c>
      <c r="CL18" s="5">
        <f>RANK(CJ18,$CJ$2:$CJ$623)+COUNTIF($CJ$2:$CJ18,$CJ18)-1</f>
        <v>416</v>
      </c>
    </row>
    <row r="19" spans="1:90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1.2386203137003762</v>
      </c>
      <c r="I19" s="16">
        <f>INDEX('Team forecast'!$B$2:$AO$26,MATCH('Master data'!$B19,'Team forecast'!$B$2:$B$26,0),MATCH('Master data'!I$1,'Team forecast'!$B$2:$AO$2,0))</f>
        <v>1.2386203137003762</v>
      </c>
      <c r="J19" s="16">
        <f>INDEX('Team forecast'!$B$2:$AO$26,MATCH('Master data'!$B19,'Team forecast'!$B$2:$B$26,0),MATCH('Master data'!J$1,'Team forecast'!$B$2:$AO$2,0))</f>
        <v>0.28978375293296982</v>
      </c>
      <c r="K19" s="16">
        <f>INDEX('Team forecast'!$B$2:$AO$26,MATCH('Master data'!$B19,'Team forecast'!$B$2:$B$26,0),MATCH('Master data'!K$1,'Team forecast'!$B$2:$AO$2,0))</f>
        <v>3.2490442399577706</v>
      </c>
      <c r="L19" s="16">
        <f>INDEX('Team forecast'!$B$2:$AO$26,MATCH('Master data'!$B19,'Team forecast'!$B$2:$B$26,0),MATCH('Master data'!L$1,'Team forecast'!$B$2:$AO$2,0))</f>
        <v>3.2998357975681776</v>
      </c>
      <c r="M19">
        <f>IF(Players!BC20=1,95,0)</f>
        <v>95</v>
      </c>
      <c r="N19" s="2">
        <f>Players!BN20</f>
        <v>0.2214111472290104</v>
      </c>
      <c r="O19" s="2">
        <f>Players!BO20</f>
        <v>7.340731463605947E-2</v>
      </c>
      <c r="P19" s="2">
        <f>Players!BP20</f>
        <v>0.2050823795687424</v>
      </c>
      <c r="Q19" s="2">
        <f>Players!BQ20</f>
        <v>0.18409090909090908</v>
      </c>
      <c r="R19" s="2">
        <f>Players!BR20</f>
        <v>0</v>
      </c>
      <c r="S19" s="2">
        <f>H19</f>
        <v>1.2386203137003762</v>
      </c>
      <c r="T19" s="2">
        <f>I19</f>
        <v>1.2386203137003762</v>
      </c>
      <c r="U19" s="16">
        <f>INDEX('Team forecast'!$B$2:$AO$26,MATCH('Master data'!$B19,'Team forecast'!$B$2:$B$26,0),MATCH('Master data'!U$1,'Team forecast'!$B$2:$AO$2,0))</f>
        <v>0.33635614179719708</v>
      </c>
      <c r="V19" s="16">
        <f>INDEX('Team forecast'!$B$2:$AO$26,MATCH('Master data'!$B19,'Team forecast'!$B$2:$B$26,0),MATCH('Master data'!V$1,'Team forecast'!$B$2:$AO$2,0))</f>
        <v>0.29431162407254741</v>
      </c>
      <c r="W19" s="16">
        <f>INDEX('Team forecast'!$B$2:$AO$26,MATCH('Master data'!$B19,'Team forecast'!$B$2:$B$26,0),MATCH('Master data'!W$1,'Team forecast'!$B$2:$AO$2,0))</f>
        <v>0.36933223413025562</v>
      </c>
      <c r="X19" s="5">
        <f>IF(M19&gt;95,7000*2,IF(M19&gt;0,7000,-5000))</f>
        <v>7000</v>
      </c>
      <c r="Y19" s="5">
        <f>IF($X19&gt;0,U19*25000,0)</f>
        <v>8408.9035449299263</v>
      </c>
      <c r="Z19" s="5">
        <f>IF($X19&gt;0,V19*5000,0)</f>
        <v>1471.5581203627371</v>
      </c>
      <c r="AA19" s="5">
        <f>IF($X19&gt;0,W19*(-15000),0)</f>
        <v>-5539.9835119538347</v>
      </c>
      <c r="AB19" s="5">
        <f>IF($C19="Defense",$N19*150000,IF($C19="Midfield",$N19*125000,IF($C19="Striker",$N19*100000,0)))*$H19</f>
        <v>27424.434463755701</v>
      </c>
      <c r="AC19" s="5">
        <f>$O19*50000*H19</f>
        <v>4546.1895541209096</v>
      </c>
      <c r="AD19" s="5">
        <f>$P19*K19*10000</f>
        <v>6663.2172405465562</v>
      </c>
      <c r="AE19" s="5">
        <f>IF($C19="Goalkeeper",J19*75000,IF($C19="Defense",J19*50000,0))</f>
        <v>0</v>
      </c>
      <c r="AF19" s="5">
        <f>IF($C19="Goalkeeper",(L19-I19)*5000,0)</f>
        <v>0</v>
      </c>
      <c r="AG19" s="5">
        <f>IF(M19&gt;0,Q19*(-20000),0)</f>
        <v>-3681.8181818181815</v>
      </c>
      <c r="AH19" s="5">
        <f>IF(M19&gt;0,R19*(-50000),0)</f>
        <v>0</v>
      </c>
      <c r="AI19" s="5">
        <f>IF(M19&gt;0,S19*10000,0)</f>
        <v>12386.203137003762</v>
      </c>
      <c r="AJ19" s="5">
        <f>IF(M19&gt;0,T19*(-8000),0)</f>
        <v>-9908.9625096030086</v>
      </c>
      <c r="AK19" s="5">
        <f>IFERROR(SUM(X19:AJ19),-5000)*((Cockpit!$C$3)^0)</f>
        <v>48769.741857344561</v>
      </c>
      <c r="AL19" s="16">
        <f>INDEX('Team forecast'!$B$2:$AO$26,MATCH('Master data'!$B19,'Team forecast'!$B$2:$B$26,0),MATCH('Master data'!AL$1,'Team forecast'!$B$2:$AO$2,0))</f>
        <v>1.384389503157577</v>
      </c>
      <c r="AM19" s="16">
        <f>INDEX('Team forecast'!$B$2:$AO$26,MATCH('Master data'!$B19,'Team forecast'!$B$2:$B$26,0),MATCH('Master data'!AM$1,'Team forecast'!$B$2:$AO$2,0))</f>
        <v>1.1612459518433673</v>
      </c>
      <c r="AN19" s="16">
        <f>INDEX('Team forecast'!$B$2:$AO$26,MATCH('Master data'!$B19,'Team forecast'!$B$2:$B$26,0),MATCH('Master data'!AN$1,'Team forecast'!$B$2:$AO$2,0))</f>
        <v>0.31309583542398389</v>
      </c>
      <c r="AO19" s="16">
        <f>INDEX('Team forecast'!$B$2:$AO$26,MATCH('Master data'!$B19,'Team forecast'!$B$2:$B$26,0),MATCH('Master data'!AO$1,'Team forecast'!$B$2:$AO$2,0))</f>
        <v>3.6314136715992724</v>
      </c>
      <c r="AP19" s="16">
        <f>INDEX('Team forecast'!$B$2:$AO$26,MATCH('Master data'!$B19,'Team forecast'!$B$2:$B$26,0),MATCH('Master data'!AP$1,'Team forecast'!$B$2:$AO$2,0))</f>
        <v>3.0937010472773676</v>
      </c>
      <c r="AQ19" s="5">
        <f>X19</f>
        <v>7000</v>
      </c>
      <c r="AR19" s="5">
        <f>INDEX('Team forecast'!$B$2:$AO$26,MATCH('Master data'!$B19,'Team forecast'!$B$2:$B$26,0),MATCH('Master data'!AR$1,'Team forecast'!$B$2:$AO$2,0))*IF(X19&gt;0,25000,0)</f>
        <v>10436.527847466134</v>
      </c>
      <c r="AS19" s="16">
        <f>INDEX('Team forecast'!$B$2:$AO$26,MATCH('Master data'!$B19,'Team forecast'!$B$2:$B$26,0),MATCH('Master data'!AS$1,'Team forecast'!$B$2:$AO$2,0))*IF(X19&gt;0,5000,0)</f>
        <v>1467.6367285499246</v>
      </c>
      <c r="AT19" s="16">
        <f>INDEX('Team forecast'!$B$2:$AO$26,MATCH('Master data'!$B19,'Team forecast'!$B$2:$B$26,0),MATCH('Master data'!AT$1,'Team forecast'!$B$2:$AO$2,0))*IF(X19&gt;0,-15000,0)</f>
        <v>-4335.1731058705464</v>
      </c>
      <c r="AU19" s="5">
        <f>IF($C19="Defense",$N19*150000,IF($C19="Midfield",$N19*125000,IF($C19="Striker",$N19*100000,0)))*$AL19</f>
        <v>30651.926810591882</v>
      </c>
      <c r="AV19" s="5">
        <f>$O19*50000*AL19</f>
        <v>5081.2157918573157</v>
      </c>
      <c r="AW19" s="5">
        <f>$P19*AO19*10000</f>
        <v>7447.3895697004245</v>
      </c>
      <c r="AX19" s="5">
        <f>IF($C19="Goalkeeper",AN19*75000,IF($C19="Defense",AN19*50000,0))</f>
        <v>0</v>
      </c>
      <c r="AY19" s="5">
        <f>IF($C19="Goalkeeper",(AP19-AM19)*5000,0)</f>
        <v>0</v>
      </c>
      <c r="AZ19" s="5">
        <f>$AG19</f>
        <v>-3681.8181818181815</v>
      </c>
      <c r="BA19" s="5">
        <f>$AH19</f>
        <v>0</v>
      </c>
      <c r="BB19" s="5">
        <f>IF(X19&gt;0,AL19*10000,0)</f>
        <v>13843.89503157577</v>
      </c>
      <c r="BC19" s="5">
        <f>IF(X19&gt;0,AM19*(-8000),0)</f>
        <v>-9289.9676147469381</v>
      </c>
      <c r="BD19" s="5">
        <f>IFERROR(SUM(AQ19:BC19),0)</f>
        <v>58621.632877305783</v>
      </c>
      <c r="BE19" s="16">
        <f>INDEX('Team forecast'!$B$2:$AO$26,MATCH('Master data'!$B19,'Team forecast'!$B$2:$B$26,0),MATCH('Master data'!BE$1,'Team forecast'!$B$2:$AO$2,0))</f>
        <v>2.4374022591536644</v>
      </c>
      <c r="BF19" s="16">
        <f>INDEX('Team forecast'!$B$2:$AO$26,MATCH('Master data'!$B19,'Team forecast'!$B$2:$B$26,0),MATCH('Master data'!BF$1,'Team forecast'!$B$2:$AO$2,0))</f>
        <v>0.68661022841383224</v>
      </c>
      <c r="BG19" s="16">
        <f>INDEX('Team forecast'!$B$2:$AO$26,MATCH('Master data'!$B19,'Team forecast'!$B$2:$B$26,0),MATCH('Master data'!BG$1,'Team forecast'!$B$2:$AO$2,0))</f>
        <v>0.50327918232493496</v>
      </c>
      <c r="BH19" s="16">
        <f>INDEX('Team forecast'!$B$2:$AO$26,MATCH('Master data'!$B19,'Team forecast'!$B$2:$B$26,0),MATCH('Master data'!BH$1,'Team forecast'!$B$2:$AO$2,0))</f>
        <v>6.3935878355689084</v>
      </c>
      <c r="BI19" s="16">
        <f>INDEX('Team forecast'!$B$2:$AO$26,MATCH('Master data'!$B19,'Team forecast'!$B$2:$B$26,0),MATCH('Master data'!BI$1,'Team forecast'!$B$2:$AO$2,0))</f>
        <v>1.8292135092857056</v>
      </c>
      <c r="BJ19" s="5">
        <f>AQ19</f>
        <v>7000</v>
      </c>
      <c r="BK19" s="5">
        <f>INDEX('Team forecast'!$R$3:$BH$26,MATCH($B19,'Team forecast'!$B$3:$B$26,0),MATCH(BK$1,'Team forecast'!$R$2:$BH$2,0))*IF($X19&gt;0,25000,0)</f>
        <v>19380.307222593263</v>
      </c>
      <c r="BL19" s="5">
        <f>INDEX('Team forecast'!$R$3:$BH$26,MATCH($B19,'Team forecast'!$B$3:$B$26,0),MATCH(BL$1,'Team forecast'!$R$2:$BH$2,0))*IF($X19&gt;0,5000,0)</f>
        <v>739.43326018509651</v>
      </c>
      <c r="BM19" s="5">
        <f>INDEX('Team forecast'!$R$3:$BH$26,MATCH($B19,'Team forecast'!$B$3:$B$26,0),MATCH(BM$1,'Team forecast'!$R$2:$BH$2,0))*IF($X19&gt;0,-15000,0)</f>
        <v>-1153.5158858887507</v>
      </c>
      <c r="BN19" s="5">
        <f>IF($C19="Defense",$N19*150000,IF($C19="Midfield",$N19*125000,IF($C19="Striker",$N19*100000,0)))*$BE19</f>
        <v>53966.803045779452</v>
      </c>
      <c r="BO19" s="5">
        <f>$O19*50000*$BE19</f>
        <v>8946.1577266167606</v>
      </c>
      <c r="BP19" s="5">
        <f>$P19*BH19*10000</f>
        <v>13112.122073002371</v>
      </c>
      <c r="BQ19" s="5">
        <f>IF($C19="Goalkeeper",BG19*75000,IF($C19="Defense",BG19*50000,0))</f>
        <v>0</v>
      </c>
      <c r="BR19" s="5">
        <f>IF($C19="Goalkeeper",(BI19-BF19)*5000,0)</f>
        <v>0</v>
      </c>
      <c r="BS19" s="5">
        <f>$AG19</f>
        <v>-3681.8181818181815</v>
      </c>
      <c r="BT19" s="5">
        <f>$AH19</f>
        <v>0</v>
      </c>
      <c r="BU19" s="5">
        <f>IF(AQ19&gt;0,BE19*10000,0)</f>
        <v>24374.022591536643</v>
      </c>
      <c r="BV19" s="5">
        <f>IF(AQ19&gt;0,BF19*(-8000),0)</f>
        <v>-5492.8818273106581</v>
      </c>
      <c r="BW19" s="5">
        <f>IFERROR(SUM(BJ19:BV19),0)</f>
        <v>117190.63002469602</v>
      </c>
      <c r="BX19" s="5">
        <f>AVERAGE(AK19,BD19,BW19)</f>
        <v>74860.668253115451</v>
      </c>
      <c r="BY19" s="5">
        <f>BX19*3</f>
        <v>224582.00475934637</v>
      </c>
      <c r="BZ19" s="5">
        <f>INDEX('Team forecast'!$R$3:$BH$26,MATCH($B19,'Team forecast'!$B$3:$B$26,0),MATCH(BZ$1,'Team forecast'!$R$2:$BH$2,0))*($BX19-(BY19+CH19)*0.01)</f>
        <v>-2123.8698599732438</v>
      </c>
      <c r="CA19" s="5">
        <f>INDEX('Team forecast'!$R$3:$BH$26,MATCH($B19,'Team forecast'!$B$3:$B$26,0),MATCH(CA$1,'Team forecast'!$R$2:$BH$2,0))*($BX19-(BY19+BX19+CH19)*0.01)</f>
        <v>-1418.111975136716</v>
      </c>
      <c r="CB19" s="5">
        <f>INDEX('Team forecast'!$R$3:$BH$26,MATCH($B19,'Team forecast'!$B$3:$B$26,0),MATCH(CB$1,'Team forecast'!$R$2:$BH$2,0))*($BX19-(BY19+BX19*2+CH19)*0.01)</f>
        <v>-905.11315426114106</v>
      </c>
      <c r="CC19" s="5">
        <f>INDEX('Team forecast'!$R$3:$BH$26,MATCH($B19,'Team forecast'!$B$3:$B$26,0),MATCH(CC$1,'Team forecast'!$R$2:$BH$2,0))*($BX19-(BY19+BX19*3+CH19)*0.01)</f>
        <v>-580.84814004367445</v>
      </c>
      <c r="CD19" s="5">
        <f>+AK19+BD19*Cockpit!$C$3+BW19*Cockpit!$C$3^2+BZ19*Cockpit!$C$3^3+CA19*Cockpit!$C$3^4+CB19*Cockpit!$C$3^5+CC19*Cockpit!$C$3^6</f>
        <v>138855.95385792939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2.9944267301246181E-2</v>
      </c>
      <c r="CK19" s="5">
        <f>RANK(BY19,$BY$2:$BY$623)+COUNTIF($BY$2:$BY19,$BY19)-1</f>
        <v>34</v>
      </c>
      <c r="CL19" s="5">
        <f>RANK(CJ19,$CJ$2:$CJ$623)+COUNTIF($CJ$2:$CJ19,$CJ19)-1</f>
        <v>144</v>
      </c>
    </row>
    <row r="20" spans="1:90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1.5223243214152651</v>
      </c>
      <c r="I20" s="16">
        <f>INDEX('Team forecast'!$B$2:$AO$26,MATCH('Master data'!$B20,'Team forecast'!$B$2:$B$26,0),MATCH('Master data'!I$1,'Team forecast'!$B$2:$AO$2,0))</f>
        <v>0.74990395996081205</v>
      </c>
      <c r="J20" s="16">
        <f>INDEX('Team forecast'!$B$2:$AO$26,MATCH('Master data'!$B20,'Team forecast'!$B$2:$B$26,0),MATCH('Master data'!J$1,'Team forecast'!$B$2:$AO$2,0))</f>
        <v>0.47241192102180191</v>
      </c>
      <c r="K20" s="16">
        <f>INDEX('Team forecast'!$B$2:$AO$26,MATCH('Master data'!$B20,'Team forecast'!$B$2:$B$26,0),MATCH('Master data'!K$1,'Team forecast'!$B$2:$AO$2,0))</f>
        <v>3.7411838276290243</v>
      </c>
      <c r="L20" s="16">
        <f>INDEX('Team forecast'!$B$2:$AO$26,MATCH('Master data'!$B20,'Team forecast'!$B$2:$B$26,0),MATCH('Master data'!L$1,'Team forecast'!$B$2:$AO$2,0))</f>
        <v>2.461805929164282</v>
      </c>
      <c r="M20">
        <f>IF(Players!BC21=1,95,0)</f>
        <v>95</v>
      </c>
      <c r="N20" s="2">
        <f>Players!BN21</f>
        <v>0.20720093715650928</v>
      </c>
      <c r="O20" s="2">
        <f>Players!BO21</f>
        <v>0.13040375334612353</v>
      </c>
      <c r="P20" s="2">
        <f>Players!BP21</f>
        <v>0.18252962229538136</v>
      </c>
      <c r="Q20" s="2">
        <f>Players!BQ21</f>
        <v>0</v>
      </c>
      <c r="R20" s="2">
        <f>Players!BR21</f>
        <v>0</v>
      </c>
      <c r="S20" s="2">
        <f>H20</f>
        <v>1.5223243214152651</v>
      </c>
      <c r="T20" s="2">
        <f>I20</f>
        <v>0.74990395996081205</v>
      </c>
      <c r="U20" s="16">
        <f>INDEX('Team forecast'!$B$2:$AO$26,MATCH('Master data'!$B20,'Team forecast'!$B$2:$B$26,0),MATCH('Master data'!U$1,'Team forecast'!$B$2:$AO$2,0))</f>
        <v>0.56576277966682864</v>
      </c>
      <c r="V20" s="16">
        <f>INDEX('Team forecast'!$B$2:$AO$26,MATCH('Master data'!$B20,'Team forecast'!$B$2:$B$26,0),MATCH('Master data'!V$1,'Team forecast'!$B$2:$AO$2,0))</f>
        <v>0.26245106723433442</v>
      </c>
      <c r="W20" s="16">
        <f>INDEX('Team forecast'!$B$2:$AO$26,MATCH('Master data'!$B20,'Team forecast'!$B$2:$B$26,0),MATCH('Master data'!W$1,'Team forecast'!$B$2:$AO$2,0))</f>
        <v>0.17178615309883699</v>
      </c>
      <c r="X20" s="5">
        <f>IF(M20&gt;95,7000*2,IF(M20&gt;0,7000,-5000))</f>
        <v>7000</v>
      </c>
      <c r="Y20" s="5">
        <f>IF($X20&gt;0,U20*25000,0)</f>
        <v>14144.069491670716</v>
      </c>
      <c r="Z20" s="5">
        <f>IF($X20&gt;0,V20*5000,0)</f>
        <v>1312.2553361716721</v>
      </c>
      <c r="AA20" s="5">
        <f>IF($X20&gt;0,W20*(-15000),0)</f>
        <v>-2576.7922964825548</v>
      </c>
      <c r="AB20" s="5">
        <f>IF($C20="Defense",$N20*150000,IF($C20="Midfield",$N20*125000,IF($C20="Striker",$N20*100000,0)))*$H20</f>
        <v>31542.702605338996</v>
      </c>
      <c r="AC20" s="5">
        <f>$O20*50000*H20</f>
        <v>9925.8402661320542</v>
      </c>
      <c r="AD20" s="5">
        <f>$P20*K20*10000</f>
        <v>6828.7687099471495</v>
      </c>
      <c r="AE20" s="5">
        <f>IF($C20="Goalkeeper",J20*75000,IF($C20="Defense",J20*50000,0))</f>
        <v>0</v>
      </c>
      <c r="AF20" s="5">
        <f>IF($C20="Goalkeeper",(L20-I20)*5000,0)</f>
        <v>0</v>
      </c>
      <c r="AG20" s="5">
        <f>IF(M20&gt;0,Q20*(-20000),0)</f>
        <v>0</v>
      </c>
      <c r="AH20" s="5">
        <f>IF(M20&gt;0,R20*(-50000),0)</f>
        <v>0</v>
      </c>
      <c r="AI20" s="5">
        <f>IF(M20&gt;0,S20*10000,0)</f>
        <v>15223.243214152651</v>
      </c>
      <c r="AJ20" s="5">
        <f>IF(M20&gt;0,T20*(-8000),0)</f>
        <v>-5999.2316796864961</v>
      </c>
      <c r="AK20" s="5">
        <f>IFERROR(SUM(X20:AJ20),-5000)*((Cockpit!$C$3)^0)</f>
        <v>77400.8556472442</v>
      </c>
      <c r="AL20" s="16">
        <f>INDEX('Team forecast'!$B$2:$AO$26,MATCH('Master data'!$B20,'Team forecast'!$B$2:$B$26,0),MATCH('Master data'!AL$1,'Team forecast'!$B$2:$AO$2,0))</f>
        <v>2.0067977929974719</v>
      </c>
      <c r="AM20" s="16">
        <f>INDEX('Team forecast'!$B$2:$AO$26,MATCH('Master data'!$B20,'Team forecast'!$B$2:$B$26,0),MATCH('Master data'!AM$1,'Team forecast'!$B$2:$AO$2,0))</f>
        <v>0.66520361079548807</v>
      </c>
      <c r="AN20" s="16">
        <f>INDEX('Team forecast'!$B$2:$AO$26,MATCH('Master data'!$B20,'Team forecast'!$B$2:$B$26,0),MATCH('Master data'!AN$1,'Team forecast'!$B$2:$AO$2,0))</f>
        <v>0.51416882672404407</v>
      </c>
      <c r="AO20" s="16">
        <f>INDEX('Team forecast'!$B$2:$AO$26,MATCH('Master data'!$B20,'Team forecast'!$B$2:$B$26,0),MATCH('Master data'!AO$1,'Team forecast'!$B$2:$AO$2,0))</f>
        <v>4.9318002365645421</v>
      </c>
      <c r="AP20" s="16">
        <f>INDEX('Team forecast'!$B$2:$AO$26,MATCH('Master data'!$B20,'Team forecast'!$B$2:$B$26,0),MATCH('Master data'!AP$1,'Team forecast'!$B$2:$AO$2,0))</f>
        <v>2.1837492273589256</v>
      </c>
      <c r="AQ20" s="5">
        <f>X20</f>
        <v>7000</v>
      </c>
      <c r="AR20" s="5">
        <f>INDEX('Team forecast'!$B$2:$AO$26,MATCH('Master data'!$B20,'Team forecast'!$B$2:$B$26,0),MATCH('Master data'!AR$1,'Team forecast'!$B$2:$AO$2,0))*IF(X20&gt;0,25000,0)</f>
        <v>17296.488104871336</v>
      </c>
      <c r="AS20" s="16">
        <f>INDEX('Team forecast'!$B$2:$AO$26,MATCH('Master data'!$B20,'Team forecast'!$B$2:$B$26,0),MATCH('Master data'!AS$1,'Team forecast'!$B$2:$AO$2,0))*IF(X20&gt;0,5000,0)</f>
        <v>1045.4766143388899</v>
      </c>
      <c r="AT20" s="16">
        <f>INDEX('Team forecast'!$B$2:$AO$26,MATCH('Master data'!$B20,'Team forecast'!$B$2:$B$26,0),MATCH('Master data'!AT$1,'Team forecast'!$B$2:$AO$2,0))*IF(X20&gt;0,-15000,0)</f>
        <v>-1485.6772940605274</v>
      </c>
      <c r="AU20" s="5">
        <f>IF($C20="Defense",$N20*150000,IF($C20="Midfield",$N20*125000,IF($C20="Striker",$N20*100000,0)))*$AL20</f>
        <v>41581.038339269071</v>
      </c>
      <c r="AV20" s="5">
        <f>$O20*50000*AL20</f>
        <v>13084.698220679369</v>
      </c>
      <c r="AW20" s="5">
        <f>$P20*AO20*10000</f>
        <v>9001.9963441639829</v>
      </c>
      <c r="AX20" s="5">
        <f>IF($C20="Goalkeeper",AN20*75000,IF($C20="Defense",AN20*50000,0))</f>
        <v>0</v>
      </c>
      <c r="AY20" s="5">
        <f>IF($C20="Goalkeeper",(AP20-AM20)*5000,0)</f>
        <v>0</v>
      </c>
      <c r="AZ20" s="5">
        <f>$AG20</f>
        <v>0</v>
      </c>
      <c r="BA20" s="5">
        <f>$AH20</f>
        <v>0</v>
      </c>
      <c r="BB20" s="5">
        <f>IF(X20&gt;0,AL20*10000,0)</f>
        <v>20067.977929974717</v>
      </c>
      <c r="BC20" s="5">
        <f>IF(X20&gt;0,AM20*(-8000),0)</f>
        <v>-5321.6288863639047</v>
      </c>
      <c r="BD20" s="5">
        <f>IFERROR(SUM(AQ20:BC20),0)</f>
        <v>102270.36937287294</v>
      </c>
      <c r="BE20" s="16">
        <f>INDEX('Team forecast'!$B$2:$AO$26,MATCH('Master data'!$B20,'Team forecast'!$B$2:$B$26,0),MATCH('Master data'!BE$1,'Team forecast'!$B$2:$AO$2,0))</f>
        <v>2.2346287595631029</v>
      </c>
      <c r="BF20" s="16">
        <f>INDEX('Team forecast'!$B$2:$AO$26,MATCH('Master data'!$B20,'Team forecast'!$B$2:$B$26,0),MATCH('Master data'!BF$1,'Team forecast'!$B$2:$AO$2,0))</f>
        <v>0.82586154259115363</v>
      </c>
      <c r="BG20" s="16">
        <f>INDEX('Team forecast'!$B$2:$AO$26,MATCH('Master data'!$B20,'Team forecast'!$B$2:$B$26,0),MATCH('Master data'!BG$1,'Team forecast'!$B$2:$AO$2,0))</f>
        <v>0.43785759694850601</v>
      </c>
      <c r="BH20" s="16">
        <f>INDEX('Team forecast'!$B$2:$AO$26,MATCH('Master data'!$B20,'Team forecast'!$B$2:$B$26,0),MATCH('Master data'!BH$1,'Team forecast'!$B$2:$AO$2,0))</f>
        <v>5.4917055836432862</v>
      </c>
      <c r="BI20" s="16">
        <f>INDEX('Team forecast'!$B$2:$AO$26,MATCH('Master data'!$B20,'Team forecast'!$B$2:$B$26,0),MATCH('Master data'!BI$1,'Team forecast'!$B$2:$AO$2,0))</f>
        <v>2.7111616297184336</v>
      </c>
      <c r="BJ20" s="5">
        <f>AQ20</f>
        <v>7000</v>
      </c>
      <c r="BK20" s="5">
        <f>INDEX('Team forecast'!$R$3:$BH$26,MATCH($B20,'Team forecast'!$B$3:$B$26,0),MATCH(BK$1,'Team forecast'!$R$2:$BH$2,0))*IF($X20&gt;0,25000,0)</f>
        <v>16608.391608391608</v>
      </c>
      <c r="BL20" s="5">
        <f>INDEX('Team forecast'!$R$3:$BH$26,MATCH($B20,'Team forecast'!$B$3:$B$26,0),MATCH(BL$1,'Team forecast'!$R$2:$BH$2,0))*IF($X20&gt;0,5000,0)</f>
        <v>1013.9860139860141</v>
      </c>
      <c r="BM20" s="5">
        <f>INDEX('Team forecast'!$R$3:$BH$26,MATCH($B20,'Team forecast'!$B$3:$B$26,0),MATCH(BM$1,'Team forecast'!$R$2:$BH$2,0))*IF($X20&gt;0,-15000,0)</f>
        <v>-1993.0069930069933</v>
      </c>
      <c r="BN20" s="5">
        <f>IF($C20="Defense",$N20*150000,IF($C20="Midfield",$N20*125000,IF($C20="Striker",$N20*100000,0)))*$BE20</f>
        <v>46301.717317836279</v>
      </c>
      <c r="BO20" s="5">
        <f>$O20*50000*$BE20</f>
        <v>14570.198879111042</v>
      </c>
      <c r="BP20" s="5">
        <f>$P20*BH20*10000</f>
        <v>10023.989459398459</v>
      </c>
      <c r="BQ20" s="5">
        <f>IF($C20="Goalkeeper",BG20*75000,IF($C20="Defense",BG20*50000,0))</f>
        <v>0</v>
      </c>
      <c r="BR20" s="5">
        <f>IF($C20="Goalkeeper",(BI20-BF20)*5000,0)</f>
        <v>0</v>
      </c>
      <c r="BS20" s="5">
        <f>$AG20</f>
        <v>0</v>
      </c>
      <c r="BT20" s="5">
        <f>$AH20</f>
        <v>0</v>
      </c>
      <c r="BU20" s="5">
        <f>IF(AQ20&gt;0,BE20*10000,0)</f>
        <v>22346.287595631031</v>
      </c>
      <c r="BV20" s="5">
        <f>IF(AQ20&gt;0,BF20*(-8000),0)</f>
        <v>-6606.8923407292286</v>
      </c>
      <c r="BW20" s="5">
        <f>IFERROR(SUM(BJ20:BV20),0)</f>
        <v>109264.67154061822</v>
      </c>
      <c r="BX20" s="5">
        <f>AVERAGE(AK20,BD20,BW20)</f>
        <v>96311.965520245125</v>
      </c>
      <c r="BY20" s="5">
        <f>BX20*3</f>
        <v>288935.89656073536</v>
      </c>
      <c r="BZ20" s="5">
        <f>INDEX('Team forecast'!$R$3:$BH$26,MATCH($B20,'Team forecast'!$B$3:$B$26,0),MATCH(BZ$1,'Team forecast'!$R$2:$BH$2,0))*($BX20-(BY20+CH20)*0.01)</f>
        <v>36795.752433792484</v>
      </c>
      <c r="CA20" s="5">
        <f>INDEX('Team forecast'!$R$3:$BH$26,MATCH($B20,'Team forecast'!$B$3:$B$26,0),MATCH(CA$1,'Team forecast'!$R$2:$BH$2,0))*($BX20-(BY20+BX20+CH20)*0.01)</f>
        <v>18514.998920448561</v>
      </c>
      <c r="CB20" s="5">
        <f>INDEX('Team forecast'!$R$3:$BH$26,MATCH($B20,'Team forecast'!$B$3:$B$26,0),MATCH(CB$1,'Team forecast'!$R$2:$BH$2,0))*($BX20-(BY20+BX20*2+CH20)*0.01)</f>
        <v>9549.7618927853873</v>
      </c>
      <c r="CC20" s="5">
        <f>INDEX('Team forecast'!$R$3:$BH$26,MATCH($B20,'Team forecast'!$B$3:$B$26,0),MATCH(CC$1,'Team forecast'!$R$2:$BH$2,0))*($BX20-(BY20+BX20*3+CH20)*0.01)</f>
        <v>5314.6139829426265</v>
      </c>
      <c r="CD20" s="5">
        <f>+AK20+BD20*Cockpit!$C$3+BW20*Cockpit!$C$3^2+BZ20*Cockpit!$C$3^3+CA20*Cockpit!$C$3^4+CB20*Cockpit!$C$3^5+CC20*Cockpit!$C$3^6</f>
        <v>210427.06676005086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5.2533799374679155E-2</v>
      </c>
      <c r="CK20" s="5">
        <f>RANK(BY20,$BY$2:$BY$623)+COUNTIF($BY$2:$BY20,$BY20)-1</f>
        <v>8</v>
      </c>
      <c r="CL20" s="5">
        <f>RANK(CJ20,$CJ$2:$CJ$623)+COUNTIF($CJ$2:$CJ20,$CJ20)-1</f>
        <v>25</v>
      </c>
    </row>
    <row r="21" spans="1:90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1.7625676631272518</v>
      </c>
      <c r="I21" s="16">
        <f>INDEX('Team forecast'!$B$2:$AO$26,MATCH('Master data'!$B21,'Team forecast'!$B$2:$B$26,0),MATCH('Master data'!I$1,'Team forecast'!$B$2:$AO$2,0))</f>
        <v>0.75096675144877167</v>
      </c>
      <c r="J21" s="16">
        <f>INDEX('Team forecast'!$B$2:$AO$26,MATCH('Master data'!$B21,'Team forecast'!$B$2:$B$26,0),MATCH('Master data'!J$1,'Team forecast'!$B$2:$AO$2,0))</f>
        <v>0.47191011235955049</v>
      </c>
      <c r="K21" s="16">
        <f>INDEX('Team forecast'!$B$2:$AO$26,MATCH('Master data'!$B21,'Team forecast'!$B$2:$B$26,0),MATCH('Master data'!K$1,'Team forecast'!$B$2:$AO$2,0))</f>
        <v>4.4913621777278765</v>
      </c>
      <c r="L21" s="16">
        <f>INDEX('Team forecast'!$B$2:$AO$26,MATCH('Master data'!$B21,'Team forecast'!$B$2:$B$26,0),MATCH('Master data'!L$1,'Team forecast'!$B$2:$AO$2,0))</f>
        <v>2.0995338051067773</v>
      </c>
      <c r="M21">
        <f>IF(Players!BC22=1,95,0)</f>
        <v>95</v>
      </c>
      <c r="N21" s="2">
        <f>Players!BN22</f>
        <v>0.14415341924488759</v>
      </c>
      <c r="O21" s="2">
        <f>Players!BO22</f>
        <v>0.26035282662335746</v>
      </c>
      <c r="P21" s="2">
        <f>Players!BP22</f>
        <v>0.19000822599910405</v>
      </c>
      <c r="Q21" s="2">
        <f>Players!BQ22</f>
        <v>8.6956521739130432E-2</v>
      </c>
      <c r="R21" s="2">
        <f>Players!BR22</f>
        <v>0</v>
      </c>
      <c r="S21" s="2">
        <f>H21</f>
        <v>1.7625676631272518</v>
      </c>
      <c r="T21" s="2">
        <f>I21</f>
        <v>0.75096675144877167</v>
      </c>
      <c r="U21" s="16">
        <f>INDEX('Team forecast'!$B$2:$AO$26,MATCH('Master data'!$B21,'Team forecast'!$B$2:$B$26,0),MATCH('Master data'!U$1,'Team forecast'!$B$2:$AO$2,0))</f>
        <v>0.6292134831460674</v>
      </c>
      <c r="V21" s="16">
        <f>INDEX('Team forecast'!$B$2:$AO$26,MATCH('Master data'!$B21,'Team forecast'!$B$2:$B$26,0),MATCH('Master data'!V$1,'Team forecast'!$B$2:$AO$2,0))</f>
        <v>0.2359550561797753</v>
      </c>
      <c r="W21" s="16">
        <f>INDEX('Team forecast'!$B$2:$AO$26,MATCH('Master data'!$B21,'Team forecast'!$B$2:$B$26,0),MATCH('Master data'!W$1,'Team forecast'!$B$2:$AO$2,0))</f>
        <v>0.1348314606741573</v>
      </c>
      <c r="X21" s="5">
        <f>IF(M21&gt;95,7000*2,IF(M21&gt;0,7000,-5000))</f>
        <v>7000</v>
      </c>
      <c r="Y21" s="5">
        <f>IF($X21&gt;0,U21*25000,0)</f>
        <v>15730.337078651684</v>
      </c>
      <c r="Z21" s="5">
        <f>IF($X21&gt;0,V21*5000,0)</f>
        <v>1179.7752808988764</v>
      </c>
      <c r="AA21" s="5">
        <f>IF($X21&gt;0,W21*(-15000),0)</f>
        <v>-2022.4719101123594</v>
      </c>
      <c r="AB21" s="5">
        <f>IF($C21="Defense",$N21*150000,IF($C21="Midfield",$N21*125000,IF($C21="Striker",$N21*100000,0)))*$H21</f>
        <v>31760.019411283069</v>
      </c>
      <c r="AC21" s="5">
        <f>$O21*50000*H21</f>
        <v>22944.473660505286</v>
      </c>
      <c r="AD21" s="5">
        <f>$P21*K21*10000</f>
        <v>8533.9575970954647</v>
      </c>
      <c r="AE21" s="5">
        <f>IF($C21="Goalkeeper",J21*75000,IF($C21="Defense",J21*50000,0))</f>
        <v>0</v>
      </c>
      <c r="AF21" s="5">
        <f>IF($C21="Goalkeeper",(L21-I21)*5000,0)</f>
        <v>0</v>
      </c>
      <c r="AG21" s="5">
        <f>IF(M21&gt;0,Q21*(-20000),0)</f>
        <v>-1739.1304347826087</v>
      </c>
      <c r="AH21" s="5">
        <f>IF(M21&gt;0,R21*(-50000),0)</f>
        <v>0</v>
      </c>
      <c r="AI21" s="5">
        <f>IF(M21&gt;0,S21*10000,0)</f>
        <v>17625.676631272519</v>
      </c>
      <c r="AJ21" s="5">
        <f>IF(M21&gt;0,T21*(-8000),0)</f>
        <v>-6007.7340115901734</v>
      </c>
      <c r="AK21" s="5">
        <f>IFERROR(SUM(X21:AJ21),-5000)*((Cockpit!$C$3)^0)</f>
        <v>95004.903303221756</v>
      </c>
      <c r="AL21" s="16">
        <f>INDEX('Team forecast'!$B$2:$AO$26,MATCH('Master data'!$B21,'Team forecast'!$B$2:$B$26,0),MATCH('Master data'!AL$1,'Team forecast'!$B$2:$AO$2,0))</f>
        <v>1.1612459518433673</v>
      </c>
      <c r="AM21" s="16">
        <f>INDEX('Team forecast'!$B$2:$AO$26,MATCH('Master data'!$B21,'Team forecast'!$B$2:$B$26,0),MATCH('Master data'!AM$1,'Team forecast'!$B$2:$AO$2,0))</f>
        <v>1.384389503157577</v>
      </c>
      <c r="AN21" s="16">
        <f>INDEX('Team forecast'!$B$2:$AO$26,MATCH('Master data'!$B21,'Team forecast'!$B$2:$B$26,0),MATCH('Master data'!AN$1,'Team forecast'!$B$2:$AO$2,0))</f>
        <v>0.25047666833918708</v>
      </c>
      <c r="AO21" s="16">
        <f>INDEX('Team forecast'!$B$2:$AO$26,MATCH('Master data'!$B21,'Team forecast'!$B$2:$B$26,0),MATCH('Master data'!AO$1,'Team forecast'!$B$2:$AO$2,0))</f>
        <v>2.9590785399382193</v>
      </c>
      <c r="AP21" s="16">
        <f>INDEX('Team forecast'!$B$2:$AO$26,MATCH('Master data'!$B21,'Team forecast'!$B$2:$B$26,0),MATCH('Master data'!AP$1,'Team forecast'!$B$2:$AO$2,0))</f>
        <v>3.8704410757292824</v>
      </c>
      <c r="AQ21" s="5">
        <f>X21</f>
        <v>7000</v>
      </c>
      <c r="AR21" s="5">
        <f>INDEX('Team forecast'!$B$2:$AO$26,MATCH('Master data'!$B21,'Team forecast'!$B$2:$B$26,0),MATCH('Master data'!AR$1,'Team forecast'!$B$2:$AO$2,0))*IF(X21&gt;0,25000,0)</f>
        <v>7225.2885097842445</v>
      </c>
      <c r="AS21" s="16">
        <f>INDEX('Team forecast'!$B$2:$AO$26,MATCH('Master data'!$B21,'Team forecast'!$B$2:$B$26,0),MATCH('Master data'!AS$1,'Team forecast'!$B$2:$AO$2,0))*IF(X21&gt;0,5000,0)</f>
        <v>1467.6367285499246</v>
      </c>
      <c r="AT21" s="16">
        <f>INDEX('Team forecast'!$B$2:$AO$26,MATCH('Master data'!$B21,'Team forecast'!$B$2:$B$26,0),MATCH('Master data'!AT$1,'Team forecast'!$B$2:$AO$2,0))*IF(X21&gt;0,-15000,0)</f>
        <v>-6261.91670847968</v>
      </c>
      <c r="AU21" s="5">
        <f>IF($C21="Defense",$N21*150000,IF($C21="Midfield",$N21*125000,IF($C21="Striker",$N21*100000,0)))*$AL21</f>
        <v>20924.696817813186</v>
      </c>
      <c r="AV21" s="5">
        <f>$O21*50000*AL21</f>
        <v>15116.683298367596</v>
      </c>
      <c r="AW21" s="5">
        <f>$P21*AO21*10000</f>
        <v>5622.4926396567998</v>
      </c>
      <c r="AX21" s="5">
        <f>IF($C21="Goalkeeper",AN21*75000,IF($C21="Defense",AN21*50000,0))</f>
        <v>0</v>
      </c>
      <c r="AY21" s="5">
        <f>IF($C21="Goalkeeper",(AP21-AM21)*5000,0)</f>
        <v>0</v>
      </c>
      <c r="AZ21" s="5">
        <f>$AG21</f>
        <v>-1739.1304347826087</v>
      </c>
      <c r="BA21" s="5">
        <f>$AH21</f>
        <v>0</v>
      </c>
      <c r="BB21" s="5">
        <f>IF(X21&gt;0,AL21*10000,0)</f>
        <v>11612.459518433674</v>
      </c>
      <c r="BC21" s="5">
        <f>IF(X21&gt;0,AM21*(-8000),0)</f>
        <v>-11075.116025260617</v>
      </c>
      <c r="BD21" s="5">
        <f>IFERROR(SUM(AQ21:BC21),0)</f>
        <v>49893.094344082521</v>
      </c>
      <c r="BE21" s="16">
        <f>INDEX('Team forecast'!$B$2:$AO$26,MATCH('Master data'!$B21,'Team forecast'!$B$2:$B$26,0),MATCH('Master data'!BE$1,'Team forecast'!$B$2:$AO$2,0))</f>
        <v>1.0107278258414167</v>
      </c>
      <c r="BF21" s="16">
        <f>INDEX('Team forecast'!$B$2:$AO$26,MATCH('Master data'!$B21,'Team forecast'!$B$2:$B$26,0),MATCH('Master data'!BF$1,'Team forecast'!$B$2:$AO$2,0))</f>
        <v>1.2965069481471114</v>
      </c>
      <c r="BG21" s="16">
        <f>INDEX('Team forecast'!$B$2:$AO$26,MATCH('Master data'!$B21,'Team forecast'!$B$2:$B$26,0),MATCH('Master data'!BG$1,'Team forecast'!$B$2:$AO$2,0))</f>
        <v>0.27348542529246672</v>
      </c>
      <c r="BH21" s="16">
        <f>INDEX('Team forecast'!$B$2:$AO$26,MATCH('Master data'!$B21,'Team forecast'!$B$2:$B$26,0),MATCH('Master data'!BH$1,'Team forecast'!$B$2:$AO$2,0))</f>
        <v>2.5755293393428875</v>
      </c>
      <c r="BI21" s="16">
        <f>INDEX('Team forecast'!$B$2:$AO$26,MATCH('Master data'!$B21,'Team forecast'!$B$2:$B$26,0),MATCH('Master data'!BI$1,'Team forecast'!$B$2:$AO$2,0))</f>
        <v>3.6247412564394597</v>
      </c>
      <c r="BJ21" s="5">
        <f>AQ21</f>
        <v>7000</v>
      </c>
      <c r="BK21" s="5">
        <f>INDEX('Team forecast'!$R$3:$BH$26,MATCH($B21,'Team forecast'!$B$3:$B$26,0),MATCH(BK$1,'Team forecast'!$R$2:$BH$2,0))*IF($X21&gt;0,25000,0)</f>
        <v>7251.5074888154077</v>
      </c>
      <c r="BL21" s="5">
        <f>INDEX('Team forecast'!$R$3:$BH$26,MATCH($B21,'Team forecast'!$B$3:$B$26,0),MATCH(BL$1,'Team forecast'!$R$2:$BH$2,0))*IF($X21&gt;0,5000,0)</f>
        <v>1495.6234195681775</v>
      </c>
      <c r="BM21" s="5">
        <f>INDEX('Team forecast'!$R$3:$BH$26,MATCH($B21,'Team forecast'!$B$3:$B$26,0),MATCH(BM$1,'Team forecast'!$R$2:$BH$2,0))*IF($X21&gt;0,-15000,0)</f>
        <v>-6162.2252480062243</v>
      </c>
      <c r="BN21" s="5">
        <f>IF($C21="Defense",$N21*150000,IF($C21="Midfield",$N21*125000,IF($C21="Striker",$N21*100000,0)))*$BE21</f>
        <v>18212.484002623936</v>
      </c>
      <c r="BO21" s="5">
        <f>$O21*50000*$BE21</f>
        <v>13157.29232023467</v>
      </c>
      <c r="BP21" s="5">
        <f>$P21*BH21*10000</f>
        <v>4893.717607771865</v>
      </c>
      <c r="BQ21" s="5">
        <f>IF($C21="Goalkeeper",BG21*75000,IF($C21="Defense",BG21*50000,0))</f>
        <v>0</v>
      </c>
      <c r="BR21" s="5">
        <f>IF($C21="Goalkeeper",(BI21-BF21)*5000,0)</f>
        <v>0</v>
      </c>
      <c r="BS21" s="5">
        <f>$AG21</f>
        <v>-1739.1304347826087</v>
      </c>
      <c r="BT21" s="5">
        <f>$AH21</f>
        <v>0</v>
      </c>
      <c r="BU21" s="5">
        <f>IF(AQ21&gt;0,BE21*10000,0)</f>
        <v>10107.278258414168</v>
      </c>
      <c r="BV21" s="5">
        <f>IF(AQ21&gt;0,BF21*(-8000),0)</f>
        <v>-10372.055585176891</v>
      </c>
      <c r="BW21" s="5">
        <f>IFERROR(SUM(BJ21:BV21),0)</f>
        <v>43844.491829462509</v>
      </c>
      <c r="BX21" s="5">
        <f>AVERAGE(AK21,BD21,BW21)</f>
        <v>62914.16315892226</v>
      </c>
      <c r="BY21" s="5">
        <f>BX21*3</f>
        <v>188742.48947676679</v>
      </c>
      <c r="BZ21" s="5">
        <f>INDEX('Team forecast'!$R$3:$BH$26,MATCH($B21,'Team forecast'!$B$3:$B$26,0),MATCH(BZ$1,'Team forecast'!$R$2:$BH$2,0))*($BX21-(BY21+CH21)*0.01)</f>
        <v>-10507.048944031461</v>
      </c>
      <c r="CA21" s="5">
        <f>INDEX('Team forecast'!$R$3:$BH$26,MATCH($B21,'Team forecast'!$B$3:$B$26,0),MATCH(CA$1,'Team forecast'!$R$2:$BH$2,0))*($BX21-(BY21+BX21+CH21)*0.01)</f>
        <v>-5595.5486748896774</v>
      </c>
      <c r="CB21" s="5">
        <f>INDEX('Team forecast'!$R$3:$BH$26,MATCH($B21,'Team forecast'!$B$3:$B$26,0),MATCH(CB$1,'Team forecast'!$R$2:$BH$2,0))*($BX21-(BY21+BX21*2+CH21)*0.01)</f>
        <v>-3021.8742745870773</v>
      </c>
      <c r="CC21" s="5">
        <f>INDEX('Team forecast'!$R$3:$BH$26,MATCH($B21,'Team forecast'!$B$3:$B$26,0),MATCH(CC$1,'Team forecast'!$R$2:$BH$2,0))*($BX21-(BY21+BX21*3+CH21)*0.01)</f>
        <v>-1712.3981975787915</v>
      </c>
      <c r="CD21" s="5">
        <f>+AK21+BD21*Cockpit!$C$3+BW21*Cockpit!$C$3^2+BZ21*Cockpit!$C$3^3+CA21*Cockpit!$C$3^4+CB21*Cockpit!$C$3^5+CC21*Cockpit!$C$3^6</f>
        <v>142986.63747039545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2.5165665263568907E-2</v>
      </c>
      <c r="CK21" s="5">
        <f>RANK(BY21,$BY$2:$BY$623)+COUNTIF($BY$2:$BY21,$BY21)-1</f>
        <v>60</v>
      </c>
      <c r="CL21" s="5">
        <f>RANK(CJ21,$CJ$2:$CJ$623)+COUNTIF($CJ$2:$CJ21,$CJ21)-1</f>
        <v>207</v>
      </c>
    </row>
    <row r="22" spans="1:90">
      <c r="A22" t="str">
        <f>Players!P23</f>
        <v>Ferran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1.7533592214060363</v>
      </c>
      <c r="I22" s="16">
        <f>INDEX('Team forecast'!$B$2:$AO$26,MATCH('Master data'!$B22,'Team forecast'!$B$2:$B$26,0),MATCH('Master data'!I$1,'Team forecast'!$B$2:$AO$2,0))</f>
        <v>0.63639779406972985</v>
      </c>
      <c r="J22" s="16">
        <f>INDEX('Team forecast'!$B$2:$AO$26,MATCH('Master data'!$B22,'Team forecast'!$B$2:$B$26,0),MATCH('Master data'!J$1,'Team forecast'!$B$2:$AO$2,0))</f>
        <v>0.52919526509499659</v>
      </c>
      <c r="K22" s="16">
        <f>INDEX('Team forecast'!$B$2:$AO$26,MATCH('Master data'!$B22,'Team forecast'!$B$2:$B$26,0),MATCH('Master data'!K$1,'Team forecast'!$B$2:$AO$2,0))</f>
        <v>4.835748720224867</v>
      </c>
      <c r="L22" s="16">
        <f>INDEX('Team forecast'!$B$2:$AO$26,MATCH('Master data'!$B22,'Team forecast'!$B$2:$B$26,0),MATCH('Master data'!L$1,'Team forecast'!$B$2:$AO$2,0))</f>
        <v>2.0891846775016383</v>
      </c>
      <c r="M22">
        <f>IF(Players!BC23=1,95,0)</f>
        <v>0</v>
      </c>
      <c r="N22" s="2">
        <f>Players!BN23</f>
        <v>0</v>
      </c>
      <c r="O22" s="2">
        <f>Players!BO23</f>
        <v>0</v>
      </c>
      <c r="P22" s="2">
        <f>Players!BP23</f>
        <v>0</v>
      </c>
      <c r="Q22" s="2">
        <f>Players!BQ23</f>
        <v>3.4482758620689655E-2</v>
      </c>
      <c r="R22" s="2">
        <f>Players!BR23</f>
        <v>0</v>
      </c>
      <c r="S22" s="2">
        <f>H22</f>
        <v>1.7533592214060363</v>
      </c>
      <c r="T22" s="2">
        <f>I22</f>
        <v>0.63639779406972985</v>
      </c>
      <c r="U22" s="16">
        <f>INDEX('Team forecast'!$B$2:$AO$26,MATCH('Master data'!$B22,'Team forecast'!$B$2:$B$26,0),MATCH('Master data'!U$1,'Team forecast'!$B$2:$AO$2,0))</f>
        <v>0.68039391226499568</v>
      </c>
      <c r="V22" s="16">
        <f>INDEX('Team forecast'!$B$2:$AO$26,MATCH('Master data'!$B22,'Team forecast'!$B$2:$B$26,0),MATCH('Master data'!V$1,'Team forecast'!$B$2:$AO$2,0))</f>
        <v>0.20053715308863029</v>
      </c>
      <c r="W22" s="16">
        <f>INDEX('Team forecast'!$B$2:$AO$26,MATCH('Master data'!$B22,'Team forecast'!$B$2:$B$26,0),MATCH('Master data'!W$1,'Team forecast'!$B$2:$AO$2,0))</f>
        <v>0.11906893464637421</v>
      </c>
      <c r="X22" s="5">
        <f>IF(M22&gt;95,7000*2,IF(M22&gt;0,7000,-5000))</f>
        <v>-5000</v>
      </c>
      <c r="Y22" s="5">
        <f>IF($X22&gt;0,U22*25000,0)</f>
        <v>0</v>
      </c>
      <c r="Z22" s="5">
        <f>IF($X22&gt;0,V22*5000,0)</f>
        <v>0</v>
      </c>
      <c r="AA22" s="5">
        <f>IF($X22&gt;0,W22*(-15000),0)</f>
        <v>0</v>
      </c>
      <c r="AB22" s="5">
        <f>IF($C22="Defense",$N22*150000,IF($C22="Midfield",$N22*125000,IF($C22="Striker",$N22*100000,0)))*$H22</f>
        <v>0</v>
      </c>
      <c r="AC22" s="5">
        <f>$O22*50000*H22</f>
        <v>0</v>
      </c>
      <c r="AD22" s="5">
        <f>$P22*K22*10000</f>
        <v>0</v>
      </c>
      <c r="AE22" s="5">
        <f>IF($C22="Goalkeeper",J22*75000,IF($C22="Defense",J22*50000,0))</f>
        <v>0</v>
      </c>
      <c r="AF22" s="5">
        <f>IF($C22="Goalkeeper",(L22-I22)*5000,0)</f>
        <v>0</v>
      </c>
      <c r="AG22" s="5">
        <f>IF(M22&gt;0,Q22*(-20000),0)</f>
        <v>0</v>
      </c>
      <c r="AH22" s="5">
        <f>IF(M22&gt;0,R22*(-50000),0)</f>
        <v>0</v>
      </c>
      <c r="AI22" s="5">
        <f>IF(M22&gt;0,S22*10000,0)</f>
        <v>0</v>
      </c>
      <c r="AJ22" s="5">
        <f>IF(M22&gt;0,T22*(-8000),0)</f>
        <v>0</v>
      </c>
      <c r="AK22" s="5">
        <f>IFERROR(SUM(X22:AJ22),-5000)*((Cockpit!$C$3)^0)</f>
        <v>-5000</v>
      </c>
      <c r="AL22" s="16">
        <f>INDEX('Team forecast'!$B$2:$AO$26,MATCH('Master data'!$B22,'Team forecast'!$B$2:$B$26,0),MATCH('Master data'!AL$1,'Team forecast'!$B$2:$AO$2,0))</f>
        <v>1.9080439968215523</v>
      </c>
      <c r="AM22" s="16">
        <f>INDEX('Team forecast'!$B$2:$AO$26,MATCH('Master data'!$B22,'Team forecast'!$B$2:$B$26,0),MATCH('Master data'!AM$1,'Team forecast'!$B$2:$AO$2,0))</f>
        <v>0.77817916464933856</v>
      </c>
      <c r="AN22" s="16">
        <f>INDEX('Team forecast'!$B$2:$AO$26,MATCH('Master data'!$B22,'Team forecast'!$B$2:$B$26,0),MATCH('Master data'!AN$1,'Team forecast'!$B$2:$AO$2,0))</f>
        <v>0.459241453546125</v>
      </c>
      <c r="AO22" s="16">
        <f>INDEX('Team forecast'!$B$2:$AO$26,MATCH('Master data'!$B22,'Team forecast'!$B$2:$B$26,0),MATCH('Master data'!AO$1,'Team forecast'!$B$2:$AO$2,0))</f>
        <v>5.26236791817451</v>
      </c>
      <c r="AP22" s="16">
        <f>INDEX('Team forecast'!$B$2:$AO$26,MATCH('Master data'!$B22,'Team forecast'!$B$2:$B$26,0),MATCH('Master data'!AP$1,'Team forecast'!$B$2:$AO$2,0))</f>
        <v>2.5546285708185357</v>
      </c>
      <c r="AQ22" s="5">
        <f>X22</f>
        <v>-5000</v>
      </c>
      <c r="AR22" s="5">
        <f>INDEX('Team forecast'!$B$2:$AO$26,MATCH('Master data'!$B22,'Team forecast'!$B$2:$B$26,0),MATCH('Master data'!AR$1,'Team forecast'!$B$2:$AO$2,0))*IF(X22&gt;0,25000,0)</f>
        <v>0</v>
      </c>
      <c r="AS22" s="16">
        <f>INDEX('Team forecast'!$B$2:$AO$26,MATCH('Master data'!$B22,'Team forecast'!$B$2:$B$26,0),MATCH('Master data'!AS$1,'Team forecast'!$B$2:$AO$2,0))*IF(X22&gt;0,5000,0)</f>
        <v>0</v>
      </c>
      <c r="AT22" s="16">
        <f>INDEX('Team forecast'!$B$2:$AO$26,MATCH('Master data'!$B22,'Team forecast'!$B$2:$B$26,0),MATCH('Master data'!AT$1,'Team forecast'!$B$2:$AO$2,0))*IF(X22&gt;0,-15000,0)</f>
        <v>0</v>
      </c>
      <c r="AU22" s="5">
        <f>IF($C22="Defense",$N22*150000,IF($C22="Midfield",$N22*125000,IF($C22="Striker",$N22*100000,0)))*$AL22</f>
        <v>0</v>
      </c>
      <c r="AV22" s="5">
        <f>$O22*50000*AL22</f>
        <v>0</v>
      </c>
      <c r="AW22" s="5">
        <f>$P22*AO22*10000</f>
        <v>0</v>
      </c>
      <c r="AX22" s="5">
        <f>IF($C22="Goalkeeper",AN22*75000,IF($C22="Defense",AN22*50000,0))</f>
        <v>0</v>
      </c>
      <c r="AY22" s="5">
        <f>IF($C22="Goalkeeper",(AP22-AM22)*5000,0)</f>
        <v>0</v>
      </c>
      <c r="AZ22" s="5">
        <f>$AG22</f>
        <v>0</v>
      </c>
      <c r="BA22" s="5">
        <f>$AH22</f>
        <v>0</v>
      </c>
      <c r="BB22" s="5">
        <f>IF(X22&gt;0,AL22*10000,0)</f>
        <v>0</v>
      </c>
      <c r="BC22" s="5">
        <f>IF(X22&gt;0,AM22*(-8000),0)</f>
        <v>0</v>
      </c>
      <c r="BD22" s="5">
        <f>IFERROR(SUM(AQ22:BC22),0)</f>
        <v>-5000</v>
      </c>
      <c r="BE22" s="16">
        <f>INDEX('Team forecast'!$B$2:$AO$26,MATCH('Master data'!$B22,'Team forecast'!$B$2:$B$26,0),MATCH('Master data'!BE$1,'Team forecast'!$B$2:$AO$2,0))</f>
        <v>2.3513752571634776</v>
      </c>
      <c r="BF22" s="16">
        <f>INDEX('Team forecast'!$B$2:$AO$26,MATCH('Master data'!$B22,'Team forecast'!$B$2:$B$26,0),MATCH('Master data'!BF$1,'Team forecast'!$B$2:$AO$2,0))</f>
        <v>0.56161379059809569</v>
      </c>
      <c r="BG22" s="16">
        <f>INDEX('Team forecast'!$B$2:$AO$26,MATCH('Master data'!$B22,'Team forecast'!$B$2:$B$26,0),MATCH('Master data'!BG$1,'Team forecast'!$B$2:$AO$2,0))</f>
        <v>0.57028799543769604</v>
      </c>
      <c r="BH22" s="16">
        <f>INDEX('Team forecast'!$B$2:$AO$26,MATCH('Master data'!$B22,'Team forecast'!$B$2:$B$26,0),MATCH('Master data'!BH$1,'Team forecast'!$B$2:$AO$2,0))</f>
        <v>6.4850714855102307</v>
      </c>
      <c r="BI22" s="16">
        <f>INDEX('Team forecast'!$B$2:$AO$26,MATCH('Master data'!$B22,'Team forecast'!$B$2:$B$26,0),MATCH('Master data'!BI$1,'Team forecast'!$B$2:$AO$2,0))</f>
        <v>1.8436816358018293</v>
      </c>
      <c r="BJ22" s="5">
        <f>AQ22</f>
        <v>-5000</v>
      </c>
      <c r="BK22" s="5">
        <f>INDEX('Team forecast'!$R$3:$BH$26,MATCH($B22,'Team forecast'!$B$3:$B$26,0),MATCH(BK$1,'Team forecast'!$R$2:$BH$2,0))*IF($X22&gt;0,25000,0)</f>
        <v>0</v>
      </c>
      <c r="BL22" s="5">
        <f>INDEX('Team forecast'!$R$3:$BH$26,MATCH($B22,'Team forecast'!$B$3:$B$26,0),MATCH(BL$1,'Team forecast'!$R$2:$BH$2,0))*IF($X22&gt;0,5000,0)</f>
        <v>0</v>
      </c>
      <c r="BM22" s="5">
        <f>INDEX('Team forecast'!$R$3:$BH$26,MATCH($B22,'Team forecast'!$B$3:$B$26,0),MATCH(BM$1,'Team forecast'!$R$2:$BH$2,0))*IF($X22&gt;0,-15000,0)</f>
        <v>0</v>
      </c>
      <c r="BN22" s="5">
        <f>IF($C22="Defense",$N22*150000,IF($C22="Midfield",$N22*125000,IF($C22="Striker",$N22*100000,0)))*$BE22</f>
        <v>0</v>
      </c>
      <c r="BO22" s="5">
        <f>$O22*50000*$BE22</f>
        <v>0</v>
      </c>
      <c r="BP22" s="5">
        <f>$P22*BH22*10000</f>
        <v>0</v>
      </c>
      <c r="BQ22" s="5">
        <f>IF($C22="Goalkeeper",BG22*75000,IF($C22="Defense",BG22*50000,0))</f>
        <v>0</v>
      </c>
      <c r="BR22" s="5">
        <f>IF($C22="Goalkeeper",(BI22-BF22)*5000,0)</f>
        <v>0</v>
      </c>
      <c r="BS22" s="5">
        <f>$AG22</f>
        <v>0</v>
      </c>
      <c r="BT22" s="5">
        <f>$AH22</f>
        <v>0</v>
      </c>
      <c r="BU22" s="5">
        <f>IF(AQ22&gt;0,BE22*10000,0)</f>
        <v>0</v>
      </c>
      <c r="BV22" s="5">
        <f>IF(AQ22&gt;0,BF22*(-8000),0)</f>
        <v>0</v>
      </c>
      <c r="BW22" s="5">
        <f>IFERROR(SUM(BJ22:BV22),0)</f>
        <v>-5000</v>
      </c>
      <c r="BX22" s="5">
        <f>AVERAGE(AK22,BD22,BW22)</f>
        <v>-5000</v>
      </c>
      <c r="BY22" s="5">
        <f>BX22*3</f>
        <v>-15000</v>
      </c>
      <c r="BZ22" s="5">
        <f>INDEX('Team forecast'!$R$3:$BH$26,MATCH($B22,'Team forecast'!$B$3:$B$26,0),MATCH(BZ$1,'Team forecast'!$R$2:$BH$2,0))*($BX22-(BY22+CH22)*0.01)</f>
        <v>-62695.650267258083</v>
      </c>
      <c r="CA22" s="5">
        <f>INDEX('Team forecast'!$R$3:$BH$26,MATCH($B22,'Team forecast'!$B$3:$B$26,0),MATCH(CA$1,'Team forecast'!$R$2:$BH$2,0))*($BX22-(BY22+BX22+CH22)*0.01)</f>
        <v>-31746.23620067475</v>
      </c>
      <c r="CB22" s="5">
        <f>INDEX('Team forecast'!$R$3:$BH$26,MATCH($B22,'Team forecast'!$B$3:$B$26,0),MATCH(CB$1,'Team forecast'!$R$2:$BH$2,0))*($BX22-(BY22+BX22*2+CH22)*0.01)</f>
        <v>-16258.286313846069</v>
      </c>
      <c r="CC22" s="5">
        <f>INDEX('Team forecast'!$R$3:$BH$26,MATCH($B22,'Team forecast'!$B$3:$B$26,0),MATCH(CC$1,'Team forecast'!$R$2:$BH$2,0))*($BX22-(BY22+BX22*3+CH22)*0.01)</f>
        <v>-8634.9275668114096</v>
      </c>
      <c r="CD22" s="5">
        <f>+AK22+BD22*Cockpit!$C$3+BW22*Cockpit!$C$3^2+BZ22*Cockpit!$C$3^3+CA22*Cockpit!$C$3^4+CB22*Cockpit!$C$3^5+CC22*Cockpit!$C$3^6</f>
        <v>-38301.988094691442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-2.5000000000000001E-3</v>
      </c>
      <c r="CK22" s="5">
        <f>RANK(BY22,$BY$2:$BY$623)+COUNTIF($BY$2:$BY22,$BY22)-1</f>
        <v>420</v>
      </c>
      <c r="CL22" s="5">
        <f>RANK(CJ22,$CJ$2:$CJ$623)+COUNTIF($CJ$2:$CJ22,$CJ22)-1</f>
        <v>418</v>
      </c>
    </row>
    <row r="23" spans="1:90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1.2386203137003762</v>
      </c>
      <c r="I23" s="16">
        <f>INDEX('Team forecast'!$B$2:$AO$26,MATCH('Master data'!$B23,'Team forecast'!$B$2:$B$26,0),MATCH('Master data'!I$1,'Team forecast'!$B$2:$AO$2,0))</f>
        <v>1.2386203137003762</v>
      </c>
      <c r="J23" s="16">
        <f>INDEX('Team forecast'!$B$2:$AO$26,MATCH('Master data'!$B23,'Team forecast'!$B$2:$B$26,0),MATCH('Master data'!J$1,'Team forecast'!$B$2:$AO$2,0))</f>
        <v>0.28978375293296982</v>
      </c>
      <c r="K23" s="16">
        <f>INDEX('Team forecast'!$B$2:$AO$26,MATCH('Master data'!$B23,'Team forecast'!$B$2:$B$26,0),MATCH('Master data'!K$1,'Team forecast'!$B$2:$AO$2,0))</f>
        <v>3.2404985504377408</v>
      </c>
      <c r="L23" s="16">
        <f>INDEX('Team forecast'!$B$2:$AO$26,MATCH('Master data'!$B23,'Team forecast'!$B$2:$B$26,0),MATCH('Master data'!L$1,'Team forecast'!$B$2:$AO$2,0))</f>
        <v>3.7600973808761418</v>
      </c>
      <c r="M23">
        <f>IF(Players!BC24=1,95,0)</f>
        <v>95</v>
      </c>
      <c r="N23" s="2">
        <f>Players!BN24</f>
        <v>0.1366438947368116</v>
      </c>
      <c r="O23" s="2">
        <f>Players!BO24</f>
        <v>0.17191956682219617</v>
      </c>
      <c r="P23" s="2">
        <f>Players!BP24</f>
        <v>0.1333123996592917</v>
      </c>
      <c r="Q23" s="2">
        <f>Players!BQ24</f>
        <v>0.12051020408163265</v>
      </c>
      <c r="R23" s="2">
        <f>Players!BR24</f>
        <v>0</v>
      </c>
      <c r="S23" s="2">
        <f>H23</f>
        <v>1.2386203137003762</v>
      </c>
      <c r="T23" s="2">
        <f>I23</f>
        <v>1.2386203137003762</v>
      </c>
      <c r="U23" s="16">
        <f>INDEX('Team forecast'!$B$2:$AO$26,MATCH('Master data'!$B23,'Team forecast'!$B$2:$B$26,0),MATCH('Master data'!U$1,'Team forecast'!$B$2:$AO$2,0))</f>
        <v>0.36933223413025562</v>
      </c>
      <c r="V23" s="16">
        <f>INDEX('Team forecast'!$B$2:$AO$26,MATCH('Master data'!$B23,'Team forecast'!$B$2:$B$26,0),MATCH('Master data'!V$1,'Team forecast'!$B$2:$AO$2,0))</f>
        <v>0.29431162407254741</v>
      </c>
      <c r="W23" s="16">
        <f>INDEX('Team forecast'!$B$2:$AO$26,MATCH('Master data'!$B23,'Team forecast'!$B$2:$B$26,0),MATCH('Master data'!W$1,'Team forecast'!$B$2:$AO$2,0))</f>
        <v>0.33635614179719708</v>
      </c>
      <c r="X23" s="5">
        <f>IF(M23&gt;95,7000*2,IF(M23&gt;0,7000,-5000))</f>
        <v>7000</v>
      </c>
      <c r="Y23" s="5">
        <f>IF($X23&gt;0,U23*25000,0)</f>
        <v>9233.30585325639</v>
      </c>
      <c r="Z23" s="5">
        <f>IF($X23&gt;0,V23*5000,0)</f>
        <v>1471.5581203627371</v>
      </c>
      <c r="AA23" s="5">
        <f>IF($X23&gt;0,W23*(-15000),0)</f>
        <v>-5045.3421269579567</v>
      </c>
      <c r="AB23" s="5">
        <f>IF($C23="Defense",$N23*150000,IF($C23="Midfield",$N23*125000,IF($C23="Striker",$N23*100000,0)))*$H23</f>
        <v>16924.990376415077</v>
      </c>
      <c r="AC23" s="5">
        <f>$O23*50000*H23</f>
        <v>10647.153389427071</v>
      </c>
      <c r="AD23" s="5">
        <f>$P23*K23*10000</f>
        <v>4319.9863785131156</v>
      </c>
      <c r="AE23" s="5">
        <f>IF($C23="Goalkeeper",J23*75000,IF($C23="Defense",J23*50000,0))</f>
        <v>0</v>
      </c>
      <c r="AF23" s="5">
        <f>IF($C23="Goalkeeper",(L23-I23)*5000,0)</f>
        <v>0</v>
      </c>
      <c r="AG23" s="5">
        <f>IF(M23&gt;0,Q23*(-20000),0)</f>
        <v>-2410.204081632653</v>
      </c>
      <c r="AH23" s="5">
        <f>IF(M23&gt;0,R23*(-50000),0)</f>
        <v>0</v>
      </c>
      <c r="AI23" s="5">
        <f>IF(M23&gt;0,S23*10000,0)</f>
        <v>12386.203137003762</v>
      </c>
      <c r="AJ23" s="5">
        <f>IF(M23&gt;0,T23*(-8000),0)</f>
        <v>-9908.9625096030086</v>
      </c>
      <c r="AK23" s="5">
        <f>IFERROR(SUM(X23:AJ23),-5000)*((Cockpit!$C$3)^0)</f>
        <v>44618.688536784539</v>
      </c>
      <c r="AL23" s="16">
        <f>INDEX('Team forecast'!$B$2:$AO$26,MATCH('Master data'!$B23,'Team forecast'!$B$2:$B$26,0),MATCH('Master data'!AL$1,'Team forecast'!$B$2:$AO$2,0))</f>
        <v>2.140423422331811</v>
      </c>
      <c r="AM23" s="16">
        <f>INDEX('Team forecast'!$B$2:$AO$26,MATCH('Master data'!$B23,'Team forecast'!$B$2:$B$26,0),MATCH('Master data'!AM$1,'Team forecast'!$B$2:$AO$2,0))</f>
        <v>0.80291922538135296</v>
      </c>
      <c r="AN23" s="16">
        <f>INDEX('Team forecast'!$B$2:$AO$26,MATCH('Master data'!$B23,'Team forecast'!$B$2:$B$26,0),MATCH('Master data'!AN$1,'Team forecast'!$B$2:$AO$2,0))</f>
        <v>0.44801918430198229</v>
      </c>
      <c r="AO23" s="16">
        <f>INDEX('Team forecast'!$B$2:$AO$26,MATCH('Master data'!$B23,'Team forecast'!$B$2:$B$26,0),MATCH('Master data'!AO$1,'Team forecast'!$B$2:$AO$2,0))</f>
        <v>5.5998104670734943</v>
      </c>
      <c r="AP23" s="16">
        <f>INDEX('Team forecast'!$B$2:$AO$26,MATCH('Master data'!$B23,'Team forecast'!$B$2:$B$26,0),MATCH('Master data'!AP$1,'Team forecast'!$B$2:$AO$2,0))</f>
        <v>2.4374333627648213</v>
      </c>
      <c r="AQ23" s="5">
        <f>X23</f>
        <v>7000</v>
      </c>
      <c r="AR23" s="5">
        <f>INDEX('Team forecast'!$B$2:$AO$26,MATCH('Master data'!$B23,'Team forecast'!$B$2:$B$26,0),MATCH('Master data'!AR$1,'Team forecast'!$B$2:$AO$2,0))*IF(X23&gt;0,25000,0)</f>
        <v>16800.719411324339</v>
      </c>
      <c r="AS23" s="16">
        <f>INDEX('Team forecast'!$B$2:$AO$26,MATCH('Master data'!$B23,'Team forecast'!$B$2:$B$26,0),MATCH('Master data'!AS$1,'Team forecast'!$B$2:$AO$2,0))*IF(X23&gt;0,5000,0)</f>
        <v>1086.42065477386</v>
      </c>
      <c r="AT23" s="16">
        <f>INDEX('Team forecast'!$B$2:$AO$26,MATCH('Master data'!$B23,'Team forecast'!$B$2:$B$26,0),MATCH('Master data'!AT$1,'Team forecast'!$B$2:$AO$2,0))*IF(X23&gt;0,-15000,0)</f>
        <v>-1660.3063888838174</v>
      </c>
      <c r="AU23" s="5">
        <f>IF($C23="Defense",$N23*150000,IF($C23="Midfield",$N23*125000,IF($C23="Striker",$N23*100000,0)))*$AL23</f>
        <v>29247.579281331404</v>
      </c>
      <c r="AV23" s="5">
        <f>$O23*50000*AL23</f>
        <v>18399.033379168381</v>
      </c>
      <c r="AW23" s="5">
        <f>$P23*AO23*10000</f>
        <v>7465.2417100278653</v>
      </c>
      <c r="AX23" s="5">
        <f>IF($C23="Goalkeeper",AN23*75000,IF($C23="Defense",AN23*50000,0))</f>
        <v>0</v>
      </c>
      <c r="AY23" s="5">
        <f>IF($C23="Goalkeeper",(AP23-AM23)*5000,0)</f>
        <v>0</v>
      </c>
      <c r="AZ23" s="5">
        <f>$AG23</f>
        <v>-2410.204081632653</v>
      </c>
      <c r="BA23" s="5">
        <f>$AH23</f>
        <v>0</v>
      </c>
      <c r="BB23" s="5">
        <f>IF(X23&gt;0,AL23*10000,0)</f>
        <v>21404.234223318112</v>
      </c>
      <c r="BC23" s="5">
        <f>IF(X23&gt;0,AM23*(-8000),0)</f>
        <v>-6423.3538030508234</v>
      </c>
      <c r="BD23" s="5">
        <f>IFERROR(SUM(AQ23:BC23),0)</f>
        <v>90909.364386376677</v>
      </c>
      <c r="BE23" s="16">
        <f>INDEX('Team forecast'!$B$2:$AO$26,MATCH('Master data'!$B23,'Team forecast'!$B$2:$B$26,0),MATCH('Master data'!BE$1,'Team forecast'!$B$2:$AO$2,0))</f>
        <v>1.2965069481471114</v>
      </c>
      <c r="BF23" s="16">
        <f>INDEX('Team forecast'!$B$2:$AO$26,MATCH('Master data'!$B23,'Team forecast'!$B$2:$B$26,0),MATCH('Master data'!BF$1,'Team forecast'!$B$2:$AO$2,0))</f>
        <v>1.0107278258414167</v>
      </c>
      <c r="BG23" s="16">
        <f>INDEX('Team forecast'!$B$2:$AO$26,MATCH('Master data'!$B23,'Team forecast'!$B$2:$B$26,0),MATCH('Master data'!BG$1,'Team forecast'!$B$2:$AO$2,0))</f>
        <v>0.36395398803179979</v>
      </c>
      <c r="BH23" s="16">
        <f>INDEX('Team forecast'!$B$2:$AO$26,MATCH('Master data'!$B23,'Team forecast'!$B$2:$B$26,0),MATCH('Master data'!BH$1,'Team forecast'!$B$2:$AO$2,0))</f>
        <v>3.3919425021794698</v>
      </c>
      <c r="BI23" s="16">
        <f>INDEX('Team forecast'!$B$2:$AO$26,MATCH('Master data'!$B23,'Team forecast'!$B$2:$B$26,0),MATCH('Master data'!BI$1,'Team forecast'!$B$2:$AO$2,0))</f>
        <v>3.0682808998757292</v>
      </c>
      <c r="BJ23" s="5">
        <f>AQ23</f>
        <v>7000</v>
      </c>
      <c r="BK23" s="5">
        <f>INDEX('Team forecast'!$R$3:$BH$26,MATCH($B23,'Team forecast'!$B$3:$B$26,0),MATCH(BK$1,'Team forecast'!$R$2:$BH$2,0))*IF($X23&gt;0,25000,0)</f>
        <v>10270.375413343707</v>
      </c>
      <c r="BL23" s="5">
        <f>INDEX('Team forecast'!$R$3:$BH$26,MATCH($B23,'Team forecast'!$B$3:$B$26,0),MATCH(BL$1,'Team forecast'!$R$2:$BH$2,0))*IF($X23&gt;0,5000,0)</f>
        <v>1495.6234195681775</v>
      </c>
      <c r="BM23" s="5">
        <f>INDEX('Team forecast'!$R$3:$BH$26,MATCH($B23,'Team forecast'!$B$3:$B$26,0),MATCH(BM$1,'Team forecast'!$R$2:$BH$2,0))*IF($X23&gt;0,-15000,0)</f>
        <v>-4350.9044932892448</v>
      </c>
      <c r="BN23" s="5">
        <f>IF($C23="Defense",$N23*150000,IF($C23="Midfield",$N23*125000,IF($C23="Striker",$N23*100000,0)))*$BE23</f>
        <v>17715.975894815874</v>
      </c>
      <c r="BO23" s="5">
        <f>$O23*50000*$BE23</f>
        <v>11144.745645370947</v>
      </c>
      <c r="BP23" s="5">
        <f>$P23*BH23*10000</f>
        <v>4521.879944718874</v>
      </c>
      <c r="BQ23" s="5">
        <f>IF($C23="Goalkeeper",BG23*75000,IF($C23="Defense",BG23*50000,0))</f>
        <v>0</v>
      </c>
      <c r="BR23" s="5">
        <f>IF($C23="Goalkeeper",(BI23-BF23)*5000,0)</f>
        <v>0</v>
      </c>
      <c r="BS23" s="5">
        <f>$AG23</f>
        <v>-2410.204081632653</v>
      </c>
      <c r="BT23" s="5">
        <f>$AH23</f>
        <v>0</v>
      </c>
      <c r="BU23" s="5">
        <f>IF(AQ23&gt;0,BE23*10000,0)</f>
        <v>12965.069481471115</v>
      </c>
      <c r="BV23" s="5">
        <f>IF(AQ23&gt;0,BF23*(-8000),0)</f>
        <v>-8085.8226067313335</v>
      </c>
      <c r="BW23" s="5">
        <f>IFERROR(SUM(BJ23:BV23),0)</f>
        <v>50266.738617635463</v>
      </c>
      <c r="BX23" s="5">
        <f>AVERAGE(AK23,BD23,BW23)</f>
        <v>61931.597180265562</v>
      </c>
      <c r="BY23" s="5">
        <f>BX23*3</f>
        <v>185794.79154079669</v>
      </c>
      <c r="BZ23" s="5">
        <f>INDEX('Team forecast'!$R$3:$BH$26,MATCH($B23,'Team forecast'!$B$3:$B$26,0),MATCH(BZ$1,'Team forecast'!$R$2:$BH$2,0))*($BX23-(BY23+CH23)*0.01)</f>
        <v>8892.1281993330431</v>
      </c>
      <c r="CA23" s="5">
        <f>INDEX('Team forecast'!$R$3:$BH$26,MATCH($B23,'Team forecast'!$B$3:$B$26,0),MATCH(CA$1,'Team forecast'!$R$2:$BH$2,0))*($BX23-(BY23+BX23+CH23)*0.01)</f>
        <v>4337.4427136119348</v>
      </c>
      <c r="CB23" s="5">
        <f>INDEX('Team forecast'!$R$3:$BH$26,MATCH($B23,'Team forecast'!$B$3:$B$26,0),MATCH(CB$1,'Team forecast'!$R$2:$BH$2,0))*($BX23-(BY23+BX23*2+CH23)*0.01)</f>
        <v>2171.5298130912533</v>
      </c>
      <c r="CC23" s="5">
        <f>INDEX('Team forecast'!$R$3:$BH$26,MATCH($B23,'Team forecast'!$B$3:$B$26,0),MATCH(CC$1,'Team forecast'!$R$2:$BH$2,0))*($BX23-(BY23+BX23*3+CH23)*0.01)</f>
        <v>1183.3698072147179</v>
      </c>
      <c r="CD23" s="5">
        <f>+AK23+BD23*Cockpit!$C$3+BW23*Cockpit!$C$3^2+BZ23*Cockpit!$C$3^3+CA23*Cockpit!$C$3^4+CB23*Cockpit!$C$3^5+CC23*Cockpit!$C$3^6</f>
        <v>131447.04021775507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3.7158958308159337E-2</v>
      </c>
      <c r="CK23" s="5">
        <f>RANK(BY23,$BY$2:$BY$623)+COUNTIF($BY$2:$BY23,$BY23)-1</f>
        <v>62</v>
      </c>
      <c r="CL23" s="5">
        <f>RANK(CJ23,$CJ$2:$CJ$623)+COUNTIF($CJ$2:$CJ23,$CJ23)-1</f>
        <v>90</v>
      </c>
    </row>
    <row r="24" spans="1:90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1.5369105908463034</v>
      </c>
      <c r="I24" s="16">
        <f>INDEX('Team forecast'!$B$2:$AO$26,MATCH('Master data'!$B24,'Team forecast'!$B$2:$B$26,0),MATCH('Master data'!I$1,'Team forecast'!$B$2:$AO$2,0))</f>
        <v>0.81328039356128246</v>
      </c>
      <c r="J24" s="16">
        <f>INDEX('Team forecast'!$B$2:$AO$26,MATCH('Master data'!$B24,'Team forecast'!$B$2:$B$26,0),MATCH('Master data'!J$1,'Team forecast'!$B$2:$AO$2,0))</f>
        <v>0.44340114762649968</v>
      </c>
      <c r="K24" s="16">
        <f>INDEX('Team forecast'!$B$2:$AO$26,MATCH('Master data'!$B24,'Team forecast'!$B$2:$B$26,0),MATCH('Master data'!K$1,'Team forecast'!$B$2:$AO$2,0))</f>
        <v>4.6107317725389105</v>
      </c>
      <c r="L24" s="16">
        <f>INDEX('Team forecast'!$B$2:$AO$26,MATCH('Master data'!$B24,'Team forecast'!$B$2:$B$26,0),MATCH('Master data'!L$1,'Team forecast'!$B$2:$AO$2,0))</f>
        <v>2.0723952197374849</v>
      </c>
      <c r="M24">
        <f>IF(Players!BC25=1,95,0)</f>
        <v>95</v>
      </c>
      <c r="N24" s="2">
        <f>Players!BN25</f>
        <v>0.35673822961710472</v>
      </c>
      <c r="O24" s="2">
        <f>Players!BO25</f>
        <v>0.19947669562505688</v>
      </c>
      <c r="P24" s="2">
        <f>Players!BP25</f>
        <v>0.31195435197283583</v>
      </c>
      <c r="Q24" s="2">
        <f>Players!BQ25</f>
        <v>7.3081607795371498E-2</v>
      </c>
      <c r="R24" s="2">
        <f>Players!BR25</f>
        <v>0</v>
      </c>
      <c r="S24" s="2">
        <f>H24</f>
        <v>1.5369105908463034</v>
      </c>
      <c r="T24" s="2">
        <f>I24</f>
        <v>0.81328039356128246</v>
      </c>
      <c r="U24" s="16">
        <f>INDEX('Team forecast'!$B$2:$AO$26,MATCH('Master data'!$B24,'Team forecast'!$B$2:$B$26,0),MATCH('Master data'!U$1,'Team forecast'!$B$2:$AO$2,0))</f>
        <v>0.54773082942097018</v>
      </c>
      <c r="V24" s="16">
        <f>INDEX('Team forecast'!$B$2:$AO$26,MATCH('Master data'!$B24,'Team forecast'!$B$2:$B$26,0),MATCH('Master data'!V$1,'Team forecast'!$B$2:$AO$2,0))</f>
        <v>0.2660406885758998</v>
      </c>
      <c r="W24" s="16">
        <f>INDEX('Team forecast'!$B$2:$AO$26,MATCH('Master data'!$B24,'Team forecast'!$B$2:$B$26,0),MATCH('Master data'!W$1,'Team forecast'!$B$2:$AO$2,0))</f>
        <v>0.18622848200312991</v>
      </c>
      <c r="X24" s="5">
        <f>IF(M24&gt;95,7000*2,IF(M24&gt;0,7000,-5000))</f>
        <v>7000</v>
      </c>
      <c r="Y24" s="5">
        <f>IF($X24&gt;0,U24*25000,0)</f>
        <v>13693.270735524255</v>
      </c>
      <c r="Z24" s="5">
        <f>IF($X24&gt;0,V24*5000,0)</f>
        <v>1330.2034428794989</v>
      </c>
      <c r="AA24" s="5">
        <f>IF($X24&gt;0,W24*(-15000),0)</f>
        <v>-2793.4272300469488</v>
      </c>
      <c r="AB24" s="5">
        <f>IF($C24="Defense",$N24*150000,IF($C24="Midfield",$N24*125000,IF($C24="Striker",$N24*100000,0)))*$H24</f>
        <v>54827.476325828873</v>
      </c>
      <c r="AC24" s="5">
        <f>$O24*50000*H24</f>
        <v>15328.892306658721</v>
      </c>
      <c r="AD24" s="5">
        <f>$P24*K24*10000</f>
        <v>14383.378422229405</v>
      </c>
      <c r="AE24" s="5">
        <f>IF($C24="Goalkeeper",J24*75000,IF($C24="Defense",J24*50000,0))</f>
        <v>0</v>
      </c>
      <c r="AF24" s="5">
        <f>IF($C24="Goalkeeper",(L24-I24)*5000,0)</f>
        <v>0</v>
      </c>
      <c r="AG24" s="5">
        <f>IF(M24&gt;0,Q24*(-20000),0)</f>
        <v>-1461.6321559074299</v>
      </c>
      <c r="AH24" s="5">
        <f>IF(M24&gt;0,R24*(-50000),0)</f>
        <v>0</v>
      </c>
      <c r="AI24" s="5">
        <f>IF(M24&gt;0,S24*10000,0)</f>
        <v>15369.105908463034</v>
      </c>
      <c r="AJ24" s="5">
        <f>IF(M24&gt;0,T24*(-8000),0)</f>
        <v>-6506.24314849026</v>
      </c>
      <c r="AK24" s="5">
        <f>IFERROR(SUM(X24:AJ24),-5000)*((Cockpit!$C$3)^0)</f>
        <v>111171.02460713914</v>
      </c>
      <c r="AL24" s="16">
        <f>INDEX('Team forecast'!$B$2:$AO$26,MATCH('Master data'!$B24,'Team forecast'!$B$2:$B$26,0),MATCH('Master data'!AL$1,'Team forecast'!$B$2:$AO$2,0))</f>
        <v>0.77817916464933856</v>
      </c>
      <c r="AM24" s="16">
        <f>INDEX('Team forecast'!$B$2:$AO$26,MATCH('Master data'!$B24,'Team forecast'!$B$2:$B$26,0),MATCH('Master data'!AM$1,'Team forecast'!$B$2:$AO$2,0))</f>
        <v>1.9080439968215523</v>
      </c>
      <c r="AN24" s="16">
        <f>INDEX('Team forecast'!$B$2:$AO$26,MATCH('Master data'!$B24,'Team forecast'!$B$2:$B$26,0),MATCH('Master data'!AN$1,'Team forecast'!$B$2:$AO$2,0))</f>
        <v>0.1483703157610558</v>
      </c>
      <c r="AO24" s="16">
        <f>INDEX('Team forecast'!$B$2:$AO$26,MATCH('Master data'!$B24,'Team forecast'!$B$2:$B$26,0),MATCH('Master data'!AO$1,'Team forecast'!$B$2:$AO$2,0))</f>
        <v>2.3345374939480159</v>
      </c>
      <c r="AP24" s="16">
        <f>INDEX('Team forecast'!$B$2:$AO$26,MATCH('Master data'!$B24,'Team forecast'!$B$2:$B$26,0),MATCH('Master data'!AP$1,'Team forecast'!$B$2:$AO$2,0))</f>
        <v>4.862063919611546</v>
      </c>
      <c r="AQ24" s="5">
        <f>X24</f>
        <v>7000</v>
      </c>
      <c r="AR24" s="5">
        <f>INDEX('Team forecast'!$B$2:$AO$26,MATCH('Master data'!$B24,'Team forecast'!$B$2:$B$26,0),MATCH('Master data'!AR$1,'Team forecast'!$B$2:$AO$2,0))*IF(X24&gt;0,25000,0)</f>
        <v>3519.7337680542423</v>
      </c>
      <c r="AS24" s="16">
        <f>INDEX('Team forecast'!$B$2:$AO$26,MATCH('Master data'!$B24,'Team forecast'!$B$2:$B$26,0),MATCH('Master data'!AS$1,'Team forecast'!$B$2:$AO$2,0))*IF(X24&gt;0,5000,0)</f>
        <v>1059.787969721827</v>
      </c>
      <c r="AT24" s="16">
        <f>INDEX('Team forecast'!$B$2:$AO$26,MATCH('Master data'!$B24,'Team forecast'!$B$2:$B$26,0),MATCH('Master data'!AT$1,'Team forecast'!$B$2:$AO$2,0))*IF(X24&gt;0,-15000,0)</f>
        <v>-9708.7958300019709</v>
      </c>
      <c r="AU24" s="5">
        <f>IF($C24="Defense",$N24*150000,IF($C24="Midfield",$N24*125000,IF($C24="Striker",$N24*100000,0)))*$AL24</f>
        <v>27760.625752192249</v>
      </c>
      <c r="AV24" s="5">
        <f>$O24*50000*AL24</f>
        <v>7761.4304184258572</v>
      </c>
      <c r="AW24" s="5">
        <f>$P24*AO24*10000</f>
        <v>7282.6913108084145</v>
      </c>
      <c r="AX24" s="5">
        <f>IF($C24="Goalkeeper",AN24*75000,IF($C24="Defense",AN24*50000,0))</f>
        <v>0</v>
      </c>
      <c r="AY24" s="5">
        <f>IF($C24="Goalkeeper",(AP24-AM24)*5000,0)</f>
        <v>0</v>
      </c>
      <c r="AZ24" s="5">
        <f>$AG24</f>
        <v>-1461.6321559074299</v>
      </c>
      <c r="BA24" s="5">
        <f>$AH24</f>
        <v>0</v>
      </c>
      <c r="BB24" s="5">
        <f>IF(X24&gt;0,AL24*10000,0)</f>
        <v>7781.791646493386</v>
      </c>
      <c r="BC24" s="5">
        <f>IF(X24&gt;0,AM24*(-8000),0)</f>
        <v>-15264.351974572419</v>
      </c>
      <c r="BD24" s="5">
        <f>IFERROR(SUM(AQ24:BC24),0)</f>
        <v>35731.28090521416</v>
      </c>
      <c r="BE24" s="16">
        <f>INDEX('Team forecast'!$B$2:$AO$26,MATCH('Master data'!$B24,'Team forecast'!$B$2:$B$26,0),MATCH('Master data'!BE$1,'Team forecast'!$B$2:$AO$2,0))</f>
        <v>1.2236898885407743</v>
      </c>
      <c r="BF24" s="16">
        <f>INDEX('Team forecast'!$B$2:$AO$26,MATCH('Master data'!$B24,'Team forecast'!$B$2:$B$26,0),MATCH('Master data'!BF$1,'Team forecast'!$B$2:$AO$2,0))</f>
        <v>1.2688103238212438</v>
      </c>
      <c r="BG24" s="16">
        <f>INDEX('Team forecast'!$B$2:$AO$26,MATCH('Master data'!$B24,'Team forecast'!$B$2:$B$26,0),MATCH('Master data'!BG$1,'Team forecast'!$B$2:$AO$2,0))</f>
        <v>0.28116591928251122</v>
      </c>
      <c r="BH24" s="16">
        <f>INDEX('Team forecast'!$B$2:$AO$26,MATCH('Master data'!$B24,'Team forecast'!$B$2:$B$26,0),MATCH('Master data'!BH$1,'Team forecast'!$B$2:$AO$2,0))</f>
        <v>3.6710696656223227</v>
      </c>
      <c r="BI24" s="16">
        <f>INDEX('Team forecast'!$B$2:$AO$26,MATCH('Master data'!$B24,'Team forecast'!$B$2:$B$26,0),MATCH('Master data'!BI$1,'Team forecast'!$B$2:$AO$2,0))</f>
        <v>3.2331732950384708</v>
      </c>
      <c r="BJ24" s="5">
        <f>AQ24</f>
        <v>7000</v>
      </c>
      <c r="BK24" s="5">
        <f>INDEX('Team forecast'!$R$3:$BH$26,MATCH($B24,'Team forecast'!$B$3:$B$26,0),MATCH(BK$1,'Team forecast'!$R$2:$BH$2,0))*IF($X24&gt;0,25000,0)</f>
        <v>8385.6502242152455</v>
      </c>
      <c r="BL24" s="5">
        <f>INDEX('Team forecast'!$R$3:$BH$26,MATCH($B24,'Team forecast'!$B$3:$B$26,0),MATCH(BL$1,'Team forecast'!$R$2:$BH$2,0))*IF($X24&gt;0,5000,0)</f>
        <v>1448.4304932735427</v>
      </c>
      <c r="BM24" s="5">
        <f>INDEX('Team forecast'!$R$3:$BH$26,MATCH($B24,'Team forecast'!$B$3:$B$26,0),MATCH(BM$1,'Team forecast'!$R$2:$BH$2,0))*IF($X24&gt;0,-15000,0)</f>
        <v>-5623.3183856502237</v>
      </c>
      <c r="BN24" s="5">
        <f>IF($C24="Defense",$N24*150000,IF($C24="Midfield",$N24*125000,IF($C24="Striker",$N24*100000,0)))*$BE24</f>
        <v>43653.696443838802</v>
      </c>
      <c r="BO24" s="5">
        <f>$O24*50000*$BE24</f>
        <v>12204.880771795391</v>
      </c>
      <c r="BP24" s="5">
        <f>$P24*BH24*10000</f>
        <v>11452.061585863468</v>
      </c>
      <c r="BQ24" s="5">
        <f>IF($C24="Goalkeeper",BG24*75000,IF($C24="Defense",BG24*50000,0))</f>
        <v>0</v>
      </c>
      <c r="BR24" s="5">
        <f>IF($C24="Goalkeeper",(BI24-BF24)*5000,0)</f>
        <v>0</v>
      </c>
      <c r="BS24" s="5">
        <f>$AG24</f>
        <v>-1461.6321559074299</v>
      </c>
      <c r="BT24" s="5">
        <f>$AH24</f>
        <v>0</v>
      </c>
      <c r="BU24" s="5">
        <f>IF(AQ24&gt;0,BE24*10000,0)</f>
        <v>12236.898885407743</v>
      </c>
      <c r="BV24" s="5">
        <f>IF(AQ24&gt;0,BF24*(-8000),0)</f>
        <v>-10150.482590569951</v>
      </c>
      <c r="BW24" s="5">
        <f>IFERROR(SUM(BJ24:BV24),0)</f>
        <v>79146.185272266594</v>
      </c>
      <c r="BX24" s="5">
        <f>AVERAGE(AK24,BD24,BW24)</f>
        <v>75349.49692820663</v>
      </c>
      <c r="BY24" s="5">
        <f>BX24*3</f>
        <v>226048.49078461988</v>
      </c>
      <c r="BZ24" s="5">
        <f>INDEX('Team forecast'!$R$3:$BH$26,MATCH($B24,'Team forecast'!$B$3:$B$26,0),MATCH(BZ$1,'Team forecast'!$R$2:$BH$2,0))*($BX24-(BY24+CH24)*0.01)</f>
        <v>-1267.8948981131659</v>
      </c>
      <c r="CA24" s="5">
        <f>INDEX('Team forecast'!$R$3:$BH$26,MATCH($B24,'Team forecast'!$B$3:$B$26,0),MATCH(CA$1,'Team forecast'!$R$2:$BH$2,0))*($BX24-(BY24+BX24+CH24)*0.01)</f>
        <v>-870.2375508114153</v>
      </c>
      <c r="CB24" s="5">
        <f>INDEX('Team forecast'!$R$3:$BH$26,MATCH($B24,'Team forecast'!$B$3:$B$26,0),MATCH(CB$1,'Team forecast'!$R$2:$BH$2,0))*($BX24-(BY24+BX24*2+CH24)*0.01)</f>
        <v>-541.65926160753122</v>
      </c>
      <c r="CC24" s="5">
        <f>INDEX('Team forecast'!$R$3:$BH$26,MATCH($B24,'Team forecast'!$B$3:$B$26,0),MATCH(CC$1,'Team forecast'!$R$2:$BH$2,0))*($BX24-(BY24+BX24*3+CH24)*0.01)</f>
        <v>-304.55534392473157</v>
      </c>
      <c r="CD24" s="5">
        <f>+AK24+BD24*Cockpit!$C$3+BW24*Cockpit!$C$3^2+BZ24*Cockpit!$C$3^3+CA24*Cockpit!$C$3^4+CB24*Cockpit!$C$3^5+CC24*Cockpit!$C$3^6</f>
        <v>169522.32256559408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3.0139798771282651E-2</v>
      </c>
      <c r="CK24" s="5">
        <f>RANK(BY24,$BY$2:$BY$623)+COUNTIF($BY$2:$BY24,$BY24)-1</f>
        <v>32</v>
      </c>
      <c r="CL24" s="5">
        <f>RANK(CJ24,$CJ$2:$CJ$623)+COUNTIF($CJ$2:$CJ24,$CJ24)-1</f>
        <v>142</v>
      </c>
    </row>
    <row r="25" spans="1:90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1.6593477618235051</v>
      </c>
      <c r="I25" s="16">
        <f>INDEX('Team forecast'!$B$2:$AO$26,MATCH('Master data'!$B25,'Team forecast'!$B$2:$B$26,0),MATCH('Master data'!I$1,'Team forecast'!$B$2:$AO$2,0))</f>
        <v>0.65422581624273402</v>
      </c>
      <c r="J25" s="16">
        <f>INDEX('Team forecast'!$B$2:$AO$26,MATCH('Master data'!$B25,'Team forecast'!$B$2:$B$26,0),MATCH('Master data'!J$1,'Team forecast'!$B$2:$AO$2,0))</f>
        <v>0.51984436190144767</v>
      </c>
      <c r="K25" s="16">
        <f>INDEX('Team forecast'!$B$2:$AO$26,MATCH('Master data'!$B25,'Team forecast'!$B$2:$B$26,0),MATCH('Master data'!K$1,'Team forecast'!$B$2:$AO$2,0))</f>
        <v>4.5343674133251923</v>
      </c>
      <c r="L25" s="16">
        <f>INDEX('Team forecast'!$B$2:$AO$26,MATCH('Master data'!$B25,'Team forecast'!$B$2:$B$26,0),MATCH('Master data'!L$1,'Team forecast'!$B$2:$AO$2,0))</f>
        <v>2.1477110129180663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>H25</f>
        <v>1.6593477618235051</v>
      </c>
      <c r="T25" s="2">
        <f>I25</f>
        <v>0.65422581624273402</v>
      </c>
      <c r="U25" s="16">
        <f>INDEX('Team forecast'!$B$2:$AO$26,MATCH('Master data'!$B25,'Team forecast'!$B$2:$B$26,0),MATCH('Master data'!U$1,'Team forecast'!$B$2:$AO$2,0))</f>
        <v>0.61375173050299947</v>
      </c>
      <c r="V25" s="16">
        <f>INDEX('Team forecast'!$B$2:$AO$26,MATCH('Master data'!$B25,'Team forecast'!$B$2:$B$26,0),MATCH('Master data'!V$1,'Team forecast'!$B$2:$AO$2,0))</f>
        <v>0.25034610059990769</v>
      </c>
      <c r="W25" s="16">
        <f>INDEX('Team forecast'!$B$2:$AO$26,MATCH('Master data'!$B25,'Team forecast'!$B$2:$B$26,0),MATCH('Master data'!W$1,'Team forecast'!$B$2:$AO$2,0))</f>
        <v>0.13590216889709281</v>
      </c>
      <c r="X25" s="5">
        <f>IF(M25&gt;95,7000*2,IF(M25&gt;0,7000,-5000))</f>
        <v>-5000</v>
      </c>
      <c r="Y25" s="5">
        <f>IF($X25&gt;0,U25*25000,0)</f>
        <v>0</v>
      </c>
      <c r="Z25" s="5">
        <f>IF($X25&gt;0,V25*5000,0)</f>
        <v>0</v>
      </c>
      <c r="AA25" s="5">
        <f>IF($X25&gt;0,W25*(-15000),0)</f>
        <v>0</v>
      </c>
      <c r="AB25" s="5">
        <f>IF($C25="Defense",$N25*150000,IF($C25="Midfield",$N25*125000,IF($C25="Striker",$N25*100000,0)))*$H25</f>
        <v>0</v>
      </c>
      <c r="AC25" s="5">
        <f>$O25*50000*H25</f>
        <v>0</v>
      </c>
      <c r="AD25" s="5">
        <f>$P25*K25*10000</f>
        <v>0</v>
      </c>
      <c r="AE25" s="5">
        <f>IF($C25="Goalkeeper",J25*75000,IF($C25="Defense",J25*50000,0))</f>
        <v>0</v>
      </c>
      <c r="AF25" s="5">
        <f>IF($C25="Goalkeeper",(L25-I25)*5000,0)</f>
        <v>0</v>
      </c>
      <c r="AG25" s="5">
        <f>IF(M25&gt;0,Q25*(-20000),0)</f>
        <v>0</v>
      </c>
      <c r="AH25" s="5">
        <f>IF(M25&gt;0,R25*(-50000),0)</f>
        <v>0</v>
      </c>
      <c r="AI25" s="5">
        <f>IF(M25&gt;0,S25*10000,0)</f>
        <v>0</v>
      </c>
      <c r="AJ25" s="5">
        <f>IF(M25&gt;0,T25*(-8000),0)</f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1.5198357804321134</v>
      </c>
      <c r="AM25" s="16">
        <f>INDEX('Team forecast'!$B$2:$AO$26,MATCH('Master data'!$B25,'Team forecast'!$B$2:$B$26,0),MATCH('Master data'!AM$1,'Team forecast'!$B$2:$AO$2,0))</f>
        <v>0.79620558314709244</v>
      </c>
      <c r="AN25" s="16">
        <f>INDEX('Team forecast'!$B$2:$AO$26,MATCH('Master data'!$B25,'Team forecast'!$B$2:$B$26,0),MATCH('Master data'!AN$1,'Team forecast'!$B$2:$AO$2,0))</f>
        <v>0.45103714423540769</v>
      </c>
      <c r="AO25" s="16">
        <f>INDEX('Team forecast'!$B$2:$AO$26,MATCH('Master data'!$B25,'Team forecast'!$B$2:$B$26,0),MATCH('Master data'!AO$1,'Team forecast'!$B$2:$AO$2,0))</f>
        <v>4.1531341379722457</v>
      </c>
      <c r="AP25" s="16">
        <f>INDEX('Team forecast'!$B$2:$AO$26,MATCH('Master data'!$B25,'Team forecast'!$B$2:$B$26,0),MATCH('Master data'!AP$1,'Team forecast'!$B$2:$AO$2,0))</f>
        <v>2.6138062073010611</v>
      </c>
      <c r="AQ25" s="5">
        <f>X25</f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>IF($C25="Defense",$N25*150000,IF($C25="Midfield",$N25*125000,IF($C25="Striker",$N25*100000,0)))*$AL25</f>
        <v>0</v>
      </c>
      <c r="AV25" s="5">
        <f>$O25*50000*AL25</f>
        <v>0</v>
      </c>
      <c r="AW25" s="5">
        <f>$P25*AO25*10000</f>
        <v>0</v>
      </c>
      <c r="AX25" s="5">
        <f>IF($C25="Goalkeeper",AN25*75000,IF($C25="Defense",AN25*50000,0))</f>
        <v>0</v>
      </c>
      <c r="AY25" s="5">
        <f>IF($C25="Goalkeeper",(AP25-AM25)*5000,0)</f>
        <v>0</v>
      </c>
      <c r="AZ25" s="5">
        <f>$AG25</f>
        <v>0</v>
      </c>
      <c r="BA25" s="5">
        <f>$AH25</f>
        <v>0</v>
      </c>
      <c r="BB25" s="5">
        <f>IF(X25&gt;0,AL25*10000,0)</f>
        <v>0</v>
      </c>
      <c r="BC25" s="5">
        <f>IF(X25&gt;0,AM25*(-8000),0)</f>
        <v>0</v>
      </c>
      <c r="BD25" s="5">
        <f>IFERROR(SUM(AQ25:BC25),0)</f>
        <v>-5000</v>
      </c>
      <c r="BE25" s="16">
        <f>INDEX('Team forecast'!$B$2:$AO$26,MATCH('Master data'!$B25,'Team forecast'!$B$2:$B$26,0),MATCH('Master data'!BE$1,'Team forecast'!$B$2:$AO$2,0))</f>
        <v>1.8402581758343768</v>
      </c>
      <c r="BF25" s="16">
        <f>INDEX('Team forecast'!$B$2:$AO$26,MATCH('Master data'!$B25,'Team forecast'!$B$2:$B$26,0),MATCH('Master data'!BF$1,'Team forecast'!$B$2:$AO$2,0))</f>
        <v>0.65281467345965161</v>
      </c>
      <c r="BG25" s="16">
        <f>INDEX('Team forecast'!$B$2:$AO$26,MATCH('Master data'!$B25,'Team forecast'!$B$2:$B$26,0),MATCH('Master data'!BG$1,'Team forecast'!$B$2:$AO$2,0))</f>
        <v>0.52057845435388617</v>
      </c>
      <c r="BH25" s="16">
        <f>INDEX('Team forecast'!$B$2:$AO$26,MATCH('Master data'!$B25,'Team forecast'!$B$2:$B$26,0),MATCH('Master data'!BH$1,'Team forecast'!$B$2:$AO$2,0))</f>
        <v>5.0287268869057034</v>
      </c>
      <c r="BI25" s="16">
        <f>INDEX('Team forecast'!$B$2:$AO$26,MATCH('Master data'!$B25,'Team forecast'!$B$2:$B$26,0),MATCH('Master data'!BI$1,'Team forecast'!$B$2:$AO$2,0))</f>
        <v>2.1430784734786541</v>
      </c>
      <c r="BJ25" s="5">
        <f>AQ25</f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>IF($C25="Defense",$N25*150000,IF($C25="Midfield",$N25*125000,IF($C25="Striker",$N25*100000,0)))*$BE25</f>
        <v>0</v>
      </c>
      <c r="BO25" s="5">
        <f>$O25*50000*$BE25</f>
        <v>0</v>
      </c>
      <c r="BP25" s="5">
        <f>$P25*BH25*10000</f>
        <v>0</v>
      </c>
      <c r="BQ25" s="5">
        <f>IF($C25="Goalkeeper",BG25*75000,IF($C25="Defense",BG25*50000,0))</f>
        <v>0</v>
      </c>
      <c r="BR25" s="5">
        <f>IF($C25="Goalkeeper",(BI25-BF25)*5000,0)</f>
        <v>0</v>
      </c>
      <c r="BS25" s="5">
        <f>$AG25</f>
        <v>0</v>
      </c>
      <c r="BT25" s="5">
        <f>$AH25</f>
        <v>0</v>
      </c>
      <c r="BU25" s="5">
        <f>IF(AQ25&gt;0,BE25*10000,0)</f>
        <v>0</v>
      </c>
      <c r="BV25" s="5">
        <f>IF(AQ25&gt;0,BF25*(-8000),0)</f>
        <v>0</v>
      </c>
      <c r="BW25" s="5">
        <f>IFERROR(SUM(BJ25:BV25),0)</f>
        <v>-5000</v>
      </c>
      <c r="BX25" s="5">
        <f>AVERAGE(AK25,BD25,BW25)</f>
        <v>-5000</v>
      </c>
      <c r="BY25" s="5">
        <f>BX25*3</f>
        <v>-15000</v>
      </c>
      <c r="BZ25" s="5">
        <f>INDEX('Team forecast'!$R$3:$BH$26,MATCH($B25,'Team forecast'!$B$3:$B$26,0),MATCH(BZ$1,'Team forecast'!$R$2:$BH$2,0))*($BX25-(BY25+CH25)*0.01)</f>
        <v>-47739.297858831793</v>
      </c>
      <c r="CA25" s="5">
        <f>INDEX('Team forecast'!$R$3:$BH$26,MATCH($B25,'Team forecast'!$B$3:$B$26,0),MATCH(CA$1,'Team forecast'!$R$2:$BH$2,0))*($BX25-(BY25+BX25+CH25)*0.01)</f>
        <v>-24039.096037445128</v>
      </c>
      <c r="CB25" s="5">
        <f>INDEX('Team forecast'!$R$3:$BH$26,MATCH($B25,'Team forecast'!$B$3:$B$26,0),MATCH(CB$1,'Team forecast'!$R$2:$BH$2,0))*($BX25-(BY25+BX25*2+CH25)*0.01)</f>
        <v>-12189.310238143229</v>
      </c>
      <c r="CC25" s="5">
        <f>INDEX('Team forecast'!$R$3:$BH$26,MATCH($B25,'Team forecast'!$B$3:$B$26,0),MATCH(CC$1,'Team forecast'!$R$2:$BH$2,0))*($BX25-(BY25+BX25*3+CH25)*0.01)</f>
        <v>-6322.7592442026489</v>
      </c>
      <c r="CD25" s="5">
        <f>+AK25+BD25*Cockpit!$C$3+BW25*Cockpit!$C$3^2+BZ25*Cockpit!$C$3^3+CA25*Cockpit!$C$3^4+CB25*Cockpit!$C$3^5+CC25*Cockpit!$C$3^6</f>
        <v>-31609.25725842316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-3.3333333333333335E-3</v>
      </c>
      <c r="CK25" s="5">
        <f>RANK(BY25,$BY$2:$BY$623)+COUNTIF($BY$2:$BY25,$BY25)-1</f>
        <v>421</v>
      </c>
      <c r="CL25" s="5">
        <f>RANK(CJ25,$CJ$2:$CJ$623)+COUNTIF($CJ$2:$CJ25,$CJ25)-1</f>
        <v>429</v>
      </c>
    </row>
    <row r="26" spans="1:90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1.5602309947683257</v>
      </c>
      <c r="I26" s="16">
        <f>INDEX('Team forecast'!$B$2:$AO$26,MATCH('Master data'!$B26,'Team forecast'!$B$2:$B$26,0),MATCH('Master data'!I$1,'Team forecast'!$B$2:$AO$2,0))</f>
        <v>0.84461095835632183</v>
      </c>
      <c r="J26" s="16">
        <f>INDEX('Team forecast'!$B$2:$AO$26,MATCH('Master data'!$B26,'Team forecast'!$B$2:$B$26,0),MATCH('Master data'!J$1,'Team forecast'!$B$2:$AO$2,0))</f>
        <v>0.42972450642313093</v>
      </c>
      <c r="K26" s="16">
        <f>INDEX('Team forecast'!$B$2:$AO$26,MATCH('Master data'!$B26,'Team forecast'!$B$2:$B$26,0),MATCH('Master data'!K$1,'Team forecast'!$B$2:$AO$2,0))</f>
        <v>4.1655927994293096</v>
      </c>
      <c r="L26" s="16">
        <f>INDEX('Team forecast'!$B$2:$AO$26,MATCH('Master data'!$B26,'Team forecast'!$B$2:$B$26,0),MATCH('Master data'!L$1,'Team forecast'!$B$2:$AO$2,0))</f>
        <v>2.7727127420788342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>H26</f>
        <v>1.5602309947683257</v>
      </c>
      <c r="T26" s="2">
        <f>I26</f>
        <v>0.84461095835632183</v>
      </c>
      <c r="U26" s="16">
        <f>INDEX('Team forecast'!$B$2:$AO$26,MATCH('Master data'!$B26,'Team forecast'!$B$2:$B$26,0),MATCH('Master data'!U$1,'Team forecast'!$B$2:$AO$2,0))</f>
        <v>0.58357649020425184</v>
      </c>
      <c r="V26" s="16">
        <f>INDEX('Team forecast'!$B$2:$AO$26,MATCH('Master data'!$B26,'Team forecast'!$B$2:$B$26,0),MATCH('Master data'!V$1,'Team forecast'!$B$2:$AO$2,0))</f>
        <v>0.23634847853272201</v>
      </c>
      <c r="W26" s="16">
        <f>INDEX('Team forecast'!$B$2:$AO$26,MATCH('Master data'!$B26,'Team forecast'!$B$2:$B$26,0),MATCH('Master data'!W$1,'Team forecast'!$B$2:$AO$2,0))</f>
        <v>0.18007503126302629</v>
      </c>
      <c r="X26" s="5">
        <f>IF(M26&gt;95,7000*2,IF(M26&gt;0,7000,-5000))</f>
        <v>-5000</v>
      </c>
      <c r="Y26" s="5">
        <f>IF($X26&gt;0,U26*25000,0)</f>
        <v>0</v>
      </c>
      <c r="Z26" s="5">
        <f>IF($X26&gt;0,V26*5000,0)</f>
        <v>0</v>
      </c>
      <c r="AA26" s="5">
        <f>IF($X26&gt;0,W26*(-15000),0)</f>
        <v>0</v>
      </c>
      <c r="AB26" s="5">
        <f>IF($C26="Defense",$N26*150000,IF($C26="Midfield",$N26*125000,IF($C26="Striker",$N26*100000,0)))*$H26</f>
        <v>0</v>
      </c>
      <c r="AC26" s="5">
        <f>$O26*50000*H26</f>
        <v>0</v>
      </c>
      <c r="AD26" s="5">
        <f>$P26*K26*10000</f>
        <v>0</v>
      </c>
      <c r="AE26" s="5">
        <f>IF($C26="Goalkeeper",J26*75000,IF($C26="Defense",J26*50000,0))</f>
        <v>0</v>
      </c>
      <c r="AF26" s="5">
        <f>IF($C26="Goalkeeper",(L26-I26)*5000,0)</f>
        <v>0</v>
      </c>
      <c r="AG26" s="5">
        <f>IF(M26&gt;0,Q26*(-20000),0)</f>
        <v>0</v>
      </c>
      <c r="AH26" s="5">
        <f>IF(M26&gt;0,R26*(-50000),0)</f>
        <v>0</v>
      </c>
      <c r="AI26" s="5">
        <f>IF(M26&gt;0,S26*10000,0)</f>
        <v>0</v>
      </c>
      <c r="AJ26" s="5">
        <f>IF(M26&gt;0,T26*(-8000),0)</f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1.5279674504451852</v>
      </c>
      <c r="AM26" s="16">
        <f>INDEX('Team forecast'!$B$2:$AO$26,MATCH('Master data'!$B26,'Team forecast'!$B$2:$B$26,0),MATCH('Master data'!AM$1,'Team forecast'!$B$2:$AO$2,0))</f>
        <v>1.1610121970988967</v>
      </c>
      <c r="AN26" s="16">
        <f>INDEX('Team forecast'!$B$2:$AO$26,MATCH('Master data'!$B26,'Team forecast'!$B$2:$B$26,0),MATCH('Master data'!AN$1,'Team forecast'!$B$2:$AO$2,0))</f>
        <v>0.31316903161563348</v>
      </c>
      <c r="AO26" s="16">
        <f>INDEX('Team forecast'!$B$2:$AO$26,MATCH('Master data'!$B26,'Team forecast'!$B$2:$B$26,0),MATCH('Master data'!AO$1,'Team forecast'!$B$2:$AO$2,0))</f>
        <v>4.0794537672172888</v>
      </c>
      <c r="AP26" s="16">
        <f>INDEX('Team forecast'!$B$2:$AO$26,MATCH('Master data'!$B26,'Team forecast'!$B$2:$B$26,0),MATCH('Master data'!AP$1,'Team forecast'!$B$2:$AO$2,0))</f>
        <v>3.8114036773448627</v>
      </c>
      <c r="AQ26" s="5">
        <f>X26</f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>IF($C26="Defense",$N26*150000,IF($C26="Midfield",$N26*125000,IF($C26="Striker",$N26*100000,0)))*$AL26</f>
        <v>0</v>
      </c>
      <c r="AV26" s="5">
        <f>$O26*50000*AL26</f>
        <v>0</v>
      </c>
      <c r="AW26" s="5">
        <f>$P26*AO26*10000</f>
        <v>0</v>
      </c>
      <c r="AX26" s="5">
        <f>IF($C26="Goalkeeper",AN26*75000,IF($C26="Defense",AN26*50000,0))</f>
        <v>0</v>
      </c>
      <c r="AY26" s="5">
        <f>IF($C26="Goalkeeper",(AP26-AM26)*5000,0)</f>
        <v>0</v>
      </c>
      <c r="AZ26" s="5">
        <f>$AG26</f>
        <v>0</v>
      </c>
      <c r="BA26" s="5">
        <f>$AH26</f>
        <v>0</v>
      </c>
      <c r="BB26" s="5">
        <f>IF(X26&gt;0,AL26*10000,0)</f>
        <v>0</v>
      </c>
      <c r="BC26" s="5">
        <f>IF(X26&gt;0,AM26*(-8000),0)</f>
        <v>0</v>
      </c>
      <c r="BD26" s="5">
        <f>IFERROR(SUM(AQ26:BC26),0)</f>
        <v>-5000</v>
      </c>
      <c r="BE26" s="16">
        <f>INDEX('Team forecast'!$B$2:$AO$26,MATCH('Master data'!$B26,'Team forecast'!$B$2:$B$26,0),MATCH('Master data'!BE$1,'Team forecast'!$B$2:$AO$2,0))</f>
        <v>2.3394224481215296</v>
      </c>
      <c r="BF26" s="16">
        <f>INDEX('Team forecast'!$B$2:$AO$26,MATCH('Master data'!$B26,'Team forecast'!$B$2:$B$26,0),MATCH('Master data'!BF$1,'Team forecast'!$B$2:$AO$2,0))</f>
        <v>0.62462402002960304</v>
      </c>
      <c r="BG26" s="16">
        <f>INDEX('Team forecast'!$B$2:$AO$26,MATCH('Master data'!$B26,'Team forecast'!$B$2:$B$26,0),MATCH('Master data'!BG$1,'Team forecast'!$B$2:$AO$2,0))</f>
        <v>0.53546271393231015</v>
      </c>
      <c r="BH26" s="16">
        <f>INDEX('Team forecast'!$B$2:$AO$26,MATCH('Master data'!$B26,'Team forecast'!$B$2:$B$26,0),MATCH('Master data'!BH$1,'Team forecast'!$B$2:$AO$2,0))</f>
        <v>6.2459221342192031</v>
      </c>
      <c r="BI26" s="16">
        <f>INDEX('Team forecast'!$B$2:$AO$26,MATCH('Master data'!$B26,'Team forecast'!$B$2:$B$26,0),MATCH('Master data'!BI$1,'Team forecast'!$B$2:$AO$2,0))</f>
        <v>2.0505333990870809</v>
      </c>
      <c r="BJ26" s="5">
        <f>AQ26</f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>IF($C26="Defense",$N26*150000,IF($C26="Midfield",$N26*125000,IF($C26="Striker",$N26*100000,0)))*$BE26</f>
        <v>0</v>
      </c>
      <c r="BO26" s="5">
        <f>$O26*50000*$BE26</f>
        <v>0</v>
      </c>
      <c r="BP26" s="5">
        <f>$P26*BH26*10000</f>
        <v>0</v>
      </c>
      <c r="BQ26" s="5">
        <f>IF($C26="Goalkeeper",BG26*75000,IF($C26="Defense",BG26*50000,0))</f>
        <v>0</v>
      </c>
      <c r="BR26" s="5">
        <f>IF($C26="Goalkeeper",(BI26-BF26)*5000,0)</f>
        <v>0</v>
      </c>
      <c r="BS26" s="5">
        <f>$AG26</f>
        <v>0</v>
      </c>
      <c r="BT26" s="5">
        <f>$AH26</f>
        <v>0</v>
      </c>
      <c r="BU26" s="5">
        <f>IF(AQ26&gt;0,BE26*10000,0)</f>
        <v>0</v>
      </c>
      <c r="BV26" s="5">
        <f>IF(AQ26&gt;0,BF26*(-8000),0)</f>
        <v>0</v>
      </c>
      <c r="BW26" s="5">
        <f>IFERROR(SUM(BJ26:BV26),0)</f>
        <v>-5000</v>
      </c>
      <c r="BX26" s="5">
        <f>AVERAGE(AK26,BD26,BW26)</f>
        <v>-5000</v>
      </c>
      <c r="BY26" s="5">
        <f>BX26*3</f>
        <v>-15000</v>
      </c>
      <c r="BZ26" s="5">
        <f>INDEX('Team forecast'!$R$3:$BH$26,MATCH($B26,'Team forecast'!$B$3:$B$26,0),MATCH(BZ$1,'Team forecast'!$R$2:$BH$2,0))*($BX26-(BY26+CH26)*0.01)</f>
        <v>-57315.887198617507</v>
      </c>
      <c r="CA26" s="5">
        <f>INDEX('Team forecast'!$R$3:$BH$26,MATCH($B26,'Team forecast'!$B$3:$B$26,0),MATCH(CA$1,'Team forecast'!$R$2:$BH$2,0))*($BX26-(BY26+BX26+CH26)*0.01)</f>
        <v>-29216.190478739321</v>
      </c>
      <c r="CB26" s="5">
        <f>INDEX('Team forecast'!$R$3:$BH$26,MATCH($B26,'Team forecast'!$B$3:$B$26,0),MATCH(CB$1,'Team forecast'!$R$2:$BH$2,0))*($BX26-(BY26+BX26*2+CH26)*0.01)</f>
        <v>-15143.364946534975</v>
      </c>
      <c r="CC26" s="5">
        <f>INDEX('Team forecast'!$R$3:$BH$26,MATCH($B26,'Team forecast'!$B$3:$B$26,0),MATCH(CC$1,'Team forecast'!$R$2:$BH$2,0))*($BX26-(BY26+BX26*3+CH26)*0.01)</f>
        <v>-8270.7215667659711</v>
      </c>
      <c r="CD26" s="5">
        <f>+AK26+BD26*Cockpit!$C$3+BW26*Cockpit!$C$3^2+BZ26*Cockpit!$C$3^3+CA26*Cockpit!$C$3^4+CB26*Cockpit!$C$3^5+CC26*Cockpit!$C$3^6</f>
        <v>-36029.426994485897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-2.7272727272727275E-3</v>
      </c>
      <c r="CK26" s="5">
        <f>RANK(BY26,$BY$2:$BY$623)+COUNTIF($BY$2:$BY26,$BY26)-1</f>
        <v>422</v>
      </c>
      <c r="CL26" s="5">
        <f>RANK(CJ26,$CJ$2:$CJ$623)+COUNTIF($CJ$2:$CJ26,$CJ26)-1</f>
        <v>421</v>
      </c>
    </row>
    <row r="27" spans="1:90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1.5712166996139025</v>
      </c>
      <c r="I27" s="16">
        <f>INDEX('Team forecast'!$B$2:$AO$26,MATCH('Master data'!$B27,'Team forecast'!$B$2:$B$26,0),MATCH('Master data'!I$1,'Team forecast'!$B$2:$AO$2,0))</f>
        <v>0.76028648339757388</v>
      </c>
      <c r="J27" s="16">
        <f>INDEX('Team forecast'!$B$2:$AO$26,MATCH('Master data'!$B27,'Team forecast'!$B$2:$B$26,0),MATCH('Master data'!J$1,'Team forecast'!$B$2:$AO$2,0))</f>
        <v>0.46753246753246752</v>
      </c>
      <c r="K27" s="16">
        <f>INDEX('Team forecast'!$B$2:$AO$26,MATCH('Master data'!$B27,'Team forecast'!$B$2:$B$26,0),MATCH('Master data'!K$1,'Team forecast'!$B$2:$AO$2,0))</f>
        <v>4.4640175390899657</v>
      </c>
      <c r="L27" s="16">
        <f>INDEX('Team forecast'!$B$2:$AO$26,MATCH('Master data'!$B27,'Team forecast'!$B$2:$B$26,0),MATCH('Master data'!L$1,'Team forecast'!$B$2:$AO$2,0))</f>
        <v>2.4958899707496114</v>
      </c>
      <c r="M27">
        <f>IF(Players!BC28=1,95,0)</f>
        <v>95</v>
      </c>
      <c r="N27" s="2">
        <f>Players!BN28</f>
        <v>0.30504863787904224</v>
      </c>
      <c r="O27" s="2">
        <f>Players!BO28</f>
        <v>0.34543558652654249</v>
      </c>
      <c r="P27" s="2">
        <f>Players!BP28</f>
        <v>0.32862846807573864</v>
      </c>
      <c r="Q27" s="2">
        <f>Players!BQ28</f>
        <v>0.24139154160982262</v>
      </c>
      <c r="R27" s="2">
        <f>Players!BR28</f>
        <v>0</v>
      </c>
      <c r="S27" s="2">
        <f>H27</f>
        <v>1.5712166996139025</v>
      </c>
      <c r="T27" s="2">
        <f>I27</f>
        <v>0.76028648339757388</v>
      </c>
      <c r="U27" s="16">
        <f>INDEX('Team forecast'!$B$2:$AO$26,MATCH('Master data'!$B27,'Team forecast'!$B$2:$B$26,0),MATCH('Master data'!U$1,'Team forecast'!$B$2:$AO$2,0))</f>
        <v>0.58441558441558439</v>
      </c>
      <c r="V27" s="16">
        <f>INDEX('Team forecast'!$B$2:$AO$26,MATCH('Master data'!$B27,'Team forecast'!$B$2:$B$26,0),MATCH('Master data'!V$1,'Team forecast'!$B$2:$AO$2,0))</f>
        <v>0.25974025974025972</v>
      </c>
      <c r="W27" s="16">
        <f>INDEX('Team forecast'!$B$2:$AO$26,MATCH('Master data'!$B27,'Team forecast'!$B$2:$B$26,0),MATCH('Master data'!W$1,'Team forecast'!$B$2:$AO$2,0))</f>
        <v>0.15584415584415581</v>
      </c>
      <c r="X27" s="5">
        <f>IF(M27&gt;95,7000*2,IF(M27&gt;0,7000,-5000))</f>
        <v>7000</v>
      </c>
      <c r="Y27" s="5">
        <f>IF($X27&gt;0,U27*25000,0)</f>
        <v>14610.38961038961</v>
      </c>
      <c r="Z27" s="5">
        <f>IF($X27&gt;0,V27*5000,0)</f>
        <v>1298.7012987012986</v>
      </c>
      <c r="AA27" s="5">
        <f>IF($X27&gt;0,W27*(-15000),0)</f>
        <v>-2337.662337662337</v>
      </c>
      <c r="AB27" s="5">
        <f>IF($C27="Defense",$N27*150000,IF($C27="Midfield",$N27*125000,IF($C27="Striker",$N27*100000,0)))*$H27</f>
        <v>47929.751403002527</v>
      </c>
      <c r="AC27" s="5">
        <f>$O27*50000*H27</f>
        <v>27137.708109571337</v>
      </c>
      <c r="AD27" s="5">
        <f>$P27*K27*10000</f>
        <v>14670.032453343641</v>
      </c>
      <c r="AE27" s="5">
        <f>IF($C27="Goalkeeper",J27*75000,IF($C27="Defense",J27*50000,0))</f>
        <v>0</v>
      </c>
      <c r="AF27" s="5">
        <f>IF($C27="Goalkeeper",(L27-I27)*5000,0)</f>
        <v>0</v>
      </c>
      <c r="AG27" s="5">
        <f>IF(M27&gt;0,Q27*(-20000),0)</f>
        <v>-4827.8308321964523</v>
      </c>
      <c r="AH27" s="5">
        <f>IF(M27&gt;0,R27*(-50000),0)</f>
        <v>0</v>
      </c>
      <c r="AI27" s="5">
        <f>IF(M27&gt;0,S27*10000,0)</f>
        <v>15712.166996139025</v>
      </c>
      <c r="AJ27" s="5">
        <f>IF(M27&gt;0,T27*(-8000),0)</f>
        <v>-6082.291867180591</v>
      </c>
      <c r="AK27" s="5">
        <f>IFERROR(SUM(X27:AJ27),-5000)*((Cockpit!$C$3)^0)</f>
        <v>115110.96483410805</v>
      </c>
      <c r="AL27" s="16">
        <f>INDEX('Team forecast'!$B$2:$AO$26,MATCH('Master data'!$B27,'Team forecast'!$B$2:$B$26,0),MATCH('Master data'!AL$1,'Team forecast'!$B$2:$AO$2,0))</f>
        <v>1.8476112368050062</v>
      </c>
      <c r="AM27" s="16">
        <f>INDEX('Team forecast'!$B$2:$AO$26,MATCH('Master data'!$B27,'Team forecast'!$B$2:$B$26,0),MATCH('Master data'!AM$1,'Team forecast'!$B$2:$AO$2,0))</f>
        <v>0.7977891123063281</v>
      </c>
      <c r="AN27" s="16">
        <f>INDEX('Team forecast'!$B$2:$AO$26,MATCH('Master data'!$B27,'Team forecast'!$B$2:$B$26,0),MATCH('Master data'!AN$1,'Team forecast'!$B$2:$AO$2,0))</f>
        <v>0.45032347896962183</v>
      </c>
      <c r="AO27" s="16">
        <f>INDEX('Team forecast'!$B$2:$AO$26,MATCH('Master data'!$B27,'Team forecast'!$B$2:$B$26,0),MATCH('Master data'!AO$1,'Team forecast'!$B$2:$AO$2,0))</f>
        <v>5.2492879998945963</v>
      </c>
      <c r="AP27" s="16">
        <f>INDEX('Team forecast'!$B$2:$AO$26,MATCH('Master data'!$B27,'Team forecast'!$B$2:$B$26,0),MATCH('Master data'!AP$1,'Team forecast'!$B$2:$AO$2,0))</f>
        <v>2.6190046616116831</v>
      </c>
      <c r="AQ27" s="5">
        <f>X27</f>
        <v>7000</v>
      </c>
      <c r="AR27" s="5">
        <f>INDEX('Team forecast'!$B$2:$AO$26,MATCH('Master data'!$B27,'Team forecast'!$B$2:$B$26,0),MATCH('Master data'!AR$1,'Team forecast'!$B$2:$AO$2,0))*IF(X27&gt;0,25000,0)</f>
        <v>15452.276239153689</v>
      </c>
      <c r="AS27" s="16">
        <f>INDEX('Team forecast'!$B$2:$AO$26,MATCH('Master data'!$B27,'Team forecast'!$B$2:$B$26,0),MATCH('Master data'!AS$1,'Team forecast'!$B$2:$AO$2,0))*IF(X27&gt;0,5000,0)</f>
        <v>1182.0991322952575</v>
      </c>
      <c r="AT27" s="16">
        <f>INDEX('Team forecast'!$B$2:$AO$26,MATCH('Master data'!$B27,'Team forecast'!$B$2:$B$26,0),MATCH('Master data'!AT$1,'Team forecast'!$B$2:$AO$2,0))*IF(X27&gt;0,-15000,0)</f>
        <v>-2182.3368596220134</v>
      </c>
      <c r="AU27" s="5">
        <f>IF($C27="Defense",$N27*150000,IF($C27="Midfield",$N27*125000,IF($C27="Striker",$N27*100000,0)))*$AL27</f>
        <v>56361.129111737973</v>
      </c>
      <c r="AV27" s="5">
        <f>$O27*50000*AL27</f>
        <v>31911.533562938392</v>
      </c>
      <c r="AW27" s="5">
        <f>$P27*AO27*10000</f>
        <v>17250.654738937192</v>
      </c>
      <c r="AX27" s="5">
        <f>IF($C27="Goalkeeper",AN27*75000,IF($C27="Defense",AN27*50000,0))</f>
        <v>0</v>
      </c>
      <c r="AY27" s="5">
        <f>IF($C27="Goalkeeper",(AP27-AM27)*5000,0)</f>
        <v>0</v>
      </c>
      <c r="AZ27" s="5">
        <f>$AG27</f>
        <v>-4827.8308321964523</v>
      </c>
      <c r="BA27" s="5">
        <f>$AH27</f>
        <v>0</v>
      </c>
      <c r="BB27" s="5">
        <f>IF(X27&gt;0,AL27*10000,0)</f>
        <v>18476.11236805006</v>
      </c>
      <c r="BC27" s="5">
        <f>IF(X27&gt;0,AM27*(-8000),0)</f>
        <v>-6382.3128984506247</v>
      </c>
      <c r="BD27" s="5">
        <f>IFERROR(SUM(AQ27:BC27),0)</f>
        <v>134241.32456284348</v>
      </c>
      <c r="BE27" s="16">
        <f>INDEX('Team forecast'!$B$2:$AO$26,MATCH('Master data'!$B27,'Team forecast'!$B$2:$B$26,0),MATCH('Master data'!BE$1,'Team forecast'!$B$2:$AO$2,0))</f>
        <v>2.3683451623921505</v>
      </c>
      <c r="BF27" s="16">
        <f>INDEX('Team forecast'!$B$2:$AO$26,MATCH('Master data'!$B27,'Team forecast'!$B$2:$B$26,0),MATCH('Master data'!BF$1,'Team forecast'!$B$2:$AO$2,0))</f>
        <v>0.49102780480244929</v>
      </c>
      <c r="BG27" s="16">
        <f>INDEX('Team forecast'!$B$2:$AO$26,MATCH('Master data'!$B27,'Team forecast'!$B$2:$B$26,0),MATCH('Master data'!BG$1,'Team forecast'!$B$2:$AO$2,0))</f>
        <v>0.61199705730750009</v>
      </c>
      <c r="BH27" s="16">
        <f>INDEX('Team forecast'!$B$2:$AO$26,MATCH('Master data'!$B27,'Team forecast'!$B$2:$B$26,0),MATCH('Master data'!BH$1,'Team forecast'!$B$2:$AO$2,0))</f>
        <v>6.7287563492262965</v>
      </c>
      <c r="BI27" s="16">
        <f>INDEX('Team forecast'!$B$2:$AO$26,MATCH('Master data'!$B27,'Team forecast'!$B$2:$B$26,0),MATCH('Master data'!BI$1,'Team forecast'!$B$2:$AO$2,0))</f>
        <v>1.6119599652605658</v>
      </c>
      <c r="BJ27" s="5">
        <f>AQ27</f>
        <v>7000</v>
      </c>
      <c r="BK27" s="5">
        <f>INDEX('Team forecast'!$R$3:$BH$26,MATCH($B27,'Team forecast'!$B$3:$B$26,0),MATCH(BK$1,'Team forecast'!$R$2:$BH$2,0))*IF($X27&gt;0,25000,0)</f>
        <v>19838.040205094814</v>
      </c>
      <c r="BL27" s="5">
        <f>INDEX('Team forecast'!$R$3:$BH$26,MATCH($B27,'Team forecast'!$B$3:$B$26,0),MATCH(BL$1,'Team forecast'!$R$2:$BH$2,0))*IF($X27&gt;0,5000,0)</f>
        <v>720.27345975421156</v>
      </c>
      <c r="BM27" s="5">
        <f>INDEX('Team forecast'!$R$3:$BH$26,MATCH($B27,'Team forecast'!$B$3:$B$26,0),MATCH(BM$1,'Team forecast'!$R$2:$BH$2,0))*IF($X27&gt;0,-15000,0)</f>
        <v>-936.3554976804752</v>
      </c>
      <c r="BN27" s="5">
        <f>IF($C27="Defense",$N27*150000,IF($C27="Midfield",$N27*125000,IF($C27="Striker",$N27*100000,0)))*$BE27</f>
        <v>72246.046581514471</v>
      </c>
      <c r="BO27" s="5">
        <f>$O27*50000*$BE27</f>
        <v>40905.535013411602</v>
      </c>
      <c r="BP27" s="5">
        <f>$P27*BH27*10000</f>
        <v>22112.608911011375</v>
      </c>
      <c r="BQ27" s="5">
        <f>IF($C27="Goalkeeper",BG27*75000,IF($C27="Defense",BG27*50000,0))</f>
        <v>0</v>
      </c>
      <c r="BR27" s="5">
        <f>IF($C27="Goalkeeper",(BI27-BF27)*5000,0)</f>
        <v>0</v>
      </c>
      <c r="BS27" s="5">
        <f>$AG27</f>
        <v>-4827.8308321964523</v>
      </c>
      <c r="BT27" s="5">
        <f>$AH27</f>
        <v>0</v>
      </c>
      <c r="BU27" s="5">
        <f>IF(AQ27&gt;0,BE27*10000,0)</f>
        <v>23683.451623921505</v>
      </c>
      <c r="BV27" s="5">
        <f>IF(AQ27&gt;0,BF27*(-8000),0)</f>
        <v>-3928.2224384195943</v>
      </c>
      <c r="BW27" s="5">
        <f>IFERROR(SUM(BJ27:BV27),0)</f>
        <v>176813.54702641146</v>
      </c>
      <c r="BX27" s="5">
        <f>AVERAGE(AK27,BD27,BW27)</f>
        <v>142055.27880778766</v>
      </c>
      <c r="BY27" s="5">
        <f>BX27*3</f>
        <v>426165.83642336295</v>
      </c>
      <c r="BZ27" s="5">
        <f>INDEX('Team forecast'!$R$3:$BH$26,MATCH($B27,'Team forecast'!$B$3:$B$26,0),MATCH(BZ$1,'Team forecast'!$R$2:$BH$2,0))*($BX27-(BY27+CH27)*0.01)</f>
        <v>60707.584677625455</v>
      </c>
      <c r="CA27" s="5">
        <f>INDEX('Team forecast'!$R$3:$BH$26,MATCH($B27,'Team forecast'!$B$3:$B$26,0),MATCH(CA$1,'Team forecast'!$R$2:$BH$2,0))*($BX27-(BY27+BX27+CH27)*0.01)</f>
        <v>29653.239098436483</v>
      </c>
      <c r="CB27" s="5">
        <f>INDEX('Team forecast'!$R$3:$BH$26,MATCH($B27,'Team forecast'!$B$3:$B$26,0),MATCH(CB$1,'Team forecast'!$R$2:$BH$2,0))*($BX27-(BY27+BX27*2+CH27)*0.01)</f>
        <v>14470.685428444925</v>
      </c>
      <c r="CC27" s="5">
        <f>INDEX('Team forecast'!$R$3:$BH$26,MATCH($B27,'Team forecast'!$B$3:$B$26,0),MATCH(CC$1,'Team forecast'!$R$2:$BH$2,0))*($BX27-(BY27+BX27*3+CH27)*0.01)</f>
        <v>7047.8472317975584</v>
      </c>
      <c r="CD27" s="5">
        <f>+AK27+BD27*Cockpit!$C$3+BW27*Cockpit!$C$3^2+BZ27*Cockpit!$C$3^3+CA27*Cockpit!$C$3^4+CB27*Cockpit!$C$3^5+CC27*Cockpit!$C$3^6</f>
        <v>309558.18804207363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5.682211152311506E-2</v>
      </c>
      <c r="CK27" s="5">
        <f>RANK(BY27,$BY$2:$BY$623)+COUNTIF($BY$2:$BY27,$BY27)-1</f>
        <v>1</v>
      </c>
      <c r="CL27" s="5">
        <f>RANK(CJ27,$CJ$2:$CJ$623)+COUNTIF($CJ$2:$CJ27,$CJ27)-1</f>
        <v>17</v>
      </c>
    </row>
    <row r="28" spans="1:90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1.2386203137003762</v>
      </c>
      <c r="I28" s="16">
        <f>INDEX('Team forecast'!$B$2:$AO$26,MATCH('Master data'!$B28,'Team forecast'!$B$2:$B$26,0),MATCH('Master data'!I$1,'Team forecast'!$B$2:$AO$2,0))</f>
        <v>1.2386203137003762</v>
      </c>
      <c r="J28" s="16">
        <f>INDEX('Team forecast'!$B$2:$AO$26,MATCH('Master data'!$B28,'Team forecast'!$B$2:$B$26,0),MATCH('Master data'!J$1,'Team forecast'!$B$2:$AO$2,0))</f>
        <v>0.28978375293296982</v>
      </c>
      <c r="K28" s="16">
        <f>INDEX('Team forecast'!$B$2:$AO$26,MATCH('Master data'!$B28,'Team forecast'!$B$2:$B$26,0),MATCH('Master data'!K$1,'Team forecast'!$B$2:$AO$2,0))</f>
        <v>3.2490442399577706</v>
      </c>
      <c r="L28" s="16">
        <f>INDEX('Team forecast'!$B$2:$AO$26,MATCH('Master data'!$B28,'Team forecast'!$B$2:$B$26,0),MATCH('Master data'!L$1,'Team forecast'!$B$2:$AO$2,0))</f>
        <v>3.2998357975681776</v>
      </c>
      <c r="M28">
        <f>IF(Players!BC29=1,95,0)</f>
        <v>95</v>
      </c>
      <c r="N28" s="2">
        <f>Players!BN29</f>
        <v>0.17227164272334611</v>
      </c>
      <c r="O28" s="2">
        <f>Players!BO29</f>
        <v>0.17850858224868549</v>
      </c>
      <c r="P28" s="2">
        <f>Players!BP29</f>
        <v>0.14605385892335518</v>
      </c>
      <c r="Q28" s="2">
        <f>Players!BQ29</f>
        <v>4.9944506104328525E-2</v>
      </c>
      <c r="R28" s="2">
        <f>Players!BR29</f>
        <v>0</v>
      </c>
      <c r="S28" s="2">
        <f>H28</f>
        <v>1.2386203137003762</v>
      </c>
      <c r="T28" s="2">
        <f>I28</f>
        <v>1.2386203137003762</v>
      </c>
      <c r="U28" s="16">
        <f>INDEX('Team forecast'!$B$2:$AO$26,MATCH('Master data'!$B28,'Team forecast'!$B$2:$B$26,0),MATCH('Master data'!U$1,'Team forecast'!$B$2:$AO$2,0))</f>
        <v>0.33635614179719708</v>
      </c>
      <c r="V28" s="16">
        <f>INDEX('Team forecast'!$B$2:$AO$26,MATCH('Master data'!$B28,'Team forecast'!$B$2:$B$26,0),MATCH('Master data'!V$1,'Team forecast'!$B$2:$AO$2,0))</f>
        <v>0.29431162407254741</v>
      </c>
      <c r="W28" s="16">
        <f>INDEX('Team forecast'!$B$2:$AO$26,MATCH('Master data'!$B28,'Team forecast'!$B$2:$B$26,0),MATCH('Master data'!W$1,'Team forecast'!$B$2:$AO$2,0))</f>
        <v>0.36933223413025562</v>
      </c>
      <c r="X28" s="5">
        <f>IF(M28&gt;95,7000*2,IF(M28&gt;0,7000,-5000))</f>
        <v>7000</v>
      </c>
      <c r="Y28" s="5">
        <f>IF($X28&gt;0,U28*25000,0)</f>
        <v>8408.9035449299263</v>
      </c>
      <c r="Z28" s="5">
        <f>IF($X28&gt;0,V28*5000,0)</f>
        <v>1471.5581203627371</v>
      </c>
      <c r="AA28" s="5">
        <f>IF($X28&gt;0,W28*(-15000),0)</f>
        <v>-5539.9835119538347</v>
      </c>
      <c r="AB28" s="5">
        <f>IF($C28="Defense",$N28*150000,IF($C28="Midfield",$N28*125000,IF($C28="Striker",$N28*100000,0)))*$H28</f>
        <v>21337.91561516701</v>
      </c>
      <c r="AC28" s="5">
        <f>$O28*50000*H28</f>
        <v>11055.217807153811</v>
      </c>
      <c r="AD28" s="5">
        <f>$P28*K28*10000</f>
        <v>4745.3544905853196</v>
      </c>
      <c r="AE28" s="5">
        <f>IF($C28="Goalkeeper",J28*75000,IF($C28="Defense",J28*50000,0))</f>
        <v>0</v>
      </c>
      <c r="AF28" s="5">
        <f>IF($C28="Goalkeeper",(L28-I28)*5000,0)</f>
        <v>0</v>
      </c>
      <c r="AG28" s="5">
        <f>IF(M28&gt;0,Q28*(-20000),0)</f>
        <v>-998.8901220865705</v>
      </c>
      <c r="AH28" s="5">
        <f>IF(M28&gt;0,R28*(-50000),0)</f>
        <v>0</v>
      </c>
      <c r="AI28" s="5">
        <f>IF(M28&gt;0,S28*10000,0)</f>
        <v>12386.203137003762</v>
      </c>
      <c r="AJ28" s="5">
        <f>IF(M28&gt;0,T28*(-8000),0)</f>
        <v>-9908.9625096030086</v>
      </c>
      <c r="AK28" s="5">
        <f>IFERROR(SUM(X28:AJ28),-5000)*((Cockpit!$C$3)^0)</f>
        <v>49957.31657155916</v>
      </c>
      <c r="AL28" s="16">
        <f>INDEX('Team forecast'!$B$2:$AO$26,MATCH('Master data'!$B28,'Team forecast'!$B$2:$B$26,0),MATCH('Master data'!AL$1,'Team forecast'!$B$2:$AO$2,0))</f>
        <v>1.384389503157577</v>
      </c>
      <c r="AM28" s="16">
        <f>INDEX('Team forecast'!$B$2:$AO$26,MATCH('Master data'!$B28,'Team forecast'!$B$2:$B$26,0),MATCH('Master data'!AM$1,'Team forecast'!$B$2:$AO$2,0))</f>
        <v>1.1612459518433673</v>
      </c>
      <c r="AN28" s="16">
        <f>INDEX('Team forecast'!$B$2:$AO$26,MATCH('Master data'!$B28,'Team forecast'!$B$2:$B$26,0),MATCH('Master data'!AN$1,'Team forecast'!$B$2:$AO$2,0))</f>
        <v>0.31309583542398389</v>
      </c>
      <c r="AO28" s="16">
        <f>INDEX('Team forecast'!$B$2:$AO$26,MATCH('Master data'!$B28,'Team forecast'!$B$2:$B$26,0),MATCH('Master data'!AO$1,'Team forecast'!$B$2:$AO$2,0))</f>
        <v>3.6314136715992724</v>
      </c>
      <c r="AP28" s="16">
        <f>INDEX('Team forecast'!$B$2:$AO$26,MATCH('Master data'!$B28,'Team forecast'!$B$2:$B$26,0),MATCH('Master data'!AP$1,'Team forecast'!$B$2:$AO$2,0))</f>
        <v>3.0937010472773676</v>
      </c>
      <c r="AQ28" s="5">
        <f>X28</f>
        <v>7000</v>
      </c>
      <c r="AR28" s="5">
        <f>INDEX('Team forecast'!$B$2:$AO$26,MATCH('Master data'!$B28,'Team forecast'!$B$2:$B$26,0),MATCH('Master data'!AR$1,'Team forecast'!$B$2:$AO$2,0))*IF(X28&gt;0,25000,0)</f>
        <v>10436.527847466134</v>
      </c>
      <c r="AS28" s="16">
        <f>INDEX('Team forecast'!$B$2:$AO$26,MATCH('Master data'!$B28,'Team forecast'!$B$2:$B$26,0),MATCH('Master data'!AS$1,'Team forecast'!$B$2:$AO$2,0))*IF(X28&gt;0,5000,0)</f>
        <v>1467.6367285499246</v>
      </c>
      <c r="AT28" s="16">
        <f>INDEX('Team forecast'!$B$2:$AO$26,MATCH('Master data'!$B28,'Team forecast'!$B$2:$B$26,0),MATCH('Master data'!AT$1,'Team forecast'!$B$2:$AO$2,0))*IF(X28&gt;0,-15000,0)</f>
        <v>-4335.1731058705464</v>
      </c>
      <c r="AU28" s="5">
        <f>IF($C28="Defense",$N28*150000,IF($C28="Midfield",$N28*125000,IF($C28="Striker",$N28*100000,0)))*$AL28</f>
        <v>23849.105387791275</v>
      </c>
      <c r="AV28" s="5">
        <f>$O28*50000*AL28</f>
        <v>12356.270374431058</v>
      </c>
      <c r="AW28" s="5">
        <f>$P28*AO28*10000</f>
        <v>5303.8198008410345</v>
      </c>
      <c r="AX28" s="5">
        <f>IF($C28="Goalkeeper",AN28*75000,IF($C28="Defense",AN28*50000,0))</f>
        <v>0</v>
      </c>
      <c r="AY28" s="5">
        <f>IF($C28="Goalkeeper",(AP28-AM28)*5000,0)</f>
        <v>0</v>
      </c>
      <c r="AZ28" s="5">
        <f>$AG28</f>
        <v>-998.8901220865705</v>
      </c>
      <c r="BA28" s="5">
        <f>$AH28</f>
        <v>0</v>
      </c>
      <c r="BB28" s="5">
        <f>IF(X28&gt;0,AL28*10000,0)</f>
        <v>13843.89503157577</v>
      </c>
      <c r="BC28" s="5">
        <f>IF(X28&gt;0,AM28*(-8000),0)</f>
        <v>-9289.9676147469381</v>
      </c>
      <c r="BD28" s="5">
        <f>IFERROR(SUM(AQ28:BC28),0)</f>
        <v>59633.224327951139</v>
      </c>
      <c r="BE28" s="16">
        <f>INDEX('Team forecast'!$B$2:$AO$26,MATCH('Master data'!$B28,'Team forecast'!$B$2:$B$26,0),MATCH('Master data'!BE$1,'Team forecast'!$B$2:$AO$2,0))</f>
        <v>2.4374022591536644</v>
      </c>
      <c r="BF28" s="16">
        <f>INDEX('Team forecast'!$B$2:$AO$26,MATCH('Master data'!$B28,'Team forecast'!$B$2:$B$26,0),MATCH('Master data'!BF$1,'Team forecast'!$B$2:$AO$2,0))</f>
        <v>0.68661022841383224</v>
      </c>
      <c r="BG28" s="16">
        <f>INDEX('Team forecast'!$B$2:$AO$26,MATCH('Master data'!$B28,'Team forecast'!$B$2:$B$26,0),MATCH('Master data'!BG$1,'Team forecast'!$B$2:$AO$2,0))</f>
        <v>0.50327918232493496</v>
      </c>
      <c r="BH28" s="16">
        <f>INDEX('Team forecast'!$B$2:$AO$26,MATCH('Master data'!$B28,'Team forecast'!$B$2:$B$26,0),MATCH('Master data'!BH$1,'Team forecast'!$B$2:$AO$2,0))</f>
        <v>6.3935878355689084</v>
      </c>
      <c r="BI28" s="16">
        <f>INDEX('Team forecast'!$B$2:$AO$26,MATCH('Master data'!$B28,'Team forecast'!$B$2:$B$26,0),MATCH('Master data'!BI$1,'Team forecast'!$B$2:$AO$2,0))</f>
        <v>1.8292135092857056</v>
      </c>
      <c r="BJ28" s="5">
        <f>AQ28</f>
        <v>7000</v>
      </c>
      <c r="BK28" s="5">
        <f>INDEX('Team forecast'!$R$3:$BH$26,MATCH($B28,'Team forecast'!$B$3:$B$26,0),MATCH(BK$1,'Team forecast'!$R$2:$BH$2,0))*IF($X28&gt;0,25000,0)</f>
        <v>19380.307222593263</v>
      </c>
      <c r="BL28" s="5">
        <f>INDEX('Team forecast'!$R$3:$BH$26,MATCH($B28,'Team forecast'!$B$3:$B$26,0),MATCH(BL$1,'Team forecast'!$R$2:$BH$2,0))*IF($X28&gt;0,5000,0)</f>
        <v>739.43326018509651</v>
      </c>
      <c r="BM28" s="5">
        <f>INDEX('Team forecast'!$R$3:$BH$26,MATCH($B28,'Team forecast'!$B$3:$B$26,0),MATCH(BM$1,'Team forecast'!$R$2:$BH$2,0))*IF($X28&gt;0,-15000,0)</f>
        <v>-1153.5158858887507</v>
      </c>
      <c r="BN28" s="5">
        <f>IF($C28="Defense",$N28*150000,IF($C28="Midfield",$N28*125000,IF($C28="Striker",$N28*100000,0)))*$BE28</f>
        <v>41989.529116199679</v>
      </c>
      <c r="BO28" s="5">
        <f>$O28*50000*$BE28</f>
        <v>21754.861082563188</v>
      </c>
      <c r="BP28" s="5">
        <f>$P28*BH28*10000</f>
        <v>9338.0817575026103</v>
      </c>
      <c r="BQ28" s="5">
        <f>IF($C28="Goalkeeper",BG28*75000,IF($C28="Defense",BG28*50000,0))</f>
        <v>0</v>
      </c>
      <c r="BR28" s="5">
        <f>IF($C28="Goalkeeper",(BI28-BF28)*5000,0)</f>
        <v>0</v>
      </c>
      <c r="BS28" s="5">
        <f>$AG28</f>
        <v>-998.8901220865705</v>
      </c>
      <c r="BT28" s="5">
        <f>$AH28</f>
        <v>0</v>
      </c>
      <c r="BU28" s="5">
        <f>IF(AQ28&gt;0,BE28*10000,0)</f>
        <v>24374.022591536643</v>
      </c>
      <c r="BV28" s="5">
        <f>IF(AQ28&gt;0,BF28*(-8000),0)</f>
        <v>-5492.8818273106581</v>
      </c>
      <c r="BW28" s="5">
        <f>IFERROR(SUM(BJ28:BV28),0)</f>
        <v>116930.94719529452</v>
      </c>
      <c r="BX28" s="5">
        <f>AVERAGE(AK28,BD28,BW28)</f>
        <v>75507.162698268265</v>
      </c>
      <c r="BY28" s="5">
        <f>BX28*3</f>
        <v>226521.48809480481</v>
      </c>
      <c r="BZ28" s="5">
        <f>INDEX('Team forecast'!$R$3:$BH$26,MATCH($B28,'Team forecast'!$B$3:$B$26,0),MATCH(BZ$1,'Team forecast'!$R$2:$BH$2,0))*($BX28-(BY28+CH28)*0.01)</f>
        <v>-1565.4660016600535</v>
      </c>
      <c r="CA28" s="5">
        <f>INDEX('Team forecast'!$R$3:$BH$26,MATCH($B28,'Team forecast'!$B$3:$B$26,0),MATCH(CA$1,'Team forecast'!$R$2:$BH$2,0))*($BX28-(BY28+BX28+CH28)*0.01)</f>
        <v>-1137.2577036903269</v>
      </c>
      <c r="CB28" s="5">
        <f>INDEX('Team forecast'!$R$3:$BH$26,MATCH($B28,'Team forecast'!$B$3:$B$26,0),MATCH(CB$1,'Team forecast'!$R$2:$BH$2,0))*($BX28-(BY28+BX28*2+CH28)*0.01)</f>
        <v>-761.92901977154702</v>
      </c>
      <c r="CC28" s="5">
        <f>INDEX('Team forecast'!$R$3:$BH$26,MATCH($B28,'Team forecast'!$B$3:$B$26,0),MATCH(CC$1,'Team forecast'!$R$2:$BH$2,0))*($BX28-(BY28+BX28*3+CH28)*0.01)</f>
        <v>-504.62565321102926</v>
      </c>
      <c r="CD28" s="5">
        <f>+AK28+BD28*Cockpit!$C$3+BW28*Cockpit!$C$3^2+BZ28*Cockpit!$C$3^3+CA28*Cockpit!$C$3^4+CB28*Cockpit!$C$3^5+CC28*Cockpit!$C$3^6</f>
        <v>140848.98587370745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3.0202865079307306E-2</v>
      </c>
      <c r="CK28" s="5">
        <f>RANK(BY28,$BY$2:$BY$623)+COUNTIF($BY$2:$BY28,$BY28)-1</f>
        <v>31</v>
      </c>
      <c r="CL28" s="5">
        <f>RANK(CJ28,$CJ$2:$CJ$623)+COUNTIF($CJ$2:$CJ28,$CJ28)-1</f>
        <v>141</v>
      </c>
    </row>
    <row r="29" spans="1:90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1.2386203137003762</v>
      </c>
      <c r="I29" s="16">
        <f>INDEX('Team forecast'!$B$2:$AO$26,MATCH('Master data'!$B29,'Team forecast'!$B$2:$B$26,0),MATCH('Master data'!I$1,'Team forecast'!$B$2:$AO$2,0))</f>
        <v>1.2386203137003762</v>
      </c>
      <c r="J29" s="16">
        <f>INDEX('Team forecast'!$B$2:$AO$26,MATCH('Master data'!$B29,'Team forecast'!$B$2:$B$26,0),MATCH('Master data'!J$1,'Team forecast'!$B$2:$AO$2,0))</f>
        <v>0.28978375293296982</v>
      </c>
      <c r="K29" s="16">
        <f>INDEX('Team forecast'!$B$2:$AO$26,MATCH('Master data'!$B29,'Team forecast'!$B$2:$B$26,0),MATCH('Master data'!K$1,'Team forecast'!$B$2:$AO$2,0))</f>
        <v>3.2490442399577706</v>
      </c>
      <c r="L29" s="16">
        <f>INDEX('Team forecast'!$B$2:$AO$26,MATCH('Master data'!$B29,'Team forecast'!$B$2:$B$26,0),MATCH('Master data'!L$1,'Team forecast'!$B$2:$AO$2,0))</f>
        <v>3.2998357975681776</v>
      </c>
      <c r="M29">
        <f>IF(Players!BC30=1,95,0)</f>
        <v>0</v>
      </c>
      <c r="N29" s="2">
        <f>Players!BN30</f>
        <v>0</v>
      </c>
      <c r="O29" s="2">
        <f>Players!BO30</f>
        <v>0</v>
      </c>
      <c r="P29" s="2">
        <f>Players!BP30</f>
        <v>0</v>
      </c>
      <c r="Q29" s="2">
        <f>Players!BQ30</f>
        <v>0</v>
      </c>
      <c r="R29" s="2">
        <f>Players!BR30</f>
        <v>0</v>
      </c>
      <c r="S29" s="2">
        <f>H29</f>
        <v>1.2386203137003762</v>
      </c>
      <c r="T29" s="2">
        <f>I29</f>
        <v>1.2386203137003762</v>
      </c>
      <c r="U29" s="16">
        <f>INDEX('Team forecast'!$B$2:$AO$26,MATCH('Master data'!$B29,'Team forecast'!$B$2:$B$26,0),MATCH('Master data'!U$1,'Team forecast'!$B$2:$AO$2,0))</f>
        <v>0.33635614179719708</v>
      </c>
      <c r="V29" s="16">
        <f>INDEX('Team forecast'!$B$2:$AO$26,MATCH('Master data'!$B29,'Team forecast'!$B$2:$B$26,0),MATCH('Master data'!V$1,'Team forecast'!$B$2:$AO$2,0))</f>
        <v>0.29431162407254741</v>
      </c>
      <c r="W29" s="16">
        <f>INDEX('Team forecast'!$B$2:$AO$26,MATCH('Master data'!$B29,'Team forecast'!$B$2:$B$26,0),MATCH('Master data'!W$1,'Team forecast'!$B$2:$AO$2,0))</f>
        <v>0.36933223413025562</v>
      </c>
      <c r="X29" s="5">
        <f>IF(M29&gt;95,7000*2,IF(M29&gt;0,7000,-5000))</f>
        <v>-5000</v>
      </c>
      <c r="Y29" s="5">
        <f>IF($X29&gt;0,U29*25000,0)</f>
        <v>0</v>
      </c>
      <c r="Z29" s="5">
        <f>IF($X29&gt;0,V29*5000,0)</f>
        <v>0</v>
      </c>
      <c r="AA29" s="5">
        <f>IF($X29&gt;0,W29*(-15000),0)</f>
        <v>0</v>
      </c>
      <c r="AB29" s="5">
        <f>IF($C29="Defense",$N29*150000,IF($C29="Midfield",$N29*125000,IF($C29="Striker",$N29*100000,0)))*$H29</f>
        <v>0</v>
      </c>
      <c r="AC29" s="5">
        <f>$O29*50000*H29</f>
        <v>0</v>
      </c>
      <c r="AD29" s="5">
        <f>$P29*K29*10000</f>
        <v>0</v>
      </c>
      <c r="AE29" s="5">
        <f>IF($C29="Goalkeeper",J29*75000,IF($C29="Defense",J29*50000,0))</f>
        <v>0</v>
      </c>
      <c r="AF29" s="5">
        <f>IF($C29="Goalkeeper",(L29-I29)*5000,0)</f>
        <v>0</v>
      </c>
      <c r="AG29" s="5">
        <f>IF(M29&gt;0,Q29*(-20000),0)</f>
        <v>0</v>
      </c>
      <c r="AH29" s="5">
        <f>IF(M29&gt;0,R29*(-50000),0)</f>
        <v>0</v>
      </c>
      <c r="AI29" s="5">
        <f>IF(M29&gt;0,S29*10000,0)</f>
        <v>0</v>
      </c>
      <c r="AJ29" s="5">
        <f>IF(M29&gt;0,T29*(-8000),0)</f>
        <v>0</v>
      </c>
      <c r="AK29" s="5">
        <f>IFERROR(SUM(X29:AJ29),-5000)*((Cockpit!$C$3)^0)</f>
        <v>-5000</v>
      </c>
      <c r="AL29" s="16">
        <f>INDEX('Team forecast'!$B$2:$AO$26,MATCH('Master data'!$B29,'Team forecast'!$B$2:$B$26,0),MATCH('Master data'!AL$1,'Team forecast'!$B$2:$AO$2,0))</f>
        <v>1.384389503157577</v>
      </c>
      <c r="AM29" s="16">
        <f>INDEX('Team forecast'!$B$2:$AO$26,MATCH('Master data'!$B29,'Team forecast'!$B$2:$B$26,0),MATCH('Master data'!AM$1,'Team forecast'!$B$2:$AO$2,0))</f>
        <v>1.1612459518433673</v>
      </c>
      <c r="AN29" s="16">
        <f>INDEX('Team forecast'!$B$2:$AO$26,MATCH('Master data'!$B29,'Team forecast'!$B$2:$B$26,0),MATCH('Master data'!AN$1,'Team forecast'!$B$2:$AO$2,0))</f>
        <v>0.31309583542398389</v>
      </c>
      <c r="AO29" s="16">
        <f>INDEX('Team forecast'!$B$2:$AO$26,MATCH('Master data'!$B29,'Team forecast'!$B$2:$B$26,0),MATCH('Master data'!AO$1,'Team forecast'!$B$2:$AO$2,0))</f>
        <v>3.6314136715992724</v>
      </c>
      <c r="AP29" s="16">
        <f>INDEX('Team forecast'!$B$2:$AO$26,MATCH('Master data'!$B29,'Team forecast'!$B$2:$B$26,0),MATCH('Master data'!AP$1,'Team forecast'!$B$2:$AO$2,0))</f>
        <v>3.0937010472773676</v>
      </c>
      <c r="AQ29" s="5">
        <f>X29</f>
        <v>-5000</v>
      </c>
      <c r="AR29" s="5">
        <f>INDEX('Team forecast'!$B$2:$AO$26,MATCH('Master data'!$B29,'Team forecast'!$B$2:$B$26,0),MATCH('Master data'!AR$1,'Team forecast'!$B$2:$AO$2,0))*IF(X29&gt;0,25000,0)</f>
        <v>0</v>
      </c>
      <c r="AS29" s="16">
        <f>INDEX('Team forecast'!$B$2:$AO$26,MATCH('Master data'!$B29,'Team forecast'!$B$2:$B$26,0),MATCH('Master data'!AS$1,'Team forecast'!$B$2:$AO$2,0))*IF(X29&gt;0,5000,0)</f>
        <v>0</v>
      </c>
      <c r="AT29" s="16">
        <f>INDEX('Team forecast'!$B$2:$AO$26,MATCH('Master data'!$B29,'Team forecast'!$B$2:$B$26,0),MATCH('Master data'!AT$1,'Team forecast'!$B$2:$AO$2,0))*IF(X29&gt;0,-15000,0)</f>
        <v>0</v>
      </c>
      <c r="AU29" s="5">
        <f>IF($C29="Defense",$N29*150000,IF($C29="Midfield",$N29*125000,IF($C29="Striker",$N29*100000,0)))*$AL29</f>
        <v>0</v>
      </c>
      <c r="AV29" s="5">
        <f>$O29*50000*AL29</f>
        <v>0</v>
      </c>
      <c r="AW29" s="5">
        <f>$P29*AO29*10000</f>
        <v>0</v>
      </c>
      <c r="AX29" s="5">
        <f>IF($C29="Goalkeeper",AN29*75000,IF($C29="Defense",AN29*50000,0))</f>
        <v>0</v>
      </c>
      <c r="AY29" s="5">
        <f>IF($C29="Goalkeeper",(AP29-AM29)*5000,0)</f>
        <v>0</v>
      </c>
      <c r="AZ29" s="5">
        <f>$AG29</f>
        <v>0</v>
      </c>
      <c r="BA29" s="5">
        <f>$AH29</f>
        <v>0</v>
      </c>
      <c r="BB29" s="5">
        <f>IF(X29&gt;0,AL29*10000,0)</f>
        <v>0</v>
      </c>
      <c r="BC29" s="5">
        <f>IF(X29&gt;0,AM29*(-8000),0)</f>
        <v>0</v>
      </c>
      <c r="BD29" s="5">
        <f>IFERROR(SUM(AQ29:BC29),0)</f>
        <v>-5000</v>
      </c>
      <c r="BE29" s="16">
        <f>INDEX('Team forecast'!$B$2:$AO$26,MATCH('Master data'!$B29,'Team forecast'!$B$2:$B$26,0),MATCH('Master data'!BE$1,'Team forecast'!$B$2:$AO$2,0))</f>
        <v>2.4374022591536644</v>
      </c>
      <c r="BF29" s="16">
        <f>INDEX('Team forecast'!$B$2:$AO$26,MATCH('Master data'!$B29,'Team forecast'!$B$2:$B$26,0),MATCH('Master data'!BF$1,'Team forecast'!$B$2:$AO$2,0))</f>
        <v>0.68661022841383224</v>
      </c>
      <c r="BG29" s="16">
        <f>INDEX('Team forecast'!$B$2:$AO$26,MATCH('Master data'!$B29,'Team forecast'!$B$2:$B$26,0),MATCH('Master data'!BG$1,'Team forecast'!$B$2:$AO$2,0))</f>
        <v>0.50327918232493496</v>
      </c>
      <c r="BH29" s="16">
        <f>INDEX('Team forecast'!$B$2:$AO$26,MATCH('Master data'!$B29,'Team forecast'!$B$2:$B$26,0),MATCH('Master data'!BH$1,'Team forecast'!$B$2:$AO$2,0))</f>
        <v>6.3935878355689084</v>
      </c>
      <c r="BI29" s="16">
        <f>INDEX('Team forecast'!$B$2:$AO$26,MATCH('Master data'!$B29,'Team forecast'!$B$2:$B$26,0),MATCH('Master data'!BI$1,'Team forecast'!$B$2:$AO$2,0))</f>
        <v>1.8292135092857056</v>
      </c>
      <c r="BJ29" s="5">
        <f>AQ29</f>
        <v>-5000</v>
      </c>
      <c r="BK29" s="5">
        <f>INDEX('Team forecast'!$R$3:$BH$26,MATCH($B29,'Team forecast'!$B$3:$B$26,0),MATCH(BK$1,'Team forecast'!$R$2:$BH$2,0))*IF($X29&gt;0,25000,0)</f>
        <v>0</v>
      </c>
      <c r="BL29" s="5">
        <f>INDEX('Team forecast'!$R$3:$BH$26,MATCH($B29,'Team forecast'!$B$3:$B$26,0),MATCH(BL$1,'Team forecast'!$R$2:$BH$2,0))*IF($X29&gt;0,5000,0)</f>
        <v>0</v>
      </c>
      <c r="BM29" s="5">
        <f>INDEX('Team forecast'!$R$3:$BH$26,MATCH($B29,'Team forecast'!$B$3:$B$26,0),MATCH(BM$1,'Team forecast'!$R$2:$BH$2,0))*IF($X29&gt;0,-15000,0)</f>
        <v>0</v>
      </c>
      <c r="BN29" s="5">
        <f>IF($C29="Defense",$N29*150000,IF($C29="Midfield",$N29*125000,IF($C29="Striker",$N29*100000,0)))*$BE29</f>
        <v>0</v>
      </c>
      <c r="BO29" s="5">
        <f>$O29*50000*$BE29</f>
        <v>0</v>
      </c>
      <c r="BP29" s="5">
        <f>$P29*BH29*10000</f>
        <v>0</v>
      </c>
      <c r="BQ29" s="5">
        <f>IF($C29="Goalkeeper",BG29*75000,IF($C29="Defense",BG29*50000,0))</f>
        <v>0</v>
      </c>
      <c r="BR29" s="5">
        <f>IF($C29="Goalkeeper",(BI29-BF29)*5000,0)</f>
        <v>0</v>
      </c>
      <c r="BS29" s="5">
        <f>$AG29</f>
        <v>0</v>
      </c>
      <c r="BT29" s="5">
        <f>$AH29</f>
        <v>0</v>
      </c>
      <c r="BU29" s="5">
        <f>IF(AQ29&gt;0,BE29*10000,0)</f>
        <v>0</v>
      </c>
      <c r="BV29" s="5">
        <f>IF(AQ29&gt;0,BF29*(-8000),0)</f>
        <v>0</v>
      </c>
      <c r="BW29" s="5">
        <f>IFERROR(SUM(BJ29:BV29),0)</f>
        <v>-5000</v>
      </c>
      <c r="BX29" s="5">
        <f>AVERAGE(AK29,BD29,BW29)</f>
        <v>-5000</v>
      </c>
      <c r="BY29" s="5">
        <f>BX29*3</f>
        <v>-15000</v>
      </c>
      <c r="BZ29" s="5">
        <f>INDEX('Team forecast'!$R$3:$BH$26,MATCH($B29,'Team forecast'!$B$3:$B$26,0),MATCH(BZ$1,'Team forecast'!$R$2:$BH$2,0))*($BX29-(BY29+CH29)*0.01)</f>
        <v>-53293.719675907516</v>
      </c>
      <c r="CA29" s="5">
        <f>INDEX('Team forecast'!$R$3:$BH$26,MATCH($B29,'Team forecast'!$B$3:$B$26,0),MATCH(CA$1,'Team forecast'!$R$2:$BH$2,0))*($BX29-(BY29+BX29+CH29)*0.01)</f>
        <v>-27061.146139797947</v>
      </c>
      <c r="CB29" s="5">
        <f>INDEX('Team forecast'!$R$3:$BH$26,MATCH($B29,'Team forecast'!$B$3:$B$26,0),MATCH(CB$1,'Team forecast'!$R$2:$BH$2,0))*($BX29-(BY29+BX29*2+CH29)*0.01)</f>
        <v>-13929.784743253365</v>
      </c>
      <c r="CC29" s="5">
        <f>INDEX('Team forecast'!$R$3:$BH$26,MATCH($B29,'Team forecast'!$B$3:$B$26,0),MATCH(CC$1,'Team forecast'!$R$2:$BH$2,0))*($BX29-(BY29+BX29*3+CH29)*0.01)</f>
        <v>-7487.9820355582578</v>
      </c>
      <c r="CD29" s="5">
        <f>+AK29+BD29*Cockpit!$C$3+BW29*Cockpit!$C$3^2+BZ29*Cockpit!$C$3^3+CA29*Cockpit!$C$3^4+CB29*Cockpit!$C$3^5+CC29*Cockpit!$C$3^6</f>
        <v>-34183.454979087757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-2.7272727272727275E-3</v>
      </c>
      <c r="CK29" s="5">
        <f>RANK(BY29,$BY$2:$BY$623)+COUNTIF($BY$2:$BY29,$BY29)-1</f>
        <v>423</v>
      </c>
      <c r="CL29" s="5">
        <f>RANK(CJ29,$CJ$2:$CJ$623)+COUNTIF($CJ$2:$CJ29,$CJ29)-1</f>
        <v>422</v>
      </c>
    </row>
    <row r="30" spans="1:90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1.5223243214152651</v>
      </c>
      <c r="I30" s="16">
        <f>INDEX('Team forecast'!$B$2:$AO$26,MATCH('Master data'!$B30,'Team forecast'!$B$2:$B$26,0),MATCH('Master data'!I$1,'Team forecast'!$B$2:$AO$2,0))</f>
        <v>0.74990395996081205</v>
      </c>
      <c r="J30" s="16">
        <f>INDEX('Team forecast'!$B$2:$AO$26,MATCH('Master data'!$B30,'Team forecast'!$B$2:$B$26,0),MATCH('Master data'!J$1,'Team forecast'!$B$2:$AO$2,0))</f>
        <v>0.47241192102180191</v>
      </c>
      <c r="K30" s="16">
        <f>INDEX('Team forecast'!$B$2:$AO$26,MATCH('Master data'!$B30,'Team forecast'!$B$2:$B$26,0),MATCH('Master data'!K$1,'Team forecast'!$B$2:$AO$2,0))</f>
        <v>3.7411838276290243</v>
      </c>
      <c r="L30" s="16">
        <f>INDEX('Team forecast'!$B$2:$AO$26,MATCH('Master data'!$B30,'Team forecast'!$B$2:$B$26,0),MATCH('Master data'!L$1,'Team forecast'!$B$2:$AO$2,0))</f>
        <v>2.461805929164282</v>
      </c>
      <c r="M30">
        <f>IF(Players!BC31=1,95,0)</f>
        <v>95</v>
      </c>
      <c r="N30" s="2">
        <f>Players!BN31</f>
        <v>8.2021503949714691E-2</v>
      </c>
      <c r="O30" s="2">
        <f>Players!BO31</f>
        <v>6.4662548483624127E-2</v>
      </c>
      <c r="P30" s="2">
        <f>Players!BP31</f>
        <v>0.13743685305301095</v>
      </c>
      <c r="Q30" s="2">
        <f>Players!BQ31</f>
        <v>3.1120331950207469E-2</v>
      </c>
      <c r="R30" s="2">
        <f>Players!BR31</f>
        <v>0</v>
      </c>
      <c r="S30" s="2">
        <f>H30</f>
        <v>1.5223243214152651</v>
      </c>
      <c r="T30" s="2">
        <f>I30</f>
        <v>0.74990395996081205</v>
      </c>
      <c r="U30" s="16">
        <f>INDEX('Team forecast'!$B$2:$AO$26,MATCH('Master data'!$B30,'Team forecast'!$B$2:$B$26,0),MATCH('Master data'!U$1,'Team forecast'!$B$2:$AO$2,0))</f>
        <v>0.56576277966682864</v>
      </c>
      <c r="V30" s="16">
        <f>INDEX('Team forecast'!$B$2:$AO$26,MATCH('Master data'!$B30,'Team forecast'!$B$2:$B$26,0),MATCH('Master data'!V$1,'Team forecast'!$B$2:$AO$2,0))</f>
        <v>0.26245106723433442</v>
      </c>
      <c r="W30" s="16">
        <f>INDEX('Team forecast'!$B$2:$AO$26,MATCH('Master data'!$B30,'Team forecast'!$B$2:$B$26,0),MATCH('Master data'!W$1,'Team forecast'!$B$2:$AO$2,0))</f>
        <v>0.17178615309883699</v>
      </c>
      <c r="X30" s="5">
        <f>IF(M30&gt;95,7000*2,IF(M30&gt;0,7000,-5000))</f>
        <v>7000</v>
      </c>
      <c r="Y30" s="5">
        <f>IF($X30&gt;0,U30*25000,0)</f>
        <v>14144.069491670716</v>
      </c>
      <c r="Z30" s="5">
        <f>IF($X30&gt;0,V30*5000,0)</f>
        <v>1312.2553361716721</v>
      </c>
      <c r="AA30" s="5">
        <f>IF($X30&gt;0,W30*(-15000),0)</f>
        <v>-2576.7922964825548</v>
      </c>
      <c r="AB30" s="5">
        <f>IF($C30="Defense",$N30*150000,IF($C30="Midfield",$N30*125000,IF($C30="Striker",$N30*100000,0)))*$H30</f>
        <v>15607.916292713613</v>
      </c>
      <c r="AC30" s="5">
        <f>$O30*50000*H30</f>
        <v>4921.8685120657383</v>
      </c>
      <c r="AD30" s="5">
        <f>$P30*K30*10000</f>
        <v>5141.7653196215133</v>
      </c>
      <c r="AE30" s="5">
        <f>IF($C30="Goalkeeper",J30*75000,IF($C30="Defense",J30*50000,0))</f>
        <v>0</v>
      </c>
      <c r="AF30" s="5">
        <f>IF($C30="Goalkeeper",(L30-I30)*5000,0)</f>
        <v>0</v>
      </c>
      <c r="AG30" s="5">
        <f>IF(M30&gt;0,Q30*(-20000),0)</f>
        <v>-622.40663900414938</v>
      </c>
      <c r="AH30" s="5">
        <f>IF(M30&gt;0,R30*(-50000),0)</f>
        <v>0</v>
      </c>
      <c r="AI30" s="5">
        <f>IF(M30&gt;0,S30*10000,0)</f>
        <v>15223.243214152651</v>
      </c>
      <c r="AJ30" s="5">
        <f>IF(M30&gt;0,T30*(-8000),0)</f>
        <v>-5999.2316796864961</v>
      </c>
      <c r="AK30" s="5">
        <f>IFERROR(SUM(X30:AJ30),-5000)*((Cockpit!$C$3)^0)</f>
        <v>54152.687551222698</v>
      </c>
      <c r="AL30" s="16">
        <f>INDEX('Team forecast'!$B$2:$AO$26,MATCH('Master data'!$B30,'Team forecast'!$B$2:$B$26,0),MATCH('Master data'!AL$1,'Team forecast'!$B$2:$AO$2,0))</f>
        <v>2.0067977929974719</v>
      </c>
      <c r="AM30" s="16">
        <f>INDEX('Team forecast'!$B$2:$AO$26,MATCH('Master data'!$B30,'Team forecast'!$B$2:$B$26,0),MATCH('Master data'!AM$1,'Team forecast'!$B$2:$AO$2,0))</f>
        <v>0.66520361079548807</v>
      </c>
      <c r="AN30" s="16">
        <f>INDEX('Team forecast'!$B$2:$AO$26,MATCH('Master data'!$B30,'Team forecast'!$B$2:$B$26,0),MATCH('Master data'!AN$1,'Team forecast'!$B$2:$AO$2,0))</f>
        <v>0.51416882672404407</v>
      </c>
      <c r="AO30" s="16">
        <f>INDEX('Team forecast'!$B$2:$AO$26,MATCH('Master data'!$B30,'Team forecast'!$B$2:$B$26,0),MATCH('Master data'!AO$1,'Team forecast'!$B$2:$AO$2,0))</f>
        <v>4.9318002365645421</v>
      </c>
      <c r="AP30" s="16">
        <f>INDEX('Team forecast'!$B$2:$AO$26,MATCH('Master data'!$B30,'Team forecast'!$B$2:$B$26,0),MATCH('Master data'!AP$1,'Team forecast'!$B$2:$AO$2,0))</f>
        <v>2.1837492273589256</v>
      </c>
      <c r="AQ30" s="5">
        <f>X30</f>
        <v>7000</v>
      </c>
      <c r="AR30" s="5">
        <f>INDEX('Team forecast'!$B$2:$AO$26,MATCH('Master data'!$B30,'Team forecast'!$B$2:$B$26,0),MATCH('Master data'!AR$1,'Team forecast'!$B$2:$AO$2,0))*IF(X30&gt;0,25000,0)</f>
        <v>17296.488104871336</v>
      </c>
      <c r="AS30" s="16">
        <f>INDEX('Team forecast'!$B$2:$AO$26,MATCH('Master data'!$B30,'Team forecast'!$B$2:$B$26,0),MATCH('Master data'!AS$1,'Team forecast'!$B$2:$AO$2,0))*IF(X30&gt;0,5000,0)</f>
        <v>1045.4766143388899</v>
      </c>
      <c r="AT30" s="16">
        <f>INDEX('Team forecast'!$B$2:$AO$26,MATCH('Master data'!$B30,'Team forecast'!$B$2:$B$26,0),MATCH('Master data'!AT$1,'Team forecast'!$B$2:$AO$2,0))*IF(X30&gt;0,-15000,0)</f>
        <v>-1485.6772940605274</v>
      </c>
      <c r="AU30" s="5">
        <f>IF($C30="Defense",$N30*150000,IF($C30="Midfield",$N30*125000,IF($C30="Striker",$N30*100000,0)))*$AL30</f>
        <v>20575.07163807761</v>
      </c>
      <c r="AV30" s="5">
        <f>$O30*50000*AL30</f>
        <v>6488.2329793264453</v>
      </c>
      <c r="AW30" s="5">
        <f>$P30*AO30*10000</f>
        <v>6778.1110439952563</v>
      </c>
      <c r="AX30" s="5">
        <f>IF($C30="Goalkeeper",AN30*75000,IF($C30="Defense",AN30*50000,0))</f>
        <v>0</v>
      </c>
      <c r="AY30" s="5">
        <f>IF($C30="Goalkeeper",(AP30-AM30)*5000,0)</f>
        <v>0</v>
      </c>
      <c r="AZ30" s="5">
        <f>$AG30</f>
        <v>-622.40663900414938</v>
      </c>
      <c r="BA30" s="5">
        <f>$AH30</f>
        <v>0</v>
      </c>
      <c r="BB30" s="5">
        <f>IF(X30&gt;0,AL30*10000,0)</f>
        <v>20067.977929974717</v>
      </c>
      <c r="BC30" s="5">
        <f>IF(X30&gt;0,AM30*(-8000),0)</f>
        <v>-5321.6288863639047</v>
      </c>
      <c r="BD30" s="5">
        <f>IFERROR(SUM(AQ30:BC30),0)</f>
        <v>71821.645491155679</v>
      </c>
      <c r="BE30" s="16">
        <f>INDEX('Team forecast'!$B$2:$AO$26,MATCH('Master data'!$B30,'Team forecast'!$B$2:$B$26,0),MATCH('Master data'!BE$1,'Team forecast'!$B$2:$AO$2,0))</f>
        <v>2.2346287595631029</v>
      </c>
      <c r="BF30" s="16">
        <f>INDEX('Team forecast'!$B$2:$AO$26,MATCH('Master data'!$B30,'Team forecast'!$B$2:$B$26,0),MATCH('Master data'!BF$1,'Team forecast'!$B$2:$AO$2,0))</f>
        <v>0.82586154259115363</v>
      </c>
      <c r="BG30" s="16">
        <f>INDEX('Team forecast'!$B$2:$AO$26,MATCH('Master data'!$B30,'Team forecast'!$B$2:$B$26,0),MATCH('Master data'!BG$1,'Team forecast'!$B$2:$AO$2,0))</f>
        <v>0.43785759694850601</v>
      </c>
      <c r="BH30" s="16">
        <f>INDEX('Team forecast'!$B$2:$AO$26,MATCH('Master data'!$B30,'Team forecast'!$B$2:$B$26,0),MATCH('Master data'!BH$1,'Team forecast'!$B$2:$AO$2,0))</f>
        <v>5.4917055836432862</v>
      </c>
      <c r="BI30" s="16">
        <f>INDEX('Team forecast'!$B$2:$AO$26,MATCH('Master data'!$B30,'Team forecast'!$B$2:$B$26,0),MATCH('Master data'!BI$1,'Team forecast'!$B$2:$AO$2,0))</f>
        <v>2.7111616297184336</v>
      </c>
      <c r="BJ30" s="5">
        <f>AQ30</f>
        <v>7000</v>
      </c>
      <c r="BK30" s="5">
        <f>INDEX('Team forecast'!$R$3:$BH$26,MATCH($B30,'Team forecast'!$B$3:$B$26,0),MATCH(BK$1,'Team forecast'!$R$2:$BH$2,0))*IF($X30&gt;0,25000,0)</f>
        <v>16608.391608391608</v>
      </c>
      <c r="BL30" s="5">
        <f>INDEX('Team forecast'!$R$3:$BH$26,MATCH($B30,'Team forecast'!$B$3:$B$26,0),MATCH(BL$1,'Team forecast'!$R$2:$BH$2,0))*IF($X30&gt;0,5000,0)</f>
        <v>1013.9860139860141</v>
      </c>
      <c r="BM30" s="5">
        <f>INDEX('Team forecast'!$R$3:$BH$26,MATCH($B30,'Team forecast'!$B$3:$B$26,0),MATCH(BM$1,'Team forecast'!$R$2:$BH$2,0))*IF($X30&gt;0,-15000,0)</f>
        <v>-1993.0069930069933</v>
      </c>
      <c r="BN30" s="5">
        <f>IF($C30="Defense",$N30*150000,IF($C30="Midfield",$N30*125000,IF($C30="Striker",$N30*100000,0)))*$BE30</f>
        <v>22910.951453581387</v>
      </c>
      <c r="BO30" s="5">
        <f>$O30*50000*$BE30</f>
        <v>7224.8395254074985</v>
      </c>
      <c r="BP30" s="5">
        <f>$P30*BH30*10000</f>
        <v>7547.6273330958211</v>
      </c>
      <c r="BQ30" s="5">
        <f>IF($C30="Goalkeeper",BG30*75000,IF($C30="Defense",BG30*50000,0))</f>
        <v>0</v>
      </c>
      <c r="BR30" s="5">
        <f>IF($C30="Goalkeeper",(BI30-BF30)*5000,0)</f>
        <v>0</v>
      </c>
      <c r="BS30" s="5">
        <f>$AG30</f>
        <v>-622.40663900414938</v>
      </c>
      <c r="BT30" s="5">
        <f>$AH30</f>
        <v>0</v>
      </c>
      <c r="BU30" s="5">
        <f>IF(AQ30&gt;0,BE30*10000,0)</f>
        <v>22346.287595631031</v>
      </c>
      <c r="BV30" s="5">
        <f>IF(AQ30&gt;0,BF30*(-8000),0)</f>
        <v>-6606.8923407292286</v>
      </c>
      <c r="BW30" s="5">
        <f>IFERROR(SUM(BJ30:BV30),0)</f>
        <v>75429.77755735298</v>
      </c>
      <c r="BX30" s="5">
        <f>AVERAGE(AK30,BD30,BW30)</f>
        <v>67134.703533243781</v>
      </c>
      <c r="BY30" s="5">
        <f>BX30*3</f>
        <v>201404.11059973133</v>
      </c>
      <c r="BZ30" s="5">
        <f>INDEX('Team forecast'!$R$3:$BH$26,MATCH($B30,'Team forecast'!$B$3:$B$26,0),MATCH(BZ$1,'Team forecast'!$R$2:$BH$2,0))*($BX30-(BY30+CH30)*0.01)</f>
        <v>9692.1427912338368</v>
      </c>
      <c r="CA30" s="5">
        <f>INDEX('Team forecast'!$R$3:$BH$26,MATCH($B30,'Team forecast'!$B$3:$B$26,0),MATCH(CA$1,'Team forecast'!$R$2:$BH$2,0))*($BX30-(BY30+BX30+CH30)*0.01)</f>
        <v>4670.4874722377326</v>
      </c>
      <c r="CB30" s="5">
        <f>INDEX('Team forecast'!$R$3:$BH$26,MATCH($B30,'Team forecast'!$B$3:$B$26,0),MATCH(CB$1,'Team forecast'!$R$2:$BH$2,0))*($BX30-(BY30+BX30*2+CH30)*0.01)</f>
        <v>2296.8726489074133</v>
      </c>
      <c r="CC30" s="5">
        <f>INDEX('Team forecast'!$R$3:$BH$26,MATCH($B30,'Team forecast'!$B$3:$B$26,0),MATCH(CC$1,'Team forecast'!$R$2:$BH$2,0))*($BX30-(BY30+BX30*3+CH30)*0.01)</f>
        <v>1212.4859378637846</v>
      </c>
      <c r="CD30" s="5">
        <f>+AK30+BD30*Cockpit!$C$3+BW30*Cockpit!$C$3^2+BZ30*Cockpit!$C$3^3+CA30*Cockpit!$C$3^4+CB30*Cockpit!$C$3^5+CC30*Cockpit!$C$3^6</f>
        <v>139761.35634479084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3.6618929199951147E-2</v>
      </c>
      <c r="CK30" s="5">
        <f>RANK(BY30,$BY$2:$BY$623)+COUNTIF($BY$2:$BY30,$BY30)-1</f>
        <v>50</v>
      </c>
      <c r="CL30" s="5">
        <f>RANK(CJ30,$CJ$2:$CJ$623)+COUNTIF($CJ$2:$CJ30,$CJ30)-1</f>
        <v>93</v>
      </c>
    </row>
    <row r="31" spans="1:90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1.7625676631272518</v>
      </c>
      <c r="I31" s="16">
        <f>INDEX('Team forecast'!$B$2:$AO$26,MATCH('Master data'!$B31,'Team forecast'!$B$2:$B$26,0),MATCH('Master data'!I$1,'Team forecast'!$B$2:$AO$2,0))</f>
        <v>0.75096675144877167</v>
      </c>
      <c r="J31" s="16">
        <f>INDEX('Team forecast'!$B$2:$AO$26,MATCH('Master data'!$B31,'Team forecast'!$B$2:$B$26,0),MATCH('Master data'!J$1,'Team forecast'!$B$2:$AO$2,0))</f>
        <v>0.47191011235955049</v>
      </c>
      <c r="K31" s="16">
        <f>INDEX('Team forecast'!$B$2:$AO$26,MATCH('Master data'!$B31,'Team forecast'!$B$2:$B$26,0),MATCH('Master data'!K$1,'Team forecast'!$B$2:$AO$2,0))</f>
        <v>4.4913621777278765</v>
      </c>
      <c r="L31" s="16">
        <f>INDEX('Team forecast'!$B$2:$AO$26,MATCH('Master data'!$B31,'Team forecast'!$B$2:$B$26,0),MATCH('Master data'!L$1,'Team forecast'!$B$2:$AO$2,0))</f>
        <v>2.0995338051067773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>H31</f>
        <v>1.7625676631272518</v>
      </c>
      <c r="T31" s="2">
        <f>I31</f>
        <v>0.75096675144877167</v>
      </c>
      <c r="U31" s="16">
        <f>INDEX('Team forecast'!$B$2:$AO$26,MATCH('Master data'!$B31,'Team forecast'!$B$2:$B$26,0),MATCH('Master data'!U$1,'Team forecast'!$B$2:$AO$2,0))</f>
        <v>0.6292134831460674</v>
      </c>
      <c r="V31" s="16">
        <f>INDEX('Team forecast'!$B$2:$AO$26,MATCH('Master data'!$B31,'Team forecast'!$B$2:$B$26,0),MATCH('Master data'!V$1,'Team forecast'!$B$2:$AO$2,0))</f>
        <v>0.2359550561797753</v>
      </c>
      <c r="W31" s="16">
        <f>INDEX('Team forecast'!$B$2:$AO$26,MATCH('Master data'!$B31,'Team forecast'!$B$2:$B$26,0),MATCH('Master data'!W$1,'Team forecast'!$B$2:$AO$2,0))</f>
        <v>0.1348314606741573</v>
      </c>
      <c r="X31" s="5">
        <f>IF(M31&gt;95,7000*2,IF(M31&gt;0,7000,-5000))</f>
        <v>-5000</v>
      </c>
      <c r="Y31" s="5">
        <f>IF($X31&gt;0,U31*25000,0)</f>
        <v>0</v>
      </c>
      <c r="Z31" s="5">
        <f>IF($X31&gt;0,V31*5000,0)</f>
        <v>0</v>
      </c>
      <c r="AA31" s="5">
        <f>IF($X31&gt;0,W31*(-15000),0)</f>
        <v>0</v>
      </c>
      <c r="AB31" s="5">
        <f>IF($C31="Defense",$N31*150000,IF($C31="Midfield",$N31*125000,IF($C31="Striker",$N31*100000,0)))*$H31</f>
        <v>0</v>
      </c>
      <c r="AC31" s="5">
        <f>$O31*50000*H31</f>
        <v>0</v>
      </c>
      <c r="AD31" s="5">
        <f>$P31*K31*10000</f>
        <v>0</v>
      </c>
      <c r="AE31" s="5">
        <f>IF($C31="Goalkeeper",J31*75000,IF($C31="Defense",J31*50000,0))</f>
        <v>0</v>
      </c>
      <c r="AF31" s="5">
        <f>IF($C31="Goalkeeper",(L31-I31)*5000,0)</f>
        <v>0</v>
      </c>
      <c r="AG31" s="5">
        <f>IF(M31&gt;0,Q31*(-20000),0)</f>
        <v>0</v>
      </c>
      <c r="AH31" s="5">
        <f>IF(M31&gt;0,R31*(-50000),0)</f>
        <v>0</v>
      </c>
      <c r="AI31" s="5">
        <f>IF(M31&gt;0,S31*10000,0)</f>
        <v>0</v>
      </c>
      <c r="AJ31" s="5">
        <f>IF(M31&gt;0,T31*(-8000),0)</f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1.1612459518433673</v>
      </c>
      <c r="AM31" s="16">
        <f>INDEX('Team forecast'!$B$2:$AO$26,MATCH('Master data'!$B31,'Team forecast'!$B$2:$B$26,0),MATCH('Master data'!AM$1,'Team forecast'!$B$2:$AO$2,0))</f>
        <v>1.384389503157577</v>
      </c>
      <c r="AN31" s="16">
        <f>INDEX('Team forecast'!$B$2:$AO$26,MATCH('Master data'!$B31,'Team forecast'!$B$2:$B$26,0),MATCH('Master data'!AN$1,'Team forecast'!$B$2:$AO$2,0))</f>
        <v>0.25047666833918708</v>
      </c>
      <c r="AO31" s="16">
        <f>INDEX('Team forecast'!$B$2:$AO$26,MATCH('Master data'!$B31,'Team forecast'!$B$2:$B$26,0),MATCH('Master data'!AO$1,'Team forecast'!$B$2:$AO$2,0))</f>
        <v>2.9590785399382193</v>
      </c>
      <c r="AP31" s="16">
        <f>INDEX('Team forecast'!$B$2:$AO$26,MATCH('Master data'!$B31,'Team forecast'!$B$2:$B$26,0),MATCH('Master data'!AP$1,'Team forecast'!$B$2:$AO$2,0))</f>
        <v>3.8704410757292824</v>
      </c>
      <c r="AQ31" s="5">
        <f>X31</f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>IF($C31="Defense",$N31*150000,IF($C31="Midfield",$N31*125000,IF($C31="Striker",$N31*100000,0)))*$AL31</f>
        <v>0</v>
      </c>
      <c r="AV31" s="5">
        <f>$O31*50000*AL31</f>
        <v>0</v>
      </c>
      <c r="AW31" s="5">
        <f>$P31*AO31*10000</f>
        <v>0</v>
      </c>
      <c r="AX31" s="5">
        <f>IF($C31="Goalkeeper",AN31*75000,IF($C31="Defense",AN31*50000,0))</f>
        <v>0</v>
      </c>
      <c r="AY31" s="5">
        <f>IF($C31="Goalkeeper",(AP31-AM31)*5000,0)</f>
        <v>0</v>
      </c>
      <c r="AZ31" s="5">
        <f>$AG31</f>
        <v>0</v>
      </c>
      <c r="BA31" s="5">
        <f>$AH31</f>
        <v>0</v>
      </c>
      <c r="BB31" s="5">
        <f>IF(X31&gt;0,AL31*10000,0)</f>
        <v>0</v>
      </c>
      <c r="BC31" s="5">
        <f>IF(X31&gt;0,AM31*(-8000),0)</f>
        <v>0</v>
      </c>
      <c r="BD31" s="5">
        <f>IFERROR(SUM(AQ31:BC31),0)</f>
        <v>-5000</v>
      </c>
      <c r="BE31" s="16">
        <f>INDEX('Team forecast'!$B$2:$AO$26,MATCH('Master data'!$B31,'Team forecast'!$B$2:$B$26,0),MATCH('Master data'!BE$1,'Team forecast'!$B$2:$AO$2,0))</f>
        <v>1.0107278258414167</v>
      </c>
      <c r="BF31" s="16">
        <f>INDEX('Team forecast'!$B$2:$AO$26,MATCH('Master data'!$B31,'Team forecast'!$B$2:$B$26,0),MATCH('Master data'!BF$1,'Team forecast'!$B$2:$AO$2,0))</f>
        <v>1.2965069481471114</v>
      </c>
      <c r="BG31" s="16">
        <f>INDEX('Team forecast'!$B$2:$AO$26,MATCH('Master data'!$B31,'Team forecast'!$B$2:$B$26,0),MATCH('Master data'!BG$1,'Team forecast'!$B$2:$AO$2,0))</f>
        <v>0.27348542529246672</v>
      </c>
      <c r="BH31" s="16">
        <f>INDEX('Team forecast'!$B$2:$AO$26,MATCH('Master data'!$B31,'Team forecast'!$B$2:$B$26,0),MATCH('Master data'!BH$1,'Team forecast'!$B$2:$AO$2,0))</f>
        <v>2.5755293393428875</v>
      </c>
      <c r="BI31" s="16">
        <f>INDEX('Team forecast'!$B$2:$AO$26,MATCH('Master data'!$B31,'Team forecast'!$B$2:$B$26,0),MATCH('Master data'!BI$1,'Team forecast'!$B$2:$AO$2,0))</f>
        <v>3.6247412564394597</v>
      </c>
      <c r="BJ31" s="5">
        <f>AQ31</f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>IF($C31="Defense",$N31*150000,IF($C31="Midfield",$N31*125000,IF($C31="Striker",$N31*100000,0)))*$BE31</f>
        <v>0</v>
      </c>
      <c r="BO31" s="5">
        <f>$O31*50000*$BE31</f>
        <v>0</v>
      </c>
      <c r="BP31" s="5">
        <f>$P31*BH31*10000</f>
        <v>0</v>
      </c>
      <c r="BQ31" s="5">
        <f>IF($C31="Goalkeeper",BG31*75000,IF($C31="Defense",BG31*50000,0))</f>
        <v>0</v>
      </c>
      <c r="BR31" s="5">
        <f>IF($C31="Goalkeeper",(BI31-BF31)*5000,0)</f>
        <v>0</v>
      </c>
      <c r="BS31" s="5">
        <f>$AG31</f>
        <v>0</v>
      </c>
      <c r="BT31" s="5">
        <f>$AH31</f>
        <v>0</v>
      </c>
      <c r="BU31" s="5">
        <f>IF(AQ31&gt;0,BE31*10000,0)</f>
        <v>0</v>
      </c>
      <c r="BV31" s="5">
        <f>IF(AQ31&gt;0,BF31*(-8000),0)</f>
        <v>0</v>
      </c>
      <c r="BW31" s="5">
        <f>IFERROR(SUM(BJ31:BV31),0)</f>
        <v>-5000</v>
      </c>
      <c r="BX31" s="5">
        <f>AVERAGE(AK31,BD31,BW31)</f>
        <v>-5000</v>
      </c>
      <c r="BY31" s="5">
        <f>BX31*3</f>
        <v>-15000</v>
      </c>
      <c r="BZ31" s="5">
        <f>INDEX('Team forecast'!$R$3:$BH$26,MATCH($B31,'Team forecast'!$B$3:$B$26,0),MATCH(BZ$1,'Team forecast'!$R$2:$BH$2,0))*($BX31-(BY31+CH31)*0.01)</f>
        <v>-45003.585504099668</v>
      </c>
      <c r="CA31" s="5">
        <f>INDEX('Team forecast'!$R$3:$BH$26,MATCH($B31,'Team forecast'!$B$3:$B$26,0),MATCH(CA$1,'Team forecast'!$R$2:$BH$2,0))*($BX31-(BY31+BX31+CH31)*0.01)</f>
        <v>-22914.98202991964</v>
      </c>
      <c r="CB31" s="5">
        <f>INDEX('Team forecast'!$R$3:$BH$26,MATCH($B31,'Team forecast'!$B$3:$B$26,0),MATCH(CB$1,'Team forecast'!$R$2:$BH$2,0))*($BX31-(BY31+BX31*2+CH31)*0.01)</f>
        <v>-11854.147948756958</v>
      </c>
      <c r="CC31" s="5">
        <f>INDEX('Team forecast'!$R$3:$BH$26,MATCH($B31,'Team forecast'!$B$3:$B$26,0),MATCH(CC$1,'Team forecast'!$R$2:$BH$2,0))*($BX31-(BY31+BX31*3+CH31)*0.01)</f>
        <v>-6445.507358939748</v>
      </c>
      <c r="CD31" s="5">
        <f>+AK31+BD31*Cockpit!$C$3+BW31*Cockpit!$C$3^2+BZ31*Cockpit!$C$3^3+CA31*Cockpit!$C$3^4+CB31*Cockpit!$C$3^5+CC31*Cockpit!$C$3^6</f>
        <v>-30543.268251367303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-2.7272727272727275E-3</v>
      </c>
      <c r="CK31" s="5">
        <f>RANK(BY31,$BY$2:$BY$623)+COUNTIF($BY$2:$BY31,$BY31)-1</f>
        <v>424</v>
      </c>
      <c r="CL31" s="5">
        <f>RANK(CJ31,$CJ$2:$CJ$623)+COUNTIF($CJ$2:$CJ31,$CJ31)-1</f>
        <v>423</v>
      </c>
    </row>
    <row r="32" spans="1:90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1.7533592214060363</v>
      </c>
      <c r="I32" s="16">
        <f>INDEX('Team forecast'!$B$2:$AO$26,MATCH('Master data'!$B32,'Team forecast'!$B$2:$B$26,0),MATCH('Master data'!I$1,'Team forecast'!$B$2:$AO$2,0))</f>
        <v>0.63639779406972985</v>
      </c>
      <c r="J32" s="16">
        <f>INDEX('Team forecast'!$B$2:$AO$26,MATCH('Master data'!$B32,'Team forecast'!$B$2:$B$26,0),MATCH('Master data'!J$1,'Team forecast'!$B$2:$AO$2,0))</f>
        <v>0.52919526509499659</v>
      </c>
      <c r="K32" s="16">
        <f>INDEX('Team forecast'!$B$2:$AO$26,MATCH('Master data'!$B32,'Team forecast'!$B$2:$B$26,0),MATCH('Master data'!K$1,'Team forecast'!$B$2:$AO$2,0))</f>
        <v>4.835748720224867</v>
      </c>
      <c r="L32" s="16">
        <f>INDEX('Team forecast'!$B$2:$AO$26,MATCH('Master data'!$B32,'Team forecast'!$B$2:$B$26,0),MATCH('Master data'!L$1,'Team forecast'!$B$2:$AO$2,0))</f>
        <v>2.0891846775016383</v>
      </c>
      <c r="M32">
        <f>IF(Players!BC33=1,95,0)</f>
        <v>95</v>
      </c>
      <c r="N32" s="2">
        <f>Players!BN33</f>
        <v>0.16760274841543291</v>
      </c>
      <c r="O32" s="2">
        <f>Players!BO33</f>
        <v>0.13675318188020488</v>
      </c>
      <c r="P32" s="2">
        <f>Players!BP33</f>
        <v>0.16304161536827105</v>
      </c>
      <c r="Q32" s="2">
        <f>Players!BQ33</f>
        <v>1.851090086384204E-2</v>
      </c>
      <c r="R32" s="2">
        <f>Players!BR33</f>
        <v>0</v>
      </c>
      <c r="S32" s="2">
        <f>H32</f>
        <v>1.7533592214060363</v>
      </c>
      <c r="T32" s="2">
        <f>I32</f>
        <v>0.63639779406972985</v>
      </c>
      <c r="U32" s="16">
        <f>INDEX('Team forecast'!$B$2:$AO$26,MATCH('Master data'!$B32,'Team forecast'!$B$2:$B$26,0),MATCH('Master data'!U$1,'Team forecast'!$B$2:$AO$2,0))</f>
        <v>0.68039391226499568</v>
      </c>
      <c r="V32" s="16">
        <f>INDEX('Team forecast'!$B$2:$AO$26,MATCH('Master data'!$B32,'Team forecast'!$B$2:$B$26,0),MATCH('Master data'!V$1,'Team forecast'!$B$2:$AO$2,0))</f>
        <v>0.20053715308863029</v>
      </c>
      <c r="W32" s="16">
        <f>INDEX('Team forecast'!$B$2:$AO$26,MATCH('Master data'!$B32,'Team forecast'!$B$2:$B$26,0),MATCH('Master data'!W$1,'Team forecast'!$B$2:$AO$2,0))</f>
        <v>0.11906893464637421</v>
      </c>
      <c r="X32" s="5">
        <f>IF(M32&gt;95,7000*2,IF(M32&gt;0,7000,-5000))</f>
        <v>7000</v>
      </c>
      <c r="Y32" s="5">
        <f>IF($X32&gt;0,U32*25000,0)</f>
        <v>17009.847806624894</v>
      </c>
      <c r="Z32" s="5">
        <f>IF($X32&gt;0,V32*5000,0)</f>
        <v>1002.6857654431515</v>
      </c>
      <c r="AA32" s="5">
        <f>IF($X32&gt;0,W32*(-15000),0)</f>
        <v>-1786.0340196956131</v>
      </c>
      <c r="AB32" s="5">
        <f>IF($C32="Defense",$N32*150000,IF($C32="Midfield",$N32*125000,IF($C32="Striker",$N32*100000,0)))*$H32</f>
        <v>29386.782446719521</v>
      </c>
      <c r="AC32" s="5">
        <f>$O32*50000*H32</f>
        <v>11988.872625313705</v>
      </c>
      <c r="AD32" s="5">
        <f>$P32*K32*10000</f>
        <v>7884.2828286051181</v>
      </c>
      <c r="AE32" s="5">
        <f>IF($C32="Goalkeeper",J32*75000,IF($C32="Defense",J32*50000,0))</f>
        <v>0</v>
      </c>
      <c r="AF32" s="5">
        <f>IF($C32="Goalkeeper",(L32-I32)*5000,0)</f>
        <v>0</v>
      </c>
      <c r="AG32" s="5">
        <f>IF(M32&gt;0,Q32*(-20000),0)</f>
        <v>-370.21801727684078</v>
      </c>
      <c r="AH32" s="5">
        <f>IF(M32&gt;0,R32*(-50000),0)</f>
        <v>0</v>
      </c>
      <c r="AI32" s="5">
        <f>IF(M32&gt;0,S32*10000,0)</f>
        <v>17533.592214060362</v>
      </c>
      <c r="AJ32" s="5">
        <f>IF(M32&gt;0,T32*(-8000),0)</f>
        <v>-5091.1823525578384</v>
      </c>
      <c r="AK32" s="5">
        <f>IFERROR(SUM(X32:AJ32),-5000)*((Cockpit!$C$3)^0)</f>
        <v>84558.629297236461</v>
      </c>
      <c r="AL32" s="16">
        <f>INDEX('Team forecast'!$B$2:$AO$26,MATCH('Master data'!$B32,'Team forecast'!$B$2:$B$26,0),MATCH('Master data'!AL$1,'Team forecast'!$B$2:$AO$2,0))</f>
        <v>1.9080439968215523</v>
      </c>
      <c r="AM32" s="16">
        <f>INDEX('Team forecast'!$B$2:$AO$26,MATCH('Master data'!$B32,'Team forecast'!$B$2:$B$26,0),MATCH('Master data'!AM$1,'Team forecast'!$B$2:$AO$2,0))</f>
        <v>0.77817916464933856</v>
      </c>
      <c r="AN32" s="16">
        <f>INDEX('Team forecast'!$B$2:$AO$26,MATCH('Master data'!$B32,'Team forecast'!$B$2:$B$26,0),MATCH('Master data'!AN$1,'Team forecast'!$B$2:$AO$2,0))</f>
        <v>0.459241453546125</v>
      </c>
      <c r="AO32" s="16">
        <f>INDEX('Team forecast'!$B$2:$AO$26,MATCH('Master data'!$B32,'Team forecast'!$B$2:$B$26,0),MATCH('Master data'!AO$1,'Team forecast'!$B$2:$AO$2,0))</f>
        <v>5.26236791817451</v>
      </c>
      <c r="AP32" s="16">
        <f>INDEX('Team forecast'!$B$2:$AO$26,MATCH('Master data'!$B32,'Team forecast'!$B$2:$B$26,0),MATCH('Master data'!AP$1,'Team forecast'!$B$2:$AO$2,0))</f>
        <v>2.5546285708185357</v>
      </c>
      <c r="AQ32" s="5">
        <f>X32</f>
        <v>7000</v>
      </c>
      <c r="AR32" s="5">
        <f>INDEX('Team forecast'!$B$2:$AO$26,MATCH('Master data'!$B32,'Team forecast'!$B$2:$B$26,0),MATCH('Master data'!AR$1,'Team forecast'!$B$2:$AO$2,0))*IF(X32&gt;0,25000,0)</f>
        <v>16181.32638333662</v>
      </c>
      <c r="AS32" s="16">
        <f>INDEX('Team forecast'!$B$2:$AO$26,MATCH('Master data'!$B32,'Team forecast'!$B$2:$B$26,0),MATCH('Master data'!AS$1,'Team forecast'!$B$2:$AO$2,0))*IF(X32&gt;0,5000,0)</f>
        <v>1059.787969721827</v>
      </c>
      <c r="AT32" s="16">
        <f>INDEX('Team forecast'!$B$2:$AO$26,MATCH('Master data'!$B32,'Team forecast'!$B$2:$B$26,0),MATCH('Master data'!AT$1,'Team forecast'!$B$2:$AO$2,0))*IF(X32&gt;0,-15000,0)</f>
        <v>-2111.8402608325455</v>
      </c>
      <c r="AU32" s="5">
        <f>IF($C32="Defense",$N32*150000,IF($C32="Midfield",$N32*125000,IF($C32="Striker",$N32*100000,0)))*$AL32</f>
        <v>31979.341796485969</v>
      </c>
      <c r="AV32" s="5">
        <f>$O32*50000*AL32</f>
        <v>13046.554386638541</v>
      </c>
      <c r="AW32" s="5">
        <f>$P32*AO32*10000</f>
        <v>8579.8496604133779</v>
      </c>
      <c r="AX32" s="5">
        <f>IF($C32="Goalkeeper",AN32*75000,IF($C32="Defense",AN32*50000,0))</f>
        <v>0</v>
      </c>
      <c r="AY32" s="5">
        <f>IF($C32="Goalkeeper",(AP32-AM32)*5000,0)</f>
        <v>0</v>
      </c>
      <c r="AZ32" s="5">
        <f>$AG32</f>
        <v>-370.21801727684078</v>
      </c>
      <c r="BA32" s="5">
        <f>$AH32</f>
        <v>0</v>
      </c>
      <c r="BB32" s="5">
        <f>IF(X32&gt;0,AL32*10000,0)</f>
        <v>19080.439968215524</v>
      </c>
      <c r="BC32" s="5">
        <f>IF(X32&gt;0,AM32*(-8000),0)</f>
        <v>-6225.4333171947083</v>
      </c>
      <c r="BD32" s="5">
        <f>IFERROR(SUM(AQ32:BC32),0)</f>
        <v>88219.808569507775</v>
      </c>
      <c r="BE32" s="16">
        <f>INDEX('Team forecast'!$B$2:$AO$26,MATCH('Master data'!$B32,'Team forecast'!$B$2:$B$26,0),MATCH('Master data'!BE$1,'Team forecast'!$B$2:$AO$2,0))</f>
        <v>2.3513752571634776</v>
      </c>
      <c r="BF32" s="16">
        <f>INDEX('Team forecast'!$B$2:$AO$26,MATCH('Master data'!$B32,'Team forecast'!$B$2:$B$26,0),MATCH('Master data'!BF$1,'Team forecast'!$B$2:$AO$2,0))</f>
        <v>0.56161379059809569</v>
      </c>
      <c r="BG32" s="16">
        <f>INDEX('Team forecast'!$B$2:$AO$26,MATCH('Master data'!$B32,'Team forecast'!$B$2:$B$26,0),MATCH('Master data'!BG$1,'Team forecast'!$B$2:$AO$2,0))</f>
        <v>0.57028799543769604</v>
      </c>
      <c r="BH32" s="16">
        <f>INDEX('Team forecast'!$B$2:$AO$26,MATCH('Master data'!$B32,'Team forecast'!$B$2:$B$26,0),MATCH('Master data'!BH$1,'Team forecast'!$B$2:$AO$2,0))</f>
        <v>6.4850714855102307</v>
      </c>
      <c r="BI32" s="16">
        <f>INDEX('Team forecast'!$B$2:$AO$26,MATCH('Master data'!$B32,'Team forecast'!$B$2:$B$26,0),MATCH('Master data'!BI$1,'Team forecast'!$B$2:$AO$2,0))</f>
        <v>1.8436816358018293</v>
      </c>
      <c r="BJ32" s="5">
        <f>AQ32</f>
        <v>7000</v>
      </c>
      <c r="BK32" s="5">
        <f>INDEX('Team forecast'!$R$3:$BH$26,MATCH($B32,'Team forecast'!$B$3:$B$26,0),MATCH(BK$1,'Team forecast'!$R$2:$BH$2,0))*IF($X32&gt;0,25000,0)</f>
        <v>19047.619047619046</v>
      </c>
      <c r="BL32" s="5">
        <f>INDEX('Team forecast'!$R$3:$BH$26,MATCH($B32,'Team forecast'!$B$3:$B$26,0),MATCH(BL$1,'Team forecast'!$R$2:$BH$2,0))*IF($X32&gt;0,5000,0)</f>
        <v>850.34013605442146</v>
      </c>
      <c r="BM32" s="5">
        <f>INDEX('Team forecast'!$R$3:$BH$26,MATCH($B32,'Team forecast'!$B$3:$B$26,0),MATCH(BM$1,'Team forecast'!$R$2:$BH$2,0))*IF($X32&gt;0,-15000,0)</f>
        <v>-1020.408163265306</v>
      </c>
      <c r="BN32" s="5">
        <f>IF($C32="Defense",$N32*150000,IF($C32="Midfield",$N32*125000,IF($C32="Striker",$N32*100000,0)))*$BE32</f>
        <v>39409.69556566442</v>
      </c>
      <c r="BO32" s="5">
        <f>$O32*50000*$BE32</f>
        <v>16077.902410574528</v>
      </c>
      <c r="BP32" s="5">
        <f>$P32*BH32*10000</f>
        <v>10573.365307763012</v>
      </c>
      <c r="BQ32" s="5">
        <f>IF($C32="Goalkeeper",BG32*75000,IF($C32="Defense",BG32*50000,0))</f>
        <v>0</v>
      </c>
      <c r="BR32" s="5">
        <f>IF($C32="Goalkeeper",(BI32-BF32)*5000,0)</f>
        <v>0</v>
      </c>
      <c r="BS32" s="5">
        <f>$AG32</f>
        <v>-370.21801727684078</v>
      </c>
      <c r="BT32" s="5">
        <f>$AH32</f>
        <v>0</v>
      </c>
      <c r="BU32" s="5">
        <f>IF(AQ32&gt;0,BE32*10000,0)</f>
        <v>23513.752571634777</v>
      </c>
      <c r="BV32" s="5">
        <f>IF(AQ32&gt;0,BF32*(-8000),0)</f>
        <v>-4492.9103247847652</v>
      </c>
      <c r="BW32" s="5">
        <f>IFERROR(SUM(BJ32:BV32),0)</f>
        <v>110589.13853398329</v>
      </c>
      <c r="BX32" s="5">
        <f>AVERAGE(AK32,BD32,BW32)</f>
        <v>94455.858800242495</v>
      </c>
      <c r="BY32" s="5">
        <f>BX32*3</f>
        <v>283367.5764007275</v>
      </c>
      <c r="BZ32" s="5">
        <f>INDEX('Team forecast'!$R$3:$BH$26,MATCH($B32,'Team forecast'!$B$3:$B$26,0),MATCH(BZ$1,'Team forecast'!$R$2:$BH$2,0))*($BX32-(BY32+CH32)*0.01)</f>
        <v>54741.165535982684</v>
      </c>
      <c r="CA32" s="5">
        <f>INDEX('Team forecast'!$R$3:$BH$26,MATCH($B32,'Team forecast'!$B$3:$B$26,0),MATCH(CA$1,'Team forecast'!$R$2:$BH$2,0))*($BX32-(BY32+BX32+CH32)*0.01)</f>
        <v>27277.083592994775</v>
      </c>
      <c r="CB32" s="5">
        <f>INDEX('Team forecast'!$R$3:$BH$26,MATCH($B32,'Team forecast'!$B$3:$B$26,0),MATCH(CB$1,'Team forecast'!$R$2:$BH$2,0))*($BX32-(BY32+BX32*2+CH32)*0.01)</f>
        <v>13743.10201683736</v>
      </c>
      <c r="CC32" s="5">
        <f>INDEX('Team forecast'!$R$3:$BH$26,MATCH($B32,'Team forecast'!$B$3:$B$26,0),MATCH(CC$1,'Team forecast'!$R$2:$BH$2,0))*($BX32-(BY32+BX32*3+CH32)*0.01)</f>
        <v>7178.6686896846531</v>
      </c>
      <c r="CD32" s="5">
        <f>+AK32+BD32*Cockpit!$C$3+BW32*Cockpit!$C$3^2+BZ32*Cockpit!$C$3^3+CA32*Cockpit!$C$3^4+CB32*Cockpit!$C$3^5+CC32*Cockpit!$C$3^6</f>
        <v>216570.25101563302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8.0962164685922142E-2</v>
      </c>
      <c r="CK32" s="5">
        <f>RANK(BY32,$BY$2:$BY$623)+COUNTIF($BY$2:$BY32,$BY32)-1</f>
        <v>9</v>
      </c>
      <c r="CL32" s="5">
        <f>RANK(CJ32,$CJ$2:$CJ$623)+COUNTIF($CJ$2:$CJ32,$CJ32)-1</f>
        <v>1</v>
      </c>
    </row>
    <row r="33" spans="1:90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1.2386203137003762</v>
      </c>
      <c r="I33" s="16">
        <f>INDEX('Team forecast'!$B$2:$AO$26,MATCH('Master data'!$B33,'Team forecast'!$B$2:$B$26,0),MATCH('Master data'!I$1,'Team forecast'!$B$2:$AO$2,0))</f>
        <v>1.2386203137003762</v>
      </c>
      <c r="J33" s="16">
        <f>INDEX('Team forecast'!$B$2:$AO$26,MATCH('Master data'!$B33,'Team forecast'!$B$2:$B$26,0),MATCH('Master data'!J$1,'Team forecast'!$B$2:$AO$2,0))</f>
        <v>0.28978375293296982</v>
      </c>
      <c r="K33" s="16">
        <f>INDEX('Team forecast'!$B$2:$AO$26,MATCH('Master data'!$B33,'Team forecast'!$B$2:$B$26,0),MATCH('Master data'!K$1,'Team forecast'!$B$2:$AO$2,0))</f>
        <v>3.2404985504377408</v>
      </c>
      <c r="L33" s="16">
        <f>INDEX('Team forecast'!$B$2:$AO$26,MATCH('Master data'!$B33,'Team forecast'!$B$2:$B$26,0),MATCH('Master data'!L$1,'Team forecast'!$B$2:$AO$2,0))</f>
        <v>3.7600973808761418</v>
      </c>
      <c r="M33">
        <f>IF(Players!BC34=1,95,0)</f>
        <v>95</v>
      </c>
      <c r="N33" s="2">
        <f>Players!BN34</f>
        <v>6.2548354704461517E-2</v>
      </c>
      <c r="O33" s="2">
        <f>Players!BO34</f>
        <v>9.4902482665519011E-2</v>
      </c>
      <c r="P33" s="2">
        <f>Players!BP34</f>
        <v>7.1807511741863658E-2</v>
      </c>
      <c r="Q33" s="2">
        <f>Players!BQ34</f>
        <v>0.19620253164556961</v>
      </c>
      <c r="R33" s="2">
        <f>Players!BR34</f>
        <v>0</v>
      </c>
      <c r="S33" s="2">
        <f>H33</f>
        <v>1.2386203137003762</v>
      </c>
      <c r="T33" s="2">
        <f>I33</f>
        <v>1.2386203137003762</v>
      </c>
      <c r="U33" s="16">
        <f>INDEX('Team forecast'!$B$2:$AO$26,MATCH('Master data'!$B33,'Team forecast'!$B$2:$B$26,0),MATCH('Master data'!U$1,'Team forecast'!$B$2:$AO$2,0))</f>
        <v>0.36933223413025562</v>
      </c>
      <c r="V33" s="16">
        <f>INDEX('Team forecast'!$B$2:$AO$26,MATCH('Master data'!$B33,'Team forecast'!$B$2:$B$26,0),MATCH('Master data'!V$1,'Team forecast'!$B$2:$AO$2,0))</f>
        <v>0.29431162407254741</v>
      </c>
      <c r="W33" s="16">
        <f>INDEX('Team forecast'!$B$2:$AO$26,MATCH('Master data'!$B33,'Team forecast'!$B$2:$B$26,0),MATCH('Master data'!W$1,'Team forecast'!$B$2:$AO$2,0))</f>
        <v>0.33635614179719708</v>
      </c>
      <c r="X33" s="5">
        <f>IF(M33&gt;95,7000*2,IF(M33&gt;0,7000,-5000))</f>
        <v>7000</v>
      </c>
      <c r="Y33" s="5">
        <f>IF($X33&gt;0,U33*25000,0)</f>
        <v>9233.30585325639</v>
      </c>
      <c r="Z33" s="5">
        <f>IF($X33&gt;0,V33*5000,0)</f>
        <v>1471.5581203627371</v>
      </c>
      <c r="AA33" s="5">
        <f>IF($X33&gt;0,W33*(-15000),0)</f>
        <v>-5045.3421269579567</v>
      </c>
      <c r="AB33" s="5">
        <f>IF($C33="Defense",$N33*150000,IF($C33="Midfield",$N33*125000,IF($C33="Striker",$N33*100000,0)))*$H33</f>
        <v>9684.2078406853161</v>
      </c>
      <c r="AC33" s="5">
        <f>$O33*50000*H33</f>
        <v>5877.4071425054835</v>
      </c>
      <c r="AD33" s="5">
        <f>$P33*K33*10000</f>
        <v>2326.9213771005025</v>
      </c>
      <c r="AE33" s="5">
        <f>IF($C33="Goalkeeper",J33*75000,IF($C33="Defense",J33*50000,0))</f>
        <v>0</v>
      </c>
      <c r="AF33" s="5">
        <f>IF($C33="Goalkeeper",(L33-I33)*5000,0)</f>
        <v>0</v>
      </c>
      <c r="AG33" s="5">
        <f>IF(M33&gt;0,Q33*(-20000),0)</f>
        <v>-3924.0506329113923</v>
      </c>
      <c r="AH33" s="5">
        <f>IF(M33&gt;0,R33*(-50000),0)</f>
        <v>0</v>
      </c>
      <c r="AI33" s="5">
        <f>IF(M33&gt;0,S33*10000,0)</f>
        <v>12386.203137003762</v>
      </c>
      <c r="AJ33" s="5">
        <f>IF(M33&gt;0,T33*(-8000),0)</f>
        <v>-9908.9625096030086</v>
      </c>
      <c r="AK33" s="5">
        <f>IFERROR(SUM(X33:AJ33),-5000)*((Cockpit!$C$3)^0)</f>
        <v>29101.248201441835</v>
      </c>
      <c r="AL33" s="16">
        <f>INDEX('Team forecast'!$B$2:$AO$26,MATCH('Master data'!$B33,'Team forecast'!$B$2:$B$26,0),MATCH('Master data'!AL$1,'Team forecast'!$B$2:$AO$2,0))</f>
        <v>2.140423422331811</v>
      </c>
      <c r="AM33" s="16">
        <f>INDEX('Team forecast'!$B$2:$AO$26,MATCH('Master data'!$B33,'Team forecast'!$B$2:$B$26,0),MATCH('Master data'!AM$1,'Team forecast'!$B$2:$AO$2,0))</f>
        <v>0.80291922538135296</v>
      </c>
      <c r="AN33" s="16">
        <f>INDEX('Team forecast'!$B$2:$AO$26,MATCH('Master data'!$B33,'Team forecast'!$B$2:$B$26,0),MATCH('Master data'!AN$1,'Team forecast'!$B$2:$AO$2,0))</f>
        <v>0.44801918430198229</v>
      </c>
      <c r="AO33" s="16">
        <f>INDEX('Team forecast'!$B$2:$AO$26,MATCH('Master data'!$B33,'Team forecast'!$B$2:$B$26,0),MATCH('Master data'!AO$1,'Team forecast'!$B$2:$AO$2,0))</f>
        <v>5.5998104670734943</v>
      </c>
      <c r="AP33" s="16">
        <f>INDEX('Team forecast'!$B$2:$AO$26,MATCH('Master data'!$B33,'Team forecast'!$B$2:$B$26,0),MATCH('Master data'!AP$1,'Team forecast'!$B$2:$AO$2,0))</f>
        <v>2.4374333627648213</v>
      </c>
      <c r="AQ33" s="5">
        <f>X33</f>
        <v>7000</v>
      </c>
      <c r="AR33" s="5">
        <f>INDEX('Team forecast'!$B$2:$AO$26,MATCH('Master data'!$B33,'Team forecast'!$B$2:$B$26,0),MATCH('Master data'!AR$1,'Team forecast'!$B$2:$AO$2,0))*IF(X33&gt;0,25000,0)</f>
        <v>16800.719411324339</v>
      </c>
      <c r="AS33" s="16">
        <f>INDEX('Team forecast'!$B$2:$AO$26,MATCH('Master data'!$B33,'Team forecast'!$B$2:$B$26,0),MATCH('Master data'!AS$1,'Team forecast'!$B$2:$AO$2,0))*IF(X33&gt;0,5000,0)</f>
        <v>1086.42065477386</v>
      </c>
      <c r="AT33" s="16">
        <f>INDEX('Team forecast'!$B$2:$AO$26,MATCH('Master data'!$B33,'Team forecast'!$B$2:$B$26,0),MATCH('Master data'!AT$1,'Team forecast'!$B$2:$AO$2,0))*IF(X33&gt;0,-15000,0)</f>
        <v>-1660.3063888838174</v>
      </c>
      <c r="AU33" s="5">
        <f>IF($C33="Defense",$N33*150000,IF($C33="Midfield",$N33*125000,IF($C33="Striker",$N33*100000,0)))*$AL33</f>
        <v>16734.995429718445</v>
      </c>
      <c r="AV33" s="5">
        <f>$O33*50000*AL33</f>
        <v>10156.574836735779</v>
      </c>
      <c r="AW33" s="5">
        <f>$P33*AO33*10000</f>
        <v>4021.0845586659093</v>
      </c>
      <c r="AX33" s="5">
        <f>IF($C33="Goalkeeper",AN33*75000,IF($C33="Defense",AN33*50000,0))</f>
        <v>0</v>
      </c>
      <c r="AY33" s="5">
        <f>IF($C33="Goalkeeper",(AP33-AM33)*5000,0)</f>
        <v>0</v>
      </c>
      <c r="AZ33" s="5">
        <f>$AG33</f>
        <v>-3924.0506329113923</v>
      </c>
      <c r="BA33" s="5">
        <f>$AH33</f>
        <v>0</v>
      </c>
      <c r="BB33" s="5">
        <f>IF(X33&gt;0,AL33*10000,0)</f>
        <v>21404.234223318112</v>
      </c>
      <c r="BC33" s="5">
        <f>IF(X33&gt;0,AM33*(-8000),0)</f>
        <v>-6423.3538030508234</v>
      </c>
      <c r="BD33" s="5">
        <f>IFERROR(SUM(AQ33:BC33),0)</f>
        <v>65196.318289690418</v>
      </c>
      <c r="BE33" s="16">
        <f>INDEX('Team forecast'!$B$2:$AO$26,MATCH('Master data'!$B33,'Team forecast'!$B$2:$B$26,0),MATCH('Master data'!BE$1,'Team forecast'!$B$2:$AO$2,0))</f>
        <v>1.2965069481471114</v>
      </c>
      <c r="BF33" s="16">
        <f>INDEX('Team forecast'!$B$2:$AO$26,MATCH('Master data'!$B33,'Team forecast'!$B$2:$B$26,0),MATCH('Master data'!BF$1,'Team forecast'!$B$2:$AO$2,0))</f>
        <v>1.0107278258414167</v>
      </c>
      <c r="BG33" s="16">
        <f>INDEX('Team forecast'!$B$2:$AO$26,MATCH('Master data'!$B33,'Team forecast'!$B$2:$B$26,0),MATCH('Master data'!BG$1,'Team forecast'!$B$2:$AO$2,0))</f>
        <v>0.36395398803179979</v>
      </c>
      <c r="BH33" s="16">
        <f>INDEX('Team forecast'!$B$2:$AO$26,MATCH('Master data'!$B33,'Team forecast'!$B$2:$B$26,0),MATCH('Master data'!BH$1,'Team forecast'!$B$2:$AO$2,0))</f>
        <v>3.3919425021794698</v>
      </c>
      <c r="BI33" s="16">
        <f>INDEX('Team forecast'!$B$2:$AO$26,MATCH('Master data'!$B33,'Team forecast'!$B$2:$B$26,0),MATCH('Master data'!BI$1,'Team forecast'!$B$2:$AO$2,0))</f>
        <v>3.0682808998757292</v>
      </c>
      <c r="BJ33" s="5">
        <f>AQ33</f>
        <v>7000</v>
      </c>
      <c r="BK33" s="5">
        <f>INDEX('Team forecast'!$R$3:$BH$26,MATCH($B33,'Team forecast'!$B$3:$B$26,0),MATCH(BK$1,'Team forecast'!$R$2:$BH$2,0))*IF($X33&gt;0,25000,0)</f>
        <v>10270.375413343707</v>
      </c>
      <c r="BL33" s="5">
        <f>INDEX('Team forecast'!$R$3:$BH$26,MATCH($B33,'Team forecast'!$B$3:$B$26,0),MATCH(BL$1,'Team forecast'!$R$2:$BH$2,0))*IF($X33&gt;0,5000,0)</f>
        <v>1495.6234195681775</v>
      </c>
      <c r="BM33" s="5">
        <f>INDEX('Team forecast'!$R$3:$BH$26,MATCH($B33,'Team forecast'!$B$3:$B$26,0),MATCH(BM$1,'Team forecast'!$R$2:$BH$2,0))*IF($X33&gt;0,-15000,0)</f>
        <v>-4350.9044932892448</v>
      </c>
      <c r="BN33" s="5">
        <f>IF($C33="Defense",$N33*150000,IF($C33="Midfield",$N33*125000,IF($C33="Striker",$N33*100000,0)))*$BE33</f>
        <v>10136.797058688053</v>
      </c>
      <c r="BO33" s="5">
        <f>$O33*50000*$BE33</f>
        <v>6152.0864086128104</v>
      </c>
      <c r="BP33" s="5">
        <f>$P33*BH33*10000</f>
        <v>2435.6695105297867</v>
      </c>
      <c r="BQ33" s="5">
        <f>IF($C33="Goalkeeper",BG33*75000,IF($C33="Defense",BG33*50000,0))</f>
        <v>0</v>
      </c>
      <c r="BR33" s="5">
        <f>IF($C33="Goalkeeper",(BI33-BF33)*5000,0)</f>
        <v>0</v>
      </c>
      <c r="BS33" s="5">
        <f>$AG33</f>
        <v>-3924.0506329113923</v>
      </c>
      <c r="BT33" s="5">
        <f>$AH33</f>
        <v>0</v>
      </c>
      <c r="BU33" s="5">
        <f>IF(AQ33&gt;0,BE33*10000,0)</f>
        <v>12965.069481471115</v>
      </c>
      <c r="BV33" s="5">
        <f>IF(AQ33&gt;0,BF33*(-8000),0)</f>
        <v>-8085.8226067313335</v>
      </c>
      <c r="BW33" s="5">
        <f>IFERROR(SUM(BJ33:BV33),0)</f>
        <v>34094.843559281682</v>
      </c>
      <c r="BX33" s="5">
        <f>AVERAGE(AK33,BD33,BW33)</f>
        <v>42797.470016804647</v>
      </c>
      <c r="BY33" s="5">
        <f>BX33*3</f>
        <v>128392.41005041395</v>
      </c>
      <c r="BZ33" s="5">
        <f>INDEX('Team forecast'!$R$3:$BH$26,MATCH($B33,'Team forecast'!$B$3:$B$26,0),MATCH(BZ$1,'Team forecast'!$R$2:$BH$2,0))*($BX33-(BY33+CH33)*0.01)</f>
        <v>-7491.0924220147635</v>
      </c>
      <c r="CA33" s="5">
        <f>INDEX('Team forecast'!$R$3:$BH$26,MATCH($B33,'Team forecast'!$B$3:$B$26,0),MATCH(CA$1,'Team forecast'!$R$2:$BH$2,0))*($BX33-(BY33+BX33+CH33)*0.01)</f>
        <v>-4089.7462545563417</v>
      </c>
      <c r="CB33" s="5">
        <f>INDEX('Team forecast'!$R$3:$BH$26,MATCH($B33,'Team forecast'!$B$3:$B$26,0),MATCH(CB$1,'Team forecast'!$R$2:$BH$2,0))*($BX33-(BY33+BX33*2+CH33)*0.01)</f>
        <v>-2296.2385871853985</v>
      </c>
      <c r="CC33" s="5">
        <f>INDEX('Team forecast'!$R$3:$BH$26,MATCH($B33,'Team forecast'!$B$3:$B$26,0),MATCH(CC$1,'Team forecast'!$R$2:$BH$2,0))*($BX33-(BY33+BX33*3+CH33)*0.01)</f>
        <v>-1407.3017088225206</v>
      </c>
      <c r="CD33" s="5">
        <f>+AK33+BD33*Cockpit!$C$3+BW33*Cockpit!$C$3^2+BZ33*Cockpit!$C$3^3+CA33*Cockpit!$C$3^4+CB33*Cockpit!$C$3^5+CC33*Cockpit!$C$3^6</f>
        <v>84265.355697259482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2.5678482010082791E-2</v>
      </c>
      <c r="CK33" s="5">
        <f>RANK(BY33,$BY$2:$BY$623)+COUNTIF($BY$2:$BY33,$BY33)-1</f>
        <v>120</v>
      </c>
      <c r="CL33" s="5">
        <f>RANK(CJ33,$CJ$2:$CJ$623)+COUNTIF($CJ$2:$CJ33,$CJ33)-1</f>
        <v>197</v>
      </c>
    </row>
    <row r="34" spans="1:90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1.2386203137003762</v>
      </c>
      <c r="I34" s="16">
        <f>INDEX('Team forecast'!$B$2:$AO$26,MATCH('Master data'!$B34,'Team forecast'!$B$2:$B$26,0),MATCH('Master data'!I$1,'Team forecast'!$B$2:$AO$2,0))</f>
        <v>1.2386203137003762</v>
      </c>
      <c r="J34" s="16">
        <f>INDEX('Team forecast'!$B$2:$AO$26,MATCH('Master data'!$B34,'Team forecast'!$B$2:$B$26,0),MATCH('Master data'!J$1,'Team forecast'!$B$2:$AO$2,0))</f>
        <v>0.28978375293296982</v>
      </c>
      <c r="K34" s="16">
        <f>INDEX('Team forecast'!$B$2:$AO$26,MATCH('Master data'!$B34,'Team forecast'!$B$2:$B$26,0),MATCH('Master data'!K$1,'Team forecast'!$B$2:$AO$2,0))</f>
        <v>3.2404985504377408</v>
      </c>
      <c r="L34" s="16">
        <f>INDEX('Team forecast'!$B$2:$AO$26,MATCH('Master data'!$B34,'Team forecast'!$B$2:$B$26,0),MATCH('Master data'!L$1,'Team forecast'!$B$2:$AO$2,0))</f>
        <v>3.7600973808761418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>H34</f>
        <v>1.2386203137003762</v>
      </c>
      <c r="T34" s="2">
        <f>I34</f>
        <v>1.2386203137003762</v>
      </c>
      <c r="U34" s="16">
        <f>INDEX('Team forecast'!$B$2:$AO$26,MATCH('Master data'!$B34,'Team forecast'!$B$2:$B$26,0),MATCH('Master data'!U$1,'Team forecast'!$B$2:$AO$2,0))</f>
        <v>0.36933223413025562</v>
      </c>
      <c r="V34" s="16">
        <f>INDEX('Team forecast'!$B$2:$AO$26,MATCH('Master data'!$B34,'Team forecast'!$B$2:$B$26,0),MATCH('Master data'!V$1,'Team forecast'!$B$2:$AO$2,0))</f>
        <v>0.29431162407254741</v>
      </c>
      <c r="W34" s="16">
        <f>INDEX('Team forecast'!$B$2:$AO$26,MATCH('Master data'!$B34,'Team forecast'!$B$2:$B$26,0),MATCH('Master data'!W$1,'Team forecast'!$B$2:$AO$2,0))</f>
        <v>0.33635614179719708</v>
      </c>
      <c r="X34" s="5">
        <f>IF(M34&gt;95,7000*2,IF(M34&gt;0,7000,-5000))</f>
        <v>-5000</v>
      </c>
      <c r="Y34" s="5">
        <f>IF($X34&gt;0,U34*25000,0)</f>
        <v>0</v>
      </c>
      <c r="Z34" s="5">
        <f>IF($X34&gt;0,V34*5000,0)</f>
        <v>0</v>
      </c>
      <c r="AA34" s="5">
        <f>IF($X34&gt;0,W34*(-15000),0)</f>
        <v>0</v>
      </c>
      <c r="AB34" s="5">
        <f>IF($C34="Defense",$N34*150000,IF($C34="Midfield",$N34*125000,IF($C34="Striker",$N34*100000,0)))*$H34</f>
        <v>0</v>
      </c>
      <c r="AC34" s="5">
        <f>$O34*50000*H34</f>
        <v>0</v>
      </c>
      <c r="AD34" s="5">
        <f>$P34*K34*10000</f>
        <v>0</v>
      </c>
      <c r="AE34" s="5">
        <f>IF($C34="Goalkeeper",J34*75000,IF($C34="Defense",J34*50000,0))</f>
        <v>0</v>
      </c>
      <c r="AF34" s="5">
        <f>IF($C34="Goalkeeper",(L34-I34)*5000,0)</f>
        <v>0</v>
      </c>
      <c r="AG34" s="5">
        <f>IF(M34&gt;0,Q34*(-20000),0)</f>
        <v>0</v>
      </c>
      <c r="AH34" s="5">
        <f>IF(M34&gt;0,R34*(-50000),0)</f>
        <v>0</v>
      </c>
      <c r="AI34" s="5">
        <f>IF(M34&gt;0,S34*10000,0)</f>
        <v>0</v>
      </c>
      <c r="AJ34" s="5">
        <f>IF(M34&gt;0,T34*(-8000),0)</f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2.140423422331811</v>
      </c>
      <c r="AM34" s="16">
        <f>INDEX('Team forecast'!$B$2:$AO$26,MATCH('Master data'!$B34,'Team forecast'!$B$2:$B$26,0),MATCH('Master data'!AM$1,'Team forecast'!$B$2:$AO$2,0))</f>
        <v>0.80291922538135296</v>
      </c>
      <c r="AN34" s="16">
        <f>INDEX('Team forecast'!$B$2:$AO$26,MATCH('Master data'!$B34,'Team forecast'!$B$2:$B$26,0),MATCH('Master data'!AN$1,'Team forecast'!$B$2:$AO$2,0))</f>
        <v>0.44801918430198229</v>
      </c>
      <c r="AO34" s="16">
        <f>INDEX('Team forecast'!$B$2:$AO$26,MATCH('Master data'!$B34,'Team forecast'!$B$2:$B$26,0),MATCH('Master data'!AO$1,'Team forecast'!$B$2:$AO$2,0))</f>
        <v>5.5998104670734943</v>
      </c>
      <c r="AP34" s="16">
        <f>INDEX('Team forecast'!$B$2:$AO$26,MATCH('Master data'!$B34,'Team forecast'!$B$2:$B$26,0),MATCH('Master data'!AP$1,'Team forecast'!$B$2:$AO$2,0))</f>
        <v>2.4374333627648213</v>
      </c>
      <c r="AQ34" s="5">
        <f>X34</f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>IF($C34="Defense",$N34*150000,IF($C34="Midfield",$N34*125000,IF($C34="Striker",$N34*100000,0)))*$AL34</f>
        <v>0</v>
      </c>
      <c r="AV34" s="5">
        <f>$O34*50000*AL34</f>
        <v>0</v>
      </c>
      <c r="AW34" s="5">
        <f>$P34*AO34*10000</f>
        <v>0</v>
      </c>
      <c r="AX34" s="5">
        <f>IF($C34="Goalkeeper",AN34*75000,IF($C34="Defense",AN34*50000,0))</f>
        <v>0</v>
      </c>
      <c r="AY34" s="5">
        <f>IF($C34="Goalkeeper",(AP34-AM34)*5000,0)</f>
        <v>0</v>
      </c>
      <c r="AZ34" s="5">
        <f>$AG34</f>
        <v>0</v>
      </c>
      <c r="BA34" s="5">
        <f>$AH34</f>
        <v>0</v>
      </c>
      <c r="BB34" s="5">
        <f>IF(X34&gt;0,AL34*10000,0)</f>
        <v>0</v>
      </c>
      <c r="BC34" s="5">
        <f>IF(X34&gt;0,AM34*(-8000),0)</f>
        <v>0</v>
      </c>
      <c r="BD34" s="5">
        <f>IFERROR(SUM(AQ34:BC34),0)</f>
        <v>-5000</v>
      </c>
      <c r="BE34" s="16">
        <f>INDEX('Team forecast'!$B$2:$AO$26,MATCH('Master data'!$B34,'Team forecast'!$B$2:$B$26,0),MATCH('Master data'!BE$1,'Team forecast'!$B$2:$AO$2,0))</f>
        <v>1.2965069481471114</v>
      </c>
      <c r="BF34" s="16">
        <f>INDEX('Team forecast'!$B$2:$AO$26,MATCH('Master data'!$B34,'Team forecast'!$B$2:$B$26,0),MATCH('Master data'!BF$1,'Team forecast'!$B$2:$AO$2,0))</f>
        <v>1.0107278258414167</v>
      </c>
      <c r="BG34" s="16">
        <f>INDEX('Team forecast'!$B$2:$AO$26,MATCH('Master data'!$B34,'Team forecast'!$B$2:$B$26,0),MATCH('Master data'!BG$1,'Team forecast'!$B$2:$AO$2,0))</f>
        <v>0.36395398803179979</v>
      </c>
      <c r="BH34" s="16">
        <f>INDEX('Team forecast'!$B$2:$AO$26,MATCH('Master data'!$B34,'Team forecast'!$B$2:$B$26,0),MATCH('Master data'!BH$1,'Team forecast'!$B$2:$AO$2,0))</f>
        <v>3.3919425021794698</v>
      </c>
      <c r="BI34" s="16">
        <f>INDEX('Team forecast'!$B$2:$AO$26,MATCH('Master data'!$B34,'Team forecast'!$B$2:$B$26,0),MATCH('Master data'!BI$1,'Team forecast'!$B$2:$AO$2,0))</f>
        <v>3.0682808998757292</v>
      </c>
      <c r="BJ34" s="5">
        <f>AQ34</f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>IF($C34="Defense",$N34*150000,IF($C34="Midfield",$N34*125000,IF($C34="Striker",$N34*100000,0)))*$BE34</f>
        <v>0</v>
      </c>
      <c r="BO34" s="5">
        <f>$O34*50000*$BE34</f>
        <v>0</v>
      </c>
      <c r="BP34" s="5">
        <f>$P34*BH34*10000</f>
        <v>0</v>
      </c>
      <c r="BQ34" s="5">
        <f>IF($C34="Goalkeeper",BG34*75000,IF($C34="Defense",BG34*50000,0))</f>
        <v>0</v>
      </c>
      <c r="BR34" s="5">
        <f>IF($C34="Goalkeeper",(BI34-BF34)*5000,0)</f>
        <v>0</v>
      </c>
      <c r="BS34" s="5">
        <f>$AG34</f>
        <v>0</v>
      </c>
      <c r="BT34" s="5">
        <f>$AH34</f>
        <v>0</v>
      </c>
      <c r="BU34" s="5">
        <f>IF(AQ34&gt;0,BE34*10000,0)</f>
        <v>0</v>
      </c>
      <c r="BV34" s="5">
        <f>IF(AQ34&gt;0,BF34*(-8000),0)</f>
        <v>0</v>
      </c>
      <c r="BW34" s="5">
        <f>IFERROR(SUM(BJ34:BV34),0)</f>
        <v>-5000</v>
      </c>
      <c r="BX34" s="5">
        <f>AVERAGE(AK34,BD34,BW34)</f>
        <v>-5000</v>
      </c>
      <c r="BY34" s="5">
        <f>BX34*3</f>
        <v>-15000</v>
      </c>
      <c r="BZ34" s="5">
        <f>INDEX('Team forecast'!$R$3:$BH$26,MATCH($B34,'Team forecast'!$B$3:$B$26,0),MATCH(BZ$1,'Team forecast'!$R$2:$BH$2,0))*($BX34-(BY34+CH34)*0.01)</f>
        <v>-39589.620330674152</v>
      </c>
      <c r="CA34" s="5">
        <f>INDEX('Team forecast'!$R$3:$BH$26,MATCH($B34,'Team forecast'!$B$3:$B$26,0),MATCH(CA$1,'Team forecast'!$R$2:$BH$2,0))*($BX34-(BY34+BX34+CH34)*0.01)</f>
        <v>-20553.2666922752</v>
      </c>
      <c r="CB34" s="5">
        <f>INDEX('Team forecast'!$R$3:$BH$26,MATCH($B34,'Team forecast'!$B$3:$B$26,0),MATCH(CB$1,'Team forecast'!$R$2:$BH$2,0))*($BX34-(BY34+BX34*2+CH34)*0.01)</f>
        <v>-10998.955135275246</v>
      </c>
      <c r="CC34" s="5">
        <f>INDEX('Team forecast'!$R$3:$BH$26,MATCH($B34,'Team forecast'!$B$3:$B$26,0),MATCH(CC$1,'Team forecast'!$R$2:$BH$2,0))*($BX34-(BY34+BX34*3+CH34)*0.01)</f>
        <v>-6438.4801896482641</v>
      </c>
      <c r="CD34" s="5">
        <f>+AK34+BD34*Cockpit!$C$3+BW34*Cockpit!$C$3^2+BZ34*Cockpit!$C$3^3+CA34*Cockpit!$C$3^4+CB34*Cockpit!$C$3^5+CC34*Cockpit!$C$3^6</f>
        <v>-28359.383841203235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-3.7499999999999999E-3</v>
      </c>
      <c r="CK34" s="5">
        <f>RANK(BY34,$BY$2:$BY$623)+COUNTIF($BY$2:$BY34,$BY34)-1</f>
        <v>425</v>
      </c>
      <c r="CL34" s="5">
        <f>RANK(CJ34,$CJ$2:$CJ$623)+COUNTIF($CJ$2:$CJ34,$CJ34)-1</f>
        <v>437</v>
      </c>
    </row>
    <row r="35" spans="1:90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0.74990395996081205</v>
      </c>
      <c r="I35" s="16">
        <f>INDEX('Team forecast'!$B$2:$AO$26,MATCH('Master data'!$B35,'Team forecast'!$B$2:$B$26,0),MATCH('Master data'!I$1,'Team forecast'!$B$2:$AO$2,0))</f>
        <v>1.5223243214152651</v>
      </c>
      <c r="J35" s="16">
        <f>INDEX('Team forecast'!$B$2:$AO$26,MATCH('Master data'!$B35,'Team forecast'!$B$2:$B$26,0),MATCH('Master data'!J$1,'Team forecast'!$B$2:$AO$2,0))</f>
        <v>0.21820412056434271</v>
      </c>
      <c r="K35" s="16">
        <f>INDEX('Team forecast'!$B$2:$AO$26,MATCH('Master data'!$B35,'Team forecast'!$B$2:$B$26,0),MATCH('Master data'!K$1,'Team forecast'!$B$2:$AO$2,0))</f>
        <v>2.1270003227979397</v>
      </c>
      <c r="L35" s="16">
        <f>INDEX('Team forecast'!$B$2:$AO$26,MATCH('Master data'!$B35,'Team forecast'!$B$2:$B$26,0),MATCH('Master data'!L$1,'Team forecast'!$B$2:$AO$2,0))</f>
        <v>4.9475540445996113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>H35</f>
        <v>0.74990395996081205</v>
      </c>
      <c r="T35" s="2">
        <f>I35</f>
        <v>1.5223243214152651</v>
      </c>
      <c r="U35" s="16">
        <f>INDEX('Team forecast'!$B$2:$AO$26,MATCH('Master data'!$B35,'Team forecast'!$B$2:$B$26,0),MATCH('Master data'!U$1,'Team forecast'!$B$2:$AO$2,0))</f>
        <v>0.17178615309883699</v>
      </c>
      <c r="V35" s="16">
        <f>INDEX('Team forecast'!$B$2:$AO$26,MATCH('Master data'!$B35,'Team forecast'!$B$2:$B$26,0),MATCH('Master data'!V$1,'Team forecast'!$B$2:$AO$2,0))</f>
        <v>0.26245106723433442</v>
      </c>
      <c r="W35" s="16">
        <f>INDEX('Team forecast'!$B$2:$AO$26,MATCH('Master data'!$B35,'Team forecast'!$B$2:$B$26,0),MATCH('Master data'!W$1,'Team forecast'!$B$2:$AO$2,0))</f>
        <v>0.56576277966682864</v>
      </c>
      <c r="X35" s="5">
        <f>IF(M35&gt;95,7000*2,IF(M35&gt;0,7000,-5000))</f>
        <v>-5000</v>
      </c>
      <c r="Y35" s="5">
        <f>IF($X35&gt;0,U35*25000,0)</f>
        <v>0</v>
      </c>
      <c r="Z35" s="5">
        <f>IF($X35&gt;0,V35*5000,0)</f>
        <v>0</v>
      </c>
      <c r="AA35" s="5">
        <f>IF($X35&gt;0,W35*(-15000),0)</f>
        <v>0</v>
      </c>
      <c r="AB35" s="5">
        <f>IF($C35="Defense",$N35*150000,IF($C35="Midfield",$N35*125000,IF($C35="Striker",$N35*100000,0)))*$H35</f>
        <v>0</v>
      </c>
      <c r="AC35" s="5">
        <f>$O35*50000*H35</f>
        <v>0</v>
      </c>
      <c r="AD35" s="5">
        <f>$P35*K35*10000</f>
        <v>0</v>
      </c>
      <c r="AE35" s="5">
        <f>IF($C35="Goalkeeper",J35*75000,IF($C35="Defense",J35*50000,0))</f>
        <v>0</v>
      </c>
      <c r="AF35" s="5">
        <f>IF($C35="Goalkeeper",(L35-I35)*5000,0)</f>
        <v>0</v>
      </c>
      <c r="AG35" s="5">
        <f>IF(M35&gt;0,Q35*(-20000),0)</f>
        <v>0</v>
      </c>
      <c r="AH35" s="5">
        <f>IF(M35&gt;0,R35*(-50000),0)</f>
        <v>0</v>
      </c>
      <c r="AI35" s="5">
        <f>IF(M35&gt;0,S35*10000,0)</f>
        <v>0</v>
      </c>
      <c r="AJ35" s="5">
        <f>IF(M35&gt;0,T35*(-8000),0)</f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1.3846696653928885</v>
      </c>
      <c r="AM35" s="16">
        <f>INDEX('Team forecast'!$B$2:$AO$26,MATCH('Master data'!$B35,'Team forecast'!$B$2:$B$26,0),MATCH('Master data'!AM$1,'Team forecast'!$B$2:$AO$2,0))</f>
        <v>0.97920455728472433</v>
      </c>
      <c r="AN35" s="16">
        <f>INDEX('Team forecast'!$B$2:$AO$26,MATCH('Master data'!$B35,'Team forecast'!$B$2:$B$26,0),MATCH('Master data'!AN$1,'Team forecast'!$B$2:$AO$2,0))</f>
        <v>0.37560975609756098</v>
      </c>
      <c r="AO35" s="16">
        <f>INDEX('Team forecast'!$B$2:$AO$26,MATCH('Master data'!$B35,'Team forecast'!$B$2:$B$26,0),MATCH('Master data'!AO$1,'Team forecast'!$B$2:$AO$2,0))</f>
        <v>3.9274266872961929</v>
      </c>
      <c r="AP35" s="16">
        <f>INDEX('Team forecast'!$B$2:$AO$26,MATCH('Master data'!$B35,'Team forecast'!$B$2:$B$26,0),MATCH('Master data'!AP$1,'Team forecast'!$B$2:$AO$2,0))</f>
        <v>3.1824148111753541</v>
      </c>
      <c r="AQ35" s="5">
        <f>X35</f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>IF($C35="Defense",$N35*150000,IF($C35="Midfield",$N35*125000,IF($C35="Striker",$N35*100000,0)))*$AL35</f>
        <v>0</v>
      </c>
      <c r="AV35" s="5">
        <f>$O35*50000*AL35</f>
        <v>0</v>
      </c>
      <c r="AW35" s="5">
        <f>$P35*AO35*10000</f>
        <v>0</v>
      </c>
      <c r="AX35" s="5">
        <f>IF($C35="Goalkeeper",AN35*75000,IF($C35="Defense",AN35*50000,0))</f>
        <v>0</v>
      </c>
      <c r="AY35" s="5">
        <f>IF($C35="Goalkeeper",(AP35-AM35)*5000,0)</f>
        <v>0</v>
      </c>
      <c r="AZ35" s="5">
        <f>$AG35</f>
        <v>0</v>
      </c>
      <c r="BA35" s="5">
        <f>$AH35</f>
        <v>0</v>
      </c>
      <c r="BB35" s="5">
        <f>IF(X35&gt;0,AL35*10000,0)</f>
        <v>0</v>
      </c>
      <c r="BC35" s="5">
        <f>IF(X35&gt;0,AM35*(-8000),0)</f>
        <v>0</v>
      </c>
      <c r="BD35" s="5">
        <f>IFERROR(SUM(AQ35:BC35),0)</f>
        <v>-5000</v>
      </c>
      <c r="BE35" s="16">
        <f>INDEX('Team forecast'!$B$2:$AO$26,MATCH('Master data'!$B35,'Team forecast'!$B$2:$B$26,0),MATCH('Master data'!BE$1,'Team forecast'!$B$2:$AO$2,0))</f>
        <v>1.5039270856478595</v>
      </c>
      <c r="BF35" s="16">
        <f>INDEX('Team forecast'!$B$2:$AO$26,MATCH('Master data'!$B35,'Team forecast'!$B$2:$B$26,0),MATCH('Master data'!BF$1,'Team forecast'!$B$2:$AO$2,0))</f>
        <v>0.82681690399773144</v>
      </c>
      <c r="BG35" s="16">
        <f>INDEX('Team forecast'!$B$2:$AO$26,MATCH('Master data'!$B35,'Team forecast'!$B$2:$B$26,0),MATCH('Master data'!BG$1,'Team forecast'!$B$2:$AO$2,0))</f>
        <v>0.43743948445487602</v>
      </c>
      <c r="BH35" s="16">
        <f>INDEX('Team forecast'!$B$2:$AO$26,MATCH('Master data'!$B35,'Team forecast'!$B$2:$B$26,0),MATCH('Master data'!BH$1,'Team forecast'!$B$2:$AO$2,0))</f>
        <v>4.2656840974739287</v>
      </c>
      <c r="BI35" s="16">
        <f>INDEX('Team forecast'!$B$2:$AO$26,MATCH('Master data'!$B35,'Team forecast'!$B$2:$B$26,0),MATCH('Master data'!BI$1,'Team forecast'!$B$2:$AO$2,0))</f>
        <v>2.6871549379926272</v>
      </c>
      <c r="BJ35" s="5">
        <f>AQ35</f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>IF($C35="Defense",$N35*150000,IF($C35="Midfield",$N35*125000,IF($C35="Striker",$N35*100000,0)))*$BE35</f>
        <v>0</v>
      </c>
      <c r="BO35" s="5">
        <f>$O35*50000*$BE35</f>
        <v>0</v>
      </c>
      <c r="BP35" s="5">
        <f>$P35*BH35*10000</f>
        <v>0</v>
      </c>
      <c r="BQ35" s="5">
        <f>IF($C35="Goalkeeper",BG35*75000,IF($C35="Defense",BG35*50000,0))</f>
        <v>0</v>
      </c>
      <c r="BR35" s="5">
        <f>IF($C35="Goalkeeper",(BI35-BF35)*5000,0)</f>
        <v>0</v>
      </c>
      <c r="BS35" s="5">
        <f>$AG35</f>
        <v>0</v>
      </c>
      <c r="BT35" s="5">
        <f>$AH35</f>
        <v>0</v>
      </c>
      <c r="BU35" s="5">
        <f>IF(AQ35&gt;0,BE35*10000,0)</f>
        <v>0</v>
      </c>
      <c r="BV35" s="5">
        <f>IF(AQ35&gt;0,BF35*(-8000),0)</f>
        <v>0</v>
      </c>
      <c r="BW35" s="5">
        <f>IFERROR(SUM(BJ35:BV35),0)</f>
        <v>-5000</v>
      </c>
      <c r="BX35" s="5">
        <f>AVERAGE(AK35,BD35,BW35)</f>
        <v>-5000</v>
      </c>
      <c r="BY35" s="5">
        <f>BX35*3</f>
        <v>-15000</v>
      </c>
      <c r="BZ35" s="5">
        <f>INDEX('Team forecast'!$R$3:$BH$26,MATCH($B35,'Team forecast'!$B$3:$B$26,0),MATCH(BZ$1,'Team forecast'!$R$2:$BH$2,0))*($BX35-(BY35+CH35)*0.01)</f>
        <v>-29744.463992785913</v>
      </c>
      <c r="CA35" s="5">
        <f>INDEX('Team forecast'!$R$3:$BH$26,MATCH($B35,'Team forecast'!$B$3:$B$26,0),MATCH(CA$1,'Team forecast'!$R$2:$BH$2,0))*($BX35-(BY35+BX35+CH35)*0.01)</f>
        <v>-14680.873371324324</v>
      </c>
      <c r="CB35" s="5">
        <f>INDEX('Team forecast'!$R$3:$BH$26,MATCH($B35,'Team forecast'!$B$3:$B$26,0),MATCH(CB$1,'Team forecast'!$R$2:$BH$2,0))*($BX35-(BY35+BX35*2+CH35)*0.01)</f>
        <v>-7168.8795949809119</v>
      </c>
      <c r="CC35" s="5">
        <f>INDEX('Team forecast'!$R$3:$BH$26,MATCH($B35,'Team forecast'!$B$3:$B$26,0),MATCH(CC$1,'Team forecast'!$R$2:$BH$2,0))*($BX35-(BY35+BX35*3+CH35)*0.01)</f>
        <v>-3370.8670994813033</v>
      </c>
      <c r="CD35" s="5">
        <f>+AK35+BD35*Cockpit!$C$3+BW35*Cockpit!$C$3^2+BZ35*Cockpit!$C$3^3+CA35*Cockpit!$C$3^4+CB35*Cockpit!$C$3^5+CC35*Cockpit!$C$3^6</f>
        <v>-23508.639126745446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-4.2857142857142859E-3</v>
      </c>
      <c r="CK35" s="5">
        <f>RANK(BY35,$BY$2:$BY$623)+COUNTIF($BY$2:$BY35,$BY35)-1</f>
        <v>426</v>
      </c>
      <c r="CL35" s="5">
        <f>RANK(CJ35,$CJ$2:$CJ$623)+COUNTIF($CJ$2:$CJ35,$CJ35)-1</f>
        <v>454</v>
      </c>
    </row>
    <row r="36" spans="1:90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0.74990395996081205</v>
      </c>
      <c r="I36" s="16">
        <f>INDEX('Team forecast'!$B$2:$AO$26,MATCH('Master data'!$B36,'Team forecast'!$B$2:$B$26,0),MATCH('Master data'!I$1,'Team forecast'!$B$2:$AO$2,0))</f>
        <v>1.5223243214152651</v>
      </c>
      <c r="J36" s="16">
        <f>INDEX('Team forecast'!$B$2:$AO$26,MATCH('Master data'!$B36,'Team forecast'!$B$2:$B$26,0),MATCH('Master data'!J$1,'Team forecast'!$B$2:$AO$2,0))</f>
        <v>0.21820412056434271</v>
      </c>
      <c r="K36" s="16">
        <f>INDEX('Team forecast'!$B$2:$AO$26,MATCH('Master data'!$B36,'Team forecast'!$B$2:$B$26,0),MATCH('Master data'!K$1,'Team forecast'!$B$2:$AO$2,0))</f>
        <v>2.1270003227979397</v>
      </c>
      <c r="L36" s="16">
        <f>INDEX('Team forecast'!$B$2:$AO$26,MATCH('Master data'!$B36,'Team forecast'!$B$2:$B$26,0),MATCH('Master data'!L$1,'Team forecast'!$B$2:$AO$2,0))</f>
        <v>4.9475540445996113</v>
      </c>
      <c r="M36">
        <f>IF(Players!BC37=1,95,0)</f>
        <v>95</v>
      </c>
      <c r="N36" s="2">
        <f>Players!BN37</f>
        <v>0.15657202624234942</v>
      </c>
      <c r="O36" s="2">
        <f>Players!BO37</f>
        <v>0.11045727771170072</v>
      </c>
      <c r="P36" s="2">
        <f>Players!BP37</f>
        <v>0.10505605345347481</v>
      </c>
      <c r="Q36" s="2">
        <f>Players!BQ37</f>
        <v>7.5000000000000011E-2</v>
      </c>
      <c r="R36" s="2">
        <f>Players!BR37</f>
        <v>0</v>
      </c>
      <c r="S36" s="2">
        <f>H36</f>
        <v>0.74990395996081205</v>
      </c>
      <c r="T36" s="2">
        <f>I36</f>
        <v>1.5223243214152651</v>
      </c>
      <c r="U36" s="16">
        <f>INDEX('Team forecast'!$B$2:$AO$26,MATCH('Master data'!$B36,'Team forecast'!$B$2:$B$26,0),MATCH('Master data'!U$1,'Team forecast'!$B$2:$AO$2,0))</f>
        <v>0.17178615309883699</v>
      </c>
      <c r="V36" s="16">
        <f>INDEX('Team forecast'!$B$2:$AO$26,MATCH('Master data'!$B36,'Team forecast'!$B$2:$B$26,0),MATCH('Master data'!V$1,'Team forecast'!$B$2:$AO$2,0))</f>
        <v>0.26245106723433442</v>
      </c>
      <c r="W36" s="16">
        <f>INDEX('Team forecast'!$B$2:$AO$26,MATCH('Master data'!$B36,'Team forecast'!$B$2:$B$26,0),MATCH('Master data'!W$1,'Team forecast'!$B$2:$AO$2,0))</f>
        <v>0.56576277966682864</v>
      </c>
      <c r="X36" s="5">
        <f>IF(M36&gt;95,7000*2,IF(M36&gt;0,7000,-5000))</f>
        <v>7000</v>
      </c>
      <c r="Y36" s="5">
        <f>IF($X36&gt;0,U36*25000,0)</f>
        <v>4294.6538274709246</v>
      </c>
      <c r="Z36" s="5">
        <f>IF($X36&gt;0,V36*5000,0)</f>
        <v>1312.2553361716721</v>
      </c>
      <c r="AA36" s="5">
        <f>IF($X36&gt;0,W36*(-15000),0)</f>
        <v>-8486.4416950024297</v>
      </c>
      <c r="AB36" s="5">
        <f>IF($C36="Defense",$N36*150000,IF($C36="Midfield",$N36*125000,IF($C36="Striker",$N36*100000,0)))*$H36</f>
        <v>11741.398249822601</v>
      </c>
      <c r="AC36" s="5">
        <f>$O36*50000*H36</f>
        <v>4141.6174981247759</v>
      </c>
      <c r="AD36" s="5">
        <f>$P36*K36*10000</f>
        <v>2234.542596074185</v>
      </c>
      <c r="AE36" s="5">
        <f>IF($C36="Goalkeeper",J36*75000,IF($C36="Defense",J36*50000,0))</f>
        <v>0</v>
      </c>
      <c r="AF36" s="5">
        <f>IF($C36="Goalkeeper",(L36-I36)*5000,0)</f>
        <v>0</v>
      </c>
      <c r="AG36" s="5">
        <f>IF(M36&gt;0,Q36*(-20000),0)</f>
        <v>-1500.0000000000002</v>
      </c>
      <c r="AH36" s="5">
        <f>IF(M36&gt;0,R36*(-50000),0)</f>
        <v>0</v>
      </c>
      <c r="AI36" s="5">
        <f>IF(M36&gt;0,S36*10000,0)</f>
        <v>7499.0395996081206</v>
      </c>
      <c r="AJ36" s="5">
        <f>IF(M36&gt;0,T36*(-8000),0)</f>
        <v>-12178.594571322121</v>
      </c>
      <c r="AK36" s="5">
        <f>IFERROR(SUM(X36:AJ36),-5000)*((Cockpit!$C$3)^0)</f>
        <v>16058.47084094773</v>
      </c>
      <c r="AL36" s="16">
        <f>INDEX('Team forecast'!$B$2:$AO$26,MATCH('Master data'!$B36,'Team forecast'!$B$2:$B$26,0),MATCH('Master data'!AL$1,'Team forecast'!$B$2:$AO$2,0))</f>
        <v>1.3846696653928885</v>
      </c>
      <c r="AM36" s="16">
        <f>INDEX('Team forecast'!$B$2:$AO$26,MATCH('Master data'!$B36,'Team forecast'!$B$2:$B$26,0),MATCH('Master data'!AM$1,'Team forecast'!$B$2:$AO$2,0))</f>
        <v>0.97920455728472433</v>
      </c>
      <c r="AN36" s="16">
        <f>INDEX('Team forecast'!$B$2:$AO$26,MATCH('Master data'!$B36,'Team forecast'!$B$2:$B$26,0),MATCH('Master data'!AN$1,'Team forecast'!$B$2:$AO$2,0))</f>
        <v>0.37560975609756098</v>
      </c>
      <c r="AO36" s="16">
        <f>INDEX('Team forecast'!$B$2:$AO$26,MATCH('Master data'!$B36,'Team forecast'!$B$2:$B$26,0),MATCH('Master data'!AO$1,'Team forecast'!$B$2:$AO$2,0))</f>
        <v>3.9274266872961929</v>
      </c>
      <c r="AP36" s="16">
        <f>INDEX('Team forecast'!$B$2:$AO$26,MATCH('Master data'!$B36,'Team forecast'!$B$2:$B$26,0),MATCH('Master data'!AP$1,'Team forecast'!$B$2:$AO$2,0))</f>
        <v>3.1824148111753541</v>
      </c>
      <c r="AQ36" s="5">
        <f>X36</f>
        <v>7000</v>
      </c>
      <c r="AR36" s="5">
        <f>INDEX('Team forecast'!$B$2:$AO$26,MATCH('Master data'!$B36,'Team forecast'!$B$2:$B$26,0),MATCH('Master data'!AR$1,'Team forecast'!$B$2:$AO$2,0))*IF(X36&gt;0,25000,0)</f>
        <v>11178.861788617885</v>
      </c>
      <c r="AS36" s="16">
        <f>INDEX('Team forecast'!$B$2:$AO$26,MATCH('Master data'!$B36,'Team forecast'!$B$2:$B$26,0),MATCH('Master data'!AS$1,'Team forecast'!$B$2:$AO$2,0))*IF(X36&gt;0,5000,0)</f>
        <v>1422.7642276422764</v>
      </c>
      <c r="AT36" s="16">
        <f>INDEX('Team forecast'!$B$2:$AO$26,MATCH('Master data'!$B36,'Team forecast'!$B$2:$B$26,0),MATCH('Master data'!AT$1,'Team forecast'!$B$2:$AO$2,0))*IF(X36&gt;0,-15000,0)</f>
        <v>-4024.3902439024391</v>
      </c>
      <c r="AU36" s="5">
        <f>IF($C36="Defense",$N36*150000,IF($C36="Midfield",$N36*125000,IF($C36="Striker",$N36*100000,0)))*$AL36</f>
        <v>21680.053518688052</v>
      </c>
      <c r="AV36" s="5">
        <f>$O36*50000*AL36</f>
        <v>7647.3420884634997</v>
      </c>
      <c r="AW36" s="5">
        <f>$P36*AO36*10000</f>
        <v>4125.9994799519236</v>
      </c>
      <c r="AX36" s="5">
        <f>IF($C36="Goalkeeper",AN36*75000,IF($C36="Defense",AN36*50000,0))</f>
        <v>0</v>
      </c>
      <c r="AY36" s="5">
        <f>IF($C36="Goalkeeper",(AP36-AM36)*5000,0)</f>
        <v>0</v>
      </c>
      <c r="AZ36" s="5">
        <f>$AG36</f>
        <v>-1500.0000000000002</v>
      </c>
      <c r="BA36" s="5">
        <f>$AH36</f>
        <v>0</v>
      </c>
      <c r="BB36" s="5">
        <f>IF(X36&gt;0,AL36*10000,0)</f>
        <v>13846.696653928884</v>
      </c>
      <c r="BC36" s="5">
        <f>IF(X36&gt;0,AM36*(-8000),0)</f>
        <v>-7833.6364582777951</v>
      </c>
      <c r="BD36" s="5">
        <f>IFERROR(SUM(AQ36:BC36),0)</f>
        <v>53543.691055112286</v>
      </c>
      <c r="BE36" s="16">
        <f>INDEX('Team forecast'!$B$2:$AO$26,MATCH('Master data'!$B36,'Team forecast'!$B$2:$B$26,0),MATCH('Master data'!BE$1,'Team forecast'!$B$2:$AO$2,0))</f>
        <v>1.5039270856478595</v>
      </c>
      <c r="BF36" s="16">
        <f>INDEX('Team forecast'!$B$2:$AO$26,MATCH('Master data'!$B36,'Team forecast'!$B$2:$B$26,0),MATCH('Master data'!BF$1,'Team forecast'!$B$2:$AO$2,0))</f>
        <v>0.82681690399773144</v>
      </c>
      <c r="BG36" s="16">
        <f>INDEX('Team forecast'!$B$2:$AO$26,MATCH('Master data'!$B36,'Team forecast'!$B$2:$B$26,0),MATCH('Master data'!BG$1,'Team forecast'!$B$2:$AO$2,0))</f>
        <v>0.43743948445487602</v>
      </c>
      <c r="BH36" s="16">
        <f>INDEX('Team forecast'!$B$2:$AO$26,MATCH('Master data'!$B36,'Team forecast'!$B$2:$B$26,0),MATCH('Master data'!BH$1,'Team forecast'!$B$2:$AO$2,0))</f>
        <v>4.2656840974739287</v>
      </c>
      <c r="BI36" s="16">
        <f>INDEX('Team forecast'!$B$2:$AO$26,MATCH('Master data'!$B36,'Team forecast'!$B$2:$B$26,0),MATCH('Master data'!BI$1,'Team forecast'!$B$2:$AO$2,0))</f>
        <v>2.6871549379926272</v>
      </c>
      <c r="BJ36" s="5">
        <f>AQ36</f>
        <v>7000</v>
      </c>
      <c r="BK36" s="5">
        <f>INDEX('Team forecast'!$R$3:$BH$26,MATCH($B36,'Team forecast'!$B$3:$B$26,0),MATCH(BK$1,'Team forecast'!$R$2:$BH$2,0))*IF($X36&gt;0,25000,0)</f>
        <v>12935.038518826977</v>
      </c>
      <c r="BL36" s="5">
        <f>INDEX('Team forecast'!$R$3:$BH$26,MATCH($B36,'Team forecast'!$B$3:$B$26,0),MATCH(BL$1,'Team forecast'!$R$2:$BH$2,0))*IF($X36&gt;0,5000,0)</f>
        <v>1355.4462898601791</v>
      </c>
      <c r="BM36" s="5">
        <f>INDEX('Team forecast'!$R$3:$BH$26,MATCH($B36,'Team forecast'!$B$3:$B$26,0),MATCH(BM$1,'Team forecast'!$R$2:$BH$2,0))*IF($X36&gt;0,-15000,0)</f>
        <v>-3172.6380191232765</v>
      </c>
      <c r="BN36" s="5">
        <f>IF($C36="Defense",$N36*150000,IF($C36="Midfield",$N36*125000,IF($C36="Striker",$N36*100000,0)))*$BE36</f>
        <v>23547.291112063675</v>
      </c>
      <c r="BO36" s="5">
        <f>$O36*50000*$BE36</f>
        <v>8305.984587877716</v>
      </c>
      <c r="BP36" s="5">
        <f>$P36*BH36*10000</f>
        <v>4481.3593655985851</v>
      </c>
      <c r="BQ36" s="5">
        <f>IF($C36="Goalkeeper",BG36*75000,IF($C36="Defense",BG36*50000,0))</f>
        <v>0</v>
      </c>
      <c r="BR36" s="5">
        <f>IF($C36="Goalkeeper",(BI36-BF36)*5000,0)</f>
        <v>0</v>
      </c>
      <c r="BS36" s="5">
        <f>$AG36</f>
        <v>-1500.0000000000002</v>
      </c>
      <c r="BT36" s="5">
        <f>$AH36</f>
        <v>0</v>
      </c>
      <c r="BU36" s="5">
        <f>IF(AQ36&gt;0,BE36*10000,0)</f>
        <v>15039.270856478595</v>
      </c>
      <c r="BV36" s="5">
        <f>IF(AQ36&gt;0,BF36*(-8000),0)</f>
        <v>-6614.5352319818512</v>
      </c>
      <c r="BW36" s="5">
        <f>IFERROR(SUM(BJ36:BV36),0)</f>
        <v>61377.2174796006</v>
      </c>
      <c r="BX36" s="5">
        <f>AVERAGE(AK36,BD36,BW36)</f>
        <v>43659.793125220203</v>
      </c>
      <c r="BY36" s="5">
        <f>BX36*3</f>
        <v>130979.37937566062</v>
      </c>
      <c r="BZ36" s="5">
        <f>INDEX('Team forecast'!$R$3:$BH$26,MATCH($B36,'Team forecast'!$B$3:$B$26,0),MATCH(BZ$1,'Team forecast'!$R$2:$BH$2,0))*($BX36-(BY36+CH36)*0.01)</f>
        <v>-1977.9886942569567</v>
      </c>
      <c r="CA36" s="5">
        <f>INDEX('Team forecast'!$R$3:$BH$26,MATCH($B36,'Team forecast'!$B$3:$B$26,0),MATCH(CA$1,'Team forecast'!$R$2:$BH$2,0))*($BX36-(BY36+BX36+CH36)*0.01)</f>
        <v>-1138.5417887337544</v>
      </c>
      <c r="CB36" s="5">
        <f>INDEX('Team forecast'!$R$3:$BH$26,MATCH($B36,'Team forecast'!$B$3:$B$26,0),MATCH(CB$1,'Team forecast'!$R$2:$BH$2,0))*($BX36-(BY36+BX36*2+CH36)*0.01)</f>
        <v>-635.40557787386058</v>
      </c>
      <c r="CC36" s="5">
        <f>INDEX('Team forecast'!$R$3:$BH$26,MATCH($B36,'Team forecast'!$B$3:$B$26,0),MATCH(CC$1,'Team forecast'!$R$2:$BH$2,0))*($BX36-(BY36+BX36*3+CH36)*0.01)</f>
        <v>-336.22017313984344</v>
      </c>
      <c r="CD36" s="5">
        <f>+AK36+BD36*Cockpit!$C$3+BW36*Cockpit!$C$3^2+BZ36*Cockpit!$C$3^3+CA36*Cockpit!$C$3^4+CB36*Cockpit!$C$3^5+CC36*Cockpit!$C$3^6</f>
        <v>78108.868253953435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2.9106528750146805E-2</v>
      </c>
      <c r="CK36" s="5">
        <f>RANK(BY36,$BY$2:$BY$623)+COUNTIF($BY$2:$BY36,$BY36)-1</f>
        <v>116</v>
      </c>
      <c r="CL36" s="5">
        <f>RANK(CJ36,$CJ$2:$CJ$623)+COUNTIF($CJ$2:$CJ36,$CJ36)-1</f>
        <v>153</v>
      </c>
    </row>
    <row r="37" spans="1:90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1.6593477618235051</v>
      </c>
      <c r="I37" s="16">
        <f>INDEX('Team forecast'!$B$2:$AO$26,MATCH('Master data'!$B37,'Team forecast'!$B$2:$B$26,0),MATCH('Master data'!I$1,'Team forecast'!$B$2:$AO$2,0))</f>
        <v>0.65422581624273402</v>
      </c>
      <c r="J37" s="16">
        <f>INDEX('Team forecast'!$B$2:$AO$26,MATCH('Master data'!$B37,'Team forecast'!$B$2:$B$26,0),MATCH('Master data'!J$1,'Team forecast'!$B$2:$AO$2,0))</f>
        <v>0.51984436190144767</v>
      </c>
      <c r="K37" s="16">
        <f>INDEX('Team forecast'!$B$2:$AO$26,MATCH('Master data'!$B37,'Team forecast'!$B$2:$B$26,0),MATCH('Master data'!K$1,'Team forecast'!$B$2:$AO$2,0))</f>
        <v>4.5343674133251923</v>
      </c>
      <c r="L37" s="16">
        <f>INDEX('Team forecast'!$B$2:$AO$26,MATCH('Master data'!$B37,'Team forecast'!$B$2:$B$26,0),MATCH('Master data'!L$1,'Team forecast'!$B$2:$AO$2,0))</f>
        <v>2.1477110129180663</v>
      </c>
      <c r="M37">
        <f>IF(Players!BC38=1,95,0)</f>
        <v>95</v>
      </c>
      <c r="N37" s="2">
        <f>Players!BN38</f>
        <v>0.24424532479646183</v>
      </c>
      <c r="O37" s="2">
        <f>Players!BO38</f>
        <v>0.12875666965078372</v>
      </c>
      <c r="P37" s="2">
        <f>Players!BP38</f>
        <v>0.25676772295740752</v>
      </c>
      <c r="Q37" s="2">
        <f>Players!BQ38</f>
        <v>3.1347962382445145E-2</v>
      </c>
      <c r="R37" s="2">
        <f>Players!BR38</f>
        <v>3.1347962382445145E-2</v>
      </c>
      <c r="S37" s="2">
        <f>H37</f>
        <v>1.6593477618235051</v>
      </c>
      <c r="T37" s="2">
        <f>I37</f>
        <v>0.65422581624273402</v>
      </c>
      <c r="U37" s="16">
        <f>INDEX('Team forecast'!$B$2:$AO$26,MATCH('Master data'!$B37,'Team forecast'!$B$2:$B$26,0),MATCH('Master data'!U$1,'Team forecast'!$B$2:$AO$2,0))</f>
        <v>0.61375173050299947</v>
      </c>
      <c r="V37" s="16">
        <f>INDEX('Team forecast'!$B$2:$AO$26,MATCH('Master data'!$B37,'Team forecast'!$B$2:$B$26,0),MATCH('Master data'!V$1,'Team forecast'!$B$2:$AO$2,0))</f>
        <v>0.25034610059990769</v>
      </c>
      <c r="W37" s="16">
        <f>INDEX('Team forecast'!$B$2:$AO$26,MATCH('Master data'!$B37,'Team forecast'!$B$2:$B$26,0),MATCH('Master data'!W$1,'Team forecast'!$B$2:$AO$2,0))</f>
        <v>0.13590216889709281</v>
      </c>
      <c r="X37" s="5">
        <f>IF(M37&gt;95,7000*2,IF(M37&gt;0,7000,-5000))</f>
        <v>7000</v>
      </c>
      <c r="Y37" s="5">
        <f>IF($X37&gt;0,U37*25000,0)</f>
        <v>15343.793262574987</v>
      </c>
      <c r="Z37" s="5">
        <f>IF($X37&gt;0,V37*5000,0)</f>
        <v>1251.7305029995384</v>
      </c>
      <c r="AA37" s="5">
        <f>IF($X37&gt;0,W37*(-15000),0)</f>
        <v>-2038.532533456392</v>
      </c>
      <c r="AB37" s="5">
        <f>IF($C37="Defense",$N37*150000,IF($C37="Midfield",$N37*125000,IF($C37="Striker",$N37*100000,0)))*$H37</f>
        <v>40528.793303686398</v>
      </c>
      <c r="AC37" s="5">
        <f>$O37*50000*H37</f>
        <v>10682.604580243818</v>
      </c>
      <c r="AD37" s="5">
        <f>$P37*K37*10000</f>
        <v>11642.791957717795</v>
      </c>
      <c r="AE37" s="5">
        <f>IF($C37="Goalkeeper",J37*75000,IF($C37="Defense",J37*50000,0))</f>
        <v>0</v>
      </c>
      <c r="AF37" s="5">
        <f>IF($C37="Goalkeeper",(L37-I37)*5000,0)</f>
        <v>0</v>
      </c>
      <c r="AG37" s="5">
        <f>IF(M37&gt;0,Q37*(-20000),0)</f>
        <v>-626.95924764890287</v>
      </c>
      <c r="AH37" s="5">
        <f>IF(M37&gt;0,R37*(-50000),0)</f>
        <v>-1567.3981191222572</v>
      </c>
      <c r="AI37" s="5">
        <f>IF(M37&gt;0,S37*10000,0)</f>
        <v>16593.477618235051</v>
      </c>
      <c r="AJ37" s="5">
        <f>IF(M37&gt;0,T37*(-8000),0)</f>
        <v>-5233.8065299418722</v>
      </c>
      <c r="AK37" s="5">
        <f>IFERROR(SUM(X37:AJ37),-5000)*((Cockpit!$C$3)^0)</f>
        <v>93576.494795288163</v>
      </c>
      <c r="AL37" s="16">
        <f>INDEX('Team forecast'!$B$2:$AO$26,MATCH('Master data'!$B37,'Team forecast'!$B$2:$B$26,0),MATCH('Master data'!AL$1,'Team forecast'!$B$2:$AO$2,0))</f>
        <v>1.5198357804321134</v>
      </c>
      <c r="AM37" s="16">
        <f>INDEX('Team forecast'!$B$2:$AO$26,MATCH('Master data'!$B37,'Team forecast'!$B$2:$B$26,0),MATCH('Master data'!AM$1,'Team forecast'!$B$2:$AO$2,0))</f>
        <v>0.79620558314709244</v>
      </c>
      <c r="AN37" s="16">
        <f>INDEX('Team forecast'!$B$2:$AO$26,MATCH('Master data'!$B37,'Team forecast'!$B$2:$B$26,0),MATCH('Master data'!AN$1,'Team forecast'!$B$2:$AO$2,0))</f>
        <v>0.45103714423540769</v>
      </c>
      <c r="AO37" s="16">
        <f>INDEX('Team forecast'!$B$2:$AO$26,MATCH('Master data'!$B37,'Team forecast'!$B$2:$B$26,0),MATCH('Master data'!AO$1,'Team forecast'!$B$2:$AO$2,0))</f>
        <v>4.1531341379722457</v>
      </c>
      <c r="AP37" s="16">
        <f>INDEX('Team forecast'!$B$2:$AO$26,MATCH('Master data'!$B37,'Team forecast'!$B$2:$B$26,0),MATCH('Master data'!AP$1,'Team forecast'!$B$2:$AO$2,0))</f>
        <v>2.6138062073010611</v>
      </c>
      <c r="AQ37" s="5">
        <f>X37</f>
        <v>7000</v>
      </c>
      <c r="AR37" s="5">
        <f>INDEX('Team forecast'!$B$2:$AO$26,MATCH('Master data'!$B37,'Team forecast'!$B$2:$B$26,0),MATCH('Master data'!AR$1,'Team forecast'!$B$2:$AO$2,0))*IF(X37&gt;0,25000,0)</f>
        <v>13929.088277858178</v>
      </c>
      <c r="AS37" s="16">
        <f>INDEX('Team forecast'!$B$2:$AO$26,MATCH('Master data'!$B37,'Team forecast'!$B$2:$B$26,0),MATCH('Master data'!AS$1,'Team forecast'!$B$2:$AO$2,0))*IF(X37&gt;0,5000,0)</f>
        <v>1353.111432706223</v>
      </c>
      <c r="AT37" s="16">
        <f>INDEX('Team forecast'!$B$2:$AO$26,MATCH('Master data'!$B37,'Team forecast'!$B$2:$B$26,0),MATCH('Master data'!AT$1,'Team forecast'!$B$2:$AO$2,0))*IF(X37&gt;0,-15000,0)</f>
        <v>-2583.2127351664258</v>
      </c>
      <c r="AU37" s="5">
        <f>IF($C37="Defense",$N37*150000,IF($C37="Midfield",$N37*125000,IF($C37="Striker",$N37*100000,0)))*$AL37</f>
        <v>37121.27838289256</v>
      </c>
      <c r="AV37" s="5">
        <f>$O37*50000*AL37</f>
        <v>9784.4496752269333</v>
      </c>
      <c r="AW37" s="5">
        <f>$P37*AO37*10000</f>
        <v>10663.90795743809</v>
      </c>
      <c r="AX37" s="5">
        <f>IF($C37="Goalkeeper",AN37*75000,IF($C37="Defense",AN37*50000,0))</f>
        <v>0</v>
      </c>
      <c r="AY37" s="5">
        <f>IF($C37="Goalkeeper",(AP37-AM37)*5000,0)</f>
        <v>0</v>
      </c>
      <c r="AZ37" s="5">
        <f>$AG37</f>
        <v>-626.95924764890287</v>
      </c>
      <c r="BA37" s="5">
        <f>$AH37</f>
        <v>-1567.3981191222572</v>
      </c>
      <c r="BB37" s="5">
        <f>IF(X37&gt;0,AL37*10000,0)</f>
        <v>15198.357804321135</v>
      </c>
      <c r="BC37" s="5">
        <f>IF(X37&gt;0,AM37*(-8000),0)</f>
        <v>-6369.6446651767392</v>
      </c>
      <c r="BD37" s="5">
        <f>IFERROR(SUM(AQ37:BC37),0)</f>
        <v>83902.978763328807</v>
      </c>
      <c r="BE37" s="16">
        <f>INDEX('Team forecast'!$B$2:$AO$26,MATCH('Master data'!$B37,'Team forecast'!$B$2:$B$26,0),MATCH('Master data'!BE$1,'Team forecast'!$B$2:$AO$2,0))</f>
        <v>1.8402581758343768</v>
      </c>
      <c r="BF37" s="16">
        <f>INDEX('Team forecast'!$B$2:$AO$26,MATCH('Master data'!$B37,'Team forecast'!$B$2:$B$26,0),MATCH('Master data'!BF$1,'Team forecast'!$B$2:$AO$2,0))</f>
        <v>0.65281467345965161</v>
      </c>
      <c r="BG37" s="16">
        <f>INDEX('Team forecast'!$B$2:$AO$26,MATCH('Master data'!$B37,'Team forecast'!$B$2:$B$26,0),MATCH('Master data'!BG$1,'Team forecast'!$B$2:$AO$2,0))</f>
        <v>0.52057845435388617</v>
      </c>
      <c r="BH37" s="16">
        <f>INDEX('Team forecast'!$B$2:$AO$26,MATCH('Master data'!$B37,'Team forecast'!$B$2:$B$26,0),MATCH('Master data'!BH$1,'Team forecast'!$B$2:$AO$2,0))</f>
        <v>5.0287268869057034</v>
      </c>
      <c r="BI37" s="16">
        <f>INDEX('Team forecast'!$B$2:$AO$26,MATCH('Master data'!$B37,'Team forecast'!$B$2:$B$26,0),MATCH('Master data'!BI$1,'Team forecast'!$B$2:$AO$2,0))</f>
        <v>2.1430784734786541</v>
      </c>
      <c r="BJ37" s="5">
        <f>AQ37</f>
        <v>7000</v>
      </c>
      <c r="BK37" s="5">
        <f>INDEX('Team forecast'!$R$3:$BH$26,MATCH($B37,'Team forecast'!$B$3:$B$26,0),MATCH(BK$1,'Team forecast'!$R$2:$BH$2,0))*IF($X37&gt;0,25000,0)</f>
        <v>16539.211310201594</v>
      </c>
      <c r="BL37" s="5">
        <f>INDEX('Team forecast'!$R$3:$BH$26,MATCH($B37,'Team forecast'!$B$3:$B$26,0),MATCH(BL$1,'Team forecast'!$R$2:$BH$2,0))*IF($X37&gt;0,5000,0)</f>
        <v>1147.781411406761</v>
      </c>
      <c r="BM37" s="5">
        <f>INDEX('Team forecast'!$R$3:$BH$26,MATCH($B37,'Team forecast'!$B$3:$B$26,0),MATCH(BM$1,'Team forecast'!$R$2:$BH$2,0))*IF($X37&gt;0,-15000,0)</f>
        <v>-1633.128979658763</v>
      </c>
      <c r="BN37" s="5">
        <f>IF($C37="Defense",$N37*150000,IF($C37="Midfield",$N37*125000,IF($C37="Striker",$N37*100000,0)))*$BE37</f>
        <v>44947.44558660117</v>
      </c>
      <c r="BO37" s="5">
        <f>$O37*50000*$BE37</f>
        <v>11847.275700903036</v>
      </c>
      <c r="BP37" s="5">
        <f>$P37*BH37*10000</f>
        <v>12912.147521254699</v>
      </c>
      <c r="BQ37" s="5">
        <f>IF($C37="Goalkeeper",BG37*75000,IF($C37="Defense",BG37*50000,0))</f>
        <v>0</v>
      </c>
      <c r="BR37" s="5">
        <f>IF($C37="Goalkeeper",(BI37-BF37)*5000,0)</f>
        <v>0</v>
      </c>
      <c r="BS37" s="5">
        <f>$AG37</f>
        <v>-626.95924764890287</v>
      </c>
      <c r="BT37" s="5">
        <f>$AH37</f>
        <v>-1567.3981191222572</v>
      </c>
      <c r="BU37" s="5">
        <f>IF(AQ37&gt;0,BE37*10000,0)</f>
        <v>18402.581758343767</v>
      </c>
      <c r="BV37" s="5">
        <f>IF(AQ37&gt;0,BF37*(-8000),0)</f>
        <v>-5222.5173876772133</v>
      </c>
      <c r="BW37" s="5">
        <f>IFERROR(SUM(BJ37:BV37),0)</f>
        <v>103746.43955460389</v>
      </c>
      <c r="BX37" s="5">
        <f>AVERAGE(AK37,BD37,BW37)</f>
        <v>93741.971037740281</v>
      </c>
      <c r="BY37" s="5">
        <f>BX37*3</f>
        <v>281225.91311322083</v>
      </c>
      <c r="BZ37" s="5">
        <f>INDEX('Team forecast'!$R$3:$BH$26,MATCH($B37,'Team forecast'!$B$3:$B$26,0),MATCH(BZ$1,'Team forecast'!$R$2:$BH$2,0))*($BX37-(BY37+CH37)*0.01)</f>
        <v>39196.704272532334</v>
      </c>
      <c r="CA37" s="5">
        <f>INDEX('Team forecast'!$R$3:$BH$26,MATCH($B37,'Team forecast'!$B$3:$B$26,0),MATCH(CA$1,'Team forecast'!$R$2:$BH$2,0))*($BX37-(BY37+BX37+CH37)*0.01)</f>
        <v>19304.790218127637</v>
      </c>
      <c r="CB37" s="5">
        <f>INDEX('Team forecast'!$R$3:$BH$26,MATCH($B37,'Team forecast'!$B$3:$B$26,0),MATCH(CB$1,'Team forecast'!$R$2:$BH$2,0))*($BX37-(BY37+BX37*2+CH37)*0.01)</f>
        <v>9568.8835586168752</v>
      </c>
      <c r="CC37" s="5">
        <f>INDEX('Team forecast'!$R$3:$BH$26,MATCH($B37,'Team forecast'!$B$3:$B$26,0),MATCH(CC$1,'Team forecast'!$R$2:$BH$2,0))*($BX37-(BY37+BX37*3+CH37)*0.01)</f>
        <v>4849.245008080441</v>
      </c>
      <c r="CD37" s="5">
        <f>+AK37+BD37*Cockpit!$C$3+BW37*Cockpit!$C$3^2+BZ37*Cockpit!$C$3^3+CA37*Cockpit!$C$3^4+CB37*Cockpit!$C$3^5+CC37*Cockpit!$C$3^6</f>
        <v>212734.29522202507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5.6245182622644163E-2</v>
      </c>
      <c r="CK37" s="5">
        <f>RANK(BY37,$BY$2:$BY$623)+COUNTIF($BY$2:$BY37,$BY37)-1</f>
        <v>10</v>
      </c>
      <c r="CL37" s="5">
        <f>RANK(CJ37,$CJ$2:$CJ$623)+COUNTIF($CJ$2:$CJ37,$CJ37)-1</f>
        <v>18</v>
      </c>
    </row>
    <row r="38" spans="1:90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1.6593477618235051</v>
      </c>
      <c r="I38" s="16">
        <f>INDEX('Team forecast'!$B$2:$AO$26,MATCH('Master data'!$B38,'Team forecast'!$B$2:$B$26,0),MATCH('Master data'!I$1,'Team forecast'!$B$2:$AO$2,0))</f>
        <v>0.65422581624273402</v>
      </c>
      <c r="J38" s="16">
        <f>INDEX('Team forecast'!$B$2:$AO$26,MATCH('Master data'!$B38,'Team forecast'!$B$2:$B$26,0),MATCH('Master data'!J$1,'Team forecast'!$B$2:$AO$2,0))</f>
        <v>0.51984436190144767</v>
      </c>
      <c r="K38" s="16">
        <f>INDEX('Team forecast'!$B$2:$AO$26,MATCH('Master data'!$B38,'Team forecast'!$B$2:$B$26,0),MATCH('Master data'!K$1,'Team forecast'!$B$2:$AO$2,0))</f>
        <v>4.5343674133251923</v>
      </c>
      <c r="L38" s="16">
        <f>INDEX('Team forecast'!$B$2:$AO$26,MATCH('Master data'!$B38,'Team forecast'!$B$2:$B$26,0),MATCH('Master data'!L$1,'Team forecast'!$B$2:$AO$2,0))</f>
        <v>2.1477110129180663</v>
      </c>
      <c r="M38">
        <f>IF(Players!BC39=1,95,0)</f>
        <v>95</v>
      </c>
      <c r="N38" s="2">
        <f>Players!BN39</f>
        <v>0.11886603654440277</v>
      </c>
      <c r="O38" s="2">
        <f>Players!BO39</f>
        <v>0.22052839564758123</v>
      </c>
      <c r="P38" s="2">
        <f>Players!BP39</f>
        <v>0.16179331651707388</v>
      </c>
      <c r="Q38" s="2">
        <f>Players!BQ39</f>
        <v>5.4700162074554297E-2</v>
      </c>
      <c r="R38" s="2">
        <f>Players!BR39</f>
        <v>3.6466774716369527E-2</v>
      </c>
      <c r="S38" s="2">
        <f>H38</f>
        <v>1.6593477618235051</v>
      </c>
      <c r="T38" s="2">
        <f>I38</f>
        <v>0.65422581624273402</v>
      </c>
      <c r="U38" s="16">
        <f>INDEX('Team forecast'!$B$2:$AO$26,MATCH('Master data'!$B38,'Team forecast'!$B$2:$B$26,0),MATCH('Master data'!U$1,'Team forecast'!$B$2:$AO$2,0))</f>
        <v>0.61375173050299947</v>
      </c>
      <c r="V38" s="16">
        <f>INDEX('Team forecast'!$B$2:$AO$26,MATCH('Master data'!$B38,'Team forecast'!$B$2:$B$26,0),MATCH('Master data'!V$1,'Team forecast'!$B$2:$AO$2,0))</f>
        <v>0.25034610059990769</v>
      </c>
      <c r="W38" s="16">
        <f>INDEX('Team forecast'!$B$2:$AO$26,MATCH('Master data'!$B38,'Team forecast'!$B$2:$B$26,0),MATCH('Master data'!W$1,'Team forecast'!$B$2:$AO$2,0))</f>
        <v>0.13590216889709281</v>
      </c>
      <c r="X38" s="5">
        <f>IF(M38&gt;95,7000*2,IF(M38&gt;0,7000,-5000))</f>
        <v>7000</v>
      </c>
      <c r="Y38" s="5">
        <f>IF($X38&gt;0,U38*25000,0)</f>
        <v>15343.793262574987</v>
      </c>
      <c r="Z38" s="5">
        <f>IF($X38&gt;0,V38*5000,0)</f>
        <v>1251.7305029995384</v>
      </c>
      <c r="AA38" s="5">
        <f>IF($X38&gt;0,W38*(-15000),0)</f>
        <v>-2038.532533456392</v>
      </c>
      <c r="AB38" s="5">
        <f>IF($C38="Defense",$N38*150000,IF($C38="Midfield",$N38*125000,IF($C38="Striker",$N38*100000,0)))*$H38</f>
        <v>24655.011462098213</v>
      </c>
      <c r="AC38" s="5">
        <f>$O38*50000*H38</f>
        <v>18296.664986817115</v>
      </c>
      <c r="AD38" s="5">
        <f>$P38*K38*10000</f>
        <v>7336.3034210882843</v>
      </c>
      <c r="AE38" s="5">
        <f>IF($C38="Goalkeeper",J38*75000,IF($C38="Defense",J38*50000,0))</f>
        <v>0</v>
      </c>
      <c r="AF38" s="5">
        <f>IF($C38="Goalkeeper",(L38-I38)*5000,0)</f>
        <v>0</v>
      </c>
      <c r="AG38" s="5">
        <f>IF(M38&gt;0,Q38*(-20000),0)</f>
        <v>-1094.0032414910859</v>
      </c>
      <c r="AH38" s="5">
        <f>IF(M38&gt;0,R38*(-50000),0)</f>
        <v>-1823.3387358184764</v>
      </c>
      <c r="AI38" s="5">
        <f>IF(M38&gt;0,S38*10000,0)</f>
        <v>16593.477618235051</v>
      </c>
      <c r="AJ38" s="5">
        <f>IF(M38&gt;0,T38*(-8000),0)</f>
        <v>-5233.8065299418722</v>
      </c>
      <c r="AK38" s="5">
        <f>IFERROR(SUM(X38:AJ38),-5000)*((Cockpit!$C$3)^0)</f>
        <v>80287.30021310538</v>
      </c>
      <c r="AL38" s="16">
        <f>INDEX('Team forecast'!$B$2:$AO$26,MATCH('Master data'!$B38,'Team forecast'!$B$2:$B$26,0),MATCH('Master data'!AL$1,'Team forecast'!$B$2:$AO$2,0))</f>
        <v>1.5198357804321134</v>
      </c>
      <c r="AM38" s="16">
        <f>INDEX('Team forecast'!$B$2:$AO$26,MATCH('Master data'!$B38,'Team forecast'!$B$2:$B$26,0),MATCH('Master data'!AM$1,'Team forecast'!$B$2:$AO$2,0))</f>
        <v>0.79620558314709244</v>
      </c>
      <c r="AN38" s="16">
        <f>INDEX('Team forecast'!$B$2:$AO$26,MATCH('Master data'!$B38,'Team forecast'!$B$2:$B$26,0),MATCH('Master data'!AN$1,'Team forecast'!$B$2:$AO$2,0))</f>
        <v>0.45103714423540769</v>
      </c>
      <c r="AO38" s="16">
        <f>INDEX('Team forecast'!$B$2:$AO$26,MATCH('Master data'!$B38,'Team forecast'!$B$2:$B$26,0),MATCH('Master data'!AO$1,'Team forecast'!$B$2:$AO$2,0))</f>
        <v>4.1531341379722457</v>
      </c>
      <c r="AP38" s="16">
        <f>INDEX('Team forecast'!$B$2:$AO$26,MATCH('Master data'!$B38,'Team forecast'!$B$2:$B$26,0),MATCH('Master data'!AP$1,'Team forecast'!$B$2:$AO$2,0))</f>
        <v>2.6138062073010611</v>
      </c>
      <c r="AQ38" s="5">
        <f>X38</f>
        <v>7000</v>
      </c>
      <c r="AR38" s="5">
        <f>INDEX('Team forecast'!$B$2:$AO$26,MATCH('Master data'!$B38,'Team forecast'!$B$2:$B$26,0),MATCH('Master data'!AR$1,'Team forecast'!$B$2:$AO$2,0))*IF(X38&gt;0,25000,0)</f>
        <v>13929.088277858178</v>
      </c>
      <c r="AS38" s="16">
        <f>INDEX('Team forecast'!$B$2:$AO$26,MATCH('Master data'!$B38,'Team forecast'!$B$2:$B$26,0),MATCH('Master data'!AS$1,'Team forecast'!$B$2:$AO$2,0))*IF(X38&gt;0,5000,0)</f>
        <v>1353.111432706223</v>
      </c>
      <c r="AT38" s="16">
        <f>INDEX('Team forecast'!$B$2:$AO$26,MATCH('Master data'!$B38,'Team forecast'!$B$2:$B$26,0),MATCH('Master data'!AT$1,'Team forecast'!$B$2:$AO$2,0))*IF(X38&gt;0,-15000,0)</f>
        <v>-2583.2127351664258</v>
      </c>
      <c r="AU38" s="5">
        <f>IF($C38="Defense",$N38*150000,IF($C38="Midfield",$N38*125000,IF($C38="Striker",$N38*100000,0)))*$AL38</f>
        <v>22582.106927291814</v>
      </c>
      <c r="AV38" s="5">
        <f>$O38*50000*AL38</f>
        <v>16758.347315324176</v>
      </c>
      <c r="AW38" s="5">
        <f>$P38*AO38*10000</f>
        <v>6719.4934612280831</v>
      </c>
      <c r="AX38" s="5">
        <f>IF($C38="Goalkeeper",AN38*75000,IF($C38="Defense",AN38*50000,0))</f>
        <v>0</v>
      </c>
      <c r="AY38" s="5">
        <f>IF($C38="Goalkeeper",(AP38-AM38)*5000,0)</f>
        <v>0</v>
      </c>
      <c r="AZ38" s="5">
        <f>$AG38</f>
        <v>-1094.0032414910859</v>
      </c>
      <c r="BA38" s="5">
        <f>$AH38</f>
        <v>-1823.3387358184764</v>
      </c>
      <c r="BB38" s="5">
        <f>IF(X38&gt;0,AL38*10000,0)</f>
        <v>15198.357804321135</v>
      </c>
      <c r="BC38" s="5">
        <f>IF(X38&gt;0,AM38*(-8000),0)</f>
        <v>-6369.6446651767392</v>
      </c>
      <c r="BD38" s="5">
        <f>IFERROR(SUM(AQ38:BC38),0)</f>
        <v>71670.305841076886</v>
      </c>
      <c r="BE38" s="16">
        <f>INDEX('Team forecast'!$B$2:$AO$26,MATCH('Master data'!$B38,'Team forecast'!$B$2:$B$26,0),MATCH('Master data'!BE$1,'Team forecast'!$B$2:$AO$2,0))</f>
        <v>1.8402581758343768</v>
      </c>
      <c r="BF38" s="16">
        <f>INDEX('Team forecast'!$B$2:$AO$26,MATCH('Master data'!$B38,'Team forecast'!$B$2:$B$26,0),MATCH('Master data'!BF$1,'Team forecast'!$B$2:$AO$2,0))</f>
        <v>0.65281467345965161</v>
      </c>
      <c r="BG38" s="16">
        <f>INDEX('Team forecast'!$B$2:$AO$26,MATCH('Master data'!$B38,'Team forecast'!$B$2:$B$26,0),MATCH('Master data'!BG$1,'Team forecast'!$B$2:$AO$2,0))</f>
        <v>0.52057845435388617</v>
      </c>
      <c r="BH38" s="16">
        <f>INDEX('Team forecast'!$B$2:$AO$26,MATCH('Master data'!$B38,'Team forecast'!$B$2:$B$26,0),MATCH('Master data'!BH$1,'Team forecast'!$B$2:$AO$2,0))</f>
        <v>5.0287268869057034</v>
      </c>
      <c r="BI38" s="16">
        <f>INDEX('Team forecast'!$B$2:$AO$26,MATCH('Master data'!$B38,'Team forecast'!$B$2:$B$26,0),MATCH('Master data'!BI$1,'Team forecast'!$B$2:$AO$2,0))</f>
        <v>2.1430784734786541</v>
      </c>
      <c r="BJ38" s="5">
        <f>AQ38</f>
        <v>7000</v>
      </c>
      <c r="BK38" s="5">
        <f>INDEX('Team forecast'!$R$3:$BH$26,MATCH($B38,'Team forecast'!$B$3:$B$26,0),MATCH(BK$1,'Team forecast'!$R$2:$BH$2,0))*IF($X38&gt;0,25000,0)</f>
        <v>16539.211310201594</v>
      </c>
      <c r="BL38" s="5">
        <f>INDEX('Team forecast'!$R$3:$BH$26,MATCH($B38,'Team forecast'!$B$3:$B$26,0),MATCH(BL$1,'Team forecast'!$R$2:$BH$2,0))*IF($X38&gt;0,5000,0)</f>
        <v>1147.781411406761</v>
      </c>
      <c r="BM38" s="5">
        <f>INDEX('Team forecast'!$R$3:$BH$26,MATCH($B38,'Team forecast'!$B$3:$B$26,0),MATCH(BM$1,'Team forecast'!$R$2:$BH$2,0))*IF($X38&gt;0,-15000,0)</f>
        <v>-1633.128979658763</v>
      </c>
      <c r="BN38" s="5">
        <f>IF($C38="Defense",$N38*150000,IF($C38="Midfield",$N38*125000,IF($C38="Striker",$N38*100000,0)))*$BE38</f>
        <v>27343.024447483127</v>
      </c>
      <c r="BO38" s="5">
        <f>$O38*50000*$BE38</f>
        <v>20291.459154704979</v>
      </c>
      <c r="BP38" s="5">
        <f>$P38*BH38*10000</f>
        <v>8136.1440089105408</v>
      </c>
      <c r="BQ38" s="5">
        <f>IF($C38="Goalkeeper",BG38*75000,IF($C38="Defense",BG38*50000,0))</f>
        <v>0</v>
      </c>
      <c r="BR38" s="5">
        <f>IF($C38="Goalkeeper",(BI38-BF38)*5000,0)</f>
        <v>0</v>
      </c>
      <c r="BS38" s="5">
        <f>$AG38</f>
        <v>-1094.0032414910859</v>
      </c>
      <c r="BT38" s="5">
        <f>$AH38</f>
        <v>-1823.3387358184764</v>
      </c>
      <c r="BU38" s="5">
        <f>IF(AQ38&gt;0,BE38*10000,0)</f>
        <v>18402.581758343767</v>
      </c>
      <c r="BV38" s="5">
        <f>IF(AQ38&gt;0,BF38*(-8000),0)</f>
        <v>-5222.5173876772133</v>
      </c>
      <c r="BW38" s="5">
        <f>IFERROR(SUM(BJ38:BV38),0)</f>
        <v>89087.213746405236</v>
      </c>
      <c r="BX38" s="5">
        <f>AVERAGE(AK38,BD38,BW38)</f>
        <v>80348.27326686251</v>
      </c>
      <c r="BY38" s="5">
        <f>BX38*3</f>
        <v>241044.81980058755</v>
      </c>
      <c r="BZ38" s="5">
        <f>INDEX('Team forecast'!$R$3:$BH$26,MATCH($B38,'Team forecast'!$B$3:$B$26,0),MATCH(BZ$1,'Team forecast'!$R$2:$BH$2,0))*($BX38-(BY38+CH38)*0.01)</f>
        <v>31543.202443013914</v>
      </c>
      <c r="CA38" s="5">
        <f>INDEX('Team forecast'!$R$3:$BH$26,MATCH($B38,'Team forecast'!$B$3:$B$26,0),MATCH(CA$1,'Team forecast'!$R$2:$BH$2,0))*($BX38-(BY38+BX38+CH38)*0.01)</f>
        <v>15511.657460236191</v>
      </c>
      <c r="CB38" s="5">
        <f>INDEX('Team forecast'!$R$3:$BH$26,MATCH($B38,'Team forecast'!$B$3:$B$26,0),MATCH(CB$1,'Team forecast'!$R$2:$BH$2,0))*($BX38-(BY38+BX38*2+CH38)*0.01)</f>
        <v>7676.4134218091849</v>
      </c>
      <c r="CC38" s="5">
        <f>INDEX('Team forecast'!$R$3:$BH$26,MATCH($B38,'Team forecast'!$B$3:$B$26,0),MATCH(CC$1,'Team forecast'!$R$2:$BH$2,0))*($BX38-(BY38+BX38*3+CH38)*0.01)</f>
        <v>3883.6469680368168</v>
      </c>
      <c r="CD38" s="5">
        <f>+AK38+BD38*Cockpit!$C$3+BW38*Cockpit!$C$3^2+BZ38*Cockpit!$C$3^3+CA38*Cockpit!$C$3^4+CB38*Cockpit!$C$3^5+CC38*Cockpit!$C$3^6</f>
        <v>181423.823380474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5.3565515511241675E-2</v>
      </c>
      <c r="CK38" s="5">
        <f>RANK(BY38,$BY$2:$BY$623)+COUNTIF($BY$2:$BY38,$BY38)-1</f>
        <v>24</v>
      </c>
      <c r="CL38" s="5">
        <f>RANK(CJ38,$CJ$2:$CJ$623)+COUNTIF($CJ$2:$CJ38,$CJ38)-1</f>
        <v>23</v>
      </c>
    </row>
    <row r="39" spans="1:90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1.5602309947683257</v>
      </c>
      <c r="I39" s="16">
        <f>INDEX('Team forecast'!$B$2:$AO$26,MATCH('Master data'!$B39,'Team forecast'!$B$2:$B$26,0),MATCH('Master data'!I$1,'Team forecast'!$B$2:$AO$2,0))</f>
        <v>0.84461095835632183</v>
      </c>
      <c r="J39" s="16">
        <f>INDEX('Team forecast'!$B$2:$AO$26,MATCH('Master data'!$B39,'Team forecast'!$B$2:$B$26,0),MATCH('Master data'!J$1,'Team forecast'!$B$2:$AO$2,0))</f>
        <v>0.42972450642313093</v>
      </c>
      <c r="K39" s="16">
        <f>INDEX('Team forecast'!$B$2:$AO$26,MATCH('Master data'!$B39,'Team forecast'!$B$2:$B$26,0),MATCH('Master data'!K$1,'Team forecast'!$B$2:$AO$2,0))</f>
        <v>4.1655927994293096</v>
      </c>
      <c r="L39" s="16">
        <f>INDEX('Team forecast'!$B$2:$AO$26,MATCH('Master data'!$B39,'Team forecast'!$B$2:$B$26,0),MATCH('Master data'!L$1,'Team forecast'!$B$2:$AO$2,0))</f>
        <v>2.7727127420788342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>H39</f>
        <v>1.5602309947683257</v>
      </c>
      <c r="T39" s="2">
        <f>I39</f>
        <v>0.84461095835632183</v>
      </c>
      <c r="U39" s="16">
        <f>INDEX('Team forecast'!$B$2:$AO$26,MATCH('Master data'!$B39,'Team forecast'!$B$2:$B$26,0),MATCH('Master data'!U$1,'Team forecast'!$B$2:$AO$2,0))</f>
        <v>0.58357649020425184</v>
      </c>
      <c r="V39" s="16">
        <f>INDEX('Team forecast'!$B$2:$AO$26,MATCH('Master data'!$B39,'Team forecast'!$B$2:$B$26,0),MATCH('Master data'!V$1,'Team forecast'!$B$2:$AO$2,0))</f>
        <v>0.23634847853272201</v>
      </c>
      <c r="W39" s="16">
        <f>INDEX('Team forecast'!$B$2:$AO$26,MATCH('Master data'!$B39,'Team forecast'!$B$2:$B$26,0),MATCH('Master data'!W$1,'Team forecast'!$B$2:$AO$2,0))</f>
        <v>0.18007503126302629</v>
      </c>
      <c r="X39" s="5">
        <f>IF(M39&gt;95,7000*2,IF(M39&gt;0,7000,-5000))</f>
        <v>-5000</v>
      </c>
      <c r="Y39" s="5">
        <f>IF($X39&gt;0,U39*25000,0)</f>
        <v>0</v>
      </c>
      <c r="Z39" s="5">
        <f>IF($X39&gt;0,V39*5000,0)</f>
        <v>0</v>
      </c>
      <c r="AA39" s="5">
        <f>IF($X39&gt;0,W39*(-15000),0)</f>
        <v>0</v>
      </c>
      <c r="AB39" s="5">
        <f>IF($C39="Defense",$N39*150000,IF($C39="Midfield",$N39*125000,IF($C39="Striker",$N39*100000,0)))*$H39</f>
        <v>0</v>
      </c>
      <c r="AC39" s="5">
        <f>$O39*50000*H39</f>
        <v>0</v>
      </c>
      <c r="AD39" s="5">
        <f>$P39*K39*10000</f>
        <v>0</v>
      </c>
      <c r="AE39" s="5">
        <f>IF($C39="Goalkeeper",J39*75000,IF($C39="Defense",J39*50000,0))</f>
        <v>0</v>
      </c>
      <c r="AF39" s="5">
        <f>IF($C39="Goalkeeper",(L39-I39)*5000,0)</f>
        <v>0</v>
      </c>
      <c r="AG39" s="5">
        <f>IF(M39&gt;0,Q39*(-20000),0)</f>
        <v>0</v>
      </c>
      <c r="AH39" s="5">
        <f>IF(M39&gt;0,R39*(-50000),0)</f>
        <v>0</v>
      </c>
      <c r="AI39" s="5">
        <f>IF(M39&gt;0,S39*10000,0)</f>
        <v>0</v>
      </c>
      <c r="AJ39" s="5">
        <f>IF(M39&gt;0,T39*(-8000),0)</f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1.5279674504451852</v>
      </c>
      <c r="AM39" s="16">
        <f>INDEX('Team forecast'!$B$2:$AO$26,MATCH('Master data'!$B39,'Team forecast'!$B$2:$B$26,0),MATCH('Master data'!AM$1,'Team forecast'!$B$2:$AO$2,0))</f>
        <v>1.1610121970988967</v>
      </c>
      <c r="AN39" s="16">
        <f>INDEX('Team forecast'!$B$2:$AO$26,MATCH('Master data'!$B39,'Team forecast'!$B$2:$B$26,0),MATCH('Master data'!AN$1,'Team forecast'!$B$2:$AO$2,0))</f>
        <v>0.31316903161563348</v>
      </c>
      <c r="AO39" s="16">
        <f>INDEX('Team forecast'!$B$2:$AO$26,MATCH('Master data'!$B39,'Team forecast'!$B$2:$B$26,0),MATCH('Master data'!AO$1,'Team forecast'!$B$2:$AO$2,0))</f>
        <v>4.0794537672172888</v>
      </c>
      <c r="AP39" s="16">
        <f>INDEX('Team forecast'!$B$2:$AO$26,MATCH('Master data'!$B39,'Team forecast'!$B$2:$B$26,0),MATCH('Master data'!AP$1,'Team forecast'!$B$2:$AO$2,0))</f>
        <v>3.8114036773448627</v>
      </c>
      <c r="AQ39" s="5">
        <f>X39</f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>IF($C39="Defense",$N39*150000,IF($C39="Midfield",$N39*125000,IF($C39="Striker",$N39*100000,0)))*$AL39</f>
        <v>0</v>
      </c>
      <c r="AV39" s="5">
        <f>$O39*50000*AL39</f>
        <v>0</v>
      </c>
      <c r="AW39" s="5">
        <f>$P39*AO39*10000</f>
        <v>0</v>
      </c>
      <c r="AX39" s="5">
        <f>IF($C39="Goalkeeper",AN39*75000,IF($C39="Defense",AN39*50000,0))</f>
        <v>0</v>
      </c>
      <c r="AY39" s="5">
        <f>IF($C39="Goalkeeper",(AP39-AM39)*5000,0)</f>
        <v>0</v>
      </c>
      <c r="AZ39" s="5">
        <f>$AG39</f>
        <v>0</v>
      </c>
      <c r="BA39" s="5">
        <f>$AH39</f>
        <v>0</v>
      </c>
      <c r="BB39" s="5">
        <f>IF(X39&gt;0,AL39*10000,0)</f>
        <v>0</v>
      </c>
      <c r="BC39" s="5">
        <f>IF(X39&gt;0,AM39*(-8000),0)</f>
        <v>0</v>
      </c>
      <c r="BD39" s="5">
        <f>IFERROR(SUM(AQ39:BC39),0)</f>
        <v>-5000</v>
      </c>
      <c r="BE39" s="16">
        <f>INDEX('Team forecast'!$B$2:$AO$26,MATCH('Master data'!$B39,'Team forecast'!$B$2:$B$26,0),MATCH('Master data'!BE$1,'Team forecast'!$B$2:$AO$2,0))</f>
        <v>2.3394224481215296</v>
      </c>
      <c r="BF39" s="16">
        <f>INDEX('Team forecast'!$B$2:$AO$26,MATCH('Master data'!$B39,'Team forecast'!$B$2:$B$26,0),MATCH('Master data'!BF$1,'Team forecast'!$B$2:$AO$2,0))</f>
        <v>0.62462402002960304</v>
      </c>
      <c r="BG39" s="16">
        <f>INDEX('Team forecast'!$B$2:$AO$26,MATCH('Master data'!$B39,'Team forecast'!$B$2:$B$26,0),MATCH('Master data'!BG$1,'Team forecast'!$B$2:$AO$2,0))</f>
        <v>0.53546271393231015</v>
      </c>
      <c r="BH39" s="16">
        <f>INDEX('Team forecast'!$B$2:$AO$26,MATCH('Master data'!$B39,'Team forecast'!$B$2:$B$26,0),MATCH('Master data'!BH$1,'Team forecast'!$B$2:$AO$2,0))</f>
        <v>6.2459221342192031</v>
      </c>
      <c r="BI39" s="16">
        <f>INDEX('Team forecast'!$B$2:$AO$26,MATCH('Master data'!$B39,'Team forecast'!$B$2:$B$26,0),MATCH('Master data'!BI$1,'Team forecast'!$B$2:$AO$2,0))</f>
        <v>2.0505333990870809</v>
      </c>
      <c r="BJ39" s="5">
        <f>AQ39</f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>IF($C39="Defense",$N39*150000,IF($C39="Midfield",$N39*125000,IF($C39="Striker",$N39*100000,0)))*$BE39</f>
        <v>0</v>
      </c>
      <c r="BO39" s="5">
        <f>$O39*50000*$BE39</f>
        <v>0</v>
      </c>
      <c r="BP39" s="5">
        <f>$P39*BH39*10000</f>
        <v>0</v>
      </c>
      <c r="BQ39" s="5">
        <f>IF($C39="Goalkeeper",BG39*75000,IF($C39="Defense",BG39*50000,0))</f>
        <v>0</v>
      </c>
      <c r="BR39" s="5">
        <f>IF($C39="Goalkeeper",(BI39-BF39)*5000,0)</f>
        <v>0</v>
      </c>
      <c r="BS39" s="5">
        <f>$AG39</f>
        <v>0</v>
      </c>
      <c r="BT39" s="5">
        <f>$AH39</f>
        <v>0</v>
      </c>
      <c r="BU39" s="5">
        <f>IF(AQ39&gt;0,BE39*10000,0)</f>
        <v>0</v>
      </c>
      <c r="BV39" s="5">
        <f>IF(AQ39&gt;0,BF39*(-8000),0)</f>
        <v>0</v>
      </c>
      <c r="BW39" s="5">
        <f>IFERROR(SUM(BJ39:BV39),0)</f>
        <v>-5000</v>
      </c>
      <c r="BX39" s="5">
        <f>AVERAGE(AK39,BD39,BW39)</f>
        <v>-5000</v>
      </c>
      <c r="BY39" s="5">
        <f>BX39*3</f>
        <v>-15000</v>
      </c>
      <c r="BZ39" s="5">
        <f>INDEX('Team forecast'!$R$3:$BH$26,MATCH($B39,'Team forecast'!$B$3:$B$26,0),MATCH(BZ$1,'Team forecast'!$R$2:$BH$2,0))*($BX39-(BY39+CH39)*0.01)</f>
        <v>-47739.297858831793</v>
      </c>
      <c r="CA39" s="5">
        <f>INDEX('Team forecast'!$R$3:$BH$26,MATCH($B39,'Team forecast'!$B$3:$B$26,0),MATCH(CA$1,'Team forecast'!$R$2:$BH$2,0))*($BX39-(BY39+BX39+CH39)*0.01)</f>
        <v>-24330.539897010338</v>
      </c>
      <c r="CB39" s="5">
        <f>INDEX('Team forecast'!$R$3:$BH$26,MATCH($B39,'Team forecast'!$B$3:$B$26,0),MATCH(CB$1,'Team forecast'!$R$2:$BH$2,0))*($BX39-(BY39+BX39*2+CH39)*0.01)</f>
        <v>-12608.910562177658</v>
      </c>
      <c r="CC39" s="5">
        <f>INDEX('Team forecast'!$R$3:$BH$26,MATCH($B39,'Team forecast'!$B$3:$B$26,0),MATCH(CC$1,'Team forecast'!$R$2:$BH$2,0))*($BX39-(BY39+BX39*3+CH39)*0.01)</f>
        <v>-6885.3410698202479</v>
      </c>
      <c r="CD39" s="5">
        <f>+AK39+BD39*Cockpit!$C$3+BW39*Cockpit!$C$3^2+BZ39*Cockpit!$C$3^3+CA39*Cockpit!$C$3^4+CB39*Cockpit!$C$3^5+CC39*Cockpit!$C$3^6</f>
        <v>-31771.472325260227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-3.3333333333333335E-3</v>
      </c>
      <c r="CK39" s="5">
        <f>RANK(BY39,$BY$2:$BY$623)+COUNTIF($BY$2:$BY39,$BY39)-1</f>
        <v>427</v>
      </c>
      <c r="CL39" s="5">
        <f>RANK(CJ39,$CJ$2:$CJ$623)+COUNTIF($CJ$2:$CJ39,$CJ39)-1</f>
        <v>430</v>
      </c>
    </row>
    <row r="40" spans="1:90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1.5712166996139025</v>
      </c>
      <c r="I40" s="16">
        <f>INDEX('Team forecast'!$B$2:$AO$26,MATCH('Master data'!$B40,'Team forecast'!$B$2:$B$26,0),MATCH('Master data'!I$1,'Team forecast'!$B$2:$AO$2,0))</f>
        <v>0.76028648339757388</v>
      </c>
      <c r="J40" s="16">
        <f>INDEX('Team forecast'!$B$2:$AO$26,MATCH('Master data'!$B40,'Team forecast'!$B$2:$B$26,0),MATCH('Master data'!J$1,'Team forecast'!$B$2:$AO$2,0))</f>
        <v>0.46753246753246752</v>
      </c>
      <c r="K40" s="16">
        <f>INDEX('Team forecast'!$B$2:$AO$26,MATCH('Master data'!$B40,'Team forecast'!$B$2:$B$26,0),MATCH('Master data'!K$1,'Team forecast'!$B$2:$AO$2,0))</f>
        <v>4.4640175390899657</v>
      </c>
      <c r="L40" s="16">
        <f>INDEX('Team forecast'!$B$2:$AO$26,MATCH('Master data'!$B40,'Team forecast'!$B$2:$B$26,0),MATCH('Master data'!L$1,'Team forecast'!$B$2:$AO$2,0))</f>
        <v>2.4958899707496114</v>
      </c>
      <c r="M40">
        <f>IF(Players!BC41=1,95,0)</f>
        <v>95</v>
      </c>
      <c r="N40" s="2">
        <f>Players!BN41</f>
        <v>7.7829216050583211E-2</v>
      </c>
      <c r="O40" s="2">
        <f>Players!BO41</f>
        <v>0.11541726080608779</v>
      </c>
      <c r="P40" s="2">
        <f>Players!BP41</f>
        <v>4.4556764311310067E-2</v>
      </c>
      <c r="Q40" s="2">
        <f>Players!BQ41</f>
        <v>0.13622507122507121</v>
      </c>
      <c r="R40" s="2">
        <f>Players!BR41</f>
        <v>0</v>
      </c>
      <c r="S40" s="2">
        <f>H40</f>
        <v>1.5712166996139025</v>
      </c>
      <c r="T40" s="2">
        <f>I40</f>
        <v>0.76028648339757388</v>
      </c>
      <c r="U40" s="16">
        <f>INDEX('Team forecast'!$B$2:$AO$26,MATCH('Master data'!$B40,'Team forecast'!$B$2:$B$26,0),MATCH('Master data'!U$1,'Team forecast'!$B$2:$AO$2,0))</f>
        <v>0.58441558441558439</v>
      </c>
      <c r="V40" s="16">
        <f>INDEX('Team forecast'!$B$2:$AO$26,MATCH('Master data'!$B40,'Team forecast'!$B$2:$B$26,0),MATCH('Master data'!V$1,'Team forecast'!$B$2:$AO$2,0))</f>
        <v>0.25974025974025972</v>
      </c>
      <c r="W40" s="16">
        <f>INDEX('Team forecast'!$B$2:$AO$26,MATCH('Master data'!$B40,'Team forecast'!$B$2:$B$26,0),MATCH('Master data'!W$1,'Team forecast'!$B$2:$AO$2,0))</f>
        <v>0.15584415584415581</v>
      </c>
      <c r="X40" s="5">
        <f>IF(M40&gt;95,7000*2,IF(M40&gt;0,7000,-5000))</f>
        <v>7000</v>
      </c>
      <c r="Y40" s="5">
        <f>IF($X40&gt;0,U40*25000,0)</f>
        <v>14610.38961038961</v>
      </c>
      <c r="Z40" s="5">
        <f>IF($X40&gt;0,V40*5000,0)</f>
        <v>1298.7012987012986</v>
      </c>
      <c r="AA40" s="5">
        <f>IF($X40&gt;0,W40*(-15000),0)</f>
        <v>-2337.662337662337</v>
      </c>
      <c r="AB40" s="5">
        <f>IF($C40="Defense",$N40*150000,IF($C40="Midfield",$N40*125000,IF($C40="Striker",$N40*100000,0)))*$H40</f>
        <v>15285.820497066841</v>
      </c>
      <c r="AC40" s="5">
        <f>$O40*50000*H40</f>
        <v>9067.276380110914</v>
      </c>
      <c r="AD40" s="5">
        <f>$P40*K40*10000</f>
        <v>1989.0217737078597</v>
      </c>
      <c r="AE40" s="5">
        <f>IF($C40="Goalkeeper",J40*75000,IF($C40="Defense",J40*50000,0))</f>
        <v>0</v>
      </c>
      <c r="AF40" s="5">
        <f>IF($C40="Goalkeeper",(L40-I40)*5000,0)</f>
        <v>0</v>
      </c>
      <c r="AG40" s="5">
        <f>IF(M40&gt;0,Q40*(-20000),0)</f>
        <v>-2724.5014245014245</v>
      </c>
      <c r="AH40" s="5">
        <f>IF(M40&gt;0,R40*(-50000),0)</f>
        <v>0</v>
      </c>
      <c r="AI40" s="5">
        <f>IF(M40&gt;0,S40*10000,0)</f>
        <v>15712.166996139025</v>
      </c>
      <c r="AJ40" s="5">
        <f>IF(M40&gt;0,T40*(-8000),0)</f>
        <v>-6082.291867180591</v>
      </c>
      <c r="AK40" s="5">
        <f>IFERROR(SUM(X40:AJ40),-5000)*((Cockpit!$C$3)^0)</f>
        <v>53818.920926771207</v>
      </c>
      <c r="AL40" s="16">
        <f>INDEX('Team forecast'!$B$2:$AO$26,MATCH('Master data'!$B40,'Team forecast'!$B$2:$B$26,0),MATCH('Master data'!AL$1,'Team forecast'!$B$2:$AO$2,0))</f>
        <v>1.8476112368050062</v>
      </c>
      <c r="AM40" s="16">
        <f>INDEX('Team forecast'!$B$2:$AO$26,MATCH('Master data'!$B40,'Team forecast'!$B$2:$B$26,0),MATCH('Master data'!AM$1,'Team forecast'!$B$2:$AO$2,0))</f>
        <v>0.7977891123063281</v>
      </c>
      <c r="AN40" s="16">
        <f>INDEX('Team forecast'!$B$2:$AO$26,MATCH('Master data'!$B40,'Team forecast'!$B$2:$B$26,0),MATCH('Master data'!AN$1,'Team forecast'!$B$2:$AO$2,0))</f>
        <v>0.45032347896962183</v>
      </c>
      <c r="AO40" s="16">
        <f>INDEX('Team forecast'!$B$2:$AO$26,MATCH('Master data'!$B40,'Team forecast'!$B$2:$B$26,0),MATCH('Master data'!AO$1,'Team forecast'!$B$2:$AO$2,0))</f>
        <v>5.2492879998945963</v>
      </c>
      <c r="AP40" s="16">
        <f>INDEX('Team forecast'!$B$2:$AO$26,MATCH('Master data'!$B40,'Team forecast'!$B$2:$B$26,0),MATCH('Master data'!AP$1,'Team forecast'!$B$2:$AO$2,0))</f>
        <v>2.6190046616116831</v>
      </c>
      <c r="AQ40" s="5">
        <f>X40</f>
        <v>7000</v>
      </c>
      <c r="AR40" s="5">
        <f>INDEX('Team forecast'!$B$2:$AO$26,MATCH('Master data'!$B40,'Team forecast'!$B$2:$B$26,0),MATCH('Master data'!AR$1,'Team forecast'!$B$2:$AO$2,0))*IF(X40&gt;0,25000,0)</f>
        <v>15452.276239153689</v>
      </c>
      <c r="AS40" s="16">
        <f>INDEX('Team forecast'!$B$2:$AO$26,MATCH('Master data'!$B40,'Team forecast'!$B$2:$B$26,0),MATCH('Master data'!AS$1,'Team forecast'!$B$2:$AO$2,0))*IF(X40&gt;0,5000,0)</f>
        <v>1182.0991322952575</v>
      </c>
      <c r="AT40" s="16">
        <f>INDEX('Team forecast'!$B$2:$AO$26,MATCH('Master data'!$B40,'Team forecast'!$B$2:$B$26,0),MATCH('Master data'!AT$1,'Team forecast'!$B$2:$AO$2,0))*IF(X40&gt;0,-15000,0)</f>
        <v>-2182.3368596220134</v>
      </c>
      <c r="AU40" s="5">
        <f>IF($C40="Defense",$N40*150000,IF($C40="Midfield",$N40*125000,IF($C40="Striker",$N40*100000,0)))*$AL40</f>
        <v>17974.766765847762</v>
      </c>
      <c r="AV40" s="5">
        <f>$O40*50000*AL40</f>
        <v>10662.31139932909</v>
      </c>
      <c r="AW40" s="5">
        <f>$P40*AO40*10000</f>
        <v>2338.9128821349177</v>
      </c>
      <c r="AX40" s="5">
        <f>IF($C40="Goalkeeper",AN40*75000,IF($C40="Defense",AN40*50000,0))</f>
        <v>0</v>
      </c>
      <c r="AY40" s="5">
        <f>IF($C40="Goalkeeper",(AP40-AM40)*5000,0)</f>
        <v>0</v>
      </c>
      <c r="AZ40" s="5">
        <f>$AG40</f>
        <v>-2724.5014245014245</v>
      </c>
      <c r="BA40" s="5">
        <f>$AH40</f>
        <v>0</v>
      </c>
      <c r="BB40" s="5">
        <f>IF(X40&gt;0,AL40*10000,0)</f>
        <v>18476.11236805006</v>
      </c>
      <c r="BC40" s="5">
        <f>IF(X40&gt;0,AM40*(-8000),0)</f>
        <v>-6382.3128984506247</v>
      </c>
      <c r="BD40" s="5">
        <f>IFERROR(SUM(AQ40:BC40),0)</f>
        <v>61797.327604236714</v>
      </c>
      <c r="BE40" s="16">
        <f>INDEX('Team forecast'!$B$2:$AO$26,MATCH('Master data'!$B40,'Team forecast'!$B$2:$B$26,0),MATCH('Master data'!BE$1,'Team forecast'!$B$2:$AO$2,0))</f>
        <v>2.3683451623921505</v>
      </c>
      <c r="BF40" s="16">
        <f>INDEX('Team forecast'!$B$2:$AO$26,MATCH('Master data'!$B40,'Team forecast'!$B$2:$B$26,0),MATCH('Master data'!BF$1,'Team forecast'!$B$2:$AO$2,0))</f>
        <v>0.49102780480244929</v>
      </c>
      <c r="BG40" s="16">
        <f>INDEX('Team forecast'!$B$2:$AO$26,MATCH('Master data'!$B40,'Team forecast'!$B$2:$B$26,0),MATCH('Master data'!BG$1,'Team forecast'!$B$2:$AO$2,0))</f>
        <v>0.61199705730750009</v>
      </c>
      <c r="BH40" s="16">
        <f>INDEX('Team forecast'!$B$2:$AO$26,MATCH('Master data'!$B40,'Team forecast'!$B$2:$B$26,0),MATCH('Master data'!BH$1,'Team forecast'!$B$2:$AO$2,0))</f>
        <v>6.7287563492262965</v>
      </c>
      <c r="BI40" s="16">
        <f>INDEX('Team forecast'!$B$2:$AO$26,MATCH('Master data'!$B40,'Team forecast'!$B$2:$B$26,0),MATCH('Master data'!BI$1,'Team forecast'!$B$2:$AO$2,0))</f>
        <v>1.6119599652605658</v>
      </c>
      <c r="BJ40" s="5">
        <f>AQ40</f>
        <v>7000</v>
      </c>
      <c r="BK40" s="5">
        <f>INDEX('Team forecast'!$R$3:$BH$26,MATCH($B40,'Team forecast'!$B$3:$B$26,0),MATCH(BK$1,'Team forecast'!$R$2:$BH$2,0))*IF($X40&gt;0,25000,0)</f>
        <v>19838.040205094814</v>
      </c>
      <c r="BL40" s="5">
        <f>INDEX('Team forecast'!$R$3:$BH$26,MATCH($B40,'Team forecast'!$B$3:$B$26,0),MATCH(BL$1,'Team forecast'!$R$2:$BH$2,0))*IF($X40&gt;0,5000,0)</f>
        <v>720.27345975421156</v>
      </c>
      <c r="BM40" s="5">
        <f>INDEX('Team forecast'!$R$3:$BH$26,MATCH($B40,'Team forecast'!$B$3:$B$26,0),MATCH(BM$1,'Team forecast'!$R$2:$BH$2,0))*IF($X40&gt;0,-15000,0)</f>
        <v>-936.3554976804752</v>
      </c>
      <c r="BN40" s="5">
        <f>IF($C40="Defense",$N40*150000,IF($C40="Midfield",$N40*125000,IF($C40="Striker",$N40*100000,0)))*$BE40</f>
        <v>23040.805915771532</v>
      </c>
      <c r="BO40" s="5">
        <f>$O40*50000*$BE40</f>
        <v>13667.395564332557</v>
      </c>
      <c r="BP40" s="5">
        <f>$P40*BH40*10000</f>
        <v>2998.116107607073</v>
      </c>
      <c r="BQ40" s="5">
        <f>IF($C40="Goalkeeper",BG40*75000,IF($C40="Defense",BG40*50000,0))</f>
        <v>0</v>
      </c>
      <c r="BR40" s="5">
        <f>IF($C40="Goalkeeper",(BI40-BF40)*5000,0)</f>
        <v>0</v>
      </c>
      <c r="BS40" s="5">
        <f>$AG40</f>
        <v>-2724.5014245014245</v>
      </c>
      <c r="BT40" s="5">
        <f>$AH40</f>
        <v>0</v>
      </c>
      <c r="BU40" s="5">
        <f>IF(AQ40&gt;0,BE40*10000,0)</f>
        <v>23683.451623921505</v>
      </c>
      <c r="BV40" s="5">
        <f>IF(AQ40&gt;0,BF40*(-8000),0)</f>
        <v>-3928.2224384195943</v>
      </c>
      <c r="BW40" s="5">
        <f>IFERROR(SUM(BJ40:BV40),0)</f>
        <v>83359.003515880206</v>
      </c>
      <c r="BX40" s="5">
        <f>AVERAGE(AK40,BD40,BW40)</f>
        <v>66325.084015629371</v>
      </c>
      <c r="BY40" s="5">
        <f>BX40*3</f>
        <v>198975.25204688811</v>
      </c>
      <c r="BZ40" s="5">
        <f>INDEX('Team forecast'!$R$3:$BH$26,MATCH($B40,'Team forecast'!$B$3:$B$26,0),MATCH(BZ$1,'Team forecast'!$R$2:$BH$2,0))*($BX40-(BY40+CH40)*0.01)</f>
        <v>23526.899499743609</v>
      </c>
      <c r="CA40" s="5">
        <f>INDEX('Team forecast'!$R$3:$BH$26,MATCH($B40,'Team forecast'!$B$3:$B$26,0),MATCH(CA$1,'Team forecast'!$R$2:$BH$2,0))*($BX40-(BY40+BX40+CH40)*0.01)</f>
        <v>11437.490326551715</v>
      </c>
      <c r="CB40" s="5">
        <f>INDEX('Team forecast'!$R$3:$BH$26,MATCH($B40,'Team forecast'!$B$3:$B$26,0),MATCH(CB$1,'Team forecast'!$R$2:$BH$2,0))*($BX40-(BY40+BX40*2+CH40)*0.01)</f>
        <v>5553.6208791859417</v>
      </c>
      <c r="CC40" s="5">
        <f>INDEX('Team forecast'!$R$3:$BH$26,MATCH($B40,'Team forecast'!$B$3:$B$26,0),MATCH(CC$1,'Team forecast'!$R$2:$BH$2,0))*($BX40-(BY40+BX40*3+CH40)*0.01)</f>
        <v>2690.6363860871706</v>
      </c>
      <c r="CD40" s="5">
        <f>+AK40+BD40*Cockpit!$C$3+BW40*Cockpit!$C$3^2+BZ40*Cockpit!$C$3^3+CA40*Cockpit!$C$3^4+CB40*Cockpit!$C$3^5+CC40*Cockpit!$C$3^6</f>
        <v>142263.33188271598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4.9743813011722031E-2</v>
      </c>
      <c r="CK40" s="5">
        <f>RANK(BY40,$BY$2:$BY$623)+COUNTIF($BY$2:$BY40,$BY40)-1</f>
        <v>51</v>
      </c>
      <c r="CL40" s="5">
        <f>RANK(CJ40,$CJ$2:$CJ$623)+COUNTIF($CJ$2:$CJ40,$CJ40)-1</f>
        <v>32</v>
      </c>
    </row>
    <row r="41" spans="1:90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1.5712166996139025</v>
      </c>
      <c r="I41" s="16">
        <f>INDEX('Team forecast'!$B$2:$AO$26,MATCH('Master data'!$B41,'Team forecast'!$B$2:$B$26,0),MATCH('Master data'!I$1,'Team forecast'!$B$2:$AO$2,0))</f>
        <v>0.76028648339757388</v>
      </c>
      <c r="J41" s="16">
        <f>INDEX('Team forecast'!$B$2:$AO$26,MATCH('Master data'!$B41,'Team forecast'!$B$2:$B$26,0),MATCH('Master data'!J$1,'Team forecast'!$B$2:$AO$2,0))</f>
        <v>0.46753246753246752</v>
      </c>
      <c r="K41" s="16">
        <f>INDEX('Team forecast'!$B$2:$AO$26,MATCH('Master data'!$B41,'Team forecast'!$B$2:$B$26,0),MATCH('Master data'!K$1,'Team forecast'!$B$2:$AO$2,0))</f>
        <v>4.4640175390899657</v>
      </c>
      <c r="L41" s="16">
        <f>INDEX('Team forecast'!$B$2:$AO$26,MATCH('Master data'!$B41,'Team forecast'!$B$2:$B$26,0),MATCH('Master data'!L$1,'Team forecast'!$B$2:$AO$2,0))</f>
        <v>2.4958899707496114</v>
      </c>
      <c r="M41">
        <f>IF(Players!BC42=1,95,0)</f>
        <v>95</v>
      </c>
      <c r="N41" s="2">
        <f>Players!BN42</f>
        <v>0.20708375488534711</v>
      </c>
      <c r="O41" s="2">
        <f>Players!BO42</f>
        <v>4.6038408832818983E-2</v>
      </c>
      <c r="P41" s="2">
        <f>Players!BP42</f>
        <v>0.20447741720202239</v>
      </c>
      <c r="Q41" s="2">
        <f>Players!BQ42</f>
        <v>0.10697305863708399</v>
      </c>
      <c r="R41" s="2">
        <f>Players!BR42</f>
        <v>0</v>
      </c>
      <c r="S41" s="2">
        <f>H41</f>
        <v>1.5712166996139025</v>
      </c>
      <c r="T41" s="2">
        <f>I41</f>
        <v>0.76028648339757388</v>
      </c>
      <c r="U41" s="16">
        <f>INDEX('Team forecast'!$B$2:$AO$26,MATCH('Master data'!$B41,'Team forecast'!$B$2:$B$26,0),MATCH('Master data'!U$1,'Team forecast'!$B$2:$AO$2,0))</f>
        <v>0.58441558441558439</v>
      </c>
      <c r="V41" s="16">
        <f>INDEX('Team forecast'!$B$2:$AO$26,MATCH('Master data'!$B41,'Team forecast'!$B$2:$B$26,0),MATCH('Master data'!V$1,'Team forecast'!$B$2:$AO$2,0))</f>
        <v>0.25974025974025972</v>
      </c>
      <c r="W41" s="16">
        <f>INDEX('Team forecast'!$B$2:$AO$26,MATCH('Master data'!$B41,'Team forecast'!$B$2:$B$26,0),MATCH('Master data'!W$1,'Team forecast'!$B$2:$AO$2,0))</f>
        <v>0.15584415584415581</v>
      </c>
      <c r="X41" s="5">
        <f>IF(M41&gt;95,7000*2,IF(M41&gt;0,7000,-5000))</f>
        <v>7000</v>
      </c>
      <c r="Y41" s="5">
        <f>IF($X41&gt;0,U41*25000,0)</f>
        <v>14610.38961038961</v>
      </c>
      <c r="Z41" s="5">
        <f>IF($X41&gt;0,V41*5000,0)</f>
        <v>1298.7012987012986</v>
      </c>
      <c r="AA41" s="5">
        <f>IF($X41&gt;0,W41*(-15000),0)</f>
        <v>-2337.662337662337</v>
      </c>
      <c r="AB41" s="5">
        <f>IF($C41="Defense",$N41*150000,IF($C41="Midfield",$N41*125000,IF($C41="Striker",$N41*100000,0)))*$H41</f>
        <v>32537.345389460945</v>
      </c>
      <c r="AC41" s="5">
        <f>$O41*50000*H41</f>
        <v>3616.8158390888693</v>
      </c>
      <c r="AD41" s="5">
        <f>$P41*K41*10000</f>
        <v>9127.9077673764423</v>
      </c>
      <c r="AE41" s="5">
        <f>IF($C41="Goalkeeper",J41*75000,IF($C41="Defense",J41*50000,0))</f>
        <v>0</v>
      </c>
      <c r="AF41" s="5">
        <f>IF($C41="Goalkeeper",(L41-I41)*5000,0)</f>
        <v>0</v>
      </c>
      <c r="AG41" s="5">
        <f>IF(M41&gt;0,Q41*(-20000),0)</f>
        <v>-2139.46117274168</v>
      </c>
      <c r="AH41" s="5">
        <f>IF(M41&gt;0,R41*(-50000),0)</f>
        <v>0</v>
      </c>
      <c r="AI41" s="5">
        <f>IF(M41&gt;0,S41*10000,0)</f>
        <v>15712.166996139025</v>
      </c>
      <c r="AJ41" s="5">
        <f>IF(M41&gt;0,T41*(-8000),0)</f>
        <v>-6082.291867180591</v>
      </c>
      <c r="AK41" s="5">
        <f>IFERROR(SUM(X41:AJ41),-5000)*((Cockpit!$C$3)^0)</f>
        <v>73343.911523571587</v>
      </c>
      <c r="AL41" s="16">
        <f>INDEX('Team forecast'!$B$2:$AO$26,MATCH('Master data'!$B41,'Team forecast'!$B$2:$B$26,0),MATCH('Master data'!AL$1,'Team forecast'!$B$2:$AO$2,0))</f>
        <v>1.8476112368050062</v>
      </c>
      <c r="AM41" s="16">
        <f>INDEX('Team forecast'!$B$2:$AO$26,MATCH('Master data'!$B41,'Team forecast'!$B$2:$B$26,0),MATCH('Master data'!AM$1,'Team forecast'!$B$2:$AO$2,0))</f>
        <v>0.7977891123063281</v>
      </c>
      <c r="AN41" s="16">
        <f>INDEX('Team forecast'!$B$2:$AO$26,MATCH('Master data'!$B41,'Team forecast'!$B$2:$B$26,0),MATCH('Master data'!AN$1,'Team forecast'!$B$2:$AO$2,0))</f>
        <v>0.45032347896962183</v>
      </c>
      <c r="AO41" s="16">
        <f>INDEX('Team forecast'!$B$2:$AO$26,MATCH('Master data'!$B41,'Team forecast'!$B$2:$B$26,0),MATCH('Master data'!AO$1,'Team forecast'!$B$2:$AO$2,0))</f>
        <v>5.2492879998945963</v>
      </c>
      <c r="AP41" s="16">
        <f>INDEX('Team forecast'!$B$2:$AO$26,MATCH('Master data'!$B41,'Team forecast'!$B$2:$B$26,0),MATCH('Master data'!AP$1,'Team forecast'!$B$2:$AO$2,0))</f>
        <v>2.6190046616116831</v>
      </c>
      <c r="AQ41" s="5">
        <f>X41</f>
        <v>7000</v>
      </c>
      <c r="AR41" s="5">
        <f>INDEX('Team forecast'!$B$2:$AO$26,MATCH('Master data'!$B41,'Team forecast'!$B$2:$B$26,0),MATCH('Master data'!AR$1,'Team forecast'!$B$2:$AO$2,0))*IF(X41&gt;0,25000,0)</f>
        <v>15452.276239153689</v>
      </c>
      <c r="AS41" s="16">
        <f>INDEX('Team forecast'!$B$2:$AO$26,MATCH('Master data'!$B41,'Team forecast'!$B$2:$B$26,0),MATCH('Master data'!AS$1,'Team forecast'!$B$2:$AO$2,0))*IF(X41&gt;0,5000,0)</f>
        <v>1182.0991322952575</v>
      </c>
      <c r="AT41" s="16">
        <f>INDEX('Team forecast'!$B$2:$AO$26,MATCH('Master data'!$B41,'Team forecast'!$B$2:$B$26,0),MATCH('Master data'!AT$1,'Team forecast'!$B$2:$AO$2,0))*IF(X41&gt;0,-15000,0)</f>
        <v>-2182.3368596220134</v>
      </c>
      <c r="AU41" s="5">
        <f>IF($C41="Defense",$N41*150000,IF($C41="Midfield",$N41*125000,IF($C41="Striker",$N41*100000,0)))*$AL41</f>
        <v>38261.027248594095</v>
      </c>
      <c r="AV41" s="5">
        <f>$O41*50000*AL41</f>
        <v>4253.0540742069606</v>
      </c>
      <c r="AW41" s="5">
        <f>$P41*AO41*10000</f>
        <v>10733.608523680172</v>
      </c>
      <c r="AX41" s="5">
        <f>IF($C41="Goalkeeper",AN41*75000,IF($C41="Defense",AN41*50000,0))</f>
        <v>0</v>
      </c>
      <c r="AY41" s="5">
        <f>IF($C41="Goalkeeper",(AP41-AM41)*5000,0)</f>
        <v>0</v>
      </c>
      <c r="AZ41" s="5">
        <f>$AG41</f>
        <v>-2139.46117274168</v>
      </c>
      <c r="BA41" s="5">
        <f>$AH41</f>
        <v>0</v>
      </c>
      <c r="BB41" s="5">
        <f>IF(X41&gt;0,AL41*10000,0)</f>
        <v>18476.11236805006</v>
      </c>
      <c r="BC41" s="5">
        <f>IF(X41&gt;0,AM41*(-8000),0)</f>
        <v>-6382.3128984506247</v>
      </c>
      <c r="BD41" s="5">
        <f>IFERROR(SUM(AQ41:BC41),0)</f>
        <v>84654.066655165923</v>
      </c>
      <c r="BE41" s="16">
        <f>INDEX('Team forecast'!$B$2:$AO$26,MATCH('Master data'!$B41,'Team forecast'!$B$2:$B$26,0),MATCH('Master data'!BE$1,'Team forecast'!$B$2:$AO$2,0))</f>
        <v>2.3683451623921505</v>
      </c>
      <c r="BF41" s="16">
        <f>INDEX('Team forecast'!$B$2:$AO$26,MATCH('Master data'!$B41,'Team forecast'!$B$2:$B$26,0),MATCH('Master data'!BF$1,'Team forecast'!$B$2:$AO$2,0))</f>
        <v>0.49102780480244929</v>
      </c>
      <c r="BG41" s="16">
        <f>INDEX('Team forecast'!$B$2:$AO$26,MATCH('Master data'!$B41,'Team forecast'!$B$2:$B$26,0),MATCH('Master data'!BG$1,'Team forecast'!$B$2:$AO$2,0))</f>
        <v>0.61199705730750009</v>
      </c>
      <c r="BH41" s="16">
        <f>INDEX('Team forecast'!$B$2:$AO$26,MATCH('Master data'!$B41,'Team forecast'!$B$2:$B$26,0),MATCH('Master data'!BH$1,'Team forecast'!$B$2:$AO$2,0))</f>
        <v>6.7287563492262965</v>
      </c>
      <c r="BI41" s="16">
        <f>INDEX('Team forecast'!$B$2:$AO$26,MATCH('Master data'!$B41,'Team forecast'!$B$2:$B$26,0),MATCH('Master data'!BI$1,'Team forecast'!$B$2:$AO$2,0))</f>
        <v>1.6119599652605658</v>
      </c>
      <c r="BJ41" s="5">
        <f>AQ41</f>
        <v>7000</v>
      </c>
      <c r="BK41" s="5">
        <f>INDEX('Team forecast'!$R$3:$BH$26,MATCH($B41,'Team forecast'!$B$3:$B$26,0),MATCH(BK$1,'Team forecast'!$R$2:$BH$2,0))*IF($X41&gt;0,25000,0)</f>
        <v>19838.040205094814</v>
      </c>
      <c r="BL41" s="5">
        <f>INDEX('Team forecast'!$R$3:$BH$26,MATCH($B41,'Team forecast'!$B$3:$B$26,0),MATCH(BL$1,'Team forecast'!$R$2:$BH$2,0))*IF($X41&gt;0,5000,0)</f>
        <v>720.27345975421156</v>
      </c>
      <c r="BM41" s="5">
        <f>INDEX('Team forecast'!$R$3:$BH$26,MATCH($B41,'Team forecast'!$B$3:$B$26,0),MATCH(BM$1,'Team forecast'!$R$2:$BH$2,0))*IF($X41&gt;0,-15000,0)</f>
        <v>-936.3554976804752</v>
      </c>
      <c r="BN41" s="5">
        <f>IF($C41="Defense",$N41*150000,IF($C41="Midfield",$N41*125000,IF($C41="Striker",$N41*100000,0)))*$BE41</f>
        <v>49044.580909271368</v>
      </c>
      <c r="BO41" s="5">
        <f>$O41*50000*$BE41</f>
        <v>5451.7421421719446</v>
      </c>
      <c r="BP41" s="5">
        <f>$P41*BH41*10000</f>
        <v>13758.787192715025</v>
      </c>
      <c r="BQ41" s="5">
        <f>IF($C41="Goalkeeper",BG41*75000,IF($C41="Defense",BG41*50000,0))</f>
        <v>0</v>
      </c>
      <c r="BR41" s="5">
        <f>IF($C41="Goalkeeper",(BI41-BF41)*5000,0)</f>
        <v>0</v>
      </c>
      <c r="BS41" s="5">
        <f>$AG41</f>
        <v>-2139.46117274168</v>
      </c>
      <c r="BT41" s="5">
        <f>$AH41</f>
        <v>0</v>
      </c>
      <c r="BU41" s="5">
        <f>IF(AQ41&gt;0,BE41*10000,0)</f>
        <v>23683.451623921505</v>
      </c>
      <c r="BV41" s="5">
        <f>IF(AQ41&gt;0,BF41*(-8000),0)</f>
        <v>-3928.2224384195943</v>
      </c>
      <c r="BW41" s="5">
        <f>IFERROR(SUM(BJ41:BV41),0)</f>
        <v>112492.83642408712</v>
      </c>
      <c r="BX41" s="5">
        <f>AVERAGE(AK41,BD41,BW41)</f>
        <v>90163.604867608214</v>
      </c>
      <c r="BY41" s="5">
        <f>BX41*3</f>
        <v>270490.81460282463</v>
      </c>
      <c r="BZ41" s="5">
        <f>INDEX('Team forecast'!$R$3:$BH$26,MATCH($B41,'Team forecast'!$B$3:$B$26,0),MATCH(BZ$1,'Team forecast'!$R$2:$BH$2,0))*($BX41-(BY41+CH41)*0.01)</f>
        <v>31380.402433109855</v>
      </c>
      <c r="CA41" s="5">
        <f>INDEX('Team forecast'!$R$3:$BH$26,MATCH($B41,'Team forecast'!$B$3:$B$26,0),MATCH(CA$1,'Team forecast'!$R$2:$BH$2,0))*($BX41-(BY41+BX41+CH41)*0.01)</f>
        <v>15247.226529892869</v>
      </c>
      <c r="CB41" s="5">
        <f>INDEX('Team forecast'!$R$3:$BH$26,MATCH($B41,'Team forecast'!$B$3:$B$26,0),MATCH(CB$1,'Team forecast'!$R$2:$BH$2,0))*($BX41-(BY41+BX41*2+CH41)*0.01)</f>
        <v>7399.2726976301365</v>
      </c>
      <c r="CC41" s="5">
        <f>INDEX('Team forecast'!$R$3:$BH$26,MATCH($B41,'Team forecast'!$B$3:$B$26,0),MATCH(CC$1,'Team forecast'!$R$2:$BH$2,0))*($BX41-(BY41+BX41*3+CH41)*0.01)</f>
        <v>3582.660635286989</v>
      </c>
      <c r="CD41" s="5">
        <f>+AK41+BD41*Cockpit!$C$3+BW41*Cockpit!$C$3^2+BZ41*Cockpit!$C$3^3+CA41*Cockpit!$C$3^4+CB41*Cockpit!$C$3^5+CC41*Cockpit!$C$3^6</f>
        <v>193375.38395334114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4.9180148109604478E-2</v>
      </c>
      <c r="CK41" s="5">
        <f>RANK(BY41,$BY$2:$BY$623)+COUNTIF($BY$2:$BY41,$BY41)-1</f>
        <v>12</v>
      </c>
      <c r="CL41" s="5">
        <f>RANK(CJ41,$CJ$2:$CJ$623)+COUNTIF($CJ$2:$CJ41,$CJ41)-1</f>
        <v>33</v>
      </c>
    </row>
    <row r="42" spans="1:90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1.5712166996139025</v>
      </c>
      <c r="I42" s="16">
        <f>INDEX('Team forecast'!$B$2:$AO$26,MATCH('Master data'!$B42,'Team forecast'!$B$2:$B$26,0),MATCH('Master data'!I$1,'Team forecast'!$B$2:$AO$2,0))</f>
        <v>0.76028648339757388</v>
      </c>
      <c r="J42" s="16">
        <f>INDEX('Team forecast'!$B$2:$AO$26,MATCH('Master data'!$B42,'Team forecast'!$B$2:$B$26,0),MATCH('Master data'!J$1,'Team forecast'!$B$2:$AO$2,0))</f>
        <v>0.46753246753246752</v>
      </c>
      <c r="K42" s="16">
        <f>INDEX('Team forecast'!$B$2:$AO$26,MATCH('Master data'!$B42,'Team forecast'!$B$2:$B$26,0),MATCH('Master data'!K$1,'Team forecast'!$B$2:$AO$2,0))</f>
        <v>4.4640175390899657</v>
      </c>
      <c r="L42" s="16">
        <f>INDEX('Team forecast'!$B$2:$AO$26,MATCH('Master data'!$B42,'Team forecast'!$B$2:$B$26,0),MATCH('Master data'!L$1,'Team forecast'!$B$2:$AO$2,0))</f>
        <v>2.4958899707496114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>H42</f>
        <v>1.5712166996139025</v>
      </c>
      <c r="T42" s="2">
        <f>I42</f>
        <v>0.76028648339757388</v>
      </c>
      <c r="U42" s="16">
        <f>INDEX('Team forecast'!$B$2:$AO$26,MATCH('Master data'!$B42,'Team forecast'!$B$2:$B$26,0),MATCH('Master data'!U$1,'Team forecast'!$B$2:$AO$2,0))</f>
        <v>0.58441558441558439</v>
      </c>
      <c r="V42" s="16">
        <f>INDEX('Team forecast'!$B$2:$AO$26,MATCH('Master data'!$B42,'Team forecast'!$B$2:$B$26,0),MATCH('Master data'!V$1,'Team forecast'!$B$2:$AO$2,0))</f>
        <v>0.25974025974025972</v>
      </c>
      <c r="W42" s="16">
        <f>INDEX('Team forecast'!$B$2:$AO$26,MATCH('Master data'!$B42,'Team forecast'!$B$2:$B$26,0),MATCH('Master data'!W$1,'Team forecast'!$B$2:$AO$2,0))</f>
        <v>0.15584415584415581</v>
      </c>
      <c r="X42" s="5">
        <f>IF(M42&gt;95,7000*2,IF(M42&gt;0,7000,-5000))</f>
        <v>-5000</v>
      </c>
      <c r="Y42" s="5">
        <f>IF($X42&gt;0,U42*25000,0)</f>
        <v>0</v>
      </c>
      <c r="Z42" s="5">
        <f>IF($X42&gt;0,V42*5000,0)</f>
        <v>0</v>
      </c>
      <c r="AA42" s="5">
        <f>IF($X42&gt;0,W42*(-15000),0)</f>
        <v>0</v>
      </c>
      <c r="AB42" s="5">
        <f>IF($C42="Defense",$N42*150000,IF($C42="Midfield",$N42*125000,IF($C42="Striker",$N42*100000,0)))*$H42</f>
        <v>0</v>
      </c>
      <c r="AC42" s="5">
        <f>$O42*50000*H42</f>
        <v>0</v>
      </c>
      <c r="AD42" s="5">
        <f>$P42*K42*10000</f>
        <v>0</v>
      </c>
      <c r="AE42" s="5">
        <f>IF($C42="Goalkeeper",J42*75000,IF($C42="Defense",J42*50000,0))</f>
        <v>0</v>
      </c>
      <c r="AF42" s="5">
        <f>IF($C42="Goalkeeper",(L42-I42)*5000,0)</f>
        <v>0</v>
      </c>
      <c r="AG42" s="5">
        <f>IF(M42&gt;0,Q42*(-20000),0)</f>
        <v>0</v>
      </c>
      <c r="AH42" s="5">
        <f>IF(M42&gt;0,R42*(-50000),0)</f>
        <v>0</v>
      </c>
      <c r="AI42" s="5">
        <f>IF(M42&gt;0,S42*10000,0)</f>
        <v>0</v>
      </c>
      <c r="AJ42" s="5">
        <f>IF(M42&gt;0,T42*(-8000),0)</f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1.8476112368050062</v>
      </c>
      <c r="AM42" s="16">
        <f>INDEX('Team forecast'!$B$2:$AO$26,MATCH('Master data'!$B42,'Team forecast'!$B$2:$B$26,0),MATCH('Master data'!AM$1,'Team forecast'!$B$2:$AO$2,0))</f>
        <v>0.7977891123063281</v>
      </c>
      <c r="AN42" s="16">
        <f>INDEX('Team forecast'!$B$2:$AO$26,MATCH('Master data'!$B42,'Team forecast'!$B$2:$B$26,0),MATCH('Master data'!AN$1,'Team forecast'!$B$2:$AO$2,0))</f>
        <v>0.45032347896962183</v>
      </c>
      <c r="AO42" s="16">
        <f>INDEX('Team forecast'!$B$2:$AO$26,MATCH('Master data'!$B42,'Team forecast'!$B$2:$B$26,0),MATCH('Master data'!AO$1,'Team forecast'!$B$2:$AO$2,0))</f>
        <v>5.2492879998945963</v>
      </c>
      <c r="AP42" s="16">
        <f>INDEX('Team forecast'!$B$2:$AO$26,MATCH('Master data'!$B42,'Team forecast'!$B$2:$B$26,0),MATCH('Master data'!AP$1,'Team forecast'!$B$2:$AO$2,0))</f>
        <v>2.6190046616116831</v>
      </c>
      <c r="AQ42" s="5">
        <f>X42</f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>IF($C42="Defense",$N42*150000,IF($C42="Midfield",$N42*125000,IF($C42="Striker",$N42*100000,0)))*$AL42</f>
        <v>0</v>
      </c>
      <c r="AV42" s="5">
        <f>$O42*50000*AL42</f>
        <v>0</v>
      </c>
      <c r="AW42" s="5">
        <f>$P42*AO42*10000</f>
        <v>0</v>
      </c>
      <c r="AX42" s="5">
        <f>IF($C42="Goalkeeper",AN42*75000,IF($C42="Defense",AN42*50000,0))</f>
        <v>0</v>
      </c>
      <c r="AY42" s="5">
        <f>IF($C42="Goalkeeper",(AP42-AM42)*5000,0)</f>
        <v>0</v>
      </c>
      <c r="AZ42" s="5">
        <f>$AG42</f>
        <v>0</v>
      </c>
      <c r="BA42" s="5">
        <f>$AH42</f>
        <v>0</v>
      </c>
      <c r="BB42" s="5">
        <f>IF(X42&gt;0,AL42*10000,0)</f>
        <v>0</v>
      </c>
      <c r="BC42" s="5">
        <f>IF(X42&gt;0,AM42*(-8000),0)</f>
        <v>0</v>
      </c>
      <c r="BD42" s="5">
        <f>IFERROR(SUM(AQ42:BC42),0)</f>
        <v>-5000</v>
      </c>
      <c r="BE42" s="16">
        <f>INDEX('Team forecast'!$B$2:$AO$26,MATCH('Master data'!$B42,'Team forecast'!$B$2:$B$26,0),MATCH('Master data'!BE$1,'Team forecast'!$B$2:$AO$2,0))</f>
        <v>2.3683451623921505</v>
      </c>
      <c r="BF42" s="16">
        <f>INDEX('Team forecast'!$B$2:$AO$26,MATCH('Master data'!$B42,'Team forecast'!$B$2:$B$26,0),MATCH('Master data'!BF$1,'Team forecast'!$B$2:$AO$2,0))</f>
        <v>0.49102780480244929</v>
      </c>
      <c r="BG42" s="16">
        <f>INDEX('Team forecast'!$B$2:$AO$26,MATCH('Master data'!$B42,'Team forecast'!$B$2:$B$26,0),MATCH('Master data'!BG$1,'Team forecast'!$B$2:$AO$2,0))</f>
        <v>0.61199705730750009</v>
      </c>
      <c r="BH42" s="16">
        <f>INDEX('Team forecast'!$B$2:$AO$26,MATCH('Master data'!$B42,'Team forecast'!$B$2:$B$26,0),MATCH('Master data'!BH$1,'Team forecast'!$B$2:$AO$2,0))</f>
        <v>6.7287563492262965</v>
      </c>
      <c r="BI42" s="16">
        <f>INDEX('Team forecast'!$B$2:$AO$26,MATCH('Master data'!$B42,'Team forecast'!$B$2:$B$26,0),MATCH('Master data'!BI$1,'Team forecast'!$B$2:$AO$2,0))</f>
        <v>1.6119599652605658</v>
      </c>
      <c r="BJ42" s="5">
        <f>AQ42</f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>IF($C42="Defense",$N42*150000,IF($C42="Midfield",$N42*125000,IF($C42="Striker",$N42*100000,0)))*$BE42</f>
        <v>0</v>
      </c>
      <c r="BO42" s="5">
        <f>$O42*50000*$BE42</f>
        <v>0</v>
      </c>
      <c r="BP42" s="5">
        <f>$P42*BH42*10000</f>
        <v>0</v>
      </c>
      <c r="BQ42" s="5">
        <f>IF($C42="Goalkeeper",BG42*75000,IF($C42="Defense",BG42*50000,0))</f>
        <v>0</v>
      </c>
      <c r="BR42" s="5">
        <f>IF($C42="Goalkeeper",(BI42-BF42)*5000,0)</f>
        <v>0</v>
      </c>
      <c r="BS42" s="5">
        <f>$AG42</f>
        <v>0</v>
      </c>
      <c r="BT42" s="5">
        <f>$AH42</f>
        <v>0</v>
      </c>
      <c r="BU42" s="5">
        <f>IF(AQ42&gt;0,BE42*10000,0)</f>
        <v>0</v>
      </c>
      <c r="BV42" s="5">
        <f>IF(AQ42&gt;0,BF42*(-8000),0)</f>
        <v>0</v>
      </c>
      <c r="BW42" s="5">
        <f>IFERROR(SUM(BJ42:BV42),0)</f>
        <v>-5000</v>
      </c>
      <c r="BX42" s="5">
        <f>AVERAGE(AK42,BD42,BW42)</f>
        <v>-5000</v>
      </c>
      <c r="BY42" s="5">
        <f>BX42*3</f>
        <v>-15000</v>
      </c>
      <c r="BZ42" s="5">
        <f>INDEX('Team forecast'!$R$3:$BH$26,MATCH($B42,'Team forecast'!$B$3:$B$26,0),MATCH(BZ$1,'Team forecast'!$R$2:$BH$2,0))*($BX42-(BY42+CH42)*0.01)</f>
        <v>-38526.162885894133</v>
      </c>
      <c r="CA42" s="5">
        <f>INDEX('Team forecast'!$R$3:$BH$26,MATCH($B42,'Team forecast'!$B$3:$B$26,0),MATCH(CA$1,'Team forecast'!$R$2:$BH$2,0))*($BX42-(BY42+BX42+CH42)*0.01)</f>
        <v>-19229.915681303999</v>
      </c>
      <c r="CB42" s="5">
        <f>INDEX('Team forecast'!$R$3:$BH$26,MATCH($B42,'Team forecast'!$B$3:$B$26,0),MATCH(CB$1,'Team forecast'!$R$2:$BH$2,0))*($BX42-(BY42+BX42*2+CH42)*0.01)</f>
        <v>-9594.4223032665559</v>
      </c>
      <c r="CC42" s="5">
        <f>INDEX('Team forecast'!$R$3:$BH$26,MATCH($B42,'Team forecast'!$B$3:$B$26,0),MATCH(CC$1,'Team forecast'!$R$2:$BH$2,0))*($BX42-(BY42+BX42*3+CH42)*0.01)</f>
        <v>-4780.2862771486944</v>
      </c>
      <c r="CD42" s="5">
        <f>+AK42+BD42*Cockpit!$C$3+BW42*Cockpit!$C$3^2+BZ42*Cockpit!$C$3^3+CA42*Cockpit!$C$3^4+CB42*Cockpit!$C$3^5+CC42*Cockpit!$C$3^6</f>
        <v>-27452.348291237329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-4.2857142857142859E-3</v>
      </c>
      <c r="CK42" s="5">
        <f>RANK(BY42,$BY$2:$BY$623)+COUNTIF($BY$2:$BY42,$BY42)-1</f>
        <v>428</v>
      </c>
      <c r="CL42" s="5">
        <f>RANK(CJ42,$CJ$2:$CJ$623)+COUNTIF($CJ$2:$CJ42,$CJ42)-1</f>
        <v>455</v>
      </c>
    </row>
    <row r="43" spans="1:90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1.2386203137003762</v>
      </c>
      <c r="I43" s="16">
        <f>INDEX('Team forecast'!$B$2:$AO$26,MATCH('Master data'!$B43,'Team forecast'!$B$2:$B$26,0),MATCH('Master data'!I$1,'Team forecast'!$B$2:$AO$2,0))</f>
        <v>1.2386203137003762</v>
      </c>
      <c r="J43" s="16">
        <f>INDEX('Team forecast'!$B$2:$AO$26,MATCH('Master data'!$B43,'Team forecast'!$B$2:$B$26,0),MATCH('Master data'!J$1,'Team forecast'!$B$2:$AO$2,0))</f>
        <v>0.28978375293296982</v>
      </c>
      <c r="K43" s="16">
        <f>INDEX('Team forecast'!$B$2:$AO$26,MATCH('Master data'!$B43,'Team forecast'!$B$2:$B$26,0),MATCH('Master data'!K$1,'Team forecast'!$B$2:$AO$2,0))</f>
        <v>3.2490442399577706</v>
      </c>
      <c r="L43" s="16">
        <f>INDEX('Team forecast'!$B$2:$AO$26,MATCH('Master data'!$B43,'Team forecast'!$B$2:$B$26,0),MATCH('Master data'!L$1,'Team forecast'!$B$2:$AO$2,0))</f>
        <v>3.2998357975681776</v>
      </c>
      <c r="M43">
        <f>IF(Players!BC44=1,95,0)</f>
        <v>95</v>
      </c>
      <c r="N43" s="2">
        <f>Players!BN44</f>
        <v>8.8797661765750532E-2</v>
      </c>
      <c r="O43" s="2">
        <f>Players!BO44</f>
        <v>0.16245815630784036</v>
      </c>
      <c r="P43" s="2">
        <f>Players!BP44</f>
        <v>0.13183760246949616</v>
      </c>
      <c r="Q43" s="2">
        <f>Players!BQ44</f>
        <v>5.9171597633136098E-2</v>
      </c>
      <c r="R43" s="2">
        <f>Players!BR44</f>
        <v>0</v>
      </c>
      <c r="S43" s="2">
        <f>H43</f>
        <v>1.2386203137003762</v>
      </c>
      <c r="T43" s="2">
        <f>I43</f>
        <v>1.2386203137003762</v>
      </c>
      <c r="U43" s="16">
        <f>INDEX('Team forecast'!$B$2:$AO$26,MATCH('Master data'!$B43,'Team forecast'!$B$2:$B$26,0),MATCH('Master data'!U$1,'Team forecast'!$B$2:$AO$2,0))</f>
        <v>0.33635614179719708</v>
      </c>
      <c r="V43" s="16">
        <f>INDEX('Team forecast'!$B$2:$AO$26,MATCH('Master data'!$B43,'Team forecast'!$B$2:$B$26,0),MATCH('Master data'!V$1,'Team forecast'!$B$2:$AO$2,0))</f>
        <v>0.29431162407254741</v>
      </c>
      <c r="W43" s="16">
        <f>INDEX('Team forecast'!$B$2:$AO$26,MATCH('Master data'!$B43,'Team forecast'!$B$2:$B$26,0),MATCH('Master data'!W$1,'Team forecast'!$B$2:$AO$2,0))</f>
        <v>0.36933223413025562</v>
      </c>
      <c r="X43" s="5">
        <f>IF(M43&gt;95,7000*2,IF(M43&gt;0,7000,-5000))</f>
        <v>7000</v>
      </c>
      <c r="Y43" s="5">
        <f>IF($X43&gt;0,U43*25000,0)</f>
        <v>8408.9035449299263</v>
      </c>
      <c r="Z43" s="5">
        <f>IF($X43&gt;0,V43*5000,0)</f>
        <v>1471.5581203627371</v>
      </c>
      <c r="AA43" s="5">
        <f>IF($X43&gt;0,W43*(-15000),0)</f>
        <v>-5539.9835119538347</v>
      </c>
      <c r="AB43" s="5">
        <f>IF($C43="Defense",$N43*150000,IF($C43="Midfield",$N43*125000,IF($C43="Striker",$N43*100000,0)))*$H43</f>
        <v>13748.323459019228</v>
      </c>
      <c r="AC43" s="5">
        <f>$O43*50000*H43</f>
        <v>10061.198626460098</v>
      </c>
      <c r="AD43" s="5">
        <f>$P43*K43*10000</f>
        <v>4283.4620291335887</v>
      </c>
      <c r="AE43" s="5">
        <f>IF($C43="Goalkeeper",J43*75000,IF($C43="Defense",J43*50000,0))</f>
        <v>0</v>
      </c>
      <c r="AF43" s="5">
        <f>IF($C43="Goalkeeper",(L43-I43)*5000,0)</f>
        <v>0</v>
      </c>
      <c r="AG43" s="5">
        <f>IF(M43&gt;0,Q43*(-20000),0)</f>
        <v>-1183.4319526627219</v>
      </c>
      <c r="AH43" s="5">
        <f>IF(M43&gt;0,R43*(-50000),0)</f>
        <v>0</v>
      </c>
      <c r="AI43" s="5">
        <f>IF(M43&gt;0,S43*10000,0)</f>
        <v>12386.203137003762</v>
      </c>
      <c r="AJ43" s="5">
        <f>IF(M43&gt;0,T43*(-8000),0)</f>
        <v>-9908.9625096030086</v>
      </c>
      <c r="AK43" s="5">
        <f>IFERROR(SUM(X43:AJ43),-5000)*((Cockpit!$C$3)^0)</f>
        <v>40727.270942689778</v>
      </c>
      <c r="AL43" s="16">
        <f>INDEX('Team forecast'!$B$2:$AO$26,MATCH('Master data'!$B43,'Team forecast'!$B$2:$B$26,0),MATCH('Master data'!AL$1,'Team forecast'!$B$2:$AO$2,0))</f>
        <v>1.384389503157577</v>
      </c>
      <c r="AM43" s="16">
        <f>INDEX('Team forecast'!$B$2:$AO$26,MATCH('Master data'!$B43,'Team forecast'!$B$2:$B$26,0),MATCH('Master data'!AM$1,'Team forecast'!$B$2:$AO$2,0))</f>
        <v>1.1612459518433673</v>
      </c>
      <c r="AN43" s="16">
        <f>INDEX('Team forecast'!$B$2:$AO$26,MATCH('Master data'!$B43,'Team forecast'!$B$2:$B$26,0),MATCH('Master data'!AN$1,'Team forecast'!$B$2:$AO$2,0))</f>
        <v>0.31309583542398389</v>
      </c>
      <c r="AO43" s="16">
        <f>INDEX('Team forecast'!$B$2:$AO$26,MATCH('Master data'!$B43,'Team forecast'!$B$2:$B$26,0),MATCH('Master data'!AO$1,'Team forecast'!$B$2:$AO$2,0))</f>
        <v>3.6314136715992724</v>
      </c>
      <c r="AP43" s="16">
        <f>INDEX('Team forecast'!$B$2:$AO$26,MATCH('Master data'!$B43,'Team forecast'!$B$2:$B$26,0),MATCH('Master data'!AP$1,'Team forecast'!$B$2:$AO$2,0))</f>
        <v>3.0937010472773676</v>
      </c>
      <c r="AQ43" s="5">
        <f>X43</f>
        <v>7000</v>
      </c>
      <c r="AR43" s="5">
        <f>INDEX('Team forecast'!$B$2:$AO$26,MATCH('Master data'!$B43,'Team forecast'!$B$2:$B$26,0),MATCH('Master data'!AR$1,'Team forecast'!$B$2:$AO$2,0))*IF(X43&gt;0,25000,0)</f>
        <v>10436.527847466134</v>
      </c>
      <c r="AS43" s="16">
        <f>INDEX('Team forecast'!$B$2:$AO$26,MATCH('Master data'!$B43,'Team forecast'!$B$2:$B$26,0),MATCH('Master data'!AS$1,'Team forecast'!$B$2:$AO$2,0))*IF(X43&gt;0,5000,0)</f>
        <v>1467.6367285499246</v>
      </c>
      <c r="AT43" s="16">
        <f>INDEX('Team forecast'!$B$2:$AO$26,MATCH('Master data'!$B43,'Team forecast'!$B$2:$B$26,0),MATCH('Master data'!AT$1,'Team forecast'!$B$2:$AO$2,0))*IF(X43&gt;0,-15000,0)</f>
        <v>-4335.1731058705464</v>
      </c>
      <c r="AU43" s="5">
        <f>IF($C43="Defense",$N43*150000,IF($C43="Midfield",$N43*125000,IF($C43="Striker",$N43*100000,0)))*$AL43</f>
        <v>15366.318856680244</v>
      </c>
      <c r="AV43" s="5">
        <f>$O43*50000*AL43</f>
        <v>11245.268314745355</v>
      </c>
      <c r="AW43" s="5">
        <f>$P43*AO43*10000</f>
        <v>4787.5687203859834</v>
      </c>
      <c r="AX43" s="5">
        <f>IF($C43="Goalkeeper",AN43*75000,IF($C43="Defense",AN43*50000,0))</f>
        <v>0</v>
      </c>
      <c r="AY43" s="5">
        <f>IF($C43="Goalkeeper",(AP43-AM43)*5000,0)</f>
        <v>0</v>
      </c>
      <c r="AZ43" s="5">
        <f>$AG43</f>
        <v>-1183.4319526627219</v>
      </c>
      <c r="BA43" s="5">
        <f>$AH43</f>
        <v>0</v>
      </c>
      <c r="BB43" s="5">
        <f>IF(X43&gt;0,AL43*10000,0)</f>
        <v>13843.89503157577</v>
      </c>
      <c r="BC43" s="5">
        <f>IF(X43&gt;0,AM43*(-8000),0)</f>
        <v>-9289.9676147469381</v>
      </c>
      <c r="BD43" s="5">
        <f>IFERROR(SUM(AQ43:BC43),0)</f>
        <v>49338.642826123207</v>
      </c>
      <c r="BE43" s="16">
        <f>INDEX('Team forecast'!$B$2:$AO$26,MATCH('Master data'!$B43,'Team forecast'!$B$2:$B$26,0),MATCH('Master data'!BE$1,'Team forecast'!$B$2:$AO$2,0))</f>
        <v>2.4374022591536644</v>
      </c>
      <c r="BF43" s="16">
        <f>INDEX('Team forecast'!$B$2:$AO$26,MATCH('Master data'!$B43,'Team forecast'!$B$2:$B$26,0),MATCH('Master data'!BF$1,'Team forecast'!$B$2:$AO$2,0))</f>
        <v>0.68661022841383224</v>
      </c>
      <c r="BG43" s="16">
        <f>INDEX('Team forecast'!$B$2:$AO$26,MATCH('Master data'!$B43,'Team forecast'!$B$2:$B$26,0),MATCH('Master data'!BG$1,'Team forecast'!$B$2:$AO$2,0))</f>
        <v>0.50327918232493496</v>
      </c>
      <c r="BH43" s="16">
        <f>INDEX('Team forecast'!$B$2:$AO$26,MATCH('Master data'!$B43,'Team forecast'!$B$2:$B$26,0),MATCH('Master data'!BH$1,'Team forecast'!$B$2:$AO$2,0))</f>
        <v>6.3935878355689084</v>
      </c>
      <c r="BI43" s="16">
        <f>INDEX('Team forecast'!$B$2:$AO$26,MATCH('Master data'!$B43,'Team forecast'!$B$2:$B$26,0),MATCH('Master data'!BI$1,'Team forecast'!$B$2:$AO$2,0))</f>
        <v>1.8292135092857056</v>
      </c>
      <c r="BJ43" s="5">
        <f>AQ43</f>
        <v>7000</v>
      </c>
      <c r="BK43" s="5">
        <f>INDEX('Team forecast'!$R$3:$BH$26,MATCH($B43,'Team forecast'!$B$3:$B$26,0),MATCH(BK$1,'Team forecast'!$R$2:$BH$2,0))*IF($X43&gt;0,25000,0)</f>
        <v>19380.307222593263</v>
      </c>
      <c r="BL43" s="5">
        <f>INDEX('Team forecast'!$R$3:$BH$26,MATCH($B43,'Team forecast'!$B$3:$B$26,0),MATCH(BL$1,'Team forecast'!$R$2:$BH$2,0))*IF($X43&gt;0,5000,0)</f>
        <v>739.43326018509651</v>
      </c>
      <c r="BM43" s="5">
        <f>INDEX('Team forecast'!$R$3:$BH$26,MATCH($B43,'Team forecast'!$B$3:$B$26,0),MATCH(BM$1,'Team forecast'!$R$2:$BH$2,0))*IF($X43&gt;0,-15000,0)</f>
        <v>-1153.5158858887507</v>
      </c>
      <c r="BN43" s="5">
        <f>IF($C43="Defense",$N43*150000,IF($C43="Midfield",$N43*125000,IF($C43="Striker",$N43*100000,0)))*$BE43</f>
        <v>27054.452674425411</v>
      </c>
      <c r="BO43" s="5">
        <f>$O43*50000*$BE43</f>
        <v>19798.793860133461</v>
      </c>
      <c r="BP43" s="5">
        <f>$P43*BH43*10000</f>
        <v>8429.1529141954015</v>
      </c>
      <c r="BQ43" s="5">
        <f>IF($C43="Goalkeeper",BG43*75000,IF($C43="Defense",BG43*50000,0))</f>
        <v>0</v>
      </c>
      <c r="BR43" s="5">
        <f>IF($C43="Goalkeeper",(BI43-BF43)*5000,0)</f>
        <v>0</v>
      </c>
      <c r="BS43" s="5">
        <f>$AG43</f>
        <v>-1183.4319526627219</v>
      </c>
      <c r="BT43" s="5">
        <f>$AH43</f>
        <v>0</v>
      </c>
      <c r="BU43" s="5">
        <f>IF(AQ43&gt;0,BE43*10000,0)</f>
        <v>24374.022591536643</v>
      </c>
      <c r="BV43" s="5">
        <f>IF(AQ43&gt;0,BF43*(-8000),0)</f>
        <v>-5492.8818273106581</v>
      </c>
      <c r="BW43" s="5">
        <f>IFERROR(SUM(BJ43:BV43),0)</f>
        <v>98946.332857207162</v>
      </c>
      <c r="BX43" s="5">
        <f>AVERAGE(AK43,BD43,BW43)</f>
        <v>63004.082208673382</v>
      </c>
      <c r="BY43" s="5">
        <f>BX43*3</f>
        <v>189012.24662602015</v>
      </c>
      <c r="BZ43" s="5">
        <f>INDEX('Team forecast'!$R$3:$BH$26,MATCH($B43,'Team forecast'!$B$3:$B$26,0),MATCH(BZ$1,'Team forecast'!$R$2:$BH$2,0))*($BX43-(BY43+CH43)*0.01)</f>
        <v>-3460.3431936027314</v>
      </c>
      <c r="CA43" s="5">
        <f>INDEX('Team forecast'!$R$3:$BH$26,MATCH($B43,'Team forecast'!$B$3:$B$26,0),MATCH(CA$1,'Team forecast'!$R$2:$BH$2,0))*($BX43-(BY43+BX43+CH43)*0.01)</f>
        <v>-2043.651004619109</v>
      </c>
      <c r="CB43" s="5">
        <f>INDEX('Team forecast'!$R$3:$BH$26,MATCH($B43,'Team forecast'!$B$3:$B$26,0),MATCH(CB$1,'Team forecast'!$R$2:$BH$2,0))*($BX43-(BY43+BX43*2+CH43)*0.01)</f>
        <v>-1199.7384159675719</v>
      </c>
      <c r="CC43" s="5">
        <f>INDEX('Team forecast'!$R$3:$BH$26,MATCH($B43,'Team forecast'!$B$3:$B$26,0),MATCH(CC$1,'Team forecast'!$R$2:$BH$2,0))*($BX43-(BY43+BX43*3+CH43)*0.01)</f>
        <v>-724.48580754820398</v>
      </c>
      <c r="CD43" s="5">
        <f>+AK43+BD43*Cockpit!$C$3+BW43*Cockpit!$C$3^2+BZ43*Cockpit!$C$3^3+CA43*Cockpit!$C$3^4+CB43*Cockpit!$C$3^5+CC43*Cockpit!$C$3^6</f>
        <v>115945.28247236289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2.907880717323387E-2</v>
      </c>
      <c r="CK43" s="5">
        <f>RANK(BY43,$BY$2:$BY$623)+COUNTIF($BY$2:$BY43,$BY43)-1</f>
        <v>59</v>
      </c>
      <c r="CL43" s="5">
        <f>RANK(CJ43,$CJ$2:$CJ$623)+COUNTIF($CJ$2:$CJ43,$CJ43)-1</f>
        <v>154</v>
      </c>
    </row>
    <row r="44" spans="1:90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1.2386203137003762</v>
      </c>
      <c r="I44" s="16">
        <f>INDEX('Team forecast'!$B$2:$AO$26,MATCH('Master data'!$B44,'Team forecast'!$B$2:$B$26,0),MATCH('Master data'!I$1,'Team forecast'!$B$2:$AO$2,0))</f>
        <v>1.2386203137003762</v>
      </c>
      <c r="J44" s="16">
        <f>INDEX('Team forecast'!$B$2:$AO$26,MATCH('Master data'!$B44,'Team forecast'!$B$2:$B$26,0),MATCH('Master data'!J$1,'Team forecast'!$B$2:$AO$2,0))</f>
        <v>0.28978375293296982</v>
      </c>
      <c r="K44" s="16">
        <f>INDEX('Team forecast'!$B$2:$AO$26,MATCH('Master data'!$B44,'Team forecast'!$B$2:$B$26,0),MATCH('Master data'!K$1,'Team forecast'!$B$2:$AO$2,0))</f>
        <v>3.2490442399577706</v>
      </c>
      <c r="L44" s="16">
        <f>INDEX('Team forecast'!$B$2:$AO$26,MATCH('Master data'!$B44,'Team forecast'!$B$2:$B$26,0),MATCH('Master data'!L$1,'Team forecast'!$B$2:$AO$2,0))</f>
        <v>3.2998357975681776</v>
      </c>
      <c r="M44">
        <f>IF(Players!BC45=1,95,0)</f>
        <v>95</v>
      </c>
      <c r="N44" s="2">
        <f>Players!BN45</f>
        <v>7.7877344171688304E-2</v>
      </c>
      <c r="O44" s="2">
        <f>Players!BO45</f>
        <v>0.16467450886713841</v>
      </c>
      <c r="P44" s="2">
        <f>Players!BP45</f>
        <v>7.9863163034406326E-2</v>
      </c>
      <c r="Q44" s="2">
        <f>Players!BQ45</f>
        <v>0.1469299044151115</v>
      </c>
      <c r="R44" s="2">
        <f>Players!BR45</f>
        <v>0</v>
      </c>
      <c r="S44" s="2">
        <f>H44</f>
        <v>1.2386203137003762</v>
      </c>
      <c r="T44" s="2">
        <f>I44</f>
        <v>1.2386203137003762</v>
      </c>
      <c r="U44" s="16">
        <f>INDEX('Team forecast'!$B$2:$AO$26,MATCH('Master data'!$B44,'Team forecast'!$B$2:$B$26,0),MATCH('Master data'!U$1,'Team forecast'!$B$2:$AO$2,0))</f>
        <v>0.33635614179719708</v>
      </c>
      <c r="V44" s="16">
        <f>INDEX('Team forecast'!$B$2:$AO$26,MATCH('Master data'!$B44,'Team forecast'!$B$2:$B$26,0),MATCH('Master data'!V$1,'Team forecast'!$B$2:$AO$2,0))</f>
        <v>0.29431162407254741</v>
      </c>
      <c r="W44" s="16">
        <f>INDEX('Team forecast'!$B$2:$AO$26,MATCH('Master data'!$B44,'Team forecast'!$B$2:$B$26,0),MATCH('Master data'!W$1,'Team forecast'!$B$2:$AO$2,0))</f>
        <v>0.36933223413025562</v>
      </c>
      <c r="X44" s="5">
        <f>IF(M44&gt;95,7000*2,IF(M44&gt;0,7000,-5000))</f>
        <v>7000</v>
      </c>
      <c r="Y44" s="5">
        <f>IF($X44&gt;0,U44*25000,0)</f>
        <v>8408.9035449299263</v>
      </c>
      <c r="Z44" s="5">
        <f>IF($X44&gt;0,V44*5000,0)</f>
        <v>1471.5581203627371</v>
      </c>
      <c r="AA44" s="5">
        <f>IF($X44&gt;0,W44*(-15000),0)</f>
        <v>-5539.9835119538347</v>
      </c>
      <c r="AB44" s="5">
        <f>IF($C44="Defense",$N44*150000,IF($C44="Midfield",$N44*125000,IF($C44="Striker",$N44*100000,0)))*$H44</f>
        <v>12057.557558511093</v>
      </c>
      <c r="AC44" s="5">
        <f>$O44*50000*H44</f>
        <v>10198.459591573519</v>
      </c>
      <c r="AD44" s="5">
        <f>$P44*K44*10000</f>
        <v>2594.7894984174623</v>
      </c>
      <c r="AE44" s="5">
        <f>IF($C44="Goalkeeper",J44*75000,IF($C44="Defense",J44*50000,0))</f>
        <v>0</v>
      </c>
      <c r="AF44" s="5">
        <f>IF($C44="Goalkeeper",(L44-I44)*5000,0)</f>
        <v>0</v>
      </c>
      <c r="AG44" s="5">
        <f>IF(M44&gt;0,Q44*(-20000),0)</f>
        <v>-2938.5980883022298</v>
      </c>
      <c r="AH44" s="5">
        <f>IF(M44&gt;0,R44*(-50000),0)</f>
        <v>0</v>
      </c>
      <c r="AI44" s="5">
        <f>IF(M44&gt;0,S44*10000,0)</f>
        <v>12386.203137003762</v>
      </c>
      <c r="AJ44" s="5">
        <f>IF(M44&gt;0,T44*(-8000),0)</f>
        <v>-9908.9625096030086</v>
      </c>
      <c r="AK44" s="5">
        <f>IFERROR(SUM(X44:AJ44),-5000)*((Cockpit!$C$3)^0)</f>
        <v>35729.927340939437</v>
      </c>
      <c r="AL44" s="16">
        <f>INDEX('Team forecast'!$B$2:$AO$26,MATCH('Master data'!$B44,'Team forecast'!$B$2:$B$26,0),MATCH('Master data'!AL$1,'Team forecast'!$B$2:$AO$2,0))</f>
        <v>1.384389503157577</v>
      </c>
      <c r="AM44" s="16">
        <f>INDEX('Team forecast'!$B$2:$AO$26,MATCH('Master data'!$B44,'Team forecast'!$B$2:$B$26,0),MATCH('Master data'!AM$1,'Team forecast'!$B$2:$AO$2,0))</f>
        <v>1.1612459518433673</v>
      </c>
      <c r="AN44" s="16">
        <f>INDEX('Team forecast'!$B$2:$AO$26,MATCH('Master data'!$B44,'Team forecast'!$B$2:$B$26,0),MATCH('Master data'!AN$1,'Team forecast'!$B$2:$AO$2,0))</f>
        <v>0.31309583542398389</v>
      </c>
      <c r="AO44" s="16">
        <f>INDEX('Team forecast'!$B$2:$AO$26,MATCH('Master data'!$B44,'Team forecast'!$B$2:$B$26,0),MATCH('Master data'!AO$1,'Team forecast'!$B$2:$AO$2,0))</f>
        <v>3.6314136715992724</v>
      </c>
      <c r="AP44" s="16">
        <f>INDEX('Team forecast'!$B$2:$AO$26,MATCH('Master data'!$B44,'Team forecast'!$B$2:$B$26,0),MATCH('Master data'!AP$1,'Team forecast'!$B$2:$AO$2,0))</f>
        <v>3.0937010472773676</v>
      </c>
      <c r="AQ44" s="5">
        <f>X44</f>
        <v>7000</v>
      </c>
      <c r="AR44" s="5">
        <f>INDEX('Team forecast'!$B$2:$AO$26,MATCH('Master data'!$B44,'Team forecast'!$B$2:$B$26,0),MATCH('Master data'!AR$1,'Team forecast'!$B$2:$AO$2,0))*IF(X44&gt;0,25000,0)</f>
        <v>10436.527847466134</v>
      </c>
      <c r="AS44" s="16">
        <f>INDEX('Team forecast'!$B$2:$AO$26,MATCH('Master data'!$B44,'Team forecast'!$B$2:$B$26,0),MATCH('Master data'!AS$1,'Team forecast'!$B$2:$AO$2,0))*IF(X44&gt;0,5000,0)</f>
        <v>1467.6367285499246</v>
      </c>
      <c r="AT44" s="16">
        <f>INDEX('Team forecast'!$B$2:$AO$26,MATCH('Master data'!$B44,'Team forecast'!$B$2:$B$26,0),MATCH('Master data'!AT$1,'Team forecast'!$B$2:$AO$2,0))*IF(X44&gt;0,-15000,0)</f>
        <v>-4335.1731058705464</v>
      </c>
      <c r="AU44" s="5">
        <f>IF($C44="Defense",$N44*150000,IF($C44="Midfield",$N44*125000,IF($C44="Striker",$N44*100000,0)))*$AL44</f>
        <v>13476.572225634402</v>
      </c>
      <c r="AV44" s="5">
        <f>$O44*50000*AL44</f>
        <v>11398.683075664789</v>
      </c>
      <c r="AW44" s="5">
        <f>$P44*AO44*10000</f>
        <v>2900.1618210030479</v>
      </c>
      <c r="AX44" s="5">
        <f>IF($C44="Goalkeeper",AN44*75000,IF($C44="Defense",AN44*50000,0))</f>
        <v>0</v>
      </c>
      <c r="AY44" s="5">
        <f>IF($C44="Goalkeeper",(AP44-AM44)*5000,0)</f>
        <v>0</v>
      </c>
      <c r="AZ44" s="5">
        <f>$AG44</f>
        <v>-2938.5980883022298</v>
      </c>
      <c r="BA44" s="5">
        <f>$AH44</f>
        <v>0</v>
      </c>
      <c r="BB44" s="5">
        <f>IF(X44&gt;0,AL44*10000,0)</f>
        <v>13843.89503157577</v>
      </c>
      <c r="BC44" s="5">
        <f>IF(X44&gt;0,AM44*(-8000),0)</f>
        <v>-9289.9676147469381</v>
      </c>
      <c r="BD44" s="5">
        <f>IFERROR(SUM(AQ44:BC44),0)</f>
        <v>43959.737920974359</v>
      </c>
      <c r="BE44" s="16">
        <f>INDEX('Team forecast'!$B$2:$AO$26,MATCH('Master data'!$B44,'Team forecast'!$B$2:$B$26,0),MATCH('Master data'!BE$1,'Team forecast'!$B$2:$AO$2,0))</f>
        <v>2.4374022591536644</v>
      </c>
      <c r="BF44" s="16">
        <f>INDEX('Team forecast'!$B$2:$AO$26,MATCH('Master data'!$B44,'Team forecast'!$B$2:$B$26,0),MATCH('Master data'!BF$1,'Team forecast'!$B$2:$AO$2,0))</f>
        <v>0.68661022841383224</v>
      </c>
      <c r="BG44" s="16">
        <f>INDEX('Team forecast'!$B$2:$AO$26,MATCH('Master data'!$B44,'Team forecast'!$B$2:$B$26,0),MATCH('Master data'!BG$1,'Team forecast'!$B$2:$AO$2,0))</f>
        <v>0.50327918232493496</v>
      </c>
      <c r="BH44" s="16">
        <f>INDEX('Team forecast'!$B$2:$AO$26,MATCH('Master data'!$B44,'Team forecast'!$B$2:$B$26,0),MATCH('Master data'!BH$1,'Team forecast'!$B$2:$AO$2,0))</f>
        <v>6.3935878355689084</v>
      </c>
      <c r="BI44" s="16">
        <f>INDEX('Team forecast'!$B$2:$AO$26,MATCH('Master data'!$B44,'Team forecast'!$B$2:$B$26,0),MATCH('Master data'!BI$1,'Team forecast'!$B$2:$AO$2,0))</f>
        <v>1.8292135092857056</v>
      </c>
      <c r="BJ44" s="5">
        <f>AQ44</f>
        <v>7000</v>
      </c>
      <c r="BK44" s="5">
        <f>INDEX('Team forecast'!$R$3:$BH$26,MATCH($B44,'Team forecast'!$B$3:$B$26,0),MATCH(BK$1,'Team forecast'!$R$2:$BH$2,0))*IF($X44&gt;0,25000,0)</f>
        <v>19380.307222593263</v>
      </c>
      <c r="BL44" s="5">
        <f>INDEX('Team forecast'!$R$3:$BH$26,MATCH($B44,'Team forecast'!$B$3:$B$26,0),MATCH(BL$1,'Team forecast'!$R$2:$BH$2,0))*IF($X44&gt;0,5000,0)</f>
        <v>739.43326018509651</v>
      </c>
      <c r="BM44" s="5">
        <f>INDEX('Team forecast'!$R$3:$BH$26,MATCH($B44,'Team forecast'!$B$3:$B$26,0),MATCH(BM$1,'Team forecast'!$R$2:$BH$2,0))*IF($X44&gt;0,-15000,0)</f>
        <v>-1153.5158858887507</v>
      </c>
      <c r="BN44" s="5">
        <f>IF($C44="Defense",$N44*150000,IF($C44="Midfield",$N44*125000,IF($C44="Striker",$N44*100000,0)))*$BE44</f>
        <v>23727.301827620067</v>
      </c>
      <c r="BO44" s="5">
        <f>$O44*50000*$BE44</f>
        <v>20068.900996889166</v>
      </c>
      <c r="BP44" s="5">
        <f>$P44*BH44*10000</f>
        <v>5106.1214768683685</v>
      </c>
      <c r="BQ44" s="5">
        <f>IF($C44="Goalkeeper",BG44*75000,IF($C44="Defense",BG44*50000,0))</f>
        <v>0</v>
      </c>
      <c r="BR44" s="5">
        <f>IF($C44="Goalkeeper",(BI44-BF44)*5000,0)</f>
        <v>0</v>
      </c>
      <c r="BS44" s="5">
        <f>$AG44</f>
        <v>-2938.5980883022298</v>
      </c>
      <c r="BT44" s="5">
        <f>$AH44</f>
        <v>0</v>
      </c>
      <c r="BU44" s="5">
        <f>IF(AQ44&gt;0,BE44*10000,0)</f>
        <v>24374.022591536643</v>
      </c>
      <c r="BV44" s="5">
        <f>IF(AQ44&gt;0,BF44*(-8000),0)</f>
        <v>-5492.8818273106581</v>
      </c>
      <c r="BW44" s="5">
        <f>IFERROR(SUM(BJ44:BV44),0)</f>
        <v>90811.09157419097</v>
      </c>
      <c r="BX44" s="5">
        <f>AVERAGE(AK44,BD44,BW44)</f>
        <v>56833.58561203492</v>
      </c>
      <c r="BY44" s="5">
        <f>BX44*3</f>
        <v>170500.75683610476</v>
      </c>
      <c r="BZ44" s="5">
        <f>INDEX('Team forecast'!$R$3:$BH$26,MATCH($B44,'Team forecast'!$B$3:$B$26,0),MATCH(BZ$1,'Team forecast'!$R$2:$BH$2,0))*($BX44-(BY44+CH44)*0.01)</f>
        <v>4566.7669272442627</v>
      </c>
      <c r="CA44" s="5">
        <f>INDEX('Team forecast'!$R$3:$BH$26,MATCH($B44,'Team forecast'!$B$3:$B$26,0),MATCH(CA$1,'Team forecast'!$R$2:$BH$2,0))*($BX44-(BY44+BX44+CH44)*0.01)</f>
        <v>2063.6351215762165</v>
      </c>
      <c r="CB44" s="5">
        <f>INDEX('Team forecast'!$R$3:$BH$26,MATCH($B44,'Team forecast'!$B$3:$B$26,0),MATCH(CB$1,'Team forecast'!$R$2:$BH$2,0))*($BX44-(BY44+BX44*2+CH44)*0.01)</f>
        <v>930.65097760827302</v>
      </c>
      <c r="CC44" s="5">
        <f>INDEX('Team forecast'!$R$3:$BH$26,MATCH($B44,'Team forecast'!$B$3:$B$26,0),MATCH(CC$1,'Team forecast'!$R$2:$BH$2,0))*($BX44-(BY44+BX44*3+CH44)*0.01)</f>
        <v>429.40760831842658</v>
      </c>
      <c r="CD44" s="5">
        <f>+AK44+BD44*Cockpit!$C$3+BW44*Cockpit!$C$3^2+BZ44*Cockpit!$C$3^3+CA44*Cockpit!$C$3^4+CB44*Cockpit!$C$3^5+CC44*Cockpit!$C$3^6</f>
        <v>107317.90538511764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3.410015136722095E-2</v>
      </c>
      <c r="CK44" s="5">
        <f>RANK(BY44,$BY$2:$BY$623)+COUNTIF($BY$2:$BY44,$BY44)-1</f>
        <v>78</v>
      </c>
      <c r="CL44" s="5">
        <f>RANK(CJ44,$CJ$2:$CJ$623)+COUNTIF($CJ$2:$CJ44,$CJ44)-1</f>
        <v>112</v>
      </c>
    </row>
    <row r="45" spans="1:90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1.2386203137003762</v>
      </c>
      <c r="I45" s="16">
        <f>INDEX('Team forecast'!$B$2:$AO$26,MATCH('Master data'!$B45,'Team forecast'!$B$2:$B$26,0),MATCH('Master data'!I$1,'Team forecast'!$B$2:$AO$2,0))</f>
        <v>1.2386203137003762</v>
      </c>
      <c r="J45" s="16">
        <f>INDEX('Team forecast'!$B$2:$AO$26,MATCH('Master data'!$B45,'Team forecast'!$B$2:$B$26,0),MATCH('Master data'!J$1,'Team forecast'!$B$2:$AO$2,0))</f>
        <v>0.28978375293296982</v>
      </c>
      <c r="K45" s="16">
        <f>INDEX('Team forecast'!$B$2:$AO$26,MATCH('Master data'!$B45,'Team forecast'!$B$2:$B$26,0),MATCH('Master data'!K$1,'Team forecast'!$B$2:$AO$2,0))</f>
        <v>3.2490442399577706</v>
      </c>
      <c r="L45" s="16">
        <f>INDEX('Team forecast'!$B$2:$AO$26,MATCH('Master data'!$B45,'Team forecast'!$B$2:$B$26,0),MATCH('Master data'!L$1,'Team forecast'!$B$2:$AO$2,0))</f>
        <v>3.2998357975681776</v>
      </c>
      <c r="M45">
        <f>IF(Players!BC46=1,95,0)</f>
        <v>95</v>
      </c>
      <c r="N45" s="2">
        <f>Players!BN46</f>
        <v>0.16278514354138895</v>
      </c>
      <c r="O45" s="2">
        <f>Players!BO46</f>
        <v>5.2361515980368041E-2</v>
      </c>
      <c r="P45" s="2">
        <f>Players!BP46</f>
        <v>0.13582357924366625</v>
      </c>
      <c r="Q45" s="2">
        <f>Players!BQ46</f>
        <v>2.2167487684729061E-2</v>
      </c>
      <c r="R45" s="2">
        <f>Players!BR46</f>
        <v>0</v>
      </c>
      <c r="S45" s="2">
        <f>H45</f>
        <v>1.2386203137003762</v>
      </c>
      <c r="T45" s="2">
        <f>I45</f>
        <v>1.2386203137003762</v>
      </c>
      <c r="U45" s="16">
        <f>INDEX('Team forecast'!$B$2:$AO$26,MATCH('Master data'!$B45,'Team forecast'!$B$2:$B$26,0),MATCH('Master data'!U$1,'Team forecast'!$B$2:$AO$2,0))</f>
        <v>0.33635614179719708</v>
      </c>
      <c r="V45" s="16">
        <f>INDEX('Team forecast'!$B$2:$AO$26,MATCH('Master data'!$B45,'Team forecast'!$B$2:$B$26,0),MATCH('Master data'!V$1,'Team forecast'!$B$2:$AO$2,0))</f>
        <v>0.29431162407254741</v>
      </c>
      <c r="W45" s="16">
        <f>INDEX('Team forecast'!$B$2:$AO$26,MATCH('Master data'!$B45,'Team forecast'!$B$2:$B$26,0),MATCH('Master data'!W$1,'Team forecast'!$B$2:$AO$2,0))</f>
        <v>0.36933223413025562</v>
      </c>
      <c r="X45" s="5">
        <f>IF(M45&gt;95,7000*2,IF(M45&gt;0,7000,-5000))</f>
        <v>7000</v>
      </c>
      <c r="Y45" s="5">
        <f>IF($X45&gt;0,U45*25000,0)</f>
        <v>8408.9035449299263</v>
      </c>
      <c r="Z45" s="5">
        <f>IF($X45&gt;0,V45*5000,0)</f>
        <v>1471.5581203627371</v>
      </c>
      <c r="AA45" s="5">
        <f>IF($X45&gt;0,W45*(-15000),0)</f>
        <v>-5539.9835119538347</v>
      </c>
      <c r="AB45" s="5">
        <f>IF($C45="Defense",$N45*150000,IF($C45="Midfield",$N45*125000,IF($C45="Striker",$N45*100000,0)))*$H45</f>
        <v>25203.623194874493</v>
      </c>
      <c r="AC45" s="5">
        <f>$O45*50000*H45</f>
        <v>3242.8018674715363</v>
      </c>
      <c r="AD45" s="5">
        <f>$P45*K45*10000</f>
        <v>4412.9681779208167</v>
      </c>
      <c r="AE45" s="5">
        <f>IF($C45="Goalkeeper",J45*75000,IF($C45="Defense",J45*50000,0))</f>
        <v>0</v>
      </c>
      <c r="AF45" s="5">
        <f>IF($C45="Goalkeeper",(L45-I45)*5000,0)</f>
        <v>0</v>
      </c>
      <c r="AG45" s="5">
        <f>IF(M45&gt;0,Q45*(-20000),0)</f>
        <v>-443.34975369458124</v>
      </c>
      <c r="AH45" s="5">
        <f>IF(M45&gt;0,R45*(-50000),0)</f>
        <v>0</v>
      </c>
      <c r="AI45" s="5">
        <f>IF(M45&gt;0,S45*10000,0)</f>
        <v>12386.203137003762</v>
      </c>
      <c r="AJ45" s="5">
        <f>IF(M45&gt;0,T45*(-8000),0)</f>
        <v>-9908.9625096030086</v>
      </c>
      <c r="AK45" s="5">
        <f>IFERROR(SUM(X45:AJ45),-5000)*((Cockpit!$C$3)^0)</f>
        <v>46233.762267311846</v>
      </c>
      <c r="AL45" s="16">
        <f>INDEX('Team forecast'!$B$2:$AO$26,MATCH('Master data'!$B45,'Team forecast'!$B$2:$B$26,0),MATCH('Master data'!AL$1,'Team forecast'!$B$2:$AO$2,0))</f>
        <v>1.384389503157577</v>
      </c>
      <c r="AM45" s="16">
        <f>INDEX('Team forecast'!$B$2:$AO$26,MATCH('Master data'!$B45,'Team forecast'!$B$2:$B$26,0),MATCH('Master data'!AM$1,'Team forecast'!$B$2:$AO$2,0))</f>
        <v>1.1612459518433673</v>
      </c>
      <c r="AN45" s="16">
        <f>INDEX('Team forecast'!$B$2:$AO$26,MATCH('Master data'!$B45,'Team forecast'!$B$2:$B$26,0),MATCH('Master data'!AN$1,'Team forecast'!$B$2:$AO$2,0))</f>
        <v>0.31309583542398389</v>
      </c>
      <c r="AO45" s="16">
        <f>INDEX('Team forecast'!$B$2:$AO$26,MATCH('Master data'!$B45,'Team forecast'!$B$2:$B$26,0),MATCH('Master data'!AO$1,'Team forecast'!$B$2:$AO$2,0))</f>
        <v>3.6314136715992724</v>
      </c>
      <c r="AP45" s="16">
        <f>INDEX('Team forecast'!$B$2:$AO$26,MATCH('Master data'!$B45,'Team forecast'!$B$2:$B$26,0),MATCH('Master data'!AP$1,'Team forecast'!$B$2:$AO$2,0))</f>
        <v>3.0937010472773676</v>
      </c>
      <c r="AQ45" s="5">
        <f>X45</f>
        <v>7000</v>
      </c>
      <c r="AR45" s="5">
        <f>INDEX('Team forecast'!$B$2:$AO$26,MATCH('Master data'!$B45,'Team forecast'!$B$2:$B$26,0),MATCH('Master data'!AR$1,'Team forecast'!$B$2:$AO$2,0))*IF(X45&gt;0,25000,0)</f>
        <v>10436.527847466134</v>
      </c>
      <c r="AS45" s="16">
        <f>INDEX('Team forecast'!$B$2:$AO$26,MATCH('Master data'!$B45,'Team forecast'!$B$2:$B$26,0),MATCH('Master data'!AS$1,'Team forecast'!$B$2:$AO$2,0))*IF(X45&gt;0,5000,0)</f>
        <v>1467.6367285499246</v>
      </c>
      <c r="AT45" s="16">
        <f>INDEX('Team forecast'!$B$2:$AO$26,MATCH('Master data'!$B45,'Team forecast'!$B$2:$B$26,0),MATCH('Master data'!AT$1,'Team forecast'!$B$2:$AO$2,0))*IF(X45&gt;0,-15000,0)</f>
        <v>-4335.1731058705464</v>
      </c>
      <c r="AU45" s="5">
        <f>IF($C45="Defense",$N45*150000,IF($C45="Midfield",$N45*125000,IF($C45="Striker",$N45*100000,0)))*$AL45</f>
        <v>28169.755498587288</v>
      </c>
      <c r="AV45" s="5">
        <f>$O45*50000*AL45</f>
        <v>3624.436654631962</v>
      </c>
      <c r="AW45" s="5">
        <f>$P45*AO45*10000</f>
        <v>4932.3160259099677</v>
      </c>
      <c r="AX45" s="5">
        <f>IF($C45="Goalkeeper",AN45*75000,IF($C45="Defense",AN45*50000,0))</f>
        <v>0</v>
      </c>
      <c r="AY45" s="5">
        <f>IF($C45="Goalkeeper",(AP45-AM45)*5000,0)</f>
        <v>0</v>
      </c>
      <c r="AZ45" s="5">
        <f>$AG45</f>
        <v>-443.34975369458124</v>
      </c>
      <c r="BA45" s="5">
        <f>$AH45</f>
        <v>0</v>
      </c>
      <c r="BB45" s="5">
        <f>IF(X45&gt;0,AL45*10000,0)</f>
        <v>13843.89503157577</v>
      </c>
      <c r="BC45" s="5">
        <f>IF(X45&gt;0,AM45*(-8000),0)</f>
        <v>-9289.9676147469381</v>
      </c>
      <c r="BD45" s="5">
        <f>IFERROR(SUM(AQ45:BC45),0)</f>
        <v>55406.077312408983</v>
      </c>
      <c r="BE45" s="16">
        <f>INDEX('Team forecast'!$B$2:$AO$26,MATCH('Master data'!$B45,'Team forecast'!$B$2:$B$26,0),MATCH('Master data'!BE$1,'Team forecast'!$B$2:$AO$2,0))</f>
        <v>2.4374022591536644</v>
      </c>
      <c r="BF45" s="16">
        <f>INDEX('Team forecast'!$B$2:$AO$26,MATCH('Master data'!$B45,'Team forecast'!$B$2:$B$26,0),MATCH('Master data'!BF$1,'Team forecast'!$B$2:$AO$2,0))</f>
        <v>0.68661022841383224</v>
      </c>
      <c r="BG45" s="16">
        <f>INDEX('Team forecast'!$B$2:$AO$26,MATCH('Master data'!$B45,'Team forecast'!$B$2:$B$26,0),MATCH('Master data'!BG$1,'Team forecast'!$B$2:$AO$2,0))</f>
        <v>0.50327918232493496</v>
      </c>
      <c r="BH45" s="16">
        <f>INDEX('Team forecast'!$B$2:$AO$26,MATCH('Master data'!$B45,'Team forecast'!$B$2:$B$26,0),MATCH('Master data'!BH$1,'Team forecast'!$B$2:$AO$2,0))</f>
        <v>6.3935878355689084</v>
      </c>
      <c r="BI45" s="16">
        <f>INDEX('Team forecast'!$B$2:$AO$26,MATCH('Master data'!$B45,'Team forecast'!$B$2:$B$26,0),MATCH('Master data'!BI$1,'Team forecast'!$B$2:$AO$2,0))</f>
        <v>1.8292135092857056</v>
      </c>
      <c r="BJ45" s="5">
        <f>AQ45</f>
        <v>7000</v>
      </c>
      <c r="BK45" s="5">
        <f>INDEX('Team forecast'!$R$3:$BH$26,MATCH($B45,'Team forecast'!$B$3:$B$26,0),MATCH(BK$1,'Team forecast'!$R$2:$BH$2,0))*IF($X45&gt;0,25000,0)</f>
        <v>19380.307222593263</v>
      </c>
      <c r="BL45" s="5">
        <f>INDEX('Team forecast'!$R$3:$BH$26,MATCH($B45,'Team forecast'!$B$3:$B$26,0),MATCH(BL$1,'Team forecast'!$R$2:$BH$2,0))*IF($X45&gt;0,5000,0)</f>
        <v>739.43326018509651</v>
      </c>
      <c r="BM45" s="5">
        <f>INDEX('Team forecast'!$R$3:$BH$26,MATCH($B45,'Team forecast'!$B$3:$B$26,0),MATCH(BM$1,'Team forecast'!$R$2:$BH$2,0))*IF($X45&gt;0,-15000,0)</f>
        <v>-1153.5158858887507</v>
      </c>
      <c r="BN45" s="5">
        <f>IF($C45="Defense",$N45*150000,IF($C45="Midfield",$N45*125000,IF($C45="Striker",$N45*100000,0)))*$BE45</f>
        <v>49596.609578054369</v>
      </c>
      <c r="BO45" s="5">
        <f>$O45*50000*$BE45</f>
        <v>6381.3038671629884</v>
      </c>
      <c r="BP45" s="5">
        <f>$P45*BH45*10000</f>
        <v>8683.9998403573427</v>
      </c>
      <c r="BQ45" s="5">
        <f>IF($C45="Goalkeeper",BG45*75000,IF($C45="Defense",BG45*50000,0))</f>
        <v>0</v>
      </c>
      <c r="BR45" s="5">
        <f>IF($C45="Goalkeeper",(BI45-BF45)*5000,0)</f>
        <v>0</v>
      </c>
      <c r="BS45" s="5">
        <f>$AG45</f>
        <v>-443.34975369458124</v>
      </c>
      <c r="BT45" s="5">
        <f>$AH45</f>
        <v>0</v>
      </c>
      <c r="BU45" s="5">
        <f>IF(AQ45&gt;0,BE45*10000,0)</f>
        <v>24374.022591536643</v>
      </c>
      <c r="BV45" s="5">
        <f>IF(AQ45&gt;0,BF45*(-8000),0)</f>
        <v>-5492.8818273106581</v>
      </c>
      <c r="BW45" s="5">
        <f>IFERROR(SUM(BJ45:BV45),0)</f>
        <v>109065.92889299571</v>
      </c>
      <c r="BX45" s="5">
        <f>AVERAGE(AK45,BD45,BW45)</f>
        <v>70235.256157572192</v>
      </c>
      <c r="BY45" s="5">
        <f>BX45*3</f>
        <v>210705.76847271656</v>
      </c>
      <c r="BZ45" s="5">
        <f>INDEX('Team forecast'!$R$3:$BH$26,MATCH($B45,'Team forecast'!$B$3:$B$26,0),MATCH(BZ$1,'Team forecast'!$R$2:$BH$2,0))*($BX45-(BY45+CH45)*0.01)</f>
        <v>-1666.7546512469905</v>
      </c>
      <c r="CA45" s="5">
        <f>INDEX('Team forecast'!$R$3:$BH$26,MATCH($B45,'Team forecast'!$B$3:$B$26,0),MATCH(CA$1,'Team forecast'!$R$2:$BH$2,0))*($BX45-(BY45+BX45+CH45)*0.01)</f>
        <v>-1164.8755849749105</v>
      </c>
      <c r="CB45" s="5">
        <f>INDEX('Team forecast'!$R$3:$BH$26,MATCH($B45,'Team forecast'!$B$3:$B$26,0),MATCH(CB$1,'Team forecast'!$R$2:$BH$2,0))*($BX45-(BY45+BX45*2+CH45)*0.01)</f>
        <v>-763.86665018588269</v>
      </c>
      <c r="CC45" s="5">
        <f>INDEX('Team forecast'!$R$3:$BH$26,MATCH($B45,'Team forecast'!$B$3:$B$26,0),MATCH(CC$1,'Team forecast'!$R$2:$BH$2,0))*($BX45-(BY45+BX45*3+CH45)*0.01)</f>
        <v>-499.05571692778813</v>
      </c>
      <c r="CD45" s="5">
        <f>+AK45+BD45*Cockpit!$C$3+BW45*Cockpit!$C$3^2+BZ45*Cockpit!$C$3^3+CA45*Cockpit!$C$3^4+CB45*Cockpit!$C$3^5+CC45*Cockpit!$C$3^6</f>
        <v>130776.53686532888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3.0100824067530937E-2</v>
      </c>
      <c r="CK45" s="5">
        <f>RANK(BY45,$BY$2:$BY$623)+COUNTIF($BY$2:$BY45,$BY45)-1</f>
        <v>45</v>
      </c>
      <c r="CL45" s="5">
        <f>RANK(CJ45,$CJ$2:$CJ$623)+COUNTIF($CJ$2:$CJ45,$CJ45)-1</f>
        <v>143</v>
      </c>
    </row>
    <row r="46" spans="1:90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1.5223243214152651</v>
      </c>
      <c r="I46" s="16">
        <f>INDEX('Team forecast'!$B$2:$AO$26,MATCH('Master data'!$B46,'Team forecast'!$B$2:$B$26,0),MATCH('Master data'!I$1,'Team forecast'!$B$2:$AO$2,0))</f>
        <v>0.74990395996081205</v>
      </c>
      <c r="J46" s="16">
        <f>INDEX('Team forecast'!$B$2:$AO$26,MATCH('Master data'!$B46,'Team forecast'!$B$2:$B$26,0),MATCH('Master data'!J$1,'Team forecast'!$B$2:$AO$2,0))</f>
        <v>0.47241192102180191</v>
      </c>
      <c r="K46" s="16">
        <f>INDEX('Team forecast'!$B$2:$AO$26,MATCH('Master data'!$B46,'Team forecast'!$B$2:$B$26,0),MATCH('Master data'!K$1,'Team forecast'!$B$2:$AO$2,0))</f>
        <v>3.7411838276290243</v>
      </c>
      <c r="L46" s="16">
        <f>INDEX('Team forecast'!$B$2:$AO$26,MATCH('Master data'!$B46,'Team forecast'!$B$2:$B$26,0),MATCH('Master data'!L$1,'Team forecast'!$B$2:$AO$2,0))</f>
        <v>2.461805929164282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>H46</f>
        <v>1.5223243214152651</v>
      </c>
      <c r="T46" s="2">
        <f>I46</f>
        <v>0.74990395996081205</v>
      </c>
      <c r="U46" s="16">
        <f>INDEX('Team forecast'!$B$2:$AO$26,MATCH('Master data'!$B46,'Team forecast'!$B$2:$B$26,0),MATCH('Master data'!U$1,'Team forecast'!$B$2:$AO$2,0))</f>
        <v>0.56576277966682864</v>
      </c>
      <c r="V46" s="16">
        <f>INDEX('Team forecast'!$B$2:$AO$26,MATCH('Master data'!$B46,'Team forecast'!$B$2:$B$26,0),MATCH('Master data'!V$1,'Team forecast'!$B$2:$AO$2,0))</f>
        <v>0.26245106723433442</v>
      </c>
      <c r="W46" s="16">
        <f>INDEX('Team forecast'!$B$2:$AO$26,MATCH('Master data'!$B46,'Team forecast'!$B$2:$B$26,0),MATCH('Master data'!W$1,'Team forecast'!$B$2:$AO$2,0))</f>
        <v>0.17178615309883699</v>
      </c>
      <c r="X46" s="5">
        <f>IF(M46&gt;95,7000*2,IF(M46&gt;0,7000,-5000))</f>
        <v>-5000</v>
      </c>
      <c r="Y46" s="5">
        <f>IF($X46&gt;0,U46*25000,0)</f>
        <v>0</v>
      </c>
      <c r="Z46" s="5">
        <f>IF($X46&gt;0,V46*5000,0)</f>
        <v>0</v>
      </c>
      <c r="AA46" s="5">
        <f>IF($X46&gt;0,W46*(-15000),0)</f>
        <v>0</v>
      </c>
      <c r="AB46" s="5">
        <f>IF($C46="Defense",$N46*150000,IF($C46="Midfield",$N46*125000,IF($C46="Striker",$N46*100000,0)))*$H46</f>
        <v>0</v>
      </c>
      <c r="AC46" s="5">
        <f>$O46*50000*H46</f>
        <v>0</v>
      </c>
      <c r="AD46" s="5">
        <f>$P46*K46*10000</f>
        <v>0</v>
      </c>
      <c r="AE46" s="5">
        <f>IF($C46="Goalkeeper",J46*75000,IF($C46="Defense",J46*50000,0))</f>
        <v>0</v>
      </c>
      <c r="AF46" s="5">
        <f>IF($C46="Goalkeeper",(L46-I46)*5000,0)</f>
        <v>0</v>
      </c>
      <c r="AG46" s="5">
        <f>IF(M46&gt;0,Q46*(-20000),0)</f>
        <v>0</v>
      </c>
      <c r="AH46" s="5">
        <f>IF(M46&gt;0,R46*(-50000),0)</f>
        <v>0</v>
      </c>
      <c r="AI46" s="5">
        <f>IF(M46&gt;0,S46*10000,0)</f>
        <v>0</v>
      </c>
      <c r="AJ46" s="5">
        <f>IF(M46&gt;0,T46*(-8000),0)</f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2.0067977929974719</v>
      </c>
      <c r="AM46" s="16">
        <f>INDEX('Team forecast'!$B$2:$AO$26,MATCH('Master data'!$B46,'Team forecast'!$B$2:$B$26,0),MATCH('Master data'!AM$1,'Team forecast'!$B$2:$AO$2,0))</f>
        <v>0.66520361079548807</v>
      </c>
      <c r="AN46" s="16">
        <f>INDEX('Team forecast'!$B$2:$AO$26,MATCH('Master data'!$B46,'Team forecast'!$B$2:$B$26,0),MATCH('Master data'!AN$1,'Team forecast'!$B$2:$AO$2,0))</f>
        <v>0.51416882672404407</v>
      </c>
      <c r="AO46" s="16">
        <f>INDEX('Team forecast'!$B$2:$AO$26,MATCH('Master data'!$B46,'Team forecast'!$B$2:$B$26,0),MATCH('Master data'!AO$1,'Team forecast'!$B$2:$AO$2,0))</f>
        <v>4.9318002365645421</v>
      </c>
      <c r="AP46" s="16">
        <f>INDEX('Team forecast'!$B$2:$AO$26,MATCH('Master data'!$B46,'Team forecast'!$B$2:$B$26,0),MATCH('Master data'!AP$1,'Team forecast'!$B$2:$AO$2,0))</f>
        <v>2.1837492273589256</v>
      </c>
      <c r="AQ46" s="5">
        <f>X46</f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>IF($C46="Defense",$N46*150000,IF($C46="Midfield",$N46*125000,IF($C46="Striker",$N46*100000,0)))*$AL46</f>
        <v>0</v>
      </c>
      <c r="AV46" s="5">
        <f>$O46*50000*AL46</f>
        <v>0</v>
      </c>
      <c r="AW46" s="5">
        <f>$P46*AO46*10000</f>
        <v>0</v>
      </c>
      <c r="AX46" s="5">
        <f>IF($C46="Goalkeeper",AN46*75000,IF($C46="Defense",AN46*50000,0))</f>
        <v>0</v>
      </c>
      <c r="AY46" s="5">
        <f>IF($C46="Goalkeeper",(AP46-AM46)*5000,0)</f>
        <v>0</v>
      </c>
      <c r="AZ46" s="5">
        <f>$AG46</f>
        <v>0</v>
      </c>
      <c r="BA46" s="5">
        <f>$AH46</f>
        <v>0</v>
      </c>
      <c r="BB46" s="5">
        <f>IF(X46&gt;0,AL46*10000,0)</f>
        <v>0</v>
      </c>
      <c r="BC46" s="5">
        <f>IF(X46&gt;0,AM46*(-8000),0)</f>
        <v>0</v>
      </c>
      <c r="BD46" s="5">
        <f>IFERROR(SUM(AQ46:BC46),0)</f>
        <v>-5000</v>
      </c>
      <c r="BE46" s="16">
        <f>INDEX('Team forecast'!$B$2:$AO$26,MATCH('Master data'!$B46,'Team forecast'!$B$2:$B$26,0),MATCH('Master data'!BE$1,'Team forecast'!$B$2:$AO$2,0))</f>
        <v>2.2346287595631029</v>
      </c>
      <c r="BF46" s="16">
        <f>INDEX('Team forecast'!$B$2:$AO$26,MATCH('Master data'!$B46,'Team forecast'!$B$2:$B$26,0),MATCH('Master data'!BF$1,'Team forecast'!$B$2:$AO$2,0))</f>
        <v>0.82586154259115363</v>
      </c>
      <c r="BG46" s="16">
        <f>INDEX('Team forecast'!$B$2:$AO$26,MATCH('Master data'!$B46,'Team forecast'!$B$2:$B$26,0),MATCH('Master data'!BG$1,'Team forecast'!$B$2:$AO$2,0))</f>
        <v>0.43785759694850601</v>
      </c>
      <c r="BH46" s="16">
        <f>INDEX('Team forecast'!$B$2:$AO$26,MATCH('Master data'!$B46,'Team forecast'!$B$2:$B$26,0),MATCH('Master data'!BH$1,'Team forecast'!$B$2:$AO$2,0))</f>
        <v>5.4917055836432862</v>
      </c>
      <c r="BI46" s="16">
        <f>INDEX('Team forecast'!$B$2:$AO$26,MATCH('Master data'!$B46,'Team forecast'!$B$2:$B$26,0),MATCH('Master data'!BI$1,'Team forecast'!$B$2:$AO$2,0))</f>
        <v>2.7111616297184336</v>
      </c>
      <c r="BJ46" s="5">
        <f>AQ46</f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>IF($C46="Defense",$N46*150000,IF($C46="Midfield",$N46*125000,IF($C46="Striker",$N46*100000,0)))*$BE46</f>
        <v>0</v>
      </c>
      <c r="BO46" s="5">
        <f>$O46*50000*$BE46</f>
        <v>0</v>
      </c>
      <c r="BP46" s="5">
        <f>$P46*BH46*10000</f>
        <v>0</v>
      </c>
      <c r="BQ46" s="5">
        <f>IF($C46="Goalkeeper",BG46*75000,IF($C46="Defense",BG46*50000,0))</f>
        <v>0</v>
      </c>
      <c r="BR46" s="5">
        <f>IF($C46="Goalkeeper",(BI46-BF46)*5000,0)</f>
        <v>0</v>
      </c>
      <c r="BS46" s="5">
        <f>$AG46</f>
        <v>0</v>
      </c>
      <c r="BT46" s="5">
        <f>$AH46</f>
        <v>0</v>
      </c>
      <c r="BU46" s="5">
        <f>IF(AQ46&gt;0,BE46*10000,0)</f>
        <v>0</v>
      </c>
      <c r="BV46" s="5">
        <f>IF(AQ46&gt;0,BF46*(-8000),0)</f>
        <v>0</v>
      </c>
      <c r="BW46" s="5">
        <f>IFERROR(SUM(BJ46:BV46),0)</f>
        <v>-5000</v>
      </c>
      <c r="BX46" s="5">
        <f>AVERAGE(AK46,BD46,BW46)</f>
        <v>-5000</v>
      </c>
      <c r="BY46" s="5">
        <f>BX46*3</f>
        <v>-15000</v>
      </c>
      <c r="BZ46" s="5">
        <f>INDEX('Team forecast'!$R$3:$BH$26,MATCH($B46,'Team forecast'!$B$3:$B$26,0),MATCH(BZ$1,'Team forecast'!$R$2:$BH$2,0))*($BX46-(BY46+CH46)*0.01)</f>
        <v>-52527.59252872465</v>
      </c>
      <c r="CA46" s="5">
        <f>INDEX('Team forecast'!$R$3:$BH$26,MATCH($B46,'Team forecast'!$B$3:$B$26,0),MATCH(CA$1,'Team forecast'!$R$2:$BH$2,0))*($BX46-(BY46+BX46+CH46)*0.01)</f>
        <v>-27085.847266527187</v>
      </c>
      <c r="CB46" s="5">
        <f>INDEX('Team forecast'!$R$3:$BH$26,MATCH($B46,'Team forecast'!$B$3:$B$26,0),MATCH(CB$1,'Team forecast'!$R$2:$BH$2,0))*($BX46-(BY46+BX46*2+CH46)*0.01)</f>
        <v>-14326.068677770125</v>
      </c>
      <c r="CC46" s="5">
        <f>INDEX('Team forecast'!$R$3:$BH$26,MATCH($B46,'Team forecast'!$B$3:$B$26,0),MATCH(CC$1,'Team forecast'!$R$2:$BH$2,0))*($BX46-(BY46+BX46*3+CH46)*0.01)</f>
        <v>-8181.3345132210079</v>
      </c>
      <c r="CD46" s="5">
        <f>+AK46+BD46*Cockpit!$C$3+BW46*Cockpit!$C$3^2+BZ46*Cockpit!$C$3^3+CA46*Cockpit!$C$3^4+CB46*Cockpit!$C$3^5+CC46*Cockpit!$C$3^6</f>
        <v>-34074.389567210586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RANK(BY46,$BY$2:$BY$623)+COUNTIF($BY$2:$BY46,$BY46)-1</f>
        <v>429</v>
      </c>
      <c r="CL46" s="5">
        <f>RANK(CJ46,$CJ$2:$CJ$623)+COUNTIF($CJ$2:$CJ46,$CJ46)-1</f>
        <v>426</v>
      </c>
    </row>
    <row r="47" spans="1:90">
      <c r="A47" t="str">
        <f>Players!P48</f>
        <v>Bernardo B. Silva</v>
      </c>
      <c r="B47" t="str">
        <f>Players!G48</f>
        <v>Portugal</v>
      </c>
      <c r="C47" t="str">
        <f>Players!AB48</f>
        <v>Midfield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6500000</v>
      </c>
      <c r="H47" s="16">
        <f>INDEX('Team forecast'!$B$2:$AO$26,MATCH('Master data'!$B47,'Team forecast'!$B$2:$B$26,0),MATCH('Master data'!H$1,'Team forecast'!$B$2:$AO$2,0))</f>
        <v>1.7625676631272518</v>
      </c>
      <c r="I47" s="16">
        <f>INDEX('Team forecast'!$B$2:$AO$26,MATCH('Master data'!$B47,'Team forecast'!$B$2:$B$26,0),MATCH('Master data'!I$1,'Team forecast'!$B$2:$AO$2,0))</f>
        <v>0.75096675144877167</v>
      </c>
      <c r="J47" s="16">
        <f>INDEX('Team forecast'!$B$2:$AO$26,MATCH('Master data'!$B47,'Team forecast'!$B$2:$B$26,0),MATCH('Master data'!J$1,'Team forecast'!$B$2:$AO$2,0))</f>
        <v>0.47191011235955049</v>
      </c>
      <c r="K47" s="16">
        <f>INDEX('Team forecast'!$B$2:$AO$26,MATCH('Master data'!$B47,'Team forecast'!$B$2:$B$26,0),MATCH('Master data'!K$1,'Team forecast'!$B$2:$AO$2,0))</f>
        <v>4.4913621777278765</v>
      </c>
      <c r="L47" s="16">
        <f>INDEX('Team forecast'!$B$2:$AO$26,MATCH('Master data'!$B47,'Team forecast'!$B$2:$B$26,0),MATCH('Master data'!L$1,'Team forecast'!$B$2:$AO$2,0))</f>
        <v>2.0995338051067773</v>
      </c>
      <c r="M47">
        <f>IF(Players!BC48=1,95,0)</f>
        <v>95</v>
      </c>
      <c r="N47" s="2">
        <f>Players!BN48</f>
        <v>6.1951327884522032E-2</v>
      </c>
      <c r="O47" s="2">
        <f>Players!BO48</f>
        <v>0.30159153044073922</v>
      </c>
      <c r="P47" s="2">
        <f>Players!BP48</f>
        <v>7.2615124288293365E-2</v>
      </c>
      <c r="Q47" s="2">
        <f>Players!BQ48</f>
        <v>0.17364316755190728</v>
      </c>
      <c r="R47" s="2">
        <f>Players!BR48</f>
        <v>0</v>
      </c>
      <c r="S47" s="2">
        <f>H47</f>
        <v>1.7625676631272518</v>
      </c>
      <c r="T47" s="2">
        <f>I47</f>
        <v>0.75096675144877167</v>
      </c>
      <c r="U47" s="16">
        <f>INDEX('Team forecast'!$B$2:$AO$26,MATCH('Master data'!$B47,'Team forecast'!$B$2:$B$26,0),MATCH('Master data'!U$1,'Team forecast'!$B$2:$AO$2,0))</f>
        <v>0.6292134831460674</v>
      </c>
      <c r="V47" s="16">
        <f>INDEX('Team forecast'!$B$2:$AO$26,MATCH('Master data'!$B47,'Team forecast'!$B$2:$B$26,0),MATCH('Master data'!V$1,'Team forecast'!$B$2:$AO$2,0))</f>
        <v>0.2359550561797753</v>
      </c>
      <c r="W47" s="16">
        <f>INDEX('Team forecast'!$B$2:$AO$26,MATCH('Master data'!$B47,'Team forecast'!$B$2:$B$26,0),MATCH('Master data'!W$1,'Team forecast'!$B$2:$AO$2,0))</f>
        <v>0.1348314606741573</v>
      </c>
      <c r="X47" s="5">
        <f>IF(M47&gt;95,7000*2,IF(M47&gt;0,7000,-5000))</f>
        <v>7000</v>
      </c>
      <c r="Y47" s="5">
        <f>IF($X47&gt;0,U47*25000,0)</f>
        <v>15730.337078651684</v>
      </c>
      <c r="Z47" s="5">
        <f>IF($X47&gt;0,V47*5000,0)</f>
        <v>1179.7752808988764</v>
      </c>
      <c r="AA47" s="5">
        <f>IF($X47&gt;0,W47*(-15000),0)</f>
        <v>-2022.4719101123594</v>
      </c>
      <c r="AB47" s="5">
        <f>IF($C47="Defense",$N47*150000,IF($C47="Midfield",$N47*125000,IF($C47="Striker",$N47*100000,0)))*$H47</f>
        <v>13649.175902131519</v>
      </c>
      <c r="AC47" s="5">
        <f>$O47*50000*H47</f>
        <v>26578.773951395258</v>
      </c>
      <c r="AD47" s="5">
        <f>$P47*K47*10000</f>
        <v>3261.408227594497</v>
      </c>
      <c r="AE47" s="5">
        <f>IF($C47="Goalkeeper",J47*75000,IF($C47="Defense",J47*50000,0))</f>
        <v>0</v>
      </c>
      <c r="AF47" s="5">
        <f>IF($C47="Goalkeeper",(L47-I47)*5000,0)</f>
        <v>0</v>
      </c>
      <c r="AG47" s="5">
        <f>IF(M47&gt;0,Q47*(-20000),0)</f>
        <v>-3472.8633510381455</v>
      </c>
      <c r="AH47" s="5">
        <f>IF(M47&gt;0,R47*(-50000),0)</f>
        <v>0</v>
      </c>
      <c r="AI47" s="5">
        <f>IF(M47&gt;0,S47*10000,0)</f>
        <v>17625.676631272519</v>
      </c>
      <c r="AJ47" s="5">
        <f>IF(M47&gt;0,T47*(-8000),0)</f>
        <v>-6007.7340115901734</v>
      </c>
      <c r="AK47" s="5">
        <f>IFERROR(SUM(X47:AJ47),-5000)*((Cockpit!$C$3)^0)</f>
        <v>73522.077799203675</v>
      </c>
      <c r="AL47" s="16">
        <f>INDEX('Team forecast'!$B$2:$AO$26,MATCH('Master data'!$B47,'Team forecast'!$B$2:$B$26,0),MATCH('Master data'!AL$1,'Team forecast'!$B$2:$AO$2,0))</f>
        <v>1.1612459518433673</v>
      </c>
      <c r="AM47" s="16">
        <f>INDEX('Team forecast'!$B$2:$AO$26,MATCH('Master data'!$B47,'Team forecast'!$B$2:$B$26,0),MATCH('Master data'!AM$1,'Team forecast'!$B$2:$AO$2,0))</f>
        <v>1.384389503157577</v>
      </c>
      <c r="AN47" s="16">
        <f>INDEX('Team forecast'!$B$2:$AO$26,MATCH('Master data'!$B47,'Team forecast'!$B$2:$B$26,0),MATCH('Master data'!AN$1,'Team forecast'!$B$2:$AO$2,0))</f>
        <v>0.25047666833918708</v>
      </c>
      <c r="AO47" s="16">
        <f>INDEX('Team forecast'!$B$2:$AO$26,MATCH('Master data'!$B47,'Team forecast'!$B$2:$B$26,0),MATCH('Master data'!AO$1,'Team forecast'!$B$2:$AO$2,0))</f>
        <v>2.9590785399382193</v>
      </c>
      <c r="AP47" s="16">
        <f>INDEX('Team forecast'!$B$2:$AO$26,MATCH('Master data'!$B47,'Team forecast'!$B$2:$B$26,0),MATCH('Master data'!AP$1,'Team forecast'!$B$2:$AO$2,0))</f>
        <v>3.8704410757292824</v>
      </c>
      <c r="AQ47" s="5">
        <f>X47</f>
        <v>7000</v>
      </c>
      <c r="AR47" s="5">
        <f>INDEX('Team forecast'!$B$2:$AO$26,MATCH('Master data'!$B47,'Team forecast'!$B$2:$B$26,0),MATCH('Master data'!AR$1,'Team forecast'!$B$2:$AO$2,0))*IF(X47&gt;0,25000,0)</f>
        <v>7225.2885097842445</v>
      </c>
      <c r="AS47" s="16">
        <f>INDEX('Team forecast'!$B$2:$AO$26,MATCH('Master data'!$B47,'Team forecast'!$B$2:$B$26,0),MATCH('Master data'!AS$1,'Team forecast'!$B$2:$AO$2,0))*IF(X47&gt;0,5000,0)</f>
        <v>1467.6367285499246</v>
      </c>
      <c r="AT47" s="16">
        <f>INDEX('Team forecast'!$B$2:$AO$26,MATCH('Master data'!$B47,'Team forecast'!$B$2:$B$26,0),MATCH('Master data'!AT$1,'Team forecast'!$B$2:$AO$2,0))*IF(X47&gt;0,-15000,0)</f>
        <v>-6261.91670847968</v>
      </c>
      <c r="AU47" s="5">
        <f>IF($C47="Defense",$N47*150000,IF($C47="Midfield",$N47*125000,IF($C47="Striker",$N47*100000,0)))*$AL47</f>
        <v>8992.5910896527912</v>
      </c>
      <c r="AV47" s="5">
        <f>$O47*50000*AL47</f>
        <v>17511.097191727706</v>
      </c>
      <c r="AW47" s="5">
        <f>$P47*AO47*10000</f>
        <v>2148.7385595643545</v>
      </c>
      <c r="AX47" s="5">
        <f>IF($C47="Goalkeeper",AN47*75000,IF($C47="Defense",AN47*50000,0))</f>
        <v>0</v>
      </c>
      <c r="AY47" s="5">
        <f>IF($C47="Goalkeeper",(AP47-AM47)*5000,0)</f>
        <v>0</v>
      </c>
      <c r="AZ47" s="5">
        <f>$AG47</f>
        <v>-3472.8633510381455</v>
      </c>
      <c r="BA47" s="5">
        <f>$AH47</f>
        <v>0</v>
      </c>
      <c r="BB47" s="5">
        <f>IF(X47&gt;0,AL47*10000,0)</f>
        <v>11612.459518433674</v>
      </c>
      <c r="BC47" s="5">
        <f>IF(X47&gt;0,AM47*(-8000),0)</f>
        <v>-11075.116025260617</v>
      </c>
      <c r="BD47" s="5">
        <f>IFERROR(SUM(AQ47:BC47),0)</f>
        <v>35147.915512934254</v>
      </c>
      <c r="BE47" s="16">
        <f>INDEX('Team forecast'!$B$2:$AO$26,MATCH('Master data'!$B47,'Team forecast'!$B$2:$B$26,0),MATCH('Master data'!BE$1,'Team forecast'!$B$2:$AO$2,0))</f>
        <v>1.0107278258414167</v>
      </c>
      <c r="BF47" s="16">
        <f>INDEX('Team forecast'!$B$2:$AO$26,MATCH('Master data'!$B47,'Team forecast'!$B$2:$B$26,0),MATCH('Master data'!BF$1,'Team forecast'!$B$2:$AO$2,0))</f>
        <v>1.2965069481471114</v>
      </c>
      <c r="BG47" s="16">
        <f>INDEX('Team forecast'!$B$2:$AO$26,MATCH('Master data'!$B47,'Team forecast'!$B$2:$B$26,0),MATCH('Master data'!BG$1,'Team forecast'!$B$2:$AO$2,0))</f>
        <v>0.27348542529246672</v>
      </c>
      <c r="BH47" s="16">
        <f>INDEX('Team forecast'!$B$2:$AO$26,MATCH('Master data'!$B47,'Team forecast'!$B$2:$B$26,0),MATCH('Master data'!BH$1,'Team forecast'!$B$2:$AO$2,0))</f>
        <v>2.5755293393428875</v>
      </c>
      <c r="BI47" s="16">
        <f>INDEX('Team forecast'!$B$2:$AO$26,MATCH('Master data'!$B47,'Team forecast'!$B$2:$B$26,0),MATCH('Master data'!BI$1,'Team forecast'!$B$2:$AO$2,0))</f>
        <v>3.6247412564394597</v>
      </c>
      <c r="BJ47" s="5">
        <f>AQ47</f>
        <v>7000</v>
      </c>
      <c r="BK47" s="5">
        <f>INDEX('Team forecast'!$R$3:$BH$26,MATCH($B47,'Team forecast'!$B$3:$B$26,0),MATCH(BK$1,'Team forecast'!$R$2:$BH$2,0))*IF($X47&gt;0,25000,0)</f>
        <v>7251.5074888154077</v>
      </c>
      <c r="BL47" s="5">
        <f>INDEX('Team forecast'!$R$3:$BH$26,MATCH($B47,'Team forecast'!$B$3:$B$26,0),MATCH(BL$1,'Team forecast'!$R$2:$BH$2,0))*IF($X47&gt;0,5000,0)</f>
        <v>1495.6234195681775</v>
      </c>
      <c r="BM47" s="5">
        <f>INDEX('Team forecast'!$R$3:$BH$26,MATCH($B47,'Team forecast'!$B$3:$B$26,0),MATCH(BM$1,'Team forecast'!$R$2:$BH$2,0))*IF($X47&gt;0,-15000,0)</f>
        <v>-6162.2252480062243</v>
      </c>
      <c r="BN47" s="5">
        <f>IF($C47="Defense",$N47*150000,IF($C47="Midfield",$N47*125000,IF($C47="Striker",$N47*100000,0)))*$BE47</f>
        <v>7826.9913675889611</v>
      </c>
      <c r="BO47" s="5">
        <f>$O47*50000*$BE47</f>
        <v>15241.34759272769</v>
      </c>
      <c r="BP47" s="5">
        <f>$P47*BH47*10000</f>
        <v>1870.2238308452986</v>
      </c>
      <c r="BQ47" s="5">
        <f>IF($C47="Goalkeeper",BG47*75000,IF($C47="Defense",BG47*50000,0))</f>
        <v>0</v>
      </c>
      <c r="BR47" s="5">
        <f>IF($C47="Goalkeeper",(BI47-BF47)*5000,0)</f>
        <v>0</v>
      </c>
      <c r="BS47" s="5">
        <f>$AG47</f>
        <v>-3472.8633510381455</v>
      </c>
      <c r="BT47" s="5">
        <f>$AH47</f>
        <v>0</v>
      </c>
      <c r="BU47" s="5">
        <f>IF(AQ47&gt;0,BE47*10000,0)</f>
        <v>10107.278258414168</v>
      </c>
      <c r="BV47" s="5">
        <f>IF(AQ47&gt;0,BF47*(-8000),0)</f>
        <v>-10372.055585176891</v>
      </c>
      <c r="BW47" s="5">
        <f>IFERROR(SUM(BJ47:BV47),0)</f>
        <v>30785.827773738445</v>
      </c>
      <c r="BX47" s="5">
        <f>AVERAGE(AK47,BD47,BW47)</f>
        <v>46485.273695292126</v>
      </c>
      <c r="BY47" s="5">
        <f>BX47*3</f>
        <v>139455.82108587638</v>
      </c>
      <c r="BZ47" s="5">
        <f>INDEX('Team forecast'!$R$3:$BH$26,MATCH($B47,'Team forecast'!$B$3:$B$26,0),MATCH(BZ$1,'Team forecast'!$R$2:$BH$2,0))*($BX47-(BY47+CH47)*0.01)</f>
        <v>-14970.579582652483</v>
      </c>
      <c r="CA47" s="5">
        <f>INDEX('Team forecast'!$R$3:$BH$26,MATCH($B47,'Team forecast'!$B$3:$B$26,0),MATCH(CA$1,'Team forecast'!$R$2:$BH$2,0))*($BX47-(BY47+BX47+CH47)*0.01)</f>
        <v>-7807.2406190067231</v>
      </c>
      <c r="CB47" s="5">
        <f>INDEX('Team forecast'!$R$3:$BH$26,MATCH($B47,'Team forecast'!$B$3:$B$26,0),MATCH(CB$1,'Team forecast'!$R$2:$BH$2,0))*($BX47-(BY47+BX47*2+CH47)*0.01)</f>
        <v>-4134.3677060731716</v>
      </c>
      <c r="CC47" s="5">
        <f>INDEX('Team forecast'!$R$3:$BH$26,MATCH($B47,'Team forecast'!$B$3:$B$26,0),MATCH(CC$1,'Team forecast'!$R$2:$BH$2,0))*($BX47-(BY47+BX47*3+CH47)*0.01)</f>
        <v>-2300.0682590765482</v>
      </c>
      <c r="CD47" s="5">
        <f>+AK47+BD47*Cockpit!$C$3+BW47*Cockpit!$C$3^2+BZ47*Cockpit!$C$3^3+CA47*Cockpit!$C$3^4+CB47*Cockpit!$C$3^5+CC47*Cockpit!$C$3^6</f>
        <v>103912.34341048416</v>
      </c>
      <c r="CE47" s="5"/>
      <c r="CF47" s="5"/>
      <c r="CG47" s="5">
        <v>0</v>
      </c>
      <c r="CH47" s="5">
        <f t="shared" si="43"/>
        <v>6500000</v>
      </c>
      <c r="CI47" s="5">
        <f t="shared" si="44"/>
        <v>6500000</v>
      </c>
      <c r="CJ47" s="1">
        <f t="shared" si="45"/>
        <v>2.1454741705519444E-2</v>
      </c>
      <c r="CK47" s="5">
        <f>RANK(BY47,$BY$2:$BY$623)+COUNTIF($BY$2:$BY47,$BY47)-1</f>
        <v>105</v>
      </c>
      <c r="CL47" s="5">
        <f>RANK(CJ47,$CJ$2:$CJ$623)+COUNTIF($CJ$2:$CJ47,$CJ47)-1</f>
        <v>250</v>
      </c>
    </row>
    <row r="48" spans="1:90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1.7625676631272518</v>
      </c>
      <c r="I48" s="16">
        <f>INDEX('Team forecast'!$B$2:$AO$26,MATCH('Master data'!$B48,'Team forecast'!$B$2:$B$26,0),MATCH('Master data'!I$1,'Team forecast'!$B$2:$AO$2,0))</f>
        <v>0.75096675144877167</v>
      </c>
      <c r="J48" s="16">
        <f>INDEX('Team forecast'!$B$2:$AO$26,MATCH('Master data'!$B48,'Team forecast'!$B$2:$B$26,0),MATCH('Master data'!J$1,'Team forecast'!$B$2:$AO$2,0))</f>
        <v>0.47191011235955049</v>
      </c>
      <c r="K48" s="16">
        <f>INDEX('Team forecast'!$B$2:$AO$26,MATCH('Master data'!$B48,'Team forecast'!$B$2:$B$26,0),MATCH('Master data'!K$1,'Team forecast'!$B$2:$AO$2,0))</f>
        <v>4.4913621777278765</v>
      </c>
      <c r="L48" s="16">
        <f>INDEX('Team forecast'!$B$2:$AO$26,MATCH('Master data'!$B48,'Team forecast'!$B$2:$B$26,0),MATCH('Master data'!L$1,'Team forecast'!$B$2:$AO$2,0))</f>
        <v>2.0995338051067773</v>
      </c>
      <c r="M48">
        <f>IF(Players!BC49=1,95,0)</f>
        <v>95</v>
      </c>
      <c r="N48" s="2">
        <f>Players!BN49</f>
        <v>0.2442279832999181</v>
      </c>
      <c r="O48" s="2">
        <f>Players!BO49</f>
        <v>6.923108273045267E-2</v>
      </c>
      <c r="P48" s="2">
        <f>Players!BP49</f>
        <v>0.27023526037925533</v>
      </c>
      <c r="Q48" s="2">
        <f>Players!BQ49</f>
        <v>8.086253369272238E-2</v>
      </c>
      <c r="R48" s="2">
        <f>Players!BR49</f>
        <v>0</v>
      </c>
      <c r="S48" s="2">
        <f>H48</f>
        <v>1.7625676631272518</v>
      </c>
      <c r="T48" s="2">
        <f>I48</f>
        <v>0.75096675144877167</v>
      </c>
      <c r="U48" s="16">
        <f>INDEX('Team forecast'!$B$2:$AO$26,MATCH('Master data'!$B48,'Team forecast'!$B$2:$B$26,0),MATCH('Master data'!U$1,'Team forecast'!$B$2:$AO$2,0))</f>
        <v>0.6292134831460674</v>
      </c>
      <c r="V48" s="16">
        <f>INDEX('Team forecast'!$B$2:$AO$26,MATCH('Master data'!$B48,'Team forecast'!$B$2:$B$26,0),MATCH('Master data'!V$1,'Team forecast'!$B$2:$AO$2,0))</f>
        <v>0.2359550561797753</v>
      </c>
      <c r="W48" s="16">
        <f>INDEX('Team forecast'!$B$2:$AO$26,MATCH('Master data'!$B48,'Team forecast'!$B$2:$B$26,0),MATCH('Master data'!W$1,'Team forecast'!$B$2:$AO$2,0))</f>
        <v>0.1348314606741573</v>
      </c>
      <c r="X48" s="5">
        <f>IF(M48&gt;95,7000*2,IF(M48&gt;0,7000,-5000))</f>
        <v>7000</v>
      </c>
      <c r="Y48" s="5">
        <f>IF($X48&gt;0,U48*25000,0)</f>
        <v>15730.337078651684</v>
      </c>
      <c r="Z48" s="5">
        <f>IF($X48&gt;0,V48*5000,0)</f>
        <v>1179.7752808988764</v>
      </c>
      <c r="AA48" s="5">
        <f>IF($X48&gt;0,W48*(-15000),0)</f>
        <v>-2022.4719101123594</v>
      </c>
      <c r="AB48" s="5">
        <f>IF($C48="Defense",$N48*150000,IF($C48="Midfield",$N48*125000,IF($C48="Striker",$N48*100000,0)))*$H48</f>
        <v>43046.834579521812</v>
      </c>
      <c r="AC48" s="5">
        <f>$O48*50000*H48</f>
        <v>6101.2233851991705</v>
      </c>
      <c r="AD48" s="5">
        <f>$P48*K48*10000</f>
        <v>12137.244275558318</v>
      </c>
      <c r="AE48" s="5">
        <f>IF($C48="Goalkeeper",J48*75000,IF($C48="Defense",J48*50000,0))</f>
        <v>0</v>
      </c>
      <c r="AF48" s="5">
        <f>IF($C48="Goalkeeper",(L48-I48)*5000,0)</f>
        <v>0</v>
      </c>
      <c r="AG48" s="5">
        <f>IF(M48&gt;0,Q48*(-20000),0)</f>
        <v>-1617.2506738544475</v>
      </c>
      <c r="AH48" s="5">
        <f>IF(M48&gt;0,R48*(-50000),0)</f>
        <v>0</v>
      </c>
      <c r="AI48" s="5">
        <f>IF(M48&gt;0,S48*10000,0)</f>
        <v>17625.676631272519</v>
      </c>
      <c r="AJ48" s="5">
        <f>IF(M48&gt;0,T48*(-8000),0)</f>
        <v>-6007.7340115901734</v>
      </c>
      <c r="AK48" s="5">
        <f>IFERROR(SUM(X48:AJ48),-5000)*((Cockpit!$C$3)^0)</f>
        <v>93173.634635545401</v>
      </c>
      <c r="AL48" s="16">
        <f>INDEX('Team forecast'!$B$2:$AO$26,MATCH('Master data'!$B48,'Team forecast'!$B$2:$B$26,0),MATCH('Master data'!AL$1,'Team forecast'!$B$2:$AO$2,0))</f>
        <v>1.1612459518433673</v>
      </c>
      <c r="AM48" s="16">
        <f>INDEX('Team forecast'!$B$2:$AO$26,MATCH('Master data'!$B48,'Team forecast'!$B$2:$B$26,0),MATCH('Master data'!AM$1,'Team forecast'!$B$2:$AO$2,0))</f>
        <v>1.384389503157577</v>
      </c>
      <c r="AN48" s="16">
        <f>INDEX('Team forecast'!$B$2:$AO$26,MATCH('Master data'!$B48,'Team forecast'!$B$2:$B$26,0),MATCH('Master data'!AN$1,'Team forecast'!$B$2:$AO$2,0))</f>
        <v>0.25047666833918708</v>
      </c>
      <c r="AO48" s="16">
        <f>INDEX('Team forecast'!$B$2:$AO$26,MATCH('Master data'!$B48,'Team forecast'!$B$2:$B$26,0),MATCH('Master data'!AO$1,'Team forecast'!$B$2:$AO$2,0))</f>
        <v>2.9590785399382193</v>
      </c>
      <c r="AP48" s="16">
        <f>INDEX('Team forecast'!$B$2:$AO$26,MATCH('Master data'!$B48,'Team forecast'!$B$2:$B$26,0),MATCH('Master data'!AP$1,'Team forecast'!$B$2:$AO$2,0))</f>
        <v>3.8704410757292824</v>
      </c>
      <c r="AQ48" s="5">
        <f>X48</f>
        <v>7000</v>
      </c>
      <c r="AR48" s="5">
        <f>INDEX('Team forecast'!$B$2:$AO$26,MATCH('Master data'!$B48,'Team forecast'!$B$2:$B$26,0),MATCH('Master data'!AR$1,'Team forecast'!$B$2:$AO$2,0))*IF(X48&gt;0,25000,0)</f>
        <v>7225.2885097842445</v>
      </c>
      <c r="AS48" s="16">
        <f>INDEX('Team forecast'!$B$2:$AO$26,MATCH('Master data'!$B48,'Team forecast'!$B$2:$B$26,0),MATCH('Master data'!AS$1,'Team forecast'!$B$2:$AO$2,0))*IF(X48&gt;0,5000,0)</f>
        <v>1467.6367285499246</v>
      </c>
      <c r="AT48" s="16">
        <f>INDEX('Team forecast'!$B$2:$AO$26,MATCH('Master data'!$B48,'Team forecast'!$B$2:$B$26,0),MATCH('Master data'!AT$1,'Team forecast'!$B$2:$AO$2,0))*IF(X48&gt;0,-15000,0)</f>
        <v>-6261.91670847968</v>
      </c>
      <c r="AU48" s="5">
        <f>IF($C48="Defense",$N48*150000,IF($C48="Midfield",$N48*125000,IF($C48="Striker",$N48*100000,0)))*$AL48</f>
        <v>28360.875693389939</v>
      </c>
      <c r="AV48" s="5">
        <f>$O48*50000*AL48</f>
        <v>4019.7157281235709</v>
      </c>
      <c r="AW48" s="5">
        <f>$P48*AO48*10000</f>
        <v>7996.4735972287135</v>
      </c>
      <c r="AX48" s="5">
        <f>IF($C48="Goalkeeper",AN48*75000,IF($C48="Defense",AN48*50000,0))</f>
        <v>0</v>
      </c>
      <c r="AY48" s="5">
        <f>IF($C48="Goalkeeper",(AP48-AM48)*5000,0)</f>
        <v>0</v>
      </c>
      <c r="AZ48" s="5">
        <f>$AG48</f>
        <v>-1617.2506738544475</v>
      </c>
      <c r="BA48" s="5">
        <f>$AH48</f>
        <v>0</v>
      </c>
      <c r="BB48" s="5">
        <f>IF(X48&gt;0,AL48*10000,0)</f>
        <v>11612.459518433674</v>
      </c>
      <c r="BC48" s="5">
        <f>IF(X48&gt;0,AM48*(-8000),0)</f>
        <v>-11075.116025260617</v>
      </c>
      <c r="BD48" s="5">
        <f>IFERROR(SUM(AQ48:BC48),0)</f>
        <v>48728.166367915328</v>
      </c>
      <c r="BE48" s="16">
        <f>INDEX('Team forecast'!$B$2:$AO$26,MATCH('Master data'!$B48,'Team forecast'!$B$2:$B$26,0),MATCH('Master data'!BE$1,'Team forecast'!$B$2:$AO$2,0))</f>
        <v>1.0107278258414167</v>
      </c>
      <c r="BF48" s="16">
        <f>INDEX('Team forecast'!$B$2:$AO$26,MATCH('Master data'!$B48,'Team forecast'!$B$2:$B$26,0),MATCH('Master data'!BF$1,'Team forecast'!$B$2:$AO$2,0))</f>
        <v>1.2965069481471114</v>
      </c>
      <c r="BG48" s="16">
        <f>INDEX('Team forecast'!$B$2:$AO$26,MATCH('Master data'!$B48,'Team forecast'!$B$2:$B$26,0),MATCH('Master data'!BG$1,'Team forecast'!$B$2:$AO$2,0))</f>
        <v>0.27348542529246672</v>
      </c>
      <c r="BH48" s="16">
        <f>INDEX('Team forecast'!$B$2:$AO$26,MATCH('Master data'!$B48,'Team forecast'!$B$2:$B$26,0),MATCH('Master data'!BH$1,'Team forecast'!$B$2:$AO$2,0))</f>
        <v>2.5755293393428875</v>
      </c>
      <c r="BI48" s="16">
        <f>INDEX('Team forecast'!$B$2:$AO$26,MATCH('Master data'!$B48,'Team forecast'!$B$2:$B$26,0),MATCH('Master data'!BI$1,'Team forecast'!$B$2:$AO$2,0))</f>
        <v>3.6247412564394597</v>
      </c>
      <c r="BJ48" s="5">
        <f>AQ48</f>
        <v>7000</v>
      </c>
      <c r="BK48" s="5">
        <f>INDEX('Team forecast'!$R$3:$BH$26,MATCH($B48,'Team forecast'!$B$3:$B$26,0),MATCH(BK$1,'Team forecast'!$R$2:$BH$2,0))*IF($X48&gt;0,25000,0)</f>
        <v>7251.5074888154077</v>
      </c>
      <c r="BL48" s="5">
        <f>INDEX('Team forecast'!$R$3:$BH$26,MATCH($B48,'Team forecast'!$B$3:$B$26,0),MATCH(BL$1,'Team forecast'!$R$2:$BH$2,0))*IF($X48&gt;0,5000,0)</f>
        <v>1495.6234195681775</v>
      </c>
      <c r="BM48" s="5">
        <f>INDEX('Team forecast'!$R$3:$BH$26,MATCH($B48,'Team forecast'!$B$3:$B$26,0),MATCH(BM$1,'Team forecast'!$R$2:$BH$2,0))*IF($X48&gt;0,-15000,0)</f>
        <v>-6162.2252480062243</v>
      </c>
      <c r="BN48" s="5">
        <f>IF($C48="Defense",$N48*150000,IF($C48="Midfield",$N48*125000,IF($C48="Striker",$N48*100000,0)))*$BE48</f>
        <v>24684.801857036004</v>
      </c>
      <c r="BO48" s="5">
        <f>$O48*50000*$BE48</f>
        <v>3498.6890864398842</v>
      </c>
      <c r="BP48" s="5">
        <f>$P48*BH48*10000</f>
        <v>6959.9884163173665</v>
      </c>
      <c r="BQ48" s="5">
        <f>IF($C48="Goalkeeper",BG48*75000,IF($C48="Defense",BG48*50000,0))</f>
        <v>0</v>
      </c>
      <c r="BR48" s="5">
        <f>IF($C48="Goalkeeper",(BI48-BF48)*5000,0)</f>
        <v>0</v>
      </c>
      <c r="BS48" s="5">
        <f>$AG48</f>
        <v>-1617.2506738544475</v>
      </c>
      <c r="BT48" s="5">
        <f>$AH48</f>
        <v>0</v>
      </c>
      <c r="BU48" s="5">
        <f>IF(AQ48&gt;0,BE48*10000,0)</f>
        <v>10107.278258414168</v>
      </c>
      <c r="BV48" s="5">
        <f>IF(AQ48&gt;0,BF48*(-8000),0)</f>
        <v>-10372.055585176891</v>
      </c>
      <c r="BW48" s="5">
        <f>IFERROR(SUM(BJ48:BV48),0)</f>
        <v>42846.357019553441</v>
      </c>
      <c r="BX48" s="5">
        <f>AVERAGE(AK48,BD48,BW48)</f>
        <v>61582.719341004711</v>
      </c>
      <c r="BY48" s="5">
        <f>BX48*3</f>
        <v>184748.15802301414</v>
      </c>
      <c r="BZ48" s="5">
        <f>INDEX('Team forecast'!$R$3:$BH$26,MATCH($B48,'Team forecast'!$B$3:$B$26,0),MATCH(BZ$1,'Team forecast'!$R$2:$BH$2,0))*($BX48-(BY48+CH48)*0.01)</f>
        <v>-3958.7832513239277</v>
      </c>
      <c r="CA48" s="5">
        <f>INDEX('Team forecast'!$R$3:$BH$26,MATCH($B48,'Team forecast'!$B$3:$B$26,0),MATCH(CA$1,'Team forecast'!$R$2:$BH$2,0))*($BX48-(BY48+BX48+CH48)*0.01)</f>
        <v>-2253.4047019093214</v>
      </c>
      <c r="CB48" s="5">
        <f>INDEX('Team forecast'!$R$3:$BH$26,MATCH($B48,'Team forecast'!$B$3:$B$26,0),MATCH(CB$1,'Team forecast'!$R$2:$BH$2,0))*($BX48-(BY48+BX48*2+CH48)*0.01)</f>
        <v>-1288.8616539231475</v>
      </c>
      <c r="CC48" s="5">
        <f>INDEX('Team forecast'!$R$3:$BH$26,MATCH($B48,'Team forecast'!$B$3:$B$26,0),MATCH(CC$1,'Team forecast'!$R$2:$BH$2,0))*($BX48-(BY48+BX48*3+CH48)*0.01)</f>
        <v>-767.87302976339492</v>
      </c>
      <c r="CD48" s="5">
        <f>+AK48+BD48*Cockpit!$C$3+BW48*Cockpit!$C$3^2+BZ48*Cockpit!$C$3^3+CA48*Cockpit!$C$3^4+CB48*Cockpit!$C$3^5+CC48*Cockpit!$C$3^6</f>
        <v>142846.67507052451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2.8422793542002174E-2</v>
      </c>
      <c r="CK48" s="5">
        <f>RANK(BY48,$BY$2:$BY$623)+COUNTIF($BY$2:$BY48,$BY48)-1</f>
        <v>65</v>
      </c>
      <c r="CL48" s="5">
        <f>RANK(CJ48,$CJ$2:$CJ$623)+COUNTIF($CJ$2:$CJ48,$CJ48)-1</f>
        <v>162</v>
      </c>
    </row>
    <row r="49" spans="1:90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1.7533592214060363</v>
      </c>
      <c r="I49" s="16">
        <f>INDEX('Team forecast'!$B$2:$AO$26,MATCH('Master data'!$B49,'Team forecast'!$B$2:$B$26,0),MATCH('Master data'!I$1,'Team forecast'!$B$2:$AO$2,0))</f>
        <v>0.63639779406972985</v>
      </c>
      <c r="J49" s="16">
        <f>INDEX('Team forecast'!$B$2:$AO$26,MATCH('Master data'!$B49,'Team forecast'!$B$2:$B$26,0),MATCH('Master data'!J$1,'Team forecast'!$B$2:$AO$2,0))</f>
        <v>0.52919526509499659</v>
      </c>
      <c r="K49" s="16">
        <f>INDEX('Team forecast'!$B$2:$AO$26,MATCH('Master data'!$B49,'Team forecast'!$B$2:$B$26,0),MATCH('Master data'!K$1,'Team forecast'!$B$2:$AO$2,0))</f>
        <v>4.835748720224867</v>
      </c>
      <c r="L49" s="16">
        <f>INDEX('Team forecast'!$B$2:$AO$26,MATCH('Master data'!$B49,'Team forecast'!$B$2:$B$26,0),MATCH('Master data'!L$1,'Team forecast'!$B$2:$AO$2,0))</f>
        <v>2.0891846775016383</v>
      </c>
      <c r="M49">
        <f>IF(Players!BC50=1,95,0)</f>
        <v>95</v>
      </c>
      <c r="N49" s="2">
        <f>Players!BN50</f>
        <v>0.13119212602637859</v>
      </c>
      <c r="O49" s="2">
        <f>Players!BO50</f>
        <v>0.13838666650236756</v>
      </c>
      <c r="P49" s="2">
        <f>Players!BP50</f>
        <v>0.15977996148562032</v>
      </c>
      <c r="Q49" s="2">
        <f>Players!BQ50</f>
        <v>2.0408163265306124E-2</v>
      </c>
      <c r="R49" s="2">
        <f>Players!BR50</f>
        <v>0</v>
      </c>
      <c r="S49" s="2">
        <f>H49</f>
        <v>1.7533592214060363</v>
      </c>
      <c r="T49" s="2">
        <f>I49</f>
        <v>0.63639779406972985</v>
      </c>
      <c r="U49" s="16">
        <f>INDEX('Team forecast'!$B$2:$AO$26,MATCH('Master data'!$B49,'Team forecast'!$B$2:$B$26,0),MATCH('Master data'!U$1,'Team forecast'!$B$2:$AO$2,0))</f>
        <v>0.68039391226499568</v>
      </c>
      <c r="V49" s="16">
        <f>INDEX('Team forecast'!$B$2:$AO$26,MATCH('Master data'!$B49,'Team forecast'!$B$2:$B$26,0),MATCH('Master data'!V$1,'Team forecast'!$B$2:$AO$2,0))</f>
        <v>0.20053715308863029</v>
      </c>
      <c r="W49" s="16">
        <f>INDEX('Team forecast'!$B$2:$AO$26,MATCH('Master data'!$B49,'Team forecast'!$B$2:$B$26,0),MATCH('Master data'!W$1,'Team forecast'!$B$2:$AO$2,0))</f>
        <v>0.11906893464637421</v>
      </c>
      <c r="X49" s="5">
        <f>IF(M49&gt;95,7000*2,IF(M49&gt;0,7000,-5000))</f>
        <v>7000</v>
      </c>
      <c r="Y49" s="5">
        <f>IF($X49&gt;0,U49*25000,0)</f>
        <v>17009.847806624894</v>
      </c>
      <c r="Z49" s="5">
        <f>IF($X49&gt;0,V49*5000,0)</f>
        <v>1002.6857654431515</v>
      </c>
      <c r="AA49" s="5">
        <f>IF($X49&gt;0,W49*(-15000),0)</f>
        <v>-1786.0340196956131</v>
      </c>
      <c r="AB49" s="5">
        <f>IF($C49="Defense",$N49*150000,IF($C49="Midfield",$N49*125000,IF($C49="Striker",$N49*100000,0)))*$H49</f>
        <v>23002.692394421374</v>
      </c>
      <c r="AC49" s="5">
        <f>$O49*50000*H49</f>
        <v>12132.076891578399</v>
      </c>
      <c r="AD49" s="5">
        <f>$P49*K49*10000</f>
        <v>7726.5574427166703</v>
      </c>
      <c r="AE49" s="5">
        <f>IF($C49="Goalkeeper",J49*75000,IF($C49="Defense",J49*50000,0))</f>
        <v>0</v>
      </c>
      <c r="AF49" s="5">
        <f>IF($C49="Goalkeeper",(L49-I49)*5000,0)</f>
        <v>0</v>
      </c>
      <c r="AG49" s="5">
        <f>IF(M49&gt;0,Q49*(-20000),0)</f>
        <v>-408.16326530612247</v>
      </c>
      <c r="AH49" s="5">
        <f>IF(M49&gt;0,R49*(-50000),0)</f>
        <v>0</v>
      </c>
      <c r="AI49" s="5">
        <f>IF(M49&gt;0,S49*10000,0)</f>
        <v>17533.592214060362</v>
      </c>
      <c r="AJ49" s="5">
        <f>IF(M49&gt;0,T49*(-8000),0)</f>
        <v>-5091.1823525578384</v>
      </c>
      <c r="AK49" s="5">
        <f>IFERROR(SUM(X49:AJ49),-5000)*((Cockpit!$C$3)^0)</f>
        <v>78122.072877285274</v>
      </c>
      <c r="AL49" s="16">
        <f>INDEX('Team forecast'!$B$2:$AO$26,MATCH('Master data'!$B49,'Team forecast'!$B$2:$B$26,0),MATCH('Master data'!AL$1,'Team forecast'!$B$2:$AO$2,0))</f>
        <v>1.9080439968215523</v>
      </c>
      <c r="AM49" s="16">
        <f>INDEX('Team forecast'!$B$2:$AO$26,MATCH('Master data'!$B49,'Team forecast'!$B$2:$B$26,0),MATCH('Master data'!AM$1,'Team forecast'!$B$2:$AO$2,0))</f>
        <v>0.77817916464933856</v>
      </c>
      <c r="AN49" s="16">
        <f>INDEX('Team forecast'!$B$2:$AO$26,MATCH('Master data'!$B49,'Team forecast'!$B$2:$B$26,0),MATCH('Master data'!AN$1,'Team forecast'!$B$2:$AO$2,0))</f>
        <v>0.459241453546125</v>
      </c>
      <c r="AO49" s="16">
        <f>INDEX('Team forecast'!$B$2:$AO$26,MATCH('Master data'!$B49,'Team forecast'!$B$2:$B$26,0),MATCH('Master data'!AO$1,'Team forecast'!$B$2:$AO$2,0))</f>
        <v>5.26236791817451</v>
      </c>
      <c r="AP49" s="16">
        <f>INDEX('Team forecast'!$B$2:$AO$26,MATCH('Master data'!$B49,'Team forecast'!$B$2:$B$26,0),MATCH('Master data'!AP$1,'Team forecast'!$B$2:$AO$2,0))</f>
        <v>2.5546285708185357</v>
      </c>
      <c r="AQ49" s="5">
        <f>X49</f>
        <v>7000</v>
      </c>
      <c r="AR49" s="5">
        <f>INDEX('Team forecast'!$B$2:$AO$26,MATCH('Master data'!$B49,'Team forecast'!$B$2:$B$26,0),MATCH('Master data'!AR$1,'Team forecast'!$B$2:$AO$2,0))*IF(X49&gt;0,25000,0)</f>
        <v>16181.32638333662</v>
      </c>
      <c r="AS49" s="16">
        <f>INDEX('Team forecast'!$B$2:$AO$26,MATCH('Master data'!$B49,'Team forecast'!$B$2:$B$26,0),MATCH('Master data'!AS$1,'Team forecast'!$B$2:$AO$2,0))*IF(X49&gt;0,5000,0)</f>
        <v>1059.787969721827</v>
      </c>
      <c r="AT49" s="16">
        <f>INDEX('Team forecast'!$B$2:$AO$26,MATCH('Master data'!$B49,'Team forecast'!$B$2:$B$26,0),MATCH('Master data'!AT$1,'Team forecast'!$B$2:$AO$2,0))*IF(X49&gt;0,-15000,0)</f>
        <v>-2111.8402608325455</v>
      </c>
      <c r="AU49" s="5">
        <f>IF($C49="Defense",$N49*150000,IF($C49="Midfield",$N49*125000,IF($C49="Striker",$N49*100000,0)))*$AL49</f>
        <v>25032.03484948882</v>
      </c>
      <c r="AV49" s="5">
        <f>$O49*50000*AL49</f>
        <v>13202.39241299943</v>
      </c>
      <c r="AW49" s="5">
        <f>$P49*AO49*10000</f>
        <v>8408.2094328908715</v>
      </c>
      <c r="AX49" s="5">
        <f>IF($C49="Goalkeeper",AN49*75000,IF($C49="Defense",AN49*50000,0))</f>
        <v>0</v>
      </c>
      <c r="AY49" s="5">
        <f>IF($C49="Goalkeeper",(AP49-AM49)*5000,0)</f>
        <v>0</v>
      </c>
      <c r="AZ49" s="5">
        <f>$AG49</f>
        <v>-408.16326530612247</v>
      </c>
      <c r="BA49" s="5">
        <f>$AH49</f>
        <v>0</v>
      </c>
      <c r="BB49" s="5">
        <f>IF(X49&gt;0,AL49*10000,0)</f>
        <v>19080.439968215524</v>
      </c>
      <c r="BC49" s="5">
        <f>IF(X49&gt;0,AM49*(-8000),0)</f>
        <v>-6225.4333171947083</v>
      </c>
      <c r="BD49" s="5">
        <f>IFERROR(SUM(AQ49:BC49),0)</f>
        <v>81218.754173319714</v>
      </c>
      <c r="BE49" s="16">
        <f>INDEX('Team forecast'!$B$2:$AO$26,MATCH('Master data'!$B49,'Team forecast'!$B$2:$B$26,0),MATCH('Master data'!BE$1,'Team forecast'!$B$2:$AO$2,0))</f>
        <v>2.3513752571634776</v>
      </c>
      <c r="BF49" s="16">
        <f>INDEX('Team forecast'!$B$2:$AO$26,MATCH('Master data'!$B49,'Team forecast'!$B$2:$B$26,0),MATCH('Master data'!BF$1,'Team forecast'!$B$2:$AO$2,0))</f>
        <v>0.56161379059809569</v>
      </c>
      <c r="BG49" s="16">
        <f>INDEX('Team forecast'!$B$2:$AO$26,MATCH('Master data'!$B49,'Team forecast'!$B$2:$B$26,0),MATCH('Master data'!BG$1,'Team forecast'!$B$2:$AO$2,0))</f>
        <v>0.57028799543769604</v>
      </c>
      <c r="BH49" s="16">
        <f>INDEX('Team forecast'!$B$2:$AO$26,MATCH('Master data'!$B49,'Team forecast'!$B$2:$B$26,0),MATCH('Master data'!BH$1,'Team forecast'!$B$2:$AO$2,0))</f>
        <v>6.4850714855102307</v>
      </c>
      <c r="BI49" s="16">
        <f>INDEX('Team forecast'!$B$2:$AO$26,MATCH('Master data'!$B49,'Team forecast'!$B$2:$B$26,0),MATCH('Master data'!BI$1,'Team forecast'!$B$2:$AO$2,0))</f>
        <v>1.8436816358018293</v>
      </c>
      <c r="BJ49" s="5">
        <f>AQ49</f>
        <v>7000</v>
      </c>
      <c r="BK49" s="5">
        <f>INDEX('Team forecast'!$R$3:$BH$26,MATCH($B49,'Team forecast'!$B$3:$B$26,0),MATCH(BK$1,'Team forecast'!$R$2:$BH$2,0))*IF($X49&gt;0,25000,0)</f>
        <v>19047.619047619046</v>
      </c>
      <c r="BL49" s="5">
        <f>INDEX('Team forecast'!$R$3:$BH$26,MATCH($B49,'Team forecast'!$B$3:$B$26,0),MATCH(BL$1,'Team forecast'!$R$2:$BH$2,0))*IF($X49&gt;0,5000,0)</f>
        <v>850.34013605442146</v>
      </c>
      <c r="BM49" s="5">
        <f>INDEX('Team forecast'!$R$3:$BH$26,MATCH($B49,'Team forecast'!$B$3:$B$26,0),MATCH(BM$1,'Team forecast'!$R$2:$BH$2,0))*IF($X49&gt;0,-15000,0)</f>
        <v>-1020.408163265306</v>
      </c>
      <c r="BN49" s="5">
        <f>IF($C49="Defense",$N49*150000,IF($C49="Midfield",$N49*125000,IF($C49="Striker",$N49*100000,0)))*$BE49</f>
        <v>30848.191907309934</v>
      </c>
      <c r="BO49" s="5">
        <f>$O49*50000*$BE49</f>
        <v>16269.949176750046</v>
      </c>
      <c r="BP49" s="5">
        <f>$P49*BH49*10000</f>
        <v>10361.844721863192</v>
      </c>
      <c r="BQ49" s="5">
        <f>IF($C49="Goalkeeper",BG49*75000,IF($C49="Defense",BG49*50000,0))</f>
        <v>0</v>
      </c>
      <c r="BR49" s="5">
        <f>IF($C49="Goalkeeper",(BI49-BF49)*5000,0)</f>
        <v>0</v>
      </c>
      <c r="BS49" s="5">
        <f>$AG49</f>
        <v>-408.16326530612247</v>
      </c>
      <c r="BT49" s="5">
        <f>$AH49</f>
        <v>0</v>
      </c>
      <c r="BU49" s="5">
        <f>IF(AQ49&gt;0,BE49*10000,0)</f>
        <v>23513.752571634777</v>
      </c>
      <c r="BV49" s="5">
        <f>IF(AQ49&gt;0,BF49*(-8000),0)</f>
        <v>-4492.9103247847652</v>
      </c>
      <c r="BW49" s="5">
        <f>IFERROR(SUM(BJ49:BV49),0)</f>
        <v>101970.21580787521</v>
      </c>
      <c r="BX49" s="5">
        <f>AVERAGE(AK49,BD49,BW49)</f>
        <v>87103.680952826733</v>
      </c>
      <c r="BY49" s="5">
        <f>BX49*3</f>
        <v>261311.04285848018</v>
      </c>
      <c r="BZ49" s="5">
        <f>INDEX('Team forecast'!$R$3:$BH$26,MATCH($B49,'Team forecast'!$B$3:$B$26,0),MATCH(BZ$1,'Team forecast'!$R$2:$BH$2,0))*($BX49-(BY49+CH49)*0.01)</f>
        <v>33344.776362468343</v>
      </c>
      <c r="CA49" s="5">
        <f>INDEX('Team forecast'!$R$3:$BH$26,MATCH($B49,'Team forecast'!$B$3:$B$26,0),MATCH(CA$1,'Team forecast'!$R$2:$BH$2,0))*($BX49-(BY49+BX49+CH49)*0.01)</f>
        <v>16470.58114604704</v>
      </c>
      <c r="CB49" s="5">
        <f>INDEX('Team forecast'!$R$3:$BH$26,MATCH($B49,'Team forecast'!$B$3:$B$26,0),MATCH(CB$1,'Team forecast'!$R$2:$BH$2,0))*($BX49-(BY49+BX49*2+CH49)*0.01)</f>
        <v>8222.9256993452673</v>
      </c>
      <c r="CC49" s="5">
        <f>INDEX('Team forecast'!$R$3:$BH$26,MATCH($B49,'Team forecast'!$B$3:$B$26,0),MATCH(CC$1,'Team forecast'!$R$2:$BH$2,0))*($BX49-(BY49+BX49*3+CH49)*0.01)</f>
        <v>4254.3981289013973</v>
      </c>
      <c r="CD49" s="5">
        <f>+AK49+BD49*Cockpit!$C$3+BW49*Cockpit!$C$3^2+BZ49*Cockpit!$C$3^3+CA49*Cockpit!$C$3^4+CB49*Cockpit!$C$3^5+CC49*Cockpit!$C$3^6</f>
        <v>192177.74115807502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5.2262208571696035E-2</v>
      </c>
      <c r="CK49" s="5">
        <f>RANK(BY49,$BY$2:$BY$623)+COUNTIF($BY$2:$BY49,$BY49)-1</f>
        <v>17</v>
      </c>
      <c r="CL49" s="5">
        <f>RANK(CJ49,$CJ$2:$CJ$623)+COUNTIF($CJ$2:$CJ49,$CJ49)-1</f>
        <v>26</v>
      </c>
    </row>
    <row r="50" spans="1:90">
      <c r="A50" t="str">
        <f>Players!P51</f>
        <v>Marcos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1.7533592214060363</v>
      </c>
      <c r="I50" s="16">
        <f>INDEX('Team forecast'!$B$2:$AO$26,MATCH('Master data'!$B50,'Team forecast'!$B$2:$B$26,0),MATCH('Master data'!I$1,'Team forecast'!$B$2:$AO$2,0))</f>
        <v>0.63639779406972985</v>
      </c>
      <c r="J50" s="16">
        <f>INDEX('Team forecast'!$B$2:$AO$26,MATCH('Master data'!$B50,'Team forecast'!$B$2:$B$26,0),MATCH('Master data'!J$1,'Team forecast'!$B$2:$AO$2,0))</f>
        <v>0.52919526509499659</v>
      </c>
      <c r="K50" s="16">
        <f>INDEX('Team forecast'!$B$2:$AO$26,MATCH('Master data'!$B50,'Team forecast'!$B$2:$B$26,0),MATCH('Master data'!K$1,'Team forecast'!$B$2:$AO$2,0))</f>
        <v>4.835748720224867</v>
      </c>
      <c r="L50" s="16">
        <f>INDEX('Team forecast'!$B$2:$AO$26,MATCH('Master data'!$B50,'Team forecast'!$B$2:$B$26,0),MATCH('Master data'!L$1,'Team forecast'!$B$2:$AO$2,0))</f>
        <v>2.0891846775016383</v>
      </c>
      <c r="M50">
        <f>IF(Players!BC51=1,95,0)</f>
        <v>95</v>
      </c>
      <c r="N50" s="2">
        <f>Players!BN51</f>
        <v>0.10458023712824677</v>
      </c>
      <c r="O50" s="2">
        <f>Players!BO51</f>
        <v>0.11490444959172579</v>
      </c>
      <c r="P50" s="2">
        <f>Players!BP51</f>
        <v>0.10910650241648991</v>
      </c>
      <c r="Q50" s="2">
        <f>Players!BQ51</f>
        <v>0.8112162162162162</v>
      </c>
      <c r="R50" s="2">
        <f>Players!BR51</f>
        <v>0</v>
      </c>
      <c r="S50" s="2">
        <f>H50</f>
        <v>1.7533592214060363</v>
      </c>
      <c r="T50" s="2">
        <f>I50</f>
        <v>0.63639779406972985</v>
      </c>
      <c r="U50" s="16">
        <f>INDEX('Team forecast'!$B$2:$AO$26,MATCH('Master data'!$B50,'Team forecast'!$B$2:$B$26,0),MATCH('Master data'!U$1,'Team forecast'!$B$2:$AO$2,0))</f>
        <v>0.68039391226499568</v>
      </c>
      <c r="V50" s="16">
        <f>INDEX('Team forecast'!$B$2:$AO$26,MATCH('Master data'!$B50,'Team forecast'!$B$2:$B$26,0),MATCH('Master data'!V$1,'Team forecast'!$B$2:$AO$2,0))</f>
        <v>0.20053715308863029</v>
      </c>
      <c r="W50" s="16">
        <f>INDEX('Team forecast'!$B$2:$AO$26,MATCH('Master data'!$B50,'Team forecast'!$B$2:$B$26,0),MATCH('Master data'!W$1,'Team forecast'!$B$2:$AO$2,0))</f>
        <v>0.11906893464637421</v>
      </c>
      <c r="X50" s="5">
        <f>IF(M50&gt;95,7000*2,IF(M50&gt;0,7000,-5000))</f>
        <v>7000</v>
      </c>
      <c r="Y50" s="5">
        <f>IF($X50&gt;0,U50*25000,0)</f>
        <v>17009.847806624894</v>
      </c>
      <c r="Z50" s="5">
        <f>IF($X50&gt;0,V50*5000,0)</f>
        <v>1002.6857654431515</v>
      </c>
      <c r="AA50" s="5">
        <f>IF($X50&gt;0,W50*(-15000),0)</f>
        <v>-1786.0340196956131</v>
      </c>
      <c r="AB50" s="5">
        <f>IF($C50="Defense",$N50*150000,IF($C50="Midfield",$N50*125000,IF($C50="Striker",$N50*100000,0)))*$H50</f>
        <v>22920.840393205173</v>
      </c>
      <c r="AC50" s="5">
        <f>$O50*50000*H50</f>
        <v>10073.438813611874</v>
      </c>
      <c r="AD50" s="5">
        <f>$P50*K50*10000</f>
        <v>5276.1162942875235</v>
      </c>
      <c r="AE50" s="5">
        <f>IF($C50="Goalkeeper",J50*75000,IF($C50="Defense",J50*50000,0))</f>
        <v>0</v>
      </c>
      <c r="AF50" s="5">
        <f>IF($C50="Goalkeeper",(L50-I50)*5000,0)</f>
        <v>0</v>
      </c>
      <c r="AG50" s="5">
        <f>IF(M50&gt;0,Q50*(-20000),0)</f>
        <v>-16224.324324324323</v>
      </c>
      <c r="AH50" s="5">
        <f>IF(M50&gt;0,R50*(-50000),0)</f>
        <v>0</v>
      </c>
      <c r="AI50" s="5">
        <f>IF(M50&gt;0,S50*10000,0)</f>
        <v>17533.592214060362</v>
      </c>
      <c r="AJ50" s="5">
        <f>IF(M50&gt;0,T50*(-8000),0)</f>
        <v>-5091.1823525578384</v>
      </c>
      <c r="AK50" s="5">
        <f>IFERROR(SUM(X50:AJ50),-5000)*((Cockpit!$C$3)^0)</f>
        <v>57714.980590655206</v>
      </c>
      <c r="AL50" s="16">
        <f>INDEX('Team forecast'!$B$2:$AO$26,MATCH('Master data'!$B50,'Team forecast'!$B$2:$B$26,0),MATCH('Master data'!AL$1,'Team forecast'!$B$2:$AO$2,0))</f>
        <v>1.9080439968215523</v>
      </c>
      <c r="AM50" s="16">
        <f>INDEX('Team forecast'!$B$2:$AO$26,MATCH('Master data'!$B50,'Team forecast'!$B$2:$B$26,0),MATCH('Master data'!AM$1,'Team forecast'!$B$2:$AO$2,0))</f>
        <v>0.77817916464933856</v>
      </c>
      <c r="AN50" s="16">
        <f>INDEX('Team forecast'!$B$2:$AO$26,MATCH('Master data'!$B50,'Team forecast'!$B$2:$B$26,0),MATCH('Master data'!AN$1,'Team forecast'!$B$2:$AO$2,0))</f>
        <v>0.459241453546125</v>
      </c>
      <c r="AO50" s="16">
        <f>INDEX('Team forecast'!$B$2:$AO$26,MATCH('Master data'!$B50,'Team forecast'!$B$2:$B$26,0),MATCH('Master data'!AO$1,'Team forecast'!$B$2:$AO$2,0))</f>
        <v>5.26236791817451</v>
      </c>
      <c r="AP50" s="16">
        <f>INDEX('Team forecast'!$B$2:$AO$26,MATCH('Master data'!$B50,'Team forecast'!$B$2:$B$26,0),MATCH('Master data'!AP$1,'Team forecast'!$B$2:$AO$2,0))</f>
        <v>2.5546285708185357</v>
      </c>
      <c r="AQ50" s="5">
        <f>X50</f>
        <v>7000</v>
      </c>
      <c r="AR50" s="5">
        <f>INDEX('Team forecast'!$B$2:$AO$26,MATCH('Master data'!$B50,'Team forecast'!$B$2:$B$26,0),MATCH('Master data'!AR$1,'Team forecast'!$B$2:$AO$2,0))*IF(X50&gt;0,25000,0)</f>
        <v>16181.32638333662</v>
      </c>
      <c r="AS50" s="16">
        <f>INDEX('Team forecast'!$B$2:$AO$26,MATCH('Master data'!$B50,'Team forecast'!$B$2:$B$26,0),MATCH('Master data'!AS$1,'Team forecast'!$B$2:$AO$2,0))*IF(X50&gt;0,5000,0)</f>
        <v>1059.787969721827</v>
      </c>
      <c r="AT50" s="16">
        <f>INDEX('Team forecast'!$B$2:$AO$26,MATCH('Master data'!$B50,'Team forecast'!$B$2:$B$26,0),MATCH('Master data'!AT$1,'Team forecast'!$B$2:$AO$2,0))*IF(X50&gt;0,-15000,0)</f>
        <v>-2111.8402608325455</v>
      </c>
      <c r="AU50" s="5">
        <f>IF($C50="Defense",$N50*150000,IF($C50="Midfield",$N50*125000,IF($C50="Striker",$N50*100000,0)))*$AL50</f>
        <v>24942.961704840709</v>
      </c>
      <c r="AV50" s="5">
        <f>$O50*50000*AL50</f>
        <v>10962.137262578854</v>
      </c>
      <c r="AW50" s="5">
        <f>$P50*AO50*10000</f>
        <v>5741.5855798076609</v>
      </c>
      <c r="AX50" s="5">
        <f>IF($C50="Goalkeeper",AN50*75000,IF($C50="Defense",AN50*50000,0))</f>
        <v>0</v>
      </c>
      <c r="AY50" s="5">
        <f>IF($C50="Goalkeeper",(AP50-AM50)*5000,0)</f>
        <v>0</v>
      </c>
      <c r="AZ50" s="5">
        <f>$AG50</f>
        <v>-16224.324324324323</v>
      </c>
      <c r="BA50" s="5">
        <f>$AH50</f>
        <v>0</v>
      </c>
      <c r="BB50" s="5">
        <f>IF(X50&gt;0,AL50*10000,0)</f>
        <v>19080.439968215524</v>
      </c>
      <c r="BC50" s="5">
        <f>IF(X50&gt;0,AM50*(-8000),0)</f>
        <v>-6225.4333171947083</v>
      </c>
      <c r="BD50" s="5">
        <f>IFERROR(SUM(AQ50:BC50),0)</f>
        <v>60406.640966149615</v>
      </c>
      <c r="BE50" s="16">
        <f>INDEX('Team forecast'!$B$2:$AO$26,MATCH('Master data'!$B50,'Team forecast'!$B$2:$B$26,0),MATCH('Master data'!BE$1,'Team forecast'!$B$2:$AO$2,0))</f>
        <v>2.3513752571634776</v>
      </c>
      <c r="BF50" s="16">
        <f>INDEX('Team forecast'!$B$2:$AO$26,MATCH('Master data'!$B50,'Team forecast'!$B$2:$B$26,0),MATCH('Master data'!BF$1,'Team forecast'!$B$2:$AO$2,0))</f>
        <v>0.56161379059809569</v>
      </c>
      <c r="BG50" s="16">
        <f>INDEX('Team forecast'!$B$2:$AO$26,MATCH('Master data'!$B50,'Team forecast'!$B$2:$B$26,0),MATCH('Master data'!BG$1,'Team forecast'!$B$2:$AO$2,0))</f>
        <v>0.57028799543769604</v>
      </c>
      <c r="BH50" s="16">
        <f>INDEX('Team forecast'!$B$2:$AO$26,MATCH('Master data'!$B50,'Team forecast'!$B$2:$B$26,0),MATCH('Master data'!BH$1,'Team forecast'!$B$2:$AO$2,0))</f>
        <v>6.4850714855102307</v>
      </c>
      <c r="BI50" s="16">
        <f>INDEX('Team forecast'!$B$2:$AO$26,MATCH('Master data'!$B50,'Team forecast'!$B$2:$B$26,0),MATCH('Master data'!BI$1,'Team forecast'!$B$2:$AO$2,0))</f>
        <v>1.8436816358018293</v>
      </c>
      <c r="BJ50" s="5">
        <f>AQ50</f>
        <v>7000</v>
      </c>
      <c r="BK50" s="5">
        <f>INDEX('Team forecast'!$R$3:$BH$26,MATCH($B50,'Team forecast'!$B$3:$B$26,0),MATCH(BK$1,'Team forecast'!$R$2:$BH$2,0))*IF($X50&gt;0,25000,0)</f>
        <v>19047.619047619046</v>
      </c>
      <c r="BL50" s="5">
        <f>INDEX('Team forecast'!$R$3:$BH$26,MATCH($B50,'Team forecast'!$B$3:$B$26,0),MATCH(BL$1,'Team forecast'!$R$2:$BH$2,0))*IF($X50&gt;0,5000,0)</f>
        <v>850.34013605442146</v>
      </c>
      <c r="BM50" s="5">
        <f>INDEX('Team forecast'!$R$3:$BH$26,MATCH($B50,'Team forecast'!$B$3:$B$26,0),MATCH(BM$1,'Team forecast'!$R$2:$BH$2,0))*IF($X50&gt;0,-15000,0)</f>
        <v>-1020.408163265306</v>
      </c>
      <c r="BN50" s="5">
        <f>IF($C50="Defense",$N50*150000,IF($C50="Midfield",$N50*125000,IF($C50="Striker",$N50*100000,0)))*$BE50</f>
        <v>30738.42274645609</v>
      </c>
      <c r="BO50" s="5">
        <f>$O50*50000*$BE50</f>
        <v>13509.173985398604</v>
      </c>
      <c r="BP50" s="5">
        <f>$P50*BH50*10000</f>
        <v>7075.6346770493174</v>
      </c>
      <c r="BQ50" s="5">
        <f>IF($C50="Goalkeeper",BG50*75000,IF($C50="Defense",BG50*50000,0))</f>
        <v>0</v>
      </c>
      <c r="BR50" s="5">
        <f>IF($C50="Goalkeeper",(BI50-BF50)*5000,0)</f>
        <v>0</v>
      </c>
      <c r="BS50" s="5">
        <f>$AG50</f>
        <v>-16224.324324324323</v>
      </c>
      <c r="BT50" s="5">
        <f>$AH50</f>
        <v>0</v>
      </c>
      <c r="BU50" s="5">
        <f>IF(AQ50&gt;0,BE50*10000,0)</f>
        <v>23513.752571634777</v>
      </c>
      <c r="BV50" s="5">
        <f>IF(AQ50&gt;0,BF50*(-8000),0)</f>
        <v>-4492.9103247847652</v>
      </c>
      <c r="BW50" s="5">
        <f>IFERROR(SUM(BJ50:BV50),0)</f>
        <v>79997.300351837854</v>
      </c>
      <c r="BX50" s="5">
        <f>AVERAGE(AK50,BD50,BW50)</f>
        <v>66039.64063621423</v>
      </c>
      <c r="BY50" s="5">
        <f>BX50*3</f>
        <v>198118.92190864269</v>
      </c>
      <c r="BZ50" s="5">
        <f>INDEX('Team forecast'!$R$3:$BH$26,MATCH($B50,'Team forecast'!$B$3:$B$26,0),MATCH(BZ$1,'Team forecast'!$R$2:$BH$2,0))*($BX50-(BY50+CH50)*0.01)</f>
        <v>18425.32004138433</v>
      </c>
      <c r="CA50" s="5">
        <f>INDEX('Team forecast'!$R$3:$BH$26,MATCH($B50,'Team forecast'!$B$3:$B$26,0),MATCH(CA$1,'Team forecast'!$R$2:$BH$2,0))*($BX50-(BY50+BX50+CH50)*0.01)</f>
        <v>9013.4104939008375</v>
      </c>
      <c r="CB50" s="5">
        <f>INDEX('Team forecast'!$R$3:$BH$26,MATCH($B50,'Team forecast'!$B$3:$B$26,0),MATCH(CB$1,'Team forecast'!$R$2:$BH$2,0))*($BX50-(BY50+BX50*2+CH50)*0.01)</f>
        <v>4453.8059015852914</v>
      </c>
      <c r="CC50" s="5">
        <f>INDEX('Team forecast'!$R$3:$BH$26,MATCH($B50,'Team forecast'!$B$3:$B$26,0),MATCH(CC$1,'Team forecast'!$R$2:$BH$2,0))*($BX50-(BY50+BX50*3+CH50)*0.01)</f>
        <v>2279.1487190036146</v>
      </c>
      <c r="CD50" s="5">
        <f>+AK50+BD50*Cockpit!$C$3+BW50*Cockpit!$C$3^2+BZ50*Cockpit!$C$3^3+CA50*Cockpit!$C$3^4+CB50*Cockpit!$C$3^5+CC50*Cockpit!$C$3^6</f>
        <v>141566.81042354045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4.4026427090809485E-2</v>
      </c>
      <c r="CK50" s="5">
        <f>RANK(BY50,$BY$2:$BY$623)+COUNTIF($BY$2:$BY50,$BY50)-1</f>
        <v>52</v>
      </c>
      <c r="CL50" s="5">
        <f>RANK(CJ50,$CJ$2:$CJ$623)+COUNTIF($CJ$2:$CJ50,$CJ50)-1</f>
        <v>57</v>
      </c>
    </row>
    <row r="51" spans="1:90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1.7533592214060363</v>
      </c>
      <c r="I51" s="16">
        <f>INDEX('Team forecast'!$B$2:$AO$26,MATCH('Master data'!$B51,'Team forecast'!$B$2:$B$26,0),MATCH('Master data'!I$1,'Team forecast'!$B$2:$AO$2,0))</f>
        <v>0.63639779406972985</v>
      </c>
      <c r="J51" s="16">
        <f>INDEX('Team forecast'!$B$2:$AO$26,MATCH('Master data'!$B51,'Team forecast'!$B$2:$B$26,0),MATCH('Master data'!J$1,'Team forecast'!$B$2:$AO$2,0))</f>
        <v>0.52919526509499659</v>
      </c>
      <c r="K51" s="16">
        <f>INDEX('Team forecast'!$B$2:$AO$26,MATCH('Master data'!$B51,'Team forecast'!$B$2:$B$26,0),MATCH('Master data'!K$1,'Team forecast'!$B$2:$AO$2,0))</f>
        <v>4.835748720224867</v>
      </c>
      <c r="L51" s="16">
        <f>INDEX('Team forecast'!$B$2:$AO$26,MATCH('Master data'!$B51,'Team forecast'!$B$2:$B$26,0),MATCH('Master data'!L$1,'Team forecast'!$B$2:$AO$2,0))</f>
        <v>2.0891846775016383</v>
      </c>
      <c r="M51">
        <f>IF(Players!BC52=1,95,0)</f>
        <v>95</v>
      </c>
      <c r="N51" s="2">
        <f>Players!BN52</f>
        <v>0.24235789994315185</v>
      </c>
      <c r="O51" s="2">
        <f>Players!BO52</f>
        <v>0.16789936274276607</v>
      </c>
      <c r="P51" s="2">
        <f>Players!BP52</f>
        <v>0.25725199335946836</v>
      </c>
      <c r="Q51" s="2">
        <f>Players!BQ52</f>
        <v>5.0335570469798654E-2</v>
      </c>
      <c r="R51" s="2">
        <f>Players!BR52</f>
        <v>0</v>
      </c>
      <c r="S51" s="2">
        <f>H51</f>
        <v>1.7533592214060363</v>
      </c>
      <c r="T51" s="2">
        <f>I51</f>
        <v>0.63639779406972985</v>
      </c>
      <c r="U51" s="16">
        <f>INDEX('Team forecast'!$B$2:$AO$26,MATCH('Master data'!$B51,'Team forecast'!$B$2:$B$26,0),MATCH('Master data'!U$1,'Team forecast'!$B$2:$AO$2,0))</f>
        <v>0.68039391226499568</v>
      </c>
      <c r="V51" s="16">
        <f>INDEX('Team forecast'!$B$2:$AO$26,MATCH('Master data'!$B51,'Team forecast'!$B$2:$B$26,0),MATCH('Master data'!V$1,'Team forecast'!$B$2:$AO$2,0))</f>
        <v>0.20053715308863029</v>
      </c>
      <c r="W51" s="16">
        <f>INDEX('Team forecast'!$B$2:$AO$26,MATCH('Master data'!$B51,'Team forecast'!$B$2:$B$26,0),MATCH('Master data'!W$1,'Team forecast'!$B$2:$AO$2,0))</f>
        <v>0.11906893464637421</v>
      </c>
      <c r="X51" s="5">
        <f>IF(M51&gt;95,7000*2,IF(M51&gt;0,7000,-5000))</f>
        <v>7000</v>
      </c>
      <c r="Y51" s="5">
        <f>IF($X51&gt;0,U51*25000,0)</f>
        <v>17009.847806624894</v>
      </c>
      <c r="Z51" s="5">
        <f>IF($X51&gt;0,V51*5000,0)</f>
        <v>1002.6857654431515</v>
      </c>
      <c r="AA51" s="5">
        <f>IF($X51&gt;0,W51*(-15000),0)</f>
        <v>-1786.0340196956131</v>
      </c>
      <c r="AB51" s="5">
        <f>IF($C51="Defense",$N51*150000,IF($C51="Midfield",$N51*125000,IF($C51="Striker",$N51*100000,0)))*$H51</f>
        <v>42494.045874592681</v>
      </c>
      <c r="AC51" s="5">
        <f>$O51*50000*H51</f>
        <v>14719.394796661298</v>
      </c>
      <c r="AD51" s="5">
        <f>$P51*K51*10000</f>
        <v>12440.059976633451</v>
      </c>
      <c r="AE51" s="5">
        <f>IF($C51="Goalkeeper",J51*75000,IF($C51="Defense",J51*50000,0))</f>
        <v>0</v>
      </c>
      <c r="AF51" s="5">
        <f>IF($C51="Goalkeeper",(L51-I51)*5000,0)</f>
        <v>0</v>
      </c>
      <c r="AG51" s="5">
        <f>IF(M51&gt;0,Q51*(-20000),0)</f>
        <v>-1006.7114093959731</v>
      </c>
      <c r="AH51" s="5">
        <f>IF(M51&gt;0,R51*(-50000),0)</f>
        <v>0</v>
      </c>
      <c r="AI51" s="5">
        <f>IF(M51&gt;0,S51*10000,0)</f>
        <v>17533.592214060362</v>
      </c>
      <c r="AJ51" s="5">
        <f>IF(M51&gt;0,T51*(-8000),0)</f>
        <v>-5091.1823525578384</v>
      </c>
      <c r="AK51" s="5">
        <f>IFERROR(SUM(X51:AJ51),-5000)*((Cockpit!$C$3)^0)</f>
        <v>104315.69865236642</v>
      </c>
      <c r="AL51" s="16">
        <f>INDEX('Team forecast'!$B$2:$AO$26,MATCH('Master data'!$B51,'Team forecast'!$B$2:$B$26,0),MATCH('Master data'!AL$1,'Team forecast'!$B$2:$AO$2,0))</f>
        <v>1.9080439968215523</v>
      </c>
      <c r="AM51" s="16">
        <f>INDEX('Team forecast'!$B$2:$AO$26,MATCH('Master data'!$B51,'Team forecast'!$B$2:$B$26,0),MATCH('Master data'!AM$1,'Team forecast'!$B$2:$AO$2,0))</f>
        <v>0.77817916464933856</v>
      </c>
      <c r="AN51" s="16">
        <f>INDEX('Team forecast'!$B$2:$AO$26,MATCH('Master data'!$B51,'Team forecast'!$B$2:$B$26,0),MATCH('Master data'!AN$1,'Team forecast'!$B$2:$AO$2,0))</f>
        <v>0.459241453546125</v>
      </c>
      <c r="AO51" s="16">
        <f>INDEX('Team forecast'!$B$2:$AO$26,MATCH('Master data'!$B51,'Team forecast'!$B$2:$B$26,0),MATCH('Master data'!AO$1,'Team forecast'!$B$2:$AO$2,0))</f>
        <v>5.26236791817451</v>
      </c>
      <c r="AP51" s="16">
        <f>INDEX('Team forecast'!$B$2:$AO$26,MATCH('Master data'!$B51,'Team forecast'!$B$2:$B$26,0),MATCH('Master data'!AP$1,'Team forecast'!$B$2:$AO$2,0))</f>
        <v>2.5546285708185357</v>
      </c>
      <c r="AQ51" s="5">
        <f>X51</f>
        <v>7000</v>
      </c>
      <c r="AR51" s="5">
        <f>INDEX('Team forecast'!$B$2:$AO$26,MATCH('Master data'!$B51,'Team forecast'!$B$2:$B$26,0),MATCH('Master data'!AR$1,'Team forecast'!$B$2:$AO$2,0))*IF(X51&gt;0,25000,0)</f>
        <v>16181.32638333662</v>
      </c>
      <c r="AS51" s="16">
        <f>INDEX('Team forecast'!$B$2:$AO$26,MATCH('Master data'!$B51,'Team forecast'!$B$2:$B$26,0),MATCH('Master data'!AS$1,'Team forecast'!$B$2:$AO$2,0))*IF(X51&gt;0,5000,0)</f>
        <v>1059.787969721827</v>
      </c>
      <c r="AT51" s="16">
        <f>INDEX('Team forecast'!$B$2:$AO$26,MATCH('Master data'!$B51,'Team forecast'!$B$2:$B$26,0),MATCH('Master data'!AT$1,'Team forecast'!$B$2:$AO$2,0))*IF(X51&gt;0,-15000,0)</f>
        <v>-2111.8402608325455</v>
      </c>
      <c r="AU51" s="5">
        <f>IF($C51="Defense",$N51*150000,IF($C51="Midfield",$N51*125000,IF($C51="Striker",$N51*100000,0)))*$AL51</f>
        <v>46242.953606880932</v>
      </c>
      <c r="AV51" s="5">
        <f>$O51*50000*AL51</f>
        <v>16017.96855757495</v>
      </c>
      <c r="AW51" s="5">
        <f>$P51*AO51*10000</f>
        <v>13537.546367413084</v>
      </c>
      <c r="AX51" s="5">
        <f>IF($C51="Goalkeeper",AN51*75000,IF($C51="Defense",AN51*50000,0))</f>
        <v>0</v>
      </c>
      <c r="AY51" s="5">
        <f>IF($C51="Goalkeeper",(AP51-AM51)*5000,0)</f>
        <v>0</v>
      </c>
      <c r="AZ51" s="5">
        <f>$AG51</f>
        <v>-1006.7114093959731</v>
      </c>
      <c r="BA51" s="5">
        <f>$AH51</f>
        <v>0</v>
      </c>
      <c r="BB51" s="5">
        <f>IF(X51&gt;0,AL51*10000,0)</f>
        <v>19080.439968215524</v>
      </c>
      <c r="BC51" s="5">
        <f>IF(X51&gt;0,AM51*(-8000),0)</f>
        <v>-6225.4333171947083</v>
      </c>
      <c r="BD51" s="5">
        <f>IFERROR(SUM(AQ51:BC51),0)</f>
        <v>109776.03786571971</v>
      </c>
      <c r="BE51" s="16">
        <f>INDEX('Team forecast'!$B$2:$AO$26,MATCH('Master data'!$B51,'Team forecast'!$B$2:$B$26,0),MATCH('Master data'!BE$1,'Team forecast'!$B$2:$AO$2,0))</f>
        <v>2.3513752571634776</v>
      </c>
      <c r="BF51" s="16">
        <f>INDEX('Team forecast'!$B$2:$AO$26,MATCH('Master data'!$B51,'Team forecast'!$B$2:$B$26,0),MATCH('Master data'!BF$1,'Team forecast'!$B$2:$AO$2,0))</f>
        <v>0.56161379059809569</v>
      </c>
      <c r="BG51" s="16">
        <f>INDEX('Team forecast'!$B$2:$AO$26,MATCH('Master data'!$B51,'Team forecast'!$B$2:$B$26,0),MATCH('Master data'!BG$1,'Team forecast'!$B$2:$AO$2,0))</f>
        <v>0.57028799543769604</v>
      </c>
      <c r="BH51" s="16">
        <f>INDEX('Team forecast'!$B$2:$AO$26,MATCH('Master data'!$B51,'Team forecast'!$B$2:$B$26,0),MATCH('Master data'!BH$1,'Team forecast'!$B$2:$AO$2,0))</f>
        <v>6.4850714855102307</v>
      </c>
      <c r="BI51" s="16">
        <f>INDEX('Team forecast'!$B$2:$AO$26,MATCH('Master data'!$B51,'Team forecast'!$B$2:$B$26,0),MATCH('Master data'!BI$1,'Team forecast'!$B$2:$AO$2,0))</f>
        <v>1.8436816358018293</v>
      </c>
      <c r="BJ51" s="5">
        <f>AQ51</f>
        <v>7000</v>
      </c>
      <c r="BK51" s="5">
        <f>INDEX('Team forecast'!$R$3:$BH$26,MATCH($B51,'Team forecast'!$B$3:$B$26,0),MATCH(BK$1,'Team forecast'!$R$2:$BH$2,0))*IF($X51&gt;0,25000,0)</f>
        <v>19047.619047619046</v>
      </c>
      <c r="BL51" s="5">
        <f>INDEX('Team forecast'!$R$3:$BH$26,MATCH($B51,'Team forecast'!$B$3:$B$26,0),MATCH(BL$1,'Team forecast'!$R$2:$BH$2,0))*IF($X51&gt;0,5000,0)</f>
        <v>850.34013605442146</v>
      </c>
      <c r="BM51" s="5">
        <f>INDEX('Team forecast'!$R$3:$BH$26,MATCH($B51,'Team forecast'!$B$3:$B$26,0),MATCH(BM$1,'Team forecast'!$R$2:$BH$2,0))*IF($X51&gt;0,-15000,0)</f>
        <v>-1020.408163265306</v>
      </c>
      <c r="BN51" s="5">
        <f>IF($C51="Defense",$N51*150000,IF($C51="Midfield",$N51*125000,IF($C51="Striker",$N51*100000,0)))*$BE51</f>
        <v>56987.436930442906</v>
      </c>
      <c r="BO51" s="5">
        <f>$O51*50000*$BE51</f>
        <v>19739.720362342778</v>
      </c>
      <c r="BP51" s="5">
        <f>$P51*BH51*10000</f>
        <v>16682.975667261555</v>
      </c>
      <c r="BQ51" s="5">
        <f>IF($C51="Goalkeeper",BG51*75000,IF($C51="Defense",BG51*50000,0))</f>
        <v>0</v>
      </c>
      <c r="BR51" s="5">
        <f>IF($C51="Goalkeeper",(BI51-BF51)*5000,0)</f>
        <v>0</v>
      </c>
      <c r="BS51" s="5">
        <f>$AG51</f>
        <v>-1006.7114093959731</v>
      </c>
      <c r="BT51" s="5">
        <f>$AH51</f>
        <v>0</v>
      </c>
      <c r="BU51" s="5">
        <f>IF(AQ51&gt;0,BE51*10000,0)</f>
        <v>23513.752571634777</v>
      </c>
      <c r="BV51" s="5">
        <f>IF(AQ51&gt;0,BF51*(-8000),0)</f>
        <v>-4492.9103247847652</v>
      </c>
      <c r="BW51" s="5">
        <f>IFERROR(SUM(BJ51:BV51),0)</f>
        <v>137301.81481790944</v>
      </c>
      <c r="BX51" s="5">
        <f>AVERAGE(AK51,BD51,BW51)</f>
        <v>117131.18377866519</v>
      </c>
      <c r="BY51" s="5">
        <f>BX51*3</f>
        <v>351393.55133599555</v>
      </c>
      <c r="BZ51" s="5">
        <f>INDEX('Team forecast'!$R$3:$BH$26,MATCH($B51,'Team forecast'!$B$3:$B$26,0),MATCH(BZ$1,'Team forecast'!$R$2:$BH$2,0))*($BX51-(BY51+CH51)*0.01)</f>
        <v>66337.748643688479</v>
      </c>
      <c r="CA51" s="5">
        <f>INDEX('Team forecast'!$R$3:$BH$26,MATCH($B51,'Team forecast'!$B$3:$B$26,0),MATCH(CA$1,'Team forecast'!$R$2:$BH$2,0))*($BX51-(BY51+BX51+CH51)*0.01)</f>
        <v>33042.509700674353</v>
      </c>
      <c r="CB51" s="5">
        <f>INDEX('Team forecast'!$R$3:$BH$26,MATCH($B51,'Team forecast'!$B$3:$B$26,0),MATCH(CB$1,'Team forecast'!$R$2:$BH$2,0))*($BX51-(BY51+BX51*2+CH51)*0.01)</f>
        <v>16641.109218880687</v>
      </c>
      <c r="CC51" s="5">
        <f>INDEX('Team forecast'!$R$3:$BH$26,MATCH($B51,'Team forecast'!$B$3:$B$26,0),MATCH(CC$1,'Team forecast'!$R$2:$BH$2,0))*($BX51-(BY51+BX51*3+CH51)*0.01)</f>
        <v>8688.7540954021188</v>
      </c>
      <c r="CD51" s="5">
        <f>+AK51+BD51*Cockpit!$C$3+BW51*Cockpit!$C$3^2+BZ51*Cockpit!$C$3^3+CA51*Cockpit!$C$3^4+CB51*Cockpit!$C$3^5+CC51*Cockpit!$C$3^6</f>
        <v>267659.51793192001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7.8087455852443449E-2</v>
      </c>
      <c r="CK51" s="5">
        <f>RANK(BY51,$BY$2:$BY$623)+COUNTIF($BY$2:$BY51,$BY51)-1</f>
        <v>3</v>
      </c>
      <c r="CL51" s="5">
        <f>RANK(CJ51,$CJ$2:$CJ$623)+COUNTIF($CJ$2:$CJ51,$CJ51)-1</f>
        <v>2</v>
      </c>
    </row>
    <row r="52" spans="1:90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1.2386203137003762</v>
      </c>
      <c r="I52" s="16">
        <f>INDEX('Team forecast'!$B$2:$AO$26,MATCH('Master data'!$B52,'Team forecast'!$B$2:$B$26,0),MATCH('Master data'!I$1,'Team forecast'!$B$2:$AO$2,0))</f>
        <v>1.2386203137003762</v>
      </c>
      <c r="J52" s="16">
        <f>INDEX('Team forecast'!$B$2:$AO$26,MATCH('Master data'!$B52,'Team forecast'!$B$2:$B$26,0),MATCH('Master data'!J$1,'Team forecast'!$B$2:$AO$2,0))</f>
        <v>0.28978375293296982</v>
      </c>
      <c r="K52" s="16">
        <f>INDEX('Team forecast'!$B$2:$AO$26,MATCH('Master data'!$B52,'Team forecast'!$B$2:$B$26,0),MATCH('Master data'!K$1,'Team forecast'!$B$2:$AO$2,0))</f>
        <v>3.2404985504377408</v>
      </c>
      <c r="L52" s="16">
        <f>INDEX('Team forecast'!$B$2:$AO$26,MATCH('Master data'!$B52,'Team forecast'!$B$2:$B$26,0),MATCH('Master data'!L$1,'Team forecast'!$B$2:$AO$2,0))</f>
        <v>3.7600973808761418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>H52</f>
        <v>1.2386203137003762</v>
      </c>
      <c r="T52" s="2">
        <f>I52</f>
        <v>1.2386203137003762</v>
      </c>
      <c r="U52" s="16">
        <f>INDEX('Team forecast'!$B$2:$AO$26,MATCH('Master data'!$B52,'Team forecast'!$B$2:$B$26,0),MATCH('Master data'!U$1,'Team forecast'!$B$2:$AO$2,0))</f>
        <v>0.36933223413025562</v>
      </c>
      <c r="V52" s="16">
        <f>INDEX('Team forecast'!$B$2:$AO$26,MATCH('Master data'!$B52,'Team forecast'!$B$2:$B$26,0),MATCH('Master data'!V$1,'Team forecast'!$B$2:$AO$2,0))</f>
        <v>0.29431162407254741</v>
      </c>
      <c r="W52" s="16">
        <f>INDEX('Team forecast'!$B$2:$AO$26,MATCH('Master data'!$B52,'Team forecast'!$B$2:$B$26,0),MATCH('Master data'!W$1,'Team forecast'!$B$2:$AO$2,0))</f>
        <v>0.33635614179719708</v>
      </c>
      <c r="X52" s="5">
        <f>IF(M52&gt;95,7000*2,IF(M52&gt;0,7000,-5000))</f>
        <v>-5000</v>
      </c>
      <c r="Y52" s="5">
        <f>IF($X52&gt;0,U52*25000,0)</f>
        <v>0</v>
      </c>
      <c r="Z52" s="5">
        <f>IF($X52&gt;0,V52*5000,0)</f>
        <v>0</v>
      </c>
      <c r="AA52" s="5">
        <f>IF($X52&gt;0,W52*(-15000),0)</f>
        <v>0</v>
      </c>
      <c r="AB52" s="5">
        <f>IF($C52="Defense",$N52*150000,IF($C52="Midfield",$N52*125000,IF($C52="Striker",$N52*100000,0)))*$H52</f>
        <v>0</v>
      </c>
      <c r="AC52" s="5">
        <f>$O52*50000*H52</f>
        <v>0</v>
      </c>
      <c r="AD52" s="5">
        <f>$P52*K52*10000</f>
        <v>0</v>
      </c>
      <c r="AE52" s="5">
        <f>IF($C52="Goalkeeper",J52*75000,IF($C52="Defense",J52*50000,0))</f>
        <v>0</v>
      </c>
      <c r="AF52" s="5">
        <f>IF($C52="Goalkeeper",(L52-I52)*5000,0)</f>
        <v>0</v>
      </c>
      <c r="AG52" s="5">
        <f>IF(M52&gt;0,Q52*(-20000),0)</f>
        <v>0</v>
      </c>
      <c r="AH52" s="5">
        <f>IF(M52&gt;0,R52*(-50000),0)</f>
        <v>0</v>
      </c>
      <c r="AI52" s="5">
        <f>IF(M52&gt;0,S52*10000,0)</f>
        <v>0</v>
      </c>
      <c r="AJ52" s="5">
        <f>IF(M52&gt;0,T52*(-8000),0)</f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2.140423422331811</v>
      </c>
      <c r="AM52" s="16">
        <f>INDEX('Team forecast'!$B$2:$AO$26,MATCH('Master data'!$B52,'Team forecast'!$B$2:$B$26,0),MATCH('Master data'!AM$1,'Team forecast'!$B$2:$AO$2,0))</f>
        <v>0.80291922538135296</v>
      </c>
      <c r="AN52" s="16">
        <f>INDEX('Team forecast'!$B$2:$AO$26,MATCH('Master data'!$B52,'Team forecast'!$B$2:$B$26,0),MATCH('Master data'!AN$1,'Team forecast'!$B$2:$AO$2,0))</f>
        <v>0.44801918430198229</v>
      </c>
      <c r="AO52" s="16">
        <f>INDEX('Team forecast'!$B$2:$AO$26,MATCH('Master data'!$B52,'Team forecast'!$B$2:$B$26,0),MATCH('Master data'!AO$1,'Team forecast'!$B$2:$AO$2,0))</f>
        <v>5.5998104670734943</v>
      </c>
      <c r="AP52" s="16">
        <f>INDEX('Team forecast'!$B$2:$AO$26,MATCH('Master data'!$B52,'Team forecast'!$B$2:$B$26,0),MATCH('Master data'!AP$1,'Team forecast'!$B$2:$AO$2,0))</f>
        <v>2.4374333627648213</v>
      </c>
      <c r="AQ52" s="5">
        <f>X52</f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>IF($C52="Defense",$N52*150000,IF($C52="Midfield",$N52*125000,IF($C52="Striker",$N52*100000,0)))*$AL52</f>
        <v>0</v>
      </c>
      <c r="AV52" s="5">
        <f>$O52*50000*AL52</f>
        <v>0</v>
      </c>
      <c r="AW52" s="5">
        <f>$P52*AO52*10000</f>
        <v>0</v>
      </c>
      <c r="AX52" s="5">
        <f>IF($C52="Goalkeeper",AN52*75000,IF($C52="Defense",AN52*50000,0))</f>
        <v>0</v>
      </c>
      <c r="AY52" s="5">
        <f>IF($C52="Goalkeeper",(AP52-AM52)*5000,0)</f>
        <v>0</v>
      </c>
      <c r="AZ52" s="5">
        <f>$AG52</f>
        <v>0</v>
      </c>
      <c r="BA52" s="5">
        <f>$AH52</f>
        <v>0</v>
      </c>
      <c r="BB52" s="5">
        <f>IF(X52&gt;0,AL52*10000,0)</f>
        <v>0</v>
      </c>
      <c r="BC52" s="5">
        <f>IF(X52&gt;0,AM52*(-8000),0)</f>
        <v>0</v>
      </c>
      <c r="BD52" s="5">
        <f>IFERROR(SUM(AQ52:BC52),0)</f>
        <v>-5000</v>
      </c>
      <c r="BE52" s="16">
        <f>INDEX('Team forecast'!$B$2:$AO$26,MATCH('Master data'!$B52,'Team forecast'!$B$2:$B$26,0),MATCH('Master data'!BE$1,'Team forecast'!$B$2:$AO$2,0))</f>
        <v>1.2965069481471114</v>
      </c>
      <c r="BF52" s="16">
        <f>INDEX('Team forecast'!$B$2:$AO$26,MATCH('Master data'!$B52,'Team forecast'!$B$2:$B$26,0),MATCH('Master data'!BF$1,'Team forecast'!$B$2:$AO$2,0))</f>
        <v>1.0107278258414167</v>
      </c>
      <c r="BG52" s="16">
        <f>INDEX('Team forecast'!$B$2:$AO$26,MATCH('Master data'!$B52,'Team forecast'!$B$2:$B$26,0),MATCH('Master data'!BG$1,'Team forecast'!$B$2:$AO$2,0))</f>
        <v>0.36395398803179979</v>
      </c>
      <c r="BH52" s="16">
        <f>INDEX('Team forecast'!$B$2:$AO$26,MATCH('Master data'!$B52,'Team forecast'!$B$2:$B$26,0),MATCH('Master data'!BH$1,'Team forecast'!$B$2:$AO$2,0))</f>
        <v>3.3919425021794698</v>
      </c>
      <c r="BI52" s="16">
        <f>INDEX('Team forecast'!$B$2:$AO$26,MATCH('Master data'!$B52,'Team forecast'!$B$2:$B$26,0),MATCH('Master data'!BI$1,'Team forecast'!$B$2:$AO$2,0))</f>
        <v>3.0682808998757292</v>
      </c>
      <c r="BJ52" s="5">
        <f>AQ52</f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>IF($C52="Defense",$N52*150000,IF($C52="Midfield",$N52*125000,IF($C52="Striker",$N52*100000,0)))*$BE52</f>
        <v>0</v>
      </c>
      <c r="BO52" s="5">
        <f>$O52*50000*$BE52</f>
        <v>0</v>
      </c>
      <c r="BP52" s="5">
        <f>$P52*BH52*10000</f>
        <v>0</v>
      </c>
      <c r="BQ52" s="5">
        <f>IF($C52="Goalkeeper",BG52*75000,IF($C52="Defense",BG52*50000,0))</f>
        <v>0</v>
      </c>
      <c r="BR52" s="5">
        <f>IF($C52="Goalkeeper",(BI52-BF52)*5000,0)</f>
        <v>0</v>
      </c>
      <c r="BS52" s="5">
        <f>$AG52</f>
        <v>0</v>
      </c>
      <c r="BT52" s="5">
        <f>$AH52</f>
        <v>0</v>
      </c>
      <c r="BU52" s="5">
        <f>IF(AQ52&gt;0,BE52*10000,0)</f>
        <v>0</v>
      </c>
      <c r="BV52" s="5">
        <f>IF(AQ52&gt;0,BF52*(-8000),0)</f>
        <v>0</v>
      </c>
      <c r="BW52" s="5">
        <f>IFERROR(SUM(BJ52:BV52),0)</f>
        <v>-5000</v>
      </c>
      <c r="BX52" s="5">
        <f>AVERAGE(AK52,BD52,BW52)</f>
        <v>-5000</v>
      </c>
      <c r="BY52" s="5">
        <f>BX52*3</f>
        <v>-15000</v>
      </c>
      <c r="BZ52" s="5">
        <f>INDEX('Team forecast'!$R$3:$BH$26,MATCH($B52,'Team forecast'!$B$3:$B$26,0),MATCH(BZ$1,'Team forecast'!$R$2:$BH$2,0))*($BX52-(BY52+CH52)*0.01)</f>
        <v>-30762.503200089061</v>
      </c>
      <c r="CA52" s="5">
        <f>INDEX('Team forecast'!$R$3:$BH$26,MATCH($B52,'Team forecast'!$B$3:$B$26,0),MATCH(CA$1,'Team forecast'!$R$2:$BH$2,0))*($BX52-(BY52+BX52+CH52)*0.01)</f>
        <v>-15965.483948463771</v>
      </c>
      <c r="CB52" s="5">
        <f>INDEX('Team forecast'!$R$3:$BH$26,MATCH($B52,'Team forecast'!$B$3:$B$26,0),MATCH(CB$1,'Team forecast'!$R$2:$BH$2,0))*($BX52-(BY52+BX52*2+CH52)*0.01)</f>
        <v>-8541.0880659399954</v>
      </c>
      <c r="CC52" s="5">
        <f>INDEX('Team forecast'!$R$3:$BH$26,MATCH($B52,'Team forecast'!$B$3:$B$26,0),MATCH(CC$1,'Team forecast'!$R$2:$BH$2,0))*($BX52-(BY52+BX52*3+CH52)*0.01)</f>
        <v>-4998.1043082951846</v>
      </c>
      <c r="CD52" s="5">
        <f>+AK52+BD52*Cockpit!$C$3+BW52*Cockpit!$C$3^2+BZ52*Cockpit!$C$3^3+CA52*Cockpit!$C$3^4+CB52*Cockpit!$C$3^5+CC52*Cockpit!$C$3^6</f>
        <v>-24387.590548503635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RANK(BY52,$BY$2:$BY$623)+COUNTIF($BY$2:$BY52,$BY52)-1</f>
        <v>430</v>
      </c>
      <c r="CL52" s="5">
        <f>RANK(CJ52,$CJ$2:$CJ$623)+COUNTIF($CJ$2:$CJ52,$CJ52)-1</f>
        <v>480</v>
      </c>
    </row>
    <row r="53" spans="1:90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1.2386203137003762</v>
      </c>
      <c r="I53" s="16">
        <f>INDEX('Team forecast'!$B$2:$AO$26,MATCH('Master data'!$B53,'Team forecast'!$B$2:$B$26,0),MATCH('Master data'!I$1,'Team forecast'!$B$2:$AO$2,0))</f>
        <v>1.2386203137003762</v>
      </c>
      <c r="J53" s="16">
        <f>INDEX('Team forecast'!$B$2:$AO$26,MATCH('Master data'!$B53,'Team forecast'!$B$2:$B$26,0),MATCH('Master data'!J$1,'Team forecast'!$B$2:$AO$2,0))</f>
        <v>0.28978375293296982</v>
      </c>
      <c r="K53" s="16">
        <f>INDEX('Team forecast'!$B$2:$AO$26,MATCH('Master data'!$B53,'Team forecast'!$B$2:$B$26,0),MATCH('Master data'!K$1,'Team forecast'!$B$2:$AO$2,0))</f>
        <v>3.2404985504377408</v>
      </c>
      <c r="L53" s="16">
        <f>INDEX('Team forecast'!$B$2:$AO$26,MATCH('Master data'!$B53,'Team forecast'!$B$2:$B$26,0),MATCH('Master data'!L$1,'Team forecast'!$B$2:$AO$2,0))</f>
        <v>3.7600973808761418</v>
      </c>
      <c r="M53">
        <f>IF(Players!BC54=1,95,0)</f>
        <v>0</v>
      </c>
      <c r="N53" s="2">
        <f>Players!BN54</f>
        <v>0</v>
      </c>
      <c r="O53" s="2">
        <f>Players!BO54</f>
        <v>0</v>
      </c>
      <c r="P53" s="2">
        <f>Players!BP54</f>
        <v>0</v>
      </c>
      <c r="Q53" s="2">
        <f>Players!BQ54</f>
        <v>0.12524096385542169</v>
      </c>
      <c r="R53" s="2">
        <f>Players!BR54</f>
        <v>0</v>
      </c>
      <c r="S53" s="2">
        <f>H53</f>
        <v>1.2386203137003762</v>
      </c>
      <c r="T53" s="2">
        <f>I53</f>
        <v>1.2386203137003762</v>
      </c>
      <c r="U53" s="16">
        <f>INDEX('Team forecast'!$B$2:$AO$26,MATCH('Master data'!$B53,'Team forecast'!$B$2:$B$26,0),MATCH('Master data'!U$1,'Team forecast'!$B$2:$AO$2,0))</f>
        <v>0.36933223413025562</v>
      </c>
      <c r="V53" s="16">
        <f>INDEX('Team forecast'!$B$2:$AO$26,MATCH('Master data'!$B53,'Team forecast'!$B$2:$B$26,0),MATCH('Master data'!V$1,'Team forecast'!$B$2:$AO$2,0))</f>
        <v>0.29431162407254741</v>
      </c>
      <c r="W53" s="16">
        <f>INDEX('Team forecast'!$B$2:$AO$26,MATCH('Master data'!$B53,'Team forecast'!$B$2:$B$26,0),MATCH('Master data'!W$1,'Team forecast'!$B$2:$AO$2,0))</f>
        <v>0.33635614179719708</v>
      </c>
      <c r="X53" s="5">
        <f>IF(M53&gt;95,7000*2,IF(M53&gt;0,7000,-5000))</f>
        <v>-5000</v>
      </c>
      <c r="Y53" s="5">
        <f>IF($X53&gt;0,U53*25000,0)</f>
        <v>0</v>
      </c>
      <c r="Z53" s="5">
        <f>IF($X53&gt;0,V53*5000,0)</f>
        <v>0</v>
      </c>
      <c r="AA53" s="5">
        <f>IF($X53&gt;0,W53*(-15000),0)</f>
        <v>0</v>
      </c>
      <c r="AB53" s="5">
        <f>IF($C53="Defense",$N53*150000,IF($C53="Midfield",$N53*125000,IF($C53="Striker",$N53*100000,0)))*$H53</f>
        <v>0</v>
      </c>
      <c r="AC53" s="5">
        <f>$O53*50000*H53</f>
        <v>0</v>
      </c>
      <c r="AD53" s="5">
        <f>$P53*K53*10000</f>
        <v>0</v>
      </c>
      <c r="AE53" s="5">
        <f>IF($C53="Goalkeeper",J53*75000,IF($C53="Defense",J53*50000,0))</f>
        <v>0</v>
      </c>
      <c r="AF53" s="5">
        <f>IF($C53="Goalkeeper",(L53-I53)*5000,0)</f>
        <v>0</v>
      </c>
      <c r="AG53" s="5">
        <f>IF(M53&gt;0,Q53*(-20000),0)</f>
        <v>0</v>
      </c>
      <c r="AH53" s="5">
        <f>IF(M53&gt;0,R53*(-50000),0)</f>
        <v>0</v>
      </c>
      <c r="AI53" s="5">
        <f>IF(M53&gt;0,S53*10000,0)</f>
        <v>0</v>
      </c>
      <c r="AJ53" s="5">
        <f>IF(M53&gt;0,T53*(-8000),0)</f>
        <v>0</v>
      </c>
      <c r="AK53" s="5">
        <f>IFERROR(SUM(X53:AJ53),-5000)*((Cockpit!$C$3)^0)</f>
        <v>-5000</v>
      </c>
      <c r="AL53" s="16">
        <f>INDEX('Team forecast'!$B$2:$AO$26,MATCH('Master data'!$B53,'Team forecast'!$B$2:$B$26,0),MATCH('Master data'!AL$1,'Team forecast'!$B$2:$AO$2,0))</f>
        <v>2.140423422331811</v>
      </c>
      <c r="AM53" s="16">
        <f>INDEX('Team forecast'!$B$2:$AO$26,MATCH('Master data'!$B53,'Team forecast'!$B$2:$B$26,0),MATCH('Master data'!AM$1,'Team forecast'!$B$2:$AO$2,0))</f>
        <v>0.80291922538135296</v>
      </c>
      <c r="AN53" s="16">
        <f>INDEX('Team forecast'!$B$2:$AO$26,MATCH('Master data'!$B53,'Team forecast'!$B$2:$B$26,0),MATCH('Master data'!AN$1,'Team forecast'!$B$2:$AO$2,0))</f>
        <v>0.44801918430198229</v>
      </c>
      <c r="AO53" s="16">
        <f>INDEX('Team forecast'!$B$2:$AO$26,MATCH('Master data'!$B53,'Team forecast'!$B$2:$B$26,0),MATCH('Master data'!AO$1,'Team forecast'!$B$2:$AO$2,0))</f>
        <v>5.5998104670734943</v>
      </c>
      <c r="AP53" s="16">
        <f>INDEX('Team forecast'!$B$2:$AO$26,MATCH('Master data'!$B53,'Team forecast'!$B$2:$B$26,0),MATCH('Master data'!AP$1,'Team forecast'!$B$2:$AO$2,0))</f>
        <v>2.4374333627648213</v>
      </c>
      <c r="AQ53" s="5">
        <f>X53</f>
        <v>-5000</v>
      </c>
      <c r="AR53" s="5">
        <f>INDEX('Team forecast'!$B$2:$AO$26,MATCH('Master data'!$B53,'Team forecast'!$B$2:$B$26,0),MATCH('Master data'!AR$1,'Team forecast'!$B$2:$AO$2,0))*IF(X53&gt;0,25000,0)</f>
        <v>0</v>
      </c>
      <c r="AS53" s="16">
        <f>INDEX('Team forecast'!$B$2:$AO$26,MATCH('Master data'!$B53,'Team forecast'!$B$2:$B$26,0),MATCH('Master data'!AS$1,'Team forecast'!$B$2:$AO$2,0))*IF(X53&gt;0,5000,0)</f>
        <v>0</v>
      </c>
      <c r="AT53" s="16">
        <f>INDEX('Team forecast'!$B$2:$AO$26,MATCH('Master data'!$B53,'Team forecast'!$B$2:$B$26,0),MATCH('Master data'!AT$1,'Team forecast'!$B$2:$AO$2,0))*IF(X53&gt;0,-15000,0)</f>
        <v>0</v>
      </c>
      <c r="AU53" s="5">
        <f>IF($C53="Defense",$N53*150000,IF($C53="Midfield",$N53*125000,IF($C53="Striker",$N53*100000,0)))*$AL53</f>
        <v>0</v>
      </c>
      <c r="AV53" s="5">
        <f>$O53*50000*AL53</f>
        <v>0</v>
      </c>
      <c r="AW53" s="5">
        <f>$P53*AO53*10000</f>
        <v>0</v>
      </c>
      <c r="AX53" s="5">
        <f>IF($C53="Goalkeeper",AN53*75000,IF($C53="Defense",AN53*50000,0))</f>
        <v>0</v>
      </c>
      <c r="AY53" s="5">
        <f>IF($C53="Goalkeeper",(AP53-AM53)*5000,0)</f>
        <v>0</v>
      </c>
      <c r="AZ53" s="5">
        <f>$AG53</f>
        <v>0</v>
      </c>
      <c r="BA53" s="5">
        <f>$AH53</f>
        <v>0</v>
      </c>
      <c r="BB53" s="5">
        <f>IF(X53&gt;0,AL53*10000,0)</f>
        <v>0</v>
      </c>
      <c r="BC53" s="5">
        <f>IF(X53&gt;0,AM53*(-8000),0)</f>
        <v>0</v>
      </c>
      <c r="BD53" s="5">
        <f>IFERROR(SUM(AQ53:BC53),0)</f>
        <v>-5000</v>
      </c>
      <c r="BE53" s="16">
        <f>INDEX('Team forecast'!$B$2:$AO$26,MATCH('Master data'!$B53,'Team forecast'!$B$2:$B$26,0),MATCH('Master data'!BE$1,'Team forecast'!$B$2:$AO$2,0))</f>
        <v>1.2965069481471114</v>
      </c>
      <c r="BF53" s="16">
        <f>INDEX('Team forecast'!$B$2:$AO$26,MATCH('Master data'!$B53,'Team forecast'!$B$2:$B$26,0),MATCH('Master data'!BF$1,'Team forecast'!$B$2:$AO$2,0))</f>
        <v>1.0107278258414167</v>
      </c>
      <c r="BG53" s="16">
        <f>INDEX('Team forecast'!$B$2:$AO$26,MATCH('Master data'!$B53,'Team forecast'!$B$2:$B$26,0),MATCH('Master data'!BG$1,'Team forecast'!$B$2:$AO$2,0))</f>
        <v>0.36395398803179979</v>
      </c>
      <c r="BH53" s="16">
        <f>INDEX('Team forecast'!$B$2:$AO$26,MATCH('Master data'!$B53,'Team forecast'!$B$2:$B$26,0),MATCH('Master data'!BH$1,'Team forecast'!$B$2:$AO$2,0))</f>
        <v>3.3919425021794698</v>
      </c>
      <c r="BI53" s="16">
        <f>INDEX('Team forecast'!$B$2:$AO$26,MATCH('Master data'!$B53,'Team forecast'!$B$2:$B$26,0),MATCH('Master data'!BI$1,'Team forecast'!$B$2:$AO$2,0))</f>
        <v>3.0682808998757292</v>
      </c>
      <c r="BJ53" s="5">
        <f>AQ53</f>
        <v>-5000</v>
      </c>
      <c r="BK53" s="5">
        <f>INDEX('Team forecast'!$R$3:$BH$26,MATCH($B53,'Team forecast'!$B$3:$B$26,0),MATCH(BK$1,'Team forecast'!$R$2:$BH$2,0))*IF($X53&gt;0,25000,0)</f>
        <v>0</v>
      </c>
      <c r="BL53" s="5">
        <f>INDEX('Team forecast'!$R$3:$BH$26,MATCH($B53,'Team forecast'!$B$3:$B$26,0),MATCH(BL$1,'Team forecast'!$R$2:$BH$2,0))*IF($X53&gt;0,5000,0)</f>
        <v>0</v>
      </c>
      <c r="BM53" s="5">
        <f>INDEX('Team forecast'!$R$3:$BH$26,MATCH($B53,'Team forecast'!$B$3:$B$26,0),MATCH(BM$1,'Team forecast'!$R$2:$BH$2,0))*IF($X53&gt;0,-15000,0)</f>
        <v>0</v>
      </c>
      <c r="BN53" s="5">
        <f>IF($C53="Defense",$N53*150000,IF($C53="Midfield",$N53*125000,IF($C53="Striker",$N53*100000,0)))*$BE53</f>
        <v>0</v>
      </c>
      <c r="BO53" s="5">
        <f>$O53*50000*$BE53</f>
        <v>0</v>
      </c>
      <c r="BP53" s="5">
        <f>$P53*BH53*10000</f>
        <v>0</v>
      </c>
      <c r="BQ53" s="5">
        <f>IF($C53="Goalkeeper",BG53*75000,IF($C53="Defense",BG53*50000,0))</f>
        <v>0</v>
      </c>
      <c r="BR53" s="5">
        <f>IF($C53="Goalkeeper",(BI53-BF53)*5000,0)</f>
        <v>0</v>
      </c>
      <c r="BS53" s="5">
        <f>$AG53</f>
        <v>0</v>
      </c>
      <c r="BT53" s="5">
        <f>$AH53</f>
        <v>0</v>
      </c>
      <c r="BU53" s="5">
        <f>IF(AQ53&gt;0,BE53*10000,0)</f>
        <v>0</v>
      </c>
      <c r="BV53" s="5">
        <f>IF(AQ53&gt;0,BF53*(-8000),0)</f>
        <v>0</v>
      </c>
      <c r="BW53" s="5">
        <f>IFERROR(SUM(BJ53:BV53),0)</f>
        <v>-5000</v>
      </c>
      <c r="BX53" s="5">
        <f>AVERAGE(AK53,BD53,BW53)</f>
        <v>-5000</v>
      </c>
      <c r="BY53" s="5">
        <f>BX53*3</f>
        <v>-15000</v>
      </c>
      <c r="BZ53" s="5">
        <f>INDEX('Team forecast'!$R$3:$BH$26,MATCH($B53,'Team forecast'!$B$3:$B$26,0),MATCH(BZ$1,'Team forecast'!$R$2:$BH$2,0))*($BX53-(BY53+CH53)*0.01)</f>
        <v>-44003.178895966703</v>
      </c>
      <c r="CA53" s="5">
        <f>INDEX('Team forecast'!$R$3:$BH$26,MATCH($B53,'Team forecast'!$B$3:$B$26,0),MATCH(CA$1,'Team forecast'!$R$2:$BH$2,0))*($BX53-(BY53+BX53+CH53)*0.01)</f>
        <v>-22847.158064180912</v>
      </c>
      <c r="CB53" s="5">
        <f>INDEX('Team forecast'!$R$3:$BH$26,MATCH($B53,'Team forecast'!$B$3:$B$26,0),MATCH(CB$1,'Team forecast'!$R$2:$BH$2,0))*($BX53-(BY53+BX53*2+CH53)*0.01)</f>
        <v>-12227.888669942871</v>
      </c>
      <c r="CC53" s="5">
        <f>INDEX('Team forecast'!$R$3:$BH$26,MATCH($B53,'Team forecast'!$B$3:$B$26,0),MATCH(CC$1,'Team forecast'!$R$2:$BH$2,0))*($BX53-(BY53+BX53*3+CH53)*0.01)</f>
        <v>-7158.6681303248042</v>
      </c>
      <c r="CD53" s="5">
        <f>+AK53+BD53*Cockpit!$C$3+BW53*Cockpit!$C$3^2+BZ53*Cockpit!$C$3^3+CA53*Cockpit!$C$3^4+CB53*Cockpit!$C$3^5+CC53*Cockpit!$C$3^6</f>
        <v>-30345.280487553035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-3.3333333333333335E-3</v>
      </c>
      <c r="CK53" s="5">
        <f>RANK(BY53,$BY$2:$BY$623)+COUNTIF($BY$2:$BY53,$BY53)-1</f>
        <v>431</v>
      </c>
      <c r="CL53" s="5">
        <f>RANK(CJ53,$CJ$2:$CJ$623)+COUNTIF($CJ$2:$CJ53,$CJ53)-1</f>
        <v>431</v>
      </c>
    </row>
    <row r="54" spans="1:90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0.74990395996081205</v>
      </c>
      <c r="I54" s="16">
        <f>INDEX('Team forecast'!$B$2:$AO$26,MATCH('Master data'!$B54,'Team forecast'!$B$2:$B$26,0),MATCH('Master data'!I$1,'Team forecast'!$B$2:$AO$2,0))</f>
        <v>1.5223243214152651</v>
      </c>
      <c r="J54" s="16">
        <f>INDEX('Team forecast'!$B$2:$AO$26,MATCH('Master data'!$B54,'Team forecast'!$B$2:$B$26,0),MATCH('Master data'!J$1,'Team forecast'!$B$2:$AO$2,0))</f>
        <v>0.21820412056434271</v>
      </c>
      <c r="K54" s="16">
        <f>INDEX('Team forecast'!$B$2:$AO$26,MATCH('Master data'!$B54,'Team forecast'!$B$2:$B$26,0),MATCH('Master data'!K$1,'Team forecast'!$B$2:$AO$2,0))</f>
        <v>2.1270003227979397</v>
      </c>
      <c r="L54" s="16">
        <f>INDEX('Team forecast'!$B$2:$AO$26,MATCH('Master data'!$B54,'Team forecast'!$B$2:$B$26,0),MATCH('Master data'!L$1,'Team forecast'!$B$2:$AO$2,0))</f>
        <v>4.9475540445996113</v>
      </c>
      <c r="M54">
        <f>IF(Players!BC55=1,95,0)</f>
        <v>95</v>
      </c>
      <c r="N54" s="2">
        <f>Players!BN55</f>
        <v>8.2747963275696862E-2</v>
      </c>
      <c r="O54" s="2">
        <f>Players!BO55</f>
        <v>8.8133514476488872E-2</v>
      </c>
      <c r="P54" s="2">
        <f>Players!BP55</f>
        <v>0.10340916672416404</v>
      </c>
      <c r="Q54" s="2">
        <f>Players!BQ55</f>
        <v>0.13062158220925993</v>
      </c>
      <c r="R54" s="2">
        <f>Players!BR55</f>
        <v>0</v>
      </c>
      <c r="S54" s="2">
        <f>H54</f>
        <v>0.74990395996081205</v>
      </c>
      <c r="T54" s="2">
        <f>I54</f>
        <v>1.5223243214152651</v>
      </c>
      <c r="U54" s="16">
        <f>INDEX('Team forecast'!$B$2:$AO$26,MATCH('Master data'!$B54,'Team forecast'!$B$2:$B$26,0),MATCH('Master data'!U$1,'Team forecast'!$B$2:$AO$2,0))</f>
        <v>0.17178615309883699</v>
      </c>
      <c r="V54" s="16">
        <f>INDEX('Team forecast'!$B$2:$AO$26,MATCH('Master data'!$B54,'Team forecast'!$B$2:$B$26,0),MATCH('Master data'!V$1,'Team forecast'!$B$2:$AO$2,0))</f>
        <v>0.26245106723433442</v>
      </c>
      <c r="W54" s="16">
        <f>INDEX('Team forecast'!$B$2:$AO$26,MATCH('Master data'!$B54,'Team forecast'!$B$2:$B$26,0),MATCH('Master data'!W$1,'Team forecast'!$B$2:$AO$2,0))</f>
        <v>0.56576277966682864</v>
      </c>
      <c r="X54" s="5">
        <f>IF(M54&gt;95,7000*2,IF(M54&gt;0,7000,-5000))</f>
        <v>7000</v>
      </c>
      <c r="Y54" s="5">
        <f>IF($X54&gt;0,U54*25000,0)</f>
        <v>4294.6538274709246</v>
      </c>
      <c r="Z54" s="5">
        <f>IF($X54&gt;0,V54*5000,0)</f>
        <v>1312.2553361716721</v>
      </c>
      <c r="AA54" s="5">
        <f>IF($X54&gt;0,W54*(-15000),0)</f>
        <v>-8486.4416950024297</v>
      </c>
      <c r="AB54" s="5">
        <f>IF($C54="Defense",$N54*150000,IF($C54="Midfield",$N54*125000,IF($C54="Striker",$N54*100000,0)))*$H54</f>
        <v>7756.6281673921158</v>
      </c>
      <c r="AC54" s="5">
        <f>$O54*50000*H54</f>
        <v>3304.5835755591279</v>
      </c>
      <c r="AD54" s="5">
        <f>$P54*K54*10000</f>
        <v>2199.5133100256289</v>
      </c>
      <c r="AE54" s="5">
        <f>IF($C54="Goalkeeper",J54*75000,IF($C54="Defense",J54*50000,0))</f>
        <v>0</v>
      </c>
      <c r="AF54" s="5">
        <f>IF($C54="Goalkeeper",(L54-I54)*5000,0)</f>
        <v>0</v>
      </c>
      <c r="AG54" s="5">
        <f>IF(M54&gt;0,Q54*(-20000),0)</f>
        <v>-2612.4316441851984</v>
      </c>
      <c r="AH54" s="5">
        <f>IF(M54&gt;0,R54*(-50000),0)</f>
        <v>0</v>
      </c>
      <c r="AI54" s="5">
        <f>IF(M54&gt;0,S54*10000,0)</f>
        <v>7499.0395996081206</v>
      </c>
      <c r="AJ54" s="5">
        <f>IF(M54&gt;0,T54*(-8000),0)</f>
        <v>-12178.594571322121</v>
      </c>
      <c r="AK54" s="5">
        <f>IFERROR(SUM(X54:AJ54),-5000)*((Cockpit!$C$3)^0)</f>
        <v>10089.205905717839</v>
      </c>
      <c r="AL54" s="16">
        <f>INDEX('Team forecast'!$B$2:$AO$26,MATCH('Master data'!$B54,'Team forecast'!$B$2:$B$26,0),MATCH('Master data'!AL$1,'Team forecast'!$B$2:$AO$2,0))</f>
        <v>1.3846696653928885</v>
      </c>
      <c r="AM54" s="16">
        <f>INDEX('Team forecast'!$B$2:$AO$26,MATCH('Master data'!$B54,'Team forecast'!$B$2:$B$26,0),MATCH('Master data'!AM$1,'Team forecast'!$B$2:$AO$2,0))</f>
        <v>0.97920455728472433</v>
      </c>
      <c r="AN54" s="16">
        <f>INDEX('Team forecast'!$B$2:$AO$26,MATCH('Master data'!$B54,'Team forecast'!$B$2:$B$26,0),MATCH('Master data'!AN$1,'Team forecast'!$B$2:$AO$2,0))</f>
        <v>0.37560975609756098</v>
      </c>
      <c r="AO54" s="16">
        <f>INDEX('Team forecast'!$B$2:$AO$26,MATCH('Master data'!$B54,'Team forecast'!$B$2:$B$26,0),MATCH('Master data'!AO$1,'Team forecast'!$B$2:$AO$2,0))</f>
        <v>3.9274266872961929</v>
      </c>
      <c r="AP54" s="16">
        <f>INDEX('Team forecast'!$B$2:$AO$26,MATCH('Master data'!$B54,'Team forecast'!$B$2:$B$26,0),MATCH('Master data'!AP$1,'Team forecast'!$B$2:$AO$2,0))</f>
        <v>3.1824148111753541</v>
      </c>
      <c r="AQ54" s="5">
        <f>X54</f>
        <v>7000</v>
      </c>
      <c r="AR54" s="5">
        <f>INDEX('Team forecast'!$B$2:$AO$26,MATCH('Master data'!$B54,'Team forecast'!$B$2:$B$26,0),MATCH('Master data'!AR$1,'Team forecast'!$B$2:$AO$2,0))*IF(X54&gt;0,25000,0)</f>
        <v>11178.861788617885</v>
      </c>
      <c r="AS54" s="16">
        <f>INDEX('Team forecast'!$B$2:$AO$26,MATCH('Master data'!$B54,'Team forecast'!$B$2:$B$26,0),MATCH('Master data'!AS$1,'Team forecast'!$B$2:$AO$2,0))*IF(X54&gt;0,5000,0)</f>
        <v>1422.7642276422764</v>
      </c>
      <c r="AT54" s="16">
        <f>INDEX('Team forecast'!$B$2:$AO$26,MATCH('Master data'!$B54,'Team forecast'!$B$2:$B$26,0),MATCH('Master data'!AT$1,'Team forecast'!$B$2:$AO$2,0))*IF(X54&gt;0,-15000,0)</f>
        <v>-4024.3902439024391</v>
      </c>
      <c r="AU54" s="5">
        <f>IF($C54="Defense",$N54*150000,IF($C54="Midfield",$N54*125000,IF($C54="Striker",$N54*100000,0)))*$AL54</f>
        <v>14322.324327612776</v>
      </c>
      <c r="AV54" s="5">
        <f>$O54*50000*AL54</f>
        <v>6101.7902000029571</v>
      </c>
      <c r="AW54" s="5">
        <f>$P54*AO54*10000</f>
        <v>4061.319211035433</v>
      </c>
      <c r="AX54" s="5">
        <f>IF($C54="Goalkeeper",AN54*75000,IF($C54="Defense",AN54*50000,0))</f>
        <v>0</v>
      </c>
      <c r="AY54" s="5">
        <f>IF($C54="Goalkeeper",(AP54-AM54)*5000,0)</f>
        <v>0</v>
      </c>
      <c r="AZ54" s="5">
        <f>$AG54</f>
        <v>-2612.4316441851984</v>
      </c>
      <c r="BA54" s="5">
        <f>$AH54</f>
        <v>0</v>
      </c>
      <c r="BB54" s="5">
        <f>IF(X54&gt;0,AL54*10000,0)</f>
        <v>13846.696653928884</v>
      </c>
      <c r="BC54" s="5">
        <f>IF(X54&gt;0,AM54*(-8000),0)</f>
        <v>-7833.6364582777951</v>
      </c>
      <c r="BD54" s="5">
        <f>IFERROR(SUM(AQ54:BC54),0)</f>
        <v>43463.29806247478</v>
      </c>
      <c r="BE54" s="16">
        <f>INDEX('Team forecast'!$B$2:$AO$26,MATCH('Master data'!$B54,'Team forecast'!$B$2:$B$26,0),MATCH('Master data'!BE$1,'Team forecast'!$B$2:$AO$2,0))</f>
        <v>1.5039270856478595</v>
      </c>
      <c r="BF54" s="16">
        <f>INDEX('Team forecast'!$B$2:$AO$26,MATCH('Master data'!$B54,'Team forecast'!$B$2:$B$26,0),MATCH('Master data'!BF$1,'Team forecast'!$B$2:$AO$2,0))</f>
        <v>0.82681690399773144</v>
      </c>
      <c r="BG54" s="16">
        <f>INDEX('Team forecast'!$B$2:$AO$26,MATCH('Master data'!$B54,'Team forecast'!$B$2:$B$26,0),MATCH('Master data'!BG$1,'Team forecast'!$B$2:$AO$2,0))</f>
        <v>0.43743948445487602</v>
      </c>
      <c r="BH54" s="16">
        <f>INDEX('Team forecast'!$B$2:$AO$26,MATCH('Master data'!$B54,'Team forecast'!$B$2:$B$26,0),MATCH('Master data'!BH$1,'Team forecast'!$B$2:$AO$2,0))</f>
        <v>4.2656840974739287</v>
      </c>
      <c r="BI54" s="16">
        <f>INDEX('Team forecast'!$B$2:$AO$26,MATCH('Master data'!$B54,'Team forecast'!$B$2:$B$26,0),MATCH('Master data'!BI$1,'Team forecast'!$B$2:$AO$2,0))</f>
        <v>2.6871549379926272</v>
      </c>
      <c r="BJ54" s="5">
        <f>AQ54</f>
        <v>7000</v>
      </c>
      <c r="BK54" s="5">
        <f>INDEX('Team forecast'!$R$3:$BH$26,MATCH($B54,'Team forecast'!$B$3:$B$26,0),MATCH(BK$1,'Team forecast'!$R$2:$BH$2,0))*IF($X54&gt;0,25000,0)</f>
        <v>12935.038518826977</v>
      </c>
      <c r="BL54" s="5">
        <f>INDEX('Team forecast'!$R$3:$BH$26,MATCH($B54,'Team forecast'!$B$3:$B$26,0),MATCH(BL$1,'Team forecast'!$R$2:$BH$2,0))*IF($X54&gt;0,5000,0)</f>
        <v>1355.4462898601791</v>
      </c>
      <c r="BM54" s="5">
        <f>INDEX('Team forecast'!$R$3:$BH$26,MATCH($B54,'Team forecast'!$B$3:$B$26,0),MATCH(BM$1,'Team forecast'!$R$2:$BH$2,0))*IF($X54&gt;0,-15000,0)</f>
        <v>-3172.6380191232765</v>
      </c>
      <c r="BN54" s="5">
        <f>IF($C54="Defense",$N54*150000,IF($C54="Midfield",$N54*125000,IF($C54="Striker",$N54*100000,0)))*$BE54</f>
        <v>15555.862906564362</v>
      </c>
      <c r="BO54" s="5">
        <f>$O54*50000*$BE54</f>
        <v>6627.3189787264673</v>
      </c>
      <c r="BP54" s="5">
        <f>$P54*BH54*10000</f>
        <v>4411.1083802829671</v>
      </c>
      <c r="BQ54" s="5">
        <f>IF($C54="Goalkeeper",BG54*75000,IF($C54="Defense",BG54*50000,0))</f>
        <v>0</v>
      </c>
      <c r="BR54" s="5">
        <f>IF($C54="Goalkeeper",(BI54-BF54)*5000,0)</f>
        <v>0</v>
      </c>
      <c r="BS54" s="5">
        <f>$AG54</f>
        <v>-2612.4316441851984</v>
      </c>
      <c r="BT54" s="5">
        <f>$AH54</f>
        <v>0</v>
      </c>
      <c r="BU54" s="5">
        <f>IF(AQ54&gt;0,BE54*10000,0)</f>
        <v>15039.270856478595</v>
      </c>
      <c r="BV54" s="5">
        <f>IF(AQ54&gt;0,BF54*(-8000),0)</f>
        <v>-6614.5352319818512</v>
      </c>
      <c r="BW54" s="5">
        <f>IFERROR(SUM(BJ54:BV54),0)</f>
        <v>50524.441035449221</v>
      </c>
      <c r="BX54" s="5">
        <f>AVERAGE(AK54,BD54,BW54)</f>
        <v>34692.315001213945</v>
      </c>
      <c r="BY54" s="5">
        <f>BX54*3</f>
        <v>104076.94500364183</v>
      </c>
      <c r="BZ54" s="5">
        <f>INDEX('Team forecast'!$R$3:$BH$26,MATCH($B54,'Team forecast'!$B$3:$B$26,0),MATCH(BZ$1,'Team forecast'!$R$2:$BH$2,0))*($BX54-(BY54+CH54)*0.01)</f>
        <v>-8470.6071449628889</v>
      </c>
      <c r="CA54" s="5">
        <f>INDEX('Team forecast'!$R$3:$BH$26,MATCH($B54,'Team forecast'!$B$3:$B$26,0),MATCH(CA$1,'Team forecast'!$R$2:$BH$2,0))*($BX54-(BY54+BX54+CH54)*0.01)</f>
        <v>-4314.0290843797493</v>
      </c>
      <c r="CB54" s="5">
        <f>INDEX('Team forecast'!$R$3:$BH$26,MATCH($B54,'Team forecast'!$B$3:$B$26,0),MATCH(CB$1,'Team forecast'!$R$2:$BH$2,0))*($BX54-(BY54+BX54*2+CH54)*0.01)</f>
        <v>-2171.8189714473169</v>
      </c>
      <c r="CC54" s="5">
        <f>INDEX('Team forecast'!$R$3:$BH$26,MATCH($B54,'Team forecast'!$B$3:$B$26,0),MATCH(CC$1,'Team forecast'!$R$2:$BH$2,0))*($BX54-(BY54+BX54*3+CH54)*0.01)</f>
        <v>-1051.9503080294944</v>
      </c>
      <c r="CD54" s="5">
        <f>+AK54+BD54*Cockpit!$C$3+BW54*Cockpit!$C$3^2+BZ54*Cockpit!$C$3^3+CA54*Cockpit!$C$3^4+CB54*Cockpit!$C$3^5+CC54*Cockpit!$C$3^6</f>
        <v>57779.728513965834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2.3128210000809293E-2</v>
      </c>
      <c r="CK54" s="5">
        <f>RANK(BY54,$BY$2:$BY$623)+COUNTIF($BY$2:$BY54,$BY54)-1</f>
        <v>160</v>
      </c>
      <c r="CL54" s="5">
        <f>RANK(CJ54,$CJ$2:$CJ$623)+COUNTIF($CJ$2:$CJ54,$CJ54)-1</f>
        <v>232</v>
      </c>
    </row>
    <row r="55" spans="1:90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0.74990395996081205</v>
      </c>
      <c r="I55" s="16">
        <f>INDEX('Team forecast'!$B$2:$AO$26,MATCH('Master data'!$B55,'Team forecast'!$B$2:$B$26,0),MATCH('Master data'!I$1,'Team forecast'!$B$2:$AO$2,0))</f>
        <v>1.5223243214152651</v>
      </c>
      <c r="J55" s="16">
        <f>INDEX('Team forecast'!$B$2:$AO$26,MATCH('Master data'!$B55,'Team forecast'!$B$2:$B$26,0),MATCH('Master data'!J$1,'Team forecast'!$B$2:$AO$2,0))</f>
        <v>0.21820412056434271</v>
      </c>
      <c r="K55" s="16">
        <f>INDEX('Team forecast'!$B$2:$AO$26,MATCH('Master data'!$B55,'Team forecast'!$B$2:$B$26,0),MATCH('Master data'!K$1,'Team forecast'!$B$2:$AO$2,0))</f>
        <v>2.1270003227979397</v>
      </c>
      <c r="L55" s="16">
        <f>INDEX('Team forecast'!$B$2:$AO$26,MATCH('Master data'!$B55,'Team forecast'!$B$2:$B$26,0),MATCH('Master data'!L$1,'Team forecast'!$B$2:$AO$2,0))</f>
        <v>4.9475540445996113</v>
      </c>
      <c r="M55">
        <f>IF(Players!BC56=1,95,0)</f>
        <v>0</v>
      </c>
      <c r="N55" s="2">
        <f>Players!BN56</f>
        <v>0</v>
      </c>
      <c r="O55" s="2">
        <f>Players!BO56</f>
        <v>0</v>
      </c>
      <c r="P55" s="2">
        <f>Players!BP56</f>
        <v>0</v>
      </c>
      <c r="Q55" s="2">
        <f>Players!BQ56</f>
        <v>4.3478260869565216E-2</v>
      </c>
      <c r="R55" s="2">
        <f>Players!BR56</f>
        <v>0</v>
      </c>
      <c r="S55" s="2">
        <f>H55</f>
        <v>0.74990395996081205</v>
      </c>
      <c r="T55" s="2">
        <f>I55</f>
        <v>1.5223243214152651</v>
      </c>
      <c r="U55" s="16">
        <f>INDEX('Team forecast'!$B$2:$AO$26,MATCH('Master data'!$B55,'Team forecast'!$B$2:$B$26,0),MATCH('Master data'!U$1,'Team forecast'!$B$2:$AO$2,0))</f>
        <v>0.17178615309883699</v>
      </c>
      <c r="V55" s="16">
        <f>INDEX('Team forecast'!$B$2:$AO$26,MATCH('Master data'!$B55,'Team forecast'!$B$2:$B$26,0),MATCH('Master data'!V$1,'Team forecast'!$B$2:$AO$2,0))</f>
        <v>0.26245106723433442</v>
      </c>
      <c r="W55" s="16">
        <f>INDEX('Team forecast'!$B$2:$AO$26,MATCH('Master data'!$B55,'Team forecast'!$B$2:$B$26,0),MATCH('Master data'!W$1,'Team forecast'!$B$2:$AO$2,0))</f>
        <v>0.56576277966682864</v>
      </c>
      <c r="X55" s="5">
        <f>IF(M55&gt;95,7000*2,IF(M55&gt;0,7000,-5000))</f>
        <v>-5000</v>
      </c>
      <c r="Y55" s="5">
        <f>IF($X55&gt;0,U55*25000,0)</f>
        <v>0</v>
      </c>
      <c r="Z55" s="5">
        <f>IF($X55&gt;0,V55*5000,0)</f>
        <v>0</v>
      </c>
      <c r="AA55" s="5">
        <f>IF($X55&gt;0,W55*(-15000),0)</f>
        <v>0</v>
      </c>
      <c r="AB55" s="5">
        <f>IF($C55="Defense",$N55*150000,IF($C55="Midfield",$N55*125000,IF($C55="Striker",$N55*100000,0)))*$H55</f>
        <v>0</v>
      </c>
      <c r="AC55" s="5">
        <f>$O55*50000*H55</f>
        <v>0</v>
      </c>
      <c r="AD55" s="5">
        <f>$P55*K55*10000</f>
        <v>0</v>
      </c>
      <c r="AE55" s="5">
        <f>IF($C55="Goalkeeper",J55*75000,IF($C55="Defense",J55*50000,0))</f>
        <v>0</v>
      </c>
      <c r="AF55" s="5">
        <f>IF($C55="Goalkeeper",(L55-I55)*5000,0)</f>
        <v>0</v>
      </c>
      <c r="AG55" s="5">
        <f>IF(M55&gt;0,Q55*(-20000),0)</f>
        <v>0</v>
      </c>
      <c r="AH55" s="5">
        <f>IF(M55&gt;0,R55*(-50000),0)</f>
        <v>0</v>
      </c>
      <c r="AI55" s="5">
        <f>IF(M55&gt;0,S55*10000,0)</f>
        <v>0</v>
      </c>
      <c r="AJ55" s="5">
        <f>IF(M55&gt;0,T55*(-8000),0)</f>
        <v>0</v>
      </c>
      <c r="AK55" s="5">
        <f>IFERROR(SUM(X55:AJ55),-5000)*((Cockpit!$C$3)^0)</f>
        <v>-5000</v>
      </c>
      <c r="AL55" s="16">
        <f>INDEX('Team forecast'!$B$2:$AO$26,MATCH('Master data'!$B55,'Team forecast'!$B$2:$B$26,0),MATCH('Master data'!AL$1,'Team forecast'!$B$2:$AO$2,0))</f>
        <v>1.3846696653928885</v>
      </c>
      <c r="AM55" s="16">
        <f>INDEX('Team forecast'!$B$2:$AO$26,MATCH('Master data'!$B55,'Team forecast'!$B$2:$B$26,0),MATCH('Master data'!AM$1,'Team forecast'!$B$2:$AO$2,0))</f>
        <v>0.97920455728472433</v>
      </c>
      <c r="AN55" s="16">
        <f>INDEX('Team forecast'!$B$2:$AO$26,MATCH('Master data'!$B55,'Team forecast'!$B$2:$B$26,0),MATCH('Master data'!AN$1,'Team forecast'!$B$2:$AO$2,0))</f>
        <v>0.37560975609756098</v>
      </c>
      <c r="AO55" s="16">
        <f>INDEX('Team forecast'!$B$2:$AO$26,MATCH('Master data'!$B55,'Team forecast'!$B$2:$B$26,0),MATCH('Master data'!AO$1,'Team forecast'!$B$2:$AO$2,0))</f>
        <v>3.9274266872961929</v>
      </c>
      <c r="AP55" s="16">
        <f>INDEX('Team forecast'!$B$2:$AO$26,MATCH('Master data'!$B55,'Team forecast'!$B$2:$B$26,0),MATCH('Master data'!AP$1,'Team forecast'!$B$2:$AO$2,0))</f>
        <v>3.1824148111753541</v>
      </c>
      <c r="AQ55" s="5">
        <f>X55</f>
        <v>-5000</v>
      </c>
      <c r="AR55" s="5">
        <f>INDEX('Team forecast'!$B$2:$AO$26,MATCH('Master data'!$B55,'Team forecast'!$B$2:$B$26,0),MATCH('Master data'!AR$1,'Team forecast'!$B$2:$AO$2,0))*IF(X55&gt;0,25000,0)</f>
        <v>0</v>
      </c>
      <c r="AS55" s="16">
        <f>INDEX('Team forecast'!$B$2:$AO$26,MATCH('Master data'!$B55,'Team forecast'!$B$2:$B$26,0),MATCH('Master data'!AS$1,'Team forecast'!$B$2:$AO$2,0))*IF(X55&gt;0,5000,0)</f>
        <v>0</v>
      </c>
      <c r="AT55" s="16">
        <f>INDEX('Team forecast'!$B$2:$AO$26,MATCH('Master data'!$B55,'Team forecast'!$B$2:$B$26,0),MATCH('Master data'!AT$1,'Team forecast'!$B$2:$AO$2,0))*IF(X55&gt;0,-15000,0)</f>
        <v>0</v>
      </c>
      <c r="AU55" s="5">
        <f>IF($C55="Defense",$N55*150000,IF($C55="Midfield",$N55*125000,IF($C55="Striker",$N55*100000,0)))*$AL55</f>
        <v>0</v>
      </c>
      <c r="AV55" s="5">
        <f>$O55*50000*AL55</f>
        <v>0</v>
      </c>
      <c r="AW55" s="5">
        <f>$P55*AO55*10000</f>
        <v>0</v>
      </c>
      <c r="AX55" s="5">
        <f>IF($C55="Goalkeeper",AN55*75000,IF($C55="Defense",AN55*50000,0))</f>
        <v>0</v>
      </c>
      <c r="AY55" s="5">
        <f>IF($C55="Goalkeeper",(AP55-AM55)*5000,0)</f>
        <v>0</v>
      </c>
      <c r="AZ55" s="5">
        <f>$AG55</f>
        <v>0</v>
      </c>
      <c r="BA55" s="5">
        <f>$AH55</f>
        <v>0</v>
      </c>
      <c r="BB55" s="5">
        <f>IF(X55&gt;0,AL55*10000,0)</f>
        <v>0</v>
      </c>
      <c r="BC55" s="5">
        <f>IF(X55&gt;0,AM55*(-8000),0)</f>
        <v>0</v>
      </c>
      <c r="BD55" s="5">
        <f>IFERROR(SUM(AQ55:BC55),0)</f>
        <v>-5000</v>
      </c>
      <c r="BE55" s="16">
        <f>INDEX('Team forecast'!$B$2:$AO$26,MATCH('Master data'!$B55,'Team forecast'!$B$2:$B$26,0),MATCH('Master data'!BE$1,'Team forecast'!$B$2:$AO$2,0))</f>
        <v>1.5039270856478595</v>
      </c>
      <c r="BF55" s="16">
        <f>INDEX('Team forecast'!$B$2:$AO$26,MATCH('Master data'!$B55,'Team forecast'!$B$2:$B$26,0),MATCH('Master data'!BF$1,'Team forecast'!$B$2:$AO$2,0))</f>
        <v>0.82681690399773144</v>
      </c>
      <c r="BG55" s="16">
        <f>INDEX('Team forecast'!$B$2:$AO$26,MATCH('Master data'!$B55,'Team forecast'!$B$2:$B$26,0),MATCH('Master data'!BG$1,'Team forecast'!$B$2:$AO$2,0))</f>
        <v>0.43743948445487602</v>
      </c>
      <c r="BH55" s="16">
        <f>INDEX('Team forecast'!$B$2:$AO$26,MATCH('Master data'!$B55,'Team forecast'!$B$2:$B$26,0),MATCH('Master data'!BH$1,'Team forecast'!$B$2:$AO$2,0))</f>
        <v>4.2656840974739287</v>
      </c>
      <c r="BI55" s="16">
        <f>INDEX('Team forecast'!$B$2:$AO$26,MATCH('Master data'!$B55,'Team forecast'!$B$2:$B$26,0),MATCH('Master data'!BI$1,'Team forecast'!$B$2:$AO$2,0))</f>
        <v>2.6871549379926272</v>
      </c>
      <c r="BJ55" s="5">
        <f>AQ55</f>
        <v>-5000</v>
      </c>
      <c r="BK55" s="5">
        <f>INDEX('Team forecast'!$R$3:$BH$26,MATCH($B55,'Team forecast'!$B$3:$B$26,0),MATCH(BK$1,'Team forecast'!$R$2:$BH$2,0))*IF($X55&gt;0,25000,0)</f>
        <v>0</v>
      </c>
      <c r="BL55" s="5">
        <f>INDEX('Team forecast'!$R$3:$BH$26,MATCH($B55,'Team forecast'!$B$3:$B$26,0),MATCH(BL$1,'Team forecast'!$R$2:$BH$2,0))*IF($X55&gt;0,5000,0)</f>
        <v>0</v>
      </c>
      <c r="BM55" s="5">
        <f>INDEX('Team forecast'!$R$3:$BH$26,MATCH($B55,'Team forecast'!$B$3:$B$26,0),MATCH(BM$1,'Team forecast'!$R$2:$BH$2,0))*IF($X55&gt;0,-15000,0)</f>
        <v>0</v>
      </c>
      <c r="BN55" s="5">
        <f>IF($C55="Defense",$N55*150000,IF($C55="Midfield",$N55*125000,IF($C55="Striker",$N55*100000,0)))*$BE55</f>
        <v>0</v>
      </c>
      <c r="BO55" s="5">
        <f>$O55*50000*$BE55</f>
        <v>0</v>
      </c>
      <c r="BP55" s="5">
        <f>$P55*BH55*10000</f>
        <v>0</v>
      </c>
      <c r="BQ55" s="5">
        <f>IF($C55="Goalkeeper",BG55*75000,IF($C55="Defense",BG55*50000,0))</f>
        <v>0</v>
      </c>
      <c r="BR55" s="5">
        <f>IF($C55="Goalkeeper",(BI55-BF55)*5000,0)</f>
        <v>0</v>
      </c>
      <c r="BS55" s="5">
        <f>$AG55</f>
        <v>0</v>
      </c>
      <c r="BT55" s="5">
        <f>$AH55</f>
        <v>0</v>
      </c>
      <c r="BU55" s="5">
        <f>IF(AQ55&gt;0,BE55*10000,0)</f>
        <v>0</v>
      </c>
      <c r="BV55" s="5">
        <f>IF(AQ55&gt;0,BF55*(-8000),0)</f>
        <v>0</v>
      </c>
      <c r="BW55" s="5">
        <f>IFERROR(SUM(BJ55:BV55),0)</f>
        <v>-5000</v>
      </c>
      <c r="BX55" s="5">
        <f>AVERAGE(AK55,BD55,BW55)</f>
        <v>-5000</v>
      </c>
      <c r="BY55" s="5">
        <f>BX55*3</f>
        <v>-15000</v>
      </c>
      <c r="BZ55" s="5">
        <f>INDEX('Team forecast'!$R$3:$BH$26,MATCH($B55,'Team forecast'!$B$3:$B$26,0),MATCH(BZ$1,'Team forecast'!$R$2:$BH$2,0))*($BX55-(BY55+CH55)*0.01)</f>
        <v>-26012.410794192951</v>
      </c>
      <c r="CA55" s="5">
        <f>INDEX('Team forecast'!$R$3:$BH$26,MATCH($B55,'Team forecast'!$B$3:$B$26,0),MATCH(CA$1,'Team forecast'!$R$2:$BH$2,0))*($BX55-(BY55+BX55+CH55)*0.01)</f>
        <v>-12836.542545781067</v>
      </c>
      <c r="CB55" s="5">
        <f>INDEX('Team forecast'!$R$3:$BH$26,MATCH($B55,'Team forecast'!$B$3:$B$26,0),MATCH(CB$1,'Team forecast'!$R$2:$BH$2,0))*($BX55-(BY55+BX55*2+CH55)*0.01)</f>
        <v>-6267.1337339770234</v>
      </c>
      <c r="CC55" s="5">
        <f>INDEX('Team forecast'!$R$3:$BH$26,MATCH($B55,'Team forecast'!$B$3:$B$26,0),MATCH(CC$1,'Team forecast'!$R$2:$BH$2,0))*($BX55-(BY55+BX55*3+CH55)*0.01)</f>
        <v>-2946.3246436272348</v>
      </c>
      <c r="CD55" s="5">
        <f>+AK55+BD55*Cockpit!$C$3+BW55*Cockpit!$C$3^2+BZ55*Cockpit!$C$3^3+CA55*Cockpit!$C$3^4+CB55*Cockpit!$C$3^5+CC55*Cockpit!$C$3^6</f>
        <v>-21882.513681470627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-5.0000000000000001E-3</v>
      </c>
      <c r="CK55" s="5">
        <f>RANK(BY55,$BY$2:$BY$623)+COUNTIF($BY$2:$BY55,$BY55)-1</f>
        <v>432</v>
      </c>
      <c r="CL55" s="5">
        <f>RANK(CJ55,$CJ$2:$CJ$623)+COUNTIF($CJ$2:$CJ55,$CJ55)-1</f>
        <v>481</v>
      </c>
    </row>
    <row r="56" spans="1:90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0.74990395996081205</v>
      </c>
      <c r="I56" s="16">
        <f>INDEX('Team forecast'!$B$2:$AO$26,MATCH('Master data'!$B56,'Team forecast'!$B$2:$B$26,0),MATCH('Master data'!I$1,'Team forecast'!$B$2:$AO$2,0))</f>
        <v>1.5223243214152651</v>
      </c>
      <c r="J56" s="16">
        <f>INDEX('Team forecast'!$B$2:$AO$26,MATCH('Master data'!$B56,'Team forecast'!$B$2:$B$26,0),MATCH('Master data'!J$1,'Team forecast'!$B$2:$AO$2,0))</f>
        <v>0.21820412056434271</v>
      </c>
      <c r="K56" s="16">
        <f>INDEX('Team forecast'!$B$2:$AO$26,MATCH('Master data'!$B56,'Team forecast'!$B$2:$B$26,0),MATCH('Master data'!K$1,'Team forecast'!$B$2:$AO$2,0))</f>
        <v>2.1270003227979397</v>
      </c>
      <c r="L56" s="16">
        <f>INDEX('Team forecast'!$B$2:$AO$26,MATCH('Master data'!$B56,'Team forecast'!$B$2:$B$26,0),MATCH('Master data'!L$1,'Team forecast'!$B$2:$AO$2,0))</f>
        <v>4.9475540445996113</v>
      </c>
      <c r="M56">
        <f>IF(Players!BC57=1,95,0)</f>
        <v>95</v>
      </c>
      <c r="N56" s="2">
        <f>Players!BN57</f>
        <v>0.22893512835983865</v>
      </c>
      <c r="O56" s="2">
        <f>Players!BO57</f>
        <v>0.24351343176246978</v>
      </c>
      <c r="P56" s="2">
        <f>Players!BP57</f>
        <v>0.26559114637114417</v>
      </c>
      <c r="Q56" s="2">
        <f>Players!BQ57</f>
        <v>0.21112359550561799</v>
      </c>
      <c r="R56" s="2">
        <f>Players!BR57</f>
        <v>5.0561797752808994E-2</v>
      </c>
      <c r="S56" s="2">
        <f>H56</f>
        <v>0.74990395996081205</v>
      </c>
      <c r="T56" s="2">
        <f>I56</f>
        <v>1.5223243214152651</v>
      </c>
      <c r="U56" s="16">
        <f>INDEX('Team forecast'!$B$2:$AO$26,MATCH('Master data'!$B56,'Team forecast'!$B$2:$B$26,0),MATCH('Master data'!U$1,'Team forecast'!$B$2:$AO$2,0))</f>
        <v>0.17178615309883699</v>
      </c>
      <c r="V56" s="16">
        <f>INDEX('Team forecast'!$B$2:$AO$26,MATCH('Master data'!$B56,'Team forecast'!$B$2:$B$26,0),MATCH('Master data'!V$1,'Team forecast'!$B$2:$AO$2,0))</f>
        <v>0.26245106723433442</v>
      </c>
      <c r="W56" s="16">
        <f>INDEX('Team forecast'!$B$2:$AO$26,MATCH('Master data'!$B56,'Team forecast'!$B$2:$B$26,0),MATCH('Master data'!W$1,'Team forecast'!$B$2:$AO$2,0))</f>
        <v>0.56576277966682864</v>
      </c>
      <c r="X56" s="5">
        <f>IF(M56&gt;95,7000*2,IF(M56&gt;0,7000,-5000))</f>
        <v>7000</v>
      </c>
      <c r="Y56" s="5">
        <f>IF($X56&gt;0,U56*25000,0)</f>
        <v>4294.6538274709246</v>
      </c>
      <c r="Z56" s="5">
        <f>IF($X56&gt;0,V56*5000,0)</f>
        <v>1312.2553361716721</v>
      </c>
      <c r="AA56" s="5">
        <f>IF($X56&gt;0,W56*(-15000),0)</f>
        <v>-8486.4416950024297</v>
      </c>
      <c r="AB56" s="5">
        <f>IF($C56="Defense",$N56*150000,IF($C56="Midfield",$N56*125000,IF($C56="Striker",$N56*100000,0)))*$H56</f>
        <v>17167.93593311798</v>
      </c>
      <c r="AC56" s="5">
        <f>$O56*50000*H56</f>
        <v>9130.5843391161543</v>
      </c>
      <c r="AD56" s="5">
        <f>$P56*K56*10000</f>
        <v>5649.1245406369853</v>
      </c>
      <c r="AE56" s="5">
        <f>IF($C56="Goalkeeper",J56*75000,IF($C56="Defense",J56*50000,0))</f>
        <v>0</v>
      </c>
      <c r="AF56" s="5">
        <f>IF($C56="Goalkeeper",(L56-I56)*5000,0)</f>
        <v>0</v>
      </c>
      <c r="AG56" s="5">
        <f>IF(M56&gt;0,Q56*(-20000),0)</f>
        <v>-4222.4719101123601</v>
      </c>
      <c r="AH56" s="5">
        <f>IF(M56&gt;0,R56*(-50000),0)</f>
        <v>-2528.0898876404499</v>
      </c>
      <c r="AI56" s="5">
        <f>IF(M56&gt;0,S56*10000,0)</f>
        <v>7499.0395996081206</v>
      </c>
      <c r="AJ56" s="5">
        <f>IF(M56&gt;0,T56*(-8000),0)</f>
        <v>-12178.594571322121</v>
      </c>
      <c r="AK56" s="5">
        <f>IFERROR(SUM(X56:AJ56),-5000)*((Cockpit!$C$3)^0)</f>
        <v>24637.995512044479</v>
      </c>
      <c r="AL56" s="16">
        <f>INDEX('Team forecast'!$B$2:$AO$26,MATCH('Master data'!$B56,'Team forecast'!$B$2:$B$26,0),MATCH('Master data'!AL$1,'Team forecast'!$B$2:$AO$2,0))</f>
        <v>1.3846696653928885</v>
      </c>
      <c r="AM56" s="16">
        <f>INDEX('Team forecast'!$B$2:$AO$26,MATCH('Master data'!$B56,'Team forecast'!$B$2:$B$26,0),MATCH('Master data'!AM$1,'Team forecast'!$B$2:$AO$2,0))</f>
        <v>0.97920455728472433</v>
      </c>
      <c r="AN56" s="16">
        <f>INDEX('Team forecast'!$B$2:$AO$26,MATCH('Master data'!$B56,'Team forecast'!$B$2:$B$26,0),MATCH('Master data'!AN$1,'Team forecast'!$B$2:$AO$2,0))</f>
        <v>0.37560975609756098</v>
      </c>
      <c r="AO56" s="16">
        <f>INDEX('Team forecast'!$B$2:$AO$26,MATCH('Master data'!$B56,'Team forecast'!$B$2:$B$26,0),MATCH('Master data'!AO$1,'Team forecast'!$B$2:$AO$2,0))</f>
        <v>3.9274266872961929</v>
      </c>
      <c r="AP56" s="16">
        <f>INDEX('Team forecast'!$B$2:$AO$26,MATCH('Master data'!$B56,'Team forecast'!$B$2:$B$26,0),MATCH('Master data'!AP$1,'Team forecast'!$B$2:$AO$2,0))</f>
        <v>3.1824148111753541</v>
      </c>
      <c r="AQ56" s="5">
        <f>X56</f>
        <v>7000</v>
      </c>
      <c r="AR56" s="5">
        <f>INDEX('Team forecast'!$B$2:$AO$26,MATCH('Master data'!$B56,'Team forecast'!$B$2:$B$26,0),MATCH('Master data'!AR$1,'Team forecast'!$B$2:$AO$2,0))*IF(X56&gt;0,25000,0)</f>
        <v>11178.861788617885</v>
      </c>
      <c r="AS56" s="16">
        <f>INDEX('Team forecast'!$B$2:$AO$26,MATCH('Master data'!$B56,'Team forecast'!$B$2:$B$26,0),MATCH('Master data'!AS$1,'Team forecast'!$B$2:$AO$2,0))*IF(X56&gt;0,5000,0)</f>
        <v>1422.7642276422764</v>
      </c>
      <c r="AT56" s="16">
        <f>INDEX('Team forecast'!$B$2:$AO$26,MATCH('Master data'!$B56,'Team forecast'!$B$2:$B$26,0),MATCH('Master data'!AT$1,'Team forecast'!$B$2:$AO$2,0))*IF(X56&gt;0,-15000,0)</f>
        <v>-4024.3902439024391</v>
      </c>
      <c r="AU56" s="5">
        <f>IF($C56="Defense",$N56*150000,IF($C56="Midfield",$N56*125000,IF($C56="Striker",$N56*100000,0)))*$AL56</f>
        <v>31699.952758269574</v>
      </c>
      <c r="AV56" s="5">
        <f>$O56*50000*AL56</f>
        <v>16859.283103860649</v>
      </c>
      <c r="AW56" s="5">
        <f>$P56*AO56*10000</f>
        <v>10430.897561676211</v>
      </c>
      <c r="AX56" s="5">
        <f>IF($C56="Goalkeeper",AN56*75000,IF($C56="Defense",AN56*50000,0))</f>
        <v>0</v>
      </c>
      <c r="AY56" s="5">
        <f>IF($C56="Goalkeeper",(AP56-AM56)*5000,0)</f>
        <v>0</v>
      </c>
      <c r="AZ56" s="5">
        <f>$AG56</f>
        <v>-4222.4719101123601</v>
      </c>
      <c r="BA56" s="5">
        <f>$AH56</f>
        <v>-2528.0898876404499</v>
      </c>
      <c r="BB56" s="5">
        <f>IF(X56&gt;0,AL56*10000,0)</f>
        <v>13846.696653928884</v>
      </c>
      <c r="BC56" s="5">
        <f>IF(X56&gt;0,AM56*(-8000),0)</f>
        <v>-7833.6364582777951</v>
      </c>
      <c r="BD56" s="5">
        <f>IFERROR(SUM(AQ56:BC56),0)</f>
        <v>73829.867594062438</v>
      </c>
      <c r="BE56" s="16">
        <f>INDEX('Team forecast'!$B$2:$AO$26,MATCH('Master data'!$B56,'Team forecast'!$B$2:$B$26,0),MATCH('Master data'!BE$1,'Team forecast'!$B$2:$AO$2,0))</f>
        <v>1.5039270856478595</v>
      </c>
      <c r="BF56" s="16">
        <f>INDEX('Team forecast'!$B$2:$AO$26,MATCH('Master data'!$B56,'Team forecast'!$B$2:$B$26,0),MATCH('Master data'!BF$1,'Team forecast'!$B$2:$AO$2,0))</f>
        <v>0.82681690399773144</v>
      </c>
      <c r="BG56" s="16">
        <f>INDEX('Team forecast'!$B$2:$AO$26,MATCH('Master data'!$B56,'Team forecast'!$B$2:$B$26,0),MATCH('Master data'!BG$1,'Team forecast'!$B$2:$AO$2,0))</f>
        <v>0.43743948445487602</v>
      </c>
      <c r="BH56" s="16">
        <f>INDEX('Team forecast'!$B$2:$AO$26,MATCH('Master data'!$B56,'Team forecast'!$B$2:$B$26,0),MATCH('Master data'!BH$1,'Team forecast'!$B$2:$AO$2,0))</f>
        <v>4.2656840974739287</v>
      </c>
      <c r="BI56" s="16">
        <f>INDEX('Team forecast'!$B$2:$AO$26,MATCH('Master data'!$B56,'Team forecast'!$B$2:$B$26,0),MATCH('Master data'!BI$1,'Team forecast'!$B$2:$AO$2,0))</f>
        <v>2.6871549379926272</v>
      </c>
      <c r="BJ56" s="5">
        <f>AQ56</f>
        <v>7000</v>
      </c>
      <c r="BK56" s="5">
        <f>INDEX('Team forecast'!$R$3:$BH$26,MATCH($B56,'Team forecast'!$B$3:$B$26,0),MATCH(BK$1,'Team forecast'!$R$2:$BH$2,0))*IF($X56&gt;0,25000,0)</f>
        <v>12935.038518826977</v>
      </c>
      <c r="BL56" s="5">
        <f>INDEX('Team forecast'!$R$3:$BH$26,MATCH($B56,'Team forecast'!$B$3:$B$26,0),MATCH(BL$1,'Team forecast'!$R$2:$BH$2,0))*IF($X56&gt;0,5000,0)</f>
        <v>1355.4462898601791</v>
      </c>
      <c r="BM56" s="5">
        <f>INDEX('Team forecast'!$R$3:$BH$26,MATCH($B56,'Team forecast'!$B$3:$B$26,0),MATCH(BM$1,'Team forecast'!$R$2:$BH$2,0))*IF($X56&gt;0,-15000,0)</f>
        <v>-3172.6380191232765</v>
      </c>
      <c r="BN56" s="5">
        <f>IF($C56="Defense",$N56*150000,IF($C56="Midfield",$N56*125000,IF($C56="Striker",$N56*100000,0)))*$BE56</f>
        <v>34430.174039663078</v>
      </c>
      <c r="BO56" s="5">
        <f>$O56*50000*$BE56</f>
        <v>18311.322287332005</v>
      </c>
      <c r="BP56" s="5">
        <f>$P56*BH56*10000</f>
        <v>11329.279295052604</v>
      </c>
      <c r="BQ56" s="5">
        <f>IF($C56="Goalkeeper",BG56*75000,IF($C56="Defense",BG56*50000,0))</f>
        <v>0</v>
      </c>
      <c r="BR56" s="5">
        <f>IF($C56="Goalkeeper",(BI56-BF56)*5000,0)</f>
        <v>0</v>
      </c>
      <c r="BS56" s="5">
        <f>$AG56</f>
        <v>-4222.4719101123601</v>
      </c>
      <c r="BT56" s="5">
        <f>$AH56</f>
        <v>-2528.0898876404499</v>
      </c>
      <c r="BU56" s="5">
        <f>IF(AQ56&gt;0,BE56*10000,0)</f>
        <v>15039.270856478595</v>
      </c>
      <c r="BV56" s="5">
        <f>IF(AQ56&gt;0,BF56*(-8000),0)</f>
        <v>-6614.5352319818512</v>
      </c>
      <c r="BW56" s="5">
        <f>IFERROR(SUM(BJ56:BV56),0)</f>
        <v>83862.796238355513</v>
      </c>
      <c r="BX56" s="5">
        <f>AVERAGE(AK56,BD56,BW56)</f>
        <v>60776.886448154146</v>
      </c>
      <c r="BY56" s="5">
        <f>BX56*3</f>
        <v>182330.65934446245</v>
      </c>
      <c r="BZ56" s="5">
        <f>INDEX('Team forecast'!$R$3:$BH$26,MATCH($B56,'Team forecast'!$B$3:$B$26,0),MATCH(BZ$1,'Team forecast'!$R$2:$BH$2,0))*($BX56-(BY56+CH56)*0.01)</f>
        <v>21611.260061497087</v>
      </c>
      <c r="CA56" s="5">
        <f>INDEX('Team forecast'!$R$3:$BH$26,MATCH($B56,'Team forecast'!$B$3:$B$26,0),MATCH(CA$1,'Team forecast'!$R$2:$BH$2,0))*($BX56-(BY56+BX56+CH56)*0.01)</f>
        <v>10455.810596860058</v>
      </c>
      <c r="CB56" s="5">
        <f>INDEX('Team forecast'!$R$3:$BH$26,MATCH($B56,'Team forecast'!$B$3:$B$26,0),MATCH(CB$1,'Team forecast'!$R$2:$BH$2,0))*($BX56-(BY56+BX56*2+CH56)*0.01)</f>
        <v>5002.5329358486688</v>
      </c>
      <c r="CC56" s="5">
        <f>INDEX('Team forecast'!$R$3:$BH$26,MATCH($B56,'Team forecast'!$B$3:$B$26,0),MATCH(CC$1,'Team forecast'!$R$2:$BH$2,0))*($BX56-(BY56+BX56*3+CH56)*0.01)</f>
        <v>2303.5905676658731</v>
      </c>
      <c r="CD56" s="5">
        <f>+AK56+BD56*Cockpit!$C$3+BW56*Cockpit!$C$3^2+BZ56*Cockpit!$C$3^3+CA56*Cockpit!$C$3^4+CB56*Cockpit!$C$3^5+CC56*Cockpit!$C$3^6</f>
        <v>120459.94817232546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6.0776886448154148E-2</v>
      </c>
      <c r="CK56" s="5">
        <f>RANK(BY56,$BY$2:$BY$623)+COUNTIF($BY$2:$BY56,$BY56)-1</f>
        <v>68</v>
      </c>
      <c r="CL56" s="5">
        <f>RANK(CJ56,$CJ$2:$CJ$623)+COUNTIF($CJ$2:$CJ56,$CJ56)-1</f>
        <v>12</v>
      </c>
    </row>
    <row r="57" spans="1:90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1.6593477618235051</v>
      </c>
      <c r="I57" s="16">
        <f>INDEX('Team forecast'!$B$2:$AO$26,MATCH('Master data'!$B57,'Team forecast'!$B$2:$B$26,0),MATCH('Master data'!I$1,'Team forecast'!$B$2:$AO$2,0))</f>
        <v>0.65422581624273402</v>
      </c>
      <c r="J57" s="16">
        <f>INDEX('Team forecast'!$B$2:$AO$26,MATCH('Master data'!$B57,'Team forecast'!$B$2:$B$26,0),MATCH('Master data'!J$1,'Team forecast'!$B$2:$AO$2,0))</f>
        <v>0.51984436190144767</v>
      </c>
      <c r="K57" s="16">
        <f>INDEX('Team forecast'!$B$2:$AO$26,MATCH('Master data'!$B57,'Team forecast'!$B$2:$B$26,0),MATCH('Master data'!K$1,'Team forecast'!$B$2:$AO$2,0))</f>
        <v>4.5343674133251923</v>
      </c>
      <c r="L57" s="16">
        <f>INDEX('Team forecast'!$B$2:$AO$26,MATCH('Master data'!$B57,'Team forecast'!$B$2:$B$26,0),MATCH('Master data'!L$1,'Team forecast'!$B$2:$AO$2,0))</f>
        <v>2.1477110129180663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>H57</f>
        <v>1.6593477618235051</v>
      </c>
      <c r="T57" s="2">
        <f>I57</f>
        <v>0.65422581624273402</v>
      </c>
      <c r="U57" s="16">
        <f>INDEX('Team forecast'!$B$2:$AO$26,MATCH('Master data'!$B57,'Team forecast'!$B$2:$B$26,0),MATCH('Master data'!U$1,'Team forecast'!$B$2:$AO$2,0))</f>
        <v>0.61375173050299947</v>
      </c>
      <c r="V57" s="16">
        <f>INDEX('Team forecast'!$B$2:$AO$26,MATCH('Master data'!$B57,'Team forecast'!$B$2:$B$26,0),MATCH('Master data'!V$1,'Team forecast'!$B$2:$AO$2,0))</f>
        <v>0.25034610059990769</v>
      </c>
      <c r="W57" s="16">
        <f>INDEX('Team forecast'!$B$2:$AO$26,MATCH('Master data'!$B57,'Team forecast'!$B$2:$B$26,0),MATCH('Master data'!W$1,'Team forecast'!$B$2:$AO$2,0))</f>
        <v>0.13590216889709281</v>
      </c>
      <c r="X57" s="5">
        <f>IF(M57&gt;95,7000*2,IF(M57&gt;0,7000,-5000))</f>
        <v>-5000</v>
      </c>
      <c r="Y57" s="5">
        <f>IF($X57&gt;0,U57*25000,0)</f>
        <v>0</v>
      </c>
      <c r="Z57" s="5">
        <f>IF($X57&gt;0,V57*5000,0)</f>
        <v>0</v>
      </c>
      <c r="AA57" s="5">
        <f>IF($X57&gt;0,W57*(-15000),0)</f>
        <v>0</v>
      </c>
      <c r="AB57" s="5">
        <f>IF($C57="Defense",$N57*150000,IF($C57="Midfield",$N57*125000,IF($C57="Striker",$N57*100000,0)))*$H57</f>
        <v>0</v>
      </c>
      <c r="AC57" s="5">
        <f>$O57*50000*H57</f>
        <v>0</v>
      </c>
      <c r="AD57" s="5">
        <f>$P57*K57*10000</f>
        <v>0</v>
      </c>
      <c r="AE57" s="5">
        <f>IF($C57="Goalkeeper",J57*75000,IF($C57="Defense",J57*50000,0))</f>
        <v>0</v>
      </c>
      <c r="AF57" s="5">
        <f>IF($C57="Goalkeeper",(L57-I57)*5000,0)</f>
        <v>0</v>
      </c>
      <c r="AG57" s="5">
        <f>IF(M57&gt;0,Q57*(-20000),0)</f>
        <v>0</v>
      </c>
      <c r="AH57" s="5">
        <f>IF(M57&gt;0,R57*(-50000),0)</f>
        <v>0</v>
      </c>
      <c r="AI57" s="5">
        <f>IF(M57&gt;0,S57*10000,0)</f>
        <v>0</v>
      </c>
      <c r="AJ57" s="5">
        <f>IF(M57&gt;0,T57*(-8000),0)</f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1.5198357804321134</v>
      </c>
      <c r="AM57" s="16">
        <f>INDEX('Team forecast'!$B$2:$AO$26,MATCH('Master data'!$B57,'Team forecast'!$B$2:$B$26,0),MATCH('Master data'!AM$1,'Team forecast'!$B$2:$AO$2,0))</f>
        <v>0.79620558314709244</v>
      </c>
      <c r="AN57" s="16">
        <f>INDEX('Team forecast'!$B$2:$AO$26,MATCH('Master data'!$B57,'Team forecast'!$B$2:$B$26,0),MATCH('Master data'!AN$1,'Team forecast'!$B$2:$AO$2,0))</f>
        <v>0.45103714423540769</v>
      </c>
      <c r="AO57" s="16">
        <f>INDEX('Team forecast'!$B$2:$AO$26,MATCH('Master data'!$B57,'Team forecast'!$B$2:$B$26,0),MATCH('Master data'!AO$1,'Team forecast'!$B$2:$AO$2,0))</f>
        <v>4.1531341379722457</v>
      </c>
      <c r="AP57" s="16">
        <f>INDEX('Team forecast'!$B$2:$AO$26,MATCH('Master data'!$B57,'Team forecast'!$B$2:$B$26,0),MATCH('Master data'!AP$1,'Team forecast'!$B$2:$AO$2,0))</f>
        <v>2.6138062073010611</v>
      </c>
      <c r="AQ57" s="5">
        <f>X57</f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>IF($C57="Defense",$N57*150000,IF($C57="Midfield",$N57*125000,IF($C57="Striker",$N57*100000,0)))*$AL57</f>
        <v>0</v>
      </c>
      <c r="AV57" s="5">
        <f>$O57*50000*AL57</f>
        <v>0</v>
      </c>
      <c r="AW57" s="5">
        <f>$P57*AO57*10000</f>
        <v>0</v>
      </c>
      <c r="AX57" s="5">
        <f>IF($C57="Goalkeeper",AN57*75000,IF($C57="Defense",AN57*50000,0))</f>
        <v>0</v>
      </c>
      <c r="AY57" s="5">
        <f>IF($C57="Goalkeeper",(AP57-AM57)*5000,0)</f>
        <v>0</v>
      </c>
      <c r="AZ57" s="5">
        <f>$AG57</f>
        <v>0</v>
      </c>
      <c r="BA57" s="5">
        <f>$AH57</f>
        <v>0</v>
      </c>
      <c r="BB57" s="5">
        <f>IF(X57&gt;0,AL57*10000,0)</f>
        <v>0</v>
      </c>
      <c r="BC57" s="5">
        <f>IF(X57&gt;0,AM57*(-8000),0)</f>
        <v>0</v>
      </c>
      <c r="BD57" s="5">
        <f>IFERROR(SUM(AQ57:BC57),0)</f>
        <v>-5000</v>
      </c>
      <c r="BE57" s="16">
        <f>INDEX('Team forecast'!$B$2:$AO$26,MATCH('Master data'!$B57,'Team forecast'!$B$2:$B$26,0),MATCH('Master data'!BE$1,'Team forecast'!$B$2:$AO$2,0))</f>
        <v>1.8402581758343768</v>
      </c>
      <c r="BF57" s="16">
        <f>INDEX('Team forecast'!$B$2:$AO$26,MATCH('Master data'!$B57,'Team forecast'!$B$2:$B$26,0),MATCH('Master data'!BF$1,'Team forecast'!$B$2:$AO$2,0))</f>
        <v>0.65281467345965161</v>
      </c>
      <c r="BG57" s="16">
        <f>INDEX('Team forecast'!$B$2:$AO$26,MATCH('Master data'!$B57,'Team forecast'!$B$2:$B$26,0),MATCH('Master data'!BG$1,'Team forecast'!$B$2:$AO$2,0))</f>
        <v>0.52057845435388617</v>
      </c>
      <c r="BH57" s="16">
        <f>INDEX('Team forecast'!$B$2:$AO$26,MATCH('Master data'!$B57,'Team forecast'!$B$2:$B$26,0),MATCH('Master data'!BH$1,'Team forecast'!$B$2:$AO$2,0))</f>
        <v>5.0287268869057034</v>
      </c>
      <c r="BI57" s="16">
        <f>INDEX('Team forecast'!$B$2:$AO$26,MATCH('Master data'!$B57,'Team forecast'!$B$2:$B$26,0),MATCH('Master data'!BI$1,'Team forecast'!$B$2:$AO$2,0))</f>
        <v>2.1430784734786541</v>
      </c>
      <c r="BJ57" s="5">
        <f>AQ57</f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>IF($C57="Defense",$N57*150000,IF($C57="Midfield",$N57*125000,IF($C57="Striker",$N57*100000,0)))*$BE57</f>
        <v>0</v>
      </c>
      <c r="BO57" s="5">
        <f>$O57*50000*$BE57</f>
        <v>0</v>
      </c>
      <c r="BP57" s="5">
        <f>$P57*BH57*10000</f>
        <v>0</v>
      </c>
      <c r="BQ57" s="5">
        <f>IF($C57="Goalkeeper",BG57*75000,IF($C57="Defense",BG57*50000,0))</f>
        <v>0</v>
      </c>
      <c r="BR57" s="5">
        <f>IF($C57="Goalkeeper",(BI57-BF57)*5000,0)</f>
        <v>0</v>
      </c>
      <c r="BS57" s="5">
        <f>$AG57</f>
        <v>0</v>
      </c>
      <c r="BT57" s="5">
        <f>$AH57</f>
        <v>0</v>
      </c>
      <c r="BU57" s="5">
        <f>IF(AQ57&gt;0,BE57*10000,0)</f>
        <v>0</v>
      </c>
      <c r="BV57" s="5">
        <f>IF(AQ57&gt;0,BF57*(-8000),0)</f>
        <v>0</v>
      </c>
      <c r="BW57" s="5">
        <f>IFERROR(SUM(BJ57:BV57),0)</f>
        <v>-5000</v>
      </c>
      <c r="BX57" s="5">
        <f>AVERAGE(AK57,BD57,BW57)</f>
        <v>-5000</v>
      </c>
      <c r="BY57" s="5">
        <f>BX57*3</f>
        <v>-15000</v>
      </c>
      <c r="BZ57" s="5">
        <f>INDEX('Team forecast'!$R$3:$BH$26,MATCH($B57,'Team forecast'!$B$3:$B$26,0),MATCH(BZ$1,'Team forecast'!$R$2:$BH$2,0))*($BX57-(BY57+CH57)*0.01)</f>
        <v>-38162.708519046078</v>
      </c>
      <c r="CA57" s="5">
        <f>INDEX('Team forecast'!$R$3:$BH$26,MATCH($B57,'Team forecast'!$B$3:$B$26,0),MATCH(CA$1,'Team forecast'!$R$2:$BH$2,0))*($BX57-(BY57+BX57+CH57)*0.01)</f>
        <v>-19211.968319082654</v>
      </c>
      <c r="CB57" s="5">
        <f>INDEX('Team forecast'!$R$3:$BH$26,MATCH($B57,'Team forecast'!$B$3:$B$26,0),MATCH(CB$1,'Team forecast'!$R$2:$BH$2,0))*($BX57-(BY57+BX57*2+CH57)*0.01)</f>
        <v>-9739.1976274611734</v>
      </c>
      <c r="CC57" s="5">
        <f>INDEX('Team forecast'!$R$3:$BH$26,MATCH($B57,'Team forecast'!$B$3:$B$26,0),MATCH(CC$1,'Team forecast'!$R$2:$BH$2,0))*($BX57-(BY57+BX57*3+CH57)*0.01)</f>
        <v>-5050.5742856105662</v>
      </c>
      <c r="CD57" s="5">
        <f>+AK57+BD57*Cockpit!$C$3+BW57*Cockpit!$C$3^2+BZ57*Cockpit!$C$3^3+CA57*Cockpit!$C$3^4+CB57*Cockpit!$C$3^5+CC57*Cockpit!$C$3^6</f>
        <v>-27383.907002163516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-4.2857142857142859E-3</v>
      </c>
      <c r="CK57" s="5">
        <f>RANK(BY57,$BY$2:$BY$623)+COUNTIF($BY$2:$BY57,$BY57)-1</f>
        <v>433</v>
      </c>
      <c r="CL57" s="5">
        <f>RANK(CJ57,$CJ$2:$CJ$623)+COUNTIF($CJ$2:$CJ57,$CJ57)-1</f>
        <v>456</v>
      </c>
    </row>
    <row r="58" spans="1:90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1.5602309947683257</v>
      </c>
      <c r="I58" s="16">
        <f>INDEX('Team forecast'!$B$2:$AO$26,MATCH('Master data'!$B58,'Team forecast'!$B$2:$B$26,0),MATCH('Master data'!I$1,'Team forecast'!$B$2:$AO$2,0))</f>
        <v>0.84461095835632183</v>
      </c>
      <c r="J58" s="16">
        <f>INDEX('Team forecast'!$B$2:$AO$26,MATCH('Master data'!$B58,'Team forecast'!$B$2:$B$26,0),MATCH('Master data'!J$1,'Team forecast'!$B$2:$AO$2,0))</f>
        <v>0.42972450642313093</v>
      </c>
      <c r="K58" s="16">
        <f>INDEX('Team forecast'!$B$2:$AO$26,MATCH('Master data'!$B58,'Team forecast'!$B$2:$B$26,0),MATCH('Master data'!K$1,'Team forecast'!$B$2:$AO$2,0))</f>
        <v>4.1655927994293096</v>
      </c>
      <c r="L58" s="16">
        <f>INDEX('Team forecast'!$B$2:$AO$26,MATCH('Master data'!$B58,'Team forecast'!$B$2:$B$26,0),MATCH('Master data'!L$1,'Team forecast'!$B$2:$AO$2,0))</f>
        <v>2.7727127420788342</v>
      </c>
      <c r="M58">
        <f>IF(Players!BC59=1,95,0)</f>
        <v>0</v>
      </c>
      <c r="N58" s="2">
        <f>Players!BN59</f>
        <v>0</v>
      </c>
      <c r="O58" s="2">
        <f>Players!BO59</f>
        <v>0</v>
      </c>
      <c r="P58" s="2">
        <f>Players!BP59</f>
        <v>0</v>
      </c>
      <c r="Q58" s="2">
        <f>Players!BQ59</f>
        <v>0.12351326623970722</v>
      </c>
      <c r="R58" s="2">
        <f>Players!BR59</f>
        <v>0</v>
      </c>
      <c r="S58" s="2">
        <f>H58</f>
        <v>1.5602309947683257</v>
      </c>
      <c r="T58" s="2">
        <f>I58</f>
        <v>0.84461095835632183</v>
      </c>
      <c r="U58" s="16">
        <f>INDEX('Team forecast'!$B$2:$AO$26,MATCH('Master data'!$B58,'Team forecast'!$B$2:$B$26,0),MATCH('Master data'!U$1,'Team forecast'!$B$2:$AO$2,0))</f>
        <v>0.58357649020425184</v>
      </c>
      <c r="V58" s="16">
        <f>INDEX('Team forecast'!$B$2:$AO$26,MATCH('Master data'!$B58,'Team forecast'!$B$2:$B$26,0),MATCH('Master data'!V$1,'Team forecast'!$B$2:$AO$2,0))</f>
        <v>0.23634847853272201</v>
      </c>
      <c r="W58" s="16">
        <f>INDEX('Team forecast'!$B$2:$AO$26,MATCH('Master data'!$B58,'Team forecast'!$B$2:$B$26,0),MATCH('Master data'!W$1,'Team forecast'!$B$2:$AO$2,0))</f>
        <v>0.18007503126302629</v>
      </c>
      <c r="X58" s="5">
        <f>IF(M58&gt;95,7000*2,IF(M58&gt;0,7000,-5000))</f>
        <v>-5000</v>
      </c>
      <c r="Y58" s="5">
        <f>IF($X58&gt;0,U58*25000,0)</f>
        <v>0</v>
      </c>
      <c r="Z58" s="5">
        <f>IF($X58&gt;0,V58*5000,0)</f>
        <v>0</v>
      </c>
      <c r="AA58" s="5">
        <f>IF($X58&gt;0,W58*(-15000),0)</f>
        <v>0</v>
      </c>
      <c r="AB58" s="5">
        <f>IF($C58="Defense",$N58*150000,IF($C58="Midfield",$N58*125000,IF($C58="Striker",$N58*100000,0)))*$H58</f>
        <v>0</v>
      </c>
      <c r="AC58" s="5">
        <f>$O58*50000*H58</f>
        <v>0</v>
      </c>
      <c r="AD58" s="5">
        <f>$P58*K58*10000</f>
        <v>0</v>
      </c>
      <c r="AE58" s="5">
        <f>IF($C58="Goalkeeper",J58*75000,IF($C58="Defense",J58*50000,0))</f>
        <v>0</v>
      </c>
      <c r="AF58" s="5">
        <f>IF($C58="Goalkeeper",(L58-I58)*5000,0)</f>
        <v>0</v>
      </c>
      <c r="AG58" s="5">
        <f>IF(M58&gt;0,Q58*(-20000),0)</f>
        <v>0</v>
      </c>
      <c r="AH58" s="5">
        <f>IF(M58&gt;0,R58*(-50000),0)</f>
        <v>0</v>
      </c>
      <c r="AI58" s="5">
        <f>IF(M58&gt;0,S58*10000,0)</f>
        <v>0</v>
      </c>
      <c r="AJ58" s="5">
        <f>IF(M58&gt;0,T58*(-8000),0)</f>
        <v>0</v>
      </c>
      <c r="AK58" s="5">
        <f>IFERROR(SUM(X58:AJ58),-5000)*((Cockpit!$C$3)^0)</f>
        <v>-5000</v>
      </c>
      <c r="AL58" s="16">
        <f>INDEX('Team forecast'!$B$2:$AO$26,MATCH('Master data'!$B58,'Team forecast'!$B$2:$B$26,0),MATCH('Master data'!AL$1,'Team forecast'!$B$2:$AO$2,0))</f>
        <v>1.5279674504451852</v>
      </c>
      <c r="AM58" s="16">
        <f>INDEX('Team forecast'!$B$2:$AO$26,MATCH('Master data'!$B58,'Team forecast'!$B$2:$B$26,0),MATCH('Master data'!AM$1,'Team forecast'!$B$2:$AO$2,0))</f>
        <v>1.1610121970988967</v>
      </c>
      <c r="AN58" s="16">
        <f>INDEX('Team forecast'!$B$2:$AO$26,MATCH('Master data'!$B58,'Team forecast'!$B$2:$B$26,0),MATCH('Master data'!AN$1,'Team forecast'!$B$2:$AO$2,0))</f>
        <v>0.31316903161563348</v>
      </c>
      <c r="AO58" s="16">
        <f>INDEX('Team forecast'!$B$2:$AO$26,MATCH('Master data'!$B58,'Team forecast'!$B$2:$B$26,0),MATCH('Master data'!AO$1,'Team forecast'!$B$2:$AO$2,0))</f>
        <v>4.0794537672172888</v>
      </c>
      <c r="AP58" s="16">
        <f>INDEX('Team forecast'!$B$2:$AO$26,MATCH('Master data'!$B58,'Team forecast'!$B$2:$B$26,0),MATCH('Master data'!AP$1,'Team forecast'!$B$2:$AO$2,0))</f>
        <v>3.8114036773448627</v>
      </c>
      <c r="AQ58" s="5">
        <f>X58</f>
        <v>-5000</v>
      </c>
      <c r="AR58" s="5">
        <f>INDEX('Team forecast'!$B$2:$AO$26,MATCH('Master data'!$B58,'Team forecast'!$B$2:$B$26,0),MATCH('Master data'!AR$1,'Team forecast'!$B$2:$AO$2,0))*IF(X58&gt;0,25000,0)</f>
        <v>0</v>
      </c>
      <c r="AS58" s="16">
        <f>INDEX('Team forecast'!$B$2:$AO$26,MATCH('Master data'!$B58,'Team forecast'!$B$2:$B$26,0),MATCH('Master data'!AS$1,'Team forecast'!$B$2:$AO$2,0))*IF(X58&gt;0,5000,0)</f>
        <v>0</v>
      </c>
      <c r="AT58" s="16">
        <f>INDEX('Team forecast'!$B$2:$AO$26,MATCH('Master data'!$B58,'Team forecast'!$B$2:$B$26,0),MATCH('Master data'!AT$1,'Team forecast'!$B$2:$AO$2,0))*IF(X58&gt;0,-15000,0)</f>
        <v>0</v>
      </c>
      <c r="AU58" s="5">
        <f>IF($C58="Defense",$N58*150000,IF($C58="Midfield",$N58*125000,IF($C58="Striker",$N58*100000,0)))*$AL58</f>
        <v>0</v>
      </c>
      <c r="AV58" s="5">
        <f>$O58*50000*AL58</f>
        <v>0</v>
      </c>
      <c r="AW58" s="5">
        <f>$P58*AO58*10000</f>
        <v>0</v>
      </c>
      <c r="AX58" s="5">
        <f>IF($C58="Goalkeeper",AN58*75000,IF($C58="Defense",AN58*50000,0))</f>
        <v>0</v>
      </c>
      <c r="AY58" s="5">
        <f>IF($C58="Goalkeeper",(AP58-AM58)*5000,0)</f>
        <v>0</v>
      </c>
      <c r="AZ58" s="5">
        <f>$AG58</f>
        <v>0</v>
      </c>
      <c r="BA58" s="5">
        <f>$AH58</f>
        <v>0</v>
      </c>
      <c r="BB58" s="5">
        <f>IF(X58&gt;0,AL58*10000,0)</f>
        <v>0</v>
      </c>
      <c r="BC58" s="5">
        <f>IF(X58&gt;0,AM58*(-8000),0)</f>
        <v>0</v>
      </c>
      <c r="BD58" s="5">
        <f>IFERROR(SUM(AQ58:BC58),0)</f>
        <v>-5000</v>
      </c>
      <c r="BE58" s="16">
        <f>INDEX('Team forecast'!$B$2:$AO$26,MATCH('Master data'!$B58,'Team forecast'!$B$2:$B$26,0),MATCH('Master data'!BE$1,'Team forecast'!$B$2:$AO$2,0))</f>
        <v>2.3394224481215296</v>
      </c>
      <c r="BF58" s="16">
        <f>INDEX('Team forecast'!$B$2:$AO$26,MATCH('Master data'!$B58,'Team forecast'!$B$2:$B$26,0),MATCH('Master data'!BF$1,'Team forecast'!$B$2:$AO$2,0))</f>
        <v>0.62462402002960304</v>
      </c>
      <c r="BG58" s="16">
        <f>INDEX('Team forecast'!$B$2:$AO$26,MATCH('Master data'!$B58,'Team forecast'!$B$2:$B$26,0),MATCH('Master data'!BG$1,'Team forecast'!$B$2:$AO$2,0))</f>
        <v>0.53546271393231015</v>
      </c>
      <c r="BH58" s="16">
        <f>INDEX('Team forecast'!$B$2:$AO$26,MATCH('Master data'!$B58,'Team forecast'!$B$2:$B$26,0),MATCH('Master data'!BH$1,'Team forecast'!$B$2:$AO$2,0))</f>
        <v>6.2459221342192031</v>
      </c>
      <c r="BI58" s="16">
        <f>INDEX('Team forecast'!$B$2:$AO$26,MATCH('Master data'!$B58,'Team forecast'!$B$2:$B$26,0),MATCH('Master data'!BI$1,'Team forecast'!$B$2:$AO$2,0))</f>
        <v>2.0505333990870809</v>
      </c>
      <c r="BJ58" s="5">
        <f>AQ58</f>
        <v>-5000</v>
      </c>
      <c r="BK58" s="5">
        <f>INDEX('Team forecast'!$R$3:$BH$26,MATCH($B58,'Team forecast'!$B$3:$B$26,0),MATCH(BK$1,'Team forecast'!$R$2:$BH$2,0))*IF($X58&gt;0,25000,0)</f>
        <v>0</v>
      </c>
      <c r="BL58" s="5">
        <f>INDEX('Team forecast'!$R$3:$BH$26,MATCH($B58,'Team forecast'!$B$3:$B$26,0),MATCH(BL$1,'Team forecast'!$R$2:$BH$2,0))*IF($X58&gt;0,5000,0)</f>
        <v>0</v>
      </c>
      <c r="BM58" s="5">
        <f>INDEX('Team forecast'!$R$3:$BH$26,MATCH($B58,'Team forecast'!$B$3:$B$26,0),MATCH(BM$1,'Team forecast'!$R$2:$BH$2,0))*IF($X58&gt;0,-15000,0)</f>
        <v>0</v>
      </c>
      <c r="BN58" s="5">
        <f>IF($C58="Defense",$N58*150000,IF($C58="Midfield",$N58*125000,IF($C58="Striker",$N58*100000,0)))*$BE58</f>
        <v>0</v>
      </c>
      <c r="BO58" s="5">
        <f>$O58*50000*$BE58</f>
        <v>0</v>
      </c>
      <c r="BP58" s="5">
        <f>$P58*BH58*10000</f>
        <v>0</v>
      </c>
      <c r="BQ58" s="5">
        <f>IF($C58="Goalkeeper",BG58*75000,IF($C58="Defense",BG58*50000,0))</f>
        <v>0</v>
      </c>
      <c r="BR58" s="5">
        <f>IF($C58="Goalkeeper",(BI58-BF58)*5000,0)</f>
        <v>0</v>
      </c>
      <c r="BS58" s="5">
        <f>$AG58</f>
        <v>0</v>
      </c>
      <c r="BT58" s="5">
        <f>$AH58</f>
        <v>0</v>
      </c>
      <c r="BU58" s="5">
        <f>IF(AQ58&gt;0,BE58*10000,0)</f>
        <v>0</v>
      </c>
      <c r="BV58" s="5">
        <f>IF(AQ58&gt;0,BF58*(-8000),0)</f>
        <v>0</v>
      </c>
      <c r="BW58" s="5">
        <f>IFERROR(SUM(BJ58:BV58),0)</f>
        <v>-5000</v>
      </c>
      <c r="BX58" s="5">
        <f>AVERAGE(AK58,BD58,BW58)</f>
        <v>-5000</v>
      </c>
      <c r="BY58" s="5">
        <f>BX58*3</f>
        <v>-15000</v>
      </c>
      <c r="BZ58" s="5">
        <f>INDEX('Team forecast'!$R$3:$BH$26,MATCH($B58,'Team forecast'!$B$3:$B$26,0),MATCH(BZ$1,'Team forecast'!$R$2:$BH$2,0))*($BX58-(BY58+CH58)*0.01)</f>
        <v>-57315.887198617507</v>
      </c>
      <c r="CA58" s="5">
        <f>INDEX('Team forecast'!$R$3:$BH$26,MATCH($B58,'Team forecast'!$B$3:$B$26,0),MATCH(CA$1,'Team forecast'!$R$2:$BH$2,0))*($BX58-(BY58+BX58+CH58)*0.01)</f>
        <v>-29216.190478739321</v>
      </c>
      <c r="CB58" s="5">
        <f>INDEX('Team forecast'!$R$3:$BH$26,MATCH($B58,'Team forecast'!$B$3:$B$26,0),MATCH(CB$1,'Team forecast'!$R$2:$BH$2,0))*($BX58-(BY58+BX58*2+CH58)*0.01)</f>
        <v>-15143.364946534975</v>
      </c>
      <c r="CC58" s="5">
        <f>INDEX('Team forecast'!$R$3:$BH$26,MATCH($B58,'Team forecast'!$B$3:$B$26,0),MATCH(CC$1,'Team forecast'!$R$2:$BH$2,0))*($BX58-(BY58+BX58*3+CH58)*0.01)</f>
        <v>-8270.7215667659711</v>
      </c>
      <c r="CD58" s="5">
        <f>+AK58+BD58*Cockpit!$C$3+BW58*Cockpit!$C$3^2+BZ58*Cockpit!$C$3^3+CA58*Cockpit!$C$3^4+CB58*Cockpit!$C$3^5+CC58*Cockpit!$C$3^6</f>
        <v>-36029.426994485897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-2.7272727272727275E-3</v>
      </c>
      <c r="CK58" s="5">
        <f>RANK(BY58,$BY$2:$BY$623)+COUNTIF($BY$2:$BY58,$BY58)-1</f>
        <v>434</v>
      </c>
      <c r="CL58" s="5">
        <f>RANK(CJ58,$CJ$2:$CJ$623)+COUNTIF($CJ$2:$CJ58,$CJ58)-1</f>
        <v>424</v>
      </c>
    </row>
    <row r="59" spans="1:90">
      <c r="A59" t="str">
        <f>Players!P60</f>
        <v>Donny van de Beek</v>
      </c>
      <c r="B59" t="str">
        <f>Players!G60</f>
        <v>Netherlands</v>
      </c>
      <c r="C59" t="str">
        <f>Players!AB60</f>
        <v>Midfield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1.5712166996139025</v>
      </c>
      <c r="I59" s="16">
        <f>INDEX('Team forecast'!$B$2:$AO$26,MATCH('Master data'!$B59,'Team forecast'!$B$2:$B$26,0),MATCH('Master data'!I$1,'Team forecast'!$B$2:$AO$2,0))</f>
        <v>0.76028648339757388</v>
      </c>
      <c r="J59" s="16">
        <f>INDEX('Team forecast'!$B$2:$AO$26,MATCH('Master data'!$B59,'Team forecast'!$B$2:$B$26,0),MATCH('Master data'!J$1,'Team forecast'!$B$2:$AO$2,0))</f>
        <v>0.46753246753246752</v>
      </c>
      <c r="K59" s="16">
        <f>INDEX('Team forecast'!$B$2:$AO$26,MATCH('Master data'!$B59,'Team forecast'!$B$2:$B$26,0),MATCH('Master data'!K$1,'Team forecast'!$B$2:$AO$2,0))</f>
        <v>4.4640175390899657</v>
      </c>
      <c r="L59" s="16">
        <f>INDEX('Team forecast'!$B$2:$AO$26,MATCH('Master data'!$B59,'Team forecast'!$B$2:$B$26,0),MATCH('Master data'!L$1,'Team forecast'!$B$2:$AO$2,0))</f>
        <v>2.4958899707496114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8.771929824561403E-2</v>
      </c>
      <c r="R59" s="2">
        <f>Players!BR60</f>
        <v>0</v>
      </c>
      <c r="S59" s="2">
        <f>H59</f>
        <v>1.5712166996139025</v>
      </c>
      <c r="T59" s="2">
        <f>I59</f>
        <v>0.76028648339757388</v>
      </c>
      <c r="U59" s="16">
        <f>INDEX('Team forecast'!$B$2:$AO$26,MATCH('Master data'!$B59,'Team forecast'!$B$2:$B$26,0),MATCH('Master data'!U$1,'Team forecast'!$B$2:$AO$2,0))</f>
        <v>0.58441558441558439</v>
      </c>
      <c r="V59" s="16">
        <f>INDEX('Team forecast'!$B$2:$AO$26,MATCH('Master data'!$B59,'Team forecast'!$B$2:$B$26,0),MATCH('Master data'!V$1,'Team forecast'!$B$2:$AO$2,0))</f>
        <v>0.25974025974025972</v>
      </c>
      <c r="W59" s="16">
        <f>INDEX('Team forecast'!$B$2:$AO$26,MATCH('Master data'!$B59,'Team forecast'!$B$2:$B$26,0),MATCH('Master data'!W$1,'Team forecast'!$B$2:$AO$2,0))</f>
        <v>0.15584415584415581</v>
      </c>
      <c r="X59" s="5">
        <f>IF(M59&gt;95,7000*2,IF(M59&gt;0,7000,-5000))</f>
        <v>-5000</v>
      </c>
      <c r="Y59" s="5">
        <f>IF($X59&gt;0,U59*25000,0)</f>
        <v>0</v>
      </c>
      <c r="Z59" s="5">
        <f>IF($X59&gt;0,V59*5000,0)</f>
        <v>0</v>
      </c>
      <c r="AA59" s="5">
        <f>IF($X59&gt;0,W59*(-15000),0)</f>
        <v>0</v>
      </c>
      <c r="AB59" s="5">
        <f>IF($C59="Defense",$N59*150000,IF($C59="Midfield",$N59*125000,IF($C59="Striker",$N59*100000,0)))*$H59</f>
        <v>0</v>
      </c>
      <c r="AC59" s="5">
        <f>$O59*50000*H59</f>
        <v>0</v>
      </c>
      <c r="AD59" s="5">
        <f>$P59*K59*10000</f>
        <v>0</v>
      </c>
      <c r="AE59" s="5">
        <f>IF($C59="Goalkeeper",J59*75000,IF($C59="Defense",J59*50000,0))</f>
        <v>0</v>
      </c>
      <c r="AF59" s="5">
        <f>IF($C59="Goalkeeper",(L59-I59)*5000,0)</f>
        <v>0</v>
      </c>
      <c r="AG59" s="5">
        <f>IF(M59&gt;0,Q59*(-20000),0)</f>
        <v>0</v>
      </c>
      <c r="AH59" s="5">
        <f>IF(M59&gt;0,R59*(-50000),0)</f>
        <v>0</v>
      </c>
      <c r="AI59" s="5">
        <f>IF(M59&gt;0,S59*10000,0)</f>
        <v>0</v>
      </c>
      <c r="AJ59" s="5">
        <f>IF(M59&gt;0,T59*(-8000),0)</f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1.8476112368050062</v>
      </c>
      <c r="AM59" s="16">
        <f>INDEX('Team forecast'!$B$2:$AO$26,MATCH('Master data'!$B59,'Team forecast'!$B$2:$B$26,0),MATCH('Master data'!AM$1,'Team forecast'!$B$2:$AO$2,0))</f>
        <v>0.7977891123063281</v>
      </c>
      <c r="AN59" s="16">
        <f>INDEX('Team forecast'!$B$2:$AO$26,MATCH('Master data'!$B59,'Team forecast'!$B$2:$B$26,0),MATCH('Master data'!AN$1,'Team forecast'!$B$2:$AO$2,0))</f>
        <v>0.45032347896962183</v>
      </c>
      <c r="AO59" s="16">
        <f>INDEX('Team forecast'!$B$2:$AO$26,MATCH('Master data'!$B59,'Team forecast'!$B$2:$B$26,0),MATCH('Master data'!AO$1,'Team forecast'!$B$2:$AO$2,0))</f>
        <v>5.2492879998945963</v>
      </c>
      <c r="AP59" s="16">
        <f>INDEX('Team forecast'!$B$2:$AO$26,MATCH('Master data'!$B59,'Team forecast'!$B$2:$B$26,0),MATCH('Master data'!AP$1,'Team forecast'!$B$2:$AO$2,0))</f>
        <v>2.6190046616116831</v>
      </c>
      <c r="AQ59" s="5">
        <f>X59</f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>IF($C59="Defense",$N59*150000,IF($C59="Midfield",$N59*125000,IF($C59="Striker",$N59*100000,0)))*$AL59</f>
        <v>0</v>
      </c>
      <c r="AV59" s="5">
        <f>$O59*50000*AL59</f>
        <v>0</v>
      </c>
      <c r="AW59" s="5">
        <f>$P59*AO59*10000</f>
        <v>0</v>
      </c>
      <c r="AX59" s="5">
        <f>IF($C59="Goalkeeper",AN59*75000,IF($C59="Defense",AN59*50000,0))</f>
        <v>0</v>
      </c>
      <c r="AY59" s="5">
        <f>IF($C59="Goalkeeper",(AP59-AM59)*5000,0)</f>
        <v>0</v>
      </c>
      <c r="AZ59" s="5">
        <f>$AG59</f>
        <v>0</v>
      </c>
      <c r="BA59" s="5">
        <f>$AH59</f>
        <v>0</v>
      </c>
      <c r="BB59" s="5">
        <f>IF(X59&gt;0,AL59*10000,0)</f>
        <v>0</v>
      </c>
      <c r="BC59" s="5">
        <f>IF(X59&gt;0,AM59*(-8000),0)</f>
        <v>0</v>
      </c>
      <c r="BD59" s="5">
        <f>IFERROR(SUM(AQ59:BC59),0)</f>
        <v>-5000</v>
      </c>
      <c r="BE59" s="16">
        <f>INDEX('Team forecast'!$B$2:$AO$26,MATCH('Master data'!$B59,'Team forecast'!$B$2:$B$26,0),MATCH('Master data'!BE$1,'Team forecast'!$B$2:$AO$2,0))</f>
        <v>2.3683451623921505</v>
      </c>
      <c r="BF59" s="16">
        <f>INDEX('Team forecast'!$B$2:$AO$26,MATCH('Master data'!$B59,'Team forecast'!$B$2:$B$26,0),MATCH('Master data'!BF$1,'Team forecast'!$B$2:$AO$2,0))</f>
        <v>0.49102780480244929</v>
      </c>
      <c r="BG59" s="16">
        <f>INDEX('Team forecast'!$B$2:$AO$26,MATCH('Master data'!$B59,'Team forecast'!$B$2:$B$26,0),MATCH('Master data'!BG$1,'Team forecast'!$B$2:$AO$2,0))</f>
        <v>0.61199705730750009</v>
      </c>
      <c r="BH59" s="16">
        <f>INDEX('Team forecast'!$B$2:$AO$26,MATCH('Master data'!$B59,'Team forecast'!$B$2:$B$26,0),MATCH('Master data'!BH$1,'Team forecast'!$B$2:$AO$2,0))</f>
        <v>6.7287563492262965</v>
      </c>
      <c r="BI59" s="16">
        <f>INDEX('Team forecast'!$B$2:$AO$26,MATCH('Master data'!$B59,'Team forecast'!$B$2:$B$26,0),MATCH('Master data'!BI$1,'Team forecast'!$B$2:$AO$2,0))</f>
        <v>1.6119599652605658</v>
      </c>
      <c r="BJ59" s="5">
        <f>AQ59</f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>IF($C59="Defense",$N59*150000,IF($C59="Midfield",$N59*125000,IF($C59="Striker",$N59*100000,0)))*$BE59</f>
        <v>0</v>
      </c>
      <c r="BO59" s="5">
        <f>$O59*50000*$BE59</f>
        <v>0</v>
      </c>
      <c r="BP59" s="5">
        <f>$P59*BH59*10000</f>
        <v>0</v>
      </c>
      <c r="BQ59" s="5">
        <f>IF($C59="Goalkeeper",BG59*75000,IF($C59="Defense",BG59*50000,0))</f>
        <v>0</v>
      </c>
      <c r="BR59" s="5">
        <f>IF($C59="Goalkeeper",(BI59-BF59)*5000,0)</f>
        <v>0</v>
      </c>
      <c r="BS59" s="5">
        <f>$AG59</f>
        <v>0</v>
      </c>
      <c r="BT59" s="5">
        <f>$AH59</f>
        <v>0</v>
      </c>
      <c r="BU59" s="5">
        <f>IF(AQ59&gt;0,BE59*10000,0)</f>
        <v>0</v>
      </c>
      <c r="BV59" s="5">
        <f>IF(AQ59&gt;0,BF59*(-8000),0)</f>
        <v>0</v>
      </c>
      <c r="BW59" s="5">
        <f>IFERROR(SUM(BJ59:BV59),0)</f>
        <v>-5000</v>
      </c>
      <c r="BX59" s="5">
        <f>AVERAGE(AK59,BD59,BW59)</f>
        <v>-5000</v>
      </c>
      <c r="BY59" s="5">
        <f>BX59*3</f>
        <v>-15000</v>
      </c>
      <c r="BZ59" s="5">
        <f>INDEX('Team forecast'!$R$3:$BH$26,MATCH($B59,'Team forecast'!$B$3:$B$26,0),MATCH(BZ$1,'Team forecast'!$R$2:$BH$2,0))*($BX59-(BY59+CH59)*0.01)</f>
        <v>-43360.060362166922</v>
      </c>
      <c r="CA59" s="5">
        <f>INDEX('Team forecast'!$R$3:$BH$26,MATCH($B59,'Team forecast'!$B$3:$B$26,0),MATCH(CA$1,'Team forecast'!$R$2:$BH$2,0))*($BX59-(BY59+BX59+CH59)*0.01)</f>
        <v>-21645.734234231637</v>
      </c>
      <c r="CB59" s="5">
        <f>INDEX('Team forecast'!$R$3:$BH$26,MATCH($B59,'Team forecast'!$B$3:$B$26,0),MATCH(CB$1,'Team forecast'!$R$2:$BH$2,0))*($BX59-(BY59+BX59*2+CH59)*0.01)</f>
        <v>-10801.267876004487</v>
      </c>
      <c r="CC59" s="5">
        <f>INDEX('Team forecast'!$R$3:$BH$26,MATCH($B59,'Team forecast'!$B$3:$B$26,0),MATCH(CC$1,'Team forecast'!$R$2:$BH$2,0))*($BX59-(BY59+BX59*3+CH59)*0.01)</f>
        <v>-5382.3374455553312</v>
      </c>
      <c r="CD59" s="5">
        <f>+AK59+BD59*Cockpit!$C$3+BW59*Cockpit!$C$3^2+BZ59*Cockpit!$C$3^3+CA59*Cockpit!$C$3^4+CB59*Cockpit!$C$3^5+CC59*Cockpit!$C$3^6</f>
        <v>-29573.594074855118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-3.7499999999999999E-3</v>
      </c>
      <c r="CK59" s="5">
        <f>RANK(BY59,$BY$2:$BY$623)+COUNTIF($BY$2:$BY59,$BY59)-1</f>
        <v>435</v>
      </c>
      <c r="CL59" s="5">
        <f>RANK(CJ59,$CJ$2:$CJ$623)+COUNTIF($CJ$2:$CJ59,$CJ59)-1</f>
        <v>438</v>
      </c>
    </row>
    <row r="60" spans="1:90">
      <c r="A60" t="str">
        <f>Players!P61</f>
        <v>Donyell Malen</v>
      </c>
      <c r="B60" t="str">
        <f>Players!G61</f>
        <v>Netherlands</v>
      </c>
      <c r="C60" t="str">
        <f>Players!AB61</f>
        <v>Striker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4000000</v>
      </c>
      <c r="H60" s="16">
        <f>INDEX('Team forecast'!$B$2:$AO$26,MATCH('Master data'!$B60,'Team forecast'!$B$2:$B$26,0),MATCH('Master data'!H$1,'Team forecast'!$B$2:$AO$2,0))</f>
        <v>1.5712166996139025</v>
      </c>
      <c r="I60" s="16">
        <f>INDEX('Team forecast'!$B$2:$AO$26,MATCH('Master data'!$B60,'Team forecast'!$B$2:$B$26,0),MATCH('Master data'!I$1,'Team forecast'!$B$2:$AO$2,0))</f>
        <v>0.76028648339757388</v>
      </c>
      <c r="J60" s="16">
        <f>INDEX('Team forecast'!$B$2:$AO$26,MATCH('Master data'!$B60,'Team forecast'!$B$2:$B$26,0),MATCH('Master data'!J$1,'Team forecast'!$B$2:$AO$2,0))</f>
        <v>0.46753246753246752</v>
      </c>
      <c r="K60" s="16">
        <f>INDEX('Team forecast'!$B$2:$AO$26,MATCH('Master data'!$B60,'Team forecast'!$B$2:$B$26,0),MATCH('Master data'!K$1,'Team forecast'!$B$2:$AO$2,0))</f>
        <v>4.4640175390899657</v>
      </c>
      <c r="L60" s="16">
        <f>INDEX('Team forecast'!$B$2:$AO$26,MATCH('Master data'!$B60,'Team forecast'!$B$2:$B$26,0),MATCH('Master data'!L$1,'Team forecast'!$B$2:$AO$2,0))</f>
        <v>2.4958899707496114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0</v>
      </c>
      <c r="R60" s="2">
        <f>Players!BR61</f>
        <v>0</v>
      </c>
      <c r="S60" s="2">
        <f>H60</f>
        <v>1.5712166996139025</v>
      </c>
      <c r="T60" s="2">
        <f>I60</f>
        <v>0.76028648339757388</v>
      </c>
      <c r="U60" s="16">
        <f>INDEX('Team forecast'!$B$2:$AO$26,MATCH('Master data'!$B60,'Team forecast'!$B$2:$B$26,0),MATCH('Master data'!U$1,'Team forecast'!$B$2:$AO$2,0))</f>
        <v>0.58441558441558439</v>
      </c>
      <c r="V60" s="16">
        <f>INDEX('Team forecast'!$B$2:$AO$26,MATCH('Master data'!$B60,'Team forecast'!$B$2:$B$26,0),MATCH('Master data'!V$1,'Team forecast'!$B$2:$AO$2,0))</f>
        <v>0.25974025974025972</v>
      </c>
      <c r="W60" s="16">
        <f>INDEX('Team forecast'!$B$2:$AO$26,MATCH('Master data'!$B60,'Team forecast'!$B$2:$B$26,0),MATCH('Master data'!W$1,'Team forecast'!$B$2:$AO$2,0))</f>
        <v>0.15584415584415581</v>
      </c>
      <c r="X60" s="5">
        <f>IF(M60&gt;95,7000*2,IF(M60&gt;0,7000,-5000))</f>
        <v>-5000</v>
      </c>
      <c r="Y60" s="5">
        <f>IF($X60&gt;0,U60*25000,0)</f>
        <v>0</v>
      </c>
      <c r="Z60" s="5">
        <f>IF($X60&gt;0,V60*5000,0)</f>
        <v>0</v>
      </c>
      <c r="AA60" s="5">
        <f>IF($X60&gt;0,W60*(-15000),0)</f>
        <v>0</v>
      </c>
      <c r="AB60" s="5">
        <f>IF($C60="Defense",$N60*150000,IF($C60="Midfield",$N60*125000,IF($C60="Striker",$N60*100000,0)))*$H60</f>
        <v>0</v>
      </c>
      <c r="AC60" s="5">
        <f>$O60*50000*H60</f>
        <v>0</v>
      </c>
      <c r="AD60" s="5">
        <f>$P60*K60*10000</f>
        <v>0</v>
      </c>
      <c r="AE60" s="5">
        <f>IF($C60="Goalkeeper",J60*75000,IF($C60="Defense",J60*50000,0))</f>
        <v>0</v>
      </c>
      <c r="AF60" s="5">
        <f>IF($C60="Goalkeeper",(L60-I60)*5000,0)</f>
        <v>0</v>
      </c>
      <c r="AG60" s="5">
        <f>IF(M60&gt;0,Q60*(-20000),0)</f>
        <v>0</v>
      </c>
      <c r="AH60" s="5">
        <f>IF(M60&gt;0,R60*(-50000),0)</f>
        <v>0</v>
      </c>
      <c r="AI60" s="5">
        <f>IF(M60&gt;0,S60*10000,0)</f>
        <v>0</v>
      </c>
      <c r="AJ60" s="5">
        <f>IF(M60&gt;0,T60*(-8000),0)</f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1.8476112368050062</v>
      </c>
      <c r="AM60" s="16">
        <f>INDEX('Team forecast'!$B$2:$AO$26,MATCH('Master data'!$B60,'Team forecast'!$B$2:$B$26,0),MATCH('Master data'!AM$1,'Team forecast'!$B$2:$AO$2,0))</f>
        <v>0.7977891123063281</v>
      </c>
      <c r="AN60" s="16">
        <f>INDEX('Team forecast'!$B$2:$AO$26,MATCH('Master data'!$B60,'Team forecast'!$B$2:$B$26,0),MATCH('Master data'!AN$1,'Team forecast'!$B$2:$AO$2,0))</f>
        <v>0.45032347896962183</v>
      </c>
      <c r="AO60" s="16">
        <f>INDEX('Team forecast'!$B$2:$AO$26,MATCH('Master data'!$B60,'Team forecast'!$B$2:$B$26,0),MATCH('Master data'!AO$1,'Team forecast'!$B$2:$AO$2,0))</f>
        <v>5.2492879998945963</v>
      </c>
      <c r="AP60" s="16">
        <f>INDEX('Team forecast'!$B$2:$AO$26,MATCH('Master data'!$B60,'Team forecast'!$B$2:$B$26,0),MATCH('Master data'!AP$1,'Team forecast'!$B$2:$AO$2,0))</f>
        <v>2.6190046616116831</v>
      </c>
      <c r="AQ60" s="5">
        <f>X60</f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>IF($C60="Defense",$N60*150000,IF($C60="Midfield",$N60*125000,IF($C60="Striker",$N60*100000,0)))*$AL60</f>
        <v>0</v>
      </c>
      <c r="AV60" s="5">
        <f>$O60*50000*AL60</f>
        <v>0</v>
      </c>
      <c r="AW60" s="5">
        <f>$P60*AO60*10000</f>
        <v>0</v>
      </c>
      <c r="AX60" s="5">
        <f>IF($C60="Goalkeeper",AN60*75000,IF($C60="Defense",AN60*50000,0))</f>
        <v>0</v>
      </c>
      <c r="AY60" s="5">
        <f>IF($C60="Goalkeeper",(AP60-AM60)*5000,0)</f>
        <v>0</v>
      </c>
      <c r="AZ60" s="5">
        <f>$AG60</f>
        <v>0</v>
      </c>
      <c r="BA60" s="5">
        <f>$AH60</f>
        <v>0</v>
      </c>
      <c r="BB60" s="5">
        <f>IF(X60&gt;0,AL60*10000,0)</f>
        <v>0</v>
      </c>
      <c r="BC60" s="5">
        <f>IF(X60&gt;0,AM60*(-8000),0)</f>
        <v>0</v>
      </c>
      <c r="BD60" s="5">
        <f>IFERROR(SUM(AQ60:BC60),0)</f>
        <v>-5000</v>
      </c>
      <c r="BE60" s="16">
        <f>INDEX('Team forecast'!$B$2:$AO$26,MATCH('Master data'!$B60,'Team forecast'!$B$2:$B$26,0),MATCH('Master data'!BE$1,'Team forecast'!$B$2:$AO$2,0))</f>
        <v>2.3683451623921505</v>
      </c>
      <c r="BF60" s="16">
        <f>INDEX('Team forecast'!$B$2:$AO$26,MATCH('Master data'!$B60,'Team forecast'!$B$2:$B$26,0),MATCH('Master data'!BF$1,'Team forecast'!$B$2:$AO$2,0))</f>
        <v>0.49102780480244929</v>
      </c>
      <c r="BG60" s="16">
        <f>INDEX('Team forecast'!$B$2:$AO$26,MATCH('Master data'!$B60,'Team forecast'!$B$2:$B$26,0),MATCH('Master data'!BG$1,'Team forecast'!$B$2:$AO$2,0))</f>
        <v>0.61199705730750009</v>
      </c>
      <c r="BH60" s="16">
        <f>INDEX('Team forecast'!$B$2:$AO$26,MATCH('Master data'!$B60,'Team forecast'!$B$2:$B$26,0),MATCH('Master data'!BH$1,'Team forecast'!$B$2:$AO$2,0))</f>
        <v>6.7287563492262965</v>
      </c>
      <c r="BI60" s="16">
        <f>INDEX('Team forecast'!$B$2:$AO$26,MATCH('Master data'!$B60,'Team forecast'!$B$2:$B$26,0),MATCH('Master data'!BI$1,'Team forecast'!$B$2:$AO$2,0))</f>
        <v>1.6119599652605658</v>
      </c>
      <c r="BJ60" s="5">
        <f>AQ60</f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>IF($C60="Defense",$N60*150000,IF($C60="Midfield",$N60*125000,IF($C60="Striker",$N60*100000,0)))*$BE60</f>
        <v>0</v>
      </c>
      <c r="BO60" s="5">
        <f>$O60*50000*$BE60</f>
        <v>0</v>
      </c>
      <c r="BP60" s="5">
        <f>$P60*BH60*10000</f>
        <v>0</v>
      </c>
      <c r="BQ60" s="5">
        <f>IF($C60="Goalkeeper",BG60*75000,IF($C60="Defense",BG60*50000,0))</f>
        <v>0</v>
      </c>
      <c r="BR60" s="5">
        <f>IF($C60="Goalkeeper",(BI60-BF60)*5000,0)</f>
        <v>0</v>
      </c>
      <c r="BS60" s="5">
        <f>$AG60</f>
        <v>0</v>
      </c>
      <c r="BT60" s="5">
        <f>$AH60</f>
        <v>0</v>
      </c>
      <c r="BU60" s="5">
        <f>IF(AQ60&gt;0,BE60*10000,0)</f>
        <v>0</v>
      </c>
      <c r="BV60" s="5">
        <f>IF(AQ60&gt;0,BF60*(-8000),0)</f>
        <v>0</v>
      </c>
      <c r="BW60" s="5">
        <f>IFERROR(SUM(BJ60:BV60),0)</f>
        <v>-5000</v>
      </c>
      <c r="BX60" s="5">
        <f>AVERAGE(AK60,BD60,BW60)</f>
        <v>-5000</v>
      </c>
      <c r="BY60" s="5">
        <f>BX60*3</f>
        <v>-15000</v>
      </c>
      <c r="BZ60" s="5">
        <f>INDEX('Team forecast'!$R$3:$BH$26,MATCH($B60,'Team forecast'!$B$3:$B$26,0),MATCH(BZ$1,'Team forecast'!$R$2:$BH$2,0))*($BX60-(BY60+CH60)*0.01)</f>
        <v>-43360.060362166922</v>
      </c>
      <c r="CA60" s="5">
        <f>INDEX('Team forecast'!$R$3:$BH$26,MATCH($B60,'Team forecast'!$B$3:$B$26,0),MATCH(CA$1,'Team forecast'!$R$2:$BH$2,0))*($BX60-(BY60+BX60+CH60)*0.01)</f>
        <v>-21645.734234231637</v>
      </c>
      <c r="CB60" s="5">
        <f>INDEX('Team forecast'!$R$3:$BH$26,MATCH($B60,'Team forecast'!$B$3:$B$26,0),MATCH(CB$1,'Team forecast'!$R$2:$BH$2,0))*($BX60-(BY60+BX60*2+CH60)*0.01)</f>
        <v>-10801.267876004487</v>
      </c>
      <c r="CC60" s="5">
        <f>INDEX('Team forecast'!$R$3:$BH$26,MATCH($B60,'Team forecast'!$B$3:$B$26,0),MATCH(CC$1,'Team forecast'!$R$2:$BH$2,0))*($BX60-(BY60+BX60*3+CH60)*0.01)</f>
        <v>-5382.3374455553312</v>
      </c>
      <c r="CD60" s="5">
        <f>+AK60+BD60*Cockpit!$C$3+BW60*Cockpit!$C$3^2+BZ60*Cockpit!$C$3^3+CA60*Cockpit!$C$3^4+CB60*Cockpit!$C$3^5+CC60*Cockpit!$C$3^6</f>
        <v>-29573.594074855118</v>
      </c>
      <c r="CE60" s="5"/>
      <c r="CF60" s="5"/>
      <c r="CG60" s="5">
        <v>0</v>
      </c>
      <c r="CH60" s="5">
        <f t="shared" si="43"/>
        <v>4000000</v>
      </c>
      <c r="CI60" s="5">
        <f t="shared" si="44"/>
        <v>4000000</v>
      </c>
      <c r="CJ60" s="1">
        <f t="shared" si="45"/>
        <v>-3.7499999999999999E-3</v>
      </c>
      <c r="CK60" s="5">
        <f>RANK(BY60,$BY$2:$BY$623)+COUNTIF($BY$2:$BY60,$BY60)-1</f>
        <v>436</v>
      </c>
      <c r="CL60" s="5">
        <f>RANK(CJ60,$CJ$2:$CJ$623)+COUNTIF($CJ$2:$CJ60,$CJ60)-1</f>
        <v>439</v>
      </c>
    </row>
    <row r="61" spans="1:90">
      <c r="A61" t="str">
        <f>Players!P62</f>
        <v>Leon Goretzka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1.2386203137003762</v>
      </c>
      <c r="I61" s="16">
        <f>INDEX('Team forecast'!$B$2:$AO$26,MATCH('Master data'!$B61,'Team forecast'!$B$2:$B$26,0),MATCH('Master data'!I$1,'Team forecast'!$B$2:$AO$2,0))</f>
        <v>1.2386203137003762</v>
      </c>
      <c r="J61" s="16">
        <f>INDEX('Team forecast'!$B$2:$AO$26,MATCH('Master data'!$B61,'Team forecast'!$B$2:$B$26,0),MATCH('Master data'!J$1,'Team forecast'!$B$2:$AO$2,0))</f>
        <v>0.28978375293296982</v>
      </c>
      <c r="K61" s="16">
        <f>INDEX('Team forecast'!$B$2:$AO$26,MATCH('Master data'!$B61,'Team forecast'!$B$2:$B$26,0),MATCH('Master data'!K$1,'Team forecast'!$B$2:$AO$2,0))</f>
        <v>3.2490442399577706</v>
      </c>
      <c r="L61" s="16">
        <f>INDEX('Team forecast'!$B$2:$AO$26,MATCH('Master data'!$B61,'Team forecast'!$B$2:$B$26,0),MATCH('Master data'!L$1,'Team forecast'!$B$2:$AO$2,0))</f>
        <v>3.2998357975681776</v>
      </c>
      <c r="M61">
        <f>IF(Players!BC62=1,95,0)</f>
        <v>0</v>
      </c>
      <c r="N61" s="2">
        <f>Players!BN62</f>
        <v>0</v>
      </c>
      <c r="O61" s="2">
        <f>Players!BO62</f>
        <v>0</v>
      </c>
      <c r="P61" s="2">
        <f>Players!BP62</f>
        <v>0</v>
      </c>
      <c r="Q61" s="2">
        <f>Players!BQ62</f>
        <v>5.2785923753665691E-2</v>
      </c>
      <c r="R61" s="2">
        <f>Players!BR62</f>
        <v>0</v>
      </c>
      <c r="S61" s="2">
        <f>H61</f>
        <v>1.2386203137003762</v>
      </c>
      <c r="T61" s="2">
        <f>I61</f>
        <v>1.2386203137003762</v>
      </c>
      <c r="U61" s="16">
        <f>INDEX('Team forecast'!$B$2:$AO$26,MATCH('Master data'!$B61,'Team forecast'!$B$2:$B$26,0),MATCH('Master data'!U$1,'Team forecast'!$B$2:$AO$2,0))</f>
        <v>0.33635614179719708</v>
      </c>
      <c r="V61" s="16">
        <f>INDEX('Team forecast'!$B$2:$AO$26,MATCH('Master data'!$B61,'Team forecast'!$B$2:$B$26,0),MATCH('Master data'!V$1,'Team forecast'!$B$2:$AO$2,0))</f>
        <v>0.29431162407254741</v>
      </c>
      <c r="W61" s="16">
        <f>INDEX('Team forecast'!$B$2:$AO$26,MATCH('Master data'!$B61,'Team forecast'!$B$2:$B$26,0),MATCH('Master data'!W$1,'Team forecast'!$B$2:$AO$2,0))</f>
        <v>0.36933223413025562</v>
      </c>
      <c r="X61" s="5">
        <f>IF(M61&gt;95,7000*2,IF(M61&gt;0,7000,-5000))</f>
        <v>-5000</v>
      </c>
      <c r="Y61" s="5">
        <f>IF($X61&gt;0,U61*25000,0)</f>
        <v>0</v>
      </c>
      <c r="Z61" s="5">
        <f>IF($X61&gt;0,V61*5000,0)</f>
        <v>0</v>
      </c>
      <c r="AA61" s="5">
        <f>IF($X61&gt;0,W61*(-15000),0)</f>
        <v>0</v>
      </c>
      <c r="AB61" s="5">
        <f>IF($C61="Defense",$N61*150000,IF($C61="Midfield",$N61*125000,IF($C61="Striker",$N61*100000,0)))*$H61</f>
        <v>0</v>
      </c>
      <c r="AC61" s="5">
        <f>$O61*50000*H61</f>
        <v>0</v>
      </c>
      <c r="AD61" s="5">
        <f>$P61*K61*10000</f>
        <v>0</v>
      </c>
      <c r="AE61" s="5">
        <f>IF($C61="Goalkeeper",J61*75000,IF($C61="Defense",J61*50000,0))</f>
        <v>0</v>
      </c>
      <c r="AF61" s="5">
        <f>IF($C61="Goalkeeper",(L61-I61)*5000,0)</f>
        <v>0</v>
      </c>
      <c r="AG61" s="5">
        <f>IF(M61&gt;0,Q61*(-20000),0)</f>
        <v>0</v>
      </c>
      <c r="AH61" s="5">
        <f>IF(M61&gt;0,R61*(-50000),0)</f>
        <v>0</v>
      </c>
      <c r="AI61" s="5">
        <f>IF(M61&gt;0,S61*10000,0)</f>
        <v>0</v>
      </c>
      <c r="AJ61" s="5">
        <f>IF(M61&gt;0,T61*(-8000),0)</f>
        <v>0</v>
      </c>
      <c r="AK61" s="5">
        <f>IFERROR(SUM(X61:AJ61),-5000)*((Cockpit!$C$3)^0)</f>
        <v>-5000</v>
      </c>
      <c r="AL61" s="16">
        <f>INDEX('Team forecast'!$B$2:$AO$26,MATCH('Master data'!$B61,'Team forecast'!$B$2:$B$26,0),MATCH('Master data'!AL$1,'Team forecast'!$B$2:$AO$2,0))</f>
        <v>1.384389503157577</v>
      </c>
      <c r="AM61" s="16">
        <f>INDEX('Team forecast'!$B$2:$AO$26,MATCH('Master data'!$B61,'Team forecast'!$B$2:$B$26,0),MATCH('Master data'!AM$1,'Team forecast'!$B$2:$AO$2,0))</f>
        <v>1.1612459518433673</v>
      </c>
      <c r="AN61" s="16">
        <f>INDEX('Team forecast'!$B$2:$AO$26,MATCH('Master data'!$B61,'Team forecast'!$B$2:$B$26,0),MATCH('Master data'!AN$1,'Team forecast'!$B$2:$AO$2,0))</f>
        <v>0.31309583542398389</v>
      </c>
      <c r="AO61" s="16">
        <f>INDEX('Team forecast'!$B$2:$AO$26,MATCH('Master data'!$B61,'Team forecast'!$B$2:$B$26,0),MATCH('Master data'!AO$1,'Team forecast'!$B$2:$AO$2,0))</f>
        <v>3.6314136715992724</v>
      </c>
      <c r="AP61" s="16">
        <f>INDEX('Team forecast'!$B$2:$AO$26,MATCH('Master data'!$B61,'Team forecast'!$B$2:$B$26,0),MATCH('Master data'!AP$1,'Team forecast'!$B$2:$AO$2,0))</f>
        <v>3.0937010472773676</v>
      </c>
      <c r="AQ61" s="5">
        <f>X61</f>
        <v>-5000</v>
      </c>
      <c r="AR61" s="5">
        <f>INDEX('Team forecast'!$B$2:$AO$26,MATCH('Master data'!$B61,'Team forecast'!$B$2:$B$26,0),MATCH('Master data'!AR$1,'Team forecast'!$B$2:$AO$2,0))*IF(X61&gt;0,25000,0)</f>
        <v>0</v>
      </c>
      <c r="AS61" s="16">
        <f>INDEX('Team forecast'!$B$2:$AO$26,MATCH('Master data'!$B61,'Team forecast'!$B$2:$B$26,0),MATCH('Master data'!AS$1,'Team forecast'!$B$2:$AO$2,0))*IF(X61&gt;0,5000,0)</f>
        <v>0</v>
      </c>
      <c r="AT61" s="16">
        <f>INDEX('Team forecast'!$B$2:$AO$26,MATCH('Master data'!$B61,'Team forecast'!$B$2:$B$26,0),MATCH('Master data'!AT$1,'Team forecast'!$B$2:$AO$2,0))*IF(X61&gt;0,-15000,0)</f>
        <v>0</v>
      </c>
      <c r="AU61" s="5">
        <f>IF($C61="Defense",$N61*150000,IF($C61="Midfield",$N61*125000,IF($C61="Striker",$N61*100000,0)))*$AL61</f>
        <v>0</v>
      </c>
      <c r="AV61" s="5">
        <f>$O61*50000*AL61</f>
        <v>0</v>
      </c>
      <c r="AW61" s="5">
        <f>$P61*AO61*10000</f>
        <v>0</v>
      </c>
      <c r="AX61" s="5">
        <f>IF($C61="Goalkeeper",AN61*75000,IF($C61="Defense",AN61*50000,0))</f>
        <v>0</v>
      </c>
      <c r="AY61" s="5">
        <f>IF($C61="Goalkeeper",(AP61-AM61)*5000,0)</f>
        <v>0</v>
      </c>
      <c r="AZ61" s="5">
        <f>$AG61</f>
        <v>0</v>
      </c>
      <c r="BA61" s="5">
        <f>$AH61</f>
        <v>0</v>
      </c>
      <c r="BB61" s="5">
        <f>IF(X61&gt;0,AL61*10000,0)</f>
        <v>0</v>
      </c>
      <c r="BC61" s="5">
        <f>IF(X61&gt;0,AM61*(-8000),0)</f>
        <v>0</v>
      </c>
      <c r="BD61" s="5">
        <f>IFERROR(SUM(AQ61:BC61),0)</f>
        <v>-5000</v>
      </c>
      <c r="BE61" s="16">
        <f>INDEX('Team forecast'!$B$2:$AO$26,MATCH('Master data'!$B61,'Team forecast'!$B$2:$B$26,0),MATCH('Master data'!BE$1,'Team forecast'!$B$2:$AO$2,0))</f>
        <v>2.4374022591536644</v>
      </c>
      <c r="BF61" s="16">
        <f>INDEX('Team forecast'!$B$2:$AO$26,MATCH('Master data'!$B61,'Team forecast'!$B$2:$B$26,0),MATCH('Master data'!BF$1,'Team forecast'!$B$2:$AO$2,0))</f>
        <v>0.68661022841383224</v>
      </c>
      <c r="BG61" s="16">
        <f>INDEX('Team forecast'!$B$2:$AO$26,MATCH('Master data'!$B61,'Team forecast'!$B$2:$B$26,0),MATCH('Master data'!BG$1,'Team forecast'!$B$2:$AO$2,0))</f>
        <v>0.50327918232493496</v>
      </c>
      <c r="BH61" s="16">
        <f>INDEX('Team forecast'!$B$2:$AO$26,MATCH('Master data'!$B61,'Team forecast'!$B$2:$B$26,0),MATCH('Master data'!BH$1,'Team forecast'!$B$2:$AO$2,0))</f>
        <v>6.3935878355689084</v>
      </c>
      <c r="BI61" s="16">
        <f>INDEX('Team forecast'!$B$2:$AO$26,MATCH('Master data'!$B61,'Team forecast'!$B$2:$B$26,0),MATCH('Master data'!BI$1,'Team forecast'!$B$2:$AO$2,0))</f>
        <v>1.8292135092857056</v>
      </c>
      <c r="BJ61" s="5">
        <f>AQ61</f>
        <v>-5000</v>
      </c>
      <c r="BK61" s="5">
        <f>INDEX('Team forecast'!$R$3:$BH$26,MATCH($B61,'Team forecast'!$B$3:$B$26,0),MATCH(BK$1,'Team forecast'!$R$2:$BH$2,0))*IF($X61&gt;0,25000,0)</f>
        <v>0</v>
      </c>
      <c r="BL61" s="5">
        <f>INDEX('Team forecast'!$R$3:$BH$26,MATCH($B61,'Team forecast'!$B$3:$B$26,0),MATCH(BL$1,'Team forecast'!$R$2:$BH$2,0))*IF($X61&gt;0,5000,0)</f>
        <v>0</v>
      </c>
      <c r="BM61" s="5">
        <f>INDEX('Team forecast'!$R$3:$BH$26,MATCH($B61,'Team forecast'!$B$3:$B$26,0),MATCH(BM$1,'Team forecast'!$R$2:$BH$2,0))*IF($X61&gt;0,-15000,0)</f>
        <v>0</v>
      </c>
      <c r="BN61" s="5">
        <f>IF($C61="Defense",$N61*150000,IF($C61="Midfield",$N61*125000,IF($C61="Striker",$N61*100000,0)))*$BE61</f>
        <v>0</v>
      </c>
      <c r="BO61" s="5">
        <f>$O61*50000*$BE61</f>
        <v>0</v>
      </c>
      <c r="BP61" s="5">
        <f>$P61*BH61*10000</f>
        <v>0</v>
      </c>
      <c r="BQ61" s="5">
        <f>IF($C61="Goalkeeper",BG61*75000,IF($C61="Defense",BG61*50000,0))</f>
        <v>0</v>
      </c>
      <c r="BR61" s="5">
        <f>IF($C61="Goalkeeper",(BI61-BF61)*5000,0)</f>
        <v>0</v>
      </c>
      <c r="BS61" s="5">
        <f>$AG61</f>
        <v>0</v>
      </c>
      <c r="BT61" s="5">
        <f>$AH61</f>
        <v>0</v>
      </c>
      <c r="BU61" s="5">
        <f>IF(AQ61&gt;0,BE61*10000,0)</f>
        <v>0</v>
      </c>
      <c r="BV61" s="5">
        <f>IF(AQ61&gt;0,BF61*(-8000),0)</f>
        <v>0</v>
      </c>
      <c r="BW61" s="5">
        <f>IFERROR(SUM(BJ61:BV61),0)</f>
        <v>-5000</v>
      </c>
      <c r="BX61" s="5">
        <f>AVERAGE(AK61,BD61,BW61)</f>
        <v>-5000</v>
      </c>
      <c r="BY61" s="5">
        <f>BX61*3</f>
        <v>-15000</v>
      </c>
      <c r="BZ61" s="5">
        <f>INDEX('Team forecast'!$R$3:$BH$26,MATCH($B61,'Team forecast'!$B$3:$B$26,0),MATCH(BZ$1,'Team forecast'!$R$2:$BH$2,0))*($BX61-(BY61+CH61)*0.01)</f>
        <v>-57745.993667211405</v>
      </c>
      <c r="CA61" s="5">
        <f>INDEX('Team forecast'!$R$3:$BH$26,MATCH($B61,'Team forecast'!$B$3:$B$26,0),MATCH(CA$1,'Team forecast'!$R$2:$BH$2,0))*($BX61-(BY61+BX61+CH61)*0.01)</f>
        <v>-29323.783776904798</v>
      </c>
      <c r="CB61" s="5">
        <f>INDEX('Team forecast'!$R$3:$BH$26,MATCH($B61,'Team forecast'!$B$3:$B$26,0),MATCH(CB$1,'Team forecast'!$R$2:$BH$2,0))*($BX61-(BY61+BX61*2+CH61)*0.01)</f>
        <v>-15095.457106705529</v>
      </c>
      <c r="CC61" s="5">
        <f>INDEX('Team forecast'!$R$3:$BH$26,MATCH($B61,'Team forecast'!$B$3:$B$26,0),MATCH(CC$1,'Team forecast'!$R$2:$BH$2,0))*($BX61-(BY61+BX61*3+CH61)*0.01)</f>
        <v>-8115.1162093906078</v>
      </c>
      <c r="CD61" s="5">
        <f>+AK61+BD61*Cockpit!$C$3+BW61*Cockpit!$C$3^2+BZ61*Cockpit!$C$3^3+CA61*Cockpit!$C$3^4+CB61*Cockpit!$C$3^5+CC61*Cockpit!$C$3^6</f>
        <v>-36158.149266991328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-2.5000000000000001E-3</v>
      </c>
      <c r="CK61" s="5">
        <f>RANK(BY61,$BY$2:$BY$623)+COUNTIF($BY$2:$BY61,$BY61)-1</f>
        <v>437</v>
      </c>
      <c r="CL61" s="5">
        <f>RANK(CJ61,$CJ$2:$CJ$623)+COUNTIF($CJ$2:$CJ61,$CJ61)-1</f>
        <v>419</v>
      </c>
    </row>
    <row r="62" spans="1:90">
      <c r="A62" t="str">
        <f>Players!P63</f>
        <v>Toni Kroos</v>
      </c>
      <c r="B62" t="str">
        <f>Players!G63</f>
        <v>Germany</v>
      </c>
      <c r="C62" t="str">
        <f>Players!AB63</f>
        <v>Midfield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6000000</v>
      </c>
      <c r="H62" s="16">
        <f>INDEX('Team forecast'!$B$2:$AO$26,MATCH('Master data'!$B62,'Team forecast'!$B$2:$B$26,0),MATCH('Master data'!H$1,'Team forecast'!$B$2:$AO$2,0))</f>
        <v>1.2386203137003762</v>
      </c>
      <c r="I62" s="16">
        <f>INDEX('Team forecast'!$B$2:$AO$26,MATCH('Master data'!$B62,'Team forecast'!$B$2:$B$26,0),MATCH('Master data'!I$1,'Team forecast'!$B$2:$AO$2,0))</f>
        <v>1.2386203137003762</v>
      </c>
      <c r="J62" s="16">
        <f>INDEX('Team forecast'!$B$2:$AO$26,MATCH('Master data'!$B62,'Team forecast'!$B$2:$B$26,0),MATCH('Master data'!J$1,'Team forecast'!$B$2:$AO$2,0))</f>
        <v>0.28978375293296982</v>
      </c>
      <c r="K62" s="16">
        <f>INDEX('Team forecast'!$B$2:$AO$26,MATCH('Master data'!$B62,'Team forecast'!$B$2:$B$26,0),MATCH('Master data'!K$1,'Team forecast'!$B$2:$AO$2,0))</f>
        <v>3.2490442399577706</v>
      </c>
      <c r="L62" s="16">
        <f>INDEX('Team forecast'!$B$2:$AO$26,MATCH('Master data'!$B62,'Team forecast'!$B$2:$B$26,0),MATCH('Master data'!L$1,'Team forecast'!$B$2:$AO$2,0))</f>
        <v>3.2998357975681776</v>
      </c>
      <c r="M62">
        <f>IF(Players!BC63=1,95,0)</f>
        <v>95</v>
      </c>
      <c r="N62" s="2">
        <f>Players!BN63</f>
        <v>7.3937991592696026E-2</v>
      </c>
      <c r="O62" s="2">
        <f>Players!BO63</f>
        <v>0.17947496312379169</v>
      </c>
      <c r="P62" s="2">
        <f>Players!BP63</f>
        <v>7.0906999065100312E-2</v>
      </c>
      <c r="Q62" s="2">
        <f>Players!BQ63</f>
        <v>0.12729844413012731</v>
      </c>
      <c r="R62" s="2">
        <f>Players!BR63</f>
        <v>0</v>
      </c>
      <c r="S62" s="2">
        <f>H62</f>
        <v>1.2386203137003762</v>
      </c>
      <c r="T62" s="2">
        <f>I62</f>
        <v>1.2386203137003762</v>
      </c>
      <c r="U62" s="16">
        <f>INDEX('Team forecast'!$B$2:$AO$26,MATCH('Master data'!$B62,'Team forecast'!$B$2:$B$26,0),MATCH('Master data'!U$1,'Team forecast'!$B$2:$AO$2,0))</f>
        <v>0.33635614179719708</v>
      </c>
      <c r="V62" s="16">
        <f>INDEX('Team forecast'!$B$2:$AO$26,MATCH('Master data'!$B62,'Team forecast'!$B$2:$B$26,0),MATCH('Master data'!V$1,'Team forecast'!$B$2:$AO$2,0))</f>
        <v>0.29431162407254741</v>
      </c>
      <c r="W62" s="16">
        <f>INDEX('Team forecast'!$B$2:$AO$26,MATCH('Master data'!$B62,'Team forecast'!$B$2:$B$26,0),MATCH('Master data'!W$1,'Team forecast'!$B$2:$AO$2,0))</f>
        <v>0.36933223413025562</v>
      </c>
      <c r="X62" s="5">
        <f>IF(M62&gt;95,7000*2,IF(M62&gt;0,7000,-5000))</f>
        <v>7000</v>
      </c>
      <c r="Y62" s="5">
        <f>IF($X62&gt;0,U62*25000,0)</f>
        <v>8408.9035449299263</v>
      </c>
      <c r="Z62" s="5">
        <f>IF($X62&gt;0,V62*5000,0)</f>
        <v>1471.5581203627371</v>
      </c>
      <c r="AA62" s="5">
        <f>IF($X62&gt;0,W62*(-15000),0)</f>
        <v>-5539.9835119538347</v>
      </c>
      <c r="AB62" s="5">
        <f>IF($C62="Defense",$N62*150000,IF($C62="Midfield",$N62*125000,IF($C62="Striker",$N62*100000,0)))*$H62</f>
        <v>11447.637292615116</v>
      </c>
      <c r="AC62" s="5">
        <f>$O62*50000*H62</f>
        <v>11115.066756287715</v>
      </c>
      <c r="AD62" s="5">
        <f>$P62*K62*10000</f>
        <v>2303.799768851552</v>
      </c>
      <c r="AE62" s="5">
        <f>IF($C62="Goalkeeper",J62*75000,IF($C62="Defense",J62*50000,0))</f>
        <v>0</v>
      </c>
      <c r="AF62" s="5">
        <f>IF($C62="Goalkeeper",(L62-I62)*5000,0)</f>
        <v>0</v>
      </c>
      <c r="AG62" s="5">
        <f>IF(M62&gt;0,Q62*(-20000),0)</f>
        <v>-2545.9688826025463</v>
      </c>
      <c r="AH62" s="5">
        <f>IF(M62&gt;0,R62*(-50000),0)</f>
        <v>0</v>
      </c>
      <c r="AI62" s="5">
        <f>IF(M62&gt;0,S62*10000,0)</f>
        <v>12386.203137003762</v>
      </c>
      <c r="AJ62" s="5">
        <f>IF(M62&gt;0,T62*(-8000),0)</f>
        <v>-9908.9625096030086</v>
      </c>
      <c r="AK62" s="5">
        <f>IFERROR(SUM(X62:AJ62),-5000)*((Cockpit!$C$3)^0)</f>
        <v>36138.25371589142</v>
      </c>
      <c r="AL62" s="16">
        <f>INDEX('Team forecast'!$B$2:$AO$26,MATCH('Master data'!$B62,'Team forecast'!$B$2:$B$26,0),MATCH('Master data'!AL$1,'Team forecast'!$B$2:$AO$2,0))</f>
        <v>1.384389503157577</v>
      </c>
      <c r="AM62" s="16">
        <f>INDEX('Team forecast'!$B$2:$AO$26,MATCH('Master data'!$B62,'Team forecast'!$B$2:$B$26,0),MATCH('Master data'!AM$1,'Team forecast'!$B$2:$AO$2,0))</f>
        <v>1.1612459518433673</v>
      </c>
      <c r="AN62" s="16">
        <f>INDEX('Team forecast'!$B$2:$AO$26,MATCH('Master data'!$B62,'Team forecast'!$B$2:$B$26,0),MATCH('Master data'!AN$1,'Team forecast'!$B$2:$AO$2,0))</f>
        <v>0.31309583542398389</v>
      </c>
      <c r="AO62" s="16">
        <f>INDEX('Team forecast'!$B$2:$AO$26,MATCH('Master data'!$B62,'Team forecast'!$B$2:$B$26,0),MATCH('Master data'!AO$1,'Team forecast'!$B$2:$AO$2,0))</f>
        <v>3.6314136715992724</v>
      </c>
      <c r="AP62" s="16">
        <f>INDEX('Team forecast'!$B$2:$AO$26,MATCH('Master data'!$B62,'Team forecast'!$B$2:$B$26,0),MATCH('Master data'!AP$1,'Team forecast'!$B$2:$AO$2,0))</f>
        <v>3.0937010472773676</v>
      </c>
      <c r="AQ62" s="5">
        <f>X62</f>
        <v>7000</v>
      </c>
      <c r="AR62" s="5">
        <f>INDEX('Team forecast'!$B$2:$AO$26,MATCH('Master data'!$B62,'Team forecast'!$B$2:$B$26,0),MATCH('Master data'!AR$1,'Team forecast'!$B$2:$AO$2,0))*IF(X62&gt;0,25000,0)</f>
        <v>10436.527847466134</v>
      </c>
      <c r="AS62" s="16">
        <f>INDEX('Team forecast'!$B$2:$AO$26,MATCH('Master data'!$B62,'Team forecast'!$B$2:$B$26,0),MATCH('Master data'!AS$1,'Team forecast'!$B$2:$AO$2,0))*IF(X62&gt;0,5000,0)</f>
        <v>1467.6367285499246</v>
      </c>
      <c r="AT62" s="16">
        <f>INDEX('Team forecast'!$B$2:$AO$26,MATCH('Master data'!$B62,'Team forecast'!$B$2:$B$26,0),MATCH('Master data'!AT$1,'Team forecast'!$B$2:$AO$2,0))*IF(X62&gt;0,-15000,0)</f>
        <v>-4335.1731058705464</v>
      </c>
      <c r="AU62" s="5">
        <f>IF($C62="Defense",$N62*150000,IF($C62="Midfield",$N62*125000,IF($C62="Striker",$N62*100000,0)))*$AL62</f>
        <v>12794.872430685195</v>
      </c>
      <c r="AV62" s="5">
        <f>$O62*50000*AL62</f>
        <v>12423.162751408521</v>
      </c>
      <c r="AW62" s="5">
        <f>$P62*AO62*10000</f>
        <v>2574.9264581708208</v>
      </c>
      <c r="AX62" s="5">
        <f>IF($C62="Goalkeeper",AN62*75000,IF($C62="Defense",AN62*50000,0))</f>
        <v>0</v>
      </c>
      <c r="AY62" s="5">
        <f>IF($C62="Goalkeeper",(AP62-AM62)*5000,0)</f>
        <v>0</v>
      </c>
      <c r="AZ62" s="5">
        <f>$AG62</f>
        <v>-2545.9688826025463</v>
      </c>
      <c r="BA62" s="5">
        <f>$AH62</f>
        <v>0</v>
      </c>
      <c r="BB62" s="5">
        <f>IF(X62&gt;0,AL62*10000,0)</f>
        <v>13843.89503157577</v>
      </c>
      <c r="BC62" s="5">
        <f>IF(X62&gt;0,AM62*(-8000),0)</f>
        <v>-9289.9676147469381</v>
      </c>
      <c r="BD62" s="5">
        <f>IFERROR(SUM(AQ62:BC62),0)</f>
        <v>44369.911644636333</v>
      </c>
      <c r="BE62" s="16">
        <f>INDEX('Team forecast'!$B$2:$AO$26,MATCH('Master data'!$B62,'Team forecast'!$B$2:$B$26,0),MATCH('Master data'!BE$1,'Team forecast'!$B$2:$AO$2,0))</f>
        <v>2.4374022591536644</v>
      </c>
      <c r="BF62" s="16">
        <f>INDEX('Team forecast'!$B$2:$AO$26,MATCH('Master data'!$B62,'Team forecast'!$B$2:$B$26,0),MATCH('Master data'!BF$1,'Team forecast'!$B$2:$AO$2,0))</f>
        <v>0.68661022841383224</v>
      </c>
      <c r="BG62" s="16">
        <f>INDEX('Team forecast'!$B$2:$AO$26,MATCH('Master data'!$B62,'Team forecast'!$B$2:$B$26,0),MATCH('Master data'!BG$1,'Team forecast'!$B$2:$AO$2,0))</f>
        <v>0.50327918232493496</v>
      </c>
      <c r="BH62" s="16">
        <f>INDEX('Team forecast'!$B$2:$AO$26,MATCH('Master data'!$B62,'Team forecast'!$B$2:$B$26,0),MATCH('Master data'!BH$1,'Team forecast'!$B$2:$AO$2,0))</f>
        <v>6.3935878355689084</v>
      </c>
      <c r="BI62" s="16">
        <f>INDEX('Team forecast'!$B$2:$AO$26,MATCH('Master data'!$B62,'Team forecast'!$B$2:$B$26,0),MATCH('Master data'!BI$1,'Team forecast'!$B$2:$AO$2,0))</f>
        <v>1.8292135092857056</v>
      </c>
      <c r="BJ62" s="5">
        <f>AQ62</f>
        <v>7000</v>
      </c>
      <c r="BK62" s="5">
        <f>INDEX('Team forecast'!$R$3:$BH$26,MATCH($B62,'Team forecast'!$B$3:$B$26,0),MATCH(BK$1,'Team forecast'!$R$2:$BH$2,0))*IF($X62&gt;0,25000,0)</f>
        <v>19380.307222593263</v>
      </c>
      <c r="BL62" s="5">
        <f>INDEX('Team forecast'!$R$3:$BH$26,MATCH($B62,'Team forecast'!$B$3:$B$26,0),MATCH(BL$1,'Team forecast'!$R$2:$BH$2,0))*IF($X62&gt;0,5000,0)</f>
        <v>739.43326018509651</v>
      </c>
      <c r="BM62" s="5">
        <f>INDEX('Team forecast'!$R$3:$BH$26,MATCH($B62,'Team forecast'!$B$3:$B$26,0),MATCH(BM$1,'Team forecast'!$R$2:$BH$2,0))*IF($X62&gt;0,-15000,0)</f>
        <v>-1153.5158858887507</v>
      </c>
      <c r="BN62" s="5">
        <f>IF($C62="Defense",$N62*150000,IF($C62="Midfield",$N62*125000,IF($C62="Striker",$N62*100000,0)))*$BE62</f>
        <v>22527.07846816524</v>
      </c>
      <c r="BO62" s="5">
        <f>$O62*50000*$BE62</f>
        <v>21872.634028972523</v>
      </c>
      <c r="BP62" s="5">
        <f>$P62*BH62*10000</f>
        <v>4533.5012667932133</v>
      </c>
      <c r="BQ62" s="5">
        <f>IF($C62="Goalkeeper",BG62*75000,IF($C62="Defense",BG62*50000,0))</f>
        <v>0</v>
      </c>
      <c r="BR62" s="5">
        <f>IF($C62="Goalkeeper",(BI62-BF62)*5000,0)</f>
        <v>0</v>
      </c>
      <c r="BS62" s="5">
        <f>$AG62</f>
        <v>-2545.9688826025463</v>
      </c>
      <c r="BT62" s="5">
        <f>$AH62</f>
        <v>0</v>
      </c>
      <c r="BU62" s="5">
        <f>IF(AQ62&gt;0,BE62*10000,0)</f>
        <v>24374.022591536643</v>
      </c>
      <c r="BV62" s="5">
        <f>IF(AQ62&gt;0,BF62*(-8000),0)</f>
        <v>-5492.8818273106581</v>
      </c>
      <c r="BW62" s="5">
        <f>IFERROR(SUM(BJ62:BV62),0)</f>
        <v>91234.610242444018</v>
      </c>
      <c r="BX62" s="5">
        <f>AVERAGE(AK62,BD62,BW62)</f>
        <v>57247.591867657262</v>
      </c>
      <c r="BY62" s="5">
        <f>BX62*3</f>
        <v>171742.77560297179</v>
      </c>
      <c r="BZ62" s="5">
        <f>INDEX('Team forecast'!$R$3:$BH$26,MATCH($B62,'Team forecast'!$B$3:$B$26,0),MATCH(BZ$1,'Team forecast'!$R$2:$BH$2,0))*($BX62-(BY62+CH62)*0.01)</f>
        <v>-3980.1868142394787</v>
      </c>
      <c r="CA62" s="5">
        <f>INDEX('Team forecast'!$R$3:$BH$26,MATCH($B62,'Team forecast'!$B$3:$B$26,0),MATCH(CA$1,'Team forecast'!$R$2:$BH$2,0))*($BX62-(BY62+BX62+CH62)*0.01)</f>
        <v>-2281.7848945314799</v>
      </c>
      <c r="CB62" s="5">
        <f>INDEX('Team forecast'!$R$3:$BH$26,MATCH($B62,'Team forecast'!$B$3:$B$26,0),MATCH(CB$1,'Team forecast'!$R$2:$BH$2,0))*($BX62-(BY62+BX62*2+CH62)*0.01)</f>
        <v>-1309.000575705752</v>
      </c>
      <c r="CC62" s="5">
        <f>INDEX('Team forecast'!$R$3:$BH$26,MATCH($B62,'Team forecast'!$B$3:$B$26,0),MATCH(CC$1,'Team forecast'!$R$2:$BH$2,0))*($BX62-(BY62+BX62*3+CH62)*0.01)</f>
        <v>-776.04889478301789</v>
      </c>
      <c r="CD62" s="5">
        <f>+AK62+BD62*Cockpit!$C$3+BW62*Cockpit!$C$3^2+BZ62*Cockpit!$C$3^3+CA62*Cockpit!$C$3^4+CB62*Cockpit!$C$3^5+CC62*Cockpit!$C$3^6</f>
        <v>104396.36375241129</v>
      </c>
      <c r="CE62" s="5"/>
      <c r="CF62" s="5"/>
      <c r="CG62" s="5">
        <v>0</v>
      </c>
      <c r="CH62" s="5">
        <f t="shared" si="43"/>
        <v>6000000</v>
      </c>
      <c r="CI62" s="5">
        <f t="shared" si="44"/>
        <v>6000000</v>
      </c>
      <c r="CJ62" s="1">
        <f t="shared" si="45"/>
        <v>2.8623795933828629E-2</v>
      </c>
      <c r="CK62" s="5">
        <f>RANK(BY62,$BY$2:$BY$623)+COUNTIF($BY$2:$BY62,$BY62)-1</f>
        <v>76</v>
      </c>
      <c r="CL62" s="5">
        <f>RANK(CJ62,$CJ$2:$CJ$623)+COUNTIF($CJ$2:$CJ62,$CJ62)-1</f>
        <v>160</v>
      </c>
    </row>
    <row r="63" spans="1:90">
      <c r="A63" t="str">
        <f>Players!P64</f>
        <v>Bukayo Saka</v>
      </c>
      <c r="B63" t="str">
        <f>Players!G64</f>
        <v>England</v>
      </c>
      <c r="C63" t="str">
        <f>Players!AB64</f>
        <v>Striker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3000000</v>
      </c>
      <c r="H63" s="16">
        <f>INDEX('Team forecast'!$B$2:$AO$26,MATCH('Master data'!$B63,'Team forecast'!$B$2:$B$26,0),MATCH('Master data'!H$1,'Team forecast'!$B$2:$AO$2,0))</f>
        <v>1.5223243214152651</v>
      </c>
      <c r="I63" s="16">
        <f>INDEX('Team forecast'!$B$2:$AO$26,MATCH('Master data'!$B63,'Team forecast'!$B$2:$B$26,0),MATCH('Master data'!I$1,'Team forecast'!$B$2:$AO$2,0))</f>
        <v>0.74990395996081205</v>
      </c>
      <c r="J63" s="16">
        <f>INDEX('Team forecast'!$B$2:$AO$26,MATCH('Master data'!$B63,'Team forecast'!$B$2:$B$26,0),MATCH('Master data'!J$1,'Team forecast'!$B$2:$AO$2,0))</f>
        <v>0.47241192102180191</v>
      </c>
      <c r="K63" s="16">
        <f>INDEX('Team forecast'!$B$2:$AO$26,MATCH('Master data'!$B63,'Team forecast'!$B$2:$B$26,0),MATCH('Master data'!K$1,'Team forecast'!$B$2:$AO$2,0))</f>
        <v>3.7411838276290243</v>
      </c>
      <c r="L63" s="16">
        <f>INDEX('Team forecast'!$B$2:$AO$26,MATCH('Master data'!$B63,'Team forecast'!$B$2:$B$26,0),MATCH('Master data'!L$1,'Team forecast'!$B$2:$AO$2,0))</f>
        <v>2.461805929164282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1.7578125E-2</v>
      </c>
      <c r="R63" s="2">
        <f>Players!BR64</f>
        <v>0</v>
      </c>
      <c r="S63" s="2">
        <f>H63</f>
        <v>1.5223243214152651</v>
      </c>
      <c r="T63" s="2">
        <f>I63</f>
        <v>0.74990395996081205</v>
      </c>
      <c r="U63" s="16">
        <f>INDEX('Team forecast'!$B$2:$AO$26,MATCH('Master data'!$B63,'Team forecast'!$B$2:$B$26,0),MATCH('Master data'!U$1,'Team forecast'!$B$2:$AO$2,0))</f>
        <v>0.56576277966682864</v>
      </c>
      <c r="V63" s="16">
        <f>INDEX('Team forecast'!$B$2:$AO$26,MATCH('Master data'!$B63,'Team forecast'!$B$2:$B$26,0),MATCH('Master data'!V$1,'Team forecast'!$B$2:$AO$2,0))</f>
        <v>0.26245106723433442</v>
      </c>
      <c r="W63" s="16">
        <f>INDEX('Team forecast'!$B$2:$AO$26,MATCH('Master data'!$B63,'Team forecast'!$B$2:$B$26,0),MATCH('Master data'!W$1,'Team forecast'!$B$2:$AO$2,0))</f>
        <v>0.17178615309883699</v>
      </c>
      <c r="X63" s="5">
        <f>IF(M63&gt;95,7000*2,IF(M63&gt;0,7000,-5000))</f>
        <v>-5000</v>
      </c>
      <c r="Y63" s="5">
        <f>IF($X63&gt;0,U63*25000,0)</f>
        <v>0</v>
      </c>
      <c r="Z63" s="5">
        <f>IF($X63&gt;0,V63*5000,0)</f>
        <v>0</v>
      </c>
      <c r="AA63" s="5">
        <f>IF($X63&gt;0,W63*(-15000),0)</f>
        <v>0</v>
      </c>
      <c r="AB63" s="5">
        <f>IF($C63="Defense",$N63*150000,IF($C63="Midfield",$N63*125000,IF($C63="Striker",$N63*100000,0)))*$H63</f>
        <v>0</v>
      </c>
      <c r="AC63" s="5">
        <f>$O63*50000*H63</f>
        <v>0</v>
      </c>
      <c r="AD63" s="5">
        <f>$P63*K63*10000</f>
        <v>0</v>
      </c>
      <c r="AE63" s="5">
        <f>IF($C63="Goalkeeper",J63*75000,IF($C63="Defense",J63*50000,0))</f>
        <v>0</v>
      </c>
      <c r="AF63" s="5">
        <f>IF($C63="Goalkeeper",(L63-I63)*5000,0)</f>
        <v>0</v>
      </c>
      <c r="AG63" s="5">
        <f>IF(M63&gt;0,Q63*(-20000),0)</f>
        <v>0</v>
      </c>
      <c r="AH63" s="5">
        <f>IF(M63&gt;0,R63*(-50000),0)</f>
        <v>0</v>
      </c>
      <c r="AI63" s="5">
        <f>IF(M63&gt;0,S63*10000,0)</f>
        <v>0</v>
      </c>
      <c r="AJ63" s="5">
        <f>IF(M63&gt;0,T63*(-8000),0)</f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2.0067977929974719</v>
      </c>
      <c r="AM63" s="16">
        <f>INDEX('Team forecast'!$B$2:$AO$26,MATCH('Master data'!$B63,'Team forecast'!$B$2:$B$26,0),MATCH('Master data'!AM$1,'Team forecast'!$B$2:$AO$2,0))</f>
        <v>0.66520361079548807</v>
      </c>
      <c r="AN63" s="16">
        <f>INDEX('Team forecast'!$B$2:$AO$26,MATCH('Master data'!$B63,'Team forecast'!$B$2:$B$26,0),MATCH('Master data'!AN$1,'Team forecast'!$B$2:$AO$2,0))</f>
        <v>0.51416882672404407</v>
      </c>
      <c r="AO63" s="16">
        <f>INDEX('Team forecast'!$B$2:$AO$26,MATCH('Master data'!$B63,'Team forecast'!$B$2:$B$26,0),MATCH('Master data'!AO$1,'Team forecast'!$B$2:$AO$2,0))</f>
        <v>4.9318002365645421</v>
      </c>
      <c r="AP63" s="16">
        <f>INDEX('Team forecast'!$B$2:$AO$26,MATCH('Master data'!$B63,'Team forecast'!$B$2:$B$26,0),MATCH('Master data'!AP$1,'Team forecast'!$B$2:$AO$2,0))</f>
        <v>2.1837492273589256</v>
      </c>
      <c r="AQ63" s="5">
        <f>X63</f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>IF($C63="Defense",$N63*150000,IF($C63="Midfield",$N63*125000,IF($C63="Striker",$N63*100000,0)))*$AL63</f>
        <v>0</v>
      </c>
      <c r="AV63" s="5">
        <f>$O63*50000*AL63</f>
        <v>0</v>
      </c>
      <c r="AW63" s="5">
        <f>$P63*AO63*10000</f>
        <v>0</v>
      </c>
      <c r="AX63" s="5">
        <f>IF($C63="Goalkeeper",AN63*75000,IF($C63="Defense",AN63*50000,0))</f>
        <v>0</v>
      </c>
      <c r="AY63" s="5">
        <f>IF($C63="Goalkeeper",(AP63-AM63)*5000,0)</f>
        <v>0</v>
      </c>
      <c r="AZ63" s="5">
        <f>$AG63</f>
        <v>0</v>
      </c>
      <c r="BA63" s="5">
        <f>$AH63</f>
        <v>0</v>
      </c>
      <c r="BB63" s="5">
        <f>IF(X63&gt;0,AL63*10000,0)</f>
        <v>0</v>
      </c>
      <c r="BC63" s="5">
        <f>IF(X63&gt;0,AM63*(-8000),0)</f>
        <v>0</v>
      </c>
      <c r="BD63" s="5">
        <f>IFERROR(SUM(AQ63:BC63),0)</f>
        <v>-5000</v>
      </c>
      <c r="BE63" s="16">
        <f>INDEX('Team forecast'!$B$2:$AO$26,MATCH('Master data'!$B63,'Team forecast'!$B$2:$B$26,0),MATCH('Master data'!BE$1,'Team forecast'!$B$2:$AO$2,0))</f>
        <v>2.2346287595631029</v>
      </c>
      <c r="BF63" s="16">
        <f>INDEX('Team forecast'!$B$2:$AO$26,MATCH('Master data'!$B63,'Team forecast'!$B$2:$B$26,0),MATCH('Master data'!BF$1,'Team forecast'!$B$2:$AO$2,0))</f>
        <v>0.82586154259115363</v>
      </c>
      <c r="BG63" s="16">
        <f>INDEX('Team forecast'!$B$2:$AO$26,MATCH('Master data'!$B63,'Team forecast'!$B$2:$B$26,0),MATCH('Master data'!BG$1,'Team forecast'!$B$2:$AO$2,0))</f>
        <v>0.43785759694850601</v>
      </c>
      <c r="BH63" s="16">
        <f>INDEX('Team forecast'!$B$2:$AO$26,MATCH('Master data'!$B63,'Team forecast'!$B$2:$B$26,0),MATCH('Master data'!BH$1,'Team forecast'!$B$2:$AO$2,0))</f>
        <v>5.4917055836432862</v>
      </c>
      <c r="BI63" s="16">
        <f>INDEX('Team forecast'!$B$2:$AO$26,MATCH('Master data'!$B63,'Team forecast'!$B$2:$B$26,0),MATCH('Master data'!BI$1,'Team forecast'!$B$2:$AO$2,0))</f>
        <v>2.7111616297184336</v>
      </c>
      <c r="BJ63" s="5">
        <f>AQ63</f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>IF($C63="Defense",$N63*150000,IF($C63="Midfield",$N63*125000,IF($C63="Striker",$N63*100000,0)))*$BE63</f>
        <v>0</v>
      </c>
      <c r="BO63" s="5">
        <f>$O63*50000*$BE63</f>
        <v>0</v>
      </c>
      <c r="BP63" s="5">
        <f>$P63*BH63*10000</f>
        <v>0</v>
      </c>
      <c r="BQ63" s="5">
        <f>IF($C63="Goalkeeper",BG63*75000,IF($C63="Defense",BG63*50000,0))</f>
        <v>0</v>
      </c>
      <c r="BR63" s="5">
        <f>IF($C63="Goalkeeper",(BI63-BF63)*5000,0)</f>
        <v>0</v>
      </c>
      <c r="BS63" s="5">
        <f>$AG63</f>
        <v>0</v>
      </c>
      <c r="BT63" s="5">
        <f>$AH63</f>
        <v>0</v>
      </c>
      <c r="BU63" s="5">
        <f>IF(AQ63&gt;0,BE63*10000,0)</f>
        <v>0</v>
      </c>
      <c r="BV63" s="5">
        <f>IF(AQ63&gt;0,BF63*(-8000),0)</f>
        <v>0</v>
      </c>
      <c r="BW63" s="5">
        <f>IFERROR(SUM(BJ63:BV63),0)</f>
        <v>-5000</v>
      </c>
      <c r="BX63" s="5">
        <f>AVERAGE(AK63,BD63,BW63)</f>
        <v>-5000</v>
      </c>
      <c r="BY63" s="5">
        <f>BX63*3</f>
        <v>-15000</v>
      </c>
      <c r="BZ63" s="5">
        <f>INDEX('Team forecast'!$R$3:$BH$26,MATCH($B63,'Team forecast'!$B$3:$B$26,0),MATCH(BZ$1,'Team forecast'!$R$2:$BH$2,0))*($BX63-(BY63+CH63)*0.01)</f>
        <v>-33374.413849153221</v>
      </c>
      <c r="CA63" s="5">
        <f>INDEX('Team forecast'!$R$3:$BH$26,MATCH($B63,'Team forecast'!$B$3:$B$26,0),MATCH(CA$1,'Team forecast'!$R$2:$BH$2,0))*($BX63-(BY63+BX63+CH63)*0.01)</f>
        <v>-17200.501548816534</v>
      </c>
      <c r="CB63" s="5">
        <f>INDEX('Team forecast'!$R$3:$BH$26,MATCH($B63,'Team forecast'!$B$3:$B$26,0),MATCH(CB$1,'Team forecast'!$R$2:$BH$2,0))*($BX63-(BY63+BX63*2+CH63)*0.01)</f>
        <v>-9092.8015808677956</v>
      </c>
      <c r="CC63" s="5">
        <f>INDEX('Team forecast'!$R$3:$BH$26,MATCH($B63,'Team forecast'!$B$3:$B$26,0),MATCH(CC$1,'Team forecast'!$R$2:$BH$2,0))*($BX63-(BY63+BX63*3+CH63)*0.01)</f>
        <v>-5189.9873420250269</v>
      </c>
      <c r="CD63" s="5">
        <f>+AK63+BD63*Cockpit!$C$3+BW63*Cockpit!$C$3^2+BZ63*Cockpit!$C$3^3+CA63*Cockpit!$C$3^4+CB63*Cockpit!$C$3^5+CC63*Cockpit!$C$3^6</f>
        <v>-25494.94342400492</v>
      </c>
      <c r="CE63" s="5"/>
      <c r="CF63" s="5"/>
      <c r="CG63" s="5">
        <v>0</v>
      </c>
      <c r="CH63" s="5">
        <f t="shared" si="43"/>
        <v>3000000</v>
      </c>
      <c r="CI63" s="5">
        <f t="shared" si="44"/>
        <v>3000000</v>
      </c>
      <c r="CJ63" s="1">
        <f t="shared" si="45"/>
        <v>-5.0000000000000001E-3</v>
      </c>
      <c r="CK63" s="5">
        <f>RANK(BY63,$BY$2:$BY$623)+COUNTIF($BY$2:$BY63,$BY63)-1</f>
        <v>438</v>
      </c>
      <c r="CL63" s="5">
        <f>RANK(CJ63,$CJ$2:$CJ$623)+COUNTIF($CJ$2:$CJ63,$CJ63)-1</f>
        <v>482</v>
      </c>
    </row>
    <row r="64" spans="1:90">
      <c r="A64" t="str">
        <f>Players!P65</f>
        <v>Rúben Neves</v>
      </c>
      <c r="B64" t="str">
        <f>Players!G65</f>
        <v>Portugal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3500000</v>
      </c>
      <c r="H64" s="16">
        <f>INDEX('Team forecast'!$B$2:$AO$26,MATCH('Master data'!$B64,'Team forecast'!$B$2:$B$26,0),MATCH('Master data'!H$1,'Team forecast'!$B$2:$AO$2,0))</f>
        <v>1.7625676631272518</v>
      </c>
      <c r="I64" s="16">
        <f>INDEX('Team forecast'!$B$2:$AO$26,MATCH('Master data'!$B64,'Team forecast'!$B$2:$B$26,0),MATCH('Master data'!I$1,'Team forecast'!$B$2:$AO$2,0))</f>
        <v>0.75096675144877167</v>
      </c>
      <c r="J64" s="16">
        <f>INDEX('Team forecast'!$B$2:$AO$26,MATCH('Master data'!$B64,'Team forecast'!$B$2:$B$26,0),MATCH('Master data'!J$1,'Team forecast'!$B$2:$AO$2,0))</f>
        <v>0.47191011235955049</v>
      </c>
      <c r="K64" s="16">
        <f>INDEX('Team forecast'!$B$2:$AO$26,MATCH('Master data'!$B64,'Team forecast'!$B$2:$B$26,0),MATCH('Master data'!K$1,'Team forecast'!$B$2:$AO$2,0))</f>
        <v>4.4913621777278765</v>
      </c>
      <c r="L64" s="16">
        <f>INDEX('Team forecast'!$B$2:$AO$26,MATCH('Master data'!$B64,'Team forecast'!$B$2:$B$26,0),MATCH('Master data'!L$1,'Team forecast'!$B$2:$AO$2,0))</f>
        <v>2.0995338051067773</v>
      </c>
      <c r="M64">
        <f>IF(Players!BC65=1,95,0)</f>
        <v>95</v>
      </c>
      <c r="N64" s="2">
        <f>Players!BN65</f>
        <v>7.5762401274597976E-2</v>
      </c>
      <c r="O64" s="2">
        <f>Players!BO65</f>
        <v>5.3515274702197878E-2</v>
      </c>
      <c r="P64" s="2">
        <f>Players!BP65</f>
        <v>6.9089349022795232E-2</v>
      </c>
      <c r="Q64" s="2">
        <f>Players!BQ65</f>
        <v>0.13437849944008959</v>
      </c>
      <c r="R64" s="2">
        <f>Players!BR65</f>
        <v>0</v>
      </c>
      <c r="S64" s="2">
        <f>H64</f>
        <v>1.7625676631272518</v>
      </c>
      <c r="T64" s="2">
        <f>I64</f>
        <v>0.75096675144877167</v>
      </c>
      <c r="U64" s="16">
        <f>INDEX('Team forecast'!$B$2:$AO$26,MATCH('Master data'!$B64,'Team forecast'!$B$2:$B$26,0),MATCH('Master data'!U$1,'Team forecast'!$B$2:$AO$2,0))</f>
        <v>0.6292134831460674</v>
      </c>
      <c r="V64" s="16">
        <f>INDEX('Team forecast'!$B$2:$AO$26,MATCH('Master data'!$B64,'Team forecast'!$B$2:$B$26,0),MATCH('Master data'!V$1,'Team forecast'!$B$2:$AO$2,0))</f>
        <v>0.2359550561797753</v>
      </c>
      <c r="W64" s="16">
        <f>INDEX('Team forecast'!$B$2:$AO$26,MATCH('Master data'!$B64,'Team forecast'!$B$2:$B$26,0),MATCH('Master data'!W$1,'Team forecast'!$B$2:$AO$2,0))</f>
        <v>0.1348314606741573</v>
      </c>
      <c r="X64" s="5">
        <f>IF(M64&gt;95,7000*2,IF(M64&gt;0,7000,-5000))</f>
        <v>7000</v>
      </c>
      <c r="Y64" s="5">
        <f>IF($X64&gt;0,U64*25000,0)</f>
        <v>15730.337078651684</v>
      </c>
      <c r="Z64" s="5">
        <f>IF($X64&gt;0,V64*5000,0)</f>
        <v>1179.7752808988764</v>
      </c>
      <c r="AA64" s="5">
        <f>IF($X64&gt;0,W64*(-15000),0)</f>
        <v>-2022.4719101123594</v>
      </c>
      <c r="AB64" s="5">
        <f>IF($C64="Defense",$N64*150000,IF($C64="Midfield",$N64*125000,IF($C64="Striker",$N64*100000,0)))*$H64</f>
        <v>16692.044820934658</v>
      </c>
      <c r="AC64" s="5">
        <f>$O64*50000*H64</f>
        <v>4716.2146336732922</v>
      </c>
      <c r="AD64" s="5">
        <f>$P64*K64*10000</f>
        <v>3103.0528908482293</v>
      </c>
      <c r="AE64" s="5">
        <f>IF($C64="Goalkeeper",J64*75000,IF($C64="Defense",J64*50000,0))</f>
        <v>0</v>
      </c>
      <c r="AF64" s="5">
        <f>IF($C64="Goalkeeper",(L64-I64)*5000,0)</f>
        <v>0</v>
      </c>
      <c r="AG64" s="5">
        <f>IF(M64&gt;0,Q64*(-20000),0)</f>
        <v>-2687.5699888017916</v>
      </c>
      <c r="AH64" s="5">
        <f>IF(M64&gt;0,R64*(-50000),0)</f>
        <v>0</v>
      </c>
      <c r="AI64" s="5">
        <f>IF(M64&gt;0,S64*10000,0)</f>
        <v>17625.676631272519</v>
      </c>
      <c r="AJ64" s="5">
        <f>IF(M64&gt;0,T64*(-8000),0)</f>
        <v>-6007.7340115901734</v>
      </c>
      <c r="AK64" s="5">
        <f>IFERROR(SUM(X64:AJ64),-5000)*((Cockpit!$C$3)^0)</f>
        <v>55329.325425774936</v>
      </c>
      <c r="AL64" s="16">
        <f>INDEX('Team forecast'!$B$2:$AO$26,MATCH('Master data'!$B64,'Team forecast'!$B$2:$B$26,0),MATCH('Master data'!AL$1,'Team forecast'!$B$2:$AO$2,0))</f>
        <v>1.1612459518433673</v>
      </c>
      <c r="AM64" s="16">
        <f>INDEX('Team forecast'!$B$2:$AO$26,MATCH('Master data'!$B64,'Team forecast'!$B$2:$B$26,0),MATCH('Master data'!AM$1,'Team forecast'!$B$2:$AO$2,0))</f>
        <v>1.384389503157577</v>
      </c>
      <c r="AN64" s="16">
        <f>INDEX('Team forecast'!$B$2:$AO$26,MATCH('Master data'!$B64,'Team forecast'!$B$2:$B$26,0),MATCH('Master data'!AN$1,'Team forecast'!$B$2:$AO$2,0))</f>
        <v>0.25047666833918708</v>
      </c>
      <c r="AO64" s="16">
        <f>INDEX('Team forecast'!$B$2:$AO$26,MATCH('Master data'!$B64,'Team forecast'!$B$2:$B$26,0),MATCH('Master data'!AO$1,'Team forecast'!$B$2:$AO$2,0))</f>
        <v>2.9590785399382193</v>
      </c>
      <c r="AP64" s="16">
        <f>INDEX('Team forecast'!$B$2:$AO$26,MATCH('Master data'!$B64,'Team forecast'!$B$2:$B$26,0),MATCH('Master data'!AP$1,'Team forecast'!$B$2:$AO$2,0))</f>
        <v>3.8704410757292824</v>
      </c>
      <c r="AQ64" s="5">
        <f>X64</f>
        <v>7000</v>
      </c>
      <c r="AR64" s="5">
        <f>INDEX('Team forecast'!$B$2:$AO$26,MATCH('Master data'!$B64,'Team forecast'!$B$2:$B$26,0),MATCH('Master data'!AR$1,'Team forecast'!$B$2:$AO$2,0))*IF(X64&gt;0,25000,0)</f>
        <v>7225.2885097842445</v>
      </c>
      <c r="AS64" s="16">
        <f>INDEX('Team forecast'!$B$2:$AO$26,MATCH('Master data'!$B64,'Team forecast'!$B$2:$B$26,0),MATCH('Master data'!AS$1,'Team forecast'!$B$2:$AO$2,0))*IF(X64&gt;0,5000,0)</f>
        <v>1467.6367285499246</v>
      </c>
      <c r="AT64" s="16">
        <f>INDEX('Team forecast'!$B$2:$AO$26,MATCH('Master data'!$B64,'Team forecast'!$B$2:$B$26,0),MATCH('Master data'!AT$1,'Team forecast'!$B$2:$AO$2,0))*IF(X64&gt;0,-15000,0)</f>
        <v>-6261.91670847968</v>
      </c>
      <c r="AU64" s="5">
        <f>IF($C64="Defense",$N64*150000,IF($C64="Midfield",$N64*125000,IF($C64="Striker",$N64*100000,0)))*$AL64</f>
        <v>10997.347722757459</v>
      </c>
      <c r="AV64" s="5">
        <f>$O64*50000*AL64</f>
        <v>3107.2198054856526</v>
      </c>
      <c r="AW64" s="5">
        <f>$P64*AO64*10000</f>
        <v>2044.4081003165495</v>
      </c>
      <c r="AX64" s="5">
        <f>IF($C64="Goalkeeper",AN64*75000,IF($C64="Defense",AN64*50000,0))</f>
        <v>0</v>
      </c>
      <c r="AY64" s="5">
        <f>IF($C64="Goalkeeper",(AP64-AM64)*5000,0)</f>
        <v>0</v>
      </c>
      <c r="AZ64" s="5">
        <f>$AG64</f>
        <v>-2687.5699888017916</v>
      </c>
      <c r="BA64" s="5">
        <f>$AH64</f>
        <v>0</v>
      </c>
      <c r="BB64" s="5">
        <f>IF(X64&gt;0,AL64*10000,0)</f>
        <v>11612.459518433674</v>
      </c>
      <c r="BC64" s="5">
        <f>IF(X64&gt;0,AM64*(-8000),0)</f>
        <v>-11075.116025260617</v>
      </c>
      <c r="BD64" s="5">
        <f>IFERROR(SUM(AQ64:BC64),0)</f>
        <v>23429.757662785418</v>
      </c>
      <c r="BE64" s="16">
        <f>INDEX('Team forecast'!$B$2:$AO$26,MATCH('Master data'!$B64,'Team forecast'!$B$2:$B$26,0),MATCH('Master data'!BE$1,'Team forecast'!$B$2:$AO$2,0))</f>
        <v>1.0107278258414167</v>
      </c>
      <c r="BF64" s="16">
        <f>INDEX('Team forecast'!$B$2:$AO$26,MATCH('Master data'!$B64,'Team forecast'!$B$2:$B$26,0),MATCH('Master data'!BF$1,'Team forecast'!$B$2:$AO$2,0))</f>
        <v>1.2965069481471114</v>
      </c>
      <c r="BG64" s="16">
        <f>INDEX('Team forecast'!$B$2:$AO$26,MATCH('Master data'!$B64,'Team forecast'!$B$2:$B$26,0),MATCH('Master data'!BG$1,'Team forecast'!$B$2:$AO$2,0))</f>
        <v>0.27348542529246672</v>
      </c>
      <c r="BH64" s="16">
        <f>INDEX('Team forecast'!$B$2:$AO$26,MATCH('Master data'!$B64,'Team forecast'!$B$2:$B$26,0),MATCH('Master data'!BH$1,'Team forecast'!$B$2:$AO$2,0))</f>
        <v>2.5755293393428875</v>
      </c>
      <c r="BI64" s="16">
        <f>INDEX('Team forecast'!$B$2:$AO$26,MATCH('Master data'!$B64,'Team forecast'!$B$2:$B$26,0),MATCH('Master data'!BI$1,'Team forecast'!$B$2:$AO$2,0))</f>
        <v>3.6247412564394597</v>
      </c>
      <c r="BJ64" s="5">
        <f>AQ64</f>
        <v>7000</v>
      </c>
      <c r="BK64" s="5">
        <f>INDEX('Team forecast'!$R$3:$BH$26,MATCH($B64,'Team forecast'!$B$3:$B$26,0),MATCH(BK$1,'Team forecast'!$R$2:$BH$2,0))*IF($X64&gt;0,25000,0)</f>
        <v>7251.5074888154077</v>
      </c>
      <c r="BL64" s="5">
        <f>INDEX('Team forecast'!$R$3:$BH$26,MATCH($B64,'Team forecast'!$B$3:$B$26,0),MATCH(BL$1,'Team forecast'!$R$2:$BH$2,0))*IF($X64&gt;0,5000,0)</f>
        <v>1495.6234195681775</v>
      </c>
      <c r="BM64" s="5">
        <f>INDEX('Team forecast'!$R$3:$BH$26,MATCH($B64,'Team forecast'!$B$3:$B$26,0),MATCH(BM$1,'Team forecast'!$R$2:$BH$2,0))*IF($X64&gt;0,-15000,0)</f>
        <v>-6162.2252480062243</v>
      </c>
      <c r="BN64" s="5">
        <f>IF($C64="Defense",$N64*150000,IF($C64="Midfield",$N64*125000,IF($C64="Striker",$N64*100000,0)))*$BE64</f>
        <v>9571.8958900999241</v>
      </c>
      <c r="BO64" s="5">
        <f>$O64*50000*$BE64</f>
        <v>2704.4688624529313</v>
      </c>
      <c r="BP64" s="5">
        <f>$P64*BH64*10000</f>
        <v>1779.4164544430998</v>
      </c>
      <c r="BQ64" s="5">
        <f>IF($C64="Goalkeeper",BG64*75000,IF($C64="Defense",BG64*50000,0))</f>
        <v>0</v>
      </c>
      <c r="BR64" s="5">
        <f>IF($C64="Goalkeeper",(BI64-BF64)*5000,0)</f>
        <v>0</v>
      </c>
      <c r="BS64" s="5">
        <f>$AG64</f>
        <v>-2687.5699888017916</v>
      </c>
      <c r="BT64" s="5">
        <f>$AH64</f>
        <v>0</v>
      </c>
      <c r="BU64" s="5">
        <f>IF(AQ64&gt;0,BE64*10000,0)</f>
        <v>10107.278258414168</v>
      </c>
      <c r="BV64" s="5">
        <f>IF(AQ64&gt;0,BF64*(-8000),0)</f>
        <v>-10372.055585176891</v>
      </c>
      <c r="BW64" s="5">
        <f>IFERROR(SUM(BJ64:BV64),0)</f>
        <v>20688.3395518088</v>
      </c>
      <c r="BX64" s="5">
        <f>AVERAGE(AK64,BD64,BW64)</f>
        <v>33149.14088012305</v>
      </c>
      <c r="BY64" s="5">
        <f>BX64*3</f>
        <v>99447.422640369157</v>
      </c>
      <c r="BZ64" s="5">
        <f>INDEX('Team forecast'!$R$3:$BH$26,MATCH($B64,'Team forecast'!$B$3:$B$26,0),MATCH(BZ$1,'Team forecast'!$R$2:$BH$2,0))*($BX64-(BY64+CH64)*0.01)</f>
        <v>-2139.5188393819021</v>
      </c>
      <c r="CA64" s="5">
        <f>INDEX('Team forecast'!$R$3:$BH$26,MATCH($B64,'Team forecast'!$B$3:$B$26,0),MATCH(CA$1,'Team forecast'!$R$2:$BH$2,0))*($BX64-(BY64+BX64+CH64)*0.01)</f>
        <v>-1217.3391668044301</v>
      </c>
      <c r="CB64" s="5">
        <f>INDEX('Team forecast'!$R$3:$BH$26,MATCH($B64,'Team forecast'!$B$3:$B$26,0),MATCH(CB$1,'Team forecast'!$R$2:$BH$2,0))*($BX64-(BY64+BX64*2+CH64)*0.01)</f>
        <v>-696.03512732528429</v>
      </c>
      <c r="CC64" s="5">
        <f>INDEX('Team forecast'!$R$3:$BH$26,MATCH($B64,'Team forecast'!$B$3:$B$26,0),MATCH(CC$1,'Team forecast'!$R$2:$BH$2,0))*($BX64-(BY64+BX64*3+CH64)*0.01)</f>
        <v>-414.5646225569426</v>
      </c>
      <c r="CD64" s="5">
        <f>+AK64+BD64*Cockpit!$C$3+BW64*Cockpit!$C$3^2+BZ64*Cockpit!$C$3^3+CA64*Cockpit!$C$3^4+CB64*Cockpit!$C$3^5+CC64*Cockpit!$C$3^6</f>
        <v>79141.533685729068</v>
      </c>
      <c r="CE64" s="5"/>
      <c r="CF64" s="5"/>
      <c r="CG64" s="5">
        <v>0</v>
      </c>
      <c r="CH64" s="5">
        <f t="shared" si="43"/>
        <v>3500000</v>
      </c>
      <c r="CI64" s="5">
        <f t="shared" si="44"/>
        <v>3500000</v>
      </c>
      <c r="CJ64" s="1">
        <f t="shared" si="45"/>
        <v>2.841354932581976E-2</v>
      </c>
      <c r="CK64" s="5">
        <f>RANK(BY64,$BY$2:$BY$623)+COUNTIF($BY$2:$BY64,$BY64)-1</f>
        <v>171</v>
      </c>
      <c r="CL64" s="5">
        <f>RANK(CJ64,$CJ$2:$CJ$623)+COUNTIF($CJ$2:$CJ64,$CJ64)-1</f>
        <v>163</v>
      </c>
    </row>
    <row r="65" spans="1:90">
      <c r="A65" t="str">
        <f>Players!P66</f>
        <v>Pablo Sarabia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3000000</v>
      </c>
      <c r="H65" s="16">
        <f>INDEX('Team forecast'!$B$2:$AO$26,MATCH('Master data'!$B65,'Team forecast'!$B$2:$B$26,0),MATCH('Master data'!H$1,'Team forecast'!$B$2:$AO$2,0))</f>
        <v>1.7533592214060363</v>
      </c>
      <c r="I65" s="16">
        <f>INDEX('Team forecast'!$B$2:$AO$26,MATCH('Master data'!$B65,'Team forecast'!$B$2:$B$26,0),MATCH('Master data'!I$1,'Team forecast'!$B$2:$AO$2,0))</f>
        <v>0.63639779406972985</v>
      </c>
      <c r="J65" s="16">
        <f>INDEX('Team forecast'!$B$2:$AO$26,MATCH('Master data'!$B65,'Team forecast'!$B$2:$B$26,0),MATCH('Master data'!J$1,'Team forecast'!$B$2:$AO$2,0))</f>
        <v>0.52919526509499659</v>
      </c>
      <c r="K65" s="16">
        <f>INDEX('Team forecast'!$B$2:$AO$26,MATCH('Master data'!$B65,'Team forecast'!$B$2:$B$26,0),MATCH('Master data'!K$1,'Team forecast'!$B$2:$AO$2,0))</f>
        <v>4.835748720224867</v>
      </c>
      <c r="L65" s="16">
        <f>INDEX('Team forecast'!$B$2:$AO$26,MATCH('Master data'!$B65,'Team forecast'!$B$2:$B$26,0),MATCH('Master data'!L$1,'Team forecast'!$B$2:$AO$2,0))</f>
        <v>2.0891846775016383</v>
      </c>
      <c r="M65">
        <f>IF(Players!BC66=1,95,0)</f>
        <v>0</v>
      </c>
      <c r="N65" s="2">
        <f>Players!BN66</f>
        <v>0</v>
      </c>
      <c r="O65" s="2">
        <f>Players!BO66</f>
        <v>0</v>
      </c>
      <c r="P65" s="2">
        <f>Players!BP66</f>
        <v>0</v>
      </c>
      <c r="Q65" s="2">
        <f>Players!BQ66</f>
        <v>6.8545316070068543E-2</v>
      </c>
      <c r="R65" s="2">
        <f>Players!BR66</f>
        <v>0</v>
      </c>
      <c r="S65" s="2">
        <f>H65</f>
        <v>1.7533592214060363</v>
      </c>
      <c r="T65" s="2">
        <f>I65</f>
        <v>0.63639779406972985</v>
      </c>
      <c r="U65" s="16">
        <f>INDEX('Team forecast'!$B$2:$AO$26,MATCH('Master data'!$B65,'Team forecast'!$B$2:$B$26,0),MATCH('Master data'!U$1,'Team forecast'!$B$2:$AO$2,0))</f>
        <v>0.68039391226499568</v>
      </c>
      <c r="V65" s="16">
        <f>INDEX('Team forecast'!$B$2:$AO$26,MATCH('Master data'!$B65,'Team forecast'!$B$2:$B$26,0),MATCH('Master data'!V$1,'Team forecast'!$B$2:$AO$2,0))</f>
        <v>0.20053715308863029</v>
      </c>
      <c r="W65" s="16">
        <f>INDEX('Team forecast'!$B$2:$AO$26,MATCH('Master data'!$B65,'Team forecast'!$B$2:$B$26,0),MATCH('Master data'!W$1,'Team forecast'!$B$2:$AO$2,0))</f>
        <v>0.11906893464637421</v>
      </c>
      <c r="X65" s="5">
        <f>IF(M65&gt;95,7000*2,IF(M65&gt;0,7000,-5000))</f>
        <v>-5000</v>
      </c>
      <c r="Y65" s="5">
        <f>IF($X65&gt;0,U65*25000,0)</f>
        <v>0</v>
      </c>
      <c r="Z65" s="5">
        <f>IF($X65&gt;0,V65*5000,0)</f>
        <v>0</v>
      </c>
      <c r="AA65" s="5">
        <f>IF($X65&gt;0,W65*(-15000),0)</f>
        <v>0</v>
      </c>
      <c r="AB65" s="5">
        <f>IF($C65="Defense",$N65*150000,IF($C65="Midfield",$N65*125000,IF($C65="Striker",$N65*100000,0)))*$H65</f>
        <v>0</v>
      </c>
      <c r="AC65" s="5">
        <f>$O65*50000*H65</f>
        <v>0</v>
      </c>
      <c r="AD65" s="5">
        <f>$P65*K65*10000</f>
        <v>0</v>
      </c>
      <c r="AE65" s="5">
        <f>IF($C65="Goalkeeper",J65*75000,IF($C65="Defense",J65*50000,0))</f>
        <v>0</v>
      </c>
      <c r="AF65" s="5">
        <f>IF($C65="Goalkeeper",(L65-I65)*5000,0)</f>
        <v>0</v>
      </c>
      <c r="AG65" s="5">
        <f>IF(M65&gt;0,Q65*(-20000),0)</f>
        <v>0</v>
      </c>
      <c r="AH65" s="5">
        <f>IF(M65&gt;0,R65*(-50000),0)</f>
        <v>0</v>
      </c>
      <c r="AI65" s="5">
        <f>IF(M65&gt;0,S65*10000,0)</f>
        <v>0</v>
      </c>
      <c r="AJ65" s="5">
        <f>IF(M65&gt;0,T65*(-8000),0)</f>
        <v>0</v>
      </c>
      <c r="AK65" s="5">
        <f>IFERROR(SUM(X65:AJ65),-5000)*((Cockpit!$C$3)^0)</f>
        <v>-5000</v>
      </c>
      <c r="AL65" s="16">
        <f>INDEX('Team forecast'!$B$2:$AO$26,MATCH('Master data'!$B65,'Team forecast'!$B$2:$B$26,0),MATCH('Master data'!AL$1,'Team forecast'!$B$2:$AO$2,0))</f>
        <v>1.9080439968215523</v>
      </c>
      <c r="AM65" s="16">
        <f>INDEX('Team forecast'!$B$2:$AO$26,MATCH('Master data'!$B65,'Team forecast'!$B$2:$B$26,0),MATCH('Master data'!AM$1,'Team forecast'!$B$2:$AO$2,0))</f>
        <v>0.77817916464933856</v>
      </c>
      <c r="AN65" s="16">
        <f>INDEX('Team forecast'!$B$2:$AO$26,MATCH('Master data'!$B65,'Team forecast'!$B$2:$B$26,0),MATCH('Master data'!AN$1,'Team forecast'!$B$2:$AO$2,0))</f>
        <v>0.459241453546125</v>
      </c>
      <c r="AO65" s="16">
        <f>INDEX('Team forecast'!$B$2:$AO$26,MATCH('Master data'!$B65,'Team forecast'!$B$2:$B$26,0),MATCH('Master data'!AO$1,'Team forecast'!$B$2:$AO$2,0))</f>
        <v>5.26236791817451</v>
      </c>
      <c r="AP65" s="16">
        <f>INDEX('Team forecast'!$B$2:$AO$26,MATCH('Master data'!$B65,'Team forecast'!$B$2:$B$26,0),MATCH('Master data'!AP$1,'Team forecast'!$B$2:$AO$2,0))</f>
        <v>2.5546285708185357</v>
      </c>
      <c r="AQ65" s="5">
        <f>X65</f>
        <v>-5000</v>
      </c>
      <c r="AR65" s="5">
        <f>INDEX('Team forecast'!$B$2:$AO$26,MATCH('Master data'!$B65,'Team forecast'!$B$2:$B$26,0),MATCH('Master data'!AR$1,'Team forecast'!$B$2:$AO$2,0))*IF(X65&gt;0,25000,0)</f>
        <v>0</v>
      </c>
      <c r="AS65" s="16">
        <f>INDEX('Team forecast'!$B$2:$AO$26,MATCH('Master data'!$B65,'Team forecast'!$B$2:$B$26,0),MATCH('Master data'!AS$1,'Team forecast'!$B$2:$AO$2,0))*IF(X65&gt;0,5000,0)</f>
        <v>0</v>
      </c>
      <c r="AT65" s="16">
        <f>INDEX('Team forecast'!$B$2:$AO$26,MATCH('Master data'!$B65,'Team forecast'!$B$2:$B$26,0),MATCH('Master data'!AT$1,'Team forecast'!$B$2:$AO$2,0))*IF(X65&gt;0,-15000,0)</f>
        <v>0</v>
      </c>
      <c r="AU65" s="5">
        <f>IF($C65="Defense",$N65*150000,IF($C65="Midfield",$N65*125000,IF($C65="Striker",$N65*100000,0)))*$AL65</f>
        <v>0</v>
      </c>
      <c r="AV65" s="5">
        <f>$O65*50000*AL65</f>
        <v>0</v>
      </c>
      <c r="AW65" s="5">
        <f>$P65*AO65*10000</f>
        <v>0</v>
      </c>
      <c r="AX65" s="5">
        <f>IF($C65="Goalkeeper",AN65*75000,IF($C65="Defense",AN65*50000,0))</f>
        <v>0</v>
      </c>
      <c r="AY65" s="5">
        <f>IF($C65="Goalkeeper",(AP65-AM65)*5000,0)</f>
        <v>0</v>
      </c>
      <c r="AZ65" s="5">
        <f>$AG65</f>
        <v>0</v>
      </c>
      <c r="BA65" s="5">
        <f>$AH65</f>
        <v>0</v>
      </c>
      <c r="BB65" s="5">
        <f>IF(X65&gt;0,AL65*10000,0)</f>
        <v>0</v>
      </c>
      <c r="BC65" s="5">
        <f>IF(X65&gt;0,AM65*(-8000),0)</f>
        <v>0</v>
      </c>
      <c r="BD65" s="5">
        <f>IFERROR(SUM(AQ65:BC65),0)</f>
        <v>-5000</v>
      </c>
      <c r="BE65" s="16">
        <f>INDEX('Team forecast'!$B$2:$AO$26,MATCH('Master data'!$B65,'Team forecast'!$B$2:$B$26,0),MATCH('Master data'!BE$1,'Team forecast'!$B$2:$AO$2,0))</f>
        <v>2.3513752571634776</v>
      </c>
      <c r="BF65" s="16">
        <f>INDEX('Team forecast'!$B$2:$AO$26,MATCH('Master data'!$B65,'Team forecast'!$B$2:$B$26,0),MATCH('Master data'!BF$1,'Team forecast'!$B$2:$AO$2,0))</f>
        <v>0.56161379059809569</v>
      </c>
      <c r="BG65" s="16">
        <f>INDEX('Team forecast'!$B$2:$AO$26,MATCH('Master data'!$B65,'Team forecast'!$B$2:$B$26,0),MATCH('Master data'!BG$1,'Team forecast'!$B$2:$AO$2,0))</f>
        <v>0.57028799543769604</v>
      </c>
      <c r="BH65" s="16">
        <f>INDEX('Team forecast'!$B$2:$AO$26,MATCH('Master data'!$B65,'Team forecast'!$B$2:$B$26,0),MATCH('Master data'!BH$1,'Team forecast'!$B$2:$AO$2,0))</f>
        <v>6.4850714855102307</v>
      </c>
      <c r="BI65" s="16">
        <f>INDEX('Team forecast'!$B$2:$AO$26,MATCH('Master data'!$B65,'Team forecast'!$B$2:$B$26,0),MATCH('Master data'!BI$1,'Team forecast'!$B$2:$AO$2,0))</f>
        <v>1.8436816358018293</v>
      </c>
      <c r="BJ65" s="5">
        <f>AQ65</f>
        <v>-5000</v>
      </c>
      <c r="BK65" s="5">
        <f>INDEX('Team forecast'!$R$3:$BH$26,MATCH($B65,'Team forecast'!$B$3:$B$26,0),MATCH(BK$1,'Team forecast'!$R$2:$BH$2,0))*IF($X65&gt;0,25000,0)</f>
        <v>0</v>
      </c>
      <c r="BL65" s="5">
        <f>INDEX('Team forecast'!$R$3:$BH$26,MATCH($B65,'Team forecast'!$B$3:$B$26,0),MATCH(BL$1,'Team forecast'!$R$2:$BH$2,0))*IF($X65&gt;0,5000,0)</f>
        <v>0</v>
      </c>
      <c r="BM65" s="5">
        <f>INDEX('Team forecast'!$R$3:$BH$26,MATCH($B65,'Team forecast'!$B$3:$B$26,0),MATCH(BM$1,'Team forecast'!$R$2:$BH$2,0))*IF($X65&gt;0,-15000,0)</f>
        <v>0</v>
      </c>
      <c r="BN65" s="5">
        <f>IF($C65="Defense",$N65*150000,IF($C65="Midfield",$N65*125000,IF($C65="Striker",$N65*100000,0)))*$BE65</f>
        <v>0</v>
      </c>
      <c r="BO65" s="5">
        <f>$O65*50000*$BE65</f>
        <v>0</v>
      </c>
      <c r="BP65" s="5">
        <f>$P65*BH65*10000</f>
        <v>0</v>
      </c>
      <c r="BQ65" s="5">
        <f>IF($C65="Goalkeeper",BG65*75000,IF($C65="Defense",BG65*50000,0))</f>
        <v>0</v>
      </c>
      <c r="BR65" s="5">
        <f>IF($C65="Goalkeeper",(BI65-BF65)*5000,0)</f>
        <v>0</v>
      </c>
      <c r="BS65" s="5">
        <f>$AG65</f>
        <v>0</v>
      </c>
      <c r="BT65" s="5">
        <f>$AH65</f>
        <v>0</v>
      </c>
      <c r="BU65" s="5">
        <f>IF(AQ65&gt;0,BE65*10000,0)</f>
        <v>0</v>
      </c>
      <c r="BV65" s="5">
        <f>IF(AQ65&gt;0,BF65*(-8000),0)</f>
        <v>0</v>
      </c>
      <c r="BW65" s="5">
        <f>IFERROR(SUM(BJ65:BV65),0)</f>
        <v>-5000</v>
      </c>
      <c r="BX65" s="5">
        <f>AVERAGE(AK65,BD65,BW65)</f>
        <v>-5000</v>
      </c>
      <c r="BY65" s="5">
        <f>BX65*3</f>
        <v>-15000</v>
      </c>
      <c r="BZ65" s="5">
        <f>INDEX('Team forecast'!$R$3:$BH$26,MATCH($B65,'Team forecast'!$B$3:$B$26,0),MATCH(BZ$1,'Team forecast'!$R$2:$BH$2,0))*($BX65-(BY65+CH65)*0.01)</f>
        <v>-33692.265409621345</v>
      </c>
      <c r="CA65" s="5">
        <f>INDEX('Team forecast'!$R$3:$BH$26,MATCH($B65,'Team forecast'!$B$3:$B$26,0),MATCH(CA$1,'Team forecast'!$R$2:$BH$2,0))*($BX65-(BY65+BX65+CH65)*0.01)</f>
        <v>-17048.904626288291</v>
      </c>
      <c r="CB65" s="5">
        <f>INDEX('Team forecast'!$R$3:$BH$26,MATCH($B65,'Team forecast'!$B$3:$B$26,0),MATCH(CB$1,'Team forecast'!$R$2:$BH$2,0))*($BX65-(BY65+BX65*2+CH65)*0.01)</f>
        <v>-8725.4895661181599</v>
      </c>
      <c r="CC65" s="5">
        <f>INDEX('Team forecast'!$R$3:$BH$26,MATCH($B65,'Team forecast'!$B$3:$B$26,0),MATCH(CC$1,'Team forecast'!$R$2:$BH$2,0))*($BX65-(BY65+BX65*3+CH65)*0.01)</f>
        <v>-4631.0971648895811</v>
      </c>
      <c r="CD65" s="5">
        <f>+AK65+BD65*Cockpit!$C$3+BW65*Cockpit!$C$3^2+BZ65*Cockpit!$C$3^3+CA65*Cockpit!$C$3^4+CB65*Cockpit!$C$3^5+CC65*Cockpit!$C$3^6</f>
        <v>-25461.740482255143</v>
      </c>
      <c r="CE65" s="5"/>
      <c r="CF65" s="5"/>
      <c r="CG65" s="5">
        <v>0</v>
      </c>
      <c r="CH65" s="5">
        <f t="shared" si="43"/>
        <v>3000000</v>
      </c>
      <c r="CI65" s="5">
        <f t="shared" si="44"/>
        <v>3000000</v>
      </c>
      <c r="CJ65" s="1">
        <f t="shared" si="45"/>
        <v>-5.0000000000000001E-3</v>
      </c>
      <c r="CK65" s="5">
        <f>RANK(BY65,$BY$2:$BY$623)+COUNTIF($BY$2:$BY65,$BY65)-1</f>
        <v>439</v>
      </c>
      <c r="CL65" s="5">
        <f>RANK(CJ65,$CJ$2:$CJ$623)+COUNTIF($CJ$2:$CJ65,$CJ65)-1</f>
        <v>483</v>
      </c>
    </row>
    <row r="66" spans="1:90">
      <c r="A66" t="str">
        <f>Players!P67</f>
        <v>Koke</v>
      </c>
      <c r="B66" t="str">
        <f>Players!G67</f>
        <v>Spain</v>
      </c>
      <c r="C66" t="str">
        <f>Players!AB67</f>
        <v>Midfield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4000000</v>
      </c>
      <c r="H66" s="16">
        <f>INDEX('Team forecast'!$B$2:$AO$26,MATCH('Master data'!$B66,'Team forecast'!$B$2:$B$26,0),MATCH('Master data'!H$1,'Team forecast'!$B$2:$AO$2,0))</f>
        <v>1.7533592214060363</v>
      </c>
      <c r="I66" s="16">
        <f>INDEX('Team forecast'!$B$2:$AO$26,MATCH('Master data'!$B66,'Team forecast'!$B$2:$B$26,0),MATCH('Master data'!I$1,'Team forecast'!$B$2:$AO$2,0))</f>
        <v>0.63639779406972985</v>
      </c>
      <c r="J66" s="16">
        <f>INDEX('Team forecast'!$B$2:$AO$26,MATCH('Master data'!$B66,'Team forecast'!$B$2:$B$26,0),MATCH('Master data'!J$1,'Team forecast'!$B$2:$AO$2,0))</f>
        <v>0.52919526509499659</v>
      </c>
      <c r="K66" s="16">
        <f>INDEX('Team forecast'!$B$2:$AO$26,MATCH('Master data'!$B66,'Team forecast'!$B$2:$B$26,0),MATCH('Master data'!K$1,'Team forecast'!$B$2:$AO$2,0))</f>
        <v>4.835748720224867</v>
      </c>
      <c r="L66" s="16">
        <f>INDEX('Team forecast'!$B$2:$AO$26,MATCH('Master data'!$B66,'Team forecast'!$B$2:$B$26,0),MATCH('Master data'!L$1,'Team forecast'!$B$2:$AO$2,0))</f>
        <v>2.0891846775016383</v>
      </c>
      <c r="M66">
        <f>IF(Players!BC67=1,95,0)</f>
        <v>95</v>
      </c>
      <c r="N66" s="2">
        <f>Players!BN67</f>
        <v>4.4852232493396316E-2</v>
      </c>
      <c r="O66" s="2">
        <f>Players!BO67</f>
        <v>5.6451964305937852E-2</v>
      </c>
      <c r="P66" s="2">
        <f>Players!BP67</f>
        <v>3.2988278565149146E-2</v>
      </c>
      <c r="Q66" s="2">
        <f>Players!BQ67</f>
        <v>0.14446227929373998</v>
      </c>
      <c r="R66" s="2">
        <f>Players!BR67</f>
        <v>0</v>
      </c>
      <c r="S66" s="2">
        <f>H66</f>
        <v>1.7533592214060363</v>
      </c>
      <c r="T66" s="2">
        <f>I66</f>
        <v>0.63639779406972985</v>
      </c>
      <c r="U66" s="16">
        <f>INDEX('Team forecast'!$B$2:$AO$26,MATCH('Master data'!$B66,'Team forecast'!$B$2:$B$26,0),MATCH('Master data'!U$1,'Team forecast'!$B$2:$AO$2,0))</f>
        <v>0.68039391226499568</v>
      </c>
      <c r="V66" s="16">
        <f>INDEX('Team forecast'!$B$2:$AO$26,MATCH('Master data'!$B66,'Team forecast'!$B$2:$B$26,0),MATCH('Master data'!V$1,'Team forecast'!$B$2:$AO$2,0))</f>
        <v>0.20053715308863029</v>
      </c>
      <c r="W66" s="16">
        <f>INDEX('Team forecast'!$B$2:$AO$26,MATCH('Master data'!$B66,'Team forecast'!$B$2:$B$26,0),MATCH('Master data'!W$1,'Team forecast'!$B$2:$AO$2,0))</f>
        <v>0.11906893464637421</v>
      </c>
      <c r="X66" s="5">
        <f>IF(M66&gt;95,7000*2,IF(M66&gt;0,7000,-5000))</f>
        <v>7000</v>
      </c>
      <c r="Y66" s="5">
        <f>IF($X66&gt;0,U66*25000,0)</f>
        <v>17009.847806624894</v>
      </c>
      <c r="Z66" s="5">
        <f>IF($X66&gt;0,V66*5000,0)</f>
        <v>1002.6857654431515</v>
      </c>
      <c r="AA66" s="5">
        <f>IF($X66&gt;0,W66*(-15000),0)</f>
        <v>-1786.0340196956131</v>
      </c>
      <c r="AB66" s="5">
        <f>IF($C66="Defense",$N66*150000,IF($C66="Midfield",$N66*125000,IF($C66="Striker",$N66*100000,0)))*$H66</f>
        <v>9830.2594303679853</v>
      </c>
      <c r="AC66" s="5">
        <f>$O66*50000*H66</f>
        <v>4949.0286091150274</v>
      </c>
      <c r="AD66" s="5">
        <f>$P66*K66*10000</f>
        <v>1595.2302585384141</v>
      </c>
      <c r="AE66" s="5">
        <f>IF($C66="Goalkeeper",J66*75000,IF($C66="Defense",J66*50000,0))</f>
        <v>0</v>
      </c>
      <c r="AF66" s="5">
        <f>IF($C66="Goalkeeper",(L66-I66)*5000,0)</f>
        <v>0</v>
      </c>
      <c r="AG66" s="5">
        <f>IF(M66&gt;0,Q66*(-20000),0)</f>
        <v>-2889.2455858747994</v>
      </c>
      <c r="AH66" s="5">
        <f>IF(M66&gt;0,R66*(-50000),0)</f>
        <v>0</v>
      </c>
      <c r="AI66" s="5">
        <f>IF(M66&gt;0,S66*10000,0)</f>
        <v>17533.592214060362</v>
      </c>
      <c r="AJ66" s="5">
        <f>IF(M66&gt;0,T66*(-8000),0)</f>
        <v>-5091.1823525578384</v>
      </c>
      <c r="AK66" s="5">
        <f>IFERROR(SUM(X66:AJ66),-5000)*((Cockpit!$C$3)^0)</f>
        <v>49154.18212602158</v>
      </c>
      <c r="AL66" s="16">
        <f>INDEX('Team forecast'!$B$2:$AO$26,MATCH('Master data'!$B66,'Team forecast'!$B$2:$B$26,0),MATCH('Master data'!AL$1,'Team forecast'!$B$2:$AO$2,0))</f>
        <v>1.9080439968215523</v>
      </c>
      <c r="AM66" s="16">
        <f>INDEX('Team forecast'!$B$2:$AO$26,MATCH('Master data'!$B66,'Team forecast'!$B$2:$B$26,0),MATCH('Master data'!AM$1,'Team forecast'!$B$2:$AO$2,0))</f>
        <v>0.77817916464933856</v>
      </c>
      <c r="AN66" s="16">
        <f>INDEX('Team forecast'!$B$2:$AO$26,MATCH('Master data'!$B66,'Team forecast'!$B$2:$B$26,0),MATCH('Master data'!AN$1,'Team forecast'!$B$2:$AO$2,0))</f>
        <v>0.459241453546125</v>
      </c>
      <c r="AO66" s="16">
        <f>INDEX('Team forecast'!$B$2:$AO$26,MATCH('Master data'!$B66,'Team forecast'!$B$2:$B$26,0),MATCH('Master data'!AO$1,'Team forecast'!$B$2:$AO$2,0))</f>
        <v>5.26236791817451</v>
      </c>
      <c r="AP66" s="16">
        <f>INDEX('Team forecast'!$B$2:$AO$26,MATCH('Master data'!$B66,'Team forecast'!$B$2:$B$26,0),MATCH('Master data'!AP$1,'Team forecast'!$B$2:$AO$2,0))</f>
        <v>2.5546285708185357</v>
      </c>
      <c r="AQ66" s="5">
        <f>X66</f>
        <v>7000</v>
      </c>
      <c r="AR66" s="5">
        <f>INDEX('Team forecast'!$B$2:$AO$26,MATCH('Master data'!$B66,'Team forecast'!$B$2:$B$26,0),MATCH('Master data'!AR$1,'Team forecast'!$B$2:$AO$2,0))*IF(X66&gt;0,25000,0)</f>
        <v>16181.32638333662</v>
      </c>
      <c r="AS66" s="16">
        <f>INDEX('Team forecast'!$B$2:$AO$26,MATCH('Master data'!$B66,'Team forecast'!$B$2:$B$26,0),MATCH('Master data'!AS$1,'Team forecast'!$B$2:$AO$2,0))*IF(X66&gt;0,5000,0)</f>
        <v>1059.787969721827</v>
      </c>
      <c r="AT66" s="16">
        <f>INDEX('Team forecast'!$B$2:$AO$26,MATCH('Master data'!$B66,'Team forecast'!$B$2:$B$26,0),MATCH('Master data'!AT$1,'Team forecast'!$B$2:$AO$2,0))*IF(X66&gt;0,-15000,0)</f>
        <v>-2111.8402608325455</v>
      </c>
      <c r="AU66" s="5">
        <f>IF($C66="Defense",$N66*150000,IF($C66="Midfield",$N66*125000,IF($C66="Striker",$N66*100000,0)))*$AL66</f>
        <v>10697.504119133677</v>
      </c>
      <c r="AV66" s="5">
        <f>$O66*50000*AL66</f>
        <v>5385.6415801364637</v>
      </c>
      <c r="AW66" s="5">
        <f>$P66*AO66*10000</f>
        <v>1735.9645879704472</v>
      </c>
      <c r="AX66" s="5">
        <f>IF($C66="Goalkeeper",AN66*75000,IF($C66="Defense",AN66*50000,0))</f>
        <v>0</v>
      </c>
      <c r="AY66" s="5">
        <f>IF($C66="Goalkeeper",(AP66-AM66)*5000,0)</f>
        <v>0</v>
      </c>
      <c r="AZ66" s="5">
        <f>$AG66</f>
        <v>-2889.2455858747994</v>
      </c>
      <c r="BA66" s="5">
        <f>$AH66</f>
        <v>0</v>
      </c>
      <c r="BB66" s="5">
        <f>IF(X66&gt;0,AL66*10000,0)</f>
        <v>19080.439968215524</v>
      </c>
      <c r="BC66" s="5">
        <f>IF(X66&gt;0,AM66*(-8000),0)</f>
        <v>-6225.4333171947083</v>
      </c>
      <c r="BD66" s="5">
        <f>IFERROR(SUM(AQ66:BC66),0)</f>
        <v>49914.145444612514</v>
      </c>
      <c r="BE66" s="16">
        <f>INDEX('Team forecast'!$B$2:$AO$26,MATCH('Master data'!$B66,'Team forecast'!$B$2:$B$26,0),MATCH('Master data'!BE$1,'Team forecast'!$B$2:$AO$2,0))</f>
        <v>2.3513752571634776</v>
      </c>
      <c r="BF66" s="16">
        <f>INDEX('Team forecast'!$B$2:$AO$26,MATCH('Master data'!$B66,'Team forecast'!$B$2:$B$26,0),MATCH('Master data'!BF$1,'Team forecast'!$B$2:$AO$2,0))</f>
        <v>0.56161379059809569</v>
      </c>
      <c r="BG66" s="16">
        <f>INDEX('Team forecast'!$B$2:$AO$26,MATCH('Master data'!$B66,'Team forecast'!$B$2:$B$26,0),MATCH('Master data'!BG$1,'Team forecast'!$B$2:$AO$2,0))</f>
        <v>0.57028799543769604</v>
      </c>
      <c r="BH66" s="16">
        <f>INDEX('Team forecast'!$B$2:$AO$26,MATCH('Master data'!$B66,'Team forecast'!$B$2:$B$26,0),MATCH('Master data'!BH$1,'Team forecast'!$B$2:$AO$2,0))</f>
        <v>6.4850714855102307</v>
      </c>
      <c r="BI66" s="16">
        <f>INDEX('Team forecast'!$B$2:$AO$26,MATCH('Master data'!$B66,'Team forecast'!$B$2:$B$26,0),MATCH('Master data'!BI$1,'Team forecast'!$B$2:$AO$2,0))</f>
        <v>1.8436816358018293</v>
      </c>
      <c r="BJ66" s="5">
        <f>AQ66</f>
        <v>7000</v>
      </c>
      <c r="BK66" s="5">
        <f>INDEX('Team forecast'!$R$3:$BH$26,MATCH($B66,'Team forecast'!$B$3:$B$26,0),MATCH(BK$1,'Team forecast'!$R$2:$BH$2,0))*IF($X66&gt;0,25000,0)</f>
        <v>19047.619047619046</v>
      </c>
      <c r="BL66" s="5">
        <f>INDEX('Team forecast'!$R$3:$BH$26,MATCH($B66,'Team forecast'!$B$3:$B$26,0),MATCH(BL$1,'Team forecast'!$R$2:$BH$2,0))*IF($X66&gt;0,5000,0)</f>
        <v>850.34013605442146</v>
      </c>
      <c r="BM66" s="5">
        <f>INDEX('Team forecast'!$R$3:$BH$26,MATCH($B66,'Team forecast'!$B$3:$B$26,0),MATCH(BM$1,'Team forecast'!$R$2:$BH$2,0))*IF($X66&gt;0,-15000,0)</f>
        <v>-1020.408163265306</v>
      </c>
      <c r="BN66" s="5">
        <f>IF($C66="Defense",$N66*150000,IF($C66="Midfield",$N66*125000,IF($C66="Striker",$N66*100000,0)))*$BE66</f>
        <v>13183.053714189482</v>
      </c>
      <c r="BO66" s="5">
        <f>$O66*50000*$BE66</f>
        <v>6636.9876043629038</v>
      </c>
      <c r="BP66" s="5">
        <f>$P66*BH66*10000</f>
        <v>2139.3134467891709</v>
      </c>
      <c r="BQ66" s="5">
        <f>IF($C66="Goalkeeper",BG66*75000,IF($C66="Defense",BG66*50000,0))</f>
        <v>0</v>
      </c>
      <c r="BR66" s="5">
        <f>IF($C66="Goalkeeper",(BI66-BF66)*5000,0)</f>
        <v>0</v>
      </c>
      <c r="BS66" s="5">
        <f>$AG66</f>
        <v>-2889.2455858747994</v>
      </c>
      <c r="BT66" s="5">
        <f>$AH66</f>
        <v>0</v>
      </c>
      <c r="BU66" s="5">
        <f>IF(AQ66&gt;0,BE66*10000,0)</f>
        <v>23513.752571634777</v>
      </c>
      <c r="BV66" s="5">
        <f>IF(AQ66&gt;0,BF66*(-8000),0)</f>
        <v>-4492.9103247847652</v>
      </c>
      <c r="BW66" s="5">
        <f>IFERROR(SUM(BJ66:BV66),0)</f>
        <v>63968.502446724931</v>
      </c>
      <c r="BX66" s="5">
        <f>AVERAGE(AK66,BD66,BW66)</f>
        <v>54345.610005786344</v>
      </c>
      <c r="BY66" s="5">
        <f>BX66*3</f>
        <v>163036.83001735903</v>
      </c>
      <c r="BZ66" s="5">
        <f>INDEX('Team forecast'!$R$3:$BH$26,MATCH($B66,'Team forecast'!$B$3:$B$26,0),MATCH(BZ$1,'Team forecast'!$R$2:$BH$2,0))*($BX66-(BY66+CH66)*0.01)</f>
        <v>12292.834958192001</v>
      </c>
      <c r="CA66" s="5">
        <f>INDEX('Team forecast'!$R$3:$BH$26,MATCH($B66,'Team forecast'!$B$3:$B$26,0),MATCH(CA$1,'Team forecast'!$R$2:$BH$2,0))*($BX66-(BY66+BX66+CH66)*0.01)</f>
        <v>5963.0922965728132</v>
      </c>
      <c r="CB66" s="5">
        <f>INDEX('Team forecast'!$R$3:$BH$26,MATCH($B66,'Team forecast'!$B$3:$B$26,0),MATCH(CB$1,'Team forecast'!$R$2:$BH$2,0))*($BX66-(BY66+BX66*2+CH66)*0.01)</f>
        <v>2919.7947560172165</v>
      </c>
      <c r="CC66" s="5">
        <f>INDEX('Team forecast'!$R$3:$BH$26,MATCH($B66,'Team forecast'!$B$3:$B$26,0),MATCH(CC$1,'Team forecast'!$R$2:$BH$2,0))*($BX66-(BY66+BX66*3+CH66)*0.01)</f>
        <v>1479.3984380717352</v>
      </c>
      <c r="CD66" s="5">
        <f>+AK66+BD66*Cockpit!$C$3+BW66*Cockpit!$C$3^2+BZ66*Cockpit!$C$3^3+CA66*Cockpit!$C$3^4+CB66*Cockpit!$C$3^5+CC66*Cockpit!$C$3^6</f>
        <v>116195.31918653016</v>
      </c>
      <c r="CE66" s="5"/>
      <c r="CF66" s="5"/>
      <c r="CG66" s="5">
        <v>0</v>
      </c>
      <c r="CH66" s="5">
        <f t="shared" si="43"/>
        <v>4000000</v>
      </c>
      <c r="CI66" s="5">
        <f t="shared" si="44"/>
        <v>4000000</v>
      </c>
      <c r="CJ66" s="1">
        <f t="shared" si="45"/>
        <v>4.0759207504339756E-2</v>
      </c>
      <c r="CK66" s="5">
        <f>RANK(BY66,$BY$2:$BY$623)+COUNTIF($BY$2:$BY66,$BY66)-1</f>
        <v>83</v>
      </c>
      <c r="CL66" s="5">
        <f>RANK(CJ66,$CJ$2:$CJ$623)+COUNTIF($CJ$2:$CJ66,$CJ66)-1</f>
        <v>69</v>
      </c>
    </row>
    <row r="67" spans="1:90">
      <c r="A67" t="str">
        <f>Players!P68</f>
        <v>Adama Traoré</v>
      </c>
      <c r="B67" t="str">
        <f>Players!G68</f>
        <v>Spain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2500000</v>
      </c>
      <c r="H67" s="16">
        <f>INDEX('Team forecast'!$B$2:$AO$26,MATCH('Master data'!$B67,'Team forecast'!$B$2:$B$26,0),MATCH('Master data'!H$1,'Team forecast'!$B$2:$AO$2,0))</f>
        <v>1.7533592214060363</v>
      </c>
      <c r="I67" s="16">
        <f>INDEX('Team forecast'!$B$2:$AO$26,MATCH('Master data'!$B67,'Team forecast'!$B$2:$B$26,0),MATCH('Master data'!I$1,'Team forecast'!$B$2:$AO$2,0))</f>
        <v>0.63639779406972985</v>
      </c>
      <c r="J67" s="16">
        <f>INDEX('Team forecast'!$B$2:$AO$26,MATCH('Master data'!$B67,'Team forecast'!$B$2:$B$26,0),MATCH('Master data'!J$1,'Team forecast'!$B$2:$AO$2,0))</f>
        <v>0.52919526509499659</v>
      </c>
      <c r="K67" s="16">
        <f>INDEX('Team forecast'!$B$2:$AO$26,MATCH('Master data'!$B67,'Team forecast'!$B$2:$B$26,0),MATCH('Master data'!K$1,'Team forecast'!$B$2:$AO$2,0))</f>
        <v>4.835748720224867</v>
      </c>
      <c r="L67" s="16">
        <f>INDEX('Team forecast'!$B$2:$AO$26,MATCH('Master data'!$B67,'Team forecast'!$B$2:$B$26,0),MATCH('Master data'!L$1,'Team forecast'!$B$2:$AO$2,0))</f>
        <v>2.0891846775016383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6.8130204390613167E-2</v>
      </c>
      <c r="R67" s="2">
        <f>Players!BR68</f>
        <v>0</v>
      </c>
      <c r="S67" s="2">
        <f>H67</f>
        <v>1.7533592214060363</v>
      </c>
      <c r="T67" s="2">
        <f>I67</f>
        <v>0.63639779406972985</v>
      </c>
      <c r="U67" s="16">
        <f>INDEX('Team forecast'!$B$2:$AO$26,MATCH('Master data'!$B67,'Team forecast'!$B$2:$B$26,0),MATCH('Master data'!U$1,'Team forecast'!$B$2:$AO$2,0))</f>
        <v>0.68039391226499568</v>
      </c>
      <c r="V67" s="16">
        <f>INDEX('Team forecast'!$B$2:$AO$26,MATCH('Master data'!$B67,'Team forecast'!$B$2:$B$26,0),MATCH('Master data'!V$1,'Team forecast'!$B$2:$AO$2,0))</f>
        <v>0.20053715308863029</v>
      </c>
      <c r="W67" s="16">
        <f>INDEX('Team forecast'!$B$2:$AO$26,MATCH('Master data'!$B67,'Team forecast'!$B$2:$B$26,0),MATCH('Master data'!W$1,'Team forecast'!$B$2:$AO$2,0))</f>
        <v>0.11906893464637421</v>
      </c>
      <c r="X67" s="5">
        <f>IF(M67&gt;95,7000*2,IF(M67&gt;0,7000,-5000))</f>
        <v>-5000</v>
      </c>
      <c r="Y67" s="5">
        <f>IF($X67&gt;0,U67*25000,0)</f>
        <v>0</v>
      </c>
      <c r="Z67" s="5">
        <f>IF($X67&gt;0,V67*5000,0)</f>
        <v>0</v>
      </c>
      <c r="AA67" s="5">
        <f>IF($X67&gt;0,W67*(-15000),0)</f>
        <v>0</v>
      </c>
      <c r="AB67" s="5">
        <f>IF($C67="Defense",$N67*150000,IF($C67="Midfield",$N67*125000,IF($C67="Striker",$N67*100000,0)))*$H67</f>
        <v>0</v>
      </c>
      <c r="AC67" s="5">
        <f>$O67*50000*H67</f>
        <v>0</v>
      </c>
      <c r="AD67" s="5">
        <f>$P67*K67*10000</f>
        <v>0</v>
      </c>
      <c r="AE67" s="5">
        <f>IF($C67="Goalkeeper",J67*75000,IF($C67="Defense",J67*50000,0))</f>
        <v>0</v>
      </c>
      <c r="AF67" s="5">
        <f>IF($C67="Goalkeeper",(L67-I67)*5000,0)</f>
        <v>0</v>
      </c>
      <c r="AG67" s="5">
        <f>IF(M67&gt;0,Q67*(-20000),0)</f>
        <v>0</v>
      </c>
      <c r="AH67" s="5">
        <f>IF(M67&gt;0,R67*(-50000),0)</f>
        <v>0</v>
      </c>
      <c r="AI67" s="5">
        <f>IF(M67&gt;0,S67*10000,0)</f>
        <v>0</v>
      </c>
      <c r="AJ67" s="5">
        <f>IF(M67&gt;0,T67*(-8000),0)</f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1.9080439968215523</v>
      </c>
      <c r="AM67" s="16">
        <f>INDEX('Team forecast'!$B$2:$AO$26,MATCH('Master data'!$B67,'Team forecast'!$B$2:$B$26,0),MATCH('Master data'!AM$1,'Team forecast'!$B$2:$AO$2,0))</f>
        <v>0.77817916464933856</v>
      </c>
      <c r="AN67" s="16">
        <f>INDEX('Team forecast'!$B$2:$AO$26,MATCH('Master data'!$B67,'Team forecast'!$B$2:$B$26,0),MATCH('Master data'!AN$1,'Team forecast'!$B$2:$AO$2,0))</f>
        <v>0.459241453546125</v>
      </c>
      <c r="AO67" s="16">
        <f>INDEX('Team forecast'!$B$2:$AO$26,MATCH('Master data'!$B67,'Team forecast'!$B$2:$B$26,0),MATCH('Master data'!AO$1,'Team forecast'!$B$2:$AO$2,0))</f>
        <v>5.26236791817451</v>
      </c>
      <c r="AP67" s="16">
        <f>INDEX('Team forecast'!$B$2:$AO$26,MATCH('Master data'!$B67,'Team forecast'!$B$2:$B$26,0),MATCH('Master data'!AP$1,'Team forecast'!$B$2:$AO$2,0))</f>
        <v>2.5546285708185357</v>
      </c>
      <c r="AQ67" s="5">
        <f>X67</f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>IF($C67="Defense",$N67*150000,IF($C67="Midfield",$N67*125000,IF($C67="Striker",$N67*100000,0)))*$AL67</f>
        <v>0</v>
      </c>
      <c r="AV67" s="5">
        <f>$O67*50000*AL67</f>
        <v>0</v>
      </c>
      <c r="AW67" s="5">
        <f>$P67*AO67*10000</f>
        <v>0</v>
      </c>
      <c r="AX67" s="5">
        <f>IF($C67="Goalkeeper",AN67*75000,IF($C67="Defense",AN67*50000,0))</f>
        <v>0</v>
      </c>
      <c r="AY67" s="5">
        <f>IF($C67="Goalkeeper",(AP67-AM67)*5000,0)</f>
        <v>0</v>
      </c>
      <c r="AZ67" s="5">
        <f>$AG67</f>
        <v>0</v>
      </c>
      <c r="BA67" s="5">
        <f>$AH67</f>
        <v>0</v>
      </c>
      <c r="BB67" s="5">
        <f>IF(X67&gt;0,AL67*10000,0)</f>
        <v>0</v>
      </c>
      <c r="BC67" s="5">
        <f>IF(X67&gt;0,AM67*(-8000),0)</f>
        <v>0</v>
      </c>
      <c r="BD67" s="5">
        <f>IFERROR(SUM(AQ67:BC67),0)</f>
        <v>-5000</v>
      </c>
      <c r="BE67" s="16">
        <f>INDEX('Team forecast'!$B$2:$AO$26,MATCH('Master data'!$B67,'Team forecast'!$B$2:$B$26,0),MATCH('Master data'!BE$1,'Team forecast'!$B$2:$AO$2,0))</f>
        <v>2.3513752571634776</v>
      </c>
      <c r="BF67" s="16">
        <f>INDEX('Team forecast'!$B$2:$AO$26,MATCH('Master data'!$B67,'Team forecast'!$B$2:$B$26,0),MATCH('Master data'!BF$1,'Team forecast'!$B$2:$AO$2,0))</f>
        <v>0.56161379059809569</v>
      </c>
      <c r="BG67" s="16">
        <f>INDEX('Team forecast'!$B$2:$AO$26,MATCH('Master data'!$B67,'Team forecast'!$B$2:$B$26,0),MATCH('Master data'!BG$1,'Team forecast'!$B$2:$AO$2,0))</f>
        <v>0.57028799543769604</v>
      </c>
      <c r="BH67" s="16">
        <f>INDEX('Team forecast'!$B$2:$AO$26,MATCH('Master data'!$B67,'Team forecast'!$B$2:$B$26,0),MATCH('Master data'!BH$1,'Team forecast'!$B$2:$AO$2,0))</f>
        <v>6.4850714855102307</v>
      </c>
      <c r="BI67" s="16">
        <f>INDEX('Team forecast'!$B$2:$AO$26,MATCH('Master data'!$B67,'Team forecast'!$B$2:$B$26,0),MATCH('Master data'!BI$1,'Team forecast'!$B$2:$AO$2,0))</f>
        <v>1.8436816358018293</v>
      </c>
      <c r="BJ67" s="5">
        <f>AQ67</f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>IF($C67="Defense",$N67*150000,IF($C67="Midfield",$N67*125000,IF($C67="Striker",$N67*100000,0)))*$BE67</f>
        <v>0</v>
      </c>
      <c r="BO67" s="5">
        <f>$O67*50000*$BE67</f>
        <v>0</v>
      </c>
      <c r="BP67" s="5">
        <f>$P67*BH67*10000</f>
        <v>0</v>
      </c>
      <c r="BQ67" s="5">
        <f>IF($C67="Goalkeeper",BG67*75000,IF($C67="Defense",BG67*50000,0))</f>
        <v>0</v>
      </c>
      <c r="BR67" s="5">
        <f>IF($C67="Goalkeeper",(BI67-BF67)*5000,0)</f>
        <v>0</v>
      </c>
      <c r="BS67" s="5">
        <f>$AG67</f>
        <v>0</v>
      </c>
      <c r="BT67" s="5">
        <f>$AH67</f>
        <v>0</v>
      </c>
      <c r="BU67" s="5">
        <f>IF(AQ67&gt;0,BE67*10000,0)</f>
        <v>0</v>
      </c>
      <c r="BV67" s="5">
        <f>IF(AQ67&gt;0,BF67*(-8000),0)</f>
        <v>0</v>
      </c>
      <c r="BW67" s="5">
        <f>IFERROR(SUM(BJ67:BV67),0)</f>
        <v>-5000</v>
      </c>
      <c r="BX67" s="5">
        <f>AVERAGE(AK67,BD67,BW67)</f>
        <v>-5000</v>
      </c>
      <c r="BY67" s="5">
        <f>BX67*3</f>
        <v>-15000</v>
      </c>
      <c r="BZ67" s="5">
        <f>INDEX('Team forecast'!$R$3:$BH$26,MATCH($B67,'Team forecast'!$B$3:$B$26,0),MATCH(BZ$1,'Team forecast'!$R$2:$BH$2,0))*($BX67-(BY67+CH67)*0.01)</f>
        <v>-28858.367933348556</v>
      </c>
      <c r="CA67" s="5">
        <f>INDEX('Team forecast'!$R$3:$BH$26,MATCH($B67,'Team forecast'!$B$3:$B$26,0),MATCH(CA$1,'Team forecast'!$R$2:$BH$2,0))*($BX67-(BY67+BX67+CH67)*0.01)</f>
        <v>-14599.349363890549</v>
      </c>
      <c r="CB67" s="5">
        <f>INDEX('Team forecast'!$R$3:$BH$26,MATCH($B67,'Team forecast'!$B$3:$B$26,0),MATCH(CB$1,'Team forecast'!$R$2:$BH$2,0))*($BX67-(BY67+BX67*2+CH67)*0.01)</f>
        <v>-7470.0234414968427</v>
      </c>
      <c r="CC67" s="5">
        <f>INDEX('Team forecast'!$R$3:$BH$26,MATCH($B67,'Team forecast'!$B$3:$B$26,0),MATCH(CC$1,'Team forecast'!$R$2:$BH$2,0))*($BX67-(BY67+BX67*3+CH67)*0.01)</f>
        <v>-3963.7920979026098</v>
      </c>
      <c r="CD67" s="5">
        <f>+AK67+BD67*Cockpit!$C$3+BW67*Cockpit!$C$3^2+BZ67*Cockpit!$C$3^3+CA67*Cockpit!$C$3^4+CB67*Cockpit!$C$3^5+CC67*Cockpit!$C$3^6</f>
        <v>-23321.699213515763</v>
      </c>
      <c r="CE67" s="5"/>
      <c r="CF67" s="5"/>
      <c r="CG67" s="5">
        <v>0</v>
      </c>
      <c r="CH67" s="5">
        <f t="shared" ref="CH67:CH130" si="46">+G67+CG67</f>
        <v>2500000</v>
      </c>
      <c r="CI67" s="5">
        <f t="shared" ref="CI67:CI130" si="47">CH67</f>
        <v>2500000</v>
      </c>
      <c r="CJ67" s="1">
        <f t="shared" ref="CJ67:CJ130" si="48">IFERROR(BY67/CI67,-100%)</f>
        <v>-6.0000000000000001E-3</v>
      </c>
      <c r="CK67" s="5">
        <f>RANK(BY67,$BY$2:$BY$623)+COUNTIF($BY$2:$BY67,$BY67)-1</f>
        <v>440</v>
      </c>
      <c r="CL67" s="5">
        <f>RANK(CJ67,$CJ$2:$CJ$623)+COUNTIF($CJ$2:$CJ67,$CJ67)-1</f>
        <v>527</v>
      </c>
    </row>
    <row r="68" spans="1:90">
      <c r="A68" t="str">
        <f>Players!P69</f>
        <v>Wissam Ben Yedder</v>
      </c>
      <c r="B68" t="str">
        <f>Players!G69</f>
        <v>France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1.2386203137003762</v>
      </c>
      <c r="I68" s="16">
        <f>INDEX('Team forecast'!$B$2:$AO$26,MATCH('Master data'!$B68,'Team forecast'!$B$2:$B$26,0),MATCH('Master data'!I$1,'Team forecast'!$B$2:$AO$2,0))</f>
        <v>1.2386203137003762</v>
      </c>
      <c r="J68" s="16">
        <f>INDEX('Team forecast'!$B$2:$AO$26,MATCH('Master data'!$B68,'Team forecast'!$B$2:$B$26,0),MATCH('Master data'!J$1,'Team forecast'!$B$2:$AO$2,0))</f>
        <v>0.28978375293296982</v>
      </c>
      <c r="K68" s="16">
        <f>INDEX('Team forecast'!$B$2:$AO$26,MATCH('Master data'!$B68,'Team forecast'!$B$2:$B$26,0),MATCH('Master data'!K$1,'Team forecast'!$B$2:$AO$2,0))</f>
        <v>3.2404985504377408</v>
      </c>
      <c r="L68" s="16">
        <f>INDEX('Team forecast'!$B$2:$AO$26,MATCH('Master data'!$B68,'Team forecast'!$B$2:$B$26,0),MATCH('Master data'!L$1,'Team forecast'!$B$2:$AO$2,0))</f>
        <v>3.7600973808761418</v>
      </c>
      <c r="M68">
        <f>IF(Players!BC69=1,95,0)</f>
        <v>0</v>
      </c>
      <c r="N68" s="2">
        <f>Players!BN69</f>
        <v>0</v>
      </c>
      <c r="O68" s="2">
        <f>Players!BO69</f>
        <v>0</v>
      </c>
      <c r="P68" s="2">
        <f>Players!BP69</f>
        <v>0</v>
      </c>
      <c r="Q68" s="2">
        <f>Players!BQ69</f>
        <v>5.1448170731707314E-2</v>
      </c>
      <c r="R68" s="2">
        <f>Players!BR69</f>
        <v>0</v>
      </c>
      <c r="S68" s="2">
        <f>H68</f>
        <v>1.2386203137003762</v>
      </c>
      <c r="T68" s="2">
        <f>I68</f>
        <v>1.2386203137003762</v>
      </c>
      <c r="U68" s="16">
        <f>INDEX('Team forecast'!$B$2:$AO$26,MATCH('Master data'!$B68,'Team forecast'!$B$2:$B$26,0),MATCH('Master data'!U$1,'Team forecast'!$B$2:$AO$2,0))</f>
        <v>0.36933223413025562</v>
      </c>
      <c r="V68" s="16">
        <f>INDEX('Team forecast'!$B$2:$AO$26,MATCH('Master data'!$B68,'Team forecast'!$B$2:$B$26,0),MATCH('Master data'!V$1,'Team forecast'!$B$2:$AO$2,0))</f>
        <v>0.29431162407254741</v>
      </c>
      <c r="W68" s="16">
        <f>INDEX('Team forecast'!$B$2:$AO$26,MATCH('Master data'!$B68,'Team forecast'!$B$2:$B$26,0),MATCH('Master data'!W$1,'Team forecast'!$B$2:$AO$2,0))</f>
        <v>0.33635614179719708</v>
      </c>
      <c r="X68" s="5">
        <f>IF(M68&gt;95,7000*2,IF(M68&gt;0,7000,-5000))</f>
        <v>-5000</v>
      </c>
      <c r="Y68" s="5">
        <f>IF($X68&gt;0,U68*25000,0)</f>
        <v>0</v>
      </c>
      <c r="Z68" s="5">
        <f>IF($X68&gt;0,V68*5000,0)</f>
        <v>0</v>
      </c>
      <c r="AA68" s="5">
        <f>IF($X68&gt;0,W68*(-15000),0)</f>
        <v>0</v>
      </c>
      <c r="AB68" s="5">
        <f>IF($C68="Defense",$N68*150000,IF($C68="Midfield",$N68*125000,IF($C68="Striker",$N68*100000,0)))*$H68</f>
        <v>0</v>
      </c>
      <c r="AC68" s="5">
        <f>$O68*50000*H68</f>
        <v>0</v>
      </c>
      <c r="AD68" s="5">
        <f>$P68*K68*10000</f>
        <v>0</v>
      </c>
      <c r="AE68" s="5">
        <f>IF($C68="Goalkeeper",J68*75000,IF($C68="Defense",J68*50000,0))</f>
        <v>0</v>
      </c>
      <c r="AF68" s="5">
        <f>IF($C68="Goalkeeper",(L68-I68)*5000,0)</f>
        <v>0</v>
      </c>
      <c r="AG68" s="5">
        <f>IF(M68&gt;0,Q68*(-20000),0)</f>
        <v>0</v>
      </c>
      <c r="AH68" s="5">
        <f>IF(M68&gt;0,R68*(-50000),0)</f>
        <v>0</v>
      </c>
      <c r="AI68" s="5">
        <f>IF(M68&gt;0,S68*10000,0)</f>
        <v>0</v>
      </c>
      <c r="AJ68" s="5">
        <f>IF(M68&gt;0,T68*(-8000),0)</f>
        <v>0</v>
      </c>
      <c r="AK68" s="5">
        <f>IFERROR(SUM(X68:AJ68),-5000)*((Cockpit!$C$3)^0)</f>
        <v>-5000</v>
      </c>
      <c r="AL68" s="16">
        <f>INDEX('Team forecast'!$B$2:$AO$26,MATCH('Master data'!$B68,'Team forecast'!$B$2:$B$26,0),MATCH('Master data'!AL$1,'Team forecast'!$B$2:$AO$2,0))</f>
        <v>2.140423422331811</v>
      </c>
      <c r="AM68" s="16">
        <f>INDEX('Team forecast'!$B$2:$AO$26,MATCH('Master data'!$B68,'Team forecast'!$B$2:$B$26,0),MATCH('Master data'!AM$1,'Team forecast'!$B$2:$AO$2,0))</f>
        <v>0.80291922538135296</v>
      </c>
      <c r="AN68" s="16">
        <f>INDEX('Team forecast'!$B$2:$AO$26,MATCH('Master data'!$B68,'Team forecast'!$B$2:$B$26,0),MATCH('Master data'!AN$1,'Team forecast'!$B$2:$AO$2,0))</f>
        <v>0.44801918430198229</v>
      </c>
      <c r="AO68" s="16">
        <f>INDEX('Team forecast'!$B$2:$AO$26,MATCH('Master data'!$B68,'Team forecast'!$B$2:$B$26,0),MATCH('Master data'!AO$1,'Team forecast'!$B$2:$AO$2,0))</f>
        <v>5.5998104670734943</v>
      </c>
      <c r="AP68" s="16">
        <f>INDEX('Team forecast'!$B$2:$AO$26,MATCH('Master data'!$B68,'Team forecast'!$B$2:$B$26,0),MATCH('Master data'!AP$1,'Team forecast'!$B$2:$AO$2,0))</f>
        <v>2.4374333627648213</v>
      </c>
      <c r="AQ68" s="5">
        <f>X68</f>
        <v>-5000</v>
      </c>
      <c r="AR68" s="5">
        <f>INDEX('Team forecast'!$B$2:$AO$26,MATCH('Master data'!$B68,'Team forecast'!$B$2:$B$26,0),MATCH('Master data'!AR$1,'Team forecast'!$B$2:$AO$2,0))*IF(X68&gt;0,25000,0)</f>
        <v>0</v>
      </c>
      <c r="AS68" s="16">
        <f>INDEX('Team forecast'!$B$2:$AO$26,MATCH('Master data'!$B68,'Team forecast'!$B$2:$B$26,0),MATCH('Master data'!AS$1,'Team forecast'!$B$2:$AO$2,0))*IF(X68&gt;0,5000,0)</f>
        <v>0</v>
      </c>
      <c r="AT68" s="16">
        <f>INDEX('Team forecast'!$B$2:$AO$26,MATCH('Master data'!$B68,'Team forecast'!$B$2:$B$26,0),MATCH('Master data'!AT$1,'Team forecast'!$B$2:$AO$2,0))*IF(X68&gt;0,-15000,0)</f>
        <v>0</v>
      </c>
      <c r="AU68" s="5">
        <f>IF($C68="Defense",$N68*150000,IF($C68="Midfield",$N68*125000,IF($C68="Striker",$N68*100000,0)))*$AL68</f>
        <v>0</v>
      </c>
      <c r="AV68" s="5">
        <f>$O68*50000*AL68</f>
        <v>0</v>
      </c>
      <c r="AW68" s="5">
        <f>$P68*AO68*10000</f>
        <v>0</v>
      </c>
      <c r="AX68" s="5">
        <f>IF($C68="Goalkeeper",AN68*75000,IF($C68="Defense",AN68*50000,0))</f>
        <v>0</v>
      </c>
      <c r="AY68" s="5">
        <f>IF($C68="Goalkeeper",(AP68-AM68)*5000,0)</f>
        <v>0</v>
      </c>
      <c r="AZ68" s="5">
        <f>$AG68</f>
        <v>0</v>
      </c>
      <c r="BA68" s="5">
        <f>$AH68</f>
        <v>0</v>
      </c>
      <c r="BB68" s="5">
        <f>IF(X68&gt;0,AL68*10000,0)</f>
        <v>0</v>
      </c>
      <c r="BC68" s="5">
        <f>IF(X68&gt;0,AM68*(-8000),0)</f>
        <v>0</v>
      </c>
      <c r="BD68" s="5">
        <f>IFERROR(SUM(AQ68:BC68),0)</f>
        <v>-5000</v>
      </c>
      <c r="BE68" s="16">
        <f>INDEX('Team forecast'!$B$2:$AO$26,MATCH('Master data'!$B68,'Team forecast'!$B$2:$B$26,0),MATCH('Master data'!BE$1,'Team forecast'!$B$2:$AO$2,0))</f>
        <v>1.2965069481471114</v>
      </c>
      <c r="BF68" s="16">
        <f>INDEX('Team forecast'!$B$2:$AO$26,MATCH('Master data'!$B68,'Team forecast'!$B$2:$B$26,0),MATCH('Master data'!BF$1,'Team forecast'!$B$2:$AO$2,0))</f>
        <v>1.0107278258414167</v>
      </c>
      <c r="BG68" s="16">
        <f>INDEX('Team forecast'!$B$2:$AO$26,MATCH('Master data'!$B68,'Team forecast'!$B$2:$B$26,0),MATCH('Master data'!BG$1,'Team forecast'!$B$2:$AO$2,0))</f>
        <v>0.36395398803179979</v>
      </c>
      <c r="BH68" s="16">
        <f>INDEX('Team forecast'!$B$2:$AO$26,MATCH('Master data'!$B68,'Team forecast'!$B$2:$B$26,0),MATCH('Master data'!BH$1,'Team forecast'!$B$2:$AO$2,0))</f>
        <v>3.3919425021794698</v>
      </c>
      <c r="BI68" s="16">
        <f>INDEX('Team forecast'!$B$2:$AO$26,MATCH('Master data'!$B68,'Team forecast'!$B$2:$B$26,0),MATCH('Master data'!BI$1,'Team forecast'!$B$2:$AO$2,0))</f>
        <v>3.0682808998757292</v>
      </c>
      <c r="BJ68" s="5">
        <f>AQ68</f>
        <v>-5000</v>
      </c>
      <c r="BK68" s="5">
        <f>INDEX('Team forecast'!$R$3:$BH$26,MATCH($B68,'Team forecast'!$B$3:$B$26,0),MATCH(BK$1,'Team forecast'!$R$2:$BH$2,0))*IF($X68&gt;0,25000,0)</f>
        <v>0</v>
      </c>
      <c r="BL68" s="5">
        <f>INDEX('Team forecast'!$R$3:$BH$26,MATCH($B68,'Team forecast'!$B$3:$B$26,0),MATCH(BL$1,'Team forecast'!$R$2:$BH$2,0))*IF($X68&gt;0,5000,0)</f>
        <v>0</v>
      </c>
      <c r="BM68" s="5">
        <f>INDEX('Team forecast'!$R$3:$BH$26,MATCH($B68,'Team forecast'!$B$3:$B$26,0),MATCH(BM$1,'Team forecast'!$R$2:$BH$2,0))*IF($X68&gt;0,-15000,0)</f>
        <v>0</v>
      </c>
      <c r="BN68" s="5">
        <f>IF($C68="Defense",$N68*150000,IF($C68="Midfield",$N68*125000,IF($C68="Striker",$N68*100000,0)))*$BE68</f>
        <v>0</v>
      </c>
      <c r="BO68" s="5">
        <f>$O68*50000*$BE68</f>
        <v>0</v>
      </c>
      <c r="BP68" s="5">
        <f>$P68*BH68*10000</f>
        <v>0</v>
      </c>
      <c r="BQ68" s="5">
        <f>IF($C68="Goalkeeper",BG68*75000,IF($C68="Defense",BG68*50000,0))</f>
        <v>0</v>
      </c>
      <c r="BR68" s="5">
        <f>IF($C68="Goalkeeper",(BI68-BF68)*5000,0)</f>
        <v>0</v>
      </c>
      <c r="BS68" s="5">
        <f>$AG68</f>
        <v>0</v>
      </c>
      <c r="BT68" s="5">
        <f>$AH68</f>
        <v>0</v>
      </c>
      <c r="BU68" s="5">
        <f>IF(AQ68&gt;0,BE68*10000,0)</f>
        <v>0</v>
      </c>
      <c r="BV68" s="5">
        <f>IF(AQ68&gt;0,BF68*(-8000),0)</f>
        <v>0</v>
      </c>
      <c r="BW68" s="5">
        <f>IFERROR(SUM(BJ68:BV68),0)</f>
        <v>-5000</v>
      </c>
      <c r="BX68" s="5">
        <f>AVERAGE(AK68,BD68,BW68)</f>
        <v>-5000</v>
      </c>
      <c r="BY68" s="5">
        <f>BX68*3</f>
        <v>-15000</v>
      </c>
      <c r="BZ68" s="5">
        <f>INDEX('Team forecast'!$R$3:$BH$26,MATCH($B68,'Team forecast'!$B$3:$B$26,0),MATCH(BZ$1,'Team forecast'!$R$2:$BH$2,0))*($BX68-(BY68+CH68)*0.01)</f>
        <v>-44003.178895966703</v>
      </c>
      <c r="CA68" s="5">
        <f>INDEX('Team forecast'!$R$3:$BH$26,MATCH($B68,'Team forecast'!$B$3:$B$26,0),MATCH(CA$1,'Team forecast'!$R$2:$BH$2,0))*($BX68-(BY68+BX68+CH68)*0.01)</f>
        <v>-22847.158064180912</v>
      </c>
      <c r="CB68" s="5">
        <f>INDEX('Team forecast'!$R$3:$BH$26,MATCH($B68,'Team forecast'!$B$3:$B$26,0),MATCH(CB$1,'Team forecast'!$R$2:$BH$2,0))*($BX68-(BY68+BX68*2+CH68)*0.01)</f>
        <v>-12227.888669942871</v>
      </c>
      <c r="CC68" s="5">
        <f>INDEX('Team forecast'!$R$3:$BH$26,MATCH($B68,'Team forecast'!$B$3:$B$26,0),MATCH(CC$1,'Team forecast'!$R$2:$BH$2,0))*($BX68-(BY68+BX68*3+CH68)*0.01)</f>
        <v>-7158.6681303248042</v>
      </c>
      <c r="CD68" s="5">
        <f>+AK68+BD68*Cockpit!$C$3+BW68*Cockpit!$C$3^2+BZ68*Cockpit!$C$3^3+CA68*Cockpit!$C$3^4+CB68*Cockpit!$C$3^5+CC68*Cockpit!$C$3^6</f>
        <v>-30345.280487553035</v>
      </c>
      <c r="CE68" s="5"/>
      <c r="CF68" s="5"/>
      <c r="CG68" s="5">
        <v>0</v>
      </c>
      <c r="CH68" s="5">
        <f t="shared" si="46"/>
        <v>4500000</v>
      </c>
      <c r="CI68" s="5">
        <f t="shared" si="47"/>
        <v>4500000</v>
      </c>
      <c r="CJ68" s="1">
        <f t="shared" si="48"/>
        <v>-3.3333333333333335E-3</v>
      </c>
      <c r="CK68" s="5">
        <f>RANK(BY68,$BY$2:$BY$623)+COUNTIF($BY$2:$BY68,$BY68)-1</f>
        <v>441</v>
      </c>
      <c r="CL68" s="5">
        <f>RANK(CJ68,$CJ$2:$CJ$623)+COUNTIF($CJ$2:$CJ68,$CJ68)-1</f>
        <v>432</v>
      </c>
    </row>
    <row r="69" spans="1:90">
      <c r="A69" t="str">
        <f>Players!P70</f>
        <v>Martin Braithwaite</v>
      </c>
      <c r="B69" t="str">
        <f>Players!G70</f>
        <v>Denmark</v>
      </c>
      <c r="C69" t="str">
        <f>Players!AB70</f>
        <v>Striker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4500000</v>
      </c>
      <c r="H69" s="16">
        <f>INDEX('Team forecast'!$B$2:$AO$26,MATCH('Master data'!$B69,'Team forecast'!$B$2:$B$26,0),MATCH('Master data'!H$1,'Team forecast'!$B$2:$AO$2,0))</f>
        <v>1.6608440904336361</v>
      </c>
      <c r="I69" s="16">
        <f>INDEX('Team forecast'!$B$2:$AO$26,MATCH('Master data'!$B69,'Team forecast'!$B$2:$B$26,0),MATCH('Master data'!I$1,'Team forecast'!$B$2:$AO$2,0))</f>
        <v>0.59952758650922311</v>
      </c>
      <c r="J69" s="16">
        <f>INDEX('Team forecast'!$B$2:$AO$26,MATCH('Master data'!$B69,'Team forecast'!$B$2:$B$26,0),MATCH('Master data'!J$1,'Team forecast'!$B$2:$AO$2,0))</f>
        <v>0.54907096336484029</v>
      </c>
      <c r="K69" s="16">
        <f>INDEX('Team forecast'!$B$2:$AO$26,MATCH('Master data'!$B69,'Team forecast'!$B$2:$B$26,0),MATCH('Master data'!K$1,'Team forecast'!$B$2:$AO$2,0))</f>
        <v>4.1898566826848551</v>
      </c>
      <c r="L69" s="16">
        <f>INDEX('Team forecast'!$B$2:$AO$26,MATCH('Master data'!$B69,'Team forecast'!$B$2:$B$26,0),MATCH('Master data'!L$1,'Team forecast'!$B$2:$AO$2,0))</f>
        <v>1.7709122555349361</v>
      </c>
      <c r="M69">
        <f>IF(Players!BC70=1,95,0)</f>
        <v>95</v>
      </c>
      <c r="N69" s="2">
        <f>Players!BN70</f>
        <v>0.17215835888468314</v>
      </c>
      <c r="O69" s="2">
        <f>Players!BO70</f>
        <v>9.0779573702926844E-2</v>
      </c>
      <c r="P69" s="2">
        <f>Players!BP70</f>
        <v>0.12227114959869335</v>
      </c>
      <c r="Q69" s="2">
        <f>Players!BQ70</f>
        <v>0.11617900172117041</v>
      </c>
      <c r="R69" s="2">
        <f>Players!BR70</f>
        <v>0</v>
      </c>
      <c r="S69" s="2">
        <f>H69</f>
        <v>1.6608440904336361</v>
      </c>
      <c r="T69" s="2">
        <f>I69</f>
        <v>0.59952758650922311</v>
      </c>
      <c r="U69" s="16">
        <f>INDEX('Team forecast'!$B$2:$AO$26,MATCH('Master data'!$B69,'Team forecast'!$B$2:$B$26,0),MATCH('Master data'!U$1,'Team forecast'!$B$2:$AO$2,0))</f>
        <v>0.65509845973874048</v>
      </c>
      <c r="V69" s="16">
        <f>INDEX('Team forecast'!$B$2:$AO$26,MATCH('Master data'!$B69,'Team forecast'!$B$2:$B$26,0),MATCH('Master data'!V$1,'Team forecast'!$B$2:$AO$2,0))</f>
        <v>0.22616494443361279</v>
      </c>
      <c r="W69" s="16">
        <f>INDEX('Team forecast'!$B$2:$AO$26,MATCH('Master data'!$B69,'Team forecast'!$B$2:$B$26,0),MATCH('Master data'!W$1,'Team forecast'!$B$2:$AO$2,0))</f>
        <v>0.1187365958276467</v>
      </c>
      <c r="X69" s="5">
        <f>IF(M69&gt;95,7000*2,IF(M69&gt;0,7000,-5000))</f>
        <v>7000</v>
      </c>
      <c r="Y69" s="5">
        <f>IF($X69&gt;0,U69*25000,0)</f>
        <v>16377.461493468512</v>
      </c>
      <c r="Z69" s="5">
        <f>IF($X69&gt;0,V69*5000,0)</f>
        <v>1130.824722168064</v>
      </c>
      <c r="AA69" s="5">
        <f>IF($X69&gt;0,W69*(-15000),0)</f>
        <v>-1781.0489374147005</v>
      </c>
      <c r="AB69" s="5">
        <f>IF($C69="Defense",$N69*150000,IF($C69="Midfield",$N69*125000,IF($C69="Striker",$N69*100000,0)))*$H69</f>
        <v>28592.819297237907</v>
      </c>
      <c r="AC69" s="5">
        <f>$O69*50000*H69</f>
        <v>7538.5359258295384</v>
      </c>
      <c r="AD69" s="5">
        <f>$P69*K69*10000</f>
        <v>5122.9859324564495</v>
      </c>
      <c r="AE69" s="5">
        <f>IF($C69="Goalkeeper",J69*75000,IF($C69="Defense",J69*50000,0))</f>
        <v>0</v>
      </c>
      <c r="AF69" s="5">
        <f>IF($C69="Goalkeeper",(L69-I69)*5000,0)</f>
        <v>0</v>
      </c>
      <c r="AG69" s="5">
        <f>IF(M69&gt;0,Q69*(-20000),0)</f>
        <v>-2323.5800344234081</v>
      </c>
      <c r="AH69" s="5">
        <f>IF(M69&gt;0,R69*(-50000),0)</f>
        <v>0</v>
      </c>
      <c r="AI69" s="5">
        <f>IF(M69&gt;0,S69*10000,0)</f>
        <v>16608.440904336363</v>
      </c>
      <c r="AJ69" s="5">
        <f>IF(M69&gt;0,T69*(-8000),0)</f>
        <v>-4796.2206920737844</v>
      </c>
      <c r="AK69" s="5">
        <f>IFERROR(SUM(X69:AJ69),-5000)*((Cockpit!$C$3)^0)</f>
        <v>73470.218611584947</v>
      </c>
      <c r="AL69" s="16">
        <f>INDEX('Team forecast'!$B$2:$AO$26,MATCH('Master data'!$B69,'Team forecast'!$B$2:$B$26,0),MATCH('Master data'!AL$1,'Team forecast'!$B$2:$AO$2,0))</f>
        <v>1.1610121970988967</v>
      </c>
      <c r="AM69" s="16">
        <f>INDEX('Team forecast'!$B$2:$AO$26,MATCH('Master data'!$B69,'Team forecast'!$B$2:$B$26,0),MATCH('Master data'!AM$1,'Team forecast'!$B$2:$AO$2,0))</f>
        <v>1.5279674504451852</v>
      </c>
      <c r="AN69" s="16">
        <f>INDEX('Team forecast'!$B$2:$AO$26,MATCH('Master data'!$B69,'Team forecast'!$B$2:$B$26,0),MATCH('Master data'!AN$1,'Team forecast'!$B$2:$AO$2,0))</f>
        <v>0.21697623437572761</v>
      </c>
      <c r="AO69" s="16">
        <f>INDEX('Team forecast'!$B$2:$AO$26,MATCH('Master data'!$B69,'Team forecast'!$B$2:$B$26,0),MATCH('Master data'!AO$1,'Team forecast'!$B$2:$AO$2,0))</f>
        <v>2.9289171335903985</v>
      </c>
      <c r="AP69" s="16">
        <f>INDEX('Team forecast'!$B$2:$AO$26,MATCH('Master data'!$B69,'Team forecast'!$B$2:$B$26,0),MATCH('Master data'!AP$1,'Team forecast'!$B$2:$AO$2,0))</f>
        <v>4.5133807766996243</v>
      </c>
      <c r="AQ69" s="5">
        <f>X69</f>
        <v>7000</v>
      </c>
      <c r="AR69" s="5">
        <f>INDEX('Team forecast'!$B$2:$AO$26,MATCH('Master data'!$B69,'Team forecast'!$B$2:$B$26,0),MATCH('Master data'!AR$1,'Team forecast'!$B$2:$AO$2,0))*IF(X69&gt;0,25000,0)</f>
        <v>6348.0209111277081</v>
      </c>
      <c r="AS69" s="16">
        <f>INDEX('Team forecast'!$B$2:$AO$26,MATCH('Master data'!$B69,'Team forecast'!$B$2:$B$26,0),MATCH('Master data'!AS$1,'Team forecast'!$B$2:$AO$2,0))*IF(X69&gt;0,5000,0)</f>
        <v>1381.628080657207</v>
      </c>
      <c r="AT69" s="16">
        <f>INDEX('Team forecast'!$B$2:$AO$26,MATCH('Master data'!$B69,'Team forecast'!$B$2:$B$26,0),MATCH('Master data'!AT$1,'Team forecast'!$B$2:$AO$2,0))*IF(X69&gt;0,-15000,0)</f>
        <v>-7046.3032113517547</v>
      </c>
      <c r="AU69" s="5">
        <f>IF($C69="Defense",$N69*150000,IF($C69="Midfield",$N69*125000,IF($C69="Striker",$N69*100000,0)))*$AL69</f>
        <v>19987.795449764635</v>
      </c>
      <c r="AV69" s="5">
        <f>$O69*50000*AL69</f>
        <v>5269.8096158268163</v>
      </c>
      <c r="AW69" s="5">
        <f>$P69*AO69*10000</f>
        <v>3581.2206500340776</v>
      </c>
      <c r="AX69" s="5">
        <f>IF($C69="Goalkeeper",AN69*75000,IF($C69="Defense",AN69*50000,0))</f>
        <v>0</v>
      </c>
      <c r="AY69" s="5">
        <f>IF($C69="Goalkeeper",(AP69-AM69)*5000,0)</f>
        <v>0</v>
      </c>
      <c r="AZ69" s="5">
        <f>$AG69</f>
        <v>-2323.5800344234081</v>
      </c>
      <c r="BA69" s="5">
        <f>$AH69</f>
        <v>0</v>
      </c>
      <c r="BB69" s="5">
        <f>IF(X69&gt;0,AL69*10000,0)</f>
        <v>11610.121970988966</v>
      </c>
      <c r="BC69" s="5">
        <f>IF(X69&gt;0,AM69*(-8000),0)</f>
        <v>-12223.739603561482</v>
      </c>
      <c r="BD69" s="5">
        <f>IFERROR(SUM(AQ69:BC69),0)</f>
        <v>33584.973829062772</v>
      </c>
      <c r="BE69" s="16">
        <f>INDEX('Team forecast'!$B$2:$AO$26,MATCH('Master data'!$B69,'Team forecast'!$B$2:$B$26,0),MATCH('Master data'!BE$1,'Team forecast'!$B$2:$AO$2,0))</f>
        <v>1.5053002864585165</v>
      </c>
      <c r="BF69" s="16">
        <f>INDEX('Team forecast'!$B$2:$AO$26,MATCH('Master data'!$B69,'Team forecast'!$B$2:$B$26,0),MATCH('Master data'!BF$1,'Team forecast'!$B$2:$AO$2,0))</f>
        <v>0.95602347631827322</v>
      </c>
      <c r="BG69" s="16">
        <f>INDEX('Team forecast'!$B$2:$AO$26,MATCH('Master data'!$B69,'Team forecast'!$B$2:$B$26,0),MATCH('Master data'!BG$1,'Team forecast'!$B$2:$AO$2,0))</f>
        <v>0.38441849991338989</v>
      </c>
      <c r="BH69" s="16">
        <f>INDEX('Team forecast'!$B$2:$AO$26,MATCH('Master data'!$B69,'Team forecast'!$B$2:$B$26,0),MATCH('Master data'!BH$1,'Team forecast'!$B$2:$AO$2,0))</f>
        <v>3.7974620862930761</v>
      </c>
      <c r="BI69" s="16">
        <f>INDEX('Team forecast'!$B$2:$AO$26,MATCH('Master data'!$B69,'Team forecast'!$B$2:$B$26,0),MATCH('Master data'!BI$1,'Team forecast'!$B$2:$AO$2,0))</f>
        <v>2.8239462685093613</v>
      </c>
      <c r="BJ69" s="5">
        <f>AQ69</f>
        <v>7000</v>
      </c>
      <c r="BK69" s="5">
        <f>INDEX('Team forecast'!$R$3:$BH$26,MATCH($B69,'Team forecast'!$B$3:$B$26,0),MATCH(BK$1,'Team forecast'!$R$2:$BH$2,0))*IF($X69&gt;0,25000,0)</f>
        <v>12073.445349038628</v>
      </c>
      <c r="BL69" s="5">
        <f>INDEX('Team forecast'!$R$3:$BH$26,MATCH($B69,'Team forecast'!$B$3:$B$26,0),MATCH(BL$1,'Team forecast'!$R$2:$BH$2,0))*IF($X69&gt;0,5000,0)</f>
        <v>1413.30330850511</v>
      </c>
      <c r="BM69" s="5">
        <f>INDEX('Team forecast'!$R$3:$BH$26,MATCH($B69,'Team forecast'!$B$3:$B$26,0),MATCH(BM$1,'Team forecast'!$R$2:$BH$2,0))*IF($X69&gt;0,-15000,0)</f>
        <v>-3516.0228650614931</v>
      </c>
      <c r="BN69" s="5">
        <f>IF($C69="Defense",$N69*150000,IF($C69="Midfield",$N69*125000,IF($C69="Striker",$N69*100000,0)))*$BE69</f>
        <v>25915.002694534163</v>
      </c>
      <c r="BO69" s="5">
        <f>$O69*50000*$BE69</f>
        <v>6832.5259149798894</v>
      </c>
      <c r="BP69" s="5">
        <f>$P69*BH69*10000</f>
        <v>4643.2005484850688</v>
      </c>
      <c r="BQ69" s="5">
        <f>IF($C69="Goalkeeper",BG69*75000,IF($C69="Defense",BG69*50000,0))</f>
        <v>0</v>
      </c>
      <c r="BR69" s="5">
        <f>IF($C69="Goalkeeper",(BI69-BF69)*5000,0)</f>
        <v>0</v>
      </c>
      <c r="BS69" s="5">
        <f>$AG69</f>
        <v>-2323.5800344234081</v>
      </c>
      <c r="BT69" s="5">
        <f>$AH69</f>
        <v>0</v>
      </c>
      <c r="BU69" s="5">
        <f>IF(AQ69&gt;0,BE69*10000,0)</f>
        <v>15053.002864585165</v>
      </c>
      <c r="BV69" s="5">
        <f>IF(AQ69&gt;0,BF69*(-8000),0)</f>
        <v>-7648.1878105461856</v>
      </c>
      <c r="BW69" s="5">
        <f>IFERROR(SUM(BJ69:BV69),0)</f>
        <v>59442.689970096944</v>
      </c>
      <c r="BX69" s="5">
        <f>AVERAGE(AK69,BD69,BW69)</f>
        <v>55499.29413691489</v>
      </c>
      <c r="BY69" s="5">
        <f>BX69*3</f>
        <v>166497.88241074467</v>
      </c>
      <c r="BZ69" s="5">
        <f>INDEX('Team forecast'!$R$3:$BH$26,MATCH($B69,'Team forecast'!$B$3:$B$26,0),MATCH(BZ$1,'Team forecast'!$R$2:$BH$2,0))*($BX69-(BY69+CH69)*0.01)</f>
        <v>7174.3013151899031</v>
      </c>
      <c r="CA69" s="5">
        <f>INDEX('Team forecast'!$R$3:$BH$26,MATCH($B69,'Team forecast'!$B$3:$B$26,0),MATCH(CA$1,'Team forecast'!$R$2:$BH$2,0))*($BX69-(BY69+BX69+CH69)*0.01)</f>
        <v>3336.953085349639</v>
      </c>
      <c r="CB69" s="5">
        <f>INDEX('Team forecast'!$R$3:$BH$26,MATCH($B69,'Team forecast'!$B$3:$B$26,0),MATCH(CB$1,'Team forecast'!$R$2:$BH$2,0))*($BX69-(BY69+BX69*2+CH69)*0.01)</f>
        <v>1534.817231878483</v>
      </c>
      <c r="CC69" s="5">
        <f>INDEX('Team forecast'!$R$3:$BH$26,MATCH($B69,'Team forecast'!$B$3:$B$26,0),MATCH(CC$1,'Team forecast'!$R$2:$BH$2,0))*($BX69-(BY69+BX69*3+CH69)*0.01)</f>
        <v>686.16123477487099</v>
      </c>
      <c r="CD69" s="5">
        <f>+AK69+BD69*Cockpit!$C$3+BW69*Cockpit!$C$3^2+BZ69*Cockpit!$C$3^3+CA69*Cockpit!$C$3^4+CB69*Cockpit!$C$3^5+CC69*Cockpit!$C$3^6</f>
        <v>125326.3995894906</v>
      </c>
      <c r="CE69" s="5"/>
      <c r="CF69" s="5"/>
      <c r="CG69" s="5">
        <v>0</v>
      </c>
      <c r="CH69" s="5">
        <f t="shared" si="46"/>
        <v>4500000</v>
      </c>
      <c r="CI69" s="5">
        <f t="shared" si="47"/>
        <v>4500000</v>
      </c>
      <c r="CJ69" s="1">
        <f t="shared" si="48"/>
        <v>3.6999529424609927E-2</v>
      </c>
      <c r="CK69" s="5">
        <f>RANK(BY69,$BY$2:$BY$623)+COUNTIF($BY$2:$BY69,$BY69)-1</f>
        <v>81</v>
      </c>
      <c r="CL69" s="5">
        <f>RANK(CJ69,$CJ$2:$CJ$623)+COUNTIF($CJ$2:$CJ69,$CJ69)-1</f>
        <v>91</v>
      </c>
    </row>
    <row r="70" spans="1:90">
      <c r="A70" t="str">
        <f>Players!P71</f>
        <v>Mateo Kovačić</v>
      </c>
      <c r="B70" t="str">
        <f>Players!G71</f>
        <v>Croatia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3000000</v>
      </c>
      <c r="H70" s="16">
        <f>INDEX('Team forecast'!$B$2:$AO$26,MATCH('Master data'!$B70,'Team forecast'!$B$2:$B$26,0),MATCH('Master data'!H$1,'Team forecast'!$B$2:$AO$2,0))</f>
        <v>0.74990395996081205</v>
      </c>
      <c r="I70" s="16">
        <f>INDEX('Team forecast'!$B$2:$AO$26,MATCH('Master data'!$B70,'Team forecast'!$B$2:$B$26,0),MATCH('Master data'!I$1,'Team forecast'!$B$2:$AO$2,0))</f>
        <v>1.5223243214152651</v>
      </c>
      <c r="J70" s="16">
        <f>INDEX('Team forecast'!$B$2:$AO$26,MATCH('Master data'!$B70,'Team forecast'!$B$2:$B$26,0),MATCH('Master data'!J$1,'Team forecast'!$B$2:$AO$2,0))</f>
        <v>0.21820412056434271</v>
      </c>
      <c r="K70" s="16">
        <f>INDEX('Team forecast'!$B$2:$AO$26,MATCH('Master data'!$B70,'Team forecast'!$B$2:$B$26,0),MATCH('Master data'!K$1,'Team forecast'!$B$2:$AO$2,0))</f>
        <v>2.1270003227979397</v>
      </c>
      <c r="L70" s="16">
        <f>INDEX('Team forecast'!$B$2:$AO$26,MATCH('Master data'!$B70,'Team forecast'!$B$2:$B$26,0),MATCH('Master data'!L$1,'Team forecast'!$B$2:$AO$2,0))</f>
        <v>4.9475540445996113</v>
      </c>
      <c r="M70">
        <f>IF(Players!BC71=1,95,0)</f>
        <v>95</v>
      </c>
      <c r="N70" s="2">
        <f>Players!BN71</f>
        <v>4.766271785942916E-2</v>
      </c>
      <c r="O70" s="2">
        <f>Players!BO71</f>
        <v>5.4016044481848352E-2</v>
      </c>
      <c r="P70" s="2">
        <f>Players!BP71</f>
        <v>4.160635780335635E-2</v>
      </c>
      <c r="Q70" s="2">
        <f>Players!BQ71</f>
        <v>9.9009900990099001E-2</v>
      </c>
      <c r="R70" s="2">
        <f>Players!BR71</f>
        <v>0</v>
      </c>
      <c r="S70" s="2">
        <f>H70</f>
        <v>0.74990395996081205</v>
      </c>
      <c r="T70" s="2">
        <f>I70</f>
        <v>1.5223243214152651</v>
      </c>
      <c r="U70" s="16">
        <f>INDEX('Team forecast'!$B$2:$AO$26,MATCH('Master data'!$B70,'Team forecast'!$B$2:$B$26,0),MATCH('Master data'!U$1,'Team forecast'!$B$2:$AO$2,0))</f>
        <v>0.17178615309883699</v>
      </c>
      <c r="V70" s="16">
        <f>INDEX('Team forecast'!$B$2:$AO$26,MATCH('Master data'!$B70,'Team forecast'!$B$2:$B$26,0),MATCH('Master data'!V$1,'Team forecast'!$B$2:$AO$2,0))</f>
        <v>0.26245106723433442</v>
      </c>
      <c r="W70" s="16">
        <f>INDEX('Team forecast'!$B$2:$AO$26,MATCH('Master data'!$B70,'Team forecast'!$B$2:$B$26,0),MATCH('Master data'!W$1,'Team forecast'!$B$2:$AO$2,0))</f>
        <v>0.56576277966682864</v>
      </c>
      <c r="X70" s="5">
        <f>IF(M70&gt;95,7000*2,IF(M70&gt;0,7000,-5000))</f>
        <v>7000</v>
      </c>
      <c r="Y70" s="5">
        <f>IF($X70&gt;0,U70*25000,0)</f>
        <v>4294.6538274709246</v>
      </c>
      <c r="Z70" s="5">
        <f>IF($X70&gt;0,V70*5000,0)</f>
        <v>1312.2553361716721</v>
      </c>
      <c r="AA70" s="5">
        <f>IF($X70&gt;0,W70*(-15000),0)</f>
        <v>-8486.4416950024297</v>
      </c>
      <c r="AB70" s="5">
        <f>IF($C70="Defense",$N70*150000,IF($C70="Midfield",$N70*125000,IF($C70="Striker",$N70*100000,0)))*$H70</f>
        <v>4467.8076081601057</v>
      </c>
      <c r="AC70" s="5">
        <f>$O70*50000*H70</f>
        <v>2025.3422829178724</v>
      </c>
      <c r="AD70" s="5">
        <f>$P70*K70*10000</f>
        <v>884.96736478185539</v>
      </c>
      <c r="AE70" s="5">
        <f>IF($C70="Goalkeeper",J70*75000,IF($C70="Defense",J70*50000,0))</f>
        <v>0</v>
      </c>
      <c r="AF70" s="5">
        <f>IF($C70="Goalkeeper",(L70-I70)*5000,0)</f>
        <v>0</v>
      </c>
      <c r="AG70" s="5">
        <f>IF(M70&gt;0,Q70*(-20000),0)</f>
        <v>-1980.1980198019801</v>
      </c>
      <c r="AH70" s="5">
        <f>IF(M70&gt;0,R70*(-50000),0)</f>
        <v>0</v>
      </c>
      <c r="AI70" s="5">
        <f>IF(M70&gt;0,S70*10000,0)</f>
        <v>7499.0395996081206</v>
      </c>
      <c r="AJ70" s="5">
        <f>IF(M70&gt;0,T70*(-8000),0)</f>
        <v>-12178.594571322121</v>
      </c>
      <c r="AK70" s="5">
        <f>IFERROR(SUM(X70:AJ70),-5000)*((Cockpit!$C$3)^0)</f>
        <v>4838.8317329840193</v>
      </c>
      <c r="AL70" s="16">
        <f>INDEX('Team forecast'!$B$2:$AO$26,MATCH('Master data'!$B70,'Team forecast'!$B$2:$B$26,0),MATCH('Master data'!AL$1,'Team forecast'!$B$2:$AO$2,0))</f>
        <v>1.3846696653928885</v>
      </c>
      <c r="AM70" s="16">
        <f>INDEX('Team forecast'!$B$2:$AO$26,MATCH('Master data'!$B70,'Team forecast'!$B$2:$B$26,0),MATCH('Master data'!AM$1,'Team forecast'!$B$2:$AO$2,0))</f>
        <v>0.97920455728472433</v>
      </c>
      <c r="AN70" s="16">
        <f>INDEX('Team forecast'!$B$2:$AO$26,MATCH('Master data'!$B70,'Team forecast'!$B$2:$B$26,0),MATCH('Master data'!AN$1,'Team forecast'!$B$2:$AO$2,0))</f>
        <v>0.37560975609756098</v>
      </c>
      <c r="AO70" s="16">
        <f>INDEX('Team forecast'!$B$2:$AO$26,MATCH('Master data'!$B70,'Team forecast'!$B$2:$B$26,0),MATCH('Master data'!AO$1,'Team forecast'!$B$2:$AO$2,0))</f>
        <v>3.9274266872961929</v>
      </c>
      <c r="AP70" s="16">
        <f>INDEX('Team forecast'!$B$2:$AO$26,MATCH('Master data'!$B70,'Team forecast'!$B$2:$B$26,0),MATCH('Master data'!AP$1,'Team forecast'!$B$2:$AO$2,0))</f>
        <v>3.1824148111753541</v>
      </c>
      <c r="AQ70" s="5">
        <f>X70</f>
        <v>7000</v>
      </c>
      <c r="AR70" s="5">
        <f>INDEX('Team forecast'!$B$2:$AO$26,MATCH('Master data'!$B70,'Team forecast'!$B$2:$B$26,0),MATCH('Master data'!AR$1,'Team forecast'!$B$2:$AO$2,0))*IF(X70&gt;0,25000,0)</f>
        <v>11178.861788617885</v>
      </c>
      <c r="AS70" s="16">
        <f>INDEX('Team forecast'!$B$2:$AO$26,MATCH('Master data'!$B70,'Team forecast'!$B$2:$B$26,0),MATCH('Master data'!AS$1,'Team forecast'!$B$2:$AO$2,0))*IF(X70&gt;0,5000,0)</f>
        <v>1422.7642276422764</v>
      </c>
      <c r="AT70" s="16">
        <f>INDEX('Team forecast'!$B$2:$AO$26,MATCH('Master data'!$B70,'Team forecast'!$B$2:$B$26,0),MATCH('Master data'!AT$1,'Team forecast'!$B$2:$AO$2,0))*IF(X70&gt;0,-15000,0)</f>
        <v>-4024.3902439024391</v>
      </c>
      <c r="AU70" s="5">
        <f>IF($C70="Defense",$N70*150000,IF($C70="Midfield",$N70*125000,IF($C70="Striker",$N70*100000,0)))*$AL70</f>
        <v>8249.6399487664294</v>
      </c>
      <c r="AV70" s="5">
        <f>$O70*50000*AL70</f>
        <v>3739.7189119264167</v>
      </c>
      <c r="AW70" s="5">
        <f>$P70*AO70*10000</f>
        <v>1634.0591999809594</v>
      </c>
      <c r="AX70" s="5">
        <f>IF($C70="Goalkeeper",AN70*75000,IF($C70="Defense",AN70*50000,0))</f>
        <v>0</v>
      </c>
      <c r="AY70" s="5">
        <f>IF($C70="Goalkeeper",(AP70-AM70)*5000,0)</f>
        <v>0</v>
      </c>
      <c r="AZ70" s="5">
        <f>$AG70</f>
        <v>-1980.1980198019801</v>
      </c>
      <c r="BA70" s="5">
        <f>$AH70</f>
        <v>0</v>
      </c>
      <c r="BB70" s="5">
        <f>IF(X70&gt;0,AL70*10000,0)</f>
        <v>13846.696653928884</v>
      </c>
      <c r="BC70" s="5">
        <f>IF(X70&gt;0,AM70*(-8000),0)</f>
        <v>-7833.6364582777951</v>
      </c>
      <c r="BD70" s="5">
        <f>IFERROR(SUM(AQ70:BC70),0)</f>
        <v>33233.516008880637</v>
      </c>
      <c r="BE70" s="16">
        <f>INDEX('Team forecast'!$B$2:$AO$26,MATCH('Master data'!$B70,'Team forecast'!$B$2:$B$26,0),MATCH('Master data'!BE$1,'Team forecast'!$B$2:$AO$2,0))</f>
        <v>1.5039270856478595</v>
      </c>
      <c r="BF70" s="16">
        <f>INDEX('Team forecast'!$B$2:$AO$26,MATCH('Master data'!$B70,'Team forecast'!$B$2:$B$26,0),MATCH('Master data'!BF$1,'Team forecast'!$B$2:$AO$2,0))</f>
        <v>0.82681690399773144</v>
      </c>
      <c r="BG70" s="16">
        <f>INDEX('Team forecast'!$B$2:$AO$26,MATCH('Master data'!$B70,'Team forecast'!$B$2:$B$26,0),MATCH('Master data'!BG$1,'Team forecast'!$B$2:$AO$2,0))</f>
        <v>0.43743948445487602</v>
      </c>
      <c r="BH70" s="16">
        <f>INDEX('Team forecast'!$B$2:$AO$26,MATCH('Master data'!$B70,'Team forecast'!$B$2:$B$26,0),MATCH('Master data'!BH$1,'Team forecast'!$B$2:$AO$2,0))</f>
        <v>4.2656840974739287</v>
      </c>
      <c r="BI70" s="16">
        <f>INDEX('Team forecast'!$B$2:$AO$26,MATCH('Master data'!$B70,'Team forecast'!$B$2:$B$26,0),MATCH('Master data'!BI$1,'Team forecast'!$B$2:$AO$2,0))</f>
        <v>2.6871549379926272</v>
      </c>
      <c r="BJ70" s="5">
        <f>AQ70</f>
        <v>7000</v>
      </c>
      <c r="BK70" s="5">
        <f>INDEX('Team forecast'!$R$3:$BH$26,MATCH($B70,'Team forecast'!$B$3:$B$26,0),MATCH(BK$1,'Team forecast'!$R$2:$BH$2,0))*IF($X70&gt;0,25000,0)</f>
        <v>12935.038518826977</v>
      </c>
      <c r="BL70" s="5">
        <f>INDEX('Team forecast'!$R$3:$BH$26,MATCH($B70,'Team forecast'!$B$3:$B$26,0),MATCH(BL$1,'Team forecast'!$R$2:$BH$2,0))*IF($X70&gt;0,5000,0)</f>
        <v>1355.4462898601791</v>
      </c>
      <c r="BM70" s="5">
        <f>INDEX('Team forecast'!$R$3:$BH$26,MATCH($B70,'Team forecast'!$B$3:$B$26,0),MATCH(BM$1,'Team forecast'!$R$2:$BH$2,0))*IF($X70&gt;0,-15000,0)</f>
        <v>-3172.6380191232765</v>
      </c>
      <c r="BN70" s="5">
        <f>IF($C70="Defense",$N70*150000,IF($C70="Midfield",$N70*125000,IF($C70="Striker",$N70*100000,0)))*$BE70</f>
        <v>8960.156545548436</v>
      </c>
      <c r="BO70" s="5">
        <f>$O70*50000*$BE70</f>
        <v>4061.8096177905663</v>
      </c>
      <c r="BP70" s="5">
        <f>$P70*BH70*10000</f>
        <v>1774.7957883558749</v>
      </c>
      <c r="BQ70" s="5">
        <f>IF($C70="Goalkeeper",BG70*75000,IF($C70="Defense",BG70*50000,0))</f>
        <v>0</v>
      </c>
      <c r="BR70" s="5">
        <f>IF($C70="Goalkeeper",(BI70-BF70)*5000,0)</f>
        <v>0</v>
      </c>
      <c r="BS70" s="5">
        <f>$AG70</f>
        <v>-1980.1980198019801</v>
      </c>
      <c r="BT70" s="5">
        <f>$AH70</f>
        <v>0</v>
      </c>
      <c r="BU70" s="5">
        <f>IF(AQ70&gt;0,BE70*10000,0)</f>
        <v>15039.270856478595</v>
      </c>
      <c r="BV70" s="5">
        <f>IF(AQ70&gt;0,BF70*(-8000),0)</f>
        <v>-6614.5352319818512</v>
      </c>
      <c r="BW70" s="5">
        <f>IFERROR(SUM(BJ70:BV70),0)</f>
        <v>39359.14634595353</v>
      </c>
      <c r="BX70" s="5">
        <f>AVERAGE(AK70,BD70,BW70)</f>
        <v>25810.49802927273</v>
      </c>
      <c r="BY70" s="5">
        <f>BX70*3</f>
        <v>77431.494087818195</v>
      </c>
      <c r="BZ70" s="5">
        <f>INDEX('Team forecast'!$R$3:$BH$26,MATCH($B70,'Team forecast'!$B$3:$B$26,0),MATCH(BZ$1,'Team forecast'!$R$2:$BH$2,0))*($BX70-(BY70+CH70)*0.01)</f>
        <v>-3705.0457564373942</v>
      </c>
      <c r="CA70" s="5">
        <f>INDEX('Team forecast'!$R$3:$BH$26,MATCH($B70,'Team forecast'!$B$3:$B$26,0),MATCH(CA$1,'Team forecast'!$R$2:$BH$2,0))*($BX70-(BY70+BX70+CH70)*0.01)</f>
        <v>-1926.190302761396</v>
      </c>
      <c r="CB70" s="5">
        <f>INDEX('Team forecast'!$R$3:$BH$26,MATCH($B70,'Team forecast'!$B$3:$B$26,0),MATCH(CB$1,'Team forecast'!$R$2:$BH$2,0))*($BX70-(BY70+BX70*2+CH70)*0.01)</f>
        <v>-988.31831003764648</v>
      </c>
      <c r="CC70" s="5">
        <f>INDEX('Team forecast'!$R$3:$BH$26,MATCH($B70,'Team forecast'!$B$3:$B$26,0),MATCH(CC$1,'Team forecast'!$R$2:$BH$2,0))*($BX70-(BY70+BX70*3+CH70)*0.01)</f>
        <v>-487.2161177335712</v>
      </c>
      <c r="CD70" s="5">
        <f>+AK70+BD70*Cockpit!$C$3+BW70*Cockpit!$C$3^2+BZ70*Cockpit!$C$3^3+CA70*Cockpit!$C$3^4+CB70*Cockpit!$C$3^5+CC70*Cockpit!$C$3^6</f>
        <v>42836.267288701791</v>
      </c>
      <c r="CE70" s="5"/>
      <c r="CF70" s="5"/>
      <c r="CG70" s="5">
        <v>0</v>
      </c>
      <c r="CH70" s="5">
        <f t="shared" si="46"/>
        <v>3000000</v>
      </c>
      <c r="CI70" s="5">
        <f t="shared" si="47"/>
        <v>3000000</v>
      </c>
      <c r="CJ70" s="1">
        <f t="shared" si="48"/>
        <v>2.5810498029272731E-2</v>
      </c>
      <c r="CK70" s="5">
        <f>RANK(BY70,$BY$2:$BY$623)+COUNTIF($BY$2:$BY70,$BY70)-1</f>
        <v>219</v>
      </c>
      <c r="CL70" s="5">
        <f>RANK(CJ70,$CJ$2:$CJ$623)+COUNTIF($CJ$2:$CJ70,$CJ70)-1</f>
        <v>193</v>
      </c>
    </row>
    <row r="71" spans="1:90">
      <c r="A71" t="str">
        <f>Players!P72</f>
        <v>Marco Verratti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4500000</v>
      </c>
      <c r="H71" s="16">
        <f>INDEX('Team forecast'!$B$2:$AO$26,MATCH('Master data'!$B71,'Team forecast'!$B$2:$B$26,0),MATCH('Master data'!H$1,'Team forecast'!$B$2:$AO$2,0))</f>
        <v>1.6593477618235051</v>
      </c>
      <c r="I71" s="16">
        <f>INDEX('Team forecast'!$B$2:$AO$26,MATCH('Master data'!$B71,'Team forecast'!$B$2:$B$26,0),MATCH('Master data'!I$1,'Team forecast'!$B$2:$AO$2,0))</f>
        <v>0.65422581624273402</v>
      </c>
      <c r="J71" s="16">
        <f>INDEX('Team forecast'!$B$2:$AO$26,MATCH('Master data'!$B71,'Team forecast'!$B$2:$B$26,0),MATCH('Master data'!J$1,'Team forecast'!$B$2:$AO$2,0))</f>
        <v>0.51984436190144767</v>
      </c>
      <c r="K71" s="16">
        <f>INDEX('Team forecast'!$B$2:$AO$26,MATCH('Master data'!$B71,'Team forecast'!$B$2:$B$26,0),MATCH('Master data'!K$1,'Team forecast'!$B$2:$AO$2,0))</f>
        <v>4.5343674133251923</v>
      </c>
      <c r="L71" s="16">
        <f>INDEX('Team forecast'!$B$2:$AO$26,MATCH('Master data'!$B71,'Team forecast'!$B$2:$B$26,0),MATCH('Master data'!L$1,'Team forecast'!$B$2:$AO$2,0))</f>
        <v>2.1477110129180663</v>
      </c>
      <c r="M71">
        <f>IF(Players!BC72=1,95,0)</f>
        <v>95</v>
      </c>
      <c r="N71" s="2">
        <f>Players!BN72</f>
        <v>4.8108890306974413E-2</v>
      </c>
      <c r="O71" s="2">
        <f>Players!BO72</f>
        <v>5.5998537809202151E-2</v>
      </c>
      <c r="P71" s="2">
        <f>Players!BP72</f>
        <v>5.1536642380503143E-2</v>
      </c>
      <c r="Q71" s="2">
        <f>Players!BQ72</f>
        <v>0.43140939597315431</v>
      </c>
      <c r="R71" s="2">
        <f>Players!BR72</f>
        <v>0</v>
      </c>
      <c r="S71" s="2">
        <f>H71</f>
        <v>1.6593477618235051</v>
      </c>
      <c r="T71" s="2">
        <f>I71</f>
        <v>0.65422581624273402</v>
      </c>
      <c r="U71" s="16">
        <f>INDEX('Team forecast'!$B$2:$AO$26,MATCH('Master data'!$B71,'Team forecast'!$B$2:$B$26,0),MATCH('Master data'!U$1,'Team forecast'!$B$2:$AO$2,0))</f>
        <v>0.61375173050299947</v>
      </c>
      <c r="V71" s="16">
        <f>INDEX('Team forecast'!$B$2:$AO$26,MATCH('Master data'!$B71,'Team forecast'!$B$2:$B$26,0),MATCH('Master data'!V$1,'Team forecast'!$B$2:$AO$2,0))</f>
        <v>0.25034610059990769</v>
      </c>
      <c r="W71" s="16">
        <f>INDEX('Team forecast'!$B$2:$AO$26,MATCH('Master data'!$B71,'Team forecast'!$B$2:$B$26,0),MATCH('Master data'!W$1,'Team forecast'!$B$2:$AO$2,0))</f>
        <v>0.13590216889709281</v>
      </c>
      <c r="X71" s="5">
        <f>IF(M71&gt;95,7000*2,IF(M71&gt;0,7000,-5000))</f>
        <v>7000</v>
      </c>
      <c r="Y71" s="5">
        <f>IF($X71&gt;0,U71*25000,0)</f>
        <v>15343.793262574987</v>
      </c>
      <c r="Z71" s="5">
        <f>IF($X71&gt;0,V71*5000,0)</f>
        <v>1251.7305029995384</v>
      </c>
      <c r="AA71" s="5">
        <f>IF($X71&gt;0,W71*(-15000),0)</f>
        <v>-2038.532533456392</v>
      </c>
      <c r="AB71" s="5">
        <f>IF($C71="Defense",$N71*150000,IF($C71="Midfield",$N71*125000,IF($C71="Striker",$N71*100000,0)))*$H71</f>
        <v>9978.672431836314</v>
      </c>
      <c r="AC71" s="5">
        <f>$O71*50000*H71</f>
        <v>4646.0524189544258</v>
      </c>
      <c r="AD71" s="5">
        <f>$P71*K71*10000</f>
        <v>2336.8607180234753</v>
      </c>
      <c r="AE71" s="5">
        <f>IF($C71="Goalkeeper",J71*75000,IF($C71="Defense",J71*50000,0))</f>
        <v>0</v>
      </c>
      <c r="AF71" s="5">
        <f>IF($C71="Goalkeeper",(L71-I71)*5000,0)</f>
        <v>0</v>
      </c>
      <c r="AG71" s="5">
        <f>IF(M71&gt;0,Q71*(-20000),0)</f>
        <v>-8628.1879194630856</v>
      </c>
      <c r="AH71" s="5">
        <f>IF(M71&gt;0,R71*(-50000),0)</f>
        <v>0</v>
      </c>
      <c r="AI71" s="5">
        <f>IF(M71&gt;0,S71*10000,0)</f>
        <v>16593.477618235051</v>
      </c>
      <c r="AJ71" s="5">
        <f>IF(M71&gt;0,T71*(-8000),0)</f>
        <v>-5233.8065299418722</v>
      </c>
      <c r="AK71" s="5">
        <f>IFERROR(SUM(X71:AJ71),-5000)*((Cockpit!$C$3)^0)</f>
        <v>41250.059969762435</v>
      </c>
      <c r="AL71" s="16">
        <f>INDEX('Team forecast'!$B$2:$AO$26,MATCH('Master data'!$B71,'Team forecast'!$B$2:$B$26,0),MATCH('Master data'!AL$1,'Team forecast'!$B$2:$AO$2,0))</f>
        <v>1.5198357804321134</v>
      </c>
      <c r="AM71" s="16">
        <f>INDEX('Team forecast'!$B$2:$AO$26,MATCH('Master data'!$B71,'Team forecast'!$B$2:$B$26,0),MATCH('Master data'!AM$1,'Team forecast'!$B$2:$AO$2,0))</f>
        <v>0.79620558314709244</v>
      </c>
      <c r="AN71" s="16">
        <f>INDEX('Team forecast'!$B$2:$AO$26,MATCH('Master data'!$B71,'Team forecast'!$B$2:$B$26,0),MATCH('Master data'!AN$1,'Team forecast'!$B$2:$AO$2,0))</f>
        <v>0.45103714423540769</v>
      </c>
      <c r="AO71" s="16">
        <f>INDEX('Team forecast'!$B$2:$AO$26,MATCH('Master data'!$B71,'Team forecast'!$B$2:$B$26,0),MATCH('Master data'!AO$1,'Team forecast'!$B$2:$AO$2,0))</f>
        <v>4.1531341379722457</v>
      </c>
      <c r="AP71" s="16">
        <f>INDEX('Team forecast'!$B$2:$AO$26,MATCH('Master data'!$B71,'Team forecast'!$B$2:$B$26,0),MATCH('Master data'!AP$1,'Team forecast'!$B$2:$AO$2,0))</f>
        <v>2.6138062073010611</v>
      </c>
      <c r="AQ71" s="5">
        <f>X71</f>
        <v>7000</v>
      </c>
      <c r="AR71" s="5">
        <f>INDEX('Team forecast'!$B$2:$AO$26,MATCH('Master data'!$B71,'Team forecast'!$B$2:$B$26,0),MATCH('Master data'!AR$1,'Team forecast'!$B$2:$AO$2,0))*IF(X71&gt;0,25000,0)</f>
        <v>13929.088277858178</v>
      </c>
      <c r="AS71" s="16">
        <f>INDEX('Team forecast'!$B$2:$AO$26,MATCH('Master data'!$B71,'Team forecast'!$B$2:$B$26,0),MATCH('Master data'!AS$1,'Team forecast'!$B$2:$AO$2,0))*IF(X71&gt;0,5000,0)</f>
        <v>1353.111432706223</v>
      </c>
      <c r="AT71" s="16">
        <f>INDEX('Team forecast'!$B$2:$AO$26,MATCH('Master data'!$B71,'Team forecast'!$B$2:$B$26,0),MATCH('Master data'!AT$1,'Team forecast'!$B$2:$AO$2,0))*IF(X71&gt;0,-15000,0)</f>
        <v>-2583.2127351664258</v>
      </c>
      <c r="AU71" s="5">
        <f>IF($C71="Defense",$N71*150000,IF($C71="Midfield",$N71*125000,IF($C71="Striker",$N71*100000,0)))*$AL71</f>
        <v>9139.7016056779248</v>
      </c>
      <c r="AV71" s="5">
        <f>$O71*50000*AL71</f>
        <v>4255.4290707152986</v>
      </c>
      <c r="AW71" s="5">
        <f>$P71*AO71*10000</f>
        <v>2140.3858882693485</v>
      </c>
      <c r="AX71" s="5">
        <f>IF($C71="Goalkeeper",AN71*75000,IF($C71="Defense",AN71*50000,0))</f>
        <v>0</v>
      </c>
      <c r="AY71" s="5">
        <f>IF($C71="Goalkeeper",(AP71-AM71)*5000,0)</f>
        <v>0</v>
      </c>
      <c r="AZ71" s="5">
        <f>$AG71</f>
        <v>-8628.1879194630856</v>
      </c>
      <c r="BA71" s="5">
        <f>$AH71</f>
        <v>0</v>
      </c>
      <c r="BB71" s="5">
        <f>IF(X71&gt;0,AL71*10000,0)</f>
        <v>15198.357804321135</v>
      </c>
      <c r="BC71" s="5">
        <f>IF(X71&gt;0,AM71*(-8000),0)</f>
        <v>-6369.6446651767392</v>
      </c>
      <c r="BD71" s="5">
        <f>IFERROR(SUM(AQ71:BC71),0)</f>
        <v>35435.028759741857</v>
      </c>
      <c r="BE71" s="16">
        <f>INDEX('Team forecast'!$B$2:$AO$26,MATCH('Master data'!$B71,'Team forecast'!$B$2:$B$26,0),MATCH('Master data'!BE$1,'Team forecast'!$B$2:$AO$2,0))</f>
        <v>1.8402581758343768</v>
      </c>
      <c r="BF71" s="16">
        <f>INDEX('Team forecast'!$B$2:$AO$26,MATCH('Master data'!$B71,'Team forecast'!$B$2:$B$26,0),MATCH('Master data'!BF$1,'Team forecast'!$B$2:$AO$2,0))</f>
        <v>0.65281467345965161</v>
      </c>
      <c r="BG71" s="16">
        <f>INDEX('Team forecast'!$B$2:$AO$26,MATCH('Master data'!$B71,'Team forecast'!$B$2:$B$26,0),MATCH('Master data'!BG$1,'Team forecast'!$B$2:$AO$2,0))</f>
        <v>0.52057845435388617</v>
      </c>
      <c r="BH71" s="16">
        <f>INDEX('Team forecast'!$B$2:$AO$26,MATCH('Master data'!$B71,'Team forecast'!$B$2:$B$26,0),MATCH('Master data'!BH$1,'Team forecast'!$B$2:$AO$2,0))</f>
        <v>5.0287268869057034</v>
      </c>
      <c r="BI71" s="16">
        <f>INDEX('Team forecast'!$B$2:$AO$26,MATCH('Master data'!$B71,'Team forecast'!$B$2:$B$26,0),MATCH('Master data'!BI$1,'Team forecast'!$B$2:$AO$2,0))</f>
        <v>2.1430784734786541</v>
      </c>
      <c r="BJ71" s="5">
        <f>AQ71</f>
        <v>7000</v>
      </c>
      <c r="BK71" s="5">
        <f>INDEX('Team forecast'!$R$3:$BH$26,MATCH($B71,'Team forecast'!$B$3:$B$26,0),MATCH(BK$1,'Team forecast'!$R$2:$BH$2,0))*IF($X71&gt;0,25000,0)</f>
        <v>16539.211310201594</v>
      </c>
      <c r="BL71" s="5">
        <f>INDEX('Team forecast'!$R$3:$BH$26,MATCH($B71,'Team forecast'!$B$3:$B$26,0),MATCH(BL$1,'Team forecast'!$R$2:$BH$2,0))*IF($X71&gt;0,5000,0)</f>
        <v>1147.781411406761</v>
      </c>
      <c r="BM71" s="5">
        <f>INDEX('Team forecast'!$R$3:$BH$26,MATCH($B71,'Team forecast'!$B$3:$B$26,0),MATCH(BM$1,'Team forecast'!$R$2:$BH$2,0))*IF($X71&gt;0,-15000,0)</f>
        <v>-1633.128979658763</v>
      </c>
      <c r="BN71" s="5">
        <f>IF($C71="Defense",$N71*150000,IF($C71="Midfield",$N71*125000,IF($C71="Striker",$N71*100000,0)))*$BE71</f>
        <v>11066.597339716107</v>
      </c>
      <c r="BO71" s="5">
        <f>$O71*50000*$BE71</f>
        <v>5152.588351907737</v>
      </c>
      <c r="BP71" s="5">
        <f>$P71*BH71*10000</f>
        <v>2591.6369919968015</v>
      </c>
      <c r="BQ71" s="5">
        <f>IF($C71="Goalkeeper",BG71*75000,IF($C71="Defense",BG71*50000,0))</f>
        <v>0</v>
      </c>
      <c r="BR71" s="5">
        <f>IF($C71="Goalkeeper",(BI71-BF71)*5000,0)</f>
        <v>0</v>
      </c>
      <c r="BS71" s="5">
        <f>$AG71</f>
        <v>-8628.1879194630856</v>
      </c>
      <c r="BT71" s="5">
        <f>$AH71</f>
        <v>0</v>
      </c>
      <c r="BU71" s="5">
        <f>IF(AQ71&gt;0,BE71*10000,0)</f>
        <v>18402.581758343767</v>
      </c>
      <c r="BV71" s="5">
        <f>IF(AQ71&gt;0,BF71*(-8000),0)</f>
        <v>-5222.5173876772133</v>
      </c>
      <c r="BW71" s="5">
        <f>IFERROR(SUM(BJ71:BV71),0)</f>
        <v>46416.562876773707</v>
      </c>
      <c r="BX71" s="5">
        <f>AVERAGE(AK71,BD71,BW71)</f>
        <v>41033.883868759331</v>
      </c>
      <c r="BY71" s="5">
        <f>BX71*3</f>
        <v>123101.651606278</v>
      </c>
      <c r="BZ71" s="5">
        <f>INDEX('Team forecast'!$R$3:$BH$26,MATCH($B71,'Team forecast'!$B$3:$B$26,0),MATCH(BZ$1,'Team forecast'!$R$2:$BH$2,0))*($BX71-(BY71+CH71)*0.01)</f>
        <v>-4977.0805107618462</v>
      </c>
      <c r="CA71" s="5">
        <f>INDEX('Team forecast'!$R$3:$BH$26,MATCH($B71,'Team forecast'!$B$3:$B$26,0),MATCH(CA$1,'Team forecast'!$R$2:$BH$2,0))*($BX71-(BY71+BX71+CH71)*0.01)</f>
        <v>-2706.7981039954561</v>
      </c>
      <c r="CB71" s="5">
        <f>INDEX('Team forecast'!$R$3:$BH$26,MATCH($B71,'Team forecast'!$B$3:$B$26,0),MATCH(CB$1,'Team forecast'!$R$2:$BH$2,0))*($BX71-(BY71+BX71*2+CH71)*0.01)</f>
        <v>-1474.4312965187801</v>
      </c>
      <c r="CC71" s="5">
        <f>INDEX('Team forecast'!$R$3:$BH$26,MATCH($B71,'Team forecast'!$B$3:$B$26,0),MATCH(CC$1,'Team forecast'!$R$2:$BH$2,0))*($BX71-(BY71+BX71*3+CH71)*0.01)</f>
        <v>-817.77946772207952</v>
      </c>
      <c r="CD71" s="5">
        <f>+AK71+BD71*Cockpit!$C$3+BW71*Cockpit!$C$3^2+BZ71*Cockpit!$C$3^3+CA71*Cockpit!$C$3^4+CB71*Cockpit!$C$3^5+CC71*Cockpit!$C$3^6</f>
        <v>83227.671412299198</v>
      </c>
      <c r="CE71" s="5"/>
      <c r="CF71" s="5"/>
      <c r="CG71" s="5">
        <v>0</v>
      </c>
      <c r="CH71" s="5">
        <f t="shared" si="46"/>
        <v>4500000</v>
      </c>
      <c r="CI71" s="5">
        <f t="shared" si="47"/>
        <v>4500000</v>
      </c>
      <c r="CJ71" s="1">
        <f t="shared" si="48"/>
        <v>2.7355922579172888E-2</v>
      </c>
      <c r="CK71" s="5">
        <f>RANK(BY71,$BY$2:$BY$623)+COUNTIF($BY$2:$BY71,$BY71)-1</f>
        <v>128</v>
      </c>
      <c r="CL71" s="5">
        <f>RANK(CJ71,$CJ$2:$CJ$623)+COUNTIF($CJ$2:$CJ71,$CJ71)-1</f>
        <v>178</v>
      </c>
    </row>
    <row r="72" spans="1:90">
      <c r="A72" t="str">
        <f>Players!P73</f>
        <v>Federico Bernardeschi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1.6593477618235051</v>
      </c>
      <c r="I72" s="16">
        <f>INDEX('Team forecast'!$B$2:$AO$26,MATCH('Master data'!$B72,'Team forecast'!$B$2:$B$26,0),MATCH('Master data'!I$1,'Team forecast'!$B$2:$AO$2,0))</f>
        <v>0.65422581624273402</v>
      </c>
      <c r="J72" s="16">
        <f>INDEX('Team forecast'!$B$2:$AO$26,MATCH('Master data'!$B72,'Team forecast'!$B$2:$B$26,0),MATCH('Master data'!J$1,'Team forecast'!$B$2:$AO$2,0))</f>
        <v>0.51984436190144767</v>
      </c>
      <c r="K72" s="16">
        <f>INDEX('Team forecast'!$B$2:$AO$26,MATCH('Master data'!$B72,'Team forecast'!$B$2:$B$26,0),MATCH('Master data'!K$1,'Team forecast'!$B$2:$AO$2,0))</f>
        <v>4.5343674133251923</v>
      </c>
      <c r="L72" s="16">
        <f>INDEX('Team forecast'!$B$2:$AO$26,MATCH('Master data'!$B72,'Team forecast'!$B$2:$B$26,0),MATCH('Master data'!L$1,'Team forecast'!$B$2:$AO$2,0))</f>
        <v>2.1477110129180663</v>
      </c>
      <c r="M72">
        <f>IF(Players!BC73=1,95,0)</f>
        <v>0</v>
      </c>
      <c r="N72" s="2">
        <f>Players!BN73</f>
        <v>0</v>
      </c>
      <c r="O72" s="2">
        <f>Players!BO73</f>
        <v>0</v>
      </c>
      <c r="P72" s="2">
        <f>Players!BP73</f>
        <v>0</v>
      </c>
      <c r="Q72" s="2">
        <f>Players!BQ73</f>
        <v>0.2354786680541103</v>
      </c>
      <c r="R72" s="2">
        <f>Players!BR73</f>
        <v>0</v>
      </c>
      <c r="S72" s="2">
        <f>H72</f>
        <v>1.6593477618235051</v>
      </c>
      <c r="T72" s="2">
        <f>I72</f>
        <v>0.65422581624273402</v>
      </c>
      <c r="U72" s="16">
        <f>INDEX('Team forecast'!$B$2:$AO$26,MATCH('Master data'!$B72,'Team forecast'!$B$2:$B$26,0),MATCH('Master data'!U$1,'Team forecast'!$B$2:$AO$2,0))</f>
        <v>0.61375173050299947</v>
      </c>
      <c r="V72" s="16">
        <f>INDEX('Team forecast'!$B$2:$AO$26,MATCH('Master data'!$B72,'Team forecast'!$B$2:$B$26,0),MATCH('Master data'!V$1,'Team forecast'!$B$2:$AO$2,0))</f>
        <v>0.25034610059990769</v>
      </c>
      <c r="W72" s="16">
        <f>INDEX('Team forecast'!$B$2:$AO$26,MATCH('Master data'!$B72,'Team forecast'!$B$2:$B$26,0),MATCH('Master data'!W$1,'Team forecast'!$B$2:$AO$2,0))</f>
        <v>0.13590216889709281</v>
      </c>
      <c r="X72" s="5">
        <f>IF(M72&gt;95,7000*2,IF(M72&gt;0,7000,-5000))</f>
        <v>-5000</v>
      </c>
      <c r="Y72" s="5">
        <f>IF($X72&gt;0,U72*25000,0)</f>
        <v>0</v>
      </c>
      <c r="Z72" s="5">
        <f>IF($X72&gt;0,V72*5000,0)</f>
        <v>0</v>
      </c>
      <c r="AA72" s="5">
        <f>IF($X72&gt;0,W72*(-15000),0)</f>
        <v>0</v>
      </c>
      <c r="AB72" s="5">
        <f>IF($C72="Defense",$N72*150000,IF($C72="Midfield",$N72*125000,IF($C72="Striker",$N72*100000,0)))*$H72</f>
        <v>0</v>
      </c>
      <c r="AC72" s="5">
        <f>$O72*50000*H72</f>
        <v>0</v>
      </c>
      <c r="AD72" s="5">
        <f>$P72*K72*10000</f>
        <v>0</v>
      </c>
      <c r="AE72" s="5">
        <f>IF($C72="Goalkeeper",J72*75000,IF($C72="Defense",J72*50000,0))</f>
        <v>0</v>
      </c>
      <c r="AF72" s="5">
        <f>IF($C72="Goalkeeper",(L72-I72)*5000,0)</f>
        <v>0</v>
      </c>
      <c r="AG72" s="5">
        <f>IF(M72&gt;0,Q72*(-20000),0)</f>
        <v>0</v>
      </c>
      <c r="AH72" s="5">
        <f>IF(M72&gt;0,R72*(-50000),0)</f>
        <v>0</v>
      </c>
      <c r="AI72" s="5">
        <f>IF(M72&gt;0,S72*10000,0)</f>
        <v>0</v>
      </c>
      <c r="AJ72" s="5">
        <f>IF(M72&gt;0,T72*(-8000),0)</f>
        <v>0</v>
      </c>
      <c r="AK72" s="5">
        <f>IFERROR(SUM(X72:AJ72),-5000)*((Cockpit!$C$3)^0)</f>
        <v>-5000</v>
      </c>
      <c r="AL72" s="16">
        <f>INDEX('Team forecast'!$B$2:$AO$26,MATCH('Master data'!$B72,'Team forecast'!$B$2:$B$26,0),MATCH('Master data'!AL$1,'Team forecast'!$B$2:$AO$2,0))</f>
        <v>1.5198357804321134</v>
      </c>
      <c r="AM72" s="16">
        <f>INDEX('Team forecast'!$B$2:$AO$26,MATCH('Master data'!$B72,'Team forecast'!$B$2:$B$26,0),MATCH('Master data'!AM$1,'Team forecast'!$B$2:$AO$2,0))</f>
        <v>0.79620558314709244</v>
      </c>
      <c r="AN72" s="16">
        <f>INDEX('Team forecast'!$B$2:$AO$26,MATCH('Master data'!$B72,'Team forecast'!$B$2:$B$26,0),MATCH('Master data'!AN$1,'Team forecast'!$B$2:$AO$2,0))</f>
        <v>0.45103714423540769</v>
      </c>
      <c r="AO72" s="16">
        <f>INDEX('Team forecast'!$B$2:$AO$26,MATCH('Master data'!$B72,'Team forecast'!$B$2:$B$26,0),MATCH('Master data'!AO$1,'Team forecast'!$B$2:$AO$2,0))</f>
        <v>4.1531341379722457</v>
      </c>
      <c r="AP72" s="16">
        <f>INDEX('Team forecast'!$B$2:$AO$26,MATCH('Master data'!$B72,'Team forecast'!$B$2:$B$26,0),MATCH('Master data'!AP$1,'Team forecast'!$B$2:$AO$2,0))</f>
        <v>2.6138062073010611</v>
      </c>
      <c r="AQ72" s="5">
        <f>X72</f>
        <v>-5000</v>
      </c>
      <c r="AR72" s="5">
        <f>INDEX('Team forecast'!$B$2:$AO$26,MATCH('Master data'!$B72,'Team forecast'!$B$2:$B$26,0),MATCH('Master data'!AR$1,'Team forecast'!$B$2:$AO$2,0))*IF(X72&gt;0,25000,0)</f>
        <v>0</v>
      </c>
      <c r="AS72" s="16">
        <f>INDEX('Team forecast'!$B$2:$AO$26,MATCH('Master data'!$B72,'Team forecast'!$B$2:$B$26,0),MATCH('Master data'!AS$1,'Team forecast'!$B$2:$AO$2,0))*IF(X72&gt;0,5000,0)</f>
        <v>0</v>
      </c>
      <c r="AT72" s="16">
        <f>INDEX('Team forecast'!$B$2:$AO$26,MATCH('Master data'!$B72,'Team forecast'!$B$2:$B$26,0),MATCH('Master data'!AT$1,'Team forecast'!$B$2:$AO$2,0))*IF(X72&gt;0,-15000,0)</f>
        <v>0</v>
      </c>
      <c r="AU72" s="5">
        <f>IF($C72="Defense",$N72*150000,IF($C72="Midfield",$N72*125000,IF($C72="Striker",$N72*100000,0)))*$AL72</f>
        <v>0</v>
      </c>
      <c r="AV72" s="5">
        <f>$O72*50000*AL72</f>
        <v>0</v>
      </c>
      <c r="AW72" s="5">
        <f>$P72*AO72*10000</f>
        <v>0</v>
      </c>
      <c r="AX72" s="5">
        <f>IF($C72="Goalkeeper",AN72*75000,IF($C72="Defense",AN72*50000,0))</f>
        <v>0</v>
      </c>
      <c r="AY72" s="5">
        <f>IF($C72="Goalkeeper",(AP72-AM72)*5000,0)</f>
        <v>0</v>
      </c>
      <c r="AZ72" s="5">
        <f>$AG72</f>
        <v>0</v>
      </c>
      <c r="BA72" s="5">
        <f>$AH72</f>
        <v>0</v>
      </c>
      <c r="BB72" s="5">
        <f>IF(X72&gt;0,AL72*10000,0)</f>
        <v>0</v>
      </c>
      <c r="BC72" s="5">
        <f>IF(X72&gt;0,AM72*(-8000),0)</f>
        <v>0</v>
      </c>
      <c r="BD72" s="5">
        <f>IFERROR(SUM(AQ72:BC72),0)</f>
        <v>-5000</v>
      </c>
      <c r="BE72" s="16">
        <f>INDEX('Team forecast'!$B$2:$AO$26,MATCH('Master data'!$B72,'Team forecast'!$B$2:$B$26,0),MATCH('Master data'!BE$1,'Team forecast'!$B$2:$AO$2,0))</f>
        <v>1.8402581758343768</v>
      </c>
      <c r="BF72" s="16">
        <f>INDEX('Team forecast'!$B$2:$AO$26,MATCH('Master data'!$B72,'Team forecast'!$B$2:$B$26,0),MATCH('Master data'!BF$1,'Team forecast'!$B$2:$AO$2,0))</f>
        <v>0.65281467345965161</v>
      </c>
      <c r="BG72" s="16">
        <f>INDEX('Team forecast'!$B$2:$AO$26,MATCH('Master data'!$B72,'Team forecast'!$B$2:$B$26,0),MATCH('Master data'!BG$1,'Team forecast'!$B$2:$AO$2,0))</f>
        <v>0.52057845435388617</v>
      </c>
      <c r="BH72" s="16">
        <f>INDEX('Team forecast'!$B$2:$AO$26,MATCH('Master data'!$B72,'Team forecast'!$B$2:$B$26,0),MATCH('Master data'!BH$1,'Team forecast'!$B$2:$AO$2,0))</f>
        <v>5.0287268869057034</v>
      </c>
      <c r="BI72" s="16">
        <f>INDEX('Team forecast'!$B$2:$AO$26,MATCH('Master data'!$B72,'Team forecast'!$B$2:$B$26,0),MATCH('Master data'!BI$1,'Team forecast'!$B$2:$AO$2,0))</f>
        <v>2.1430784734786541</v>
      </c>
      <c r="BJ72" s="5">
        <f>AQ72</f>
        <v>-5000</v>
      </c>
      <c r="BK72" s="5">
        <f>INDEX('Team forecast'!$R$3:$BH$26,MATCH($B72,'Team forecast'!$B$3:$B$26,0),MATCH(BK$1,'Team forecast'!$R$2:$BH$2,0))*IF($X72&gt;0,25000,0)</f>
        <v>0</v>
      </c>
      <c r="BL72" s="5">
        <f>INDEX('Team forecast'!$R$3:$BH$26,MATCH($B72,'Team forecast'!$B$3:$B$26,0),MATCH(BL$1,'Team forecast'!$R$2:$BH$2,0))*IF($X72&gt;0,5000,0)</f>
        <v>0</v>
      </c>
      <c r="BM72" s="5">
        <f>INDEX('Team forecast'!$R$3:$BH$26,MATCH($B72,'Team forecast'!$B$3:$B$26,0),MATCH(BM$1,'Team forecast'!$R$2:$BH$2,0))*IF($X72&gt;0,-15000,0)</f>
        <v>0</v>
      </c>
      <c r="BN72" s="5">
        <f>IF($C72="Defense",$N72*150000,IF($C72="Midfield",$N72*125000,IF($C72="Striker",$N72*100000,0)))*$BE72</f>
        <v>0</v>
      </c>
      <c r="BO72" s="5">
        <f>$O72*50000*$BE72</f>
        <v>0</v>
      </c>
      <c r="BP72" s="5">
        <f>$P72*BH72*10000</f>
        <v>0</v>
      </c>
      <c r="BQ72" s="5">
        <f>IF($C72="Goalkeeper",BG72*75000,IF($C72="Defense",BG72*50000,0))</f>
        <v>0</v>
      </c>
      <c r="BR72" s="5">
        <f>IF($C72="Goalkeeper",(BI72-BF72)*5000,0)</f>
        <v>0</v>
      </c>
      <c r="BS72" s="5">
        <f>$AG72</f>
        <v>0</v>
      </c>
      <c r="BT72" s="5">
        <f>$AH72</f>
        <v>0</v>
      </c>
      <c r="BU72" s="5">
        <f>IF(AQ72&gt;0,BE72*10000,0)</f>
        <v>0</v>
      </c>
      <c r="BV72" s="5">
        <f>IF(AQ72&gt;0,BF72*(-8000),0)</f>
        <v>0</v>
      </c>
      <c r="BW72" s="5">
        <f>IFERROR(SUM(BJ72:BV72),0)</f>
        <v>-5000</v>
      </c>
      <c r="BX72" s="5">
        <f>AVERAGE(AK72,BD72,BW72)</f>
        <v>-5000</v>
      </c>
      <c r="BY72" s="5">
        <f>BX72*3</f>
        <v>-15000</v>
      </c>
      <c r="BZ72" s="5">
        <f>INDEX('Team forecast'!$R$3:$BH$26,MATCH($B72,'Team forecast'!$B$3:$B$26,0),MATCH(BZ$1,'Team forecast'!$R$2:$BH$2,0))*($BX72-(BY72+CH72)*0.01)</f>
        <v>-42951.003188938936</v>
      </c>
      <c r="CA72" s="5">
        <f>INDEX('Team forecast'!$R$3:$BH$26,MATCH($B72,'Team forecast'!$B$3:$B$26,0),MATCH(CA$1,'Team forecast'!$R$2:$BH$2,0))*($BX72-(BY72+BX72+CH72)*0.01)</f>
        <v>-21625.532178263889</v>
      </c>
      <c r="CB72" s="5">
        <f>INDEX('Team forecast'!$R$3:$BH$26,MATCH($B72,'Team forecast'!$B$3:$B$26,0),MATCH(CB$1,'Team forecast'!$R$2:$BH$2,0))*($BX72-(BY72+BX72*2+CH72)*0.01)</f>
        <v>-10964.253932802201</v>
      </c>
      <c r="CC72" s="5">
        <f>INDEX('Team forecast'!$R$3:$BH$26,MATCH($B72,'Team forecast'!$B$3:$B$26,0),MATCH(CC$1,'Team forecast'!$R$2:$BH$2,0))*($BX72-(BY72+BX72*3+CH72)*0.01)</f>
        <v>-5686.6667649066076</v>
      </c>
      <c r="CD72" s="5">
        <f>+AK72+BD72*Cockpit!$C$3+BW72*Cockpit!$C$3^2+BZ72*Cockpit!$C$3^3+CA72*Cockpit!$C$3^4+CB72*Cockpit!$C$3^5+CC72*Cockpit!$C$3^6</f>
        <v>-29496.58213029334</v>
      </c>
      <c r="CE72" s="5"/>
      <c r="CF72" s="5"/>
      <c r="CG72" s="5">
        <v>0</v>
      </c>
      <c r="CH72" s="5">
        <f t="shared" si="46"/>
        <v>4000000</v>
      </c>
      <c r="CI72" s="5">
        <f t="shared" si="47"/>
        <v>4000000</v>
      </c>
      <c r="CJ72" s="1">
        <f t="shared" si="48"/>
        <v>-3.7499999999999999E-3</v>
      </c>
      <c r="CK72" s="5">
        <f>RANK(BY72,$BY$2:$BY$623)+COUNTIF($BY$2:$BY72,$BY72)-1</f>
        <v>442</v>
      </c>
      <c r="CL72" s="5">
        <f>RANK(CJ72,$CJ$2:$CJ$623)+COUNTIF($CJ$2:$CJ72,$CJ72)-1</f>
        <v>440</v>
      </c>
    </row>
    <row r="73" spans="1:90">
      <c r="A73" t="str">
        <f>Players!P74</f>
        <v>Jorginho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1.6593477618235051</v>
      </c>
      <c r="I73" s="16">
        <f>INDEX('Team forecast'!$B$2:$AO$26,MATCH('Master data'!$B73,'Team forecast'!$B$2:$B$26,0),MATCH('Master data'!I$1,'Team forecast'!$B$2:$AO$2,0))</f>
        <v>0.65422581624273402</v>
      </c>
      <c r="J73" s="16">
        <f>INDEX('Team forecast'!$B$2:$AO$26,MATCH('Master data'!$B73,'Team forecast'!$B$2:$B$26,0),MATCH('Master data'!J$1,'Team forecast'!$B$2:$AO$2,0))</f>
        <v>0.51984436190144767</v>
      </c>
      <c r="K73" s="16">
        <f>INDEX('Team forecast'!$B$2:$AO$26,MATCH('Master data'!$B73,'Team forecast'!$B$2:$B$26,0),MATCH('Master data'!K$1,'Team forecast'!$B$2:$AO$2,0))</f>
        <v>4.5343674133251923</v>
      </c>
      <c r="L73" s="16">
        <f>INDEX('Team forecast'!$B$2:$AO$26,MATCH('Master data'!$B73,'Team forecast'!$B$2:$B$26,0),MATCH('Master data'!L$1,'Team forecast'!$B$2:$AO$2,0))</f>
        <v>2.1477110129180663</v>
      </c>
      <c r="M73">
        <f>IF(Players!BC74=1,95,0)</f>
        <v>95</v>
      </c>
      <c r="N73" s="2">
        <f>Players!BN74</f>
        <v>0.11574384832182373</v>
      </c>
      <c r="O73" s="2">
        <f>Players!BO74</f>
        <v>5.1827552297142268E-2</v>
      </c>
      <c r="P73" s="2">
        <f>Players!BP74</f>
        <v>6.8630225851295648E-2</v>
      </c>
      <c r="Q73" s="2">
        <f>Players!BQ74</f>
        <v>0.15968718967229395</v>
      </c>
      <c r="R73" s="2">
        <f>Players!BR74</f>
        <v>0</v>
      </c>
      <c r="S73" s="2">
        <f>H73</f>
        <v>1.6593477618235051</v>
      </c>
      <c r="T73" s="2">
        <f>I73</f>
        <v>0.65422581624273402</v>
      </c>
      <c r="U73" s="16">
        <f>INDEX('Team forecast'!$B$2:$AO$26,MATCH('Master data'!$B73,'Team forecast'!$B$2:$B$26,0),MATCH('Master data'!U$1,'Team forecast'!$B$2:$AO$2,0))</f>
        <v>0.61375173050299947</v>
      </c>
      <c r="V73" s="16">
        <f>INDEX('Team forecast'!$B$2:$AO$26,MATCH('Master data'!$B73,'Team forecast'!$B$2:$B$26,0),MATCH('Master data'!V$1,'Team forecast'!$B$2:$AO$2,0))</f>
        <v>0.25034610059990769</v>
      </c>
      <c r="W73" s="16">
        <f>INDEX('Team forecast'!$B$2:$AO$26,MATCH('Master data'!$B73,'Team forecast'!$B$2:$B$26,0),MATCH('Master data'!W$1,'Team forecast'!$B$2:$AO$2,0))</f>
        <v>0.13590216889709281</v>
      </c>
      <c r="X73" s="5">
        <f>IF(M73&gt;95,7000*2,IF(M73&gt;0,7000,-5000))</f>
        <v>7000</v>
      </c>
      <c r="Y73" s="5">
        <f>IF($X73&gt;0,U73*25000,0)</f>
        <v>15343.793262574987</v>
      </c>
      <c r="Z73" s="5">
        <f>IF($X73&gt;0,V73*5000,0)</f>
        <v>1251.7305029995384</v>
      </c>
      <c r="AA73" s="5">
        <f>IF($X73&gt;0,W73*(-15000),0)</f>
        <v>-2038.532533456392</v>
      </c>
      <c r="AB73" s="5">
        <f>IF($C73="Defense",$N73*150000,IF($C73="Midfield",$N73*125000,IF($C73="Striker",$N73*100000,0)))*$H73</f>
        <v>24007.411957207183</v>
      </c>
      <c r="AC73" s="5">
        <f>$O73*50000*H73</f>
        <v>4299.9966452526842</v>
      </c>
      <c r="AD73" s="5">
        <f>$P73*K73*10000</f>
        <v>3111.9465966926318</v>
      </c>
      <c r="AE73" s="5">
        <f>IF($C73="Goalkeeper",J73*75000,IF($C73="Defense",J73*50000,0))</f>
        <v>0</v>
      </c>
      <c r="AF73" s="5">
        <f>IF($C73="Goalkeeper",(L73-I73)*5000,0)</f>
        <v>0</v>
      </c>
      <c r="AG73" s="5">
        <f>IF(M73&gt;0,Q73*(-20000),0)</f>
        <v>-3193.743793445879</v>
      </c>
      <c r="AH73" s="5">
        <f>IF(M73&gt;0,R73*(-50000),0)</f>
        <v>0</v>
      </c>
      <c r="AI73" s="5">
        <f>IF(M73&gt;0,S73*10000,0)</f>
        <v>16593.477618235051</v>
      </c>
      <c r="AJ73" s="5">
        <f>IF(M73&gt;0,T73*(-8000),0)</f>
        <v>-5233.8065299418722</v>
      </c>
      <c r="AK73" s="5">
        <f>IFERROR(SUM(X73:AJ73),-5000)*((Cockpit!$C$3)^0)</f>
        <v>61142.273726117921</v>
      </c>
      <c r="AL73" s="16">
        <f>INDEX('Team forecast'!$B$2:$AO$26,MATCH('Master data'!$B73,'Team forecast'!$B$2:$B$26,0),MATCH('Master data'!AL$1,'Team forecast'!$B$2:$AO$2,0))</f>
        <v>1.5198357804321134</v>
      </c>
      <c r="AM73" s="16">
        <f>INDEX('Team forecast'!$B$2:$AO$26,MATCH('Master data'!$B73,'Team forecast'!$B$2:$B$26,0),MATCH('Master data'!AM$1,'Team forecast'!$B$2:$AO$2,0))</f>
        <v>0.79620558314709244</v>
      </c>
      <c r="AN73" s="16">
        <f>INDEX('Team forecast'!$B$2:$AO$26,MATCH('Master data'!$B73,'Team forecast'!$B$2:$B$26,0),MATCH('Master data'!AN$1,'Team forecast'!$B$2:$AO$2,0))</f>
        <v>0.45103714423540769</v>
      </c>
      <c r="AO73" s="16">
        <f>INDEX('Team forecast'!$B$2:$AO$26,MATCH('Master data'!$B73,'Team forecast'!$B$2:$B$26,0),MATCH('Master data'!AO$1,'Team forecast'!$B$2:$AO$2,0))</f>
        <v>4.1531341379722457</v>
      </c>
      <c r="AP73" s="16">
        <f>INDEX('Team forecast'!$B$2:$AO$26,MATCH('Master data'!$B73,'Team forecast'!$B$2:$B$26,0),MATCH('Master data'!AP$1,'Team forecast'!$B$2:$AO$2,0))</f>
        <v>2.6138062073010611</v>
      </c>
      <c r="AQ73" s="5">
        <f>X73</f>
        <v>7000</v>
      </c>
      <c r="AR73" s="5">
        <f>INDEX('Team forecast'!$B$2:$AO$26,MATCH('Master data'!$B73,'Team forecast'!$B$2:$B$26,0),MATCH('Master data'!AR$1,'Team forecast'!$B$2:$AO$2,0))*IF(X73&gt;0,25000,0)</f>
        <v>13929.088277858178</v>
      </c>
      <c r="AS73" s="16">
        <f>INDEX('Team forecast'!$B$2:$AO$26,MATCH('Master data'!$B73,'Team forecast'!$B$2:$B$26,0),MATCH('Master data'!AS$1,'Team forecast'!$B$2:$AO$2,0))*IF(X73&gt;0,5000,0)</f>
        <v>1353.111432706223</v>
      </c>
      <c r="AT73" s="16">
        <f>INDEX('Team forecast'!$B$2:$AO$26,MATCH('Master data'!$B73,'Team forecast'!$B$2:$B$26,0),MATCH('Master data'!AT$1,'Team forecast'!$B$2:$AO$2,0))*IF(X73&gt;0,-15000,0)</f>
        <v>-2583.2127351664258</v>
      </c>
      <c r="AU73" s="5">
        <f>IF($C73="Defense",$N73*150000,IF($C73="Midfield",$N73*125000,IF($C73="Striker",$N73*100000,0)))*$AL73</f>
        <v>21988.955255551893</v>
      </c>
      <c r="AV73" s="5">
        <f>$O73*50000*AL73</f>
        <v>3938.4684196706694</v>
      </c>
      <c r="AW73" s="5">
        <f>$P73*AO73*10000</f>
        <v>2850.3053387976129</v>
      </c>
      <c r="AX73" s="5">
        <f>IF($C73="Goalkeeper",AN73*75000,IF($C73="Defense",AN73*50000,0))</f>
        <v>0</v>
      </c>
      <c r="AY73" s="5">
        <f>IF($C73="Goalkeeper",(AP73-AM73)*5000,0)</f>
        <v>0</v>
      </c>
      <c r="AZ73" s="5">
        <f>$AG73</f>
        <v>-3193.743793445879</v>
      </c>
      <c r="BA73" s="5">
        <f>$AH73</f>
        <v>0</v>
      </c>
      <c r="BB73" s="5">
        <f>IF(X73&gt;0,AL73*10000,0)</f>
        <v>15198.357804321135</v>
      </c>
      <c r="BC73" s="5">
        <f>IF(X73&gt;0,AM73*(-8000),0)</f>
        <v>-6369.6446651767392</v>
      </c>
      <c r="BD73" s="5">
        <f>IFERROR(SUM(AQ73:BC73),0)</f>
        <v>54111.685335116672</v>
      </c>
      <c r="BE73" s="16">
        <f>INDEX('Team forecast'!$B$2:$AO$26,MATCH('Master data'!$B73,'Team forecast'!$B$2:$B$26,0),MATCH('Master data'!BE$1,'Team forecast'!$B$2:$AO$2,0))</f>
        <v>1.8402581758343768</v>
      </c>
      <c r="BF73" s="16">
        <f>INDEX('Team forecast'!$B$2:$AO$26,MATCH('Master data'!$B73,'Team forecast'!$B$2:$B$26,0),MATCH('Master data'!BF$1,'Team forecast'!$B$2:$AO$2,0))</f>
        <v>0.65281467345965161</v>
      </c>
      <c r="BG73" s="16">
        <f>INDEX('Team forecast'!$B$2:$AO$26,MATCH('Master data'!$B73,'Team forecast'!$B$2:$B$26,0),MATCH('Master data'!BG$1,'Team forecast'!$B$2:$AO$2,0))</f>
        <v>0.52057845435388617</v>
      </c>
      <c r="BH73" s="16">
        <f>INDEX('Team forecast'!$B$2:$AO$26,MATCH('Master data'!$B73,'Team forecast'!$B$2:$B$26,0),MATCH('Master data'!BH$1,'Team forecast'!$B$2:$AO$2,0))</f>
        <v>5.0287268869057034</v>
      </c>
      <c r="BI73" s="16">
        <f>INDEX('Team forecast'!$B$2:$AO$26,MATCH('Master data'!$B73,'Team forecast'!$B$2:$B$26,0),MATCH('Master data'!BI$1,'Team forecast'!$B$2:$AO$2,0))</f>
        <v>2.1430784734786541</v>
      </c>
      <c r="BJ73" s="5">
        <f>AQ73</f>
        <v>7000</v>
      </c>
      <c r="BK73" s="5">
        <f>INDEX('Team forecast'!$R$3:$BH$26,MATCH($B73,'Team forecast'!$B$3:$B$26,0),MATCH(BK$1,'Team forecast'!$R$2:$BH$2,0))*IF($X73&gt;0,25000,0)</f>
        <v>16539.211310201594</v>
      </c>
      <c r="BL73" s="5">
        <f>INDEX('Team forecast'!$R$3:$BH$26,MATCH($B73,'Team forecast'!$B$3:$B$26,0),MATCH(BL$1,'Team forecast'!$R$2:$BH$2,0))*IF($X73&gt;0,5000,0)</f>
        <v>1147.781411406761</v>
      </c>
      <c r="BM73" s="5">
        <f>INDEX('Team forecast'!$R$3:$BH$26,MATCH($B73,'Team forecast'!$B$3:$B$26,0),MATCH(BM$1,'Team forecast'!$R$2:$BH$2,0))*IF($X73&gt;0,-15000,0)</f>
        <v>-1633.128979658763</v>
      </c>
      <c r="BN73" s="5">
        <f>IF($C73="Defense",$N73*150000,IF($C73="Midfield",$N73*125000,IF($C73="Striker",$N73*100000,0)))*$BE73</f>
        <v>26624.820397096268</v>
      </c>
      <c r="BO73" s="5">
        <f>$O73*50000*$BE73</f>
        <v>4768.803842414989</v>
      </c>
      <c r="BP73" s="5">
        <f>$P73*BH73*10000</f>
        <v>3451.2266199282126</v>
      </c>
      <c r="BQ73" s="5">
        <f>IF($C73="Goalkeeper",BG73*75000,IF($C73="Defense",BG73*50000,0))</f>
        <v>0</v>
      </c>
      <c r="BR73" s="5">
        <f>IF($C73="Goalkeeper",(BI73-BF73)*5000,0)</f>
        <v>0</v>
      </c>
      <c r="BS73" s="5">
        <f>$AG73</f>
        <v>-3193.743793445879</v>
      </c>
      <c r="BT73" s="5">
        <f>$AH73</f>
        <v>0</v>
      </c>
      <c r="BU73" s="5">
        <f>IF(AQ73&gt;0,BE73*10000,0)</f>
        <v>18402.581758343767</v>
      </c>
      <c r="BV73" s="5">
        <f>IF(AQ73&gt;0,BF73*(-8000),0)</f>
        <v>-5222.5173876772133</v>
      </c>
      <c r="BW73" s="5">
        <f>IFERROR(SUM(BJ73:BV73),0)</f>
        <v>67885.035178609716</v>
      </c>
      <c r="BX73" s="5">
        <f>AVERAGE(AK73,BD73,BW73)</f>
        <v>61046.331413281441</v>
      </c>
      <c r="BY73" s="5">
        <f>BX73*3</f>
        <v>183138.99423984432</v>
      </c>
      <c r="BZ73" s="5">
        <f>INDEX('Team forecast'!$R$3:$BH$26,MATCH($B73,'Team forecast'!$B$3:$B$26,0),MATCH(BZ$1,'Team forecast'!$R$2:$BH$2,0))*($BX73-(BY73+CH73)*0.01)</f>
        <v>18401.360365466455</v>
      </c>
      <c r="CA73" s="5">
        <f>INDEX('Team forecast'!$R$3:$BH$26,MATCH($B73,'Team forecast'!$B$3:$B$26,0),MATCH(CA$1,'Team forecast'!$R$2:$BH$2,0))*($BX73-(BY73+BX73+CH73)*0.01)</f>
        <v>8980.6192196118027</v>
      </c>
      <c r="CB73" s="5">
        <f>INDEX('Team forecast'!$R$3:$BH$26,MATCH($B73,'Team forecast'!$B$3:$B$26,0),MATCH(CB$1,'Team forecast'!$R$2:$BH$2,0))*($BX73-(BY73+BX73*2+CH73)*0.01)</f>
        <v>4408.7362682696894</v>
      </c>
      <c r="CC73" s="5">
        <f>INDEX('Team forecast'!$R$3:$BH$26,MATCH($B73,'Team forecast'!$B$3:$B$26,0),MATCH(CC$1,'Team forecast'!$R$2:$BH$2,0))*($BX73-(BY73+BX73*3+CH73)*0.01)</f>
        <v>2211.5092781448448</v>
      </c>
      <c r="CD73" s="5">
        <f>+AK73+BD73*Cockpit!$C$3+BW73*Cockpit!$C$3^2+BZ73*Cockpit!$C$3^3+CA73*Cockpit!$C$3^4+CB73*Cockpit!$C$3^5+CC73*Cockpit!$C$3^6</f>
        <v>135388.78779039264</v>
      </c>
      <c r="CE73" s="5"/>
      <c r="CF73" s="5"/>
      <c r="CG73" s="5">
        <v>0</v>
      </c>
      <c r="CH73" s="5">
        <f t="shared" si="46"/>
        <v>4000000</v>
      </c>
      <c r="CI73" s="5">
        <f t="shared" si="47"/>
        <v>4000000</v>
      </c>
      <c r="CJ73" s="1">
        <f t="shared" si="48"/>
        <v>4.5784748559961078E-2</v>
      </c>
      <c r="CK73" s="5">
        <f>RANK(BY73,$BY$2:$BY$623)+COUNTIF($BY$2:$BY73,$BY73)-1</f>
        <v>67</v>
      </c>
      <c r="CL73" s="5">
        <f>RANK(CJ73,$CJ$2:$CJ$623)+COUNTIF($CJ$2:$CJ73,$CJ73)-1</f>
        <v>48</v>
      </c>
    </row>
    <row r="74" spans="1:90">
      <c r="A74" t="str">
        <f>Players!P75</f>
        <v>Nicolò Barella</v>
      </c>
      <c r="B74" t="str">
        <f>Players!G75</f>
        <v>Italy</v>
      </c>
      <c r="C74" t="str">
        <f>Players!AB75</f>
        <v>Midfield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4000000</v>
      </c>
      <c r="H74" s="16">
        <f>INDEX('Team forecast'!$B$2:$AO$26,MATCH('Master data'!$B74,'Team forecast'!$B$2:$B$26,0),MATCH('Master data'!H$1,'Team forecast'!$B$2:$AO$2,0))</f>
        <v>1.6593477618235051</v>
      </c>
      <c r="I74" s="16">
        <f>INDEX('Team forecast'!$B$2:$AO$26,MATCH('Master data'!$B74,'Team forecast'!$B$2:$B$26,0),MATCH('Master data'!I$1,'Team forecast'!$B$2:$AO$2,0))</f>
        <v>0.65422581624273402</v>
      </c>
      <c r="J74" s="16">
        <f>INDEX('Team forecast'!$B$2:$AO$26,MATCH('Master data'!$B74,'Team forecast'!$B$2:$B$26,0),MATCH('Master data'!J$1,'Team forecast'!$B$2:$AO$2,0))</f>
        <v>0.51984436190144767</v>
      </c>
      <c r="K74" s="16">
        <f>INDEX('Team forecast'!$B$2:$AO$26,MATCH('Master data'!$B74,'Team forecast'!$B$2:$B$26,0),MATCH('Master data'!K$1,'Team forecast'!$B$2:$AO$2,0))</f>
        <v>4.5343674133251923</v>
      </c>
      <c r="L74" s="16">
        <f>INDEX('Team forecast'!$B$2:$AO$26,MATCH('Master data'!$B74,'Team forecast'!$B$2:$B$26,0),MATCH('Master data'!L$1,'Team forecast'!$B$2:$AO$2,0))</f>
        <v>2.1477110129180663</v>
      </c>
      <c r="M74">
        <f>IF(Players!BC75=1,95,0)</f>
        <v>95</v>
      </c>
      <c r="N74" s="2">
        <f>Players!BN75</f>
        <v>6.9095910157394899E-2</v>
      </c>
      <c r="O74" s="2">
        <f>Players!BO75</f>
        <v>0.13484028280796359</v>
      </c>
      <c r="P74" s="2">
        <f>Players!BP75</f>
        <v>4.2366674287972229E-2</v>
      </c>
      <c r="Q74" s="2">
        <f>Players!BQ75</f>
        <v>0.14758620689655172</v>
      </c>
      <c r="R74" s="2">
        <f>Players!BR75</f>
        <v>0</v>
      </c>
      <c r="S74" s="2">
        <f>H74</f>
        <v>1.6593477618235051</v>
      </c>
      <c r="T74" s="2">
        <f>I74</f>
        <v>0.65422581624273402</v>
      </c>
      <c r="U74" s="16">
        <f>INDEX('Team forecast'!$B$2:$AO$26,MATCH('Master data'!$B74,'Team forecast'!$B$2:$B$26,0),MATCH('Master data'!U$1,'Team forecast'!$B$2:$AO$2,0))</f>
        <v>0.61375173050299947</v>
      </c>
      <c r="V74" s="16">
        <f>INDEX('Team forecast'!$B$2:$AO$26,MATCH('Master data'!$B74,'Team forecast'!$B$2:$B$26,0),MATCH('Master data'!V$1,'Team forecast'!$B$2:$AO$2,0))</f>
        <v>0.25034610059990769</v>
      </c>
      <c r="W74" s="16">
        <f>INDEX('Team forecast'!$B$2:$AO$26,MATCH('Master data'!$B74,'Team forecast'!$B$2:$B$26,0),MATCH('Master data'!W$1,'Team forecast'!$B$2:$AO$2,0))</f>
        <v>0.13590216889709281</v>
      </c>
      <c r="X74" s="5">
        <f>IF(M74&gt;95,7000*2,IF(M74&gt;0,7000,-5000))</f>
        <v>7000</v>
      </c>
      <c r="Y74" s="5">
        <f>IF($X74&gt;0,U74*25000,0)</f>
        <v>15343.793262574987</v>
      </c>
      <c r="Z74" s="5">
        <f>IF($X74&gt;0,V74*5000,0)</f>
        <v>1251.7305029995384</v>
      </c>
      <c r="AA74" s="5">
        <f>IF($X74&gt;0,W74*(-15000),0)</f>
        <v>-2038.532533456392</v>
      </c>
      <c r="AB74" s="5">
        <f>IF($C74="Defense",$N74*150000,IF($C74="Midfield",$N74*125000,IF($C74="Striker",$N74*100000,0)))*$H74</f>
        <v>14331.767983853902</v>
      </c>
      <c r="AC74" s="5">
        <f>$O74*50000*H74</f>
        <v>11187.346074052142</v>
      </c>
      <c r="AD74" s="5">
        <f>$P74*K74*10000</f>
        <v>1921.0606730234358</v>
      </c>
      <c r="AE74" s="5">
        <f>IF($C74="Goalkeeper",J74*75000,IF($C74="Defense",J74*50000,0))</f>
        <v>0</v>
      </c>
      <c r="AF74" s="5">
        <f>IF($C74="Goalkeeper",(L74-I74)*5000,0)</f>
        <v>0</v>
      </c>
      <c r="AG74" s="5">
        <f>IF(M74&gt;0,Q74*(-20000),0)</f>
        <v>-2951.7241379310344</v>
      </c>
      <c r="AH74" s="5">
        <f>IF(M74&gt;0,R74*(-50000),0)</f>
        <v>0</v>
      </c>
      <c r="AI74" s="5">
        <f>IF(M74&gt;0,S74*10000,0)</f>
        <v>16593.477618235051</v>
      </c>
      <c r="AJ74" s="5">
        <f>IF(M74&gt;0,T74*(-8000),0)</f>
        <v>-5233.8065299418722</v>
      </c>
      <c r="AK74" s="5">
        <f>IFERROR(SUM(X74:AJ74),-5000)*((Cockpit!$C$3)^0)</f>
        <v>57405.11291340975</v>
      </c>
      <c r="AL74" s="16">
        <f>INDEX('Team forecast'!$B$2:$AO$26,MATCH('Master data'!$B74,'Team forecast'!$B$2:$B$26,0),MATCH('Master data'!AL$1,'Team forecast'!$B$2:$AO$2,0))</f>
        <v>1.5198357804321134</v>
      </c>
      <c r="AM74" s="16">
        <f>INDEX('Team forecast'!$B$2:$AO$26,MATCH('Master data'!$B74,'Team forecast'!$B$2:$B$26,0),MATCH('Master data'!AM$1,'Team forecast'!$B$2:$AO$2,0))</f>
        <v>0.79620558314709244</v>
      </c>
      <c r="AN74" s="16">
        <f>INDEX('Team forecast'!$B$2:$AO$26,MATCH('Master data'!$B74,'Team forecast'!$B$2:$B$26,0),MATCH('Master data'!AN$1,'Team forecast'!$B$2:$AO$2,0))</f>
        <v>0.45103714423540769</v>
      </c>
      <c r="AO74" s="16">
        <f>INDEX('Team forecast'!$B$2:$AO$26,MATCH('Master data'!$B74,'Team forecast'!$B$2:$B$26,0),MATCH('Master data'!AO$1,'Team forecast'!$B$2:$AO$2,0))</f>
        <v>4.1531341379722457</v>
      </c>
      <c r="AP74" s="16">
        <f>INDEX('Team forecast'!$B$2:$AO$26,MATCH('Master data'!$B74,'Team forecast'!$B$2:$B$26,0),MATCH('Master data'!AP$1,'Team forecast'!$B$2:$AO$2,0))</f>
        <v>2.6138062073010611</v>
      </c>
      <c r="AQ74" s="5">
        <f>X74</f>
        <v>7000</v>
      </c>
      <c r="AR74" s="5">
        <f>INDEX('Team forecast'!$B$2:$AO$26,MATCH('Master data'!$B74,'Team forecast'!$B$2:$B$26,0),MATCH('Master data'!AR$1,'Team forecast'!$B$2:$AO$2,0))*IF(X74&gt;0,25000,0)</f>
        <v>13929.088277858178</v>
      </c>
      <c r="AS74" s="16">
        <f>INDEX('Team forecast'!$B$2:$AO$26,MATCH('Master data'!$B74,'Team forecast'!$B$2:$B$26,0),MATCH('Master data'!AS$1,'Team forecast'!$B$2:$AO$2,0))*IF(X74&gt;0,5000,0)</f>
        <v>1353.111432706223</v>
      </c>
      <c r="AT74" s="16">
        <f>INDEX('Team forecast'!$B$2:$AO$26,MATCH('Master data'!$B74,'Team forecast'!$B$2:$B$26,0),MATCH('Master data'!AT$1,'Team forecast'!$B$2:$AO$2,0))*IF(X74&gt;0,-15000,0)</f>
        <v>-2583.2127351664258</v>
      </c>
      <c r="AU74" s="5">
        <f>IF($C74="Defense",$N74*150000,IF($C74="Midfield",$N74*125000,IF($C74="Striker",$N74*100000,0)))*$AL74</f>
        <v>13126.804567341434</v>
      </c>
      <c r="AV74" s="5">
        <f>$O74*50000*AL74</f>
        <v>10246.754322756411</v>
      </c>
      <c r="AW74" s="5">
        <f>$P74*AO74*10000</f>
        <v>1759.5448129772844</v>
      </c>
      <c r="AX74" s="5">
        <f>IF($C74="Goalkeeper",AN74*75000,IF($C74="Defense",AN74*50000,0))</f>
        <v>0</v>
      </c>
      <c r="AY74" s="5">
        <f>IF($C74="Goalkeeper",(AP74-AM74)*5000,0)</f>
        <v>0</v>
      </c>
      <c r="AZ74" s="5">
        <f>$AG74</f>
        <v>-2951.7241379310344</v>
      </c>
      <c r="BA74" s="5">
        <f>$AH74</f>
        <v>0</v>
      </c>
      <c r="BB74" s="5">
        <f>IF(X74&gt;0,AL74*10000,0)</f>
        <v>15198.357804321135</v>
      </c>
      <c r="BC74" s="5">
        <f>IF(X74&gt;0,AM74*(-8000),0)</f>
        <v>-6369.6446651767392</v>
      </c>
      <c r="BD74" s="5">
        <f>IFERROR(SUM(AQ74:BC74),0)</f>
        <v>50709.079679686467</v>
      </c>
      <c r="BE74" s="16">
        <f>INDEX('Team forecast'!$B$2:$AO$26,MATCH('Master data'!$B74,'Team forecast'!$B$2:$B$26,0),MATCH('Master data'!BE$1,'Team forecast'!$B$2:$AO$2,0))</f>
        <v>1.8402581758343768</v>
      </c>
      <c r="BF74" s="16">
        <f>INDEX('Team forecast'!$B$2:$AO$26,MATCH('Master data'!$B74,'Team forecast'!$B$2:$B$26,0),MATCH('Master data'!BF$1,'Team forecast'!$B$2:$AO$2,0))</f>
        <v>0.65281467345965161</v>
      </c>
      <c r="BG74" s="16">
        <f>INDEX('Team forecast'!$B$2:$AO$26,MATCH('Master data'!$B74,'Team forecast'!$B$2:$B$26,0),MATCH('Master data'!BG$1,'Team forecast'!$B$2:$AO$2,0))</f>
        <v>0.52057845435388617</v>
      </c>
      <c r="BH74" s="16">
        <f>INDEX('Team forecast'!$B$2:$AO$26,MATCH('Master data'!$B74,'Team forecast'!$B$2:$B$26,0),MATCH('Master data'!BH$1,'Team forecast'!$B$2:$AO$2,0))</f>
        <v>5.0287268869057034</v>
      </c>
      <c r="BI74" s="16">
        <f>INDEX('Team forecast'!$B$2:$AO$26,MATCH('Master data'!$B74,'Team forecast'!$B$2:$B$26,0),MATCH('Master data'!BI$1,'Team forecast'!$B$2:$AO$2,0))</f>
        <v>2.1430784734786541</v>
      </c>
      <c r="BJ74" s="5">
        <f>AQ74</f>
        <v>7000</v>
      </c>
      <c r="BK74" s="5">
        <f>INDEX('Team forecast'!$R$3:$BH$26,MATCH($B74,'Team forecast'!$B$3:$B$26,0),MATCH(BK$1,'Team forecast'!$R$2:$BH$2,0))*IF($X74&gt;0,25000,0)</f>
        <v>16539.211310201594</v>
      </c>
      <c r="BL74" s="5">
        <f>INDEX('Team forecast'!$R$3:$BH$26,MATCH($B74,'Team forecast'!$B$3:$B$26,0),MATCH(BL$1,'Team forecast'!$R$2:$BH$2,0))*IF($X74&gt;0,5000,0)</f>
        <v>1147.781411406761</v>
      </c>
      <c r="BM74" s="5">
        <f>INDEX('Team forecast'!$R$3:$BH$26,MATCH($B74,'Team forecast'!$B$3:$B$26,0),MATCH(BM$1,'Team forecast'!$R$2:$BH$2,0))*IF($X74&gt;0,-15000,0)</f>
        <v>-1633.128979658763</v>
      </c>
      <c r="BN74" s="5">
        <f>IF($C74="Defense",$N74*150000,IF($C74="Midfield",$N74*125000,IF($C74="Striker",$N74*100000,0)))*$BE74</f>
        <v>15894.28919798294</v>
      </c>
      <c r="BO74" s="5">
        <f>$O74*50000*$BE74</f>
        <v>12407.046643458729</v>
      </c>
      <c r="BP74" s="5">
        <f>$P74*BH74*10000</f>
        <v>2130.5043410070248</v>
      </c>
      <c r="BQ74" s="5">
        <f>IF($C74="Goalkeeper",BG74*75000,IF($C74="Defense",BG74*50000,0))</f>
        <v>0</v>
      </c>
      <c r="BR74" s="5">
        <f>IF($C74="Goalkeeper",(BI74-BF74)*5000,0)</f>
        <v>0</v>
      </c>
      <c r="BS74" s="5">
        <f>$AG74</f>
        <v>-2951.7241379310344</v>
      </c>
      <c r="BT74" s="5">
        <f>$AH74</f>
        <v>0</v>
      </c>
      <c r="BU74" s="5">
        <f>IF(AQ74&gt;0,BE74*10000,0)</f>
        <v>18402.581758343767</v>
      </c>
      <c r="BV74" s="5">
        <f>IF(AQ74&gt;0,BF74*(-8000),0)</f>
        <v>-5222.5173876772133</v>
      </c>
      <c r="BW74" s="5">
        <f>IFERROR(SUM(BJ74:BV74),0)</f>
        <v>63714.044157133801</v>
      </c>
      <c r="BX74" s="5">
        <f>AVERAGE(AK74,BD74,BW74)</f>
        <v>57276.07891674334</v>
      </c>
      <c r="BY74" s="5">
        <f>BX74*3</f>
        <v>171828.23675023002</v>
      </c>
      <c r="BZ74" s="5">
        <f>INDEX('Team forecast'!$R$3:$BH$26,MATCH($B74,'Team forecast'!$B$3:$B$26,0),MATCH(BZ$1,'Team forecast'!$R$2:$BH$2,0))*($BX74-(BY74+CH74)*0.01)</f>
        <v>14899.06285840167</v>
      </c>
      <c r="CA74" s="5">
        <f>INDEX('Team forecast'!$R$3:$BH$26,MATCH($B74,'Team forecast'!$B$3:$B$26,0),MATCH(CA$1,'Team forecast'!$R$2:$BH$2,0))*($BX74-(BY74+BX74+CH74)*0.01)</f>
        <v>7233.4681478104194</v>
      </c>
      <c r="CB74" s="5">
        <f>INDEX('Team forecast'!$R$3:$BH$26,MATCH($B74,'Team forecast'!$B$3:$B$26,0),MATCH(CB$1,'Team forecast'!$R$2:$BH$2,0))*($BX74-(BY74+BX74*2+CH74)*0.01)</f>
        <v>3531.1696654834568</v>
      </c>
      <c r="CC74" s="5">
        <f>INDEX('Team forecast'!$R$3:$BH$26,MATCH($B74,'Team forecast'!$B$3:$B$26,0),MATCH(CC$1,'Team forecast'!$R$2:$BH$2,0))*($BX74-(BY74+BX74*3+CH74)*0.01)</f>
        <v>1760.6421776229824</v>
      </c>
      <c r="CD74" s="5">
        <f>+AK74+BD74*Cockpit!$C$3+BW74*Cockpit!$C$3^2+BZ74*Cockpit!$C$3^3+CA74*Cockpit!$C$3^4+CB74*Cockpit!$C$3^5+CC74*Cockpit!$C$3^6</f>
        <v>125991.46875592375</v>
      </c>
      <c r="CE74" s="5"/>
      <c r="CF74" s="5"/>
      <c r="CG74" s="5">
        <v>0</v>
      </c>
      <c r="CH74" s="5">
        <f t="shared" si="46"/>
        <v>4000000</v>
      </c>
      <c r="CI74" s="5">
        <f t="shared" si="47"/>
        <v>4000000</v>
      </c>
      <c r="CJ74" s="1">
        <f t="shared" si="48"/>
        <v>4.2957059187557503E-2</v>
      </c>
      <c r="CK74" s="5">
        <f>RANK(BY74,$BY$2:$BY$623)+COUNTIF($BY$2:$BY74,$BY74)-1</f>
        <v>75</v>
      </c>
      <c r="CL74" s="5">
        <f>RANK(CJ74,$CJ$2:$CJ$623)+COUNTIF($CJ$2:$CJ74,$CJ74)-1</f>
        <v>63</v>
      </c>
    </row>
    <row r="75" spans="1:90">
      <c r="A75" t="str">
        <f>Players!P76</f>
        <v>Thibaut Courtois</v>
      </c>
      <c r="B75" t="str">
        <f>Players!G76</f>
        <v>Belgium</v>
      </c>
      <c r="C75" t="str">
        <f>Players!AB76</f>
        <v>Goalkeeper</v>
      </c>
      <c r="G75">
        <f>IF(Players!AC76=0,10000000,Players!AC76)</f>
        <v>6000000</v>
      </c>
      <c r="H75" s="16">
        <f>INDEX('Team forecast'!$B$2:$AO$26,MATCH('Master data'!$B75,'Team forecast'!$B$2:$B$26,0),MATCH('Master data'!H$1,'Team forecast'!$B$2:$AO$2,0))</f>
        <v>1.5602309947683257</v>
      </c>
      <c r="I75" s="16">
        <f>INDEX('Team forecast'!$B$2:$AO$26,MATCH('Master data'!$B75,'Team forecast'!$B$2:$B$26,0),MATCH('Master data'!I$1,'Team forecast'!$B$2:$AO$2,0))</f>
        <v>0.84461095835632183</v>
      </c>
      <c r="J75" s="16">
        <f>INDEX('Team forecast'!$B$2:$AO$26,MATCH('Master data'!$B75,'Team forecast'!$B$2:$B$26,0),MATCH('Master data'!J$1,'Team forecast'!$B$2:$AO$2,0))</f>
        <v>0.42972450642313093</v>
      </c>
      <c r="K75" s="16">
        <f>INDEX('Team forecast'!$B$2:$AO$26,MATCH('Master data'!$B75,'Team forecast'!$B$2:$B$26,0),MATCH('Master data'!K$1,'Team forecast'!$B$2:$AO$2,0))</f>
        <v>4.1655927994293096</v>
      </c>
      <c r="L75" s="16">
        <f>INDEX('Team forecast'!$B$2:$AO$26,MATCH('Master data'!$B75,'Team forecast'!$B$2:$B$26,0),MATCH('Master data'!L$1,'Team forecast'!$B$2:$AO$2,0))</f>
        <v>2.7727127420788342</v>
      </c>
      <c r="M75">
        <f>IF(Players!BC76=1,95,0)</f>
        <v>95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</v>
      </c>
      <c r="R75" s="2">
        <f>Players!BR76</f>
        <v>0</v>
      </c>
      <c r="S75" s="2">
        <f>H75</f>
        <v>1.5602309947683257</v>
      </c>
      <c r="T75" s="2">
        <f>I75</f>
        <v>0.84461095835632183</v>
      </c>
      <c r="U75" s="16">
        <f>INDEX('Team forecast'!$B$2:$AO$26,MATCH('Master data'!$B75,'Team forecast'!$B$2:$B$26,0),MATCH('Master data'!U$1,'Team forecast'!$B$2:$AO$2,0))</f>
        <v>0.58357649020425184</v>
      </c>
      <c r="V75" s="16">
        <f>INDEX('Team forecast'!$B$2:$AO$26,MATCH('Master data'!$B75,'Team forecast'!$B$2:$B$26,0),MATCH('Master data'!V$1,'Team forecast'!$B$2:$AO$2,0))</f>
        <v>0.23634847853272201</v>
      </c>
      <c r="W75" s="16">
        <f>INDEX('Team forecast'!$B$2:$AO$26,MATCH('Master data'!$B75,'Team forecast'!$B$2:$B$26,0),MATCH('Master data'!W$1,'Team forecast'!$B$2:$AO$2,0))</f>
        <v>0.18007503126302629</v>
      </c>
      <c r="X75" s="5">
        <f>IF(M75&gt;95,7000*2,IF(M75&gt;0,7000,-5000))</f>
        <v>7000</v>
      </c>
      <c r="Y75" s="5">
        <f>IF($X75&gt;0,U75*25000,0)</f>
        <v>14589.412255106296</v>
      </c>
      <c r="Z75" s="5">
        <f>IF($X75&gt;0,V75*5000,0)</f>
        <v>1181.74239266361</v>
      </c>
      <c r="AA75" s="5">
        <f>IF($X75&gt;0,W75*(-15000),0)</f>
        <v>-2701.1254689453945</v>
      </c>
      <c r="AB75" s="5">
        <f>IF($C75="Defense",$N75*150000,IF($C75="Midfield",$N75*125000,IF($C75="Striker",$N75*100000,0)))*$H75</f>
        <v>0</v>
      </c>
      <c r="AC75" s="5">
        <f>$O75*50000*H75</f>
        <v>0</v>
      </c>
      <c r="AD75" s="5">
        <f>$P75*K75*10000</f>
        <v>0</v>
      </c>
      <c r="AE75" s="5">
        <f>IF($C75="Goalkeeper",J75*75000,IF($C75="Defense",J75*50000,0))</f>
        <v>32229.337981734818</v>
      </c>
      <c r="AF75" s="5">
        <f>IF($C75="Goalkeeper",(L75-I75)*5000,0)</f>
        <v>9640.5089186125624</v>
      </c>
      <c r="AG75" s="5">
        <f>IF(M75&gt;0,Q75*(-20000),0)</f>
        <v>0</v>
      </c>
      <c r="AH75" s="5">
        <f>IF(M75&gt;0,R75*(-50000),0)</f>
        <v>0</v>
      </c>
      <c r="AI75" s="5">
        <f>IF(M75&gt;0,S75*10000,0)</f>
        <v>15602.309947683258</v>
      </c>
      <c r="AJ75" s="5">
        <f>IF(M75&gt;0,T75*(-8000),0)</f>
        <v>-6756.8876668505745</v>
      </c>
      <c r="AK75" s="5">
        <f>IFERROR(SUM(X75:AJ75),-5000)*((Cockpit!$C$3)^0)</f>
        <v>70785.298360004585</v>
      </c>
      <c r="AL75" s="16">
        <f>INDEX('Team forecast'!$B$2:$AO$26,MATCH('Master data'!$B75,'Team forecast'!$B$2:$B$26,0),MATCH('Master data'!AL$1,'Team forecast'!$B$2:$AO$2,0))</f>
        <v>1.5279674504451852</v>
      </c>
      <c r="AM75" s="16">
        <f>INDEX('Team forecast'!$B$2:$AO$26,MATCH('Master data'!$B75,'Team forecast'!$B$2:$B$26,0),MATCH('Master data'!AM$1,'Team forecast'!$B$2:$AO$2,0))</f>
        <v>1.1610121970988967</v>
      </c>
      <c r="AN75" s="16">
        <f>INDEX('Team forecast'!$B$2:$AO$26,MATCH('Master data'!$B75,'Team forecast'!$B$2:$B$26,0),MATCH('Master data'!AN$1,'Team forecast'!$B$2:$AO$2,0))</f>
        <v>0.31316903161563348</v>
      </c>
      <c r="AO75" s="16">
        <f>INDEX('Team forecast'!$B$2:$AO$26,MATCH('Master data'!$B75,'Team forecast'!$B$2:$B$26,0),MATCH('Master data'!AO$1,'Team forecast'!$B$2:$AO$2,0))</f>
        <v>4.0794537672172888</v>
      </c>
      <c r="AP75" s="16">
        <f>INDEX('Team forecast'!$B$2:$AO$26,MATCH('Master data'!$B75,'Team forecast'!$B$2:$B$26,0),MATCH('Master data'!AP$1,'Team forecast'!$B$2:$AO$2,0))</f>
        <v>3.8114036773448627</v>
      </c>
      <c r="AQ75" s="5">
        <f>X75</f>
        <v>7000</v>
      </c>
      <c r="AR75" s="5">
        <f>INDEX('Team forecast'!$B$2:$AO$26,MATCH('Master data'!$B75,'Team forecast'!$B$2:$B$26,0),MATCH('Master data'!AR$1,'Team forecast'!$B$2:$AO$2,0))*IF(X75&gt;0,25000,0)</f>
        <v>11743.838685586257</v>
      </c>
      <c r="AS75" s="16">
        <f>INDEX('Team forecast'!$B$2:$AO$26,MATCH('Master data'!$B75,'Team forecast'!$B$2:$B$26,0),MATCH('Master data'!AS$1,'Team forecast'!$B$2:$AO$2,0))*IF(X75&gt;0,5000,0)</f>
        <v>1381.628080657207</v>
      </c>
      <c r="AT75" s="16">
        <f>INDEX('Team forecast'!$B$2:$AO$26,MATCH('Master data'!$B75,'Team forecast'!$B$2:$B$26,0),MATCH('Master data'!AT$1,'Team forecast'!$B$2:$AO$2,0))*IF(X75&gt;0,-15000,0)</f>
        <v>-3808.8125466766246</v>
      </c>
      <c r="AU75" s="5">
        <f>IF($C75="Defense",$N75*150000,IF($C75="Midfield",$N75*125000,IF($C75="Striker",$N75*100000,0)))*$AL75</f>
        <v>0</v>
      </c>
      <c r="AV75" s="5">
        <f>$O75*50000*AL75</f>
        <v>0</v>
      </c>
      <c r="AW75" s="5">
        <f>$P75*AO75*10000</f>
        <v>0</v>
      </c>
      <c r="AX75" s="5">
        <f>IF($C75="Goalkeeper",AN75*75000,IF($C75="Defense",AN75*50000,0))</f>
        <v>23487.677371172511</v>
      </c>
      <c r="AY75" s="5">
        <f>IF($C75="Goalkeeper",(AP75-AM75)*5000,0)</f>
        <v>13251.957401229831</v>
      </c>
      <c r="AZ75" s="5">
        <f>$AG75</f>
        <v>0</v>
      </c>
      <c r="BA75" s="5">
        <f>$AH75</f>
        <v>0</v>
      </c>
      <c r="BB75" s="5">
        <f>IF(X75&gt;0,AL75*10000,0)</f>
        <v>15279.674504451852</v>
      </c>
      <c r="BC75" s="5">
        <f>IF(X75&gt;0,AM75*(-8000),0)</f>
        <v>-9288.0975767911732</v>
      </c>
      <c r="BD75" s="5">
        <f>IFERROR(SUM(AQ75:BC75),0)</f>
        <v>59047.865919629854</v>
      </c>
      <c r="BE75" s="16">
        <f>INDEX('Team forecast'!$B$2:$AO$26,MATCH('Master data'!$B75,'Team forecast'!$B$2:$B$26,0),MATCH('Master data'!BE$1,'Team forecast'!$B$2:$AO$2,0))</f>
        <v>2.3394224481215296</v>
      </c>
      <c r="BF75" s="16">
        <f>INDEX('Team forecast'!$B$2:$AO$26,MATCH('Master data'!$B75,'Team forecast'!$B$2:$B$26,0),MATCH('Master data'!BF$1,'Team forecast'!$B$2:$AO$2,0))</f>
        <v>0.62462402002960304</v>
      </c>
      <c r="BG75" s="16">
        <f>INDEX('Team forecast'!$B$2:$AO$26,MATCH('Master data'!$B75,'Team forecast'!$B$2:$B$26,0),MATCH('Master data'!BG$1,'Team forecast'!$B$2:$AO$2,0))</f>
        <v>0.53546271393231015</v>
      </c>
      <c r="BH75" s="16">
        <f>INDEX('Team forecast'!$B$2:$AO$26,MATCH('Master data'!$B75,'Team forecast'!$B$2:$B$26,0),MATCH('Master data'!BH$1,'Team forecast'!$B$2:$AO$2,0))</f>
        <v>6.2459221342192031</v>
      </c>
      <c r="BI75" s="16">
        <f>INDEX('Team forecast'!$B$2:$AO$26,MATCH('Master data'!$B75,'Team forecast'!$B$2:$B$26,0),MATCH('Master data'!BI$1,'Team forecast'!$B$2:$AO$2,0))</f>
        <v>2.0505333990870809</v>
      </c>
      <c r="BJ75" s="5">
        <f>AQ75</f>
        <v>7000</v>
      </c>
      <c r="BK75" s="5">
        <f>INDEX('Team forecast'!$R$3:$BH$26,MATCH($B75,'Team forecast'!$B$3:$B$26,0),MATCH(BK$1,'Team forecast'!$R$2:$BH$2,0))*IF($X75&gt;0,25000,0)</f>
        <v>19590.099290206468</v>
      </c>
      <c r="BL75" s="5">
        <f>INDEX('Team forecast'!$R$3:$BH$26,MATCH($B75,'Team forecast'!$B$3:$B$26,0),MATCH(BL$1,'Team forecast'!$R$2:$BH$2,0))*IF($X75&gt;0,5000,0)</f>
        <v>771.06630806252645</v>
      </c>
      <c r="BM75" s="5">
        <f>INDEX('Team forecast'!$R$3:$BH$26,MATCH($B75,'Team forecast'!$B$3:$B$26,0),MATCH(BM$1,'Team forecast'!$R$2:$BH$2,0))*IF($X75&gt;0,-15000,0)</f>
        <v>-932.74150168854032</v>
      </c>
      <c r="BN75" s="5">
        <f>IF($C75="Defense",$N75*150000,IF($C75="Midfield",$N75*125000,IF($C75="Striker",$N75*100000,0)))*$BE75</f>
        <v>0</v>
      </c>
      <c r="BO75" s="5">
        <f>$O75*50000*$BE75</f>
        <v>0</v>
      </c>
      <c r="BP75" s="5">
        <f>$P75*BH75*10000</f>
        <v>0</v>
      </c>
      <c r="BQ75" s="5">
        <f>IF($C75="Goalkeeper",BG75*75000,IF($C75="Defense",BG75*50000,0))</f>
        <v>40159.703544923264</v>
      </c>
      <c r="BR75" s="5">
        <f>IF($C75="Goalkeeper",(BI75-BF75)*5000,0)</f>
        <v>7129.5468952873889</v>
      </c>
      <c r="BS75" s="5">
        <f>$AG75</f>
        <v>0</v>
      </c>
      <c r="BT75" s="5">
        <f>$AH75</f>
        <v>0</v>
      </c>
      <c r="BU75" s="5">
        <f>IF(AQ75&gt;0,BE75*10000,0)</f>
        <v>23394.224481215297</v>
      </c>
      <c r="BV75" s="5">
        <f>IF(AQ75&gt;0,BF75*(-8000),0)</f>
        <v>-4996.992160236824</v>
      </c>
      <c r="BW75" s="5">
        <f>IFERROR(SUM(BJ75:BV75),0)</f>
        <v>92114.906857769587</v>
      </c>
      <c r="BX75" s="5">
        <f>AVERAGE(AK75,BD75,BW75)</f>
        <v>73982.69037913467</v>
      </c>
      <c r="BY75" s="5">
        <f>BX75*3</f>
        <v>221948.07113740401</v>
      </c>
      <c r="BZ75" s="5">
        <f>INDEX('Team forecast'!$R$3:$BH$26,MATCH($B75,'Team forecast'!$B$3:$B$26,0),MATCH(BZ$1,'Team forecast'!$R$2:$BH$2,0))*($BX75-(BY75+CH75)*0.01)</f>
        <v>11265.142830594074</v>
      </c>
      <c r="CA75" s="5">
        <f>INDEX('Team forecast'!$R$3:$BH$26,MATCH($B75,'Team forecast'!$B$3:$B$26,0),MATCH(CA$1,'Team forecast'!$R$2:$BH$2,0))*($BX75-(BY75+BX75+CH75)*0.01)</f>
        <v>5385.6396413407774</v>
      </c>
      <c r="CB75" s="5">
        <f>INDEX('Team forecast'!$R$3:$BH$26,MATCH($B75,'Team forecast'!$B$3:$B$26,0),MATCH(CB$1,'Team forecast'!$R$2:$BH$2,0))*($BX75-(BY75+BX75*2+CH75)*0.01)</f>
        <v>2606.3203236611357</v>
      </c>
      <c r="CC75" s="5">
        <f>INDEX('Team forecast'!$R$3:$BH$26,MATCH($B75,'Team forecast'!$B$3:$B$26,0),MATCH(CC$1,'Team forecast'!$R$2:$BH$2,0))*($BX75-(BY75+BX75*3+CH75)*0.01)</f>
        <v>1322.1695964314142</v>
      </c>
      <c r="CD75" s="5">
        <f>+AK75+BD75*Cockpit!$C$3+BW75*Cockpit!$C$3^2+BZ75*Cockpit!$C$3^3+CA75*Cockpit!$C$3^4+CB75*Cockpit!$C$3^5+CC75*Cockpit!$C$3^6</f>
        <v>155951.44544349142</v>
      </c>
      <c r="CE75" s="5"/>
      <c r="CF75" s="5"/>
      <c r="CG75" s="5">
        <v>0</v>
      </c>
      <c r="CH75" s="5">
        <f t="shared" si="46"/>
        <v>6000000</v>
      </c>
      <c r="CI75" s="5">
        <f t="shared" si="47"/>
        <v>6000000</v>
      </c>
      <c r="CJ75" s="1">
        <f t="shared" si="48"/>
        <v>3.6991345189567336E-2</v>
      </c>
      <c r="CK75" s="5">
        <f>RANK(BY75,$BY$2:$BY$623)+COUNTIF($BY$2:$BY75,$BY75)-1</f>
        <v>36</v>
      </c>
      <c r="CL75" s="5">
        <f>RANK(CJ75,$CJ$2:$CJ$623)+COUNTIF($CJ$2:$CJ75,$CJ75)-1</f>
        <v>92</v>
      </c>
    </row>
    <row r="76" spans="1:90">
      <c r="A76" t="str">
        <f>Players!P77</f>
        <v>Axel Witsel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2500000</v>
      </c>
      <c r="H76" s="16">
        <f>INDEX('Team forecast'!$B$2:$AO$26,MATCH('Master data'!$B76,'Team forecast'!$B$2:$B$26,0),MATCH('Master data'!H$1,'Team forecast'!$B$2:$AO$2,0))</f>
        <v>1.5602309947683257</v>
      </c>
      <c r="I76" s="16">
        <f>INDEX('Team forecast'!$B$2:$AO$26,MATCH('Master data'!$B76,'Team forecast'!$B$2:$B$26,0),MATCH('Master data'!I$1,'Team forecast'!$B$2:$AO$2,0))</f>
        <v>0.84461095835632183</v>
      </c>
      <c r="J76" s="16">
        <f>INDEX('Team forecast'!$B$2:$AO$26,MATCH('Master data'!$B76,'Team forecast'!$B$2:$B$26,0),MATCH('Master data'!J$1,'Team forecast'!$B$2:$AO$2,0))</f>
        <v>0.42972450642313093</v>
      </c>
      <c r="K76" s="16">
        <f>INDEX('Team forecast'!$B$2:$AO$26,MATCH('Master data'!$B76,'Team forecast'!$B$2:$B$26,0),MATCH('Master data'!K$1,'Team forecast'!$B$2:$AO$2,0))</f>
        <v>4.1655927994293096</v>
      </c>
      <c r="L76" s="16">
        <f>INDEX('Team forecast'!$B$2:$AO$26,MATCH('Master data'!$B76,'Team forecast'!$B$2:$B$26,0),MATCH('Master data'!L$1,'Team forecast'!$B$2:$AO$2,0))</f>
        <v>2.7727127420788342</v>
      </c>
      <c r="M76">
        <f>IF(Players!BC77=1,95,0)</f>
        <v>0</v>
      </c>
      <c r="N76" s="2">
        <f>Players!BN77</f>
        <v>0</v>
      </c>
      <c r="O76" s="2">
        <f>Players!BO77</f>
        <v>0</v>
      </c>
      <c r="P76" s="2">
        <f>Players!BP77</f>
        <v>0</v>
      </c>
      <c r="Q76" s="2">
        <f>Players!BQ77</f>
        <v>0.28429203539823011</v>
      </c>
      <c r="R76" s="2">
        <f>Players!BR77</f>
        <v>0</v>
      </c>
      <c r="S76" s="2">
        <f>H76</f>
        <v>1.5602309947683257</v>
      </c>
      <c r="T76" s="2">
        <f>I76</f>
        <v>0.84461095835632183</v>
      </c>
      <c r="U76" s="16">
        <f>INDEX('Team forecast'!$B$2:$AO$26,MATCH('Master data'!$B76,'Team forecast'!$B$2:$B$26,0),MATCH('Master data'!U$1,'Team forecast'!$B$2:$AO$2,0))</f>
        <v>0.58357649020425184</v>
      </c>
      <c r="V76" s="16">
        <f>INDEX('Team forecast'!$B$2:$AO$26,MATCH('Master data'!$B76,'Team forecast'!$B$2:$B$26,0),MATCH('Master data'!V$1,'Team forecast'!$B$2:$AO$2,0))</f>
        <v>0.23634847853272201</v>
      </c>
      <c r="W76" s="16">
        <f>INDEX('Team forecast'!$B$2:$AO$26,MATCH('Master data'!$B76,'Team forecast'!$B$2:$B$26,0),MATCH('Master data'!W$1,'Team forecast'!$B$2:$AO$2,0))</f>
        <v>0.18007503126302629</v>
      </c>
      <c r="X76" s="5">
        <f>IF(M76&gt;95,7000*2,IF(M76&gt;0,7000,-5000))</f>
        <v>-5000</v>
      </c>
      <c r="Y76" s="5">
        <f>IF($X76&gt;0,U76*25000,0)</f>
        <v>0</v>
      </c>
      <c r="Z76" s="5">
        <f>IF($X76&gt;0,V76*5000,0)</f>
        <v>0</v>
      </c>
      <c r="AA76" s="5">
        <f>IF($X76&gt;0,W76*(-15000),0)</f>
        <v>0</v>
      </c>
      <c r="AB76" s="5">
        <f>IF($C76="Defense",$N76*150000,IF($C76="Midfield",$N76*125000,IF($C76="Striker",$N76*100000,0)))*$H76</f>
        <v>0</v>
      </c>
      <c r="AC76" s="5">
        <f>$O76*50000*H76</f>
        <v>0</v>
      </c>
      <c r="AD76" s="5">
        <f>$P76*K76*10000</f>
        <v>0</v>
      </c>
      <c r="AE76" s="5">
        <f>IF($C76="Goalkeeper",J76*75000,IF($C76="Defense",J76*50000,0))</f>
        <v>0</v>
      </c>
      <c r="AF76" s="5">
        <f>IF($C76="Goalkeeper",(L76-I76)*5000,0)</f>
        <v>0</v>
      </c>
      <c r="AG76" s="5">
        <f>IF(M76&gt;0,Q76*(-20000),0)</f>
        <v>0</v>
      </c>
      <c r="AH76" s="5">
        <f>IF(M76&gt;0,R76*(-50000),0)</f>
        <v>0</v>
      </c>
      <c r="AI76" s="5">
        <f>IF(M76&gt;0,S76*10000,0)</f>
        <v>0</v>
      </c>
      <c r="AJ76" s="5">
        <f>IF(M76&gt;0,T76*(-8000),0)</f>
        <v>0</v>
      </c>
      <c r="AK76" s="5">
        <f>IFERROR(SUM(X76:AJ76),-5000)*((Cockpit!$C$3)^0)</f>
        <v>-5000</v>
      </c>
      <c r="AL76" s="16">
        <f>INDEX('Team forecast'!$B$2:$AO$26,MATCH('Master data'!$B76,'Team forecast'!$B$2:$B$26,0),MATCH('Master data'!AL$1,'Team forecast'!$B$2:$AO$2,0))</f>
        <v>1.5279674504451852</v>
      </c>
      <c r="AM76" s="16">
        <f>INDEX('Team forecast'!$B$2:$AO$26,MATCH('Master data'!$B76,'Team forecast'!$B$2:$B$26,0),MATCH('Master data'!AM$1,'Team forecast'!$B$2:$AO$2,0))</f>
        <v>1.1610121970988967</v>
      </c>
      <c r="AN76" s="16">
        <f>INDEX('Team forecast'!$B$2:$AO$26,MATCH('Master data'!$B76,'Team forecast'!$B$2:$B$26,0),MATCH('Master data'!AN$1,'Team forecast'!$B$2:$AO$2,0))</f>
        <v>0.31316903161563348</v>
      </c>
      <c r="AO76" s="16">
        <f>INDEX('Team forecast'!$B$2:$AO$26,MATCH('Master data'!$B76,'Team forecast'!$B$2:$B$26,0),MATCH('Master data'!AO$1,'Team forecast'!$B$2:$AO$2,0))</f>
        <v>4.0794537672172888</v>
      </c>
      <c r="AP76" s="16">
        <f>INDEX('Team forecast'!$B$2:$AO$26,MATCH('Master data'!$B76,'Team forecast'!$B$2:$B$26,0),MATCH('Master data'!AP$1,'Team forecast'!$B$2:$AO$2,0))</f>
        <v>3.8114036773448627</v>
      </c>
      <c r="AQ76" s="5">
        <f>X76</f>
        <v>-5000</v>
      </c>
      <c r="AR76" s="5">
        <f>INDEX('Team forecast'!$B$2:$AO$26,MATCH('Master data'!$B76,'Team forecast'!$B$2:$B$26,0),MATCH('Master data'!AR$1,'Team forecast'!$B$2:$AO$2,0))*IF(X76&gt;0,25000,0)</f>
        <v>0</v>
      </c>
      <c r="AS76" s="16">
        <f>INDEX('Team forecast'!$B$2:$AO$26,MATCH('Master data'!$B76,'Team forecast'!$B$2:$B$26,0),MATCH('Master data'!AS$1,'Team forecast'!$B$2:$AO$2,0))*IF(X76&gt;0,5000,0)</f>
        <v>0</v>
      </c>
      <c r="AT76" s="16">
        <f>INDEX('Team forecast'!$B$2:$AO$26,MATCH('Master data'!$B76,'Team forecast'!$B$2:$B$26,0),MATCH('Master data'!AT$1,'Team forecast'!$B$2:$AO$2,0))*IF(X76&gt;0,-15000,0)</f>
        <v>0</v>
      </c>
      <c r="AU76" s="5">
        <f>IF($C76="Defense",$N76*150000,IF($C76="Midfield",$N76*125000,IF($C76="Striker",$N76*100000,0)))*$AL76</f>
        <v>0</v>
      </c>
      <c r="AV76" s="5">
        <f>$O76*50000*AL76</f>
        <v>0</v>
      </c>
      <c r="AW76" s="5">
        <f>$P76*AO76*10000</f>
        <v>0</v>
      </c>
      <c r="AX76" s="5">
        <f>IF($C76="Goalkeeper",AN76*75000,IF($C76="Defense",AN76*50000,0))</f>
        <v>0</v>
      </c>
      <c r="AY76" s="5">
        <f>IF($C76="Goalkeeper",(AP76-AM76)*5000,0)</f>
        <v>0</v>
      </c>
      <c r="AZ76" s="5">
        <f>$AG76</f>
        <v>0</v>
      </c>
      <c r="BA76" s="5">
        <f>$AH76</f>
        <v>0</v>
      </c>
      <c r="BB76" s="5">
        <f>IF(X76&gt;0,AL76*10000,0)</f>
        <v>0</v>
      </c>
      <c r="BC76" s="5">
        <f>IF(X76&gt;0,AM76*(-8000),0)</f>
        <v>0</v>
      </c>
      <c r="BD76" s="5">
        <f>IFERROR(SUM(AQ76:BC76),0)</f>
        <v>-5000</v>
      </c>
      <c r="BE76" s="16">
        <f>INDEX('Team forecast'!$B$2:$AO$26,MATCH('Master data'!$B76,'Team forecast'!$B$2:$B$26,0),MATCH('Master data'!BE$1,'Team forecast'!$B$2:$AO$2,0))</f>
        <v>2.3394224481215296</v>
      </c>
      <c r="BF76" s="16">
        <f>INDEX('Team forecast'!$B$2:$AO$26,MATCH('Master data'!$B76,'Team forecast'!$B$2:$B$26,0),MATCH('Master data'!BF$1,'Team forecast'!$B$2:$AO$2,0))</f>
        <v>0.62462402002960304</v>
      </c>
      <c r="BG76" s="16">
        <f>INDEX('Team forecast'!$B$2:$AO$26,MATCH('Master data'!$B76,'Team forecast'!$B$2:$B$26,0),MATCH('Master data'!BG$1,'Team forecast'!$B$2:$AO$2,0))</f>
        <v>0.53546271393231015</v>
      </c>
      <c r="BH76" s="16">
        <f>INDEX('Team forecast'!$B$2:$AO$26,MATCH('Master data'!$B76,'Team forecast'!$B$2:$B$26,0),MATCH('Master data'!BH$1,'Team forecast'!$B$2:$AO$2,0))</f>
        <v>6.2459221342192031</v>
      </c>
      <c r="BI76" s="16">
        <f>INDEX('Team forecast'!$B$2:$AO$26,MATCH('Master data'!$B76,'Team forecast'!$B$2:$B$26,0),MATCH('Master data'!BI$1,'Team forecast'!$B$2:$AO$2,0))</f>
        <v>2.0505333990870809</v>
      </c>
      <c r="BJ76" s="5">
        <f>AQ76</f>
        <v>-5000</v>
      </c>
      <c r="BK76" s="5">
        <f>INDEX('Team forecast'!$R$3:$BH$26,MATCH($B76,'Team forecast'!$B$3:$B$26,0),MATCH(BK$1,'Team forecast'!$R$2:$BH$2,0))*IF($X76&gt;0,25000,0)</f>
        <v>0</v>
      </c>
      <c r="BL76" s="5">
        <f>INDEX('Team forecast'!$R$3:$BH$26,MATCH($B76,'Team forecast'!$B$3:$B$26,0),MATCH(BL$1,'Team forecast'!$R$2:$BH$2,0))*IF($X76&gt;0,5000,0)</f>
        <v>0</v>
      </c>
      <c r="BM76" s="5">
        <f>INDEX('Team forecast'!$R$3:$BH$26,MATCH($B76,'Team forecast'!$B$3:$B$26,0),MATCH(BM$1,'Team forecast'!$R$2:$BH$2,0))*IF($X76&gt;0,-15000,0)</f>
        <v>0</v>
      </c>
      <c r="BN76" s="5">
        <f>IF($C76="Defense",$N76*150000,IF($C76="Midfield",$N76*125000,IF($C76="Striker",$N76*100000,0)))*$BE76</f>
        <v>0</v>
      </c>
      <c r="BO76" s="5">
        <f>$O76*50000*$BE76</f>
        <v>0</v>
      </c>
      <c r="BP76" s="5">
        <f>$P76*BH76*10000</f>
        <v>0</v>
      </c>
      <c r="BQ76" s="5">
        <f>IF($C76="Goalkeeper",BG76*75000,IF($C76="Defense",BG76*50000,0))</f>
        <v>0</v>
      </c>
      <c r="BR76" s="5">
        <f>IF($C76="Goalkeeper",(BI76-BF76)*5000,0)</f>
        <v>0</v>
      </c>
      <c r="BS76" s="5">
        <f>$AG76</f>
        <v>0</v>
      </c>
      <c r="BT76" s="5">
        <f>$AH76</f>
        <v>0</v>
      </c>
      <c r="BU76" s="5">
        <f>IF(AQ76&gt;0,BE76*10000,0)</f>
        <v>0</v>
      </c>
      <c r="BV76" s="5">
        <f>IF(AQ76&gt;0,BF76*(-8000),0)</f>
        <v>0</v>
      </c>
      <c r="BW76" s="5">
        <f>IFERROR(SUM(BJ76:BV76),0)</f>
        <v>-5000</v>
      </c>
      <c r="BX76" s="5">
        <f>AVERAGE(AK76,BD76,BW76)</f>
        <v>-5000</v>
      </c>
      <c r="BY76" s="5">
        <f>BX76*3</f>
        <v>-15000</v>
      </c>
      <c r="BZ76" s="5">
        <f>INDEX('Team forecast'!$R$3:$BH$26,MATCH($B76,'Team forecast'!$B$3:$B$26,0),MATCH(BZ$1,'Team forecast'!$R$2:$BH$2,0))*($BX76-(BY76+CH76)*0.01)</f>
        <v>-28586.119179260364</v>
      </c>
      <c r="CA76" s="5">
        <f>INDEX('Team forecast'!$R$3:$BH$26,MATCH($B76,'Team forecast'!$B$3:$B$26,0),MATCH(CA$1,'Team forecast'!$R$2:$BH$2,0))*($BX76-(BY76+BX76+CH76)*0.01)</f>
        <v>-14559.238733552371</v>
      </c>
      <c r="CB76" s="5">
        <f>INDEX('Team forecast'!$R$3:$BH$26,MATCH($B76,'Team forecast'!$B$3:$B$26,0),MATCH(CB$1,'Team forecast'!$R$2:$BH$2,0))*($BX76-(BY76+BX76*2+CH76)*0.01)</f>
        <v>-7540.0017934630214</v>
      </c>
      <c r="CC76" s="5">
        <f>INDEX('Team forecast'!$R$3:$BH$26,MATCH($B76,'Team forecast'!$B$3:$B$26,0),MATCH(CC$1,'Team forecast'!$R$2:$BH$2,0))*($BX76-(BY76+BX76*3+CH76)*0.01)</f>
        <v>-4114.5800759288004</v>
      </c>
      <c r="CD76" s="5">
        <f>+AK76+BD76*Cockpit!$C$3+BW76*Cockpit!$C$3^2+BZ76*Cockpit!$C$3^3+CA76*Cockpit!$C$3^4+CB76*Cockpit!$C$3^5+CC76*Cockpit!$C$3^6</f>
        <v>-23255.562986808876</v>
      </c>
      <c r="CE76" s="5"/>
      <c r="CF76" s="5"/>
      <c r="CG76" s="5">
        <v>0</v>
      </c>
      <c r="CH76" s="5">
        <f t="shared" si="46"/>
        <v>2500000</v>
      </c>
      <c r="CI76" s="5">
        <f t="shared" si="47"/>
        <v>2500000</v>
      </c>
      <c r="CJ76" s="1">
        <f t="shared" si="48"/>
        <v>-6.0000000000000001E-3</v>
      </c>
      <c r="CK76" s="5">
        <f>RANK(BY76,$BY$2:$BY$623)+COUNTIF($BY$2:$BY76,$BY76)-1</f>
        <v>443</v>
      </c>
      <c r="CL76" s="5">
        <f>RANK(CJ76,$CJ$2:$CJ$623)+COUNTIF($CJ$2:$CJ76,$CJ76)-1</f>
        <v>528</v>
      </c>
    </row>
    <row r="77" spans="1:90">
      <c r="A77" t="str">
        <f>Players!P78</f>
        <v>Youri Tielemans</v>
      </c>
      <c r="B77" t="str">
        <f>Players!G78</f>
        <v>Belgium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5000000</v>
      </c>
      <c r="H77" s="16">
        <f>INDEX('Team forecast'!$B$2:$AO$26,MATCH('Master data'!$B77,'Team forecast'!$B$2:$B$26,0),MATCH('Master data'!H$1,'Team forecast'!$B$2:$AO$2,0))</f>
        <v>1.5602309947683257</v>
      </c>
      <c r="I77" s="16">
        <f>INDEX('Team forecast'!$B$2:$AO$26,MATCH('Master data'!$B77,'Team forecast'!$B$2:$B$26,0),MATCH('Master data'!I$1,'Team forecast'!$B$2:$AO$2,0))</f>
        <v>0.84461095835632183</v>
      </c>
      <c r="J77" s="16">
        <f>INDEX('Team forecast'!$B$2:$AO$26,MATCH('Master data'!$B77,'Team forecast'!$B$2:$B$26,0),MATCH('Master data'!J$1,'Team forecast'!$B$2:$AO$2,0))</f>
        <v>0.42972450642313093</v>
      </c>
      <c r="K77" s="16">
        <f>INDEX('Team forecast'!$B$2:$AO$26,MATCH('Master data'!$B77,'Team forecast'!$B$2:$B$26,0),MATCH('Master data'!K$1,'Team forecast'!$B$2:$AO$2,0))</f>
        <v>4.1655927994293096</v>
      </c>
      <c r="L77" s="16">
        <f>INDEX('Team forecast'!$B$2:$AO$26,MATCH('Master data'!$B77,'Team forecast'!$B$2:$B$26,0),MATCH('Master data'!L$1,'Team forecast'!$B$2:$AO$2,0))</f>
        <v>2.7727127420788342</v>
      </c>
      <c r="M77">
        <f>IF(Players!BC78=1,95,0)</f>
        <v>95</v>
      </c>
      <c r="N77" s="2">
        <f>Players!BN78</f>
        <v>7.7616022951157451E-2</v>
      </c>
      <c r="O77" s="2">
        <f>Players!BO78</f>
        <v>5.6235315275574807E-2</v>
      </c>
      <c r="P77" s="2">
        <f>Players!BP78</f>
        <v>7.9498295212598824E-2</v>
      </c>
      <c r="Q77" s="2">
        <f>Players!BQ78</f>
        <v>8.0405002977963075E-2</v>
      </c>
      <c r="R77" s="2">
        <f>Players!BR78</f>
        <v>0</v>
      </c>
      <c r="S77" s="2">
        <f>H77</f>
        <v>1.5602309947683257</v>
      </c>
      <c r="T77" s="2">
        <f>I77</f>
        <v>0.84461095835632183</v>
      </c>
      <c r="U77" s="16">
        <f>INDEX('Team forecast'!$B$2:$AO$26,MATCH('Master data'!$B77,'Team forecast'!$B$2:$B$26,0),MATCH('Master data'!U$1,'Team forecast'!$B$2:$AO$2,0))</f>
        <v>0.58357649020425184</v>
      </c>
      <c r="V77" s="16">
        <f>INDEX('Team forecast'!$B$2:$AO$26,MATCH('Master data'!$B77,'Team forecast'!$B$2:$B$26,0),MATCH('Master data'!V$1,'Team forecast'!$B$2:$AO$2,0))</f>
        <v>0.23634847853272201</v>
      </c>
      <c r="W77" s="16">
        <f>INDEX('Team forecast'!$B$2:$AO$26,MATCH('Master data'!$B77,'Team forecast'!$B$2:$B$26,0),MATCH('Master data'!W$1,'Team forecast'!$B$2:$AO$2,0))</f>
        <v>0.18007503126302629</v>
      </c>
      <c r="X77" s="5">
        <f>IF(M77&gt;95,7000*2,IF(M77&gt;0,7000,-5000))</f>
        <v>7000</v>
      </c>
      <c r="Y77" s="5">
        <f>IF($X77&gt;0,U77*25000,0)</f>
        <v>14589.412255106296</v>
      </c>
      <c r="Z77" s="5">
        <f>IF($X77&gt;0,V77*5000,0)</f>
        <v>1181.74239266361</v>
      </c>
      <c r="AA77" s="5">
        <f>IF($X77&gt;0,W77*(-15000),0)</f>
        <v>-2701.1254689453945</v>
      </c>
      <c r="AB77" s="5">
        <f>IF($C77="Defense",$N77*150000,IF($C77="Midfield",$N77*125000,IF($C77="Striker",$N77*100000,0)))*$H77</f>
        <v>15137.3655873807</v>
      </c>
      <c r="AC77" s="5">
        <f>$O77*50000*H77</f>
        <v>4387.0040946760246</v>
      </c>
      <c r="AD77" s="5">
        <f>$P77*K77*10000</f>
        <v>3311.5752610450722</v>
      </c>
      <c r="AE77" s="5">
        <f>IF($C77="Goalkeeper",J77*75000,IF($C77="Defense",J77*50000,0))</f>
        <v>0</v>
      </c>
      <c r="AF77" s="5">
        <f>IF($C77="Goalkeeper",(L77-I77)*5000,0)</f>
        <v>0</v>
      </c>
      <c r="AG77" s="5">
        <f>IF(M77&gt;0,Q77*(-20000),0)</f>
        <v>-1608.1000595592616</v>
      </c>
      <c r="AH77" s="5">
        <f>IF(M77&gt;0,R77*(-50000),0)</f>
        <v>0</v>
      </c>
      <c r="AI77" s="5">
        <f>IF(M77&gt;0,S77*10000,0)</f>
        <v>15602.309947683258</v>
      </c>
      <c r="AJ77" s="5">
        <f>IF(M77&gt;0,T77*(-8000),0)</f>
        <v>-6756.8876668505745</v>
      </c>
      <c r="AK77" s="5">
        <f>IFERROR(SUM(X77:AJ77),-5000)*((Cockpit!$C$3)^0)</f>
        <v>50143.296343199734</v>
      </c>
      <c r="AL77" s="16">
        <f>INDEX('Team forecast'!$B$2:$AO$26,MATCH('Master data'!$B77,'Team forecast'!$B$2:$B$26,0),MATCH('Master data'!AL$1,'Team forecast'!$B$2:$AO$2,0))</f>
        <v>1.5279674504451852</v>
      </c>
      <c r="AM77" s="16">
        <f>INDEX('Team forecast'!$B$2:$AO$26,MATCH('Master data'!$B77,'Team forecast'!$B$2:$B$26,0),MATCH('Master data'!AM$1,'Team forecast'!$B$2:$AO$2,0))</f>
        <v>1.1610121970988967</v>
      </c>
      <c r="AN77" s="16">
        <f>INDEX('Team forecast'!$B$2:$AO$26,MATCH('Master data'!$B77,'Team forecast'!$B$2:$B$26,0),MATCH('Master data'!AN$1,'Team forecast'!$B$2:$AO$2,0))</f>
        <v>0.31316903161563348</v>
      </c>
      <c r="AO77" s="16">
        <f>INDEX('Team forecast'!$B$2:$AO$26,MATCH('Master data'!$B77,'Team forecast'!$B$2:$B$26,0),MATCH('Master data'!AO$1,'Team forecast'!$B$2:$AO$2,0))</f>
        <v>4.0794537672172888</v>
      </c>
      <c r="AP77" s="16">
        <f>INDEX('Team forecast'!$B$2:$AO$26,MATCH('Master data'!$B77,'Team forecast'!$B$2:$B$26,0),MATCH('Master data'!AP$1,'Team forecast'!$B$2:$AO$2,0))</f>
        <v>3.8114036773448627</v>
      </c>
      <c r="AQ77" s="5">
        <f>X77</f>
        <v>7000</v>
      </c>
      <c r="AR77" s="5">
        <f>INDEX('Team forecast'!$B$2:$AO$26,MATCH('Master data'!$B77,'Team forecast'!$B$2:$B$26,0),MATCH('Master data'!AR$1,'Team forecast'!$B$2:$AO$2,0))*IF(X77&gt;0,25000,0)</f>
        <v>11743.838685586257</v>
      </c>
      <c r="AS77" s="16">
        <f>INDEX('Team forecast'!$B$2:$AO$26,MATCH('Master data'!$B77,'Team forecast'!$B$2:$B$26,0),MATCH('Master data'!AS$1,'Team forecast'!$B$2:$AO$2,0))*IF(X77&gt;0,5000,0)</f>
        <v>1381.628080657207</v>
      </c>
      <c r="AT77" s="16">
        <f>INDEX('Team forecast'!$B$2:$AO$26,MATCH('Master data'!$B77,'Team forecast'!$B$2:$B$26,0),MATCH('Master data'!AT$1,'Team forecast'!$B$2:$AO$2,0))*IF(X77&gt;0,-15000,0)</f>
        <v>-3808.8125466766246</v>
      </c>
      <c r="AU77" s="5">
        <f>IF($C77="Defense",$N77*150000,IF($C77="Midfield",$N77*125000,IF($C77="Striker",$N77*100000,0)))*$AL77</f>
        <v>14824.344587796881</v>
      </c>
      <c r="AV77" s="5">
        <f>$O77*50000*AL77</f>
        <v>4296.2865653300605</v>
      </c>
      <c r="AW77" s="5">
        <f>$P77*AO77*10000</f>
        <v>3243.0961989238845</v>
      </c>
      <c r="AX77" s="5">
        <f>IF($C77="Goalkeeper",AN77*75000,IF($C77="Defense",AN77*50000,0))</f>
        <v>0</v>
      </c>
      <c r="AY77" s="5">
        <f>IF($C77="Goalkeeper",(AP77-AM77)*5000,0)</f>
        <v>0</v>
      </c>
      <c r="AZ77" s="5">
        <f>$AG77</f>
        <v>-1608.1000595592616</v>
      </c>
      <c r="BA77" s="5">
        <f>$AH77</f>
        <v>0</v>
      </c>
      <c r="BB77" s="5">
        <f>IF(X77&gt;0,AL77*10000,0)</f>
        <v>15279.674504451852</v>
      </c>
      <c r="BC77" s="5">
        <f>IF(X77&gt;0,AM77*(-8000),0)</f>
        <v>-9288.0975767911732</v>
      </c>
      <c r="BD77" s="5">
        <f>IFERROR(SUM(AQ77:BC77),0)</f>
        <v>43063.858439719079</v>
      </c>
      <c r="BE77" s="16">
        <f>INDEX('Team forecast'!$B$2:$AO$26,MATCH('Master data'!$B77,'Team forecast'!$B$2:$B$26,0),MATCH('Master data'!BE$1,'Team forecast'!$B$2:$AO$2,0))</f>
        <v>2.3394224481215296</v>
      </c>
      <c r="BF77" s="16">
        <f>INDEX('Team forecast'!$B$2:$AO$26,MATCH('Master data'!$B77,'Team forecast'!$B$2:$B$26,0),MATCH('Master data'!BF$1,'Team forecast'!$B$2:$AO$2,0))</f>
        <v>0.62462402002960304</v>
      </c>
      <c r="BG77" s="16">
        <f>INDEX('Team forecast'!$B$2:$AO$26,MATCH('Master data'!$B77,'Team forecast'!$B$2:$B$26,0),MATCH('Master data'!BG$1,'Team forecast'!$B$2:$AO$2,0))</f>
        <v>0.53546271393231015</v>
      </c>
      <c r="BH77" s="16">
        <f>INDEX('Team forecast'!$B$2:$AO$26,MATCH('Master data'!$B77,'Team forecast'!$B$2:$B$26,0),MATCH('Master data'!BH$1,'Team forecast'!$B$2:$AO$2,0))</f>
        <v>6.2459221342192031</v>
      </c>
      <c r="BI77" s="16">
        <f>INDEX('Team forecast'!$B$2:$AO$26,MATCH('Master data'!$B77,'Team forecast'!$B$2:$B$26,0),MATCH('Master data'!BI$1,'Team forecast'!$B$2:$AO$2,0))</f>
        <v>2.0505333990870809</v>
      </c>
      <c r="BJ77" s="5">
        <f>AQ77</f>
        <v>7000</v>
      </c>
      <c r="BK77" s="5">
        <f>INDEX('Team forecast'!$R$3:$BH$26,MATCH($B77,'Team forecast'!$B$3:$B$26,0),MATCH(BK$1,'Team forecast'!$R$2:$BH$2,0))*IF($X77&gt;0,25000,0)</f>
        <v>19590.099290206468</v>
      </c>
      <c r="BL77" s="5">
        <f>INDEX('Team forecast'!$R$3:$BH$26,MATCH($B77,'Team forecast'!$B$3:$B$26,0),MATCH(BL$1,'Team forecast'!$R$2:$BH$2,0))*IF($X77&gt;0,5000,0)</f>
        <v>771.06630806252645</v>
      </c>
      <c r="BM77" s="5">
        <f>INDEX('Team forecast'!$R$3:$BH$26,MATCH($B77,'Team forecast'!$B$3:$B$26,0),MATCH(BM$1,'Team forecast'!$R$2:$BH$2,0))*IF($X77&gt;0,-15000,0)</f>
        <v>-932.74150168854032</v>
      </c>
      <c r="BN77" s="5">
        <f>IF($C77="Defense",$N77*150000,IF($C77="Midfield",$N77*125000,IF($C77="Striker",$N77*100000,0)))*$BE77</f>
        <v>22697.083303231702</v>
      </c>
      <c r="BO77" s="5">
        <f>$O77*50000*$BE77</f>
        <v>6577.9079466435624</v>
      </c>
      <c r="BP77" s="5">
        <f>$P77*BH77*10000</f>
        <v>4965.4016170106352</v>
      </c>
      <c r="BQ77" s="5">
        <f>IF($C77="Goalkeeper",BG77*75000,IF($C77="Defense",BG77*50000,0))</f>
        <v>0</v>
      </c>
      <c r="BR77" s="5">
        <f>IF($C77="Goalkeeper",(BI77-BF77)*5000,0)</f>
        <v>0</v>
      </c>
      <c r="BS77" s="5">
        <f>$AG77</f>
        <v>-1608.1000595592616</v>
      </c>
      <c r="BT77" s="5">
        <f>$AH77</f>
        <v>0</v>
      </c>
      <c r="BU77" s="5">
        <f>IF(AQ77&gt;0,BE77*10000,0)</f>
        <v>23394.224481215297</v>
      </c>
      <c r="BV77" s="5">
        <f>IF(AQ77&gt;0,BF77*(-8000),0)</f>
        <v>-4996.992160236824</v>
      </c>
      <c r="BW77" s="5">
        <f>IFERROR(SUM(BJ77:BV77),0)</f>
        <v>77457.949224885568</v>
      </c>
      <c r="BX77" s="5">
        <f>AVERAGE(AK77,BD77,BW77)</f>
        <v>56888.368002601455</v>
      </c>
      <c r="BY77" s="5">
        <f>BX77*3</f>
        <v>170665.10400780436</v>
      </c>
      <c r="BZ77" s="5">
        <f>INDEX('Team forecast'!$R$3:$BH$26,MATCH($B77,'Team forecast'!$B$3:$B$26,0),MATCH(BZ$1,'Team forecast'!$R$2:$BH$2,0))*($BX77-(BY77+CH77)*0.01)</f>
        <v>4962.3175425088502</v>
      </c>
      <c r="CA77" s="5">
        <f>INDEX('Team forecast'!$R$3:$BH$26,MATCH($B77,'Team forecast'!$B$3:$B$26,0),MATCH(CA$1,'Team forecast'!$R$2:$BH$2,0))*($BX77-(BY77+BX77+CH77)*0.01)</f>
        <v>2253.669161005223</v>
      </c>
      <c r="CB77" s="5">
        <f>INDEX('Team forecast'!$R$3:$BH$26,MATCH($B77,'Team forecast'!$B$3:$B$26,0),MATCH(CB$1,'Team forecast'!$R$2:$BH$2,0))*($BX77-(BY77+BX77*2+CH77)*0.01)</f>
        <v>1024.9205800103625</v>
      </c>
      <c r="CC77" s="5">
        <f>INDEX('Team forecast'!$R$3:$BH$26,MATCH($B77,'Team forecast'!$B$3:$B$26,0),MATCH(CC$1,'Team forecast'!$R$2:$BH$2,0))*($BX77-(BY77+BX77*3+CH77)*0.01)</f>
        <v>481.42885545565179</v>
      </c>
      <c r="CD77" s="5">
        <f>+AK77+BD77*Cockpit!$C$3+BW77*Cockpit!$C$3^2+BZ77*Cockpit!$C$3^3+CA77*Cockpit!$C$3^4+CB77*Cockpit!$C$3^5+CC77*Cockpit!$C$3^6</f>
        <v>115371.0103642741</v>
      </c>
      <c r="CE77" s="5"/>
      <c r="CF77" s="5"/>
      <c r="CG77" s="5">
        <v>0</v>
      </c>
      <c r="CH77" s="5">
        <f t="shared" si="46"/>
        <v>5000000</v>
      </c>
      <c r="CI77" s="5">
        <f t="shared" si="47"/>
        <v>5000000</v>
      </c>
      <c r="CJ77" s="1">
        <f t="shared" si="48"/>
        <v>3.4133020801560873E-2</v>
      </c>
      <c r="CK77" s="5">
        <f>RANK(BY77,$BY$2:$BY$623)+COUNTIF($BY$2:$BY77,$BY77)-1</f>
        <v>77</v>
      </c>
      <c r="CL77" s="5">
        <f>RANK(CJ77,$CJ$2:$CJ$623)+COUNTIF($CJ$2:$CJ77,$CJ77)-1</f>
        <v>110</v>
      </c>
    </row>
    <row r="78" spans="1:90">
      <c r="A78" t="str">
        <f>Players!P79</f>
        <v>Georginio Wijnaldum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5500000</v>
      </c>
      <c r="H78" s="16">
        <f>INDEX('Team forecast'!$B$2:$AO$26,MATCH('Master data'!$B78,'Team forecast'!$B$2:$B$26,0),MATCH('Master data'!H$1,'Team forecast'!$B$2:$AO$2,0))</f>
        <v>1.5712166996139025</v>
      </c>
      <c r="I78" s="16">
        <f>INDEX('Team forecast'!$B$2:$AO$26,MATCH('Master data'!$B78,'Team forecast'!$B$2:$B$26,0),MATCH('Master data'!I$1,'Team forecast'!$B$2:$AO$2,0))</f>
        <v>0.76028648339757388</v>
      </c>
      <c r="J78" s="16">
        <f>INDEX('Team forecast'!$B$2:$AO$26,MATCH('Master data'!$B78,'Team forecast'!$B$2:$B$26,0),MATCH('Master data'!J$1,'Team forecast'!$B$2:$AO$2,0))</f>
        <v>0.46753246753246752</v>
      </c>
      <c r="K78" s="16">
        <f>INDEX('Team forecast'!$B$2:$AO$26,MATCH('Master data'!$B78,'Team forecast'!$B$2:$B$26,0),MATCH('Master data'!K$1,'Team forecast'!$B$2:$AO$2,0))</f>
        <v>4.4640175390899657</v>
      </c>
      <c r="L78" s="16">
        <f>INDEX('Team forecast'!$B$2:$AO$26,MATCH('Master data'!$B78,'Team forecast'!$B$2:$B$26,0),MATCH('Master data'!L$1,'Team forecast'!$B$2:$AO$2,0))</f>
        <v>2.4958899707496114</v>
      </c>
      <c r="M78">
        <f>IF(Players!BC79=1,95,0)</f>
        <v>95</v>
      </c>
      <c r="N78" s="2">
        <f>Players!BN79</f>
        <v>7.7518754059494765E-2</v>
      </c>
      <c r="O78" s="2">
        <f>Players!BO79</f>
        <v>0.10759753890311019</v>
      </c>
      <c r="P78" s="2">
        <f>Players!BP79</f>
        <v>7.1643104068253388E-2</v>
      </c>
      <c r="Q78" s="2">
        <f>Players!BQ79</f>
        <v>1.5269765863590093E-2</v>
      </c>
      <c r="R78" s="2">
        <f>Players!BR79</f>
        <v>0</v>
      </c>
      <c r="S78" s="2">
        <f>H78</f>
        <v>1.5712166996139025</v>
      </c>
      <c r="T78" s="2">
        <f>I78</f>
        <v>0.76028648339757388</v>
      </c>
      <c r="U78" s="16">
        <f>INDEX('Team forecast'!$B$2:$AO$26,MATCH('Master data'!$B78,'Team forecast'!$B$2:$B$26,0),MATCH('Master data'!U$1,'Team forecast'!$B$2:$AO$2,0))</f>
        <v>0.58441558441558439</v>
      </c>
      <c r="V78" s="16">
        <f>INDEX('Team forecast'!$B$2:$AO$26,MATCH('Master data'!$B78,'Team forecast'!$B$2:$B$26,0),MATCH('Master data'!V$1,'Team forecast'!$B$2:$AO$2,0))</f>
        <v>0.25974025974025972</v>
      </c>
      <c r="W78" s="16">
        <f>INDEX('Team forecast'!$B$2:$AO$26,MATCH('Master data'!$B78,'Team forecast'!$B$2:$B$26,0),MATCH('Master data'!W$1,'Team forecast'!$B$2:$AO$2,0))</f>
        <v>0.15584415584415581</v>
      </c>
      <c r="X78" s="5">
        <f>IF(M78&gt;95,7000*2,IF(M78&gt;0,7000,-5000))</f>
        <v>7000</v>
      </c>
      <c r="Y78" s="5">
        <f>IF($X78&gt;0,U78*25000,0)</f>
        <v>14610.38961038961</v>
      </c>
      <c r="Z78" s="5">
        <f>IF($X78&gt;0,V78*5000,0)</f>
        <v>1298.7012987012986</v>
      </c>
      <c r="AA78" s="5">
        <f>IF($X78&gt;0,W78*(-15000),0)</f>
        <v>-2337.662337662337</v>
      </c>
      <c r="AB78" s="5">
        <f>IF($C78="Defense",$N78*150000,IF($C78="Midfield",$N78*125000,IF($C78="Striker",$N78*100000,0)))*$H78</f>
        <v>15224.845113942647</v>
      </c>
      <c r="AC78" s="5">
        <f>$O78*50000*H78</f>
        <v>8452.9524980961651</v>
      </c>
      <c r="AD78" s="5">
        <f>$P78*K78*10000</f>
        <v>3198.160731155308</v>
      </c>
      <c r="AE78" s="5">
        <f>IF($C78="Goalkeeper",J78*75000,IF($C78="Defense",J78*50000,0))</f>
        <v>0</v>
      </c>
      <c r="AF78" s="5">
        <f>IF($C78="Goalkeeper",(L78-I78)*5000,0)</f>
        <v>0</v>
      </c>
      <c r="AG78" s="5">
        <f>IF(M78&gt;0,Q78*(-20000),0)</f>
        <v>-305.39531727180184</v>
      </c>
      <c r="AH78" s="5">
        <f>IF(M78&gt;0,R78*(-50000),0)</f>
        <v>0</v>
      </c>
      <c r="AI78" s="5">
        <f>IF(M78&gt;0,S78*10000,0)</f>
        <v>15712.166996139025</v>
      </c>
      <c r="AJ78" s="5">
        <f>IF(M78&gt;0,T78*(-8000),0)</f>
        <v>-6082.291867180591</v>
      </c>
      <c r="AK78" s="5">
        <f>IFERROR(SUM(X78:AJ78),-5000)*((Cockpit!$C$3)^0)</f>
        <v>56771.86672630933</v>
      </c>
      <c r="AL78" s="16">
        <f>INDEX('Team forecast'!$B$2:$AO$26,MATCH('Master data'!$B78,'Team forecast'!$B$2:$B$26,0),MATCH('Master data'!AL$1,'Team forecast'!$B$2:$AO$2,0))</f>
        <v>1.8476112368050062</v>
      </c>
      <c r="AM78" s="16">
        <f>INDEX('Team forecast'!$B$2:$AO$26,MATCH('Master data'!$B78,'Team forecast'!$B$2:$B$26,0),MATCH('Master data'!AM$1,'Team forecast'!$B$2:$AO$2,0))</f>
        <v>0.7977891123063281</v>
      </c>
      <c r="AN78" s="16">
        <f>INDEX('Team forecast'!$B$2:$AO$26,MATCH('Master data'!$B78,'Team forecast'!$B$2:$B$26,0),MATCH('Master data'!AN$1,'Team forecast'!$B$2:$AO$2,0))</f>
        <v>0.45032347896962183</v>
      </c>
      <c r="AO78" s="16">
        <f>INDEX('Team forecast'!$B$2:$AO$26,MATCH('Master data'!$B78,'Team forecast'!$B$2:$B$26,0),MATCH('Master data'!AO$1,'Team forecast'!$B$2:$AO$2,0))</f>
        <v>5.2492879998945963</v>
      </c>
      <c r="AP78" s="16">
        <f>INDEX('Team forecast'!$B$2:$AO$26,MATCH('Master data'!$B78,'Team forecast'!$B$2:$B$26,0),MATCH('Master data'!AP$1,'Team forecast'!$B$2:$AO$2,0))</f>
        <v>2.6190046616116831</v>
      </c>
      <c r="AQ78" s="5">
        <f>X78</f>
        <v>7000</v>
      </c>
      <c r="AR78" s="5">
        <f>INDEX('Team forecast'!$B$2:$AO$26,MATCH('Master data'!$B78,'Team forecast'!$B$2:$B$26,0),MATCH('Master data'!AR$1,'Team forecast'!$B$2:$AO$2,0))*IF(X78&gt;0,25000,0)</f>
        <v>15452.276239153689</v>
      </c>
      <c r="AS78" s="16">
        <f>INDEX('Team forecast'!$B$2:$AO$26,MATCH('Master data'!$B78,'Team forecast'!$B$2:$B$26,0),MATCH('Master data'!AS$1,'Team forecast'!$B$2:$AO$2,0))*IF(X78&gt;0,5000,0)</f>
        <v>1182.0991322952575</v>
      </c>
      <c r="AT78" s="16">
        <f>INDEX('Team forecast'!$B$2:$AO$26,MATCH('Master data'!$B78,'Team forecast'!$B$2:$B$26,0),MATCH('Master data'!AT$1,'Team forecast'!$B$2:$AO$2,0))*IF(X78&gt;0,-15000,0)</f>
        <v>-2182.3368596220134</v>
      </c>
      <c r="AU78" s="5">
        <f>IF($C78="Defense",$N78*150000,IF($C78="Midfield",$N78*125000,IF($C78="Striker",$N78*100000,0)))*$AL78</f>
        <v>17903.065132930777</v>
      </c>
      <c r="AV78" s="5">
        <f>$O78*50000*AL78</f>
        <v>9939.92109649751</v>
      </c>
      <c r="AW78" s="5">
        <f>$P78*AO78*10000</f>
        <v>3760.7528646068222</v>
      </c>
      <c r="AX78" s="5">
        <f>IF($C78="Goalkeeper",AN78*75000,IF($C78="Defense",AN78*50000,0))</f>
        <v>0</v>
      </c>
      <c r="AY78" s="5">
        <f>IF($C78="Goalkeeper",(AP78-AM78)*5000,0)</f>
        <v>0</v>
      </c>
      <c r="AZ78" s="5">
        <f>$AG78</f>
        <v>-305.39531727180184</v>
      </c>
      <c r="BA78" s="5">
        <f>$AH78</f>
        <v>0</v>
      </c>
      <c r="BB78" s="5">
        <f>IF(X78&gt;0,AL78*10000,0)</f>
        <v>18476.11236805006</v>
      </c>
      <c r="BC78" s="5">
        <f>IF(X78&gt;0,AM78*(-8000),0)</f>
        <v>-6382.3128984506247</v>
      </c>
      <c r="BD78" s="5">
        <f>IFERROR(SUM(AQ78:BC78),0)</f>
        <v>64844.181758189668</v>
      </c>
      <c r="BE78" s="16">
        <f>INDEX('Team forecast'!$B$2:$AO$26,MATCH('Master data'!$B78,'Team forecast'!$B$2:$B$26,0),MATCH('Master data'!BE$1,'Team forecast'!$B$2:$AO$2,0))</f>
        <v>2.3683451623921505</v>
      </c>
      <c r="BF78" s="16">
        <f>INDEX('Team forecast'!$B$2:$AO$26,MATCH('Master data'!$B78,'Team forecast'!$B$2:$B$26,0),MATCH('Master data'!BF$1,'Team forecast'!$B$2:$AO$2,0))</f>
        <v>0.49102780480244929</v>
      </c>
      <c r="BG78" s="16">
        <f>INDEX('Team forecast'!$B$2:$AO$26,MATCH('Master data'!$B78,'Team forecast'!$B$2:$B$26,0),MATCH('Master data'!BG$1,'Team forecast'!$B$2:$AO$2,0))</f>
        <v>0.61199705730750009</v>
      </c>
      <c r="BH78" s="16">
        <f>INDEX('Team forecast'!$B$2:$AO$26,MATCH('Master data'!$B78,'Team forecast'!$B$2:$B$26,0),MATCH('Master data'!BH$1,'Team forecast'!$B$2:$AO$2,0))</f>
        <v>6.7287563492262965</v>
      </c>
      <c r="BI78" s="16">
        <f>INDEX('Team forecast'!$B$2:$AO$26,MATCH('Master data'!$B78,'Team forecast'!$B$2:$B$26,0),MATCH('Master data'!BI$1,'Team forecast'!$B$2:$AO$2,0))</f>
        <v>1.6119599652605658</v>
      </c>
      <c r="BJ78" s="5">
        <f>AQ78</f>
        <v>7000</v>
      </c>
      <c r="BK78" s="5">
        <f>INDEX('Team forecast'!$R$3:$BH$26,MATCH($B78,'Team forecast'!$B$3:$B$26,0),MATCH(BK$1,'Team forecast'!$R$2:$BH$2,0))*IF($X78&gt;0,25000,0)</f>
        <v>19838.040205094814</v>
      </c>
      <c r="BL78" s="5">
        <f>INDEX('Team forecast'!$R$3:$BH$26,MATCH($B78,'Team forecast'!$B$3:$B$26,0),MATCH(BL$1,'Team forecast'!$R$2:$BH$2,0))*IF($X78&gt;0,5000,0)</f>
        <v>720.27345975421156</v>
      </c>
      <c r="BM78" s="5">
        <f>INDEX('Team forecast'!$R$3:$BH$26,MATCH($B78,'Team forecast'!$B$3:$B$26,0),MATCH(BM$1,'Team forecast'!$R$2:$BH$2,0))*IF($X78&gt;0,-15000,0)</f>
        <v>-936.3554976804752</v>
      </c>
      <c r="BN78" s="5">
        <f>IF($C78="Defense",$N78*150000,IF($C78="Midfield",$N78*125000,IF($C78="Striker",$N78*100000,0)))*$BE78</f>
        <v>22948.895771433912</v>
      </c>
      <c r="BO78" s="5">
        <f>$O78*50000*$BE78</f>
        <v>12741.405537324114</v>
      </c>
      <c r="BP78" s="5">
        <f>$P78*BH78*10000</f>
        <v>4820.6899137754026</v>
      </c>
      <c r="BQ78" s="5">
        <f>IF($C78="Goalkeeper",BG78*75000,IF($C78="Defense",BG78*50000,0))</f>
        <v>0</v>
      </c>
      <c r="BR78" s="5">
        <f>IF($C78="Goalkeeper",(BI78-BF78)*5000,0)</f>
        <v>0</v>
      </c>
      <c r="BS78" s="5">
        <f>$AG78</f>
        <v>-305.39531727180184</v>
      </c>
      <c r="BT78" s="5">
        <f>$AH78</f>
        <v>0</v>
      </c>
      <c r="BU78" s="5">
        <f>IF(AQ78&gt;0,BE78*10000,0)</f>
        <v>23683.451623921505</v>
      </c>
      <c r="BV78" s="5">
        <f>IF(AQ78&gt;0,BF78*(-8000),0)</f>
        <v>-3928.2224384195943</v>
      </c>
      <c r="BW78" s="5">
        <f>IFERROR(SUM(BJ78:BV78),0)</f>
        <v>86582.783257932082</v>
      </c>
      <c r="BX78" s="5">
        <f>AVERAGE(AK78,BD78,BW78)</f>
        <v>69399.61058081036</v>
      </c>
      <c r="BY78" s="5">
        <f>BX78*3</f>
        <v>208198.8317424311</v>
      </c>
      <c r="BZ78" s="5">
        <f>INDEX('Team forecast'!$R$3:$BH$26,MATCH($B78,'Team forecast'!$B$3:$B$26,0),MATCH(BZ$1,'Team forecast'!$R$2:$BH$2,0))*($BX78-(BY78+CH78)*0.01)</f>
        <v>11908.424634532666</v>
      </c>
      <c r="CA78" s="5">
        <f>INDEX('Team forecast'!$R$3:$BH$26,MATCH($B78,'Team forecast'!$B$3:$B$26,0),MATCH(CA$1,'Team forecast'!$R$2:$BH$2,0))*($BX78-(BY78+BX78+CH78)*0.01)</f>
        <v>5616.1143447543582</v>
      </c>
      <c r="CB78" s="5">
        <f>INDEX('Team forecast'!$R$3:$BH$26,MATCH($B78,'Team forecast'!$B$3:$B$26,0),MATCH(CB$1,'Team forecast'!$R$2:$BH$2,0))*($BX78-(BY78+BX78*2+CH78)*0.01)</f>
        <v>2638.0751279283763</v>
      </c>
      <c r="CC78" s="5">
        <f>INDEX('Team forecast'!$R$3:$BH$26,MATCH($B78,'Team forecast'!$B$3:$B$26,0),MATCH(CC$1,'Team forecast'!$R$2:$BH$2,0))*($BX78-(BY78+BX78*3+CH78)*0.01)</f>
        <v>1232.4750753097792</v>
      </c>
      <c r="CD78" s="5">
        <f>+AK78+BD78*Cockpit!$C$3+BW78*Cockpit!$C$3^2+BZ78*Cockpit!$C$3^3+CA78*Cockpit!$C$3^4+CB78*Cockpit!$C$3^5+CC78*Cockpit!$C$3^6</f>
        <v>143575.9379387302</v>
      </c>
      <c r="CE78" s="5"/>
      <c r="CF78" s="5"/>
      <c r="CG78" s="5">
        <v>0</v>
      </c>
      <c r="CH78" s="5">
        <f t="shared" si="46"/>
        <v>5500000</v>
      </c>
      <c r="CI78" s="5">
        <f t="shared" si="47"/>
        <v>5500000</v>
      </c>
      <c r="CJ78" s="1">
        <f t="shared" si="48"/>
        <v>3.7854333044078384E-2</v>
      </c>
      <c r="CK78" s="5">
        <f>RANK(BY78,$BY$2:$BY$623)+COUNTIF($BY$2:$BY78,$BY78)-1</f>
        <v>46</v>
      </c>
      <c r="CL78" s="5">
        <f>RANK(CJ78,$CJ$2:$CJ$623)+COUNTIF($CJ$2:$CJ78,$CJ78)-1</f>
        <v>84</v>
      </c>
    </row>
    <row r="79" spans="1:90">
      <c r="A79" t="str">
        <f>Players!P80</f>
        <v>Ryan Gravenberch</v>
      </c>
      <c r="B79" t="str">
        <f>Players!G80</f>
        <v>Netherlands</v>
      </c>
      <c r="C79" t="str">
        <f>Players!AB80</f>
        <v>Midfield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3000000</v>
      </c>
      <c r="H79" s="16">
        <f>INDEX('Team forecast'!$B$2:$AO$26,MATCH('Master data'!$B79,'Team forecast'!$B$2:$B$26,0),MATCH('Master data'!H$1,'Team forecast'!$B$2:$AO$2,0))</f>
        <v>1.5712166996139025</v>
      </c>
      <c r="I79" s="16">
        <f>INDEX('Team forecast'!$B$2:$AO$26,MATCH('Master data'!$B79,'Team forecast'!$B$2:$B$26,0),MATCH('Master data'!I$1,'Team forecast'!$B$2:$AO$2,0))</f>
        <v>0.76028648339757388</v>
      </c>
      <c r="J79" s="16">
        <f>INDEX('Team forecast'!$B$2:$AO$26,MATCH('Master data'!$B79,'Team forecast'!$B$2:$B$26,0),MATCH('Master data'!J$1,'Team forecast'!$B$2:$AO$2,0))</f>
        <v>0.46753246753246752</v>
      </c>
      <c r="K79" s="16">
        <f>INDEX('Team forecast'!$B$2:$AO$26,MATCH('Master data'!$B79,'Team forecast'!$B$2:$B$26,0),MATCH('Master data'!K$1,'Team forecast'!$B$2:$AO$2,0))</f>
        <v>4.4640175390899657</v>
      </c>
      <c r="L79" s="16">
        <f>INDEX('Team forecast'!$B$2:$AO$26,MATCH('Master data'!$B79,'Team forecast'!$B$2:$B$26,0),MATCH('Master data'!L$1,'Team forecast'!$B$2:$AO$2,0))</f>
        <v>2.4958899707496114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0</v>
      </c>
      <c r="R79" s="2">
        <f>Players!BR80</f>
        <v>0.06</v>
      </c>
      <c r="S79" s="2">
        <f>H79</f>
        <v>1.5712166996139025</v>
      </c>
      <c r="T79" s="2">
        <f>I79</f>
        <v>0.76028648339757388</v>
      </c>
      <c r="U79" s="16">
        <f>INDEX('Team forecast'!$B$2:$AO$26,MATCH('Master data'!$B79,'Team forecast'!$B$2:$B$26,0),MATCH('Master data'!U$1,'Team forecast'!$B$2:$AO$2,0))</f>
        <v>0.58441558441558439</v>
      </c>
      <c r="V79" s="16">
        <f>INDEX('Team forecast'!$B$2:$AO$26,MATCH('Master data'!$B79,'Team forecast'!$B$2:$B$26,0),MATCH('Master data'!V$1,'Team forecast'!$B$2:$AO$2,0))</f>
        <v>0.25974025974025972</v>
      </c>
      <c r="W79" s="16">
        <f>INDEX('Team forecast'!$B$2:$AO$26,MATCH('Master data'!$B79,'Team forecast'!$B$2:$B$26,0),MATCH('Master data'!W$1,'Team forecast'!$B$2:$AO$2,0))</f>
        <v>0.15584415584415581</v>
      </c>
      <c r="X79" s="5">
        <f>IF(M79&gt;95,7000*2,IF(M79&gt;0,7000,-5000))</f>
        <v>-5000</v>
      </c>
      <c r="Y79" s="5">
        <f>IF($X79&gt;0,U79*25000,0)</f>
        <v>0</v>
      </c>
      <c r="Z79" s="5">
        <f>IF($X79&gt;0,V79*5000,0)</f>
        <v>0</v>
      </c>
      <c r="AA79" s="5">
        <f>IF($X79&gt;0,W79*(-15000),0)</f>
        <v>0</v>
      </c>
      <c r="AB79" s="5">
        <f>IF($C79="Defense",$N79*150000,IF($C79="Midfield",$N79*125000,IF($C79="Striker",$N79*100000,0)))*$H79</f>
        <v>0</v>
      </c>
      <c r="AC79" s="5">
        <f>$O79*50000*H79</f>
        <v>0</v>
      </c>
      <c r="AD79" s="5">
        <f>$P79*K79*10000</f>
        <v>0</v>
      </c>
      <c r="AE79" s="5">
        <f>IF($C79="Goalkeeper",J79*75000,IF($C79="Defense",J79*50000,0))</f>
        <v>0</v>
      </c>
      <c r="AF79" s="5">
        <f>IF($C79="Goalkeeper",(L79-I79)*5000,0)</f>
        <v>0</v>
      </c>
      <c r="AG79" s="5">
        <f>IF(M79&gt;0,Q79*(-20000),0)</f>
        <v>0</v>
      </c>
      <c r="AH79" s="5">
        <f>IF(M79&gt;0,R79*(-50000),0)</f>
        <v>0</v>
      </c>
      <c r="AI79" s="5">
        <f>IF(M79&gt;0,S79*10000,0)</f>
        <v>0</v>
      </c>
      <c r="AJ79" s="5">
        <f>IF(M79&gt;0,T79*(-8000),0)</f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1.8476112368050062</v>
      </c>
      <c r="AM79" s="16">
        <f>INDEX('Team forecast'!$B$2:$AO$26,MATCH('Master data'!$B79,'Team forecast'!$B$2:$B$26,0),MATCH('Master data'!AM$1,'Team forecast'!$B$2:$AO$2,0))</f>
        <v>0.7977891123063281</v>
      </c>
      <c r="AN79" s="16">
        <f>INDEX('Team forecast'!$B$2:$AO$26,MATCH('Master data'!$B79,'Team forecast'!$B$2:$B$26,0),MATCH('Master data'!AN$1,'Team forecast'!$B$2:$AO$2,0))</f>
        <v>0.45032347896962183</v>
      </c>
      <c r="AO79" s="16">
        <f>INDEX('Team forecast'!$B$2:$AO$26,MATCH('Master data'!$B79,'Team forecast'!$B$2:$B$26,0),MATCH('Master data'!AO$1,'Team forecast'!$B$2:$AO$2,0))</f>
        <v>5.2492879998945963</v>
      </c>
      <c r="AP79" s="16">
        <f>INDEX('Team forecast'!$B$2:$AO$26,MATCH('Master data'!$B79,'Team forecast'!$B$2:$B$26,0),MATCH('Master data'!AP$1,'Team forecast'!$B$2:$AO$2,0))</f>
        <v>2.6190046616116831</v>
      </c>
      <c r="AQ79" s="5">
        <f>X79</f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>IF($C79="Defense",$N79*150000,IF($C79="Midfield",$N79*125000,IF($C79="Striker",$N79*100000,0)))*$AL79</f>
        <v>0</v>
      </c>
      <c r="AV79" s="5">
        <f>$O79*50000*AL79</f>
        <v>0</v>
      </c>
      <c r="AW79" s="5">
        <f>$P79*AO79*10000</f>
        <v>0</v>
      </c>
      <c r="AX79" s="5">
        <f>IF($C79="Goalkeeper",AN79*75000,IF($C79="Defense",AN79*50000,0))</f>
        <v>0</v>
      </c>
      <c r="AY79" s="5">
        <f>IF($C79="Goalkeeper",(AP79-AM79)*5000,0)</f>
        <v>0</v>
      </c>
      <c r="AZ79" s="5">
        <f>$AG79</f>
        <v>0</v>
      </c>
      <c r="BA79" s="5">
        <f>$AH79</f>
        <v>0</v>
      </c>
      <c r="BB79" s="5">
        <f>IF(X79&gt;0,AL79*10000,0)</f>
        <v>0</v>
      </c>
      <c r="BC79" s="5">
        <f>IF(X79&gt;0,AM79*(-8000),0)</f>
        <v>0</v>
      </c>
      <c r="BD79" s="5">
        <f>IFERROR(SUM(AQ79:BC79),0)</f>
        <v>-5000</v>
      </c>
      <c r="BE79" s="16">
        <f>INDEX('Team forecast'!$B$2:$AO$26,MATCH('Master data'!$B79,'Team forecast'!$B$2:$B$26,0),MATCH('Master data'!BE$1,'Team forecast'!$B$2:$AO$2,0))</f>
        <v>2.3683451623921505</v>
      </c>
      <c r="BF79" s="16">
        <f>INDEX('Team forecast'!$B$2:$AO$26,MATCH('Master data'!$B79,'Team forecast'!$B$2:$B$26,0),MATCH('Master data'!BF$1,'Team forecast'!$B$2:$AO$2,0))</f>
        <v>0.49102780480244929</v>
      </c>
      <c r="BG79" s="16">
        <f>INDEX('Team forecast'!$B$2:$AO$26,MATCH('Master data'!$B79,'Team forecast'!$B$2:$B$26,0),MATCH('Master data'!BG$1,'Team forecast'!$B$2:$AO$2,0))</f>
        <v>0.61199705730750009</v>
      </c>
      <c r="BH79" s="16">
        <f>INDEX('Team forecast'!$B$2:$AO$26,MATCH('Master data'!$B79,'Team forecast'!$B$2:$B$26,0),MATCH('Master data'!BH$1,'Team forecast'!$B$2:$AO$2,0))</f>
        <v>6.7287563492262965</v>
      </c>
      <c r="BI79" s="16">
        <f>INDEX('Team forecast'!$B$2:$AO$26,MATCH('Master data'!$B79,'Team forecast'!$B$2:$B$26,0),MATCH('Master data'!BI$1,'Team forecast'!$B$2:$AO$2,0))</f>
        <v>1.6119599652605658</v>
      </c>
      <c r="BJ79" s="5">
        <f>AQ79</f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>IF($C79="Defense",$N79*150000,IF($C79="Midfield",$N79*125000,IF($C79="Striker",$N79*100000,0)))*$BE79</f>
        <v>0</v>
      </c>
      <c r="BO79" s="5">
        <f>$O79*50000*$BE79</f>
        <v>0</v>
      </c>
      <c r="BP79" s="5">
        <f>$P79*BH79*10000</f>
        <v>0</v>
      </c>
      <c r="BQ79" s="5">
        <f>IF($C79="Goalkeeper",BG79*75000,IF($C79="Defense",BG79*50000,0))</f>
        <v>0</v>
      </c>
      <c r="BR79" s="5">
        <f>IF($C79="Goalkeeper",(BI79-BF79)*5000,0)</f>
        <v>0</v>
      </c>
      <c r="BS79" s="5">
        <f>$AG79</f>
        <v>0</v>
      </c>
      <c r="BT79" s="5">
        <f>$AH79</f>
        <v>0</v>
      </c>
      <c r="BU79" s="5">
        <f>IF(AQ79&gt;0,BE79*10000,0)</f>
        <v>0</v>
      </c>
      <c r="BV79" s="5">
        <f>IF(AQ79&gt;0,BF79*(-8000),0)</f>
        <v>0</v>
      </c>
      <c r="BW79" s="5">
        <f>IFERROR(SUM(BJ79:BV79),0)</f>
        <v>-5000</v>
      </c>
      <c r="BX79" s="5">
        <f>AVERAGE(AK79,BD79,BW79)</f>
        <v>-5000</v>
      </c>
      <c r="BY79" s="5">
        <f>BX79*3</f>
        <v>-15000</v>
      </c>
      <c r="BZ79" s="5">
        <f>INDEX('Team forecast'!$R$3:$BH$26,MATCH($B79,'Team forecast'!$B$3:$B$26,0),MATCH(BZ$1,'Team forecast'!$R$2:$BH$2,0))*($BX79-(BY79+CH79)*0.01)</f>
        <v>-33692.265409621345</v>
      </c>
      <c r="CA79" s="5">
        <f>INDEX('Team forecast'!$R$3:$BH$26,MATCH($B79,'Team forecast'!$B$3:$B$26,0),MATCH(CA$1,'Team forecast'!$R$2:$BH$2,0))*($BX79-(BY79+BX79+CH79)*0.01)</f>
        <v>-16814.097128376361</v>
      </c>
      <c r="CB79" s="5">
        <f>INDEX('Team forecast'!$R$3:$BH$26,MATCH($B79,'Team forecast'!$B$3:$B$26,0),MATCH(CB$1,'Team forecast'!$R$2:$BH$2,0))*($BX79-(BY79+BX79*2+CH79)*0.01)</f>
        <v>-8387.5767305286245</v>
      </c>
      <c r="CC79" s="5">
        <f>INDEX('Team forecast'!$R$3:$BH$26,MATCH($B79,'Team forecast'!$B$3:$B$26,0),MATCH(CC$1,'Team forecast'!$R$2:$BH$2,0))*($BX79-(BY79+BX79*3+CH79)*0.01)</f>
        <v>-4178.2351087420584</v>
      </c>
      <c r="CD79" s="5">
        <f>+AK79+BD79*Cockpit!$C$3+BW79*Cockpit!$C$3^2+BZ79*Cockpit!$C$3^3+CA79*Cockpit!$C$3^4+CB79*Cockpit!$C$3^5+CC79*Cockpit!$C$3^6</f>
        <v>-25331.102507619544</v>
      </c>
      <c r="CE79" s="5"/>
      <c r="CF79" s="5"/>
      <c r="CG79" s="5">
        <v>0</v>
      </c>
      <c r="CH79" s="5">
        <f t="shared" si="46"/>
        <v>3000000</v>
      </c>
      <c r="CI79" s="5">
        <f t="shared" si="47"/>
        <v>3000000</v>
      </c>
      <c r="CJ79" s="1">
        <f t="shared" si="48"/>
        <v>-5.0000000000000001E-3</v>
      </c>
      <c r="CK79" s="5">
        <f>RANK(BY79,$BY$2:$BY$623)+COUNTIF($BY$2:$BY79,$BY79)-1</f>
        <v>444</v>
      </c>
      <c r="CL79" s="5">
        <f>RANK(CJ79,$CJ$2:$CJ$623)+COUNTIF($CJ$2:$CJ79,$CJ79)-1</f>
        <v>484</v>
      </c>
    </row>
    <row r="80" spans="1:90">
      <c r="A80" t="str">
        <f>Players!P81</f>
        <v>Kevin  Volland</v>
      </c>
      <c r="B80" t="str">
        <f>Players!G81</f>
        <v>Germany</v>
      </c>
      <c r="C80" t="str">
        <f>Players!AB81</f>
        <v>Striker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4000000</v>
      </c>
      <c r="H80" s="16">
        <f>INDEX('Team forecast'!$B$2:$AO$26,MATCH('Master data'!$B80,'Team forecast'!$B$2:$B$26,0),MATCH('Master data'!H$1,'Team forecast'!$B$2:$AO$2,0))</f>
        <v>1.2386203137003762</v>
      </c>
      <c r="I80" s="16">
        <f>INDEX('Team forecast'!$B$2:$AO$26,MATCH('Master data'!$B80,'Team forecast'!$B$2:$B$26,0),MATCH('Master data'!I$1,'Team forecast'!$B$2:$AO$2,0))</f>
        <v>1.2386203137003762</v>
      </c>
      <c r="J80" s="16">
        <f>INDEX('Team forecast'!$B$2:$AO$26,MATCH('Master data'!$B80,'Team forecast'!$B$2:$B$26,0),MATCH('Master data'!J$1,'Team forecast'!$B$2:$AO$2,0))</f>
        <v>0.28978375293296982</v>
      </c>
      <c r="K80" s="16">
        <f>INDEX('Team forecast'!$B$2:$AO$26,MATCH('Master data'!$B80,'Team forecast'!$B$2:$B$26,0),MATCH('Master data'!K$1,'Team forecast'!$B$2:$AO$2,0))</f>
        <v>3.2490442399577706</v>
      </c>
      <c r="L80" s="16">
        <f>INDEX('Team forecast'!$B$2:$AO$26,MATCH('Master data'!$B80,'Team forecast'!$B$2:$B$26,0),MATCH('Master data'!L$1,'Team forecast'!$B$2:$AO$2,0))</f>
        <v>3.2998357975681776</v>
      </c>
      <c r="M80">
        <f>IF(Players!BC81=1,95,0)</f>
        <v>0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6.4724919093851127E-2</v>
      </c>
      <c r="R80" s="2">
        <f>Players!BR81</f>
        <v>0</v>
      </c>
      <c r="S80" s="2">
        <f>H80</f>
        <v>1.2386203137003762</v>
      </c>
      <c r="T80" s="2">
        <f>I80</f>
        <v>1.2386203137003762</v>
      </c>
      <c r="U80" s="16">
        <f>INDEX('Team forecast'!$B$2:$AO$26,MATCH('Master data'!$B80,'Team forecast'!$B$2:$B$26,0),MATCH('Master data'!U$1,'Team forecast'!$B$2:$AO$2,0))</f>
        <v>0.33635614179719708</v>
      </c>
      <c r="V80" s="16">
        <f>INDEX('Team forecast'!$B$2:$AO$26,MATCH('Master data'!$B80,'Team forecast'!$B$2:$B$26,0),MATCH('Master data'!V$1,'Team forecast'!$B$2:$AO$2,0))</f>
        <v>0.29431162407254741</v>
      </c>
      <c r="W80" s="16">
        <f>INDEX('Team forecast'!$B$2:$AO$26,MATCH('Master data'!$B80,'Team forecast'!$B$2:$B$26,0),MATCH('Master data'!W$1,'Team forecast'!$B$2:$AO$2,0))</f>
        <v>0.36933223413025562</v>
      </c>
      <c r="X80" s="5">
        <f>IF(M80&gt;95,7000*2,IF(M80&gt;0,7000,-5000))</f>
        <v>-5000</v>
      </c>
      <c r="Y80" s="5">
        <f>IF($X80&gt;0,U80*25000,0)</f>
        <v>0</v>
      </c>
      <c r="Z80" s="5">
        <f>IF($X80&gt;0,V80*5000,0)</f>
        <v>0</v>
      </c>
      <c r="AA80" s="5">
        <f>IF($X80&gt;0,W80*(-15000),0)</f>
        <v>0</v>
      </c>
      <c r="AB80" s="5">
        <f>IF($C80="Defense",$N80*150000,IF($C80="Midfield",$N80*125000,IF($C80="Striker",$N80*100000,0)))*$H80</f>
        <v>0</v>
      </c>
      <c r="AC80" s="5">
        <f>$O80*50000*H80</f>
        <v>0</v>
      </c>
      <c r="AD80" s="5">
        <f>$P80*K80*10000</f>
        <v>0</v>
      </c>
      <c r="AE80" s="5">
        <f>IF($C80="Goalkeeper",J80*75000,IF($C80="Defense",J80*50000,0))</f>
        <v>0</v>
      </c>
      <c r="AF80" s="5">
        <f>IF($C80="Goalkeeper",(L80-I80)*5000,0)</f>
        <v>0</v>
      </c>
      <c r="AG80" s="5">
        <f>IF(M80&gt;0,Q80*(-20000),0)</f>
        <v>0</v>
      </c>
      <c r="AH80" s="5">
        <f>IF(M80&gt;0,R80*(-50000),0)</f>
        <v>0</v>
      </c>
      <c r="AI80" s="5">
        <f>IF(M80&gt;0,S80*10000,0)</f>
        <v>0</v>
      </c>
      <c r="AJ80" s="5">
        <f>IF(M80&gt;0,T80*(-8000),0)</f>
        <v>0</v>
      </c>
      <c r="AK80" s="5">
        <f>IFERROR(SUM(X80:AJ80),-5000)*((Cockpit!$C$3)^0)</f>
        <v>-5000</v>
      </c>
      <c r="AL80" s="16">
        <f>INDEX('Team forecast'!$B$2:$AO$26,MATCH('Master data'!$B80,'Team forecast'!$B$2:$B$26,0),MATCH('Master data'!AL$1,'Team forecast'!$B$2:$AO$2,0))</f>
        <v>1.384389503157577</v>
      </c>
      <c r="AM80" s="16">
        <f>INDEX('Team forecast'!$B$2:$AO$26,MATCH('Master data'!$B80,'Team forecast'!$B$2:$B$26,0),MATCH('Master data'!AM$1,'Team forecast'!$B$2:$AO$2,0))</f>
        <v>1.1612459518433673</v>
      </c>
      <c r="AN80" s="16">
        <f>INDEX('Team forecast'!$B$2:$AO$26,MATCH('Master data'!$B80,'Team forecast'!$B$2:$B$26,0),MATCH('Master data'!AN$1,'Team forecast'!$B$2:$AO$2,0))</f>
        <v>0.31309583542398389</v>
      </c>
      <c r="AO80" s="16">
        <f>INDEX('Team forecast'!$B$2:$AO$26,MATCH('Master data'!$B80,'Team forecast'!$B$2:$B$26,0),MATCH('Master data'!AO$1,'Team forecast'!$B$2:$AO$2,0))</f>
        <v>3.6314136715992724</v>
      </c>
      <c r="AP80" s="16">
        <f>INDEX('Team forecast'!$B$2:$AO$26,MATCH('Master data'!$B80,'Team forecast'!$B$2:$B$26,0),MATCH('Master data'!AP$1,'Team forecast'!$B$2:$AO$2,0))</f>
        <v>3.0937010472773676</v>
      </c>
      <c r="AQ80" s="5">
        <f>X80</f>
        <v>-5000</v>
      </c>
      <c r="AR80" s="5">
        <f>INDEX('Team forecast'!$B$2:$AO$26,MATCH('Master data'!$B80,'Team forecast'!$B$2:$B$26,0),MATCH('Master data'!AR$1,'Team forecast'!$B$2:$AO$2,0))*IF(X80&gt;0,25000,0)</f>
        <v>0</v>
      </c>
      <c r="AS80" s="16">
        <f>INDEX('Team forecast'!$B$2:$AO$26,MATCH('Master data'!$B80,'Team forecast'!$B$2:$B$26,0),MATCH('Master data'!AS$1,'Team forecast'!$B$2:$AO$2,0))*IF(X80&gt;0,5000,0)</f>
        <v>0</v>
      </c>
      <c r="AT80" s="16">
        <f>INDEX('Team forecast'!$B$2:$AO$26,MATCH('Master data'!$B80,'Team forecast'!$B$2:$B$26,0),MATCH('Master data'!AT$1,'Team forecast'!$B$2:$AO$2,0))*IF(X80&gt;0,-15000,0)</f>
        <v>0</v>
      </c>
      <c r="AU80" s="5">
        <f>IF($C80="Defense",$N80*150000,IF($C80="Midfield",$N80*125000,IF($C80="Striker",$N80*100000,0)))*$AL80</f>
        <v>0</v>
      </c>
      <c r="AV80" s="5">
        <f>$O80*50000*AL80</f>
        <v>0</v>
      </c>
      <c r="AW80" s="5">
        <f>$P80*AO80*10000</f>
        <v>0</v>
      </c>
      <c r="AX80" s="5">
        <f>IF($C80="Goalkeeper",AN80*75000,IF($C80="Defense",AN80*50000,0))</f>
        <v>0</v>
      </c>
      <c r="AY80" s="5">
        <f>IF($C80="Goalkeeper",(AP80-AM80)*5000,0)</f>
        <v>0</v>
      </c>
      <c r="AZ80" s="5">
        <f>$AG80</f>
        <v>0</v>
      </c>
      <c r="BA80" s="5">
        <f>$AH80</f>
        <v>0</v>
      </c>
      <c r="BB80" s="5">
        <f>IF(X80&gt;0,AL80*10000,0)</f>
        <v>0</v>
      </c>
      <c r="BC80" s="5">
        <f>IF(X80&gt;0,AM80*(-8000),0)</f>
        <v>0</v>
      </c>
      <c r="BD80" s="5">
        <f>IFERROR(SUM(AQ80:BC80),0)</f>
        <v>-5000</v>
      </c>
      <c r="BE80" s="16">
        <f>INDEX('Team forecast'!$B$2:$AO$26,MATCH('Master data'!$B80,'Team forecast'!$B$2:$B$26,0),MATCH('Master data'!BE$1,'Team forecast'!$B$2:$AO$2,0))</f>
        <v>2.4374022591536644</v>
      </c>
      <c r="BF80" s="16">
        <f>INDEX('Team forecast'!$B$2:$AO$26,MATCH('Master data'!$B80,'Team forecast'!$B$2:$B$26,0),MATCH('Master data'!BF$1,'Team forecast'!$B$2:$AO$2,0))</f>
        <v>0.68661022841383224</v>
      </c>
      <c r="BG80" s="16">
        <f>INDEX('Team forecast'!$B$2:$AO$26,MATCH('Master data'!$B80,'Team forecast'!$B$2:$B$26,0),MATCH('Master data'!BG$1,'Team forecast'!$B$2:$AO$2,0))</f>
        <v>0.50327918232493496</v>
      </c>
      <c r="BH80" s="16">
        <f>INDEX('Team forecast'!$B$2:$AO$26,MATCH('Master data'!$B80,'Team forecast'!$B$2:$B$26,0),MATCH('Master data'!BH$1,'Team forecast'!$B$2:$AO$2,0))</f>
        <v>6.3935878355689084</v>
      </c>
      <c r="BI80" s="16">
        <f>INDEX('Team forecast'!$B$2:$AO$26,MATCH('Master data'!$B80,'Team forecast'!$B$2:$B$26,0),MATCH('Master data'!BI$1,'Team forecast'!$B$2:$AO$2,0))</f>
        <v>1.8292135092857056</v>
      </c>
      <c r="BJ80" s="5">
        <f>AQ80</f>
        <v>-5000</v>
      </c>
      <c r="BK80" s="5">
        <f>INDEX('Team forecast'!$R$3:$BH$26,MATCH($B80,'Team forecast'!$B$3:$B$26,0),MATCH(BK$1,'Team forecast'!$R$2:$BH$2,0))*IF($X80&gt;0,25000,0)</f>
        <v>0</v>
      </c>
      <c r="BL80" s="5">
        <f>INDEX('Team forecast'!$R$3:$BH$26,MATCH($B80,'Team forecast'!$B$3:$B$26,0),MATCH(BL$1,'Team forecast'!$R$2:$BH$2,0))*IF($X80&gt;0,5000,0)</f>
        <v>0</v>
      </c>
      <c r="BM80" s="5">
        <f>INDEX('Team forecast'!$R$3:$BH$26,MATCH($B80,'Team forecast'!$B$3:$B$26,0),MATCH(BM$1,'Team forecast'!$R$2:$BH$2,0))*IF($X80&gt;0,-15000,0)</f>
        <v>0</v>
      </c>
      <c r="BN80" s="5">
        <f>IF($C80="Defense",$N80*150000,IF($C80="Midfield",$N80*125000,IF($C80="Striker",$N80*100000,0)))*$BE80</f>
        <v>0</v>
      </c>
      <c r="BO80" s="5">
        <f>$O80*50000*$BE80</f>
        <v>0</v>
      </c>
      <c r="BP80" s="5">
        <f>$P80*BH80*10000</f>
        <v>0</v>
      </c>
      <c r="BQ80" s="5">
        <f>IF($C80="Goalkeeper",BG80*75000,IF($C80="Defense",BG80*50000,0))</f>
        <v>0</v>
      </c>
      <c r="BR80" s="5">
        <f>IF($C80="Goalkeeper",(BI80-BF80)*5000,0)</f>
        <v>0</v>
      </c>
      <c r="BS80" s="5">
        <f>$AG80</f>
        <v>0</v>
      </c>
      <c r="BT80" s="5">
        <f>$AH80</f>
        <v>0</v>
      </c>
      <c r="BU80" s="5">
        <f>IF(AQ80&gt;0,BE80*10000,0)</f>
        <v>0</v>
      </c>
      <c r="BV80" s="5">
        <f>IF(AQ80&gt;0,BF80*(-8000),0)</f>
        <v>0</v>
      </c>
      <c r="BW80" s="5">
        <f>IFERROR(SUM(BJ80:BV80),0)</f>
        <v>-5000</v>
      </c>
      <c r="BX80" s="5">
        <f>AVERAGE(AK80,BD80,BW80)</f>
        <v>-5000</v>
      </c>
      <c r="BY80" s="5">
        <f>BX80*3</f>
        <v>-15000</v>
      </c>
      <c r="BZ80" s="5">
        <f>INDEX('Team forecast'!$R$3:$BH$26,MATCH($B80,'Team forecast'!$B$3:$B$26,0),MATCH(BZ$1,'Team forecast'!$R$2:$BH$2,0))*($BX80-(BY80+CH80)*0.01)</f>
        <v>-39936.897701995862</v>
      </c>
      <c r="CA80" s="5">
        <f>INDEX('Team forecast'!$R$3:$BH$26,MATCH($B80,'Team forecast'!$B$3:$B$26,0),MATCH(CA$1,'Team forecast'!$R$2:$BH$2,0))*($BX80-(BY80+BX80+CH80)*0.01)</f>
        <v>-20273.233228477391</v>
      </c>
      <c r="CB80" s="5">
        <f>INDEX('Team forecast'!$R$3:$BH$26,MATCH($B80,'Team forecast'!$B$3:$B$26,0),MATCH(CB$1,'Team forecast'!$R$2:$BH$2,0))*($BX80-(BY80+BX80*2+CH80)*0.01)</f>
        <v>-10432.767652896871</v>
      </c>
      <c r="CC80" s="5">
        <f>INDEX('Team forecast'!$R$3:$BH$26,MATCH($B80,'Team forecast'!$B$3:$B$26,0),MATCH(CC$1,'Team forecast'!$R$2:$BH$2,0))*($BX80-(BY80+BX80*3+CH80)*0.01)</f>
        <v>-5606.5795140612081</v>
      </c>
      <c r="CD80" s="5">
        <f>+AK80+BD80*Cockpit!$C$3+BW80*Cockpit!$C$3^2+BZ80*Cockpit!$C$3^3+CA80*Cockpit!$C$3^4+CB80*Cockpit!$C$3^5+CC80*Cockpit!$C$3^6</f>
        <v>-28259.372115377046</v>
      </c>
      <c r="CE80" s="5"/>
      <c r="CF80" s="5"/>
      <c r="CG80" s="5">
        <v>0</v>
      </c>
      <c r="CH80" s="5">
        <f t="shared" si="46"/>
        <v>4000000</v>
      </c>
      <c r="CI80" s="5">
        <f t="shared" si="47"/>
        <v>4000000</v>
      </c>
      <c r="CJ80" s="1">
        <f t="shared" si="48"/>
        <v>-3.7499999999999999E-3</v>
      </c>
      <c r="CK80" s="5">
        <f>RANK(BY80,$BY$2:$BY$623)+COUNTIF($BY$2:$BY80,$BY80)-1</f>
        <v>445</v>
      </c>
      <c r="CL80" s="5">
        <f>RANK(CJ80,$CJ$2:$CJ$623)+COUNTIF($CJ$2:$CJ80,$CJ80)-1</f>
        <v>441</v>
      </c>
    </row>
    <row r="81" spans="1:90">
      <c r="A81" t="str">
        <f>Players!P82</f>
        <v>Jordan Pickford</v>
      </c>
      <c r="B81" t="str">
        <f>Players!G82</f>
        <v>England</v>
      </c>
      <c r="C81" t="str">
        <f>Players!AB82</f>
        <v>Goalkeeper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6000000</v>
      </c>
      <c r="H81" s="16">
        <f>INDEX('Team forecast'!$B$2:$AO$26,MATCH('Master data'!$B81,'Team forecast'!$B$2:$B$26,0),MATCH('Master data'!H$1,'Team forecast'!$B$2:$AO$2,0))</f>
        <v>1.5223243214152651</v>
      </c>
      <c r="I81" s="16">
        <f>INDEX('Team forecast'!$B$2:$AO$26,MATCH('Master data'!$B81,'Team forecast'!$B$2:$B$26,0),MATCH('Master data'!I$1,'Team forecast'!$B$2:$AO$2,0))</f>
        <v>0.74990395996081205</v>
      </c>
      <c r="J81" s="16">
        <f>INDEX('Team forecast'!$B$2:$AO$26,MATCH('Master data'!$B81,'Team forecast'!$B$2:$B$26,0),MATCH('Master data'!J$1,'Team forecast'!$B$2:$AO$2,0))</f>
        <v>0.47241192102180191</v>
      </c>
      <c r="K81" s="16">
        <f>INDEX('Team forecast'!$B$2:$AO$26,MATCH('Master data'!$B81,'Team forecast'!$B$2:$B$26,0),MATCH('Master data'!K$1,'Team forecast'!$B$2:$AO$2,0))</f>
        <v>3.7411838276290243</v>
      </c>
      <c r="L81" s="16">
        <f>INDEX('Team forecast'!$B$2:$AO$26,MATCH('Master data'!$B81,'Team forecast'!$B$2:$B$26,0),MATCH('Master data'!L$1,'Team forecast'!$B$2:$AO$2,0))</f>
        <v>2.461805929164282</v>
      </c>
      <c r="M81">
        <f>IF(Players!BC82=1,95,0)</f>
        <v>0</v>
      </c>
      <c r="N81" s="2">
        <f>Players!BN82</f>
        <v>0</v>
      </c>
      <c r="O81" s="2">
        <f>Players!BO82</f>
        <v>0</v>
      </c>
      <c r="P81" s="2">
        <f>Players!BP82</f>
        <v>0</v>
      </c>
      <c r="Q81" s="2">
        <f>Players!BQ82</f>
        <v>1.6405395552314982E-2</v>
      </c>
      <c r="R81" s="2">
        <f>Players!BR82</f>
        <v>0</v>
      </c>
      <c r="S81" s="2">
        <f>H81</f>
        <v>1.5223243214152651</v>
      </c>
      <c r="T81" s="2">
        <f>I81</f>
        <v>0.74990395996081205</v>
      </c>
      <c r="U81" s="16">
        <f>INDEX('Team forecast'!$B$2:$AO$26,MATCH('Master data'!$B81,'Team forecast'!$B$2:$B$26,0),MATCH('Master data'!U$1,'Team forecast'!$B$2:$AO$2,0))</f>
        <v>0.56576277966682864</v>
      </c>
      <c r="V81" s="16">
        <f>INDEX('Team forecast'!$B$2:$AO$26,MATCH('Master data'!$B81,'Team forecast'!$B$2:$B$26,0),MATCH('Master data'!V$1,'Team forecast'!$B$2:$AO$2,0))</f>
        <v>0.26245106723433442</v>
      </c>
      <c r="W81" s="16">
        <f>INDEX('Team forecast'!$B$2:$AO$26,MATCH('Master data'!$B81,'Team forecast'!$B$2:$B$26,0),MATCH('Master data'!W$1,'Team forecast'!$B$2:$AO$2,0))</f>
        <v>0.17178615309883699</v>
      </c>
      <c r="X81" s="5">
        <f>IF(M81&gt;95,7000*2,IF(M81&gt;0,7000,-5000))</f>
        <v>-5000</v>
      </c>
      <c r="Y81" s="5">
        <f>IF($X81&gt;0,U81*25000,0)</f>
        <v>0</v>
      </c>
      <c r="Z81" s="5">
        <f>IF($X81&gt;0,V81*5000,0)</f>
        <v>0</v>
      </c>
      <c r="AA81" s="5">
        <f>IF($X81&gt;0,W81*(-15000),0)</f>
        <v>0</v>
      </c>
      <c r="AB81" s="5">
        <f>IF($C81="Defense",$N81*150000,IF($C81="Midfield",$N81*125000,IF($C81="Striker",$N81*100000,0)))*$H81</f>
        <v>0</v>
      </c>
      <c r="AC81" s="5">
        <f>$O81*50000*H81</f>
        <v>0</v>
      </c>
      <c r="AD81" s="5">
        <f>$P81*K81*10000</f>
        <v>0</v>
      </c>
      <c r="AE81" s="5">
        <f>IF($C81="Goalkeeper",J81*75000,IF($C81="Defense",J81*50000,0))</f>
        <v>35430.894076635144</v>
      </c>
      <c r="AF81" s="5">
        <f>IF($C81="Goalkeeper",(L81-I81)*5000,0)</f>
        <v>8559.5098460173504</v>
      </c>
      <c r="AG81" s="5">
        <f>IF(M81&gt;0,Q81*(-20000),0)</f>
        <v>0</v>
      </c>
      <c r="AH81" s="5">
        <f>IF(M81&gt;0,R81*(-50000),0)</f>
        <v>0</v>
      </c>
      <c r="AI81" s="5">
        <f>IF(M81&gt;0,S81*10000,0)</f>
        <v>0</v>
      </c>
      <c r="AJ81" s="5">
        <f>IF(M81&gt;0,T81*(-8000),0)</f>
        <v>0</v>
      </c>
      <c r="AK81" s="5">
        <f>IFERROR(SUM(X81:AJ81),-5000)*((Cockpit!$C$3)^0)</f>
        <v>38990.403922652491</v>
      </c>
      <c r="AL81" s="16">
        <f>INDEX('Team forecast'!$B$2:$AO$26,MATCH('Master data'!$B81,'Team forecast'!$B$2:$B$26,0),MATCH('Master data'!AL$1,'Team forecast'!$B$2:$AO$2,0))</f>
        <v>2.0067977929974719</v>
      </c>
      <c r="AM81" s="16">
        <f>INDEX('Team forecast'!$B$2:$AO$26,MATCH('Master data'!$B81,'Team forecast'!$B$2:$B$26,0),MATCH('Master data'!AM$1,'Team forecast'!$B$2:$AO$2,0))</f>
        <v>0.66520361079548807</v>
      </c>
      <c r="AN81" s="16">
        <f>INDEX('Team forecast'!$B$2:$AO$26,MATCH('Master data'!$B81,'Team forecast'!$B$2:$B$26,0),MATCH('Master data'!AN$1,'Team forecast'!$B$2:$AO$2,0))</f>
        <v>0.51416882672404407</v>
      </c>
      <c r="AO81" s="16">
        <f>INDEX('Team forecast'!$B$2:$AO$26,MATCH('Master data'!$B81,'Team forecast'!$B$2:$B$26,0),MATCH('Master data'!AO$1,'Team forecast'!$B$2:$AO$2,0))</f>
        <v>4.9318002365645421</v>
      </c>
      <c r="AP81" s="16">
        <f>INDEX('Team forecast'!$B$2:$AO$26,MATCH('Master data'!$B81,'Team forecast'!$B$2:$B$26,0),MATCH('Master data'!AP$1,'Team forecast'!$B$2:$AO$2,0))</f>
        <v>2.1837492273589256</v>
      </c>
      <c r="AQ81" s="5">
        <f>X81</f>
        <v>-5000</v>
      </c>
      <c r="AR81" s="5">
        <f>INDEX('Team forecast'!$B$2:$AO$26,MATCH('Master data'!$B81,'Team forecast'!$B$2:$B$26,0),MATCH('Master data'!AR$1,'Team forecast'!$B$2:$AO$2,0))*IF(X81&gt;0,25000,0)</f>
        <v>0</v>
      </c>
      <c r="AS81" s="16">
        <f>INDEX('Team forecast'!$B$2:$AO$26,MATCH('Master data'!$B81,'Team forecast'!$B$2:$B$26,0),MATCH('Master data'!AS$1,'Team forecast'!$B$2:$AO$2,0))*IF(X81&gt;0,5000,0)</f>
        <v>0</v>
      </c>
      <c r="AT81" s="16">
        <f>INDEX('Team forecast'!$B$2:$AO$26,MATCH('Master data'!$B81,'Team forecast'!$B$2:$B$26,0),MATCH('Master data'!AT$1,'Team forecast'!$B$2:$AO$2,0))*IF(X81&gt;0,-15000,0)</f>
        <v>0</v>
      </c>
      <c r="AU81" s="5">
        <f>IF($C81="Defense",$N81*150000,IF($C81="Midfield",$N81*125000,IF($C81="Striker",$N81*100000,0)))*$AL81</f>
        <v>0</v>
      </c>
      <c r="AV81" s="5">
        <f>$O81*50000*AL81</f>
        <v>0</v>
      </c>
      <c r="AW81" s="5">
        <f>$P81*AO81*10000</f>
        <v>0</v>
      </c>
      <c r="AX81" s="5">
        <f>IF($C81="Goalkeeper",AN81*75000,IF($C81="Defense",AN81*50000,0))</f>
        <v>38562.662004303304</v>
      </c>
      <c r="AY81" s="5">
        <f>IF($C81="Goalkeeper",(AP81-AM81)*5000,0)</f>
        <v>7592.7280828171888</v>
      </c>
      <c r="AZ81" s="5">
        <f>$AG81</f>
        <v>0</v>
      </c>
      <c r="BA81" s="5">
        <f>$AH81</f>
        <v>0</v>
      </c>
      <c r="BB81" s="5">
        <f>IF(X81&gt;0,AL81*10000,0)</f>
        <v>0</v>
      </c>
      <c r="BC81" s="5">
        <f>IF(X81&gt;0,AM81*(-8000),0)</f>
        <v>0</v>
      </c>
      <c r="BD81" s="5">
        <f>IFERROR(SUM(AQ81:BC81),0)</f>
        <v>41155.39008712049</v>
      </c>
      <c r="BE81" s="16">
        <f>INDEX('Team forecast'!$B$2:$AO$26,MATCH('Master data'!$B81,'Team forecast'!$B$2:$B$26,0),MATCH('Master data'!BE$1,'Team forecast'!$B$2:$AO$2,0))</f>
        <v>2.2346287595631029</v>
      </c>
      <c r="BF81" s="16">
        <f>INDEX('Team forecast'!$B$2:$AO$26,MATCH('Master data'!$B81,'Team forecast'!$B$2:$B$26,0),MATCH('Master data'!BF$1,'Team forecast'!$B$2:$AO$2,0))</f>
        <v>0.82586154259115363</v>
      </c>
      <c r="BG81" s="16">
        <f>INDEX('Team forecast'!$B$2:$AO$26,MATCH('Master data'!$B81,'Team forecast'!$B$2:$B$26,0),MATCH('Master data'!BG$1,'Team forecast'!$B$2:$AO$2,0))</f>
        <v>0.43785759694850601</v>
      </c>
      <c r="BH81" s="16">
        <f>INDEX('Team forecast'!$B$2:$AO$26,MATCH('Master data'!$B81,'Team forecast'!$B$2:$B$26,0),MATCH('Master data'!BH$1,'Team forecast'!$B$2:$AO$2,0))</f>
        <v>5.4917055836432862</v>
      </c>
      <c r="BI81" s="16">
        <f>INDEX('Team forecast'!$B$2:$AO$26,MATCH('Master data'!$B81,'Team forecast'!$B$2:$B$26,0),MATCH('Master data'!BI$1,'Team forecast'!$B$2:$AO$2,0))</f>
        <v>2.7111616297184336</v>
      </c>
      <c r="BJ81" s="5">
        <f>AQ81</f>
        <v>-5000</v>
      </c>
      <c r="BK81" s="5">
        <f>INDEX('Team forecast'!$R$3:$BH$26,MATCH($B81,'Team forecast'!$B$3:$B$26,0),MATCH(BK$1,'Team forecast'!$R$2:$BH$2,0))*IF($X81&gt;0,25000,0)</f>
        <v>0</v>
      </c>
      <c r="BL81" s="5">
        <f>INDEX('Team forecast'!$R$3:$BH$26,MATCH($B81,'Team forecast'!$B$3:$B$26,0),MATCH(BL$1,'Team forecast'!$R$2:$BH$2,0))*IF($X81&gt;0,5000,0)</f>
        <v>0</v>
      </c>
      <c r="BM81" s="5">
        <f>INDEX('Team forecast'!$R$3:$BH$26,MATCH($B81,'Team forecast'!$B$3:$B$26,0),MATCH(BM$1,'Team forecast'!$R$2:$BH$2,0))*IF($X81&gt;0,-15000,0)</f>
        <v>0</v>
      </c>
      <c r="BN81" s="5">
        <f>IF($C81="Defense",$N81*150000,IF($C81="Midfield",$N81*125000,IF($C81="Striker",$N81*100000,0)))*$BE81</f>
        <v>0</v>
      </c>
      <c r="BO81" s="5">
        <f>$O81*50000*$BE81</f>
        <v>0</v>
      </c>
      <c r="BP81" s="5">
        <f>$P81*BH81*10000</f>
        <v>0</v>
      </c>
      <c r="BQ81" s="5">
        <f>IF($C81="Goalkeeper",BG81*75000,IF($C81="Defense",BG81*50000,0))</f>
        <v>32839.319771137954</v>
      </c>
      <c r="BR81" s="5">
        <f>IF($C81="Goalkeeper",(BI81-BF81)*5000,0)</f>
        <v>9426.5004356364007</v>
      </c>
      <c r="BS81" s="5">
        <f>$AG81</f>
        <v>0</v>
      </c>
      <c r="BT81" s="5">
        <f>$AH81</f>
        <v>0</v>
      </c>
      <c r="BU81" s="5">
        <f>IF(AQ81&gt;0,BE81*10000,0)</f>
        <v>0</v>
      </c>
      <c r="BV81" s="5">
        <f>IF(AQ81&gt;0,BF81*(-8000),0)</f>
        <v>0</v>
      </c>
      <c r="BW81" s="5">
        <f>IFERROR(SUM(BJ81:BV81),0)</f>
        <v>37265.820206774355</v>
      </c>
      <c r="BX81" s="5">
        <f>AVERAGE(AK81,BD81,BW81)</f>
        <v>39137.204738849112</v>
      </c>
      <c r="BY81" s="5">
        <f>BX81*3</f>
        <v>117411.61421654734</v>
      </c>
      <c r="BZ81" s="5">
        <f>INDEX('Team forecast'!$R$3:$BH$26,MATCH($B81,'Team forecast'!$B$3:$B$26,0),MATCH(BZ$1,'Team forecast'!$R$2:$BH$2,0))*($BX81-(BY81+CH81)*0.01)</f>
        <v>-21103.845082680178</v>
      </c>
      <c r="CA81" s="5">
        <f>INDEX('Team forecast'!$R$3:$BH$26,MATCH($B81,'Team forecast'!$B$3:$B$26,0),MATCH(CA$1,'Team forecast'!$R$2:$BH$2,0))*($BX81-(BY81+BX81+CH81)*0.01)</f>
        <v>-11085.566788251295</v>
      </c>
      <c r="CB81" s="5">
        <f>INDEX('Team forecast'!$R$3:$BH$26,MATCH($B81,'Team forecast'!$B$3:$B$26,0),MATCH(CB$1,'Team forecast'!$R$2:$BH$2,0))*($BX81-(BY81+BX81*2+CH81)*0.01)</f>
        <v>-5971.0676140409105</v>
      </c>
      <c r="CC81" s="5">
        <f>INDEX('Team forecast'!$R$3:$BH$26,MATCH($B81,'Team forecast'!$B$3:$B$26,0),MATCH(CC$1,'Team forecast'!$R$2:$BH$2,0))*($BX81-(BY81+BX81*3+CH81)*0.01)</f>
        <v>-3471.6120794364547</v>
      </c>
      <c r="CD81" s="5">
        <f>+AK81+BD81*Cockpit!$C$3+BW81*Cockpit!$C$3^2+BZ81*Cockpit!$C$3^3+CA81*Cockpit!$C$3^4+CB81*Cockpit!$C$3^5+CC81*Cockpit!$C$3^6</f>
        <v>73456.093236694302</v>
      </c>
      <c r="CE81" s="5"/>
      <c r="CF81" s="5"/>
      <c r="CG81" s="5">
        <v>0</v>
      </c>
      <c r="CH81" s="5">
        <f t="shared" si="46"/>
        <v>6000000</v>
      </c>
      <c r="CI81" s="5">
        <f t="shared" si="47"/>
        <v>6000000</v>
      </c>
      <c r="CJ81" s="1">
        <f t="shared" si="48"/>
        <v>1.9568602369424558E-2</v>
      </c>
      <c r="CK81" s="5">
        <f>RANK(BY81,$BY$2:$BY$623)+COUNTIF($BY$2:$BY81,$BY81)-1</f>
        <v>138</v>
      </c>
      <c r="CL81" s="5">
        <f>RANK(CJ81,$CJ$2:$CJ$623)+COUNTIF($CJ$2:$CJ81,$CJ81)-1</f>
        <v>265</v>
      </c>
    </row>
    <row r="82" spans="1:90">
      <c r="A82" t="str">
        <f>Players!P83</f>
        <v>Kyle Walker</v>
      </c>
      <c r="B82" t="str">
        <f>Players!G83</f>
        <v>England</v>
      </c>
      <c r="C82" t="str">
        <f>Players!AB83</f>
        <v>Defense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4500000</v>
      </c>
      <c r="H82" s="16">
        <f>INDEX('Team forecast'!$B$2:$AO$26,MATCH('Master data'!$B82,'Team forecast'!$B$2:$B$26,0),MATCH('Master data'!H$1,'Team forecast'!$B$2:$AO$2,0))</f>
        <v>1.5223243214152651</v>
      </c>
      <c r="I82" s="16">
        <f>INDEX('Team forecast'!$B$2:$AO$26,MATCH('Master data'!$B82,'Team forecast'!$B$2:$B$26,0),MATCH('Master data'!I$1,'Team forecast'!$B$2:$AO$2,0))</f>
        <v>0.74990395996081205</v>
      </c>
      <c r="J82" s="16">
        <f>INDEX('Team forecast'!$B$2:$AO$26,MATCH('Master data'!$B82,'Team forecast'!$B$2:$B$26,0),MATCH('Master data'!J$1,'Team forecast'!$B$2:$AO$2,0))</f>
        <v>0.47241192102180191</v>
      </c>
      <c r="K82" s="16">
        <f>INDEX('Team forecast'!$B$2:$AO$26,MATCH('Master data'!$B82,'Team forecast'!$B$2:$B$26,0),MATCH('Master data'!K$1,'Team forecast'!$B$2:$AO$2,0))</f>
        <v>3.7411838276290243</v>
      </c>
      <c r="L82" s="16">
        <f>INDEX('Team forecast'!$B$2:$AO$26,MATCH('Master data'!$B82,'Team forecast'!$B$2:$B$26,0),MATCH('Master data'!L$1,'Team forecast'!$B$2:$AO$2,0))</f>
        <v>2.461805929164282</v>
      </c>
      <c r="M82">
        <f>IF(Players!BC83=1,95,0)</f>
        <v>95</v>
      </c>
      <c r="N82" s="2">
        <f>Players!BN83</f>
        <v>2.9962741935956386E-2</v>
      </c>
      <c r="O82" s="2">
        <f>Players!BO83</f>
        <v>3.2489812480571922E-2</v>
      </c>
      <c r="P82" s="2">
        <f>Players!BP83</f>
        <v>2.2694266245820924E-2</v>
      </c>
      <c r="Q82" s="2">
        <f>Players!BQ83</f>
        <v>2.3124357656731757E-2</v>
      </c>
      <c r="R82" s="2">
        <f>Players!BR83</f>
        <v>0</v>
      </c>
      <c r="S82" s="2">
        <f>H82</f>
        <v>1.5223243214152651</v>
      </c>
      <c r="T82" s="2">
        <f>I82</f>
        <v>0.74990395996081205</v>
      </c>
      <c r="U82" s="16">
        <f>INDEX('Team forecast'!$B$2:$AO$26,MATCH('Master data'!$B82,'Team forecast'!$B$2:$B$26,0),MATCH('Master data'!U$1,'Team forecast'!$B$2:$AO$2,0))</f>
        <v>0.56576277966682864</v>
      </c>
      <c r="V82" s="16">
        <f>INDEX('Team forecast'!$B$2:$AO$26,MATCH('Master data'!$B82,'Team forecast'!$B$2:$B$26,0),MATCH('Master data'!V$1,'Team forecast'!$B$2:$AO$2,0))</f>
        <v>0.26245106723433442</v>
      </c>
      <c r="W82" s="16">
        <f>INDEX('Team forecast'!$B$2:$AO$26,MATCH('Master data'!$B82,'Team forecast'!$B$2:$B$26,0),MATCH('Master data'!W$1,'Team forecast'!$B$2:$AO$2,0))</f>
        <v>0.17178615309883699</v>
      </c>
      <c r="X82" s="5">
        <f>IF(M82&gt;95,7000*2,IF(M82&gt;0,7000,-5000))</f>
        <v>7000</v>
      </c>
      <c r="Y82" s="5">
        <f>IF($X82&gt;0,U82*25000,0)</f>
        <v>14144.069491670716</v>
      </c>
      <c r="Z82" s="5">
        <f>IF($X82&gt;0,V82*5000,0)</f>
        <v>1312.2553361716721</v>
      </c>
      <c r="AA82" s="5">
        <f>IF($X82&gt;0,W82*(-15000),0)</f>
        <v>-2576.7922964825548</v>
      </c>
      <c r="AB82" s="5">
        <f>IF($C82="Defense",$N82*150000,IF($C82="Midfield",$N82*125000,IF($C82="Striker",$N82*100000,0)))*$H82</f>
        <v>6841.9516178093272</v>
      </c>
      <c r="AC82" s="5">
        <f>$O82*50000*H82</f>
        <v>2473.0015868697933</v>
      </c>
      <c r="AD82" s="5">
        <f>$P82*K82*10000</f>
        <v>849.03421858772492</v>
      </c>
      <c r="AE82" s="5">
        <f>IF($C82="Goalkeeper",J82*75000,IF($C82="Defense",J82*50000,0))</f>
        <v>23620.596051090095</v>
      </c>
      <c r="AF82" s="5">
        <f>IF($C82="Goalkeeper",(L82-I82)*5000,0)</f>
        <v>0</v>
      </c>
      <c r="AG82" s="5">
        <f>IF(M82&gt;0,Q82*(-20000),0)</f>
        <v>-462.48715313463515</v>
      </c>
      <c r="AH82" s="5">
        <f>IF(M82&gt;0,R82*(-50000),0)</f>
        <v>0</v>
      </c>
      <c r="AI82" s="5">
        <f>IF(M82&gt;0,S82*10000,0)</f>
        <v>15223.243214152651</v>
      </c>
      <c r="AJ82" s="5">
        <f>IF(M82&gt;0,T82*(-8000),0)</f>
        <v>-5999.2316796864961</v>
      </c>
      <c r="AK82" s="5">
        <f>IFERROR(SUM(X82:AJ82),-5000)*((Cockpit!$C$3)^0)</f>
        <v>62425.640387048283</v>
      </c>
      <c r="AL82" s="16">
        <f>INDEX('Team forecast'!$B$2:$AO$26,MATCH('Master data'!$B82,'Team forecast'!$B$2:$B$26,0),MATCH('Master data'!AL$1,'Team forecast'!$B$2:$AO$2,0))</f>
        <v>2.0067977929974719</v>
      </c>
      <c r="AM82" s="16">
        <f>INDEX('Team forecast'!$B$2:$AO$26,MATCH('Master data'!$B82,'Team forecast'!$B$2:$B$26,0),MATCH('Master data'!AM$1,'Team forecast'!$B$2:$AO$2,0))</f>
        <v>0.66520361079548807</v>
      </c>
      <c r="AN82" s="16">
        <f>INDEX('Team forecast'!$B$2:$AO$26,MATCH('Master data'!$B82,'Team forecast'!$B$2:$B$26,0),MATCH('Master data'!AN$1,'Team forecast'!$B$2:$AO$2,0))</f>
        <v>0.51416882672404407</v>
      </c>
      <c r="AO82" s="16">
        <f>INDEX('Team forecast'!$B$2:$AO$26,MATCH('Master data'!$B82,'Team forecast'!$B$2:$B$26,0),MATCH('Master data'!AO$1,'Team forecast'!$B$2:$AO$2,0))</f>
        <v>4.9318002365645421</v>
      </c>
      <c r="AP82" s="16">
        <f>INDEX('Team forecast'!$B$2:$AO$26,MATCH('Master data'!$B82,'Team forecast'!$B$2:$B$26,0),MATCH('Master data'!AP$1,'Team forecast'!$B$2:$AO$2,0))</f>
        <v>2.1837492273589256</v>
      </c>
      <c r="AQ82" s="5">
        <f>X82</f>
        <v>7000</v>
      </c>
      <c r="AR82" s="5">
        <f>INDEX('Team forecast'!$B$2:$AO$26,MATCH('Master data'!$B82,'Team forecast'!$B$2:$B$26,0),MATCH('Master data'!AR$1,'Team forecast'!$B$2:$AO$2,0))*IF(X82&gt;0,25000,0)</f>
        <v>17296.488104871336</v>
      </c>
      <c r="AS82" s="16">
        <f>INDEX('Team forecast'!$B$2:$AO$26,MATCH('Master data'!$B82,'Team forecast'!$B$2:$B$26,0),MATCH('Master data'!AS$1,'Team forecast'!$B$2:$AO$2,0))*IF(X82&gt;0,5000,0)</f>
        <v>1045.4766143388899</v>
      </c>
      <c r="AT82" s="16">
        <f>INDEX('Team forecast'!$B$2:$AO$26,MATCH('Master data'!$B82,'Team forecast'!$B$2:$B$26,0),MATCH('Master data'!AT$1,'Team forecast'!$B$2:$AO$2,0))*IF(X82&gt;0,-15000,0)</f>
        <v>-1485.6772940605274</v>
      </c>
      <c r="AU82" s="5">
        <f>IF($C82="Defense",$N82*150000,IF($C82="Midfield",$N82*125000,IF($C82="Striker",$N82*100000,0)))*$AL82</f>
        <v>9019.3746583845113</v>
      </c>
      <c r="AV82" s="5">
        <f>$O82*50000*AL82</f>
        <v>3260.0241990456725</v>
      </c>
      <c r="AW82" s="5">
        <f>$P82*AO82*10000</f>
        <v>1119.2358763979832</v>
      </c>
      <c r="AX82" s="5">
        <f>IF($C82="Goalkeeper",AN82*75000,IF($C82="Defense",AN82*50000,0))</f>
        <v>25708.441336202202</v>
      </c>
      <c r="AY82" s="5">
        <f>IF($C82="Goalkeeper",(AP82-AM82)*5000,0)</f>
        <v>0</v>
      </c>
      <c r="AZ82" s="5">
        <f>$AG82</f>
        <v>-462.48715313463515</v>
      </c>
      <c r="BA82" s="5">
        <f>$AH82</f>
        <v>0</v>
      </c>
      <c r="BB82" s="5">
        <f>IF(X82&gt;0,AL82*10000,0)</f>
        <v>20067.977929974717</v>
      </c>
      <c r="BC82" s="5">
        <f>IF(X82&gt;0,AM82*(-8000),0)</f>
        <v>-5321.6288863639047</v>
      </c>
      <c r="BD82" s="5">
        <f>IFERROR(SUM(AQ82:BC82),0)</f>
        <v>77247.225385656246</v>
      </c>
      <c r="BE82" s="16">
        <f>INDEX('Team forecast'!$B$2:$AO$26,MATCH('Master data'!$B82,'Team forecast'!$B$2:$B$26,0),MATCH('Master data'!BE$1,'Team forecast'!$B$2:$AO$2,0))</f>
        <v>2.2346287595631029</v>
      </c>
      <c r="BF82" s="16">
        <f>INDEX('Team forecast'!$B$2:$AO$26,MATCH('Master data'!$B82,'Team forecast'!$B$2:$B$26,0),MATCH('Master data'!BF$1,'Team forecast'!$B$2:$AO$2,0))</f>
        <v>0.82586154259115363</v>
      </c>
      <c r="BG82" s="16">
        <f>INDEX('Team forecast'!$B$2:$AO$26,MATCH('Master data'!$B82,'Team forecast'!$B$2:$B$26,0),MATCH('Master data'!BG$1,'Team forecast'!$B$2:$AO$2,0))</f>
        <v>0.43785759694850601</v>
      </c>
      <c r="BH82" s="16">
        <f>INDEX('Team forecast'!$B$2:$AO$26,MATCH('Master data'!$B82,'Team forecast'!$B$2:$B$26,0),MATCH('Master data'!BH$1,'Team forecast'!$B$2:$AO$2,0))</f>
        <v>5.4917055836432862</v>
      </c>
      <c r="BI82" s="16">
        <f>INDEX('Team forecast'!$B$2:$AO$26,MATCH('Master data'!$B82,'Team forecast'!$B$2:$B$26,0),MATCH('Master data'!BI$1,'Team forecast'!$B$2:$AO$2,0))</f>
        <v>2.7111616297184336</v>
      </c>
      <c r="BJ82" s="5">
        <f>AQ82</f>
        <v>7000</v>
      </c>
      <c r="BK82" s="5">
        <f>INDEX('Team forecast'!$R$3:$BH$26,MATCH($B82,'Team forecast'!$B$3:$B$26,0),MATCH(BK$1,'Team forecast'!$R$2:$BH$2,0))*IF($X82&gt;0,25000,0)</f>
        <v>16608.391608391608</v>
      </c>
      <c r="BL82" s="5">
        <f>INDEX('Team forecast'!$R$3:$BH$26,MATCH($B82,'Team forecast'!$B$3:$B$26,0),MATCH(BL$1,'Team forecast'!$R$2:$BH$2,0))*IF($X82&gt;0,5000,0)</f>
        <v>1013.9860139860141</v>
      </c>
      <c r="BM82" s="5">
        <f>INDEX('Team forecast'!$R$3:$BH$26,MATCH($B82,'Team forecast'!$B$3:$B$26,0),MATCH(BM$1,'Team forecast'!$R$2:$BH$2,0))*IF($X82&gt;0,-15000,0)</f>
        <v>-1993.0069930069933</v>
      </c>
      <c r="BN82" s="5">
        <f>IF($C82="Defense",$N82*150000,IF($C82="Midfield",$N82*125000,IF($C82="Striker",$N82*100000,0)))*$BE82</f>
        <v>10043.340726818338</v>
      </c>
      <c r="BO82" s="5">
        <f>$O82*50000*$BE82</f>
        <v>3630.1334680949126</v>
      </c>
      <c r="BP82" s="5">
        <f>$P82*BH82*10000</f>
        <v>1246.3022865886212</v>
      </c>
      <c r="BQ82" s="5">
        <f>IF($C82="Goalkeeper",BG82*75000,IF($C82="Defense",BG82*50000,0))</f>
        <v>21892.879847425302</v>
      </c>
      <c r="BR82" s="5">
        <f>IF($C82="Goalkeeper",(BI82-BF82)*5000,0)</f>
        <v>0</v>
      </c>
      <c r="BS82" s="5">
        <f>$AG82</f>
        <v>-462.48715313463515</v>
      </c>
      <c r="BT82" s="5">
        <f>$AH82</f>
        <v>0</v>
      </c>
      <c r="BU82" s="5">
        <f>IF(AQ82&gt;0,BE82*10000,0)</f>
        <v>22346.287595631031</v>
      </c>
      <c r="BV82" s="5">
        <f>IF(AQ82&gt;0,BF82*(-8000),0)</f>
        <v>-6606.8923407292286</v>
      </c>
      <c r="BW82" s="5">
        <f>IFERROR(SUM(BJ82:BV82),0)</f>
        <v>74718.935060064963</v>
      </c>
      <c r="BX82" s="5">
        <f>AVERAGE(AK82,BD82,BW82)</f>
        <v>71463.933610923166</v>
      </c>
      <c r="BY82" s="5">
        <f>BX82*3</f>
        <v>214391.80083276948</v>
      </c>
      <c r="BZ82" s="5">
        <f>INDEX('Team forecast'!$R$3:$BH$26,MATCH($B82,'Team forecast'!$B$3:$B$26,0),MATCH(BZ$1,'Team forecast'!$R$2:$BH$2,0))*($BX82-(BY82+CH82)*0.01)</f>
        <v>23290.280216323801</v>
      </c>
      <c r="CA82" s="5">
        <f>INDEX('Team forecast'!$R$3:$BH$26,MATCH($B82,'Team forecast'!$B$3:$B$26,0),MATCH(CA$1,'Team forecast'!$R$2:$BH$2,0))*($BX82-(BY82+BX82+CH82)*0.01)</f>
        <v>11667.365259542919</v>
      </c>
      <c r="CB82" s="5">
        <f>INDEX('Team forecast'!$R$3:$BH$26,MATCH($B82,'Team forecast'!$B$3:$B$26,0),MATCH(CB$1,'Team forecast'!$R$2:$BH$2,0))*($BX82-(BY82+BX82*2+CH82)*0.01)</f>
        <v>5989.6670200794488</v>
      </c>
      <c r="CC82" s="5">
        <f>INDEX('Team forecast'!$R$3:$BH$26,MATCH($B82,'Team forecast'!$B$3:$B$26,0),MATCH(CC$1,'Team forecast'!$R$2:$BH$2,0))*($BX82-(BY82+BX82*3+CH82)*0.01)</f>
        <v>3316.8203403389457</v>
      </c>
      <c r="CD82" s="5">
        <f>+AK82+BD82*Cockpit!$C$3+BW82*Cockpit!$C$3^2+BZ82*Cockpit!$C$3^3+CA82*Cockpit!$C$3^4+CB82*Cockpit!$C$3^5+CC82*Cockpit!$C$3^6</f>
        <v>157417.64608896794</v>
      </c>
      <c r="CE82" s="5"/>
      <c r="CF82" s="5"/>
      <c r="CG82" s="5">
        <v>0</v>
      </c>
      <c r="CH82" s="5">
        <f t="shared" si="46"/>
        <v>4500000</v>
      </c>
      <c r="CI82" s="5">
        <f t="shared" si="47"/>
        <v>4500000</v>
      </c>
      <c r="CJ82" s="1">
        <f t="shared" si="48"/>
        <v>4.7642622407282106E-2</v>
      </c>
      <c r="CK82" s="5">
        <f>RANK(BY82,$BY$2:$BY$623)+COUNTIF($BY$2:$BY82,$BY82)-1</f>
        <v>43</v>
      </c>
      <c r="CL82" s="5">
        <f>RANK(CJ82,$CJ$2:$CJ$623)+COUNTIF($CJ$2:$CJ82,$CJ82)-1</f>
        <v>42</v>
      </c>
    </row>
    <row r="83" spans="1:90">
      <c r="A83" t="str">
        <f>Players!P84</f>
        <v>Jordan Henderson</v>
      </c>
      <c r="B83" t="str">
        <f>Players!G84</f>
        <v>England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3500000</v>
      </c>
      <c r="H83" s="16">
        <f>INDEX('Team forecast'!$B$2:$AO$26,MATCH('Master data'!$B83,'Team forecast'!$B$2:$B$26,0),MATCH('Master data'!H$1,'Team forecast'!$B$2:$AO$2,0))</f>
        <v>1.5223243214152651</v>
      </c>
      <c r="I83" s="16">
        <f>INDEX('Team forecast'!$B$2:$AO$26,MATCH('Master data'!$B83,'Team forecast'!$B$2:$B$26,0),MATCH('Master data'!I$1,'Team forecast'!$B$2:$AO$2,0))</f>
        <v>0.74990395996081205</v>
      </c>
      <c r="J83" s="16">
        <f>INDEX('Team forecast'!$B$2:$AO$26,MATCH('Master data'!$B83,'Team forecast'!$B$2:$B$26,0),MATCH('Master data'!J$1,'Team forecast'!$B$2:$AO$2,0))</f>
        <v>0.47241192102180191</v>
      </c>
      <c r="K83" s="16">
        <f>INDEX('Team forecast'!$B$2:$AO$26,MATCH('Master data'!$B83,'Team forecast'!$B$2:$B$26,0),MATCH('Master data'!K$1,'Team forecast'!$B$2:$AO$2,0))</f>
        <v>3.7411838276290243</v>
      </c>
      <c r="L83" s="16">
        <f>INDEX('Team forecast'!$B$2:$AO$26,MATCH('Master data'!$B83,'Team forecast'!$B$2:$B$26,0),MATCH('Master data'!L$1,'Team forecast'!$B$2:$AO$2,0))</f>
        <v>2.461805929164282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0.3</v>
      </c>
      <c r="R83" s="2">
        <f>Players!BR84</f>
        <v>0</v>
      </c>
      <c r="S83" s="2">
        <f>H83</f>
        <v>1.5223243214152651</v>
      </c>
      <c r="T83" s="2">
        <f>I83</f>
        <v>0.74990395996081205</v>
      </c>
      <c r="U83" s="16">
        <f>INDEX('Team forecast'!$B$2:$AO$26,MATCH('Master data'!$B83,'Team forecast'!$B$2:$B$26,0),MATCH('Master data'!U$1,'Team forecast'!$B$2:$AO$2,0))</f>
        <v>0.56576277966682864</v>
      </c>
      <c r="V83" s="16">
        <f>INDEX('Team forecast'!$B$2:$AO$26,MATCH('Master data'!$B83,'Team forecast'!$B$2:$B$26,0),MATCH('Master data'!V$1,'Team forecast'!$B$2:$AO$2,0))</f>
        <v>0.26245106723433442</v>
      </c>
      <c r="W83" s="16">
        <f>INDEX('Team forecast'!$B$2:$AO$26,MATCH('Master data'!$B83,'Team forecast'!$B$2:$B$26,0),MATCH('Master data'!W$1,'Team forecast'!$B$2:$AO$2,0))</f>
        <v>0.17178615309883699</v>
      </c>
      <c r="X83" s="5">
        <f>IF(M83&gt;95,7000*2,IF(M83&gt;0,7000,-5000))</f>
        <v>-5000</v>
      </c>
      <c r="Y83" s="5">
        <f>IF($X83&gt;0,U83*25000,0)</f>
        <v>0</v>
      </c>
      <c r="Z83" s="5">
        <f>IF($X83&gt;0,V83*5000,0)</f>
        <v>0</v>
      </c>
      <c r="AA83" s="5">
        <f>IF($X83&gt;0,W83*(-15000),0)</f>
        <v>0</v>
      </c>
      <c r="AB83" s="5">
        <f>IF($C83="Defense",$N83*150000,IF($C83="Midfield",$N83*125000,IF($C83="Striker",$N83*100000,0)))*$H83</f>
        <v>0</v>
      </c>
      <c r="AC83" s="5">
        <f>$O83*50000*H83</f>
        <v>0</v>
      </c>
      <c r="AD83" s="5">
        <f>$P83*K83*10000</f>
        <v>0</v>
      </c>
      <c r="AE83" s="5">
        <f>IF($C83="Goalkeeper",J83*75000,IF($C83="Defense",J83*50000,0))</f>
        <v>0</v>
      </c>
      <c r="AF83" s="5">
        <f>IF($C83="Goalkeeper",(L83-I83)*5000,0)</f>
        <v>0</v>
      </c>
      <c r="AG83" s="5">
        <f>IF(M83&gt;0,Q83*(-20000),0)</f>
        <v>0</v>
      </c>
      <c r="AH83" s="5">
        <f>IF(M83&gt;0,R83*(-50000),0)</f>
        <v>0</v>
      </c>
      <c r="AI83" s="5">
        <f>IF(M83&gt;0,S83*10000,0)</f>
        <v>0</v>
      </c>
      <c r="AJ83" s="5">
        <f>IF(M83&gt;0,T83*(-8000),0)</f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2.0067977929974719</v>
      </c>
      <c r="AM83" s="16">
        <f>INDEX('Team forecast'!$B$2:$AO$26,MATCH('Master data'!$B83,'Team forecast'!$B$2:$B$26,0),MATCH('Master data'!AM$1,'Team forecast'!$B$2:$AO$2,0))</f>
        <v>0.66520361079548807</v>
      </c>
      <c r="AN83" s="16">
        <f>INDEX('Team forecast'!$B$2:$AO$26,MATCH('Master data'!$B83,'Team forecast'!$B$2:$B$26,0),MATCH('Master data'!AN$1,'Team forecast'!$B$2:$AO$2,0))</f>
        <v>0.51416882672404407</v>
      </c>
      <c r="AO83" s="16">
        <f>INDEX('Team forecast'!$B$2:$AO$26,MATCH('Master data'!$B83,'Team forecast'!$B$2:$B$26,0),MATCH('Master data'!AO$1,'Team forecast'!$B$2:$AO$2,0))</f>
        <v>4.9318002365645421</v>
      </c>
      <c r="AP83" s="16">
        <f>INDEX('Team forecast'!$B$2:$AO$26,MATCH('Master data'!$B83,'Team forecast'!$B$2:$B$26,0),MATCH('Master data'!AP$1,'Team forecast'!$B$2:$AO$2,0))</f>
        <v>2.1837492273589256</v>
      </c>
      <c r="AQ83" s="5">
        <f>X83</f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>IF($C83="Defense",$N83*150000,IF($C83="Midfield",$N83*125000,IF($C83="Striker",$N83*100000,0)))*$AL83</f>
        <v>0</v>
      </c>
      <c r="AV83" s="5">
        <f>$O83*50000*AL83</f>
        <v>0</v>
      </c>
      <c r="AW83" s="5">
        <f>$P83*AO83*10000</f>
        <v>0</v>
      </c>
      <c r="AX83" s="5">
        <f>IF($C83="Goalkeeper",AN83*75000,IF($C83="Defense",AN83*50000,0))</f>
        <v>0</v>
      </c>
      <c r="AY83" s="5">
        <f>IF($C83="Goalkeeper",(AP83-AM83)*5000,0)</f>
        <v>0</v>
      </c>
      <c r="AZ83" s="5">
        <f>$AG83</f>
        <v>0</v>
      </c>
      <c r="BA83" s="5">
        <f>$AH83</f>
        <v>0</v>
      </c>
      <c r="BB83" s="5">
        <f>IF(X83&gt;0,AL83*10000,0)</f>
        <v>0</v>
      </c>
      <c r="BC83" s="5">
        <f>IF(X83&gt;0,AM83*(-8000),0)</f>
        <v>0</v>
      </c>
      <c r="BD83" s="5">
        <f>IFERROR(SUM(AQ83:BC83),0)</f>
        <v>-5000</v>
      </c>
      <c r="BE83" s="16">
        <f>INDEX('Team forecast'!$B$2:$AO$26,MATCH('Master data'!$B83,'Team forecast'!$B$2:$B$26,0),MATCH('Master data'!BE$1,'Team forecast'!$B$2:$AO$2,0))</f>
        <v>2.2346287595631029</v>
      </c>
      <c r="BF83" s="16">
        <f>INDEX('Team forecast'!$B$2:$AO$26,MATCH('Master data'!$B83,'Team forecast'!$B$2:$B$26,0),MATCH('Master data'!BF$1,'Team forecast'!$B$2:$AO$2,0))</f>
        <v>0.82586154259115363</v>
      </c>
      <c r="BG83" s="16">
        <f>INDEX('Team forecast'!$B$2:$AO$26,MATCH('Master data'!$B83,'Team forecast'!$B$2:$B$26,0),MATCH('Master data'!BG$1,'Team forecast'!$B$2:$AO$2,0))</f>
        <v>0.43785759694850601</v>
      </c>
      <c r="BH83" s="16">
        <f>INDEX('Team forecast'!$B$2:$AO$26,MATCH('Master data'!$B83,'Team forecast'!$B$2:$B$26,0),MATCH('Master data'!BH$1,'Team forecast'!$B$2:$AO$2,0))</f>
        <v>5.4917055836432862</v>
      </c>
      <c r="BI83" s="16">
        <f>INDEX('Team forecast'!$B$2:$AO$26,MATCH('Master data'!$B83,'Team forecast'!$B$2:$B$26,0),MATCH('Master data'!BI$1,'Team forecast'!$B$2:$AO$2,0))</f>
        <v>2.7111616297184336</v>
      </c>
      <c r="BJ83" s="5">
        <f>AQ83</f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>IF($C83="Defense",$N83*150000,IF($C83="Midfield",$N83*125000,IF($C83="Striker",$N83*100000,0)))*$BE83</f>
        <v>0</v>
      </c>
      <c r="BO83" s="5">
        <f>$O83*50000*$BE83</f>
        <v>0</v>
      </c>
      <c r="BP83" s="5">
        <f>$P83*BH83*10000</f>
        <v>0</v>
      </c>
      <c r="BQ83" s="5">
        <f>IF($C83="Goalkeeper",BG83*75000,IF($C83="Defense",BG83*50000,0))</f>
        <v>0</v>
      </c>
      <c r="BR83" s="5">
        <f>IF($C83="Goalkeeper",(BI83-BF83)*5000,0)</f>
        <v>0</v>
      </c>
      <c r="BS83" s="5">
        <f>$AG83</f>
        <v>0</v>
      </c>
      <c r="BT83" s="5">
        <f>$AH83</f>
        <v>0</v>
      </c>
      <c r="BU83" s="5">
        <f>IF(AQ83&gt;0,BE83*10000,0)</f>
        <v>0</v>
      </c>
      <c r="BV83" s="5">
        <f>IF(AQ83&gt;0,BF83*(-8000),0)</f>
        <v>0</v>
      </c>
      <c r="BW83" s="5">
        <f>IFERROR(SUM(BJ83:BV83),0)</f>
        <v>-5000</v>
      </c>
      <c r="BX83" s="5">
        <f>AVERAGE(AK83,BD83,BW83)</f>
        <v>-5000</v>
      </c>
      <c r="BY83" s="5">
        <f>BX83*3</f>
        <v>-15000</v>
      </c>
      <c r="BZ83" s="5">
        <f>INDEX('Team forecast'!$R$3:$BH$26,MATCH($B83,'Team forecast'!$B$3:$B$26,0),MATCH(BZ$1,'Team forecast'!$R$2:$BH$2,0))*($BX83-(BY83+CH83)*0.01)</f>
        <v>-38162.708519046078</v>
      </c>
      <c r="CA83" s="5">
        <f>INDEX('Team forecast'!$R$3:$BH$26,MATCH($B83,'Team forecast'!$B$3:$B$26,0),MATCH(CA$1,'Team forecast'!$R$2:$BH$2,0))*($BX83-(BY83+BX83+CH83)*0.01)</f>
        <v>-19671.837978244199</v>
      </c>
      <c r="CB83" s="5">
        <f>INDEX('Team forecast'!$R$3:$BH$26,MATCH($B83,'Team forecast'!$B$3:$B$26,0),MATCH(CB$1,'Team forecast'!$R$2:$BH$2,0))*($BX83-(BY83+BX83*2+CH83)*0.01)</f>
        <v>-10401.118355093378</v>
      </c>
      <c r="CC83" s="5">
        <f>INDEX('Team forecast'!$R$3:$BH$26,MATCH($B83,'Team forecast'!$B$3:$B$26,0),MATCH(CC$1,'Team forecast'!$R$2:$BH$2,0))*($BX83-(BY83+BX83*3+CH83)*0.01)</f>
        <v>-5937.8241348240226</v>
      </c>
      <c r="CD83" s="5">
        <f>+AK83+BD83*Cockpit!$C$3+BW83*Cockpit!$C$3^2+BZ83*Cockpit!$C$3^3+CA83*Cockpit!$C$3^4+CB83*Cockpit!$C$3^5+CC83*Cockpit!$C$3^6</f>
        <v>-27639.804959806333</v>
      </c>
      <c r="CE83" s="5"/>
      <c r="CF83" s="5"/>
      <c r="CG83" s="5">
        <v>0</v>
      </c>
      <c r="CH83" s="5">
        <f t="shared" si="46"/>
        <v>3500000</v>
      </c>
      <c r="CI83" s="5">
        <f t="shared" si="47"/>
        <v>3500000</v>
      </c>
      <c r="CJ83" s="1">
        <f t="shared" si="48"/>
        <v>-4.2857142857142859E-3</v>
      </c>
      <c r="CK83" s="5">
        <f>RANK(BY83,$BY$2:$BY$623)+COUNTIF($BY$2:$BY83,$BY83)-1</f>
        <v>446</v>
      </c>
      <c r="CL83" s="5">
        <f>RANK(CJ83,$CJ$2:$CJ$623)+COUNTIF($CJ$2:$CJ83,$CJ83)-1</f>
        <v>457</v>
      </c>
    </row>
    <row r="84" spans="1:90">
      <c r="A84" t="str">
        <f>Players!P85</f>
        <v>João Moutinho</v>
      </c>
      <c r="B84" t="str">
        <f>Players!G85</f>
        <v>Portugal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3000000</v>
      </c>
      <c r="H84" s="16">
        <f>INDEX('Team forecast'!$B$2:$AO$26,MATCH('Master data'!$B84,'Team forecast'!$B$2:$B$26,0),MATCH('Master data'!H$1,'Team forecast'!$B$2:$AO$2,0))</f>
        <v>1.7625676631272518</v>
      </c>
      <c r="I84" s="16">
        <f>INDEX('Team forecast'!$B$2:$AO$26,MATCH('Master data'!$B84,'Team forecast'!$B$2:$B$26,0),MATCH('Master data'!I$1,'Team forecast'!$B$2:$AO$2,0))</f>
        <v>0.75096675144877167</v>
      </c>
      <c r="J84" s="16">
        <f>INDEX('Team forecast'!$B$2:$AO$26,MATCH('Master data'!$B84,'Team forecast'!$B$2:$B$26,0),MATCH('Master data'!J$1,'Team forecast'!$B$2:$AO$2,0))</f>
        <v>0.47191011235955049</v>
      </c>
      <c r="K84" s="16">
        <f>INDEX('Team forecast'!$B$2:$AO$26,MATCH('Master data'!$B84,'Team forecast'!$B$2:$B$26,0),MATCH('Master data'!K$1,'Team forecast'!$B$2:$AO$2,0))</f>
        <v>4.4913621777278765</v>
      </c>
      <c r="L84" s="16">
        <f>INDEX('Team forecast'!$B$2:$AO$26,MATCH('Master data'!$B84,'Team forecast'!$B$2:$B$26,0),MATCH('Master data'!L$1,'Team forecast'!$B$2:$AO$2,0))</f>
        <v>2.0995338051067773</v>
      </c>
      <c r="M84">
        <f>IF(Players!BC85=1,95,0)</f>
        <v>95</v>
      </c>
      <c r="N84" s="2">
        <f>Players!BN85</f>
        <v>5.298474201772687E-2</v>
      </c>
      <c r="O84" s="2">
        <f>Players!BO85</f>
        <v>6.4789729097965931E-2</v>
      </c>
      <c r="P84" s="2">
        <f>Players!BP85</f>
        <v>1.9398794651208959E-2</v>
      </c>
      <c r="Q84" s="2">
        <f>Players!BQ85</f>
        <v>0.11319172722191169</v>
      </c>
      <c r="R84" s="2">
        <f>Players!BR85</f>
        <v>2.5153717160424818E-2</v>
      </c>
      <c r="S84" s="2">
        <f>H84</f>
        <v>1.7625676631272518</v>
      </c>
      <c r="T84" s="2">
        <f>I84</f>
        <v>0.75096675144877167</v>
      </c>
      <c r="U84" s="16">
        <f>INDEX('Team forecast'!$B$2:$AO$26,MATCH('Master data'!$B84,'Team forecast'!$B$2:$B$26,0),MATCH('Master data'!U$1,'Team forecast'!$B$2:$AO$2,0))</f>
        <v>0.6292134831460674</v>
      </c>
      <c r="V84" s="16">
        <f>INDEX('Team forecast'!$B$2:$AO$26,MATCH('Master data'!$B84,'Team forecast'!$B$2:$B$26,0),MATCH('Master data'!V$1,'Team forecast'!$B$2:$AO$2,0))</f>
        <v>0.2359550561797753</v>
      </c>
      <c r="W84" s="16">
        <f>INDEX('Team forecast'!$B$2:$AO$26,MATCH('Master data'!$B84,'Team forecast'!$B$2:$B$26,0),MATCH('Master data'!W$1,'Team forecast'!$B$2:$AO$2,0))</f>
        <v>0.1348314606741573</v>
      </c>
      <c r="X84" s="5">
        <f>IF(M84&gt;95,7000*2,IF(M84&gt;0,7000,-5000))</f>
        <v>7000</v>
      </c>
      <c r="Y84" s="5">
        <f>IF($X84&gt;0,U84*25000,0)</f>
        <v>15730.337078651684</v>
      </c>
      <c r="Z84" s="5">
        <f>IF($X84&gt;0,V84*5000,0)</f>
        <v>1179.7752808988764</v>
      </c>
      <c r="AA84" s="5">
        <f>IF($X84&gt;0,W84*(-15000),0)</f>
        <v>-2022.4719101123594</v>
      </c>
      <c r="AB84" s="5">
        <f>IF($C84="Defense",$N84*150000,IF($C84="Midfield",$N84*125000,IF($C84="Striker",$N84*100000,0)))*$H84</f>
        <v>11673.649114948144</v>
      </c>
      <c r="AC84" s="5">
        <f>$O84*50000*H84</f>
        <v>5709.8140705424757</v>
      </c>
      <c r="AD84" s="5">
        <f>$P84*K84*10000</f>
        <v>871.27012589949743</v>
      </c>
      <c r="AE84" s="5">
        <f>IF($C84="Goalkeeper",J84*75000,IF($C84="Defense",J84*50000,0))</f>
        <v>0</v>
      </c>
      <c r="AF84" s="5">
        <f>IF($C84="Goalkeeper",(L84-I84)*5000,0)</f>
        <v>0</v>
      </c>
      <c r="AG84" s="5">
        <f>IF(M84&gt;0,Q84*(-20000),0)</f>
        <v>-2263.8345444382339</v>
      </c>
      <c r="AH84" s="5">
        <f>IF(M84&gt;0,R84*(-50000),0)</f>
        <v>-1257.6858580212408</v>
      </c>
      <c r="AI84" s="5">
        <f>IF(M84&gt;0,S84*10000,0)</f>
        <v>17625.676631272519</v>
      </c>
      <c r="AJ84" s="5">
        <f>IF(M84&gt;0,T84*(-8000),0)</f>
        <v>-6007.7340115901734</v>
      </c>
      <c r="AK84" s="5">
        <f>IFERROR(SUM(X84:AJ84),-5000)*((Cockpit!$C$3)^0)</f>
        <v>48238.795978051188</v>
      </c>
      <c r="AL84" s="16">
        <f>INDEX('Team forecast'!$B$2:$AO$26,MATCH('Master data'!$B84,'Team forecast'!$B$2:$B$26,0),MATCH('Master data'!AL$1,'Team forecast'!$B$2:$AO$2,0))</f>
        <v>1.1612459518433673</v>
      </c>
      <c r="AM84" s="16">
        <f>INDEX('Team forecast'!$B$2:$AO$26,MATCH('Master data'!$B84,'Team forecast'!$B$2:$B$26,0),MATCH('Master data'!AM$1,'Team forecast'!$B$2:$AO$2,0))</f>
        <v>1.384389503157577</v>
      </c>
      <c r="AN84" s="16">
        <f>INDEX('Team forecast'!$B$2:$AO$26,MATCH('Master data'!$B84,'Team forecast'!$B$2:$B$26,0),MATCH('Master data'!AN$1,'Team forecast'!$B$2:$AO$2,0))</f>
        <v>0.25047666833918708</v>
      </c>
      <c r="AO84" s="16">
        <f>INDEX('Team forecast'!$B$2:$AO$26,MATCH('Master data'!$B84,'Team forecast'!$B$2:$B$26,0),MATCH('Master data'!AO$1,'Team forecast'!$B$2:$AO$2,0))</f>
        <v>2.9590785399382193</v>
      </c>
      <c r="AP84" s="16">
        <f>INDEX('Team forecast'!$B$2:$AO$26,MATCH('Master data'!$B84,'Team forecast'!$B$2:$B$26,0),MATCH('Master data'!AP$1,'Team forecast'!$B$2:$AO$2,0))</f>
        <v>3.8704410757292824</v>
      </c>
      <c r="AQ84" s="5">
        <f>X84</f>
        <v>7000</v>
      </c>
      <c r="AR84" s="5">
        <f>INDEX('Team forecast'!$B$2:$AO$26,MATCH('Master data'!$B84,'Team forecast'!$B$2:$B$26,0),MATCH('Master data'!AR$1,'Team forecast'!$B$2:$AO$2,0))*IF(X84&gt;0,25000,0)</f>
        <v>7225.2885097842445</v>
      </c>
      <c r="AS84" s="16">
        <f>INDEX('Team forecast'!$B$2:$AO$26,MATCH('Master data'!$B84,'Team forecast'!$B$2:$B$26,0),MATCH('Master data'!AS$1,'Team forecast'!$B$2:$AO$2,0))*IF(X84&gt;0,5000,0)</f>
        <v>1467.6367285499246</v>
      </c>
      <c r="AT84" s="16">
        <f>INDEX('Team forecast'!$B$2:$AO$26,MATCH('Master data'!$B84,'Team forecast'!$B$2:$B$26,0),MATCH('Master data'!AT$1,'Team forecast'!$B$2:$AO$2,0))*IF(X84&gt;0,-15000,0)</f>
        <v>-6261.91670847968</v>
      </c>
      <c r="AU84" s="5">
        <f>IF($C84="Defense",$N84*150000,IF($C84="Midfield",$N84*125000,IF($C84="Striker",$N84*100000,0)))*$AL84</f>
        <v>7691.0396471938129</v>
      </c>
      <c r="AV84" s="5">
        <f>$O84*50000*AL84</f>
        <v>3761.8405318020677</v>
      </c>
      <c r="AW84" s="5">
        <f>$P84*AO84*10000</f>
        <v>574.02556953060741</v>
      </c>
      <c r="AX84" s="5">
        <f>IF($C84="Goalkeeper",AN84*75000,IF($C84="Defense",AN84*50000,0))</f>
        <v>0</v>
      </c>
      <c r="AY84" s="5">
        <f>IF($C84="Goalkeeper",(AP84-AM84)*5000,0)</f>
        <v>0</v>
      </c>
      <c r="AZ84" s="5">
        <f>$AG84</f>
        <v>-2263.8345444382339</v>
      </c>
      <c r="BA84" s="5">
        <f>$AH84</f>
        <v>-1257.6858580212408</v>
      </c>
      <c r="BB84" s="5">
        <f>IF(X84&gt;0,AL84*10000,0)</f>
        <v>11612.459518433674</v>
      </c>
      <c r="BC84" s="5">
        <f>IF(X84&gt;0,AM84*(-8000),0)</f>
        <v>-11075.116025260617</v>
      </c>
      <c r="BD84" s="5">
        <f>IFERROR(SUM(AQ84:BC84),0)</f>
        <v>18473.737369094564</v>
      </c>
      <c r="BE84" s="16">
        <f>INDEX('Team forecast'!$B$2:$AO$26,MATCH('Master data'!$B84,'Team forecast'!$B$2:$B$26,0),MATCH('Master data'!BE$1,'Team forecast'!$B$2:$AO$2,0))</f>
        <v>1.0107278258414167</v>
      </c>
      <c r="BF84" s="16">
        <f>INDEX('Team forecast'!$B$2:$AO$26,MATCH('Master data'!$B84,'Team forecast'!$B$2:$B$26,0),MATCH('Master data'!BF$1,'Team forecast'!$B$2:$AO$2,0))</f>
        <v>1.2965069481471114</v>
      </c>
      <c r="BG84" s="16">
        <f>INDEX('Team forecast'!$B$2:$AO$26,MATCH('Master data'!$B84,'Team forecast'!$B$2:$B$26,0),MATCH('Master data'!BG$1,'Team forecast'!$B$2:$AO$2,0))</f>
        <v>0.27348542529246672</v>
      </c>
      <c r="BH84" s="16">
        <f>INDEX('Team forecast'!$B$2:$AO$26,MATCH('Master data'!$B84,'Team forecast'!$B$2:$B$26,0),MATCH('Master data'!BH$1,'Team forecast'!$B$2:$AO$2,0))</f>
        <v>2.5755293393428875</v>
      </c>
      <c r="BI84" s="16">
        <f>INDEX('Team forecast'!$B$2:$AO$26,MATCH('Master data'!$B84,'Team forecast'!$B$2:$B$26,0),MATCH('Master data'!BI$1,'Team forecast'!$B$2:$AO$2,0))</f>
        <v>3.6247412564394597</v>
      </c>
      <c r="BJ84" s="5">
        <f>AQ84</f>
        <v>7000</v>
      </c>
      <c r="BK84" s="5">
        <f>INDEX('Team forecast'!$R$3:$BH$26,MATCH($B84,'Team forecast'!$B$3:$B$26,0),MATCH(BK$1,'Team forecast'!$R$2:$BH$2,0))*IF($X84&gt;0,25000,0)</f>
        <v>7251.5074888154077</v>
      </c>
      <c r="BL84" s="5">
        <f>INDEX('Team forecast'!$R$3:$BH$26,MATCH($B84,'Team forecast'!$B$3:$B$26,0),MATCH(BL$1,'Team forecast'!$R$2:$BH$2,0))*IF($X84&gt;0,5000,0)</f>
        <v>1495.6234195681775</v>
      </c>
      <c r="BM84" s="5">
        <f>INDEX('Team forecast'!$R$3:$BH$26,MATCH($B84,'Team forecast'!$B$3:$B$26,0),MATCH(BM$1,'Team forecast'!$R$2:$BH$2,0))*IF($X84&gt;0,-15000,0)</f>
        <v>-6162.2252480062243</v>
      </c>
      <c r="BN84" s="5">
        <f>IF($C84="Defense",$N84*150000,IF($C84="Midfield",$N84*125000,IF($C84="Striker",$N84*100000,0)))*$BE84</f>
        <v>6694.1441377931806</v>
      </c>
      <c r="BO84" s="5">
        <f>$O84*50000*$BE84</f>
        <v>3274.2391014020741</v>
      </c>
      <c r="BP84" s="5">
        <f>$P84*BH84*10000</f>
        <v>499.62164772076551</v>
      </c>
      <c r="BQ84" s="5">
        <f>IF($C84="Goalkeeper",BG84*75000,IF($C84="Defense",BG84*50000,0))</f>
        <v>0</v>
      </c>
      <c r="BR84" s="5">
        <f>IF($C84="Goalkeeper",(BI84-BF84)*5000,0)</f>
        <v>0</v>
      </c>
      <c r="BS84" s="5">
        <f>$AG84</f>
        <v>-2263.8345444382339</v>
      </c>
      <c r="BT84" s="5">
        <f>$AH84</f>
        <v>-1257.6858580212408</v>
      </c>
      <c r="BU84" s="5">
        <f>IF(AQ84&gt;0,BE84*10000,0)</f>
        <v>10107.278258414168</v>
      </c>
      <c r="BV84" s="5">
        <f>IF(AQ84&gt;0,BF84*(-8000),0)</f>
        <v>-10372.055585176891</v>
      </c>
      <c r="BW84" s="5">
        <f>IFERROR(SUM(BJ84:BV84),0)</f>
        <v>16266.612818071189</v>
      </c>
      <c r="BX84" s="5">
        <f>AVERAGE(AK84,BD84,BW84)</f>
        <v>27659.71538840565</v>
      </c>
      <c r="BY84" s="5">
        <f>BX84*3</f>
        <v>82979.146165216953</v>
      </c>
      <c r="BZ84" s="5">
        <f>INDEX('Team forecast'!$R$3:$BH$26,MATCH($B84,'Team forecast'!$B$3:$B$26,0),MATCH(BZ$1,'Team forecast'!$R$2:$BH$2,0))*($BX84-(BY84+CH84)*0.01)</f>
        <v>-2383.7057580091951</v>
      </c>
      <c r="CA84" s="5">
        <f>INDEX('Team forecast'!$R$3:$BH$26,MATCH($B84,'Team forecast'!$B$3:$B$26,0),MATCH(CA$1,'Team forecast'!$R$2:$BH$2,0))*($BX84-(BY84+BX84+CH84)*0.01)</f>
        <v>-1320.7433956973616</v>
      </c>
      <c r="CB84" s="5">
        <f>INDEX('Team forecast'!$R$3:$BH$26,MATCH($B84,'Team forecast'!$B$3:$B$26,0),MATCH(CB$1,'Team forecast'!$R$2:$BH$2,0))*($BX84-(BY84+BX84*2+CH84)*0.01)</f>
        <v>-738.68113723468048</v>
      </c>
      <c r="CC84" s="5">
        <f>INDEX('Team forecast'!$R$3:$BH$26,MATCH($B84,'Team forecast'!$B$3:$B$26,0),MATCH(CC$1,'Team forecast'!$R$2:$BH$2,0))*($BX84-(BY84+BX84*3+CH84)*0.01)</f>
        <v>-431.84548795600836</v>
      </c>
      <c r="CD84" s="5">
        <f>+AK84+BD84*Cockpit!$C$3+BW84*Cockpit!$C$3^2+BZ84*Cockpit!$C$3^3+CA84*Cockpit!$C$3^4+CB84*Cockpit!$C$3^5+CC84*Cockpit!$C$3^6</f>
        <v>66681.868572455714</v>
      </c>
      <c r="CE84" s="5"/>
      <c r="CF84" s="5"/>
      <c r="CG84" s="5">
        <v>0</v>
      </c>
      <c r="CH84" s="5">
        <f t="shared" si="46"/>
        <v>3000000</v>
      </c>
      <c r="CI84" s="5">
        <f t="shared" si="47"/>
        <v>3000000</v>
      </c>
      <c r="CJ84" s="1">
        <f t="shared" si="48"/>
        <v>2.7659715388405649E-2</v>
      </c>
      <c r="CK84" s="5">
        <f>RANK(BY84,$BY$2:$BY$623)+COUNTIF($BY$2:$BY84,$BY84)-1</f>
        <v>205</v>
      </c>
      <c r="CL84" s="5">
        <f>RANK(CJ84,$CJ$2:$CJ$623)+COUNTIF($CJ$2:$CJ84,$CJ84)-1</f>
        <v>172</v>
      </c>
    </row>
    <row r="85" spans="1:90">
      <c r="A85" t="str">
        <f>Players!P86</f>
        <v>Thiago Alcantara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4500000</v>
      </c>
      <c r="H85" s="16">
        <f>INDEX('Team forecast'!$B$2:$AO$26,MATCH('Master data'!$B85,'Team forecast'!$B$2:$B$26,0),MATCH('Master data'!H$1,'Team forecast'!$B$2:$AO$2,0))</f>
        <v>1.7533592214060363</v>
      </c>
      <c r="I85" s="16">
        <f>INDEX('Team forecast'!$B$2:$AO$26,MATCH('Master data'!$B85,'Team forecast'!$B$2:$B$26,0),MATCH('Master data'!I$1,'Team forecast'!$B$2:$AO$2,0))</f>
        <v>0.63639779406972985</v>
      </c>
      <c r="J85" s="16">
        <f>INDEX('Team forecast'!$B$2:$AO$26,MATCH('Master data'!$B85,'Team forecast'!$B$2:$B$26,0),MATCH('Master data'!J$1,'Team forecast'!$B$2:$AO$2,0))</f>
        <v>0.52919526509499659</v>
      </c>
      <c r="K85" s="16">
        <f>INDEX('Team forecast'!$B$2:$AO$26,MATCH('Master data'!$B85,'Team forecast'!$B$2:$B$26,0),MATCH('Master data'!K$1,'Team forecast'!$B$2:$AO$2,0))</f>
        <v>4.835748720224867</v>
      </c>
      <c r="L85" s="16">
        <f>INDEX('Team forecast'!$B$2:$AO$26,MATCH('Master data'!$B85,'Team forecast'!$B$2:$B$26,0),MATCH('Master data'!L$1,'Team forecast'!$B$2:$AO$2,0))</f>
        <v>2.0891846775016383</v>
      </c>
      <c r="M85">
        <f>IF(Players!BC86=1,95,0)</f>
        <v>0</v>
      </c>
      <c r="N85" s="2">
        <f>Players!BN86</f>
        <v>0</v>
      </c>
      <c r="O85" s="2">
        <f>Players!BO86</f>
        <v>0</v>
      </c>
      <c r="P85" s="2">
        <f>Players!BP86</f>
        <v>0</v>
      </c>
      <c r="Q85" s="2">
        <f>Players!BQ86</f>
        <v>0.28187836383207748</v>
      </c>
      <c r="R85" s="2">
        <f>Players!BR86</f>
        <v>0</v>
      </c>
      <c r="S85" s="2">
        <f>H85</f>
        <v>1.7533592214060363</v>
      </c>
      <c r="T85" s="2">
        <f>I85</f>
        <v>0.63639779406972985</v>
      </c>
      <c r="U85" s="16">
        <f>INDEX('Team forecast'!$B$2:$AO$26,MATCH('Master data'!$B85,'Team forecast'!$B$2:$B$26,0),MATCH('Master data'!U$1,'Team forecast'!$B$2:$AO$2,0))</f>
        <v>0.68039391226499568</v>
      </c>
      <c r="V85" s="16">
        <f>INDEX('Team forecast'!$B$2:$AO$26,MATCH('Master data'!$B85,'Team forecast'!$B$2:$B$26,0),MATCH('Master data'!V$1,'Team forecast'!$B$2:$AO$2,0))</f>
        <v>0.20053715308863029</v>
      </c>
      <c r="W85" s="16">
        <f>INDEX('Team forecast'!$B$2:$AO$26,MATCH('Master data'!$B85,'Team forecast'!$B$2:$B$26,0),MATCH('Master data'!W$1,'Team forecast'!$B$2:$AO$2,0))</f>
        <v>0.11906893464637421</v>
      </c>
      <c r="X85" s="5">
        <f>IF(M85&gt;95,7000*2,IF(M85&gt;0,7000,-5000))</f>
        <v>-5000</v>
      </c>
      <c r="Y85" s="5">
        <f>IF($X85&gt;0,U85*25000,0)</f>
        <v>0</v>
      </c>
      <c r="Z85" s="5">
        <f>IF($X85&gt;0,V85*5000,0)</f>
        <v>0</v>
      </c>
      <c r="AA85" s="5">
        <f>IF($X85&gt;0,W85*(-15000),0)</f>
        <v>0</v>
      </c>
      <c r="AB85" s="5">
        <f>IF($C85="Defense",$N85*150000,IF($C85="Midfield",$N85*125000,IF($C85="Striker",$N85*100000,0)))*$H85</f>
        <v>0</v>
      </c>
      <c r="AC85" s="5">
        <f>$O85*50000*H85</f>
        <v>0</v>
      </c>
      <c r="AD85" s="5">
        <f>$P85*K85*10000</f>
        <v>0</v>
      </c>
      <c r="AE85" s="5">
        <f>IF($C85="Goalkeeper",J85*75000,IF($C85="Defense",J85*50000,0))</f>
        <v>0</v>
      </c>
      <c r="AF85" s="5">
        <f>IF($C85="Goalkeeper",(L85-I85)*5000,0)</f>
        <v>0</v>
      </c>
      <c r="AG85" s="5">
        <f>IF(M85&gt;0,Q85*(-20000),0)</f>
        <v>0</v>
      </c>
      <c r="AH85" s="5">
        <f>IF(M85&gt;0,R85*(-50000),0)</f>
        <v>0</v>
      </c>
      <c r="AI85" s="5">
        <f>IF(M85&gt;0,S85*10000,0)</f>
        <v>0</v>
      </c>
      <c r="AJ85" s="5">
        <f>IF(M85&gt;0,T85*(-8000),0)</f>
        <v>0</v>
      </c>
      <c r="AK85" s="5">
        <f>IFERROR(SUM(X85:AJ85),-5000)*((Cockpit!$C$3)^0)</f>
        <v>-5000</v>
      </c>
      <c r="AL85" s="16">
        <f>INDEX('Team forecast'!$B$2:$AO$26,MATCH('Master data'!$B85,'Team forecast'!$B$2:$B$26,0),MATCH('Master data'!AL$1,'Team forecast'!$B$2:$AO$2,0))</f>
        <v>1.9080439968215523</v>
      </c>
      <c r="AM85" s="16">
        <f>INDEX('Team forecast'!$B$2:$AO$26,MATCH('Master data'!$B85,'Team forecast'!$B$2:$B$26,0),MATCH('Master data'!AM$1,'Team forecast'!$B$2:$AO$2,0))</f>
        <v>0.77817916464933856</v>
      </c>
      <c r="AN85" s="16">
        <f>INDEX('Team forecast'!$B$2:$AO$26,MATCH('Master data'!$B85,'Team forecast'!$B$2:$B$26,0),MATCH('Master data'!AN$1,'Team forecast'!$B$2:$AO$2,0))</f>
        <v>0.459241453546125</v>
      </c>
      <c r="AO85" s="16">
        <f>INDEX('Team forecast'!$B$2:$AO$26,MATCH('Master data'!$B85,'Team forecast'!$B$2:$B$26,0),MATCH('Master data'!AO$1,'Team forecast'!$B$2:$AO$2,0))</f>
        <v>5.26236791817451</v>
      </c>
      <c r="AP85" s="16">
        <f>INDEX('Team forecast'!$B$2:$AO$26,MATCH('Master data'!$B85,'Team forecast'!$B$2:$B$26,0),MATCH('Master data'!AP$1,'Team forecast'!$B$2:$AO$2,0))</f>
        <v>2.5546285708185357</v>
      </c>
      <c r="AQ85" s="5">
        <f>X85</f>
        <v>-5000</v>
      </c>
      <c r="AR85" s="5">
        <f>INDEX('Team forecast'!$B$2:$AO$26,MATCH('Master data'!$B85,'Team forecast'!$B$2:$B$26,0),MATCH('Master data'!AR$1,'Team forecast'!$B$2:$AO$2,0))*IF(X85&gt;0,25000,0)</f>
        <v>0</v>
      </c>
      <c r="AS85" s="16">
        <f>INDEX('Team forecast'!$B$2:$AO$26,MATCH('Master data'!$B85,'Team forecast'!$B$2:$B$26,0),MATCH('Master data'!AS$1,'Team forecast'!$B$2:$AO$2,0))*IF(X85&gt;0,5000,0)</f>
        <v>0</v>
      </c>
      <c r="AT85" s="16">
        <f>INDEX('Team forecast'!$B$2:$AO$26,MATCH('Master data'!$B85,'Team forecast'!$B$2:$B$26,0),MATCH('Master data'!AT$1,'Team forecast'!$B$2:$AO$2,0))*IF(X85&gt;0,-15000,0)</f>
        <v>0</v>
      </c>
      <c r="AU85" s="5">
        <f>IF($C85="Defense",$N85*150000,IF($C85="Midfield",$N85*125000,IF($C85="Striker",$N85*100000,0)))*$AL85</f>
        <v>0</v>
      </c>
      <c r="AV85" s="5">
        <f>$O85*50000*AL85</f>
        <v>0</v>
      </c>
      <c r="AW85" s="5">
        <f>$P85*AO85*10000</f>
        <v>0</v>
      </c>
      <c r="AX85" s="5">
        <f>IF($C85="Goalkeeper",AN85*75000,IF($C85="Defense",AN85*50000,0))</f>
        <v>0</v>
      </c>
      <c r="AY85" s="5">
        <f>IF($C85="Goalkeeper",(AP85-AM85)*5000,0)</f>
        <v>0</v>
      </c>
      <c r="AZ85" s="5">
        <f>$AG85</f>
        <v>0</v>
      </c>
      <c r="BA85" s="5">
        <f>$AH85</f>
        <v>0</v>
      </c>
      <c r="BB85" s="5">
        <f>IF(X85&gt;0,AL85*10000,0)</f>
        <v>0</v>
      </c>
      <c r="BC85" s="5">
        <f>IF(X85&gt;0,AM85*(-8000),0)</f>
        <v>0</v>
      </c>
      <c r="BD85" s="5">
        <f>IFERROR(SUM(AQ85:BC85),0)</f>
        <v>-5000</v>
      </c>
      <c r="BE85" s="16">
        <f>INDEX('Team forecast'!$B$2:$AO$26,MATCH('Master data'!$B85,'Team forecast'!$B$2:$B$26,0),MATCH('Master data'!BE$1,'Team forecast'!$B$2:$AO$2,0))</f>
        <v>2.3513752571634776</v>
      </c>
      <c r="BF85" s="16">
        <f>INDEX('Team forecast'!$B$2:$AO$26,MATCH('Master data'!$B85,'Team forecast'!$B$2:$B$26,0),MATCH('Master data'!BF$1,'Team forecast'!$B$2:$AO$2,0))</f>
        <v>0.56161379059809569</v>
      </c>
      <c r="BG85" s="16">
        <f>INDEX('Team forecast'!$B$2:$AO$26,MATCH('Master data'!$B85,'Team forecast'!$B$2:$B$26,0),MATCH('Master data'!BG$1,'Team forecast'!$B$2:$AO$2,0))</f>
        <v>0.57028799543769604</v>
      </c>
      <c r="BH85" s="16">
        <f>INDEX('Team forecast'!$B$2:$AO$26,MATCH('Master data'!$B85,'Team forecast'!$B$2:$B$26,0),MATCH('Master data'!BH$1,'Team forecast'!$B$2:$AO$2,0))</f>
        <v>6.4850714855102307</v>
      </c>
      <c r="BI85" s="16">
        <f>INDEX('Team forecast'!$B$2:$AO$26,MATCH('Master data'!$B85,'Team forecast'!$B$2:$B$26,0),MATCH('Master data'!BI$1,'Team forecast'!$B$2:$AO$2,0))</f>
        <v>1.8436816358018293</v>
      </c>
      <c r="BJ85" s="5">
        <f>AQ85</f>
        <v>-5000</v>
      </c>
      <c r="BK85" s="5">
        <f>INDEX('Team forecast'!$R$3:$BH$26,MATCH($B85,'Team forecast'!$B$3:$B$26,0),MATCH(BK$1,'Team forecast'!$R$2:$BH$2,0))*IF($X85&gt;0,25000,0)</f>
        <v>0</v>
      </c>
      <c r="BL85" s="5">
        <f>INDEX('Team forecast'!$R$3:$BH$26,MATCH($B85,'Team forecast'!$B$3:$B$26,0),MATCH(BL$1,'Team forecast'!$R$2:$BH$2,0))*IF($X85&gt;0,5000,0)</f>
        <v>0</v>
      </c>
      <c r="BM85" s="5">
        <f>INDEX('Team forecast'!$R$3:$BH$26,MATCH($B85,'Team forecast'!$B$3:$B$26,0),MATCH(BM$1,'Team forecast'!$R$2:$BH$2,0))*IF($X85&gt;0,-15000,0)</f>
        <v>0</v>
      </c>
      <c r="BN85" s="5">
        <f>IF($C85="Defense",$N85*150000,IF($C85="Midfield",$N85*125000,IF($C85="Striker",$N85*100000,0)))*$BE85</f>
        <v>0</v>
      </c>
      <c r="BO85" s="5">
        <f>$O85*50000*$BE85</f>
        <v>0</v>
      </c>
      <c r="BP85" s="5">
        <f>$P85*BH85*10000</f>
        <v>0</v>
      </c>
      <c r="BQ85" s="5">
        <f>IF($C85="Goalkeeper",BG85*75000,IF($C85="Defense",BG85*50000,0))</f>
        <v>0</v>
      </c>
      <c r="BR85" s="5">
        <f>IF($C85="Goalkeeper",(BI85-BF85)*5000,0)</f>
        <v>0</v>
      </c>
      <c r="BS85" s="5">
        <f>$AG85</f>
        <v>0</v>
      </c>
      <c r="BT85" s="5">
        <f>$AH85</f>
        <v>0</v>
      </c>
      <c r="BU85" s="5">
        <f>IF(AQ85&gt;0,BE85*10000,0)</f>
        <v>0</v>
      </c>
      <c r="BV85" s="5">
        <f>IF(AQ85&gt;0,BF85*(-8000),0)</f>
        <v>0</v>
      </c>
      <c r="BW85" s="5">
        <f>IFERROR(SUM(BJ85:BV85),0)</f>
        <v>-5000</v>
      </c>
      <c r="BX85" s="5">
        <f>AVERAGE(AK85,BD85,BW85)</f>
        <v>-5000</v>
      </c>
      <c r="BY85" s="5">
        <f>BX85*3</f>
        <v>-15000</v>
      </c>
      <c r="BZ85" s="5">
        <f>INDEX('Team forecast'!$R$3:$BH$26,MATCH($B85,'Team forecast'!$B$3:$B$26,0),MATCH(BZ$1,'Team forecast'!$R$2:$BH$2,0))*($BX85-(BY85+CH85)*0.01)</f>
        <v>-48193.957838439717</v>
      </c>
      <c r="CA85" s="5">
        <f>INDEX('Team forecast'!$R$3:$BH$26,MATCH($B85,'Team forecast'!$B$3:$B$26,0),MATCH(CA$1,'Team forecast'!$R$2:$BH$2,0))*($BX85-(BY85+BX85+CH85)*0.01)</f>
        <v>-24397.570413481521</v>
      </c>
      <c r="CB85" s="5">
        <f>INDEX('Team forecast'!$R$3:$BH$26,MATCH($B85,'Team forecast'!$B$3:$B$26,0),MATCH(CB$1,'Team forecast'!$R$2:$BH$2,0))*($BX85-(BY85+BX85*2+CH85)*0.01)</f>
        <v>-12491.887939982114</v>
      </c>
      <c r="CC85" s="5">
        <f>INDEX('Team forecast'!$R$3:$BH$26,MATCH($B85,'Team forecast'!$B$3:$B$26,0),MATCH(CC$1,'Team forecast'!$R$2:$BH$2,0))*($BX85-(BY85+BX85*3+CH85)*0.01)</f>
        <v>-6633.0123658504954</v>
      </c>
      <c r="CD85" s="5">
        <f>+AK85+BD85*Cockpit!$C$3+BW85*Cockpit!$C$3^2+BZ85*Cockpit!$C$3^3+CA85*Cockpit!$C$3^4+CB85*Cockpit!$C$3^5+CC85*Cockpit!$C$3^6</f>
        <v>-31881.864288473294</v>
      </c>
      <c r="CE85" s="5"/>
      <c r="CF85" s="5"/>
      <c r="CG85" s="5">
        <v>0</v>
      </c>
      <c r="CH85" s="5">
        <f t="shared" si="46"/>
        <v>4500000</v>
      </c>
      <c r="CI85" s="5">
        <f t="shared" si="47"/>
        <v>4500000</v>
      </c>
      <c r="CJ85" s="1">
        <f t="shared" si="48"/>
        <v>-3.3333333333333335E-3</v>
      </c>
      <c r="CK85" s="5">
        <f>RANK(BY85,$BY$2:$BY$623)+COUNTIF($BY$2:$BY85,$BY85)-1</f>
        <v>447</v>
      </c>
      <c r="CL85" s="5">
        <f>RANK(CJ85,$CJ$2:$CJ$623)+COUNTIF($CJ$2:$CJ85,$CJ85)-1</f>
        <v>433</v>
      </c>
    </row>
    <row r="86" spans="1:90">
      <c r="A86" t="str">
        <f>Players!P87</f>
        <v>Rodrigo Hernandez</v>
      </c>
      <c r="B86" t="str">
        <f>Players!G87</f>
        <v>Spain</v>
      </c>
      <c r="C86" t="str">
        <f>Players!AB87</f>
        <v>Midfield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4000000</v>
      </c>
      <c r="H86" s="16">
        <f>INDEX('Team forecast'!$B$2:$AO$26,MATCH('Master data'!$B86,'Team forecast'!$B$2:$B$26,0),MATCH('Master data'!H$1,'Team forecast'!$B$2:$AO$2,0))</f>
        <v>1.7533592214060363</v>
      </c>
      <c r="I86" s="16">
        <f>INDEX('Team forecast'!$B$2:$AO$26,MATCH('Master data'!$B86,'Team forecast'!$B$2:$B$26,0),MATCH('Master data'!I$1,'Team forecast'!$B$2:$AO$2,0))</f>
        <v>0.63639779406972985</v>
      </c>
      <c r="J86" s="16">
        <f>INDEX('Team forecast'!$B$2:$AO$26,MATCH('Master data'!$B86,'Team forecast'!$B$2:$B$26,0),MATCH('Master data'!J$1,'Team forecast'!$B$2:$AO$2,0))</f>
        <v>0.52919526509499659</v>
      </c>
      <c r="K86" s="16">
        <f>INDEX('Team forecast'!$B$2:$AO$26,MATCH('Master data'!$B86,'Team forecast'!$B$2:$B$26,0),MATCH('Master data'!K$1,'Team forecast'!$B$2:$AO$2,0))</f>
        <v>4.835748720224867</v>
      </c>
      <c r="L86" s="16">
        <f>INDEX('Team forecast'!$B$2:$AO$26,MATCH('Master data'!$B86,'Team forecast'!$B$2:$B$26,0),MATCH('Master data'!L$1,'Team forecast'!$B$2:$AO$2,0))</f>
        <v>2.0891846775016383</v>
      </c>
      <c r="M86">
        <f>IF(Players!BC87=1,95,0)</f>
        <v>95</v>
      </c>
      <c r="N86" s="2">
        <f>Players!BN87</f>
        <v>3.9715832327238347E-2</v>
      </c>
      <c r="O86" s="2">
        <f>Players!BO87</f>
        <v>1.7520148300641854E-2</v>
      </c>
      <c r="P86" s="2">
        <f>Players!BP87</f>
        <v>1.4101617638320237E-2</v>
      </c>
      <c r="Q86" s="2">
        <f>Players!BQ87</f>
        <v>0.18645533141210374</v>
      </c>
      <c r="R86" s="2">
        <f>Players!BR87</f>
        <v>0</v>
      </c>
      <c r="S86" s="2">
        <f>H86</f>
        <v>1.7533592214060363</v>
      </c>
      <c r="T86" s="2">
        <f>I86</f>
        <v>0.63639779406972985</v>
      </c>
      <c r="U86" s="16">
        <f>INDEX('Team forecast'!$B$2:$AO$26,MATCH('Master data'!$B86,'Team forecast'!$B$2:$B$26,0),MATCH('Master data'!U$1,'Team forecast'!$B$2:$AO$2,0))</f>
        <v>0.68039391226499568</v>
      </c>
      <c r="V86" s="16">
        <f>INDEX('Team forecast'!$B$2:$AO$26,MATCH('Master data'!$B86,'Team forecast'!$B$2:$B$26,0),MATCH('Master data'!V$1,'Team forecast'!$B$2:$AO$2,0))</f>
        <v>0.20053715308863029</v>
      </c>
      <c r="W86" s="16">
        <f>INDEX('Team forecast'!$B$2:$AO$26,MATCH('Master data'!$B86,'Team forecast'!$B$2:$B$26,0),MATCH('Master data'!W$1,'Team forecast'!$B$2:$AO$2,0))</f>
        <v>0.11906893464637421</v>
      </c>
      <c r="X86" s="5">
        <f>IF(M86&gt;95,7000*2,IF(M86&gt;0,7000,-5000))</f>
        <v>7000</v>
      </c>
      <c r="Y86" s="5">
        <f>IF($X86&gt;0,U86*25000,0)</f>
        <v>17009.847806624894</v>
      </c>
      <c r="Z86" s="5">
        <f>IF($X86&gt;0,V86*5000,0)</f>
        <v>1002.6857654431515</v>
      </c>
      <c r="AA86" s="5">
        <f>IF($X86&gt;0,W86*(-15000),0)</f>
        <v>-1786.0340196956131</v>
      </c>
      <c r="AB86" s="5">
        <f>IF($C86="Defense",$N86*150000,IF($C86="Midfield",$N86*125000,IF($C86="Striker",$N86*100000,0)))*$H86</f>
        <v>8704.5151058474148</v>
      </c>
      <c r="AC86" s="5">
        <f>$O86*50000*H86</f>
        <v>1535.9556791665846</v>
      </c>
      <c r="AD86" s="5">
        <f>$P86*K86*10000</f>
        <v>681.91879447607505</v>
      </c>
      <c r="AE86" s="5">
        <f>IF($C86="Goalkeeper",J86*75000,IF($C86="Defense",J86*50000,0))</f>
        <v>0</v>
      </c>
      <c r="AF86" s="5">
        <f>IF($C86="Goalkeeper",(L86-I86)*5000,0)</f>
        <v>0</v>
      </c>
      <c r="AG86" s="5">
        <f>IF(M86&gt;0,Q86*(-20000),0)</f>
        <v>-3729.1066282420747</v>
      </c>
      <c r="AH86" s="5">
        <f>IF(M86&gt;0,R86*(-50000),0)</f>
        <v>0</v>
      </c>
      <c r="AI86" s="5">
        <f>IF(M86&gt;0,S86*10000,0)</f>
        <v>17533.592214060362</v>
      </c>
      <c r="AJ86" s="5">
        <f>IF(M86&gt;0,T86*(-8000),0)</f>
        <v>-5091.1823525578384</v>
      </c>
      <c r="AK86" s="5">
        <f>IFERROR(SUM(X86:AJ86),-5000)*((Cockpit!$C$3)^0)</f>
        <v>42862.192365122959</v>
      </c>
      <c r="AL86" s="16">
        <f>INDEX('Team forecast'!$B$2:$AO$26,MATCH('Master data'!$B86,'Team forecast'!$B$2:$B$26,0),MATCH('Master data'!AL$1,'Team forecast'!$B$2:$AO$2,0))</f>
        <v>1.9080439968215523</v>
      </c>
      <c r="AM86" s="16">
        <f>INDEX('Team forecast'!$B$2:$AO$26,MATCH('Master data'!$B86,'Team forecast'!$B$2:$B$26,0),MATCH('Master data'!AM$1,'Team forecast'!$B$2:$AO$2,0))</f>
        <v>0.77817916464933856</v>
      </c>
      <c r="AN86" s="16">
        <f>INDEX('Team forecast'!$B$2:$AO$26,MATCH('Master data'!$B86,'Team forecast'!$B$2:$B$26,0),MATCH('Master data'!AN$1,'Team forecast'!$B$2:$AO$2,0))</f>
        <v>0.459241453546125</v>
      </c>
      <c r="AO86" s="16">
        <f>INDEX('Team forecast'!$B$2:$AO$26,MATCH('Master data'!$B86,'Team forecast'!$B$2:$B$26,0),MATCH('Master data'!AO$1,'Team forecast'!$B$2:$AO$2,0))</f>
        <v>5.26236791817451</v>
      </c>
      <c r="AP86" s="16">
        <f>INDEX('Team forecast'!$B$2:$AO$26,MATCH('Master data'!$B86,'Team forecast'!$B$2:$B$26,0),MATCH('Master data'!AP$1,'Team forecast'!$B$2:$AO$2,0))</f>
        <v>2.5546285708185357</v>
      </c>
      <c r="AQ86" s="5">
        <f>X86</f>
        <v>7000</v>
      </c>
      <c r="AR86" s="5">
        <f>INDEX('Team forecast'!$B$2:$AO$26,MATCH('Master data'!$B86,'Team forecast'!$B$2:$B$26,0),MATCH('Master data'!AR$1,'Team forecast'!$B$2:$AO$2,0))*IF(X86&gt;0,25000,0)</f>
        <v>16181.32638333662</v>
      </c>
      <c r="AS86" s="16">
        <f>INDEX('Team forecast'!$B$2:$AO$26,MATCH('Master data'!$B86,'Team forecast'!$B$2:$B$26,0),MATCH('Master data'!AS$1,'Team forecast'!$B$2:$AO$2,0))*IF(X86&gt;0,5000,0)</f>
        <v>1059.787969721827</v>
      </c>
      <c r="AT86" s="16">
        <f>INDEX('Team forecast'!$B$2:$AO$26,MATCH('Master data'!$B86,'Team forecast'!$B$2:$B$26,0),MATCH('Master data'!AT$1,'Team forecast'!$B$2:$AO$2,0))*IF(X86&gt;0,-15000,0)</f>
        <v>-2111.8402608325455</v>
      </c>
      <c r="AU86" s="5">
        <f>IF($C86="Defense",$N86*150000,IF($C86="Midfield",$N86*125000,IF($C86="Striker",$N86*100000,0)))*$AL86</f>
        <v>9472.4444313448093</v>
      </c>
      <c r="AV86" s="5">
        <f>$O86*50000*AL86</f>
        <v>1671.4606894231506</v>
      </c>
      <c r="AW86" s="5">
        <f>$P86*AO86*10000</f>
        <v>742.07900254260221</v>
      </c>
      <c r="AX86" s="5">
        <f>IF($C86="Goalkeeper",AN86*75000,IF($C86="Defense",AN86*50000,0))</f>
        <v>0</v>
      </c>
      <c r="AY86" s="5">
        <f>IF($C86="Goalkeeper",(AP86-AM86)*5000,0)</f>
        <v>0</v>
      </c>
      <c r="AZ86" s="5">
        <f>$AG86</f>
        <v>-3729.1066282420747</v>
      </c>
      <c r="BA86" s="5">
        <f>$AH86</f>
        <v>0</v>
      </c>
      <c r="BB86" s="5">
        <f>IF(X86&gt;0,AL86*10000,0)</f>
        <v>19080.439968215524</v>
      </c>
      <c r="BC86" s="5">
        <f>IF(X86&gt;0,AM86*(-8000),0)</f>
        <v>-6225.4333171947083</v>
      </c>
      <c r="BD86" s="5">
        <f>IFERROR(SUM(AQ86:BC86),0)</f>
        <v>43141.158238315205</v>
      </c>
      <c r="BE86" s="16">
        <f>INDEX('Team forecast'!$B$2:$AO$26,MATCH('Master data'!$B86,'Team forecast'!$B$2:$B$26,0),MATCH('Master data'!BE$1,'Team forecast'!$B$2:$AO$2,0))</f>
        <v>2.3513752571634776</v>
      </c>
      <c r="BF86" s="16">
        <f>INDEX('Team forecast'!$B$2:$AO$26,MATCH('Master data'!$B86,'Team forecast'!$B$2:$B$26,0),MATCH('Master data'!BF$1,'Team forecast'!$B$2:$AO$2,0))</f>
        <v>0.56161379059809569</v>
      </c>
      <c r="BG86" s="16">
        <f>INDEX('Team forecast'!$B$2:$AO$26,MATCH('Master data'!$B86,'Team forecast'!$B$2:$B$26,0),MATCH('Master data'!BG$1,'Team forecast'!$B$2:$AO$2,0))</f>
        <v>0.57028799543769604</v>
      </c>
      <c r="BH86" s="16">
        <f>INDEX('Team forecast'!$B$2:$AO$26,MATCH('Master data'!$B86,'Team forecast'!$B$2:$B$26,0),MATCH('Master data'!BH$1,'Team forecast'!$B$2:$AO$2,0))</f>
        <v>6.4850714855102307</v>
      </c>
      <c r="BI86" s="16">
        <f>INDEX('Team forecast'!$B$2:$AO$26,MATCH('Master data'!$B86,'Team forecast'!$B$2:$B$26,0),MATCH('Master data'!BI$1,'Team forecast'!$B$2:$AO$2,0))</f>
        <v>1.8436816358018293</v>
      </c>
      <c r="BJ86" s="5">
        <f>AQ86</f>
        <v>7000</v>
      </c>
      <c r="BK86" s="5">
        <f>INDEX('Team forecast'!$R$3:$BH$26,MATCH($B86,'Team forecast'!$B$3:$B$26,0),MATCH(BK$1,'Team forecast'!$R$2:$BH$2,0))*IF($X86&gt;0,25000,0)</f>
        <v>19047.619047619046</v>
      </c>
      <c r="BL86" s="5">
        <f>INDEX('Team forecast'!$R$3:$BH$26,MATCH($B86,'Team forecast'!$B$3:$B$26,0),MATCH(BL$1,'Team forecast'!$R$2:$BH$2,0))*IF($X86&gt;0,5000,0)</f>
        <v>850.34013605442146</v>
      </c>
      <c r="BM86" s="5">
        <f>INDEX('Team forecast'!$R$3:$BH$26,MATCH($B86,'Team forecast'!$B$3:$B$26,0),MATCH(BM$1,'Team forecast'!$R$2:$BH$2,0))*IF($X86&gt;0,-15000,0)</f>
        <v>-1020.408163265306</v>
      </c>
      <c r="BN86" s="5">
        <f>IF($C86="Defense",$N86*150000,IF($C86="Midfield",$N86*125000,IF($C86="Striker",$N86*100000,0)))*$BE86</f>
        <v>11673.353181490203</v>
      </c>
      <c r="BO86" s="5">
        <f>$O86*50000*$BE86</f>
        <v>2059.8221607982</v>
      </c>
      <c r="BP86" s="5">
        <f>$P86*BH86*10000</f>
        <v>914.49998445838685</v>
      </c>
      <c r="BQ86" s="5">
        <f>IF($C86="Goalkeeper",BG86*75000,IF($C86="Defense",BG86*50000,0))</f>
        <v>0</v>
      </c>
      <c r="BR86" s="5">
        <f>IF($C86="Goalkeeper",(BI86-BF86)*5000,0)</f>
        <v>0</v>
      </c>
      <c r="BS86" s="5">
        <f>$AG86</f>
        <v>-3729.1066282420747</v>
      </c>
      <c r="BT86" s="5">
        <f>$AH86</f>
        <v>0</v>
      </c>
      <c r="BU86" s="5">
        <f>IF(AQ86&gt;0,BE86*10000,0)</f>
        <v>23513.752571634777</v>
      </c>
      <c r="BV86" s="5">
        <f>IF(AQ86&gt;0,BF86*(-8000),0)</f>
        <v>-4492.9103247847652</v>
      </c>
      <c r="BW86" s="5">
        <f>IFERROR(SUM(BJ86:BV86),0)</f>
        <v>55816.961965762894</v>
      </c>
      <c r="BX86" s="5">
        <f>AVERAGE(AK86,BD86,BW86)</f>
        <v>47273.437523067019</v>
      </c>
      <c r="BY86" s="5">
        <f>BX86*3</f>
        <v>141820.31256920105</v>
      </c>
      <c r="BZ86" s="5">
        <f>INDEX('Team forecast'!$R$3:$BH$26,MATCH($B86,'Team forecast'!$B$3:$B$26,0),MATCH(BZ$1,'Team forecast'!$R$2:$BH$2,0))*($BX86-(BY86+CH86)*0.01)</f>
        <v>5660.7205552913383</v>
      </c>
      <c r="CA86" s="5">
        <f>INDEX('Team forecast'!$R$3:$BH$26,MATCH($B86,'Team forecast'!$B$3:$B$26,0),MATCH(CA$1,'Team forecast'!$R$2:$BH$2,0))*($BX86-(BY86+BX86+CH86)*0.01)</f>
        <v>2636.9462508199276</v>
      </c>
      <c r="CB86" s="5">
        <f>INDEX('Team forecast'!$R$3:$BH$26,MATCH($B86,'Team forecast'!$B$3:$B$26,0),MATCH(CB$1,'Team forecast'!$R$2:$BH$2,0))*($BX86-(BY86+BX86*2+CH86)*0.01)</f>
        <v>1232.8088899059171</v>
      </c>
      <c r="CC86" s="5">
        <f>INDEX('Team forecast'!$R$3:$BH$26,MATCH($B86,'Team forecast'!$B$3:$B$26,0),MATCH(CC$1,'Team forecast'!$R$2:$BH$2,0))*($BX86-(BY86+BX86*3+CH86)*0.01)</f>
        <v>592.17068999474236</v>
      </c>
      <c r="CD86" s="5">
        <f>+AK86+BD86*Cockpit!$C$3+BW86*Cockpit!$C$3^2+BZ86*Cockpit!$C$3^3+CA86*Cockpit!$C$3^4+CB86*Cockpit!$C$3^5+CC86*Cockpit!$C$3^6</f>
        <v>98842.96473601459</v>
      </c>
      <c r="CE86" s="5"/>
      <c r="CF86" s="5"/>
      <c r="CG86" s="5">
        <v>0</v>
      </c>
      <c r="CH86" s="5">
        <f t="shared" si="46"/>
        <v>4000000</v>
      </c>
      <c r="CI86" s="5">
        <f t="shared" si="47"/>
        <v>4000000</v>
      </c>
      <c r="CJ86" s="1">
        <f t="shared" si="48"/>
        <v>3.5455078142300263E-2</v>
      </c>
      <c r="CK86" s="5">
        <f>RANK(BY86,$BY$2:$BY$623)+COUNTIF($BY$2:$BY86,$BY86)-1</f>
        <v>102</v>
      </c>
      <c r="CL86" s="5">
        <f>RANK(CJ86,$CJ$2:$CJ$623)+COUNTIF($CJ$2:$CJ86,$CJ86)-1</f>
        <v>100</v>
      </c>
    </row>
    <row r="87" spans="1:90">
      <c r="A87" t="str">
        <f>Players!P88</f>
        <v>Hugo Lloris</v>
      </c>
      <c r="B87" t="str">
        <f>Players!G88</f>
        <v>France</v>
      </c>
      <c r="C87" t="str">
        <f>Players!AB88</f>
        <v>Goalkeeper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6000000</v>
      </c>
      <c r="H87" s="16">
        <f>INDEX('Team forecast'!$B$2:$AO$26,MATCH('Master data'!$B87,'Team forecast'!$B$2:$B$26,0),MATCH('Master data'!H$1,'Team forecast'!$B$2:$AO$2,0))</f>
        <v>1.2386203137003762</v>
      </c>
      <c r="I87" s="16">
        <f>INDEX('Team forecast'!$B$2:$AO$26,MATCH('Master data'!$B87,'Team forecast'!$B$2:$B$26,0),MATCH('Master data'!I$1,'Team forecast'!$B$2:$AO$2,0))</f>
        <v>1.2386203137003762</v>
      </c>
      <c r="J87" s="16">
        <f>INDEX('Team forecast'!$B$2:$AO$26,MATCH('Master data'!$B87,'Team forecast'!$B$2:$B$26,0),MATCH('Master data'!J$1,'Team forecast'!$B$2:$AO$2,0))</f>
        <v>0.28978375293296982</v>
      </c>
      <c r="K87" s="16">
        <f>INDEX('Team forecast'!$B$2:$AO$26,MATCH('Master data'!$B87,'Team forecast'!$B$2:$B$26,0),MATCH('Master data'!K$1,'Team forecast'!$B$2:$AO$2,0))</f>
        <v>3.2404985504377408</v>
      </c>
      <c r="L87" s="16">
        <f>INDEX('Team forecast'!$B$2:$AO$26,MATCH('Master data'!$B87,'Team forecast'!$B$2:$B$26,0),MATCH('Master data'!L$1,'Team forecast'!$B$2:$AO$2,0))</f>
        <v>3.7600973808761418</v>
      </c>
      <c r="M87">
        <f>IF(Players!BC88=1,95,0)</f>
        <v>95</v>
      </c>
      <c r="N87" s="2">
        <f>Players!BN88</f>
        <v>0</v>
      </c>
      <c r="O87" s="2">
        <f>Players!BO88</f>
        <v>0</v>
      </c>
      <c r="P87" s="2">
        <f>Players!BP88</f>
        <v>0</v>
      </c>
      <c r="Q87" s="2">
        <f>Players!BQ88</f>
        <v>0</v>
      </c>
      <c r="R87" s="2">
        <f>Players!BR88</f>
        <v>0</v>
      </c>
      <c r="S87" s="2">
        <f>H87</f>
        <v>1.2386203137003762</v>
      </c>
      <c r="T87" s="2">
        <f>I87</f>
        <v>1.2386203137003762</v>
      </c>
      <c r="U87" s="16">
        <f>INDEX('Team forecast'!$B$2:$AO$26,MATCH('Master data'!$B87,'Team forecast'!$B$2:$B$26,0),MATCH('Master data'!U$1,'Team forecast'!$B$2:$AO$2,0))</f>
        <v>0.36933223413025562</v>
      </c>
      <c r="V87" s="16">
        <f>INDEX('Team forecast'!$B$2:$AO$26,MATCH('Master data'!$B87,'Team forecast'!$B$2:$B$26,0),MATCH('Master data'!V$1,'Team forecast'!$B$2:$AO$2,0))</f>
        <v>0.29431162407254741</v>
      </c>
      <c r="W87" s="16">
        <f>INDEX('Team forecast'!$B$2:$AO$26,MATCH('Master data'!$B87,'Team forecast'!$B$2:$B$26,0),MATCH('Master data'!W$1,'Team forecast'!$B$2:$AO$2,0))</f>
        <v>0.33635614179719708</v>
      </c>
      <c r="X87" s="5">
        <f>IF(M87&gt;95,7000*2,IF(M87&gt;0,7000,-5000))</f>
        <v>7000</v>
      </c>
      <c r="Y87" s="5">
        <f>IF($X87&gt;0,U87*25000,0)</f>
        <v>9233.30585325639</v>
      </c>
      <c r="Z87" s="5">
        <f>IF($X87&gt;0,V87*5000,0)</f>
        <v>1471.5581203627371</v>
      </c>
      <c r="AA87" s="5">
        <f>IF($X87&gt;0,W87*(-15000),0)</f>
        <v>-5045.3421269579567</v>
      </c>
      <c r="AB87" s="5">
        <f>IF($C87="Defense",$N87*150000,IF($C87="Midfield",$N87*125000,IF($C87="Striker",$N87*100000,0)))*$H87</f>
        <v>0</v>
      </c>
      <c r="AC87" s="5">
        <f>$O87*50000*H87</f>
        <v>0</v>
      </c>
      <c r="AD87" s="5">
        <f>$P87*K87*10000</f>
        <v>0</v>
      </c>
      <c r="AE87" s="5">
        <f>IF($C87="Goalkeeper",J87*75000,IF($C87="Defense",J87*50000,0))</f>
        <v>21733.781469972735</v>
      </c>
      <c r="AF87" s="5">
        <f>IF($C87="Goalkeeper",(L87-I87)*5000,0)</f>
        <v>12607.385335878827</v>
      </c>
      <c r="AG87" s="5">
        <f>IF(M87&gt;0,Q87*(-20000),0)</f>
        <v>0</v>
      </c>
      <c r="AH87" s="5">
        <f>IF(M87&gt;0,R87*(-50000),0)</f>
        <v>0</v>
      </c>
      <c r="AI87" s="5">
        <f>IF(M87&gt;0,S87*10000,0)</f>
        <v>12386.203137003762</v>
      </c>
      <c r="AJ87" s="5">
        <f>IF(M87&gt;0,T87*(-8000),0)</f>
        <v>-9908.9625096030086</v>
      </c>
      <c r="AK87" s="5">
        <f>IFERROR(SUM(X87:AJ87),-5000)*((Cockpit!$C$3)^0)</f>
        <v>49477.929279913486</v>
      </c>
      <c r="AL87" s="16">
        <f>INDEX('Team forecast'!$B$2:$AO$26,MATCH('Master data'!$B87,'Team forecast'!$B$2:$B$26,0),MATCH('Master data'!AL$1,'Team forecast'!$B$2:$AO$2,0))</f>
        <v>2.140423422331811</v>
      </c>
      <c r="AM87" s="16">
        <f>INDEX('Team forecast'!$B$2:$AO$26,MATCH('Master data'!$B87,'Team forecast'!$B$2:$B$26,0),MATCH('Master data'!AM$1,'Team forecast'!$B$2:$AO$2,0))</f>
        <v>0.80291922538135296</v>
      </c>
      <c r="AN87" s="16">
        <f>INDEX('Team forecast'!$B$2:$AO$26,MATCH('Master data'!$B87,'Team forecast'!$B$2:$B$26,0),MATCH('Master data'!AN$1,'Team forecast'!$B$2:$AO$2,0))</f>
        <v>0.44801918430198229</v>
      </c>
      <c r="AO87" s="16">
        <f>INDEX('Team forecast'!$B$2:$AO$26,MATCH('Master data'!$B87,'Team forecast'!$B$2:$B$26,0),MATCH('Master data'!AO$1,'Team forecast'!$B$2:$AO$2,0))</f>
        <v>5.5998104670734943</v>
      </c>
      <c r="AP87" s="16">
        <f>INDEX('Team forecast'!$B$2:$AO$26,MATCH('Master data'!$B87,'Team forecast'!$B$2:$B$26,0),MATCH('Master data'!AP$1,'Team forecast'!$B$2:$AO$2,0))</f>
        <v>2.4374333627648213</v>
      </c>
      <c r="AQ87" s="5">
        <f>X87</f>
        <v>7000</v>
      </c>
      <c r="AR87" s="5">
        <f>INDEX('Team forecast'!$B$2:$AO$26,MATCH('Master data'!$B87,'Team forecast'!$B$2:$B$26,0),MATCH('Master data'!AR$1,'Team forecast'!$B$2:$AO$2,0))*IF(X87&gt;0,25000,0)</f>
        <v>16800.719411324339</v>
      </c>
      <c r="AS87" s="16">
        <f>INDEX('Team forecast'!$B$2:$AO$26,MATCH('Master data'!$B87,'Team forecast'!$B$2:$B$26,0),MATCH('Master data'!AS$1,'Team forecast'!$B$2:$AO$2,0))*IF(X87&gt;0,5000,0)</f>
        <v>1086.42065477386</v>
      </c>
      <c r="AT87" s="16">
        <f>INDEX('Team forecast'!$B$2:$AO$26,MATCH('Master data'!$B87,'Team forecast'!$B$2:$B$26,0),MATCH('Master data'!AT$1,'Team forecast'!$B$2:$AO$2,0))*IF(X87&gt;0,-15000,0)</f>
        <v>-1660.3063888838174</v>
      </c>
      <c r="AU87" s="5">
        <f>IF($C87="Defense",$N87*150000,IF($C87="Midfield",$N87*125000,IF($C87="Striker",$N87*100000,0)))*$AL87</f>
        <v>0</v>
      </c>
      <c r="AV87" s="5">
        <f>$O87*50000*AL87</f>
        <v>0</v>
      </c>
      <c r="AW87" s="5">
        <f>$P87*AO87*10000</f>
        <v>0</v>
      </c>
      <c r="AX87" s="5">
        <f>IF($C87="Goalkeeper",AN87*75000,IF($C87="Defense",AN87*50000,0))</f>
        <v>33601.43882264867</v>
      </c>
      <c r="AY87" s="5">
        <f>IF($C87="Goalkeeper",(AP87-AM87)*5000,0)</f>
        <v>8172.5706869173418</v>
      </c>
      <c r="AZ87" s="5">
        <f>$AG87</f>
        <v>0</v>
      </c>
      <c r="BA87" s="5">
        <f>$AH87</f>
        <v>0</v>
      </c>
      <c r="BB87" s="5">
        <f>IF(X87&gt;0,AL87*10000,0)</f>
        <v>21404.234223318112</v>
      </c>
      <c r="BC87" s="5">
        <f>IF(X87&gt;0,AM87*(-8000),0)</f>
        <v>-6423.3538030508234</v>
      </c>
      <c r="BD87" s="5">
        <f>IFERROR(SUM(AQ87:BC87),0)</f>
        <v>79981.723607047694</v>
      </c>
      <c r="BE87" s="16">
        <f>INDEX('Team forecast'!$B$2:$AO$26,MATCH('Master data'!$B87,'Team forecast'!$B$2:$B$26,0),MATCH('Master data'!BE$1,'Team forecast'!$B$2:$AO$2,0))</f>
        <v>1.2965069481471114</v>
      </c>
      <c r="BF87" s="16">
        <f>INDEX('Team forecast'!$B$2:$AO$26,MATCH('Master data'!$B87,'Team forecast'!$B$2:$B$26,0),MATCH('Master data'!BF$1,'Team forecast'!$B$2:$AO$2,0))</f>
        <v>1.0107278258414167</v>
      </c>
      <c r="BG87" s="16">
        <f>INDEX('Team forecast'!$B$2:$AO$26,MATCH('Master data'!$B87,'Team forecast'!$B$2:$B$26,0),MATCH('Master data'!BG$1,'Team forecast'!$B$2:$AO$2,0))</f>
        <v>0.36395398803179979</v>
      </c>
      <c r="BH87" s="16">
        <f>INDEX('Team forecast'!$B$2:$AO$26,MATCH('Master data'!$B87,'Team forecast'!$B$2:$B$26,0),MATCH('Master data'!BH$1,'Team forecast'!$B$2:$AO$2,0))</f>
        <v>3.3919425021794698</v>
      </c>
      <c r="BI87" s="16">
        <f>INDEX('Team forecast'!$B$2:$AO$26,MATCH('Master data'!$B87,'Team forecast'!$B$2:$B$26,0),MATCH('Master data'!BI$1,'Team forecast'!$B$2:$AO$2,0))</f>
        <v>3.0682808998757292</v>
      </c>
      <c r="BJ87" s="5">
        <f>AQ87</f>
        <v>7000</v>
      </c>
      <c r="BK87" s="5">
        <f>INDEX('Team forecast'!$R$3:$BH$26,MATCH($B87,'Team forecast'!$B$3:$B$26,0),MATCH(BK$1,'Team forecast'!$R$2:$BH$2,0))*IF($X87&gt;0,25000,0)</f>
        <v>10270.375413343707</v>
      </c>
      <c r="BL87" s="5">
        <f>INDEX('Team forecast'!$R$3:$BH$26,MATCH($B87,'Team forecast'!$B$3:$B$26,0),MATCH(BL$1,'Team forecast'!$R$2:$BH$2,0))*IF($X87&gt;0,5000,0)</f>
        <v>1495.6234195681775</v>
      </c>
      <c r="BM87" s="5">
        <f>INDEX('Team forecast'!$R$3:$BH$26,MATCH($B87,'Team forecast'!$B$3:$B$26,0),MATCH(BM$1,'Team forecast'!$R$2:$BH$2,0))*IF($X87&gt;0,-15000,0)</f>
        <v>-4350.9044932892448</v>
      </c>
      <c r="BN87" s="5">
        <f>IF($C87="Defense",$N87*150000,IF($C87="Midfield",$N87*125000,IF($C87="Striker",$N87*100000,0)))*$BE87</f>
        <v>0</v>
      </c>
      <c r="BO87" s="5">
        <f>$O87*50000*$BE87</f>
        <v>0</v>
      </c>
      <c r="BP87" s="5">
        <f>$P87*BH87*10000</f>
        <v>0</v>
      </c>
      <c r="BQ87" s="5">
        <f>IF($C87="Goalkeeper",BG87*75000,IF($C87="Defense",BG87*50000,0))</f>
        <v>27296.549102384983</v>
      </c>
      <c r="BR87" s="5">
        <f>IF($C87="Goalkeeper",(BI87-BF87)*5000,0)</f>
        <v>10287.765370171563</v>
      </c>
      <c r="BS87" s="5">
        <f>$AG87</f>
        <v>0</v>
      </c>
      <c r="BT87" s="5">
        <f>$AH87</f>
        <v>0</v>
      </c>
      <c r="BU87" s="5">
        <f>IF(AQ87&gt;0,BE87*10000,0)</f>
        <v>12965.069481471115</v>
      </c>
      <c r="BV87" s="5">
        <f>IF(AQ87&gt;0,BF87*(-8000),0)</f>
        <v>-8085.8226067313335</v>
      </c>
      <c r="BW87" s="5">
        <f>IFERROR(SUM(BJ87:BV87),0)</f>
        <v>56878.655686918966</v>
      </c>
      <c r="BX87" s="5">
        <f>AVERAGE(AK87,BD87,BW87)</f>
        <v>62112.769524626718</v>
      </c>
      <c r="BY87" s="5">
        <f>BX87*3</f>
        <v>186338.30857388015</v>
      </c>
      <c r="BZ87" s="5">
        <f>INDEX('Team forecast'!$R$3:$BH$26,MATCH($B87,'Team forecast'!$B$3:$B$26,0),MATCH(BZ$1,'Team forecast'!$R$2:$BH$2,0))*($BX87-(BY87+CH87)*0.01)</f>
        <v>220.13633068431326</v>
      </c>
      <c r="CA87" s="5">
        <f>INDEX('Team forecast'!$R$3:$BH$26,MATCH($B87,'Team forecast'!$B$3:$B$26,0),MATCH(CA$1,'Team forecast'!$R$2:$BH$2,0))*($BX87-(BY87+BX87+CH87)*0.01)</f>
        <v>-170.54681210836156</v>
      </c>
      <c r="CB87" s="5">
        <f>INDEX('Team forecast'!$R$3:$BH$26,MATCH($B87,'Team forecast'!$B$3:$B$26,0),MATCH(CB$1,'Team forecast'!$R$2:$BH$2,0))*($BX87-(BY87+BX87*2+CH87)*0.01)</f>
        <v>-244.03399003144139</v>
      </c>
      <c r="CC87" s="5">
        <f>INDEX('Team forecast'!$R$3:$BH$26,MATCH($B87,'Team forecast'!$B$3:$B$26,0),MATCH(CC$1,'Team forecast'!$R$2:$BH$2,0))*($BX87-(BY87+BX87*3+CH87)*0.01)</f>
        <v>-232.47618427087602</v>
      </c>
      <c r="CD87" s="5">
        <f>+AK87+BD87*Cockpit!$C$3+BW87*Cockpit!$C$3^2+BZ87*Cockpit!$C$3^3+CA87*Cockpit!$C$3^4+CB87*Cockpit!$C$3^5+CC87*Cockpit!$C$3^6</f>
        <v>128057.47260396666</v>
      </c>
      <c r="CE87" s="5"/>
      <c r="CF87" s="5"/>
      <c r="CG87" s="5">
        <v>0</v>
      </c>
      <c r="CH87" s="5">
        <f t="shared" si="46"/>
        <v>6000000</v>
      </c>
      <c r="CI87" s="5">
        <f t="shared" si="47"/>
        <v>6000000</v>
      </c>
      <c r="CJ87" s="1">
        <f t="shared" si="48"/>
        <v>3.1056384762313358E-2</v>
      </c>
      <c r="CK87" s="5">
        <f>RANK(BY87,$BY$2:$BY$623)+COUNTIF($BY$2:$BY87,$BY87)-1</f>
        <v>61</v>
      </c>
      <c r="CL87" s="5">
        <f>RANK(CJ87,$CJ$2:$CJ$623)+COUNTIF($CJ$2:$CJ87,$CJ87)-1</f>
        <v>132</v>
      </c>
    </row>
    <row r="88" spans="1:90">
      <c r="A88" t="str">
        <f>Players!P89</f>
        <v>Corentin Tolisso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4000000</v>
      </c>
      <c r="H88" s="16">
        <f>INDEX('Team forecast'!$B$2:$AO$26,MATCH('Master data'!$B88,'Team forecast'!$B$2:$B$26,0),MATCH('Master data'!H$1,'Team forecast'!$B$2:$AO$2,0))</f>
        <v>1.2386203137003762</v>
      </c>
      <c r="I88" s="16">
        <f>INDEX('Team forecast'!$B$2:$AO$26,MATCH('Master data'!$B88,'Team forecast'!$B$2:$B$26,0),MATCH('Master data'!I$1,'Team forecast'!$B$2:$AO$2,0))</f>
        <v>1.2386203137003762</v>
      </c>
      <c r="J88" s="16">
        <f>INDEX('Team forecast'!$B$2:$AO$26,MATCH('Master data'!$B88,'Team forecast'!$B$2:$B$26,0),MATCH('Master data'!J$1,'Team forecast'!$B$2:$AO$2,0))</f>
        <v>0.28978375293296982</v>
      </c>
      <c r="K88" s="16">
        <f>INDEX('Team forecast'!$B$2:$AO$26,MATCH('Master data'!$B88,'Team forecast'!$B$2:$B$26,0),MATCH('Master data'!K$1,'Team forecast'!$B$2:$AO$2,0))</f>
        <v>3.2404985504377408</v>
      </c>
      <c r="L88" s="16">
        <f>INDEX('Team forecast'!$B$2:$AO$26,MATCH('Master data'!$B88,'Team forecast'!$B$2:$B$26,0),MATCH('Master data'!L$1,'Team forecast'!$B$2:$AO$2,0))</f>
        <v>3.7600973808761418</v>
      </c>
      <c r="M88">
        <f>IF(Players!BC89=1,95,0)</f>
        <v>0</v>
      </c>
      <c r="N88" s="2">
        <f>Players!BN89</f>
        <v>0</v>
      </c>
      <c r="O88" s="2">
        <f>Players!BO89</f>
        <v>0</v>
      </c>
      <c r="P88" s="2">
        <f>Players!BP89</f>
        <v>0</v>
      </c>
      <c r="Q88" s="2">
        <f>Players!BQ89</f>
        <v>0.14284061696658099</v>
      </c>
      <c r="R88" s="2">
        <f>Players!BR89</f>
        <v>0.06</v>
      </c>
      <c r="S88" s="2">
        <f>H88</f>
        <v>1.2386203137003762</v>
      </c>
      <c r="T88" s="2">
        <f>I88</f>
        <v>1.2386203137003762</v>
      </c>
      <c r="U88" s="16">
        <f>INDEX('Team forecast'!$B$2:$AO$26,MATCH('Master data'!$B88,'Team forecast'!$B$2:$B$26,0),MATCH('Master data'!U$1,'Team forecast'!$B$2:$AO$2,0))</f>
        <v>0.36933223413025562</v>
      </c>
      <c r="V88" s="16">
        <f>INDEX('Team forecast'!$B$2:$AO$26,MATCH('Master data'!$B88,'Team forecast'!$B$2:$B$26,0),MATCH('Master data'!V$1,'Team forecast'!$B$2:$AO$2,0))</f>
        <v>0.29431162407254741</v>
      </c>
      <c r="W88" s="16">
        <f>INDEX('Team forecast'!$B$2:$AO$26,MATCH('Master data'!$B88,'Team forecast'!$B$2:$B$26,0),MATCH('Master data'!W$1,'Team forecast'!$B$2:$AO$2,0))</f>
        <v>0.33635614179719708</v>
      </c>
      <c r="X88" s="5">
        <f>IF(M88&gt;95,7000*2,IF(M88&gt;0,7000,-5000))</f>
        <v>-5000</v>
      </c>
      <c r="Y88" s="5">
        <f>IF($X88&gt;0,U88*25000,0)</f>
        <v>0</v>
      </c>
      <c r="Z88" s="5">
        <f>IF($X88&gt;0,V88*5000,0)</f>
        <v>0</v>
      </c>
      <c r="AA88" s="5">
        <f>IF($X88&gt;0,W88*(-15000),0)</f>
        <v>0</v>
      </c>
      <c r="AB88" s="5">
        <f>IF($C88="Defense",$N88*150000,IF($C88="Midfield",$N88*125000,IF($C88="Striker",$N88*100000,0)))*$H88</f>
        <v>0</v>
      </c>
      <c r="AC88" s="5">
        <f>$O88*50000*H88</f>
        <v>0</v>
      </c>
      <c r="AD88" s="5">
        <f>$P88*K88*10000</f>
        <v>0</v>
      </c>
      <c r="AE88" s="5">
        <f>IF($C88="Goalkeeper",J88*75000,IF($C88="Defense",J88*50000,0))</f>
        <v>0</v>
      </c>
      <c r="AF88" s="5">
        <f>IF($C88="Goalkeeper",(L88-I88)*5000,0)</f>
        <v>0</v>
      </c>
      <c r="AG88" s="5">
        <f>IF(M88&gt;0,Q88*(-20000),0)</f>
        <v>0</v>
      </c>
      <c r="AH88" s="5">
        <f>IF(M88&gt;0,R88*(-50000),0)</f>
        <v>0</v>
      </c>
      <c r="AI88" s="5">
        <f>IF(M88&gt;0,S88*10000,0)</f>
        <v>0</v>
      </c>
      <c r="AJ88" s="5">
        <f>IF(M88&gt;0,T88*(-8000),0)</f>
        <v>0</v>
      </c>
      <c r="AK88" s="5">
        <f>IFERROR(SUM(X88:AJ88),-5000)*((Cockpit!$C$3)^0)</f>
        <v>-5000</v>
      </c>
      <c r="AL88" s="16">
        <f>INDEX('Team forecast'!$B$2:$AO$26,MATCH('Master data'!$B88,'Team forecast'!$B$2:$B$26,0),MATCH('Master data'!AL$1,'Team forecast'!$B$2:$AO$2,0))</f>
        <v>2.140423422331811</v>
      </c>
      <c r="AM88" s="16">
        <f>INDEX('Team forecast'!$B$2:$AO$26,MATCH('Master data'!$B88,'Team forecast'!$B$2:$B$26,0),MATCH('Master data'!AM$1,'Team forecast'!$B$2:$AO$2,0))</f>
        <v>0.80291922538135296</v>
      </c>
      <c r="AN88" s="16">
        <f>INDEX('Team forecast'!$B$2:$AO$26,MATCH('Master data'!$B88,'Team forecast'!$B$2:$B$26,0),MATCH('Master data'!AN$1,'Team forecast'!$B$2:$AO$2,0))</f>
        <v>0.44801918430198229</v>
      </c>
      <c r="AO88" s="16">
        <f>INDEX('Team forecast'!$B$2:$AO$26,MATCH('Master data'!$B88,'Team forecast'!$B$2:$B$26,0),MATCH('Master data'!AO$1,'Team forecast'!$B$2:$AO$2,0))</f>
        <v>5.5998104670734943</v>
      </c>
      <c r="AP88" s="16">
        <f>INDEX('Team forecast'!$B$2:$AO$26,MATCH('Master data'!$B88,'Team forecast'!$B$2:$B$26,0),MATCH('Master data'!AP$1,'Team forecast'!$B$2:$AO$2,0))</f>
        <v>2.4374333627648213</v>
      </c>
      <c r="AQ88" s="5">
        <f>X88</f>
        <v>-5000</v>
      </c>
      <c r="AR88" s="5">
        <f>INDEX('Team forecast'!$B$2:$AO$26,MATCH('Master data'!$B88,'Team forecast'!$B$2:$B$26,0),MATCH('Master data'!AR$1,'Team forecast'!$B$2:$AO$2,0))*IF(X88&gt;0,25000,0)</f>
        <v>0</v>
      </c>
      <c r="AS88" s="16">
        <f>INDEX('Team forecast'!$B$2:$AO$26,MATCH('Master data'!$B88,'Team forecast'!$B$2:$B$26,0),MATCH('Master data'!AS$1,'Team forecast'!$B$2:$AO$2,0))*IF(X88&gt;0,5000,0)</f>
        <v>0</v>
      </c>
      <c r="AT88" s="16">
        <f>INDEX('Team forecast'!$B$2:$AO$26,MATCH('Master data'!$B88,'Team forecast'!$B$2:$B$26,0),MATCH('Master data'!AT$1,'Team forecast'!$B$2:$AO$2,0))*IF(X88&gt;0,-15000,0)</f>
        <v>0</v>
      </c>
      <c r="AU88" s="5">
        <f>IF($C88="Defense",$N88*150000,IF($C88="Midfield",$N88*125000,IF($C88="Striker",$N88*100000,0)))*$AL88</f>
        <v>0</v>
      </c>
      <c r="AV88" s="5">
        <f>$O88*50000*AL88</f>
        <v>0</v>
      </c>
      <c r="AW88" s="5">
        <f>$P88*AO88*10000</f>
        <v>0</v>
      </c>
      <c r="AX88" s="5">
        <f>IF($C88="Goalkeeper",AN88*75000,IF($C88="Defense",AN88*50000,0))</f>
        <v>0</v>
      </c>
      <c r="AY88" s="5">
        <f>IF($C88="Goalkeeper",(AP88-AM88)*5000,0)</f>
        <v>0</v>
      </c>
      <c r="AZ88" s="5">
        <f>$AG88</f>
        <v>0</v>
      </c>
      <c r="BA88" s="5">
        <f>$AH88</f>
        <v>0</v>
      </c>
      <c r="BB88" s="5">
        <f>IF(X88&gt;0,AL88*10000,0)</f>
        <v>0</v>
      </c>
      <c r="BC88" s="5">
        <f>IF(X88&gt;0,AM88*(-8000),0)</f>
        <v>0</v>
      </c>
      <c r="BD88" s="5">
        <f>IFERROR(SUM(AQ88:BC88),0)</f>
        <v>-5000</v>
      </c>
      <c r="BE88" s="16">
        <f>INDEX('Team forecast'!$B$2:$AO$26,MATCH('Master data'!$B88,'Team forecast'!$B$2:$B$26,0),MATCH('Master data'!BE$1,'Team forecast'!$B$2:$AO$2,0))</f>
        <v>1.2965069481471114</v>
      </c>
      <c r="BF88" s="16">
        <f>INDEX('Team forecast'!$B$2:$AO$26,MATCH('Master data'!$B88,'Team forecast'!$B$2:$B$26,0),MATCH('Master data'!BF$1,'Team forecast'!$B$2:$AO$2,0))</f>
        <v>1.0107278258414167</v>
      </c>
      <c r="BG88" s="16">
        <f>INDEX('Team forecast'!$B$2:$AO$26,MATCH('Master data'!$B88,'Team forecast'!$B$2:$B$26,0),MATCH('Master data'!BG$1,'Team forecast'!$B$2:$AO$2,0))</f>
        <v>0.36395398803179979</v>
      </c>
      <c r="BH88" s="16">
        <f>INDEX('Team forecast'!$B$2:$AO$26,MATCH('Master data'!$B88,'Team forecast'!$B$2:$B$26,0),MATCH('Master data'!BH$1,'Team forecast'!$B$2:$AO$2,0))</f>
        <v>3.3919425021794698</v>
      </c>
      <c r="BI88" s="16">
        <f>INDEX('Team forecast'!$B$2:$AO$26,MATCH('Master data'!$B88,'Team forecast'!$B$2:$B$26,0),MATCH('Master data'!BI$1,'Team forecast'!$B$2:$AO$2,0))</f>
        <v>3.0682808998757292</v>
      </c>
      <c r="BJ88" s="5">
        <f>AQ88</f>
        <v>-5000</v>
      </c>
      <c r="BK88" s="5">
        <f>INDEX('Team forecast'!$R$3:$BH$26,MATCH($B88,'Team forecast'!$B$3:$B$26,0),MATCH(BK$1,'Team forecast'!$R$2:$BH$2,0))*IF($X88&gt;0,25000,0)</f>
        <v>0</v>
      </c>
      <c r="BL88" s="5">
        <f>INDEX('Team forecast'!$R$3:$BH$26,MATCH($B88,'Team forecast'!$B$3:$B$26,0),MATCH(BL$1,'Team forecast'!$R$2:$BH$2,0))*IF($X88&gt;0,5000,0)</f>
        <v>0</v>
      </c>
      <c r="BM88" s="5">
        <f>INDEX('Team forecast'!$R$3:$BH$26,MATCH($B88,'Team forecast'!$B$3:$B$26,0),MATCH(BM$1,'Team forecast'!$R$2:$BH$2,0))*IF($X88&gt;0,-15000,0)</f>
        <v>0</v>
      </c>
      <c r="BN88" s="5">
        <f>IF($C88="Defense",$N88*150000,IF($C88="Midfield",$N88*125000,IF($C88="Striker",$N88*100000,0)))*$BE88</f>
        <v>0</v>
      </c>
      <c r="BO88" s="5">
        <f>$O88*50000*$BE88</f>
        <v>0</v>
      </c>
      <c r="BP88" s="5">
        <f>$P88*BH88*10000</f>
        <v>0</v>
      </c>
      <c r="BQ88" s="5">
        <f>IF($C88="Goalkeeper",BG88*75000,IF($C88="Defense",BG88*50000,0))</f>
        <v>0</v>
      </c>
      <c r="BR88" s="5">
        <f>IF($C88="Goalkeeper",(BI88-BF88)*5000,0)</f>
        <v>0</v>
      </c>
      <c r="BS88" s="5">
        <f>$AG88</f>
        <v>0</v>
      </c>
      <c r="BT88" s="5">
        <f>$AH88</f>
        <v>0</v>
      </c>
      <c r="BU88" s="5">
        <f>IF(AQ88&gt;0,BE88*10000,0)</f>
        <v>0</v>
      </c>
      <c r="BV88" s="5">
        <f>IF(AQ88&gt;0,BF88*(-8000),0)</f>
        <v>0</v>
      </c>
      <c r="BW88" s="5">
        <f>IFERROR(SUM(BJ88:BV88),0)</f>
        <v>-5000</v>
      </c>
      <c r="BX88" s="5">
        <f>AVERAGE(AK88,BD88,BW88)</f>
        <v>-5000</v>
      </c>
      <c r="BY88" s="5">
        <f>BX88*3</f>
        <v>-15000</v>
      </c>
      <c r="BZ88" s="5">
        <f>INDEX('Team forecast'!$R$3:$BH$26,MATCH($B88,'Team forecast'!$B$3:$B$26,0),MATCH(BZ$1,'Team forecast'!$R$2:$BH$2,0))*($BX88-(BY88+CH88)*0.01)</f>
        <v>-39589.620330674152</v>
      </c>
      <c r="CA88" s="5">
        <f>INDEX('Team forecast'!$R$3:$BH$26,MATCH($B88,'Team forecast'!$B$3:$B$26,0),MATCH(CA$1,'Team forecast'!$R$2:$BH$2,0))*($BX88-(BY88+BX88+CH88)*0.01)</f>
        <v>-20553.2666922752</v>
      </c>
      <c r="CB88" s="5">
        <f>INDEX('Team forecast'!$R$3:$BH$26,MATCH($B88,'Team forecast'!$B$3:$B$26,0),MATCH(CB$1,'Team forecast'!$R$2:$BH$2,0))*($BX88-(BY88+BX88*2+CH88)*0.01)</f>
        <v>-10998.955135275246</v>
      </c>
      <c r="CC88" s="5">
        <f>INDEX('Team forecast'!$R$3:$BH$26,MATCH($B88,'Team forecast'!$B$3:$B$26,0),MATCH(CC$1,'Team forecast'!$R$2:$BH$2,0))*($BX88-(BY88+BX88*3+CH88)*0.01)</f>
        <v>-6438.4801896482641</v>
      </c>
      <c r="CD88" s="5">
        <f>+AK88+BD88*Cockpit!$C$3+BW88*Cockpit!$C$3^2+BZ88*Cockpit!$C$3^3+CA88*Cockpit!$C$3^4+CB88*Cockpit!$C$3^5+CC88*Cockpit!$C$3^6</f>
        <v>-28359.383841203235</v>
      </c>
      <c r="CE88" s="5"/>
      <c r="CF88" s="5"/>
      <c r="CG88" s="5">
        <v>0</v>
      </c>
      <c r="CH88" s="5">
        <f t="shared" si="46"/>
        <v>4000000</v>
      </c>
      <c r="CI88" s="5">
        <f t="shared" si="47"/>
        <v>4000000</v>
      </c>
      <c r="CJ88" s="1">
        <f t="shared" si="48"/>
        <v>-3.7499999999999999E-3</v>
      </c>
      <c r="CK88" s="5">
        <f>RANK(BY88,$BY$2:$BY$623)+COUNTIF($BY$2:$BY88,$BY88)-1</f>
        <v>448</v>
      </c>
      <c r="CL88" s="5">
        <f>RANK(CJ88,$CJ$2:$CJ$623)+COUNTIF($CJ$2:$CJ88,$CJ88)-1</f>
        <v>442</v>
      </c>
    </row>
    <row r="89" spans="1:90">
      <c r="A89" t="str">
        <f>Players!P90</f>
        <v>N'Golo Kanté</v>
      </c>
      <c r="B89" t="str">
        <f>Players!G90</f>
        <v>France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3500000</v>
      </c>
      <c r="H89" s="16">
        <f>INDEX('Team forecast'!$B$2:$AO$26,MATCH('Master data'!$B89,'Team forecast'!$B$2:$B$26,0),MATCH('Master data'!H$1,'Team forecast'!$B$2:$AO$2,0))</f>
        <v>1.2386203137003762</v>
      </c>
      <c r="I89" s="16">
        <f>INDEX('Team forecast'!$B$2:$AO$26,MATCH('Master data'!$B89,'Team forecast'!$B$2:$B$26,0),MATCH('Master data'!I$1,'Team forecast'!$B$2:$AO$2,0))</f>
        <v>1.2386203137003762</v>
      </c>
      <c r="J89" s="16">
        <f>INDEX('Team forecast'!$B$2:$AO$26,MATCH('Master data'!$B89,'Team forecast'!$B$2:$B$26,0),MATCH('Master data'!J$1,'Team forecast'!$B$2:$AO$2,0))</f>
        <v>0.28978375293296982</v>
      </c>
      <c r="K89" s="16">
        <f>INDEX('Team forecast'!$B$2:$AO$26,MATCH('Master data'!$B89,'Team forecast'!$B$2:$B$26,0),MATCH('Master data'!K$1,'Team forecast'!$B$2:$AO$2,0))</f>
        <v>3.2404985504377408</v>
      </c>
      <c r="L89" s="16">
        <f>INDEX('Team forecast'!$B$2:$AO$26,MATCH('Master data'!$B89,'Team forecast'!$B$2:$B$26,0),MATCH('Master data'!L$1,'Team forecast'!$B$2:$AO$2,0))</f>
        <v>3.7600973808761418</v>
      </c>
      <c r="M89">
        <f>IF(Players!BC90=1,95,0)</f>
        <v>0</v>
      </c>
      <c r="N89" s="2">
        <f>Players!BN90</f>
        <v>0</v>
      </c>
      <c r="O89" s="2">
        <f>Players!BO90</f>
        <v>0</v>
      </c>
      <c r="P89" s="2">
        <f>Players!BP90</f>
        <v>0</v>
      </c>
      <c r="Q89" s="2">
        <f>Players!BQ90</f>
        <v>0.14685314685314685</v>
      </c>
      <c r="R89" s="2">
        <f>Players!BR90</f>
        <v>0</v>
      </c>
      <c r="S89" s="2">
        <f>H89</f>
        <v>1.2386203137003762</v>
      </c>
      <c r="T89" s="2">
        <f>I89</f>
        <v>1.2386203137003762</v>
      </c>
      <c r="U89" s="16">
        <f>INDEX('Team forecast'!$B$2:$AO$26,MATCH('Master data'!$B89,'Team forecast'!$B$2:$B$26,0),MATCH('Master data'!U$1,'Team forecast'!$B$2:$AO$2,0))</f>
        <v>0.36933223413025562</v>
      </c>
      <c r="V89" s="16">
        <f>INDEX('Team forecast'!$B$2:$AO$26,MATCH('Master data'!$B89,'Team forecast'!$B$2:$B$26,0),MATCH('Master data'!V$1,'Team forecast'!$B$2:$AO$2,0))</f>
        <v>0.29431162407254741</v>
      </c>
      <c r="W89" s="16">
        <f>INDEX('Team forecast'!$B$2:$AO$26,MATCH('Master data'!$B89,'Team forecast'!$B$2:$B$26,0),MATCH('Master data'!W$1,'Team forecast'!$B$2:$AO$2,0))</f>
        <v>0.33635614179719708</v>
      </c>
      <c r="X89" s="5">
        <f>IF(M89&gt;95,7000*2,IF(M89&gt;0,7000,-5000))</f>
        <v>-5000</v>
      </c>
      <c r="Y89" s="5">
        <f>IF($X89&gt;0,U89*25000,0)</f>
        <v>0</v>
      </c>
      <c r="Z89" s="5">
        <f>IF($X89&gt;0,V89*5000,0)</f>
        <v>0</v>
      </c>
      <c r="AA89" s="5">
        <f>IF($X89&gt;0,W89*(-15000),0)</f>
        <v>0</v>
      </c>
      <c r="AB89" s="5">
        <f>IF($C89="Defense",$N89*150000,IF($C89="Midfield",$N89*125000,IF($C89="Striker",$N89*100000,0)))*$H89</f>
        <v>0</v>
      </c>
      <c r="AC89" s="5">
        <f>$O89*50000*H89</f>
        <v>0</v>
      </c>
      <c r="AD89" s="5">
        <f>$P89*K89*10000</f>
        <v>0</v>
      </c>
      <c r="AE89" s="5">
        <f>IF($C89="Goalkeeper",J89*75000,IF($C89="Defense",J89*50000,0))</f>
        <v>0</v>
      </c>
      <c r="AF89" s="5">
        <f>IF($C89="Goalkeeper",(L89-I89)*5000,0)</f>
        <v>0</v>
      </c>
      <c r="AG89" s="5">
        <f>IF(M89&gt;0,Q89*(-20000),0)</f>
        <v>0</v>
      </c>
      <c r="AH89" s="5">
        <f>IF(M89&gt;0,R89*(-50000),0)</f>
        <v>0</v>
      </c>
      <c r="AI89" s="5">
        <f>IF(M89&gt;0,S89*10000,0)</f>
        <v>0</v>
      </c>
      <c r="AJ89" s="5">
        <f>IF(M89&gt;0,T89*(-8000),0)</f>
        <v>0</v>
      </c>
      <c r="AK89" s="5">
        <f>IFERROR(SUM(X89:AJ89),-5000)*((Cockpit!$C$3)^0)</f>
        <v>-5000</v>
      </c>
      <c r="AL89" s="16">
        <f>INDEX('Team forecast'!$B$2:$AO$26,MATCH('Master data'!$B89,'Team forecast'!$B$2:$B$26,0),MATCH('Master data'!AL$1,'Team forecast'!$B$2:$AO$2,0))</f>
        <v>2.140423422331811</v>
      </c>
      <c r="AM89" s="16">
        <f>INDEX('Team forecast'!$B$2:$AO$26,MATCH('Master data'!$B89,'Team forecast'!$B$2:$B$26,0),MATCH('Master data'!AM$1,'Team forecast'!$B$2:$AO$2,0))</f>
        <v>0.80291922538135296</v>
      </c>
      <c r="AN89" s="16">
        <f>INDEX('Team forecast'!$B$2:$AO$26,MATCH('Master data'!$B89,'Team forecast'!$B$2:$B$26,0),MATCH('Master data'!AN$1,'Team forecast'!$B$2:$AO$2,0))</f>
        <v>0.44801918430198229</v>
      </c>
      <c r="AO89" s="16">
        <f>INDEX('Team forecast'!$B$2:$AO$26,MATCH('Master data'!$B89,'Team forecast'!$B$2:$B$26,0),MATCH('Master data'!AO$1,'Team forecast'!$B$2:$AO$2,0))</f>
        <v>5.5998104670734943</v>
      </c>
      <c r="AP89" s="16">
        <f>INDEX('Team forecast'!$B$2:$AO$26,MATCH('Master data'!$B89,'Team forecast'!$B$2:$B$26,0),MATCH('Master data'!AP$1,'Team forecast'!$B$2:$AO$2,0))</f>
        <v>2.4374333627648213</v>
      </c>
      <c r="AQ89" s="5">
        <f>X89</f>
        <v>-5000</v>
      </c>
      <c r="AR89" s="5">
        <f>INDEX('Team forecast'!$B$2:$AO$26,MATCH('Master data'!$B89,'Team forecast'!$B$2:$B$26,0),MATCH('Master data'!AR$1,'Team forecast'!$B$2:$AO$2,0))*IF(X89&gt;0,25000,0)</f>
        <v>0</v>
      </c>
      <c r="AS89" s="16">
        <f>INDEX('Team forecast'!$B$2:$AO$26,MATCH('Master data'!$B89,'Team forecast'!$B$2:$B$26,0),MATCH('Master data'!AS$1,'Team forecast'!$B$2:$AO$2,0))*IF(X89&gt;0,5000,0)</f>
        <v>0</v>
      </c>
      <c r="AT89" s="16">
        <f>INDEX('Team forecast'!$B$2:$AO$26,MATCH('Master data'!$B89,'Team forecast'!$B$2:$B$26,0),MATCH('Master data'!AT$1,'Team forecast'!$B$2:$AO$2,0))*IF(X89&gt;0,-15000,0)</f>
        <v>0</v>
      </c>
      <c r="AU89" s="5">
        <f>IF($C89="Defense",$N89*150000,IF($C89="Midfield",$N89*125000,IF($C89="Striker",$N89*100000,0)))*$AL89</f>
        <v>0</v>
      </c>
      <c r="AV89" s="5">
        <f>$O89*50000*AL89</f>
        <v>0</v>
      </c>
      <c r="AW89" s="5">
        <f>$P89*AO89*10000</f>
        <v>0</v>
      </c>
      <c r="AX89" s="5">
        <f>IF($C89="Goalkeeper",AN89*75000,IF($C89="Defense",AN89*50000,0))</f>
        <v>0</v>
      </c>
      <c r="AY89" s="5">
        <f>IF($C89="Goalkeeper",(AP89-AM89)*5000,0)</f>
        <v>0</v>
      </c>
      <c r="AZ89" s="5">
        <f>$AG89</f>
        <v>0</v>
      </c>
      <c r="BA89" s="5">
        <f>$AH89</f>
        <v>0</v>
      </c>
      <c r="BB89" s="5">
        <f>IF(X89&gt;0,AL89*10000,0)</f>
        <v>0</v>
      </c>
      <c r="BC89" s="5">
        <f>IF(X89&gt;0,AM89*(-8000),0)</f>
        <v>0</v>
      </c>
      <c r="BD89" s="5">
        <f>IFERROR(SUM(AQ89:BC89),0)</f>
        <v>-5000</v>
      </c>
      <c r="BE89" s="16">
        <f>INDEX('Team forecast'!$B$2:$AO$26,MATCH('Master data'!$B89,'Team forecast'!$B$2:$B$26,0),MATCH('Master data'!BE$1,'Team forecast'!$B$2:$AO$2,0))</f>
        <v>1.2965069481471114</v>
      </c>
      <c r="BF89" s="16">
        <f>INDEX('Team forecast'!$B$2:$AO$26,MATCH('Master data'!$B89,'Team forecast'!$B$2:$B$26,0),MATCH('Master data'!BF$1,'Team forecast'!$B$2:$AO$2,0))</f>
        <v>1.0107278258414167</v>
      </c>
      <c r="BG89" s="16">
        <f>INDEX('Team forecast'!$B$2:$AO$26,MATCH('Master data'!$B89,'Team forecast'!$B$2:$B$26,0),MATCH('Master data'!BG$1,'Team forecast'!$B$2:$AO$2,0))</f>
        <v>0.36395398803179979</v>
      </c>
      <c r="BH89" s="16">
        <f>INDEX('Team forecast'!$B$2:$AO$26,MATCH('Master data'!$B89,'Team forecast'!$B$2:$B$26,0),MATCH('Master data'!BH$1,'Team forecast'!$B$2:$AO$2,0))</f>
        <v>3.3919425021794698</v>
      </c>
      <c r="BI89" s="16">
        <f>INDEX('Team forecast'!$B$2:$AO$26,MATCH('Master data'!$B89,'Team forecast'!$B$2:$B$26,0),MATCH('Master data'!BI$1,'Team forecast'!$B$2:$AO$2,0))</f>
        <v>3.0682808998757292</v>
      </c>
      <c r="BJ89" s="5">
        <f>AQ89</f>
        <v>-5000</v>
      </c>
      <c r="BK89" s="5">
        <f>INDEX('Team forecast'!$R$3:$BH$26,MATCH($B89,'Team forecast'!$B$3:$B$26,0),MATCH(BK$1,'Team forecast'!$R$2:$BH$2,0))*IF($X89&gt;0,25000,0)</f>
        <v>0</v>
      </c>
      <c r="BL89" s="5">
        <f>INDEX('Team forecast'!$R$3:$BH$26,MATCH($B89,'Team forecast'!$B$3:$B$26,0),MATCH(BL$1,'Team forecast'!$R$2:$BH$2,0))*IF($X89&gt;0,5000,0)</f>
        <v>0</v>
      </c>
      <c r="BM89" s="5">
        <f>INDEX('Team forecast'!$R$3:$BH$26,MATCH($B89,'Team forecast'!$B$3:$B$26,0),MATCH(BM$1,'Team forecast'!$R$2:$BH$2,0))*IF($X89&gt;0,-15000,0)</f>
        <v>0</v>
      </c>
      <c r="BN89" s="5">
        <f>IF($C89="Defense",$N89*150000,IF($C89="Midfield",$N89*125000,IF($C89="Striker",$N89*100000,0)))*$BE89</f>
        <v>0</v>
      </c>
      <c r="BO89" s="5">
        <f>$O89*50000*$BE89</f>
        <v>0</v>
      </c>
      <c r="BP89" s="5">
        <f>$P89*BH89*10000</f>
        <v>0</v>
      </c>
      <c r="BQ89" s="5">
        <f>IF($C89="Goalkeeper",BG89*75000,IF($C89="Defense",BG89*50000,0))</f>
        <v>0</v>
      </c>
      <c r="BR89" s="5">
        <f>IF($C89="Goalkeeper",(BI89-BF89)*5000,0)</f>
        <v>0</v>
      </c>
      <c r="BS89" s="5">
        <f>$AG89</f>
        <v>0</v>
      </c>
      <c r="BT89" s="5">
        <f>$AH89</f>
        <v>0</v>
      </c>
      <c r="BU89" s="5">
        <f>IF(AQ89&gt;0,BE89*10000,0)</f>
        <v>0</v>
      </c>
      <c r="BV89" s="5">
        <f>IF(AQ89&gt;0,BF89*(-8000),0)</f>
        <v>0</v>
      </c>
      <c r="BW89" s="5">
        <f>IFERROR(SUM(BJ89:BV89),0)</f>
        <v>-5000</v>
      </c>
      <c r="BX89" s="5">
        <f>AVERAGE(AK89,BD89,BW89)</f>
        <v>-5000</v>
      </c>
      <c r="BY89" s="5">
        <f>BX89*3</f>
        <v>-15000</v>
      </c>
      <c r="BZ89" s="5">
        <f>INDEX('Team forecast'!$R$3:$BH$26,MATCH($B89,'Team forecast'!$B$3:$B$26,0),MATCH(BZ$1,'Team forecast'!$R$2:$BH$2,0))*($BX89-(BY89+CH89)*0.01)</f>
        <v>-35176.061765381608</v>
      </c>
      <c r="CA89" s="5">
        <f>INDEX('Team forecast'!$R$3:$BH$26,MATCH($B89,'Team forecast'!$B$3:$B$26,0),MATCH(CA$1,'Team forecast'!$R$2:$BH$2,0))*($BX89-(BY89+BX89+CH89)*0.01)</f>
        <v>-18259.375320369483</v>
      </c>
      <c r="CB89" s="5">
        <f>INDEX('Team forecast'!$R$3:$BH$26,MATCH($B89,'Team forecast'!$B$3:$B$26,0),MATCH(CB$1,'Team forecast'!$R$2:$BH$2,0))*($BX89-(BY89+BX89*2+CH89)*0.01)</f>
        <v>-9770.0216006076207</v>
      </c>
      <c r="CC89" s="5">
        <f>INDEX('Team forecast'!$R$3:$BH$26,MATCH($B89,'Team forecast'!$B$3:$B$26,0),MATCH(CC$1,'Team forecast'!$R$2:$BH$2,0))*($BX89-(BY89+BX89*3+CH89)*0.01)</f>
        <v>-5718.2922489717248</v>
      </c>
      <c r="CD89" s="5">
        <f>+AK89+BD89*Cockpit!$C$3+BW89*Cockpit!$C$3^2+BZ89*Cockpit!$C$3^3+CA89*Cockpit!$C$3^4+CB89*Cockpit!$C$3^5+CC89*Cockpit!$C$3^6</f>
        <v>-26373.487194853435</v>
      </c>
      <c r="CE89" s="5"/>
      <c r="CF89" s="5"/>
      <c r="CG89" s="5">
        <v>0</v>
      </c>
      <c r="CH89" s="5">
        <f t="shared" si="46"/>
        <v>3500000</v>
      </c>
      <c r="CI89" s="5">
        <f t="shared" si="47"/>
        <v>3500000</v>
      </c>
      <c r="CJ89" s="1">
        <f t="shared" si="48"/>
        <v>-4.2857142857142859E-3</v>
      </c>
      <c r="CK89" s="5">
        <f>RANK(BY89,$BY$2:$BY$623)+COUNTIF($BY$2:$BY89,$BY89)-1</f>
        <v>449</v>
      </c>
      <c r="CL89" s="5">
        <f>RANK(CJ89,$CJ$2:$CJ$623)+COUNTIF($CJ$2:$CJ89,$CJ89)-1</f>
        <v>458</v>
      </c>
    </row>
    <row r="90" spans="1:90">
      <c r="A90" t="str">
        <f>Players!P91</f>
        <v>Xherdan Shaqiri</v>
      </c>
      <c r="B90" t="str">
        <f>Players!G91</f>
        <v>Switzerland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4000000</v>
      </c>
      <c r="H90" s="16">
        <f>INDEX('Team forecast'!$B$2:$AO$26,MATCH('Master data'!$B90,'Team forecast'!$B$2:$B$26,0),MATCH('Master data'!H$1,'Team forecast'!$B$2:$AO$2,0))</f>
        <v>1.162032718107336</v>
      </c>
      <c r="I90" s="16">
        <f>INDEX('Team forecast'!$B$2:$AO$26,MATCH('Master data'!$B90,'Team forecast'!$B$2:$B$26,0),MATCH('Master data'!I$1,'Team forecast'!$B$2:$AO$2,0))</f>
        <v>0.87435064565555498</v>
      </c>
      <c r="J90" s="16">
        <f>INDEX('Team forecast'!$B$2:$AO$26,MATCH('Master data'!$B90,'Team forecast'!$B$2:$B$26,0),MATCH('Master data'!J$1,'Team forecast'!$B$2:$AO$2,0))</f>
        <v>0.41713279874828868</v>
      </c>
      <c r="K90" s="16">
        <f>INDEX('Team forecast'!$B$2:$AO$26,MATCH('Master data'!$B90,'Team forecast'!$B$2:$B$26,0),MATCH('Master data'!K$1,'Team forecast'!$B$2:$AO$2,0))</f>
        <v>3.2487816133000873</v>
      </c>
      <c r="L90" s="16">
        <f>INDEX('Team forecast'!$B$2:$AO$26,MATCH('Master data'!$B90,'Team forecast'!$B$2:$B$26,0),MATCH('Master data'!L$1,'Team forecast'!$B$2:$AO$2,0))</f>
        <v>2.3631098531231216</v>
      </c>
      <c r="M90">
        <f>IF(Players!BC91=1,95,0)</f>
        <v>95</v>
      </c>
      <c r="N90" s="2">
        <f>Players!BN91</f>
        <v>7.3964048990777964E-2</v>
      </c>
      <c r="O90" s="2">
        <f>Players!BO91</f>
        <v>0.1831865378175474</v>
      </c>
      <c r="P90" s="2">
        <f>Players!BP91</f>
        <v>0</v>
      </c>
      <c r="Q90" s="2">
        <f>Players!BQ91</f>
        <v>0.16274864376130199</v>
      </c>
      <c r="R90" s="2">
        <f>Players!BR91</f>
        <v>0</v>
      </c>
      <c r="S90" s="2">
        <f>H90</f>
        <v>1.162032718107336</v>
      </c>
      <c r="T90" s="2">
        <f>I90</f>
        <v>0.87435064565555498</v>
      </c>
      <c r="U90" s="16">
        <f>INDEX('Team forecast'!$B$2:$AO$26,MATCH('Master data'!$B90,'Team forecast'!$B$2:$B$26,0),MATCH('Master data'!U$1,'Team forecast'!$B$2:$AO$2,0))</f>
        <v>0.43653432427146488</v>
      </c>
      <c r="V90" s="16">
        <f>INDEX('Team forecast'!$B$2:$AO$26,MATCH('Master data'!$B90,'Team forecast'!$B$2:$B$26,0),MATCH('Master data'!V$1,'Team forecast'!$B$2:$AO$2,0))</f>
        <v>0.30275767651085472</v>
      </c>
      <c r="W90" s="16">
        <f>INDEX('Team forecast'!$B$2:$AO$26,MATCH('Master data'!$B90,'Team forecast'!$B$2:$B$26,0),MATCH('Master data'!W$1,'Team forecast'!$B$2:$AO$2,0))</f>
        <v>0.2607079992176804</v>
      </c>
      <c r="X90" s="5">
        <f>IF(M90&gt;95,7000*2,IF(M90&gt;0,7000,-5000))</f>
        <v>7000</v>
      </c>
      <c r="Y90" s="5">
        <f>IF($X90&gt;0,U90*25000,0)</f>
        <v>10913.358106786622</v>
      </c>
      <c r="Z90" s="5">
        <f>IF($X90&gt;0,V90*5000,0)</f>
        <v>1513.7883825542735</v>
      </c>
      <c r="AA90" s="5">
        <f>IF($X90&gt;0,W90*(-15000),0)</f>
        <v>-3910.6199882652058</v>
      </c>
      <c r="AB90" s="5">
        <f>IF($C90="Defense",$N90*150000,IF($C90="Midfield",$N90*125000,IF($C90="Striker",$N90*100000,0)))*$H90</f>
        <v>10743.580611372236</v>
      </c>
      <c r="AC90" s="5">
        <f>$O90*50000*H90</f>
        <v>10643.437523039845</v>
      </c>
      <c r="AD90" s="5">
        <f>$P90*K90*10000</f>
        <v>0</v>
      </c>
      <c r="AE90" s="5">
        <f>IF($C90="Goalkeeper",J90*75000,IF($C90="Defense",J90*50000,0))</f>
        <v>0</v>
      </c>
      <c r="AF90" s="5">
        <f>IF($C90="Goalkeeper",(L90-I90)*5000,0)</f>
        <v>0</v>
      </c>
      <c r="AG90" s="5">
        <f>IF(M90&gt;0,Q90*(-20000),0)</f>
        <v>-3254.9728752260398</v>
      </c>
      <c r="AH90" s="5">
        <f>IF(M90&gt;0,R90*(-50000),0)</f>
        <v>0</v>
      </c>
      <c r="AI90" s="5">
        <f>IF(M90&gt;0,S90*10000,0)</f>
        <v>11620.32718107336</v>
      </c>
      <c r="AJ90" s="5">
        <f>IF(M90&gt;0,T90*(-8000),0)</f>
        <v>-6994.8051652444401</v>
      </c>
      <c r="AK90" s="5">
        <f>IFERROR(SUM(X90:AJ90),-5000)*((Cockpit!$C$3)^0)</f>
        <v>38274.093776090653</v>
      </c>
      <c r="AL90" s="16">
        <f>INDEX('Team forecast'!$B$2:$AO$26,MATCH('Master data'!$B90,'Team forecast'!$B$2:$B$26,0),MATCH('Master data'!AL$1,'Team forecast'!$B$2:$AO$2,0))</f>
        <v>0.79620558314709244</v>
      </c>
      <c r="AM90" s="16">
        <f>INDEX('Team forecast'!$B$2:$AO$26,MATCH('Master data'!$B90,'Team forecast'!$B$2:$B$26,0),MATCH('Master data'!AM$1,'Team forecast'!$B$2:$AO$2,0))</f>
        <v>1.5198357804321134</v>
      </c>
      <c r="AN90" s="16">
        <f>INDEX('Team forecast'!$B$2:$AO$26,MATCH('Master data'!$B90,'Team forecast'!$B$2:$B$26,0),MATCH('Master data'!AN$1,'Team forecast'!$B$2:$AO$2,0))</f>
        <v>0.21874780667306151</v>
      </c>
      <c r="AO90" s="16">
        <f>INDEX('Team forecast'!$B$2:$AO$26,MATCH('Master data'!$B90,'Team forecast'!$B$2:$B$26,0),MATCH('Master data'!AO$1,'Team forecast'!$B$2:$AO$2,0))</f>
        <v>2.2260113838689839</v>
      </c>
      <c r="AP90" s="16">
        <f>INDEX('Team forecast'!$B$2:$AO$26,MATCH('Master data'!$B90,'Team forecast'!$B$2:$B$26,0),MATCH('Master data'!AP$1,'Team forecast'!$B$2:$AO$2,0))</f>
        <v>4.1076642714381446</v>
      </c>
      <c r="AQ90" s="5">
        <f>X90</f>
        <v>7000</v>
      </c>
      <c r="AR90" s="5">
        <f>INDEX('Team forecast'!$B$2:$AO$26,MATCH('Master data'!$B90,'Team forecast'!$B$2:$B$26,0),MATCH('Master data'!AR$1,'Team forecast'!$B$2:$AO$2,0))*IF(X90&gt;0,25000,0)</f>
        <v>4305.3545586107102</v>
      </c>
      <c r="AS90" s="16">
        <f>INDEX('Team forecast'!$B$2:$AO$26,MATCH('Master data'!$B90,'Team forecast'!$B$2:$B$26,0),MATCH('Master data'!AS$1,'Team forecast'!$B$2:$AO$2,0))*IF(X90&gt;0,5000,0)</f>
        <v>1353.111432706223</v>
      </c>
      <c r="AT90" s="16">
        <f>INDEX('Team forecast'!$B$2:$AO$26,MATCH('Master data'!$B90,'Team forecast'!$B$2:$B$26,0),MATCH('Master data'!AT$1,'Team forecast'!$B$2:$AO$2,0))*IF(X90&gt;0,-15000,0)</f>
        <v>-8357.4529667149072</v>
      </c>
      <c r="AU90" s="5">
        <f>IF($C90="Defense",$N90*150000,IF($C90="Midfield",$N90*125000,IF($C90="Striker",$N90*100000,0)))*$AL90</f>
        <v>7361.3235948278107</v>
      </c>
      <c r="AV90" s="5">
        <f>$O90*50000*AL90</f>
        <v>7292.7072083858611</v>
      </c>
      <c r="AW90" s="5">
        <f>$P90*AO90*10000</f>
        <v>0</v>
      </c>
      <c r="AX90" s="5">
        <f>IF($C90="Goalkeeper",AN90*75000,IF($C90="Defense",AN90*50000,0))</f>
        <v>0</v>
      </c>
      <c r="AY90" s="5">
        <f>IF($C90="Goalkeeper",(AP90-AM90)*5000,0)</f>
        <v>0</v>
      </c>
      <c r="AZ90" s="5">
        <f>$AG90</f>
        <v>-3254.9728752260398</v>
      </c>
      <c r="BA90" s="5">
        <f>$AH90</f>
        <v>0</v>
      </c>
      <c r="BB90" s="5">
        <f>IF(X90&gt;0,AL90*10000,0)</f>
        <v>7962.0558314709242</v>
      </c>
      <c r="BC90" s="5">
        <f>IF(X90&gt;0,AM90*(-8000),0)</f>
        <v>-12158.686243456907</v>
      </c>
      <c r="BD90" s="5">
        <f>IFERROR(SUM(AQ90:BC90),0)</f>
        <v>11503.440540603677</v>
      </c>
      <c r="BE90" s="16">
        <f>INDEX('Team forecast'!$B$2:$AO$26,MATCH('Master data'!$B90,'Team forecast'!$B$2:$B$26,0),MATCH('Master data'!BE$1,'Team forecast'!$B$2:$AO$2,0))</f>
        <v>1.3677883945550393</v>
      </c>
      <c r="BF90" s="16">
        <f>INDEX('Team forecast'!$B$2:$AO$26,MATCH('Master data'!$B90,'Team forecast'!$B$2:$B$26,0),MATCH('Master data'!BF$1,'Team forecast'!$B$2:$AO$2,0))</f>
        <v>1.2246875509143662</v>
      </c>
      <c r="BG90" s="16">
        <f>INDEX('Team forecast'!$B$2:$AO$26,MATCH('Master data'!$B90,'Team forecast'!$B$2:$B$26,0),MATCH('Master data'!BG$1,'Team forecast'!$B$2:$AO$2,0))</f>
        <v>0.29384949898885449</v>
      </c>
      <c r="BH90" s="16">
        <f>INDEX('Team forecast'!$B$2:$AO$26,MATCH('Master data'!$B90,'Team forecast'!$B$2:$B$26,0),MATCH('Master data'!BH$1,'Team forecast'!$B$2:$AO$2,0))</f>
        <v>3.8240281171714834</v>
      </c>
      <c r="BI90" s="16">
        <f>INDEX('Team forecast'!$B$2:$AO$26,MATCH('Master data'!$B90,'Team forecast'!$B$2:$B$26,0),MATCH('Master data'!BI$1,'Team forecast'!$B$2:$AO$2,0))</f>
        <v>3.3099663538226114</v>
      </c>
      <c r="BJ90" s="5">
        <f>AQ90</f>
        <v>7000</v>
      </c>
      <c r="BK90" s="5">
        <f>INDEX('Team forecast'!$R$3:$BH$26,MATCH($B90,'Team forecast'!$B$3:$B$26,0),MATCH(BK$1,'Team forecast'!$R$2:$BH$2,0))*IF($X90&gt;0,25000,0)</f>
        <v>9745.0088950385434</v>
      </c>
      <c r="BL90" s="5">
        <f>INDEX('Team forecast'!$R$3:$BH$26,MATCH($B90,'Team forecast'!$B$3:$B$26,0),MATCH(BL$1,'Team forecast'!$R$2:$BH$2,0))*IF($X90&gt;0,5000,0)</f>
        <v>1404.4277525202608</v>
      </c>
      <c r="BM90" s="5">
        <f>INDEX('Team forecast'!$R$3:$BH$26,MATCH($B90,'Team forecast'!$B$3:$B$26,0),MATCH(BM$1,'Team forecast'!$R$2:$BH$2,0))*IF($X90&gt;0,-15000,0)</f>
        <v>-4939.7114054160902</v>
      </c>
      <c r="BN90" s="5">
        <f>IF($C90="Defense",$N90*150000,IF($C90="Midfield",$N90*125000,IF($C90="Striker",$N90*100000,0)))*$BE90</f>
        <v>12645.895977985809</v>
      </c>
      <c r="BO90" s="5">
        <f>$O90*50000*$BE90</f>
        <v>12528.021023277957</v>
      </c>
      <c r="BP90" s="5">
        <f>$P90*BH90*10000</f>
        <v>0</v>
      </c>
      <c r="BQ90" s="5">
        <f>IF($C90="Goalkeeper",BG90*75000,IF($C90="Defense",BG90*50000,0))</f>
        <v>0</v>
      </c>
      <c r="BR90" s="5">
        <f>IF($C90="Goalkeeper",(BI90-BF90)*5000,0)</f>
        <v>0</v>
      </c>
      <c r="BS90" s="5">
        <f>$AG90</f>
        <v>-3254.9728752260398</v>
      </c>
      <c r="BT90" s="5">
        <f>$AH90</f>
        <v>0</v>
      </c>
      <c r="BU90" s="5">
        <f>IF(AQ90&gt;0,BE90*10000,0)</f>
        <v>13677.883945550393</v>
      </c>
      <c r="BV90" s="5">
        <f>IF(AQ90&gt;0,BF90*(-8000),0)</f>
        <v>-9797.5004073149303</v>
      </c>
      <c r="BW90" s="5">
        <f>IFERROR(SUM(BJ90:BV90),0)</f>
        <v>39009.052906415898</v>
      </c>
      <c r="BX90" s="5">
        <f>AVERAGE(AK90,BD90,BW90)</f>
        <v>29595.529074370075</v>
      </c>
      <c r="BY90" s="5">
        <f>BX90*3</f>
        <v>88786.587223110226</v>
      </c>
      <c r="BZ90" s="5">
        <f>INDEX('Team forecast'!$R$3:$BH$26,MATCH($B90,'Team forecast'!$B$3:$B$26,0),MATCH(BZ$1,'Team forecast'!$R$2:$BH$2,0))*($BX90-(BY90+CH90)*0.01)</f>
        <v>-7209.4714799777257</v>
      </c>
      <c r="CA90" s="5">
        <f>INDEX('Team forecast'!$R$3:$BH$26,MATCH($B90,'Team forecast'!$B$3:$B$26,0),MATCH(CA$1,'Team forecast'!$R$2:$BH$2,0))*($BX90-(BY90+BX90+CH90)*0.01)</f>
        <v>-3647.1596517044513</v>
      </c>
      <c r="CB90" s="5">
        <f>INDEX('Team forecast'!$R$3:$BH$26,MATCH($B90,'Team forecast'!$B$3:$B$26,0),MATCH(CB$1,'Team forecast'!$R$2:$BH$2,0))*($BX90-(BY90+BX90*2+CH90)*0.01)</f>
        <v>-1819.912373888051</v>
      </c>
      <c r="CC90" s="5">
        <f>INDEX('Team forecast'!$R$3:$BH$26,MATCH($B90,'Team forecast'!$B$3:$B$26,0),MATCH(CC$1,'Team forecast'!$R$2:$BH$2,0))*($BX90-(BY90+BX90*3+CH90)*0.01)</f>
        <v>-866.22030041967196</v>
      </c>
      <c r="CD90" s="5">
        <f>+AK90+BD90*Cockpit!$C$3+BW90*Cockpit!$C$3^2+BZ90*Cockpit!$C$3^3+CA90*Cockpit!$C$3^4+CB90*Cockpit!$C$3^5+CC90*Cockpit!$C$3^6</f>
        <v>60108.138670152919</v>
      </c>
      <c r="CE90" s="5"/>
      <c r="CF90" s="5"/>
      <c r="CG90" s="5">
        <v>0</v>
      </c>
      <c r="CH90" s="5">
        <f t="shared" si="46"/>
        <v>4000000</v>
      </c>
      <c r="CI90" s="5">
        <f t="shared" si="47"/>
        <v>4000000</v>
      </c>
      <c r="CJ90" s="1">
        <f t="shared" si="48"/>
        <v>2.2196646805777556E-2</v>
      </c>
      <c r="CK90" s="5">
        <f>RANK(BY90,$BY$2:$BY$623)+COUNTIF($BY$2:$BY90,$BY90)-1</f>
        <v>193</v>
      </c>
      <c r="CL90" s="5">
        <f>RANK(CJ90,$CJ$2:$CJ$623)+COUNTIF($CJ$2:$CJ90,$CJ90)-1</f>
        <v>241</v>
      </c>
    </row>
    <row r="91" spans="1:90">
      <c r="A91" t="str">
        <f>Players!P92</f>
        <v>Christian Eriksen</v>
      </c>
      <c r="B91" t="str">
        <f>Players!G92</f>
        <v>Denmark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6000000</v>
      </c>
      <c r="H91" s="16">
        <f>INDEX('Team forecast'!$B$2:$AO$26,MATCH('Master data'!$B91,'Team forecast'!$B$2:$B$26,0),MATCH('Master data'!H$1,'Team forecast'!$B$2:$AO$2,0))</f>
        <v>1.6608440904336361</v>
      </c>
      <c r="I91" s="16">
        <f>INDEX('Team forecast'!$B$2:$AO$26,MATCH('Master data'!$B91,'Team forecast'!$B$2:$B$26,0),MATCH('Master data'!I$1,'Team forecast'!$B$2:$AO$2,0))</f>
        <v>0.59952758650922311</v>
      </c>
      <c r="J91" s="16">
        <f>INDEX('Team forecast'!$B$2:$AO$26,MATCH('Master data'!$B91,'Team forecast'!$B$2:$B$26,0),MATCH('Master data'!J$1,'Team forecast'!$B$2:$AO$2,0))</f>
        <v>0.54907096336484029</v>
      </c>
      <c r="K91" s="16">
        <f>INDEX('Team forecast'!$B$2:$AO$26,MATCH('Master data'!$B91,'Team forecast'!$B$2:$B$26,0),MATCH('Master data'!K$1,'Team forecast'!$B$2:$AO$2,0))</f>
        <v>4.1898566826848551</v>
      </c>
      <c r="L91" s="16">
        <f>INDEX('Team forecast'!$B$2:$AO$26,MATCH('Master data'!$B91,'Team forecast'!$B$2:$B$26,0),MATCH('Master data'!L$1,'Team forecast'!$B$2:$AO$2,0))</f>
        <v>1.7709122555349361</v>
      </c>
      <c r="M91">
        <f>IF(Players!BC92=1,95,0)</f>
        <v>95</v>
      </c>
      <c r="N91" s="2">
        <f>Players!BN92</f>
        <v>0.10753744332885137</v>
      </c>
      <c r="O91" s="2">
        <f>Players!BO92</f>
        <v>0.12589968683243796</v>
      </c>
      <c r="P91" s="2">
        <f>Players!BP92</f>
        <v>0.17497423132226803</v>
      </c>
      <c r="Q91" s="2">
        <f>Players!BQ92</f>
        <v>3.2327586206896554E-2</v>
      </c>
      <c r="R91" s="2">
        <f>Players!BR92</f>
        <v>0</v>
      </c>
      <c r="S91" s="2">
        <f>H91</f>
        <v>1.6608440904336361</v>
      </c>
      <c r="T91" s="2">
        <f>I91</f>
        <v>0.59952758650922311</v>
      </c>
      <c r="U91" s="16">
        <f>INDEX('Team forecast'!$B$2:$AO$26,MATCH('Master data'!$B91,'Team forecast'!$B$2:$B$26,0),MATCH('Master data'!U$1,'Team forecast'!$B$2:$AO$2,0))</f>
        <v>0.65509845973874048</v>
      </c>
      <c r="V91" s="16">
        <f>INDEX('Team forecast'!$B$2:$AO$26,MATCH('Master data'!$B91,'Team forecast'!$B$2:$B$26,0),MATCH('Master data'!V$1,'Team forecast'!$B$2:$AO$2,0))</f>
        <v>0.22616494443361279</v>
      </c>
      <c r="W91" s="16">
        <f>INDEX('Team forecast'!$B$2:$AO$26,MATCH('Master data'!$B91,'Team forecast'!$B$2:$B$26,0),MATCH('Master data'!W$1,'Team forecast'!$B$2:$AO$2,0))</f>
        <v>0.1187365958276467</v>
      </c>
      <c r="X91" s="5">
        <f>IF(M91&gt;95,7000*2,IF(M91&gt;0,7000,-5000))</f>
        <v>7000</v>
      </c>
      <c r="Y91" s="5">
        <f>IF($X91&gt;0,U91*25000,0)</f>
        <v>16377.461493468512</v>
      </c>
      <c r="Z91" s="5">
        <f>IF($X91&gt;0,V91*5000,0)</f>
        <v>1130.824722168064</v>
      </c>
      <c r="AA91" s="5">
        <f>IF($X91&gt;0,W91*(-15000),0)</f>
        <v>-1781.0489374147005</v>
      </c>
      <c r="AB91" s="5">
        <f>IF($C91="Defense",$N91*150000,IF($C91="Midfield",$N91*125000,IF($C91="Striker",$N91*100000,0)))*$H91</f>
        <v>22325.365906633106</v>
      </c>
      <c r="AC91" s="5">
        <f>$O91*50000*H91</f>
        <v>10454.987543155003</v>
      </c>
      <c r="AD91" s="5">
        <f>$P91*K91*10000</f>
        <v>7331.1695240325034</v>
      </c>
      <c r="AE91" s="5">
        <f>IF($C91="Goalkeeper",J91*75000,IF($C91="Defense",J91*50000,0))</f>
        <v>0</v>
      </c>
      <c r="AF91" s="5">
        <f>IF($C91="Goalkeeper",(L91-I91)*5000,0)</f>
        <v>0</v>
      </c>
      <c r="AG91" s="5">
        <f>IF(M91&gt;0,Q91*(-20000),0)</f>
        <v>-646.55172413793105</v>
      </c>
      <c r="AH91" s="5">
        <f>IF(M91&gt;0,R91*(-50000),0)</f>
        <v>0</v>
      </c>
      <c r="AI91" s="5">
        <f>IF(M91&gt;0,S91*10000,0)</f>
        <v>16608.440904336363</v>
      </c>
      <c r="AJ91" s="5">
        <f>IF(M91&gt;0,T91*(-8000),0)</f>
        <v>-4796.2206920737844</v>
      </c>
      <c r="AK91" s="5">
        <f>IFERROR(SUM(X91:AJ91),-5000)*((Cockpit!$C$3)^0)</f>
        <v>74004.428740167146</v>
      </c>
      <c r="AL91" s="16">
        <f>INDEX('Team forecast'!$B$2:$AO$26,MATCH('Master data'!$B91,'Team forecast'!$B$2:$B$26,0),MATCH('Master data'!AL$1,'Team forecast'!$B$2:$AO$2,0))</f>
        <v>1.1610121970988967</v>
      </c>
      <c r="AM91" s="16">
        <f>INDEX('Team forecast'!$B$2:$AO$26,MATCH('Master data'!$B91,'Team forecast'!$B$2:$B$26,0),MATCH('Master data'!AM$1,'Team forecast'!$B$2:$AO$2,0))</f>
        <v>1.5279674504451852</v>
      </c>
      <c r="AN91" s="16">
        <f>INDEX('Team forecast'!$B$2:$AO$26,MATCH('Master data'!$B91,'Team forecast'!$B$2:$B$26,0),MATCH('Master data'!AN$1,'Team forecast'!$B$2:$AO$2,0))</f>
        <v>0.21697623437572761</v>
      </c>
      <c r="AO91" s="16">
        <f>INDEX('Team forecast'!$B$2:$AO$26,MATCH('Master data'!$B91,'Team forecast'!$B$2:$B$26,0),MATCH('Master data'!AO$1,'Team forecast'!$B$2:$AO$2,0))</f>
        <v>2.9289171335903985</v>
      </c>
      <c r="AP91" s="16">
        <f>INDEX('Team forecast'!$B$2:$AO$26,MATCH('Master data'!$B91,'Team forecast'!$B$2:$B$26,0),MATCH('Master data'!AP$1,'Team forecast'!$B$2:$AO$2,0))</f>
        <v>4.5133807766996243</v>
      </c>
      <c r="AQ91" s="5">
        <f>X91</f>
        <v>7000</v>
      </c>
      <c r="AR91" s="5">
        <f>INDEX('Team forecast'!$B$2:$AO$26,MATCH('Master data'!$B91,'Team forecast'!$B$2:$B$26,0),MATCH('Master data'!AR$1,'Team forecast'!$B$2:$AO$2,0))*IF(X91&gt;0,25000,0)</f>
        <v>6348.0209111277081</v>
      </c>
      <c r="AS91" s="16">
        <f>INDEX('Team forecast'!$B$2:$AO$26,MATCH('Master data'!$B91,'Team forecast'!$B$2:$B$26,0),MATCH('Master data'!AS$1,'Team forecast'!$B$2:$AO$2,0))*IF(X91&gt;0,5000,0)</f>
        <v>1381.628080657207</v>
      </c>
      <c r="AT91" s="16">
        <f>INDEX('Team forecast'!$B$2:$AO$26,MATCH('Master data'!$B91,'Team forecast'!$B$2:$B$26,0),MATCH('Master data'!AT$1,'Team forecast'!$B$2:$AO$2,0))*IF(X91&gt;0,-15000,0)</f>
        <v>-7046.3032113517547</v>
      </c>
      <c r="AU91" s="5">
        <f>IF($C91="Defense",$N91*150000,IF($C91="Midfield",$N91*125000,IF($C91="Striker",$N91*100000,0)))*$AL91</f>
        <v>15606.535418703477</v>
      </c>
      <c r="AV91" s="5">
        <f>$O91*50000*AL91</f>
        <v>7308.5536011695922</v>
      </c>
      <c r="AW91" s="5">
        <f>$P91*AO91*10000</f>
        <v>5124.8502405660056</v>
      </c>
      <c r="AX91" s="5">
        <f>IF($C91="Goalkeeper",AN91*75000,IF($C91="Defense",AN91*50000,0))</f>
        <v>0</v>
      </c>
      <c r="AY91" s="5">
        <f>IF($C91="Goalkeeper",(AP91-AM91)*5000,0)</f>
        <v>0</v>
      </c>
      <c r="AZ91" s="5">
        <f>$AG91</f>
        <v>-646.55172413793105</v>
      </c>
      <c r="BA91" s="5">
        <f>$AH91</f>
        <v>0</v>
      </c>
      <c r="BB91" s="5">
        <f>IF(X91&gt;0,AL91*10000,0)</f>
        <v>11610.121970988966</v>
      </c>
      <c r="BC91" s="5">
        <f>IF(X91&gt;0,AM91*(-8000),0)</f>
        <v>-12223.739603561482</v>
      </c>
      <c r="BD91" s="5">
        <f>IFERROR(SUM(AQ91:BC91),0)</f>
        <v>34463.115684161792</v>
      </c>
      <c r="BE91" s="16">
        <f>INDEX('Team forecast'!$B$2:$AO$26,MATCH('Master data'!$B91,'Team forecast'!$B$2:$B$26,0),MATCH('Master data'!BE$1,'Team forecast'!$B$2:$AO$2,0))</f>
        <v>1.5053002864585165</v>
      </c>
      <c r="BF91" s="16">
        <f>INDEX('Team forecast'!$B$2:$AO$26,MATCH('Master data'!$B91,'Team forecast'!$B$2:$B$26,0),MATCH('Master data'!BF$1,'Team forecast'!$B$2:$AO$2,0))</f>
        <v>0.95602347631827322</v>
      </c>
      <c r="BG91" s="16">
        <f>INDEX('Team forecast'!$B$2:$AO$26,MATCH('Master data'!$B91,'Team forecast'!$B$2:$B$26,0),MATCH('Master data'!BG$1,'Team forecast'!$B$2:$AO$2,0))</f>
        <v>0.38441849991338989</v>
      </c>
      <c r="BH91" s="16">
        <f>INDEX('Team forecast'!$B$2:$AO$26,MATCH('Master data'!$B91,'Team forecast'!$B$2:$B$26,0),MATCH('Master data'!BH$1,'Team forecast'!$B$2:$AO$2,0))</f>
        <v>3.7974620862930761</v>
      </c>
      <c r="BI91" s="16">
        <f>INDEX('Team forecast'!$B$2:$AO$26,MATCH('Master data'!$B91,'Team forecast'!$B$2:$B$26,0),MATCH('Master data'!BI$1,'Team forecast'!$B$2:$AO$2,0))</f>
        <v>2.8239462685093613</v>
      </c>
      <c r="BJ91" s="5">
        <f>AQ91</f>
        <v>7000</v>
      </c>
      <c r="BK91" s="5">
        <f>INDEX('Team forecast'!$R$3:$BH$26,MATCH($B91,'Team forecast'!$B$3:$B$26,0),MATCH(BK$1,'Team forecast'!$R$2:$BH$2,0))*IF($X91&gt;0,25000,0)</f>
        <v>12073.445349038628</v>
      </c>
      <c r="BL91" s="5">
        <f>INDEX('Team forecast'!$R$3:$BH$26,MATCH($B91,'Team forecast'!$B$3:$B$26,0),MATCH(BL$1,'Team forecast'!$R$2:$BH$2,0))*IF($X91&gt;0,5000,0)</f>
        <v>1413.30330850511</v>
      </c>
      <c r="BM91" s="5">
        <f>INDEX('Team forecast'!$R$3:$BH$26,MATCH($B91,'Team forecast'!$B$3:$B$26,0),MATCH(BM$1,'Team forecast'!$R$2:$BH$2,0))*IF($X91&gt;0,-15000,0)</f>
        <v>-3516.0228650614931</v>
      </c>
      <c r="BN91" s="5">
        <f>IF($C91="Defense",$N91*150000,IF($C91="Midfield",$N91*125000,IF($C91="Striker",$N91*100000,0)))*$BE91</f>
        <v>20234.518030992058</v>
      </c>
      <c r="BO91" s="5">
        <f>$O91*50000*$BE91</f>
        <v>9475.8417326953204</v>
      </c>
      <c r="BP91" s="5">
        <f>$P91*BH91*10000</f>
        <v>6644.5800952458721</v>
      </c>
      <c r="BQ91" s="5">
        <f>IF($C91="Goalkeeper",BG91*75000,IF($C91="Defense",BG91*50000,0))</f>
        <v>0</v>
      </c>
      <c r="BR91" s="5">
        <f>IF($C91="Goalkeeper",(BI91-BF91)*5000,0)</f>
        <v>0</v>
      </c>
      <c r="BS91" s="5">
        <f>$AG91</f>
        <v>-646.55172413793105</v>
      </c>
      <c r="BT91" s="5">
        <f>$AH91</f>
        <v>0</v>
      </c>
      <c r="BU91" s="5">
        <f>IF(AQ91&gt;0,BE91*10000,0)</f>
        <v>15053.002864585165</v>
      </c>
      <c r="BV91" s="5">
        <f>IF(AQ91&gt;0,BF91*(-8000),0)</f>
        <v>-7648.1878105461856</v>
      </c>
      <c r="BW91" s="5">
        <f>IFERROR(SUM(BJ91:BV91),0)</f>
        <v>60083.928981316545</v>
      </c>
      <c r="BX91" s="5">
        <f>AVERAGE(AK91,BD91,BW91)</f>
        <v>56183.824468548497</v>
      </c>
      <c r="BY91" s="5">
        <f>BX91*3</f>
        <v>168551.47340564549</v>
      </c>
      <c r="BZ91" s="5">
        <f>INDEX('Team forecast'!$R$3:$BH$26,MATCH($B91,'Team forecast'!$B$3:$B$26,0),MATCH(BZ$1,'Team forecast'!$R$2:$BH$2,0))*($BX91-(BY91+CH91)*0.01)</f>
        <v>-4467.8939238651446</v>
      </c>
      <c r="CA91" s="5">
        <f>INDEX('Team forecast'!$R$3:$BH$26,MATCH($B91,'Team forecast'!$B$3:$B$26,0),MATCH(CA$1,'Team forecast'!$R$2:$BH$2,0))*($BX91-(BY91+BX91+CH91)*0.01)</f>
        <v>-2443.8848087371298</v>
      </c>
      <c r="CB91" s="5">
        <f>INDEX('Team forecast'!$R$3:$BH$26,MATCH($B91,'Team forecast'!$B$3:$B$26,0),MATCH(CB$1,'Team forecast'!$R$2:$BH$2,0))*($BX91-(BY91+BX91*2+CH91)*0.01)</f>
        <v>-1316.4543479099113</v>
      </c>
      <c r="CC91" s="5">
        <f>INDEX('Team forecast'!$R$3:$BH$26,MATCH($B91,'Team forecast'!$B$3:$B$26,0),MATCH(CC$1,'Team forecast'!$R$2:$BH$2,0))*($BX91-(BY91+BX91*3+CH91)*0.01)</f>
        <v>-687.87139017037282</v>
      </c>
      <c r="CD91" s="5">
        <f>+AK91+BD91*Cockpit!$C$3+BW91*Cockpit!$C$3^2+BZ91*Cockpit!$C$3^3+CA91*Cockpit!$C$3^4+CB91*Cockpit!$C$3^5+CC91*Cockpit!$C$3^6</f>
        <v>121643.49503106688</v>
      </c>
      <c r="CE91" s="5"/>
      <c r="CF91" s="5"/>
      <c r="CG91" s="5">
        <v>0</v>
      </c>
      <c r="CH91" s="5">
        <f t="shared" si="46"/>
        <v>6000000</v>
      </c>
      <c r="CI91" s="5">
        <f t="shared" si="47"/>
        <v>6000000</v>
      </c>
      <c r="CJ91" s="1">
        <f t="shared" si="48"/>
        <v>2.8091912234274249E-2</v>
      </c>
      <c r="CK91" s="5">
        <f>RANK(BY91,$BY$2:$BY$623)+COUNTIF($BY$2:$BY91,$BY91)-1</f>
        <v>79</v>
      </c>
      <c r="CL91" s="5">
        <f>RANK(CJ91,$CJ$2:$CJ$623)+COUNTIF($CJ$2:$CJ91,$CJ91)-1</f>
        <v>166</v>
      </c>
    </row>
    <row r="92" spans="1:90">
      <c r="A92" t="str">
        <f>Players!P93</f>
        <v>Marcelo Brozović</v>
      </c>
      <c r="B92" t="str">
        <f>Players!G93</f>
        <v>Croatia</v>
      </c>
      <c r="C92" t="str">
        <f>Players!AB93</f>
        <v>Midfield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3000000</v>
      </c>
      <c r="H92" s="16">
        <f>INDEX('Team forecast'!$B$2:$AO$26,MATCH('Master data'!$B92,'Team forecast'!$B$2:$B$26,0),MATCH('Master data'!H$1,'Team forecast'!$B$2:$AO$2,0))</f>
        <v>0.74990395996081205</v>
      </c>
      <c r="I92" s="16">
        <f>INDEX('Team forecast'!$B$2:$AO$26,MATCH('Master data'!$B92,'Team forecast'!$B$2:$B$26,0),MATCH('Master data'!I$1,'Team forecast'!$B$2:$AO$2,0))</f>
        <v>1.5223243214152651</v>
      </c>
      <c r="J92" s="16">
        <f>INDEX('Team forecast'!$B$2:$AO$26,MATCH('Master data'!$B92,'Team forecast'!$B$2:$B$26,0),MATCH('Master data'!J$1,'Team forecast'!$B$2:$AO$2,0))</f>
        <v>0.21820412056434271</v>
      </c>
      <c r="K92" s="16">
        <f>INDEX('Team forecast'!$B$2:$AO$26,MATCH('Master data'!$B92,'Team forecast'!$B$2:$B$26,0),MATCH('Master data'!K$1,'Team forecast'!$B$2:$AO$2,0))</f>
        <v>2.1270003227979397</v>
      </c>
      <c r="L92" s="16">
        <f>INDEX('Team forecast'!$B$2:$AO$26,MATCH('Master data'!$B92,'Team forecast'!$B$2:$B$26,0),MATCH('Master data'!L$1,'Team forecast'!$B$2:$AO$2,0))</f>
        <v>4.9475540445996113</v>
      </c>
      <c r="M92">
        <f>IF(Players!BC93=1,95,0)</f>
        <v>95</v>
      </c>
      <c r="N92" s="2">
        <f>Players!BN93</f>
        <v>6.1207979254597748E-2</v>
      </c>
      <c r="O92" s="2">
        <f>Players!BO93</f>
        <v>0.16735038539072253</v>
      </c>
      <c r="P92" s="2">
        <f>Players!BP93</f>
        <v>2.9261260536364356E-2</v>
      </c>
      <c r="Q92" s="2">
        <f>Players!BQ93</f>
        <v>0.3718568665377176</v>
      </c>
      <c r="R92" s="2">
        <f>Players!BR93</f>
        <v>3.4816247582205029E-2</v>
      </c>
      <c r="S92" s="2">
        <f>H92</f>
        <v>0.74990395996081205</v>
      </c>
      <c r="T92" s="2">
        <f>I92</f>
        <v>1.5223243214152651</v>
      </c>
      <c r="U92" s="16">
        <f>INDEX('Team forecast'!$B$2:$AO$26,MATCH('Master data'!$B92,'Team forecast'!$B$2:$B$26,0),MATCH('Master data'!U$1,'Team forecast'!$B$2:$AO$2,0))</f>
        <v>0.17178615309883699</v>
      </c>
      <c r="V92" s="16">
        <f>INDEX('Team forecast'!$B$2:$AO$26,MATCH('Master data'!$B92,'Team forecast'!$B$2:$B$26,0),MATCH('Master data'!V$1,'Team forecast'!$B$2:$AO$2,0))</f>
        <v>0.26245106723433442</v>
      </c>
      <c r="W92" s="16">
        <f>INDEX('Team forecast'!$B$2:$AO$26,MATCH('Master data'!$B92,'Team forecast'!$B$2:$B$26,0),MATCH('Master data'!W$1,'Team forecast'!$B$2:$AO$2,0))</f>
        <v>0.56576277966682864</v>
      </c>
      <c r="X92" s="5">
        <f>IF(M92&gt;95,7000*2,IF(M92&gt;0,7000,-5000))</f>
        <v>7000</v>
      </c>
      <c r="Y92" s="5">
        <f>IF($X92&gt;0,U92*25000,0)</f>
        <v>4294.6538274709246</v>
      </c>
      <c r="Z92" s="5">
        <f>IF($X92&gt;0,V92*5000,0)</f>
        <v>1312.2553361716721</v>
      </c>
      <c r="AA92" s="5">
        <f>IF($X92&gt;0,W92*(-15000),0)</f>
        <v>-8486.4416950024297</v>
      </c>
      <c r="AB92" s="5">
        <f>IF($C92="Defense",$N92*150000,IF($C92="Midfield",$N92*125000,IF($C92="Striker",$N92*100000,0)))*$H92</f>
        <v>5737.5132530277606</v>
      </c>
      <c r="AC92" s="5">
        <f>$O92*50000*H92</f>
        <v>6274.8358352735422</v>
      </c>
      <c r="AD92" s="5">
        <f>$P92*K92*10000</f>
        <v>622.38710606321604</v>
      </c>
      <c r="AE92" s="5">
        <f>IF($C92="Goalkeeper",J92*75000,IF($C92="Defense",J92*50000,0))</f>
        <v>0</v>
      </c>
      <c r="AF92" s="5">
        <f>IF($C92="Goalkeeper",(L92-I92)*5000,0)</f>
        <v>0</v>
      </c>
      <c r="AG92" s="5">
        <f>IF(M92&gt;0,Q92*(-20000),0)</f>
        <v>-7437.1373307543518</v>
      </c>
      <c r="AH92" s="5">
        <f>IF(M92&gt;0,R92*(-50000),0)</f>
        <v>-1740.8123791102514</v>
      </c>
      <c r="AI92" s="5">
        <f>IF(M92&gt;0,S92*10000,0)</f>
        <v>7499.0395996081206</v>
      </c>
      <c r="AJ92" s="5">
        <f>IF(M92&gt;0,T92*(-8000),0)</f>
        <v>-12178.594571322121</v>
      </c>
      <c r="AK92" s="5">
        <f>IFERROR(SUM(X92:AJ92),-5000)*((Cockpit!$C$3)^0)</f>
        <v>2897.6989814260833</v>
      </c>
      <c r="AL92" s="16">
        <f>INDEX('Team forecast'!$B$2:$AO$26,MATCH('Master data'!$B92,'Team forecast'!$B$2:$B$26,0),MATCH('Master data'!AL$1,'Team forecast'!$B$2:$AO$2,0))</f>
        <v>1.3846696653928885</v>
      </c>
      <c r="AM92" s="16">
        <f>INDEX('Team forecast'!$B$2:$AO$26,MATCH('Master data'!$B92,'Team forecast'!$B$2:$B$26,0),MATCH('Master data'!AM$1,'Team forecast'!$B$2:$AO$2,0))</f>
        <v>0.97920455728472433</v>
      </c>
      <c r="AN92" s="16">
        <f>INDEX('Team forecast'!$B$2:$AO$26,MATCH('Master data'!$B92,'Team forecast'!$B$2:$B$26,0),MATCH('Master data'!AN$1,'Team forecast'!$B$2:$AO$2,0))</f>
        <v>0.37560975609756098</v>
      </c>
      <c r="AO92" s="16">
        <f>INDEX('Team forecast'!$B$2:$AO$26,MATCH('Master data'!$B92,'Team forecast'!$B$2:$B$26,0),MATCH('Master data'!AO$1,'Team forecast'!$B$2:$AO$2,0))</f>
        <v>3.9274266872961929</v>
      </c>
      <c r="AP92" s="16">
        <f>INDEX('Team forecast'!$B$2:$AO$26,MATCH('Master data'!$B92,'Team forecast'!$B$2:$B$26,0),MATCH('Master data'!AP$1,'Team forecast'!$B$2:$AO$2,0))</f>
        <v>3.1824148111753541</v>
      </c>
      <c r="AQ92" s="5">
        <f>X92</f>
        <v>7000</v>
      </c>
      <c r="AR92" s="5">
        <f>INDEX('Team forecast'!$B$2:$AO$26,MATCH('Master data'!$B92,'Team forecast'!$B$2:$B$26,0),MATCH('Master data'!AR$1,'Team forecast'!$B$2:$AO$2,0))*IF(X92&gt;0,25000,0)</f>
        <v>11178.861788617885</v>
      </c>
      <c r="AS92" s="16">
        <f>INDEX('Team forecast'!$B$2:$AO$26,MATCH('Master data'!$B92,'Team forecast'!$B$2:$B$26,0),MATCH('Master data'!AS$1,'Team forecast'!$B$2:$AO$2,0))*IF(X92&gt;0,5000,0)</f>
        <v>1422.7642276422764</v>
      </c>
      <c r="AT92" s="16">
        <f>INDEX('Team forecast'!$B$2:$AO$26,MATCH('Master data'!$B92,'Team forecast'!$B$2:$B$26,0),MATCH('Master data'!AT$1,'Team forecast'!$B$2:$AO$2,0))*IF(X92&gt;0,-15000,0)</f>
        <v>-4024.3902439024391</v>
      </c>
      <c r="AU92" s="5">
        <f>IF($C92="Defense",$N92*150000,IF($C92="Midfield",$N92*125000,IF($C92="Striker",$N92*100000,0)))*$AL92</f>
        <v>10594.104019229841</v>
      </c>
      <c r="AV92" s="5">
        <f>$O92*50000*AL92</f>
        <v>11586.250107117134</v>
      </c>
      <c r="AW92" s="5">
        <f>$P92*AO92*10000</f>
        <v>1149.2145553444429</v>
      </c>
      <c r="AX92" s="5">
        <f>IF($C92="Goalkeeper",AN92*75000,IF($C92="Defense",AN92*50000,0))</f>
        <v>0</v>
      </c>
      <c r="AY92" s="5">
        <f>IF($C92="Goalkeeper",(AP92-AM92)*5000,0)</f>
        <v>0</v>
      </c>
      <c r="AZ92" s="5">
        <f>$AG92</f>
        <v>-7437.1373307543518</v>
      </c>
      <c r="BA92" s="5">
        <f>$AH92</f>
        <v>-1740.8123791102514</v>
      </c>
      <c r="BB92" s="5">
        <f>IF(X92&gt;0,AL92*10000,0)</f>
        <v>13846.696653928884</v>
      </c>
      <c r="BC92" s="5">
        <f>IF(X92&gt;0,AM92*(-8000),0)</f>
        <v>-7833.6364582777951</v>
      </c>
      <c r="BD92" s="5">
        <f>IFERROR(SUM(AQ92:BC92),0)</f>
        <v>35741.914939835624</v>
      </c>
      <c r="BE92" s="16">
        <f>INDEX('Team forecast'!$B$2:$AO$26,MATCH('Master data'!$B92,'Team forecast'!$B$2:$B$26,0),MATCH('Master data'!BE$1,'Team forecast'!$B$2:$AO$2,0))</f>
        <v>1.5039270856478595</v>
      </c>
      <c r="BF92" s="16">
        <f>INDEX('Team forecast'!$B$2:$AO$26,MATCH('Master data'!$B92,'Team forecast'!$B$2:$B$26,0),MATCH('Master data'!BF$1,'Team forecast'!$B$2:$AO$2,0))</f>
        <v>0.82681690399773144</v>
      </c>
      <c r="BG92" s="16">
        <f>INDEX('Team forecast'!$B$2:$AO$26,MATCH('Master data'!$B92,'Team forecast'!$B$2:$B$26,0),MATCH('Master data'!BG$1,'Team forecast'!$B$2:$AO$2,0))</f>
        <v>0.43743948445487602</v>
      </c>
      <c r="BH92" s="16">
        <f>INDEX('Team forecast'!$B$2:$AO$26,MATCH('Master data'!$B92,'Team forecast'!$B$2:$B$26,0),MATCH('Master data'!BH$1,'Team forecast'!$B$2:$AO$2,0))</f>
        <v>4.2656840974739287</v>
      </c>
      <c r="BI92" s="16">
        <f>INDEX('Team forecast'!$B$2:$AO$26,MATCH('Master data'!$B92,'Team forecast'!$B$2:$B$26,0),MATCH('Master data'!BI$1,'Team forecast'!$B$2:$AO$2,0))</f>
        <v>2.6871549379926272</v>
      </c>
      <c r="BJ92" s="5">
        <f>AQ92</f>
        <v>7000</v>
      </c>
      <c r="BK92" s="5">
        <f>INDEX('Team forecast'!$R$3:$BH$26,MATCH($B92,'Team forecast'!$B$3:$B$26,0),MATCH(BK$1,'Team forecast'!$R$2:$BH$2,0))*IF($X92&gt;0,25000,0)</f>
        <v>12935.038518826977</v>
      </c>
      <c r="BL92" s="5">
        <f>INDEX('Team forecast'!$R$3:$BH$26,MATCH($B92,'Team forecast'!$B$3:$B$26,0),MATCH(BL$1,'Team forecast'!$R$2:$BH$2,0))*IF($X92&gt;0,5000,0)</f>
        <v>1355.4462898601791</v>
      </c>
      <c r="BM92" s="5">
        <f>INDEX('Team forecast'!$R$3:$BH$26,MATCH($B92,'Team forecast'!$B$3:$B$26,0),MATCH(BM$1,'Team forecast'!$R$2:$BH$2,0))*IF($X92&gt;0,-15000,0)</f>
        <v>-3172.6380191232765</v>
      </c>
      <c r="BN92" s="5">
        <f>IF($C92="Defense",$N92*150000,IF($C92="Midfield",$N92*125000,IF($C92="Striker",$N92*100000,0)))*$BE92</f>
        <v>11506.542232345229</v>
      </c>
      <c r="BO92" s="5">
        <f>$O92*50000*$BE92</f>
        <v>12584.138869135772</v>
      </c>
      <c r="BP92" s="5">
        <f>$P92*BH92*10000</f>
        <v>1248.1929374201088</v>
      </c>
      <c r="BQ92" s="5">
        <f>IF($C92="Goalkeeper",BG92*75000,IF($C92="Defense",BG92*50000,0))</f>
        <v>0</v>
      </c>
      <c r="BR92" s="5">
        <f>IF($C92="Goalkeeper",(BI92-BF92)*5000,0)</f>
        <v>0</v>
      </c>
      <c r="BS92" s="5">
        <f>$AG92</f>
        <v>-7437.1373307543518</v>
      </c>
      <c r="BT92" s="5">
        <f>$AH92</f>
        <v>-1740.8123791102514</v>
      </c>
      <c r="BU92" s="5">
        <f>IF(AQ92&gt;0,BE92*10000,0)</f>
        <v>15039.270856478595</v>
      </c>
      <c r="BV92" s="5">
        <f>IF(AQ92&gt;0,BF92*(-8000),0)</f>
        <v>-6614.5352319818512</v>
      </c>
      <c r="BW92" s="5">
        <f>IFERROR(SUM(BJ92:BV92),0)</f>
        <v>42703.506743097132</v>
      </c>
      <c r="BX92" s="5">
        <f>AVERAGE(AK92,BD92,BW92)</f>
        <v>27114.373554786278</v>
      </c>
      <c r="BY92" s="5">
        <f>BX92*3</f>
        <v>81343.120664358838</v>
      </c>
      <c r="BZ92" s="5">
        <f>INDEX('Team forecast'!$R$3:$BH$26,MATCH($B92,'Team forecast'!$B$3:$B$26,0),MATCH(BZ$1,'Team forecast'!$R$2:$BH$2,0))*($BX92-(BY92+CH92)*0.01)</f>
        <v>-2761.015988278773</v>
      </c>
      <c r="CA92" s="5">
        <f>INDEX('Team forecast'!$R$3:$BH$26,MATCH($B92,'Team forecast'!$B$3:$B$26,0),MATCH(CA$1,'Team forecast'!$R$2:$BH$2,0))*($BX92-(BY92+BX92+CH92)*0.01)</f>
        <v>-1464.4729604811935</v>
      </c>
      <c r="CB92" s="5">
        <f>INDEX('Team forecast'!$R$3:$BH$26,MATCH($B92,'Team forecast'!$B$3:$B$26,0),MATCH(CB$1,'Team forecast'!$R$2:$BH$2,0))*($BX92-(BY92+BX92*2+CH92)*0.01)</f>
        <v>-764.92308194238558</v>
      </c>
      <c r="CC92" s="5">
        <f>INDEX('Team forecast'!$R$3:$BH$26,MATCH($B92,'Team forecast'!$B$3:$B$26,0),MATCH(CC$1,'Team forecast'!$R$2:$BH$2,0))*($BX92-(BY92+BX92*3+CH92)*0.01)</f>
        <v>-383.14862040041874</v>
      </c>
      <c r="CD92" s="5">
        <f>+AK92+BD92*Cockpit!$C$3+BW92*Cockpit!$C$3^2+BZ92*Cockpit!$C$3^3+CA92*Cockpit!$C$3^4+CB92*Cockpit!$C$3^5+CC92*Cockpit!$C$3^6</f>
        <v>44463.253382213428</v>
      </c>
      <c r="CE92" s="5"/>
      <c r="CF92" s="5"/>
      <c r="CG92" s="5">
        <v>0</v>
      </c>
      <c r="CH92" s="5">
        <f t="shared" si="46"/>
        <v>3000000</v>
      </c>
      <c r="CI92" s="5">
        <f t="shared" si="47"/>
        <v>3000000</v>
      </c>
      <c r="CJ92" s="1">
        <f t="shared" si="48"/>
        <v>2.711437355478628E-2</v>
      </c>
      <c r="CK92" s="5">
        <f>RANK(BY92,$BY$2:$BY$623)+COUNTIF($BY$2:$BY92,$BY92)-1</f>
        <v>211</v>
      </c>
      <c r="CL92" s="5">
        <f>RANK(CJ92,$CJ$2:$CJ$623)+COUNTIF($CJ$2:$CJ92,$CJ92)-1</f>
        <v>181</v>
      </c>
    </row>
    <row r="93" spans="1:90">
      <c r="A93" t="str">
        <f>Players!P94</f>
        <v>Josip Brekalo</v>
      </c>
      <c r="B93" t="str">
        <f>Players!G94</f>
        <v>Croatia</v>
      </c>
      <c r="C93" t="str">
        <f>Players!AB94</f>
        <v>Striker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4000000</v>
      </c>
      <c r="H93" s="16">
        <f>INDEX('Team forecast'!$B$2:$AO$26,MATCH('Master data'!$B93,'Team forecast'!$B$2:$B$26,0),MATCH('Master data'!H$1,'Team forecast'!$B$2:$AO$2,0))</f>
        <v>0.74990395996081205</v>
      </c>
      <c r="I93" s="16">
        <f>INDEX('Team forecast'!$B$2:$AO$26,MATCH('Master data'!$B93,'Team forecast'!$B$2:$B$26,0),MATCH('Master data'!I$1,'Team forecast'!$B$2:$AO$2,0))</f>
        <v>1.5223243214152651</v>
      </c>
      <c r="J93" s="16">
        <f>INDEX('Team forecast'!$B$2:$AO$26,MATCH('Master data'!$B93,'Team forecast'!$B$2:$B$26,0),MATCH('Master data'!J$1,'Team forecast'!$B$2:$AO$2,0))</f>
        <v>0.21820412056434271</v>
      </c>
      <c r="K93" s="16">
        <f>INDEX('Team forecast'!$B$2:$AO$26,MATCH('Master data'!$B93,'Team forecast'!$B$2:$B$26,0),MATCH('Master data'!K$1,'Team forecast'!$B$2:$AO$2,0))</f>
        <v>2.1270003227979397</v>
      </c>
      <c r="L93" s="16">
        <f>INDEX('Team forecast'!$B$2:$AO$26,MATCH('Master data'!$B93,'Team forecast'!$B$2:$B$26,0),MATCH('Master data'!L$1,'Team forecast'!$B$2:$AO$2,0))</f>
        <v>4.9475540445996113</v>
      </c>
      <c r="M93">
        <f>IF(Players!BC94=1,95,0)</f>
        <v>0</v>
      </c>
      <c r="N93" s="2">
        <f>Players!BN94</f>
        <v>0</v>
      </c>
      <c r="O93" s="2">
        <f>Players!BO94</f>
        <v>0</v>
      </c>
      <c r="P93" s="2">
        <f>Players!BP94</f>
        <v>0</v>
      </c>
      <c r="Q93" s="2">
        <f>Players!BQ94</f>
        <v>0.1446845858475041</v>
      </c>
      <c r="R93" s="2">
        <f>Players!BR94</f>
        <v>0</v>
      </c>
      <c r="S93" s="2">
        <f>H93</f>
        <v>0.74990395996081205</v>
      </c>
      <c r="T93" s="2">
        <f>I93</f>
        <v>1.5223243214152651</v>
      </c>
      <c r="U93" s="16">
        <f>INDEX('Team forecast'!$B$2:$AO$26,MATCH('Master data'!$B93,'Team forecast'!$B$2:$B$26,0),MATCH('Master data'!U$1,'Team forecast'!$B$2:$AO$2,0))</f>
        <v>0.17178615309883699</v>
      </c>
      <c r="V93" s="16">
        <f>INDEX('Team forecast'!$B$2:$AO$26,MATCH('Master data'!$B93,'Team forecast'!$B$2:$B$26,0),MATCH('Master data'!V$1,'Team forecast'!$B$2:$AO$2,0))</f>
        <v>0.26245106723433442</v>
      </c>
      <c r="W93" s="16">
        <f>INDEX('Team forecast'!$B$2:$AO$26,MATCH('Master data'!$B93,'Team forecast'!$B$2:$B$26,0),MATCH('Master data'!W$1,'Team forecast'!$B$2:$AO$2,0))</f>
        <v>0.56576277966682864</v>
      </c>
      <c r="X93" s="5">
        <f>IF(M93&gt;95,7000*2,IF(M93&gt;0,7000,-5000))</f>
        <v>-5000</v>
      </c>
      <c r="Y93" s="5">
        <f>IF($X93&gt;0,U93*25000,0)</f>
        <v>0</v>
      </c>
      <c r="Z93" s="5">
        <f>IF($X93&gt;0,V93*5000,0)</f>
        <v>0</v>
      </c>
      <c r="AA93" s="5">
        <f>IF($X93&gt;0,W93*(-15000),0)</f>
        <v>0</v>
      </c>
      <c r="AB93" s="5">
        <f>IF($C93="Defense",$N93*150000,IF($C93="Midfield",$N93*125000,IF($C93="Striker",$N93*100000,0)))*$H93</f>
        <v>0</v>
      </c>
      <c r="AC93" s="5">
        <f>$O93*50000*H93</f>
        <v>0</v>
      </c>
      <c r="AD93" s="5">
        <f>$P93*K93*10000</f>
        <v>0</v>
      </c>
      <c r="AE93" s="5">
        <f>IF($C93="Goalkeeper",J93*75000,IF($C93="Defense",J93*50000,0))</f>
        <v>0</v>
      </c>
      <c r="AF93" s="5">
        <f>IF($C93="Goalkeeper",(L93-I93)*5000,0)</f>
        <v>0</v>
      </c>
      <c r="AG93" s="5">
        <f>IF(M93&gt;0,Q93*(-20000),0)</f>
        <v>0</v>
      </c>
      <c r="AH93" s="5">
        <f>IF(M93&gt;0,R93*(-50000),0)</f>
        <v>0</v>
      </c>
      <c r="AI93" s="5">
        <f>IF(M93&gt;0,S93*10000,0)</f>
        <v>0</v>
      </c>
      <c r="AJ93" s="5">
        <f>IF(M93&gt;0,T93*(-8000),0)</f>
        <v>0</v>
      </c>
      <c r="AK93" s="5">
        <f>IFERROR(SUM(X93:AJ93),-5000)*((Cockpit!$C$3)^0)</f>
        <v>-5000</v>
      </c>
      <c r="AL93" s="16">
        <f>INDEX('Team forecast'!$B$2:$AO$26,MATCH('Master data'!$B93,'Team forecast'!$B$2:$B$26,0),MATCH('Master data'!AL$1,'Team forecast'!$B$2:$AO$2,0))</f>
        <v>1.3846696653928885</v>
      </c>
      <c r="AM93" s="16">
        <f>INDEX('Team forecast'!$B$2:$AO$26,MATCH('Master data'!$B93,'Team forecast'!$B$2:$B$26,0),MATCH('Master data'!AM$1,'Team forecast'!$B$2:$AO$2,0))</f>
        <v>0.97920455728472433</v>
      </c>
      <c r="AN93" s="16">
        <f>INDEX('Team forecast'!$B$2:$AO$26,MATCH('Master data'!$B93,'Team forecast'!$B$2:$B$26,0),MATCH('Master data'!AN$1,'Team forecast'!$B$2:$AO$2,0))</f>
        <v>0.37560975609756098</v>
      </c>
      <c r="AO93" s="16">
        <f>INDEX('Team forecast'!$B$2:$AO$26,MATCH('Master data'!$B93,'Team forecast'!$B$2:$B$26,0),MATCH('Master data'!AO$1,'Team forecast'!$B$2:$AO$2,0))</f>
        <v>3.9274266872961929</v>
      </c>
      <c r="AP93" s="16">
        <f>INDEX('Team forecast'!$B$2:$AO$26,MATCH('Master data'!$B93,'Team forecast'!$B$2:$B$26,0),MATCH('Master data'!AP$1,'Team forecast'!$B$2:$AO$2,0))</f>
        <v>3.1824148111753541</v>
      </c>
      <c r="AQ93" s="5">
        <f>X93</f>
        <v>-5000</v>
      </c>
      <c r="AR93" s="5">
        <f>INDEX('Team forecast'!$B$2:$AO$26,MATCH('Master data'!$B93,'Team forecast'!$B$2:$B$26,0),MATCH('Master data'!AR$1,'Team forecast'!$B$2:$AO$2,0))*IF(X93&gt;0,25000,0)</f>
        <v>0</v>
      </c>
      <c r="AS93" s="16">
        <f>INDEX('Team forecast'!$B$2:$AO$26,MATCH('Master data'!$B93,'Team forecast'!$B$2:$B$26,0),MATCH('Master data'!AS$1,'Team forecast'!$B$2:$AO$2,0))*IF(X93&gt;0,5000,0)</f>
        <v>0</v>
      </c>
      <c r="AT93" s="16">
        <f>INDEX('Team forecast'!$B$2:$AO$26,MATCH('Master data'!$B93,'Team forecast'!$B$2:$B$26,0),MATCH('Master data'!AT$1,'Team forecast'!$B$2:$AO$2,0))*IF(X93&gt;0,-15000,0)</f>
        <v>0</v>
      </c>
      <c r="AU93" s="5">
        <f>IF($C93="Defense",$N93*150000,IF($C93="Midfield",$N93*125000,IF($C93="Striker",$N93*100000,0)))*$AL93</f>
        <v>0</v>
      </c>
      <c r="AV93" s="5">
        <f>$O93*50000*AL93</f>
        <v>0</v>
      </c>
      <c r="AW93" s="5">
        <f>$P93*AO93*10000</f>
        <v>0</v>
      </c>
      <c r="AX93" s="5">
        <f>IF($C93="Goalkeeper",AN93*75000,IF($C93="Defense",AN93*50000,0))</f>
        <v>0</v>
      </c>
      <c r="AY93" s="5">
        <f>IF($C93="Goalkeeper",(AP93-AM93)*5000,0)</f>
        <v>0</v>
      </c>
      <c r="AZ93" s="5">
        <f>$AG93</f>
        <v>0</v>
      </c>
      <c r="BA93" s="5">
        <f>$AH93</f>
        <v>0</v>
      </c>
      <c r="BB93" s="5">
        <f>IF(X93&gt;0,AL93*10000,0)</f>
        <v>0</v>
      </c>
      <c r="BC93" s="5">
        <f>IF(X93&gt;0,AM93*(-8000),0)</f>
        <v>0</v>
      </c>
      <c r="BD93" s="5">
        <f>IFERROR(SUM(AQ93:BC93),0)</f>
        <v>-5000</v>
      </c>
      <c r="BE93" s="16">
        <f>INDEX('Team forecast'!$B$2:$AO$26,MATCH('Master data'!$B93,'Team forecast'!$B$2:$B$26,0),MATCH('Master data'!BE$1,'Team forecast'!$B$2:$AO$2,0))</f>
        <v>1.5039270856478595</v>
      </c>
      <c r="BF93" s="16">
        <f>INDEX('Team forecast'!$B$2:$AO$26,MATCH('Master data'!$B93,'Team forecast'!$B$2:$B$26,0),MATCH('Master data'!BF$1,'Team forecast'!$B$2:$AO$2,0))</f>
        <v>0.82681690399773144</v>
      </c>
      <c r="BG93" s="16">
        <f>INDEX('Team forecast'!$B$2:$AO$26,MATCH('Master data'!$B93,'Team forecast'!$B$2:$B$26,0),MATCH('Master data'!BG$1,'Team forecast'!$B$2:$AO$2,0))</f>
        <v>0.43743948445487602</v>
      </c>
      <c r="BH93" s="16">
        <f>INDEX('Team forecast'!$B$2:$AO$26,MATCH('Master data'!$B93,'Team forecast'!$B$2:$B$26,0),MATCH('Master data'!BH$1,'Team forecast'!$B$2:$AO$2,0))</f>
        <v>4.2656840974739287</v>
      </c>
      <c r="BI93" s="16">
        <f>INDEX('Team forecast'!$B$2:$AO$26,MATCH('Master data'!$B93,'Team forecast'!$B$2:$B$26,0),MATCH('Master data'!BI$1,'Team forecast'!$B$2:$AO$2,0))</f>
        <v>2.6871549379926272</v>
      </c>
      <c r="BJ93" s="5">
        <f>AQ93</f>
        <v>-5000</v>
      </c>
      <c r="BK93" s="5">
        <f>INDEX('Team forecast'!$R$3:$BH$26,MATCH($B93,'Team forecast'!$B$3:$B$26,0),MATCH(BK$1,'Team forecast'!$R$2:$BH$2,0))*IF($X93&gt;0,25000,0)</f>
        <v>0</v>
      </c>
      <c r="BL93" s="5">
        <f>INDEX('Team forecast'!$R$3:$BH$26,MATCH($B93,'Team forecast'!$B$3:$B$26,0),MATCH(BL$1,'Team forecast'!$R$2:$BH$2,0))*IF($X93&gt;0,5000,0)</f>
        <v>0</v>
      </c>
      <c r="BM93" s="5">
        <f>INDEX('Team forecast'!$R$3:$BH$26,MATCH($B93,'Team forecast'!$B$3:$B$26,0),MATCH(BM$1,'Team forecast'!$R$2:$BH$2,0))*IF($X93&gt;0,-15000,0)</f>
        <v>0</v>
      </c>
      <c r="BN93" s="5">
        <f>IF($C93="Defense",$N93*150000,IF($C93="Midfield",$N93*125000,IF($C93="Striker",$N93*100000,0)))*$BE93</f>
        <v>0</v>
      </c>
      <c r="BO93" s="5">
        <f>$O93*50000*$BE93</f>
        <v>0</v>
      </c>
      <c r="BP93" s="5">
        <f>$P93*BH93*10000</f>
        <v>0</v>
      </c>
      <c r="BQ93" s="5">
        <f>IF($C93="Goalkeeper",BG93*75000,IF($C93="Defense",BG93*50000,0))</f>
        <v>0</v>
      </c>
      <c r="BR93" s="5">
        <f>IF($C93="Goalkeeper",(BI93-BF93)*5000,0)</f>
        <v>0</v>
      </c>
      <c r="BS93" s="5">
        <f>$AG93</f>
        <v>0</v>
      </c>
      <c r="BT93" s="5">
        <f>$AH93</f>
        <v>0</v>
      </c>
      <c r="BU93" s="5">
        <f>IF(AQ93&gt;0,BE93*10000,0)</f>
        <v>0</v>
      </c>
      <c r="BV93" s="5">
        <f>IF(AQ93&gt;0,BF93*(-8000),0)</f>
        <v>0</v>
      </c>
      <c r="BW93" s="5">
        <f>IFERROR(SUM(BJ93:BV93),0)</f>
        <v>-5000</v>
      </c>
      <c r="BX93" s="5">
        <f>AVERAGE(AK93,BD93,BW93)</f>
        <v>-5000</v>
      </c>
      <c r="BY93" s="5">
        <f>BX93*3</f>
        <v>-15000</v>
      </c>
      <c r="BZ93" s="5">
        <f>INDEX('Team forecast'!$R$3:$BH$26,MATCH($B93,'Team forecast'!$B$3:$B$26,0),MATCH(BZ$1,'Team forecast'!$R$2:$BH$2,0))*($BX93-(BY93+CH93)*0.01)</f>
        <v>-33476.51719137888</v>
      </c>
      <c r="CA93" s="5">
        <f>INDEX('Team forecast'!$R$3:$BH$26,MATCH($B93,'Team forecast'!$B$3:$B$26,0),MATCH(CA$1,'Team forecast'!$R$2:$BH$2,0))*($BX93-(BY93+BX93+CH93)*0.01)</f>
        <v>-16525.20419686758</v>
      </c>
      <c r="CB93" s="5">
        <f>INDEX('Team forecast'!$R$3:$BH$26,MATCH($B93,'Team forecast'!$B$3:$B$26,0),MATCH(CB$1,'Team forecast'!$R$2:$BH$2,0))*($BX93-(BY93+BX93*2+CH93)*0.01)</f>
        <v>-8070.6254559847994</v>
      </c>
      <c r="CC93" s="5">
        <f>INDEX('Team forecast'!$R$3:$BH$26,MATCH($B93,'Team forecast'!$B$3:$B$26,0),MATCH(CC$1,'Team forecast'!$R$2:$BH$2,0))*($BX93-(BY93+BX93*3+CH93)*0.01)</f>
        <v>-3795.4095553353718</v>
      </c>
      <c r="CD93" s="5">
        <f>+AK93+BD93*Cockpit!$C$3+BW93*Cockpit!$C$3^2+BZ93*Cockpit!$C$3^3+CA93*Cockpit!$C$3^4+CB93*Cockpit!$C$3^5+CC93*Cockpit!$C$3^6</f>
        <v>-25134.764572020267</v>
      </c>
      <c r="CE93" s="5"/>
      <c r="CF93" s="5"/>
      <c r="CG93" s="5">
        <v>0</v>
      </c>
      <c r="CH93" s="5">
        <f t="shared" si="46"/>
        <v>4000000</v>
      </c>
      <c r="CI93" s="5">
        <f t="shared" si="47"/>
        <v>4000000</v>
      </c>
      <c r="CJ93" s="1">
        <f t="shared" si="48"/>
        <v>-3.7499999999999999E-3</v>
      </c>
      <c r="CK93" s="5">
        <f>RANK(BY93,$BY$2:$BY$623)+COUNTIF($BY$2:$BY93,$BY93)-1</f>
        <v>450</v>
      </c>
      <c r="CL93" s="5">
        <f>RANK(CJ93,$CJ$2:$CJ$623)+COUNTIF($CJ$2:$CJ93,$CJ93)-1</f>
        <v>443</v>
      </c>
    </row>
    <row r="94" spans="1:90">
      <c r="A94" t="str">
        <f>Players!P95</f>
        <v>Alessandro Florenzi</v>
      </c>
      <c r="B94" t="str">
        <f>Players!G95</f>
        <v>Italy</v>
      </c>
      <c r="C94" t="str">
        <f>Players!AB95</f>
        <v>Defense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4500000</v>
      </c>
      <c r="H94" s="16">
        <f>INDEX('Team forecast'!$B$2:$AO$26,MATCH('Master data'!$B94,'Team forecast'!$B$2:$B$26,0),MATCH('Master data'!H$1,'Team forecast'!$B$2:$AO$2,0))</f>
        <v>1.6593477618235051</v>
      </c>
      <c r="I94" s="16">
        <f>INDEX('Team forecast'!$B$2:$AO$26,MATCH('Master data'!$B94,'Team forecast'!$B$2:$B$26,0),MATCH('Master data'!I$1,'Team forecast'!$B$2:$AO$2,0))</f>
        <v>0.65422581624273402</v>
      </c>
      <c r="J94" s="16">
        <f>INDEX('Team forecast'!$B$2:$AO$26,MATCH('Master data'!$B94,'Team forecast'!$B$2:$B$26,0),MATCH('Master data'!J$1,'Team forecast'!$B$2:$AO$2,0))</f>
        <v>0.51984436190144767</v>
      </c>
      <c r="K94" s="16">
        <f>INDEX('Team forecast'!$B$2:$AO$26,MATCH('Master data'!$B94,'Team forecast'!$B$2:$B$26,0),MATCH('Master data'!K$1,'Team forecast'!$B$2:$AO$2,0))</f>
        <v>4.5343674133251923</v>
      </c>
      <c r="L94" s="16">
        <f>INDEX('Team forecast'!$B$2:$AO$26,MATCH('Master data'!$B94,'Team forecast'!$B$2:$B$26,0),MATCH('Master data'!L$1,'Team forecast'!$B$2:$AO$2,0))</f>
        <v>2.1477110129180663</v>
      </c>
      <c r="M94">
        <f>IF(Players!BC95=1,95,0)</f>
        <v>95</v>
      </c>
      <c r="N94" s="2">
        <f>Players!BN95</f>
        <v>4.7441276800057039E-2</v>
      </c>
      <c r="O94" s="2">
        <f>Players!BO95</f>
        <v>3.4525229555515437E-2</v>
      </c>
      <c r="P94" s="2">
        <f>Players!BP95</f>
        <v>7.967792181265855E-2</v>
      </c>
      <c r="Q94" s="2">
        <f>Players!BQ95</f>
        <v>2.9182879377431907E-2</v>
      </c>
      <c r="R94" s="2">
        <f>Players!BR95</f>
        <v>0</v>
      </c>
      <c r="S94" s="2">
        <f>H94</f>
        <v>1.6593477618235051</v>
      </c>
      <c r="T94" s="2">
        <f>I94</f>
        <v>0.65422581624273402</v>
      </c>
      <c r="U94" s="16">
        <f>INDEX('Team forecast'!$B$2:$AO$26,MATCH('Master data'!$B94,'Team forecast'!$B$2:$B$26,0),MATCH('Master data'!U$1,'Team forecast'!$B$2:$AO$2,0))</f>
        <v>0.61375173050299947</v>
      </c>
      <c r="V94" s="16">
        <f>INDEX('Team forecast'!$B$2:$AO$26,MATCH('Master data'!$B94,'Team forecast'!$B$2:$B$26,0),MATCH('Master data'!V$1,'Team forecast'!$B$2:$AO$2,0))</f>
        <v>0.25034610059990769</v>
      </c>
      <c r="W94" s="16">
        <f>INDEX('Team forecast'!$B$2:$AO$26,MATCH('Master data'!$B94,'Team forecast'!$B$2:$B$26,0),MATCH('Master data'!W$1,'Team forecast'!$B$2:$AO$2,0))</f>
        <v>0.13590216889709281</v>
      </c>
      <c r="X94" s="5">
        <f>IF(M94&gt;95,7000*2,IF(M94&gt;0,7000,-5000))</f>
        <v>7000</v>
      </c>
      <c r="Y94" s="5">
        <f>IF($X94&gt;0,U94*25000,0)</f>
        <v>15343.793262574987</v>
      </c>
      <c r="Z94" s="5">
        <f>IF($X94&gt;0,V94*5000,0)</f>
        <v>1251.7305029995384</v>
      </c>
      <c r="AA94" s="5">
        <f>IF($X94&gt;0,W94*(-15000),0)</f>
        <v>-2038.532533456392</v>
      </c>
      <c r="AB94" s="5">
        <f>IF($C94="Defense",$N94*150000,IF($C94="Midfield",$N94*125000,IF($C94="Striker",$N94*100000,0)))*$H94</f>
        <v>11808.236471433604</v>
      </c>
      <c r="AC94" s="5">
        <f>$O94*50000*H94</f>
        <v>2864.4681194693635</v>
      </c>
      <c r="AD94" s="5">
        <f>$P94*K94*10000</f>
        <v>3612.8897222879145</v>
      </c>
      <c r="AE94" s="5">
        <f>IF($C94="Goalkeeper",J94*75000,IF($C94="Defense",J94*50000,0))</f>
        <v>25992.218095072385</v>
      </c>
      <c r="AF94" s="5">
        <f>IF($C94="Goalkeeper",(L94-I94)*5000,0)</f>
        <v>0</v>
      </c>
      <c r="AG94" s="5">
        <f>IF(M94&gt;0,Q94*(-20000),0)</f>
        <v>-583.65758754863816</v>
      </c>
      <c r="AH94" s="5">
        <f>IF(M94&gt;0,R94*(-50000),0)</f>
        <v>0</v>
      </c>
      <c r="AI94" s="5">
        <f>IF(M94&gt;0,S94*10000,0)</f>
        <v>16593.477618235051</v>
      </c>
      <c r="AJ94" s="5">
        <f>IF(M94&gt;0,T94*(-8000),0)</f>
        <v>-5233.8065299418722</v>
      </c>
      <c r="AK94" s="5">
        <f>IFERROR(SUM(X94:AJ94),-5000)*((Cockpit!$C$3)^0)</f>
        <v>76610.817141125954</v>
      </c>
      <c r="AL94" s="16">
        <f>INDEX('Team forecast'!$B$2:$AO$26,MATCH('Master data'!$B94,'Team forecast'!$B$2:$B$26,0),MATCH('Master data'!AL$1,'Team forecast'!$B$2:$AO$2,0))</f>
        <v>1.5198357804321134</v>
      </c>
      <c r="AM94" s="16">
        <f>INDEX('Team forecast'!$B$2:$AO$26,MATCH('Master data'!$B94,'Team forecast'!$B$2:$B$26,0),MATCH('Master data'!AM$1,'Team forecast'!$B$2:$AO$2,0))</f>
        <v>0.79620558314709244</v>
      </c>
      <c r="AN94" s="16">
        <f>INDEX('Team forecast'!$B$2:$AO$26,MATCH('Master data'!$B94,'Team forecast'!$B$2:$B$26,0),MATCH('Master data'!AN$1,'Team forecast'!$B$2:$AO$2,0))</f>
        <v>0.45103714423540769</v>
      </c>
      <c r="AO94" s="16">
        <f>INDEX('Team forecast'!$B$2:$AO$26,MATCH('Master data'!$B94,'Team forecast'!$B$2:$B$26,0),MATCH('Master data'!AO$1,'Team forecast'!$B$2:$AO$2,0))</f>
        <v>4.1531341379722457</v>
      </c>
      <c r="AP94" s="16">
        <f>INDEX('Team forecast'!$B$2:$AO$26,MATCH('Master data'!$B94,'Team forecast'!$B$2:$B$26,0),MATCH('Master data'!AP$1,'Team forecast'!$B$2:$AO$2,0))</f>
        <v>2.6138062073010611</v>
      </c>
      <c r="AQ94" s="5">
        <f>X94</f>
        <v>7000</v>
      </c>
      <c r="AR94" s="5">
        <f>INDEX('Team forecast'!$B$2:$AO$26,MATCH('Master data'!$B94,'Team forecast'!$B$2:$B$26,0),MATCH('Master data'!AR$1,'Team forecast'!$B$2:$AO$2,0))*IF(X94&gt;0,25000,0)</f>
        <v>13929.088277858178</v>
      </c>
      <c r="AS94" s="16">
        <f>INDEX('Team forecast'!$B$2:$AO$26,MATCH('Master data'!$B94,'Team forecast'!$B$2:$B$26,0),MATCH('Master data'!AS$1,'Team forecast'!$B$2:$AO$2,0))*IF(X94&gt;0,5000,0)</f>
        <v>1353.111432706223</v>
      </c>
      <c r="AT94" s="16">
        <f>INDEX('Team forecast'!$B$2:$AO$26,MATCH('Master data'!$B94,'Team forecast'!$B$2:$B$26,0),MATCH('Master data'!AT$1,'Team forecast'!$B$2:$AO$2,0))*IF(X94&gt;0,-15000,0)</f>
        <v>-2583.2127351664258</v>
      </c>
      <c r="AU94" s="5">
        <f>IF($C94="Defense",$N94*150000,IF($C94="Midfield",$N94*125000,IF($C94="Striker",$N94*100000,0)))*$AL94</f>
        <v>10815.442492516591</v>
      </c>
      <c r="AV94" s="5">
        <f>$O94*50000*AL94</f>
        <v>2623.6339603052338</v>
      </c>
      <c r="AW94" s="5">
        <f>$P94*AO94*10000</f>
        <v>3309.1309712283569</v>
      </c>
      <c r="AX94" s="5">
        <f>IF($C94="Goalkeeper",AN94*75000,IF($C94="Defense",AN94*50000,0))</f>
        <v>22551.857211770384</v>
      </c>
      <c r="AY94" s="5">
        <f>IF($C94="Goalkeeper",(AP94-AM94)*5000,0)</f>
        <v>0</v>
      </c>
      <c r="AZ94" s="5">
        <f>$AG94</f>
        <v>-583.65758754863816</v>
      </c>
      <c r="BA94" s="5">
        <f>$AH94</f>
        <v>0</v>
      </c>
      <c r="BB94" s="5">
        <f>IF(X94&gt;0,AL94*10000,0)</f>
        <v>15198.357804321135</v>
      </c>
      <c r="BC94" s="5">
        <f>IF(X94&gt;0,AM94*(-8000),0)</f>
        <v>-6369.6446651767392</v>
      </c>
      <c r="BD94" s="5">
        <f>IFERROR(SUM(AQ94:BC94),0)</f>
        <v>67244.107162814311</v>
      </c>
      <c r="BE94" s="16">
        <f>INDEX('Team forecast'!$B$2:$AO$26,MATCH('Master data'!$B94,'Team forecast'!$B$2:$B$26,0),MATCH('Master data'!BE$1,'Team forecast'!$B$2:$AO$2,0))</f>
        <v>1.8402581758343768</v>
      </c>
      <c r="BF94" s="16">
        <f>INDEX('Team forecast'!$B$2:$AO$26,MATCH('Master data'!$B94,'Team forecast'!$B$2:$B$26,0),MATCH('Master data'!BF$1,'Team forecast'!$B$2:$AO$2,0))</f>
        <v>0.65281467345965161</v>
      </c>
      <c r="BG94" s="16">
        <f>INDEX('Team forecast'!$B$2:$AO$26,MATCH('Master data'!$B94,'Team forecast'!$B$2:$B$26,0),MATCH('Master data'!BG$1,'Team forecast'!$B$2:$AO$2,0))</f>
        <v>0.52057845435388617</v>
      </c>
      <c r="BH94" s="16">
        <f>INDEX('Team forecast'!$B$2:$AO$26,MATCH('Master data'!$B94,'Team forecast'!$B$2:$B$26,0),MATCH('Master data'!BH$1,'Team forecast'!$B$2:$AO$2,0))</f>
        <v>5.0287268869057034</v>
      </c>
      <c r="BI94" s="16">
        <f>INDEX('Team forecast'!$B$2:$AO$26,MATCH('Master data'!$B94,'Team forecast'!$B$2:$B$26,0),MATCH('Master data'!BI$1,'Team forecast'!$B$2:$AO$2,0))</f>
        <v>2.1430784734786541</v>
      </c>
      <c r="BJ94" s="5">
        <f>AQ94</f>
        <v>7000</v>
      </c>
      <c r="BK94" s="5">
        <f>INDEX('Team forecast'!$R$3:$BH$26,MATCH($B94,'Team forecast'!$B$3:$B$26,0),MATCH(BK$1,'Team forecast'!$R$2:$BH$2,0))*IF($X94&gt;0,25000,0)</f>
        <v>16539.211310201594</v>
      </c>
      <c r="BL94" s="5">
        <f>INDEX('Team forecast'!$R$3:$BH$26,MATCH($B94,'Team forecast'!$B$3:$B$26,0),MATCH(BL$1,'Team forecast'!$R$2:$BH$2,0))*IF($X94&gt;0,5000,0)</f>
        <v>1147.781411406761</v>
      </c>
      <c r="BM94" s="5">
        <f>INDEX('Team forecast'!$R$3:$BH$26,MATCH($B94,'Team forecast'!$B$3:$B$26,0),MATCH(BM$1,'Team forecast'!$R$2:$BH$2,0))*IF($X94&gt;0,-15000,0)</f>
        <v>-1633.128979658763</v>
      </c>
      <c r="BN94" s="5">
        <f>IF($C94="Defense",$N94*150000,IF($C94="Midfield",$N94*125000,IF($C94="Striker",$N94*100000,0)))*$BE94</f>
        <v>13095.629625499007</v>
      </c>
      <c r="BO94" s="5">
        <f>$O94*50000*$BE94</f>
        <v>3176.7667981047975</v>
      </c>
      <c r="BP94" s="5">
        <f>$P94*BH94*10000</f>
        <v>4006.7850771208646</v>
      </c>
      <c r="BQ94" s="5">
        <f>IF($C94="Goalkeeper",BG94*75000,IF($C94="Defense",BG94*50000,0))</f>
        <v>26028.92271769431</v>
      </c>
      <c r="BR94" s="5">
        <f>IF($C94="Goalkeeper",(BI94-BF94)*5000,0)</f>
        <v>0</v>
      </c>
      <c r="BS94" s="5">
        <f>$AG94</f>
        <v>-583.65758754863816</v>
      </c>
      <c r="BT94" s="5">
        <f>$AH94</f>
        <v>0</v>
      </c>
      <c r="BU94" s="5">
        <f>IF(AQ94&gt;0,BE94*10000,0)</f>
        <v>18402.581758343767</v>
      </c>
      <c r="BV94" s="5">
        <f>IF(AQ94&gt;0,BF94*(-8000),0)</f>
        <v>-5222.5173876772133</v>
      </c>
      <c r="BW94" s="5">
        <f>IFERROR(SUM(BJ94:BV94),0)</f>
        <v>81958.374743486493</v>
      </c>
      <c r="BX94" s="5">
        <f>AVERAGE(AK94,BD94,BW94)</f>
        <v>75271.099682475586</v>
      </c>
      <c r="BY94" s="5">
        <f>BX94*3</f>
        <v>225813.29904742676</v>
      </c>
      <c r="BZ94" s="5">
        <f>INDEX('Team forecast'!$R$3:$BH$26,MATCH($B94,'Team forecast'!$B$3:$B$26,0),MATCH(BZ$1,'Team forecast'!$R$2:$BH$2,0))*($BX94-(BY94+CH94)*0.01)</f>
        <v>26826.867819839215</v>
      </c>
      <c r="CA94" s="5">
        <f>INDEX('Team forecast'!$R$3:$BH$26,MATCH($B94,'Team forecast'!$B$3:$B$26,0),MATCH(CA$1,'Team forecast'!$R$2:$BH$2,0))*($BX94-(BY94+BX94+CH94)*0.01)</f>
        <v>13158.87358758353</v>
      </c>
      <c r="CB94" s="5">
        <f>INDEX('Team forecast'!$R$3:$BH$26,MATCH($B94,'Team forecast'!$B$3:$B$26,0),MATCH(CB$1,'Team forecast'!$R$2:$BH$2,0))*($BX94-(BY94+BX94*2+CH94)*0.01)</f>
        <v>6494.6469543650037</v>
      </c>
      <c r="CC94" s="5">
        <f>INDEX('Team forecast'!$R$3:$BH$26,MATCH($B94,'Team forecast'!$B$3:$B$26,0),MATCH(CC$1,'Team forecast'!$R$2:$BH$2,0))*($BX94-(BY94+BX94*3+CH94)*0.01)</f>
        <v>3276.4912046123154</v>
      </c>
      <c r="CD94" s="5">
        <f>+AK94+BD94*Cockpit!$C$3+BW94*Cockpit!$C$3^2+BZ94*Cockpit!$C$3^3+CA94*Cockpit!$C$3^4+CB94*Cockpit!$C$3^5+CC94*Cockpit!$C$3^6</f>
        <v>169557.06170687205</v>
      </c>
      <c r="CE94" s="5"/>
      <c r="CF94" s="5"/>
      <c r="CG94" s="5">
        <v>0</v>
      </c>
      <c r="CH94" s="5">
        <f t="shared" si="46"/>
        <v>4500000</v>
      </c>
      <c r="CI94" s="5">
        <f t="shared" si="47"/>
        <v>4500000</v>
      </c>
      <c r="CJ94" s="1">
        <f t="shared" si="48"/>
        <v>5.0180733121650389E-2</v>
      </c>
      <c r="CK94" s="5">
        <f>RANK(BY94,$BY$2:$BY$623)+COUNTIF($BY$2:$BY94,$BY94)-1</f>
        <v>33</v>
      </c>
      <c r="CL94" s="5">
        <f>RANK(CJ94,$CJ$2:$CJ$623)+COUNTIF($CJ$2:$CJ94,$CJ94)-1</f>
        <v>31</v>
      </c>
    </row>
    <row r="95" spans="1:90">
      <c r="A95" t="str">
        <f>Players!P96</f>
        <v>Lorenzo Pellegrini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3500000</v>
      </c>
      <c r="H95" s="16">
        <f>INDEX('Team forecast'!$B$2:$AO$26,MATCH('Master data'!$B95,'Team forecast'!$B$2:$B$26,0),MATCH('Master data'!H$1,'Team forecast'!$B$2:$AO$2,0))</f>
        <v>1.6593477618235051</v>
      </c>
      <c r="I95" s="16">
        <f>INDEX('Team forecast'!$B$2:$AO$26,MATCH('Master data'!$B95,'Team forecast'!$B$2:$B$26,0),MATCH('Master data'!I$1,'Team forecast'!$B$2:$AO$2,0))</f>
        <v>0.65422581624273402</v>
      </c>
      <c r="J95" s="16">
        <f>INDEX('Team forecast'!$B$2:$AO$26,MATCH('Master data'!$B95,'Team forecast'!$B$2:$B$26,0),MATCH('Master data'!J$1,'Team forecast'!$B$2:$AO$2,0))</f>
        <v>0.51984436190144767</v>
      </c>
      <c r="K95" s="16">
        <f>INDEX('Team forecast'!$B$2:$AO$26,MATCH('Master data'!$B95,'Team forecast'!$B$2:$B$26,0),MATCH('Master data'!K$1,'Team forecast'!$B$2:$AO$2,0))</f>
        <v>4.5343674133251923</v>
      </c>
      <c r="L95" s="16">
        <f>INDEX('Team forecast'!$B$2:$AO$26,MATCH('Master data'!$B95,'Team forecast'!$B$2:$B$26,0),MATCH('Master data'!L$1,'Team forecast'!$B$2:$AO$2,0))</f>
        <v>2.1477110129180663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0.17254601226993865</v>
      </c>
      <c r="R95" s="2">
        <f>Players!BR96</f>
        <v>0</v>
      </c>
      <c r="S95" s="2">
        <f>H95</f>
        <v>1.6593477618235051</v>
      </c>
      <c r="T95" s="2">
        <f>I95</f>
        <v>0.65422581624273402</v>
      </c>
      <c r="U95" s="16">
        <f>INDEX('Team forecast'!$B$2:$AO$26,MATCH('Master data'!$B95,'Team forecast'!$B$2:$B$26,0),MATCH('Master data'!U$1,'Team forecast'!$B$2:$AO$2,0))</f>
        <v>0.61375173050299947</v>
      </c>
      <c r="V95" s="16">
        <f>INDEX('Team forecast'!$B$2:$AO$26,MATCH('Master data'!$B95,'Team forecast'!$B$2:$B$26,0),MATCH('Master data'!V$1,'Team forecast'!$B$2:$AO$2,0))</f>
        <v>0.25034610059990769</v>
      </c>
      <c r="W95" s="16">
        <f>INDEX('Team forecast'!$B$2:$AO$26,MATCH('Master data'!$B95,'Team forecast'!$B$2:$B$26,0),MATCH('Master data'!W$1,'Team forecast'!$B$2:$AO$2,0))</f>
        <v>0.13590216889709281</v>
      </c>
      <c r="X95" s="5">
        <f>IF(M95&gt;95,7000*2,IF(M95&gt;0,7000,-5000))</f>
        <v>-5000</v>
      </c>
      <c r="Y95" s="5">
        <f>IF($X95&gt;0,U95*25000,0)</f>
        <v>0</v>
      </c>
      <c r="Z95" s="5">
        <f>IF($X95&gt;0,V95*5000,0)</f>
        <v>0</v>
      </c>
      <c r="AA95" s="5">
        <f>IF($X95&gt;0,W95*(-15000),0)</f>
        <v>0</v>
      </c>
      <c r="AB95" s="5">
        <f>IF($C95="Defense",$N95*150000,IF($C95="Midfield",$N95*125000,IF($C95="Striker",$N95*100000,0)))*$H95</f>
        <v>0</v>
      </c>
      <c r="AC95" s="5">
        <f>$O95*50000*H95</f>
        <v>0</v>
      </c>
      <c r="AD95" s="5">
        <f>$P95*K95*10000</f>
        <v>0</v>
      </c>
      <c r="AE95" s="5">
        <f>IF($C95="Goalkeeper",J95*75000,IF($C95="Defense",J95*50000,0))</f>
        <v>0</v>
      </c>
      <c r="AF95" s="5">
        <f>IF($C95="Goalkeeper",(L95-I95)*5000,0)</f>
        <v>0</v>
      </c>
      <c r="AG95" s="5">
        <f>IF(M95&gt;0,Q95*(-20000),0)</f>
        <v>0</v>
      </c>
      <c r="AH95" s="5">
        <f>IF(M95&gt;0,R95*(-50000),0)</f>
        <v>0</v>
      </c>
      <c r="AI95" s="5">
        <f>IF(M95&gt;0,S95*10000,0)</f>
        <v>0</v>
      </c>
      <c r="AJ95" s="5">
        <f>IF(M95&gt;0,T95*(-8000),0)</f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1.5198357804321134</v>
      </c>
      <c r="AM95" s="16">
        <f>INDEX('Team forecast'!$B$2:$AO$26,MATCH('Master data'!$B95,'Team forecast'!$B$2:$B$26,0),MATCH('Master data'!AM$1,'Team forecast'!$B$2:$AO$2,0))</f>
        <v>0.79620558314709244</v>
      </c>
      <c r="AN95" s="16">
        <f>INDEX('Team forecast'!$B$2:$AO$26,MATCH('Master data'!$B95,'Team forecast'!$B$2:$B$26,0),MATCH('Master data'!AN$1,'Team forecast'!$B$2:$AO$2,0))</f>
        <v>0.45103714423540769</v>
      </c>
      <c r="AO95" s="16">
        <f>INDEX('Team forecast'!$B$2:$AO$26,MATCH('Master data'!$B95,'Team forecast'!$B$2:$B$26,0),MATCH('Master data'!AO$1,'Team forecast'!$B$2:$AO$2,0))</f>
        <v>4.1531341379722457</v>
      </c>
      <c r="AP95" s="16">
        <f>INDEX('Team forecast'!$B$2:$AO$26,MATCH('Master data'!$B95,'Team forecast'!$B$2:$B$26,0),MATCH('Master data'!AP$1,'Team forecast'!$B$2:$AO$2,0))</f>
        <v>2.6138062073010611</v>
      </c>
      <c r="AQ95" s="5">
        <f>X95</f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>IF($C95="Defense",$N95*150000,IF($C95="Midfield",$N95*125000,IF($C95="Striker",$N95*100000,0)))*$AL95</f>
        <v>0</v>
      </c>
      <c r="AV95" s="5">
        <f>$O95*50000*AL95</f>
        <v>0</v>
      </c>
      <c r="AW95" s="5">
        <f>$P95*AO95*10000</f>
        <v>0</v>
      </c>
      <c r="AX95" s="5">
        <f>IF($C95="Goalkeeper",AN95*75000,IF($C95="Defense",AN95*50000,0))</f>
        <v>0</v>
      </c>
      <c r="AY95" s="5">
        <f>IF($C95="Goalkeeper",(AP95-AM95)*5000,0)</f>
        <v>0</v>
      </c>
      <c r="AZ95" s="5">
        <f>$AG95</f>
        <v>0</v>
      </c>
      <c r="BA95" s="5">
        <f>$AH95</f>
        <v>0</v>
      </c>
      <c r="BB95" s="5">
        <f>IF(X95&gt;0,AL95*10000,0)</f>
        <v>0</v>
      </c>
      <c r="BC95" s="5">
        <f>IF(X95&gt;0,AM95*(-8000),0)</f>
        <v>0</v>
      </c>
      <c r="BD95" s="5">
        <f>IFERROR(SUM(AQ95:BC95),0)</f>
        <v>-5000</v>
      </c>
      <c r="BE95" s="16">
        <f>INDEX('Team forecast'!$B$2:$AO$26,MATCH('Master data'!$B95,'Team forecast'!$B$2:$B$26,0),MATCH('Master data'!BE$1,'Team forecast'!$B$2:$AO$2,0))</f>
        <v>1.8402581758343768</v>
      </c>
      <c r="BF95" s="16">
        <f>INDEX('Team forecast'!$B$2:$AO$26,MATCH('Master data'!$B95,'Team forecast'!$B$2:$B$26,0),MATCH('Master data'!BF$1,'Team forecast'!$B$2:$AO$2,0))</f>
        <v>0.65281467345965161</v>
      </c>
      <c r="BG95" s="16">
        <f>INDEX('Team forecast'!$B$2:$AO$26,MATCH('Master data'!$B95,'Team forecast'!$B$2:$B$26,0),MATCH('Master data'!BG$1,'Team forecast'!$B$2:$AO$2,0))</f>
        <v>0.52057845435388617</v>
      </c>
      <c r="BH95" s="16">
        <f>INDEX('Team forecast'!$B$2:$AO$26,MATCH('Master data'!$B95,'Team forecast'!$B$2:$B$26,0),MATCH('Master data'!BH$1,'Team forecast'!$B$2:$AO$2,0))</f>
        <v>5.0287268869057034</v>
      </c>
      <c r="BI95" s="16">
        <f>INDEX('Team forecast'!$B$2:$AO$26,MATCH('Master data'!$B95,'Team forecast'!$B$2:$B$26,0),MATCH('Master data'!BI$1,'Team forecast'!$B$2:$AO$2,0))</f>
        <v>2.1430784734786541</v>
      </c>
      <c r="BJ95" s="5">
        <f>AQ95</f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>IF($C95="Defense",$N95*150000,IF($C95="Midfield",$N95*125000,IF($C95="Striker",$N95*100000,0)))*$BE95</f>
        <v>0</v>
      </c>
      <c r="BO95" s="5">
        <f>$O95*50000*$BE95</f>
        <v>0</v>
      </c>
      <c r="BP95" s="5">
        <f>$P95*BH95*10000</f>
        <v>0</v>
      </c>
      <c r="BQ95" s="5">
        <f>IF($C95="Goalkeeper",BG95*75000,IF($C95="Defense",BG95*50000,0))</f>
        <v>0</v>
      </c>
      <c r="BR95" s="5">
        <f>IF($C95="Goalkeeper",(BI95-BF95)*5000,0)</f>
        <v>0</v>
      </c>
      <c r="BS95" s="5">
        <f>$AG95</f>
        <v>0</v>
      </c>
      <c r="BT95" s="5">
        <f>$AH95</f>
        <v>0</v>
      </c>
      <c r="BU95" s="5">
        <f>IF(AQ95&gt;0,BE95*10000,0)</f>
        <v>0</v>
      </c>
      <c r="BV95" s="5">
        <f>IF(AQ95&gt;0,BF95*(-8000),0)</f>
        <v>0</v>
      </c>
      <c r="BW95" s="5">
        <f>IFERROR(SUM(BJ95:BV95),0)</f>
        <v>-5000</v>
      </c>
      <c r="BX95" s="5">
        <f>AVERAGE(AK95,BD95,BW95)</f>
        <v>-5000</v>
      </c>
      <c r="BY95" s="5">
        <f>BX95*3</f>
        <v>-15000</v>
      </c>
      <c r="BZ95" s="5">
        <f>INDEX('Team forecast'!$R$3:$BH$26,MATCH($B95,'Team forecast'!$B$3:$B$26,0),MATCH(BZ$1,'Team forecast'!$R$2:$BH$2,0))*($BX95-(BY95+CH95)*0.01)</f>
        <v>-38162.708519046078</v>
      </c>
      <c r="CA95" s="5">
        <f>INDEX('Team forecast'!$R$3:$BH$26,MATCH($B95,'Team forecast'!$B$3:$B$26,0),MATCH(CA$1,'Team forecast'!$R$2:$BH$2,0))*($BX95-(BY95+BX95+CH95)*0.01)</f>
        <v>-19211.968319082654</v>
      </c>
      <c r="CB95" s="5">
        <f>INDEX('Team forecast'!$R$3:$BH$26,MATCH($B95,'Team forecast'!$B$3:$B$26,0),MATCH(CB$1,'Team forecast'!$R$2:$BH$2,0))*($BX95-(BY95+BX95*2+CH95)*0.01)</f>
        <v>-9739.1976274611734</v>
      </c>
      <c r="CC95" s="5">
        <f>INDEX('Team forecast'!$R$3:$BH$26,MATCH($B95,'Team forecast'!$B$3:$B$26,0),MATCH(CC$1,'Team forecast'!$R$2:$BH$2,0))*($BX95-(BY95+BX95*3+CH95)*0.01)</f>
        <v>-5050.5742856105662</v>
      </c>
      <c r="CD95" s="5">
        <f>+AK95+BD95*Cockpit!$C$3+BW95*Cockpit!$C$3^2+BZ95*Cockpit!$C$3^3+CA95*Cockpit!$C$3^4+CB95*Cockpit!$C$3^5+CC95*Cockpit!$C$3^6</f>
        <v>-27383.907002163516</v>
      </c>
      <c r="CE95" s="5"/>
      <c r="CF95" s="5"/>
      <c r="CG95" s="5">
        <v>0</v>
      </c>
      <c r="CH95" s="5">
        <f t="shared" si="46"/>
        <v>3500000</v>
      </c>
      <c r="CI95" s="5">
        <f t="shared" si="47"/>
        <v>3500000</v>
      </c>
      <c r="CJ95" s="1">
        <f t="shared" si="48"/>
        <v>-4.2857142857142859E-3</v>
      </c>
      <c r="CK95" s="5">
        <f>RANK(BY95,$BY$2:$BY$623)+COUNTIF($BY$2:$BY95,$BY95)-1</f>
        <v>451</v>
      </c>
      <c r="CL95" s="5">
        <f>RANK(CJ95,$CJ$2:$CJ$623)+COUNTIF($CJ$2:$CJ95,$CJ95)-1</f>
        <v>459</v>
      </c>
    </row>
    <row r="96" spans="1:90">
      <c r="A96" t="str">
        <f>Players!P97</f>
        <v>Manuel Locatelli</v>
      </c>
      <c r="B96" t="str">
        <f>Players!G97</f>
        <v>Italy</v>
      </c>
      <c r="C96" t="str">
        <f>Players!AB97</f>
        <v>Midfield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3000000</v>
      </c>
      <c r="H96" s="16">
        <f>INDEX('Team forecast'!$B$2:$AO$26,MATCH('Master data'!$B96,'Team forecast'!$B$2:$B$26,0),MATCH('Master data'!H$1,'Team forecast'!$B$2:$AO$2,0))</f>
        <v>1.6593477618235051</v>
      </c>
      <c r="I96" s="16">
        <f>INDEX('Team forecast'!$B$2:$AO$26,MATCH('Master data'!$B96,'Team forecast'!$B$2:$B$26,0),MATCH('Master data'!I$1,'Team forecast'!$B$2:$AO$2,0))</f>
        <v>0.65422581624273402</v>
      </c>
      <c r="J96" s="16">
        <f>INDEX('Team forecast'!$B$2:$AO$26,MATCH('Master data'!$B96,'Team forecast'!$B$2:$B$26,0),MATCH('Master data'!J$1,'Team forecast'!$B$2:$AO$2,0))</f>
        <v>0.51984436190144767</v>
      </c>
      <c r="K96" s="16">
        <f>INDEX('Team forecast'!$B$2:$AO$26,MATCH('Master data'!$B96,'Team forecast'!$B$2:$B$26,0),MATCH('Master data'!K$1,'Team forecast'!$B$2:$AO$2,0))</f>
        <v>4.5343674133251923</v>
      </c>
      <c r="L96" s="16">
        <f>INDEX('Team forecast'!$B$2:$AO$26,MATCH('Master data'!$B96,'Team forecast'!$B$2:$B$26,0),MATCH('Master data'!L$1,'Team forecast'!$B$2:$AO$2,0))</f>
        <v>2.1477110129180663</v>
      </c>
      <c r="M96">
        <f>IF(Players!BC97=1,95,0)</f>
        <v>0</v>
      </c>
      <c r="N96" s="2">
        <f>Players!BN97</f>
        <v>0</v>
      </c>
      <c r="O96" s="2">
        <f>Players!BO97</f>
        <v>0</v>
      </c>
      <c r="P96" s="2">
        <f>Players!BP97</f>
        <v>0</v>
      </c>
      <c r="Q96" s="2">
        <f>Players!BQ97</f>
        <v>0.20538128249566726</v>
      </c>
      <c r="R96" s="2">
        <f>Players!BR97</f>
        <v>0</v>
      </c>
      <c r="S96" s="2">
        <f>H96</f>
        <v>1.6593477618235051</v>
      </c>
      <c r="T96" s="2">
        <f>I96</f>
        <v>0.65422581624273402</v>
      </c>
      <c r="U96" s="16">
        <f>INDEX('Team forecast'!$B$2:$AO$26,MATCH('Master data'!$B96,'Team forecast'!$B$2:$B$26,0),MATCH('Master data'!U$1,'Team forecast'!$B$2:$AO$2,0))</f>
        <v>0.61375173050299947</v>
      </c>
      <c r="V96" s="16">
        <f>INDEX('Team forecast'!$B$2:$AO$26,MATCH('Master data'!$B96,'Team forecast'!$B$2:$B$26,0),MATCH('Master data'!V$1,'Team forecast'!$B$2:$AO$2,0))</f>
        <v>0.25034610059990769</v>
      </c>
      <c r="W96" s="16">
        <f>INDEX('Team forecast'!$B$2:$AO$26,MATCH('Master data'!$B96,'Team forecast'!$B$2:$B$26,0),MATCH('Master data'!W$1,'Team forecast'!$B$2:$AO$2,0))</f>
        <v>0.13590216889709281</v>
      </c>
      <c r="X96" s="5">
        <f>IF(M96&gt;95,7000*2,IF(M96&gt;0,7000,-5000))</f>
        <v>-5000</v>
      </c>
      <c r="Y96" s="5">
        <f>IF($X96&gt;0,U96*25000,0)</f>
        <v>0</v>
      </c>
      <c r="Z96" s="5">
        <f>IF($X96&gt;0,V96*5000,0)</f>
        <v>0</v>
      </c>
      <c r="AA96" s="5">
        <f>IF($X96&gt;0,W96*(-15000),0)</f>
        <v>0</v>
      </c>
      <c r="AB96" s="5">
        <f>IF($C96="Defense",$N96*150000,IF($C96="Midfield",$N96*125000,IF($C96="Striker",$N96*100000,0)))*$H96</f>
        <v>0</v>
      </c>
      <c r="AC96" s="5">
        <f>$O96*50000*H96</f>
        <v>0</v>
      </c>
      <c r="AD96" s="5">
        <f>$P96*K96*10000</f>
        <v>0</v>
      </c>
      <c r="AE96" s="5">
        <f>IF($C96="Goalkeeper",J96*75000,IF($C96="Defense",J96*50000,0))</f>
        <v>0</v>
      </c>
      <c r="AF96" s="5">
        <f>IF($C96="Goalkeeper",(L96-I96)*5000,0)</f>
        <v>0</v>
      </c>
      <c r="AG96" s="5">
        <f>IF(M96&gt;0,Q96*(-20000),0)</f>
        <v>0</v>
      </c>
      <c r="AH96" s="5">
        <f>IF(M96&gt;0,R96*(-50000),0)</f>
        <v>0</v>
      </c>
      <c r="AI96" s="5">
        <f>IF(M96&gt;0,S96*10000,0)</f>
        <v>0</v>
      </c>
      <c r="AJ96" s="5">
        <f>IF(M96&gt;0,T96*(-8000),0)</f>
        <v>0</v>
      </c>
      <c r="AK96" s="5">
        <f>IFERROR(SUM(X96:AJ96),-5000)*((Cockpit!$C$3)^0)</f>
        <v>-5000</v>
      </c>
      <c r="AL96" s="16">
        <f>INDEX('Team forecast'!$B$2:$AO$26,MATCH('Master data'!$B96,'Team forecast'!$B$2:$B$26,0),MATCH('Master data'!AL$1,'Team forecast'!$B$2:$AO$2,0))</f>
        <v>1.5198357804321134</v>
      </c>
      <c r="AM96" s="16">
        <f>INDEX('Team forecast'!$B$2:$AO$26,MATCH('Master data'!$B96,'Team forecast'!$B$2:$B$26,0),MATCH('Master data'!AM$1,'Team forecast'!$B$2:$AO$2,0))</f>
        <v>0.79620558314709244</v>
      </c>
      <c r="AN96" s="16">
        <f>INDEX('Team forecast'!$B$2:$AO$26,MATCH('Master data'!$B96,'Team forecast'!$B$2:$B$26,0),MATCH('Master data'!AN$1,'Team forecast'!$B$2:$AO$2,0))</f>
        <v>0.45103714423540769</v>
      </c>
      <c r="AO96" s="16">
        <f>INDEX('Team forecast'!$B$2:$AO$26,MATCH('Master data'!$B96,'Team forecast'!$B$2:$B$26,0),MATCH('Master data'!AO$1,'Team forecast'!$B$2:$AO$2,0))</f>
        <v>4.1531341379722457</v>
      </c>
      <c r="AP96" s="16">
        <f>INDEX('Team forecast'!$B$2:$AO$26,MATCH('Master data'!$B96,'Team forecast'!$B$2:$B$26,0),MATCH('Master data'!AP$1,'Team forecast'!$B$2:$AO$2,0))</f>
        <v>2.6138062073010611</v>
      </c>
      <c r="AQ96" s="5">
        <f>X96</f>
        <v>-5000</v>
      </c>
      <c r="AR96" s="5">
        <f>INDEX('Team forecast'!$B$2:$AO$26,MATCH('Master data'!$B96,'Team forecast'!$B$2:$B$26,0),MATCH('Master data'!AR$1,'Team forecast'!$B$2:$AO$2,0))*IF(X96&gt;0,25000,0)</f>
        <v>0</v>
      </c>
      <c r="AS96" s="16">
        <f>INDEX('Team forecast'!$B$2:$AO$26,MATCH('Master data'!$B96,'Team forecast'!$B$2:$B$26,0),MATCH('Master data'!AS$1,'Team forecast'!$B$2:$AO$2,0))*IF(X96&gt;0,5000,0)</f>
        <v>0</v>
      </c>
      <c r="AT96" s="16">
        <f>INDEX('Team forecast'!$B$2:$AO$26,MATCH('Master data'!$B96,'Team forecast'!$B$2:$B$26,0),MATCH('Master data'!AT$1,'Team forecast'!$B$2:$AO$2,0))*IF(X96&gt;0,-15000,0)</f>
        <v>0</v>
      </c>
      <c r="AU96" s="5">
        <f>IF($C96="Defense",$N96*150000,IF($C96="Midfield",$N96*125000,IF($C96="Striker",$N96*100000,0)))*$AL96</f>
        <v>0</v>
      </c>
      <c r="AV96" s="5">
        <f>$O96*50000*AL96</f>
        <v>0</v>
      </c>
      <c r="AW96" s="5">
        <f>$P96*AO96*10000</f>
        <v>0</v>
      </c>
      <c r="AX96" s="5">
        <f>IF($C96="Goalkeeper",AN96*75000,IF($C96="Defense",AN96*50000,0))</f>
        <v>0</v>
      </c>
      <c r="AY96" s="5">
        <f>IF($C96="Goalkeeper",(AP96-AM96)*5000,0)</f>
        <v>0</v>
      </c>
      <c r="AZ96" s="5">
        <f>$AG96</f>
        <v>0</v>
      </c>
      <c r="BA96" s="5">
        <f>$AH96</f>
        <v>0</v>
      </c>
      <c r="BB96" s="5">
        <f>IF(X96&gt;0,AL96*10000,0)</f>
        <v>0</v>
      </c>
      <c r="BC96" s="5">
        <f>IF(X96&gt;0,AM96*(-8000),0)</f>
        <v>0</v>
      </c>
      <c r="BD96" s="5">
        <f>IFERROR(SUM(AQ96:BC96),0)</f>
        <v>-5000</v>
      </c>
      <c r="BE96" s="16">
        <f>INDEX('Team forecast'!$B$2:$AO$26,MATCH('Master data'!$B96,'Team forecast'!$B$2:$B$26,0),MATCH('Master data'!BE$1,'Team forecast'!$B$2:$AO$2,0))</f>
        <v>1.8402581758343768</v>
      </c>
      <c r="BF96" s="16">
        <f>INDEX('Team forecast'!$B$2:$AO$26,MATCH('Master data'!$B96,'Team forecast'!$B$2:$B$26,0),MATCH('Master data'!BF$1,'Team forecast'!$B$2:$AO$2,0))</f>
        <v>0.65281467345965161</v>
      </c>
      <c r="BG96" s="16">
        <f>INDEX('Team forecast'!$B$2:$AO$26,MATCH('Master data'!$B96,'Team forecast'!$B$2:$B$26,0),MATCH('Master data'!BG$1,'Team forecast'!$B$2:$AO$2,0))</f>
        <v>0.52057845435388617</v>
      </c>
      <c r="BH96" s="16">
        <f>INDEX('Team forecast'!$B$2:$AO$26,MATCH('Master data'!$B96,'Team forecast'!$B$2:$B$26,0),MATCH('Master data'!BH$1,'Team forecast'!$B$2:$AO$2,0))</f>
        <v>5.0287268869057034</v>
      </c>
      <c r="BI96" s="16">
        <f>INDEX('Team forecast'!$B$2:$AO$26,MATCH('Master data'!$B96,'Team forecast'!$B$2:$B$26,0),MATCH('Master data'!BI$1,'Team forecast'!$B$2:$AO$2,0))</f>
        <v>2.1430784734786541</v>
      </c>
      <c r="BJ96" s="5">
        <f>AQ96</f>
        <v>-5000</v>
      </c>
      <c r="BK96" s="5">
        <f>INDEX('Team forecast'!$R$3:$BH$26,MATCH($B96,'Team forecast'!$B$3:$B$26,0),MATCH(BK$1,'Team forecast'!$R$2:$BH$2,0))*IF($X96&gt;0,25000,0)</f>
        <v>0</v>
      </c>
      <c r="BL96" s="5">
        <f>INDEX('Team forecast'!$R$3:$BH$26,MATCH($B96,'Team forecast'!$B$3:$B$26,0),MATCH(BL$1,'Team forecast'!$R$2:$BH$2,0))*IF($X96&gt;0,5000,0)</f>
        <v>0</v>
      </c>
      <c r="BM96" s="5">
        <f>INDEX('Team forecast'!$R$3:$BH$26,MATCH($B96,'Team forecast'!$B$3:$B$26,0),MATCH(BM$1,'Team forecast'!$R$2:$BH$2,0))*IF($X96&gt;0,-15000,0)</f>
        <v>0</v>
      </c>
      <c r="BN96" s="5">
        <f>IF($C96="Defense",$N96*150000,IF($C96="Midfield",$N96*125000,IF($C96="Striker",$N96*100000,0)))*$BE96</f>
        <v>0</v>
      </c>
      <c r="BO96" s="5">
        <f>$O96*50000*$BE96</f>
        <v>0</v>
      </c>
      <c r="BP96" s="5">
        <f>$P96*BH96*10000</f>
        <v>0</v>
      </c>
      <c r="BQ96" s="5">
        <f>IF($C96="Goalkeeper",BG96*75000,IF($C96="Defense",BG96*50000,0))</f>
        <v>0</v>
      </c>
      <c r="BR96" s="5">
        <f>IF($C96="Goalkeeper",(BI96-BF96)*5000,0)</f>
        <v>0</v>
      </c>
      <c r="BS96" s="5">
        <f>$AG96</f>
        <v>0</v>
      </c>
      <c r="BT96" s="5">
        <f>$AH96</f>
        <v>0</v>
      </c>
      <c r="BU96" s="5">
        <f>IF(AQ96&gt;0,BE96*10000,0)</f>
        <v>0</v>
      </c>
      <c r="BV96" s="5">
        <f>IF(AQ96&gt;0,BF96*(-8000),0)</f>
        <v>0</v>
      </c>
      <c r="BW96" s="5">
        <f>IFERROR(SUM(BJ96:BV96),0)</f>
        <v>-5000</v>
      </c>
      <c r="BX96" s="5">
        <f>AVERAGE(AK96,BD96,BW96)</f>
        <v>-5000</v>
      </c>
      <c r="BY96" s="5">
        <f>BX96*3</f>
        <v>-15000</v>
      </c>
      <c r="BZ96" s="5">
        <f>INDEX('Team forecast'!$R$3:$BH$26,MATCH($B96,'Team forecast'!$B$3:$B$26,0),MATCH(BZ$1,'Team forecast'!$R$2:$BH$2,0))*($BX96-(BY96+CH96)*0.01)</f>
        <v>-33374.413849153221</v>
      </c>
      <c r="CA96" s="5">
        <f>INDEX('Team forecast'!$R$3:$BH$26,MATCH($B96,'Team forecast'!$B$3:$B$26,0),MATCH(CA$1,'Team forecast'!$R$2:$BH$2,0))*($BX96-(BY96+BX96+CH96)*0.01)</f>
        <v>-16798.404459901416</v>
      </c>
      <c r="CB96" s="5">
        <f>INDEX('Team forecast'!$R$3:$BH$26,MATCH($B96,'Team forecast'!$B$3:$B$26,0),MATCH(CB$1,'Team forecast'!$R$2:$BH$2,0))*($BX96-(BY96+BX96*2+CH96)*0.01)</f>
        <v>-8514.1413221201456</v>
      </c>
      <c r="CC96" s="5">
        <f>INDEX('Team forecast'!$R$3:$BH$26,MATCH($B96,'Team forecast'!$B$3:$B$26,0),MATCH(CC$1,'Team forecast'!$R$2:$BH$2,0))*($BX96-(BY96+BX96*3+CH96)*0.01)</f>
        <v>-4414.4818063145249</v>
      </c>
      <c r="CD96" s="5">
        <f>+AK96+BD96*Cockpit!$C$3+BW96*Cockpit!$C$3^2+BZ96*Cockpit!$C$3^3+CA96*Cockpit!$C$3^4+CB96*Cockpit!$C$3^5+CC96*Cockpit!$C$3^6</f>
        <v>-25271.231874033696</v>
      </c>
      <c r="CE96" s="5"/>
      <c r="CF96" s="5"/>
      <c r="CG96" s="5">
        <v>0</v>
      </c>
      <c r="CH96" s="5">
        <f t="shared" si="46"/>
        <v>3000000</v>
      </c>
      <c r="CI96" s="5">
        <f t="shared" si="47"/>
        <v>3000000</v>
      </c>
      <c r="CJ96" s="1">
        <f t="shared" si="48"/>
        <v>-5.0000000000000001E-3</v>
      </c>
      <c r="CK96" s="5">
        <f>RANK(BY96,$BY$2:$BY$623)+COUNTIF($BY$2:$BY96,$BY96)-1</f>
        <v>452</v>
      </c>
      <c r="CL96" s="5">
        <f>RANK(CJ96,$CJ$2:$CJ$623)+COUNTIF($CJ$2:$CJ96,$CJ96)-1</f>
        <v>485</v>
      </c>
    </row>
    <row r="97" spans="1:90">
      <c r="A97" t="str">
        <f>Players!P98</f>
        <v>Toby Alderweireld</v>
      </c>
      <c r="B97" t="str">
        <f>Players!G98</f>
        <v>Belgium</v>
      </c>
      <c r="C97" t="str">
        <f>Players!AB98</f>
        <v>Defense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4500000</v>
      </c>
      <c r="H97" s="16">
        <f>INDEX('Team forecast'!$B$2:$AO$26,MATCH('Master data'!$B97,'Team forecast'!$B$2:$B$26,0),MATCH('Master data'!H$1,'Team forecast'!$B$2:$AO$2,0))</f>
        <v>1.5602309947683257</v>
      </c>
      <c r="I97" s="16">
        <f>INDEX('Team forecast'!$B$2:$AO$26,MATCH('Master data'!$B97,'Team forecast'!$B$2:$B$26,0),MATCH('Master data'!I$1,'Team forecast'!$B$2:$AO$2,0))</f>
        <v>0.84461095835632183</v>
      </c>
      <c r="J97" s="16">
        <f>INDEX('Team forecast'!$B$2:$AO$26,MATCH('Master data'!$B97,'Team forecast'!$B$2:$B$26,0),MATCH('Master data'!J$1,'Team forecast'!$B$2:$AO$2,0))</f>
        <v>0.42972450642313093</v>
      </c>
      <c r="K97" s="16">
        <f>INDEX('Team forecast'!$B$2:$AO$26,MATCH('Master data'!$B97,'Team forecast'!$B$2:$B$26,0),MATCH('Master data'!K$1,'Team forecast'!$B$2:$AO$2,0))</f>
        <v>4.1655927994293096</v>
      </c>
      <c r="L97" s="16">
        <f>INDEX('Team forecast'!$B$2:$AO$26,MATCH('Master data'!$B97,'Team forecast'!$B$2:$B$26,0),MATCH('Master data'!L$1,'Team forecast'!$B$2:$AO$2,0))</f>
        <v>2.7727127420788342</v>
      </c>
      <c r="M97">
        <f>IF(Players!BC98=1,95,0)</f>
        <v>95</v>
      </c>
      <c r="N97" s="2">
        <f>Players!BN98</f>
        <v>2.8997637959420352E-2</v>
      </c>
      <c r="O97" s="2">
        <f>Players!BO98</f>
        <v>3.3854786744196693E-3</v>
      </c>
      <c r="P97" s="2">
        <f>Players!BP98</f>
        <v>1.7868492324224019E-2</v>
      </c>
      <c r="Q97" s="2">
        <f>Players!BQ98</f>
        <v>4.0160642570281124E-2</v>
      </c>
      <c r="R97" s="2">
        <f>Players!BR98</f>
        <v>0</v>
      </c>
      <c r="S97" s="2">
        <f>H97</f>
        <v>1.5602309947683257</v>
      </c>
      <c r="T97" s="2">
        <f>I97</f>
        <v>0.84461095835632183</v>
      </c>
      <c r="U97" s="16">
        <f>INDEX('Team forecast'!$B$2:$AO$26,MATCH('Master data'!$B97,'Team forecast'!$B$2:$B$26,0),MATCH('Master data'!U$1,'Team forecast'!$B$2:$AO$2,0))</f>
        <v>0.58357649020425184</v>
      </c>
      <c r="V97" s="16">
        <f>INDEX('Team forecast'!$B$2:$AO$26,MATCH('Master data'!$B97,'Team forecast'!$B$2:$B$26,0),MATCH('Master data'!V$1,'Team forecast'!$B$2:$AO$2,0))</f>
        <v>0.23634847853272201</v>
      </c>
      <c r="W97" s="16">
        <f>INDEX('Team forecast'!$B$2:$AO$26,MATCH('Master data'!$B97,'Team forecast'!$B$2:$B$26,0),MATCH('Master data'!W$1,'Team forecast'!$B$2:$AO$2,0))</f>
        <v>0.18007503126302629</v>
      </c>
      <c r="X97" s="5">
        <f>IF(M97&gt;95,7000*2,IF(M97&gt;0,7000,-5000))</f>
        <v>7000</v>
      </c>
      <c r="Y97" s="5">
        <f>IF($X97&gt;0,U97*25000,0)</f>
        <v>14589.412255106296</v>
      </c>
      <c r="Z97" s="5">
        <f>IF($X97&gt;0,V97*5000,0)</f>
        <v>1181.74239266361</v>
      </c>
      <c r="AA97" s="5">
        <f>IF($X97&gt;0,W97*(-15000),0)</f>
        <v>-2701.1254689453945</v>
      </c>
      <c r="AB97" s="5">
        <f>IF($C97="Defense",$N97*150000,IF($C97="Midfield",$N97*125000,IF($C97="Striker",$N97*100000,0)))*$H97</f>
        <v>6786.452027903727</v>
      </c>
      <c r="AC97" s="5">
        <f>$O97*50000*H97</f>
        <v>264.1064379978377</v>
      </c>
      <c r="AD97" s="5">
        <f>$P97*K97*10000</f>
        <v>744.32862962445461</v>
      </c>
      <c r="AE97" s="5">
        <f>IF($C97="Goalkeeper",J97*75000,IF($C97="Defense",J97*50000,0))</f>
        <v>21486.225321156548</v>
      </c>
      <c r="AF97" s="5">
        <f>IF($C97="Goalkeeper",(L97-I97)*5000,0)</f>
        <v>0</v>
      </c>
      <c r="AG97" s="5">
        <f>IF(M97&gt;0,Q97*(-20000),0)</f>
        <v>-803.21285140562247</v>
      </c>
      <c r="AH97" s="5">
        <f>IF(M97&gt;0,R97*(-50000),0)</f>
        <v>0</v>
      </c>
      <c r="AI97" s="5">
        <f>IF(M97&gt;0,S97*10000,0)</f>
        <v>15602.309947683258</v>
      </c>
      <c r="AJ97" s="5">
        <f>IF(M97&gt;0,T97*(-8000),0)</f>
        <v>-6756.8876668505745</v>
      </c>
      <c r="AK97" s="5">
        <f>IFERROR(SUM(X97:AJ97),-5000)*((Cockpit!$C$3)^0)</f>
        <v>57393.351024934142</v>
      </c>
      <c r="AL97" s="16">
        <f>INDEX('Team forecast'!$B$2:$AO$26,MATCH('Master data'!$B97,'Team forecast'!$B$2:$B$26,0),MATCH('Master data'!AL$1,'Team forecast'!$B$2:$AO$2,0))</f>
        <v>1.5279674504451852</v>
      </c>
      <c r="AM97" s="16">
        <f>INDEX('Team forecast'!$B$2:$AO$26,MATCH('Master data'!$B97,'Team forecast'!$B$2:$B$26,0),MATCH('Master data'!AM$1,'Team forecast'!$B$2:$AO$2,0))</f>
        <v>1.1610121970988967</v>
      </c>
      <c r="AN97" s="16">
        <f>INDEX('Team forecast'!$B$2:$AO$26,MATCH('Master data'!$B97,'Team forecast'!$B$2:$B$26,0),MATCH('Master data'!AN$1,'Team forecast'!$B$2:$AO$2,0))</f>
        <v>0.31316903161563348</v>
      </c>
      <c r="AO97" s="16">
        <f>INDEX('Team forecast'!$B$2:$AO$26,MATCH('Master data'!$B97,'Team forecast'!$B$2:$B$26,0),MATCH('Master data'!AO$1,'Team forecast'!$B$2:$AO$2,0))</f>
        <v>4.0794537672172888</v>
      </c>
      <c r="AP97" s="16">
        <f>INDEX('Team forecast'!$B$2:$AO$26,MATCH('Master data'!$B97,'Team forecast'!$B$2:$B$26,0),MATCH('Master data'!AP$1,'Team forecast'!$B$2:$AO$2,0))</f>
        <v>3.8114036773448627</v>
      </c>
      <c r="AQ97" s="5">
        <f>X97</f>
        <v>7000</v>
      </c>
      <c r="AR97" s="5">
        <f>INDEX('Team forecast'!$B$2:$AO$26,MATCH('Master data'!$B97,'Team forecast'!$B$2:$B$26,0),MATCH('Master data'!AR$1,'Team forecast'!$B$2:$AO$2,0))*IF(X97&gt;0,25000,0)</f>
        <v>11743.838685586257</v>
      </c>
      <c r="AS97" s="16">
        <f>INDEX('Team forecast'!$B$2:$AO$26,MATCH('Master data'!$B97,'Team forecast'!$B$2:$B$26,0),MATCH('Master data'!AS$1,'Team forecast'!$B$2:$AO$2,0))*IF(X97&gt;0,5000,0)</f>
        <v>1381.628080657207</v>
      </c>
      <c r="AT97" s="16">
        <f>INDEX('Team forecast'!$B$2:$AO$26,MATCH('Master data'!$B97,'Team forecast'!$B$2:$B$26,0),MATCH('Master data'!AT$1,'Team forecast'!$B$2:$AO$2,0))*IF(X97&gt;0,-15000,0)</f>
        <v>-3808.8125466766246</v>
      </c>
      <c r="AU97" s="5">
        <f>IF($C97="Defense",$N97*150000,IF($C97="Midfield",$N97*125000,IF($C97="Striker",$N97*100000,0)))*$AL97</f>
        <v>6646.1170412682059</v>
      </c>
      <c r="AV97" s="5">
        <f>$O97*50000*AL97</f>
        <v>258.64506093447841</v>
      </c>
      <c r="AW97" s="5">
        <f>$P97*AO97*10000</f>
        <v>728.93688326548886</v>
      </c>
      <c r="AX97" s="5">
        <f>IF($C97="Goalkeeper",AN97*75000,IF($C97="Defense",AN97*50000,0))</f>
        <v>15658.451580781673</v>
      </c>
      <c r="AY97" s="5">
        <f>IF($C97="Goalkeeper",(AP97-AM97)*5000,0)</f>
        <v>0</v>
      </c>
      <c r="AZ97" s="5">
        <f>$AG97</f>
        <v>-803.21285140562247</v>
      </c>
      <c r="BA97" s="5">
        <f>$AH97</f>
        <v>0</v>
      </c>
      <c r="BB97" s="5">
        <f>IF(X97&gt;0,AL97*10000,0)</f>
        <v>15279.674504451852</v>
      </c>
      <c r="BC97" s="5">
        <f>IF(X97&gt;0,AM97*(-8000),0)</f>
        <v>-9288.0975767911732</v>
      </c>
      <c r="BD97" s="5">
        <f>IFERROR(SUM(AQ97:BC97),0)</f>
        <v>44797.16886207174</v>
      </c>
      <c r="BE97" s="16">
        <f>INDEX('Team forecast'!$B$2:$AO$26,MATCH('Master data'!$B97,'Team forecast'!$B$2:$B$26,0),MATCH('Master data'!BE$1,'Team forecast'!$B$2:$AO$2,0))</f>
        <v>2.3394224481215296</v>
      </c>
      <c r="BF97" s="16">
        <f>INDEX('Team forecast'!$B$2:$AO$26,MATCH('Master data'!$B97,'Team forecast'!$B$2:$B$26,0),MATCH('Master data'!BF$1,'Team forecast'!$B$2:$AO$2,0))</f>
        <v>0.62462402002960304</v>
      </c>
      <c r="BG97" s="16">
        <f>INDEX('Team forecast'!$B$2:$AO$26,MATCH('Master data'!$B97,'Team forecast'!$B$2:$B$26,0),MATCH('Master data'!BG$1,'Team forecast'!$B$2:$AO$2,0))</f>
        <v>0.53546271393231015</v>
      </c>
      <c r="BH97" s="16">
        <f>INDEX('Team forecast'!$B$2:$AO$26,MATCH('Master data'!$B97,'Team forecast'!$B$2:$B$26,0),MATCH('Master data'!BH$1,'Team forecast'!$B$2:$AO$2,0))</f>
        <v>6.2459221342192031</v>
      </c>
      <c r="BI97" s="16">
        <f>INDEX('Team forecast'!$B$2:$AO$26,MATCH('Master data'!$B97,'Team forecast'!$B$2:$B$26,0),MATCH('Master data'!BI$1,'Team forecast'!$B$2:$AO$2,0))</f>
        <v>2.0505333990870809</v>
      </c>
      <c r="BJ97" s="5">
        <f>AQ97</f>
        <v>7000</v>
      </c>
      <c r="BK97" s="5">
        <f>INDEX('Team forecast'!$R$3:$BH$26,MATCH($B97,'Team forecast'!$B$3:$B$26,0),MATCH(BK$1,'Team forecast'!$R$2:$BH$2,0))*IF($X97&gt;0,25000,0)</f>
        <v>19590.099290206468</v>
      </c>
      <c r="BL97" s="5">
        <f>INDEX('Team forecast'!$R$3:$BH$26,MATCH($B97,'Team forecast'!$B$3:$B$26,0),MATCH(BL$1,'Team forecast'!$R$2:$BH$2,0))*IF($X97&gt;0,5000,0)</f>
        <v>771.06630806252645</v>
      </c>
      <c r="BM97" s="5">
        <f>INDEX('Team forecast'!$R$3:$BH$26,MATCH($B97,'Team forecast'!$B$3:$B$26,0),MATCH(BM$1,'Team forecast'!$R$2:$BH$2,0))*IF($X97&gt;0,-15000,0)</f>
        <v>-932.74150168854032</v>
      </c>
      <c r="BN97" s="5">
        <f>IF($C97="Defense",$N97*150000,IF($C97="Midfield",$N97*125000,IF($C97="Striker",$N97*100000,0)))*$BE97</f>
        <v>10175.658777715344</v>
      </c>
      <c r="BO97" s="5">
        <f>$O97*50000*$BE97</f>
        <v>396.00324042870471</v>
      </c>
      <c r="BP97" s="5">
        <f>$P97*BH97*10000</f>
        <v>1116.0521171299672</v>
      </c>
      <c r="BQ97" s="5">
        <f>IF($C97="Goalkeeper",BG97*75000,IF($C97="Defense",BG97*50000,0))</f>
        <v>26773.135696615507</v>
      </c>
      <c r="BR97" s="5">
        <f>IF($C97="Goalkeeper",(BI97-BF97)*5000,0)</f>
        <v>0</v>
      </c>
      <c r="BS97" s="5">
        <f>$AG97</f>
        <v>-803.21285140562247</v>
      </c>
      <c r="BT97" s="5">
        <f>$AH97</f>
        <v>0</v>
      </c>
      <c r="BU97" s="5">
        <f>IF(AQ97&gt;0,BE97*10000,0)</f>
        <v>23394.224481215297</v>
      </c>
      <c r="BV97" s="5">
        <f>IF(AQ97&gt;0,BF97*(-8000),0)</f>
        <v>-4996.992160236824</v>
      </c>
      <c r="BW97" s="5">
        <f>IFERROR(SUM(BJ97:BV97),0)</f>
        <v>82483.293398042821</v>
      </c>
      <c r="BX97" s="5">
        <f>AVERAGE(AK97,BD97,BW97)</f>
        <v>61557.937761682901</v>
      </c>
      <c r="BY97" s="5">
        <f>BX97*3</f>
        <v>184673.8132850487</v>
      </c>
      <c r="BZ97" s="5">
        <f>INDEX('Team forecast'!$R$3:$BH$26,MATCH($B97,'Team forecast'!$B$3:$B$26,0),MATCH(BZ$1,'Team forecast'!$R$2:$BH$2,0))*($BX97-(BY97+CH97)*0.01)</f>
        <v>14088.311754093602</v>
      </c>
      <c r="CA97" s="5">
        <f>INDEX('Team forecast'!$R$3:$BH$26,MATCH($B97,'Team forecast'!$B$3:$B$26,0),MATCH(CA$1,'Team forecast'!$R$2:$BH$2,0))*($BX97-(BY97+BX97+CH97)*0.01)</f>
        <v>6886.6275280182235</v>
      </c>
      <c r="CB97" s="5">
        <f>INDEX('Team forecast'!$R$3:$BH$26,MATCH($B97,'Team forecast'!$B$3:$B$26,0),MATCH(CB$1,'Team forecast'!$R$2:$BH$2,0))*($BX97-(BY97+BX97*2+CH97)*0.01)</f>
        <v>3416.4548693408224</v>
      </c>
      <c r="CC97" s="5">
        <f>INDEX('Team forecast'!$R$3:$BH$26,MATCH($B97,'Team forecast'!$B$3:$B$26,0),MATCH(CC$1,'Team forecast'!$R$2:$BH$2,0))*($BX97-(BY97+BX97*3+CH97)*0.01)</f>
        <v>1782.2174060242578</v>
      </c>
      <c r="CD97" s="5">
        <f>+AK97+BD97*Cockpit!$C$3+BW97*Cockpit!$C$3^2+BZ97*Cockpit!$C$3^3+CA97*Cockpit!$C$3^4+CB97*Cockpit!$C$3^5+CC97*Cockpit!$C$3^6</f>
        <v>130058.37491011088</v>
      </c>
      <c r="CE97" s="5"/>
      <c r="CF97" s="5"/>
      <c r="CG97" s="5">
        <v>0</v>
      </c>
      <c r="CH97" s="5">
        <f t="shared" si="46"/>
        <v>4500000</v>
      </c>
      <c r="CI97" s="5">
        <f t="shared" si="47"/>
        <v>4500000</v>
      </c>
      <c r="CJ97" s="1">
        <f t="shared" si="48"/>
        <v>4.1038625174455265E-2</v>
      </c>
      <c r="CK97" s="5">
        <f>RANK(BY97,$BY$2:$BY$623)+COUNTIF($BY$2:$BY97,$BY97)-1</f>
        <v>66</v>
      </c>
      <c r="CL97" s="5">
        <f>RANK(CJ97,$CJ$2:$CJ$623)+COUNTIF($CJ$2:$CJ97,$CJ97)-1</f>
        <v>67</v>
      </c>
    </row>
    <row r="98" spans="1:90">
      <c r="A98" t="str">
        <f>Players!P99</f>
        <v>Hans Vanaken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3500000</v>
      </c>
      <c r="H98" s="16">
        <f>INDEX('Team forecast'!$B$2:$AO$26,MATCH('Master data'!$B98,'Team forecast'!$B$2:$B$26,0),MATCH('Master data'!H$1,'Team forecast'!$B$2:$AO$2,0))</f>
        <v>1.5602309947683257</v>
      </c>
      <c r="I98" s="16">
        <f>INDEX('Team forecast'!$B$2:$AO$26,MATCH('Master data'!$B98,'Team forecast'!$B$2:$B$26,0),MATCH('Master data'!I$1,'Team forecast'!$B$2:$AO$2,0))</f>
        <v>0.84461095835632183</v>
      </c>
      <c r="J98" s="16">
        <f>INDEX('Team forecast'!$B$2:$AO$26,MATCH('Master data'!$B98,'Team forecast'!$B$2:$B$26,0),MATCH('Master data'!J$1,'Team forecast'!$B$2:$AO$2,0))</f>
        <v>0.42972450642313093</v>
      </c>
      <c r="K98" s="16">
        <f>INDEX('Team forecast'!$B$2:$AO$26,MATCH('Master data'!$B98,'Team forecast'!$B$2:$B$26,0),MATCH('Master data'!K$1,'Team forecast'!$B$2:$AO$2,0))</f>
        <v>4.1655927994293096</v>
      </c>
      <c r="L98" s="16">
        <f>INDEX('Team forecast'!$B$2:$AO$26,MATCH('Master data'!$B98,'Team forecast'!$B$2:$B$26,0),MATCH('Master data'!L$1,'Team forecast'!$B$2:$AO$2,0))</f>
        <v>2.7727127420788342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8.0405002977963075E-2</v>
      </c>
      <c r="R98" s="2">
        <f>Players!BR99</f>
        <v>0</v>
      </c>
      <c r="S98" s="2">
        <f>H98</f>
        <v>1.5602309947683257</v>
      </c>
      <c r="T98" s="2">
        <f>I98</f>
        <v>0.84461095835632183</v>
      </c>
      <c r="U98" s="16">
        <f>INDEX('Team forecast'!$B$2:$AO$26,MATCH('Master data'!$B98,'Team forecast'!$B$2:$B$26,0),MATCH('Master data'!U$1,'Team forecast'!$B$2:$AO$2,0))</f>
        <v>0.58357649020425184</v>
      </c>
      <c r="V98" s="16">
        <f>INDEX('Team forecast'!$B$2:$AO$26,MATCH('Master data'!$B98,'Team forecast'!$B$2:$B$26,0),MATCH('Master data'!V$1,'Team forecast'!$B$2:$AO$2,0))</f>
        <v>0.23634847853272201</v>
      </c>
      <c r="W98" s="16">
        <f>INDEX('Team forecast'!$B$2:$AO$26,MATCH('Master data'!$B98,'Team forecast'!$B$2:$B$26,0),MATCH('Master data'!W$1,'Team forecast'!$B$2:$AO$2,0))</f>
        <v>0.18007503126302629</v>
      </c>
      <c r="X98" s="5">
        <f>IF(M98&gt;95,7000*2,IF(M98&gt;0,7000,-5000))</f>
        <v>-5000</v>
      </c>
      <c r="Y98" s="5">
        <f>IF($X98&gt;0,U98*25000,0)</f>
        <v>0</v>
      </c>
      <c r="Z98" s="5">
        <f>IF($X98&gt;0,V98*5000,0)</f>
        <v>0</v>
      </c>
      <c r="AA98" s="5">
        <f>IF($X98&gt;0,W98*(-15000),0)</f>
        <v>0</v>
      </c>
      <c r="AB98" s="5">
        <f>IF($C98="Defense",$N98*150000,IF($C98="Midfield",$N98*125000,IF($C98="Striker",$N98*100000,0)))*$H98</f>
        <v>0</v>
      </c>
      <c r="AC98" s="5">
        <f>$O98*50000*H98</f>
        <v>0</v>
      </c>
      <c r="AD98" s="5">
        <f>$P98*K98*10000</f>
        <v>0</v>
      </c>
      <c r="AE98" s="5">
        <f>IF($C98="Goalkeeper",J98*75000,IF($C98="Defense",J98*50000,0))</f>
        <v>0</v>
      </c>
      <c r="AF98" s="5">
        <f>IF($C98="Goalkeeper",(L98-I98)*5000,0)</f>
        <v>0</v>
      </c>
      <c r="AG98" s="5">
        <f>IF(M98&gt;0,Q98*(-20000),0)</f>
        <v>0</v>
      </c>
      <c r="AH98" s="5">
        <f>IF(M98&gt;0,R98*(-50000),0)</f>
        <v>0</v>
      </c>
      <c r="AI98" s="5">
        <f>IF(M98&gt;0,S98*10000,0)</f>
        <v>0</v>
      </c>
      <c r="AJ98" s="5">
        <f>IF(M98&gt;0,T98*(-8000),0)</f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1.5279674504451852</v>
      </c>
      <c r="AM98" s="16">
        <f>INDEX('Team forecast'!$B$2:$AO$26,MATCH('Master data'!$B98,'Team forecast'!$B$2:$B$26,0),MATCH('Master data'!AM$1,'Team forecast'!$B$2:$AO$2,0))</f>
        <v>1.1610121970988967</v>
      </c>
      <c r="AN98" s="16">
        <f>INDEX('Team forecast'!$B$2:$AO$26,MATCH('Master data'!$B98,'Team forecast'!$B$2:$B$26,0),MATCH('Master data'!AN$1,'Team forecast'!$B$2:$AO$2,0))</f>
        <v>0.31316903161563348</v>
      </c>
      <c r="AO98" s="16">
        <f>INDEX('Team forecast'!$B$2:$AO$26,MATCH('Master data'!$B98,'Team forecast'!$B$2:$B$26,0),MATCH('Master data'!AO$1,'Team forecast'!$B$2:$AO$2,0))</f>
        <v>4.0794537672172888</v>
      </c>
      <c r="AP98" s="16">
        <f>INDEX('Team forecast'!$B$2:$AO$26,MATCH('Master data'!$B98,'Team forecast'!$B$2:$B$26,0),MATCH('Master data'!AP$1,'Team forecast'!$B$2:$AO$2,0))</f>
        <v>3.8114036773448627</v>
      </c>
      <c r="AQ98" s="5">
        <f>X98</f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>IF($C98="Defense",$N98*150000,IF($C98="Midfield",$N98*125000,IF($C98="Striker",$N98*100000,0)))*$AL98</f>
        <v>0</v>
      </c>
      <c r="AV98" s="5">
        <f>$O98*50000*AL98</f>
        <v>0</v>
      </c>
      <c r="AW98" s="5">
        <f>$P98*AO98*10000</f>
        <v>0</v>
      </c>
      <c r="AX98" s="5">
        <f>IF($C98="Goalkeeper",AN98*75000,IF($C98="Defense",AN98*50000,0))</f>
        <v>0</v>
      </c>
      <c r="AY98" s="5">
        <f>IF($C98="Goalkeeper",(AP98-AM98)*5000,0)</f>
        <v>0</v>
      </c>
      <c r="AZ98" s="5">
        <f>$AG98</f>
        <v>0</v>
      </c>
      <c r="BA98" s="5">
        <f>$AH98</f>
        <v>0</v>
      </c>
      <c r="BB98" s="5">
        <f>IF(X98&gt;0,AL98*10000,0)</f>
        <v>0</v>
      </c>
      <c r="BC98" s="5">
        <f>IF(X98&gt;0,AM98*(-8000),0)</f>
        <v>0</v>
      </c>
      <c r="BD98" s="5">
        <f>IFERROR(SUM(AQ98:BC98),0)</f>
        <v>-5000</v>
      </c>
      <c r="BE98" s="16">
        <f>INDEX('Team forecast'!$B$2:$AO$26,MATCH('Master data'!$B98,'Team forecast'!$B$2:$B$26,0),MATCH('Master data'!BE$1,'Team forecast'!$B$2:$AO$2,0))</f>
        <v>2.3394224481215296</v>
      </c>
      <c r="BF98" s="16">
        <f>INDEX('Team forecast'!$B$2:$AO$26,MATCH('Master data'!$B98,'Team forecast'!$B$2:$B$26,0),MATCH('Master data'!BF$1,'Team forecast'!$B$2:$AO$2,0))</f>
        <v>0.62462402002960304</v>
      </c>
      <c r="BG98" s="16">
        <f>INDEX('Team forecast'!$B$2:$AO$26,MATCH('Master data'!$B98,'Team forecast'!$B$2:$B$26,0),MATCH('Master data'!BG$1,'Team forecast'!$B$2:$AO$2,0))</f>
        <v>0.53546271393231015</v>
      </c>
      <c r="BH98" s="16">
        <f>INDEX('Team forecast'!$B$2:$AO$26,MATCH('Master data'!$B98,'Team forecast'!$B$2:$B$26,0),MATCH('Master data'!BH$1,'Team forecast'!$B$2:$AO$2,0))</f>
        <v>6.2459221342192031</v>
      </c>
      <c r="BI98" s="16">
        <f>INDEX('Team forecast'!$B$2:$AO$26,MATCH('Master data'!$B98,'Team forecast'!$B$2:$B$26,0),MATCH('Master data'!BI$1,'Team forecast'!$B$2:$AO$2,0))</f>
        <v>2.0505333990870809</v>
      </c>
      <c r="BJ98" s="5">
        <f>AQ98</f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>IF($C98="Defense",$N98*150000,IF($C98="Midfield",$N98*125000,IF($C98="Striker",$N98*100000,0)))*$BE98</f>
        <v>0</v>
      </c>
      <c r="BO98" s="5">
        <f>$O98*50000*$BE98</f>
        <v>0</v>
      </c>
      <c r="BP98" s="5">
        <f>$P98*BH98*10000</f>
        <v>0</v>
      </c>
      <c r="BQ98" s="5">
        <f>IF($C98="Goalkeeper",BG98*75000,IF($C98="Defense",BG98*50000,0))</f>
        <v>0</v>
      </c>
      <c r="BR98" s="5">
        <f>IF($C98="Goalkeeper",(BI98-BF98)*5000,0)</f>
        <v>0</v>
      </c>
      <c r="BS98" s="5">
        <f>$AG98</f>
        <v>0</v>
      </c>
      <c r="BT98" s="5">
        <f>$AH98</f>
        <v>0</v>
      </c>
      <c r="BU98" s="5">
        <f>IF(AQ98&gt;0,BE98*10000,0)</f>
        <v>0</v>
      </c>
      <c r="BV98" s="5">
        <f>IF(AQ98&gt;0,BF98*(-8000),0)</f>
        <v>0</v>
      </c>
      <c r="BW98" s="5">
        <f>IFERROR(SUM(BJ98:BV98),0)</f>
        <v>-5000</v>
      </c>
      <c r="BX98" s="5">
        <f>AVERAGE(AK98,BD98,BW98)</f>
        <v>-5000</v>
      </c>
      <c r="BY98" s="5">
        <f>BX98*3</f>
        <v>-15000</v>
      </c>
      <c r="BZ98" s="5">
        <f>INDEX('Team forecast'!$R$3:$BH$26,MATCH($B98,'Team forecast'!$B$3:$B$26,0),MATCH(BZ$1,'Team forecast'!$R$2:$BH$2,0))*($BX98-(BY98+CH98)*0.01)</f>
        <v>-38162.708519046078</v>
      </c>
      <c r="CA98" s="5">
        <f>INDEX('Team forecast'!$R$3:$BH$26,MATCH($B98,'Team forecast'!$B$3:$B$26,0),MATCH(CA$1,'Team forecast'!$R$2:$BH$2,0))*($BX98-(BY98+BX98+CH98)*0.01)</f>
        <v>-19444.889315281354</v>
      </c>
      <c r="CB98" s="5">
        <f>INDEX('Team forecast'!$R$3:$BH$26,MATCH($B98,'Team forecast'!$B$3:$B$26,0),MATCH(CB$1,'Team forecast'!$R$2:$BH$2,0))*($BX98-(BY98+BX98*2+CH98)*0.01)</f>
        <v>-10074.456177820339</v>
      </c>
      <c r="CC98" s="5">
        <f>INDEX('Team forecast'!$R$3:$BH$26,MATCH($B98,'Team forecast'!$B$3:$B$26,0),MATCH(CC$1,'Team forecast'!$R$2:$BH$2,0))*($BX98-(BY98+BX98*3+CH98)*0.01)</f>
        <v>-5499.9605728745237</v>
      </c>
      <c r="CD98" s="5">
        <f>+AK98+BD98*Cockpit!$C$3+BW98*Cockpit!$C$3^2+BZ98*Cockpit!$C$3^3+CA98*Cockpit!$C$3^4+CB98*Cockpit!$C$3^5+CC98*Cockpit!$C$3^6</f>
        <v>-27513.51765603455</v>
      </c>
      <c r="CE98" s="5"/>
      <c r="CF98" s="5"/>
      <c r="CG98" s="5">
        <v>0</v>
      </c>
      <c r="CH98" s="5">
        <f t="shared" si="46"/>
        <v>3500000</v>
      </c>
      <c r="CI98" s="5">
        <f t="shared" si="47"/>
        <v>3500000</v>
      </c>
      <c r="CJ98" s="1">
        <f t="shared" si="48"/>
        <v>-4.2857142857142859E-3</v>
      </c>
      <c r="CK98" s="5">
        <f>RANK(BY98,$BY$2:$BY$623)+COUNTIF($BY$2:$BY98,$BY98)-1</f>
        <v>453</v>
      </c>
      <c r="CL98" s="5">
        <f>RANK(CJ98,$CJ$2:$CJ$623)+COUNTIF($CJ$2:$CJ98,$CJ98)-1</f>
        <v>460</v>
      </c>
    </row>
    <row r="99" spans="1:90">
      <c r="A99" t="str">
        <f>Players!P100</f>
        <v>Nacer Chadli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4000000</v>
      </c>
      <c r="H99" s="16">
        <f>INDEX('Team forecast'!$B$2:$AO$26,MATCH('Master data'!$B99,'Team forecast'!$B$2:$B$26,0),MATCH('Master data'!H$1,'Team forecast'!$B$2:$AO$2,0))</f>
        <v>1.5602309947683257</v>
      </c>
      <c r="I99" s="16">
        <f>INDEX('Team forecast'!$B$2:$AO$26,MATCH('Master data'!$B99,'Team forecast'!$B$2:$B$26,0),MATCH('Master data'!I$1,'Team forecast'!$B$2:$AO$2,0))</f>
        <v>0.84461095835632183</v>
      </c>
      <c r="J99" s="16">
        <f>INDEX('Team forecast'!$B$2:$AO$26,MATCH('Master data'!$B99,'Team forecast'!$B$2:$B$26,0),MATCH('Master data'!J$1,'Team forecast'!$B$2:$AO$2,0))</f>
        <v>0.42972450642313093</v>
      </c>
      <c r="K99" s="16">
        <f>INDEX('Team forecast'!$B$2:$AO$26,MATCH('Master data'!$B99,'Team forecast'!$B$2:$B$26,0),MATCH('Master data'!K$1,'Team forecast'!$B$2:$AO$2,0))</f>
        <v>4.1655927994293096</v>
      </c>
      <c r="L99" s="16">
        <f>INDEX('Team forecast'!$B$2:$AO$26,MATCH('Master data'!$B99,'Team forecast'!$B$2:$B$26,0),MATCH('Master data'!L$1,'Team forecast'!$B$2:$AO$2,0))</f>
        <v>2.7727127420788342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>H99</f>
        <v>1.5602309947683257</v>
      </c>
      <c r="T99" s="2">
        <f>I99</f>
        <v>0.84461095835632183</v>
      </c>
      <c r="U99" s="16">
        <f>INDEX('Team forecast'!$B$2:$AO$26,MATCH('Master data'!$B99,'Team forecast'!$B$2:$B$26,0),MATCH('Master data'!U$1,'Team forecast'!$B$2:$AO$2,0))</f>
        <v>0.58357649020425184</v>
      </c>
      <c r="V99" s="16">
        <f>INDEX('Team forecast'!$B$2:$AO$26,MATCH('Master data'!$B99,'Team forecast'!$B$2:$B$26,0),MATCH('Master data'!V$1,'Team forecast'!$B$2:$AO$2,0))</f>
        <v>0.23634847853272201</v>
      </c>
      <c r="W99" s="16">
        <f>INDEX('Team forecast'!$B$2:$AO$26,MATCH('Master data'!$B99,'Team forecast'!$B$2:$B$26,0),MATCH('Master data'!W$1,'Team forecast'!$B$2:$AO$2,0))</f>
        <v>0.18007503126302629</v>
      </c>
      <c r="X99" s="5">
        <f>IF(M99&gt;95,7000*2,IF(M99&gt;0,7000,-5000))</f>
        <v>-5000</v>
      </c>
      <c r="Y99" s="5">
        <f>IF($X99&gt;0,U99*25000,0)</f>
        <v>0</v>
      </c>
      <c r="Z99" s="5">
        <f>IF($X99&gt;0,V99*5000,0)</f>
        <v>0</v>
      </c>
      <c r="AA99" s="5">
        <f>IF($X99&gt;0,W99*(-15000),0)</f>
        <v>0</v>
      </c>
      <c r="AB99" s="5">
        <f>IF($C99="Defense",$N99*150000,IF($C99="Midfield",$N99*125000,IF($C99="Striker",$N99*100000,0)))*$H99</f>
        <v>0</v>
      </c>
      <c r="AC99" s="5">
        <f>$O99*50000*H99</f>
        <v>0</v>
      </c>
      <c r="AD99" s="5">
        <f>$P99*K99*10000</f>
        <v>0</v>
      </c>
      <c r="AE99" s="5">
        <f>IF($C99="Goalkeeper",J99*75000,IF($C99="Defense",J99*50000,0))</f>
        <v>0</v>
      </c>
      <c r="AF99" s="5">
        <f>IF($C99="Goalkeeper",(L99-I99)*5000,0)</f>
        <v>0</v>
      </c>
      <c r="AG99" s="5">
        <f>IF(M99&gt;0,Q99*(-20000),0)</f>
        <v>0</v>
      </c>
      <c r="AH99" s="5">
        <f>IF(M99&gt;0,R99*(-50000),0)</f>
        <v>0</v>
      </c>
      <c r="AI99" s="5">
        <f>IF(M99&gt;0,S99*10000,0)</f>
        <v>0</v>
      </c>
      <c r="AJ99" s="5">
        <f>IF(M99&gt;0,T99*(-8000),0)</f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1.5279674504451852</v>
      </c>
      <c r="AM99" s="16">
        <f>INDEX('Team forecast'!$B$2:$AO$26,MATCH('Master data'!$B99,'Team forecast'!$B$2:$B$26,0),MATCH('Master data'!AM$1,'Team forecast'!$B$2:$AO$2,0))</f>
        <v>1.1610121970988967</v>
      </c>
      <c r="AN99" s="16">
        <f>INDEX('Team forecast'!$B$2:$AO$26,MATCH('Master data'!$B99,'Team forecast'!$B$2:$B$26,0),MATCH('Master data'!AN$1,'Team forecast'!$B$2:$AO$2,0))</f>
        <v>0.31316903161563348</v>
      </c>
      <c r="AO99" s="16">
        <f>INDEX('Team forecast'!$B$2:$AO$26,MATCH('Master data'!$B99,'Team forecast'!$B$2:$B$26,0),MATCH('Master data'!AO$1,'Team forecast'!$B$2:$AO$2,0))</f>
        <v>4.0794537672172888</v>
      </c>
      <c r="AP99" s="16">
        <f>INDEX('Team forecast'!$B$2:$AO$26,MATCH('Master data'!$B99,'Team forecast'!$B$2:$B$26,0),MATCH('Master data'!AP$1,'Team forecast'!$B$2:$AO$2,0))</f>
        <v>3.8114036773448627</v>
      </c>
      <c r="AQ99" s="5">
        <f>X99</f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>IF($C99="Defense",$N99*150000,IF($C99="Midfield",$N99*125000,IF($C99="Striker",$N99*100000,0)))*$AL99</f>
        <v>0</v>
      </c>
      <c r="AV99" s="5">
        <f>$O99*50000*AL99</f>
        <v>0</v>
      </c>
      <c r="AW99" s="5">
        <f>$P99*AO99*10000</f>
        <v>0</v>
      </c>
      <c r="AX99" s="5">
        <f>IF($C99="Goalkeeper",AN99*75000,IF($C99="Defense",AN99*50000,0))</f>
        <v>0</v>
      </c>
      <c r="AY99" s="5">
        <f>IF($C99="Goalkeeper",(AP99-AM99)*5000,0)</f>
        <v>0</v>
      </c>
      <c r="AZ99" s="5">
        <f>$AG99</f>
        <v>0</v>
      </c>
      <c r="BA99" s="5">
        <f>$AH99</f>
        <v>0</v>
      </c>
      <c r="BB99" s="5">
        <f>IF(X99&gt;0,AL99*10000,0)</f>
        <v>0</v>
      </c>
      <c r="BC99" s="5">
        <f>IF(X99&gt;0,AM99*(-8000),0)</f>
        <v>0</v>
      </c>
      <c r="BD99" s="5">
        <f>IFERROR(SUM(AQ99:BC99),0)</f>
        <v>-5000</v>
      </c>
      <c r="BE99" s="16">
        <f>INDEX('Team forecast'!$B$2:$AO$26,MATCH('Master data'!$B99,'Team forecast'!$B$2:$B$26,0),MATCH('Master data'!BE$1,'Team forecast'!$B$2:$AO$2,0))</f>
        <v>2.3394224481215296</v>
      </c>
      <c r="BF99" s="16">
        <f>INDEX('Team forecast'!$B$2:$AO$26,MATCH('Master data'!$B99,'Team forecast'!$B$2:$B$26,0),MATCH('Master data'!BF$1,'Team forecast'!$B$2:$AO$2,0))</f>
        <v>0.62462402002960304</v>
      </c>
      <c r="BG99" s="16">
        <f>INDEX('Team forecast'!$B$2:$AO$26,MATCH('Master data'!$B99,'Team forecast'!$B$2:$B$26,0),MATCH('Master data'!BG$1,'Team forecast'!$B$2:$AO$2,0))</f>
        <v>0.53546271393231015</v>
      </c>
      <c r="BH99" s="16">
        <f>INDEX('Team forecast'!$B$2:$AO$26,MATCH('Master data'!$B99,'Team forecast'!$B$2:$B$26,0),MATCH('Master data'!BH$1,'Team forecast'!$B$2:$AO$2,0))</f>
        <v>6.2459221342192031</v>
      </c>
      <c r="BI99" s="16">
        <f>INDEX('Team forecast'!$B$2:$AO$26,MATCH('Master data'!$B99,'Team forecast'!$B$2:$B$26,0),MATCH('Master data'!BI$1,'Team forecast'!$B$2:$AO$2,0))</f>
        <v>2.0505333990870809</v>
      </c>
      <c r="BJ99" s="5">
        <f>AQ99</f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>IF($C99="Defense",$N99*150000,IF($C99="Midfield",$N99*125000,IF($C99="Striker",$N99*100000,0)))*$BE99</f>
        <v>0</v>
      </c>
      <c r="BO99" s="5">
        <f>$O99*50000*$BE99</f>
        <v>0</v>
      </c>
      <c r="BP99" s="5">
        <f>$P99*BH99*10000</f>
        <v>0</v>
      </c>
      <c r="BQ99" s="5">
        <f>IF($C99="Goalkeeper",BG99*75000,IF($C99="Defense",BG99*50000,0))</f>
        <v>0</v>
      </c>
      <c r="BR99" s="5">
        <f>IF($C99="Goalkeeper",(BI99-BF99)*5000,0)</f>
        <v>0</v>
      </c>
      <c r="BS99" s="5">
        <f>$AG99</f>
        <v>0</v>
      </c>
      <c r="BT99" s="5">
        <f>$AH99</f>
        <v>0</v>
      </c>
      <c r="BU99" s="5">
        <f>IF(AQ99&gt;0,BE99*10000,0)</f>
        <v>0</v>
      </c>
      <c r="BV99" s="5">
        <f>IF(AQ99&gt;0,BF99*(-8000),0)</f>
        <v>0</v>
      </c>
      <c r="BW99" s="5">
        <f>IFERROR(SUM(BJ99:BV99),0)</f>
        <v>-5000</v>
      </c>
      <c r="BX99" s="5">
        <f>AVERAGE(AK99,BD99,BW99)</f>
        <v>-5000</v>
      </c>
      <c r="BY99" s="5">
        <f>BX99*3</f>
        <v>-15000</v>
      </c>
      <c r="BZ99" s="5">
        <f>INDEX('Team forecast'!$R$3:$BH$26,MATCH($B99,'Team forecast'!$B$3:$B$26,0),MATCH(BZ$1,'Team forecast'!$R$2:$BH$2,0))*($BX99-(BY99+CH99)*0.01)</f>
        <v>-42951.003188938936</v>
      </c>
      <c r="CA99" s="5">
        <f>INDEX('Team forecast'!$R$3:$BH$26,MATCH($B99,'Team forecast'!$B$3:$B$26,0),MATCH(CA$1,'Team forecast'!$R$2:$BH$2,0))*($BX99-(BY99+BX99+CH99)*0.01)</f>
        <v>-21887.714606145848</v>
      </c>
      <c r="CB99" s="5">
        <f>INDEX('Team forecast'!$R$3:$BH$26,MATCH($B99,'Team forecast'!$B$3:$B$26,0),MATCH(CB$1,'Team forecast'!$R$2:$BH$2,0))*($BX99-(BY99+BX99*2+CH99)*0.01)</f>
        <v>-11341.683369998998</v>
      </c>
      <c r="CC99" s="5">
        <f>INDEX('Team forecast'!$R$3:$BH$26,MATCH($B99,'Team forecast'!$B$3:$B$26,0),MATCH(CC$1,'Team forecast'!$R$2:$BH$2,0))*($BX99-(BY99+BX99*3+CH99)*0.01)</f>
        <v>-6192.6508213473862</v>
      </c>
      <c r="CD99" s="5">
        <f>+AK99+BD99*Cockpit!$C$3+BW99*Cockpit!$C$3^2+BZ99*Cockpit!$C$3^3+CA99*Cockpit!$C$3^4+CB99*Cockpit!$C$3^5+CC99*Cockpit!$C$3^6</f>
        <v>-29642.494990647392</v>
      </c>
      <c r="CE99" s="5"/>
      <c r="CF99" s="5"/>
      <c r="CG99" s="5">
        <v>0</v>
      </c>
      <c r="CH99" s="5">
        <f t="shared" si="46"/>
        <v>4000000</v>
      </c>
      <c r="CI99" s="5">
        <f t="shared" si="47"/>
        <v>4000000</v>
      </c>
      <c r="CJ99" s="1">
        <f t="shared" si="48"/>
        <v>-3.7499999999999999E-3</v>
      </c>
      <c r="CK99" s="5">
        <f>RANK(BY99,$BY$2:$BY$623)+COUNTIF($BY$2:$BY99,$BY99)-1</f>
        <v>454</v>
      </c>
      <c r="CL99" s="5">
        <f>RANK(CJ99,$CJ$2:$CJ$623)+COUNTIF($CJ$2:$CJ99,$CJ99)-1</f>
        <v>444</v>
      </c>
    </row>
    <row r="100" spans="1:90">
      <c r="A100" t="str">
        <f>Players!P101</f>
        <v>Dennis Praet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1.5602309947683257</v>
      </c>
      <c r="I100" s="16">
        <f>INDEX('Team forecast'!$B$2:$AO$26,MATCH('Master data'!$B100,'Team forecast'!$B$2:$B$26,0),MATCH('Master data'!I$1,'Team forecast'!$B$2:$AO$2,0))</f>
        <v>0.84461095835632183</v>
      </c>
      <c r="J100" s="16">
        <f>INDEX('Team forecast'!$B$2:$AO$26,MATCH('Master data'!$B100,'Team forecast'!$B$2:$B$26,0),MATCH('Master data'!J$1,'Team forecast'!$B$2:$AO$2,0))</f>
        <v>0.42972450642313093</v>
      </c>
      <c r="K100" s="16">
        <f>INDEX('Team forecast'!$B$2:$AO$26,MATCH('Master data'!$B100,'Team forecast'!$B$2:$B$26,0),MATCH('Master data'!K$1,'Team forecast'!$B$2:$AO$2,0))</f>
        <v>4.1655927994293096</v>
      </c>
      <c r="L100" s="16">
        <f>INDEX('Team forecast'!$B$2:$AO$26,MATCH('Master data'!$B100,'Team forecast'!$B$2:$B$26,0),MATCH('Master data'!L$1,'Team forecast'!$B$2:$AO$2,0))</f>
        <v>2.7727127420788342</v>
      </c>
      <c r="M100">
        <f>IF(Players!BC101=1,95,0)</f>
        <v>0</v>
      </c>
      <c r="N100" s="2">
        <f>Players!BN101</f>
        <v>0</v>
      </c>
      <c r="O100" s="2">
        <f>Players!BO101</f>
        <v>0</v>
      </c>
      <c r="P100" s="2">
        <f>Players!BP101</f>
        <v>0</v>
      </c>
      <c r="Q100" s="2">
        <f>Players!BQ101</f>
        <v>0</v>
      </c>
      <c r="R100" s="2">
        <f>Players!BR101</f>
        <v>0</v>
      </c>
      <c r="S100" s="2">
        <f>H100</f>
        <v>1.5602309947683257</v>
      </c>
      <c r="T100" s="2">
        <f>I100</f>
        <v>0.84461095835632183</v>
      </c>
      <c r="U100" s="16">
        <f>INDEX('Team forecast'!$B$2:$AO$26,MATCH('Master data'!$B100,'Team forecast'!$B$2:$B$26,0),MATCH('Master data'!U$1,'Team forecast'!$B$2:$AO$2,0))</f>
        <v>0.58357649020425184</v>
      </c>
      <c r="V100" s="16">
        <f>INDEX('Team forecast'!$B$2:$AO$26,MATCH('Master data'!$B100,'Team forecast'!$B$2:$B$26,0),MATCH('Master data'!V$1,'Team forecast'!$B$2:$AO$2,0))</f>
        <v>0.23634847853272201</v>
      </c>
      <c r="W100" s="16">
        <f>INDEX('Team forecast'!$B$2:$AO$26,MATCH('Master data'!$B100,'Team forecast'!$B$2:$B$26,0),MATCH('Master data'!W$1,'Team forecast'!$B$2:$AO$2,0))</f>
        <v>0.18007503126302629</v>
      </c>
      <c r="X100" s="5">
        <f>IF(M100&gt;95,7000*2,IF(M100&gt;0,7000,-5000))</f>
        <v>-5000</v>
      </c>
      <c r="Y100" s="5">
        <f>IF($X100&gt;0,U100*25000,0)</f>
        <v>0</v>
      </c>
      <c r="Z100" s="5">
        <f>IF($X100&gt;0,V100*5000,0)</f>
        <v>0</v>
      </c>
      <c r="AA100" s="5">
        <f>IF($X100&gt;0,W100*(-15000),0)</f>
        <v>0</v>
      </c>
      <c r="AB100" s="5">
        <f>IF($C100="Defense",$N100*150000,IF($C100="Midfield",$N100*125000,IF($C100="Striker",$N100*100000,0)))*$H100</f>
        <v>0</v>
      </c>
      <c r="AC100" s="5">
        <f>$O100*50000*H100</f>
        <v>0</v>
      </c>
      <c r="AD100" s="5">
        <f>$P100*K100*10000</f>
        <v>0</v>
      </c>
      <c r="AE100" s="5">
        <f>IF($C100="Goalkeeper",J100*75000,IF($C100="Defense",J100*50000,0))</f>
        <v>0</v>
      </c>
      <c r="AF100" s="5">
        <f>IF($C100="Goalkeeper",(L100-I100)*5000,0)</f>
        <v>0</v>
      </c>
      <c r="AG100" s="5">
        <f>IF(M100&gt;0,Q100*(-20000),0)</f>
        <v>0</v>
      </c>
      <c r="AH100" s="5">
        <f>IF(M100&gt;0,R100*(-50000),0)</f>
        <v>0</v>
      </c>
      <c r="AI100" s="5">
        <f>IF(M100&gt;0,S100*10000,0)</f>
        <v>0</v>
      </c>
      <c r="AJ100" s="5">
        <f>IF(M100&gt;0,T100*(-8000),0)</f>
        <v>0</v>
      </c>
      <c r="AK100" s="5">
        <f>IFERROR(SUM(X100:AJ100),-5000)*((Cockpit!$C$3)^0)</f>
        <v>-5000</v>
      </c>
      <c r="AL100" s="16">
        <f>INDEX('Team forecast'!$B$2:$AO$26,MATCH('Master data'!$B100,'Team forecast'!$B$2:$B$26,0),MATCH('Master data'!AL$1,'Team forecast'!$B$2:$AO$2,0))</f>
        <v>1.5279674504451852</v>
      </c>
      <c r="AM100" s="16">
        <f>INDEX('Team forecast'!$B$2:$AO$26,MATCH('Master data'!$B100,'Team forecast'!$B$2:$B$26,0),MATCH('Master data'!AM$1,'Team forecast'!$B$2:$AO$2,0))</f>
        <v>1.1610121970988967</v>
      </c>
      <c r="AN100" s="16">
        <f>INDEX('Team forecast'!$B$2:$AO$26,MATCH('Master data'!$B100,'Team forecast'!$B$2:$B$26,0),MATCH('Master data'!AN$1,'Team forecast'!$B$2:$AO$2,0))</f>
        <v>0.31316903161563348</v>
      </c>
      <c r="AO100" s="16">
        <f>INDEX('Team forecast'!$B$2:$AO$26,MATCH('Master data'!$B100,'Team forecast'!$B$2:$B$26,0),MATCH('Master data'!AO$1,'Team forecast'!$B$2:$AO$2,0))</f>
        <v>4.0794537672172888</v>
      </c>
      <c r="AP100" s="16">
        <f>INDEX('Team forecast'!$B$2:$AO$26,MATCH('Master data'!$B100,'Team forecast'!$B$2:$B$26,0),MATCH('Master data'!AP$1,'Team forecast'!$B$2:$AO$2,0))</f>
        <v>3.8114036773448627</v>
      </c>
      <c r="AQ100" s="5">
        <f>X100</f>
        <v>-5000</v>
      </c>
      <c r="AR100" s="5">
        <f>INDEX('Team forecast'!$B$2:$AO$26,MATCH('Master data'!$B100,'Team forecast'!$B$2:$B$26,0),MATCH('Master data'!AR$1,'Team forecast'!$B$2:$AO$2,0))*IF(X100&gt;0,25000,0)</f>
        <v>0</v>
      </c>
      <c r="AS100" s="16">
        <f>INDEX('Team forecast'!$B$2:$AO$26,MATCH('Master data'!$B100,'Team forecast'!$B$2:$B$26,0),MATCH('Master data'!AS$1,'Team forecast'!$B$2:$AO$2,0))*IF(X100&gt;0,5000,0)</f>
        <v>0</v>
      </c>
      <c r="AT100" s="16">
        <f>INDEX('Team forecast'!$B$2:$AO$26,MATCH('Master data'!$B100,'Team forecast'!$B$2:$B$26,0),MATCH('Master data'!AT$1,'Team forecast'!$B$2:$AO$2,0))*IF(X100&gt;0,-15000,0)</f>
        <v>0</v>
      </c>
      <c r="AU100" s="5">
        <f>IF($C100="Defense",$N100*150000,IF($C100="Midfield",$N100*125000,IF($C100="Striker",$N100*100000,0)))*$AL100</f>
        <v>0</v>
      </c>
      <c r="AV100" s="5">
        <f>$O100*50000*AL100</f>
        <v>0</v>
      </c>
      <c r="AW100" s="5">
        <f>$P100*AO100*10000</f>
        <v>0</v>
      </c>
      <c r="AX100" s="5">
        <f>IF($C100="Goalkeeper",AN100*75000,IF($C100="Defense",AN100*50000,0))</f>
        <v>0</v>
      </c>
      <c r="AY100" s="5">
        <f>IF($C100="Goalkeeper",(AP100-AM100)*5000,0)</f>
        <v>0</v>
      </c>
      <c r="AZ100" s="5">
        <f>$AG100</f>
        <v>0</v>
      </c>
      <c r="BA100" s="5">
        <f>$AH100</f>
        <v>0</v>
      </c>
      <c r="BB100" s="5">
        <f>IF(X100&gt;0,AL100*10000,0)</f>
        <v>0</v>
      </c>
      <c r="BC100" s="5">
        <f>IF(X100&gt;0,AM100*(-8000),0)</f>
        <v>0</v>
      </c>
      <c r="BD100" s="5">
        <f>IFERROR(SUM(AQ100:BC100),0)</f>
        <v>-5000</v>
      </c>
      <c r="BE100" s="16">
        <f>INDEX('Team forecast'!$B$2:$AO$26,MATCH('Master data'!$B100,'Team forecast'!$B$2:$B$26,0),MATCH('Master data'!BE$1,'Team forecast'!$B$2:$AO$2,0))</f>
        <v>2.3394224481215296</v>
      </c>
      <c r="BF100" s="16">
        <f>INDEX('Team forecast'!$B$2:$AO$26,MATCH('Master data'!$B100,'Team forecast'!$B$2:$B$26,0),MATCH('Master data'!BF$1,'Team forecast'!$B$2:$AO$2,0))</f>
        <v>0.62462402002960304</v>
      </c>
      <c r="BG100" s="16">
        <f>INDEX('Team forecast'!$B$2:$AO$26,MATCH('Master data'!$B100,'Team forecast'!$B$2:$B$26,0),MATCH('Master data'!BG$1,'Team forecast'!$B$2:$AO$2,0))</f>
        <v>0.53546271393231015</v>
      </c>
      <c r="BH100" s="16">
        <f>INDEX('Team forecast'!$B$2:$AO$26,MATCH('Master data'!$B100,'Team forecast'!$B$2:$B$26,0),MATCH('Master data'!BH$1,'Team forecast'!$B$2:$AO$2,0))</f>
        <v>6.2459221342192031</v>
      </c>
      <c r="BI100" s="16">
        <f>INDEX('Team forecast'!$B$2:$AO$26,MATCH('Master data'!$B100,'Team forecast'!$B$2:$B$26,0),MATCH('Master data'!BI$1,'Team forecast'!$B$2:$AO$2,0))</f>
        <v>2.0505333990870809</v>
      </c>
      <c r="BJ100" s="5">
        <f>AQ100</f>
        <v>-5000</v>
      </c>
      <c r="BK100" s="5">
        <f>INDEX('Team forecast'!$R$3:$BH$26,MATCH($B100,'Team forecast'!$B$3:$B$26,0),MATCH(BK$1,'Team forecast'!$R$2:$BH$2,0))*IF($X100&gt;0,25000,0)</f>
        <v>0</v>
      </c>
      <c r="BL100" s="5">
        <f>INDEX('Team forecast'!$R$3:$BH$26,MATCH($B100,'Team forecast'!$B$3:$B$26,0),MATCH(BL$1,'Team forecast'!$R$2:$BH$2,0))*IF($X100&gt;0,5000,0)</f>
        <v>0</v>
      </c>
      <c r="BM100" s="5">
        <f>INDEX('Team forecast'!$R$3:$BH$26,MATCH($B100,'Team forecast'!$B$3:$B$26,0),MATCH(BM$1,'Team forecast'!$R$2:$BH$2,0))*IF($X100&gt;0,-15000,0)</f>
        <v>0</v>
      </c>
      <c r="BN100" s="5">
        <f>IF($C100="Defense",$N100*150000,IF($C100="Midfield",$N100*125000,IF($C100="Striker",$N100*100000,0)))*$BE100</f>
        <v>0</v>
      </c>
      <c r="BO100" s="5">
        <f>$O100*50000*$BE100</f>
        <v>0</v>
      </c>
      <c r="BP100" s="5">
        <f>$P100*BH100*10000</f>
        <v>0</v>
      </c>
      <c r="BQ100" s="5">
        <f>IF($C100="Goalkeeper",BG100*75000,IF($C100="Defense",BG100*50000,0))</f>
        <v>0</v>
      </c>
      <c r="BR100" s="5">
        <f>IF($C100="Goalkeeper",(BI100-BF100)*5000,0)</f>
        <v>0</v>
      </c>
      <c r="BS100" s="5">
        <f>$AG100</f>
        <v>0</v>
      </c>
      <c r="BT100" s="5">
        <f>$AH100</f>
        <v>0</v>
      </c>
      <c r="BU100" s="5">
        <f>IF(AQ100&gt;0,BE100*10000,0)</f>
        <v>0</v>
      </c>
      <c r="BV100" s="5">
        <f>IF(AQ100&gt;0,BF100*(-8000),0)</f>
        <v>0</v>
      </c>
      <c r="BW100" s="5">
        <f>IFERROR(SUM(BJ100:BV100),0)</f>
        <v>-5000</v>
      </c>
      <c r="BX100" s="5">
        <f>AVERAGE(AK100,BD100,BW100)</f>
        <v>-5000</v>
      </c>
      <c r="BY100" s="5">
        <f>BX100*3</f>
        <v>-15000</v>
      </c>
      <c r="BZ100" s="5">
        <f>INDEX('Team forecast'!$R$3:$BH$26,MATCH($B100,'Team forecast'!$B$3:$B$26,0),MATCH(BZ$1,'Team forecast'!$R$2:$BH$2,0))*($BX100-(BY100+CH100)*0.01)</f>
        <v>-38162.708519046078</v>
      </c>
      <c r="CA100" s="5">
        <f>INDEX('Team forecast'!$R$3:$BH$26,MATCH($B100,'Team forecast'!$B$3:$B$26,0),MATCH(CA$1,'Team forecast'!$R$2:$BH$2,0))*($BX100-(BY100+BX100+CH100)*0.01)</f>
        <v>-19444.889315281354</v>
      </c>
      <c r="CB100" s="5">
        <f>INDEX('Team forecast'!$R$3:$BH$26,MATCH($B100,'Team forecast'!$B$3:$B$26,0),MATCH(CB$1,'Team forecast'!$R$2:$BH$2,0))*($BX100-(BY100+BX100*2+CH100)*0.01)</f>
        <v>-10074.456177820339</v>
      </c>
      <c r="CC100" s="5">
        <f>INDEX('Team forecast'!$R$3:$BH$26,MATCH($B100,'Team forecast'!$B$3:$B$26,0),MATCH(CC$1,'Team forecast'!$R$2:$BH$2,0))*($BX100-(BY100+BX100*3+CH100)*0.01)</f>
        <v>-5499.9605728745237</v>
      </c>
      <c r="CD100" s="5">
        <f>+AK100+BD100*Cockpit!$C$3+BW100*Cockpit!$C$3^2+BZ100*Cockpit!$C$3^3+CA100*Cockpit!$C$3^4+CB100*Cockpit!$C$3^5+CC100*Cockpit!$C$3^6</f>
        <v>-27513.51765603455</v>
      </c>
      <c r="CE100" s="5"/>
      <c r="CF100" s="5"/>
      <c r="CG100" s="5">
        <v>0</v>
      </c>
      <c r="CH100" s="5">
        <f t="shared" si="46"/>
        <v>3500000</v>
      </c>
      <c r="CI100" s="5">
        <f t="shared" si="47"/>
        <v>3500000</v>
      </c>
      <c r="CJ100" s="1">
        <f t="shared" si="48"/>
        <v>-4.2857142857142859E-3</v>
      </c>
      <c r="CK100" s="5">
        <f>RANK(BY100,$BY$2:$BY$623)+COUNTIF($BY$2:$BY100,$BY100)-1</f>
        <v>455</v>
      </c>
      <c r="CL100" s="5">
        <f>RANK(CJ100,$CJ$2:$CJ$623)+COUNTIF($CJ$2:$CJ100,$CJ100)-1</f>
        <v>461</v>
      </c>
    </row>
    <row r="101" spans="1:90">
      <c r="A101" t="str">
        <f>Players!P102</f>
        <v>Leander Dendoncker</v>
      </c>
      <c r="B101" t="str">
        <f>Players!G102</f>
        <v>Belgium</v>
      </c>
      <c r="C101" t="str">
        <f>Players!AB102</f>
        <v>Midfield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3500000</v>
      </c>
      <c r="H101" s="16">
        <f>INDEX('Team forecast'!$B$2:$AO$26,MATCH('Master data'!$B101,'Team forecast'!$B$2:$B$26,0),MATCH('Master data'!H$1,'Team forecast'!$B$2:$AO$2,0))</f>
        <v>1.5602309947683257</v>
      </c>
      <c r="I101" s="16">
        <f>INDEX('Team forecast'!$B$2:$AO$26,MATCH('Master data'!$B101,'Team forecast'!$B$2:$B$26,0),MATCH('Master data'!I$1,'Team forecast'!$B$2:$AO$2,0))</f>
        <v>0.84461095835632183</v>
      </c>
      <c r="J101" s="16">
        <f>INDEX('Team forecast'!$B$2:$AO$26,MATCH('Master data'!$B101,'Team forecast'!$B$2:$B$26,0),MATCH('Master data'!J$1,'Team forecast'!$B$2:$AO$2,0))</f>
        <v>0.42972450642313093</v>
      </c>
      <c r="K101" s="16">
        <f>INDEX('Team forecast'!$B$2:$AO$26,MATCH('Master data'!$B101,'Team forecast'!$B$2:$B$26,0),MATCH('Master data'!K$1,'Team forecast'!$B$2:$AO$2,0))</f>
        <v>4.1655927994293096</v>
      </c>
      <c r="L101" s="16">
        <f>INDEX('Team forecast'!$B$2:$AO$26,MATCH('Master data'!$B101,'Team forecast'!$B$2:$B$26,0),MATCH('Master data'!L$1,'Team forecast'!$B$2:$AO$2,0))</f>
        <v>2.7727127420788342</v>
      </c>
      <c r="M101">
        <f>IF(Players!BC102=1,95,0)</f>
        <v>95</v>
      </c>
      <c r="N101" s="2">
        <f>Players!BN102</f>
        <v>5.2334028995615151E-2</v>
      </c>
      <c r="O101" s="2">
        <f>Players!BO102</f>
        <v>2.8818915474461554E-2</v>
      </c>
      <c r="P101" s="2">
        <f>Players!BP102</f>
        <v>4.27128440518251E-2</v>
      </c>
      <c r="Q101" s="2">
        <f>Players!BQ102</f>
        <v>7.2000000000000008E-2</v>
      </c>
      <c r="R101" s="2">
        <f>Players!BR102</f>
        <v>0</v>
      </c>
      <c r="S101" s="2">
        <f>H101</f>
        <v>1.5602309947683257</v>
      </c>
      <c r="T101" s="2">
        <f>I101</f>
        <v>0.84461095835632183</v>
      </c>
      <c r="U101" s="16">
        <f>INDEX('Team forecast'!$B$2:$AO$26,MATCH('Master data'!$B101,'Team forecast'!$B$2:$B$26,0),MATCH('Master data'!U$1,'Team forecast'!$B$2:$AO$2,0))</f>
        <v>0.58357649020425184</v>
      </c>
      <c r="V101" s="16">
        <f>INDEX('Team forecast'!$B$2:$AO$26,MATCH('Master data'!$B101,'Team forecast'!$B$2:$B$26,0),MATCH('Master data'!V$1,'Team forecast'!$B$2:$AO$2,0))</f>
        <v>0.23634847853272201</v>
      </c>
      <c r="W101" s="16">
        <f>INDEX('Team forecast'!$B$2:$AO$26,MATCH('Master data'!$B101,'Team forecast'!$B$2:$B$26,0),MATCH('Master data'!W$1,'Team forecast'!$B$2:$AO$2,0))</f>
        <v>0.18007503126302629</v>
      </c>
      <c r="X101" s="5">
        <f>IF(M101&gt;95,7000*2,IF(M101&gt;0,7000,-5000))</f>
        <v>7000</v>
      </c>
      <c r="Y101" s="5">
        <f>IF($X101&gt;0,U101*25000,0)</f>
        <v>14589.412255106296</v>
      </c>
      <c r="Z101" s="5">
        <f>IF($X101&gt;0,V101*5000,0)</f>
        <v>1181.74239266361</v>
      </c>
      <c r="AA101" s="5">
        <f>IF($X101&gt;0,W101*(-15000),0)</f>
        <v>-2701.1254689453945</v>
      </c>
      <c r="AB101" s="5">
        <f>IF($C101="Defense",$N101*150000,IF($C101="Midfield",$N101*125000,IF($C101="Striker",$N101*100000,0)))*$H101</f>
        <v>10206.646765007879</v>
      </c>
      <c r="AC101" s="5">
        <f>$O101*50000*H101</f>
        <v>2248.2082579431726</v>
      </c>
      <c r="AD101" s="5">
        <f>$P101*K101*10000</f>
        <v>1779.2431562542965</v>
      </c>
      <c r="AE101" s="5">
        <f>IF($C101="Goalkeeper",J101*75000,IF($C101="Defense",J101*50000,0))</f>
        <v>0</v>
      </c>
      <c r="AF101" s="5">
        <f>IF($C101="Goalkeeper",(L101-I101)*5000,0)</f>
        <v>0</v>
      </c>
      <c r="AG101" s="5">
        <f>IF(M101&gt;0,Q101*(-20000),0)</f>
        <v>-1440.0000000000002</v>
      </c>
      <c r="AH101" s="5">
        <f>IF(M101&gt;0,R101*(-50000),0)</f>
        <v>0</v>
      </c>
      <c r="AI101" s="5">
        <f>IF(M101&gt;0,S101*10000,0)</f>
        <v>15602.309947683258</v>
      </c>
      <c r="AJ101" s="5">
        <f>IF(M101&gt;0,T101*(-8000),0)</f>
        <v>-6756.8876668505745</v>
      </c>
      <c r="AK101" s="5">
        <f>IFERROR(SUM(X101:AJ101),-5000)*((Cockpit!$C$3)^0)</f>
        <v>41709.549638862547</v>
      </c>
      <c r="AL101" s="16">
        <f>INDEX('Team forecast'!$B$2:$AO$26,MATCH('Master data'!$B101,'Team forecast'!$B$2:$B$26,0),MATCH('Master data'!AL$1,'Team forecast'!$B$2:$AO$2,0))</f>
        <v>1.5279674504451852</v>
      </c>
      <c r="AM101" s="16">
        <f>INDEX('Team forecast'!$B$2:$AO$26,MATCH('Master data'!$B101,'Team forecast'!$B$2:$B$26,0),MATCH('Master data'!AM$1,'Team forecast'!$B$2:$AO$2,0))</f>
        <v>1.1610121970988967</v>
      </c>
      <c r="AN101" s="16">
        <f>INDEX('Team forecast'!$B$2:$AO$26,MATCH('Master data'!$B101,'Team forecast'!$B$2:$B$26,0),MATCH('Master data'!AN$1,'Team forecast'!$B$2:$AO$2,0))</f>
        <v>0.31316903161563348</v>
      </c>
      <c r="AO101" s="16">
        <f>INDEX('Team forecast'!$B$2:$AO$26,MATCH('Master data'!$B101,'Team forecast'!$B$2:$B$26,0),MATCH('Master data'!AO$1,'Team forecast'!$B$2:$AO$2,0))</f>
        <v>4.0794537672172888</v>
      </c>
      <c r="AP101" s="16">
        <f>INDEX('Team forecast'!$B$2:$AO$26,MATCH('Master data'!$B101,'Team forecast'!$B$2:$B$26,0),MATCH('Master data'!AP$1,'Team forecast'!$B$2:$AO$2,0))</f>
        <v>3.8114036773448627</v>
      </c>
      <c r="AQ101" s="5">
        <f>X101</f>
        <v>7000</v>
      </c>
      <c r="AR101" s="5">
        <f>INDEX('Team forecast'!$B$2:$AO$26,MATCH('Master data'!$B101,'Team forecast'!$B$2:$B$26,0),MATCH('Master data'!AR$1,'Team forecast'!$B$2:$AO$2,0))*IF(X101&gt;0,25000,0)</f>
        <v>11743.838685586257</v>
      </c>
      <c r="AS101" s="16">
        <f>INDEX('Team forecast'!$B$2:$AO$26,MATCH('Master data'!$B101,'Team forecast'!$B$2:$B$26,0),MATCH('Master data'!AS$1,'Team forecast'!$B$2:$AO$2,0))*IF(X101&gt;0,5000,0)</f>
        <v>1381.628080657207</v>
      </c>
      <c r="AT101" s="16">
        <f>INDEX('Team forecast'!$B$2:$AO$26,MATCH('Master data'!$B101,'Team forecast'!$B$2:$B$26,0),MATCH('Master data'!AT$1,'Team forecast'!$B$2:$AO$2,0))*IF(X101&gt;0,-15000,0)</f>
        <v>-3808.8125466766246</v>
      </c>
      <c r="AU101" s="5">
        <f>IF($C101="Defense",$N101*150000,IF($C101="Midfield",$N101*125000,IF($C101="Striker",$N101*100000,0)))*$AL101</f>
        <v>9995.5866069943113</v>
      </c>
      <c r="AV101" s="5">
        <f>$O101*50000*AL101</f>
        <v>2201.718240105416</v>
      </c>
      <c r="AW101" s="5">
        <f>$P101*AO101*10000</f>
        <v>1742.4507257578248</v>
      </c>
      <c r="AX101" s="5">
        <f>IF($C101="Goalkeeper",AN101*75000,IF($C101="Defense",AN101*50000,0))</f>
        <v>0</v>
      </c>
      <c r="AY101" s="5">
        <f>IF($C101="Goalkeeper",(AP101-AM101)*5000,0)</f>
        <v>0</v>
      </c>
      <c r="AZ101" s="5">
        <f>$AG101</f>
        <v>-1440.0000000000002</v>
      </c>
      <c r="BA101" s="5">
        <f>$AH101</f>
        <v>0</v>
      </c>
      <c r="BB101" s="5">
        <f>IF(X101&gt;0,AL101*10000,0)</f>
        <v>15279.674504451852</v>
      </c>
      <c r="BC101" s="5">
        <f>IF(X101&gt;0,AM101*(-8000),0)</f>
        <v>-9288.0975767911732</v>
      </c>
      <c r="BD101" s="5">
        <f>IFERROR(SUM(AQ101:BC101),0)</f>
        <v>34807.986720085071</v>
      </c>
      <c r="BE101" s="16">
        <f>INDEX('Team forecast'!$B$2:$AO$26,MATCH('Master data'!$B101,'Team forecast'!$B$2:$B$26,0),MATCH('Master data'!BE$1,'Team forecast'!$B$2:$AO$2,0))</f>
        <v>2.3394224481215296</v>
      </c>
      <c r="BF101" s="16">
        <f>INDEX('Team forecast'!$B$2:$AO$26,MATCH('Master data'!$B101,'Team forecast'!$B$2:$B$26,0),MATCH('Master data'!BF$1,'Team forecast'!$B$2:$AO$2,0))</f>
        <v>0.62462402002960304</v>
      </c>
      <c r="BG101" s="16">
        <f>INDEX('Team forecast'!$B$2:$AO$26,MATCH('Master data'!$B101,'Team forecast'!$B$2:$B$26,0),MATCH('Master data'!BG$1,'Team forecast'!$B$2:$AO$2,0))</f>
        <v>0.53546271393231015</v>
      </c>
      <c r="BH101" s="16">
        <f>INDEX('Team forecast'!$B$2:$AO$26,MATCH('Master data'!$B101,'Team forecast'!$B$2:$B$26,0),MATCH('Master data'!BH$1,'Team forecast'!$B$2:$AO$2,0))</f>
        <v>6.2459221342192031</v>
      </c>
      <c r="BI101" s="16">
        <f>INDEX('Team forecast'!$B$2:$AO$26,MATCH('Master data'!$B101,'Team forecast'!$B$2:$B$26,0),MATCH('Master data'!BI$1,'Team forecast'!$B$2:$AO$2,0))</f>
        <v>2.0505333990870809</v>
      </c>
      <c r="BJ101" s="5">
        <f>AQ101</f>
        <v>7000</v>
      </c>
      <c r="BK101" s="5">
        <f>INDEX('Team forecast'!$R$3:$BH$26,MATCH($B101,'Team forecast'!$B$3:$B$26,0),MATCH(BK$1,'Team forecast'!$R$2:$BH$2,0))*IF($X101&gt;0,25000,0)</f>
        <v>19590.099290206468</v>
      </c>
      <c r="BL101" s="5">
        <f>INDEX('Team forecast'!$R$3:$BH$26,MATCH($B101,'Team forecast'!$B$3:$B$26,0),MATCH(BL$1,'Team forecast'!$R$2:$BH$2,0))*IF($X101&gt;0,5000,0)</f>
        <v>771.06630806252645</v>
      </c>
      <c r="BM101" s="5">
        <f>INDEX('Team forecast'!$R$3:$BH$26,MATCH($B101,'Team forecast'!$B$3:$B$26,0),MATCH(BM$1,'Team forecast'!$R$2:$BH$2,0))*IF($X101&gt;0,-15000,0)</f>
        <v>-932.74150168854032</v>
      </c>
      <c r="BN101" s="5">
        <f>IF($C101="Defense",$N101*150000,IF($C101="Midfield",$N101*125000,IF($C101="Striker",$N101*100000,0)))*$BE101</f>
        <v>15303.925279123139</v>
      </c>
      <c r="BO101" s="5">
        <f>$O101*50000*$BE101</f>
        <v>3370.9808895736141</v>
      </c>
      <c r="BP101" s="5">
        <f>$P101*BH101*10000</f>
        <v>2667.8109807874739</v>
      </c>
      <c r="BQ101" s="5">
        <f>IF($C101="Goalkeeper",BG101*75000,IF($C101="Defense",BG101*50000,0))</f>
        <v>0</v>
      </c>
      <c r="BR101" s="5">
        <f>IF($C101="Goalkeeper",(BI101-BF101)*5000,0)</f>
        <v>0</v>
      </c>
      <c r="BS101" s="5">
        <f>$AG101</f>
        <v>-1440.0000000000002</v>
      </c>
      <c r="BT101" s="5">
        <f>$AH101</f>
        <v>0</v>
      </c>
      <c r="BU101" s="5">
        <f>IF(AQ101&gt;0,BE101*10000,0)</f>
        <v>23394.224481215297</v>
      </c>
      <c r="BV101" s="5">
        <f>IF(AQ101&gt;0,BF101*(-8000),0)</f>
        <v>-4996.992160236824</v>
      </c>
      <c r="BW101" s="5">
        <f>IFERROR(SUM(BJ101:BV101),0)</f>
        <v>64728.373567043149</v>
      </c>
      <c r="BX101" s="5">
        <f>AVERAGE(AK101,BD101,BW101)</f>
        <v>47081.969975330256</v>
      </c>
      <c r="BY101" s="5">
        <f>BX101*3</f>
        <v>141245.90992599077</v>
      </c>
      <c r="BZ101" s="5">
        <f>INDEX('Team forecast'!$R$3:$BH$26,MATCH($B101,'Team forecast'!$B$3:$B$26,0),MATCH(BZ$1,'Team forecast'!$R$2:$BH$2,0))*($BX101-(BY101+CH101)*0.01)</f>
        <v>10217.752411650301</v>
      </c>
      <c r="CA101" s="5">
        <f>INDEX('Team forecast'!$R$3:$BH$26,MATCH($B101,'Team forecast'!$B$3:$B$26,0),MATCH(CA$1,'Team forecast'!$R$2:$BH$2,0))*($BX101-(BY101+BX101+CH101)*0.01)</f>
        <v>4982.7241478447613</v>
      </c>
      <c r="CB101" s="5">
        <f>INDEX('Team forecast'!$R$3:$BH$26,MATCH($B101,'Team forecast'!$B$3:$B$26,0),MATCH(CB$1,'Team forecast'!$R$2:$BH$2,0))*($BX101-(BY101+BX101*2+CH101)*0.01)</f>
        <v>2465.4846514241472</v>
      </c>
      <c r="CC101" s="5">
        <f>INDEX('Team forecast'!$R$3:$BH$26,MATCH($B101,'Team forecast'!$B$3:$B$26,0),MATCH(CC$1,'Team forecast'!$R$2:$BH$2,0))*($BX101-(BY101+BX101*3+CH101)*0.01)</f>
        <v>1282.4538990809945</v>
      </c>
      <c r="CD101" s="5">
        <f>+AK101+BD101*Cockpit!$C$3+BW101*Cockpit!$C$3^2+BZ101*Cockpit!$C$3^3+CA101*Cockpit!$C$3^4+CB101*Cockpit!$C$3^5+CC101*Cockpit!$C$3^6</f>
        <v>98132.025572974118</v>
      </c>
      <c r="CE101" s="5"/>
      <c r="CF101" s="5"/>
      <c r="CG101" s="5">
        <v>0</v>
      </c>
      <c r="CH101" s="5">
        <f t="shared" si="46"/>
        <v>3500000</v>
      </c>
      <c r="CI101" s="5">
        <f t="shared" si="47"/>
        <v>3500000</v>
      </c>
      <c r="CJ101" s="1">
        <f t="shared" si="48"/>
        <v>4.0355974264568793E-2</v>
      </c>
      <c r="CK101" s="5">
        <f>RANK(BY101,$BY$2:$BY$623)+COUNTIF($BY$2:$BY101,$BY101)-1</f>
        <v>103</v>
      </c>
      <c r="CL101" s="5">
        <f>RANK(CJ101,$CJ$2:$CJ$623)+COUNTIF($CJ$2:$CJ101,$CJ101)-1</f>
        <v>73</v>
      </c>
    </row>
    <row r="102" spans="1:90">
      <c r="A102" t="str">
        <f>Players!P103</f>
        <v>Leandro Trossard</v>
      </c>
      <c r="B102" t="str">
        <f>Players!G103</f>
        <v>Belgium</v>
      </c>
      <c r="C102" t="str">
        <f>Players!AB103</f>
        <v>Striker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4500000</v>
      </c>
      <c r="H102" s="16">
        <f>INDEX('Team forecast'!$B$2:$AO$26,MATCH('Master data'!$B102,'Team forecast'!$B$2:$B$26,0),MATCH('Master data'!H$1,'Team forecast'!$B$2:$AO$2,0))</f>
        <v>1.5602309947683257</v>
      </c>
      <c r="I102" s="16">
        <f>INDEX('Team forecast'!$B$2:$AO$26,MATCH('Master data'!$B102,'Team forecast'!$B$2:$B$26,0),MATCH('Master data'!I$1,'Team forecast'!$B$2:$AO$2,0))</f>
        <v>0.84461095835632183</v>
      </c>
      <c r="J102" s="16">
        <f>INDEX('Team forecast'!$B$2:$AO$26,MATCH('Master data'!$B102,'Team forecast'!$B$2:$B$26,0),MATCH('Master data'!J$1,'Team forecast'!$B$2:$AO$2,0))</f>
        <v>0.42972450642313093</v>
      </c>
      <c r="K102" s="16">
        <f>INDEX('Team forecast'!$B$2:$AO$26,MATCH('Master data'!$B102,'Team forecast'!$B$2:$B$26,0),MATCH('Master data'!K$1,'Team forecast'!$B$2:$AO$2,0))</f>
        <v>4.1655927994293096</v>
      </c>
      <c r="L102" s="16">
        <f>INDEX('Team forecast'!$B$2:$AO$26,MATCH('Master data'!$B102,'Team forecast'!$B$2:$B$26,0),MATCH('Master data'!L$1,'Team forecast'!$B$2:$AO$2,0))</f>
        <v>2.7727127420788342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3.4351145038167941E-2</v>
      </c>
      <c r="R102" s="2">
        <f>Players!BR103</f>
        <v>0</v>
      </c>
      <c r="S102" s="2">
        <f>H102</f>
        <v>1.5602309947683257</v>
      </c>
      <c r="T102" s="2">
        <f>I102</f>
        <v>0.84461095835632183</v>
      </c>
      <c r="U102" s="16">
        <f>INDEX('Team forecast'!$B$2:$AO$26,MATCH('Master data'!$B102,'Team forecast'!$B$2:$B$26,0),MATCH('Master data'!U$1,'Team forecast'!$B$2:$AO$2,0))</f>
        <v>0.58357649020425184</v>
      </c>
      <c r="V102" s="16">
        <f>INDEX('Team forecast'!$B$2:$AO$26,MATCH('Master data'!$B102,'Team forecast'!$B$2:$B$26,0),MATCH('Master data'!V$1,'Team forecast'!$B$2:$AO$2,0))</f>
        <v>0.23634847853272201</v>
      </c>
      <c r="W102" s="16">
        <f>INDEX('Team forecast'!$B$2:$AO$26,MATCH('Master data'!$B102,'Team forecast'!$B$2:$B$26,0),MATCH('Master data'!W$1,'Team forecast'!$B$2:$AO$2,0))</f>
        <v>0.18007503126302629</v>
      </c>
      <c r="X102" s="5">
        <f>IF(M102&gt;95,7000*2,IF(M102&gt;0,7000,-5000))</f>
        <v>-5000</v>
      </c>
      <c r="Y102" s="5">
        <f>IF($X102&gt;0,U102*25000,0)</f>
        <v>0</v>
      </c>
      <c r="Z102" s="5">
        <f>IF($X102&gt;0,V102*5000,0)</f>
        <v>0</v>
      </c>
      <c r="AA102" s="5">
        <f>IF($X102&gt;0,W102*(-15000),0)</f>
        <v>0</v>
      </c>
      <c r="AB102" s="5">
        <f>IF($C102="Defense",$N102*150000,IF($C102="Midfield",$N102*125000,IF($C102="Striker",$N102*100000,0)))*$H102</f>
        <v>0</v>
      </c>
      <c r="AC102" s="5">
        <f>$O102*50000*H102</f>
        <v>0</v>
      </c>
      <c r="AD102" s="5">
        <f>$P102*K102*10000</f>
        <v>0</v>
      </c>
      <c r="AE102" s="5">
        <f>IF($C102="Goalkeeper",J102*75000,IF($C102="Defense",J102*50000,0))</f>
        <v>0</v>
      </c>
      <c r="AF102" s="5">
        <f>IF($C102="Goalkeeper",(L102-I102)*5000,0)</f>
        <v>0</v>
      </c>
      <c r="AG102" s="5">
        <f>IF(M102&gt;0,Q102*(-20000),0)</f>
        <v>0</v>
      </c>
      <c r="AH102" s="5">
        <f>IF(M102&gt;0,R102*(-50000),0)</f>
        <v>0</v>
      </c>
      <c r="AI102" s="5">
        <f>IF(M102&gt;0,S102*10000,0)</f>
        <v>0</v>
      </c>
      <c r="AJ102" s="5">
        <f>IF(M102&gt;0,T102*(-8000),0)</f>
        <v>0</v>
      </c>
      <c r="AK102" s="5">
        <f>IFERROR(SUM(X102:AJ102),-5000)*((Cockpit!$C$3)^0)</f>
        <v>-5000</v>
      </c>
      <c r="AL102" s="16">
        <f>INDEX('Team forecast'!$B$2:$AO$26,MATCH('Master data'!$B102,'Team forecast'!$B$2:$B$26,0),MATCH('Master data'!AL$1,'Team forecast'!$B$2:$AO$2,0))</f>
        <v>1.5279674504451852</v>
      </c>
      <c r="AM102" s="16">
        <f>INDEX('Team forecast'!$B$2:$AO$26,MATCH('Master data'!$B102,'Team forecast'!$B$2:$B$26,0),MATCH('Master data'!AM$1,'Team forecast'!$B$2:$AO$2,0))</f>
        <v>1.1610121970988967</v>
      </c>
      <c r="AN102" s="16">
        <f>INDEX('Team forecast'!$B$2:$AO$26,MATCH('Master data'!$B102,'Team forecast'!$B$2:$B$26,0),MATCH('Master data'!AN$1,'Team forecast'!$B$2:$AO$2,0))</f>
        <v>0.31316903161563348</v>
      </c>
      <c r="AO102" s="16">
        <f>INDEX('Team forecast'!$B$2:$AO$26,MATCH('Master data'!$B102,'Team forecast'!$B$2:$B$26,0),MATCH('Master data'!AO$1,'Team forecast'!$B$2:$AO$2,0))</f>
        <v>4.0794537672172888</v>
      </c>
      <c r="AP102" s="16">
        <f>INDEX('Team forecast'!$B$2:$AO$26,MATCH('Master data'!$B102,'Team forecast'!$B$2:$B$26,0),MATCH('Master data'!AP$1,'Team forecast'!$B$2:$AO$2,0))</f>
        <v>3.8114036773448627</v>
      </c>
      <c r="AQ102" s="5">
        <f>X102</f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>IF($C102="Defense",$N102*150000,IF($C102="Midfield",$N102*125000,IF($C102="Striker",$N102*100000,0)))*$AL102</f>
        <v>0</v>
      </c>
      <c r="AV102" s="5">
        <f>$O102*50000*AL102</f>
        <v>0</v>
      </c>
      <c r="AW102" s="5">
        <f>$P102*AO102*10000</f>
        <v>0</v>
      </c>
      <c r="AX102" s="5">
        <f>IF($C102="Goalkeeper",AN102*75000,IF($C102="Defense",AN102*50000,0))</f>
        <v>0</v>
      </c>
      <c r="AY102" s="5">
        <f>IF($C102="Goalkeeper",(AP102-AM102)*5000,0)</f>
        <v>0</v>
      </c>
      <c r="AZ102" s="5">
        <f>$AG102</f>
        <v>0</v>
      </c>
      <c r="BA102" s="5">
        <f>$AH102</f>
        <v>0</v>
      </c>
      <c r="BB102" s="5">
        <f>IF(X102&gt;0,AL102*10000,0)</f>
        <v>0</v>
      </c>
      <c r="BC102" s="5">
        <f>IF(X102&gt;0,AM102*(-8000),0)</f>
        <v>0</v>
      </c>
      <c r="BD102" s="5">
        <f>IFERROR(SUM(AQ102:BC102),0)</f>
        <v>-5000</v>
      </c>
      <c r="BE102" s="16">
        <f>INDEX('Team forecast'!$B$2:$AO$26,MATCH('Master data'!$B102,'Team forecast'!$B$2:$B$26,0),MATCH('Master data'!BE$1,'Team forecast'!$B$2:$AO$2,0))</f>
        <v>2.3394224481215296</v>
      </c>
      <c r="BF102" s="16">
        <f>INDEX('Team forecast'!$B$2:$AO$26,MATCH('Master data'!$B102,'Team forecast'!$B$2:$B$26,0),MATCH('Master data'!BF$1,'Team forecast'!$B$2:$AO$2,0))</f>
        <v>0.62462402002960304</v>
      </c>
      <c r="BG102" s="16">
        <f>INDEX('Team forecast'!$B$2:$AO$26,MATCH('Master data'!$B102,'Team forecast'!$B$2:$B$26,0),MATCH('Master data'!BG$1,'Team forecast'!$B$2:$AO$2,0))</f>
        <v>0.53546271393231015</v>
      </c>
      <c r="BH102" s="16">
        <f>INDEX('Team forecast'!$B$2:$AO$26,MATCH('Master data'!$B102,'Team forecast'!$B$2:$B$26,0),MATCH('Master data'!BH$1,'Team forecast'!$B$2:$AO$2,0))</f>
        <v>6.2459221342192031</v>
      </c>
      <c r="BI102" s="16">
        <f>INDEX('Team forecast'!$B$2:$AO$26,MATCH('Master data'!$B102,'Team forecast'!$B$2:$B$26,0),MATCH('Master data'!BI$1,'Team forecast'!$B$2:$AO$2,0))</f>
        <v>2.0505333990870809</v>
      </c>
      <c r="BJ102" s="5">
        <f>AQ102</f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>IF($C102="Defense",$N102*150000,IF($C102="Midfield",$N102*125000,IF($C102="Striker",$N102*100000,0)))*$BE102</f>
        <v>0</v>
      </c>
      <c r="BO102" s="5">
        <f>$O102*50000*$BE102</f>
        <v>0</v>
      </c>
      <c r="BP102" s="5">
        <f>$P102*BH102*10000</f>
        <v>0</v>
      </c>
      <c r="BQ102" s="5">
        <f>IF($C102="Goalkeeper",BG102*75000,IF($C102="Defense",BG102*50000,0))</f>
        <v>0</v>
      </c>
      <c r="BR102" s="5">
        <f>IF($C102="Goalkeeper",(BI102-BF102)*5000,0)</f>
        <v>0</v>
      </c>
      <c r="BS102" s="5">
        <f>$AG102</f>
        <v>0</v>
      </c>
      <c r="BT102" s="5">
        <f>$AH102</f>
        <v>0</v>
      </c>
      <c r="BU102" s="5">
        <f>IF(AQ102&gt;0,BE102*10000,0)</f>
        <v>0</v>
      </c>
      <c r="BV102" s="5">
        <f>IF(AQ102&gt;0,BF102*(-8000),0)</f>
        <v>0</v>
      </c>
      <c r="BW102" s="5">
        <f>IFERROR(SUM(BJ102:BV102),0)</f>
        <v>-5000</v>
      </c>
      <c r="BX102" s="5">
        <f>AVERAGE(AK102,BD102,BW102)</f>
        <v>-5000</v>
      </c>
      <c r="BY102" s="5">
        <f>BX102*3</f>
        <v>-15000</v>
      </c>
      <c r="BZ102" s="5">
        <f>INDEX('Team forecast'!$R$3:$BH$26,MATCH($B102,'Team forecast'!$B$3:$B$26,0),MATCH(BZ$1,'Team forecast'!$R$2:$BH$2,0))*($BX102-(BY102+CH102)*0.01)</f>
        <v>-47739.297858831793</v>
      </c>
      <c r="CA102" s="5">
        <f>INDEX('Team forecast'!$R$3:$BH$26,MATCH($B102,'Team forecast'!$B$3:$B$26,0),MATCH(CA$1,'Team forecast'!$R$2:$BH$2,0))*($BX102-(BY102+BX102+CH102)*0.01)</f>
        <v>-24330.539897010338</v>
      </c>
      <c r="CB102" s="5">
        <f>INDEX('Team forecast'!$R$3:$BH$26,MATCH($B102,'Team forecast'!$B$3:$B$26,0),MATCH(CB$1,'Team forecast'!$R$2:$BH$2,0))*($BX102-(BY102+BX102*2+CH102)*0.01)</f>
        <v>-12608.910562177658</v>
      </c>
      <c r="CC102" s="5">
        <f>INDEX('Team forecast'!$R$3:$BH$26,MATCH($B102,'Team forecast'!$B$3:$B$26,0),MATCH(CC$1,'Team forecast'!$R$2:$BH$2,0))*($BX102-(BY102+BX102*3+CH102)*0.01)</f>
        <v>-6885.3410698202479</v>
      </c>
      <c r="CD102" s="5">
        <f>+AK102+BD102*Cockpit!$C$3+BW102*Cockpit!$C$3^2+BZ102*Cockpit!$C$3^3+CA102*Cockpit!$C$3^4+CB102*Cockpit!$C$3^5+CC102*Cockpit!$C$3^6</f>
        <v>-31771.472325260227</v>
      </c>
      <c r="CE102" s="5"/>
      <c r="CF102" s="5"/>
      <c r="CG102" s="5">
        <v>0</v>
      </c>
      <c r="CH102" s="5">
        <f t="shared" si="46"/>
        <v>4500000</v>
      </c>
      <c r="CI102" s="5">
        <f t="shared" si="47"/>
        <v>4500000</v>
      </c>
      <c r="CJ102" s="1">
        <f t="shared" si="48"/>
        <v>-3.3333333333333335E-3</v>
      </c>
      <c r="CK102" s="5">
        <f>RANK(BY102,$BY$2:$BY$623)+COUNTIF($BY$2:$BY102,$BY102)-1</f>
        <v>456</v>
      </c>
      <c r="CL102" s="5">
        <f>RANK(CJ102,$CJ$2:$CJ$623)+COUNTIF($CJ$2:$CJ102,$CJ102)-1</f>
        <v>434</v>
      </c>
    </row>
    <row r="103" spans="1:90">
      <c r="A103" t="str">
        <f>Players!P104</f>
        <v>Patrick van Aanholt</v>
      </c>
      <c r="B103" t="str">
        <f>Players!G104</f>
        <v>Netherlands</v>
      </c>
      <c r="C103" t="str">
        <f>Players!AB104</f>
        <v>Defense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3000000</v>
      </c>
      <c r="H103" s="16">
        <f>INDEX('Team forecast'!$B$2:$AO$26,MATCH('Master data'!$B103,'Team forecast'!$B$2:$B$26,0),MATCH('Master data'!H$1,'Team forecast'!$B$2:$AO$2,0))</f>
        <v>1.5712166996139025</v>
      </c>
      <c r="I103" s="16">
        <f>INDEX('Team forecast'!$B$2:$AO$26,MATCH('Master data'!$B103,'Team forecast'!$B$2:$B$26,0),MATCH('Master data'!I$1,'Team forecast'!$B$2:$AO$2,0))</f>
        <v>0.76028648339757388</v>
      </c>
      <c r="J103" s="16">
        <f>INDEX('Team forecast'!$B$2:$AO$26,MATCH('Master data'!$B103,'Team forecast'!$B$2:$B$26,0),MATCH('Master data'!J$1,'Team forecast'!$B$2:$AO$2,0))</f>
        <v>0.46753246753246752</v>
      </c>
      <c r="K103" s="16">
        <f>INDEX('Team forecast'!$B$2:$AO$26,MATCH('Master data'!$B103,'Team forecast'!$B$2:$B$26,0),MATCH('Master data'!K$1,'Team forecast'!$B$2:$AO$2,0))</f>
        <v>4.4640175390899657</v>
      </c>
      <c r="L103" s="16">
        <f>INDEX('Team forecast'!$B$2:$AO$26,MATCH('Master data'!$B103,'Team forecast'!$B$2:$B$26,0),MATCH('Master data'!L$1,'Team forecast'!$B$2:$AO$2,0))</f>
        <v>2.4958899707496114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5.0704225352112678E-2</v>
      </c>
      <c r="R103" s="2">
        <f>Players!BR104</f>
        <v>0</v>
      </c>
      <c r="S103" s="2">
        <f>H103</f>
        <v>1.5712166996139025</v>
      </c>
      <c r="T103" s="2">
        <f>I103</f>
        <v>0.76028648339757388</v>
      </c>
      <c r="U103" s="16">
        <f>INDEX('Team forecast'!$B$2:$AO$26,MATCH('Master data'!$B103,'Team forecast'!$B$2:$B$26,0),MATCH('Master data'!U$1,'Team forecast'!$B$2:$AO$2,0))</f>
        <v>0.58441558441558439</v>
      </c>
      <c r="V103" s="16">
        <f>INDEX('Team forecast'!$B$2:$AO$26,MATCH('Master data'!$B103,'Team forecast'!$B$2:$B$26,0),MATCH('Master data'!V$1,'Team forecast'!$B$2:$AO$2,0))</f>
        <v>0.25974025974025972</v>
      </c>
      <c r="W103" s="16">
        <f>INDEX('Team forecast'!$B$2:$AO$26,MATCH('Master data'!$B103,'Team forecast'!$B$2:$B$26,0),MATCH('Master data'!W$1,'Team forecast'!$B$2:$AO$2,0))</f>
        <v>0.15584415584415581</v>
      </c>
      <c r="X103" s="5">
        <f>IF(M103&gt;95,7000*2,IF(M103&gt;0,7000,-5000))</f>
        <v>-5000</v>
      </c>
      <c r="Y103" s="5">
        <f>IF($X103&gt;0,U103*25000,0)</f>
        <v>0</v>
      </c>
      <c r="Z103" s="5">
        <f>IF($X103&gt;0,V103*5000,0)</f>
        <v>0</v>
      </c>
      <c r="AA103" s="5">
        <f>IF($X103&gt;0,W103*(-15000),0)</f>
        <v>0</v>
      </c>
      <c r="AB103" s="5">
        <f>IF($C103="Defense",$N103*150000,IF($C103="Midfield",$N103*125000,IF($C103="Striker",$N103*100000,0)))*$H103</f>
        <v>0</v>
      </c>
      <c r="AC103" s="5">
        <f>$O103*50000*H103</f>
        <v>0</v>
      </c>
      <c r="AD103" s="5">
        <f>$P103*K103*10000</f>
        <v>0</v>
      </c>
      <c r="AE103" s="5">
        <f>IF($C103="Goalkeeper",J103*75000,IF($C103="Defense",J103*50000,0))</f>
        <v>23376.623376623374</v>
      </c>
      <c r="AF103" s="5">
        <f>IF($C103="Goalkeeper",(L103-I103)*5000,0)</f>
        <v>0</v>
      </c>
      <c r="AG103" s="5">
        <f>IF(M103&gt;0,Q103*(-20000),0)</f>
        <v>0</v>
      </c>
      <c r="AH103" s="5">
        <f>IF(M103&gt;0,R103*(-50000),0)</f>
        <v>0</v>
      </c>
      <c r="AI103" s="5">
        <f>IF(M103&gt;0,S103*10000,0)</f>
        <v>0</v>
      </c>
      <c r="AJ103" s="5">
        <f>IF(M103&gt;0,T103*(-8000),0)</f>
        <v>0</v>
      </c>
      <c r="AK103" s="5">
        <f>IFERROR(SUM(X103:AJ103),-5000)*((Cockpit!$C$3)^0)</f>
        <v>18376.623376623374</v>
      </c>
      <c r="AL103" s="16">
        <f>INDEX('Team forecast'!$B$2:$AO$26,MATCH('Master data'!$B103,'Team forecast'!$B$2:$B$26,0),MATCH('Master data'!AL$1,'Team forecast'!$B$2:$AO$2,0))</f>
        <v>1.8476112368050062</v>
      </c>
      <c r="AM103" s="16">
        <f>INDEX('Team forecast'!$B$2:$AO$26,MATCH('Master data'!$B103,'Team forecast'!$B$2:$B$26,0),MATCH('Master data'!AM$1,'Team forecast'!$B$2:$AO$2,0))</f>
        <v>0.7977891123063281</v>
      </c>
      <c r="AN103" s="16">
        <f>INDEX('Team forecast'!$B$2:$AO$26,MATCH('Master data'!$B103,'Team forecast'!$B$2:$B$26,0),MATCH('Master data'!AN$1,'Team forecast'!$B$2:$AO$2,0))</f>
        <v>0.45032347896962183</v>
      </c>
      <c r="AO103" s="16">
        <f>INDEX('Team forecast'!$B$2:$AO$26,MATCH('Master data'!$B103,'Team forecast'!$B$2:$B$26,0),MATCH('Master data'!AO$1,'Team forecast'!$B$2:$AO$2,0))</f>
        <v>5.2492879998945963</v>
      </c>
      <c r="AP103" s="16">
        <f>INDEX('Team forecast'!$B$2:$AO$26,MATCH('Master data'!$B103,'Team forecast'!$B$2:$B$26,0),MATCH('Master data'!AP$1,'Team forecast'!$B$2:$AO$2,0))</f>
        <v>2.6190046616116831</v>
      </c>
      <c r="AQ103" s="5">
        <f>X103</f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>IF($C103="Defense",$N103*150000,IF($C103="Midfield",$N103*125000,IF($C103="Striker",$N103*100000,0)))*$AL103</f>
        <v>0</v>
      </c>
      <c r="AV103" s="5">
        <f>$O103*50000*AL103</f>
        <v>0</v>
      </c>
      <c r="AW103" s="5">
        <f>$P103*AO103*10000</f>
        <v>0</v>
      </c>
      <c r="AX103" s="5">
        <f>IF($C103="Goalkeeper",AN103*75000,IF($C103="Defense",AN103*50000,0))</f>
        <v>22516.17394848109</v>
      </c>
      <c r="AY103" s="5">
        <f>IF($C103="Goalkeeper",(AP103-AM103)*5000,0)</f>
        <v>0</v>
      </c>
      <c r="AZ103" s="5">
        <f>$AG103</f>
        <v>0</v>
      </c>
      <c r="BA103" s="5">
        <f>$AH103</f>
        <v>0</v>
      </c>
      <c r="BB103" s="5">
        <f>IF(X103&gt;0,AL103*10000,0)</f>
        <v>0</v>
      </c>
      <c r="BC103" s="5">
        <f>IF(X103&gt;0,AM103*(-8000),0)</f>
        <v>0</v>
      </c>
      <c r="BD103" s="5">
        <f>IFERROR(SUM(AQ103:BC103),0)</f>
        <v>17516.17394848109</v>
      </c>
      <c r="BE103" s="16">
        <f>INDEX('Team forecast'!$B$2:$AO$26,MATCH('Master data'!$B103,'Team forecast'!$B$2:$B$26,0),MATCH('Master data'!BE$1,'Team forecast'!$B$2:$AO$2,0))</f>
        <v>2.3683451623921505</v>
      </c>
      <c r="BF103" s="16">
        <f>INDEX('Team forecast'!$B$2:$AO$26,MATCH('Master data'!$B103,'Team forecast'!$B$2:$B$26,0),MATCH('Master data'!BF$1,'Team forecast'!$B$2:$AO$2,0))</f>
        <v>0.49102780480244929</v>
      </c>
      <c r="BG103" s="16">
        <f>INDEX('Team forecast'!$B$2:$AO$26,MATCH('Master data'!$B103,'Team forecast'!$B$2:$B$26,0),MATCH('Master data'!BG$1,'Team forecast'!$B$2:$AO$2,0))</f>
        <v>0.61199705730750009</v>
      </c>
      <c r="BH103" s="16">
        <f>INDEX('Team forecast'!$B$2:$AO$26,MATCH('Master data'!$B103,'Team forecast'!$B$2:$B$26,0),MATCH('Master data'!BH$1,'Team forecast'!$B$2:$AO$2,0))</f>
        <v>6.7287563492262965</v>
      </c>
      <c r="BI103" s="16">
        <f>INDEX('Team forecast'!$B$2:$AO$26,MATCH('Master data'!$B103,'Team forecast'!$B$2:$B$26,0),MATCH('Master data'!BI$1,'Team forecast'!$B$2:$AO$2,0))</f>
        <v>1.6119599652605658</v>
      </c>
      <c r="BJ103" s="5">
        <f>AQ103</f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>IF($C103="Defense",$N103*150000,IF($C103="Midfield",$N103*125000,IF($C103="Striker",$N103*100000,0)))*$BE103</f>
        <v>0</v>
      </c>
      <c r="BO103" s="5">
        <f>$O103*50000*$BE103</f>
        <v>0</v>
      </c>
      <c r="BP103" s="5">
        <f>$P103*BH103*10000</f>
        <v>0</v>
      </c>
      <c r="BQ103" s="5">
        <f>IF($C103="Goalkeeper",BG103*75000,IF($C103="Defense",BG103*50000,0))</f>
        <v>30599.852865375004</v>
      </c>
      <c r="BR103" s="5">
        <f>IF($C103="Goalkeeper",(BI103-BF103)*5000,0)</f>
        <v>0</v>
      </c>
      <c r="BS103" s="5">
        <f>$AG103</f>
        <v>0</v>
      </c>
      <c r="BT103" s="5">
        <f>$AH103</f>
        <v>0</v>
      </c>
      <c r="BU103" s="5">
        <f>IF(AQ103&gt;0,BE103*10000,0)</f>
        <v>0</v>
      </c>
      <c r="BV103" s="5">
        <f>IF(AQ103&gt;0,BF103*(-8000),0)</f>
        <v>0</v>
      </c>
      <c r="BW103" s="5">
        <f>IFERROR(SUM(BJ103:BV103),0)</f>
        <v>25599.852865375004</v>
      </c>
      <c r="BX103" s="5">
        <f>AVERAGE(AK103,BD103,BW103)</f>
        <v>20497.550063493156</v>
      </c>
      <c r="BY103" s="5">
        <f>BX103*3</f>
        <v>61492.650190479471</v>
      </c>
      <c r="BZ103" s="5">
        <f>INDEX('Team forecast'!$R$3:$BH$26,MATCH($B103,'Team forecast'!$B$3:$B$26,0),MATCH(BZ$1,'Team forecast'!$R$2:$BH$2,0))*($BX103-(BY103+CH103)*0.01)</f>
        <v>-9781.2720864279636</v>
      </c>
      <c r="CA103" s="5">
        <f>INDEX('Team forecast'!$R$3:$BH$26,MATCH($B103,'Team forecast'!$B$3:$B$26,0),MATCH(CA$1,'Team forecast'!$R$2:$BH$2,0))*($BX103-(BY103+BX103+CH103)*0.01)</f>
        <v>-4987.3858648394589</v>
      </c>
      <c r="CB103" s="5">
        <f>INDEX('Team forecast'!$R$3:$BH$26,MATCH($B103,'Team forecast'!$B$3:$B$26,0),MATCH(CB$1,'Team forecast'!$R$2:$BH$2,0))*($BX103-(BY103+BX103*2+CH103)*0.01)</f>
        <v>-2540.9717026684334</v>
      </c>
      <c r="CC103" s="5">
        <f>INDEX('Team forecast'!$R$3:$BH$26,MATCH($B103,'Team forecast'!$B$3:$B$26,0),MATCH(CC$1,'Team forecast'!$R$2:$BH$2,0))*($BX103-(BY103+BX103*3+CH103)*0.01)</f>
        <v>-1292.2791049822983</v>
      </c>
      <c r="CD103" s="5">
        <f>+AK103+BD103*Cockpit!$C$3+BW103*Cockpit!$C$3^2+BZ103*Cockpit!$C$3^3+CA103*Cockpit!$C$3^4+CB103*Cockpit!$C$3^5+CC103*Cockpit!$C$3^6</f>
        <v>37100.403055584902</v>
      </c>
      <c r="CE103" s="5"/>
      <c r="CF103" s="5"/>
      <c r="CG103" s="5">
        <v>0</v>
      </c>
      <c r="CH103" s="5">
        <f t="shared" si="46"/>
        <v>3000000</v>
      </c>
      <c r="CI103" s="5">
        <f t="shared" si="47"/>
        <v>3000000</v>
      </c>
      <c r="CJ103" s="1">
        <f t="shared" si="48"/>
        <v>2.0497550063493158E-2</v>
      </c>
      <c r="CK103" s="5">
        <f>RANK(BY103,$BY$2:$BY$623)+COUNTIF($BY$2:$BY103,$BY103)-1</f>
        <v>262</v>
      </c>
      <c r="CL103" s="5">
        <f>RANK(CJ103,$CJ$2:$CJ$623)+COUNTIF($CJ$2:$CJ103,$CJ103)-1</f>
        <v>256</v>
      </c>
    </row>
    <row r="104" spans="1:90">
      <c r="A104" t="str">
        <f>Players!P105</f>
        <v>Marten de Roon</v>
      </c>
      <c r="B104" t="str">
        <f>Players!G105</f>
        <v>Netherlands</v>
      </c>
      <c r="C104" t="str">
        <f>Players!AB105</f>
        <v>Midfield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3500000</v>
      </c>
      <c r="H104" s="16">
        <f>INDEX('Team forecast'!$B$2:$AO$26,MATCH('Master data'!$B104,'Team forecast'!$B$2:$B$26,0),MATCH('Master data'!H$1,'Team forecast'!$B$2:$AO$2,0))</f>
        <v>1.5712166996139025</v>
      </c>
      <c r="I104" s="16">
        <f>INDEX('Team forecast'!$B$2:$AO$26,MATCH('Master data'!$B104,'Team forecast'!$B$2:$B$26,0),MATCH('Master data'!I$1,'Team forecast'!$B$2:$AO$2,0))</f>
        <v>0.76028648339757388</v>
      </c>
      <c r="J104" s="16">
        <f>INDEX('Team forecast'!$B$2:$AO$26,MATCH('Master data'!$B104,'Team forecast'!$B$2:$B$26,0),MATCH('Master data'!J$1,'Team forecast'!$B$2:$AO$2,0))</f>
        <v>0.46753246753246752</v>
      </c>
      <c r="K104" s="16">
        <f>INDEX('Team forecast'!$B$2:$AO$26,MATCH('Master data'!$B104,'Team forecast'!$B$2:$B$26,0),MATCH('Master data'!K$1,'Team forecast'!$B$2:$AO$2,0))</f>
        <v>4.4640175390899657</v>
      </c>
      <c r="L104" s="16">
        <f>INDEX('Team forecast'!$B$2:$AO$26,MATCH('Master data'!$B104,'Team forecast'!$B$2:$B$26,0),MATCH('Master data'!L$1,'Team forecast'!$B$2:$AO$2,0))</f>
        <v>2.4958899707496114</v>
      </c>
      <c r="M104">
        <f>IF(Players!BC105=1,95,0)</f>
        <v>95</v>
      </c>
      <c r="N104" s="2">
        <f>Players!BN105</f>
        <v>6.4009128489934244E-2</v>
      </c>
      <c r="O104" s="2">
        <f>Players!BO105</f>
        <v>5.1286799464717328E-2</v>
      </c>
      <c r="P104" s="2">
        <f>Players!BP105</f>
        <v>2.3296063962169562E-2</v>
      </c>
      <c r="Q104" s="2">
        <f>Players!BQ105</f>
        <v>0.54416583912611716</v>
      </c>
      <c r="R104" s="2">
        <f>Players!BR105</f>
        <v>2.9791459781529295E-2</v>
      </c>
      <c r="S104" s="2">
        <f>H104</f>
        <v>1.5712166996139025</v>
      </c>
      <c r="T104" s="2">
        <f>I104</f>
        <v>0.76028648339757388</v>
      </c>
      <c r="U104" s="16">
        <f>INDEX('Team forecast'!$B$2:$AO$26,MATCH('Master data'!$B104,'Team forecast'!$B$2:$B$26,0),MATCH('Master data'!U$1,'Team forecast'!$B$2:$AO$2,0))</f>
        <v>0.58441558441558439</v>
      </c>
      <c r="V104" s="16">
        <f>INDEX('Team forecast'!$B$2:$AO$26,MATCH('Master data'!$B104,'Team forecast'!$B$2:$B$26,0),MATCH('Master data'!V$1,'Team forecast'!$B$2:$AO$2,0))</f>
        <v>0.25974025974025972</v>
      </c>
      <c r="W104" s="16">
        <f>INDEX('Team forecast'!$B$2:$AO$26,MATCH('Master data'!$B104,'Team forecast'!$B$2:$B$26,0),MATCH('Master data'!W$1,'Team forecast'!$B$2:$AO$2,0))</f>
        <v>0.15584415584415581</v>
      </c>
      <c r="X104" s="5">
        <f>IF(M104&gt;95,7000*2,IF(M104&gt;0,7000,-5000))</f>
        <v>7000</v>
      </c>
      <c r="Y104" s="5">
        <f>IF($X104&gt;0,U104*25000,0)</f>
        <v>14610.38961038961</v>
      </c>
      <c r="Z104" s="5">
        <f>IF($X104&gt;0,V104*5000,0)</f>
        <v>1298.7012987012986</v>
      </c>
      <c r="AA104" s="5">
        <f>IF($X104&gt;0,W104*(-15000),0)</f>
        <v>-2337.662337662337</v>
      </c>
      <c r="AB104" s="5">
        <f>IF($C104="Defense",$N104*150000,IF($C104="Midfield",$N104*125000,IF($C104="Striker",$N104*100000,0)))*$H104</f>
        <v>12571.526451389587</v>
      </c>
      <c r="AC104" s="5">
        <f>$O104*50000*H104</f>
        <v>4029.1337894356607</v>
      </c>
      <c r="AD104" s="5">
        <f>$P104*K104*10000</f>
        <v>1039.940381188866</v>
      </c>
      <c r="AE104" s="5">
        <f>IF($C104="Goalkeeper",J104*75000,IF($C104="Defense",J104*50000,0))</f>
        <v>0</v>
      </c>
      <c r="AF104" s="5">
        <f>IF($C104="Goalkeeper",(L104-I104)*5000,0)</f>
        <v>0</v>
      </c>
      <c r="AG104" s="5">
        <f>IF(M104&gt;0,Q104*(-20000),0)</f>
        <v>-10883.316782522343</v>
      </c>
      <c r="AH104" s="5">
        <f>IF(M104&gt;0,R104*(-50000),0)</f>
        <v>-1489.5729890764649</v>
      </c>
      <c r="AI104" s="5">
        <f>IF(M104&gt;0,S104*10000,0)</f>
        <v>15712.166996139025</v>
      </c>
      <c r="AJ104" s="5">
        <f>IF(M104&gt;0,T104*(-8000),0)</f>
        <v>-6082.291867180591</v>
      </c>
      <c r="AK104" s="5">
        <f>IFERROR(SUM(X104:AJ104),-5000)*((Cockpit!$C$3)^0)</f>
        <v>35469.01455080232</v>
      </c>
      <c r="AL104" s="16">
        <f>INDEX('Team forecast'!$B$2:$AO$26,MATCH('Master data'!$B104,'Team forecast'!$B$2:$B$26,0),MATCH('Master data'!AL$1,'Team forecast'!$B$2:$AO$2,0))</f>
        <v>1.8476112368050062</v>
      </c>
      <c r="AM104" s="16">
        <f>INDEX('Team forecast'!$B$2:$AO$26,MATCH('Master data'!$B104,'Team forecast'!$B$2:$B$26,0),MATCH('Master data'!AM$1,'Team forecast'!$B$2:$AO$2,0))</f>
        <v>0.7977891123063281</v>
      </c>
      <c r="AN104" s="16">
        <f>INDEX('Team forecast'!$B$2:$AO$26,MATCH('Master data'!$B104,'Team forecast'!$B$2:$B$26,0),MATCH('Master data'!AN$1,'Team forecast'!$B$2:$AO$2,0))</f>
        <v>0.45032347896962183</v>
      </c>
      <c r="AO104" s="16">
        <f>INDEX('Team forecast'!$B$2:$AO$26,MATCH('Master data'!$B104,'Team forecast'!$B$2:$B$26,0),MATCH('Master data'!AO$1,'Team forecast'!$B$2:$AO$2,0))</f>
        <v>5.2492879998945963</v>
      </c>
      <c r="AP104" s="16">
        <f>INDEX('Team forecast'!$B$2:$AO$26,MATCH('Master data'!$B104,'Team forecast'!$B$2:$B$26,0),MATCH('Master data'!AP$1,'Team forecast'!$B$2:$AO$2,0))</f>
        <v>2.6190046616116831</v>
      </c>
      <c r="AQ104" s="5">
        <f>X104</f>
        <v>7000</v>
      </c>
      <c r="AR104" s="5">
        <f>INDEX('Team forecast'!$B$2:$AO$26,MATCH('Master data'!$B104,'Team forecast'!$B$2:$B$26,0),MATCH('Master data'!AR$1,'Team forecast'!$B$2:$AO$2,0))*IF(X104&gt;0,25000,0)</f>
        <v>15452.276239153689</v>
      </c>
      <c r="AS104" s="16">
        <f>INDEX('Team forecast'!$B$2:$AO$26,MATCH('Master data'!$B104,'Team forecast'!$B$2:$B$26,0),MATCH('Master data'!AS$1,'Team forecast'!$B$2:$AO$2,0))*IF(X104&gt;0,5000,0)</f>
        <v>1182.0991322952575</v>
      </c>
      <c r="AT104" s="16">
        <f>INDEX('Team forecast'!$B$2:$AO$26,MATCH('Master data'!$B104,'Team forecast'!$B$2:$B$26,0),MATCH('Master data'!AT$1,'Team forecast'!$B$2:$AO$2,0))*IF(X104&gt;0,-15000,0)</f>
        <v>-2182.3368596220134</v>
      </c>
      <c r="AU104" s="5">
        <f>IF($C104="Defense",$N104*150000,IF($C104="Midfield",$N104*125000,IF($C104="Striker",$N104*100000,0)))*$AL104</f>
        <v>14782.998132012246</v>
      </c>
      <c r="AV104" s="5">
        <f>$O104*50000*AL104</f>
        <v>4737.9033495388348</v>
      </c>
      <c r="AW104" s="5">
        <f>$P104*AO104*10000</f>
        <v>1222.8774900139363</v>
      </c>
      <c r="AX104" s="5">
        <f>IF($C104="Goalkeeper",AN104*75000,IF($C104="Defense",AN104*50000,0))</f>
        <v>0</v>
      </c>
      <c r="AY104" s="5">
        <f>IF($C104="Goalkeeper",(AP104-AM104)*5000,0)</f>
        <v>0</v>
      </c>
      <c r="AZ104" s="5">
        <f>$AG104</f>
        <v>-10883.316782522343</v>
      </c>
      <c r="BA104" s="5">
        <f>$AH104</f>
        <v>-1489.5729890764649</v>
      </c>
      <c r="BB104" s="5">
        <f>IF(X104&gt;0,AL104*10000,0)</f>
        <v>18476.11236805006</v>
      </c>
      <c r="BC104" s="5">
        <f>IF(X104&gt;0,AM104*(-8000),0)</f>
        <v>-6382.3128984506247</v>
      </c>
      <c r="BD104" s="5">
        <f>IFERROR(SUM(AQ104:BC104),0)</f>
        <v>41916.727181392584</v>
      </c>
      <c r="BE104" s="16">
        <f>INDEX('Team forecast'!$B$2:$AO$26,MATCH('Master data'!$B104,'Team forecast'!$B$2:$B$26,0),MATCH('Master data'!BE$1,'Team forecast'!$B$2:$AO$2,0))</f>
        <v>2.3683451623921505</v>
      </c>
      <c r="BF104" s="16">
        <f>INDEX('Team forecast'!$B$2:$AO$26,MATCH('Master data'!$B104,'Team forecast'!$B$2:$B$26,0),MATCH('Master data'!BF$1,'Team forecast'!$B$2:$AO$2,0))</f>
        <v>0.49102780480244929</v>
      </c>
      <c r="BG104" s="16">
        <f>INDEX('Team forecast'!$B$2:$AO$26,MATCH('Master data'!$B104,'Team forecast'!$B$2:$B$26,0),MATCH('Master data'!BG$1,'Team forecast'!$B$2:$AO$2,0))</f>
        <v>0.61199705730750009</v>
      </c>
      <c r="BH104" s="16">
        <f>INDEX('Team forecast'!$B$2:$AO$26,MATCH('Master data'!$B104,'Team forecast'!$B$2:$B$26,0),MATCH('Master data'!BH$1,'Team forecast'!$B$2:$AO$2,0))</f>
        <v>6.7287563492262965</v>
      </c>
      <c r="BI104" s="16">
        <f>INDEX('Team forecast'!$B$2:$AO$26,MATCH('Master data'!$B104,'Team forecast'!$B$2:$B$26,0),MATCH('Master data'!BI$1,'Team forecast'!$B$2:$AO$2,0))</f>
        <v>1.6119599652605658</v>
      </c>
      <c r="BJ104" s="5">
        <f>AQ104</f>
        <v>7000</v>
      </c>
      <c r="BK104" s="5">
        <f>INDEX('Team forecast'!$R$3:$BH$26,MATCH($B104,'Team forecast'!$B$3:$B$26,0),MATCH(BK$1,'Team forecast'!$R$2:$BH$2,0))*IF($X104&gt;0,25000,0)</f>
        <v>19838.040205094814</v>
      </c>
      <c r="BL104" s="5">
        <f>INDEX('Team forecast'!$R$3:$BH$26,MATCH($B104,'Team forecast'!$B$3:$B$26,0),MATCH(BL$1,'Team forecast'!$R$2:$BH$2,0))*IF($X104&gt;0,5000,0)</f>
        <v>720.27345975421156</v>
      </c>
      <c r="BM104" s="5">
        <f>INDEX('Team forecast'!$R$3:$BH$26,MATCH($B104,'Team forecast'!$B$3:$B$26,0),MATCH(BM$1,'Team forecast'!$R$2:$BH$2,0))*IF($X104&gt;0,-15000,0)</f>
        <v>-936.3554976804752</v>
      </c>
      <c r="BN104" s="5">
        <f>IF($C104="Defense",$N104*150000,IF($C104="Midfield",$N104*125000,IF($C104="Striker",$N104*100000,0)))*$BE104</f>
        <v>18949.463726009169</v>
      </c>
      <c r="BO104" s="5">
        <f>$O104*50000*$BE104</f>
        <v>6073.2421703419805</v>
      </c>
      <c r="BP104" s="5">
        <f>$P104*BH104*10000</f>
        <v>1567.5353829743035</v>
      </c>
      <c r="BQ104" s="5">
        <f>IF($C104="Goalkeeper",BG104*75000,IF($C104="Defense",BG104*50000,0))</f>
        <v>0</v>
      </c>
      <c r="BR104" s="5">
        <f>IF($C104="Goalkeeper",(BI104-BF104)*5000,0)</f>
        <v>0</v>
      </c>
      <c r="BS104" s="5">
        <f>$AG104</f>
        <v>-10883.316782522343</v>
      </c>
      <c r="BT104" s="5">
        <f>$AH104</f>
        <v>-1489.5729890764649</v>
      </c>
      <c r="BU104" s="5">
        <f>IF(AQ104&gt;0,BE104*10000,0)</f>
        <v>23683.451623921505</v>
      </c>
      <c r="BV104" s="5">
        <f>IF(AQ104&gt;0,BF104*(-8000),0)</f>
        <v>-3928.2224384195943</v>
      </c>
      <c r="BW104" s="5">
        <f>IFERROR(SUM(BJ104:BV104),0)</f>
        <v>60594.538860397115</v>
      </c>
      <c r="BX104" s="5">
        <f>AVERAGE(AK104,BD104,BW104)</f>
        <v>45993.426864197339</v>
      </c>
      <c r="BY104" s="5">
        <f>BX104*3</f>
        <v>137980.28059259203</v>
      </c>
      <c r="BZ104" s="5">
        <f>INDEX('Team forecast'!$R$3:$BH$26,MATCH($B104,'Team forecast'!$B$3:$B$26,0),MATCH(BZ$1,'Team forecast'!$R$2:$BH$2,0))*($BX104-(BY104+CH104)*0.01)</f>
        <v>9294.254614622716</v>
      </c>
      <c r="CA104" s="5">
        <f>INDEX('Team forecast'!$R$3:$BH$26,MATCH($B104,'Team forecast'!$B$3:$B$26,0),MATCH(CA$1,'Team forecast'!$R$2:$BH$2,0))*($BX104-(BY104+BX104+CH104)*0.01)</f>
        <v>4422.7307243062214</v>
      </c>
      <c r="CB104" s="5">
        <f>INDEX('Team forecast'!$R$3:$BH$26,MATCH($B104,'Team forecast'!$B$3:$B$26,0),MATCH(CB$1,'Team forecast'!$R$2:$BH$2,0))*($BX104-(BY104+BX104*2+CH104)*0.01)</f>
        <v>2098.4040721939373</v>
      </c>
      <c r="CC104" s="5">
        <f>INDEX('Team forecast'!$R$3:$BH$26,MATCH($B104,'Team forecast'!$B$3:$B$26,0),MATCH(CC$1,'Team forecast'!$R$2:$BH$2,0))*($BX104-(BY104+BX104*3+CH104)*0.01)</f>
        <v>991.43634108520087</v>
      </c>
      <c r="CD104" s="5">
        <f>+AK104+BD104*Cockpit!$C$3+BW104*Cockpit!$C$3^2+BZ104*Cockpit!$C$3^3+CA104*Cockpit!$C$3^4+CB104*Cockpit!$C$3^5+CC104*Cockpit!$C$3^6</f>
        <v>94335.257265128967</v>
      </c>
      <c r="CE104" s="5"/>
      <c r="CF104" s="5"/>
      <c r="CG104" s="5">
        <v>0</v>
      </c>
      <c r="CH104" s="5">
        <f t="shared" si="46"/>
        <v>3500000</v>
      </c>
      <c r="CI104" s="5">
        <f t="shared" si="47"/>
        <v>3500000</v>
      </c>
      <c r="CJ104" s="1">
        <f t="shared" si="48"/>
        <v>3.942293731216915E-2</v>
      </c>
      <c r="CK104" s="5">
        <f>RANK(BY104,$BY$2:$BY$623)+COUNTIF($BY$2:$BY104,$BY104)-1</f>
        <v>108</v>
      </c>
      <c r="CL104" s="5">
        <f>RANK(CJ104,$CJ$2:$CJ$623)+COUNTIF($CJ$2:$CJ104,$CJ104)-1</f>
        <v>80</v>
      </c>
    </row>
    <row r="105" spans="1:90">
      <c r="A105" t="str">
        <f>Players!P106</f>
        <v>Steven Berghuis</v>
      </c>
      <c r="B105" t="str">
        <f>Players!G106</f>
        <v>Netherlands</v>
      </c>
      <c r="C105" t="str">
        <f>Players!AB106</f>
        <v>Striker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4500000</v>
      </c>
      <c r="H105" s="16">
        <f>INDEX('Team forecast'!$B$2:$AO$26,MATCH('Master data'!$B105,'Team forecast'!$B$2:$B$26,0),MATCH('Master data'!H$1,'Team forecast'!$B$2:$AO$2,0))</f>
        <v>1.5712166996139025</v>
      </c>
      <c r="I105" s="16">
        <f>INDEX('Team forecast'!$B$2:$AO$26,MATCH('Master data'!$B105,'Team forecast'!$B$2:$B$26,0),MATCH('Master data'!I$1,'Team forecast'!$B$2:$AO$2,0))</f>
        <v>0.76028648339757388</v>
      </c>
      <c r="J105" s="16">
        <f>INDEX('Team forecast'!$B$2:$AO$26,MATCH('Master data'!$B105,'Team forecast'!$B$2:$B$26,0),MATCH('Master data'!J$1,'Team forecast'!$B$2:$AO$2,0))</f>
        <v>0.46753246753246752</v>
      </c>
      <c r="K105" s="16">
        <f>INDEX('Team forecast'!$B$2:$AO$26,MATCH('Master data'!$B105,'Team forecast'!$B$2:$B$26,0),MATCH('Master data'!K$1,'Team forecast'!$B$2:$AO$2,0))</f>
        <v>4.4640175390899657</v>
      </c>
      <c r="L105" s="16">
        <f>INDEX('Team forecast'!$B$2:$AO$26,MATCH('Master data'!$B105,'Team forecast'!$B$2:$B$26,0),MATCH('Master data'!L$1,'Team forecast'!$B$2:$AO$2,0))</f>
        <v>2.4958899707496114</v>
      </c>
      <c r="M105">
        <f>IF(Players!BC106=1,95,0)</f>
        <v>95</v>
      </c>
      <c r="N105" s="2">
        <f>Players!BN106</f>
        <v>0.15375615153671462</v>
      </c>
      <c r="O105" s="2">
        <f>Players!BO106</f>
        <v>0.1769147648609706</v>
      </c>
      <c r="P105" s="2">
        <f>Players!BP106</f>
        <v>0.11623023819936293</v>
      </c>
      <c r="Q105" s="2">
        <f>Players!BQ106</f>
        <v>0.11147811725846407</v>
      </c>
      <c r="R105" s="2">
        <f>Players!BR106</f>
        <v>0</v>
      </c>
      <c r="S105" s="2">
        <f>H105</f>
        <v>1.5712166996139025</v>
      </c>
      <c r="T105" s="2">
        <f>I105</f>
        <v>0.76028648339757388</v>
      </c>
      <c r="U105" s="16">
        <f>INDEX('Team forecast'!$B$2:$AO$26,MATCH('Master data'!$B105,'Team forecast'!$B$2:$B$26,0),MATCH('Master data'!U$1,'Team forecast'!$B$2:$AO$2,0))</f>
        <v>0.58441558441558439</v>
      </c>
      <c r="V105" s="16">
        <f>INDEX('Team forecast'!$B$2:$AO$26,MATCH('Master data'!$B105,'Team forecast'!$B$2:$B$26,0),MATCH('Master data'!V$1,'Team forecast'!$B$2:$AO$2,0))</f>
        <v>0.25974025974025972</v>
      </c>
      <c r="W105" s="16">
        <f>INDEX('Team forecast'!$B$2:$AO$26,MATCH('Master data'!$B105,'Team forecast'!$B$2:$B$26,0),MATCH('Master data'!W$1,'Team forecast'!$B$2:$AO$2,0))</f>
        <v>0.15584415584415581</v>
      </c>
      <c r="X105" s="5">
        <f>IF(M105&gt;95,7000*2,IF(M105&gt;0,7000,-5000))</f>
        <v>7000</v>
      </c>
      <c r="Y105" s="5">
        <f>IF($X105&gt;0,U105*25000,0)</f>
        <v>14610.38961038961</v>
      </c>
      <c r="Z105" s="5">
        <f>IF($X105&gt;0,V105*5000,0)</f>
        <v>1298.7012987012986</v>
      </c>
      <c r="AA105" s="5">
        <f>IF($X105&gt;0,W105*(-15000),0)</f>
        <v>-2337.662337662337</v>
      </c>
      <c r="AB105" s="5">
        <f>IF($C105="Defense",$N105*150000,IF($C105="Midfield",$N105*125000,IF($C105="Striker",$N105*100000,0)))*$H105</f>
        <v>24158.423296285182</v>
      </c>
      <c r="AC105" s="5">
        <f>$O105*50000*H105</f>
        <v>13898.571647891193</v>
      </c>
      <c r="AD105" s="5">
        <f>$P105*K105*10000</f>
        <v>5188.5382189456068</v>
      </c>
      <c r="AE105" s="5">
        <f>IF($C105="Goalkeeper",J105*75000,IF($C105="Defense",J105*50000,0))</f>
        <v>0</v>
      </c>
      <c r="AF105" s="5">
        <f>IF($C105="Goalkeeper",(L105-I105)*5000,0)</f>
        <v>0</v>
      </c>
      <c r="AG105" s="5">
        <f>IF(M105&gt;0,Q105*(-20000),0)</f>
        <v>-2229.5623451692813</v>
      </c>
      <c r="AH105" s="5">
        <f>IF(M105&gt;0,R105*(-50000),0)</f>
        <v>0</v>
      </c>
      <c r="AI105" s="5">
        <f>IF(M105&gt;0,S105*10000,0)</f>
        <v>15712.166996139025</v>
      </c>
      <c r="AJ105" s="5">
        <f>IF(M105&gt;0,T105*(-8000),0)</f>
        <v>-6082.291867180591</v>
      </c>
      <c r="AK105" s="5">
        <f>IFERROR(SUM(X105:AJ105),-5000)*((Cockpit!$C$3)^0)</f>
        <v>71217.274518339706</v>
      </c>
      <c r="AL105" s="16">
        <f>INDEX('Team forecast'!$B$2:$AO$26,MATCH('Master data'!$B105,'Team forecast'!$B$2:$B$26,0),MATCH('Master data'!AL$1,'Team forecast'!$B$2:$AO$2,0))</f>
        <v>1.8476112368050062</v>
      </c>
      <c r="AM105" s="16">
        <f>INDEX('Team forecast'!$B$2:$AO$26,MATCH('Master data'!$B105,'Team forecast'!$B$2:$B$26,0),MATCH('Master data'!AM$1,'Team forecast'!$B$2:$AO$2,0))</f>
        <v>0.7977891123063281</v>
      </c>
      <c r="AN105" s="16">
        <f>INDEX('Team forecast'!$B$2:$AO$26,MATCH('Master data'!$B105,'Team forecast'!$B$2:$B$26,0),MATCH('Master data'!AN$1,'Team forecast'!$B$2:$AO$2,0))</f>
        <v>0.45032347896962183</v>
      </c>
      <c r="AO105" s="16">
        <f>INDEX('Team forecast'!$B$2:$AO$26,MATCH('Master data'!$B105,'Team forecast'!$B$2:$B$26,0),MATCH('Master data'!AO$1,'Team forecast'!$B$2:$AO$2,0))</f>
        <v>5.2492879998945963</v>
      </c>
      <c r="AP105" s="16">
        <f>INDEX('Team forecast'!$B$2:$AO$26,MATCH('Master data'!$B105,'Team forecast'!$B$2:$B$26,0),MATCH('Master data'!AP$1,'Team forecast'!$B$2:$AO$2,0))</f>
        <v>2.6190046616116831</v>
      </c>
      <c r="AQ105" s="5">
        <f>X105</f>
        <v>7000</v>
      </c>
      <c r="AR105" s="5">
        <f>INDEX('Team forecast'!$B$2:$AO$26,MATCH('Master data'!$B105,'Team forecast'!$B$2:$B$26,0),MATCH('Master data'!AR$1,'Team forecast'!$B$2:$AO$2,0))*IF(X105&gt;0,25000,0)</f>
        <v>15452.276239153689</v>
      </c>
      <c r="AS105" s="16">
        <f>INDEX('Team forecast'!$B$2:$AO$26,MATCH('Master data'!$B105,'Team forecast'!$B$2:$B$26,0),MATCH('Master data'!AS$1,'Team forecast'!$B$2:$AO$2,0))*IF(X105&gt;0,5000,0)</f>
        <v>1182.0991322952575</v>
      </c>
      <c r="AT105" s="16">
        <f>INDEX('Team forecast'!$B$2:$AO$26,MATCH('Master data'!$B105,'Team forecast'!$B$2:$B$26,0),MATCH('Master data'!AT$1,'Team forecast'!$B$2:$AO$2,0))*IF(X105&gt;0,-15000,0)</f>
        <v>-2182.3368596220134</v>
      </c>
      <c r="AU105" s="5">
        <f>IF($C105="Defense",$N105*150000,IF($C105="Midfield",$N105*125000,IF($C105="Striker",$N105*100000,0)))*$AL105</f>
        <v>28408.159330712726</v>
      </c>
      <c r="AV105" s="5">
        <f>$O105*50000*AL105</f>
        <v>16343.485375692237</v>
      </c>
      <c r="AW105" s="5">
        <f>$P105*AO105*10000</f>
        <v>6101.2599460480633</v>
      </c>
      <c r="AX105" s="5">
        <f>IF($C105="Goalkeeper",AN105*75000,IF($C105="Defense",AN105*50000,0))</f>
        <v>0</v>
      </c>
      <c r="AY105" s="5">
        <f>IF($C105="Goalkeeper",(AP105-AM105)*5000,0)</f>
        <v>0</v>
      </c>
      <c r="AZ105" s="5">
        <f>$AG105</f>
        <v>-2229.5623451692813</v>
      </c>
      <c r="BA105" s="5">
        <f>$AH105</f>
        <v>0</v>
      </c>
      <c r="BB105" s="5">
        <f>IF(X105&gt;0,AL105*10000,0)</f>
        <v>18476.11236805006</v>
      </c>
      <c r="BC105" s="5">
        <f>IF(X105&gt;0,AM105*(-8000),0)</f>
        <v>-6382.3128984506247</v>
      </c>
      <c r="BD105" s="5">
        <f>IFERROR(SUM(AQ105:BC105),0)</f>
        <v>82169.180288710108</v>
      </c>
      <c r="BE105" s="16">
        <f>INDEX('Team forecast'!$B$2:$AO$26,MATCH('Master data'!$B105,'Team forecast'!$B$2:$B$26,0),MATCH('Master data'!BE$1,'Team forecast'!$B$2:$AO$2,0))</f>
        <v>2.3683451623921505</v>
      </c>
      <c r="BF105" s="16">
        <f>INDEX('Team forecast'!$B$2:$AO$26,MATCH('Master data'!$B105,'Team forecast'!$B$2:$B$26,0),MATCH('Master data'!BF$1,'Team forecast'!$B$2:$AO$2,0))</f>
        <v>0.49102780480244929</v>
      </c>
      <c r="BG105" s="16">
        <f>INDEX('Team forecast'!$B$2:$AO$26,MATCH('Master data'!$B105,'Team forecast'!$B$2:$B$26,0),MATCH('Master data'!BG$1,'Team forecast'!$B$2:$AO$2,0))</f>
        <v>0.61199705730750009</v>
      </c>
      <c r="BH105" s="16">
        <f>INDEX('Team forecast'!$B$2:$AO$26,MATCH('Master data'!$B105,'Team forecast'!$B$2:$B$26,0),MATCH('Master data'!BH$1,'Team forecast'!$B$2:$AO$2,0))</f>
        <v>6.7287563492262965</v>
      </c>
      <c r="BI105" s="16">
        <f>INDEX('Team forecast'!$B$2:$AO$26,MATCH('Master data'!$B105,'Team forecast'!$B$2:$B$26,0),MATCH('Master data'!BI$1,'Team forecast'!$B$2:$AO$2,0))</f>
        <v>1.6119599652605658</v>
      </c>
      <c r="BJ105" s="5">
        <f>AQ105</f>
        <v>7000</v>
      </c>
      <c r="BK105" s="5">
        <f>INDEX('Team forecast'!$R$3:$BH$26,MATCH($B105,'Team forecast'!$B$3:$B$26,0),MATCH(BK$1,'Team forecast'!$R$2:$BH$2,0))*IF($X105&gt;0,25000,0)</f>
        <v>19838.040205094814</v>
      </c>
      <c r="BL105" s="5">
        <f>INDEX('Team forecast'!$R$3:$BH$26,MATCH($B105,'Team forecast'!$B$3:$B$26,0),MATCH(BL$1,'Team forecast'!$R$2:$BH$2,0))*IF($X105&gt;0,5000,0)</f>
        <v>720.27345975421156</v>
      </c>
      <c r="BM105" s="5">
        <f>INDEX('Team forecast'!$R$3:$BH$26,MATCH($B105,'Team forecast'!$B$3:$B$26,0),MATCH(BM$1,'Team forecast'!$R$2:$BH$2,0))*IF($X105&gt;0,-15000,0)</f>
        <v>-936.3554976804752</v>
      </c>
      <c r="BN105" s="5">
        <f>IF($C105="Defense",$N105*150000,IF($C105="Midfield",$N105*125000,IF($C105="Striker",$N105*100000,0)))*$BE105</f>
        <v>36414.763768001249</v>
      </c>
      <c r="BO105" s="5">
        <f>$O105*50000*$BE105</f>
        <v>20949.761375711227</v>
      </c>
      <c r="BP105" s="5">
        <f>$P105*BH105*10000</f>
        <v>7820.8495325604808</v>
      </c>
      <c r="BQ105" s="5">
        <f>IF($C105="Goalkeeper",BG105*75000,IF($C105="Defense",BG105*50000,0))</f>
        <v>0</v>
      </c>
      <c r="BR105" s="5">
        <f>IF($C105="Goalkeeper",(BI105-BF105)*5000,0)</f>
        <v>0</v>
      </c>
      <c r="BS105" s="5">
        <f>$AG105</f>
        <v>-2229.5623451692813</v>
      </c>
      <c r="BT105" s="5">
        <f>$AH105</f>
        <v>0</v>
      </c>
      <c r="BU105" s="5">
        <f>IF(AQ105&gt;0,BE105*10000,0)</f>
        <v>23683.451623921505</v>
      </c>
      <c r="BV105" s="5">
        <f>IF(AQ105&gt;0,BF105*(-8000),0)</f>
        <v>-3928.2224384195943</v>
      </c>
      <c r="BW105" s="5">
        <f>IFERROR(SUM(BJ105:BV105),0)</f>
        <v>109332.99968377413</v>
      </c>
      <c r="BX105" s="5">
        <f>AVERAGE(AK105,BD105,BW105)</f>
        <v>87573.151496941326</v>
      </c>
      <c r="BY105" s="5">
        <f>BX105*3</f>
        <v>262719.45449082396</v>
      </c>
      <c r="BZ105" s="5">
        <f>INDEX('Team forecast'!$R$3:$BH$26,MATCH($B105,'Team forecast'!$B$3:$B$26,0),MATCH(BZ$1,'Team forecast'!$R$2:$BH$2,0))*($BX105-(BY105+CH105)*0.01)</f>
        <v>38618.932099546852</v>
      </c>
      <c r="CA105" s="5">
        <f>INDEX('Team forecast'!$R$3:$BH$26,MATCH($B105,'Team forecast'!$B$3:$B$26,0),MATCH(CA$1,'Team forecast'!$R$2:$BH$2,0))*($BX105-(BY105+BX105+CH105)*0.01)</f>
        <v>18877.315095584752</v>
      </c>
      <c r="CB105" s="5">
        <f>INDEX('Team forecast'!$R$3:$BH$26,MATCH($B105,'Team forecast'!$B$3:$B$26,0),MATCH(CB$1,'Team forecast'!$R$2:$BH$2,0))*($BX105-(BY105+BX105*2+CH105)*0.01)</f>
        <v>9218.9711785690579</v>
      </c>
      <c r="CC105" s="5">
        <f>INDEX('Team forecast'!$R$3:$BH$26,MATCH($B105,'Team forecast'!$B$3:$B$26,0),MATCH(CC$1,'Team forecast'!$R$2:$BH$2,0))*($BX105-(BY105+BX105*3+CH105)*0.01)</f>
        <v>4493.5609021398359</v>
      </c>
      <c r="CD105" s="5">
        <f>+AK105+BD105*Cockpit!$C$3+BW105*Cockpit!$C$3^2+BZ105*Cockpit!$C$3^3+CA105*Cockpit!$C$3^4+CB105*Cockpit!$C$3^5+CC105*Cockpit!$C$3^6</f>
        <v>191369.18858692929</v>
      </c>
      <c r="CE105" s="5"/>
      <c r="CF105" s="5"/>
      <c r="CG105" s="5">
        <v>0</v>
      </c>
      <c r="CH105" s="5">
        <f t="shared" si="46"/>
        <v>4500000</v>
      </c>
      <c r="CI105" s="5">
        <f t="shared" si="47"/>
        <v>4500000</v>
      </c>
      <c r="CJ105" s="1">
        <f t="shared" si="48"/>
        <v>5.838210099796088E-2</v>
      </c>
      <c r="CK105" s="5">
        <f>RANK(BY105,$BY$2:$BY$623)+COUNTIF($BY$2:$BY105,$BY105)-1</f>
        <v>15</v>
      </c>
      <c r="CL105" s="5">
        <f>RANK(CJ105,$CJ$2:$CJ$623)+COUNTIF($CJ$2:$CJ105,$CJ105)-1</f>
        <v>14</v>
      </c>
    </row>
    <row r="106" spans="1:90">
      <c r="A106" t="str">
        <f>Players!P107</f>
        <v>Davy Klaassen</v>
      </c>
      <c r="B106" t="str">
        <f>Players!G107</f>
        <v>Netherlands</v>
      </c>
      <c r="C106" t="str">
        <f>Players!AB107</f>
        <v>Midfield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4000000</v>
      </c>
      <c r="H106" s="16">
        <f>INDEX('Team forecast'!$B$2:$AO$26,MATCH('Master data'!$B106,'Team forecast'!$B$2:$B$26,0),MATCH('Master data'!H$1,'Team forecast'!$B$2:$AO$2,0))</f>
        <v>1.5712166996139025</v>
      </c>
      <c r="I106" s="16">
        <f>INDEX('Team forecast'!$B$2:$AO$26,MATCH('Master data'!$B106,'Team forecast'!$B$2:$B$26,0),MATCH('Master data'!I$1,'Team forecast'!$B$2:$AO$2,0))</f>
        <v>0.76028648339757388</v>
      </c>
      <c r="J106" s="16">
        <f>INDEX('Team forecast'!$B$2:$AO$26,MATCH('Master data'!$B106,'Team forecast'!$B$2:$B$26,0),MATCH('Master data'!J$1,'Team forecast'!$B$2:$AO$2,0))</f>
        <v>0.46753246753246752</v>
      </c>
      <c r="K106" s="16">
        <f>INDEX('Team forecast'!$B$2:$AO$26,MATCH('Master data'!$B106,'Team forecast'!$B$2:$B$26,0),MATCH('Master data'!K$1,'Team forecast'!$B$2:$AO$2,0))</f>
        <v>4.4640175390899657</v>
      </c>
      <c r="L106" s="16">
        <f>INDEX('Team forecast'!$B$2:$AO$26,MATCH('Master data'!$B106,'Team forecast'!$B$2:$B$26,0),MATCH('Master data'!L$1,'Team forecast'!$B$2:$AO$2,0))</f>
        <v>2.4958899707496114</v>
      </c>
      <c r="M106">
        <f>IF(Players!BC107=1,95,0)</f>
        <v>0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0.2</v>
      </c>
      <c r="R106" s="2">
        <f>Players!BR107</f>
        <v>0</v>
      </c>
      <c r="S106" s="2">
        <f>H106</f>
        <v>1.5712166996139025</v>
      </c>
      <c r="T106" s="2">
        <f>I106</f>
        <v>0.76028648339757388</v>
      </c>
      <c r="U106" s="16">
        <f>INDEX('Team forecast'!$B$2:$AO$26,MATCH('Master data'!$B106,'Team forecast'!$B$2:$B$26,0),MATCH('Master data'!U$1,'Team forecast'!$B$2:$AO$2,0))</f>
        <v>0.58441558441558439</v>
      </c>
      <c r="V106" s="16">
        <f>INDEX('Team forecast'!$B$2:$AO$26,MATCH('Master data'!$B106,'Team forecast'!$B$2:$B$26,0),MATCH('Master data'!V$1,'Team forecast'!$B$2:$AO$2,0))</f>
        <v>0.25974025974025972</v>
      </c>
      <c r="W106" s="16">
        <f>INDEX('Team forecast'!$B$2:$AO$26,MATCH('Master data'!$B106,'Team forecast'!$B$2:$B$26,0),MATCH('Master data'!W$1,'Team forecast'!$B$2:$AO$2,0))</f>
        <v>0.15584415584415581</v>
      </c>
      <c r="X106" s="5">
        <f>IF(M106&gt;95,7000*2,IF(M106&gt;0,7000,-5000))</f>
        <v>-5000</v>
      </c>
      <c r="Y106" s="5">
        <f>IF($X106&gt;0,U106*25000,0)</f>
        <v>0</v>
      </c>
      <c r="Z106" s="5">
        <f>IF($X106&gt;0,V106*5000,0)</f>
        <v>0</v>
      </c>
      <c r="AA106" s="5">
        <f>IF($X106&gt;0,W106*(-15000),0)</f>
        <v>0</v>
      </c>
      <c r="AB106" s="5">
        <f>IF($C106="Defense",$N106*150000,IF($C106="Midfield",$N106*125000,IF($C106="Striker",$N106*100000,0)))*$H106</f>
        <v>0</v>
      </c>
      <c r="AC106" s="5">
        <f>$O106*50000*H106</f>
        <v>0</v>
      </c>
      <c r="AD106" s="5">
        <f>$P106*K106*10000</f>
        <v>0</v>
      </c>
      <c r="AE106" s="5">
        <f>IF($C106="Goalkeeper",J106*75000,IF($C106="Defense",J106*50000,0))</f>
        <v>0</v>
      </c>
      <c r="AF106" s="5">
        <f>IF($C106="Goalkeeper",(L106-I106)*5000,0)</f>
        <v>0</v>
      </c>
      <c r="AG106" s="5">
        <f>IF(M106&gt;0,Q106*(-20000),0)</f>
        <v>0</v>
      </c>
      <c r="AH106" s="5">
        <f>IF(M106&gt;0,R106*(-50000),0)</f>
        <v>0</v>
      </c>
      <c r="AI106" s="5">
        <f>IF(M106&gt;0,S106*10000,0)</f>
        <v>0</v>
      </c>
      <c r="AJ106" s="5">
        <f>IF(M106&gt;0,T106*(-8000),0)</f>
        <v>0</v>
      </c>
      <c r="AK106" s="5">
        <f>IFERROR(SUM(X106:AJ106),-5000)*((Cockpit!$C$3)^0)</f>
        <v>-5000</v>
      </c>
      <c r="AL106" s="16">
        <f>INDEX('Team forecast'!$B$2:$AO$26,MATCH('Master data'!$B106,'Team forecast'!$B$2:$B$26,0),MATCH('Master data'!AL$1,'Team forecast'!$B$2:$AO$2,0))</f>
        <v>1.8476112368050062</v>
      </c>
      <c r="AM106" s="16">
        <f>INDEX('Team forecast'!$B$2:$AO$26,MATCH('Master data'!$B106,'Team forecast'!$B$2:$B$26,0),MATCH('Master data'!AM$1,'Team forecast'!$B$2:$AO$2,0))</f>
        <v>0.7977891123063281</v>
      </c>
      <c r="AN106" s="16">
        <f>INDEX('Team forecast'!$B$2:$AO$26,MATCH('Master data'!$B106,'Team forecast'!$B$2:$B$26,0),MATCH('Master data'!AN$1,'Team forecast'!$B$2:$AO$2,0))</f>
        <v>0.45032347896962183</v>
      </c>
      <c r="AO106" s="16">
        <f>INDEX('Team forecast'!$B$2:$AO$26,MATCH('Master data'!$B106,'Team forecast'!$B$2:$B$26,0),MATCH('Master data'!AO$1,'Team forecast'!$B$2:$AO$2,0))</f>
        <v>5.2492879998945963</v>
      </c>
      <c r="AP106" s="16">
        <f>INDEX('Team forecast'!$B$2:$AO$26,MATCH('Master data'!$B106,'Team forecast'!$B$2:$B$26,0),MATCH('Master data'!AP$1,'Team forecast'!$B$2:$AO$2,0))</f>
        <v>2.6190046616116831</v>
      </c>
      <c r="AQ106" s="5">
        <f>X106</f>
        <v>-5000</v>
      </c>
      <c r="AR106" s="5">
        <f>INDEX('Team forecast'!$B$2:$AO$26,MATCH('Master data'!$B106,'Team forecast'!$B$2:$B$26,0),MATCH('Master data'!AR$1,'Team forecast'!$B$2:$AO$2,0))*IF(X106&gt;0,25000,0)</f>
        <v>0</v>
      </c>
      <c r="AS106" s="16">
        <f>INDEX('Team forecast'!$B$2:$AO$26,MATCH('Master data'!$B106,'Team forecast'!$B$2:$B$26,0),MATCH('Master data'!AS$1,'Team forecast'!$B$2:$AO$2,0))*IF(X106&gt;0,5000,0)</f>
        <v>0</v>
      </c>
      <c r="AT106" s="16">
        <f>INDEX('Team forecast'!$B$2:$AO$26,MATCH('Master data'!$B106,'Team forecast'!$B$2:$B$26,0),MATCH('Master data'!AT$1,'Team forecast'!$B$2:$AO$2,0))*IF(X106&gt;0,-15000,0)</f>
        <v>0</v>
      </c>
      <c r="AU106" s="5">
        <f>IF($C106="Defense",$N106*150000,IF($C106="Midfield",$N106*125000,IF($C106="Striker",$N106*100000,0)))*$AL106</f>
        <v>0</v>
      </c>
      <c r="AV106" s="5">
        <f>$O106*50000*AL106</f>
        <v>0</v>
      </c>
      <c r="AW106" s="5">
        <f>$P106*AO106*10000</f>
        <v>0</v>
      </c>
      <c r="AX106" s="5">
        <f>IF($C106="Goalkeeper",AN106*75000,IF($C106="Defense",AN106*50000,0))</f>
        <v>0</v>
      </c>
      <c r="AY106" s="5">
        <f>IF($C106="Goalkeeper",(AP106-AM106)*5000,0)</f>
        <v>0</v>
      </c>
      <c r="AZ106" s="5">
        <f>$AG106</f>
        <v>0</v>
      </c>
      <c r="BA106" s="5">
        <f>$AH106</f>
        <v>0</v>
      </c>
      <c r="BB106" s="5">
        <f>IF(X106&gt;0,AL106*10000,0)</f>
        <v>0</v>
      </c>
      <c r="BC106" s="5">
        <f>IF(X106&gt;0,AM106*(-8000),0)</f>
        <v>0</v>
      </c>
      <c r="BD106" s="5">
        <f>IFERROR(SUM(AQ106:BC106),0)</f>
        <v>-5000</v>
      </c>
      <c r="BE106" s="16">
        <f>INDEX('Team forecast'!$B$2:$AO$26,MATCH('Master data'!$B106,'Team forecast'!$B$2:$B$26,0),MATCH('Master data'!BE$1,'Team forecast'!$B$2:$AO$2,0))</f>
        <v>2.3683451623921505</v>
      </c>
      <c r="BF106" s="16">
        <f>INDEX('Team forecast'!$B$2:$AO$26,MATCH('Master data'!$B106,'Team forecast'!$B$2:$B$26,0),MATCH('Master data'!BF$1,'Team forecast'!$B$2:$AO$2,0))</f>
        <v>0.49102780480244929</v>
      </c>
      <c r="BG106" s="16">
        <f>INDEX('Team forecast'!$B$2:$AO$26,MATCH('Master data'!$B106,'Team forecast'!$B$2:$B$26,0),MATCH('Master data'!BG$1,'Team forecast'!$B$2:$AO$2,0))</f>
        <v>0.61199705730750009</v>
      </c>
      <c r="BH106" s="16">
        <f>INDEX('Team forecast'!$B$2:$AO$26,MATCH('Master data'!$B106,'Team forecast'!$B$2:$B$26,0),MATCH('Master data'!BH$1,'Team forecast'!$B$2:$AO$2,0))</f>
        <v>6.7287563492262965</v>
      </c>
      <c r="BI106" s="16">
        <f>INDEX('Team forecast'!$B$2:$AO$26,MATCH('Master data'!$B106,'Team forecast'!$B$2:$B$26,0),MATCH('Master data'!BI$1,'Team forecast'!$B$2:$AO$2,0))</f>
        <v>1.6119599652605658</v>
      </c>
      <c r="BJ106" s="5">
        <f>AQ106</f>
        <v>-5000</v>
      </c>
      <c r="BK106" s="5">
        <f>INDEX('Team forecast'!$R$3:$BH$26,MATCH($B106,'Team forecast'!$B$3:$B$26,0),MATCH(BK$1,'Team forecast'!$R$2:$BH$2,0))*IF($X106&gt;0,25000,0)</f>
        <v>0</v>
      </c>
      <c r="BL106" s="5">
        <f>INDEX('Team forecast'!$R$3:$BH$26,MATCH($B106,'Team forecast'!$B$3:$B$26,0),MATCH(BL$1,'Team forecast'!$R$2:$BH$2,0))*IF($X106&gt;0,5000,0)</f>
        <v>0</v>
      </c>
      <c r="BM106" s="5">
        <f>INDEX('Team forecast'!$R$3:$BH$26,MATCH($B106,'Team forecast'!$B$3:$B$26,0),MATCH(BM$1,'Team forecast'!$R$2:$BH$2,0))*IF($X106&gt;0,-15000,0)</f>
        <v>0</v>
      </c>
      <c r="BN106" s="5">
        <f>IF($C106="Defense",$N106*150000,IF($C106="Midfield",$N106*125000,IF($C106="Striker",$N106*100000,0)))*$BE106</f>
        <v>0</v>
      </c>
      <c r="BO106" s="5">
        <f>$O106*50000*$BE106</f>
        <v>0</v>
      </c>
      <c r="BP106" s="5">
        <f>$P106*BH106*10000</f>
        <v>0</v>
      </c>
      <c r="BQ106" s="5">
        <f>IF($C106="Goalkeeper",BG106*75000,IF($C106="Defense",BG106*50000,0))</f>
        <v>0</v>
      </c>
      <c r="BR106" s="5">
        <f>IF($C106="Goalkeeper",(BI106-BF106)*5000,0)</f>
        <v>0</v>
      </c>
      <c r="BS106" s="5">
        <f>$AG106</f>
        <v>0</v>
      </c>
      <c r="BT106" s="5">
        <f>$AH106</f>
        <v>0</v>
      </c>
      <c r="BU106" s="5">
        <f>IF(AQ106&gt;0,BE106*10000,0)</f>
        <v>0</v>
      </c>
      <c r="BV106" s="5">
        <f>IF(AQ106&gt;0,BF106*(-8000),0)</f>
        <v>0</v>
      </c>
      <c r="BW106" s="5">
        <f>IFERROR(SUM(BJ106:BV106),0)</f>
        <v>-5000</v>
      </c>
      <c r="BX106" s="5">
        <f>AVERAGE(AK106,BD106,BW106)</f>
        <v>-5000</v>
      </c>
      <c r="BY106" s="5">
        <f>BX106*3</f>
        <v>-15000</v>
      </c>
      <c r="BZ106" s="5">
        <f>INDEX('Team forecast'!$R$3:$BH$26,MATCH($B106,'Team forecast'!$B$3:$B$26,0),MATCH(BZ$1,'Team forecast'!$R$2:$BH$2,0))*($BX106-(BY106+CH106)*0.01)</f>
        <v>-43360.060362166922</v>
      </c>
      <c r="CA106" s="5">
        <f>INDEX('Team forecast'!$R$3:$BH$26,MATCH($B106,'Team forecast'!$B$3:$B$26,0),MATCH(CA$1,'Team forecast'!$R$2:$BH$2,0))*($BX106-(BY106+BX106+CH106)*0.01)</f>
        <v>-21645.734234231637</v>
      </c>
      <c r="CB106" s="5">
        <f>INDEX('Team forecast'!$R$3:$BH$26,MATCH($B106,'Team forecast'!$B$3:$B$26,0),MATCH(CB$1,'Team forecast'!$R$2:$BH$2,0))*($BX106-(BY106+BX106*2+CH106)*0.01)</f>
        <v>-10801.267876004487</v>
      </c>
      <c r="CC106" s="5">
        <f>INDEX('Team forecast'!$R$3:$BH$26,MATCH($B106,'Team forecast'!$B$3:$B$26,0),MATCH(CC$1,'Team forecast'!$R$2:$BH$2,0))*($BX106-(BY106+BX106*3+CH106)*0.01)</f>
        <v>-5382.3374455553312</v>
      </c>
      <c r="CD106" s="5">
        <f>+AK106+BD106*Cockpit!$C$3+BW106*Cockpit!$C$3^2+BZ106*Cockpit!$C$3^3+CA106*Cockpit!$C$3^4+CB106*Cockpit!$C$3^5+CC106*Cockpit!$C$3^6</f>
        <v>-29573.594074855118</v>
      </c>
      <c r="CE106" s="5"/>
      <c r="CF106" s="5"/>
      <c r="CG106" s="5">
        <v>0</v>
      </c>
      <c r="CH106" s="5">
        <f t="shared" si="46"/>
        <v>4000000</v>
      </c>
      <c r="CI106" s="5">
        <f t="shared" si="47"/>
        <v>4000000</v>
      </c>
      <c r="CJ106" s="1">
        <f t="shared" si="48"/>
        <v>-3.7499999999999999E-3</v>
      </c>
      <c r="CK106" s="5">
        <f>RANK(BY106,$BY$2:$BY$623)+COUNTIF($BY$2:$BY106,$BY106)-1</f>
        <v>457</v>
      </c>
      <c r="CL106" s="5">
        <f>RANK(CJ106,$CJ$2:$CJ$623)+COUNTIF($CJ$2:$CJ106,$CJ106)-1</f>
        <v>445</v>
      </c>
    </row>
    <row r="107" spans="1:90">
      <c r="A107" t="str">
        <f>Players!P108</f>
        <v>Manuel Neuer</v>
      </c>
      <c r="B107" t="str">
        <f>Players!G108</f>
        <v>Germany</v>
      </c>
      <c r="C107" t="str">
        <f>Players!AB108</f>
        <v>Goalkeeper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5500000</v>
      </c>
      <c r="H107" s="16">
        <f>INDEX('Team forecast'!$B$2:$AO$26,MATCH('Master data'!$B107,'Team forecast'!$B$2:$B$26,0),MATCH('Master data'!H$1,'Team forecast'!$B$2:$AO$2,0))</f>
        <v>1.2386203137003762</v>
      </c>
      <c r="I107" s="16">
        <f>INDEX('Team forecast'!$B$2:$AO$26,MATCH('Master data'!$B107,'Team forecast'!$B$2:$B$26,0),MATCH('Master data'!I$1,'Team forecast'!$B$2:$AO$2,0))</f>
        <v>1.2386203137003762</v>
      </c>
      <c r="J107" s="16">
        <f>INDEX('Team forecast'!$B$2:$AO$26,MATCH('Master data'!$B107,'Team forecast'!$B$2:$B$26,0),MATCH('Master data'!J$1,'Team forecast'!$B$2:$AO$2,0))</f>
        <v>0.28978375293296982</v>
      </c>
      <c r="K107" s="16">
        <f>INDEX('Team forecast'!$B$2:$AO$26,MATCH('Master data'!$B107,'Team forecast'!$B$2:$B$26,0),MATCH('Master data'!K$1,'Team forecast'!$B$2:$AO$2,0))</f>
        <v>3.2490442399577706</v>
      </c>
      <c r="L107" s="16">
        <f>INDEX('Team forecast'!$B$2:$AO$26,MATCH('Master data'!$B107,'Team forecast'!$B$2:$B$26,0),MATCH('Master data'!L$1,'Team forecast'!$B$2:$AO$2,0))</f>
        <v>3.2998357975681776</v>
      </c>
      <c r="M107">
        <f>IF(Players!BC108=1,95,0)</f>
        <v>95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1.5151515151515152E-2</v>
      </c>
      <c r="R107" s="2">
        <f>Players!BR108</f>
        <v>0</v>
      </c>
      <c r="S107" s="2">
        <f>H107</f>
        <v>1.2386203137003762</v>
      </c>
      <c r="T107" s="2">
        <f>I107</f>
        <v>1.2386203137003762</v>
      </c>
      <c r="U107" s="16">
        <f>INDEX('Team forecast'!$B$2:$AO$26,MATCH('Master data'!$B107,'Team forecast'!$B$2:$B$26,0),MATCH('Master data'!U$1,'Team forecast'!$B$2:$AO$2,0))</f>
        <v>0.33635614179719708</v>
      </c>
      <c r="V107" s="16">
        <f>INDEX('Team forecast'!$B$2:$AO$26,MATCH('Master data'!$B107,'Team forecast'!$B$2:$B$26,0),MATCH('Master data'!V$1,'Team forecast'!$B$2:$AO$2,0))</f>
        <v>0.29431162407254741</v>
      </c>
      <c r="W107" s="16">
        <f>INDEX('Team forecast'!$B$2:$AO$26,MATCH('Master data'!$B107,'Team forecast'!$B$2:$B$26,0),MATCH('Master data'!W$1,'Team forecast'!$B$2:$AO$2,0))</f>
        <v>0.36933223413025562</v>
      </c>
      <c r="X107" s="5">
        <f>IF(M107&gt;95,7000*2,IF(M107&gt;0,7000,-5000))</f>
        <v>7000</v>
      </c>
      <c r="Y107" s="5">
        <f>IF($X107&gt;0,U107*25000,0)</f>
        <v>8408.9035449299263</v>
      </c>
      <c r="Z107" s="5">
        <f>IF($X107&gt;0,V107*5000,0)</f>
        <v>1471.5581203627371</v>
      </c>
      <c r="AA107" s="5">
        <f>IF($X107&gt;0,W107*(-15000),0)</f>
        <v>-5539.9835119538347</v>
      </c>
      <c r="AB107" s="5">
        <f>IF($C107="Defense",$N107*150000,IF($C107="Midfield",$N107*125000,IF($C107="Striker",$N107*100000,0)))*$H107</f>
        <v>0</v>
      </c>
      <c r="AC107" s="5">
        <f>$O107*50000*H107</f>
        <v>0</v>
      </c>
      <c r="AD107" s="5">
        <f>$P107*K107*10000</f>
        <v>0</v>
      </c>
      <c r="AE107" s="5">
        <f>IF($C107="Goalkeeper",J107*75000,IF($C107="Defense",J107*50000,0))</f>
        <v>21733.781469972735</v>
      </c>
      <c r="AF107" s="5">
        <f>IF($C107="Goalkeeper",(L107-I107)*5000,0)</f>
        <v>10306.077419339008</v>
      </c>
      <c r="AG107" s="5">
        <f>IF(M107&gt;0,Q107*(-20000),0)</f>
        <v>-303.03030303030306</v>
      </c>
      <c r="AH107" s="5">
        <f>IF(M107&gt;0,R107*(-50000),0)</f>
        <v>0</v>
      </c>
      <c r="AI107" s="5">
        <f>IF(M107&gt;0,S107*10000,0)</f>
        <v>12386.203137003762</v>
      </c>
      <c r="AJ107" s="5">
        <f>IF(M107&gt;0,T107*(-8000),0)</f>
        <v>-9908.9625096030086</v>
      </c>
      <c r="AK107" s="5">
        <f>IFERROR(SUM(X107:AJ107),-5000)*((Cockpit!$C$3)^0)</f>
        <v>45554.547367021019</v>
      </c>
      <c r="AL107" s="16">
        <f>INDEX('Team forecast'!$B$2:$AO$26,MATCH('Master data'!$B107,'Team forecast'!$B$2:$B$26,0),MATCH('Master data'!AL$1,'Team forecast'!$B$2:$AO$2,0))</f>
        <v>1.384389503157577</v>
      </c>
      <c r="AM107" s="16">
        <f>INDEX('Team forecast'!$B$2:$AO$26,MATCH('Master data'!$B107,'Team forecast'!$B$2:$B$26,0),MATCH('Master data'!AM$1,'Team forecast'!$B$2:$AO$2,0))</f>
        <v>1.1612459518433673</v>
      </c>
      <c r="AN107" s="16">
        <f>INDEX('Team forecast'!$B$2:$AO$26,MATCH('Master data'!$B107,'Team forecast'!$B$2:$B$26,0),MATCH('Master data'!AN$1,'Team forecast'!$B$2:$AO$2,0))</f>
        <v>0.31309583542398389</v>
      </c>
      <c r="AO107" s="16">
        <f>INDEX('Team forecast'!$B$2:$AO$26,MATCH('Master data'!$B107,'Team forecast'!$B$2:$B$26,0),MATCH('Master data'!AO$1,'Team forecast'!$B$2:$AO$2,0))</f>
        <v>3.6314136715992724</v>
      </c>
      <c r="AP107" s="16">
        <f>INDEX('Team forecast'!$B$2:$AO$26,MATCH('Master data'!$B107,'Team forecast'!$B$2:$B$26,0),MATCH('Master data'!AP$1,'Team forecast'!$B$2:$AO$2,0))</f>
        <v>3.0937010472773676</v>
      </c>
      <c r="AQ107" s="5">
        <f>X107</f>
        <v>7000</v>
      </c>
      <c r="AR107" s="5">
        <f>INDEX('Team forecast'!$B$2:$AO$26,MATCH('Master data'!$B107,'Team forecast'!$B$2:$B$26,0),MATCH('Master data'!AR$1,'Team forecast'!$B$2:$AO$2,0))*IF(X107&gt;0,25000,0)</f>
        <v>10436.527847466134</v>
      </c>
      <c r="AS107" s="16">
        <f>INDEX('Team forecast'!$B$2:$AO$26,MATCH('Master data'!$B107,'Team forecast'!$B$2:$B$26,0),MATCH('Master data'!AS$1,'Team forecast'!$B$2:$AO$2,0))*IF(X107&gt;0,5000,0)</f>
        <v>1467.6367285499246</v>
      </c>
      <c r="AT107" s="16">
        <f>INDEX('Team forecast'!$B$2:$AO$26,MATCH('Master data'!$B107,'Team forecast'!$B$2:$B$26,0),MATCH('Master data'!AT$1,'Team forecast'!$B$2:$AO$2,0))*IF(X107&gt;0,-15000,0)</f>
        <v>-4335.1731058705464</v>
      </c>
      <c r="AU107" s="5">
        <f>IF($C107="Defense",$N107*150000,IF($C107="Midfield",$N107*125000,IF($C107="Striker",$N107*100000,0)))*$AL107</f>
        <v>0</v>
      </c>
      <c r="AV107" s="5">
        <f>$O107*50000*AL107</f>
        <v>0</v>
      </c>
      <c r="AW107" s="5">
        <f>$P107*AO107*10000</f>
        <v>0</v>
      </c>
      <c r="AX107" s="5">
        <f>IF($C107="Goalkeeper",AN107*75000,IF($C107="Defense",AN107*50000,0))</f>
        <v>23482.187656798793</v>
      </c>
      <c r="AY107" s="5">
        <f>IF($C107="Goalkeeper",(AP107-AM107)*5000,0)</f>
        <v>9662.275477170002</v>
      </c>
      <c r="AZ107" s="5">
        <f>$AG107</f>
        <v>-303.03030303030306</v>
      </c>
      <c r="BA107" s="5">
        <f>$AH107</f>
        <v>0</v>
      </c>
      <c r="BB107" s="5">
        <f>IF(X107&gt;0,AL107*10000,0)</f>
        <v>13843.89503157577</v>
      </c>
      <c r="BC107" s="5">
        <f>IF(X107&gt;0,AM107*(-8000),0)</f>
        <v>-9289.9676147469381</v>
      </c>
      <c r="BD107" s="5">
        <f>IFERROR(SUM(AQ107:BC107),0)</f>
        <v>51964.351717912832</v>
      </c>
      <c r="BE107" s="16">
        <f>INDEX('Team forecast'!$B$2:$AO$26,MATCH('Master data'!$B107,'Team forecast'!$B$2:$B$26,0),MATCH('Master data'!BE$1,'Team forecast'!$B$2:$AO$2,0))</f>
        <v>2.4374022591536644</v>
      </c>
      <c r="BF107" s="16">
        <f>INDEX('Team forecast'!$B$2:$AO$26,MATCH('Master data'!$B107,'Team forecast'!$B$2:$B$26,0),MATCH('Master data'!BF$1,'Team forecast'!$B$2:$AO$2,0))</f>
        <v>0.68661022841383224</v>
      </c>
      <c r="BG107" s="16">
        <f>INDEX('Team forecast'!$B$2:$AO$26,MATCH('Master data'!$B107,'Team forecast'!$B$2:$B$26,0),MATCH('Master data'!BG$1,'Team forecast'!$B$2:$AO$2,0))</f>
        <v>0.50327918232493496</v>
      </c>
      <c r="BH107" s="16">
        <f>INDEX('Team forecast'!$B$2:$AO$26,MATCH('Master data'!$B107,'Team forecast'!$B$2:$B$26,0),MATCH('Master data'!BH$1,'Team forecast'!$B$2:$AO$2,0))</f>
        <v>6.3935878355689084</v>
      </c>
      <c r="BI107" s="16">
        <f>INDEX('Team forecast'!$B$2:$AO$26,MATCH('Master data'!$B107,'Team forecast'!$B$2:$B$26,0),MATCH('Master data'!BI$1,'Team forecast'!$B$2:$AO$2,0))</f>
        <v>1.8292135092857056</v>
      </c>
      <c r="BJ107" s="5">
        <f>AQ107</f>
        <v>7000</v>
      </c>
      <c r="BK107" s="5">
        <f>INDEX('Team forecast'!$R$3:$BH$26,MATCH($B107,'Team forecast'!$B$3:$B$26,0),MATCH(BK$1,'Team forecast'!$R$2:$BH$2,0))*IF($X107&gt;0,25000,0)</f>
        <v>19380.307222593263</v>
      </c>
      <c r="BL107" s="5">
        <f>INDEX('Team forecast'!$R$3:$BH$26,MATCH($B107,'Team forecast'!$B$3:$B$26,0),MATCH(BL$1,'Team forecast'!$R$2:$BH$2,0))*IF($X107&gt;0,5000,0)</f>
        <v>739.43326018509651</v>
      </c>
      <c r="BM107" s="5">
        <f>INDEX('Team forecast'!$R$3:$BH$26,MATCH($B107,'Team forecast'!$B$3:$B$26,0),MATCH(BM$1,'Team forecast'!$R$2:$BH$2,0))*IF($X107&gt;0,-15000,0)</f>
        <v>-1153.5158858887507</v>
      </c>
      <c r="BN107" s="5">
        <f>IF($C107="Defense",$N107*150000,IF($C107="Midfield",$N107*125000,IF($C107="Striker",$N107*100000,0)))*$BE107</f>
        <v>0</v>
      </c>
      <c r="BO107" s="5">
        <f>$O107*50000*$BE107</f>
        <v>0</v>
      </c>
      <c r="BP107" s="5">
        <f>$P107*BH107*10000</f>
        <v>0</v>
      </c>
      <c r="BQ107" s="5">
        <f>IF($C107="Goalkeeper",BG107*75000,IF($C107="Defense",BG107*50000,0))</f>
        <v>37745.938674370125</v>
      </c>
      <c r="BR107" s="5">
        <f>IF($C107="Goalkeeper",(BI107-BF107)*5000,0)</f>
        <v>5713.0164043593668</v>
      </c>
      <c r="BS107" s="5">
        <f>$AG107</f>
        <v>-303.03030303030306</v>
      </c>
      <c r="BT107" s="5">
        <f>$AH107</f>
        <v>0</v>
      </c>
      <c r="BU107" s="5">
        <f>IF(AQ107&gt;0,BE107*10000,0)</f>
        <v>24374.022591536643</v>
      </c>
      <c r="BV107" s="5">
        <f>IF(AQ107&gt;0,BF107*(-8000),0)</f>
        <v>-5492.8818273106581</v>
      </c>
      <c r="BW107" s="5">
        <f>IFERROR(SUM(BJ107:BV107),0)</f>
        <v>88003.290136814787</v>
      </c>
      <c r="BX107" s="5">
        <f>AVERAGE(AK107,BD107,BW107)</f>
        <v>61840.729740582879</v>
      </c>
      <c r="BY107" s="5">
        <f>BX107*3</f>
        <v>185522.18922174865</v>
      </c>
      <c r="BZ107" s="5">
        <f>INDEX('Team forecast'!$R$3:$BH$26,MATCH($B107,'Team forecast'!$B$3:$B$26,0),MATCH(BZ$1,'Team forecast'!$R$2:$BH$2,0))*($BX107-(BY107+CH107)*0.01)</f>
        <v>4439.3693853437208</v>
      </c>
      <c r="CA107" s="5">
        <f>INDEX('Team forecast'!$R$3:$BH$26,MATCH($B107,'Team forecast'!$B$3:$B$26,0),MATCH(CA$1,'Team forecast'!$R$2:$BH$2,0))*($BX107-(BY107+BX107+CH107)*0.01)</f>
        <v>1976.2332143262354</v>
      </c>
      <c r="CB107" s="5">
        <f>INDEX('Team forecast'!$R$3:$BH$26,MATCH($B107,'Team forecast'!$B$3:$B$26,0),MATCH(CB$1,'Team forecast'!$R$2:$BH$2,0))*($BX107-(BY107+BX107*2+CH107)*0.01)</f>
        <v>873.94962494543142</v>
      </c>
      <c r="CC107" s="5">
        <f>INDEX('Team forecast'!$R$3:$BH$26,MATCH($B107,'Team forecast'!$B$3:$B$26,0),MATCH(CC$1,'Team forecast'!$R$2:$BH$2,0))*($BX107-(BY107+BX107*3+CH107)*0.01)</f>
        <v>392.62185939356482</v>
      </c>
      <c r="CD107" s="5">
        <f>+AK107+BD107*Cockpit!$C$3+BW107*Cockpit!$C$3^2+BZ107*Cockpit!$C$3^3+CA107*Cockpit!$C$3^4+CB107*Cockpit!$C$3^5+CC107*Cockpit!$C$3^6</f>
        <v>121165.31454442402</v>
      </c>
      <c r="CE107" s="5"/>
      <c r="CF107" s="5"/>
      <c r="CG107" s="5">
        <v>0</v>
      </c>
      <c r="CH107" s="5">
        <f t="shared" si="46"/>
        <v>5500000</v>
      </c>
      <c r="CI107" s="5">
        <f t="shared" si="47"/>
        <v>5500000</v>
      </c>
      <c r="CJ107" s="1">
        <f t="shared" si="48"/>
        <v>3.3731307131227024E-2</v>
      </c>
      <c r="CK107" s="5">
        <f>RANK(BY107,$BY$2:$BY$623)+COUNTIF($BY$2:$BY107,$BY107)-1</f>
        <v>63</v>
      </c>
      <c r="CL107" s="5">
        <f>RANK(CJ107,$CJ$2:$CJ$623)+COUNTIF($CJ$2:$CJ107,$CJ107)-1</f>
        <v>115</v>
      </c>
    </row>
    <row r="108" spans="1:90">
      <c r="A108" t="str">
        <f>Players!P109</f>
        <v>Matthias Ginter</v>
      </c>
      <c r="B108" t="str">
        <f>Players!G109</f>
        <v>Germany</v>
      </c>
      <c r="C108" t="str">
        <f>Players!AB109</f>
        <v>Defense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4000000</v>
      </c>
      <c r="H108" s="16">
        <f>INDEX('Team forecast'!$B$2:$AO$26,MATCH('Master data'!$B108,'Team forecast'!$B$2:$B$26,0),MATCH('Master data'!H$1,'Team forecast'!$B$2:$AO$2,0))</f>
        <v>1.2386203137003762</v>
      </c>
      <c r="I108" s="16">
        <f>INDEX('Team forecast'!$B$2:$AO$26,MATCH('Master data'!$B108,'Team forecast'!$B$2:$B$26,0),MATCH('Master data'!I$1,'Team forecast'!$B$2:$AO$2,0))</f>
        <v>1.2386203137003762</v>
      </c>
      <c r="J108" s="16">
        <f>INDEX('Team forecast'!$B$2:$AO$26,MATCH('Master data'!$B108,'Team forecast'!$B$2:$B$26,0),MATCH('Master data'!J$1,'Team forecast'!$B$2:$AO$2,0))</f>
        <v>0.28978375293296982</v>
      </c>
      <c r="K108" s="16">
        <f>INDEX('Team forecast'!$B$2:$AO$26,MATCH('Master data'!$B108,'Team forecast'!$B$2:$B$26,0),MATCH('Master data'!K$1,'Team forecast'!$B$2:$AO$2,0))</f>
        <v>3.2490442399577706</v>
      </c>
      <c r="L108" s="16">
        <f>INDEX('Team forecast'!$B$2:$AO$26,MATCH('Master data'!$B108,'Team forecast'!$B$2:$B$26,0),MATCH('Master data'!L$1,'Team forecast'!$B$2:$AO$2,0))</f>
        <v>3.2998357975681776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2.9411764705882353E-2</v>
      </c>
      <c r="R108" s="2">
        <f>Players!BR109</f>
        <v>0</v>
      </c>
      <c r="S108" s="2">
        <f>H108</f>
        <v>1.2386203137003762</v>
      </c>
      <c r="T108" s="2">
        <f>I108</f>
        <v>1.2386203137003762</v>
      </c>
      <c r="U108" s="16">
        <f>INDEX('Team forecast'!$B$2:$AO$26,MATCH('Master data'!$B108,'Team forecast'!$B$2:$B$26,0),MATCH('Master data'!U$1,'Team forecast'!$B$2:$AO$2,0))</f>
        <v>0.33635614179719708</v>
      </c>
      <c r="V108" s="16">
        <f>INDEX('Team forecast'!$B$2:$AO$26,MATCH('Master data'!$B108,'Team forecast'!$B$2:$B$26,0),MATCH('Master data'!V$1,'Team forecast'!$B$2:$AO$2,0))</f>
        <v>0.29431162407254741</v>
      </c>
      <c r="W108" s="16">
        <f>INDEX('Team forecast'!$B$2:$AO$26,MATCH('Master data'!$B108,'Team forecast'!$B$2:$B$26,0),MATCH('Master data'!W$1,'Team forecast'!$B$2:$AO$2,0))</f>
        <v>0.36933223413025562</v>
      </c>
      <c r="X108" s="5">
        <f>IF(M108&gt;95,7000*2,IF(M108&gt;0,7000,-5000))</f>
        <v>-5000</v>
      </c>
      <c r="Y108" s="5">
        <f>IF($X108&gt;0,U108*25000,0)</f>
        <v>0</v>
      </c>
      <c r="Z108" s="5">
        <f>IF($X108&gt;0,V108*5000,0)</f>
        <v>0</v>
      </c>
      <c r="AA108" s="5">
        <f>IF($X108&gt;0,W108*(-15000),0)</f>
        <v>0</v>
      </c>
      <c r="AB108" s="5">
        <f>IF($C108="Defense",$N108*150000,IF($C108="Midfield",$N108*125000,IF($C108="Striker",$N108*100000,0)))*$H108</f>
        <v>0</v>
      </c>
      <c r="AC108" s="5">
        <f>$O108*50000*H108</f>
        <v>0</v>
      </c>
      <c r="AD108" s="5">
        <f>$P108*K108*10000</f>
        <v>0</v>
      </c>
      <c r="AE108" s="5">
        <f>IF($C108="Goalkeeper",J108*75000,IF($C108="Defense",J108*50000,0))</f>
        <v>14489.18764664849</v>
      </c>
      <c r="AF108" s="5">
        <f>IF($C108="Goalkeeper",(L108-I108)*5000,0)</f>
        <v>0</v>
      </c>
      <c r="AG108" s="5">
        <f>IF(M108&gt;0,Q108*(-20000),0)</f>
        <v>0</v>
      </c>
      <c r="AH108" s="5">
        <f>IF(M108&gt;0,R108*(-50000),0)</f>
        <v>0</v>
      </c>
      <c r="AI108" s="5">
        <f>IF(M108&gt;0,S108*10000,0)</f>
        <v>0</v>
      </c>
      <c r="AJ108" s="5">
        <f>IF(M108&gt;0,T108*(-8000),0)</f>
        <v>0</v>
      </c>
      <c r="AK108" s="5">
        <f>IFERROR(SUM(X108:AJ108),-5000)*((Cockpit!$C$3)^0)</f>
        <v>9489.18764664849</v>
      </c>
      <c r="AL108" s="16">
        <f>INDEX('Team forecast'!$B$2:$AO$26,MATCH('Master data'!$B108,'Team forecast'!$B$2:$B$26,0),MATCH('Master data'!AL$1,'Team forecast'!$B$2:$AO$2,0))</f>
        <v>1.384389503157577</v>
      </c>
      <c r="AM108" s="16">
        <f>INDEX('Team forecast'!$B$2:$AO$26,MATCH('Master data'!$B108,'Team forecast'!$B$2:$B$26,0),MATCH('Master data'!AM$1,'Team forecast'!$B$2:$AO$2,0))</f>
        <v>1.1612459518433673</v>
      </c>
      <c r="AN108" s="16">
        <f>INDEX('Team forecast'!$B$2:$AO$26,MATCH('Master data'!$B108,'Team forecast'!$B$2:$B$26,0),MATCH('Master data'!AN$1,'Team forecast'!$B$2:$AO$2,0))</f>
        <v>0.31309583542398389</v>
      </c>
      <c r="AO108" s="16">
        <f>INDEX('Team forecast'!$B$2:$AO$26,MATCH('Master data'!$B108,'Team forecast'!$B$2:$B$26,0),MATCH('Master data'!AO$1,'Team forecast'!$B$2:$AO$2,0))</f>
        <v>3.6314136715992724</v>
      </c>
      <c r="AP108" s="16">
        <f>INDEX('Team forecast'!$B$2:$AO$26,MATCH('Master data'!$B108,'Team forecast'!$B$2:$B$26,0),MATCH('Master data'!AP$1,'Team forecast'!$B$2:$AO$2,0))</f>
        <v>3.0937010472773676</v>
      </c>
      <c r="AQ108" s="5">
        <f>X108</f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>IF($C108="Defense",$N108*150000,IF($C108="Midfield",$N108*125000,IF($C108="Striker",$N108*100000,0)))*$AL108</f>
        <v>0</v>
      </c>
      <c r="AV108" s="5">
        <f>$O108*50000*AL108</f>
        <v>0</v>
      </c>
      <c r="AW108" s="5">
        <f>$P108*AO108*10000</f>
        <v>0</v>
      </c>
      <c r="AX108" s="5">
        <f>IF($C108="Goalkeeper",AN108*75000,IF($C108="Defense",AN108*50000,0))</f>
        <v>15654.791771199194</v>
      </c>
      <c r="AY108" s="5">
        <f>IF($C108="Goalkeeper",(AP108-AM108)*5000,0)</f>
        <v>0</v>
      </c>
      <c r="AZ108" s="5">
        <f>$AG108</f>
        <v>0</v>
      </c>
      <c r="BA108" s="5">
        <f>$AH108</f>
        <v>0</v>
      </c>
      <c r="BB108" s="5">
        <f>IF(X108&gt;0,AL108*10000,0)</f>
        <v>0</v>
      </c>
      <c r="BC108" s="5">
        <f>IF(X108&gt;0,AM108*(-8000),0)</f>
        <v>0</v>
      </c>
      <c r="BD108" s="5">
        <f>IFERROR(SUM(AQ108:BC108),0)</f>
        <v>10654.791771199194</v>
      </c>
      <c r="BE108" s="16">
        <f>INDEX('Team forecast'!$B$2:$AO$26,MATCH('Master data'!$B108,'Team forecast'!$B$2:$B$26,0),MATCH('Master data'!BE$1,'Team forecast'!$B$2:$AO$2,0))</f>
        <v>2.4374022591536644</v>
      </c>
      <c r="BF108" s="16">
        <f>INDEX('Team forecast'!$B$2:$AO$26,MATCH('Master data'!$B108,'Team forecast'!$B$2:$B$26,0),MATCH('Master data'!BF$1,'Team forecast'!$B$2:$AO$2,0))</f>
        <v>0.68661022841383224</v>
      </c>
      <c r="BG108" s="16">
        <f>INDEX('Team forecast'!$B$2:$AO$26,MATCH('Master data'!$B108,'Team forecast'!$B$2:$B$26,0),MATCH('Master data'!BG$1,'Team forecast'!$B$2:$AO$2,0))</f>
        <v>0.50327918232493496</v>
      </c>
      <c r="BH108" s="16">
        <f>INDEX('Team forecast'!$B$2:$AO$26,MATCH('Master data'!$B108,'Team forecast'!$B$2:$B$26,0),MATCH('Master data'!BH$1,'Team forecast'!$B$2:$AO$2,0))</f>
        <v>6.3935878355689084</v>
      </c>
      <c r="BI108" s="16">
        <f>INDEX('Team forecast'!$B$2:$AO$26,MATCH('Master data'!$B108,'Team forecast'!$B$2:$B$26,0),MATCH('Master data'!BI$1,'Team forecast'!$B$2:$AO$2,0))</f>
        <v>1.8292135092857056</v>
      </c>
      <c r="BJ108" s="5">
        <f>AQ108</f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>IF($C108="Defense",$N108*150000,IF($C108="Midfield",$N108*125000,IF($C108="Striker",$N108*100000,0)))*$BE108</f>
        <v>0</v>
      </c>
      <c r="BO108" s="5">
        <f>$O108*50000*$BE108</f>
        <v>0</v>
      </c>
      <c r="BP108" s="5">
        <f>$P108*BH108*10000</f>
        <v>0</v>
      </c>
      <c r="BQ108" s="5">
        <f>IF($C108="Goalkeeper",BG108*75000,IF($C108="Defense",BG108*50000,0))</f>
        <v>25163.959116246748</v>
      </c>
      <c r="BR108" s="5">
        <f>IF($C108="Goalkeeper",(BI108-BF108)*5000,0)</f>
        <v>0</v>
      </c>
      <c r="BS108" s="5">
        <f>$AG108</f>
        <v>0</v>
      </c>
      <c r="BT108" s="5">
        <f>$AH108</f>
        <v>0</v>
      </c>
      <c r="BU108" s="5">
        <f>IF(AQ108&gt;0,BE108*10000,0)</f>
        <v>0</v>
      </c>
      <c r="BV108" s="5">
        <f>IF(AQ108&gt;0,BF108*(-8000),0)</f>
        <v>0</v>
      </c>
      <c r="BW108" s="5">
        <f>IFERROR(SUM(BJ108:BV108),0)</f>
        <v>20163.959116246748</v>
      </c>
      <c r="BX108" s="5">
        <f>AVERAGE(AK108,BD108,BW108)</f>
        <v>13435.979511364809</v>
      </c>
      <c r="BY108" s="5">
        <f>BX108*3</f>
        <v>40307.938534094428</v>
      </c>
      <c r="BZ108" s="5">
        <f>INDEX('Team forecast'!$R$3:$BH$26,MATCH($B108,'Team forecast'!$B$3:$B$26,0),MATCH(BZ$1,'Team forecast'!$R$2:$BH$2,0))*($BX108-(BY108+CH108)*0.01)</f>
        <v>-24012.983477959657</v>
      </c>
      <c r="CA108" s="5">
        <f>INDEX('Team forecast'!$R$3:$BH$26,MATCH($B108,'Team forecast'!$B$3:$B$26,0),MATCH(CA$1,'Team forecast'!$R$2:$BH$2,0))*($BX108-(BY108+BX108+CH108)*0.01)</f>
        <v>-12264.156533563193</v>
      </c>
      <c r="CB108" s="5">
        <f>INDEX('Team forecast'!$R$3:$BH$26,MATCH($B108,'Team forecast'!$B$3:$B$26,0),MATCH(CB$1,'Team forecast'!$R$2:$BH$2,0))*($BX108-(BY108+BX108*2+CH108)*0.01)</f>
        <v>-6349.6084090788963</v>
      </c>
      <c r="CC108" s="5">
        <f>INDEX('Team forecast'!$R$3:$BH$26,MATCH($B108,'Team forecast'!$B$3:$B$26,0),MATCH(CC$1,'Team forecast'!$R$2:$BH$2,0))*($BX108-(BY108+BX108*3+CH108)*0.01)</f>
        <v>-3432.9549514870278</v>
      </c>
      <c r="CD108" s="5">
        <f>+AK108+BD108*Cockpit!$C$3+BW108*Cockpit!$C$3^2+BZ108*Cockpit!$C$3^3+CA108*Cockpit!$C$3^4+CB108*Cockpit!$C$3^5+CC108*Cockpit!$C$3^6</f>
        <v>14879.087589347562</v>
      </c>
      <c r="CE108" s="5"/>
      <c r="CF108" s="5"/>
      <c r="CG108" s="5">
        <v>0</v>
      </c>
      <c r="CH108" s="5">
        <f t="shared" si="46"/>
        <v>4000000</v>
      </c>
      <c r="CI108" s="5">
        <f t="shared" si="47"/>
        <v>4000000</v>
      </c>
      <c r="CJ108" s="1">
        <f t="shared" si="48"/>
        <v>1.0076984633523607E-2</v>
      </c>
      <c r="CK108" s="5">
        <f>RANK(BY108,$BY$2:$BY$623)+COUNTIF($BY$2:$BY108,$BY108)-1</f>
        <v>303</v>
      </c>
      <c r="CL108" s="5">
        <f>RANK(CJ108,$CJ$2:$CJ$623)+COUNTIF($CJ$2:$CJ108,$CJ108)-1</f>
        <v>358</v>
      </c>
    </row>
    <row r="109" spans="1:90">
      <c r="A109" t="str">
        <f>Players!P110</f>
        <v>Florian Neuhaus</v>
      </c>
      <c r="B109" t="str">
        <f>Players!G110</f>
        <v>Germany</v>
      </c>
      <c r="C109" t="str">
        <f>Players!AB110</f>
        <v>Midfield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3500000</v>
      </c>
      <c r="H109" s="16">
        <f>INDEX('Team forecast'!$B$2:$AO$26,MATCH('Master data'!$B109,'Team forecast'!$B$2:$B$26,0),MATCH('Master data'!H$1,'Team forecast'!$B$2:$AO$2,0))</f>
        <v>1.2386203137003762</v>
      </c>
      <c r="I109" s="16">
        <f>INDEX('Team forecast'!$B$2:$AO$26,MATCH('Master data'!$B109,'Team forecast'!$B$2:$B$26,0),MATCH('Master data'!I$1,'Team forecast'!$B$2:$AO$2,0))</f>
        <v>1.2386203137003762</v>
      </c>
      <c r="J109" s="16">
        <f>INDEX('Team forecast'!$B$2:$AO$26,MATCH('Master data'!$B109,'Team forecast'!$B$2:$B$26,0),MATCH('Master data'!J$1,'Team forecast'!$B$2:$AO$2,0))</f>
        <v>0.28978375293296982</v>
      </c>
      <c r="K109" s="16">
        <f>INDEX('Team forecast'!$B$2:$AO$26,MATCH('Master data'!$B109,'Team forecast'!$B$2:$B$26,0),MATCH('Master data'!K$1,'Team forecast'!$B$2:$AO$2,0))</f>
        <v>3.2490442399577706</v>
      </c>
      <c r="L109" s="16">
        <f>INDEX('Team forecast'!$B$2:$AO$26,MATCH('Master data'!$B109,'Team forecast'!$B$2:$B$26,0),MATCH('Master data'!L$1,'Team forecast'!$B$2:$AO$2,0))</f>
        <v>3.2998357975681776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0.15399239543726237</v>
      </c>
      <c r="R109" s="2">
        <f>Players!BR110</f>
        <v>0</v>
      </c>
      <c r="S109" s="2">
        <f>H109</f>
        <v>1.2386203137003762</v>
      </c>
      <c r="T109" s="2">
        <f>I109</f>
        <v>1.2386203137003762</v>
      </c>
      <c r="U109" s="16">
        <f>INDEX('Team forecast'!$B$2:$AO$26,MATCH('Master data'!$B109,'Team forecast'!$B$2:$B$26,0),MATCH('Master data'!U$1,'Team forecast'!$B$2:$AO$2,0))</f>
        <v>0.33635614179719708</v>
      </c>
      <c r="V109" s="16">
        <f>INDEX('Team forecast'!$B$2:$AO$26,MATCH('Master data'!$B109,'Team forecast'!$B$2:$B$26,0),MATCH('Master data'!V$1,'Team forecast'!$B$2:$AO$2,0))</f>
        <v>0.29431162407254741</v>
      </c>
      <c r="W109" s="16">
        <f>INDEX('Team forecast'!$B$2:$AO$26,MATCH('Master data'!$B109,'Team forecast'!$B$2:$B$26,0),MATCH('Master data'!W$1,'Team forecast'!$B$2:$AO$2,0))</f>
        <v>0.36933223413025562</v>
      </c>
      <c r="X109" s="5">
        <f>IF(M109&gt;95,7000*2,IF(M109&gt;0,7000,-5000))</f>
        <v>-5000</v>
      </c>
      <c r="Y109" s="5">
        <f>IF($X109&gt;0,U109*25000,0)</f>
        <v>0</v>
      </c>
      <c r="Z109" s="5">
        <f>IF($X109&gt;0,V109*5000,0)</f>
        <v>0</v>
      </c>
      <c r="AA109" s="5">
        <f>IF($X109&gt;0,W109*(-15000),0)</f>
        <v>0</v>
      </c>
      <c r="AB109" s="5">
        <f>IF($C109="Defense",$N109*150000,IF($C109="Midfield",$N109*125000,IF($C109="Striker",$N109*100000,0)))*$H109</f>
        <v>0</v>
      </c>
      <c r="AC109" s="5">
        <f>$O109*50000*H109</f>
        <v>0</v>
      </c>
      <c r="AD109" s="5">
        <f>$P109*K109*10000</f>
        <v>0</v>
      </c>
      <c r="AE109" s="5">
        <f>IF($C109="Goalkeeper",J109*75000,IF($C109="Defense",J109*50000,0))</f>
        <v>0</v>
      </c>
      <c r="AF109" s="5">
        <f>IF($C109="Goalkeeper",(L109-I109)*5000,0)</f>
        <v>0</v>
      </c>
      <c r="AG109" s="5">
        <f>IF(M109&gt;0,Q109*(-20000),0)</f>
        <v>0</v>
      </c>
      <c r="AH109" s="5">
        <f>IF(M109&gt;0,R109*(-50000),0)</f>
        <v>0</v>
      </c>
      <c r="AI109" s="5">
        <f>IF(M109&gt;0,S109*10000,0)</f>
        <v>0</v>
      </c>
      <c r="AJ109" s="5">
        <f>IF(M109&gt;0,T109*(-8000),0)</f>
        <v>0</v>
      </c>
      <c r="AK109" s="5">
        <f>IFERROR(SUM(X109:AJ109),-5000)*((Cockpit!$C$3)^0)</f>
        <v>-5000</v>
      </c>
      <c r="AL109" s="16">
        <f>INDEX('Team forecast'!$B$2:$AO$26,MATCH('Master data'!$B109,'Team forecast'!$B$2:$B$26,0),MATCH('Master data'!AL$1,'Team forecast'!$B$2:$AO$2,0))</f>
        <v>1.384389503157577</v>
      </c>
      <c r="AM109" s="16">
        <f>INDEX('Team forecast'!$B$2:$AO$26,MATCH('Master data'!$B109,'Team forecast'!$B$2:$B$26,0),MATCH('Master data'!AM$1,'Team forecast'!$B$2:$AO$2,0))</f>
        <v>1.1612459518433673</v>
      </c>
      <c r="AN109" s="16">
        <f>INDEX('Team forecast'!$B$2:$AO$26,MATCH('Master data'!$B109,'Team forecast'!$B$2:$B$26,0),MATCH('Master data'!AN$1,'Team forecast'!$B$2:$AO$2,0))</f>
        <v>0.31309583542398389</v>
      </c>
      <c r="AO109" s="16">
        <f>INDEX('Team forecast'!$B$2:$AO$26,MATCH('Master data'!$B109,'Team forecast'!$B$2:$B$26,0),MATCH('Master data'!AO$1,'Team forecast'!$B$2:$AO$2,0))</f>
        <v>3.6314136715992724</v>
      </c>
      <c r="AP109" s="16">
        <f>INDEX('Team forecast'!$B$2:$AO$26,MATCH('Master data'!$B109,'Team forecast'!$B$2:$B$26,0),MATCH('Master data'!AP$1,'Team forecast'!$B$2:$AO$2,0))</f>
        <v>3.0937010472773676</v>
      </c>
      <c r="AQ109" s="5">
        <f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>IF($C109="Defense",$N109*150000,IF($C109="Midfield",$N109*125000,IF($C109="Striker",$N109*100000,0)))*$AL109</f>
        <v>0</v>
      </c>
      <c r="AV109" s="5">
        <f>$O109*50000*AL109</f>
        <v>0</v>
      </c>
      <c r="AW109" s="5">
        <f>$P109*AO109*10000</f>
        <v>0</v>
      </c>
      <c r="AX109" s="5">
        <f>IF($C109="Goalkeeper",AN109*75000,IF($C109="Defense",AN109*50000,0))</f>
        <v>0</v>
      </c>
      <c r="AY109" s="5">
        <f>IF($C109="Goalkeeper",(AP109-AM109)*5000,0)</f>
        <v>0</v>
      </c>
      <c r="AZ109" s="5">
        <f>$AG109</f>
        <v>0</v>
      </c>
      <c r="BA109" s="5">
        <f>$AH109</f>
        <v>0</v>
      </c>
      <c r="BB109" s="5">
        <f>IF(X109&gt;0,AL109*10000,0)</f>
        <v>0</v>
      </c>
      <c r="BC109" s="5">
        <f>IF(X109&gt;0,AM109*(-8000),0)</f>
        <v>0</v>
      </c>
      <c r="BD109" s="5">
        <f>IFERROR(SUM(AQ109:BC109),0)</f>
        <v>-5000</v>
      </c>
      <c r="BE109" s="16">
        <f>INDEX('Team forecast'!$B$2:$AO$26,MATCH('Master data'!$B109,'Team forecast'!$B$2:$B$26,0),MATCH('Master data'!BE$1,'Team forecast'!$B$2:$AO$2,0))</f>
        <v>2.4374022591536644</v>
      </c>
      <c r="BF109" s="16">
        <f>INDEX('Team forecast'!$B$2:$AO$26,MATCH('Master data'!$B109,'Team forecast'!$B$2:$B$26,0),MATCH('Master data'!BF$1,'Team forecast'!$B$2:$AO$2,0))</f>
        <v>0.68661022841383224</v>
      </c>
      <c r="BG109" s="16">
        <f>INDEX('Team forecast'!$B$2:$AO$26,MATCH('Master data'!$B109,'Team forecast'!$B$2:$B$26,0),MATCH('Master data'!BG$1,'Team forecast'!$B$2:$AO$2,0))</f>
        <v>0.50327918232493496</v>
      </c>
      <c r="BH109" s="16">
        <f>INDEX('Team forecast'!$B$2:$AO$26,MATCH('Master data'!$B109,'Team forecast'!$B$2:$B$26,0),MATCH('Master data'!BH$1,'Team forecast'!$B$2:$AO$2,0))</f>
        <v>6.3935878355689084</v>
      </c>
      <c r="BI109" s="16">
        <f>INDEX('Team forecast'!$B$2:$AO$26,MATCH('Master data'!$B109,'Team forecast'!$B$2:$B$26,0),MATCH('Master data'!BI$1,'Team forecast'!$B$2:$AO$2,0))</f>
        <v>1.8292135092857056</v>
      </c>
      <c r="BJ109" s="5">
        <f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>IF($C109="Defense",$N109*150000,IF($C109="Midfield",$N109*125000,IF($C109="Striker",$N109*100000,0)))*$BE109</f>
        <v>0</v>
      </c>
      <c r="BO109" s="5">
        <f>$O109*50000*$BE109</f>
        <v>0</v>
      </c>
      <c r="BP109" s="5">
        <f>$P109*BH109*10000</f>
        <v>0</v>
      </c>
      <c r="BQ109" s="5">
        <f>IF($C109="Goalkeeper",BG109*75000,IF($C109="Defense",BG109*50000,0))</f>
        <v>0</v>
      </c>
      <c r="BR109" s="5">
        <f>IF($C109="Goalkeeper",(BI109-BF109)*5000,0)</f>
        <v>0</v>
      </c>
      <c r="BS109" s="5">
        <f>$AG109</f>
        <v>0</v>
      </c>
      <c r="BT109" s="5">
        <f>$AH109</f>
        <v>0</v>
      </c>
      <c r="BU109" s="5">
        <f>IF(AQ109&gt;0,BE109*10000,0)</f>
        <v>0</v>
      </c>
      <c r="BV109" s="5">
        <f>IF(AQ109&gt;0,BF109*(-8000),0)</f>
        <v>0</v>
      </c>
      <c r="BW109" s="5">
        <f>IFERROR(SUM(BJ109:BV109),0)</f>
        <v>-5000</v>
      </c>
      <c r="BX109" s="5">
        <f>AVERAGE(AK109,BD109,BW109)</f>
        <v>-5000</v>
      </c>
      <c r="BY109" s="5">
        <f>BX109*3</f>
        <v>-15000</v>
      </c>
      <c r="BZ109" s="5">
        <f>INDEX('Team forecast'!$R$3:$BH$26,MATCH($B109,'Team forecast'!$B$3:$B$26,0),MATCH(BZ$1,'Team forecast'!$R$2:$BH$2,0))*($BX109-(BY109+CH109)*0.01)</f>
        <v>-35484.623710691973</v>
      </c>
      <c r="CA109" s="5">
        <f>INDEX('Team forecast'!$R$3:$BH$26,MATCH($B109,'Team forecast'!$B$3:$B$26,0),MATCH(CA$1,'Team forecast'!$R$2:$BH$2,0))*($BX109-(BY109+BX109+CH109)*0.01)</f>
        <v>-18010.59559137054</v>
      </c>
      <c r="CB109" s="5">
        <f>INDEX('Team forecast'!$R$3:$BH$26,MATCH($B109,'Team forecast'!$B$3:$B$26,0),MATCH(CB$1,'Team forecast'!$R$2:$BH$2,0))*($BX109-(BY109+BX109*2+CH109)*0.01)</f>
        <v>-9267.0952894447073</v>
      </c>
      <c r="CC109" s="5">
        <f>INDEX('Team forecast'!$R$3:$BH$26,MATCH($B109,'Team forecast'!$B$3:$B$26,0),MATCH(CC$1,'Team forecast'!$R$2:$BH$2,0))*($BX109-(BY109+BX109*3+CH109)*0.01)</f>
        <v>-4979.4453402288582</v>
      </c>
      <c r="CD109" s="5">
        <f>+AK109+BD109*Cockpit!$C$3+BW109*Cockpit!$C$3^2+BZ109*Cockpit!$C$3^3+CA109*Cockpit!$C$3^4+CB109*Cockpit!$C$3^5+CC109*Cockpit!$C$3^6</f>
        <v>-26284.677827473468</v>
      </c>
      <c r="CE109" s="5"/>
      <c r="CF109" s="5"/>
      <c r="CG109" s="5">
        <v>0</v>
      </c>
      <c r="CH109" s="5">
        <f t="shared" si="46"/>
        <v>3500000</v>
      </c>
      <c r="CI109" s="5">
        <f t="shared" si="47"/>
        <v>3500000</v>
      </c>
      <c r="CJ109" s="1">
        <f t="shared" si="48"/>
        <v>-4.2857142857142859E-3</v>
      </c>
      <c r="CK109" s="5">
        <f>RANK(BY109,$BY$2:$BY$623)+COUNTIF($BY$2:$BY109,$BY109)-1</f>
        <v>458</v>
      </c>
      <c r="CL109" s="5">
        <f>RANK(CJ109,$CJ$2:$CJ$623)+COUNTIF($CJ$2:$CJ109,$CJ109)-1</f>
        <v>462</v>
      </c>
    </row>
    <row r="110" spans="1:90">
      <c r="A110" t="str">
        <f>Players!P111</f>
        <v>Dean Henderson</v>
      </c>
      <c r="B110" t="str">
        <f>Players!G111</f>
        <v>England</v>
      </c>
      <c r="C110" t="str">
        <f>Players!AB111</f>
        <v>Goalkeeper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5000000</v>
      </c>
      <c r="H110" s="16">
        <f>INDEX('Team forecast'!$B$2:$AO$26,MATCH('Master data'!$B110,'Team forecast'!$B$2:$B$26,0),MATCH('Master data'!H$1,'Team forecast'!$B$2:$AO$2,0))</f>
        <v>1.5223243214152651</v>
      </c>
      <c r="I110" s="16">
        <f>INDEX('Team forecast'!$B$2:$AO$26,MATCH('Master data'!$B110,'Team forecast'!$B$2:$B$26,0),MATCH('Master data'!I$1,'Team forecast'!$B$2:$AO$2,0))</f>
        <v>0.74990395996081205</v>
      </c>
      <c r="J110" s="16">
        <f>INDEX('Team forecast'!$B$2:$AO$26,MATCH('Master data'!$B110,'Team forecast'!$B$2:$B$26,0),MATCH('Master data'!J$1,'Team forecast'!$B$2:$AO$2,0))</f>
        <v>0.47241192102180191</v>
      </c>
      <c r="K110" s="16">
        <f>INDEX('Team forecast'!$B$2:$AO$26,MATCH('Master data'!$B110,'Team forecast'!$B$2:$B$26,0),MATCH('Master data'!K$1,'Team forecast'!$B$2:$AO$2,0))</f>
        <v>3.7411838276290243</v>
      </c>
      <c r="L110" s="16">
        <f>INDEX('Team forecast'!$B$2:$AO$26,MATCH('Master data'!$B110,'Team forecast'!$B$2:$B$26,0),MATCH('Master data'!L$1,'Team forecast'!$B$2:$AO$2,0))</f>
        <v>2.461805929164282</v>
      </c>
      <c r="M110">
        <f>IF(Players!BC111=1,95,0)</f>
        <v>95</v>
      </c>
      <c r="N110" s="2">
        <f>Players!BN111</f>
        <v>0</v>
      </c>
      <c r="O110" s="2">
        <f>Players!BO111</f>
        <v>0</v>
      </c>
      <c r="P110" s="2">
        <f>Players!BP111</f>
        <v>0</v>
      </c>
      <c r="Q110" s="2">
        <f>Players!BQ111</f>
        <v>0.12</v>
      </c>
      <c r="R110" s="2">
        <f>Players!BR111</f>
        <v>0</v>
      </c>
      <c r="S110" s="2">
        <f>H110</f>
        <v>1.5223243214152651</v>
      </c>
      <c r="T110" s="2">
        <f>I110</f>
        <v>0.74990395996081205</v>
      </c>
      <c r="U110" s="16">
        <f>INDEX('Team forecast'!$B$2:$AO$26,MATCH('Master data'!$B110,'Team forecast'!$B$2:$B$26,0),MATCH('Master data'!U$1,'Team forecast'!$B$2:$AO$2,0))</f>
        <v>0.56576277966682864</v>
      </c>
      <c r="V110" s="16">
        <f>INDEX('Team forecast'!$B$2:$AO$26,MATCH('Master data'!$B110,'Team forecast'!$B$2:$B$26,0),MATCH('Master data'!V$1,'Team forecast'!$B$2:$AO$2,0))</f>
        <v>0.26245106723433442</v>
      </c>
      <c r="W110" s="16">
        <f>INDEX('Team forecast'!$B$2:$AO$26,MATCH('Master data'!$B110,'Team forecast'!$B$2:$B$26,0),MATCH('Master data'!W$1,'Team forecast'!$B$2:$AO$2,0))</f>
        <v>0.17178615309883699</v>
      </c>
      <c r="X110" s="5">
        <f>IF(M110&gt;95,7000*2,IF(M110&gt;0,7000,-5000))</f>
        <v>7000</v>
      </c>
      <c r="Y110" s="5">
        <f>IF($X110&gt;0,U110*25000,0)</f>
        <v>14144.069491670716</v>
      </c>
      <c r="Z110" s="5">
        <f>IF($X110&gt;0,V110*5000,0)</f>
        <v>1312.2553361716721</v>
      </c>
      <c r="AA110" s="5">
        <f>IF($X110&gt;0,W110*(-15000),0)</f>
        <v>-2576.7922964825548</v>
      </c>
      <c r="AB110" s="5">
        <f>IF($C110="Defense",$N110*150000,IF($C110="Midfield",$N110*125000,IF($C110="Striker",$N110*100000,0)))*$H110</f>
        <v>0</v>
      </c>
      <c r="AC110" s="5">
        <f>$O110*50000*H110</f>
        <v>0</v>
      </c>
      <c r="AD110" s="5">
        <f>$P110*K110*10000</f>
        <v>0</v>
      </c>
      <c r="AE110" s="5">
        <f>IF($C110="Goalkeeper",J110*75000,IF($C110="Defense",J110*50000,0))</f>
        <v>35430.894076635144</v>
      </c>
      <c r="AF110" s="5">
        <f>IF($C110="Goalkeeper",(L110-I110)*5000,0)</f>
        <v>8559.5098460173504</v>
      </c>
      <c r="AG110" s="5">
        <f>IF(M110&gt;0,Q110*(-20000),0)</f>
        <v>-2400</v>
      </c>
      <c r="AH110" s="5">
        <f>IF(M110&gt;0,R110*(-50000),0)</f>
        <v>0</v>
      </c>
      <c r="AI110" s="5">
        <f>IF(M110&gt;0,S110*10000,0)</f>
        <v>15223.243214152651</v>
      </c>
      <c r="AJ110" s="5">
        <f>IF(M110&gt;0,T110*(-8000),0)</f>
        <v>-5999.2316796864961</v>
      </c>
      <c r="AK110" s="5">
        <f>IFERROR(SUM(X110:AJ110),-5000)*((Cockpit!$C$3)^0)</f>
        <v>70693.947988478481</v>
      </c>
      <c r="AL110" s="16">
        <f>INDEX('Team forecast'!$B$2:$AO$26,MATCH('Master data'!$B110,'Team forecast'!$B$2:$B$26,0),MATCH('Master data'!AL$1,'Team forecast'!$B$2:$AO$2,0))</f>
        <v>2.0067977929974719</v>
      </c>
      <c r="AM110" s="16">
        <f>INDEX('Team forecast'!$B$2:$AO$26,MATCH('Master data'!$B110,'Team forecast'!$B$2:$B$26,0),MATCH('Master data'!AM$1,'Team forecast'!$B$2:$AO$2,0))</f>
        <v>0.66520361079548807</v>
      </c>
      <c r="AN110" s="16">
        <f>INDEX('Team forecast'!$B$2:$AO$26,MATCH('Master data'!$B110,'Team forecast'!$B$2:$B$26,0),MATCH('Master data'!AN$1,'Team forecast'!$B$2:$AO$2,0))</f>
        <v>0.51416882672404407</v>
      </c>
      <c r="AO110" s="16">
        <f>INDEX('Team forecast'!$B$2:$AO$26,MATCH('Master data'!$B110,'Team forecast'!$B$2:$B$26,0),MATCH('Master data'!AO$1,'Team forecast'!$B$2:$AO$2,0))</f>
        <v>4.9318002365645421</v>
      </c>
      <c r="AP110" s="16">
        <f>INDEX('Team forecast'!$B$2:$AO$26,MATCH('Master data'!$B110,'Team forecast'!$B$2:$B$26,0),MATCH('Master data'!AP$1,'Team forecast'!$B$2:$AO$2,0))</f>
        <v>2.1837492273589256</v>
      </c>
      <c r="AQ110" s="5">
        <f>X110</f>
        <v>7000</v>
      </c>
      <c r="AR110" s="5">
        <f>INDEX('Team forecast'!$B$2:$AO$26,MATCH('Master data'!$B110,'Team forecast'!$B$2:$B$26,0),MATCH('Master data'!AR$1,'Team forecast'!$B$2:$AO$2,0))*IF(X110&gt;0,25000,0)</f>
        <v>17296.488104871336</v>
      </c>
      <c r="AS110" s="16">
        <f>INDEX('Team forecast'!$B$2:$AO$26,MATCH('Master data'!$B110,'Team forecast'!$B$2:$B$26,0),MATCH('Master data'!AS$1,'Team forecast'!$B$2:$AO$2,0))*IF(X110&gt;0,5000,0)</f>
        <v>1045.4766143388899</v>
      </c>
      <c r="AT110" s="16">
        <f>INDEX('Team forecast'!$B$2:$AO$26,MATCH('Master data'!$B110,'Team forecast'!$B$2:$B$26,0),MATCH('Master data'!AT$1,'Team forecast'!$B$2:$AO$2,0))*IF(X110&gt;0,-15000,0)</f>
        <v>-1485.6772940605274</v>
      </c>
      <c r="AU110" s="5">
        <f>IF($C110="Defense",$N110*150000,IF($C110="Midfield",$N110*125000,IF($C110="Striker",$N110*100000,0)))*$AL110</f>
        <v>0</v>
      </c>
      <c r="AV110" s="5">
        <f>$O110*50000*AL110</f>
        <v>0</v>
      </c>
      <c r="AW110" s="5">
        <f>$P110*AO110*10000</f>
        <v>0</v>
      </c>
      <c r="AX110" s="5">
        <f>IF($C110="Goalkeeper",AN110*75000,IF($C110="Defense",AN110*50000,0))</f>
        <v>38562.662004303304</v>
      </c>
      <c r="AY110" s="5">
        <f>IF($C110="Goalkeeper",(AP110-AM110)*5000,0)</f>
        <v>7592.7280828171888</v>
      </c>
      <c r="AZ110" s="5">
        <f>$AG110</f>
        <v>-2400</v>
      </c>
      <c r="BA110" s="5">
        <f>$AH110</f>
        <v>0</v>
      </c>
      <c r="BB110" s="5">
        <f>IF(X110&gt;0,AL110*10000,0)</f>
        <v>20067.977929974717</v>
      </c>
      <c r="BC110" s="5">
        <f>IF(X110&gt;0,AM110*(-8000),0)</f>
        <v>-5321.6288863639047</v>
      </c>
      <c r="BD110" s="5">
        <f>IFERROR(SUM(AQ110:BC110),0)</f>
        <v>82358.026555881006</v>
      </c>
      <c r="BE110" s="16">
        <f>INDEX('Team forecast'!$B$2:$AO$26,MATCH('Master data'!$B110,'Team forecast'!$B$2:$B$26,0),MATCH('Master data'!BE$1,'Team forecast'!$B$2:$AO$2,0))</f>
        <v>2.2346287595631029</v>
      </c>
      <c r="BF110" s="16">
        <f>INDEX('Team forecast'!$B$2:$AO$26,MATCH('Master data'!$B110,'Team forecast'!$B$2:$B$26,0),MATCH('Master data'!BF$1,'Team forecast'!$B$2:$AO$2,0))</f>
        <v>0.82586154259115363</v>
      </c>
      <c r="BG110" s="16">
        <f>INDEX('Team forecast'!$B$2:$AO$26,MATCH('Master data'!$B110,'Team forecast'!$B$2:$B$26,0),MATCH('Master data'!BG$1,'Team forecast'!$B$2:$AO$2,0))</f>
        <v>0.43785759694850601</v>
      </c>
      <c r="BH110" s="16">
        <f>INDEX('Team forecast'!$B$2:$AO$26,MATCH('Master data'!$B110,'Team forecast'!$B$2:$B$26,0),MATCH('Master data'!BH$1,'Team forecast'!$B$2:$AO$2,0))</f>
        <v>5.4917055836432862</v>
      </c>
      <c r="BI110" s="16">
        <f>INDEX('Team forecast'!$B$2:$AO$26,MATCH('Master data'!$B110,'Team forecast'!$B$2:$B$26,0),MATCH('Master data'!BI$1,'Team forecast'!$B$2:$AO$2,0))</f>
        <v>2.7111616297184336</v>
      </c>
      <c r="BJ110" s="5">
        <f>AQ110</f>
        <v>7000</v>
      </c>
      <c r="BK110" s="5">
        <f>INDEX('Team forecast'!$R$3:$BH$26,MATCH($B110,'Team forecast'!$B$3:$B$26,0),MATCH(BK$1,'Team forecast'!$R$2:$BH$2,0))*IF($X110&gt;0,25000,0)</f>
        <v>16608.391608391608</v>
      </c>
      <c r="BL110" s="5">
        <f>INDEX('Team forecast'!$R$3:$BH$26,MATCH($B110,'Team forecast'!$B$3:$B$26,0),MATCH(BL$1,'Team forecast'!$R$2:$BH$2,0))*IF($X110&gt;0,5000,0)</f>
        <v>1013.9860139860141</v>
      </c>
      <c r="BM110" s="5">
        <f>INDEX('Team forecast'!$R$3:$BH$26,MATCH($B110,'Team forecast'!$B$3:$B$26,0),MATCH(BM$1,'Team forecast'!$R$2:$BH$2,0))*IF($X110&gt;0,-15000,0)</f>
        <v>-1993.0069930069933</v>
      </c>
      <c r="BN110" s="5">
        <f>IF($C110="Defense",$N110*150000,IF($C110="Midfield",$N110*125000,IF($C110="Striker",$N110*100000,0)))*$BE110</f>
        <v>0</v>
      </c>
      <c r="BO110" s="5">
        <f>$O110*50000*$BE110</f>
        <v>0</v>
      </c>
      <c r="BP110" s="5">
        <f>$P110*BH110*10000</f>
        <v>0</v>
      </c>
      <c r="BQ110" s="5">
        <f>IF($C110="Goalkeeper",BG110*75000,IF($C110="Defense",BG110*50000,0))</f>
        <v>32839.319771137954</v>
      </c>
      <c r="BR110" s="5">
        <f>IF($C110="Goalkeeper",(BI110-BF110)*5000,0)</f>
        <v>9426.5004356364007</v>
      </c>
      <c r="BS110" s="5">
        <f>$AG110</f>
        <v>-2400</v>
      </c>
      <c r="BT110" s="5">
        <f>$AH110</f>
        <v>0</v>
      </c>
      <c r="BU110" s="5">
        <f>IF(AQ110&gt;0,BE110*10000,0)</f>
        <v>22346.287595631031</v>
      </c>
      <c r="BV110" s="5">
        <f>IF(AQ110&gt;0,BF110*(-8000),0)</f>
        <v>-6606.8923407292286</v>
      </c>
      <c r="BW110" s="5">
        <f>IFERROR(SUM(BJ110:BV110),0)</f>
        <v>78234.586091046789</v>
      </c>
      <c r="BX110" s="5">
        <f>AVERAGE(AK110,BD110,BW110)</f>
        <v>77095.520211802097</v>
      </c>
      <c r="BY110" s="5">
        <f>BX110*3</f>
        <v>231286.56063540629</v>
      </c>
      <c r="BZ110" s="5">
        <f>INDEX('Team forecast'!$R$3:$BH$26,MATCH($B110,'Team forecast'!$B$3:$B$26,0),MATCH(BZ$1,'Team forecast'!$R$2:$BH$2,0))*($BX110-(BY110+CH110)*0.01)</f>
        <v>23733.330590612495</v>
      </c>
      <c r="CA110" s="5">
        <f>INDEX('Team forecast'!$R$3:$BH$26,MATCH($B110,'Team forecast'!$B$3:$B$26,0),MATCH(CA$1,'Team forecast'!$R$2:$BH$2,0))*($BX110-(BY110+BX110+CH110)*0.01)</f>
        <v>11868.197493583188</v>
      </c>
      <c r="CB110" s="5">
        <f>INDEX('Team forecast'!$R$3:$BH$26,MATCH($B110,'Team forecast'!$B$3:$B$26,0),MATCH(CB$1,'Team forecast'!$R$2:$BH$2,0))*($BX110-(BY110+BX110*2+CH110)*0.01)</f>
        <v>6081.2510967863163</v>
      </c>
      <c r="CC110" s="5">
        <f>INDEX('Team forecast'!$R$3:$BH$26,MATCH($B110,'Team forecast'!$B$3:$B$26,0),MATCH(CC$1,'Team forecast'!$R$2:$BH$2,0))*($BX110-(BY110+BX110*3+CH110)*0.01)</f>
        <v>3360.7469879905152</v>
      </c>
      <c r="CD110" s="5">
        <f>+AK110+BD110*Cockpit!$C$3+BW110*Cockpit!$C$3^2+BZ110*Cockpit!$C$3^3+CA110*Cockpit!$C$3^4+CB110*Cockpit!$C$3^5+CC110*Cockpit!$C$3^6</f>
        <v>170842.52763021851</v>
      </c>
      <c r="CE110" s="5"/>
      <c r="CF110" s="5"/>
      <c r="CG110" s="5">
        <v>0</v>
      </c>
      <c r="CH110" s="5">
        <f t="shared" si="46"/>
        <v>5000000</v>
      </c>
      <c r="CI110" s="5">
        <f t="shared" si="47"/>
        <v>5000000</v>
      </c>
      <c r="CJ110" s="1">
        <f t="shared" si="48"/>
        <v>4.6257312127081257E-2</v>
      </c>
      <c r="CK110" s="5">
        <f>RANK(BY110,$BY$2:$BY$623)+COUNTIF($BY$2:$BY110,$BY110)-1</f>
        <v>27</v>
      </c>
      <c r="CL110" s="5">
        <f>RANK(CJ110,$CJ$2:$CJ$623)+COUNTIF($CJ$2:$CJ110,$CJ110)-1</f>
        <v>43</v>
      </c>
    </row>
    <row r="111" spans="1:90">
      <c r="A111" t="str">
        <f>Players!P112</f>
        <v>Luke Shaw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3500000</v>
      </c>
      <c r="H111" s="16">
        <f>INDEX('Team forecast'!$B$2:$AO$26,MATCH('Master data'!$B111,'Team forecast'!$B$2:$B$26,0),MATCH('Master data'!H$1,'Team forecast'!$B$2:$AO$2,0))</f>
        <v>1.5223243214152651</v>
      </c>
      <c r="I111" s="16">
        <f>INDEX('Team forecast'!$B$2:$AO$26,MATCH('Master data'!$B111,'Team forecast'!$B$2:$B$26,0),MATCH('Master data'!I$1,'Team forecast'!$B$2:$AO$2,0))</f>
        <v>0.74990395996081205</v>
      </c>
      <c r="J111" s="16">
        <f>INDEX('Team forecast'!$B$2:$AO$26,MATCH('Master data'!$B111,'Team forecast'!$B$2:$B$26,0),MATCH('Master data'!J$1,'Team forecast'!$B$2:$AO$2,0))</f>
        <v>0.47241192102180191</v>
      </c>
      <c r="K111" s="16">
        <f>INDEX('Team forecast'!$B$2:$AO$26,MATCH('Master data'!$B111,'Team forecast'!$B$2:$B$26,0),MATCH('Master data'!K$1,'Team forecast'!$B$2:$AO$2,0))</f>
        <v>3.7411838276290243</v>
      </c>
      <c r="L111" s="16">
        <f>INDEX('Team forecast'!$B$2:$AO$26,MATCH('Master data'!$B111,'Team forecast'!$B$2:$B$26,0),MATCH('Master data'!L$1,'Team forecast'!$B$2:$AO$2,0))</f>
        <v>2.461805929164282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0.63559322033898302</v>
      </c>
      <c r="R111" s="2">
        <f>Players!BR112</f>
        <v>0</v>
      </c>
      <c r="S111" s="2">
        <f>H111</f>
        <v>1.5223243214152651</v>
      </c>
      <c r="T111" s="2">
        <f>I111</f>
        <v>0.74990395996081205</v>
      </c>
      <c r="U111" s="16">
        <f>INDEX('Team forecast'!$B$2:$AO$26,MATCH('Master data'!$B111,'Team forecast'!$B$2:$B$26,0),MATCH('Master data'!U$1,'Team forecast'!$B$2:$AO$2,0))</f>
        <v>0.56576277966682864</v>
      </c>
      <c r="V111" s="16">
        <f>INDEX('Team forecast'!$B$2:$AO$26,MATCH('Master data'!$B111,'Team forecast'!$B$2:$B$26,0),MATCH('Master data'!V$1,'Team forecast'!$B$2:$AO$2,0))</f>
        <v>0.26245106723433442</v>
      </c>
      <c r="W111" s="16">
        <f>INDEX('Team forecast'!$B$2:$AO$26,MATCH('Master data'!$B111,'Team forecast'!$B$2:$B$26,0),MATCH('Master data'!W$1,'Team forecast'!$B$2:$AO$2,0))</f>
        <v>0.17178615309883699</v>
      </c>
      <c r="X111" s="5">
        <f>IF(M111&gt;95,7000*2,IF(M111&gt;0,7000,-5000))</f>
        <v>-5000</v>
      </c>
      <c r="Y111" s="5">
        <f>IF($X111&gt;0,U111*25000,0)</f>
        <v>0</v>
      </c>
      <c r="Z111" s="5">
        <f>IF($X111&gt;0,V111*5000,0)</f>
        <v>0</v>
      </c>
      <c r="AA111" s="5">
        <f>IF($X111&gt;0,W111*(-15000),0)</f>
        <v>0</v>
      </c>
      <c r="AB111" s="5">
        <f>IF($C111="Defense",$N111*150000,IF($C111="Midfield",$N111*125000,IF($C111="Striker",$N111*100000,0)))*$H111</f>
        <v>0</v>
      </c>
      <c r="AC111" s="5">
        <f>$O111*50000*H111</f>
        <v>0</v>
      </c>
      <c r="AD111" s="5">
        <f>$P111*K111*10000</f>
        <v>0</v>
      </c>
      <c r="AE111" s="5">
        <f>IF($C111="Goalkeeper",J111*75000,IF($C111="Defense",J111*50000,0))</f>
        <v>23620.596051090095</v>
      </c>
      <c r="AF111" s="5">
        <f>IF($C111="Goalkeeper",(L111-I111)*5000,0)</f>
        <v>0</v>
      </c>
      <c r="AG111" s="5">
        <f>IF(M111&gt;0,Q111*(-20000),0)</f>
        <v>0</v>
      </c>
      <c r="AH111" s="5">
        <f>IF(M111&gt;0,R111*(-50000),0)</f>
        <v>0</v>
      </c>
      <c r="AI111" s="5">
        <f>IF(M111&gt;0,S111*10000,0)</f>
        <v>0</v>
      </c>
      <c r="AJ111" s="5">
        <f>IF(M111&gt;0,T111*(-8000),0)</f>
        <v>0</v>
      </c>
      <c r="AK111" s="5">
        <f>IFERROR(SUM(X111:AJ111),-5000)*((Cockpit!$C$3)^0)</f>
        <v>18620.596051090095</v>
      </c>
      <c r="AL111" s="16">
        <f>INDEX('Team forecast'!$B$2:$AO$26,MATCH('Master data'!$B111,'Team forecast'!$B$2:$B$26,0),MATCH('Master data'!AL$1,'Team forecast'!$B$2:$AO$2,0))</f>
        <v>2.0067977929974719</v>
      </c>
      <c r="AM111" s="16">
        <f>INDEX('Team forecast'!$B$2:$AO$26,MATCH('Master data'!$B111,'Team forecast'!$B$2:$B$26,0),MATCH('Master data'!AM$1,'Team forecast'!$B$2:$AO$2,0))</f>
        <v>0.66520361079548807</v>
      </c>
      <c r="AN111" s="16">
        <f>INDEX('Team forecast'!$B$2:$AO$26,MATCH('Master data'!$B111,'Team forecast'!$B$2:$B$26,0),MATCH('Master data'!AN$1,'Team forecast'!$B$2:$AO$2,0))</f>
        <v>0.51416882672404407</v>
      </c>
      <c r="AO111" s="16">
        <f>INDEX('Team forecast'!$B$2:$AO$26,MATCH('Master data'!$B111,'Team forecast'!$B$2:$B$26,0),MATCH('Master data'!AO$1,'Team forecast'!$B$2:$AO$2,0))</f>
        <v>4.9318002365645421</v>
      </c>
      <c r="AP111" s="16">
        <f>INDEX('Team forecast'!$B$2:$AO$26,MATCH('Master data'!$B111,'Team forecast'!$B$2:$B$26,0),MATCH('Master data'!AP$1,'Team forecast'!$B$2:$AO$2,0))</f>
        <v>2.1837492273589256</v>
      </c>
      <c r="AQ111" s="5">
        <f>X111</f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>IF($C111="Defense",$N111*150000,IF($C111="Midfield",$N111*125000,IF($C111="Striker",$N111*100000,0)))*$AL111</f>
        <v>0</v>
      </c>
      <c r="AV111" s="5">
        <f>$O111*50000*AL111</f>
        <v>0</v>
      </c>
      <c r="AW111" s="5">
        <f>$P111*AO111*10000</f>
        <v>0</v>
      </c>
      <c r="AX111" s="5">
        <f>IF($C111="Goalkeeper",AN111*75000,IF($C111="Defense",AN111*50000,0))</f>
        <v>25708.441336202202</v>
      </c>
      <c r="AY111" s="5">
        <f>IF($C111="Goalkeeper",(AP111-AM111)*5000,0)</f>
        <v>0</v>
      </c>
      <c r="AZ111" s="5">
        <f>$AG111</f>
        <v>0</v>
      </c>
      <c r="BA111" s="5">
        <f>$AH111</f>
        <v>0</v>
      </c>
      <c r="BB111" s="5">
        <f>IF(X111&gt;0,AL111*10000,0)</f>
        <v>0</v>
      </c>
      <c r="BC111" s="5">
        <f>IF(X111&gt;0,AM111*(-8000),0)</f>
        <v>0</v>
      </c>
      <c r="BD111" s="5">
        <f>IFERROR(SUM(AQ111:BC111),0)</f>
        <v>20708.441336202202</v>
      </c>
      <c r="BE111" s="16">
        <f>INDEX('Team forecast'!$B$2:$AO$26,MATCH('Master data'!$B111,'Team forecast'!$B$2:$B$26,0),MATCH('Master data'!BE$1,'Team forecast'!$B$2:$AO$2,0))</f>
        <v>2.2346287595631029</v>
      </c>
      <c r="BF111" s="16">
        <f>INDEX('Team forecast'!$B$2:$AO$26,MATCH('Master data'!$B111,'Team forecast'!$B$2:$B$26,0),MATCH('Master data'!BF$1,'Team forecast'!$B$2:$AO$2,0))</f>
        <v>0.82586154259115363</v>
      </c>
      <c r="BG111" s="16">
        <f>INDEX('Team forecast'!$B$2:$AO$26,MATCH('Master data'!$B111,'Team forecast'!$B$2:$B$26,0),MATCH('Master data'!BG$1,'Team forecast'!$B$2:$AO$2,0))</f>
        <v>0.43785759694850601</v>
      </c>
      <c r="BH111" s="16">
        <f>INDEX('Team forecast'!$B$2:$AO$26,MATCH('Master data'!$B111,'Team forecast'!$B$2:$B$26,0),MATCH('Master data'!BH$1,'Team forecast'!$B$2:$AO$2,0))</f>
        <v>5.4917055836432862</v>
      </c>
      <c r="BI111" s="16">
        <f>INDEX('Team forecast'!$B$2:$AO$26,MATCH('Master data'!$B111,'Team forecast'!$B$2:$B$26,0),MATCH('Master data'!BI$1,'Team forecast'!$B$2:$AO$2,0))</f>
        <v>2.7111616297184336</v>
      </c>
      <c r="BJ111" s="5">
        <f>AQ111</f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>IF($C111="Defense",$N111*150000,IF($C111="Midfield",$N111*125000,IF($C111="Striker",$N111*100000,0)))*$BE111</f>
        <v>0</v>
      </c>
      <c r="BO111" s="5">
        <f>$O111*50000*$BE111</f>
        <v>0</v>
      </c>
      <c r="BP111" s="5">
        <f>$P111*BH111*10000</f>
        <v>0</v>
      </c>
      <c r="BQ111" s="5">
        <f>IF($C111="Goalkeeper",BG111*75000,IF($C111="Defense",BG111*50000,0))</f>
        <v>21892.879847425302</v>
      </c>
      <c r="BR111" s="5">
        <f>IF($C111="Goalkeeper",(BI111-BF111)*5000,0)</f>
        <v>0</v>
      </c>
      <c r="BS111" s="5">
        <f>$AG111</f>
        <v>0</v>
      </c>
      <c r="BT111" s="5">
        <f>$AH111</f>
        <v>0</v>
      </c>
      <c r="BU111" s="5">
        <f>IF(AQ111&gt;0,BE111*10000,0)</f>
        <v>0</v>
      </c>
      <c r="BV111" s="5">
        <f>IF(AQ111&gt;0,BF111*(-8000),0)</f>
        <v>0</v>
      </c>
      <c r="BW111" s="5">
        <f>IFERROR(SUM(BJ111:BV111),0)</f>
        <v>16892.879847425302</v>
      </c>
      <c r="BX111" s="5">
        <f>AVERAGE(AK111,BD111,BW111)</f>
        <v>18740.639078239197</v>
      </c>
      <c r="BY111" s="5">
        <f>BX111*3</f>
        <v>56221.917234717592</v>
      </c>
      <c r="BZ111" s="5">
        <f>INDEX('Team forecast'!$R$3:$BH$26,MATCH($B111,'Team forecast'!$B$3:$B$26,0),MATCH(BZ$1,'Team forecast'!$R$2:$BH$2,0))*($BX111-(BY111+CH111)*0.01)</f>
        <v>-16109.336460758608</v>
      </c>
      <c r="CA111" s="5">
        <f>INDEX('Team forecast'!$R$3:$BH$26,MATCH($B111,'Team forecast'!$B$3:$B$26,0),MATCH(CA$1,'Team forecast'!$R$2:$BH$2,0))*($BX111-(BY111+BX111+CH111)*0.01)</f>
        <v>-8406.9855855504702</v>
      </c>
      <c r="CB111" s="5">
        <f>INDEX('Team forecast'!$R$3:$BH$26,MATCH($B111,'Team forecast'!$B$3:$B$26,0),MATCH(CB$1,'Team forecast'!$R$2:$BH$2,0))*($BX111-(BY111+BX111*2+CH111)*0.01)</f>
        <v>-4499.665851083194</v>
      </c>
      <c r="CC111" s="5">
        <f>INDEX('Team forecast'!$R$3:$BH$26,MATCH($B111,'Team forecast'!$B$3:$B$26,0),MATCH(CC$1,'Team forecast'!$R$2:$BH$2,0))*($BX111-(BY111+BX111*3+CH111)*0.01)</f>
        <v>-2600.0489380174699</v>
      </c>
      <c r="CD111" s="5">
        <f>+AK111+BD111*Cockpit!$C$3+BW111*Cockpit!$C$3^2+BZ111*Cockpit!$C$3^3+CA111*Cockpit!$C$3^4+CB111*Cockpit!$C$3^5+CC111*Cockpit!$C$3^6</f>
        <v>32679.58357698836</v>
      </c>
      <c r="CE111" s="5"/>
      <c r="CF111" s="5"/>
      <c r="CG111" s="5">
        <v>0</v>
      </c>
      <c r="CH111" s="5">
        <f t="shared" si="46"/>
        <v>3500000</v>
      </c>
      <c r="CI111" s="5">
        <f t="shared" si="47"/>
        <v>3500000</v>
      </c>
      <c r="CJ111" s="1">
        <f t="shared" si="48"/>
        <v>1.6063404924205025E-2</v>
      </c>
      <c r="CK111" s="5">
        <f>RANK(BY111,$BY$2:$BY$623)+COUNTIF($BY$2:$BY111,$BY111)-1</f>
        <v>281</v>
      </c>
      <c r="CL111" s="5">
        <f>RANK(CJ111,$CJ$2:$CJ$623)+COUNTIF($CJ$2:$CJ111,$CJ111)-1</f>
        <v>297</v>
      </c>
    </row>
    <row r="112" spans="1:90">
      <c r="A112" t="str">
        <f>Players!P113</f>
        <v>Harry Maguire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1.5223243214152651</v>
      </c>
      <c r="I112" s="16">
        <f>INDEX('Team forecast'!$B$2:$AO$26,MATCH('Master data'!$B112,'Team forecast'!$B$2:$B$26,0),MATCH('Master data'!I$1,'Team forecast'!$B$2:$AO$2,0))</f>
        <v>0.74990395996081205</v>
      </c>
      <c r="J112" s="16">
        <f>INDEX('Team forecast'!$B$2:$AO$26,MATCH('Master data'!$B112,'Team forecast'!$B$2:$B$26,0),MATCH('Master data'!J$1,'Team forecast'!$B$2:$AO$2,0))</f>
        <v>0.47241192102180191</v>
      </c>
      <c r="K112" s="16">
        <f>INDEX('Team forecast'!$B$2:$AO$26,MATCH('Master data'!$B112,'Team forecast'!$B$2:$B$26,0),MATCH('Master data'!K$1,'Team forecast'!$B$2:$AO$2,0))</f>
        <v>3.7411838276290243</v>
      </c>
      <c r="L112" s="16">
        <f>INDEX('Team forecast'!$B$2:$AO$26,MATCH('Master data'!$B112,'Team forecast'!$B$2:$B$26,0),MATCH('Master data'!L$1,'Team forecast'!$B$2:$AO$2,0))</f>
        <v>2.461805929164282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0.1624015748031496</v>
      </c>
      <c r="R112" s="2">
        <f>Players!BR113</f>
        <v>0</v>
      </c>
      <c r="S112" s="2">
        <f>H112</f>
        <v>1.5223243214152651</v>
      </c>
      <c r="T112" s="2">
        <f>I112</f>
        <v>0.74990395996081205</v>
      </c>
      <c r="U112" s="16">
        <f>INDEX('Team forecast'!$B$2:$AO$26,MATCH('Master data'!$B112,'Team forecast'!$B$2:$B$26,0),MATCH('Master data'!U$1,'Team forecast'!$B$2:$AO$2,0))</f>
        <v>0.56576277966682864</v>
      </c>
      <c r="V112" s="16">
        <f>INDEX('Team forecast'!$B$2:$AO$26,MATCH('Master data'!$B112,'Team forecast'!$B$2:$B$26,0),MATCH('Master data'!V$1,'Team forecast'!$B$2:$AO$2,0))</f>
        <v>0.26245106723433442</v>
      </c>
      <c r="W112" s="16">
        <f>INDEX('Team forecast'!$B$2:$AO$26,MATCH('Master data'!$B112,'Team forecast'!$B$2:$B$26,0),MATCH('Master data'!W$1,'Team forecast'!$B$2:$AO$2,0))</f>
        <v>0.17178615309883699</v>
      </c>
      <c r="X112" s="5">
        <f>IF(M112&gt;95,7000*2,IF(M112&gt;0,7000,-5000))</f>
        <v>-5000</v>
      </c>
      <c r="Y112" s="5">
        <f>IF($X112&gt;0,U112*25000,0)</f>
        <v>0</v>
      </c>
      <c r="Z112" s="5">
        <f>IF($X112&gt;0,V112*5000,0)</f>
        <v>0</v>
      </c>
      <c r="AA112" s="5">
        <f>IF($X112&gt;0,W112*(-15000),0)</f>
        <v>0</v>
      </c>
      <c r="AB112" s="5">
        <f>IF($C112="Defense",$N112*150000,IF($C112="Midfield",$N112*125000,IF($C112="Striker",$N112*100000,0)))*$H112</f>
        <v>0</v>
      </c>
      <c r="AC112" s="5">
        <f>$O112*50000*H112</f>
        <v>0</v>
      </c>
      <c r="AD112" s="5">
        <f>$P112*K112*10000</f>
        <v>0</v>
      </c>
      <c r="AE112" s="5">
        <f>IF($C112="Goalkeeper",J112*75000,IF($C112="Defense",J112*50000,0))</f>
        <v>23620.596051090095</v>
      </c>
      <c r="AF112" s="5">
        <f>IF($C112="Goalkeeper",(L112-I112)*5000,0)</f>
        <v>0</v>
      </c>
      <c r="AG112" s="5">
        <f>IF(M112&gt;0,Q112*(-20000),0)</f>
        <v>0</v>
      </c>
      <c r="AH112" s="5">
        <f>IF(M112&gt;0,R112*(-50000),0)</f>
        <v>0</v>
      </c>
      <c r="AI112" s="5">
        <f>IF(M112&gt;0,S112*10000,0)</f>
        <v>0</v>
      </c>
      <c r="AJ112" s="5">
        <f>IF(M112&gt;0,T112*(-8000),0)</f>
        <v>0</v>
      </c>
      <c r="AK112" s="5">
        <f>IFERROR(SUM(X112:AJ112),-5000)*((Cockpit!$C$3)^0)</f>
        <v>18620.596051090095</v>
      </c>
      <c r="AL112" s="16">
        <f>INDEX('Team forecast'!$B$2:$AO$26,MATCH('Master data'!$B112,'Team forecast'!$B$2:$B$26,0),MATCH('Master data'!AL$1,'Team forecast'!$B$2:$AO$2,0))</f>
        <v>2.0067977929974719</v>
      </c>
      <c r="AM112" s="16">
        <f>INDEX('Team forecast'!$B$2:$AO$26,MATCH('Master data'!$B112,'Team forecast'!$B$2:$B$26,0),MATCH('Master data'!AM$1,'Team forecast'!$B$2:$AO$2,0))</f>
        <v>0.66520361079548807</v>
      </c>
      <c r="AN112" s="16">
        <f>INDEX('Team forecast'!$B$2:$AO$26,MATCH('Master data'!$B112,'Team forecast'!$B$2:$B$26,0),MATCH('Master data'!AN$1,'Team forecast'!$B$2:$AO$2,0))</f>
        <v>0.51416882672404407</v>
      </c>
      <c r="AO112" s="16">
        <f>INDEX('Team forecast'!$B$2:$AO$26,MATCH('Master data'!$B112,'Team forecast'!$B$2:$B$26,0),MATCH('Master data'!AO$1,'Team forecast'!$B$2:$AO$2,0))</f>
        <v>4.9318002365645421</v>
      </c>
      <c r="AP112" s="16">
        <f>INDEX('Team forecast'!$B$2:$AO$26,MATCH('Master data'!$B112,'Team forecast'!$B$2:$B$26,0),MATCH('Master data'!AP$1,'Team forecast'!$B$2:$AO$2,0))</f>
        <v>2.1837492273589256</v>
      </c>
      <c r="AQ112" s="5">
        <f>X112</f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>IF($C112="Defense",$N112*150000,IF($C112="Midfield",$N112*125000,IF($C112="Striker",$N112*100000,0)))*$AL112</f>
        <v>0</v>
      </c>
      <c r="AV112" s="5">
        <f>$O112*50000*AL112</f>
        <v>0</v>
      </c>
      <c r="AW112" s="5">
        <f>$P112*AO112*10000</f>
        <v>0</v>
      </c>
      <c r="AX112" s="5">
        <f>IF($C112="Goalkeeper",AN112*75000,IF($C112="Defense",AN112*50000,0))</f>
        <v>25708.441336202202</v>
      </c>
      <c r="AY112" s="5">
        <f>IF($C112="Goalkeeper",(AP112-AM112)*5000,0)</f>
        <v>0</v>
      </c>
      <c r="AZ112" s="5">
        <f>$AG112</f>
        <v>0</v>
      </c>
      <c r="BA112" s="5">
        <f>$AH112</f>
        <v>0</v>
      </c>
      <c r="BB112" s="5">
        <f>IF(X112&gt;0,AL112*10000,0)</f>
        <v>0</v>
      </c>
      <c r="BC112" s="5">
        <f>IF(X112&gt;0,AM112*(-8000),0)</f>
        <v>0</v>
      </c>
      <c r="BD112" s="5">
        <f>IFERROR(SUM(AQ112:BC112),0)</f>
        <v>20708.441336202202</v>
      </c>
      <c r="BE112" s="16">
        <f>INDEX('Team forecast'!$B$2:$AO$26,MATCH('Master data'!$B112,'Team forecast'!$B$2:$B$26,0),MATCH('Master data'!BE$1,'Team forecast'!$B$2:$AO$2,0))</f>
        <v>2.2346287595631029</v>
      </c>
      <c r="BF112" s="16">
        <f>INDEX('Team forecast'!$B$2:$AO$26,MATCH('Master data'!$B112,'Team forecast'!$B$2:$B$26,0),MATCH('Master data'!BF$1,'Team forecast'!$B$2:$AO$2,0))</f>
        <v>0.82586154259115363</v>
      </c>
      <c r="BG112" s="16">
        <f>INDEX('Team forecast'!$B$2:$AO$26,MATCH('Master data'!$B112,'Team forecast'!$B$2:$B$26,0),MATCH('Master data'!BG$1,'Team forecast'!$B$2:$AO$2,0))</f>
        <v>0.43785759694850601</v>
      </c>
      <c r="BH112" s="16">
        <f>INDEX('Team forecast'!$B$2:$AO$26,MATCH('Master data'!$B112,'Team forecast'!$B$2:$B$26,0),MATCH('Master data'!BH$1,'Team forecast'!$B$2:$AO$2,0))</f>
        <v>5.4917055836432862</v>
      </c>
      <c r="BI112" s="16">
        <f>INDEX('Team forecast'!$B$2:$AO$26,MATCH('Master data'!$B112,'Team forecast'!$B$2:$B$26,0),MATCH('Master data'!BI$1,'Team forecast'!$B$2:$AO$2,0))</f>
        <v>2.7111616297184336</v>
      </c>
      <c r="BJ112" s="5">
        <f>AQ112</f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>IF($C112="Defense",$N112*150000,IF($C112="Midfield",$N112*125000,IF($C112="Striker",$N112*100000,0)))*$BE112</f>
        <v>0</v>
      </c>
      <c r="BO112" s="5">
        <f>$O112*50000*$BE112</f>
        <v>0</v>
      </c>
      <c r="BP112" s="5">
        <f>$P112*BH112*10000</f>
        <v>0</v>
      </c>
      <c r="BQ112" s="5">
        <f>IF($C112="Goalkeeper",BG112*75000,IF($C112="Defense",BG112*50000,0))</f>
        <v>21892.879847425302</v>
      </c>
      <c r="BR112" s="5">
        <f>IF($C112="Goalkeeper",(BI112-BF112)*5000,0)</f>
        <v>0</v>
      </c>
      <c r="BS112" s="5">
        <f>$AG112</f>
        <v>0</v>
      </c>
      <c r="BT112" s="5">
        <f>$AH112</f>
        <v>0</v>
      </c>
      <c r="BU112" s="5">
        <f>IF(AQ112&gt;0,BE112*10000,0)</f>
        <v>0</v>
      </c>
      <c r="BV112" s="5">
        <f>IF(AQ112&gt;0,BF112*(-8000),0)</f>
        <v>0</v>
      </c>
      <c r="BW112" s="5">
        <f>IFERROR(SUM(BJ112:BV112),0)</f>
        <v>16892.879847425302</v>
      </c>
      <c r="BX112" s="5">
        <f>AVERAGE(AK112,BD112,BW112)</f>
        <v>18740.639078239197</v>
      </c>
      <c r="BY112" s="5">
        <f>BX112*3</f>
        <v>56221.917234717592</v>
      </c>
      <c r="BZ112" s="5">
        <f>INDEX('Team forecast'!$R$3:$BH$26,MATCH($B112,'Team forecast'!$B$3:$B$26,0),MATCH(BZ$1,'Team forecast'!$R$2:$BH$2,0))*($BX112-(BY112+CH112)*0.01)</f>
        <v>-25685.925800544323</v>
      </c>
      <c r="CA112" s="5">
        <f>INDEX('Team forecast'!$R$3:$BH$26,MATCH($B112,'Team forecast'!$B$3:$B$26,0),MATCH(CA$1,'Team forecast'!$R$2:$BH$2,0))*($BX112-(BY112+BX112+CH112)*0.01)</f>
        <v>-13349.658444405797</v>
      </c>
      <c r="CB112" s="5">
        <f>INDEX('Team forecast'!$R$3:$BH$26,MATCH($B112,'Team forecast'!$B$3:$B$26,0),MATCH(CB$1,'Team forecast'!$R$2:$BH$2,0))*($BX112-(BY112+BX112*2+CH112)*0.01)</f>
        <v>-7116.2993995343586</v>
      </c>
      <c r="CC112" s="5">
        <f>INDEX('Team forecast'!$R$3:$BH$26,MATCH($B112,'Team forecast'!$B$3:$B$26,0),MATCH(CC$1,'Team forecast'!$R$2:$BH$2,0))*($BX112-(BY112+BX112*3+CH112)*0.01)</f>
        <v>-4095.7225236154595</v>
      </c>
      <c r="CD112" s="5">
        <f>+AK112+BD112*Cockpit!$C$3+BW112*Cockpit!$C$3^2+BZ112*Cockpit!$C$3^3+CA112*Cockpit!$C$3^4+CB112*Cockpit!$C$3^5+CC112*Cockpit!$C$3^6</f>
        <v>28389.860505385524</v>
      </c>
      <c r="CE112" s="5"/>
      <c r="CF112" s="5"/>
      <c r="CG112" s="5">
        <v>0</v>
      </c>
      <c r="CH112" s="5">
        <f t="shared" si="46"/>
        <v>4500000</v>
      </c>
      <c r="CI112" s="5">
        <f t="shared" si="47"/>
        <v>4500000</v>
      </c>
      <c r="CJ112" s="1">
        <f t="shared" si="48"/>
        <v>1.2493759385492798E-2</v>
      </c>
      <c r="CK112" s="5">
        <f>RANK(BY112,$BY$2:$BY$623)+COUNTIF($BY$2:$BY112,$BY112)-1</f>
        <v>282</v>
      </c>
      <c r="CL112" s="5">
        <f>RANK(CJ112,$CJ$2:$CJ$623)+COUNTIF($CJ$2:$CJ112,$CJ112)-1</f>
        <v>332</v>
      </c>
    </row>
    <row r="113" spans="1:90">
      <c r="A113" t="str">
        <f>Players!P114</f>
        <v>Ben Chilwell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4500000</v>
      </c>
      <c r="H113" s="16">
        <f>INDEX('Team forecast'!$B$2:$AO$26,MATCH('Master data'!$B113,'Team forecast'!$B$2:$B$26,0),MATCH('Master data'!H$1,'Team forecast'!$B$2:$AO$2,0))</f>
        <v>1.5223243214152651</v>
      </c>
      <c r="I113" s="16">
        <f>INDEX('Team forecast'!$B$2:$AO$26,MATCH('Master data'!$B113,'Team forecast'!$B$2:$B$26,0),MATCH('Master data'!I$1,'Team forecast'!$B$2:$AO$2,0))</f>
        <v>0.74990395996081205</v>
      </c>
      <c r="J113" s="16">
        <f>INDEX('Team forecast'!$B$2:$AO$26,MATCH('Master data'!$B113,'Team forecast'!$B$2:$B$26,0),MATCH('Master data'!J$1,'Team forecast'!$B$2:$AO$2,0))</f>
        <v>0.47241192102180191</v>
      </c>
      <c r="K113" s="16">
        <f>INDEX('Team forecast'!$B$2:$AO$26,MATCH('Master data'!$B113,'Team forecast'!$B$2:$B$26,0),MATCH('Master data'!K$1,'Team forecast'!$B$2:$AO$2,0))</f>
        <v>3.7411838276290243</v>
      </c>
      <c r="L113" s="16">
        <f>INDEX('Team forecast'!$B$2:$AO$26,MATCH('Master data'!$B113,'Team forecast'!$B$2:$B$26,0),MATCH('Master data'!L$1,'Team forecast'!$B$2:$AO$2,0))</f>
        <v>2.461805929164282</v>
      </c>
      <c r="M113">
        <f>IF(Players!BC114=1,95,0)</f>
        <v>95</v>
      </c>
      <c r="N113" s="2">
        <f>Players!BN114</f>
        <v>4.3257499629972641E-2</v>
      </c>
      <c r="O113" s="2">
        <f>Players!BO114</f>
        <v>0.13434599865554453</v>
      </c>
      <c r="P113" s="2">
        <f>Players!BP114</f>
        <v>6.4283904096604824E-2</v>
      </c>
      <c r="Q113" s="2">
        <f>Players!BQ114</f>
        <v>5.8951965065502182E-2</v>
      </c>
      <c r="R113" s="2">
        <f>Players!BR114</f>
        <v>0</v>
      </c>
      <c r="S113" s="2">
        <f>H113</f>
        <v>1.5223243214152651</v>
      </c>
      <c r="T113" s="2">
        <f>I113</f>
        <v>0.74990395996081205</v>
      </c>
      <c r="U113" s="16">
        <f>INDEX('Team forecast'!$B$2:$AO$26,MATCH('Master data'!$B113,'Team forecast'!$B$2:$B$26,0),MATCH('Master data'!U$1,'Team forecast'!$B$2:$AO$2,0))</f>
        <v>0.56576277966682864</v>
      </c>
      <c r="V113" s="16">
        <f>INDEX('Team forecast'!$B$2:$AO$26,MATCH('Master data'!$B113,'Team forecast'!$B$2:$B$26,0),MATCH('Master data'!V$1,'Team forecast'!$B$2:$AO$2,0))</f>
        <v>0.26245106723433442</v>
      </c>
      <c r="W113" s="16">
        <f>INDEX('Team forecast'!$B$2:$AO$26,MATCH('Master data'!$B113,'Team forecast'!$B$2:$B$26,0),MATCH('Master data'!W$1,'Team forecast'!$B$2:$AO$2,0))</f>
        <v>0.17178615309883699</v>
      </c>
      <c r="X113" s="5">
        <f>IF(M113&gt;95,7000*2,IF(M113&gt;0,7000,-5000))</f>
        <v>7000</v>
      </c>
      <c r="Y113" s="5">
        <f>IF($X113&gt;0,U113*25000,0)</f>
        <v>14144.069491670716</v>
      </c>
      <c r="Z113" s="5">
        <f>IF($X113&gt;0,V113*5000,0)</f>
        <v>1312.2553361716721</v>
      </c>
      <c r="AA113" s="5">
        <f>IF($X113&gt;0,W113*(-15000),0)</f>
        <v>-2576.7922964825548</v>
      </c>
      <c r="AB113" s="5">
        <f>IF($C113="Defense",$N113*150000,IF($C113="Midfield",$N113*125000,IF($C113="Striker",$N113*100000,0)))*$H113</f>
        <v>9877.7915655478773</v>
      </c>
      <c r="AC113" s="5">
        <f>$O113*50000*H113</f>
        <v>10225.909061907898</v>
      </c>
      <c r="AD113" s="5">
        <f>$P113*K113*10000</f>
        <v>2404.9790238307314</v>
      </c>
      <c r="AE113" s="5">
        <f>IF($C113="Goalkeeper",J113*75000,IF($C113="Defense",J113*50000,0))</f>
        <v>23620.596051090095</v>
      </c>
      <c r="AF113" s="5">
        <f>IF($C113="Goalkeeper",(L113-I113)*5000,0)</f>
        <v>0</v>
      </c>
      <c r="AG113" s="5">
        <f>IF(M113&gt;0,Q113*(-20000),0)</f>
        <v>-1179.0393013100436</v>
      </c>
      <c r="AH113" s="5">
        <f>IF(M113&gt;0,R113*(-50000),0)</f>
        <v>0</v>
      </c>
      <c r="AI113" s="5">
        <f>IF(M113&gt;0,S113*10000,0)</f>
        <v>15223.243214152651</v>
      </c>
      <c r="AJ113" s="5">
        <f>IF(M113&gt;0,T113*(-8000),0)</f>
        <v>-5999.2316796864961</v>
      </c>
      <c r="AK113" s="5">
        <f>IFERROR(SUM(X113:AJ113),-5000)*((Cockpit!$C$3)^0)</f>
        <v>74053.780466892553</v>
      </c>
      <c r="AL113" s="16">
        <f>INDEX('Team forecast'!$B$2:$AO$26,MATCH('Master data'!$B113,'Team forecast'!$B$2:$B$26,0),MATCH('Master data'!AL$1,'Team forecast'!$B$2:$AO$2,0))</f>
        <v>2.0067977929974719</v>
      </c>
      <c r="AM113" s="16">
        <f>INDEX('Team forecast'!$B$2:$AO$26,MATCH('Master data'!$B113,'Team forecast'!$B$2:$B$26,0),MATCH('Master data'!AM$1,'Team forecast'!$B$2:$AO$2,0))</f>
        <v>0.66520361079548807</v>
      </c>
      <c r="AN113" s="16">
        <f>INDEX('Team forecast'!$B$2:$AO$26,MATCH('Master data'!$B113,'Team forecast'!$B$2:$B$26,0),MATCH('Master data'!AN$1,'Team forecast'!$B$2:$AO$2,0))</f>
        <v>0.51416882672404407</v>
      </c>
      <c r="AO113" s="16">
        <f>INDEX('Team forecast'!$B$2:$AO$26,MATCH('Master data'!$B113,'Team forecast'!$B$2:$B$26,0),MATCH('Master data'!AO$1,'Team forecast'!$B$2:$AO$2,0))</f>
        <v>4.9318002365645421</v>
      </c>
      <c r="AP113" s="16">
        <f>INDEX('Team forecast'!$B$2:$AO$26,MATCH('Master data'!$B113,'Team forecast'!$B$2:$B$26,0),MATCH('Master data'!AP$1,'Team forecast'!$B$2:$AO$2,0))</f>
        <v>2.1837492273589256</v>
      </c>
      <c r="AQ113" s="5">
        <f>X113</f>
        <v>7000</v>
      </c>
      <c r="AR113" s="5">
        <f>INDEX('Team forecast'!$B$2:$AO$26,MATCH('Master data'!$B113,'Team forecast'!$B$2:$B$26,0),MATCH('Master data'!AR$1,'Team forecast'!$B$2:$AO$2,0))*IF(X113&gt;0,25000,0)</f>
        <v>17296.488104871336</v>
      </c>
      <c r="AS113" s="16">
        <f>INDEX('Team forecast'!$B$2:$AO$26,MATCH('Master data'!$B113,'Team forecast'!$B$2:$B$26,0),MATCH('Master data'!AS$1,'Team forecast'!$B$2:$AO$2,0))*IF(X113&gt;0,5000,0)</f>
        <v>1045.4766143388899</v>
      </c>
      <c r="AT113" s="16">
        <f>INDEX('Team forecast'!$B$2:$AO$26,MATCH('Master data'!$B113,'Team forecast'!$B$2:$B$26,0),MATCH('Master data'!AT$1,'Team forecast'!$B$2:$AO$2,0))*IF(X113&gt;0,-15000,0)</f>
        <v>-1485.6772940605274</v>
      </c>
      <c r="AU113" s="5">
        <f>IF($C113="Defense",$N113*150000,IF($C113="Midfield",$N113*125000,IF($C113="Striker",$N113*100000,0)))*$AL113</f>
        <v>13021.358218202708</v>
      </c>
      <c r="AV113" s="5">
        <f>$O113*50000*AL113</f>
        <v>13480.262679999405</v>
      </c>
      <c r="AW113" s="5">
        <f>$P113*AO113*10000</f>
        <v>3170.3537343092803</v>
      </c>
      <c r="AX113" s="5">
        <f>IF($C113="Goalkeeper",AN113*75000,IF($C113="Defense",AN113*50000,0))</f>
        <v>25708.441336202202</v>
      </c>
      <c r="AY113" s="5">
        <f>IF($C113="Goalkeeper",(AP113-AM113)*5000,0)</f>
        <v>0</v>
      </c>
      <c r="AZ113" s="5">
        <f>$AG113</f>
        <v>-1179.0393013100436</v>
      </c>
      <c r="BA113" s="5">
        <f>$AH113</f>
        <v>0</v>
      </c>
      <c r="BB113" s="5">
        <f>IF(X113&gt;0,AL113*10000,0)</f>
        <v>20067.977929974717</v>
      </c>
      <c r="BC113" s="5">
        <f>IF(X113&gt;0,AM113*(-8000),0)</f>
        <v>-5321.6288863639047</v>
      </c>
      <c r="BD113" s="5">
        <f>IFERROR(SUM(AQ113:BC113),0)</f>
        <v>92804.013136164067</v>
      </c>
      <c r="BE113" s="16">
        <f>INDEX('Team forecast'!$B$2:$AO$26,MATCH('Master data'!$B113,'Team forecast'!$B$2:$B$26,0),MATCH('Master data'!BE$1,'Team forecast'!$B$2:$AO$2,0))</f>
        <v>2.2346287595631029</v>
      </c>
      <c r="BF113" s="16">
        <f>INDEX('Team forecast'!$B$2:$AO$26,MATCH('Master data'!$B113,'Team forecast'!$B$2:$B$26,0),MATCH('Master data'!BF$1,'Team forecast'!$B$2:$AO$2,0))</f>
        <v>0.82586154259115363</v>
      </c>
      <c r="BG113" s="16">
        <f>INDEX('Team forecast'!$B$2:$AO$26,MATCH('Master data'!$B113,'Team forecast'!$B$2:$B$26,0),MATCH('Master data'!BG$1,'Team forecast'!$B$2:$AO$2,0))</f>
        <v>0.43785759694850601</v>
      </c>
      <c r="BH113" s="16">
        <f>INDEX('Team forecast'!$B$2:$AO$26,MATCH('Master data'!$B113,'Team forecast'!$B$2:$B$26,0),MATCH('Master data'!BH$1,'Team forecast'!$B$2:$AO$2,0))</f>
        <v>5.4917055836432862</v>
      </c>
      <c r="BI113" s="16">
        <f>INDEX('Team forecast'!$B$2:$AO$26,MATCH('Master data'!$B113,'Team forecast'!$B$2:$B$26,0),MATCH('Master data'!BI$1,'Team forecast'!$B$2:$AO$2,0))</f>
        <v>2.7111616297184336</v>
      </c>
      <c r="BJ113" s="5">
        <f>AQ113</f>
        <v>7000</v>
      </c>
      <c r="BK113" s="5">
        <f>INDEX('Team forecast'!$R$3:$BH$26,MATCH($B113,'Team forecast'!$B$3:$B$26,0),MATCH(BK$1,'Team forecast'!$R$2:$BH$2,0))*IF($X113&gt;0,25000,0)</f>
        <v>16608.391608391608</v>
      </c>
      <c r="BL113" s="5">
        <f>INDEX('Team forecast'!$R$3:$BH$26,MATCH($B113,'Team forecast'!$B$3:$B$26,0),MATCH(BL$1,'Team forecast'!$R$2:$BH$2,0))*IF($X113&gt;0,5000,0)</f>
        <v>1013.9860139860141</v>
      </c>
      <c r="BM113" s="5">
        <f>INDEX('Team forecast'!$R$3:$BH$26,MATCH($B113,'Team forecast'!$B$3:$B$26,0),MATCH(BM$1,'Team forecast'!$R$2:$BH$2,0))*IF($X113&gt;0,-15000,0)</f>
        <v>-1993.0069930069933</v>
      </c>
      <c r="BN113" s="5">
        <f>IF($C113="Defense",$N113*150000,IF($C113="Midfield",$N113*125000,IF($C113="Striker",$N113*100000,0)))*$BE113</f>
        <v>14499.667910989072</v>
      </c>
      <c r="BO113" s="5">
        <f>$O113*50000*$BE113</f>
        <v>15010.67161639529</v>
      </c>
      <c r="BP113" s="5">
        <f>$P113*BH113*10000</f>
        <v>3530.2827506571421</v>
      </c>
      <c r="BQ113" s="5">
        <f>IF($C113="Goalkeeper",BG113*75000,IF($C113="Defense",BG113*50000,0))</f>
        <v>21892.879847425302</v>
      </c>
      <c r="BR113" s="5">
        <f>IF($C113="Goalkeeper",(BI113-BF113)*5000,0)</f>
        <v>0</v>
      </c>
      <c r="BS113" s="5">
        <f>$AG113</f>
        <v>-1179.0393013100436</v>
      </c>
      <c r="BT113" s="5">
        <f>$AH113</f>
        <v>0</v>
      </c>
      <c r="BU113" s="5">
        <f>IF(AQ113&gt;0,BE113*10000,0)</f>
        <v>22346.287595631031</v>
      </c>
      <c r="BV113" s="5">
        <f>IF(AQ113&gt;0,BF113*(-8000),0)</f>
        <v>-6606.8923407292286</v>
      </c>
      <c r="BW113" s="5">
        <f>IFERROR(SUM(BJ113:BV113),0)</f>
        <v>92123.228708429189</v>
      </c>
      <c r="BX113" s="5">
        <f>AVERAGE(AK113,BD113,BW113)</f>
        <v>86327.007437161941</v>
      </c>
      <c r="BY113" s="5">
        <f>BX113*3</f>
        <v>258981.02231148584</v>
      </c>
      <c r="BZ113" s="5">
        <f>INDEX('Team forecast'!$R$3:$BH$26,MATCH($B113,'Team forecast'!$B$3:$B$26,0),MATCH(BZ$1,'Team forecast'!$R$2:$BH$2,0))*($BX113-(BY113+CH113)*0.01)</f>
        <v>37097.022989322017</v>
      </c>
      <c r="CA113" s="5">
        <f>INDEX('Team forecast'!$R$3:$BH$26,MATCH($B113,'Team forecast'!$B$3:$B$26,0),MATCH(CA$1,'Team forecast'!$R$2:$BH$2,0))*($BX113-(BY113+BX113+CH113)*0.01)</f>
        <v>18719.843173153804</v>
      </c>
      <c r="CB113" s="5">
        <f>INDEX('Team forecast'!$R$3:$BH$26,MATCH($B113,'Team forecast'!$B$3:$B$26,0),MATCH(CB$1,'Team forecast'!$R$2:$BH$2,0))*($BX113-(BY113+BX113*2+CH113)*0.01)</f>
        <v>9684.3326927295147</v>
      </c>
      <c r="CC113" s="5">
        <f>INDEX('Team forecast'!$R$3:$BH$26,MATCH($B113,'Team forecast'!$B$3:$B$26,0),MATCH(CC$1,'Team forecast'!$R$2:$BH$2,0))*($BX113-(BY113+BX113*3+CH113)*0.01)</f>
        <v>5406.469191072576</v>
      </c>
      <c r="CD113" s="5">
        <f>+AK113+BD113*Cockpit!$C$3+BW113*Cockpit!$C$3^2+BZ113*Cockpit!$C$3^3+CA113*Cockpit!$C$3^4+CB113*Cockpit!$C$3^5+CC113*Cockpit!$C$3^6</f>
        <v>193306.18216108347</v>
      </c>
      <c r="CE113" s="5"/>
      <c r="CF113" s="5"/>
      <c r="CG113" s="5">
        <v>0</v>
      </c>
      <c r="CH113" s="5">
        <f t="shared" si="46"/>
        <v>4500000</v>
      </c>
      <c r="CI113" s="5">
        <f t="shared" si="47"/>
        <v>4500000</v>
      </c>
      <c r="CJ113" s="1">
        <f t="shared" si="48"/>
        <v>5.7551338291441295E-2</v>
      </c>
      <c r="CK113" s="5">
        <f>RANK(BY113,$BY$2:$BY$623)+COUNTIF($BY$2:$BY113,$BY113)-1</f>
        <v>18</v>
      </c>
      <c r="CL113" s="5">
        <f>RANK(CJ113,$CJ$2:$CJ$623)+COUNTIF($CJ$2:$CJ113,$CJ113)-1</f>
        <v>16</v>
      </c>
    </row>
    <row r="114" spans="1:90">
      <c r="A114" t="str">
        <f>Players!P115</f>
        <v>Kieran Trippier</v>
      </c>
      <c r="B114" t="str">
        <f>Players!G115</f>
        <v>England</v>
      </c>
      <c r="C114" t="str">
        <f>Players!AB115</f>
        <v>Defense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3500000</v>
      </c>
      <c r="H114" s="16">
        <f>INDEX('Team forecast'!$B$2:$AO$26,MATCH('Master data'!$B114,'Team forecast'!$B$2:$B$26,0),MATCH('Master data'!H$1,'Team forecast'!$B$2:$AO$2,0))</f>
        <v>1.5223243214152651</v>
      </c>
      <c r="I114" s="16">
        <f>INDEX('Team forecast'!$B$2:$AO$26,MATCH('Master data'!$B114,'Team forecast'!$B$2:$B$26,0),MATCH('Master data'!I$1,'Team forecast'!$B$2:$AO$2,0))</f>
        <v>0.74990395996081205</v>
      </c>
      <c r="J114" s="16">
        <f>INDEX('Team forecast'!$B$2:$AO$26,MATCH('Master data'!$B114,'Team forecast'!$B$2:$B$26,0),MATCH('Master data'!J$1,'Team forecast'!$B$2:$AO$2,0))</f>
        <v>0.47241192102180191</v>
      </c>
      <c r="K114" s="16">
        <f>INDEX('Team forecast'!$B$2:$AO$26,MATCH('Master data'!$B114,'Team forecast'!$B$2:$B$26,0),MATCH('Master data'!K$1,'Team forecast'!$B$2:$AO$2,0))</f>
        <v>3.7411838276290243</v>
      </c>
      <c r="L114" s="16">
        <f>INDEX('Team forecast'!$B$2:$AO$26,MATCH('Master data'!$B114,'Team forecast'!$B$2:$B$26,0),MATCH('Master data'!L$1,'Team forecast'!$B$2:$AO$2,0))</f>
        <v>2.461805929164282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</v>
      </c>
      <c r="R114" s="2">
        <f>Players!BR115</f>
        <v>0</v>
      </c>
      <c r="S114" s="2">
        <f>H114</f>
        <v>1.5223243214152651</v>
      </c>
      <c r="T114" s="2">
        <f>I114</f>
        <v>0.74990395996081205</v>
      </c>
      <c r="U114" s="16">
        <f>INDEX('Team forecast'!$B$2:$AO$26,MATCH('Master data'!$B114,'Team forecast'!$B$2:$B$26,0),MATCH('Master data'!U$1,'Team forecast'!$B$2:$AO$2,0))</f>
        <v>0.56576277966682864</v>
      </c>
      <c r="V114" s="16">
        <f>INDEX('Team forecast'!$B$2:$AO$26,MATCH('Master data'!$B114,'Team forecast'!$B$2:$B$26,0),MATCH('Master data'!V$1,'Team forecast'!$B$2:$AO$2,0))</f>
        <v>0.26245106723433442</v>
      </c>
      <c r="W114" s="16">
        <f>INDEX('Team forecast'!$B$2:$AO$26,MATCH('Master data'!$B114,'Team forecast'!$B$2:$B$26,0),MATCH('Master data'!W$1,'Team forecast'!$B$2:$AO$2,0))</f>
        <v>0.17178615309883699</v>
      </c>
      <c r="X114" s="5">
        <f>IF(M114&gt;95,7000*2,IF(M114&gt;0,7000,-5000))</f>
        <v>-5000</v>
      </c>
      <c r="Y114" s="5">
        <f>IF($X114&gt;0,U114*25000,0)</f>
        <v>0</v>
      </c>
      <c r="Z114" s="5">
        <f>IF($X114&gt;0,V114*5000,0)</f>
        <v>0</v>
      </c>
      <c r="AA114" s="5">
        <f>IF($X114&gt;0,W114*(-15000),0)</f>
        <v>0</v>
      </c>
      <c r="AB114" s="5">
        <f>IF($C114="Defense",$N114*150000,IF($C114="Midfield",$N114*125000,IF($C114="Striker",$N114*100000,0)))*$H114</f>
        <v>0</v>
      </c>
      <c r="AC114" s="5">
        <f>$O114*50000*H114</f>
        <v>0</v>
      </c>
      <c r="AD114" s="5">
        <f>$P114*K114*10000</f>
        <v>0</v>
      </c>
      <c r="AE114" s="5">
        <f>IF($C114="Goalkeeper",J114*75000,IF($C114="Defense",J114*50000,0))</f>
        <v>23620.596051090095</v>
      </c>
      <c r="AF114" s="5">
        <f>IF($C114="Goalkeeper",(L114-I114)*5000,0)</f>
        <v>0</v>
      </c>
      <c r="AG114" s="5">
        <f>IF(M114&gt;0,Q114*(-20000),0)</f>
        <v>0</v>
      </c>
      <c r="AH114" s="5">
        <f>IF(M114&gt;0,R114*(-50000),0)</f>
        <v>0</v>
      </c>
      <c r="AI114" s="5">
        <f>IF(M114&gt;0,S114*10000,0)</f>
        <v>0</v>
      </c>
      <c r="AJ114" s="5">
        <f>IF(M114&gt;0,T114*(-8000),0)</f>
        <v>0</v>
      </c>
      <c r="AK114" s="5">
        <f>IFERROR(SUM(X114:AJ114),-5000)*((Cockpit!$C$3)^0)</f>
        <v>18620.596051090095</v>
      </c>
      <c r="AL114" s="16">
        <f>INDEX('Team forecast'!$B$2:$AO$26,MATCH('Master data'!$B114,'Team forecast'!$B$2:$B$26,0),MATCH('Master data'!AL$1,'Team forecast'!$B$2:$AO$2,0))</f>
        <v>2.0067977929974719</v>
      </c>
      <c r="AM114" s="16">
        <f>INDEX('Team forecast'!$B$2:$AO$26,MATCH('Master data'!$B114,'Team forecast'!$B$2:$B$26,0),MATCH('Master data'!AM$1,'Team forecast'!$B$2:$AO$2,0))</f>
        <v>0.66520361079548807</v>
      </c>
      <c r="AN114" s="16">
        <f>INDEX('Team forecast'!$B$2:$AO$26,MATCH('Master data'!$B114,'Team forecast'!$B$2:$B$26,0),MATCH('Master data'!AN$1,'Team forecast'!$B$2:$AO$2,0))</f>
        <v>0.51416882672404407</v>
      </c>
      <c r="AO114" s="16">
        <f>INDEX('Team forecast'!$B$2:$AO$26,MATCH('Master data'!$B114,'Team forecast'!$B$2:$B$26,0),MATCH('Master data'!AO$1,'Team forecast'!$B$2:$AO$2,0))</f>
        <v>4.9318002365645421</v>
      </c>
      <c r="AP114" s="16">
        <f>INDEX('Team forecast'!$B$2:$AO$26,MATCH('Master data'!$B114,'Team forecast'!$B$2:$B$26,0),MATCH('Master data'!AP$1,'Team forecast'!$B$2:$AO$2,0))</f>
        <v>2.1837492273589256</v>
      </c>
      <c r="AQ114" s="5">
        <f>X114</f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>IF($C114="Defense",$N114*150000,IF($C114="Midfield",$N114*125000,IF($C114="Striker",$N114*100000,0)))*$AL114</f>
        <v>0</v>
      </c>
      <c r="AV114" s="5">
        <f>$O114*50000*AL114</f>
        <v>0</v>
      </c>
      <c r="AW114" s="5">
        <f>$P114*AO114*10000</f>
        <v>0</v>
      </c>
      <c r="AX114" s="5">
        <f>IF($C114="Goalkeeper",AN114*75000,IF($C114="Defense",AN114*50000,0))</f>
        <v>25708.441336202202</v>
      </c>
      <c r="AY114" s="5">
        <f>IF($C114="Goalkeeper",(AP114-AM114)*5000,0)</f>
        <v>0</v>
      </c>
      <c r="AZ114" s="5">
        <f>$AG114</f>
        <v>0</v>
      </c>
      <c r="BA114" s="5">
        <f>$AH114</f>
        <v>0</v>
      </c>
      <c r="BB114" s="5">
        <f>IF(X114&gt;0,AL114*10000,0)</f>
        <v>0</v>
      </c>
      <c r="BC114" s="5">
        <f>IF(X114&gt;0,AM114*(-8000),0)</f>
        <v>0</v>
      </c>
      <c r="BD114" s="5">
        <f>IFERROR(SUM(AQ114:BC114),0)</f>
        <v>20708.441336202202</v>
      </c>
      <c r="BE114" s="16">
        <f>INDEX('Team forecast'!$B$2:$AO$26,MATCH('Master data'!$B114,'Team forecast'!$B$2:$B$26,0),MATCH('Master data'!BE$1,'Team forecast'!$B$2:$AO$2,0))</f>
        <v>2.2346287595631029</v>
      </c>
      <c r="BF114" s="16">
        <f>INDEX('Team forecast'!$B$2:$AO$26,MATCH('Master data'!$B114,'Team forecast'!$B$2:$B$26,0),MATCH('Master data'!BF$1,'Team forecast'!$B$2:$AO$2,0))</f>
        <v>0.82586154259115363</v>
      </c>
      <c r="BG114" s="16">
        <f>INDEX('Team forecast'!$B$2:$AO$26,MATCH('Master data'!$B114,'Team forecast'!$B$2:$B$26,0),MATCH('Master data'!BG$1,'Team forecast'!$B$2:$AO$2,0))</f>
        <v>0.43785759694850601</v>
      </c>
      <c r="BH114" s="16">
        <f>INDEX('Team forecast'!$B$2:$AO$26,MATCH('Master data'!$B114,'Team forecast'!$B$2:$B$26,0),MATCH('Master data'!BH$1,'Team forecast'!$B$2:$AO$2,0))</f>
        <v>5.4917055836432862</v>
      </c>
      <c r="BI114" s="16">
        <f>INDEX('Team forecast'!$B$2:$AO$26,MATCH('Master data'!$B114,'Team forecast'!$B$2:$B$26,0),MATCH('Master data'!BI$1,'Team forecast'!$B$2:$AO$2,0))</f>
        <v>2.7111616297184336</v>
      </c>
      <c r="BJ114" s="5">
        <f>AQ114</f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>IF($C114="Defense",$N114*150000,IF($C114="Midfield",$N114*125000,IF($C114="Striker",$N114*100000,0)))*$BE114</f>
        <v>0</v>
      </c>
      <c r="BO114" s="5">
        <f>$O114*50000*$BE114</f>
        <v>0</v>
      </c>
      <c r="BP114" s="5">
        <f>$P114*BH114*10000</f>
        <v>0</v>
      </c>
      <c r="BQ114" s="5">
        <f>IF($C114="Goalkeeper",BG114*75000,IF($C114="Defense",BG114*50000,0))</f>
        <v>21892.879847425302</v>
      </c>
      <c r="BR114" s="5">
        <f>IF($C114="Goalkeeper",(BI114-BF114)*5000,0)</f>
        <v>0</v>
      </c>
      <c r="BS114" s="5">
        <f>$AG114</f>
        <v>0</v>
      </c>
      <c r="BT114" s="5">
        <f>$AH114</f>
        <v>0</v>
      </c>
      <c r="BU114" s="5">
        <f>IF(AQ114&gt;0,BE114*10000,0)</f>
        <v>0</v>
      </c>
      <c r="BV114" s="5">
        <f>IF(AQ114&gt;0,BF114*(-8000),0)</f>
        <v>0</v>
      </c>
      <c r="BW114" s="5">
        <f>IFERROR(SUM(BJ114:BV114),0)</f>
        <v>16892.879847425302</v>
      </c>
      <c r="BX114" s="5">
        <f>AVERAGE(AK114,BD114,BW114)</f>
        <v>18740.639078239197</v>
      </c>
      <c r="BY114" s="5">
        <f>BX114*3</f>
        <v>56221.917234717592</v>
      </c>
      <c r="BZ114" s="5">
        <f>INDEX('Team forecast'!$R$3:$BH$26,MATCH($B114,'Team forecast'!$B$3:$B$26,0),MATCH(BZ$1,'Team forecast'!$R$2:$BH$2,0))*($BX114-(BY114+CH114)*0.01)</f>
        <v>-16109.336460758608</v>
      </c>
      <c r="CA114" s="5">
        <f>INDEX('Team forecast'!$R$3:$BH$26,MATCH($B114,'Team forecast'!$B$3:$B$26,0),MATCH(CA$1,'Team forecast'!$R$2:$BH$2,0))*($BX114-(BY114+BX114+CH114)*0.01)</f>
        <v>-8406.9855855504702</v>
      </c>
      <c r="CB114" s="5">
        <f>INDEX('Team forecast'!$R$3:$BH$26,MATCH($B114,'Team forecast'!$B$3:$B$26,0),MATCH(CB$1,'Team forecast'!$R$2:$BH$2,0))*($BX114-(BY114+BX114*2+CH114)*0.01)</f>
        <v>-4499.665851083194</v>
      </c>
      <c r="CC114" s="5">
        <f>INDEX('Team forecast'!$R$3:$BH$26,MATCH($B114,'Team forecast'!$B$3:$B$26,0),MATCH(CC$1,'Team forecast'!$R$2:$BH$2,0))*($BX114-(BY114+BX114*3+CH114)*0.01)</f>
        <v>-2600.0489380174699</v>
      </c>
      <c r="CD114" s="5">
        <f>+AK114+BD114*Cockpit!$C$3+BW114*Cockpit!$C$3^2+BZ114*Cockpit!$C$3^3+CA114*Cockpit!$C$3^4+CB114*Cockpit!$C$3^5+CC114*Cockpit!$C$3^6</f>
        <v>32679.58357698836</v>
      </c>
      <c r="CE114" s="5"/>
      <c r="CF114" s="5"/>
      <c r="CG114" s="5">
        <v>0</v>
      </c>
      <c r="CH114" s="5">
        <f t="shared" si="46"/>
        <v>3500000</v>
      </c>
      <c r="CI114" s="5">
        <f t="shared" si="47"/>
        <v>3500000</v>
      </c>
      <c r="CJ114" s="1">
        <f t="shared" si="48"/>
        <v>1.6063404924205025E-2</v>
      </c>
      <c r="CK114" s="5">
        <f>RANK(BY114,$BY$2:$BY$623)+COUNTIF($BY$2:$BY114,$BY114)-1</f>
        <v>283</v>
      </c>
      <c r="CL114" s="5">
        <f>RANK(CJ114,$CJ$2:$CJ$623)+COUNTIF($CJ$2:$CJ114,$CJ114)-1</f>
        <v>298</v>
      </c>
    </row>
    <row r="115" spans="1:90">
      <c r="A115" t="str">
        <f>Players!P116</f>
        <v xml:space="preserve"> Jude Bellingham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3000000</v>
      </c>
      <c r="H115" s="16">
        <f>INDEX('Team forecast'!$B$2:$AO$26,MATCH('Master data'!$B115,'Team forecast'!$B$2:$B$26,0),MATCH('Master data'!H$1,'Team forecast'!$B$2:$AO$2,0))</f>
        <v>1.5223243214152651</v>
      </c>
      <c r="I115" s="16">
        <f>INDEX('Team forecast'!$B$2:$AO$26,MATCH('Master data'!$B115,'Team forecast'!$B$2:$B$26,0),MATCH('Master data'!I$1,'Team forecast'!$B$2:$AO$2,0))</f>
        <v>0.74990395996081205</v>
      </c>
      <c r="J115" s="16">
        <f>INDEX('Team forecast'!$B$2:$AO$26,MATCH('Master data'!$B115,'Team forecast'!$B$2:$B$26,0),MATCH('Master data'!J$1,'Team forecast'!$B$2:$AO$2,0))</f>
        <v>0.47241192102180191</v>
      </c>
      <c r="K115" s="16">
        <f>INDEX('Team forecast'!$B$2:$AO$26,MATCH('Master data'!$B115,'Team forecast'!$B$2:$B$26,0),MATCH('Master data'!K$1,'Team forecast'!$B$2:$AO$2,0))</f>
        <v>3.7411838276290243</v>
      </c>
      <c r="L115" s="16">
        <f>INDEX('Team forecast'!$B$2:$AO$26,MATCH('Master data'!$B115,'Team forecast'!$B$2:$B$26,0),MATCH('Master data'!L$1,'Team forecast'!$B$2:$AO$2,0))</f>
        <v>2.461805929164282</v>
      </c>
      <c r="M115">
        <f>IF(Players!BC116=1,95,0)</f>
        <v>0</v>
      </c>
      <c r="N115" s="2">
        <f>Players!BN116</f>
        <v>0</v>
      </c>
      <c r="O115" s="2">
        <f>Players!BO116</f>
        <v>0</v>
      </c>
      <c r="P115" s="2">
        <f>Players!BP116</f>
        <v>0</v>
      </c>
      <c r="Q115" s="2">
        <f>Players!BQ116</f>
        <v>0.91082010582010586</v>
      </c>
      <c r="R115" s="2">
        <f>Players!BR116</f>
        <v>5.2910052910052907E-2</v>
      </c>
      <c r="S115" s="2">
        <f>H115</f>
        <v>1.5223243214152651</v>
      </c>
      <c r="T115" s="2">
        <f>I115</f>
        <v>0.74990395996081205</v>
      </c>
      <c r="U115" s="16">
        <f>INDEX('Team forecast'!$B$2:$AO$26,MATCH('Master data'!$B115,'Team forecast'!$B$2:$B$26,0),MATCH('Master data'!U$1,'Team forecast'!$B$2:$AO$2,0))</f>
        <v>0.56576277966682864</v>
      </c>
      <c r="V115" s="16">
        <f>INDEX('Team forecast'!$B$2:$AO$26,MATCH('Master data'!$B115,'Team forecast'!$B$2:$B$26,0),MATCH('Master data'!V$1,'Team forecast'!$B$2:$AO$2,0))</f>
        <v>0.26245106723433442</v>
      </c>
      <c r="W115" s="16">
        <f>INDEX('Team forecast'!$B$2:$AO$26,MATCH('Master data'!$B115,'Team forecast'!$B$2:$B$26,0),MATCH('Master data'!W$1,'Team forecast'!$B$2:$AO$2,0))</f>
        <v>0.17178615309883699</v>
      </c>
      <c r="X115" s="5">
        <f>IF(M115&gt;95,7000*2,IF(M115&gt;0,7000,-5000))</f>
        <v>-5000</v>
      </c>
      <c r="Y115" s="5">
        <f>IF($X115&gt;0,U115*25000,0)</f>
        <v>0</v>
      </c>
      <c r="Z115" s="5">
        <f>IF($X115&gt;0,V115*5000,0)</f>
        <v>0</v>
      </c>
      <c r="AA115" s="5">
        <f>IF($X115&gt;0,W115*(-15000),0)</f>
        <v>0</v>
      </c>
      <c r="AB115" s="5">
        <f>IF($C115="Defense",$N115*150000,IF($C115="Midfield",$N115*125000,IF($C115="Striker",$N115*100000,0)))*$H115</f>
        <v>0</v>
      </c>
      <c r="AC115" s="5">
        <f>$O115*50000*H115</f>
        <v>0</v>
      </c>
      <c r="AD115" s="5">
        <f>$P115*K115*10000</f>
        <v>0</v>
      </c>
      <c r="AE115" s="5">
        <f>IF($C115="Goalkeeper",J115*75000,IF($C115="Defense",J115*50000,0))</f>
        <v>0</v>
      </c>
      <c r="AF115" s="5">
        <f>IF($C115="Goalkeeper",(L115-I115)*5000,0)</f>
        <v>0</v>
      </c>
      <c r="AG115" s="5">
        <f>IF(M115&gt;0,Q115*(-20000),0)</f>
        <v>0</v>
      </c>
      <c r="AH115" s="5">
        <f>IF(M115&gt;0,R115*(-50000),0)</f>
        <v>0</v>
      </c>
      <c r="AI115" s="5">
        <f>IF(M115&gt;0,S115*10000,0)</f>
        <v>0</v>
      </c>
      <c r="AJ115" s="5">
        <f>IF(M115&gt;0,T115*(-8000),0)</f>
        <v>0</v>
      </c>
      <c r="AK115" s="5">
        <f>IFERROR(SUM(X115:AJ115),-5000)*((Cockpit!$C$3)^0)</f>
        <v>-5000</v>
      </c>
      <c r="AL115" s="16">
        <f>INDEX('Team forecast'!$B$2:$AO$26,MATCH('Master data'!$B115,'Team forecast'!$B$2:$B$26,0),MATCH('Master data'!AL$1,'Team forecast'!$B$2:$AO$2,0))</f>
        <v>2.0067977929974719</v>
      </c>
      <c r="AM115" s="16">
        <f>INDEX('Team forecast'!$B$2:$AO$26,MATCH('Master data'!$B115,'Team forecast'!$B$2:$B$26,0),MATCH('Master data'!AM$1,'Team forecast'!$B$2:$AO$2,0))</f>
        <v>0.66520361079548807</v>
      </c>
      <c r="AN115" s="16">
        <f>INDEX('Team forecast'!$B$2:$AO$26,MATCH('Master data'!$B115,'Team forecast'!$B$2:$B$26,0),MATCH('Master data'!AN$1,'Team forecast'!$B$2:$AO$2,0))</f>
        <v>0.51416882672404407</v>
      </c>
      <c r="AO115" s="16">
        <f>INDEX('Team forecast'!$B$2:$AO$26,MATCH('Master data'!$B115,'Team forecast'!$B$2:$B$26,0),MATCH('Master data'!AO$1,'Team forecast'!$B$2:$AO$2,0))</f>
        <v>4.9318002365645421</v>
      </c>
      <c r="AP115" s="16">
        <f>INDEX('Team forecast'!$B$2:$AO$26,MATCH('Master data'!$B115,'Team forecast'!$B$2:$B$26,0),MATCH('Master data'!AP$1,'Team forecast'!$B$2:$AO$2,0))</f>
        <v>2.1837492273589256</v>
      </c>
      <c r="AQ115" s="5">
        <f>X115</f>
        <v>-5000</v>
      </c>
      <c r="AR115" s="5">
        <f>INDEX('Team forecast'!$B$2:$AO$26,MATCH('Master data'!$B115,'Team forecast'!$B$2:$B$26,0),MATCH('Master data'!AR$1,'Team forecast'!$B$2:$AO$2,0))*IF(X115&gt;0,25000,0)</f>
        <v>0</v>
      </c>
      <c r="AS115" s="16">
        <f>INDEX('Team forecast'!$B$2:$AO$26,MATCH('Master data'!$B115,'Team forecast'!$B$2:$B$26,0),MATCH('Master data'!AS$1,'Team forecast'!$B$2:$AO$2,0))*IF(X115&gt;0,5000,0)</f>
        <v>0</v>
      </c>
      <c r="AT115" s="16">
        <f>INDEX('Team forecast'!$B$2:$AO$26,MATCH('Master data'!$B115,'Team forecast'!$B$2:$B$26,0),MATCH('Master data'!AT$1,'Team forecast'!$B$2:$AO$2,0))*IF(X115&gt;0,-15000,0)</f>
        <v>0</v>
      </c>
      <c r="AU115" s="5">
        <f>IF($C115="Defense",$N115*150000,IF($C115="Midfield",$N115*125000,IF($C115="Striker",$N115*100000,0)))*$AL115</f>
        <v>0</v>
      </c>
      <c r="AV115" s="5">
        <f>$O115*50000*AL115</f>
        <v>0</v>
      </c>
      <c r="AW115" s="5">
        <f>$P115*AO115*10000</f>
        <v>0</v>
      </c>
      <c r="AX115" s="5">
        <f>IF($C115="Goalkeeper",AN115*75000,IF($C115="Defense",AN115*50000,0))</f>
        <v>0</v>
      </c>
      <c r="AY115" s="5">
        <f>IF($C115="Goalkeeper",(AP115-AM115)*5000,0)</f>
        <v>0</v>
      </c>
      <c r="AZ115" s="5">
        <f>$AG115</f>
        <v>0</v>
      </c>
      <c r="BA115" s="5">
        <f>$AH115</f>
        <v>0</v>
      </c>
      <c r="BB115" s="5">
        <f>IF(X115&gt;0,AL115*10000,0)</f>
        <v>0</v>
      </c>
      <c r="BC115" s="5">
        <f>IF(X115&gt;0,AM115*(-8000),0)</f>
        <v>0</v>
      </c>
      <c r="BD115" s="5">
        <f>IFERROR(SUM(AQ115:BC115),0)</f>
        <v>-5000</v>
      </c>
      <c r="BE115" s="16">
        <f>INDEX('Team forecast'!$B$2:$AO$26,MATCH('Master data'!$B115,'Team forecast'!$B$2:$B$26,0),MATCH('Master data'!BE$1,'Team forecast'!$B$2:$AO$2,0))</f>
        <v>2.2346287595631029</v>
      </c>
      <c r="BF115" s="16">
        <f>INDEX('Team forecast'!$B$2:$AO$26,MATCH('Master data'!$B115,'Team forecast'!$B$2:$B$26,0),MATCH('Master data'!BF$1,'Team forecast'!$B$2:$AO$2,0))</f>
        <v>0.82586154259115363</v>
      </c>
      <c r="BG115" s="16">
        <f>INDEX('Team forecast'!$B$2:$AO$26,MATCH('Master data'!$B115,'Team forecast'!$B$2:$B$26,0),MATCH('Master data'!BG$1,'Team forecast'!$B$2:$AO$2,0))</f>
        <v>0.43785759694850601</v>
      </c>
      <c r="BH115" s="16">
        <f>INDEX('Team forecast'!$B$2:$AO$26,MATCH('Master data'!$B115,'Team forecast'!$B$2:$B$26,0),MATCH('Master data'!BH$1,'Team forecast'!$B$2:$AO$2,0))</f>
        <v>5.4917055836432862</v>
      </c>
      <c r="BI115" s="16">
        <f>INDEX('Team forecast'!$B$2:$AO$26,MATCH('Master data'!$B115,'Team forecast'!$B$2:$B$26,0),MATCH('Master data'!BI$1,'Team forecast'!$B$2:$AO$2,0))</f>
        <v>2.7111616297184336</v>
      </c>
      <c r="BJ115" s="5">
        <f>AQ115</f>
        <v>-5000</v>
      </c>
      <c r="BK115" s="5">
        <f>INDEX('Team forecast'!$R$3:$BH$26,MATCH($B115,'Team forecast'!$B$3:$B$26,0),MATCH(BK$1,'Team forecast'!$R$2:$BH$2,0))*IF($X115&gt;0,25000,0)</f>
        <v>0</v>
      </c>
      <c r="BL115" s="5">
        <f>INDEX('Team forecast'!$R$3:$BH$26,MATCH($B115,'Team forecast'!$B$3:$B$26,0),MATCH(BL$1,'Team forecast'!$R$2:$BH$2,0))*IF($X115&gt;0,5000,0)</f>
        <v>0</v>
      </c>
      <c r="BM115" s="5">
        <f>INDEX('Team forecast'!$R$3:$BH$26,MATCH($B115,'Team forecast'!$B$3:$B$26,0),MATCH(BM$1,'Team forecast'!$R$2:$BH$2,0))*IF($X115&gt;0,-15000,0)</f>
        <v>0</v>
      </c>
      <c r="BN115" s="5">
        <f>IF($C115="Defense",$N115*150000,IF($C115="Midfield",$N115*125000,IF($C115="Striker",$N115*100000,0)))*$BE115</f>
        <v>0</v>
      </c>
      <c r="BO115" s="5">
        <f>$O115*50000*$BE115</f>
        <v>0</v>
      </c>
      <c r="BP115" s="5">
        <f>$P115*BH115*10000</f>
        <v>0</v>
      </c>
      <c r="BQ115" s="5">
        <f>IF($C115="Goalkeeper",BG115*75000,IF($C115="Defense",BG115*50000,0))</f>
        <v>0</v>
      </c>
      <c r="BR115" s="5">
        <f>IF($C115="Goalkeeper",(BI115-BF115)*5000,0)</f>
        <v>0</v>
      </c>
      <c r="BS115" s="5">
        <f>$AG115</f>
        <v>0</v>
      </c>
      <c r="BT115" s="5">
        <f>$AH115</f>
        <v>0</v>
      </c>
      <c r="BU115" s="5">
        <f>IF(AQ115&gt;0,BE115*10000,0)</f>
        <v>0</v>
      </c>
      <c r="BV115" s="5">
        <f>IF(AQ115&gt;0,BF115*(-8000),0)</f>
        <v>0</v>
      </c>
      <c r="BW115" s="5">
        <f>IFERROR(SUM(BJ115:BV115),0)</f>
        <v>-5000</v>
      </c>
      <c r="BX115" s="5">
        <f>AVERAGE(AK115,BD115,BW115)</f>
        <v>-5000</v>
      </c>
      <c r="BY115" s="5">
        <f>BX115*3</f>
        <v>-15000</v>
      </c>
      <c r="BZ115" s="5">
        <f>INDEX('Team forecast'!$R$3:$BH$26,MATCH($B115,'Team forecast'!$B$3:$B$26,0),MATCH(BZ$1,'Team forecast'!$R$2:$BH$2,0))*($BX115-(BY115+CH115)*0.01)</f>
        <v>-33374.413849153221</v>
      </c>
      <c r="CA115" s="5">
        <f>INDEX('Team forecast'!$R$3:$BH$26,MATCH($B115,'Team forecast'!$B$3:$B$26,0),MATCH(CA$1,'Team forecast'!$R$2:$BH$2,0))*($BX115-(BY115+BX115+CH115)*0.01)</f>
        <v>-17200.501548816534</v>
      </c>
      <c r="CB115" s="5">
        <f>INDEX('Team forecast'!$R$3:$BH$26,MATCH($B115,'Team forecast'!$B$3:$B$26,0),MATCH(CB$1,'Team forecast'!$R$2:$BH$2,0))*($BX115-(BY115+BX115*2+CH115)*0.01)</f>
        <v>-9092.8015808677956</v>
      </c>
      <c r="CC115" s="5">
        <f>INDEX('Team forecast'!$R$3:$BH$26,MATCH($B115,'Team forecast'!$B$3:$B$26,0),MATCH(CC$1,'Team forecast'!$R$2:$BH$2,0))*($BX115-(BY115+BX115*3+CH115)*0.01)</f>
        <v>-5189.9873420250269</v>
      </c>
      <c r="CD115" s="5">
        <f>+AK115+BD115*Cockpit!$C$3+BW115*Cockpit!$C$3^2+BZ115*Cockpit!$C$3^3+CA115*Cockpit!$C$3^4+CB115*Cockpit!$C$3^5+CC115*Cockpit!$C$3^6</f>
        <v>-25494.94342400492</v>
      </c>
      <c r="CE115" s="5"/>
      <c r="CF115" s="5"/>
      <c r="CG115" s="5">
        <v>0</v>
      </c>
      <c r="CH115" s="5">
        <f t="shared" si="46"/>
        <v>3000000</v>
      </c>
      <c r="CI115" s="5">
        <f t="shared" si="47"/>
        <v>3000000</v>
      </c>
      <c r="CJ115" s="1">
        <f t="shared" si="48"/>
        <v>-5.0000000000000001E-3</v>
      </c>
      <c r="CK115" s="5">
        <f>RANK(BY115,$BY$2:$BY$623)+COUNTIF($BY$2:$BY115,$BY115)-1</f>
        <v>459</v>
      </c>
      <c r="CL115" s="5">
        <f>RANK(CJ115,$CJ$2:$CJ$623)+COUNTIF($CJ$2:$CJ115,$CJ115)-1</f>
        <v>486</v>
      </c>
    </row>
    <row r="116" spans="1:90">
      <c r="A116" t="str">
        <f>Players!P117</f>
        <v>Declan Rice</v>
      </c>
      <c r="B116" t="str">
        <f>Players!G117</f>
        <v>England</v>
      </c>
      <c r="C116" t="str">
        <f>Players!AB117</f>
        <v>Midfield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3500000</v>
      </c>
      <c r="H116" s="16">
        <f>INDEX('Team forecast'!$B$2:$AO$26,MATCH('Master data'!$B116,'Team forecast'!$B$2:$B$26,0),MATCH('Master data'!H$1,'Team forecast'!$B$2:$AO$2,0))</f>
        <v>1.5223243214152651</v>
      </c>
      <c r="I116" s="16">
        <f>INDEX('Team forecast'!$B$2:$AO$26,MATCH('Master data'!$B116,'Team forecast'!$B$2:$B$26,0),MATCH('Master data'!I$1,'Team forecast'!$B$2:$AO$2,0))</f>
        <v>0.74990395996081205</v>
      </c>
      <c r="J116" s="16">
        <f>INDEX('Team forecast'!$B$2:$AO$26,MATCH('Master data'!$B116,'Team forecast'!$B$2:$B$26,0),MATCH('Master data'!J$1,'Team forecast'!$B$2:$AO$2,0))</f>
        <v>0.47241192102180191</v>
      </c>
      <c r="K116" s="16">
        <f>INDEX('Team forecast'!$B$2:$AO$26,MATCH('Master data'!$B116,'Team forecast'!$B$2:$B$26,0),MATCH('Master data'!K$1,'Team forecast'!$B$2:$AO$2,0))</f>
        <v>3.7411838276290243</v>
      </c>
      <c r="L116" s="16">
        <f>INDEX('Team forecast'!$B$2:$AO$26,MATCH('Master data'!$B116,'Team forecast'!$B$2:$B$26,0),MATCH('Master data'!L$1,'Team forecast'!$B$2:$AO$2,0))</f>
        <v>2.461805929164282</v>
      </c>
      <c r="M116">
        <f>IF(Players!BC117=1,95,0)</f>
        <v>95</v>
      </c>
      <c r="N116" s="2">
        <f>Players!BN117</f>
        <v>5.7182514180719825E-2</v>
      </c>
      <c r="O116" s="2">
        <f>Players!BO117</f>
        <v>3.1154372383049071E-2</v>
      </c>
      <c r="P116" s="2">
        <f>Players!BP117</f>
        <v>4.0905909102111865E-2</v>
      </c>
      <c r="Q116" s="2">
        <f>Players!BQ117</f>
        <v>3.1260854463355331E-2</v>
      </c>
      <c r="R116" s="2">
        <f>Players!BR117</f>
        <v>0</v>
      </c>
      <c r="S116" s="2">
        <f>H116</f>
        <v>1.5223243214152651</v>
      </c>
      <c r="T116" s="2">
        <f>I116</f>
        <v>0.74990395996081205</v>
      </c>
      <c r="U116" s="16">
        <f>INDEX('Team forecast'!$B$2:$AO$26,MATCH('Master data'!$B116,'Team forecast'!$B$2:$B$26,0),MATCH('Master data'!U$1,'Team forecast'!$B$2:$AO$2,0))</f>
        <v>0.56576277966682864</v>
      </c>
      <c r="V116" s="16">
        <f>INDEX('Team forecast'!$B$2:$AO$26,MATCH('Master data'!$B116,'Team forecast'!$B$2:$B$26,0),MATCH('Master data'!V$1,'Team forecast'!$B$2:$AO$2,0))</f>
        <v>0.26245106723433442</v>
      </c>
      <c r="W116" s="16">
        <f>INDEX('Team forecast'!$B$2:$AO$26,MATCH('Master data'!$B116,'Team forecast'!$B$2:$B$26,0),MATCH('Master data'!W$1,'Team forecast'!$B$2:$AO$2,0))</f>
        <v>0.17178615309883699</v>
      </c>
      <c r="X116" s="5">
        <f>IF(M116&gt;95,7000*2,IF(M116&gt;0,7000,-5000))</f>
        <v>7000</v>
      </c>
      <c r="Y116" s="5">
        <f>IF($X116&gt;0,U116*25000,0)</f>
        <v>14144.069491670716</v>
      </c>
      <c r="Z116" s="5">
        <f>IF($X116&gt;0,V116*5000,0)</f>
        <v>1312.2553361716721</v>
      </c>
      <c r="AA116" s="5">
        <f>IF($X116&gt;0,W116*(-15000),0)</f>
        <v>-2576.7922964825548</v>
      </c>
      <c r="AB116" s="5">
        <f>IF($C116="Defense",$N116*150000,IF($C116="Midfield",$N116*125000,IF($C116="Striker",$N116*100000,0)))*$H116</f>
        <v>10881.291512122885</v>
      </c>
      <c r="AC116" s="5">
        <f>$O116*50000*H116</f>
        <v>2371.3529398571827</v>
      </c>
      <c r="AD116" s="5">
        <f>$P116*K116*10000</f>
        <v>1530.3652558728381</v>
      </c>
      <c r="AE116" s="5">
        <f>IF($C116="Goalkeeper",J116*75000,IF($C116="Defense",J116*50000,0))</f>
        <v>0</v>
      </c>
      <c r="AF116" s="5">
        <f>IF($C116="Goalkeeper",(L116-I116)*5000,0)</f>
        <v>0</v>
      </c>
      <c r="AG116" s="5">
        <f>IF(M116&gt;0,Q116*(-20000),0)</f>
        <v>-625.21708926710664</v>
      </c>
      <c r="AH116" s="5">
        <f>IF(M116&gt;0,R116*(-50000),0)</f>
        <v>0</v>
      </c>
      <c r="AI116" s="5">
        <f>IF(M116&gt;0,S116*10000,0)</f>
        <v>15223.243214152651</v>
      </c>
      <c r="AJ116" s="5">
        <f>IF(M116&gt;0,T116*(-8000),0)</f>
        <v>-5999.2316796864961</v>
      </c>
      <c r="AK116" s="5">
        <f>IFERROR(SUM(X116:AJ116),-5000)*((Cockpit!$C$3)^0)</f>
        <v>43261.336684411785</v>
      </c>
      <c r="AL116" s="16">
        <f>INDEX('Team forecast'!$B$2:$AO$26,MATCH('Master data'!$B116,'Team forecast'!$B$2:$B$26,0),MATCH('Master data'!AL$1,'Team forecast'!$B$2:$AO$2,0))</f>
        <v>2.0067977929974719</v>
      </c>
      <c r="AM116" s="16">
        <f>INDEX('Team forecast'!$B$2:$AO$26,MATCH('Master data'!$B116,'Team forecast'!$B$2:$B$26,0),MATCH('Master data'!AM$1,'Team forecast'!$B$2:$AO$2,0))</f>
        <v>0.66520361079548807</v>
      </c>
      <c r="AN116" s="16">
        <f>INDEX('Team forecast'!$B$2:$AO$26,MATCH('Master data'!$B116,'Team forecast'!$B$2:$B$26,0),MATCH('Master data'!AN$1,'Team forecast'!$B$2:$AO$2,0))</f>
        <v>0.51416882672404407</v>
      </c>
      <c r="AO116" s="16">
        <f>INDEX('Team forecast'!$B$2:$AO$26,MATCH('Master data'!$B116,'Team forecast'!$B$2:$B$26,0),MATCH('Master data'!AO$1,'Team forecast'!$B$2:$AO$2,0))</f>
        <v>4.9318002365645421</v>
      </c>
      <c r="AP116" s="16">
        <f>INDEX('Team forecast'!$B$2:$AO$26,MATCH('Master data'!$B116,'Team forecast'!$B$2:$B$26,0),MATCH('Master data'!AP$1,'Team forecast'!$B$2:$AO$2,0))</f>
        <v>2.1837492273589256</v>
      </c>
      <c r="AQ116" s="5">
        <f>X116</f>
        <v>7000</v>
      </c>
      <c r="AR116" s="5">
        <f>INDEX('Team forecast'!$B$2:$AO$26,MATCH('Master data'!$B116,'Team forecast'!$B$2:$B$26,0),MATCH('Master data'!AR$1,'Team forecast'!$B$2:$AO$2,0))*IF(X116&gt;0,25000,0)</f>
        <v>17296.488104871336</v>
      </c>
      <c r="AS116" s="16">
        <f>INDEX('Team forecast'!$B$2:$AO$26,MATCH('Master data'!$B116,'Team forecast'!$B$2:$B$26,0),MATCH('Master data'!AS$1,'Team forecast'!$B$2:$AO$2,0))*IF(X116&gt;0,5000,0)</f>
        <v>1045.4766143388899</v>
      </c>
      <c r="AT116" s="16">
        <f>INDEX('Team forecast'!$B$2:$AO$26,MATCH('Master data'!$B116,'Team forecast'!$B$2:$B$26,0),MATCH('Master data'!AT$1,'Team forecast'!$B$2:$AO$2,0))*IF(X116&gt;0,-15000,0)</f>
        <v>-1485.6772940605274</v>
      </c>
      <c r="AU116" s="5">
        <f>IF($C116="Defense",$N116*150000,IF($C116="Midfield",$N116*125000,IF($C116="Striker",$N116*100000,0)))*$AL116</f>
        <v>14344.217906989397</v>
      </c>
      <c r="AV116" s="5">
        <f>$O116*50000*AL116</f>
        <v>3126.0262870262131</v>
      </c>
      <c r="AW116" s="5">
        <f>$P116*AO116*10000</f>
        <v>2017.3977218668297</v>
      </c>
      <c r="AX116" s="5">
        <f>IF($C116="Goalkeeper",AN116*75000,IF($C116="Defense",AN116*50000,0))</f>
        <v>0</v>
      </c>
      <c r="AY116" s="5">
        <f>IF($C116="Goalkeeper",(AP116-AM116)*5000,0)</f>
        <v>0</v>
      </c>
      <c r="AZ116" s="5">
        <f>$AG116</f>
        <v>-625.21708926710664</v>
      </c>
      <c r="BA116" s="5">
        <f>$AH116</f>
        <v>0</v>
      </c>
      <c r="BB116" s="5">
        <f>IF(X116&gt;0,AL116*10000,0)</f>
        <v>20067.977929974717</v>
      </c>
      <c r="BC116" s="5">
        <f>IF(X116&gt;0,AM116*(-8000),0)</f>
        <v>-5321.6288863639047</v>
      </c>
      <c r="BD116" s="5">
        <f>IFERROR(SUM(AQ116:BC116),0)</f>
        <v>57465.061295375854</v>
      </c>
      <c r="BE116" s="16">
        <f>INDEX('Team forecast'!$B$2:$AO$26,MATCH('Master data'!$B116,'Team forecast'!$B$2:$B$26,0),MATCH('Master data'!BE$1,'Team forecast'!$B$2:$AO$2,0))</f>
        <v>2.2346287595631029</v>
      </c>
      <c r="BF116" s="16">
        <f>INDEX('Team forecast'!$B$2:$AO$26,MATCH('Master data'!$B116,'Team forecast'!$B$2:$B$26,0),MATCH('Master data'!BF$1,'Team forecast'!$B$2:$AO$2,0))</f>
        <v>0.82586154259115363</v>
      </c>
      <c r="BG116" s="16">
        <f>INDEX('Team forecast'!$B$2:$AO$26,MATCH('Master data'!$B116,'Team forecast'!$B$2:$B$26,0),MATCH('Master data'!BG$1,'Team forecast'!$B$2:$AO$2,0))</f>
        <v>0.43785759694850601</v>
      </c>
      <c r="BH116" s="16">
        <f>INDEX('Team forecast'!$B$2:$AO$26,MATCH('Master data'!$B116,'Team forecast'!$B$2:$B$26,0),MATCH('Master data'!BH$1,'Team forecast'!$B$2:$AO$2,0))</f>
        <v>5.4917055836432862</v>
      </c>
      <c r="BI116" s="16">
        <f>INDEX('Team forecast'!$B$2:$AO$26,MATCH('Master data'!$B116,'Team forecast'!$B$2:$B$26,0),MATCH('Master data'!BI$1,'Team forecast'!$B$2:$AO$2,0))</f>
        <v>2.7111616297184336</v>
      </c>
      <c r="BJ116" s="5">
        <f>AQ116</f>
        <v>7000</v>
      </c>
      <c r="BK116" s="5">
        <f>INDEX('Team forecast'!$R$3:$BH$26,MATCH($B116,'Team forecast'!$B$3:$B$26,0),MATCH(BK$1,'Team forecast'!$R$2:$BH$2,0))*IF($X116&gt;0,25000,0)</f>
        <v>16608.391608391608</v>
      </c>
      <c r="BL116" s="5">
        <f>INDEX('Team forecast'!$R$3:$BH$26,MATCH($B116,'Team forecast'!$B$3:$B$26,0),MATCH(BL$1,'Team forecast'!$R$2:$BH$2,0))*IF($X116&gt;0,5000,0)</f>
        <v>1013.9860139860141</v>
      </c>
      <c r="BM116" s="5">
        <f>INDEX('Team forecast'!$R$3:$BH$26,MATCH($B116,'Team forecast'!$B$3:$B$26,0),MATCH(BM$1,'Team forecast'!$R$2:$BH$2,0))*IF($X116&gt;0,-15000,0)</f>
        <v>-1993.0069930069933</v>
      </c>
      <c r="BN116" s="5">
        <f>IF($C116="Defense",$N116*150000,IF($C116="Midfield",$N116*125000,IF($C116="Striker",$N116*100000,0)))*$BE116</f>
        <v>15972.711341545186</v>
      </c>
      <c r="BO116" s="5">
        <f>$O116*50000*$BE116</f>
        <v>3480.9228256649967</v>
      </c>
      <c r="BP116" s="5">
        <f>$P116*BH116*10000</f>
        <v>2246.4320942007248</v>
      </c>
      <c r="BQ116" s="5">
        <f>IF($C116="Goalkeeper",BG116*75000,IF($C116="Defense",BG116*50000,0))</f>
        <v>0</v>
      </c>
      <c r="BR116" s="5">
        <f>IF($C116="Goalkeeper",(BI116-BF116)*5000,0)</f>
        <v>0</v>
      </c>
      <c r="BS116" s="5">
        <f>$AG116</f>
        <v>-625.21708926710664</v>
      </c>
      <c r="BT116" s="5">
        <f>$AH116</f>
        <v>0</v>
      </c>
      <c r="BU116" s="5">
        <f>IF(AQ116&gt;0,BE116*10000,0)</f>
        <v>22346.287595631031</v>
      </c>
      <c r="BV116" s="5">
        <f>IF(AQ116&gt;0,BF116*(-8000),0)</f>
        <v>-6606.8923407292286</v>
      </c>
      <c r="BW116" s="5">
        <f>IFERROR(SUM(BJ116:BV116),0)</f>
        <v>59443.615056416224</v>
      </c>
      <c r="BX116" s="5">
        <f>AVERAGE(AK116,BD116,BW116)</f>
        <v>53390.004345401285</v>
      </c>
      <c r="BY116" s="5">
        <f>BX116*3</f>
        <v>160170.01303620386</v>
      </c>
      <c r="BZ116" s="5">
        <f>INDEX('Team forecast'!$R$3:$BH$26,MATCH($B116,'Team forecast'!$B$3:$B$26,0),MATCH(BZ$1,'Team forecast'!$R$2:$BH$2,0))*($BX116-(BY116+CH116)*0.01)</f>
        <v>16077.469517882442</v>
      </c>
      <c r="CA116" s="5">
        <f>INDEX('Team forecast'!$R$3:$BH$26,MATCH($B116,'Team forecast'!$B$3:$B$26,0),MATCH(CA$1,'Team forecast'!$R$2:$BH$2,0))*($BX116-(BY116+BX116+CH116)*0.01)</f>
        <v>8034.0202335759104</v>
      </c>
      <c r="CB116" s="5">
        <f>INDEX('Team forecast'!$R$3:$BH$26,MATCH($B116,'Team forecast'!$B$3:$B$26,0),MATCH(CB$1,'Team forecast'!$R$2:$BH$2,0))*($BX116-(BY116+BX116*2+CH116)*0.01)</f>
        <v>4113.4798500233182</v>
      </c>
      <c r="CC116" s="5">
        <f>INDEX('Team forecast'!$R$3:$BH$26,MATCH($B116,'Team forecast'!$B$3:$B$26,0),MATCH(CC$1,'Team forecast'!$R$2:$BH$2,0))*($BX116-(BY116+BX116*3+CH116)*0.01)</f>
        <v>2271.4202584386248</v>
      </c>
      <c r="CD116" s="5">
        <f>+AK116+BD116*Cockpit!$C$3+BW116*Cockpit!$C$3^2+BZ116*Cockpit!$C$3^3+CA116*Cockpit!$C$3^4+CB116*Cockpit!$C$3^5+CC116*Cockpit!$C$3^6</f>
        <v>115082.52784966743</v>
      </c>
      <c r="CE116" s="5"/>
      <c r="CF116" s="5"/>
      <c r="CG116" s="5">
        <v>0</v>
      </c>
      <c r="CH116" s="5">
        <f t="shared" si="46"/>
        <v>3500000</v>
      </c>
      <c r="CI116" s="5">
        <f t="shared" si="47"/>
        <v>3500000</v>
      </c>
      <c r="CJ116" s="1">
        <f t="shared" si="48"/>
        <v>4.5762860867486821E-2</v>
      </c>
      <c r="CK116" s="5">
        <f>RANK(BY116,$BY$2:$BY$623)+COUNTIF($BY$2:$BY116,$BY116)-1</f>
        <v>86</v>
      </c>
      <c r="CL116" s="5">
        <f>RANK(CJ116,$CJ$2:$CJ$623)+COUNTIF($CJ$2:$CJ116,$CJ116)-1</f>
        <v>49</v>
      </c>
    </row>
    <row r="117" spans="1:90">
      <c r="A117" t="str">
        <f>Players!P118</f>
        <v>João Cancelo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5000000</v>
      </c>
      <c r="H117" s="16">
        <f>INDEX('Team forecast'!$B$2:$AO$26,MATCH('Master data'!$B117,'Team forecast'!$B$2:$B$26,0),MATCH('Master data'!H$1,'Team forecast'!$B$2:$AO$2,0))</f>
        <v>1.7625676631272518</v>
      </c>
      <c r="I117" s="16">
        <f>INDEX('Team forecast'!$B$2:$AO$26,MATCH('Master data'!$B117,'Team forecast'!$B$2:$B$26,0),MATCH('Master data'!I$1,'Team forecast'!$B$2:$AO$2,0))</f>
        <v>0.75096675144877167</v>
      </c>
      <c r="J117" s="16">
        <f>INDEX('Team forecast'!$B$2:$AO$26,MATCH('Master data'!$B117,'Team forecast'!$B$2:$B$26,0),MATCH('Master data'!J$1,'Team forecast'!$B$2:$AO$2,0))</f>
        <v>0.47191011235955049</v>
      </c>
      <c r="K117" s="16">
        <f>INDEX('Team forecast'!$B$2:$AO$26,MATCH('Master data'!$B117,'Team forecast'!$B$2:$B$26,0),MATCH('Master data'!K$1,'Team forecast'!$B$2:$AO$2,0))</f>
        <v>4.4913621777278765</v>
      </c>
      <c r="L117" s="16">
        <f>INDEX('Team forecast'!$B$2:$AO$26,MATCH('Master data'!$B117,'Team forecast'!$B$2:$B$26,0),MATCH('Master data'!L$1,'Team forecast'!$B$2:$AO$2,0))</f>
        <v>2.0995338051067773</v>
      </c>
      <c r="M117">
        <f>IF(Players!BC118=1,95,0)</f>
        <v>95</v>
      </c>
      <c r="N117" s="2">
        <f>Players!BN118</f>
        <v>3.5185833609252815E-2</v>
      </c>
      <c r="O117" s="2">
        <f>Players!BO118</f>
        <v>7.1654866554943242E-2</v>
      </c>
      <c r="P117" s="2">
        <f>Players!BP118</f>
        <v>5.5277856927474826E-2</v>
      </c>
      <c r="Q117" s="2">
        <f>Players!BQ118</f>
        <v>9.7741094700260656E-2</v>
      </c>
      <c r="R117" s="2">
        <f>Players!BR118</f>
        <v>3.9096437880104258E-2</v>
      </c>
      <c r="S117" s="2">
        <f>H117</f>
        <v>1.7625676631272518</v>
      </c>
      <c r="T117" s="2">
        <f>I117</f>
        <v>0.75096675144877167</v>
      </c>
      <c r="U117" s="16">
        <f>INDEX('Team forecast'!$B$2:$AO$26,MATCH('Master data'!$B117,'Team forecast'!$B$2:$B$26,0),MATCH('Master data'!U$1,'Team forecast'!$B$2:$AO$2,0))</f>
        <v>0.6292134831460674</v>
      </c>
      <c r="V117" s="16">
        <f>INDEX('Team forecast'!$B$2:$AO$26,MATCH('Master data'!$B117,'Team forecast'!$B$2:$B$26,0),MATCH('Master data'!V$1,'Team forecast'!$B$2:$AO$2,0))</f>
        <v>0.2359550561797753</v>
      </c>
      <c r="W117" s="16">
        <f>INDEX('Team forecast'!$B$2:$AO$26,MATCH('Master data'!$B117,'Team forecast'!$B$2:$B$26,0),MATCH('Master data'!W$1,'Team forecast'!$B$2:$AO$2,0))</f>
        <v>0.1348314606741573</v>
      </c>
      <c r="X117" s="5">
        <f>IF(M117&gt;95,7000*2,IF(M117&gt;0,7000,-5000))</f>
        <v>7000</v>
      </c>
      <c r="Y117" s="5">
        <f>IF($X117&gt;0,U117*25000,0)</f>
        <v>15730.337078651684</v>
      </c>
      <c r="Z117" s="5">
        <f>IF($X117&gt;0,V117*5000,0)</f>
        <v>1179.7752808988764</v>
      </c>
      <c r="AA117" s="5">
        <f>IF($X117&gt;0,W117*(-15000),0)</f>
        <v>-2022.4719101123594</v>
      </c>
      <c r="AB117" s="5">
        <f>IF($C117="Defense",$N117*150000,IF($C117="Midfield",$N117*125000,IF($C117="Striker",$N117*100000,0)))*$H117</f>
        <v>9302.6118779767585</v>
      </c>
      <c r="AC117" s="5">
        <f>$O117*50000*H117</f>
        <v>6314.8275347720692</v>
      </c>
      <c r="AD117" s="5">
        <f>$P117*K117*10000</f>
        <v>2482.7287586991333</v>
      </c>
      <c r="AE117" s="5">
        <f>IF($C117="Goalkeeper",J117*75000,IF($C117="Defense",J117*50000,0))</f>
        <v>23595.505617977524</v>
      </c>
      <c r="AF117" s="5">
        <f>IF($C117="Goalkeeper",(L117-I117)*5000,0)</f>
        <v>0</v>
      </c>
      <c r="AG117" s="5">
        <f>IF(M117&gt;0,Q117*(-20000),0)</f>
        <v>-1954.8218940052132</v>
      </c>
      <c r="AH117" s="5">
        <f>IF(M117&gt;0,R117*(-50000),0)</f>
        <v>-1954.8218940052129</v>
      </c>
      <c r="AI117" s="5">
        <f>IF(M117&gt;0,S117*10000,0)</f>
        <v>17625.676631272519</v>
      </c>
      <c r="AJ117" s="5">
        <f>IF(M117&gt;0,T117*(-8000),0)</f>
        <v>-6007.7340115901734</v>
      </c>
      <c r="AK117" s="5">
        <f>IFERROR(SUM(X117:AJ117),-5000)*((Cockpit!$C$3)^0)</f>
        <v>71291.613070535619</v>
      </c>
      <c r="AL117" s="16">
        <f>INDEX('Team forecast'!$B$2:$AO$26,MATCH('Master data'!$B117,'Team forecast'!$B$2:$B$26,0),MATCH('Master data'!AL$1,'Team forecast'!$B$2:$AO$2,0))</f>
        <v>1.1612459518433673</v>
      </c>
      <c r="AM117" s="16">
        <f>INDEX('Team forecast'!$B$2:$AO$26,MATCH('Master data'!$B117,'Team forecast'!$B$2:$B$26,0),MATCH('Master data'!AM$1,'Team forecast'!$B$2:$AO$2,0))</f>
        <v>1.384389503157577</v>
      </c>
      <c r="AN117" s="16">
        <f>INDEX('Team forecast'!$B$2:$AO$26,MATCH('Master data'!$B117,'Team forecast'!$B$2:$B$26,0),MATCH('Master data'!AN$1,'Team forecast'!$B$2:$AO$2,0))</f>
        <v>0.25047666833918708</v>
      </c>
      <c r="AO117" s="16">
        <f>INDEX('Team forecast'!$B$2:$AO$26,MATCH('Master data'!$B117,'Team forecast'!$B$2:$B$26,0),MATCH('Master data'!AO$1,'Team forecast'!$B$2:$AO$2,0))</f>
        <v>2.9590785399382193</v>
      </c>
      <c r="AP117" s="16">
        <f>INDEX('Team forecast'!$B$2:$AO$26,MATCH('Master data'!$B117,'Team forecast'!$B$2:$B$26,0),MATCH('Master data'!AP$1,'Team forecast'!$B$2:$AO$2,0))</f>
        <v>3.8704410757292824</v>
      </c>
      <c r="AQ117" s="5">
        <f>X117</f>
        <v>7000</v>
      </c>
      <c r="AR117" s="5">
        <f>INDEX('Team forecast'!$B$2:$AO$26,MATCH('Master data'!$B117,'Team forecast'!$B$2:$B$26,0),MATCH('Master data'!AR$1,'Team forecast'!$B$2:$AO$2,0))*IF(X117&gt;0,25000,0)</f>
        <v>7225.2885097842445</v>
      </c>
      <c r="AS117" s="16">
        <f>INDEX('Team forecast'!$B$2:$AO$26,MATCH('Master data'!$B117,'Team forecast'!$B$2:$B$26,0),MATCH('Master data'!AS$1,'Team forecast'!$B$2:$AO$2,0))*IF(X117&gt;0,5000,0)</f>
        <v>1467.6367285499246</v>
      </c>
      <c r="AT117" s="16">
        <f>INDEX('Team forecast'!$B$2:$AO$26,MATCH('Master data'!$B117,'Team forecast'!$B$2:$B$26,0),MATCH('Master data'!AT$1,'Team forecast'!$B$2:$AO$2,0))*IF(X117&gt;0,-15000,0)</f>
        <v>-6261.91670847968</v>
      </c>
      <c r="AU117" s="5">
        <f>IF($C117="Defense",$N117*150000,IF($C117="Midfield",$N117*125000,IF($C117="Striker",$N117*100000,0)))*$AL117</f>
        <v>6128.9110261468695</v>
      </c>
      <c r="AV117" s="5">
        <f>$O117*50000*AL117</f>
        <v>4160.4461858402265</v>
      </c>
      <c r="AW117" s="5">
        <f>$P117*AO117*10000</f>
        <v>1635.7152016786599</v>
      </c>
      <c r="AX117" s="5">
        <f>IF($C117="Goalkeeper",AN117*75000,IF($C117="Defense",AN117*50000,0))</f>
        <v>12523.833416959355</v>
      </c>
      <c r="AY117" s="5">
        <f>IF($C117="Goalkeeper",(AP117-AM117)*5000,0)</f>
        <v>0</v>
      </c>
      <c r="AZ117" s="5">
        <f>$AG117</f>
        <v>-1954.8218940052132</v>
      </c>
      <c r="BA117" s="5">
        <f>$AH117</f>
        <v>-1954.8218940052129</v>
      </c>
      <c r="BB117" s="5">
        <f>IF(X117&gt;0,AL117*10000,0)</f>
        <v>11612.459518433674</v>
      </c>
      <c r="BC117" s="5">
        <f>IF(X117&gt;0,AM117*(-8000),0)</f>
        <v>-11075.116025260617</v>
      </c>
      <c r="BD117" s="5">
        <f>IFERROR(SUM(AQ117:BC117),0)</f>
        <v>30507.614065642232</v>
      </c>
      <c r="BE117" s="16">
        <f>INDEX('Team forecast'!$B$2:$AO$26,MATCH('Master data'!$B117,'Team forecast'!$B$2:$B$26,0),MATCH('Master data'!BE$1,'Team forecast'!$B$2:$AO$2,0))</f>
        <v>1.0107278258414167</v>
      </c>
      <c r="BF117" s="16">
        <f>INDEX('Team forecast'!$B$2:$AO$26,MATCH('Master data'!$B117,'Team forecast'!$B$2:$B$26,0),MATCH('Master data'!BF$1,'Team forecast'!$B$2:$AO$2,0))</f>
        <v>1.2965069481471114</v>
      </c>
      <c r="BG117" s="16">
        <f>INDEX('Team forecast'!$B$2:$AO$26,MATCH('Master data'!$B117,'Team forecast'!$B$2:$B$26,0),MATCH('Master data'!BG$1,'Team forecast'!$B$2:$AO$2,0))</f>
        <v>0.27348542529246672</v>
      </c>
      <c r="BH117" s="16">
        <f>INDEX('Team forecast'!$B$2:$AO$26,MATCH('Master data'!$B117,'Team forecast'!$B$2:$B$26,0),MATCH('Master data'!BH$1,'Team forecast'!$B$2:$AO$2,0))</f>
        <v>2.5755293393428875</v>
      </c>
      <c r="BI117" s="16">
        <f>INDEX('Team forecast'!$B$2:$AO$26,MATCH('Master data'!$B117,'Team forecast'!$B$2:$B$26,0),MATCH('Master data'!BI$1,'Team forecast'!$B$2:$AO$2,0))</f>
        <v>3.6247412564394597</v>
      </c>
      <c r="BJ117" s="5">
        <f>AQ117</f>
        <v>7000</v>
      </c>
      <c r="BK117" s="5">
        <f>INDEX('Team forecast'!$R$3:$BH$26,MATCH($B117,'Team forecast'!$B$3:$B$26,0),MATCH(BK$1,'Team forecast'!$R$2:$BH$2,0))*IF($X117&gt;0,25000,0)</f>
        <v>7251.5074888154077</v>
      </c>
      <c r="BL117" s="5">
        <f>INDEX('Team forecast'!$R$3:$BH$26,MATCH($B117,'Team forecast'!$B$3:$B$26,0),MATCH(BL$1,'Team forecast'!$R$2:$BH$2,0))*IF($X117&gt;0,5000,0)</f>
        <v>1495.6234195681775</v>
      </c>
      <c r="BM117" s="5">
        <f>INDEX('Team forecast'!$R$3:$BH$26,MATCH($B117,'Team forecast'!$B$3:$B$26,0),MATCH(BM$1,'Team forecast'!$R$2:$BH$2,0))*IF($X117&gt;0,-15000,0)</f>
        <v>-6162.2252480062243</v>
      </c>
      <c r="BN117" s="5">
        <f>IF($C117="Defense",$N117*150000,IF($C117="Midfield",$N117*125000,IF($C117="Striker",$N117*100000,0)))*$BE117</f>
        <v>5334.495165644692</v>
      </c>
      <c r="BO117" s="5">
        <f>$O117*50000*$BE117</f>
        <v>3621.1783742017319</v>
      </c>
      <c r="BP117" s="5">
        <f>$P117*BH117*10000</f>
        <v>1423.6974233270992</v>
      </c>
      <c r="BQ117" s="5">
        <f>IF($C117="Goalkeeper",BG117*75000,IF($C117="Defense",BG117*50000,0))</f>
        <v>13674.271264623336</v>
      </c>
      <c r="BR117" s="5">
        <f>IF($C117="Goalkeeper",(BI117-BF117)*5000,0)</f>
        <v>0</v>
      </c>
      <c r="BS117" s="5">
        <f>$AG117</f>
        <v>-1954.8218940052132</v>
      </c>
      <c r="BT117" s="5">
        <f>$AH117</f>
        <v>-1954.8218940052129</v>
      </c>
      <c r="BU117" s="5">
        <f>IF(AQ117&gt;0,BE117*10000,0)</f>
        <v>10107.278258414168</v>
      </c>
      <c r="BV117" s="5">
        <f>IF(AQ117&gt;0,BF117*(-8000),0)</f>
        <v>-10372.055585176891</v>
      </c>
      <c r="BW117" s="5">
        <f>IFERROR(SUM(BJ117:BV117),0)</f>
        <v>29464.126773401065</v>
      </c>
      <c r="BX117" s="5">
        <f>AVERAGE(AK117,BD117,BW117)</f>
        <v>43754.451303192975</v>
      </c>
      <c r="BY117" s="5">
        <f>BX117*3</f>
        <v>131263.35390957893</v>
      </c>
      <c r="BZ117" s="5">
        <f>INDEX('Team forecast'!$R$3:$BH$26,MATCH($B117,'Team forecast'!$B$3:$B$26,0),MATCH(BZ$1,'Team forecast'!$R$2:$BH$2,0))*($BX117-(BY117+CH117)*0.01)</f>
        <v>-5683.2965832751815</v>
      </c>
      <c r="CA117" s="5">
        <f>INDEX('Team forecast'!$R$3:$BH$26,MATCH($B117,'Team forecast'!$B$3:$B$26,0),MATCH(CA$1,'Team forecast'!$R$2:$BH$2,0))*($BX117-(BY117+BX117+CH117)*0.01)</f>
        <v>-3063.9119526419299</v>
      </c>
      <c r="CB117" s="5">
        <f>INDEX('Team forecast'!$R$3:$BH$26,MATCH($B117,'Team forecast'!$B$3:$B$26,0),MATCH(CB$1,'Team forecast'!$R$2:$BH$2,0))*($BX117-(BY117+BX117*2+CH117)*0.01)</f>
        <v>-1673.1254432025657</v>
      </c>
      <c r="CC117" s="5">
        <f>INDEX('Team forecast'!$R$3:$BH$26,MATCH($B117,'Team forecast'!$B$3:$B$26,0),MATCH(CC$1,'Team forecast'!$R$2:$BH$2,0))*($BX117-(BY117+BX117*3+CH117)*0.01)</f>
        <v>-957.73715841796172</v>
      </c>
      <c r="CD117" s="5">
        <f>+AK117+BD117*Cockpit!$C$3+BW117*Cockpit!$C$3^2+BZ117*Cockpit!$C$3^3+CA117*Cockpit!$C$3^4+CB117*Cockpit!$C$3^5+CC117*Cockpit!$C$3^6</f>
        <v>102131.62254465083</v>
      </c>
      <c r="CE117" s="5"/>
      <c r="CF117" s="5"/>
      <c r="CG117" s="5">
        <v>0</v>
      </c>
      <c r="CH117" s="5">
        <f t="shared" si="46"/>
        <v>5000000</v>
      </c>
      <c r="CI117" s="5">
        <f t="shared" si="47"/>
        <v>5000000</v>
      </c>
      <c r="CJ117" s="1">
        <f t="shared" si="48"/>
        <v>2.6252670781915788E-2</v>
      </c>
      <c r="CK117" s="5">
        <f>RANK(BY117,$BY$2:$BY$623)+COUNTIF($BY$2:$BY117,$BY117)-1</f>
        <v>115</v>
      </c>
      <c r="CL117" s="5">
        <f>RANK(CJ117,$CJ$2:$CJ$623)+COUNTIF($CJ$2:$CJ117,$CJ117)-1</f>
        <v>187</v>
      </c>
    </row>
    <row r="118" spans="1:90">
      <c r="A118" t="str">
        <f>Players!P119</f>
        <v>Nélson N. Semedo</v>
      </c>
      <c r="B118" t="str">
        <f>Players!G119</f>
        <v>Portugal</v>
      </c>
      <c r="C118" t="str">
        <f>Players!AB119</f>
        <v>Defense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2500000</v>
      </c>
      <c r="H118" s="16">
        <f>INDEX('Team forecast'!$B$2:$AO$26,MATCH('Master data'!$B118,'Team forecast'!$B$2:$B$26,0),MATCH('Master data'!H$1,'Team forecast'!$B$2:$AO$2,0))</f>
        <v>1.7625676631272518</v>
      </c>
      <c r="I118" s="16">
        <f>INDEX('Team forecast'!$B$2:$AO$26,MATCH('Master data'!$B118,'Team forecast'!$B$2:$B$26,0),MATCH('Master data'!I$1,'Team forecast'!$B$2:$AO$2,0))</f>
        <v>0.75096675144877167</v>
      </c>
      <c r="J118" s="16">
        <f>INDEX('Team forecast'!$B$2:$AO$26,MATCH('Master data'!$B118,'Team forecast'!$B$2:$B$26,0),MATCH('Master data'!J$1,'Team forecast'!$B$2:$AO$2,0))</f>
        <v>0.47191011235955049</v>
      </c>
      <c r="K118" s="16">
        <f>INDEX('Team forecast'!$B$2:$AO$26,MATCH('Master data'!$B118,'Team forecast'!$B$2:$B$26,0),MATCH('Master data'!K$1,'Team forecast'!$B$2:$AO$2,0))</f>
        <v>4.4913621777278765</v>
      </c>
      <c r="L118" s="16">
        <f>INDEX('Team forecast'!$B$2:$AO$26,MATCH('Master data'!$B118,'Team forecast'!$B$2:$B$26,0),MATCH('Master data'!L$1,'Team forecast'!$B$2:$AO$2,0))</f>
        <v>2.0995338051067773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7.5301204819277101E-2</v>
      </c>
      <c r="R118" s="2">
        <f>Players!BR119</f>
        <v>0</v>
      </c>
      <c r="S118" s="2">
        <f>H118</f>
        <v>1.7625676631272518</v>
      </c>
      <c r="T118" s="2">
        <f>I118</f>
        <v>0.75096675144877167</v>
      </c>
      <c r="U118" s="16">
        <f>INDEX('Team forecast'!$B$2:$AO$26,MATCH('Master data'!$B118,'Team forecast'!$B$2:$B$26,0),MATCH('Master data'!U$1,'Team forecast'!$B$2:$AO$2,0))</f>
        <v>0.6292134831460674</v>
      </c>
      <c r="V118" s="16">
        <f>INDEX('Team forecast'!$B$2:$AO$26,MATCH('Master data'!$B118,'Team forecast'!$B$2:$B$26,0),MATCH('Master data'!V$1,'Team forecast'!$B$2:$AO$2,0))</f>
        <v>0.2359550561797753</v>
      </c>
      <c r="W118" s="16">
        <f>INDEX('Team forecast'!$B$2:$AO$26,MATCH('Master data'!$B118,'Team forecast'!$B$2:$B$26,0),MATCH('Master data'!W$1,'Team forecast'!$B$2:$AO$2,0))</f>
        <v>0.1348314606741573</v>
      </c>
      <c r="X118" s="5">
        <f>IF(M118&gt;95,7000*2,IF(M118&gt;0,7000,-5000))</f>
        <v>-5000</v>
      </c>
      <c r="Y118" s="5">
        <f>IF($X118&gt;0,U118*25000,0)</f>
        <v>0</v>
      </c>
      <c r="Z118" s="5">
        <f>IF($X118&gt;0,V118*5000,0)</f>
        <v>0</v>
      </c>
      <c r="AA118" s="5">
        <f>IF($X118&gt;0,W118*(-15000),0)</f>
        <v>0</v>
      </c>
      <c r="AB118" s="5">
        <f>IF($C118="Defense",$N118*150000,IF($C118="Midfield",$N118*125000,IF($C118="Striker",$N118*100000,0)))*$H118</f>
        <v>0</v>
      </c>
      <c r="AC118" s="5">
        <f>$O118*50000*H118</f>
        <v>0</v>
      </c>
      <c r="AD118" s="5">
        <f>$P118*K118*10000</f>
        <v>0</v>
      </c>
      <c r="AE118" s="5">
        <f>IF($C118="Goalkeeper",J118*75000,IF($C118="Defense",J118*50000,0))</f>
        <v>23595.505617977524</v>
      </c>
      <c r="AF118" s="5">
        <f>IF($C118="Goalkeeper",(L118-I118)*5000,0)</f>
        <v>0</v>
      </c>
      <c r="AG118" s="5">
        <f>IF(M118&gt;0,Q118*(-20000),0)</f>
        <v>0</v>
      </c>
      <c r="AH118" s="5">
        <f>IF(M118&gt;0,R118*(-50000),0)</f>
        <v>0</v>
      </c>
      <c r="AI118" s="5">
        <f>IF(M118&gt;0,S118*10000,0)</f>
        <v>0</v>
      </c>
      <c r="AJ118" s="5">
        <f>IF(M118&gt;0,T118*(-8000),0)</f>
        <v>0</v>
      </c>
      <c r="AK118" s="5">
        <f>IFERROR(SUM(X118:AJ118),-5000)*((Cockpit!$C$3)^0)</f>
        <v>18595.505617977524</v>
      </c>
      <c r="AL118" s="16">
        <f>INDEX('Team forecast'!$B$2:$AO$26,MATCH('Master data'!$B118,'Team forecast'!$B$2:$B$26,0),MATCH('Master data'!AL$1,'Team forecast'!$B$2:$AO$2,0))</f>
        <v>1.1612459518433673</v>
      </c>
      <c r="AM118" s="16">
        <f>INDEX('Team forecast'!$B$2:$AO$26,MATCH('Master data'!$B118,'Team forecast'!$B$2:$B$26,0),MATCH('Master data'!AM$1,'Team forecast'!$B$2:$AO$2,0))</f>
        <v>1.384389503157577</v>
      </c>
      <c r="AN118" s="16">
        <f>INDEX('Team forecast'!$B$2:$AO$26,MATCH('Master data'!$B118,'Team forecast'!$B$2:$B$26,0),MATCH('Master data'!AN$1,'Team forecast'!$B$2:$AO$2,0))</f>
        <v>0.25047666833918708</v>
      </c>
      <c r="AO118" s="16">
        <f>INDEX('Team forecast'!$B$2:$AO$26,MATCH('Master data'!$B118,'Team forecast'!$B$2:$B$26,0),MATCH('Master data'!AO$1,'Team forecast'!$B$2:$AO$2,0))</f>
        <v>2.9590785399382193</v>
      </c>
      <c r="AP118" s="16">
        <f>INDEX('Team forecast'!$B$2:$AO$26,MATCH('Master data'!$B118,'Team forecast'!$B$2:$B$26,0),MATCH('Master data'!AP$1,'Team forecast'!$B$2:$AO$2,0))</f>
        <v>3.8704410757292824</v>
      </c>
      <c r="AQ118" s="5">
        <f>X118</f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>IF($C118="Defense",$N118*150000,IF($C118="Midfield",$N118*125000,IF($C118="Striker",$N118*100000,0)))*$AL118</f>
        <v>0</v>
      </c>
      <c r="AV118" s="5">
        <f>$O118*50000*AL118</f>
        <v>0</v>
      </c>
      <c r="AW118" s="5">
        <f>$P118*AO118*10000</f>
        <v>0</v>
      </c>
      <c r="AX118" s="5">
        <f>IF($C118="Goalkeeper",AN118*75000,IF($C118="Defense",AN118*50000,0))</f>
        <v>12523.833416959355</v>
      </c>
      <c r="AY118" s="5">
        <f>IF($C118="Goalkeeper",(AP118-AM118)*5000,0)</f>
        <v>0</v>
      </c>
      <c r="AZ118" s="5">
        <f>$AG118</f>
        <v>0</v>
      </c>
      <c r="BA118" s="5">
        <f>$AH118</f>
        <v>0</v>
      </c>
      <c r="BB118" s="5">
        <f>IF(X118&gt;0,AL118*10000,0)</f>
        <v>0</v>
      </c>
      <c r="BC118" s="5">
        <f>IF(X118&gt;0,AM118*(-8000),0)</f>
        <v>0</v>
      </c>
      <c r="BD118" s="5">
        <f>IFERROR(SUM(AQ118:BC118),0)</f>
        <v>7523.8334169593545</v>
      </c>
      <c r="BE118" s="16">
        <f>INDEX('Team forecast'!$B$2:$AO$26,MATCH('Master data'!$B118,'Team forecast'!$B$2:$B$26,0),MATCH('Master data'!BE$1,'Team forecast'!$B$2:$AO$2,0))</f>
        <v>1.0107278258414167</v>
      </c>
      <c r="BF118" s="16">
        <f>INDEX('Team forecast'!$B$2:$AO$26,MATCH('Master data'!$B118,'Team forecast'!$B$2:$B$26,0),MATCH('Master data'!BF$1,'Team forecast'!$B$2:$AO$2,0))</f>
        <v>1.2965069481471114</v>
      </c>
      <c r="BG118" s="16">
        <f>INDEX('Team forecast'!$B$2:$AO$26,MATCH('Master data'!$B118,'Team forecast'!$B$2:$B$26,0),MATCH('Master data'!BG$1,'Team forecast'!$B$2:$AO$2,0))</f>
        <v>0.27348542529246672</v>
      </c>
      <c r="BH118" s="16">
        <f>INDEX('Team forecast'!$B$2:$AO$26,MATCH('Master data'!$B118,'Team forecast'!$B$2:$B$26,0),MATCH('Master data'!BH$1,'Team forecast'!$B$2:$AO$2,0))</f>
        <v>2.5755293393428875</v>
      </c>
      <c r="BI118" s="16">
        <f>INDEX('Team forecast'!$B$2:$AO$26,MATCH('Master data'!$B118,'Team forecast'!$B$2:$B$26,0),MATCH('Master data'!BI$1,'Team forecast'!$B$2:$AO$2,0))</f>
        <v>3.6247412564394597</v>
      </c>
      <c r="BJ118" s="5">
        <f>AQ118</f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>IF($C118="Defense",$N118*150000,IF($C118="Midfield",$N118*125000,IF($C118="Striker",$N118*100000,0)))*$BE118</f>
        <v>0</v>
      </c>
      <c r="BO118" s="5">
        <f>$O118*50000*$BE118</f>
        <v>0</v>
      </c>
      <c r="BP118" s="5">
        <f>$P118*BH118*10000</f>
        <v>0</v>
      </c>
      <c r="BQ118" s="5">
        <f>IF($C118="Goalkeeper",BG118*75000,IF($C118="Defense",BG118*50000,0))</f>
        <v>13674.271264623336</v>
      </c>
      <c r="BR118" s="5">
        <f>IF($C118="Goalkeeper",(BI118-BF118)*5000,0)</f>
        <v>0</v>
      </c>
      <c r="BS118" s="5">
        <f>$AG118</f>
        <v>0</v>
      </c>
      <c r="BT118" s="5">
        <f>$AH118</f>
        <v>0</v>
      </c>
      <c r="BU118" s="5">
        <f>IF(AQ118&gt;0,BE118*10000,0)</f>
        <v>0</v>
      </c>
      <c r="BV118" s="5">
        <f>IF(AQ118&gt;0,BF118*(-8000),0)</f>
        <v>0</v>
      </c>
      <c r="BW118" s="5">
        <f>IFERROR(SUM(BJ118:BV118),0)</f>
        <v>8674.2712646233358</v>
      </c>
      <c r="BX118" s="5">
        <f>AVERAGE(AK118,BD118,BW118)</f>
        <v>11597.870099853404</v>
      </c>
      <c r="BY118" s="5">
        <f>BX118*3</f>
        <v>34793.610299560212</v>
      </c>
      <c r="BZ118" s="5">
        <f>INDEX('Team forecast'!$R$3:$BH$26,MATCH($B118,'Team forecast'!$B$3:$B$26,0),MATCH(BZ$1,'Team forecast'!$R$2:$BH$2,0))*($BX118-(BY118+CH118)*0.01)</f>
        <v>-10339.219232404743</v>
      </c>
      <c r="CA118" s="5">
        <f>INDEX('Team forecast'!$R$3:$BH$26,MATCH($B118,'Team forecast'!$B$3:$B$26,0),MATCH(CA$1,'Team forecast'!$R$2:$BH$2,0))*($BX118-(BY118+BX118+CH118)*0.01)</f>
        <v>-5313.3806893218607</v>
      </c>
      <c r="CB118" s="5">
        <f>INDEX('Team forecast'!$R$3:$BH$26,MATCH($B118,'Team forecast'!$B$3:$B$26,0),MATCH(CB$1,'Team forecast'!$R$2:$BH$2,0))*($BX118-(BY118+BX118*2+CH118)*0.01)</f>
        <v>-2773.9744613808107</v>
      </c>
      <c r="CC118" s="5">
        <f>INDEX('Team forecast'!$R$3:$BH$26,MATCH($B118,'Team forecast'!$B$3:$B$26,0),MATCH(CC$1,'Team forecast'!$R$2:$BH$2,0))*($BX118-(BY118+BX118*3+CH118)*0.01)</f>
        <v>-1522.0900556358338</v>
      </c>
      <c r="CD118" s="5">
        <f>+AK118+BD118*Cockpit!$C$3+BW118*Cockpit!$C$3^2+BZ118*Cockpit!$C$3^3+CA118*Cockpit!$C$3^4+CB118*Cockpit!$C$3^5+CC118*Cockpit!$C$3^6</f>
        <v>22854.673581029896</v>
      </c>
      <c r="CE118" s="5"/>
      <c r="CF118" s="5"/>
      <c r="CG118" s="5">
        <v>0</v>
      </c>
      <c r="CH118" s="5">
        <f t="shared" si="46"/>
        <v>2500000</v>
      </c>
      <c r="CI118" s="5">
        <f t="shared" si="47"/>
        <v>2500000</v>
      </c>
      <c r="CJ118" s="1">
        <f t="shared" si="48"/>
        <v>1.3917444119824086E-2</v>
      </c>
      <c r="CK118" s="5">
        <f>RANK(BY118,$BY$2:$BY$623)+COUNTIF($BY$2:$BY118,$BY118)-1</f>
        <v>324</v>
      </c>
      <c r="CL118" s="5">
        <f>RANK(CJ118,$CJ$2:$CJ$623)+COUNTIF($CJ$2:$CJ118,$CJ118)-1</f>
        <v>317</v>
      </c>
    </row>
    <row r="119" spans="1:90">
      <c r="A119" t="str">
        <f>Players!P120</f>
        <v>Gonçalo  Guedes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1.7625676631272518</v>
      </c>
      <c r="I119" s="16">
        <f>INDEX('Team forecast'!$B$2:$AO$26,MATCH('Master data'!$B119,'Team forecast'!$B$2:$B$26,0),MATCH('Master data'!I$1,'Team forecast'!$B$2:$AO$2,0))</f>
        <v>0.75096675144877167</v>
      </c>
      <c r="J119" s="16">
        <f>INDEX('Team forecast'!$B$2:$AO$26,MATCH('Master data'!$B119,'Team forecast'!$B$2:$B$26,0),MATCH('Master data'!J$1,'Team forecast'!$B$2:$AO$2,0))</f>
        <v>0.47191011235955049</v>
      </c>
      <c r="K119" s="16">
        <f>INDEX('Team forecast'!$B$2:$AO$26,MATCH('Master data'!$B119,'Team forecast'!$B$2:$B$26,0),MATCH('Master data'!K$1,'Team forecast'!$B$2:$AO$2,0))</f>
        <v>4.4913621777278765</v>
      </c>
      <c r="L119" s="16">
        <f>INDEX('Team forecast'!$B$2:$AO$26,MATCH('Master data'!$B119,'Team forecast'!$B$2:$B$26,0),MATCH('Master data'!L$1,'Team forecast'!$B$2:$AO$2,0))</f>
        <v>2.0995338051067773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5.8772311710927297E-2</v>
      </c>
      <c r="R119" s="2">
        <f>Players!BR120</f>
        <v>3.9181541140618198E-2</v>
      </c>
      <c r="S119" s="2">
        <f>H119</f>
        <v>1.7625676631272518</v>
      </c>
      <c r="T119" s="2">
        <f>I119</f>
        <v>0.75096675144877167</v>
      </c>
      <c r="U119" s="16">
        <f>INDEX('Team forecast'!$B$2:$AO$26,MATCH('Master data'!$B119,'Team forecast'!$B$2:$B$26,0),MATCH('Master data'!U$1,'Team forecast'!$B$2:$AO$2,0))</f>
        <v>0.6292134831460674</v>
      </c>
      <c r="V119" s="16">
        <f>INDEX('Team forecast'!$B$2:$AO$26,MATCH('Master data'!$B119,'Team forecast'!$B$2:$B$26,0),MATCH('Master data'!V$1,'Team forecast'!$B$2:$AO$2,0))</f>
        <v>0.2359550561797753</v>
      </c>
      <c r="W119" s="16">
        <f>INDEX('Team forecast'!$B$2:$AO$26,MATCH('Master data'!$B119,'Team forecast'!$B$2:$B$26,0),MATCH('Master data'!W$1,'Team forecast'!$B$2:$AO$2,0))</f>
        <v>0.1348314606741573</v>
      </c>
      <c r="X119" s="5">
        <f>IF(M119&gt;95,7000*2,IF(M119&gt;0,7000,-5000))</f>
        <v>-5000</v>
      </c>
      <c r="Y119" s="5">
        <f>IF($X119&gt;0,U119*25000,0)</f>
        <v>0</v>
      </c>
      <c r="Z119" s="5">
        <f>IF($X119&gt;0,V119*5000,0)</f>
        <v>0</v>
      </c>
      <c r="AA119" s="5">
        <f>IF($X119&gt;0,W119*(-15000),0)</f>
        <v>0</v>
      </c>
      <c r="AB119" s="5">
        <f>IF($C119="Defense",$N119*150000,IF($C119="Midfield",$N119*125000,IF($C119="Striker",$N119*100000,0)))*$H119</f>
        <v>0</v>
      </c>
      <c r="AC119" s="5">
        <f>$O119*50000*H119</f>
        <v>0</v>
      </c>
      <c r="AD119" s="5">
        <f>$P119*K119*10000</f>
        <v>0</v>
      </c>
      <c r="AE119" s="5">
        <f>IF($C119="Goalkeeper",J119*75000,IF($C119="Defense",J119*50000,0))</f>
        <v>0</v>
      </c>
      <c r="AF119" s="5">
        <f>IF($C119="Goalkeeper",(L119-I119)*5000,0)</f>
        <v>0</v>
      </c>
      <c r="AG119" s="5">
        <f>IF(M119&gt;0,Q119*(-20000),0)</f>
        <v>0</v>
      </c>
      <c r="AH119" s="5">
        <f>IF(M119&gt;0,R119*(-50000),0)</f>
        <v>0</v>
      </c>
      <c r="AI119" s="5">
        <f>IF(M119&gt;0,S119*10000,0)</f>
        <v>0</v>
      </c>
      <c r="AJ119" s="5">
        <f>IF(M119&gt;0,T119*(-8000),0)</f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1.1612459518433673</v>
      </c>
      <c r="AM119" s="16">
        <f>INDEX('Team forecast'!$B$2:$AO$26,MATCH('Master data'!$B119,'Team forecast'!$B$2:$B$26,0),MATCH('Master data'!AM$1,'Team forecast'!$B$2:$AO$2,0))</f>
        <v>1.384389503157577</v>
      </c>
      <c r="AN119" s="16">
        <f>INDEX('Team forecast'!$B$2:$AO$26,MATCH('Master data'!$B119,'Team forecast'!$B$2:$B$26,0),MATCH('Master data'!AN$1,'Team forecast'!$B$2:$AO$2,0))</f>
        <v>0.25047666833918708</v>
      </c>
      <c r="AO119" s="16">
        <f>INDEX('Team forecast'!$B$2:$AO$26,MATCH('Master data'!$B119,'Team forecast'!$B$2:$B$26,0),MATCH('Master data'!AO$1,'Team forecast'!$B$2:$AO$2,0))</f>
        <v>2.9590785399382193</v>
      </c>
      <c r="AP119" s="16">
        <f>INDEX('Team forecast'!$B$2:$AO$26,MATCH('Master data'!$B119,'Team forecast'!$B$2:$B$26,0),MATCH('Master data'!AP$1,'Team forecast'!$B$2:$AO$2,0))</f>
        <v>3.8704410757292824</v>
      </c>
      <c r="AQ119" s="5">
        <f>X119</f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>IF($C119="Defense",$N119*150000,IF($C119="Midfield",$N119*125000,IF($C119="Striker",$N119*100000,0)))*$AL119</f>
        <v>0</v>
      </c>
      <c r="AV119" s="5">
        <f>$O119*50000*AL119</f>
        <v>0</v>
      </c>
      <c r="AW119" s="5">
        <f>$P119*AO119*10000</f>
        <v>0</v>
      </c>
      <c r="AX119" s="5">
        <f>IF($C119="Goalkeeper",AN119*75000,IF($C119="Defense",AN119*50000,0))</f>
        <v>0</v>
      </c>
      <c r="AY119" s="5">
        <f>IF($C119="Goalkeeper",(AP119-AM119)*5000,0)</f>
        <v>0</v>
      </c>
      <c r="AZ119" s="5">
        <f>$AG119</f>
        <v>0</v>
      </c>
      <c r="BA119" s="5">
        <f>$AH119</f>
        <v>0</v>
      </c>
      <c r="BB119" s="5">
        <f>IF(X119&gt;0,AL119*10000,0)</f>
        <v>0</v>
      </c>
      <c r="BC119" s="5">
        <f>IF(X119&gt;0,AM119*(-8000),0)</f>
        <v>0</v>
      </c>
      <c r="BD119" s="5">
        <f>IFERROR(SUM(AQ119:BC119),0)</f>
        <v>-5000</v>
      </c>
      <c r="BE119" s="16">
        <f>INDEX('Team forecast'!$B$2:$AO$26,MATCH('Master data'!$B119,'Team forecast'!$B$2:$B$26,0),MATCH('Master data'!BE$1,'Team forecast'!$B$2:$AO$2,0))</f>
        <v>1.0107278258414167</v>
      </c>
      <c r="BF119" s="16">
        <f>INDEX('Team forecast'!$B$2:$AO$26,MATCH('Master data'!$B119,'Team forecast'!$B$2:$B$26,0),MATCH('Master data'!BF$1,'Team forecast'!$B$2:$AO$2,0))</f>
        <v>1.2965069481471114</v>
      </c>
      <c r="BG119" s="16">
        <f>INDEX('Team forecast'!$B$2:$AO$26,MATCH('Master data'!$B119,'Team forecast'!$B$2:$B$26,0),MATCH('Master data'!BG$1,'Team forecast'!$B$2:$AO$2,0))</f>
        <v>0.27348542529246672</v>
      </c>
      <c r="BH119" s="16">
        <f>INDEX('Team forecast'!$B$2:$AO$26,MATCH('Master data'!$B119,'Team forecast'!$B$2:$B$26,0),MATCH('Master data'!BH$1,'Team forecast'!$B$2:$AO$2,0))</f>
        <v>2.5755293393428875</v>
      </c>
      <c r="BI119" s="16">
        <f>INDEX('Team forecast'!$B$2:$AO$26,MATCH('Master data'!$B119,'Team forecast'!$B$2:$B$26,0),MATCH('Master data'!BI$1,'Team forecast'!$B$2:$AO$2,0))</f>
        <v>3.6247412564394597</v>
      </c>
      <c r="BJ119" s="5">
        <f>AQ119</f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>IF($C119="Defense",$N119*150000,IF($C119="Midfield",$N119*125000,IF($C119="Striker",$N119*100000,0)))*$BE119</f>
        <v>0</v>
      </c>
      <c r="BO119" s="5">
        <f>$O119*50000*$BE119</f>
        <v>0</v>
      </c>
      <c r="BP119" s="5">
        <f>$P119*BH119*10000</f>
        <v>0</v>
      </c>
      <c r="BQ119" s="5">
        <f>IF($C119="Goalkeeper",BG119*75000,IF($C119="Defense",BG119*50000,0))</f>
        <v>0</v>
      </c>
      <c r="BR119" s="5">
        <f>IF($C119="Goalkeeper",(BI119-BF119)*5000,0)</f>
        <v>0</v>
      </c>
      <c r="BS119" s="5">
        <f>$AG119</f>
        <v>0</v>
      </c>
      <c r="BT119" s="5">
        <f>$AH119</f>
        <v>0</v>
      </c>
      <c r="BU119" s="5">
        <f>IF(AQ119&gt;0,BE119*10000,0)</f>
        <v>0</v>
      </c>
      <c r="BV119" s="5">
        <f>IF(AQ119&gt;0,BF119*(-8000),0)</f>
        <v>0</v>
      </c>
      <c r="BW119" s="5">
        <f>IFERROR(SUM(BJ119:BV119),0)</f>
        <v>-5000</v>
      </c>
      <c r="BX119" s="5">
        <f>AVERAGE(AK119,BD119,BW119)</f>
        <v>-5000</v>
      </c>
      <c r="BY119" s="5">
        <f>BX119*3</f>
        <v>-15000</v>
      </c>
      <c r="BZ119" s="5">
        <f>INDEX('Team forecast'!$R$3:$BH$26,MATCH($B119,'Team forecast'!$B$3:$B$26,0),MATCH(BZ$1,'Team forecast'!$R$2:$BH$2,0))*($BX119-(BY119+CH119)*0.01)</f>
        <v>-26205.095318594376</v>
      </c>
      <c r="CA119" s="5">
        <f>INDEX('Team forecast'!$R$3:$BH$26,MATCH($B119,'Team forecast'!$B$3:$B$26,0),MATCH(CA$1,'Team forecast'!$R$2:$BH$2,0))*($BX119-(BY119+BX119+CH119)*0.01)</f>
        <v>-13335.140044167281</v>
      </c>
      <c r="CB119" s="5">
        <f>INDEX('Team forecast'!$R$3:$BH$26,MATCH($B119,'Team forecast'!$B$3:$B$26,0),MATCH(CB$1,'Team forecast'!$R$2:$BH$2,0))*($BX119-(BY119+BX119*2+CH119)*0.01)</f>
        <v>-6894.2534095281053</v>
      </c>
      <c r="CC119" s="5">
        <f>INDEX('Team forecast'!$R$3:$BH$26,MATCH($B119,'Team forecast'!$B$3:$B$26,0),MATCH(CC$1,'Team forecast'!$R$2:$BH$2,0))*($BX119-(BY119+BX119*3+CH119)*0.01)</f>
        <v>-3746.3836742916124</v>
      </c>
      <c r="CD119" s="5">
        <f>+AK119+BD119*Cockpit!$C$3+BW119*Cockpit!$C$3^2+BZ119*Cockpit!$C$3^3+CA119*Cockpit!$C$3^4+CB119*Cockpit!$C$3^5+CC119*Cockpit!$C$3^6</f>
        <v>-22190.915826674667</v>
      </c>
      <c r="CE119" s="5"/>
      <c r="CF119" s="5"/>
      <c r="CG119" s="5">
        <v>0</v>
      </c>
      <c r="CH119" s="5">
        <f t="shared" si="46"/>
        <v>3000000</v>
      </c>
      <c r="CI119" s="5">
        <f t="shared" si="47"/>
        <v>3000000</v>
      </c>
      <c r="CJ119" s="1">
        <f t="shared" si="48"/>
        <v>-5.0000000000000001E-3</v>
      </c>
      <c r="CK119" s="5">
        <f>RANK(BY119,$BY$2:$BY$623)+COUNTIF($BY$2:$BY119,$BY119)-1</f>
        <v>460</v>
      </c>
      <c r="CL119" s="5">
        <f>RANK(CJ119,$CJ$2:$CJ$623)+COUNTIF($CJ$2:$CJ119,$CJ119)-1</f>
        <v>487</v>
      </c>
    </row>
    <row r="120" spans="1:90">
      <c r="A120" t="str">
        <f>Players!P121</f>
        <v>Pedro  Gonçalves</v>
      </c>
      <c r="B120" t="str">
        <f>Players!G121</f>
        <v>Portugal</v>
      </c>
      <c r="C120" t="str">
        <f>Players!AB121</f>
        <v>Striker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3000000</v>
      </c>
      <c r="H120" s="16">
        <f>INDEX('Team forecast'!$B$2:$AO$26,MATCH('Master data'!$B120,'Team forecast'!$B$2:$B$26,0),MATCH('Master data'!H$1,'Team forecast'!$B$2:$AO$2,0))</f>
        <v>1.7625676631272518</v>
      </c>
      <c r="I120" s="16">
        <f>INDEX('Team forecast'!$B$2:$AO$26,MATCH('Master data'!$B120,'Team forecast'!$B$2:$B$26,0),MATCH('Master data'!I$1,'Team forecast'!$B$2:$AO$2,0))</f>
        <v>0.75096675144877167</v>
      </c>
      <c r="J120" s="16">
        <f>INDEX('Team forecast'!$B$2:$AO$26,MATCH('Master data'!$B120,'Team forecast'!$B$2:$B$26,0),MATCH('Master data'!J$1,'Team forecast'!$B$2:$AO$2,0))</f>
        <v>0.47191011235955049</v>
      </c>
      <c r="K120" s="16">
        <f>INDEX('Team forecast'!$B$2:$AO$26,MATCH('Master data'!$B120,'Team forecast'!$B$2:$B$26,0),MATCH('Master data'!K$1,'Team forecast'!$B$2:$AO$2,0))</f>
        <v>4.4913621777278765</v>
      </c>
      <c r="L120" s="16">
        <f>INDEX('Team forecast'!$B$2:$AO$26,MATCH('Master data'!$B120,'Team forecast'!$B$2:$B$26,0),MATCH('Master data'!L$1,'Team forecast'!$B$2:$AO$2,0))</f>
        <v>2.0995338051067773</v>
      </c>
      <c r="M120">
        <f>IF(Players!BC121=1,95,0)</f>
        <v>0</v>
      </c>
      <c r="N120" s="2">
        <f>Players!BN121</f>
        <v>0</v>
      </c>
      <c r="O120" s="2">
        <f>Players!BO121</f>
        <v>0</v>
      </c>
      <c r="P120" s="2">
        <f>Players!BP121</f>
        <v>0</v>
      </c>
      <c r="Q120" s="2">
        <f>Players!BQ121</f>
        <v>6.1391541609822645E-2</v>
      </c>
      <c r="R120" s="2">
        <f>Players!BR121</f>
        <v>4.0927694406548427E-2</v>
      </c>
      <c r="S120" s="2">
        <f>H120</f>
        <v>1.7625676631272518</v>
      </c>
      <c r="T120" s="2">
        <f>I120</f>
        <v>0.75096675144877167</v>
      </c>
      <c r="U120" s="16">
        <f>INDEX('Team forecast'!$B$2:$AO$26,MATCH('Master data'!$B120,'Team forecast'!$B$2:$B$26,0),MATCH('Master data'!U$1,'Team forecast'!$B$2:$AO$2,0))</f>
        <v>0.6292134831460674</v>
      </c>
      <c r="V120" s="16">
        <f>INDEX('Team forecast'!$B$2:$AO$26,MATCH('Master data'!$B120,'Team forecast'!$B$2:$B$26,0),MATCH('Master data'!V$1,'Team forecast'!$B$2:$AO$2,0))</f>
        <v>0.2359550561797753</v>
      </c>
      <c r="W120" s="16">
        <f>INDEX('Team forecast'!$B$2:$AO$26,MATCH('Master data'!$B120,'Team forecast'!$B$2:$B$26,0),MATCH('Master data'!W$1,'Team forecast'!$B$2:$AO$2,0))</f>
        <v>0.1348314606741573</v>
      </c>
      <c r="X120" s="5">
        <f>IF(M120&gt;95,7000*2,IF(M120&gt;0,7000,-5000))</f>
        <v>-5000</v>
      </c>
      <c r="Y120" s="5">
        <f>IF($X120&gt;0,U120*25000,0)</f>
        <v>0</v>
      </c>
      <c r="Z120" s="5">
        <f>IF($X120&gt;0,V120*5000,0)</f>
        <v>0</v>
      </c>
      <c r="AA120" s="5">
        <f>IF($X120&gt;0,W120*(-15000),0)</f>
        <v>0</v>
      </c>
      <c r="AB120" s="5">
        <f>IF($C120="Defense",$N120*150000,IF($C120="Midfield",$N120*125000,IF($C120="Striker",$N120*100000,0)))*$H120</f>
        <v>0</v>
      </c>
      <c r="AC120" s="5">
        <f>$O120*50000*H120</f>
        <v>0</v>
      </c>
      <c r="AD120" s="5">
        <f>$P120*K120*10000</f>
        <v>0</v>
      </c>
      <c r="AE120" s="5">
        <f>IF($C120="Goalkeeper",J120*75000,IF($C120="Defense",J120*50000,0))</f>
        <v>0</v>
      </c>
      <c r="AF120" s="5">
        <f>IF($C120="Goalkeeper",(L120-I120)*5000,0)</f>
        <v>0</v>
      </c>
      <c r="AG120" s="5">
        <f>IF(M120&gt;0,Q120*(-20000),0)</f>
        <v>0</v>
      </c>
      <c r="AH120" s="5">
        <f>IF(M120&gt;0,R120*(-50000),0)</f>
        <v>0</v>
      </c>
      <c r="AI120" s="5">
        <f>IF(M120&gt;0,S120*10000,0)</f>
        <v>0</v>
      </c>
      <c r="AJ120" s="5">
        <f>IF(M120&gt;0,T120*(-8000),0)</f>
        <v>0</v>
      </c>
      <c r="AK120" s="5">
        <f>IFERROR(SUM(X120:AJ120),-5000)*((Cockpit!$C$3)^0)</f>
        <v>-5000</v>
      </c>
      <c r="AL120" s="16">
        <f>INDEX('Team forecast'!$B$2:$AO$26,MATCH('Master data'!$B120,'Team forecast'!$B$2:$B$26,0),MATCH('Master data'!AL$1,'Team forecast'!$B$2:$AO$2,0))</f>
        <v>1.1612459518433673</v>
      </c>
      <c r="AM120" s="16">
        <f>INDEX('Team forecast'!$B$2:$AO$26,MATCH('Master data'!$B120,'Team forecast'!$B$2:$B$26,0),MATCH('Master data'!AM$1,'Team forecast'!$B$2:$AO$2,0))</f>
        <v>1.384389503157577</v>
      </c>
      <c r="AN120" s="16">
        <f>INDEX('Team forecast'!$B$2:$AO$26,MATCH('Master data'!$B120,'Team forecast'!$B$2:$B$26,0),MATCH('Master data'!AN$1,'Team forecast'!$B$2:$AO$2,0))</f>
        <v>0.25047666833918708</v>
      </c>
      <c r="AO120" s="16">
        <f>INDEX('Team forecast'!$B$2:$AO$26,MATCH('Master data'!$B120,'Team forecast'!$B$2:$B$26,0),MATCH('Master data'!AO$1,'Team forecast'!$B$2:$AO$2,0))</f>
        <v>2.9590785399382193</v>
      </c>
      <c r="AP120" s="16">
        <f>INDEX('Team forecast'!$B$2:$AO$26,MATCH('Master data'!$B120,'Team forecast'!$B$2:$B$26,0),MATCH('Master data'!AP$1,'Team forecast'!$B$2:$AO$2,0))</f>
        <v>3.8704410757292824</v>
      </c>
      <c r="AQ120" s="5">
        <f>X120</f>
        <v>-5000</v>
      </c>
      <c r="AR120" s="5">
        <f>INDEX('Team forecast'!$B$2:$AO$26,MATCH('Master data'!$B120,'Team forecast'!$B$2:$B$26,0),MATCH('Master data'!AR$1,'Team forecast'!$B$2:$AO$2,0))*IF(X120&gt;0,25000,0)</f>
        <v>0</v>
      </c>
      <c r="AS120" s="16">
        <f>INDEX('Team forecast'!$B$2:$AO$26,MATCH('Master data'!$B120,'Team forecast'!$B$2:$B$26,0),MATCH('Master data'!AS$1,'Team forecast'!$B$2:$AO$2,0))*IF(X120&gt;0,5000,0)</f>
        <v>0</v>
      </c>
      <c r="AT120" s="16">
        <f>INDEX('Team forecast'!$B$2:$AO$26,MATCH('Master data'!$B120,'Team forecast'!$B$2:$B$26,0),MATCH('Master data'!AT$1,'Team forecast'!$B$2:$AO$2,0))*IF(X120&gt;0,-15000,0)</f>
        <v>0</v>
      </c>
      <c r="AU120" s="5">
        <f>IF($C120="Defense",$N120*150000,IF($C120="Midfield",$N120*125000,IF($C120="Striker",$N120*100000,0)))*$AL120</f>
        <v>0</v>
      </c>
      <c r="AV120" s="5">
        <f>$O120*50000*AL120</f>
        <v>0</v>
      </c>
      <c r="AW120" s="5">
        <f>$P120*AO120*10000</f>
        <v>0</v>
      </c>
      <c r="AX120" s="5">
        <f>IF($C120="Goalkeeper",AN120*75000,IF($C120="Defense",AN120*50000,0))</f>
        <v>0</v>
      </c>
      <c r="AY120" s="5">
        <f>IF($C120="Goalkeeper",(AP120-AM120)*5000,0)</f>
        <v>0</v>
      </c>
      <c r="AZ120" s="5">
        <f>$AG120</f>
        <v>0</v>
      </c>
      <c r="BA120" s="5">
        <f>$AH120</f>
        <v>0</v>
      </c>
      <c r="BB120" s="5">
        <f>IF(X120&gt;0,AL120*10000,0)</f>
        <v>0</v>
      </c>
      <c r="BC120" s="5">
        <f>IF(X120&gt;0,AM120*(-8000),0)</f>
        <v>0</v>
      </c>
      <c r="BD120" s="5">
        <f>IFERROR(SUM(AQ120:BC120),0)</f>
        <v>-5000</v>
      </c>
      <c r="BE120" s="16">
        <f>INDEX('Team forecast'!$B$2:$AO$26,MATCH('Master data'!$B120,'Team forecast'!$B$2:$B$26,0),MATCH('Master data'!BE$1,'Team forecast'!$B$2:$AO$2,0))</f>
        <v>1.0107278258414167</v>
      </c>
      <c r="BF120" s="16">
        <f>INDEX('Team forecast'!$B$2:$AO$26,MATCH('Master data'!$B120,'Team forecast'!$B$2:$B$26,0),MATCH('Master data'!BF$1,'Team forecast'!$B$2:$AO$2,0))</f>
        <v>1.2965069481471114</v>
      </c>
      <c r="BG120" s="16">
        <f>INDEX('Team forecast'!$B$2:$AO$26,MATCH('Master data'!$B120,'Team forecast'!$B$2:$B$26,0),MATCH('Master data'!BG$1,'Team forecast'!$B$2:$AO$2,0))</f>
        <v>0.27348542529246672</v>
      </c>
      <c r="BH120" s="16">
        <f>INDEX('Team forecast'!$B$2:$AO$26,MATCH('Master data'!$B120,'Team forecast'!$B$2:$B$26,0),MATCH('Master data'!BH$1,'Team forecast'!$B$2:$AO$2,0))</f>
        <v>2.5755293393428875</v>
      </c>
      <c r="BI120" s="16">
        <f>INDEX('Team forecast'!$B$2:$AO$26,MATCH('Master data'!$B120,'Team forecast'!$B$2:$B$26,0),MATCH('Master data'!BI$1,'Team forecast'!$B$2:$AO$2,0))</f>
        <v>3.6247412564394597</v>
      </c>
      <c r="BJ120" s="5">
        <f>AQ120</f>
        <v>-5000</v>
      </c>
      <c r="BK120" s="5">
        <f>INDEX('Team forecast'!$R$3:$BH$26,MATCH($B120,'Team forecast'!$B$3:$B$26,0),MATCH(BK$1,'Team forecast'!$R$2:$BH$2,0))*IF($X120&gt;0,25000,0)</f>
        <v>0</v>
      </c>
      <c r="BL120" s="5">
        <f>INDEX('Team forecast'!$R$3:$BH$26,MATCH($B120,'Team forecast'!$B$3:$B$26,0),MATCH(BL$1,'Team forecast'!$R$2:$BH$2,0))*IF($X120&gt;0,5000,0)</f>
        <v>0</v>
      </c>
      <c r="BM120" s="5">
        <f>INDEX('Team forecast'!$R$3:$BH$26,MATCH($B120,'Team forecast'!$B$3:$B$26,0),MATCH(BM$1,'Team forecast'!$R$2:$BH$2,0))*IF($X120&gt;0,-15000,0)</f>
        <v>0</v>
      </c>
      <c r="BN120" s="5">
        <f>IF($C120="Defense",$N120*150000,IF($C120="Midfield",$N120*125000,IF($C120="Striker",$N120*100000,0)))*$BE120</f>
        <v>0</v>
      </c>
      <c r="BO120" s="5">
        <f>$O120*50000*$BE120</f>
        <v>0</v>
      </c>
      <c r="BP120" s="5">
        <f>$P120*BH120*10000</f>
        <v>0</v>
      </c>
      <c r="BQ120" s="5">
        <f>IF($C120="Goalkeeper",BG120*75000,IF($C120="Defense",BG120*50000,0))</f>
        <v>0</v>
      </c>
      <c r="BR120" s="5">
        <f>IF($C120="Goalkeeper",(BI120-BF120)*5000,0)</f>
        <v>0</v>
      </c>
      <c r="BS120" s="5">
        <f>$AG120</f>
        <v>0</v>
      </c>
      <c r="BT120" s="5">
        <f>$AH120</f>
        <v>0</v>
      </c>
      <c r="BU120" s="5">
        <f>IF(AQ120&gt;0,BE120*10000,0)</f>
        <v>0</v>
      </c>
      <c r="BV120" s="5">
        <f>IF(AQ120&gt;0,BF120*(-8000),0)</f>
        <v>0</v>
      </c>
      <c r="BW120" s="5">
        <f>IFERROR(SUM(BJ120:BV120),0)</f>
        <v>-5000</v>
      </c>
      <c r="BX120" s="5">
        <f>AVERAGE(AK120,BD120,BW120)</f>
        <v>-5000</v>
      </c>
      <c r="BY120" s="5">
        <f>BX120*3</f>
        <v>-15000</v>
      </c>
      <c r="BZ120" s="5">
        <f>INDEX('Team forecast'!$R$3:$BH$26,MATCH($B120,'Team forecast'!$B$3:$B$26,0),MATCH(BZ$1,'Team forecast'!$R$2:$BH$2,0))*($BX120-(BY120+CH120)*0.01)</f>
        <v>-26205.095318594376</v>
      </c>
      <c r="CA120" s="5">
        <f>INDEX('Team forecast'!$R$3:$BH$26,MATCH($B120,'Team forecast'!$B$3:$B$26,0),MATCH(CA$1,'Team forecast'!$R$2:$BH$2,0))*($BX120-(BY120+BX120+CH120)*0.01)</f>
        <v>-13335.140044167281</v>
      </c>
      <c r="CB120" s="5">
        <f>INDEX('Team forecast'!$R$3:$BH$26,MATCH($B120,'Team forecast'!$B$3:$B$26,0),MATCH(CB$1,'Team forecast'!$R$2:$BH$2,0))*($BX120-(BY120+BX120*2+CH120)*0.01)</f>
        <v>-6894.2534095281053</v>
      </c>
      <c r="CC120" s="5">
        <f>INDEX('Team forecast'!$R$3:$BH$26,MATCH($B120,'Team forecast'!$B$3:$B$26,0),MATCH(CC$1,'Team forecast'!$R$2:$BH$2,0))*($BX120-(BY120+BX120*3+CH120)*0.01)</f>
        <v>-3746.3836742916124</v>
      </c>
      <c r="CD120" s="5">
        <f>+AK120+BD120*Cockpit!$C$3+BW120*Cockpit!$C$3^2+BZ120*Cockpit!$C$3^3+CA120*Cockpit!$C$3^4+CB120*Cockpit!$C$3^5+CC120*Cockpit!$C$3^6</f>
        <v>-22190.915826674667</v>
      </c>
      <c r="CE120" s="5"/>
      <c r="CF120" s="5"/>
      <c r="CG120" s="5">
        <v>0</v>
      </c>
      <c r="CH120" s="5">
        <f t="shared" si="46"/>
        <v>3000000</v>
      </c>
      <c r="CI120" s="5">
        <f t="shared" si="47"/>
        <v>3000000</v>
      </c>
      <c r="CJ120" s="1">
        <f t="shared" si="48"/>
        <v>-5.0000000000000001E-3</v>
      </c>
      <c r="CK120" s="5">
        <f>RANK(BY120,$BY$2:$BY$623)+COUNTIF($BY$2:$BY120,$BY120)-1</f>
        <v>461</v>
      </c>
      <c r="CL120" s="5">
        <f>RANK(CJ120,$CJ$2:$CJ$623)+COUNTIF($CJ$2:$CJ120,$CJ120)-1</f>
        <v>488</v>
      </c>
    </row>
    <row r="121" spans="1:90">
      <c r="A121" t="str">
        <f>Players!P122</f>
        <v>Sergio Oliveira</v>
      </c>
      <c r="B121" t="str">
        <f>Players!G122</f>
        <v>Portugal</v>
      </c>
      <c r="C121" t="str">
        <f>Players!AB122</f>
        <v>Midfield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1.7625676631272518</v>
      </c>
      <c r="I121" s="16">
        <f>INDEX('Team forecast'!$B$2:$AO$26,MATCH('Master data'!$B121,'Team forecast'!$B$2:$B$26,0),MATCH('Master data'!I$1,'Team forecast'!$B$2:$AO$2,0))</f>
        <v>0.75096675144877167</v>
      </c>
      <c r="J121" s="16">
        <f>INDEX('Team forecast'!$B$2:$AO$26,MATCH('Master data'!$B121,'Team forecast'!$B$2:$B$26,0),MATCH('Master data'!J$1,'Team forecast'!$B$2:$AO$2,0))</f>
        <v>0.47191011235955049</v>
      </c>
      <c r="K121" s="16">
        <f>INDEX('Team forecast'!$B$2:$AO$26,MATCH('Master data'!$B121,'Team forecast'!$B$2:$B$26,0),MATCH('Master data'!K$1,'Team forecast'!$B$2:$AO$2,0))</f>
        <v>4.4913621777278765</v>
      </c>
      <c r="L121" s="16">
        <f>INDEX('Team forecast'!$B$2:$AO$26,MATCH('Master data'!$B121,'Team forecast'!$B$2:$B$26,0),MATCH('Master data'!L$1,'Team forecast'!$B$2:$AO$2,0))</f>
        <v>2.0995338051067773</v>
      </c>
      <c r="M121">
        <f>IF(Players!BC122=1,95,0)</f>
        <v>0</v>
      </c>
      <c r="N121" s="2">
        <f>Players!BN122</f>
        <v>0</v>
      </c>
      <c r="O121" s="2">
        <f>Players!BO122</f>
        <v>0</v>
      </c>
      <c r="P121" s="2">
        <f>Players!BP122</f>
        <v>0</v>
      </c>
      <c r="Q121" s="2">
        <f>Players!BQ122</f>
        <v>9.5000000000000001E-2</v>
      </c>
      <c r="R121" s="2">
        <f>Players!BR122</f>
        <v>0</v>
      </c>
      <c r="S121" s="2">
        <f>H121</f>
        <v>1.7625676631272518</v>
      </c>
      <c r="T121" s="2">
        <f>I121</f>
        <v>0.75096675144877167</v>
      </c>
      <c r="U121" s="16">
        <f>INDEX('Team forecast'!$B$2:$AO$26,MATCH('Master data'!$B121,'Team forecast'!$B$2:$B$26,0),MATCH('Master data'!U$1,'Team forecast'!$B$2:$AO$2,0))</f>
        <v>0.6292134831460674</v>
      </c>
      <c r="V121" s="16">
        <f>INDEX('Team forecast'!$B$2:$AO$26,MATCH('Master data'!$B121,'Team forecast'!$B$2:$B$26,0),MATCH('Master data'!V$1,'Team forecast'!$B$2:$AO$2,0))</f>
        <v>0.2359550561797753</v>
      </c>
      <c r="W121" s="16">
        <f>INDEX('Team forecast'!$B$2:$AO$26,MATCH('Master data'!$B121,'Team forecast'!$B$2:$B$26,0),MATCH('Master data'!W$1,'Team forecast'!$B$2:$AO$2,0))</f>
        <v>0.1348314606741573</v>
      </c>
      <c r="X121" s="5">
        <f>IF(M121&gt;95,7000*2,IF(M121&gt;0,7000,-5000))</f>
        <v>-5000</v>
      </c>
      <c r="Y121" s="5">
        <f>IF($X121&gt;0,U121*25000,0)</f>
        <v>0</v>
      </c>
      <c r="Z121" s="5">
        <f>IF($X121&gt;0,V121*5000,0)</f>
        <v>0</v>
      </c>
      <c r="AA121" s="5">
        <f>IF($X121&gt;0,W121*(-15000),0)</f>
        <v>0</v>
      </c>
      <c r="AB121" s="5">
        <f>IF($C121="Defense",$N121*150000,IF($C121="Midfield",$N121*125000,IF($C121="Striker",$N121*100000,0)))*$H121</f>
        <v>0</v>
      </c>
      <c r="AC121" s="5">
        <f>$O121*50000*H121</f>
        <v>0</v>
      </c>
      <c r="AD121" s="5">
        <f>$P121*K121*10000</f>
        <v>0</v>
      </c>
      <c r="AE121" s="5">
        <f>IF($C121="Goalkeeper",J121*75000,IF($C121="Defense",J121*50000,0))</f>
        <v>0</v>
      </c>
      <c r="AF121" s="5">
        <f>IF($C121="Goalkeeper",(L121-I121)*5000,0)</f>
        <v>0</v>
      </c>
      <c r="AG121" s="5">
        <f>IF(M121&gt;0,Q121*(-20000),0)</f>
        <v>0</v>
      </c>
      <c r="AH121" s="5">
        <f>IF(M121&gt;0,R121*(-50000),0)</f>
        <v>0</v>
      </c>
      <c r="AI121" s="5">
        <f>IF(M121&gt;0,S121*10000,0)</f>
        <v>0</v>
      </c>
      <c r="AJ121" s="5">
        <f>IF(M121&gt;0,T121*(-8000),0)</f>
        <v>0</v>
      </c>
      <c r="AK121" s="5">
        <f>IFERROR(SUM(X121:AJ121),-5000)*((Cockpit!$C$3)^0)</f>
        <v>-5000</v>
      </c>
      <c r="AL121" s="16">
        <f>INDEX('Team forecast'!$B$2:$AO$26,MATCH('Master data'!$B121,'Team forecast'!$B$2:$B$26,0),MATCH('Master data'!AL$1,'Team forecast'!$B$2:$AO$2,0))</f>
        <v>1.1612459518433673</v>
      </c>
      <c r="AM121" s="16">
        <f>INDEX('Team forecast'!$B$2:$AO$26,MATCH('Master data'!$B121,'Team forecast'!$B$2:$B$26,0),MATCH('Master data'!AM$1,'Team forecast'!$B$2:$AO$2,0))</f>
        <v>1.384389503157577</v>
      </c>
      <c r="AN121" s="16">
        <f>INDEX('Team forecast'!$B$2:$AO$26,MATCH('Master data'!$B121,'Team forecast'!$B$2:$B$26,0),MATCH('Master data'!AN$1,'Team forecast'!$B$2:$AO$2,0))</f>
        <v>0.25047666833918708</v>
      </c>
      <c r="AO121" s="16">
        <f>INDEX('Team forecast'!$B$2:$AO$26,MATCH('Master data'!$B121,'Team forecast'!$B$2:$B$26,0),MATCH('Master data'!AO$1,'Team forecast'!$B$2:$AO$2,0))</f>
        <v>2.9590785399382193</v>
      </c>
      <c r="AP121" s="16">
        <f>INDEX('Team forecast'!$B$2:$AO$26,MATCH('Master data'!$B121,'Team forecast'!$B$2:$B$26,0),MATCH('Master data'!AP$1,'Team forecast'!$B$2:$AO$2,0))</f>
        <v>3.8704410757292824</v>
      </c>
      <c r="AQ121" s="5">
        <f>X121</f>
        <v>-5000</v>
      </c>
      <c r="AR121" s="5">
        <f>INDEX('Team forecast'!$B$2:$AO$26,MATCH('Master data'!$B121,'Team forecast'!$B$2:$B$26,0),MATCH('Master data'!AR$1,'Team forecast'!$B$2:$AO$2,0))*IF(X121&gt;0,25000,0)</f>
        <v>0</v>
      </c>
      <c r="AS121" s="16">
        <f>INDEX('Team forecast'!$B$2:$AO$26,MATCH('Master data'!$B121,'Team forecast'!$B$2:$B$26,0),MATCH('Master data'!AS$1,'Team forecast'!$B$2:$AO$2,0))*IF(X121&gt;0,5000,0)</f>
        <v>0</v>
      </c>
      <c r="AT121" s="16">
        <f>INDEX('Team forecast'!$B$2:$AO$26,MATCH('Master data'!$B121,'Team forecast'!$B$2:$B$26,0),MATCH('Master data'!AT$1,'Team forecast'!$B$2:$AO$2,0))*IF(X121&gt;0,-15000,0)</f>
        <v>0</v>
      </c>
      <c r="AU121" s="5">
        <f>IF($C121="Defense",$N121*150000,IF($C121="Midfield",$N121*125000,IF($C121="Striker",$N121*100000,0)))*$AL121</f>
        <v>0</v>
      </c>
      <c r="AV121" s="5">
        <f>$O121*50000*AL121</f>
        <v>0</v>
      </c>
      <c r="AW121" s="5">
        <f>$P121*AO121*10000</f>
        <v>0</v>
      </c>
      <c r="AX121" s="5">
        <f>IF($C121="Goalkeeper",AN121*75000,IF($C121="Defense",AN121*50000,0))</f>
        <v>0</v>
      </c>
      <c r="AY121" s="5">
        <f>IF($C121="Goalkeeper",(AP121-AM121)*5000,0)</f>
        <v>0</v>
      </c>
      <c r="AZ121" s="5">
        <f>$AG121</f>
        <v>0</v>
      </c>
      <c r="BA121" s="5">
        <f>$AH121</f>
        <v>0</v>
      </c>
      <c r="BB121" s="5">
        <f>IF(X121&gt;0,AL121*10000,0)</f>
        <v>0</v>
      </c>
      <c r="BC121" s="5">
        <f>IF(X121&gt;0,AM121*(-8000),0)</f>
        <v>0</v>
      </c>
      <c r="BD121" s="5">
        <f>IFERROR(SUM(AQ121:BC121),0)</f>
        <v>-5000</v>
      </c>
      <c r="BE121" s="16">
        <f>INDEX('Team forecast'!$B$2:$AO$26,MATCH('Master data'!$B121,'Team forecast'!$B$2:$B$26,0),MATCH('Master data'!BE$1,'Team forecast'!$B$2:$AO$2,0))</f>
        <v>1.0107278258414167</v>
      </c>
      <c r="BF121" s="16">
        <f>INDEX('Team forecast'!$B$2:$AO$26,MATCH('Master data'!$B121,'Team forecast'!$B$2:$B$26,0),MATCH('Master data'!BF$1,'Team forecast'!$B$2:$AO$2,0))</f>
        <v>1.2965069481471114</v>
      </c>
      <c r="BG121" s="16">
        <f>INDEX('Team forecast'!$B$2:$AO$26,MATCH('Master data'!$B121,'Team forecast'!$B$2:$B$26,0),MATCH('Master data'!BG$1,'Team forecast'!$B$2:$AO$2,0))</f>
        <v>0.27348542529246672</v>
      </c>
      <c r="BH121" s="16">
        <f>INDEX('Team forecast'!$B$2:$AO$26,MATCH('Master data'!$B121,'Team forecast'!$B$2:$B$26,0),MATCH('Master data'!BH$1,'Team forecast'!$B$2:$AO$2,0))</f>
        <v>2.5755293393428875</v>
      </c>
      <c r="BI121" s="16">
        <f>INDEX('Team forecast'!$B$2:$AO$26,MATCH('Master data'!$B121,'Team forecast'!$B$2:$B$26,0),MATCH('Master data'!BI$1,'Team forecast'!$B$2:$AO$2,0))</f>
        <v>3.6247412564394597</v>
      </c>
      <c r="BJ121" s="5">
        <f>AQ121</f>
        <v>-5000</v>
      </c>
      <c r="BK121" s="5">
        <f>INDEX('Team forecast'!$R$3:$BH$26,MATCH($B121,'Team forecast'!$B$3:$B$26,0),MATCH(BK$1,'Team forecast'!$R$2:$BH$2,0))*IF($X121&gt;0,25000,0)</f>
        <v>0</v>
      </c>
      <c r="BL121" s="5">
        <f>INDEX('Team forecast'!$R$3:$BH$26,MATCH($B121,'Team forecast'!$B$3:$B$26,0),MATCH(BL$1,'Team forecast'!$R$2:$BH$2,0))*IF($X121&gt;0,5000,0)</f>
        <v>0</v>
      </c>
      <c r="BM121" s="5">
        <f>INDEX('Team forecast'!$R$3:$BH$26,MATCH($B121,'Team forecast'!$B$3:$B$26,0),MATCH(BM$1,'Team forecast'!$R$2:$BH$2,0))*IF($X121&gt;0,-15000,0)</f>
        <v>0</v>
      </c>
      <c r="BN121" s="5">
        <f>IF($C121="Defense",$N121*150000,IF($C121="Midfield",$N121*125000,IF($C121="Striker",$N121*100000,0)))*$BE121</f>
        <v>0</v>
      </c>
      <c r="BO121" s="5">
        <f>$O121*50000*$BE121</f>
        <v>0</v>
      </c>
      <c r="BP121" s="5">
        <f>$P121*BH121*10000</f>
        <v>0</v>
      </c>
      <c r="BQ121" s="5">
        <f>IF($C121="Goalkeeper",BG121*75000,IF($C121="Defense",BG121*50000,0))</f>
        <v>0</v>
      </c>
      <c r="BR121" s="5">
        <f>IF($C121="Goalkeeper",(BI121-BF121)*5000,0)</f>
        <v>0</v>
      </c>
      <c r="BS121" s="5">
        <f>$AG121</f>
        <v>0</v>
      </c>
      <c r="BT121" s="5">
        <f>$AH121</f>
        <v>0</v>
      </c>
      <c r="BU121" s="5">
        <f>IF(AQ121&gt;0,BE121*10000,0)</f>
        <v>0</v>
      </c>
      <c r="BV121" s="5">
        <f>IF(AQ121&gt;0,BF121*(-8000),0)</f>
        <v>0</v>
      </c>
      <c r="BW121" s="5">
        <f>IFERROR(SUM(BJ121:BV121),0)</f>
        <v>-5000</v>
      </c>
      <c r="BX121" s="5">
        <f>AVERAGE(AK121,BD121,BW121)</f>
        <v>-5000</v>
      </c>
      <c r="BY121" s="5">
        <f>BX121*3</f>
        <v>-15000</v>
      </c>
      <c r="BZ121" s="5">
        <f>INDEX('Team forecast'!$R$3:$BH$26,MATCH($B121,'Team forecast'!$B$3:$B$26,0),MATCH(BZ$1,'Team forecast'!$R$2:$BH$2,0))*($BX121-(BY121+CH121)*0.01)</f>
        <v>-33724.491392796495</v>
      </c>
      <c r="CA121" s="5">
        <f>INDEX('Team forecast'!$R$3:$BH$26,MATCH($B121,'Team forecast'!$B$3:$B$26,0),MATCH(CA$1,'Team forecast'!$R$2:$BH$2,0))*($BX121-(BY121+BX121+CH121)*0.01)</f>
        <v>-17167.076838468223</v>
      </c>
      <c r="CB121" s="5">
        <f>INDEX('Team forecast'!$R$3:$BH$26,MATCH($B121,'Team forecast'!$B$3:$B$26,0),MATCH(CB$1,'Team forecast'!$R$2:$BH$2,0))*($BX121-(BY121+BX121*2+CH121)*0.01)</f>
        <v>-8878.2112252196457</v>
      </c>
      <c r="CC121" s="5">
        <f>INDEX('Team forecast'!$R$3:$BH$26,MATCH($B121,'Team forecast'!$B$3:$B$26,0),MATCH(CC$1,'Team forecast'!$R$2:$BH$2,0))*($BX121-(BY121+BX121*3+CH121)*0.01)</f>
        <v>-4826.0331481508665</v>
      </c>
      <c r="CD121" s="5">
        <f>+AK121+BD121*Cockpit!$C$3+BW121*Cockpit!$C$3^2+BZ121*Cockpit!$C$3^3+CA121*Cockpit!$C$3^4+CB121*Cockpit!$C$3^5+CC121*Cockpit!$C$3^6</f>
        <v>-25531.856796551725</v>
      </c>
      <c r="CE121" s="5"/>
      <c r="CF121" s="5"/>
      <c r="CG121" s="5">
        <v>0</v>
      </c>
      <c r="CH121" s="5">
        <f t="shared" si="46"/>
        <v>4000000</v>
      </c>
      <c r="CI121" s="5">
        <f t="shared" si="47"/>
        <v>4000000</v>
      </c>
      <c r="CJ121" s="1">
        <f t="shared" si="48"/>
        <v>-3.7499999999999999E-3</v>
      </c>
      <c r="CK121" s="5">
        <f>RANK(BY121,$BY$2:$BY$623)+COUNTIF($BY$2:$BY121,$BY121)-1</f>
        <v>462</v>
      </c>
      <c r="CL121" s="5">
        <f>RANK(CJ121,$CJ$2:$CJ$623)+COUNTIF($CJ$2:$CJ121,$CJ121)-1</f>
        <v>446</v>
      </c>
    </row>
    <row r="122" spans="1:90">
      <c r="A122" t="str">
        <f>Players!P123</f>
        <v>Raphaël Guerreiro</v>
      </c>
      <c r="B122" t="str">
        <f>Players!G123</f>
        <v>Portugal</v>
      </c>
      <c r="C122" t="str">
        <f>Players!AB123</f>
        <v>Defense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4000000</v>
      </c>
      <c r="H122" s="16">
        <f>INDEX('Team forecast'!$B$2:$AO$26,MATCH('Master data'!$B122,'Team forecast'!$B$2:$B$26,0),MATCH('Master data'!H$1,'Team forecast'!$B$2:$AO$2,0))</f>
        <v>1.7625676631272518</v>
      </c>
      <c r="I122" s="16">
        <f>INDEX('Team forecast'!$B$2:$AO$26,MATCH('Master data'!$B122,'Team forecast'!$B$2:$B$26,0),MATCH('Master data'!I$1,'Team forecast'!$B$2:$AO$2,0))</f>
        <v>0.75096675144877167</v>
      </c>
      <c r="J122" s="16">
        <f>INDEX('Team forecast'!$B$2:$AO$26,MATCH('Master data'!$B122,'Team forecast'!$B$2:$B$26,0),MATCH('Master data'!J$1,'Team forecast'!$B$2:$AO$2,0))</f>
        <v>0.47191011235955049</v>
      </c>
      <c r="K122" s="16">
        <f>INDEX('Team forecast'!$B$2:$AO$26,MATCH('Master data'!$B122,'Team forecast'!$B$2:$B$26,0),MATCH('Master data'!K$1,'Team forecast'!$B$2:$AO$2,0))</f>
        <v>4.4913621777278765</v>
      </c>
      <c r="L122" s="16">
        <f>INDEX('Team forecast'!$B$2:$AO$26,MATCH('Master data'!$B122,'Team forecast'!$B$2:$B$26,0),MATCH('Master data'!L$1,'Team forecast'!$B$2:$AO$2,0))</f>
        <v>2.0995338051067773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2.025202520252025E-2</v>
      </c>
      <c r="R122" s="2">
        <f>Players!BR123</f>
        <v>0</v>
      </c>
      <c r="S122" s="2">
        <f>H122</f>
        <v>1.7625676631272518</v>
      </c>
      <c r="T122" s="2">
        <f>I122</f>
        <v>0.75096675144877167</v>
      </c>
      <c r="U122" s="16">
        <f>INDEX('Team forecast'!$B$2:$AO$26,MATCH('Master data'!$B122,'Team forecast'!$B$2:$B$26,0),MATCH('Master data'!U$1,'Team forecast'!$B$2:$AO$2,0))</f>
        <v>0.6292134831460674</v>
      </c>
      <c r="V122" s="16">
        <f>INDEX('Team forecast'!$B$2:$AO$26,MATCH('Master data'!$B122,'Team forecast'!$B$2:$B$26,0),MATCH('Master data'!V$1,'Team forecast'!$B$2:$AO$2,0))</f>
        <v>0.2359550561797753</v>
      </c>
      <c r="W122" s="16">
        <f>INDEX('Team forecast'!$B$2:$AO$26,MATCH('Master data'!$B122,'Team forecast'!$B$2:$B$26,0),MATCH('Master data'!W$1,'Team forecast'!$B$2:$AO$2,0))</f>
        <v>0.1348314606741573</v>
      </c>
      <c r="X122" s="5">
        <f>IF(M122&gt;95,7000*2,IF(M122&gt;0,7000,-5000))</f>
        <v>-5000</v>
      </c>
      <c r="Y122" s="5">
        <f>IF($X122&gt;0,U122*25000,0)</f>
        <v>0</v>
      </c>
      <c r="Z122" s="5">
        <f>IF($X122&gt;0,V122*5000,0)</f>
        <v>0</v>
      </c>
      <c r="AA122" s="5">
        <f>IF($X122&gt;0,W122*(-15000),0)</f>
        <v>0</v>
      </c>
      <c r="AB122" s="5">
        <f>IF($C122="Defense",$N122*150000,IF($C122="Midfield",$N122*125000,IF($C122="Striker",$N122*100000,0)))*$H122</f>
        <v>0</v>
      </c>
      <c r="AC122" s="5">
        <f>$O122*50000*H122</f>
        <v>0</v>
      </c>
      <c r="AD122" s="5">
        <f>$P122*K122*10000</f>
        <v>0</v>
      </c>
      <c r="AE122" s="5">
        <f>IF($C122="Goalkeeper",J122*75000,IF($C122="Defense",J122*50000,0))</f>
        <v>23595.505617977524</v>
      </c>
      <c r="AF122" s="5">
        <f>IF($C122="Goalkeeper",(L122-I122)*5000,0)</f>
        <v>0</v>
      </c>
      <c r="AG122" s="5">
        <f>IF(M122&gt;0,Q122*(-20000),0)</f>
        <v>0</v>
      </c>
      <c r="AH122" s="5">
        <f>IF(M122&gt;0,R122*(-50000),0)</f>
        <v>0</v>
      </c>
      <c r="AI122" s="5">
        <f>IF(M122&gt;0,S122*10000,0)</f>
        <v>0</v>
      </c>
      <c r="AJ122" s="5">
        <f>IF(M122&gt;0,T122*(-8000),0)</f>
        <v>0</v>
      </c>
      <c r="AK122" s="5">
        <f>IFERROR(SUM(X122:AJ122),-5000)*((Cockpit!$C$3)^0)</f>
        <v>18595.505617977524</v>
      </c>
      <c r="AL122" s="16">
        <f>INDEX('Team forecast'!$B$2:$AO$26,MATCH('Master data'!$B122,'Team forecast'!$B$2:$B$26,0),MATCH('Master data'!AL$1,'Team forecast'!$B$2:$AO$2,0))</f>
        <v>1.1612459518433673</v>
      </c>
      <c r="AM122" s="16">
        <f>INDEX('Team forecast'!$B$2:$AO$26,MATCH('Master data'!$B122,'Team forecast'!$B$2:$B$26,0),MATCH('Master data'!AM$1,'Team forecast'!$B$2:$AO$2,0))</f>
        <v>1.384389503157577</v>
      </c>
      <c r="AN122" s="16">
        <f>INDEX('Team forecast'!$B$2:$AO$26,MATCH('Master data'!$B122,'Team forecast'!$B$2:$B$26,0),MATCH('Master data'!AN$1,'Team forecast'!$B$2:$AO$2,0))</f>
        <v>0.25047666833918708</v>
      </c>
      <c r="AO122" s="16">
        <f>INDEX('Team forecast'!$B$2:$AO$26,MATCH('Master data'!$B122,'Team forecast'!$B$2:$B$26,0),MATCH('Master data'!AO$1,'Team forecast'!$B$2:$AO$2,0))</f>
        <v>2.9590785399382193</v>
      </c>
      <c r="AP122" s="16">
        <f>INDEX('Team forecast'!$B$2:$AO$26,MATCH('Master data'!$B122,'Team forecast'!$B$2:$B$26,0),MATCH('Master data'!AP$1,'Team forecast'!$B$2:$AO$2,0))</f>
        <v>3.8704410757292824</v>
      </c>
      <c r="AQ122" s="5">
        <f>X122</f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>IF($C122="Defense",$N122*150000,IF($C122="Midfield",$N122*125000,IF($C122="Striker",$N122*100000,0)))*$AL122</f>
        <v>0</v>
      </c>
      <c r="AV122" s="5">
        <f>$O122*50000*AL122</f>
        <v>0</v>
      </c>
      <c r="AW122" s="5">
        <f>$P122*AO122*10000</f>
        <v>0</v>
      </c>
      <c r="AX122" s="5">
        <f>IF($C122="Goalkeeper",AN122*75000,IF($C122="Defense",AN122*50000,0))</f>
        <v>12523.833416959355</v>
      </c>
      <c r="AY122" s="5">
        <f>IF($C122="Goalkeeper",(AP122-AM122)*5000,0)</f>
        <v>0</v>
      </c>
      <c r="AZ122" s="5">
        <f>$AG122</f>
        <v>0</v>
      </c>
      <c r="BA122" s="5">
        <f>$AH122</f>
        <v>0</v>
      </c>
      <c r="BB122" s="5">
        <f>IF(X122&gt;0,AL122*10000,0)</f>
        <v>0</v>
      </c>
      <c r="BC122" s="5">
        <f>IF(X122&gt;0,AM122*(-8000),0)</f>
        <v>0</v>
      </c>
      <c r="BD122" s="5">
        <f>IFERROR(SUM(AQ122:BC122),0)</f>
        <v>7523.8334169593545</v>
      </c>
      <c r="BE122" s="16">
        <f>INDEX('Team forecast'!$B$2:$AO$26,MATCH('Master data'!$B122,'Team forecast'!$B$2:$B$26,0),MATCH('Master data'!BE$1,'Team forecast'!$B$2:$AO$2,0))</f>
        <v>1.0107278258414167</v>
      </c>
      <c r="BF122" s="16">
        <f>INDEX('Team forecast'!$B$2:$AO$26,MATCH('Master data'!$B122,'Team forecast'!$B$2:$B$26,0),MATCH('Master data'!BF$1,'Team forecast'!$B$2:$AO$2,0))</f>
        <v>1.2965069481471114</v>
      </c>
      <c r="BG122" s="16">
        <f>INDEX('Team forecast'!$B$2:$AO$26,MATCH('Master data'!$B122,'Team forecast'!$B$2:$B$26,0),MATCH('Master data'!BG$1,'Team forecast'!$B$2:$AO$2,0))</f>
        <v>0.27348542529246672</v>
      </c>
      <c r="BH122" s="16">
        <f>INDEX('Team forecast'!$B$2:$AO$26,MATCH('Master data'!$B122,'Team forecast'!$B$2:$B$26,0),MATCH('Master data'!BH$1,'Team forecast'!$B$2:$AO$2,0))</f>
        <v>2.5755293393428875</v>
      </c>
      <c r="BI122" s="16">
        <f>INDEX('Team forecast'!$B$2:$AO$26,MATCH('Master data'!$B122,'Team forecast'!$B$2:$B$26,0),MATCH('Master data'!BI$1,'Team forecast'!$B$2:$AO$2,0))</f>
        <v>3.6247412564394597</v>
      </c>
      <c r="BJ122" s="5">
        <f>AQ122</f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>IF($C122="Defense",$N122*150000,IF($C122="Midfield",$N122*125000,IF($C122="Striker",$N122*100000,0)))*$BE122</f>
        <v>0</v>
      </c>
      <c r="BO122" s="5">
        <f>$O122*50000*$BE122</f>
        <v>0</v>
      </c>
      <c r="BP122" s="5">
        <f>$P122*BH122*10000</f>
        <v>0</v>
      </c>
      <c r="BQ122" s="5">
        <f>IF($C122="Goalkeeper",BG122*75000,IF($C122="Defense",BG122*50000,0))</f>
        <v>13674.271264623336</v>
      </c>
      <c r="BR122" s="5">
        <f>IF($C122="Goalkeeper",(BI122-BF122)*5000,0)</f>
        <v>0</v>
      </c>
      <c r="BS122" s="5">
        <f>$AG122</f>
        <v>0</v>
      </c>
      <c r="BT122" s="5">
        <f>$AH122</f>
        <v>0</v>
      </c>
      <c r="BU122" s="5">
        <f>IF(AQ122&gt;0,BE122*10000,0)</f>
        <v>0</v>
      </c>
      <c r="BV122" s="5">
        <f>IF(AQ122&gt;0,BF122*(-8000),0)</f>
        <v>0</v>
      </c>
      <c r="BW122" s="5">
        <f>IFERROR(SUM(BJ122:BV122),0)</f>
        <v>8674.2712646233358</v>
      </c>
      <c r="BX122" s="5">
        <f>AVERAGE(AK122,BD122,BW122)</f>
        <v>11597.870099853404</v>
      </c>
      <c r="BY122" s="5">
        <f>BX122*3</f>
        <v>34793.610299560212</v>
      </c>
      <c r="BZ122" s="5">
        <f>INDEX('Team forecast'!$R$3:$BH$26,MATCH($B122,'Team forecast'!$B$3:$B$26,0),MATCH(BZ$1,'Team forecast'!$R$2:$BH$2,0))*($BX122-(BY122+CH122)*0.01)</f>
        <v>-21618.313343707923</v>
      </c>
      <c r="CA122" s="5">
        <f>INDEX('Team forecast'!$R$3:$BH$26,MATCH($B122,'Team forecast'!$B$3:$B$26,0),MATCH(CA$1,'Team forecast'!$R$2:$BH$2,0))*($BX122-(BY122+BX122+CH122)*0.01)</f>
        <v>-11061.285880773275</v>
      </c>
      <c r="CB122" s="5">
        <f>INDEX('Team forecast'!$R$3:$BH$26,MATCH($B122,'Team forecast'!$B$3:$B$26,0),MATCH(CB$1,'Team forecast'!$R$2:$BH$2,0))*($BX122-(BY122+BX122*2+CH122)*0.01)</f>
        <v>-5749.9111849181227</v>
      </c>
      <c r="CC122" s="5">
        <f>INDEX('Team forecast'!$R$3:$BH$26,MATCH($B122,'Team forecast'!$B$3:$B$26,0),MATCH(CC$1,'Team forecast'!$R$2:$BH$2,0))*($BX122-(BY122+BX122*3+CH122)*0.01)</f>
        <v>-3141.5642664247148</v>
      </c>
      <c r="CD122" s="5">
        <f>+AK122+BD122*Cockpit!$C$3+BW122*Cockpit!$C$3^2+BZ122*Cockpit!$C$3^3+CA122*Cockpit!$C$3^4+CB122*Cockpit!$C$3^5+CC122*Cockpit!$C$3^6</f>
        <v>17843.262126214315</v>
      </c>
      <c r="CE122" s="5"/>
      <c r="CF122" s="5"/>
      <c r="CG122" s="5">
        <v>0</v>
      </c>
      <c r="CH122" s="5">
        <f t="shared" si="46"/>
        <v>4000000</v>
      </c>
      <c r="CI122" s="5">
        <f t="shared" si="47"/>
        <v>4000000</v>
      </c>
      <c r="CJ122" s="1">
        <f t="shared" si="48"/>
        <v>8.6984025748900531E-3</v>
      </c>
      <c r="CK122" s="5">
        <f>RANK(BY122,$BY$2:$BY$623)+COUNTIF($BY$2:$BY122,$BY122)-1</f>
        <v>325</v>
      </c>
      <c r="CL122" s="5">
        <f>RANK(CJ122,$CJ$2:$CJ$623)+COUNTIF($CJ$2:$CJ122,$CJ122)-1</f>
        <v>371</v>
      </c>
    </row>
    <row r="123" spans="1:90">
      <c r="A123" t="str">
        <f>Players!P124</f>
        <v>André A. Silva</v>
      </c>
      <c r="B123" t="str">
        <f>Players!G124</f>
        <v>Portugal</v>
      </c>
      <c r="C123" t="str">
        <f>Players!AB124</f>
        <v>Striker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1.7625676631272518</v>
      </c>
      <c r="I123" s="16">
        <f>INDEX('Team forecast'!$B$2:$AO$26,MATCH('Master data'!$B123,'Team forecast'!$B$2:$B$26,0),MATCH('Master data'!I$1,'Team forecast'!$B$2:$AO$2,0))</f>
        <v>0.75096675144877167</v>
      </c>
      <c r="J123" s="16">
        <f>INDEX('Team forecast'!$B$2:$AO$26,MATCH('Master data'!$B123,'Team forecast'!$B$2:$B$26,0),MATCH('Master data'!J$1,'Team forecast'!$B$2:$AO$2,0))</f>
        <v>0.47191011235955049</v>
      </c>
      <c r="K123" s="16">
        <f>INDEX('Team forecast'!$B$2:$AO$26,MATCH('Master data'!$B123,'Team forecast'!$B$2:$B$26,0),MATCH('Master data'!K$1,'Team forecast'!$B$2:$AO$2,0))</f>
        <v>4.4913621777278765</v>
      </c>
      <c r="L123" s="16">
        <f>INDEX('Team forecast'!$B$2:$AO$26,MATCH('Master data'!$B123,'Team forecast'!$B$2:$B$26,0),MATCH('Master data'!L$1,'Team forecast'!$B$2:$AO$2,0))</f>
        <v>2.0995338051067773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1.6245487364620937E-2</v>
      </c>
      <c r="R123" s="2">
        <f>Players!BR124</f>
        <v>0</v>
      </c>
      <c r="S123" s="2">
        <f>H123</f>
        <v>1.7625676631272518</v>
      </c>
      <c r="T123" s="2">
        <f>I123</f>
        <v>0.75096675144877167</v>
      </c>
      <c r="U123" s="16">
        <f>INDEX('Team forecast'!$B$2:$AO$26,MATCH('Master data'!$B123,'Team forecast'!$B$2:$B$26,0),MATCH('Master data'!U$1,'Team forecast'!$B$2:$AO$2,0))</f>
        <v>0.6292134831460674</v>
      </c>
      <c r="V123" s="16">
        <f>INDEX('Team forecast'!$B$2:$AO$26,MATCH('Master data'!$B123,'Team forecast'!$B$2:$B$26,0),MATCH('Master data'!V$1,'Team forecast'!$B$2:$AO$2,0))</f>
        <v>0.2359550561797753</v>
      </c>
      <c r="W123" s="16">
        <f>INDEX('Team forecast'!$B$2:$AO$26,MATCH('Master data'!$B123,'Team forecast'!$B$2:$B$26,0),MATCH('Master data'!W$1,'Team forecast'!$B$2:$AO$2,0))</f>
        <v>0.1348314606741573</v>
      </c>
      <c r="X123" s="5">
        <f>IF(M123&gt;95,7000*2,IF(M123&gt;0,7000,-5000))</f>
        <v>-5000</v>
      </c>
      <c r="Y123" s="5">
        <f>IF($X123&gt;0,U123*25000,0)</f>
        <v>0</v>
      </c>
      <c r="Z123" s="5">
        <f>IF($X123&gt;0,V123*5000,0)</f>
        <v>0</v>
      </c>
      <c r="AA123" s="5">
        <f>IF($X123&gt;0,W123*(-15000),0)</f>
        <v>0</v>
      </c>
      <c r="AB123" s="5">
        <f>IF($C123="Defense",$N123*150000,IF($C123="Midfield",$N123*125000,IF($C123="Striker",$N123*100000,0)))*$H123</f>
        <v>0</v>
      </c>
      <c r="AC123" s="5">
        <f>$O123*50000*H123</f>
        <v>0</v>
      </c>
      <c r="AD123" s="5">
        <f>$P123*K123*10000</f>
        <v>0</v>
      </c>
      <c r="AE123" s="5">
        <f>IF($C123="Goalkeeper",J123*75000,IF($C123="Defense",J123*50000,0))</f>
        <v>0</v>
      </c>
      <c r="AF123" s="5">
        <f>IF($C123="Goalkeeper",(L123-I123)*5000,0)</f>
        <v>0</v>
      </c>
      <c r="AG123" s="5">
        <f>IF(M123&gt;0,Q123*(-20000),0)</f>
        <v>0</v>
      </c>
      <c r="AH123" s="5">
        <f>IF(M123&gt;0,R123*(-50000),0)</f>
        <v>0</v>
      </c>
      <c r="AI123" s="5">
        <f>IF(M123&gt;0,S123*10000,0)</f>
        <v>0</v>
      </c>
      <c r="AJ123" s="5">
        <f>IF(M123&gt;0,T123*(-8000),0)</f>
        <v>0</v>
      </c>
      <c r="AK123" s="5">
        <f>IFERROR(SUM(X123:AJ123),-5000)*((Cockpit!$C$3)^0)</f>
        <v>-5000</v>
      </c>
      <c r="AL123" s="16">
        <f>INDEX('Team forecast'!$B$2:$AO$26,MATCH('Master data'!$B123,'Team forecast'!$B$2:$B$26,0),MATCH('Master data'!AL$1,'Team forecast'!$B$2:$AO$2,0))</f>
        <v>1.1612459518433673</v>
      </c>
      <c r="AM123" s="16">
        <f>INDEX('Team forecast'!$B$2:$AO$26,MATCH('Master data'!$B123,'Team forecast'!$B$2:$B$26,0),MATCH('Master data'!AM$1,'Team forecast'!$B$2:$AO$2,0))</f>
        <v>1.384389503157577</v>
      </c>
      <c r="AN123" s="16">
        <f>INDEX('Team forecast'!$B$2:$AO$26,MATCH('Master data'!$B123,'Team forecast'!$B$2:$B$26,0),MATCH('Master data'!AN$1,'Team forecast'!$B$2:$AO$2,0))</f>
        <v>0.25047666833918708</v>
      </c>
      <c r="AO123" s="16">
        <f>INDEX('Team forecast'!$B$2:$AO$26,MATCH('Master data'!$B123,'Team forecast'!$B$2:$B$26,0),MATCH('Master data'!AO$1,'Team forecast'!$B$2:$AO$2,0))</f>
        <v>2.9590785399382193</v>
      </c>
      <c r="AP123" s="16">
        <f>INDEX('Team forecast'!$B$2:$AO$26,MATCH('Master data'!$B123,'Team forecast'!$B$2:$B$26,0),MATCH('Master data'!AP$1,'Team forecast'!$B$2:$AO$2,0))</f>
        <v>3.8704410757292824</v>
      </c>
      <c r="AQ123" s="5">
        <f>X123</f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>IF($C123="Defense",$N123*150000,IF($C123="Midfield",$N123*125000,IF($C123="Striker",$N123*100000,0)))*$AL123</f>
        <v>0</v>
      </c>
      <c r="AV123" s="5">
        <f>$O123*50000*AL123</f>
        <v>0</v>
      </c>
      <c r="AW123" s="5">
        <f>$P123*AO123*10000</f>
        <v>0</v>
      </c>
      <c r="AX123" s="5">
        <f>IF($C123="Goalkeeper",AN123*75000,IF($C123="Defense",AN123*50000,0))</f>
        <v>0</v>
      </c>
      <c r="AY123" s="5">
        <f>IF($C123="Goalkeeper",(AP123-AM123)*5000,0)</f>
        <v>0</v>
      </c>
      <c r="AZ123" s="5">
        <f>$AG123</f>
        <v>0</v>
      </c>
      <c r="BA123" s="5">
        <f>$AH123</f>
        <v>0</v>
      </c>
      <c r="BB123" s="5">
        <f>IF(X123&gt;0,AL123*10000,0)</f>
        <v>0</v>
      </c>
      <c r="BC123" s="5">
        <f>IF(X123&gt;0,AM123*(-8000),0)</f>
        <v>0</v>
      </c>
      <c r="BD123" s="5">
        <f>IFERROR(SUM(AQ123:BC123),0)</f>
        <v>-5000</v>
      </c>
      <c r="BE123" s="16">
        <f>INDEX('Team forecast'!$B$2:$AO$26,MATCH('Master data'!$B123,'Team forecast'!$B$2:$B$26,0),MATCH('Master data'!BE$1,'Team forecast'!$B$2:$AO$2,0))</f>
        <v>1.0107278258414167</v>
      </c>
      <c r="BF123" s="16">
        <f>INDEX('Team forecast'!$B$2:$AO$26,MATCH('Master data'!$B123,'Team forecast'!$B$2:$B$26,0),MATCH('Master data'!BF$1,'Team forecast'!$B$2:$AO$2,0))</f>
        <v>1.2965069481471114</v>
      </c>
      <c r="BG123" s="16">
        <f>INDEX('Team forecast'!$B$2:$AO$26,MATCH('Master data'!$B123,'Team forecast'!$B$2:$B$26,0),MATCH('Master data'!BG$1,'Team forecast'!$B$2:$AO$2,0))</f>
        <v>0.27348542529246672</v>
      </c>
      <c r="BH123" s="16">
        <f>INDEX('Team forecast'!$B$2:$AO$26,MATCH('Master data'!$B123,'Team forecast'!$B$2:$B$26,0),MATCH('Master data'!BH$1,'Team forecast'!$B$2:$AO$2,0))</f>
        <v>2.5755293393428875</v>
      </c>
      <c r="BI123" s="16">
        <f>INDEX('Team forecast'!$B$2:$AO$26,MATCH('Master data'!$B123,'Team forecast'!$B$2:$B$26,0),MATCH('Master data'!BI$1,'Team forecast'!$B$2:$AO$2,0))</f>
        <v>3.6247412564394597</v>
      </c>
      <c r="BJ123" s="5">
        <f>AQ123</f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>IF($C123="Defense",$N123*150000,IF($C123="Midfield",$N123*125000,IF($C123="Striker",$N123*100000,0)))*$BE123</f>
        <v>0</v>
      </c>
      <c r="BO123" s="5">
        <f>$O123*50000*$BE123</f>
        <v>0</v>
      </c>
      <c r="BP123" s="5">
        <f>$P123*BH123*10000</f>
        <v>0</v>
      </c>
      <c r="BQ123" s="5">
        <f>IF($C123="Goalkeeper",BG123*75000,IF($C123="Defense",BG123*50000,0))</f>
        <v>0</v>
      </c>
      <c r="BR123" s="5">
        <f>IF($C123="Goalkeeper",(BI123-BF123)*5000,0)</f>
        <v>0</v>
      </c>
      <c r="BS123" s="5">
        <f>$AG123</f>
        <v>0</v>
      </c>
      <c r="BT123" s="5">
        <f>$AH123</f>
        <v>0</v>
      </c>
      <c r="BU123" s="5">
        <f>IF(AQ123&gt;0,BE123*10000,0)</f>
        <v>0</v>
      </c>
      <c r="BV123" s="5">
        <f>IF(AQ123&gt;0,BF123*(-8000),0)</f>
        <v>0</v>
      </c>
      <c r="BW123" s="5">
        <f>IFERROR(SUM(BJ123:BV123),0)</f>
        <v>-5000</v>
      </c>
      <c r="BX123" s="5">
        <f>AVERAGE(AK123,BD123,BW123)</f>
        <v>-5000</v>
      </c>
      <c r="BY123" s="5">
        <f>BX123*3</f>
        <v>-15000</v>
      </c>
      <c r="BZ123" s="5">
        <f>INDEX('Team forecast'!$R$3:$BH$26,MATCH($B123,'Team forecast'!$B$3:$B$26,0),MATCH(BZ$1,'Team forecast'!$R$2:$BH$2,0))*($BX123-(BY123+CH123)*0.01)</f>
        <v>-41243.887466998611</v>
      </c>
      <c r="CA123" s="5">
        <f>INDEX('Team forecast'!$R$3:$BH$26,MATCH($B123,'Team forecast'!$B$3:$B$26,0),MATCH(CA$1,'Team forecast'!$R$2:$BH$2,0))*($BX123-(BY123+BX123+CH123)*0.01)</f>
        <v>-20999.013632769169</v>
      </c>
      <c r="CB123" s="5">
        <f>INDEX('Team forecast'!$R$3:$BH$26,MATCH($B123,'Team forecast'!$B$3:$B$26,0),MATCH(CB$1,'Team forecast'!$R$2:$BH$2,0))*($BX123-(BY123+BX123*2+CH123)*0.01)</f>
        <v>-10862.169040911187</v>
      </c>
      <c r="CC123" s="5">
        <f>INDEX('Team forecast'!$R$3:$BH$26,MATCH($B123,'Team forecast'!$B$3:$B$26,0),MATCH(CC$1,'Team forecast'!$R$2:$BH$2,0))*($BX123-(BY123+BX123*3+CH123)*0.01)</f>
        <v>-5905.6826220101202</v>
      </c>
      <c r="CD123" s="5">
        <f>+AK123+BD123*Cockpit!$C$3+BW123*Cockpit!$C$3^2+BZ123*Cockpit!$C$3^3+CA123*Cockpit!$C$3^4+CB123*Cockpit!$C$3^5+CC123*Cockpit!$C$3^6</f>
        <v>-28872.797766428776</v>
      </c>
      <c r="CE123" s="5"/>
      <c r="CF123" s="5"/>
      <c r="CG123" s="5">
        <v>0</v>
      </c>
      <c r="CH123" s="5">
        <f t="shared" si="46"/>
        <v>5000000</v>
      </c>
      <c r="CI123" s="5">
        <f t="shared" si="47"/>
        <v>5000000</v>
      </c>
      <c r="CJ123" s="1">
        <f t="shared" si="48"/>
        <v>-3.0000000000000001E-3</v>
      </c>
      <c r="CK123" s="5">
        <f>RANK(BY123,$BY$2:$BY$623)+COUNTIF($BY$2:$BY123,$BY123)-1</f>
        <v>463</v>
      </c>
      <c r="CL123" s="5">
        <f>RANK(CJ123,$CJ$2:$CJ$623)+COUNTIF($CJ$2:$CJ123,$CJ123)-1</f>
        <v>427</v>
      </c>
    </row>
    <row r="124" spans="1:90">
      <c r="A124" t="str">
        <f>Players!P125</f>
        <v>David de Gea</v>
      </c>
      <c r="B124" t="str">
        <f>Players!G125</f>
        <v>Spain</v>
      </c>
      <c r="C124" t="str">
        <f>Players!AB125</f>
        <v>Goalkeeper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5000000</v>
      </c>
      <c r="H124" s="16">
        <f>INDEX('Team forecast'!$B$2:$AO$26,MATCH('Master data'!$B124,'Team forecast'!$B$2:$B$26,0),MATCH('Master data'!H$1,'Team forecast'!$B$2:$AO$2,0))</f>
        <v>1.7533592214060363</v>
      </c>
      <c r="I124" s="16">
        <f>INDEX('Team forecast'!$B$2:$AO$26,MATCH('Master data'!$B124,'Team forecast'!$B$2:$B$26,0),MATCH('Master data'!I$1,'Team forecast'!$B$2:$AO$2,0))</f>
        <v>0.63639779406972985</v>
      </c>
      <c r="J124" s="16">
        <f>INDEX('Team forecast'!$B$2:$AO$26,MATCH('Master data'!$B124,'Team forecast'!$B$2:$B$26,0),MATCH('Master data'!J$1,'Team forecast'!$B$2:$AO$2,0))</f>
        <v>0.52919526509499659</v>
      </c>
      <c r="K124" s="16">
        <f>INDEX('Team forecast'!$B$2:$AO$26,MATCH('Master data'!$B124,'Team forecast'!$B$2:$B$26,0),MATCH('Master data'!K$1,'Team forecast'!$B$2:$AO$2,0))</f>
        <v>4.835748720224867</v>
      </c>
      <c r="L124" s="16">
        <f>INDEX('Team forecast'!$B$2:$AO$26,MATCH('Master data'!$B124,'Team forecast'!$B$2:$B$26,0),MATCH('Master data'!L$1,'Team forecast'!$B$2:$AO$2,0))</f>
        <v>2.0891846775016383</v>
      </c>
      <c r="M124">
        <f>IF(Players!BC125=1,95,0)</f>
        <v>95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</v>
      </c>
      <c r="R124" s="2">
        <f>Players!BR125</f>
        <v>0</v>
      </c>
      <c r="S124" s="2">
        <f>H124</f>
        <v>1.7533592214060363</v>
      </c>
      <c r="T124" s="2">
        <f>I124</f>
        <v>0.63639779406972985</v>
      </c>
      <c r="U124" s="16">
        <f>INDEX('Team forecast'!$B$2:$AO$26,MATCH('Master data'!$B124,'Team forecast'!$B$2:$B$26,0),MATCH('Master data'!U$1,'Team forecast'!$B$2:$AO$2,0))</f>
        <v>0.68039391226499568</v>
      </c>
      <c r="V124" s="16">
        <f>INDEX('Team forecast'!$B$2:$AO$26,MATCH('Master data'!$B124,'Team forecast'!$B$2:$B$26,0),MATCH('Master data'!V$1,'Team forecast'!$B$2:$AO$2,0))</f>
        <v>0.20053715308863029</v>
      </c>
      <c r="W124" s="16">
        <f>INDEX('Team forecast'!$B$2:$AO$26,MATCH('Master data'!$B124,'Team forecast'!$B$2:$B$26,0),MATCH('Master data'!W$1,'Team forecast'!$B$2:$AO$2,0))</f>
        <v>0.11906893464637421</v>
      </c>
      <c r="X124" s="5">
        <f>IF(M124&gt;95,7000*2,IF(M124&gt;0,7000,-5000))</f>
        <v>7000</v>
      </c>
      <c r="Y124" s="5">
        <f>IF($X124&gt;0,U124*25000,0)</f>
        <v>17009.847806624894</v>
      </c>
      <c r="Z124" s="5">
        <f>IF($X124&gt;0,V124*5000,0)</f>
        <v>1002.6857654431515</v>
      </c>
      <c r="AA124" s="5">
        <f>IF($X124&gt;0,W124*(-15000),0)</f>
        <v>-1786.0340196956131</v>
      </c>
      <c r="AB124" s="5">
        <f>IF($C124="Defense",$N124*150000,IF($C124="Midfield",$N124*125000,IF($C124="Striker",$N124*100000,0)))*$H124</f>
        <v>0</v>
      </c>
      <c r="AC124" s="5">
        <f>$O124*50000*H124</f>
        <v>0</v>
      </c>
      <c r="AD124" s="5">
        <f>$P124*K124*10000</f>
        <v>0</v>
      </c>
      <c r="AE124" s="5">
        <f>IF($C124="Goalkeeper",J124*75000,IF($C124="Defense",J124*50000,0))</f>
        <v>39689.644882124747</v>
      </c>
      <c r="AF124" s="5">
        <f>IF($C124="Goalkeeper",(L124-I124)*5000,0)</f>
        <v>7263.9344171595421</v>
      </c>
      <c r="AG124" s="5">
        <f>IF(M124&gt;0,Q124*(-20000),0)</f>
        <v>0</v>
      </c>
      <c r="AH124" s="5">
        <f>IF(M124&gt;0,R124*(-50000),0)</f>
        <v>0</v>
      </c>
      <c r="AI124" s="5">
        <f>IF(M124&gt;0,S124*10000,0)</f>
        <v>17533.592214060362</v>
      </c>
      <c r="AJ124" s="5">
        <f>IF(M124&gt;0,T124*(-8000),0)</f>
        <v>-5091.1823525578384</v>
      </c>
      <c r="AK124" s="5">
        <f>IFERROR(SUM(X124:AJ124),-5000)*((Cockpit!$C$3)^0)</f>
        <v>82622.488713159255</v>
      </c>
      <c r="AL124" s="16">
        <f>INDEX('Team forecast'!$B$2:$AO$26,MATCH('Master data'!$B124,'Team forecast'!$B$2:$B$26,0),MATCH('Master data'!AL$1,'Team forecast'!$B$2:$AO$2,0))</f>
        <v>1.9080439968215523</v>
      </c>
      <c r="AM124" s="16">
        <f>INDEX('Team forecast'!$B$2:$AO$26,MATCH('Master data'!$B124,'Team forecast'!$B$2:$B$26,0),MATCH('Master data'!AM$1,'Team forecast'!$B$2:$AO$2,0))</f>
        <v>0.77817916464933856</v>
      </c>
      <c r="AN124" s="16">
        <f>INDEX('Team forecast'!$B$2:$AO$26,MATCH('Master data'!$B124,'Team forecast'!$B$2:$B$26,0),MATCH('Master data'!AN$1,'Team forecast'!$B$2:$AO$2,0))</f>
        <v>0.459241453546125</v>
      </c>
      <c r="AO124" s="16">
        <f>INDEX('Team forecast'!$B$2:$AO$26,MATCH('Master data'!$B124,'Team forecast'!$B$2:$B$26,0),MATCH('Master data'!AO$1,'Team forecast'!$B$2:$AO$2,0))</f>
        <v>5.26236791817451</v>
      </c>
      <c r="AP124" s="16">
        <f>INDEX('Team forecast'!$B$2:$AO$26,MATCH('Master data'!$B124,'Team forecast'!$B$2:$B$26,0),MATCH('Master data'!AP$1,'Team forecast'!$B$2:$AO$2,0))</f>
        <v>2.5546285708185357</v>
      </c>
      <c r="AQ124" s="5">
        <f>X124</f>
        <v>7000</v>
      </c>
      <c r="AR124" s="5">
        <f>INDEX('Team forecast'!$B$2:$AO$26,MATCH('Master data'!$B124,'Team forecast'!$B$2:$B$26,0),MATCH('Master data'!AR$1,'Team forecast'!$B$2:$AO$2,0))*IF(X124&gt;0,25000,0)</f>
        <v>16181.32638333662</v>
      </c>
      <c r="AS124" s="16">
        <f>INDEX('Team forecast'!$B$2:$AO$26,MATCH('Master data'!$B124,'Team forecast'!$B$2:$B$26,0),MATCH('Master data'!AS$1,'Team forecast'!$B$2:$AO$2,0))*IF(X124&gt;0,5000,0)</f>
        <v>1059.787969721827</v>
      </c>
      <c r="AT124" s="16">
        <f>INDEX('Team forecast'!$B$2:$AO$26,MATCH('Master data'!$B124,'Team forecast'!$B$2:$B$26,0),MATCH('Master data'!AT$1,'Team forecast'!$B$2:$AO$2,0))*IF(X124&gt;0,-15000,0)</f>
        <v>-2111.8402608325455</v>
      </c>
      <c r="AU124" s="5">
        <f>IF($C124="Defense",$N124*150000,IF($C124="Midfield",$N124*125000,IF($C124="Striker",$N124*100000,0)))*$AL124</f>
        <v>0</v>
      </c>
      <c r="AV124" s="5">
        <f>$O124*50000*AL124</f>
        <v>0</v>
      </c>
      <c r="AW124" s="5">
        <f>$P124*AO124*10000</f>
        <v>0</v>
      </c>
      <c r="AX124" s="5">
        <f>IF($C124="Goalkeeper",AN124*75000,IF($C124="Defense",AN124*50000,0))</f>
        <v>34443.109015959373</v>
      </c>
      <c r="AY124" s="5">
        <f>IF($C124="Goalkeeper",(AP124-AM124)*5000,0)</f>
        <v>8882.2470308459851</v>
      </c>
      <c r="AZ124" s="5">
        <f>$AG124</f>
        <v>0</v>
      </c>
      <c r="BA124" s="5">
        <f>$AH124</f>
        <v>0</v>
      </c>
      <c r="BB124" s="5">
        <f>IF(X124&gt;0,AL124*10000,0)</f>
        <v>19080.439968215524</v>
      </c>
      <c r="BC124" s="5">
        <f>IF(X124&gt;0,AM124*(-8000),0)</f>
        <v>-6225.4333171947083</v>
      </c>
      <c r="BD124" s="5">
        <f>IFERROR(SUM(AQ124:BC124),0)</f>
        <v>78309.636790052071</v>
      </c>
      <c r="BE124" s="16">
        <f>INDEX('Team forecast'!$B$2:$AO$26,MATCH('Master data'!$B124,'Team forecast'!$B$2:$B$26,0),MATCH('Master data'!BE$1,'Team forecast'!$B$2:$AO$2,0))</f>
        <v>2.3513752571634776</v>
      </c>
      <c r="BF124" s="16">
        <f>INDEX('Team forecast'!$B$2:$AO$26,MATCH('Master data'!$B124,'Team forecast'!$B$2:$B$26,0),MATCH('Master data'!BF$1,'Team forecast'!$B$2:$AO$2,0))</f>
        <v>0.56161379059809569</v>
      </c>
      <c r="BG124" s="16">
        <f>INDEX('Team forecast'!$B$2:$AO$26,MATCH('Master data'!$B124,'Team forecast'!$B$2:$B$26,0),MATCH('Master data'!BG$1,'Team forecast'!$B$2:$AO$2,0))</f>
        <v>0.57028799543769604</v>
      </c>
      <c r="BH124" s="16">
        <f>INDEX('Team forecast'!$B$2:$AO$26,MATCH('Master data'!$B124,'Team forecast'!$B$2:$B$26,0),MATCH('Master data'!BH$1,'Team forecast'!$B$2:$AO$2,0))</f>
        <v>6.4850714855102307</v>
      </c>
      <c r="BI124" s="16">
        <f>INDEX('Team forecast'!$B$2:$AO$26,MATCH('Master data'!$B124,'Team forecast'!$B$2:$B$26,0),MATCH('Master data'!BI$1,'Team forecast'!$B$2:$AO$2,0))</f>
        <v>1.8436816358018293</v>
      </c>
      <c r="BJ124" s="5">
        <f>AQ124</f>
        <v>7000</v>
      </c>
      <c r="BK124" s="5">
        <f>INDEX('Team forecast'!$R$3:$BH$26,MATCH($B124,'Team forecast'!$B$3:$B$26,0),MATCH(BK$1,'Team forecast'!$R$2:$BH$2,0))*IF($X124&gt;0,25000,0)</f>
        <v>19047.619047619046</v>
      </c>
      <c r="BL124" s="5">
        <f>INDEX('Team forecast'!$R$3:$BH$26,MATCH($B124,'Team forecast'!$B$3:$B$26,0),MATCH(BL$1,'Team forecast'!$R$2:$BH$2,0))*IF($X124&gt;0,5000,0)</f>
        <v>850.34013605442146</v>
      </c>
      <c r="BM124" s="5">
        <f>INDEX('Team forecast'!$R$3:$BH$26,MATCH($B124,'Team forecast'!$B$3:$B$26,0),MATCH(BM$1,'Team forecast'!$R$2:$BH$2,0))*IF($X124&gt;0,-15000,0)</f>
        <v>-1020.408163265306</v>
      </c>
      <c r="BN124" s="5">
        <f>IF($C124="Defense",$N124*150000,IF($C124="Midfield",$N124*125000,IF($C124="Striker",$N124*100000,0)))*$BE124</f>
        <v>0</v>
      </c>
      <c r="BO124" s="5">
        <f>$O124*50000*$BE124</f>
        <v>0</v>
      </c>
      <c r="BP124" s="5">
        <f>$P124*BH124*10000</f>
        <v>0</v>
      </c>
      <c r="BQ124" s="5">
        <f>IF($C124="Goalkeeper",BG124*75000,IF($C124="Defense",BG124*50000,0))</f>
        <v>42771.599657827202</v>
      </c>
      <c r="BR124" s="5">
        <f>IF($C124="Goalkeeper",(BI124-BF124)*5000,0)</f>
        <v>6410.3392260186683</v>
      </c>
      <c r="BS124" s="5">
        <f>$AG124</f>
        <v>0</v>
      </c>
      <c r="BT124" s="5">
        <f>$AH124</f>
        <v>0</v>
      </c>
      <c r="BU124" s="5">
        <f>IF(AQ124&gt;0,BE124*10000,0)</f>
        <v>23513.752571634777</v>
      </c>
      <c r="BV124" s="5">
        <f>IF(AQ124&gt;0,BF124*(-8000),0)</f>
        <v>-4492.9103247847652</v>
      </c>
      <c r="BW124" s="5">
        <f>IFERROR(SUM(BJ124:BV124),0)</f>
        <v>94080.332151104041</v>
      </c>
      <c r="BX124" s="5">
        <f>AVERAGE(AK124,BD124,BW124)</f>
        <v>85004.15255143847</v>
      </c>
      <c r="BY124" s="5">
        <f>BX124*3</f>
        <v>255012.4576543154</v>
      </c>
      <c r="BZ124" s="5">
        <f>INDEX('Team forecast'!$R$3:$BH$26,MATCH($B124,'Team forecast'!$B$3:$B$26,0),MATCH(BZ$1,'Team forecast'!$R$2:$BH$2,0))*($BX124-(BY124+CH124)*0.01)</f>
        <v>31375.888784546602</v>
      </c>
      <c r="CA124" s="5">
        <f>INDEX('Team forecast'!$R$3:$BH$26,MATCH($B124,'Team forecast'!$B$3:$B$26,0),MATCH(CA$1,'Team forecast'!$R$2:$BH$2,0))*($BX124-(BY124+BX124+CH124)*0.01)</f>
        <v>15483.142263965605</v>
      </c>
      <c r="CB124" s="5">
        <f>INDEX('Team forecast'!$R$3:$BH$26,MATCH($B124,'Team forecast'!$B$3:$B$26,0),MATCH(CB$1,'Team forecast'!$R$2:$BH$2,0))*($BX124-(BY124+BX124*2+CH124)*0.01)</f>
        <v>7722.1072100768379</v>
      </c>
      <c r="CC124" s="5">
        <f>INDEX('Team forecast'!$R$3:$BH$26,MATCH($B124,'Team forecast'!$B$3:$B$26,0),MATCH(CC$1,'Team forecast'!$R$2:$BH$2,0))*($BX124-(BY124+BX124*3+CH124)*0.01)</f>
        <v>3991.0052520818617</v>
      </c>
      <c r="CD124" s="5">
        <f>+AK124+BD124*Cockpit!$C$3+BW124*Cockpit!$C$3^2+BZ124*Cockpit!$C$3^3+CA124*Cockpit!$C$3^4+CB124*Cockpit!$C$3^5+CC124*Cockpit!$C$3^6</f>
        <v>190364.6316331822</v>
      </c>
      <c r="CE124" s="5"/>
      <c r="CF124" s="5"/>
      <c r="CG124" s="5">
        <v>0</v>
      </c>
      <c r="CH124" s="5">
        <f t="shared" si="46"/>
        <v>5000000</v>
      </c>
      <c r="CI124" s="5">
        <f t="shared" si="47"/>
        <v>5000000</v>
      </c>
      <c r="CJ124" s="1">
        <f t="shared" si="48"/>
        <v>5.100249153086308E-2</v>
      </c>
      <c r="CK124" s="5">
        <f>RANK(BY124,$BY$2:$BY$623)+COUNTIF($BY$2:$BY124,$BY124)-1</f>
        <v>19</v>
      </c>
      <c r="CL124" s="5">
        <f>RANK(CJ124,$CJ$2:$CJ$623)+COUNTIF($CJ$2:$CJ124,$CJ124)-1</f>
        <v>28</v>
      </c>
    </row>
    <row r="125" spans="1:90">
      <c r="A125" t="str">
        <f>Players!P126</f>
        <v>César Azpilicueta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3500000</v>
      </c>
      <c r="H125" s="16">
        <f>INDEX('Team forecast'!$B$2:$AO$26,MATCH('Master data'!$B125,'Team forecast'!$B$2:$B$26,0),MATCH('Master data'!H$1,'Team forecast'!$B$2:$AO$2,0))</f>
        <v>1.7533592214060363</v>
      </c>
      <c r="I125" s="16">
        <f>INDEX('Team forecast'!$B$2:$AO$26,MATCH('Master data'!$B125,'Team forecast'!$B$2:$B$26,0),MATCH('Master data'!I$1,'Team forecast'!$B$2:$AO$2,0))</f>
        <v>0.63639779406972985</v>
      </c>
      <c r="J125" s="16">
        <f>INDEX('Team forecast'!$B$2:$AO$26,MATCH('Master data'!$B125,'Team forecast'!$B$2:$B$26,0),MATCH('Master data'!J$1,'Team forecast'!$B$2:$AO$2,0))</f>
        <v>0.52919526509499659</v>
      </c>
      <c r="K125" s="16">
        <f>INDEX('Team forecast'!$B$2:$AO$26,MATCH('Master data'!$B125,'Team forecast'!$B$2:$B$26,0),MATCH('Master data'!K$1,'Team forecast'!$B$2:$AO$2,0))</f>
        <v>4.835748720224867</v>
      </c>
      <c r="L125" s="16">
        <f>INDEX('Team forecast'!$B$2:$AO$26,MATCH('Master data'!$B125,'Team forecast'!$B$2:$B$26,0),MATCH('Master data'!L$1,'Team forecast'!$B$2:$AO$2,0))</f>
        <v>2.0891846775016383</v>
      </c>
      <c r="M125">
        <f>IF(Players!BC126=1,95,0)</f>
        <v>0</v>
      </c>
      <c r="N125" s="2">
        <f>Players!BN126</f>
        <v>0</v>
      </c>
      <c r="O125" s="2">
        <f>Players!BO126</f>
        <v>0</v>
      </c>
      <c r="P125" s="2">
        <f>Players!BP126</f>
        <v>0</v>
      </c>
      <c r="Q125" s="2">
        <f>Players!BQ126</f>
        <v>0.3976928343222273</v>
      </c>
      <c r="R125" s="2">
        <f>Players!BR126</f>
        <v>4.1077133728890915E-2</v>
      </c>
      <c r="S125" s="2">
        <f>H125</f>
        <v>1.7533592214060363</v>
      </c>
      <c r="T125" s="2">
        <f>I125</f>
        <v>0.63639779406972985</v>
      </c>
      <c r="U125" s="16">
        <f>INDEX('Team forecast'!$B$2:$AO$26,MATCH('Master data'!$B125,'Team forecast'!$B$2:$B$26,0),MATCH('Master data'!U$1,'Team forecast'!$B$2:$AO$2,0))</f>
        <v>0.68039391226499568</v>
      </c>
      <c r="V125" s="16">
        <f>INDEX('Team forecast'!$B$2:$AO$26,MATCH('Master data'!$B125,'Team forecast'!$B$2:$B$26,0),MATCH('Master data'!V$1,'Team forecast'!$B$2:$AO$2,0))</f>
        <v>0.20053715308863029</v>
      </c>
      <c r="W125" s="16">
        <f>INDEX('Team forecast'!$B$2:$AO$26,MATCH('Master data'!$B125,'Team forecast'!$B$2:$B$26,0),MATCH('Master data'!W$1,'Team forecast'!$B$2:$AO$2,0))</f>
        <v>0.11906893464637421</v>
      </c>
      <c r="X125" s="5">
        <f>IF(M125&gt;95,7000*2,IF(M125&gt;0,7000,-5000))</f>
        <v>-5000</v>
      </c>
      <c r="Y125" s="5">
        <f>IF($X125&gt;0,U125*25000,0)</f>
        <v>0</v>
      </c>
      <c r="Z125" s="5">
        <f>IF($X125&gt;0,V125*5000,0)</f>
        <v>0</v>
      </c>
      <c r="AA125" s="5">
        <f>IF($X125&gt;0,W125*(-15000),0)</f>
        <v>0</v>
      </c>
      <c r="AB125" s="5">
        <f>IF($C125="Defense",$N125*150000,IF($C125="Midfield",$N125*125000,IF($C125="Striker",$N125*100000,0)))*$H125</f>
        <v>0</v>
      </c>
      <c r="AC125" s="5">
        <f>$O125*50000*H125</f>
        <v>0</v>
      </c>
      <c r="AD125" s="5">
        <f>$P125*K125*10000</f>
        <v>0</v>
      </c>
      <c r="AE125" s="5">
        <f>IF($C125="Goalkeeper",J125*75000,IF($C125="Defense",J125*50000,0))</f>
        <v>26459.763254749829</v>
      </c>
      <c r="AF125" s="5">
        <f>IF($C125="Goalkeeper",(L125-I125)*5000,0)</f>
        <v>0</v>
      </c>
      <c r="AG125" s="5">
        <f>IF(M125&gt;0,Q125*(-20000),0)</f>
        <v>0</v>
      </c>
      <c r="AH125" s="5">
        <f>IF(M125&gt;0,R125*(-50000),0)</f>
        <v>0</v>
      </c>
      <c r="AI125" s="5">
        <f>IF(M125&gt;0,S125*10000,0)</f>
        <v>0</v>
      </c>
      <c r="AJ125" s="5">
        <f>IF(M125&gt;0,T125*(-8000),0)</f>
        <v>0</v>
      </c>
      <c r="AK125" s="5">
        <f>IFERROR(SUM(X125:AJ125),-5000)*((Cockpit!$C$3)^0)</f>
        <v>21459.763254749829</v>
      </c>
      <c r="AL125" s="16">
        <f>INDEX('Team forecast'!$B$2:$AO$26,MATCH('Master data'!$B125,'Team forecast'!$B$2:$B$26,0),MATCH('Master data'!AL$1,'Team forecast'!$B$2:$AO$2,0))</f>
        <v>1.9080439968215523</v>
      </c>
      <c r="AM125" s="16">
        <f>INDEX('Team forecast'!$B$2:$AO$26,MATCH('Master data'!$B125,'Team forecast'!$B$2:$B$26,0),MATCH('Master data'!AM$1,'Team forecast'!$B$2:$AO$2,0))</f>
        <v>0.77817916464933856</v>
      </c>
      <c r="AN125" s="16">
        <f>INDEX('Team forecast'!$B$2:$AO$26,MATCH('Master data'!$B125,'Team forecast'!$B$2:$B$26,0),MATCH('Master data'!AN$1,'Team forecast'!$B$2:$AO$2,0))</f>
        <v>0.459241453546125</v>
      </c>
      <c r="AO125" s="16">
        <f>INDEX('Team forecast'!$B$2:$AO$26,MATCH('Master data'!$B125,'Team forecast'!$B$2:$B$26,0),MATCH('Master data'!AO$1,'Team forecast'!$B$2:$AO$2,0))</f>
        <v>5.26236791817451</v>
      </c>
      <c r="AP125" s="16">
        <f>INDEX('Team forecast'!$B$2:$AO$26,MATCH('Master data'!$B125,'Team forecast'!$B$2:$B$26,0),MATCH('Master data'!AP$1,'Team forecast'!$B$2:$AO$2,0))</f>
        <v>2.5546285708185357</v>
      </c>
      <c r="AQ125" s="5">
        <f>X125</f>
        <v>-5000</v>
      </c>
      <c r="AR125" s="5">
        <f>INDEX('Team forecast'!$B$2:$AO$26,MATCH('Master data'!$B125,'Team forecast'!$B$2:$B$26,0),MATCH('Master data'!AR$1,'Team forecast'!$B$2:$AO$2,0))*IF(X125&gt;0,25000,0)</f>
        <v>0</v>
      </c>
      <c r="AS125" s="16">
        <f>INDEX('Team forecast'!$B$2:$AO$26,MATCH('Master data'!$B125,'Team forecast'!$B$2:$B$26,0),MATCH('Master data'!AS$1,'Team forecast'!$B$2:$AO$2,0))*IF(X125&gt;0,5000,0)</f>
        <v>0</v>
      </c>
      <c r="AT125" s="16">
        <f>INDEX('Team forecast'!$B$2:$AO$26,MATCH('Master data'!$B125,'Team forecast'!$B$2:$B$26,0),MATCH('Master data'!AT$1,'Team forecast'!$B$2:$AO$2,0))*IF(X125&gt;0,-15000,0)</f>
        <v>0</v>
      </c>
      <c r="AU125" s="5">
        <f>IF($C125="Defense",$N125*150000,IF($C125="Midfield",$N125*125000,IF($C125="Striker",$N125*100000,0)))*$AL125</f>
        <v>0</v>
      </c>
      <c r="AV125" s="5">
        <f>$O125*50000*AL125</f>
        <v>0</v>
      </c>
      <c r="AW125" s="5">
        <f>$P125*AO125*10000</f>
        <v>0</v>
      </c>
      <c r="AX125" s="5">
        <f>IF($C125="Goalkeeper",AN125*75000,IF($C125="Defense",AN125*50000,0))</f>
        <v>22962.072677306249</v>
      </c>
      <c r="AY125" s="5">
        <f>IF($C125="Goalkeeper",(AP125-AM125)*5000,0)</f>
        <v>0</v>
      </c>
      <c r="AZ125" s="5">
        <f>$AG125</f>
        <v>0</v>
      </c>
      <c r="BA125" s="5">
        <f>$AH125</f>
        <v>0</v>
      </c>
      <c r="BB125" s="5">
        <f>IF(X125&gt;0,AL125*10000,0)</f>
        <v>0</v>
      </c>
      <c r="BC125" s="5">
        <f>IF(X125&gt;0,AM125*(-8000),0)</f>
        <v>0</v>
      </c>
      <c r="BD125" s="5">
        <f>IFERROR(SUM(AQ125:BC125),0)</f>
        <v>17962.072677306249</v>
      </c>
      <c r="BE125" s="16">
        <f>INDEX('Team forecast'!$B$2:$AO$26,MATCH('Master data'!$B125,'Team forecast'!$B$2:$B$26,0),MATCH('Master data'!BE$1,'Team forecast'!$B$2:$AO$2,0))</f>
        <v>2.3513752571634776</v>
      </c>
      <c r="BF125" s="16">
        <f>INDEX('Team forecast'!$B$2:$AO$26,MATCH('Master data'!$B125,'Team forecast'!$B$2:$B$26,0),MATCH('Master data'!BF$1,'Team forecast'!$B$2:$AO$2,0))</f>
        <v>0.56161379059809569</v>
      </c>
      <c r="BG125" s="16">
        <f>INDEX('Team forecast'!$B$2:$AO$26,MATCH('Master data'!$B125,'Team forecast'!$B$2:$B$26,0),MATCH('Master data'!BG$1,'Team forecast'!$B$2:$AO$2,0))</f>
        <v>0.57028799543769604</v>
      </c>
      <c r="BH125" s="16">
        <f>INDEX('Team forecast'!$B$2:$AO$26,MATCH('Master data'!$B125,'Team forecast'!$B$2:$B$26,0),MATCH('Master data'!BH$1,'Team forecast'!$B$2:$AO$2,0))</f>
        <v>6.4850714855102307</v>
      </c>
      <c r="BI125" s="16">
        <f>INDEX('Team forecast'!$B$2:$AO$26,MATCH('Master data'!$B125,'Team forecast'!$B$2:$B$26,0),MATCH('Master data'!BI$1,'Team forecast'!$B$2:$AO$2,0))</f>
        <v>1.8436816358018293</v>
      </c>
      <c r="BJ125" s="5">
        <f>AQ125</f>
        <v>-5000</v>
      </c>
      <c r="BK125" s="5">
        <f>INDEX('Team forecast'!$R$3:$BH$26,MATCH($B125,'Team forecast'!$B$3:$B$26,0),MATCH(BK$1,'Team forecast'!$R$2:$BH$2,0))*IF($X125&gt;0,25000,0)</f>
        <v>0</v>
      </c>
      <c r="BL125" s="5">
        <f>INDEX('Team forecast'!$R$3:$BH$26,MATCH($B125,'Team forecast'!$B$3:$B$26,0),MATCH(BL$1,'Team forecast'!$R$2:$BH$2,0))*IF($X125&gt;0,5000,0)</f>
        <v>0</v>
      </c>
      <c r="BM125" s="5">
        <f>INDEX('Team forecast'!$R$3:$BH$26,MATCH($B125,'Team forecast'!$B$3:$B$26,0),MATCH(BM$1,'Team forecast'!$R$2:$BH$2,0))*IF($X125&gt;0,-15000,0)</f>
        <v>0</v>
      </c>
      <c r="BN125" s="5">
        <f>IF($C125="Defense",$N125*150000,IF($C125="Midfield",$N125*125000,IF($C125="Striker",$N125*100000,0)))*$BE125</f>
        <v>0</v>
      </c>
      <c r="BO125" s="5">
        <f>$O125*50000*$BE125</f>
        <v>0</v>
      </c>
      <c r="BP125" s="5">
        <f>$P125*BH125*10000</f>
        <v>0</v>
      </c>
      <c r="BQ125" s="5">
        <f>IF($C125="Goalkeeper",BG125*75000,IF($C125="Defense",BG125*50000,0))</f>
        <v>28514.3997718848</v>
      </c>
      <c r="BR125" s="5">
        <f>IF($C125="Goalkeeper",(BI125-BF125)*5000,0)</f>
        <v>0</v>
      </c>
      <c r="BS125" s="5">
        <f>$AG125</f>
        <v>0</v>
      </c>
      <c r="BT125" s="5">
        <f>$AH125</f>
        <v>0</v>
      </c>
      <c r="BU125" s="5">
        <f>IF(AQ125&gt;0,BE125*10000,0)</f>
        <v>0</v>
      </c>
      <c r="BV125" s="5">
        <f>IF(AQ125&gt;0,BF125*(-8000),0)</f>
        <v>0</v>
      </c>
      <c r="BW125" s="5">
        <f>IFERROR(SUM(BJ125:BV125),0)</f>
        <v>23514.3997718848</v>
      </c>
      <c r="BX125" s="5">
        <f>AVERAGE(AK125,BD125,BW125)</f>
        <v>20978.745234646962</v>
      </c>
      <c r="BY125" s="5">
        <f>BX125*3</f>
        <v>62936.235703940882</v>
      </c>
      <c r="BZ125" s="5">
        <f>INDEX('Team forecast'!$R$3:$BH$26,MATCH($B125,'Team forecast'!$B$3:$B$26,0),MATCH(BZ$1,'Team forecast'!$R$2:$BH$2,0))*($BX125-(BY125+CH125)*0.01)</f>
        <v>-14163.916226754358</v>
      </c>
      <c r="CA125" s="5">
        <f>INDEX('Team forecast'!$R$3:$BH$26,MATCH($B125,'Team forecast'!$B$3:$B$26,0),MATCH(CA$1,'Team forecast'!$R$2:$BH$2,0))*($BX125-(BY125+BX125+CH125)*0.01)</f>
        <v>-7280.2764454822409</v>
      </c>
      <c r="CB125" s="5">
        <f>INDEX('Team forecast'!$R$3:$BH$26,MATCH($B125,'Team forecast'!$B$3:$B$26,0),MATCH(CB$1,'Team forecast'!$R$2:$BH$2,0))*($BX125-(BY125+BX125*2+CH125)*0.01)</f>
        <v>-3784.0231163087947</v>
      </c>
      <c r="CC125" s="5">
        <f>INDEX('Team forecast'!$R$3:$BH$26,MATCH($B125,'Team forecast'!$B$3:$B$26,0),MATCH(CC$1,'Team forecast'!$R$2:$BH$2,0))*($BX125-(BY125+BX125*3+CH125)*0.01)</f>
        <v>-2039.2815460163645</v>
      </c>
      <c r="CD125" s="5">
        <f>+AK125+BD125*Cockpit!$C$3+BW125*Cockpit!$C$3^2+BZ125*Cockpit!$C$3^3+CA125*Cockpit!$C$3^4+CB125*Cockpit!$C$3^5+CC125*Cockpit!$C$3^6</f>
        <v>37573.1883521743</v>
      </c>
      <c r="CE125" s="5"/>
      <c r="CF125" s="5"/>
      <c r="CG125" s="5">
        <v>0</v>
      </c>
      <c r="CH125" s="5">
        <f t="shared" si="46"/>
        <v>3500000</v>
      </c>
      <c r="CI125" s="5">
        <f t="shared" si="47"/>
        <v>3500000</v>
      </c>
      <c r="CJ125" s="1">
        <f t="shared" si="48"/>
        <v>1.7981781629697394E-2</v>
      </c>
      <c r="CK125" s="5">
        <f>RANK(BY125,$BY$2:$BY$623)+COUNTIF($BY$2:$BY125,$BY125)-1</f>
        <v>257</v>
      </c>
      <c r="CL125" s="5">
        <f>RANK(CJ125,$CJ$2:$CJ$623)+COUNTIF($CJ$2:$CJ125,$CJ125)-1</f>
        <v>279</v>
      </c>
    </row>
    <row r="126" spans="1:90">
      <c r="A126" t="str">
        <f>Players!P127</f>
        <v>Jordi Alba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4500000</v>
      </c>
      <c r="H126" s="16">
        <f>INDEX('Team forecast'!$B$2:$AO$26,MATCH('Master data'!$B126,'Team forecast'!$B$2:$B$26,0),MATCH('Master data'!H$1,'Team forecast'!$B$2:$AO$2,0))</f>
        <v>1.7533592214060363</v>
      </c>
      <c r="I126" s="16">
        <f>INDEX('Team forecast'!$B$2:$AO$26,MATCH('Master data'!$B126,'Team forecast'!$B$2:$B$26,0),MATCH('Master data'!I$1,'Team forecast'!$B$2:$AO$2,0))</f>
        <v>0.63639779406972985</v>
      </c>
      <c r="J126" s="16">
        <f>INDEX('Team forecast'!$B$2:$AO$26,MATCH('Master data'!$B126,'Team forecast'!$B$2:$B$26,0),MATCH('Master data'!J$1,'Team forecast'!$B$2:$AO$2,0))</f>
        <v>0.52919526509499659</v>
      </c>
      <c r="K126" s="16">
        <f>INDEX('Team forecast'!$B$2:$AO$26,MATCH('Master data'!$B126,'Team forecast'!$B$2:$B$26,0),MATCH('Master data'!K$1,'Team forecast'!$B$2:$AO$2,0))</f>
        <v>4.835748720224867</v>
      </c>
      <c r="L126" s="16">
        <f>INDEX('Team forecast'!$B$2:$AO$26,MATCH('Master data'!$B126,'Team forecast'!$B$2:$B$26,0),MATCH('Master data'!L$1,'Team forecast'!$B$2:$AO$2,0))</f>
        <v>2.0891846775016383</v>
      </c>
      <c r="M126">
        <f>IF(Players!BC127=1,95,0)</f>
        <v>95</v>
      </c>
      <c r="N126" s="2">
        <f>Players!BN127</f>
        <v>3.3226004580941847E-2</v>
      </c>
      <c r="O126" s="2">
        <f>Players!BO127</f>
        <v>9.5441772551225934E-2</v>
      </c>
      <c r="P126" s="2">
        <f>Players!BP127</f>
        <v>4.8448131886110121E-2</v>
      </c>
      <c r="Q126" s="2">
        <f>Players!BQ127</f>
        <v>0.29866336633663371</v>
      </c>
      <c r="R126" s="2">
        <f>Players!BR127</f>
        <v>0</v>
      </c>
      <c r="S126" s="2">
        <f>H126</f>
        <v>1.7533592214060363</v>
      </c>
      <c r="T126" s="2">
        <f>I126</f>
        <v>0.63639779406972985</v>
      </c>
      <c r="U126" s="16">
        <f>INDEX('Team forecast'!$B$2:$AO$26,MATCH('Master data'!$B126,'Team forecast'!$B$2:$B$26,0),MATCH('Master data'!U$1,'Team forecast'!$B$2:$AO$2,0))</f>
        <v>0.68039391226499568</v>
      </c>
      <c r="V126" s="16">
        <f>INDEX('Team forecast'!$B$2:$AO$26,MATCH('Master data'!$B126,'Team forecast'!$B$2:$B$26,0),MATCH('Master data'!V$1,'Team forecast'!$B$2:$AO$2,0))</f>
        <v>0.20053715308863029</v>
      </c>
      <c r="W126" s="16">
        <f>INDEX('Team forecast'!$B$2:$AO$26,MATCH('Master data'!$B126,'Team forecast'!$B$2:$B$26,0),MATCH('Master data'!W$1,'Team forecast'!$B$2:$AO$2,0))</f>
        <v>0.11906893464637421</v>
      </c>
      <c r="X126" s="5">
        <f>IF(M126&gt;95,7000*2,IF(M126&gt;0,7000,-5000))</f>
        <v>7000</v>
      </c>
      <c r="Y126" s="5">
        <f>IF($X126&gt;0,U126*25000,0)</f>
        <v>17009.847806624894</v>
      </c>
      <c r="Z126" s="5">
        <f>IF($X126&gt;0,V126*5000,0)</f>
        <v>1002.6857654431515</v>
      </c>
      <c r="AA126" s="5">
        <f>IF($X126&gt;0,W126*(-15000),0)</f>
        <v>-1786.0340196956131</v>
      </c>
      <c r="AB126" s="5">
        <f>IF($C126="Defense",$N126*150000,IF($C126="Midfield",$N126*125000,IF($C126="Striker",$N126*100000,0)))*$H126</f>
        <v>8738.5682283710375</v>
      </c>
      <c r="AC126" s="5">
        <f>$O126*50000*H126</f>
        <v>8367.1856005014761</v>
      </c>
      <c r="AD126" s="5">
        <f>$P126*K126*10000</f>
        <v>2342.829917655426</v>
      </c>
      <c r="AE126" s="5">
        <f>IF($C126="Goalkeeper",J126*75000,IF($C126="Defense",J126*50000,0))</f>
        <v>26459.763254749829</v>
      </c>
      <c r="AF126" s="5">
        <f>IF($C126="Goalkeeper",(L126-I126)*5000,0)</f>
        <v>0</v>
      </c>
      <c r="AG126" s="5">
        <f>IF(M126&gt;0,Q126*(-20000),0)</f>
        <v>-5973.2673267326745</v>
      </c>
      <c r="AH126" s="5">
        <f>IF(M126&gt;0,R126*(-50000),0)</f>
        <v>0</v>
      </c>
      <c r="AI126" s="5">
        <f>IF(M126&gt;0,S126*10000,0)</f>
        <v>17533.592214060362</v>
      </c>
      <c r="AJ126" s="5">
        <f>IF(M126&gt;0,T126*(-8000),0)</f>
        <v>-5091.1823525578384</v>
      </c>
      <c r="AK126" s="5">
        <f>IFERROR(SUM(X126:AJ126),-5000)*((Cockpit!$C$3)^0)</f>
        <v>75603.989088420058</v>
      </c>
      <c r="AL126" s="16">
        <f>INDEX('Team forecast'!$B$2:$AO$26,MATCH('Master data'!$B126,'Team forecast'!$B$2:$B$26,0),MATCH('Master data'!AL$1,'Team forecast'!$B$2:$AO$2,0))</f>
        <v>1.9080439968215523</v>
      </c>
      <c r="AM126" s="16">
        <f>INDEX('Team forecast'!$B$2:$AO$26,MATCH('Master data'!$B126,'Team forecast'!$B$2:$B$26,0),MATCH('Master data'!AM$1,'Team forecast'!$B$2:$AO$2,0))</f>
        <v>0.77817916464933856</v>
      </c>
      <c r="AN126" s="16">
        <f>INDEX('Team forecast'!$B$2:$AO$26,MATCH('Master data'!$B126,'Team forecast'!$B$2:$B$26,0),MATCH('Master data'!AN$1,'Team forecast'!$B$2:$AO$2,0))</f>
        <v>0.459241453546125</v>
      </c>
      <c r="AO126" s="16">
        <f>INDEX('Team forecast'!$B$2:$AO$26,MATCH('Master data'!$B126,'Team forecast'!$B$2:$B$26,0),MATCH('Master data'!AO$1,'Team forecast'!$B$2:$AO$2,0))</f>
        <v>5.26236791817451</v>
      </c>
      <c r="AP126" s="16">
        <f>INDEX('Team forecast'!$B$2:$AO$26,MATCH('Master data'!$B126,'Team forecast'!$B$2:$B$26,0),MATCH('Master data'!AP$1,'Team forecast'!$B$2:$AO$2,0))</f>
        <v>2.5546285708185357</v>
      </c>
      <c r="AQ126" s="5">
        <f>X126</f>
        <v>7000</v>
      </c>
      <c r="AR126" s="5">
        <f>INDEX('Team forecast'!$B$2:$AO$26,MATCH('Master data'!$B126,'Team forecast'!$B$2:$B$26,0),MATCH('Master data'!AR$1,'Team forecast'!$B$2:$AO$2,0))*IF(X126&gt;0,25000,0)</f>
        <v>16181.32638333662</v>
      </c>
      <c r="AS126" s="16">
        <f>INDEX('Team forecast'!$B$2:$AO$26,MATCH('Master data'!$B126,'Team forecast'!$B$2:$B$26,0),MATCH('Master data'!AS$1,'Team forecast'!$B$2:$AO$2,0))*IF(X126&gt;0,5000,0)</f>
        <v>1059.787969721827</v>
      </c>
      <c r="AT126" s="16">
        <f>INDEX('Team forecast'!$B$2:$AO$26,MATCH('Master data'!$B126,'Team forecast'!$B$2:$B$26,0),MATCH('Master data'!AT$1,'Team forecast'!$B$2:$AO$2,0))*IF(X126&gt;0,-15000,0)</f>
        <v>-2111.8402608325455</v>
      </c>
      <c r="AU126" s="5">
        <f>IF($C126="Defense",$N126*150000,IF($C126="Midfield",$N126*125000,IF($C126="Striker",$N126*100000,0)))*$AL126</f>
        <v>9509.501786854722</v>
      </c>
      <c r="AV126" s="5">
        <f>$O126*50000*AL126</f>
        <v>9105.3550581187319</v>
      </c>
      <c r="AW126" s="5">
        <f>$P126*AO126*10000</f>
        <v>2549.5189493295338</v>
      </c>
      <c r="AX126" s="5">
        <f>IF($C126="Goalkeeper",AN126*75000,IF($C126="Defense",AN126*50000,0))</f>
        <v>22962.072677306249</v>
      </c>
      <c r="AY126" s="5">
        <f>IF($C126="Goalkeeper",(AP126-AM126)*5000,0)</f>
        <v>0</v>
      </c>
      <c r="AZ126" s="5">
        <f>$AG126</f>
        <v>-5973.2673267326745</v>
      </c>
      <c r="BA126" s="5">
        <f>$AH126</f>
        <v>0</v>
      </c>
      <c r="BB126" s="5">
        <f>IF(X126&gt;0,AL126*10000,0)</f>
        <v>19080.439968215524</v>
      </c>
      <c r="BC126" s="5">
        <f>IF(X126&gt;0,AM126*(-8000),0)</f>
        <v>-6225.4333171947083</v>
      </c>
      <c r="BD126" s="5">
        <f>IFERROR(SUM(AQ126:BC126),0)</f>
        <v>73137.461888123275</v>
      </c>
      <c r="BE126" s="16">
        <f>INDEX('Team forecast'!$B$2:$AO$26,MATCH('Master data'!$B126,'Team forecast'!$B$2:$B$26,0),MATCH('Master data'!BE$1,'Team forecast'!$B$2:$AO$2,0))</f>
        <v>2.3513752571634776</v>
      </c>
      <c r="BF126" s="16">
        <f>INDEX('Team forecast'!$B$2:$AO$26,MATCH('Master data'!$B126,'Team forecast'!$B$2:$B$26,0),MATCH('Master data'!BF$1,'Team forecast'!$B$2:$AO$2,0))</f>
        <v>0.56161379059809569</v>
      </c>
      <c r="BG126" s="16">
        <f>INDEX('Team forecast'!$B$2:$AO$26,MATCH('Master data'!$B126,'Team forecast'!$B$2:$B$26,0),MATCH('Master data'!BG$1,'Team forecast'!$B$2:$AO$2,0))</f>
        <v>0.57028799543769604</v>
      </c>
      <c r="BH126" s="16">
        <f>INDEX('Team forecast'!$B$2:$AO$26,MATCH('Master data'!$B126,'Team forecast'!$B$2:$B$26,0),MATCH('Master data'!BH$1,'Team forecast'!$B$2:$AO$2,0))</f>
        <v>6.4850714855102307</v>
      </c>
      <c r="BI126" s="16">
        <f>INDEX('Team forecast'!$B$2:$AO$26,MATCH('Master data'!$B126,'Team forecast'!$B$2:$B$26,0),MATCH('Master data'!BI$1,'Team forecast'!$B$2:$AO$2,0))</f>
        <v>1.8436816358018293</v>
      </c>
      <c r="BJ126" s="5">
        <f>AQ126</f>
        <v>7000</v>
      </c>
      <c r="BK126" s="5">
        <f>INDEX('Team forecast'!$R$3:$BH$26,MATCH($B126,'Team forecast'!$B$3:$B$26,0),MATCH(BK$1,'Team forecast'!$R$2:$BH$2,0))*IF($X126&gt;0,25000,0)</f>
        <v>19047.619047619046</v>
      </c>
      <c r="BL126" s="5">
        <f>INDEX('Team forecast'!$R$3:$BH$26,MATCH($B126,'Team forecast'!$B$3:$B$26,0),MATCH(BL$1,'Team forecast'!$R$2:$BH$2,0))*IF($X126&gt;0,5000,0)</f>
        <v>850.34013605442146</v>
      </c>
      <c r="BM126" s="5">
        <f>INDEX('Team forecast'!$R$3:$BH$26,MATCH($B126,'Team forecast'!$B$3:$B$26,0),MATCH(BM$1,'Team forecast'!$R$2:$BH$2,0))*IF($X126&gt;0,-15000,0)</f>
        <v>-1020.408163265306</v>
      </c>
      <c r="BN126" s="5">
        <f>IF($C126="Defense",$N126*150000,IF($C126="Midfield",$N126*125000,IF($C126="Striker",$N126*100000,0)))*$BE126</f>
        <v>11719.020759904051</v>
      </c>
      <c r="BO126" s="5">
        <f>$O126*50000*$BE126</f>
        <v>11220.97112383885</v>
      </c>
      <c r="BP126" s="5">
        <f>$P126*BH126*10000</f>
        <v>3141.8959862085171</v>
      </c>
      <c r="BQ126" s="5">
        <f>IF($C126="Goalkeeper",BG126*75000,IF($C126="Defense",BG126*50000,0))</f>
        <v>28514.3997718848</v>
      </c>
      <c r="BR126" s="5">
        <f>IF($C126="Goalkeeper",(BI126-BF126)*5000,0)</f>
        <v>0</v>
      </c>
      <c r="BS126" s="5">
        <f>$AG126</f>
        <v>-5973.2673267326745</v>
      </c>
      <c r="BT126" s="5">
        <f>$AH126</f>
        <v>0</v>
      </c>
      <c r="BU126" s="5">
        <f>IF(AQ126&gt;0,BE126*10000,0)</f>
        <v>23513.752571634777</v>
      </c>
      <c r="BV126" s="5">
        <f>IF(AQ126&gt;0,BF126*(-8000),0)</f>
        <v>-4492.9103247847652</v>
      </c>
      <c r="BW126" s="5">
        <f>IFERROR(SUM(BJ126:BV126),0)</f>
        <v>93521.413582361711</v>
      </c>
      <c r="BX126" s="5">
        <f>AVERAGE(AK126,BD126,BW126)</f>
        <v>80754.288186301681</v>
      </c>
      <c r="BY126" s="5">
        <f>BX126*3</f>
        <v>242262.86455890504</v>
      </c>
      <c r="BZ126" s="5">
        <f>INDEX('Team forecast'!$R$3:$BH$26,MATCH($B126,'Team forecast'!$B$3:$B$26,0),MATCH(BZ$1,'Team forecast'!$R$2:$BH$2,0))*($BX126-(BY126+CH126)*0.01)</f>
        <v>32224.364986766926</v>
      </c>
      <c r="CA126" s="5">
        <f>INDEX('Team forecast'!$R$3:$BH$26,MATCH($B126,'Team forecast'!$B$3:$B$26,0),MATCH(CA$1,'Team forecast'!$R$2:$BH$2,0))*($BX126-(BY126+BX126+CH126)*0.01)</f>
        <v>15933.924223304635</v>
      </c>
      <c r="CB126" s="5">
        <f>INDEX('Team forecast'!$R$3:$BH$26,MATCH($B126,'Team forecast'!$B$3:$B$26,0),MATCH(CB$1,'Team forecast'!$R$2:$BH$2,0))*($BX126-(BY126+BX126*2+CH126)*0.01)</f>
        <v>7963.8167932118968</v>
      </c>
      <c r="CC126" s="5">
        <f>INDEX('Team forecast'!$R$3:$BH$26,MATCH($B126,'Team forecast'!$B$3:$B$26,0),MATCH(CC$1,'Team forecast'!$R$2:$BH$2,0))*($BX126-(BY126+BX126*3+CH126)*0.01)</f>
        <v>4125.1505863945613</v>
      </c>
      <c r="CD126" s="5">
        <f>+AK126+BD126*Cockpit!$C$3+BW126*Cockpit!$C$3^2+BZ126*Cockpit!$C$3^3+CA126*Cockpit!$C$3^4+CB126*Cockpit!$C$3^5+CC126*Cockpit!$C$3^6</f>
        <v>180033.65774862337</v>
      </c>
      <c r="CE126" s="5"/>
      <c r="CF126" s="5"/>
      <c r="CG126" s="5">
        <v>0</v>
      </c>
      <c r="CH126" s="5">
        <f t="shared" si="46"/>
        <v>4500000</v>
      </c>
      <c r="CI126" s="5">
        <f t="shared" si="47"/>
        <v>4500000</v>
      </c>
      <c r="CJ126" s="1">
        <f t="shared" si="48"/>
        <v>5.383619212420112E-2</v>
      </c>
      <c r="CK126" s="5">
        <f>RANK(BY126,$BY$2:$BY$623)+COUNTIF($BY$2:$BY126,$BY126)-1</f>
        <v>23</v>
      </c>
      <c r="CL126" s="5">
        <f>RANK(CJ126,$CJ$2:$CJ$623)+COUNTIF($CJ$2:$CJ126,$CJ126)-1</f>
        <v>22</v>
      </c>
    </row>
    <row r="127" spans="1:90">
      <c r="A127" t="str">
        <f>Players!P128</f>
        <v>José Gayà</v>
      </c>
      <c r="B127" t="str">
        <f>Players!G128</f>
        <v>Spain</v>
      </c>
      <c r="C127" t="str">
        <f>Players!AB128</f>
        <v>Defense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4000000</v>
      </c>
      <c r="H127" s="16">
        <f>INDEX('Team forecast'!$B$2:$AO$26,MATCH('Master data'!$B127,'Team forecast'!$B$2:$B$26,0),MATCH('Master data'!H$1,'Team forecast'!$B$2:$AO$2,0))</f>
        <v>1.7533592214060363</v>
      </c>
      <c r="I127" s="16">
        <f>INDEX('Team forecast'!$B$2:$AO$26,MATCH('Master data'!$B127,'Team forecast'!$B$2:$B$26,0),MATCH('Master data'!I$1,'Team forecast'!$B$2:$AO$2,0))</f>
        <v>0.63639779406972985</v>
      </c>
      <c r="J127" s="16">
        <f>INDEX('Team forecast'!$B$2:$AO$26,MATCH('Master data'!$B127,'Team forecast'!$B$2:$B$26,0),MATCH('Master data'!J$1,'Team forecast'!$B$2:$AO$2,0))</f>
        <v>0.52919526509499659</v>
      </c>
      <c r="K127" s="16">
        <f>INDEX('Team forecast'!$B$2:$AO$26,MATCH('Master data'!$B127,'Team forecast'!$B$2:$B$26,0),MATCH('Master data'!K$1,'Team forecast'!$B$2:$AO$2,0))</f>
        <v>4.835748720224867</v>
      </c>
      <c r="L127" s="16">
        <f>INDEX('Team forecast'!$B$2:$AO$26,MATCH('Master data'!$B127,'Team forecast'!$B$2:$B$26,0),MATCH('Master data'!L$1,'Team forecast'!$B$2:$AO$2,0))</f>
        <v>2.0891846775016383</v>
      </c>
      <c r="M127">
        <f>IF(Players!BC128=1,95,0)</f>
        <v>95</v>
      </c>
      <c r="N127" s="2">
        <f>Players!BN128</f>
        <v>2.5117127174501038E-2</v>
      </c>
      <c r="O127" s="2">
        <f>Players!BO128</f>
        <v>0.11152071085307111</v>
      </c>
      <c r="P127" s="2">
        <f>Players!BP128</f>
        <v>2.5781144997350489E-2</v>
      </c>
      <c r="Q127" s="2">
        <f>Players!BQ128</f>
        <v>9.4836670179135926E-2</v>
      </c>
      <c r="R127" s="2">
        <f>Players!BR128</f>
        <v>0</v>
      </c>
      <c r="S127" s="2">
        <f>H127</f>
        <v>1.7533592214060363</v>
      </c>
      <c r="T127" s="2">
        <f>I127</f>
        <v>0.63639779406972985</v>
      </c>
      <c r="U127" s="16">
        <f>INDEX('Team forecast'!$B$2:$AO$26,MATCH('Master data'!$B127,'Team forecast'!$B$2:$B$26,0),MATCH('Master data'!U$1,'Team forecast'!$B$2:$AO$2,0))</f>
        <v>0.68039391226499568</v>
      </c>
      <c r="V127" s="16">
        <f>INDEX('Team forecast'!$B$2:$AO$26,MATCH('Master data'!$B127,'Team forecast'!$B$2:$B$26,0),MATCH('Master data'!V$1,'Team forecast'!$B$2:$AO$2,0))</f>
        <v>0.20053715308863029</v>
      </c>
      <c r="W127" s="16">
        <f>INDEX('Team forecast'!$B$2:$AO$26,MATCH('Master data'!$B127,'Team forecast'!$B$2:$B$26,0),MATCH('Master data'!W$1,'Team forecast'!$B$2:$AO$2,0))</f>
        <v>0.11906893464637421</v>
      </c>
      <c r="X127" s="5">
        <f>IF(M127&gt;95,7000*2,IF(M127&gt;0,7000,-5000))</f>
        <v>7000</v>
      </c>
      <c r="Y127" s="5">
        <f>IF($X127&gt;0,U127*25000,0)</f>
        <v>17009.847806624894</v>
      </c>
      <c r="Z127" s="5">
        <f>IF($X127&gt;0,V127*5000,0)</f>
        <v>1002.6857654431515</v>
      </c>
      <c r="AA127" s="5">
        <f>IF($X127&gt;0,W127*(-15000),0)</f>
        <v>-1786.0340196956131</v>
      </c>
      <c r="AB127" s="5">
        <f>IF($C127="Defense",$N127*150000,IF($C127="Midfield",$N127*125000,IF($C127="Striker",$N127*100000,0)))*$H127</f>
        <v>6605.9019819959303</v>
      </c>
      <c r="AC127" s="5">
        <f>$O127*50000*H127</f>
        <v>9776.7933375994235</v>
      </c>
      <c r="AD127" s="5">
        <f>$P127*K127*10000</f>
        <v>1246.7113892686937</v>
      </c>
      <c r="AE127" s="5">
        <f>IF($C127="Goalkeeper",J127*75000,IF($C127="Defense",J127*50000,0))</f>
        <v>26459.763254749829</v>
      </c>
      <c r="AF127" s="5">
        <f>IF($C127="Goalkeeper",(L127-I127)*5000,0)</f>
        <v>0</v>
      </c>
      <c r="AG127" s="5">
        <f>IF(M127&gt;0,Q127*(-20000),0)</f>
        <v>-1896.7334035827184</v>
      </c>
      <c r="AH127" s="5">
        <f>IF(M127&gt;0,R127*(-50000),0)</f>
        <v>0</v>
      </c>
      <c r="AI127" s="5">
        <f>IF(M127&gt;0,S127*10000,0)</f>
        <v>17533.592214060362</v>
      </c>
      <c r="AJ127" s="5">
        <f>IF(M127&gt;0,T127*(-8000),0)</f>
        <v>-5091.1823525578384</v>
      </c>
      <c r="AK127" s="5">
        <f>IFERROR(SUM(X127:AJ127),-5000)*((Cockpit!$C$3)^0)</f>
        <v>77861.345973906122</v>
      </c>
      <c r="AL127" s="16">
        <f>INDEX('Team forecast'!$B$2:$AO$26,MATCH('Master data'!$B127,'Team forecast'!$B$2:$B$26,0),MATCH('Master data'!AL$1,'Team forecast'!$B$2:$AO$2,0))</f>
        <v>1.9080439968215523</v>
      </c>
      <c r="AM127" s="16">
        <f>INDEX('Team forecast'!$B$2:$AO$26,MATCH('Master data'!$B127,'Team forecast'!$B$2:$B$26,0),MATCH('Master data'!AM$1,'Team forecast'!$B$2:$AO$2,0))</f>
        <v>0.77817916464933856</v>
      </c>
      <c r="AN127" s="16">
        <f>INDEX('Team forecast'!$B$2:$AO$26,MATCH('Master data'!$B127,'Team forecast'!$B$2:$B$26,0),MATCH('Master data'!AN$1,'Team forecast'!$B$2:$AO$2,0))</f>
        <v>0.459241453546125</v>
      </c>
      <c r="AO127" s="16">
        <f>INDEX('Team forecast'!$B$2:$AO$26,MATCH('Master data'!$B127,'Team forecast'!$B$2:$B$26,0),MATCH('Master data'!AO$1,'Team forecast'!$B$2:$AO$2,0))</f>
        <v>5.26236791817451</v>
      </c>
      <c r="AP127" s="16">
        <f>INDEX('Team forecast'!$B$2:$AO$26,MATCH('Master data'!$B127,'Team forecast'!$B$2:$B$26,0),MATCH('Master data'!AP$1,'Team forecast'!$B$2:$AO$2,0))</f>
        <v>2.5546285708185357</v>
      </c>
      <c r="AQ127" s="5">
        <f>X127</f>
        <v>7000</v>
      </c>
      <c r="AR127" s="5">
        <f>INDEX('Team forecast'!$B$2:$AO$26,MATCH('Master data'!$B127,'Team forecast'!$B$2:$B$26,0),MATCH('Master data'!AR$1,'Team forecast'!$B$2:$AO$2,0))*IF(X127&gt;0,25000,0)</f>
        <v>16181.32638333662</v>
      </c>
      <c r="AS127" s="16">
        <f>INDEX('Team forecast'!$B$2:$AO$26,MATCH('Master data'!$B127,'Team forecast'!$B$2:$B$26,0),MATCH('Master data'!AS$1,'Team forecast'!$B$2:$AO$2,0))*IF(X127&gt;0,5000,0)</f>
        <v>1059.787969721827</v>
      </c>
      <c r="AT127" s="16">
        <f>INDEX('Team forecast'!$B$2:$AO$26,MATCH('Master data'!$B127,'Team forecast'!$B$2:$B$26,0),MATCH('Master data'!AT$1,'Team forecast'!$B$2:$AO$2,0))*IF(X127&gt;0,-15000,0)</f>
        <v>-2111.8402608325455</v>
      </c>
      <c r="AU127" s="5">
        <f>IF($C127="Defense",$N127*150000,IF($C127="Midfield",$N127*125000,IF($C127="Striker",$N127*100000,0)))*$AL127</f>
        <v>7188.6875584065274</v>
      </c>
      <c r="AV127" s="5">
        <f>$O127*50000*AL127</f>
        <v>10639.321143223722</v>
      </c>
      <c r="AW127" s="5">
        <f>$P127*AO127*10000</f>
        <v>1356.6987032786249</v>
      </c>
      <c r="AX127" s="5">
        <f>IF($C127="Goalkeeper",AN127*75000,IF($C127="Defense",AN127*50000,0))</f>
        <v>22962.072677306249</v>
      </c>
      <c r="AY127" s="5">
        <f>IF($C127="Goalkeeper",(AP127-AM127)*5000,0)</f>
        <v>0</v>
      </c>
      <c r="AZ127" s="5">
        <f>$AG127</f>
        <v>-1896.7334035827184</v>
      </c>
      <c r="BA127" s="5">
        <f>$AH127</f>
        <v>0</v>
      </c>
      <c r="BB127" s="5">
        <f>IF(X127&gt;0,AL127*10000,0)</f>
        <v>19080.439968215524</v>
      </c>
      <c r="BC127" s="5">
        <f>IF(X127&gt;0,AM127*(-8000),0)</f>
        <v>-6225.4333171947083</v>
      </c>
      <c r="BD127" s="5">
        <f>IFERROR(SUM(AQ127:BC127),0)</f>
        <v>75234.327421879134</v>
      </c>
      <c r="BE127" s="16">
        <f>INDEX('Team forecast'!$B$2:$AO$26,MATCH('Master data'!$B127,'Team forecast'!$B$2:$B$26,0),MATCH('Master data'!BE$1,'Team forecast'!$B$2:$AO$2,0))</f>
        <v>2.3513752571634776</v>
      </c>
      <c r="BF127" s="16">
        <f>INDEX('Team forecast'!$B$2:$AO$26,MATCH('Master data'!$B127,'Team forecast'!$B$2:$B$26,0),MATCH('Master data'!BF$1,'Team forecast'!$B$2:$AO$2,0))</f>
        <v>0.56161379059809569</v>
      </c>
      <c r="BG127" s="16">
        <f>INDEX('Team forecast'!$B$2:$AO$26,MATCH('Master data'!$B127,'Team forecast'!$B$2:$B$26,0),MATCH('Master data'!BG$1,'Team forecast'!$B$2:$AO$2,0))</f>
        <v>0.57028799543769604</v>
      </c>
      <c r="BH127" s="16">
        <f>INDEX('Team forecast'!$B$2:$AO$26,MATCH('Master data'!$B127,'Team forecast'!$B$2:$B$26,0),MATCH('Master data'!BH$1,'Team forecast'!$B$2:$AO$2,0))</f>
        <v>6.4850714855102307</v>
      </c>
      <c r="BI127" s="16">
        <f>INDEX('Team forecast'!$B$2:$AO$26,MATCH('Master data'!$B127,'Team forecast'!$B$2:$B$26,0),MATCH('Master data'!BI$1,'Team forecast'!$B$2:$AO$2,0))</f>
        <v>1.8436816358018293</v>
      </c>
      <c r="BJ127" s="5">
        <f>AQ127</f>
        <v>7000</v>
      </c>
      <c r="BK127" s="5">
        <f>INDEX('Team forecast'!$R$3:$BH$26,MATCH($B127,'Team forecast'!$B$3:$B$26,0),MATCH(BK$1,'Team forecast'!$R$2:$BH$2,0))*IF($X127&gt;0,25000,0)</f>
        <v>19047.619047619046</v>
      </c>
      <c r="BL127" s="5">
        <f>INDEX('Team forecast'!$R$3:$BH$26,MATCH($B127,'Team forecast'!$B$3:$B$26,0),MATCH(BL$1,'Team forecast'!$R$2:$BH$2,0))*IF($X127&gt;0,5000,0)</f>
        <v>850.34013605442146</v>
      </c>
      <c r="BM127" s="5">
        <f>INDEX('Team forecast'!$R$3:$BH$26,MATCH($B127,'Team forecast'!$B$3:$B$26,0),MATCH(BM$1,'Team forecast'!$R$2:$BH$2,0))*IF($X127&gt;0,-15000,0)</f>
        <v>-1020.408163265306</v>
      </c>
      <c r="BN127" s="5">
        <f>IF($C127="Defense",$N127*150000,IF($C127="Midfield",$N127*125000,IF($C127="Striker",$N127*100000,0)))*$BE127</f>
        <v>8858.9687053725229</v>
      </c>
      <c r="BO127" s="5">
        <f>$O127*50000*$BE127</f>
        <v>13111.352008059695</v>
      </c>
      <c r="BP127" s="5">
        <f>$P127*BH127*10000</f>
        <v>1671.925682861224</v>
      </c>
      <c r="BQ127" s="5">
        <f>IF($C127="Goalkeeper",BG127*75000,IF($C127="Defense",BG127*50000,0))</f>
        <v>28514.3997718848</v>
      </c>
      <c r="BR127" s="5">
        <f>IF($C127="Goalkeeper",(BI127-BF127)*5000,0)</f>
        <v>0</v>
      </c>
      <c r="BS127" s="5">
        <f>$AG127</f>
        <v>-1896.7334035827184</v>
      </c>
      <c r="BT127" s="5">
        <f>$AH127</f>
        <v>0</v>
      </c>
      <c r="BU127" s="5">
        <f>IF(AQ127&gt;0,BE127*10000,0)</f>
        <v>23513.752571634777</v>
      </c>
      <c r="BV127" s="5">
        <f>IF(AQ127&gt;0,BF127*(-8000),0)</f>
        <v>-4492.9103247847652</v>
      </c>
      <c r="BW127" s="5">
        <f>IFERROR(SUM(BJ127:BV127),0)</f>
        <v>95158.306031853688</v>
      </c>
      <c r="BX127" s="5">
        <f>AVERAGE(AK127,BD127,BW127)</f>
        <v>82751.326475879658</v>
      </c>
      <c r="BY127" s="5">
        <f>BX127*3</f>
        <v>248253.97942763899</v>
      </c>
      <c r="BZ127" s="5">
        <f>INDEX('Team forecast'!$R$3:$BH$26,MATCH($B127,'Team forecast'!$B$3:$B$26,0),MATCH(BZ$1,'Team forecast'!$R$2:$BH$2,0))*($BX127-(BY127+CH127)*0.01)</f>
        <v>38931.037262553866</v>
      </c>
      <c r="CA127" s="5">
        <f>INDEX('Team forecast'!$R$3:$BH$26,MATCH($B127,'Team forecast'!$B$3:$B$26,0),MATCH(CA$1,'Team forecast'!$R$2:$BH$2,0))*($BX127-(BY127+BX127+CH127)*0.01)</f>
        <v>19322.71577077992</v>
      </c>
      <c r="CB127" s="5">
        <f>INDEX('Team forecast'!$R$3:$BH$26,MATCH($B127,'Team forecast'!$B$3:$B$26,0),MATCH(CB$1,'Team forecast'!$R$2:$BH$2,0))*($BX127-(BY127+BX127*2+CH127)*0.01)</f>
        <v>9695.6535630392154</v>
      </c>
      <c r="CC127" s="5">
        <f>INDEX('Team forecast'!$R$3:$BH$26,MATCH($B127,'Team forecast'!$B$3:$B$26,0),MATCH(CC$1,'Team forecast'!$R$2:$BH$2,0))*($BX127-(BY127+BX127*3+CH127)*0.01)</f>
        <v>5042.9908020667808</v>
      </c>
      <c r="CD127" s="5">
        <f>+AK127+BD127*Cockpit!$C$3+BW127*Cockpit!$C$3^2+BZ127*Cockpit!$C$3^3+CA127*Cockpit!$C$3^4+CB127*Cockpit!$C$3^5+CC127*Cockpit!$C$3^6</f>
        <v>187381.62519810617</v>
      </c>
      <c r="CE127" s="5"/>
      <c r="CF127" s="5"/>
      <c r="CG127" s="5">
        <v>0</v>
      </c>
      <c r="CH127" s="5">
        <f t="shared" si="46"/>
        <v>4000000</v>
      </c>
      <c r="CI127" s="5">
        <f t="shared" si="47"/>
        <v>4000000</v>
      </c>
      <c r="CJ127" s="1">
        <f t="shared" si="48"/>
        <v>6.2063494856909748E-2</v>
      </c>
      <c r="CK127" s="5">
        <f>RANK(BY127,$BY$2:$BY$623)+COUNTIF($BY$2:$BY127,$BY127)-1</f>
        <v>20</v>
      </c>
      <c r="CL127" s="5">
        <f>RANK(CJ127,$CJ$2:$CJ$623)+COUNTIF($CJ$2:$CJ127,$CJ127)-1</f>
        <v>8</v>
      </c>
    </row>
    <row r="128" spans="1:90">
      <c r="A128" t="str">
        <f>Players!P129</f>
        <v>Fabián Ruiz</v>
      </c>
      <c r="B128" t="str">
        <f>Players!G129</f>
        <v>Spain</v>
      </c>
      <c r="C128" t="str">
        <f>Players!AB129</f>
        <v>Midfield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3000000</v>
      </c>
      <c r="H128" s="16">
        <f>INDEX('Team forecast'!$B$2:$AO$26,MATCH('Master data'!$B128,'Team forecast'!$B$2:$B$26,0),MATCH('Master data'!H$1,'Team forecast'!$B$2:$AO$2,0))</f>
        <v>1.7533592214060363</v>
      </c>
      <c r="I128" s="16">
        <f>INDEX('Team forecast'!$B$2:$AO$26,MATCH('Master data'!$B128,'Team forecast'!$B$2:$B$26,0),MATCH('Master data'!I$1,'Team forecast'!$B$2:$AO$2,0))</f>
        <v>0.63639779406972985</v>
      </c>
      <c r="J128" s="16">
        <f>INDEX('Team forecast'!$B$2:$AO$26,MATCH('Master data'!$B128,'Team forecast'!$B$2:$B$26,0),MATCH('Master data'!J$1,'Team forecast'!$B$2:$AO$2,0))</f>
        <v>0.52919526509499659</v>
      </c>
      <c r="K128" s="16">
        <f>INDEX('Team forecast'!$B$2:$AO$26,MATCH('Master data'!$B128,'Team forecast'!$B$2:$B$26,0),MATCH('Master data'!K$1,'Team forecast'!$B$2:$AO$2,0))</f>
        <v>4.835748720224867</v>
      </c>
      <c r="L128" s="16">
        <f>INDEX('Team forecast'!$B$2:$AO$26,MATCH('Master data'!$B128,'Team forecast'!$B$2:$B$26,0),MATCH('Master data'!L$1,'Team forecast'!$B$2:$AO$2,0))</f>
        <v>2.0891846775016383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0.21249611197511664</v>
      </c>
      <c r="R128" s="2">
        <f>Players!BR129</f>
        <v>0</v>
      </c>
      <c r="S128" s="2">
        <f>H128</f>
        <v>1.7533592214060363</v>
      </c>
      <c r="T128" s="2">
        <f>I128</f>
        <v>0.63639779406972985</v>
      </c>
      <c r="U128" s="16">
        <f>INDEX('Team forecast'!$B$2:$AO$26,MATCH('Master data'!$B128,'Team forecast'!$B$2:$B$26,0),MATCH('Master data'!U$1,'Team forecast'!$B$2:$AO$2,0))</f>
        <v>0.68039391226499568</v>
      </c>
      <c r="V128" s="16">
        <f>INDEX('Team forecast'!$B$2:$AO$26,MATCH('Master data'!$B128,'Team forecast'!$B$2:$B$26,0),MATCH('Master data'!V$1,'Team forecast'!$B$2:$AO$2,0))</f>
        <v>0.20053715308863029</v>
      </c>
      <c r="W128" s="16">
        <f>INDEX('Team forecast'!$B$2:$AO$26,MATCH('Master data'!$B128,'Team forecast'!$B$2:$B$26,0),MATCH('Master data'!W$1,'Team forecast'!$B$2:$AO$2,0))</f>
        <v>0.11906893464637421</v>
      </c>
      <c r="X128" s="5">
        <f>IF(M128&gt;95,7000*2,IF(M128&gt;0,7000,-5000))</f>
        <v>-5000</v>
      </c>
      <c r="Y128" s="5">
        <f>IF($X128&gt;0,U128*25000,0)</f>
        <v>0</v>
      </c>
      <c r="Z128" s="5">
        <f>IF($X128&gt;0,V128*5000,0)</f>
        <v>0</v>
      </c>
      <c r="AA128" s="5">
        <f>IF($X128&gt;0,W128*(-15000),0)</f>
        <v>0</v>
      </c>
      <c r="AB128" s="5">
        <f>IF($C128="Defense",$N128*150000,IF($C128="Midfield",$N128*125000,IF($C128="Striker",$N128*100000,0)))*$H128</f>
        <v>0</v>
      </c>
      <c r="AC128" s="5">
        <f>$O128*50000*H128</f>
        <v>0</v>
      </c>
      <c r="AD128" s="5">
        <f>$P128*K128*10000</f>
        <v>0</v>
      </c>
      <c r="AE128" s="5">
        <f>IF($C128="Goalkeeper",J128*75000,IF($C128="Defense",J128*50000,0))</f>
        <v>0</v>
      </c>
      <c r="AF128" s="5">
        <f>IF($C128="Goalkeeper",(L128-I128)*5000,0)</f>
        <v>0</v>
      </c>
      <c r="AG128" s="5">
        <f>IF(M128&gt;0,Q128*(-20000),0)</f>
        <v>0</v>
      </c>
      <c r="AH128" s="5">
        <f>IF(M128&gt;0,R128*(-50000),0)</f>
        <v>0</v>
      </c>
      <c r="AI128" s="5">
        <f>IF(M128&gt;0,S128*10000,0)</f>
        <v>0</v>
      </c>
      <c r="AJ128" s="5">
        <f>IF(M128&gt;0,T128*(-8000),0)</f>
        <v>0</v>
      </c>
      <c r="AK128" s="5">
        <f>IFERROR(SUM(X128:AJ128),-5000)*((Cockpit!$C$3)^0)</f>
        <v>-5000</v>
      </c>
      <c r="AL128" s="16">
        <f>INDEX('Team forecast'!$B$2:$AO$26,MATCH('Master data'!$B128,'Team forecast'!$B$2:$B$26,0),MATCH('Master data'!AL$1,'Team forecast'!$B$2:$AO$2,0))</f>
        <v>1.9080439968215523</v>
      </c>
      <c r="AM128" s="16">
        <f>INDEX('Team forecast'!$B$2:$AO$26,MATCH('Master data'!$B128,'Team forecast'!$B$2:$B$26,0),MATCH('Master data'!AM$1,'Team forecast'!$B$2:$AO$2,0))</f>
        <v>0.77817916464933856</v>
      </c>
      <c r="AN128" s="16">
        <f>INDEX('Team forecast'!$B$2:$AO$26,MATCH('Master data'!$B128,'Team forecast'!$B$2:$B$26,0),MATCH('Master data'!AN$1,'Team forecast'!$B$2:$AO$2,0))</f>
        <v>0.459241453546125</v>
      </c>
      <c r="AO128" s="16">
        <f>INDEX('Team forecast'!$B$2:$AO$26,MATCH('Master data'!$B128,'Team forecast'!$B$2:$B$26,0),MATCH('Master data'!AO$1,'Team forecast'!$B$2:$AO$2,0))</f>
        <v>5.26236791817451</v>
      </c>
      <c r="AP128" s="16">
        <f>INDEX('Team forecast'!$B$2:$AO$26,MATCH('Master data'!$B128,'Team forecast'!$B$2:$B$26,0),MATCH('Master data'!AP$1,'Team forecast'!$B$2:$AO$2,0))</f>
        <v>2.5546285708185357</v>
      </c>
      <c r="AQ128" s="5">
        <f>X128</f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>IF($C128="Defense",$N128*150000,IF($C128="Midfield",$N128*125000,IF($C128="Striker",$N128*100000,0)))*$AL128</f>
        <v>0</v>
      </c>
      <c r="AV128" s="5">
        <f>$O128*50000*AL128</f>
        <v>0</v>
      </c>
      <c r="AW128" s="5">
        <f>$P128*AO128*10000</f>
        <v>0</v>
      </c>
      <c r="AX128" s="5">
        <f>IF($C128="Goalkeeper",AN128*75000,IF($C128="Defense",AN128*50000,0))</f>
        <v>0</v>
      </c>
      <c r="AY128" s="5">
        <f>IF($C128="Goalkeeper",(AP128-AM128)*5000,0)</f>
        <v>0</v>
      </c>
      <c r="AZ128" s="5">
        <f>$AG128</f>
        <v>0</v>
      </c>
      <c r="BA128" s="5">
        <f>$AH128</f>
        <v>0</v>
      </c>
      <c r="BB128" s="5">
        <f>IF(X128&gt;0,AL128*10000,0)</f>
        <v>0</v>
      </c>
      <c r="BC128" s="5">
        <f>IF(X128&gt;0,AM128*(-8000),0)</f>
        <v>0</v>
      </c>
      <c r="BD128" s="5">
        <f>IFERROR(SUM(AQ128:BC128),0)</f>
        <v>-5000</v>
      </c>
      <c r="BE128" s="16">
        <f>INDEX('Team forecast'!$B$2:$AO$26,MATCH('Master data'!$B128,'Team forecast'!$B$2:$B$26,0),MATCH('Master data'!BE$1,'Team forecast'!$B$2:$AO$2,0))</f>
        <v>2.3513752571634776</v>
      </c>
      <c r="BF128" s="16">
        <f>INDEX('Team forecast'!$B$2:$AO$26,MATCH('Master data'!$B128,'Team forecast'!$B$2:$B$26,0),MATCH('Master data'!BF$1,'Team forecast'!$B$2:$AO$2,0))</f>
        <v>0.56161379059809569</v>
      </c>
      <c r="BG128" s="16">
        <f>INDEX('Team forecast'!$B$2:$AO$26,MATCH('Master data'!$B128,'Team forecast'!$B$2:$B$26,0),MATCH('Master data'!BG$1,'Team forecast'!$B$2:$AO$2,0))</f>
        <v>0.57028799543769604</v>
      </c>
      <c r="BH128" s="16">
        <f>INDEX('Team forecast'!$B$2:$AO$26,MATCH('Master data'!$B128,'Team forecast'!$B$2:$B$26,0),MATCH('Master data'!BH$1,'Team forecast'!$B$2:$AO$2,0))</f>
        <v>6.4850714855102307</v>
      </c>
      <c r="BI128" s="16">
        <f>INDEX('Team forecast'!$B$2:$AO$26,MATCH('Master data'!$B128,'Team forecast'!$B$2:$B$26,0),MATCH('Master data'!BI$1,'Team forecast'!$B$2:$AO$2,0))</f>
        <v>1.8436816358018293</v>
      </c>
      <c r="BJ128" s="5">
        <f>AQ128</f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>IF($C128="Defense",$N128*150000,IF($C128="Midfield",$N128*125000,IF($C128="Striker",$N128*100000,0)))*$BE128</f>
        <v>0</v>
      </c>
      <c r="BO128" s="5">
        <f>$O128*50000*$BE128</f>
        <v>0</v>
      </c>
      <c r="BP128" s="5">
        <f>$P128*BH128*10000</f>
        <v>0</v>
      </c>
      <c r="BQ128" s="5">
        <f>IF($C128="Goalkeeper",BG128*75000,IF($C128="Defense",BG128*50000,0))</f>
        <v>0</v>
      </c>
      <c r="BR128" s="5">
        <f>IF($C128="Goalkeeper",(BI128-BF128)*5000,0)</f>
        <v>0</v>
      </c>
      <c r="BS128" s="5">
        <f>$AG128</f>
        <v>0</v>
      </c>
      <c r="BT128" s="5">
        <f>$AH128</f>
        <v>0</v>
      </c>
      <c r="BU128" s="5">
        <f>IF(AQ128&gt;0,BE128*10000,0)</f>
        <v>0</v>
      </c>
      <c r="BV128" s="5">
        <f>IF(AQ128&gt;0,BF128*(-8000),0)</f>
        <v>0</v>
      </c>
      <c r="BW128" s="5">
        <f>IFERROR(SUM(BJ128:BV128),0)</f>
        <v>-5000</v>
      </c>
      <c r="BX128" s="5">
        <f>AVERAGE(AK128,BD128,BW128)</f>
        <v>-5000</v>
      </c>
      <c r="BY128" s="5">
        <f>BX128*3</f>
        <v>-15000</v>
      </c>
      <c r="BZ128" s="5">
        <f>INDEX('Team forecast'!$R$3:$BH$26,MATCH($B128,'Team forecast'!$B$3:$B$26,0),MATCH(BZ$1,'Team forecast'!$R$2:$BH$2,0))*($BX128-(BY128+CH128)*0.01)</f>
        <v>-33692.265409621345</v>
      </c>
      <c r="CA128" s="5">
        <f>INDEX('Team forecast'!$R$3:$BH$26,MATCH($B128,'Team forecast'!$B$3:$B$26,0),MATCH(CA$1,'Team forecast'!$R$2:$BH$2,0))*($BX128-(BY128+BX128+CH128)*0.01)</f>
        <v>-17048.904626288291</v>
      </c>
      <c r="CB128" s="5">
        <f>INDEX('Team forecast'!$R$3:$BH$26,MATCH($B128,'Team forecast'!$B$3:$B$26,0),MATCH(CB$1,'Team forecast'!$R$2:$BH$2,0))*($BX128-(BY128+BX128*2+CH128)*0.01)</f>
        <v>-8725.4895661181599</v>
      </c>
      <c r="CC128" s="5">
        <f>INDEX('Team forecast'!$R$3:$BH$26,MATCH($B128,'Team forecast'!$B$3:$B$26,0),MATCH(CC$1,'Team forecast'!$R$2:$BH$2,0))*($BX128-(BY128+BX128*3+CH128)*0.01)</f>
        <v>-4631.0971648895811</v>
      </c>
      <c r="CD128" s="5">
        <f>+AK128+BD128*Cockpit!$C$3+BW128*Cockpit!$C$3^2+BZ128*Cockpit!$C$3^3+CA128*Cockpit!$C$3^4+CB128*Cockpit!$C$3^5+CC128*Cockpit!$C$3^6</f>
        <v>-25461.740482255143</v>
      </c>
      <c r="CE128" s="5"/>
      <c r="CF128" s="5"/>
      <c r="CG128" s="5">
        <v>0</v>
      </c>
      <c r="CH128" s="5">
        <f t="shared" si="46"/>
        <v>3000000</v>
      </c>
      <c r="CI128" s="5">
        <f t="shared" si="47"/>
        <v>3000000</v>
      </c>
      <c r="CJ128" s="1">
        <f t="shared" si="48"/>
        <v>-5.0000000000000001E-3</v>
      </c>
      <c r="CK128" s="5">
        <f>RANK(BY128,$BY$2:$BY$623)+COUNTIF($BY$2:$BY128,$BY128)-1</f>
        <v>464</v>
      </c>
      <c r="CL128" s="5">
        <f>RANK(CJ128,$CJ$2:$CJ$623)+COUNTIF($CJ$2:$CJ128,$CJ128)-1</f>
        <v>489</v>
      </c>
    </row>
    <row r="129" spans="1:90">
      <c r="A129" t="str">
        <f>Players!P130</f>
        <v>Steve Mandanda</v>
      </c>
      <c r="B129" t="str">
        <f>Players!G130</f>
        <v>France</v>
      </c>
      <c r="C129" t="str">
        <f>Players!AB130</f>
        <v>Goalkeeper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5500000</v>
      </c>
      <c r="H129" s="16">
        <f>INDEX('Team forecast'!$B$2:$AO$26,MATCH('Master data'!$B129,'Team forecast'!$B$2:$B$26,0),MATCH('Master data'!H$1,'Team forecast'!$B$2:$AO$2,0))</f>
        <v>1.2386203137003762</v>
      </c>
      <c r="I129" s="16">
        <f>INDEX('Team forecast'!$B$2:$AO$26,MATCH('Master data'!$B129,'Team forecast'!$B$2:$B$26,0),MATCH('Master data'!I$1,'Team forecast'!$B$2:$AO$2,0))</f>
        <v>1.2386203137003762</v>
      </c>
      <c r="J129" s="16">
        <f>INDEX('Team forecast'!$B$2:$AO$26,MATCH('Master data'!$B129,'Team forecast'!$B$2:$B$26,0),MATCH('Master data'!J$1,'Team forecast'!$B$2:$AO$2,0))</f>
        <v>0.28978375293296982</v>
      </c>
      <c r="K129" s="16">
        <f>INDEX('Team forecast'!$B$2:$AO$26,MATCH('Master data'!$B129,'Team forecast'!$B$2:$B$26,0),MATCH('Master data'!K$1,'Team forecast'!$B$2:$AO$2,0))</f>
        <v>3.2404985504377408</v>
      </c>
      <c r="L129" s="16">
        <f>INDEX('Team forecast'!$B$2:$AO$26,MATCH('Master data'!$B129,'Team forecast'!$B$2:$B$26,0),MATCH('Master data'!L$1,'Team forecast'!$B$2:$AO$2,0))</f>
        <v>3.7600973808761418</v>
      </c>
      <c r="M129">
        <f>IF(Players!BC130=1,95,0)</f>
        <v>0</v>
      </c>
      <c r="N129" s="2">
        <f>Players!BN130</f>
        <v>0</v>
      </c>
      <c r="O129" s="2">
        <f>Players!BO130</f>
        <v>0</v>
      </c>
      <c r="P129" s="2">
        <f>Players!BP130</f>
        <v>0</v>
      </c>
      <c r="Q129" s="2">
        <f>Players!BQ130</f>
        <v>1.3513513513513513E-2</v>
      </c>
      <c r="R129" s="2">
        <f>Players!BR130</f>
        <v>0</v>
      </c>
      <c r="S129" s="2">
        <f>H129</f>
        <v>1.2386203137003762</v>
      </c>
      <c r="T129" s="2">
        <f>I129</f>
        <v>1.2386203137003762</v>
      </c>
      <c r="U129" s="16">
        <f>INDEX('Team forecast'!$B$2:$AO$26,MATCH('Master data'!$B129,'Team forecast'!$B$2:$B$26,0),MATCH('Master data'!U$1,'Team forecast'!$B$2:$AO$2,0))</f>
        <v>0.36933223413025562</v>
      </c>
      <c r="V129" s="16">
        <f>INDEX('Team forecast'!$B$2:$AO$26,MATCH('Master data'!$B129,'Team forecast'!$B$2:$B$26,0),MATCH('Master data'!V$1,'Team forecast'!$B$2:$AO$2,0))</f>
        <v>0.29431162407254741</v>
      </c>
      <c r="W129" s="16">
        <f>INDEX('Team forecast'!$B$2:$AO$26,MATCH('Master data'!$B129,'Team forecast'!$B$2:$B$26,0),MATCH('Master data'!W$1,'Team forecast'!$B$2:$AO$2,0))</f>
        <v>0.33635614179719708</v>
      </c>
      <c r="X129" s="5">
        <f>IF(M129&gt;95,7000*2,IF(M129&gt;0,7000,-5000))</f>
        <v>-5000</v>
      </c>
      <c r="Y129" s="5">
        <f>IF($X129&gt;0,U129*25000,0)</f>
        <v>0</v>
      </c>
      <c r="Z129" s="5">
        <f>IF($X129&gt;0,V129*5000,0)</f>
        <v>0</v>
      </c>
      <c r="AA129" s="5">
        <f>IF($X129&gt;0,W129*(-15000),0)</f>
        <v>0</v>
      </c>
      <c r="AB129" s="5">
        <f>IF($C129="Defense",$N129*150000,IF($C129="Midfield",$N129*125000,IF($C129="Striker",$N129*100000,0)))*$H129</f>
        <v>0</v>
      </c>
      <c r="AC129" s="5">
        <f>$O129*50000*H129</f>
        <v>0</v>
      </c>
      <c r="AD129" s="5">
        <f>$P129*K129*10000</f>
        <v>0</v>
      </c>
      <c r="AE129" s="5">
        <f>IF($C129="Goalkeeper",J129*75000,IF($C129="Defense",J129*50000,0))</f>
        <v>21733.781469972735</v>
      </c>
      <c r="AF129" s="5">
        <f>IF($C129="Goalkeeper",(L129-I129)*5000,0)</f>
        <v>12607.385335878827</v>
      </c>
      <c r="AG129" s="5">
        <f>IF(M129&gt;0,Q129*(-20000),0)</f>
        <v>0</v>
      </c>
      <c r="AH129" s="5">
        <f>IF(M129&gt;0,R129*(-50000),0)</f>
        <v>0</v>
      </c>
      <c r="AI129" s="5">
        <f>IF(M129&gt;0,S129*10000,0)</f>
        <v>0</v>
      </c>
      <c r="AJ129" s="5">
        <f>IF(M129&gt;0,T129*(-8000),0)</f>
        <v>0</v>
      </c>
      <c r="AK129" s="5">
        <f>IFERROR(SUM(X129:AJ129),-5000)*((Cockpit!$C$3)^0)</f>
        <v>29341.166805851564</v>
      </c>
      <c r="AL129" s="16">
        <f>INDEX('Team forecast'!$B$2:$AO$26,MATCH('Master data'!$B129,'Team forecast'!$B$2:$B$26,0),MATCH('Master data'!AL$1,'Team forecast'!$B$2:$AO$2,0))</f>
        <v>2.140423422331811</v>
      </c>
      <c r="AM129" s="16">
        <f>INDEX('Team forecast'!$B$2:$AO$26,MATCH('Master data'!$B129,'Team forecast'!$B$2:$B$26,0),MATCH('Master data'!AM$1,'Team forecast'!$B$2:$AO$2,0))</f>
        <v>0.80291922538135296</v>
      </c>
      <c r="AN129" s="16">
        <f>INDEX('Team forecast'!$B$2:$AO$26,MATCH('Master data'!$B129,'Team forecast'!$B$2:$B$26,0),MATCH('Master data'!AN$1,'Team forecast'!$B$2:$AO$2,0))</f>
        <v>0.44801918430198229</v>
      </c>
      <c r="AO129" s="16">
        <f>INDEX('Team forecast'!$B$2:$AO$26,MATCH('Master data'!$B129,'Team forecast'!$B$2:$B$26,0),MATCH('Master data'!AO$1,'Team forecast'!$B$2:$AO$2,0))</f>
        <v>5.5998104670734943</v>
      </c>
      <c r="AP129" s="16">
        <f>INDEX('Team forecast'!$B$2:$AO$26,MATCH('Master data'!$B129,'Team forecast'!$B$2:$B$26,0),MATCH('Master data'!AP$1,'Team forecast'!$B$2:$AO$2,0))</f>
        <v>2.4374333627648213</v>
      </c>
      <c r="AQ129" s="5">
        <f>X129</f>
        <v>-5000</v>
      </c>
      <c r="AR129" s="5">
        <f>INDEX('Team forecast'!$B$2:$AO$26,MATCH('Master data'!$B129,'Team forecast'!$B$2:$B$26,0),MATCH('Master data'!AR$1,'Team forecast'!$B$2:$AO$2,0))*IF(X129&gt;0,25000,0)</f>
        <v>0</v>
      </c>
      <c r="AS129" s="16">
        <f>INDEX('Team forecast'!$B$2:$AO$26,MATCH('Master data'!$B129,'Team forecast'!$B$2:$B$26,0),MATCH('Master data'!AS$1,'Team forecast'!$B$2:$AO$2,0))*IF(X129&gt;0,5000,0)</f>
        <v>0</v>
      </c>
      <c r="AT129" s="16">
        <f>INDEX('Team forecast'!$B$2:$AO$26,MATCH('Master data'!$B129,'Team forecast'!$B$2:$B$26,0),MATCH('Master data'!AT$1,'Team forecast'!$B$2:$AO$2,0))*IF(X129&gt;0,-15000,0)</f>
        <v>0</v>
      </c>
      <c r="AU129" s="5">
        <f>IF($C129="Defense",$N129*150000,IF($C129="Midfield",$N129*125000,IF($C129="Striker",$N129*100000,0)))*$AL129</f>
        <v>0</v>
      </c>
      <c r="AV129" s="5">
        <f>$O129*50000*AL129</f>
        <v>0</v>
      </c>
      <c r="AW129" s="5">
        <f>$P129*AO129*10000</f>
        <v>0</v>
      </c>
      <c r="AX129" s="5">
        <f>IF($C129="Goalkeeper",AN129*75000,IF($C129="Defense",AN129*50000,0))</f>
        <v>33601.43882264867</v>
      </c>
      <c r="AY129" s="5">
        <f>IF($C129="Goalkeeper",(AP129-AM129)*5000,0)</f>
        <v>8172.5706869173418</v>
      </c>
      <c r="AZ129" s="5">
        <f>$AG129</f>
        <v>0</v>
      </c>
      <c r="BA129" s="5">
        <f>$AH129</f>
        <v>0</v>
      </c>
      <c r="BB129" s="5">
        <f>IF(X129&gt;0,AL129*10000,0)</f>
        <v>0</v>
      </c>
      <c r="BC129" s="5">
        <f>IF(X129&gt;0,AM129*(-8000),0)</f>
        <v>0</v>
      </c>
      <c r="BD129" s="5">
        <f>IFERROR(SUM(AQ129:BC129),0)</f>
        <v>36774.009509566014</v>
      </c>
      <c r="BE129" s="16">
        <f>INDEX('Team forecast'!$B$2:$AO$26,MATCH('Master data'!$B129,'Team forecast'!$B$2:$B$26,0),MATCH('Master data'!BE$1,'Team forecast'!$B$2:$AO$2,0))</f>
        <v>1.2965069481471114</v>
      </c>
      <c r="BF129" s="16">
        <f>INDEX('Team forecast'!$B$2:$AO$26,MATCH('Master data'!$B129,'Team forecast'!$B$2:$B$26,0),MATCH('Master data'!BF$1,'Team forecast'!$B$2:$AO$2,0))</f>
        <v>1.0107278258414167</v>
      </c>
      <c r="BG129" s="16">
        <f>INDEX('Team forecast'!$B$2:$AO$26,MATCH('Master data'!$B129,'Team forecast'!$B$2:$B$26,0),MATCH('Master data'!BG$1,'Team forecast'!$B$2:$AO$2,0))</f>
        <v>0.36395398803179979</v>
      </c>
      <c r="BH129" s="16">
        <f>INDEX('Team forecast'!$B$2:$AO$26,MATCH('Master data'!$B129,'Team forecast'!$B$2:$B$26,0),MATCH('Master data'!BH$1,'Team forecast'!$B$2:$AO$2,0))</f>
        <v>3.3919425021794698</v>
      </c>
      <c r="BI129" s="16">
        <f>INDEX('Team forecast'!$B$2:$AO$26,MATCH('Master data'!$B129,'Team forecast'!$B$2:$B$26,0),MATCH('Master data'!BI$1,'Team forecast'!$B$2:$AO$2,0))</f>
        <v>3.0682808998757292</v>
      </c>
      <c r="BJ129" s="5">
        <f>AQ129</f>
        <v>-5000</v>
      </c>
      <c r="BK129" s="5">
        <f>INDEX('Team forecast'!$R$3:$BH$26,MATCH($B129,'Team forecast'!$B$3:$B$26,0),MATCH(BK$1,'Team forecast'!$R$2:$BH$2,0))*IF($X129&gt;0,25000,0)</f>
        <v>0</v>
      </c>
      <c r="BL129" s="5">
        <f>INDEX('Team forecast'!$R$3:$BH$26,MATCH($B129,'Team forecast'!$B$3:$B$26,0),MATCH(BL$1,'Team forecast'!$R$2:$BH$2,0))*IF($X129&gt;0,5000,0)</f>
        <v>0</v>
      </c>
      <c r="BM129" s="5">
        <f>INDEX('Team forecast'!$R$3:$BH$26,MATCH($B129,'Team forecast'!$B$3:$B$26,0),MATCH(BM$1,'Team forecast'!$R$2:$BH$2,0))*IF($X129&gt;0,-15000,0)</f>
        <v>0</v>
      </c>
      <c r="BN129" s="5">
        <f>IF($C129="Defense",$N129*150000,IF($C129="Midfield",$N129*125000,IF($C129="Striker",$N129*100000,0)))*$BE129</f>
        <v>0</v>
      </c>
      <c r="BO129" s="5">
        <f>$O129*50000*$BE129</f>
        <v>0</v>
      </c>
      <c r="BP129" s="5">
        <f>$P129*BH129*10000</f>
        <v>0</v>
      </c>
      <c r="BQ129" s="5">
        <f>IF($C129="Goalkeeper",BG129*75000,IF($C129="Defense",BG129*50000,0))</f>
        <v>27296.549102384983</v>
      </c>
      <c r="BR129" s="5">
        <f>IF($C129="Goalkeeper",(BI129-BF129)*5000,0)</f>
        <v>10287.765370171563</v>
      </c>
      <c r="BS129" s="5">
        <f>$AG129</f>
        <v>0</v>
      </c>
      <c r="BT129" s="5">
        <f>$AH129</f>
        <v>0</v>
      </c>
      <c r="BU129" s="5">
        <f>IF(AQ129&gt;0,BE129*10000,0)</f>
        <v>0</v>
      </c>
      <c r="BV129" s="5">
        <f>IF(AQ129&gt;0,BF129*(-8000),0)</f>
        <v>0</v>
      </c>
      <c r="BW129" s="5">
        <f>IFERROR(SUM(BJ129:BV129),0)</f>
        <v>32584.314472556543</v>
      </c>
      <c r="BX129" s="5">
        <f>AVERAGE(AK129,BD129,BW129)</f>
        <v>32899.830262658041</v>
      </c>
      <c r="BY129" s="5">
        <f>BX129*3</f>
        <v>98699.490787974122</v>
      </c>
      <c r="BZ129" s="5">
        <f>INDEX('Team forecast'!$R$3:$BH$26,MATCH($B129,'Team forecast'!$B$3:$B$26,0),MATCH(BZ$1,'Team forecast'!$R$2:$BH$2,0))*($BX129-(BY129+CH129)*0.01)</f>
        <v>-20379.310653647506</v>
      </c>
      <c r="CA129" s="5">
        <f>INDEX('Team forecast'!$R$3:$BH$26,MATCH($B129,'Team forecast'!$B$3:$B$26,0),MATCH(CA$1,'Team forecast'!$R$2:$BH$2,0))*($BX129-(BY129+BX129+CH129)*0.01)</f>
        <v>-10742.826829841488</v>
      </c>
      <c r="CB129" s="5">
        <f>INDEX('Team forecast'!$R$3:$BH$26,MATCH($B129,'Team forecast'!$B$3:$B$26,0),MATCH(CB$1,'Team forecast'!$R$2:$BH$2,0))*($BX129-(BY129+BX129*2+CH129)*0.01)</f>
        <v>-5836.2449893597604</v>
      </c>
      <c r="CC129" s="5">
        <f>INDEX('Team forecast'!$R$3:$BH$26,MATCH($B129,'Team forecast'!$B$3:$B$26,0),MATCH(CC$1,'Team forecast'!$R$2:$BH$2,0))*($BX129-(BY129+BX129*3+CH129)*0.01)</f>
        <v>-3467.5838784133139</v>
      </c>
      <c r="CD129" s="5">
        <f>+AK129+BD129*Cockpit!$C$3+BW129*Cockpit!$C$3^2+BZ129*Cockpit!$C$3^3+CA129*Cockpit!$C$3^4+CB129*Cockpit!$C$3^5+CC129*Cockpit!$C$3^6</f>
        <v>59105.753169192263</v>
      </c>
      <c r="CE129" s="5"/>
      <c r="CF129" s="5"/>
      <c r="CG129" s="5">
        <v>0</v>
      </c>
      <c r="CH129" s="5">
        <f t="shared" si="46"/>
        <v>5500000</v>
      </c>
      <c r="CI129" s="5">
        <f t="shared" si="47"/>
        <v>5500000</v>
      </c>
      <c r="CJ129" s="1">
        <f t="shared" si="48"/>
        <v>1.794536196144984E-2</v>
      </c>
      <c r="CK129" s="5">
        <f>RANK(BY129,$BY$2:$BY$623)+COUNTIF($BY$2:$BY129,$BY129)-1</f>
        <v>172</v>
      </c>
      <c r="CL129" s="5">
        <f>RANK(CJ129,$CJ$2:$CJ$623)+COUNTIF($CJ$2:$CJ129,$CJ129)-1</f>
        <v>281</v>
      </c>
    </row>
    <row r="130" spans="1:90">
      <c r="A130" t="str">
        <f>Players!P131</f>
        <v>Benjamin Pavard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4000000</v>
      </c>
      <c r="H130" s="16">
        <f>INDEX('Team forecast'!$B$2:$AO$26,MATCH('Master data'!$B130,'Team forecast'!$B$2:$B$26,0),MATCH('Master data'!H$1,'Team forecast'!$B$2:$AO$2,0))</f>
        <v>1.2386203137003762</v>
      </c>
      <c r="I130" s="16">
        <f>INDEX('Team forecast'!$B$2:$AO$26,MATCH('Master data'!$B130,'Team forecast'!$B$2:$B$26,0),MATCH('Master data'!I$1,'Team forecast'!$B$2:$AO$2,0))</f>
        <v>1.2386203137003762</v>
      </c>
      <c r="J130" s="16">
        <f>INDEX('Team forecast'!$B$2:$AO$26,MATCH('Master data'!$B130,'Team forecast'!$B$2:$B$26,0),MATCH('Master data'!J$1,'Team forecast'!$B$2:$AO$2,0))</f>
        <v>0.28978375293296982</v>
      </c>
      <c r="K130" s="16">
        <f>INDEX('Team forecast'!$B$2:$AO$26,MATCH('Master data'!$B130,'Team forecast'!$B$2:$B$26,0),MATCH('Master data'!K$1,'Team forecast'!$B$2:$AO$2,0))</f>
        <v>3.2404985504377408</v>
      </c>
      <c r="L130" s="16">
        <f>INDEX('Team forecast'!$B$2:$AO$26,MATCH('Master data'!$B130,'Team forecast'!$B$2:$B$26,0),MATCH('Master data'!L$1,'Team forecast'!$B$2:$AO$2,0))</f>
        <v>3.7600973808761418</v>
      </c>
      <c r="M130">
        <f>IF(Players!BC131=1,95,0)</f>
        <v>95</v>
      </c>
      <c r="N130" s="2">
        <f>Players!BN131</f>
        <v>1.7728292297483624E-2</v>
      </c>
      <c r="O130" s="2">
        <f>Players!BO131</f>
        <v>3.45316306154747E-2</v>
      </c>
      <c r="P130" s="2">
        <f>Players!BP131</f>
        <v>1.9110144892514877E-2</v>
      </c>
      <c r="Q130" s="2">
        <f>Players!BQ131</f>
        <v>0.13948018528049411</v>
      </c>
      <c r="R130" s="2">
        <f>Players!BR131</f>
        <v>0</v>
      </c>
      <c r="S130" s="2">
        <f>H130</f>
        <v>1.2386203137003762</v>
      </c>
      <c r="T130" s="2">
        <f>I130</f>
        <v>1.2386203137003762</v>
      </c>
      <c r="U130" s="16">
        <f>INDEX('Team forecast'!$B$2:$AO$26,MATCH('Master data'!$B130,'Team forecast'!$B$2:$B$26,0),MATCH('Master data'!U$1,'Team forecast'!$B$2:$AO$2,0))</f>
        <v>0.36933223413025562</v>
      </c>
      <c r="V130" s="16">
        <f>INDEX('Team forecast'!$B$2:$AO$26,MATCH('Master data'!$B130,'Team forecast'!$B$2:$B$26,0),MATCH('Master data'!V$1,'Team forecast'!$B$2:$AO$2,0))</f>
        <v>0.29431162407254741</v>
      </c>
      <c r="W130" s="16">
        <f>INDEX('Team forecast'!$B$2:$AO$26,MATCH('Master data'!$B130,'Team forecast'!$B$2:$B$26,0),MATCH('Master data'!W$1,'Team forecast'!$B$2:$AO$2,0))</f>
        <v>0.33635614179719708</v>
      </c>
      <c r="X130" s="5">
        <f>IF(M130&gt;95,7000*2,IF(M130&gt;0,7000,-5000))</f>
        <v>7000</v>
      </c>
      <c r="Y130" s="5">
        <f>IF($X130&gt;0,U130*25000,0)</f>
        <v>9233.30585325639</v>
      </c>
      <c r="Z130" s="5">
        <f>IF($X130&gt;0,V130*5000,0)</f>
        <v>1471.5581203627371</v>
      </c>
      <c r="AA130" s="5">
        <f>IF($X130&gt;0,W130*(-15000),0)</f>
        <v>-5045.3421269579567</v>
      </c>
      <c r="AB130" s="5">
        <f>IF($C130="Defense",$N130*150000,IF($C130="Midfield",$N130*125000,IF($C130="Striker",$N130*100000,0)))*$H130</f>
        <v>3293.7934450321695</v>
      </c>
      <c r="AC130" s="5">
        <f>$O130*50000*H130</f>
        <v>2138.5789572762392</v>
      </c>
      <c r="AD130" s="5">
        <f>$P130*K130*10000</f>
        <v>619.26396822849654</v>
      </c>
      <c r="AE130" s="5">
        <f>IF($C130="Goalkeeper",J130*75000,IF($C130="Defense",J130*50000,0))</f>
        <v>14489.18764664849</v>
      </c>
      <c r="AF130" s="5">
        <f>IF($C130="Goalkeeper",(L130-I130)*5000,0)</f>
        <v>0</v>
      </c>
      <c r="AG130" s="5">
        <f>IF(M130&gt;0,Q130*(-20000),0)</f>
        <v>-2789.6037056098821</v>
      </c>
      <c r="AH130" s="5">
        <f>IF(M130&gt;0,R130*(-50000),0)</f>
        <v>0</v>
      </c>
      <c r="AI130" s="5">
        <f>IF(M130&gt;0,S130*10000,0)</f>
        <v>12386.203137003762</v>
      </c>
      <c r="AJ130" s="5">
        <f>IF(M130&gt;0,T130*(-8000),0)</f>
        <v>-9908.9625096030086</v>
      </c>
      <c r="AK130" s="5">
        <f>IFERROR(SUM(X130:AJ130),-5000)*((Cockpit!$C$3)^0)</f>
        <v>32887.98278563744</v>
      </c>
      <c r="AL130" s="16">
        <f>INDEX('Team forecast'!$B$2:$AO$26,MATCH('Master data'!$B130,'Team forecast'!$B$2:$B$26,0),MATCH('Master data'!AL$1,'Team forecast'!$B$2:$AO$2,0))</f>
        <v>2.140423422331811</v>
      </c>
      <c r="AM130" s="16">
        <f>INDEX('Team forecast'!$B$2:$AO$26,MATCH('Master data'!$B130,'Team forecast'!$B$2:$B$26,0),MATCH('Master data'!AM$1,'Team forecast'!$B$2:$AO$2,0))</f>
        <v>0.80291922538135296</v>
      </c>
      <c r="AN130" s="16">
        <f>INDEX('Team forecast'!$B$2:$AO$26,MATCH('Master data'!$B130,'Team forecast'!$B$2:$B$26,0),MATCH('Master data'!AN$1,'Team forecast'!$B$2:$AO$2,0))</f>
        <v>0.44801918430198229</v>
      </c>
      <c r="AO130" s="16">
        <f>INDEX('Team forecast'!$B$2:$AO$26,MATCH('Master data'!$B130,'Team forecast'!$B$2:$B$26,0),MATCH('Master data'!AO$1,'Team forecast'!$B$2:$AO$2,0))</f>
        <v>5.5998104670734943</v>
      </c>
      <c r="AP130" s="16">
        <f>INDEX('Team forecast'!$B$2:$AO$26,MATCH('Master data'!$B130,'Team forecast'!$B$2:$B$26,0),MATCH('Master data'!AP$1,'Team forecast'!$B$2:$AO$2,0))</f>
        <v>2.4374333627648213</v>
      </c>
      <c r="AQ130" s="5">
        <f>X130</f>
        <v>7000</v>
      </c>
      <c r="AR130" s="5">
        <f>INDEX('Team forecast'!$B$2:$AO$26,MATCH('Master data'!$B130,'Team forecast'!$B$2:$B$26,0),MATCH('Master data'!AR$1,'Team forecast'!$B$2:$AO$2,0))*IF(X130&gt;0,25000,0)</f>
        <v>16800.719411324339</v>
      </c>
      <c r="AS130" s="16">
        <f>INDEX('Team forecast'!$B$2:$AO$26,MATCH('Master data'!$B130,'Team forecast'!$B$2:$B$26,0),MATCH('Master data'!AS$1,'Team forecast'!$B$2:$AO$2,0))*IF(X130&gt;0,5000,0)</f>
        <v>1086.42065477386</v>
      </c>
      <c r="AT130" s="16">
        <f>INDEX('Team forecast'!$B$2:$AO$26,MATCH('Master data'!$B130,'Team forecast'!$B$2:$B$26,0),MATCH('Master data'!AT$1,'Team forecast'!$B$2:$AO$2,0))*IF(X130&gt;0,-15000,0)</f>
        <v>-1660.3063888838174</v>
      </c>
      <c r="AU130" s="5">
        <f>IF($C130="Defense",$N130*150000,IF($C130="Midfield",$N130*125000,IF($C130="Striker",$N130*100000,0)))*$AL130</f>
        <v>5691.9078107217874</v>
      </c>
      <c r="AV130" s="5">
        <f>$O130*50000*AL130</f>
        <v>3695.615549033615</v>
      </c>
      <c r="AW130" s="5">
        <f>$P130*AO130*10000</f>
        <v>1070.1318939639589</v>
      </c>
      <c r="AX130" s="5">
        <f>IF($C130="Goalkeeper",AN130*75000,IF($C130="Defense",AN130*50000,0))</f>
        <v>22400.959215099116</v>
      </c>
      <c r="AY130" s="5">
        <f>IF($C130="Goalkeeper",(AP130-AM130)*5000,0)</f>
        <v>0</v>
      </c>
      <c r="AZ130" s="5">
        <f>$AG130</f>
        <v>-2789.6037056098821</v>
      </c>
      <c r="BA130" s="5">
        <f>$AH130</f>
        <v>0</v>
      </c>
      <c r="BB130" s="5">
        <f>IF(X130&gt;0,AL130*10000,0)</f>
        <v>21404.234223318112</v>
      </c>
      <c r="BC130" s="5">
        <f>IF(X130&gt;0,AM130*(-8000),0)</f>
        <v>-6423.3538030508234</v>
      </c>
      <c r="BD130" s="5">
        <f>IFERROR(SUM(AQ130:BC130),0)</f>
        <v>68276.724860690272</v>
      </c>
      <c r="BE130" s="16">
        <f>INDEX('Team forecast'!$B$2:$AO$26,MATCH('Master data'!$B130,'Team forecast'!$B$2:$B$26,0),MATCH('Master data'!BE$1,'Team forecast'!$B$2:$AO$2,0))</f>
        <v>1.2965069481471114</v>
      </c>
      <c r="BF130" s="16">
        <f>INDEX('Team forecast'!$B$2:$AO$26,MATCH('Master data'!$B130,'Team forecast'!$B$2:$B$26,0),MATCH('Master data'!BF$1,'Team forecast'!$B$2:$AO$2,0))</f>
        <v>1.0107278258414167</v>
      </c>
      <c r="BG130" s="16">
        <f>INDEX('Team forecast'!$B$2:$AO$26,MATCH('Master data'!$B130,'Team forecast'!$B$2:$B$26,0),MATCH('Master data'!BG$1,'Team forecast'!$B$2:$AO$2,0))</f>
        <v>0.36395398803179979</v>
      </c>
      <c r="BH130" s="16">
        <f>INDEX('Team forecast'!$B$2:$AO$26,MATCH('Master data'!$B130,'Team forecast'!$B$2:$B$26,0),MATCH('Master data'!BH$1,'Team forecast'!$B$2:$AO$2,0))</f>
        <v>3.3919425021794698</v>
      </c>
      <c r="BI130" s="16">
        <f>INDEX('Team forecast'!$B$2:$AO$26,MATCH('Master data'!$B130,'Team forecast'!$B$2:$B$26,0),MATCH('Master data'!BI$1,'Team forecast'!$B$2:$AO$2,0))</f>
        <v>3.0682808998757292</v>
      </c>
      <c r="BJ130" s="5">
        <f>AQ130</f>
        <v>7000</v>
      </c>
      <c r="BK130" s="5">
        <f>INDEX('Team forecast'!$R$3:$BH$26,MATCH($B130,'Team forecast'!$B$3:$B$26,0),MATCH(BK$1,'Team forecast'!$R$2:$BH$2,0))*IF($X130&gt;0,25000,0)</f>
        <v>10270.375413343707</v>
      </c>
      <c r="BL130" s="5">
        <f>INDEX('Team forecast'!$R$3:$BH$26,MATCH($B130,'Team forecast'!$B$3:$B$26,0),MATCH(BL$1,'Team forecast'!$R$2:$BH$2,0))*IF($X130&gt;0,5000,0)</f>
        <v>1495.6234195681775</v>
      </c>
      <c r="BM130" s="5">
        <f>INDEX('Team forecast'!$R$3:$BH$26,MATCH($B130,'Team forecast'!$B$3:$B$26,0),MATCH(BM$1,'Team forecast'!$R$2:$BH$2,0))*IF($X130&gt;0,-15000,0)</f>
        <v>-4350.9044932892448</v>
      </c>
      <c r="BN130" s="5">
        <f>IF($C130="Defense",$N130*150000,IF($C130="Midfield",$N130*125000,IF($C130="Striker",$N130*100000,0)))*$BE130</f>
        <v>3447.7281213705655</v>
      </c>
      <c r="BO130" s="5">
        <f>$O130*50000*$BE130</f>
        <v>2238.5249511906231</v>
      </c>
      <c r="BP130" s="5">
        <f>$P130*BH130*10000</f>
        <v>648.20512683729123</v>
      </c>
      <c r="BQ130" s="5">
        <f>IF($C130="Goalkeeper",BG130*75000,IF($C130="Defense",BG130*50000,0))</f>
        <v>18197.699401589991</v>
      </c>
      <c r="BR130" s="5">
        <f>IF($C130="Goalkeeper",(BI130-BF130)*5000,0)</f>
        <v>0</v>
      </c>
      <c r="BS130" s="5">
        <f>$AG130</f>
        <v>-2789.6037056098821</v>
      </c>
      <c r="BT130" s="5">
        <f>$AH130</f>
        <v>0</v>
      </c>
      <c r="BU130" s="5">
        <f>IF(AQ130&gt;0,BE130*10000,0)</f>
        <v>12965.069481471115</v>
      </c>
      <c r="BV130" s="5">
        <f>IF(AQ130&gt;0,BF130*(-8000),0)</f>
        <v>-8085.8226067313335</v>
      </c>
      <c r="BW130" s="5">
        <f>IFERROR(SUM(BJ130:BV130),0)</f>
        <v>41036.895109741017</v>
      </c>
      <c r="BX130" s="5">
        <f>AVERAGE(AK130,BD130,BW130)</f>
        <v>47400.53425202291</v>
      </c>
      <c r="BY130" s="5">
        <f>BX130*3</f>
        <v>142201.60275606872</v>
      </c>
      <c r="BZ130" s="5">
        <f>INDEX('Team forecast'!$R$3:$BH$26,MATCH($B130,'Team forecast'!$B$3:$B$26,0),MATCH(BZ$1,'Team forecast'!$R$2:$BH$2,0))*($BX130-(BY130+CH130)*0.01)</f>
        <v>5277.3080634665712</v>
      </c>
      <c r="CA130" s="5">
        <f>INDEX('Team forecast'!$R$3:$BH$26,MATCH($B130,'Team forecast'!$B$3:$B$26,0),MATCH(CA$1,'Team forecast'!$R$2:$BH$2,0))*($BX130-(BY130+BX130+CH130)*0.01)</f>
        <v>2525.3509212861181</v>
      </c>
      <c r="CB130" s="5">
        <f>INDEX('Team forecast'!$R$3:$BH$26,MATCH($B130,'Team forecast'!$B$3:$B$26,0),MATCH(CB$1,'Team forecast'!$R$2:$BH$2,0))*($BX130-(BY130+BX130*2+CH130)*0.01)</f>
        <v>1236.4318823187452</v>
      </c>
      <c r="CC130" s="5">
        <f>INDEX('Team forecast'!$R$3:$BH$26,MATCH($B130,'Team forecast'!$B$3:$B$26,0),MATCH(CC$1,'Team forecast'!$R$2:$BH$2,0))*($BX130-(BY130+BX130*3+CH130)*0.01)</f>
        <v>656.30758677492918</v>
      </c>
      <c r="CD130" s="5">
        <f>+AK130+BD130*Cockpit!$C$3+BW130*Cockpit!$C$3^2+BZ130*Cockpit!$C$3^3+CA130*Cockpit!$C$3^4+CB130*Cockpit!$C$3^5+CC130*Cockpit!$C$3^6</f>
        <v>98927.341521552036</v>
      </c>
      <c r="CE130" s="5"/>
      <c r="CF130" s="5"/>
      <c r="CG130" s="5">
        <v>0</v>
      </c>
      <c r="CH130" s="5">
        <f t="shared" si="46"/>
        <v>4000000</v>
      </c>
      <c r="CI130" s="5">
        <f t="shared" si="47"/>
        <v>4000000</v>
      </c>
      <c r="CJ130" s="1">
        <f t="shared" si="48"/>
        <v>3.5550400689017179E-2</v>
      </c>
      <c r="CK130" s="5">
        <f>RANK(BY130,$BY$2:$BY$623)+COUNTIF($BY$2:$BY130,$BY130)-1</f>
        <v>100</v>
      </c>
      <c r="CL130" s="5">
        <f>RANK(CJ130,$CJ$2:$CJ$623)+COUNTIF($CJ$2:$CJ130,$CJ130)-1</f>
        <v>99</v>
      </c>
    </row>
    <row r="131" spans="1:90">
      <c r="A131" t="str">
        <f>Players!P132</f>
        <v>Clément Lenglet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1.2386203137003762</v>
      </c>
      <c r="I131" s="16">
        <f>INDEX('Team forecast'!$B$2:$AO$26,MATCH('Master data'!$B131,'Team forecast'!$B$2:$B$26,0),MATCH('Master data'!I$1,'Team forecast'!$B$2:$AO$2,0))</f>
        <v>1.2386203137003762</v>
      </c>
      <c r="J131" s="16">
        <f>INDEX('Team forecast'!$B$2:$AO$26,MATCH('Master data'!$B131,'Team forecast'!$B$2:$B$26,0),MATCH('Master data'!J$1,'Team forecast'!$B$2:$AO$2,0))</f>
        <v>0.28978375293296982</v>
      </c>
      <c r="K131" s="16">
        <f>INDEX('Team forecast'!$B$2:$AO$26,MATCH('Master data'!$B131,'Team forecast'!$B$2:$B$26,0),MATCH('Master data'!K$1,'Team forecast'!$B$2:$AO$2,0))</f>
        <v>3.2404985504377408</v>
      </c>
      <c r="L131" s="16">
        <f>INDEX('Team forecast'!$B$2:$AO$26,MATCH('Master data'!$B131,'Team forecast'!$B$2:$B$26,0),MATCH('Master data'!L$1,'Team forecast'!$B$2:$AO$2,0))</f>
        <v>3.7600973808761418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0.19722132471728596</v>
      </c>
      <c r="R131" s="2">
        <f>Players!BR132</f>
        <v>0.06</v>
      </c>
      <c r="S131" s="2">
        <f>H131</f>
        <v>1.2386203137003762</v>
      </c>
      <c r="T131" s="2">
        <f>I131</f>
        <v>1.2386203137003762</v>
      </c>
      <c r="U131" s="16">
        <f>INDEX('Team forecast'!$B$2:$AO$26,MATCH('Master data'!$B131,'Team forecast'!$B$2:$B$26,0),MATCH('Master data'!U$1,'Team forecast'!$B$2:$AO$2,0))</f>
        <v>0.36933223413025562</v>
      </c>
      <c r="V131" s="16">
        <f>INDEX('Team forecast'!$B$2:$AO$26,MATCH('Master data'!$B131,'Team forecast'!$B$2:$B$26,0),MATCH('Master data'!V$1,'Team forecast'!$B$2:$AO$2,0))</f>
        <v>0.29431162407254741</v>
      </c>
      <c r="W131" s="16">
        <f>INDEX('Team forecast'!$B$2:$AO$26,MATCH('Master data'!$B131,'Team forecast'!$B$2:$B$26,0),MATCH('Master data'!W$1,'Team forecast'!$B$2:$AO$2,0))</f>
        <v>0.33635614179719708</v>
      </c>
      <c r="X131" s="5">
        <f>IF(M131&gt;95,7000*2,IF(M131&gt;0,7000,-5000))</f>
        <v>-5000</v>
      </c>
      <c r="Y131" s="5">
        <f>IF($X131&gt;0,U131*25000,0)</f>
        <v>0</v>
      </c>
      <c r="Z131" s="5">
        <f>IF($X131&gt;0,V131*5000,0)</f>
        <v>0</v>
      </c>
      <c r="AA131" s="5">
        <f>IF($X131&gt;0,W131*(-15000),0)</f>
        <v>0</v>
      </c>
      <c r="AB131" s="5">
        <f>IF($C131="Defense",$N131*150000,IF($C131="Midfield",$N131*125000,IF($C131="Striker",$N131*100000,0)))*$H131</f>
        <v>0</v>
      </c>
      <c r="AC131" s="5">
        <f>$O131*50000*H131</f>
        <v>0</v>
      </c>
      <c r="AD131" s="5">
        <f>$P131*K131*10000</f>
        <v>0</v>
      </c>
      <c r="AE131" s="5">
        <f>IF($C131="Goalkeeper",J131*75000,IF($C131="Defense",J131*50000,0))</f>
        <v>14489.18764664849</v>
      </c>
      <c r="AF131" s="5">
        <f>IF($C131="Goalkeeper",(L131-I131)*5000,0)</f>
        <v>0</v>
      </c>
      <c r="AG131" s="5">
        <f>IF(M131&gt;0,Q131*(-20000),0)</f>
        <v>0</v>
      </c>
      <c r="AH131" s="5">
        <f>IF(M131&gt;0,R131*(-50000),0)</f>
        <v>0</v>
      </c>
      <c r="AI131" s="5">
        <f>IF(M131&gt;0,S131*10000,0)</f>
        <v>0</v>
      </c>
      <c r="AJ131" s="5">
        <f>IF(M131&gt;0,T131*(-8000),0)</f>
        <v>0</v>
      </c>
      <c r="AK131" s="5">
        <f>IFERROR(SUM(X131:AJ131),-5000)*((Cockpit!$C$3)^0)</f>
        <v>9489.18764664849</v>
      </c>
      <c r="AL131" s="16">
        <f>INDEX('Team forecast'!$B$2:$AO$26,MATCH('Master data'!$B131,'Team forecast'!$B$2:$B$26,0),MATCH('Master data'!AL$1,'Team forecast'!$B$2:$AO$2,0))</f>
        <v>2.140423422331811</v>
      </c>
      <c r="AM131" s="16">
        <f>INDEX('Team forecast'!$B$2:$AO$26,MATCH('Master data'!$B131,'Team forecast'!$B$2:$B$26,0),MATCH('Master data'!AM$1,'Team forecast'!$B$2:$AO$2,0))</f>
        <v>0.80291922538135296</v>
      </c>
      <c r="AN131" s="16">
        <f>INDEX('Team forecast'!$B$2:$AO$26,MATCH('Master data'!$B131,'Team forecast'!$B$2:$B$26,0),MATCH('Master data'!AN$1,'Team forecast'!$B$2:$AO$2,0))</f>
        <v>0.44801918430198229</v>
      </c>
      <c r="AO131" s="16">
        <f>INDEX('Team forecast'!$B$2:$AO$26,MATCH('Master data'!$B131,'Team forecast'!$B$2:$B$26,0),MATCH('Master data'!AO$1,'Team forecast'!$B$2:$AO$2,0))</f>
        <v>5.5998104670734943</v>
      </c>
      <c r="AP131" s="16">
        <f>INDEX('Team forecast'!$B$2:$AO$26,MATCH('Master data'!$B131,'Team forecast'!$B$2:$B$26,0),MATCH('Master data'!AP$1,'Team forecast'!$B$2:$AO$2,0))</f>
        <v>2.4374333627648213</v>
      </c>
      <c r="AQ131" s="5">
        <f>X131</f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>IF($C131="Defense",$N131*150000,IF($C131="Midfield",$N131*125000,IF($C131="Striker",$N131*100000,0)))*$AL131</f>
        <v>0</v>
      </c>
      <c r="AV131" s="5">
        <f>$O131*50000*AL131</f>
        <v>0</v>
      </c>
      <c r="AW131" s="5">
        <f>$P131*AO131*10000</f>
        <v>0</v>
      </c>
      <c r="AX131" s="5">
        <f>IF($C131="Goalkeeper",AN131*75000,IF($C131="Defense",AN131*50000,0))</f>
        <v>22400.959215099116</v>
      </c>
      <c r="AY131" s="5">
        <f>IF($C131="Goalkeeper",(AP131-AM131)*5000,0)</f>
        <v>0</v>
      </c>
      <c r="AZ131" s="5">
        <f>$AG131</f>
        <v>0</v>
      </c>
      <c r="BA131" s="5">
        <f>$AH131</f>
        <v>0</v>
      </c>
      <c r="BB131" s="5">
        <f>IF(X131&gt;0,AL131*10000,0)</f>
        <v>0</v>
      </c>
      <c r="BC131" s="5">
        <f>IF(X131&gt;0,AM131*(-8000),0)</f>
        <v>0</v>
      </c>
      <c r="BD131" s="5">
        <f>IFERROR(SUM(AQ131:BC131),0)</f>
        <v>17400.959215099116</v>
      </c>
      <c r="BE131" s="16">
        <f>INDEX('Team forecast'!$B$2:$AO$26,MATCH('Master data'!$B131,'Team forecast'!$B$2:$B$26,0),MATCH('Master data'!BE$1,'Team forecast'!$B$2:$AO$2,0))</f>
        <v>1.2965069481471114</v>
      </c>
      <c r="BF131" s="16">
        <f>INDEX('Team forecast'!$B$2:$AO$26,MATCH('Master data'!$B131,'Team forecast'!$B$2:$B$26,0),MATCH('Master data'!BF$1,'Team forecast'!$B$2:$AO$2,0))</f>
        <v>1.0107278258414167</v>
      </c>
      <c r="BG131" s="16">
        <f>INDEX('Team forecast'!$B$2:$AO$26,MATCH('Master data'!$B131,'Team forecast'!$B$2:$B$26,0),MATCH('Master data'!BG$1,'Team forecast'!$B$2:$AO$2,0))</f>
        <v>0.36395398803179979</v>
      </c>
      <c r="BH131" s="16">
        <f>INDEX('Team forecast'!$B$2:$AO$26,MATCH('Master data'!$B131,'Team forecast'!$B$2:$B$26,0),MATCH('Master data'!BH$1,'Team forecast'!$B$2:$AO$2,0))</f>
        <v>3.3919425021794698</v>
      </c>
      <c r="BI131" s="16">
        <f>INDEX('Team forecast'!$B$2:$AO$26,MATCH('Master data'!$B131,'Team forecast'!$B$2:$B$26,0),MATCH('Master data'!BI$1,'Team forecast'!$B$2:$AO$2,0))</f>
        <v>3.0682808998757292</v>
      </c>
      <c r="BJ131" s="5">
        <f>AQ131</f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>IF($C131="Defense",$N131*150000,IF($C131="Midfield",$N131*125000,IF($C131="Striker",$N131*100000,0)))*$BE131</f>
        <v>0</v>
      </c>
      <c r="BO131" s="5">
        <f>$O131*50000*$BE131</f>
        <v>0</v>
      </c>
      <c r="BP131" s="5">
        <f>$P131*BH131*10000</f>
        <v>0</v>
      </c>
      <c r="BQ131" s="5">
        <f>IF($C131="Goalkeeper",BG131*75000,IF($C131="Defense",BG131*50000,0))</f>
        <v>18197.699401589991</v>
      </c>
      <c r="BR131" s="5">
        <f>IF($C131="Goalkeeper",(BI131-BF131)*5000,0)</f>
        <v>0</v>
      </c>
      <c r="BS131" s="5">
        <f>$AG131</f>
        <v>0</v>
      </c>
      <c r="BT131" s="5">
        <f>$AH131</f>
        <v>0</v>
      </c>
      <c r="BU131" s="5">
        <f>IF(AQ131&gt;0,BE131*10000,0)</f>
        <v>0</v>
      </c>
      <c r="BV131" s="5">
        <f>IF(AQ131&gt;0,BF131*(-8000),0)</f>
        <v>0</v>
      </c>
      <c r="BW131" s="5">
        <f>IFERROR(SUM(BJ131:BV131),0)</f>
        <v>13197.699401589991</v>
      </c>
      <c r="BX131" s="5">
        <f>AVERAGE(AK131,BD131,BW131)</f>
        <v>13362.615421112532</v>
      </c>
      <c r="BY131" s="5">
        <f>BX131*3</f>
        <v>40087.846263337597</v>
      </c>
      <c r="BZ131" s="5">
        <f>INDEX('Team forecast'!$R$3:$BH$26,MATCH($B131,'Team forecast'!$B$3:$B$26,0),MATCH(BZ$1,'Team forecast'!$R$2:$BH$2,0))*($BX131-(BY131+CH131)*0.01)</f>
        <v>-19453.432922214903</v>
      </c>
      <c r="CA131" s="5">
        <f>INDEX('Team forecast'!$R$3:$BH$26,MATCH($B131,'Team forecast'!$B$3:$B$26,0),MATCH(CA$1,'Team forecast'!$R$2:$BH$2,0))*($BX131-(BY131+BX131+CH131)*0.01)</f>
        <v>-10171.981064987818</v>
      </c>
      <c r="CB131" s="5">
        <f>INDEX('Team forecast'!$R$3:$BH$26,MATCH($B131,'Team forecast'!$B$3:$B$26,0),MATCH(CB$1,'Team forecast'!$R$2:$BH$2,0))*($BX131-(BY131+BX131*2+CH131)*0.01)</f>
        <v>-5482.3991643177087</v>
      </c>
      <c r="CC131" s="5">
        <f>INDEX('Team forecast'!$R$3:$BH$26,MATCH($B131,'Team forecast'!$B$3:$B$26,0),MATCH(CC$1,'Team forecast'!$R$2:$BH$2,0))*($BX131-(BY131+BX131*3+CH131)*0.01)</f>
        <v>-3232.0798220852594</v>
      </c>
      <c r="CD131" s="5">
        <f>+AK131+BD131*Cockpit!$C$3+BW131*Cockpit!$C$3^2+BZ131*Cockpit!$C$3^3+CA131*Cockpit!$C$3^4+CB131*Cockpit!$C$3^5+CC131*Cockpit!$C$3^6</f>
        <v>18176.499816344931</v>
      </c>
      <c r="CE131" s="5"/>
      <c r="CF131" s="5"/>
      <c r="CG131" s="5">
        <v>0</v>
      </c>
      <c r="CH131" s="5">
        <f t="shared" ref="CH131:CH194" si="49">+G131+CG131</f>
        <v>3500000</v>
      </c>
      <c r="CI131" s="5">
        <f t="shared" ref="CI131:CI194" si="50">CH131</f>
        <v>3500000</v>
      </c>
      <c r="CJ131" s="1">
        <f t="shared" ref="CJ131:CJ194" si="51">IFERROR(BY131/CI131,-100%)</f>
        <v>1.1453670360953599E-2</v>
      </c>
      <c r="CK131" s="5">
        <f>RANK(BY131,$BY$2:$BY$623)+COUNTIF($BY$2:$BY131,$BY131)-1</f>
        <v>310</v>
      </c>
      <c r="CL131" s="5">
        <f>RANK(CJ131,$CJ$2:$CJ$623)+COUNTIF($CJ$2:$CJ131,$CJ131)-1</f>
        <v>345</v>
      </c>
    </row>
    <row r="132" spans="1:90">
      <c r="A132" t="str">
        <f>Players!P133</f>
        <v>Lucas Digne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3500000</v>
      </c>
      <c r="H132" s="16">
        <f>INDEX('Team forecast'!$B$2:$AO$26,MATCH('Master data'!$B132,'Team forecast'!$B$2:$B$26,0),MATCH('Master data'!H$1,'Team forecast'!$B$2:$AO$2,0))</f>
        <v>1.2386203137003762</v>
      </c>
      <c r="I132" s="16">
        <f>INDEX('Team forecast'!$B$2:$AO$26,MATCH('Master data'!$B132,'Team forecast'!$B$2:$B$26,0),MATCH('Master data'!I$1,'Team forecast'!$B$2:$AO$2,0))</f>
        <v>1.2386203137003762</v>
      </c>
      <c r="J132" s="16">
        <f>INDEX('Team forecast'!$B$2:$AO$26,MATCH('Master data'!$B132,'Team forecast'!$B$2:$B$26,0),MATCH('Master data'!J$1,'Team forecast'!$B$2:$AO$2,0))</f>
        <v>0.28978375293296982</v>
      </c>
      <c r="K132" s="16">
        <f>INDEX('Team forecast'!$B$2:$AO$26,MATCH('Master data'!$B132,'Team forecast'!$B$2:$B$26,0),MATCH('Master data'!K$1,'Team forecast'!$B$2:$AO$2,0))</f>
        <v>3.2404985504377408</v>
      </c>
      <c r="L132" s="16">
        <f>INDEX('Team forecast'!$B$2:$AO$26,MATCH('Master data'!$B132,'Team forecast'!$B$2:$B$26,0),MATCH('Master data'!L$1,'Team forecast'!$B$2:$AO$2,0))</f>
        <v>3.7600973808761418</v>
      </c>
      <c r="M132">
        <f>IF(Players!BC133=1,95,0)</f>
        <v>0</v>
      </c>
      <c r="N132" s="2">
        <f>Players!BN133</f>
        <v>0</v>
      </c>
      <c r="O132" s="2">
        <f>Players!BO133</f>
        <v>0</v>
      </c>
      <c r="P132" s="2">
        <f>Players!BP133</f>
        <v>0</v>
      </c>
      <c r="Q132" s="2">
        <f>Players!BQ133</f>
        <v>0.16355704697986578</v>
      </c>
      <c r="R132" s="2">
        <f>Players!BR133</f>
        <v>3.3557046979865772E-2</v>
      </c>
      <c r="S132" s="2">
        <f>H132</f>
        <v>1.2386203137003762</v>
      </c>
      <c r="T132" s="2">
        <f>I132</f>
        <v>1.2386203137003762</v>
      </c>
      <c r="U132" s="16">
        <f>INDEX('Team forecast'!$B$2:$AO$26,MATCH('Master data'!$B132,'Team forecast'!$B$2:$B$26,0),MATCH('Master data'!U$1,'Team forecast'!$B$2:$AO$2,0))</f>
        <v>0.36933223413025562</v>
      </c>
      <c r="V132" s="16">
        <f>INDEX('Team forecast'!$B$2:$AO$26,MATCH('Master data'!$B132,'Team forecast'!$B$2:$B$26,0),MATCH('Master data'!V$1,'Team forecast'!$B$2:$AO$2,0))</f>
        <v>0.29431162407254741</v>
      </c>
      <c r="W132" s="16">
        <f>INDEX('Team forecast'!$B$2:$AO$26,MATCH('Master data'!$B132,'Team forecast'!$B$2:$B$26,0),MATCH('Master data'!W$1,'Team forecast'!$B$2:$AO$2,0))</f>
        <v>0.33635614179719708</v>
      </c>
      <c r="X132" s="5">
        <f>IF(M132&gt;95,7000*2,IF(M132&gt;0,7000,-5000))</f>
        <v>-5000</v>
      </c>
      <c r="Y132" s="5">
        <f>IF($X132&gt;0,U132*25000,0)</f>
        <v>0</v>
      </c>
      <c r="Z132" s="5">
        <f>IF($X132&gt;0,V132*5000,0)</f>
        <v>0</v>
      </c>
      <c r="AA132" s="5">
        <f>IF($X132&gt;0,W132*(-15000),0)</f>
        <v>0</v>
      </c>
      <c r="AB132" s="5">
        <f>IF($C132="Defense",$N132*150000,IF($C132="Midfield",$N132*125000,IF($C132="Striker",$N132*100000,0)))*$H132</f>
        <v>0</v>
      </c>
      <c r="AC132" s="5">
        <f>$O132*50000*H132</f>
        <v>0</v>
      </c>
      <c r="AD132" s="5">
        <f>$P132*K132*10000</f>
        <v>0</v>
      </c>
      <c r="AE132" s="5">
        <f>IF($C132="Goalkeeper",J132*75000,IF($C132="Defense",J132*50000,0))</f>
        <v>14489.18764664849</v>
      </c>
      <c r="AF132" s="5">
        <f>IF($C132="Goalkeeper",(L132-I132)*5000,0)</f>
        <v>0</v>
      </c>
      <c r="AG132" s="5">
        <f>IF(M132&gt;0,Q132*(-20000),0)</f>
        <v>0</v>
      </c>
      <c r="AH132" s="5">
        <f>IF(M132&gt;0,R132*(-50000),0)</f>
        <v>0</v>
      </c>
      <c r="AI132" s="5">
        <f>IF(M132&gt;0,S132*10000,0)</f>
        <v>0</v>
      </c>
      <c r="AJ132" s="5">
        <f>IF(M132&gt;0,T132*(-8000),0)</f>
        <v>0</v>
      </c>
      <c r="AK132" s="5">
        <f>IFERROR(SUM(X132:AJ132),-5000)*((Cockpit!$C$3)^0)</f>
        <v>9489.18764664849</v>
      </c>
      <c r="AL132" s="16">
        <f>INDEX('Team forecast'!$B$2:$AO$26,MATCH('Master data'!$B132,'Team forecast'!$B$2:$B$26,0),MATCH('Master data'!AL$1,'Team forecast'!$B$2:$AO$2,0))</f>
        <v>2.140423422331811</v>
      </c>
      <c r="AM132" s="16">
        <f>INDEX('Team forecast'!$B$2:$AO$26,MATCH('Master data'!$B132,'Team forecast'!$B$2:$B$26,0),MATCH('Master data'!AM$1,'Team forecast'!$B$2:$AO$2,0))</f>
        <v>0.80291922538135296</v>
      </c>
      <c r="AN132" s="16">
        <f>INDEX('Team forecast'!$B$2:$AO$26,MATCH('Master data'!$B132,'Team forecast'!$B$2:$B$26,0),MATCH('Master data'!AN$1,'Team forecast'!$B$2:$AO$2,0))</f>
        <v>0.44801918430198229</v>
      </c>
      <c r="AO132" s="16">
        <f>INDEX('Team forecast'!$B$2:$AO$26,MATCH('Master data'!$B132,'Team forecast'!$B$2:$B$26,0),MATCH('Master data'!AO$1,'Team forecast'!$B$2:$AO$2,0))</f>
        <v>5.5998104670734943</v>
      </c>
      <c r="AP132" s="16">
        <f>INDEX('Team forecast'!$B$2:$AO$26,MATCH('Master data'!$B132,'Team forecast'!$B$2:$B$26,0),MATCH('Master data'!AP$1,'Team forecast'!$B$2:$AO$2,0))</f>
        <v>2.4374333627648213</v>
      </c>
      <c r="AQ132" s="5">
        <f>X132</f>
        <v>-5000</v>
      </c>
      <c r="AR132" s="5">
        <f>INDEX('Team forecast'!$B$2:$AO$26,MATCH('Master data'!$B132,'Team forecast'!$B$2:$B$26,0),MATCH('Master data'!AR$1,'Team forecast'!$B$2:$AO$2,0))*IF(X132&gt;0,25000,0)</f>
        <v>0</v>
      </c>
      <c r="AS132" s="16">
        <f>INDEX('Team forecast'!$B$2:$AO$26,MATCH('Master data'!$B132,'Team forecast'!$B$2:$B$26,0),MATCH('Master data'!AS$1,'Team forecast'!$B$2:$AO$2,0))*IF(X132&gt;0,5000,0)</f>
        <v>0</v>
      </c>
      <c r="AT132" s="16">
        <f>INDEX('Team forecast'!$B$2:$AO$26,MATCH('Master data'!$B132,'Team forecast'!$B$2:$B$26,0),MATCH('Master data'!AT$1,'Team forecast'!$B$2:$AO$2,0))*IF(X132&gt;0,-15000,0)</f>
        <v>0</v>
      </c>
      <c r="AU132" s="5">
        <f>IF($C132="Defense",$N132*150000,IF($C132="Midfield",$N132*125000,IF($C132="Striker",$N132*100000,0)))*$AL132</f>
        <v>0</v>
      </c>
      <c r="AV132" s="5">
        <f>$O132*50000*AL132</f>
        <v>0</v>
      </c>
      <c r="AW132" s="5">
        <f>$P132*AO132*10000</f>
        <v>0</v>
      </c>
      <c r="AX132" s="5">
        <f>IF($C132="Goalkeeper",AN132*75000,IF($C132="Defense",AN132*50000,0))</f>
        <v>22400.959215099116</v>
      </c>
      <c r="AY132" s="5">
        <f>IF($C132="Goalkeeper",(AP132-AM132)*5000,0)</f>
        <v>0</v>
      </c>
      <c r="AZ132" s="5">
        <f>$AG132</f>
        <v>0</v>
      </c>
      <c r="BA132" s="5">
        <f>$AH132</f>
        <v>0</v>
      </c>
      <c r="BB132" s="5">
        <f>IF(X132&gt;0,AL132*10000,0)</f>
        <v>0</v>
      </c>
      <c r="BC132" s="5">
        <f>IF(X132&gt;0,AM132*(-8000),0)</f>
        <v>0</v>
      </c>
      <c r="BD132" s="5">
        <f>IFERROR(SUM(AQ132:BC132),0)</f>
        <v>17400.959215099116</v>
      </c>
      <c r="BE132" s="16">
        <f>INDEX('Team forecast'!$B$2:$AO$26,MATCH('Master data'!$B132,'Team forecast'!$B$2:$B$26,0),MATCH('Master data'!BE$1,'Team forecast'!$B$2:$AO$2,0))</f>
        <v>1.2965069481471114</v>
      </c>
      <c r="BF132" s="16">
        <f>INDEX('Team forecast'!$B$2:$AO$26,MATCH('Master data'!$B132,'Team forecast'!$B$2:$B$26,0),MATCH('Master data'!BF$1,'Team forecast'!$B$2:$AO$2,0))</f>
        <v>1.0107278258414167</v>
      </c>
      <c r="BG132" s="16">
        <f>INDEX('Team forecast'!$B$2:$AO$26,MATCH('Master data'!$B132,'Team forecast'!$B$2:$B$26,0),MATCH('Master data'!BG$1,'Team forecast'!$B$2:$AO$2,0))</f>
        <v>0.36395398803179979</v>
      </c>
      <c r="BH132" s="16">
        <f>INDEX('Team forecast'!$B$2:$AO$26,MATCH('Master data'!$B132,'Team forecast'!$B$2:$B$26,0),MATCH('Master data'!BH$1,'Team forecast'!$B$2:$AO$2,0))</f>
        <v>3.3919425021794698</v>
      </c>
      <c r="BI132" s="16">
        <f>INDEX('Team forecast'!$B$2:$AO$26,MATCH('Master data'!$B132,'Team forecast'!$B$2:$B$26,0),MATCH('Master data'!BI$1,'Team forecast'!$B$2:$AO$2,0))</f>
        <v>3.0682808998757292</v>
      </c>
      <c r="BJ132" s="5">
        <f>AQ132</f>
        <v>-5000</v>
      </c>
      <c r="BK132" s="5">
        <f>INDEX('Team forecast'!$R$3:$BH$26,MATCH($B132,'Team forecast'!$B$3:$B$26,0),MATCH(BK$1,'Team forecast'!$R$2:$BH$2,0))*IF($X132&gt;0,25000,0)</f>
        <v>0</v>
      </c>
      <c r="BL132" s="5">
        <f>INDEX('Team forecast'!$R$3:$BH$26,MATCH($B132,'Team forecast'!$B$3:$B$26,0),MATCH(BL$1,'Team forecast'!$R$2:$BH$2,0))*IF($X132&gt;0,5000,0)</f>
        <v>0</v>
      </c>
      <c r="BM132" s="5">
        <f>INDEX('Team forecast'!$R$3:$BH$26,MATCH($B132,'Team forecast'!$B$3:$B$26,0),MATCH(BM$1,'Team forecast'!$R$2:$BH$2,0))*IF($X132&gt;0,-15000,0)</f>
        <v>0</v>
      </c>
      <c r="BN132" s="5">
        <f>IF($C132="Defense",$N132*150000,IF($C132="Midfield",$N132*125000,IF($C132="Striker",$N132*100000,0)))*$BE132</f>
        <v>0</v>
      </c>
      <c r="BO132" s="5">
        <f>$O132*50000*$BE132</f>
        <v>0</v>
      </c>
      <c r="BP132" s="5">
        <f>$P132*BH132*10000</f>
        <v>0</v>
      </c>
      <c r="BQ132" s="5">
        <f>IF($C132="Goalkeeper",BG132*75000,IF($C132="Defense",BG132*50000,0))</f>
        <v>18197.699401589991</v>
      </c>
      <c r="BR132" s="5">
        <f>IF($C132="Goalkeeper",(BI132-BF132)*5000,0)</f>
        <v>0</v>
      </c>
      <c r="BS132" s="5">
        <f>$AG132</f>
        <v>0</v>
      </c>
      <c r="BT132" s="5">
        <f>$AH132</f>
        <v>0</v>
      </c>
      <c r="BU132" s="5">
        <f>IF(AQ132&gt;0,BE132*10000,0)</f>
        <v>0</v>
      </c>
      <c r="BV132" s="5">
        <f>IF(AQ132&gt;0,BF132*(-8000),0)</f>
        <v>0</v>
      </c>
      <c r="BW132" s="5">
        <f>IFERROR(SUM(BJ132:BV132),0)</f>
        <v>13197.699401589991</v>
      </c>
      <c r="BX132" s="5">
        <f>AVERAGE(AK132,BD132,BW132)</f>
        <v>13362.615421112532</v>
      </c>
      <c r="BY132" s="5">
        <f>BX132*3</f>
        <v>40087.846263337597</v>
      </c>
      <c r="BZ132" s="5">
        <f>INDEX('Team forecast'!$R$3:$BH$26,MATCH($B132,'Team forecast'!$B$3:$B$26,0),MATCH(BZ$1,'Team forecast'!$R$2:$BH$2,0))*($BX132-(BY132+CH132)*0.01)</f>
        <v>-19453.432922214903</v>
      </c>
      <c r="CA132" s="5">
        <f>INDEX('Team forecast'!$R$3:$BH$26,MATCH($B132,'Team forecast'!$B$3:$B$26,0),MATCH(CA$1,'Team forecast'!$R$2:$BH$2,0))*($BX132-(BY132+BX132+CH132)*0.01)</f>
        <v>-10171.981064987818</v>
      </c>
      <c r="CB132" s="5">
        <f>INDEX('Team forecast'!$R$3:$BH$26,MATCH($B132,'Team forecast'!$B$3:$B$26,0),MATCH(CB$1,'Team forecast'!$R$2:$BH$2,0))*($BX132-(BY132+BX132*2+CH132)*0.01)</f>
        <v>-5482.3991643177087</v>
      </c>
      <c r="CC132" s="5">
        <f>INDEX('Team forecast'!$R$3:$BH$26,MATCH($B132,'Team forecast'!$B$3:$B$26,0),MATCH(CC$1,'Team forecast'!$R$2:$BH$2,0))*($BX132-(BY132+BX132*3+CH132)*0.01)</f>
        <v>-3232.0798220852594</v>
      </c>
      <c r="CD132" s="5">
        <f>+AK132+BD132*Cockpit!$C$3+BW132*Cockpit!$C$3^2+BZ132*Cockpit!$C$3^3+CA132*Cockpit!$C$3^4+CB132*Cockpit!$C$3^5+CC132*Cockpit!$C$3^6</f>
        <v>18176.499816344931</v>
      </c>
      <c r="CE132" s="5"/>
      <c r="CF132" s="5"/>
      <c r="CG132" s="5">
        <v>0</v>
      </c>
      <c r="CH132" s="5">
        <f t="shared" si="49"/>
        <v>3500000</v>
      </c>
      <c r="CI132" s="5">
        <f t="shared" si="50"/>
        <v>3500000</v>
      </c>
      <c r="CJ132" s="1">
        <f t="shared" si="51"/>
        <v>1.1453670360953599E-2</v>
      </c>
      <c r="CK132" s="5">
        <f>RANK(BY132,$BY$2:$BY$623)+COUNTIF($BY$2:$BY132,$BY132)-1</f>
        <v>311</v>
      </c>
      <c r="CL132" s="5">
        <f>RANK(CJ132,$CJ$2:$CJ$623)+COUNTIF($CJ$2:$CJ132,$CJ132)-1</f>
        <v>346</v>
      </c>
    </row>
    <row r="133" spans="1:90">
      <c r="A133" t="str">
        <f>Players!P134</f>
        <v>Lucas Hernández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4000000</v>
      </c>
      <c r="H133" s="16">
        <f>INDEX('Team forecast'!$B$2:$AO$26,MATCH('Master data'!$B133,'Team forecast'!$B$2:$B$26,0),MATCH('Master data'!H$1,'Team forecast'!$B$2:$AO$2,0))</f>
        <v>1.2386203137003762</v>
      </c>
      <c r="I133" s="16">
        <f>INDEX('Team forecast'!$B$2:$AO$26,MATCH('Master data'!$B133,'Team forecast'!$B$2:$B$26,0),MATCH('Master data'!I$1,'Team forecast'!$B$2:$AO$2,0))</f>
        <v>1.2386203137003762</v>
      </c>
      <c r="J133" s="16">
        <f>INDEX('Team forecast'!$B$2:$AO$26,MATCH('Master data'!$B133,'Team forecast'!$B$2:$B$26,0),MATCH('Master data'!J$1,'Team forecast'!$B$2:$AO$2,0))</f>
        <v>0.28978375293296982</v>
      </c>
      <c r="K133" s="16">
        <f>INDEX('Team forecast'!$B$2:$AO$26,MATCH('Master data'!$B133,'Team forecast'!$B$2:$B$26,0),MATCH('Master data'!K$1,'Team forecast'!$B$2:$AO$2,0))</f>
        <v>3.2404985504377408</v>
      </c>
      <c r="L133" s="16">
        <f>INDEX('Team forecast'!$B$2:$AO$26,MATCH('Master data'!$B133,'Team forecast'!$B$2:$B$26,0),MATCH('Master data'!L$1,'Team forecast'!$B$2:$AO$2,0))</f>
        <v>3.7600973808761418</v>
      </c>
      <c r="M133">
        <f>IF(Players!BC134=1,95,0)</f>
        <v>95</v>
      </c>
      <c r="N133" s="2">
        <f>Players!BN134</f>
        <v>1.7145321471512414E-2</v>
      </c>
      <c r="O133" s="2">
        <f>Players!BO134</f>
        <v>7.7248721052256761E-2</v>
      </c>
      <c r="P133" s="2">
        <f>Players!BP134</f>
        <v>7.745309037579559E-3</v>
      </c>
      <c r="Q133" s="2">
        <f>Players!BQ134</f>
        <v>0.37764080100125158</v>
      </c>
      <c r="R133" s="2">
        <f>Players!BR134</f>
        <v>0</v>
      </c>
      <c r="S133" s="2">
        <f>H133</f>
        <v>1.2386203137003762</v>
      </c>
      <c r="T133" s="2">
        <f>I133</f>
        <v>1.2386203137003762</v>
      </c>
      <c r="U133" s="16">
        <f>INDEX('Team forecast'!$B$2:$AO$26,MATCH('Master data'!$B133,'Team forecast'!$B$2:$B$26,0),MATCH('Master data'!U$1,'Team forecast'!$B$2:$AO$2,0))</f>
        <v>0.36933223413025562</v>
      </c>
      <c r="V133" s="16">
        <f>INDEX('Team forecast'!$B$2:$AO$26,MATCH('Master data'!$B133,'Team forecast'!$B$2:$B$26,0),MATCH('Master data'!V$1,'Team forecast'!$B$2:$AO$2,0))</f>
        <v>0.29431162407254741</v>
      </c>
      <c r="W133" s="16">
        <f>INDEX('Team forecast'!$B$2:$AO$26,MATCH('Master data'!$B133,'Team forecast'!$B$2:$B$26,0),MATCH('Master data'!W$1,'Team forecast'!$B$2:$AO$2,0))</f>
        <v>0.33635614179719708</v>
      </c>
      <c r="X133" s="5">
        <f>IF(M133&gt;95,7000*2,IF(M133&gt;0,7000,-5000))</f>
        <v>7000</v>
      </c>
      <c r="Y133" s="5">
        <f>IF($X133&gt;0,U133*25000,0)</f>
        <v>9233.30585325639</v>
      </c>
      <c r="Z133" s="5">
        <f>IF($X133&gt;0,V133*5000,0)</f>
        <v>1471.5581203627371</v>
      </c>
      <c r="AA133" s="5">
        <f>IF($X133&gt;0,W133*(-15000),0)</f>
        <v>-5045.3421269579567</v>
      </c>
      <c r="AB133" s="5">
        <f>IF($C133="Defense",$N133*150000,IF($C133="Midfield",$N133*125000,IF($C133="Striker",$N133*100000,0)))*$H133</f>
        <v>3185.4815189307751</v>
      </c>
      <c r="AC133" s="5">
        <f>$O133*50000*H133</f>
        <v>4784.0917551349557</v>
      </c>
      <c r="AD133" s="5">
        <f>$P133*K133*10000</f>
        <v>250.98662708968894</v>
      </c>
      <c r="AE133" s="5">
        <f>IF($C133="Goalkeeper",J133*75000,IF($C133="Defense",J133*50000,0))</f>
        <v>14489.18764664849</v>
      </c>
      <c r="AF133" s="5">
        <f>IF($C133="Goalkeeper",(L133-I133)*5000,0)</f>
        <v>0</v>
      </c>
      <c r="AG133" s="5">
        <f>IF(M133&gt;0,Q133*(-20000),0)</f>
        <v>-7552.8160200250313</v>
      </c>
      <c r="AH133" s="5">
        <f>IF(M133&gt;0,R133*(-50000),0)</f>
        <v>0</v>
      </c>
      <c r="AI133" s="5">
        <f>IF(M133&gt;0,S133*10000,0)</f>
        <v>12386.203137003762</v>
      </c>
      <c r="AJ133" s="5">
        <f>IF(M133&gt;0,T133*(-8000),0)</f>
        <v>-9908.9625096030086</v>
      </c>
      <c r="AK133" s="5">
        <f>IFERROR(SUM(X133:AJ133),-5000)*((Cockpit!$C$3)^0)</f>
        <v>30293.694001840806</v>
      </c>
      <c r="AL133" s="16">
        <f>INDEX('Team forecast'!$B$2:$AO$26,MATCH('Master data'!$B133,'Team forecast'!$B$2:$B$26,0),MATCH('Master data'!AL$1,'Team forecast'!$B$2:$AO$2,0))</f>
        <v>2.140423422331811</v>
      </c>
      <c r="AM133" s="16">
        <f>INDEX('Team forecast'!$B$2:$AO$26,MATCH('Master data'!$B133,'Team forecast'!$B$2:$B$26,0),MATCH('Master data'!AM$1,'Team forecast'!$B$2:$AO$2,0))</f>
        <v>0.80291922538135296</v>
      </c>
      <c r="AN133" s="16">
        <f>INDEX('Team forecast'!$B$2:$AO$26,MATCH('Master data'!$B133,'Team forecast'!$B$2:$B$26,0),MATCH('Master data'!AN$1,'Team forecast'!$B$2:$AO$2,0))</f>
        <v>0.44801918430198229</v>
      </c>
      <c r="AO133" s="16">
        <f>INDEX('Team forecast'!$B$2:$AO$26,MATCH('Master data'!$B133,'Team forecast'!$B$2:$B$26,0),MATCH('Master data'!AO$1,'Team forecast'!$B$2:$AO$2,0))</f>
        <v>5.5998104670734943</v>
      </c>
      <c r="AP133" s="16">
        <f>INDEX('Team forecast'!$B$2:$AO$26,MATCH('Master data'!$B133,'Team forecast'!$B$2:$B$26,0),MATCH('Master data'!AP$1,'Team forecast'!$B$2:$AO$2,0))</f>
        <v>2.4374333627648213</v>
      </c>
      <c r="AQ133" s="5">
        <f>X133</f>
        <v>7000</v>
      </c>
      <c r="AR133" s="5">
        <f>INDEX('Team forecast'!$B$2:$AO$26,MATCH('Master data'!$B133,'Team forecast'!$B$2:$B$26,0),MATCH('Master data'!AR$1,'Team forecast'!$B$2:$AO$2,0))*IF(X133&gt;0,25000,0)</f>
        <v>16800.719411324339</v>
      </c>
      <c r="AS133" s="16">
        <f>INDEX('Team forecast'!$B$2:$AO$26,MATCH('Master data'!$B133,'Team forecast'!$B$2:$B$26,0),MATCH('Master data'!AS$1,'Team forecast'!$B$2:$AO$2,0))*IF(X133&gt;0,5000,0)</f>
        <v>1086.42065477386</v>
      </c>
      <c r="AT133" s="16">
        <f>INDEX('Team forecast'!$B$2:$AO$26,MATCH('Master data'!$B133,'Team forecast'!$B$2:$B$26,0),MATCH('Master data'!AT$1,'Team forecast'!$B$2:$AO$2,0))*IF(X133&gt;0,-15000,0)</f>
        <v>-1660.3063888838174</v>
      </c>
      <c r="AU133" s="5">
        <f>IF($C133="Defense",$N133*150000,IF($C133="Midfield",$N133*125000,IF($C133="Striker",$N133*100000,0)))*$AL133</f>
        <v>5504.7371491550521</v>
      </c>
      <c r="AV133" s="5">
        <f>$O133*50000*AL133</f>
        <v>8267.2485942713411</v>
      </c>
      <c r="AW133" s="5">
        <f>$P133*AO133*10000</f>
        <v>433.72262619356951</v>
      </c>
      <c r="AX133" s="5">
        <f>IF($C133="Goalkeeper",AN133*75000,IF($C133="Defense",AN133*50000,0))</f>
        <v>22400.959215099116</v>
      </c>
      <c r="AY133" s="5">
        <f>IF($C133="Goalkeeper",(AP133-AM133)*5000,0)</f>
        <v>0</v>
      </c>
      <c r="AZ133" s="5">
        <f>$AG133</f>
        <v>-7552.8160200250313</v>
      </c>
      <c r="BA133" s="5">
        <f>$AH133</f>
        <v>0</v>
      </c>
      <c r="BB133" s="5">
        <f>IF(X133&gt;0,AL133*10000,0)</f>
        <v>21404.234223318112</v>
      </c>
      <c r="BC133" s="5">
        <f>IF(X133&gt;0,AM133*(-8000),0)</f>
        <v>-6423.3538030508234</v>
      </c>
      <c r="BD133" s="5">
        <f>IFERROR(SUM(AQ133:BC133),0)</f>
        <v>67261.565662175723</v>
      </c>
      <c r="BE133" s="16">
        <f>INDEX('Team forecast'!$B$2:$AO$26,MATCH('Master data'!$B133,'Team forecast'!$B$2:$B$26,0),MATCH('Master data'!BE$1,'Team forecast'!$B$2:$AO$2,0))</f>
        <v>1.2965069481471114</v>
      </c>
      <c r="BF133" s="16">
        <f>INDEX('Team forecast'!$B$2:$AO$26,MATCH('Master data'!$B133,'Team forecast'!$B$2:$B$26,0),MATCH('Master data'!BF$1,'Team forecast'!$B$2:$AO$2,0))</f>
        <v>1.0107278258414167</v>
      </c>
      <c r="BG133" s="16">
        <f>INDEX('Team forecast'!$B$2:$AO$26,MATCH('Master data'!$B133,'Team forecast'!$B$2:$B$26,0),MATCH('Master data'!BG$1,'Team forecast'!$B$2:$AO$2,0))</f>
        <v>0.36395398803179979</v>
      </c>
      <c r="BH133" s="16">
        <f>INDEX('Team forecast'!$B$2:$AO$26,MATCH('Master data'!$B133,'Team forecast'!$B$2:$B$26,0),MATCH('Master data'!BH$1,'Team forecast'!$B$2:$AO$2,0))</f>
        <v>3.3919425021794698</v>
      </c>
      <c r="BI133" s="16">
        <f>INDEX('Team forecast'!$B$2:$AO$26,MATCH('Master data'!$B133,'Team forecast'!$B$2:$B$26,0),MATCH('Master data'!BI$1,'Team forecast'!$B$2:$AO$2,0))</f>
        <v>3.0682808998757292</v>
      </c>
      <c r="BJ133" s="5">
        <f>AQ133</f>
        <v>7000</v>
      </c>
      <c r="BK133" s="5">
        <f>INDEX('Team forecast'!$R$3:$BH$26,MATCH($B133,'Team forecast'!$B$3:$B$26,0),MATCH(BK$1,'Team forecast'!$R$2:$BH$2,0))*IF($X133&gt;0,25000,0)</f>
        <v>10270.375413343707</v>
      </c>
      <c r="BL133" s="5">
        <f>INDEX('Team forecast'!$R$3:$BH$26,MATCH($B133,'Team forecast'!$B$3:$B$26,0),MATCH(BL$1,'Team forecast'!$R$2:$BH$2,0))*IF($X133&gt;0,5000,0)</f>
        <v>1495.6234195681775</v>
      </c>
      <c r="BM133" s="5">
        <f>INDEX('Team forecast'!$R$3:$BH$26,MATCH($B133,'Team forecast'!$B$3:$B$26,0),MATCH(BM$1,'Team forecast'!$R$2:$BH$2,0))*IF($X133&gt;0,-15000,0)</f>
        <v>-4350.9044932892448</v>
      </c>
      <c r="BN133" s="5">
        <f>IF($C133="Defense",$N133*150000,IF($C133="Midfield",$N133*125000,IF($C133="Striker",$N133*100000,0)))*$BE133</f>
        <v>3334.354262404755</v>
      </c>
      <c r="BO133" s="5">
        <f>$O133*50000*$BE133</f>
        <v>5007.6751789864466</v>
      </c>
      <c r="BP133" s="5">
        <f>$P133*BH133*10000</f>
        <v>262.71642917080868</v>
      </c>
      <c r="BQ133" s="5">
        <f>IF($C133="Goalkeeper",BG133*75000,IF($C133="Defense",BG133*50000,0))</f>
        <v>18197.699401589991</v>
      </c>
      <c r="BR133" s="5">
        <f>IF($C133="Goalkeeper",(BI133-BF133)*5000,0)</f>
        <v>0</v>
      </c>
      <c r="BS133" s="5">
        <f>$AG133</f>
        <v>-7552.8160200250313</v>
      </c>
      <c r="BT133" s="5">
        <f>$AH133</f>
        <v>0</v>
      </c>
      <c r="BU133" s="5">
        <f>IF(AQ133&gt;0,BE133*10000,0)</f>
        <v>12965.069481471115</v>
      </c>
      <c r="BV133" s="5">
        <f>IF(AQ133&gt;0,BF133*(-8000),0)</f>
        <v>-8085.8226067313335</v>
      </c>
      <c r="BW133" s="5">
        <f>IFERROR(SUM(BJ133:BV133),0)</f>
        <v>38543.970466489394</v>
      </c>
      <c r="BX133" s="5">
        <f>AVERAGE(AK133,BD133,BW133)</f>
        <v>45366.410043501972</v>
      </c>
      <c r="BY133" s="5">
        <f>BX133*3</f>
        <v>136099.23013050592</v>
      </c>
      <c r="BZ133" s="5">
        <f>INDEX('Team forecast'!$R$3:$BH$26,MATCH($B133,'Team forecast'!$B$3:$B$26,0),MATCH(BZ$1,'Team forecast'!$R$2:$BH$2,0))*($BX133-(BY133+CH133)*0.01)</f>
        <v>3535.6291567295862</v>
      </c>
      <c r="CA133" s="5">
        <f>INDEX('Team forecast'!$R$3:$BH$26,MATCH($B133,'Team forecast'!$B$3:$B$26,0),MATCH(CA$1,'Team forecast'!$R$2:$BH$2,0))*($BX133-(BY133+BX133+CH133)*0.01)</f>
        <v>1629.4674067944597</v>
      </c>
      <c r="CB133" s="5">
        <f>INDEX('Team forecast'!$R$3:$BH$26,MATCH($B133,'Team forecast'!$B$3:$B$26,0),MATCH(CB$1,'Team forecast'!$R$2:$BH$2,0))*($BX133-(BY133+BX133*2+CH133)*0.01)</f>
        <v>761.46922614792561</v>
      </c>
      <c r="CC133" s="5">
        <f>INDEX('Team forecast'!$R$3:$BH$26,MATCH($B133,'Team forecast'!$B$3:$B$26,0),MATCH(CC$1,'Team forecast'!$R$2:$BH$2,0))*($BX133-(BY133+BX133*3+CH133)*0.01)</f>
        <v>380.89666250971135</v>
      </c>
      <c r="CD133" s="5">
        <f>+AK133+BD133*Cockpit!$C$3+BW133*Cockpit!$C$3^2+BZ133*Cockpit!$C$3^3+CA133*Cockpit!$C$3^4+CB133*Cockpit!$C$3^5+CC133*Cockpit!$C$3^6</f>
        <v>93768.570516933789</v>
      </c>
      <c r="CE133" s="5"/>
      <c r="CF133" s="5"/>
      <c r="CG133" s="5">
        <v>0</v>
      </c>
      <c r="CH133" s="5">
        <f t="shared" si="49"/>
        <v>4000000</v>
      </c>
      <c r="CI133" s="5">
        <f t="shared" si="50"/>
        <v>4000000</v>
      </c>
      <c r="CJ133" s="1">
        <f t="shared" si="51"/>
        <v>3.4024807532626482E-2</v>
      </c>
      <c r="CK133" s="5">
        <f>RANK(BY133,$BY$2:$BY$623)+COUNTIF($BY$2:$BY133,$BY133)-1</f>
        <v>110</v>
      </c>
      <c r="CL133" s="5">
        <f>RANK(CJ133,$CJ$2:$CJ$623)+COUNTIF($CJ$2:$CJ133,$CJ133)-1</f>
        <v>113</v>
      </c>
    </row>
    <row r="134" spans="1:90">
      <c r="A134" t="str">
        <f>Players!P135</f>
        <v>Raphaël Varane</v>
      </c>
      <c r="B134" t="str">
        <f>Players!G135</f>
        <v>France</v>
      </c>
      <c r="C134" t="str">
        <f>Players!AB135</f>
        <v>Defense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4500000</v>
      </c>
      <c r="H134" s="16">
        <f>INDEX('Team forecast'!$B$2:$AO$26,MATCH('Master data'!$B134,'Team forecast'!$B$2:$B$26,0),MATCH('Master data'!H$1,'Team forecast'!$B$2:$AO$2,0))</f>
        <v>1.2386203137003762</v>
      </c>
      <c r="I134" s="16">
        <f>INDEX('Team forecast'!$B$2:$AO$26,MATCH('Master data'!$B134,'Team forecast'!$B$2:$B$26,0),MATCH('Master data'!I$1,'Team forecast'!$B$2:$AO$2,0))</f>
        <v>1.2386203137003762</v>
      </c>
      <c r="J134" s="16">
        <f>INDEX('Team forecast'!$B$2:$AO$26,MATCH('Master data'!$B134,'Team forecast'!$B$2:$B$26,0),MATCH('Master data'!J$1,'Team forecast'!$B$2:$AO$2,0))</f>
        <v>0.28978375293296982</v>
      </c>
      <c r="K134" s="16">
        <f>INDEX('Team forecast'!$B$2:$AO$26,MATCH('Master data'!$B134,'Team forecast'!$B$2:$B$26,0),MATCH('Master data'!K$1,'Team forecast'!$B$2:$AO$2,0))</f>
        <v>3.2404985504377408</v>
      </c>
      <c r="L134" s="16">
        <f>INDEX('Team forecast'!$B$2:$AO$26,MATCH('Master data'!$B134,'Team forecast'!$B$2:$B$26,0),MATCH('Master data'!L$1,'Team forecast'!$B$2:$AO$2,0))</f>
        <v>3.7600973808761418</v>
      </c>
      <c r="M134">
        <f>IF(Players!BC135=1,95,0)</f>
        <v>95</v>
      </c>
      <c r="N134" s="2">
        <f>Players!BN135</f>
        <v>2.9600403602787498E-2</v>
      </c>
      <c r="O134" s="2">
        <f>Players!BO135</f>
        <v>2.9406363666333136E-2</v>
      </c>
      <c r="P134" s="2">
        <f>Players!BP135</f>
        <v>1.8228282536159258E-2</v>
      </c>
      <c r="Q134" s="2">
        <f>Players!BQ135</f>
        <v>8.8136966126656849E-2</v>
      </c>
      <c r="R134" s="2">
        <f>Players!BR135</f>
        <v>0</v>
      </c>
      <c r="S134" s="2">
        <f>H134</f>
        <v>1.2386203137003762</v>
      </c>
      <c r="T134" s="2">
        <f>I134</f>
        <v>1.2386203137003762</v>
      </c>
      <c r="U134" s="16">
        <f>INDEX('Team forecast'!$B$2:$AO$26,MATCH('Master data'!$B134,'Team forecast'!$B$2:$B$26,0),MATCH('Master data'!U$1,'Team forecast'!$B$2:$AO$2,0))</f>
        <v>0.36933223413025562</v>
      </c>
      <c r="V134" s="16">
        <f>INDEX('Team forecast'!$B$2:$AO$26,MATCH('Master data'!$B134,'Team forecast'!$B$2:$B$26,0),MATCH('Master data'!V$1,'Team forecast'!$B$2:$AO$2,0))</f>
        <v>0.29431162407254741</v>
      </c>
      <c r="W134" s="16">
        <f>INDEX('Team forecast'!$B$2:$AO$26,MATCH('Master data'!$B134,'Team forecast'!$B$2:$B$26,0),MATCH('Master data'!W$1,'Team forecast'!$B$2:$AO$2,0))</f>
        <v>0.33635614179719708</v>
      </c>
      <c r="X134" s="5">
        <f>IF(M134&gt;95,7000*2,IF(M134&gt;0,7000,-5000))</f>
        <v>7000</v>
      </c>
      <c r="Y134" s="5">
        <f>IF($X134&gt;0,U134*25000,0)</f>
        <v>9233.30585325639</v>
      </c>
      <c r="Z134" s="5">
        <f>IF($X134&gt;0,V134*5000,0)</f>
        <v>1471.5581203627371</v>
      </c>
      <c r="AA134" s="5">
        <f>IF($X134&gt;0,W134*(-15000),0)</f>
        <v>-5045.3421269579567</v>
      </c>
      <c r="AB134" s="5">
        <f>IF($C134="Defense",$N134*150000,IF($C134="Midfield",$N134*125000,IF($C134="Striker",$N134*100000,0)))*$H134</f>
        <v>5499.5491794213585</v>
      </c>
      <c r="AC134" s="5">
        <f>$O134*50000*H134</f>
        <v>1821.1659694590446</v>
      </c>
      <c r="AD134" s="5">
        <f>$P134*K134*10000</f>
        <v>590.68723135393657</v>
      </c>
      <c r="AE134" s="5">
        <f>IF($C134="Goalkeeper",J134*75000,IF($C134="Defense",J134*50000,0))</f>
        <v>14489.18764664849</v>
      </c>
      <c r="AF134" s="5">
        <f>IF($C134="Goalkeeper",(L134-I134)*5000,0)</f>
        <v>0</v>
      </c>
      <c r="AG134" s="5">
        <f>IF(M134&gt;0,Q134*(-20000),0)</f>
        <v>-1762.7393225331371</v>
      </c>
      <c r="AH134" s="5">
        <f>IF(M134&gt;0,R134*(-50000),0)</f>
        <v>0</v>
      </c>
      <c r="AI134" s="5">
        <f>IF(M134&gt;0,S134*10000,0)</f>
        <v>12386.203137003762</v>
      </c>
      <c r="AJ134" s="5">
        <f>IF(M134&gt;0,T134*(-8000),0)</f>
        <v>-9908.9625096030086</v>
      </c>
      <c r="AK134" s="5">
        <f>IFERROR(SUM(X134:AJ134),-5000)*((Cockpit!$C$3)^0)</f>
        <v>35774.613178411615</v>
      </c>
      <c r="AL134" s="16">
        <f>INDEX('Team forecast'!$B$2:$AO$26,MATCH('Master data'!$B134,'Team forecast'!$B$2:$B$26,0),MATCH('Master data'!AL$1,'Team forecast'!$B$2:$AO$2,0))</f>
        <v>2.140423422331811</v>
      </c>
      <c r="AM134" s="16">
        <f>INDEX('Team forecast'!$B$2:$AO$26,MATCH('Master data'!$B134,'Team forecast'!$B$2:$B$26,0),MATCH('Master data'!AM$1,'Team forecast'!$B$2:$AO$2,0))</f>
        <v>0.80291922538135296</v>
      </c>
      <c r="AN134" s="16">
        <f>INDEX('Team forecast'!$B$2:$AO$26,MATCH('Master data'!$B134,'Team forecast'!$B$2:$B$26,0),MATCH('Master data'!AN$1,'Team forecast'!$B$2:$AO$2,0))</f>
        <v>0.44801918430198229</v>
      </c>
      <c r="AO134" s="16">
        <f>INDEX('Team forecast'!$B$2:$AO$26,MATCH('Master data'!$B134,'Team forecast'!$B$2:$B$26,0),MATCH('Master data'!AO$1,'Team forecast'!$B$2:$AO$2,0))</f>
        <v>5.5998104670734943</v>
      </c>
      <c r="AP134" s="16">
        <f>INDEX('Team forecast'!$B$2:$AO$26,MATCH('Master data'!$B134,'Team forecast'!$B$2:$B$26,0),MATCH('Master data'!AP$1,'Team forecast'!$B$2:$AO$2,0))</f>
        <v>2.4374333627648213</v>
      </c>
      <c r="AQ134" s="5">
        <f>X134</f>
        <v>7000</v>
      </c>
      <c r="AR134" s="5">
        <f>INDEX('Team forecast'!$B$2:$AO$26,MATCH('Master data'!$B134,'Team forecast'!$B$2:$B$26,0),MATCH('Master data'!AR$1,'Team forecast'!$B$2:$AO$2,0))*IF(X134&gt;0,25000,0)</f>
        <v>16800.719411324339</v>
      </c>
      <c r="AS134" s="16">
        <f>INDEX('Team forecast'!$B$2:$AO$26,MATCH('Master data'!$B134,'Team forecast'!$B$2:$B$26,0),MATCH('Master data'!AS$1,'Team forecast'!$B$2:$AO$2,0))*IF(X134&gt;0,5000,0)</f>
        <v>1086.42065477386</v>
      </c>
      <c r="AT134" s="16">
        <f>INDEX('Team forecast'!$B$2:$AO$26,MATCH('Master data'!$B134,'Team forecast'!$B$2:$B$26,0),MATCH('Master data'!AT$1,'Team forecast'!$B$2:$AO$2,0))*IF(X134&gt;0,-15000,0)</f>
        <v>-1660.3063888838174</v>
      </c>
      <c r="AU134" s="5">
        <f>IF($C134="Defense",$N134*150000,IF($C134="Midfield",$N134*125000,IF($C134="Striker",$N134*100000,0)))*$AL134</f>
        <v>9503.6095772821918</v>
      </c>
      <c r="AV134" s="5">
        <f>$O134*50000*AL134</f>
        <v>3147.1034778513299</v>
      </c>
      <c r="AW134" s="5">
        <f>$P134*AO134*10000</f>
        <v>1020.749273427576</v>
      </c>
      <c r="AX134" s="5">
        <f>IF($C134="Goalkeeper",AN134*75000,IF($C134="Defense",AN134*50000,0))</f>
        <v>22400.959215099116</v>
      </c>
      <c r="AY134" s="5">
        <f>IF($C134="Goalkeeper",(AP134-AM134)*5000,0)</f>
        <v>0</v>
      </c>
      <c r="AZ134" s="5">
        <f>$AG134</f>
        <v>-1762.7393225331371</v>
      </c>
      <c r="BA134" s="5">
        <f>$AH134</f>
        <v>0</v>
      </c>
      <c r="BB134" s="5">
        <f>IF(X134&gt;0,AL134*10000,0)</f>
        <v>21404.234223318112</v>
      </c>
      <c r="BC134" s="5">
        <f>IF(X134&gt;0,AM134*(-8000),0)</f>
        <v>-6423.3538030508234</v>
      </c>
      <c r="BD134" s="5">
        <f>IFERROR(SUM(AQ134:BC134),0)</f>
        <v>72517.396318608749</v>
      </c>
      <c r="BE134" s="16">
        <f>INDEX('Team forecast'!$B$2:$AO$26,MATCH('Master data'!$B134,'Team forecast'!$B$2:$B$26,0),MATCH('Master data'!BE$1,'Team forecast'!$B$2:$AO$2,0))</f>
        <v>1.2965069481471114</v>
      </c>
      <c r="BF134" s="16">
        <f>INDEX('Team forecast'!$B$2:$AO$26,MATCH('Master data'!$B134,'Team forecast'!$B$2:$B$26,0),MATCH('Master data'!BF$1,'Team forecast'!$B$2:$AO$2,0))</f>
        <v>1.0107278258414167</v>
      </c>
      <c r="BG134" s="16">
        <f>INDEX('Team forecast'!$B$2:$AO$26,MATCH('Master data'!$B134,'Team forecast'!$B$2:$B$26,0),MATCH('Master data'!BG$1,'Team forecast'!$B$2:$AO$2,0))</f>
        <v>0.36395398803179979</v>
      </c>
      <c r="BH134" s="16">
        <f>INDEX('Team forecast'!$B$2:$AO$26,MATCH('Master data'!$B134,'Team forecast'!$B$2:$B$26,0),MATCH('Master data'!BH$1,'Team forecast'!$B$2:$AO$2,0))</f>
        <v>3.3919425021794698</v>
      </c>
      <c r="BI134" s="16">
        <f>INDEX('Team forecast'!$B$2:$AO$26,MATCH('Master data'!$B134,'Team forecast'!$B$2:$B$26,0),MATCH('Master data'!BI$1,'Team forecast'!$B$2:$AO$2,0))</f>
        <v>3.0682808998757292</v>
      </c>
      <c r="BJ134" s="5">
        <f>AQ134</f>
        <v>7000</v>
      </c>
      <c r="BK134" s="5">
        <f>INDEX('Team forecast'!$R$3:$BH$26,MATCH($B134,'Team forecast'!$B$3:$B$26,0),MATCH(BK$1,'Team forecast'!$R$2:$BH$2,0))*IF($X134&gt;0,25000,0)</f>
        <v>10270.375413343707</v>
      </c>
      <c r="BL134" s="5">
        <f>INDEX('Team forecast'!$R$3:$BH$26,MATCH($B134,'Team forecast'!$B$3:$B$26,0),MATCH(BL$1,'Team forecast'!$R$2:$BH$2,0))*IF($X134&gt;0,5000,0)</f>
        <v>1495.6234195681775</v>
      </c>
      <c r="BM134" s="5">
        <f>INDEX('Team forecast'!$R$3:$BH$26,MATCH($B134,'Team forecast'!$B$3:$B$26,0),MATCH(BM$1,'Team forecast'!$R$2:$BH$2,0))*IF($X134&gt;0,-15000,0)</f>
        <v>-4350.9044932892448</v>
      </c>
      <c r="BN134" s="5">
        <f>IF($C134="Defense",$N134*150000,IF($C134="Midfield",$N134*125000,IF($C134="Striker",$N134*100000,0)))*$BE134</f>
        <v>5756.5693408459165</v>
      </c>
      <c r="BO134" s="5">
        <f>$O134*50000*$BE134</f>
        <v>1906.2777406570838</v>
      </c>
      <c r="BP134" s="5">
        <f>$P134*BH134*10000</f>
        <v>618.2928627613436</v>
      </c>
      <c r="BQ134" s="5">
        <f>IF($C134="Goalkeeper",BG134*75000,IF($C134="Defense",BG134*50000,0))</f>
        <v>18197.699401589991</v>
      </c>
      <c r="BR134" s="5">
        <f>IF($C134="Goalkeeper",(BI134-BF134)*5000,0)</f>
        <v>0</v>
      </c>
      <c r="BS134" s="5">
        <f>$AG134</f>
        <v>-1762.7393225331371</v>
      </c>
      <c r="BT134" s="5">
        <f>$AH134</f>
        <v>0</v>
      </c>
      <c r="BU134" s="5">
        <f>IF(AQ134&gt;0,BE134*10000,0)</f>
        <v>12965.069481471115</v>
      </c>
      <c r="BV134" s="5">
        <f>IF(AQ134&gt;0,BF134*(-8000),0)</f>
        <v>-8085.8226067313335</v>
      </c>
      <c r="BW134" s="5">
        <f>IFERROR(SUM(BJ134:BV134),0)</f>
        <v>44010.441237683626</v>
      </c>
      <c r="BX134" s="5">
        <f>AVERAGE(AK134,BD134,BW134)</f>
        <v>50767.483578234656</v>
      </c>
      <c r="BY134" s="5">
        <f>BX134*3</f>
        <v>152302.45073470398</v>
      </c>
      <c r="BZ134" s="5">
        <f>INDEX('Team forecast'!$R$3:$BH$26,MATCH($B134,'Team forecast'!$B$3:$B$26,0),MATCH(BZ$1,'Team forecast'!$R$2:$BH$2,0))*($BX134-(BY134+CH134)*0.01)</f>
        <v>3746.6337374699415</v>
      </c>
      <c r="CA134" s="5">
        <f>INDEX('Team forecast'!$R$3:$BH$26,MATCH($B134,'Team forecast'!$B$3:$B$26,0),MATCH(CA$1,'Team forecast'!$R$2:$BH$2,0))*($BX134-(BY134+BX134+CH134)*0.01)</f>
        <v>1714.3554231162534</v>
      </c>
      <c r="CB134" s="5">
        <f>INDEX('Team forecast'!$R$3:$BH$26,MATCH($B134,'Team forecast'!$B$3:$B$26,0),MATCH(CB$1,'Team forecast'!$R$2:$BH$2,0))*($BX134-(BY134+BX134*2+CH134)*0.01)</f>
        <v>793.67216558767427</v>
      </c>
      <c r="CC134" s="5">
        <f>INDEX('Team forecast'!$R$3:$BH$26,MATCH($B134,'Team forecast'!$B$3:$B$26,0),MATCH(CC$1,'Team forecast'!$R$2:$BH$2,0))*($BX134-(BY134+BX134*3+CH134)*0.01)</f>
        <v>391.98887080044915</v>
      </c>
      <c r="CD134" s="5">
        <f>+AK134+BD134*Cockpit!$C$3+BW134*Cockpit!$C$3^2+BZ134*Cockpit!$C$3^3+CA134*Cockpit!$C$3^4+CB134*Cockpit!$C$3^5+CC134*Cockpit!$C$3^6</f>
        <v>105267.42175962319</v>
      </c>
      <c r="CE134" s="5"/>
      <c r="CF134" s="5"/>
      <c r="CG134" s="5">
        <v>0</v>
      </c>
      <c r="CH134" s="5">
        <f t="shared" si="49"/>
        <v>4500000</v>
      </c>
      <c r="CI134" s="5">
        <f t="shared" si="50"/>
        <v>4500000</v>
      </c>
      <c r="CJ134" s="1">
        <f t="shared" si="51"/>
        <v>3.3844989052156438E-2</v>
      </c>
      <c r="CK134" s="5">
        <f>RANK(BY134,$BY$2:$BY$623)+COUNTIF($BY$2:$BY134,$BY134)-1</f>
        <v>95</v>
      </c>
      <c r="CL134" s="5">
        <f>RANK(CJ134,$CJ$2:$CJ$623)+COUNTIF($CJ$2:$CJ134,$CJ134)-1</f>
        <v>114</v>
      </c>
    </row>
    <row r="135" spans="1:90">
      <c r="A135" t="str">
        <f>Players!P136</f>
        <v>Thomas Lemar</v>
      </c>
      <c r="B135" t="str">
        <f>Players!G136</f>
        <v>France</v>
      </c>
      <c r="C135" t="str">
        <f>Players!AB136</f>
        <v>Striker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3500000</v>
      </c>
      <c r="H135" s="16">
        <f>INDEX('Team forecast'!$B$2:$AO$26,MATCH('Master data'!$B135,'Team forecast'!$B$2:$B$26,0),MATCH('Master data'!H$1,'Team forecast'!$B$2:$AO$2,0))</f>
        <v>1.2386203137003762</v>
      </c>
      <c r="I135" s="16">
        <f>INDEX('Team forecast'!$B$2:$AO$26,MATCH('Master data'!$B135,'Team forecast'!$B$2:$B$26,0),MATCH('Master data'!I$1,'Team forecast'!$B$2:$AO$2,0))</f>
        <v>1.2386203137003762</v>
      </c>
      <c r="J135" s="16">
        <f>INDEX('Team forecast'!$B$2:$AO$26,MATCH('Master data'!$B135,'Team forecast'!$B$2:$B$26,0),MATCH('Master data'!J$1,'Team forecast'!$B$2:$AO$2,0))</f>
        <v>0.28978375293296982</v>
      </c>
      <c r="K135" s="16">
        <f>INDEX('Team forecast'!$B$2:$AO$26,MATCH('Master data'!$B135,'Team forecast'!$B$2:$B$26,0),MATCH('Master data'!K$1,'Team forecast'!$B$2:$AO$2,0))</f>
        <v>3.2404985504377408</v>
      </c>
      <c r="L135" s="16">
        <f>INDEX('Team forecast'!$B$2:$AO$26,MATCH('Master data'!$B135,'Team forecast'!$B$2:$B$26,0),MATCH('Master data'!L$1,'Team forecast'!$B$2:$AO$2,0))</f>
        <v>3.7600973808761418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0.13109978150036417</v>
      </c>
      <c r="R135" s="2">
        <f>Players!BR136</f>
        <v>0</v>
      </c>
      <c r="S135" s="2">
        <f>H135</f>
        <v>1.2386203137003762</v>
      </c>
      <c r="T135" s="2">
        <f>I135</f>
        <v>1.2386203137003762</v>
      </c>
      <c r="U135" s="16">
        <f>INDEX('Team forecast'!$B$2:$AO$26,MATCH('Master data'!$B135,'Team forecast'!$B$2:$B$26,0),MATCH('Master data'!U$1,'Team forecast'!$B$2:$AO$2,0))</f>
        <v>0.36933223413025562</v>
      </c>
      <c r="V135" s="16">
        <f>INDEX('Team forecast'!$B$2:$AO$26,MATCH('Master data'!$B135,'Team forecast'!$B$2:$B$26,0),MATCH('Master data'!V$1,'Team forecast'!$B$2:$AO$2,0))</f>
        <v>0.29431162407254741</v>
      </c>
      <c r="W135" s="16">
        <f>INDEX('Team forecast'!$B$2:$AO$26,MATCH('Master data'!$B135,'Team forecast'!$B$2:$B$26,0),MATCH('Master data'!W$1,'Team forecast'!$B$2:$AO$2,0))</f>
        <v>0.33635614179719708</v>
      </c>
      <c r="X135" s="5">
        <f>IF(M135&gt;95,7000*2,IF(M135&gt;0,7000,-5000))</f>
        <v>-5000</v>
      </c>
      <c r="Y135" s="5">
        <f>IF($X135&gt;0,U135*25000,0)</f>
        <v>0</v>
      </c>
      <c r="Z135" s="5">
        <f>IF($X135&gt;0,V135*5000,0)</f>
        <v>0</v>
      </c>
      <c r="AA135" s="5">
        <f>IF($X135&gt;0,W135*(-15000),0)</f>
        <v>0</v>
      </c>
      <c r="AB135" s="5">
        <f>IF($C135="Defense",$N135*150000,IF($C135="Midfield",$N135*125000,IF($C135="Striker",$N135*100000,0)))*$H135</f>
        <v>0</v>
      </c>
      <c r="AC135" s="5">
        <f>$O135*50000*H135</f>
        <v>0</v>
      </c>
      <c r="AD135" s="5">
        <f>$P135*K135*10000</f>
        <v>0</v>
      </c>
      <c r="AE135" s="5">
        <f>IF($C135="Goalkeeper",J135*75000,IF($C135="Defense",J135*50000,0))</f>
        <v>0</v>
      </c>
      <c r="AF135" s="5">
        <f>IF($C135="Goalkeeper",(L135-I135)*5000,0)</f>
        <v>0</v>
      </c>
      <c r="AG135" s="5">
        <f>IF(M135&gt;0,Q135*(-20000),0)</f>
        <v>0</v>
      </c>
      <c r="AH135" s="5">
        <f>IF(M135&gt;0,R135*(-50000),0)</f>
        <v>0</v>
      </c>
      <c r="AI135" s="5">
        <f>IF(M135&gt;0,S135*10000,0)</f>
        <v>0</v>
      </c>
      <c r="AJ135" s="5">
        <f>IF(M135&gt;0,T135*(-8000),0)</f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2.140423422331811</v>
      </c>
      <c r="AM135" s="16">
        <f>INDEX('Team forecast'!$B$2:$AO$26,MATCH('Master data'!$B135,'Team forecast'!$B$2:$B$26,0),MATCH('Master data'!AM$1,'Team forecast'!$B$2:$AO$2,0))</f>
        <v>0.80291922538135296</v>
      </c>
      <c r="AN135" s="16">
        <f>INDEX('Team forecast'!$B$2:$AO$26,MATCH('Master data'!$B135,'Team forecast'!$B$2:$B$26,0),MATCH('Master data'!AN$1,'Team forecast'!$B$2:$AO$2,0))</f>
        <v>0.44801918430198229</v>
      </c>
      <c r="AO135" s="16">
        <f>INDEX('Team forecast'!$B$2:$AO$26,MATCH('Master data'!$B135,'Team forecast'!$B$2:$B$26,0),MATCH('Master data'!AO$1,'Team forecast'!$B$2:$AO$2,0))</f>
        <v>5.5998104670734943</v>
      </c>
      <c r="AP135" s="16">
        <f>INDEX('Team forecast'!$B$2:$AO$26,MATCH('Master data'!$B135,'Team forecast'!$B$2:$B$26,0),MATCH('Master data'!AP$1,'Team forecast'!$B$2:$AO$2,0))</f>
        <v>2.4374333627648213</v>
      </c>
      <c r="AQ135" s="5">
        <f>X135</f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>IF($C135="Defense",$N135*150000,IF($C135="Midfield",$N135*125000,IF($C135="Striker",$N135*100000,0)))*$AL135</f>
        <v>0</v>
      </c>
      <c r="AV135" s="5">
        <f>$O135*50000*AL135</f>
        <v>0</v>
      </c>
      <c r="AW135" s="5">
        <f>$P135*AO135*10000</f>
        <v>0</v>
      </c>
      <c r="AX135" s="5">
        <f>IF($C135="Goalkeeper",AN135*75000,IF($C135="Defense",AN135*50000,0))</f>
        <v>0</v>
      </c>
      <c r="AY135" s="5">
        <f>IF($C135="Goalkeeper",(AP135-AM135)*5000,0)</f>
        <v>0</v>
      </c>
      <c r="AZ135" s="5">
        <f>$AG135</f>
        <v>0</v>
      </c>
      <c r="BA135" s="5">
        <f>$AH135</f>
        <v>0</v>
      </c>
      <c r="BB135" s="5">
        <f>IF(X135&gt;0,AL135*10000,0)</f>
        <v>0</v>
      </c>
      <c r="BC135" s="5">
        <f>IF(X135&gt;0,AM135*(-8000),0)</f>
        <v>0</v>
      </c>
      <c r="BD135" s="5">
        <f>IFERROR(SUM(AQ135:BC135),0)</f>
        <v>-5000</v>
      </c>
      <c r="BE135" s="16">
        <f>INDEX('Team forecast'!$B$2:$AO$26,MATCH('Master data'!$B135,'Team forecast'!$B$2:$B$26,0),MATCH('Master data'!BE$1,'Team forecast'!$B$2:$AO$2,0))</f>
        <v>1.2965069481471114</v>
      </c>
      <c r="BF135" s="16">
        <f>INDEX('Team forecast'!$B$2:$AO$26,MATCH('Master data'!$B135,'Team forecast'!$B$2:$B$26,0),MATCH('Master data'!BF$1,'Team forecast'!$B$2:$AO$2,0))</f>
        <v>1.0107278258414167</v>
      </c>
      <c r="BG135" s="16">
        <f>INDEX('Team forecast'!$B$2:$AO$26,MATCH('Master data'!$B135,'Team forecast'!$B$2:$B$26,0),MATCH('Master data'!BG$1,'Team forecast'!$B$2:$AO$2,0))</f>
        <v>0.36395398803179979</v>
      </c>
      <c r="BH135" s="16">
        <f>INDEX('Team forecast'!$B$2:$AO$26,MATCH('Master data'!$B135,'Team forecast'!$B$2:$B$26,0),MATCH('Master data'!BH$1,'Team forecast'!$B$2:$AO$2,0))</f>
        <v>3.3919425021794698</v>
      </c>
      <c r="BI135" s="16">
        <f>INDEX('Team forecast'!$B$2:$AO$26,MATCH('Master data'!$B135,'Team forecast'!$B$2:$B$26,0),MATCH('Master data'!BI$1,'Team forecast'!$B$2:$AO$2,0))</f>
        <v>3.0682808998757292</v>
      </c>
      <c r="BJ135" s="5">
        <f>AQ135</f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>IF($C135="Defense",$N135*150000,IF($C135="Midfield",$N135*125000,IF($C135="Striker",$N135*100000,0)))*$BE135</f>
        <v>0</v>
      </c>
      <c r="BO135" s="5">
        <f>$O135*50000*$BE135</f>
        <v>0</v>
      </c>
      <c r="BP135" s="5">
        <f>$P135*BH135*10000</f>
        <v>0</v>
      </c>
      <c r="BQ135" s="5">
        <f>IF($C135="Goalkeeper",BG135*75000,IF($C135="Defense",BG135*50000,0))</f>
        <v>0</v>
      </c>
      <c r="BR135" s="5">
        <f>IF($C135="Goalkeeper",(BI135-BF135)*5000,0)</f>
        <v>0</v>
      </c>
      <c r="BS135" s="5">
        <f>$AG135</f>
        <v>0</v>
      </c>
      <c r="BT135" s="5">
        <f>$AH135</f>
        <v>0</v>
      </c>
      <c r="BU135" s="5">
        <f>IF(AQ135&gt;0,BE135*10000,0)</f>
        <v>0</v>
      </c>
      <c r="BV135" s="5">
        <f>IF(AQ135&gt;0,BF135*(-8000),0)</f>
        <v>0</v>
      </c>
      <c r="BW135" s="5">
        <f>IFERROR(SUM(BJ135:BV135),0)</f>
        <v>-5000</v>
      </c>
      <c r="BX135" s="5">
        <f>AVERAGE(AK135,BD135,BW135)</f>
        <v>-5000</v>
      </c>
      <c r="BY135" s="5">
        <f>BX135*3</f>
        <v>-15000</v>
      </c>
      <c r="BZ135" s="5">
        <f>INDEX('Team forecast'!$R$3:$BH$26,MATCH($B135,'Team forecast'!$B$3:$B$26,0),MATCH(BZ$1,'Team forecast'!$R$2:$BH$2,0))*($BX135-(BY135+CH135)*0.01)</f>
        <v>-35176.061765381608</v>
      </c>
      <c r="CA135" s="5">
        <f>INDEX('Team forecast'!$R$3:$BH$26,MATCH($B135,'Team forecast'!$B$3:$B$26,0),MATCH(CA$1,'Team forecast'!$R$2:$BH$2,0))*($BX135-(BY135+BX135+CH135)*0.01)</f>
        <v>-18259.375320369483</v>
      </c>
      <c r="CB135" s="5">
        <f>INDEX('Team forecast'!$R$3:$BH$26,MATCH($B135,'Team forecast'!$B$3:$B$26,0),MATCH(CB$1,'Team forecast'!$R$2:$BH$2,0))*($BX135-(BY135+BX135*2+CH135)*0.01)</f>
        <v>-9770.0216006076207</v>
      </c>
      <c r="CC135" s="5">
        <f>INDEX('Team forecast'!$R$3:$BH$26,MATCH($B135,'Team forecast'!$B$3:$B$26,0),MATCH(CC$1,'Team forecast'!$R$2:$BH$2,0))*($BX135-(BY135+BX135*3+CH135)*0.01)</f>
        <v>-5718.2922489717248</v>
      </c>
      <c r="CD135" s="5">
        <f>+AK135+BD135*Cockpit!$C$3+BW135*Cockpit!$C$3^2+BZ135*Cockpit!$C$3^3+CA135*Cockpit!$C$3^4+CB135*Cockpit!$C$3^5+CC135*Cockpit!$C$3^6</f>
        <v>-26373.487194853435</v>
      </c>
      <c r="CE135" s="5"/>
      <c r="CF135" s="5"/>
      <c r="CG135" s="5">
        <v>0</v>
      </c>
      <c r="CH135" s="5">
        <f t="shared" si="49"/>
        <v>3500000</v>
      </c>
      <c r="CI135" s="5">
        <f t="shared" si="50"/>
        <v>3500000</v>
      </c>
      <c r="CJ135" s="1">
        <f t="shared" si="51"/>
        <v>-4.2857142857142859E-3</v>
      </c>
      <c r="CK135" s="5">
        <f>RANK(BY135,$BY$2:$BY$623)+COUNTIF($BY$2:$BY135,$BY135)-1</f>
        <v>465</v>
      </c>
      <c r="CL135" s="5">
        <f>RANK(CJ135,$CJ$2:$CJ$623)+COUNTIF($CJ$2:$CJ135,$CJ135)-1</f>
        <v>463</v>
      </c>
    </row>
    <row r="136" spans="1:90">
      <c r="A136" t="str">
        <f>Players!P137</f>
        <v>Moussa Sissoko</v>
      </c>
      <c r="B136" t="str">
        <f>Players!G137</f>
        <v>France</v>
      </c>
      <c r="C136" t="str">
        <f>Players!AB137</f>
        <v>Midfield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3000000</v>
      </c>
      <c r="H136" s="16">
        <f>INDEX('Team forecast'!$B$2:$AO$26,MATCH('Master data'!$B136,'Team forecast'!$B$2:$B$26,0),MATCH('Master data'!H$1,'Team forecast'!$B$2:$AO$2,0))</f>
        <v>1.2386203137003762</v>
      </c>
      <c r="I136" s="16">
        <f>INDEX('Team forecast'!$B$2:$AO$26,MATCH('Master data'!$B136,'Team forecast'!$B$2:$B$26,0),MATCH('Master data'!I$1,'Team forecast'!$B$2:$AO$2,0))</f>
        <v>1.2386203137003762</v>
      </c>
      <c r="J136" s="16">
        <f>INDEX('Team forecast'!$B$2:$AO$26,MATCH('Master data'!$B136,'Team forecast'!$B$2:$B$26,0),MATCH('Master data'!J$1,'Team forecast'!$B$2:$AO$2,0))</f>
        <v>0.28978375293296982</v>
      </c>
      <c r="K136" s="16">
        <f>INDEX('Team forecast'!$B$2:$AO$26,MATCH('Master data'!$B136,'Team forecast'!$B$2:$B$26,0),MATCH('Master data'!K$1,'Team forecast'!$B$2:$AO$2,0))</f>
        <v>3.2404985504377408</v>
      </c>
      <c r="L136" s="16">
        <f>INDEX('Team forecast'!$B$2:$AO$26,MATCH('Master data'!$B136,'Team forecast'!$B$2:$B$26,0),MATCH('Master data'!L$1,'Team forecast'!$B$2:$AO$2,0))</f>
        <v>3.7600973808761418</v>
      </c>
      <c r="M136">
        <f>IF(Players!BC137=1,95,0)</f>
        <v>0</v>
      </c>
      <c r="N136" s="2">
        <f>Players!BN137</f>
        <v>0</v>
      </c>
      <c r="O136" s="2">
        <f>Players!BO137</f>
        <v>0</v>
      </c>
      <c r="P136" s="2">
        <f>Players!BP137</f>
        <v>0</v>
      </c>
      <c r="Q136" s="2">
        <f>Players!BQ137</f>
        <v>8.5605580215599233E-2</v>
      </c>
      <c r="R136" s="2">
        <f>Players!BR137</f>
        <v>0</v>
      </c>
      <c r="S136" s="2">
        <f>H136</f>
        <v>1.2386203137003762</v>
      </c>
      <c r="T136" s="2">
        <f>I136</f>
        <v>1.2386203137003762</v>
      </c>
      <c r="U136" s="16">
        <f>INDEX('Team forecast'!$B$2:$AO$26,MATCH('Master data'!$B136,'Team forecast'!$B$2:$B$26,0),MATCH('Master data'!U$1,'Team forecast'!$B$2:$AO$2,0))</f>
        <v>0.36933223413025562</v>
      </c>
      <c r="V136" s="16">
        <f>INDEX('Team forecast'!$B$2:$AO$26,MATCH('Master data'!$B136,'Team forecast'!$B$2:$B$26,0),MATCH('Master data'!V$1,'Team forecast'!$B$2:$AO$2,0))</f>
        <v>0.29431162407254741</v>
      </c>
      <c r="W136" s="16">
        <f>INDEX('Team forecast'!$B$2:$AO$26,MATCH('Master data'!$B136,'Team forecast'!$B$2:$B$26,0),MATCH('Master data'!W$1,'Team forecast'!$B$2:$AO$2,0))</f>
        <v>0.33635614179719708</v>
      </c>
      <c r="X136" s="5">
        <f>IF(M136&gt;95,7000*2,IF(M136&gt;0,7000,-5000))</f>
        <v>-5000</v>
      </c>
      <c r="Y136" s="5">
        <f>IF($X136&gt;0,U136*25000,0)</f>
        <v>0</v>
      </c>
      <c r="Z136" s="5">
        <f>IF($X136&gt;0,V136*5000,0)</f>
        <v>0</v>
      </c>
      <c r="AA136" s="5">
        <f>IF($X136&gt;0,W136*(-15000),0)</f>
        <v>0</v>
      </c>
      <c r="AB136" s="5">
        <f>IF($C136="Defense",$N136*150000,IF($C136="Midfield",$N136*125000,IF($C136="Striker",$N136*100000,0)))*$H136</f>
        <v>0</v>
      </c>
      <c r="AC136" s="5">
        <f>$O136*50000*H136</f>
        <v>0</v>
      </c>
      <c r="AD136" s="5">
        <f>$P136*K136*10000</f>
        <v>0</v>
      </c>
      <c r="AE136" s="5">
        <f>IF($C136="Goalkeeper",J136*75000,IF($C136="Defense",J136*50000,0))</f>
        <v>0</v>
      </c>
      <c r="AF136" s="5">
        <f>IF($C136="Goalkeeper",(L136-I136)*5000,0)</f>
        <v>0</v>
      </c>
      <c r="AG136" s="5">
        <f>IF(M136&gt;0,Q136*(-20000),0)</f>
        <v>0</v>
      </c>
      <c r="AH136" s="5">
        <f>IF(M136&gt;0,R136*(-50000),0)</f>
        <v>0</v>
      </c>
      <c r="AI136" s="5">
        <f>IF(M136&gt;0,S136*10000,0)</f>
        <v>0</v>
      </c>
      <c r="AJ136" s="5">
        <f>IF(M136&gt;0,T136*(-8000),0)</f>
        <v>0</v>
      </c>
      <c r="AK136" s="5">
        <f>IFERROR(SUM(X136:AJ136),-5000)*((Cockpit!$C$3)^0)</f>
        <v>-5000</v>
      </c>
      <c r="AL136" s="16">
        <f>INDEX('Team forecast'!$B$2:$AO$26,MATCH('Master data'!$B136,'Team forecast'!$B$2:$B$26,0),MATCH('Master data'!AL$1,'Team forecast'!$B$2:$AO$2,0))</f>
        <v>2.140423422331811</v>
      </c>
      <c r="AM136" s="16">
        <f>INDEX('Team forecast'!$B$2:$AO$26,MATCH('Master data'!$B136,'Team forecast'!$B$2:$B$26,0),MATCH('Master data'!AM$1,'Team forecast'!$B$2:$AO$2,0))</f>
        <v>0.80291922538135296</v>
      </c>
      <c r="AN136" s="16">
        <f>INDEX('Team forecast'!$B$2:$AO$26,MATCH('Master data'!$B136,'Team forecast'!$B$2:$B$26,0),MATCH('Master data'!AN$1,'Team forecast'!$B$2:$AO$2,0))</f>
        <v>0.44801918430198229</v>
      </c>
      <c r="AO136" s="16">
        <f>INDEX('Team forecast'!$B$2:$AO$26,MATCH('Master data'!$B136,'Team forecast'!$B$2:$B$26,0),MATCH('Master data'!AO$1,'Team forecast'!$B$2:$AO$2,0))</f>
        <v>5.5998104670734943</v>
      </c>
      <c r="AP136" s="16">
        <f>INDEX('Team forecast'!$B$2:$AO$26,MATCH('Master data'!$B136,'Team forecast'!$B$2:$B$26,0),MATCH('Master data'!AP$1,'Team forecast'!$B$2:$AO$2,0))</f>
        <v>2.4374333627648213</v>
      </c>
      <c r="AQ136" s="5">
        <f>X136</f>
        <v>-5000</v>
      </c>
      <c r="AR136" s="5">
        <f>INDEX('Team forecast'!$B$2:$AO$26,MATCH('Master data'!$B136,'Team forecast'!$B$2:$B$26,0),MATCH('Master data'!AR$1,'Team forecast'!$B$2:$AO$2,0))*IF(X136&gt;0,25000,0)</f>
        <v>0</v>
      </c>
      <c r="AS136" s="16">
        <f>INDEX('Team forecast'!$B$2:$AO$26,MATCH('Master data'!$B136,'Team forecast'!$B$2:$B$26,0),MATCH('Master data'!AS$1,'Team forecast'!$B$2:$AO$2,0))*IF(X136&gt;0,5000,0)</f>
        <v>0</v>
      </c>
      <c r="AT136" s="16">
        <f>INDEX('Team forecast'!$B$2:$AO$26,MATCH('Master data'!$B136,'Team forecast'!$B$2:$B$26,0),MATCH('Master data'!AT$1,'Team forecast'!$B$2:$AO$2,0))*IF(X136&gt;0,-15000,0)</f>
        <v>0</v>
      </c>
      <c r="AU136" s="5">
        <f>IF($C136="Defense",$N136*150000,IF($C136="Midfield",$N136*125000,IF($C136="Striker",$N136*100000,0)))*$AL136</f>
        <v>0</v>
      </c>
      <c r="AV136" s="5">
        <f>$O136*50000*AL136</f>
        <v>0</v>
      </c>
      <c r="AW136" s="5">
        <f>$P136*AO136*10000</f>
        <v>0</v>
      </c>
      <c r="AX136" s="5">
        <f>IF($C136="Goalkeeper",AN136*75000,IF($C136="Defense",AN136*50000,0))</f>
        <v>0</v>
      </c>
      <c r="AY136" s="5">
        <f>IF($C136="Goalkeeper",(AP136-AM136)*5000,0)</f>
        <v>0</v>
      </c>
      <c r="AZ136" s="5">
        <f>$AG136</f>
        <v>0</v>
      </c>
      <c r="BA136" s="5">
        <f>$AH136</f>
        <v>0</v>
      </c>
      <c r="BB136" s="5">
        <f>IF(X136&gt;0,AL136*10000,0)</f>
        <v>0</v>
      </c>
      <c r="BC136" s="5">
        <f>IF(X136&gt;0,AM136*(-8000),0)</f>
        <v>0</v>
      </c>
      <c r="BD136" s="5">
        <f>IFERROR(SUM(AQ136:BC136),0)</f>
        <v>-5000</v>
      </c>
      <c r="BE136" s="16">
        <f>INDEX('Team forecast'!$B$2:$AO$26,MATCH('Master data'!$B136,'Team forecast'!$B$2:$B$26,0),MATCH('Master data'!BE$1,'Team forecast'!$B$2:$AO$2,0))</f>
        <v>1.2965069481471114</v>
      </c>
      <c r="BF136" s="16">
        <f>INDEX('Team forecast'!$B$2:$AO$26,MATCH('Master data'!$B136,'Team forecast'!$B$2:$B$26,0),MATCH('Master data'!BF$1,'Team forecast'!$B$2:$AO$2,0))</f>
        <v>1.0107278258414167</v>
      </c>
      <c r="BG136" s="16">
        <f>INDEX('Team forecast'!$B$2:$AO$26,MATCH('Master data'!$B136,'Team forecast'!$B$2:$B$26,0),MATCH('Master data'!BG$1,'Team forecast'!$B$2:$AO$2,0))</f>
        <v>0.36395398803179979</v>
      </c>
      <c r="BH136" s="16">
        <f>INDEX('Team forecast'!$B$2:$AO$26,MATCH('Master data'!$B136,'Team forecast'!$B$2:$B$26,0),MATCH('Master data'!BH$1,'Team forecast'!$B$2:$AO$2,0))</f>
        <v>3.3919425021794698</v>
      </c>
      <c r="BI136" s="16">
        <f>INDEX('Team forecast'!$B$2:$AO$26,MATCH('Master data'!$B136,'Team forecast'!$B$2:$B$26,0),MATCH('Master data'!BI$1,'Team forecast'!$B$2:$AO$2,0))</f>
        <v>3.0682808998757292</v>
      </c>
      <c r="BJ136" s="5">
        <f>AQ136</f>
        <v>-5000</v>
      </c>
      <c r="BK136" s="5">
        <f>INDEX('Team forecast'!$R$3:$BH$26,MATCH($B136,'Team forecast'!$B$3:$B$26,0),MATCH(BK$1,'Team forecast'!$R$2:$BH$2,0))*IF($X136&gt;0,25000,0)</f>
        <v>0</v>
      </c>
      <c r="BL136" s="5">
        <f>INDEX('Team forecast'!$R$3:$BH$26,MATCH($B136,'Team forecast'!$B$3:$B$26,0),MATCH(BL$1,'Team forecast'!$R$2:$BH$2,0))*IF($X136&gt;0,5000,0)</f>
        <v>0</v>
      </c>
      <c r="BM136" s="5">
        <f>INDEX('Team forecast'!$R$3:$BH$26,MATCH($B136,'Team forecast'!$B$3:$B$26,0),MATCH(BM$1,'Team forecast'!$R$2:$BH$2,0))*IF($X136&gt;0,-15000,0)</f>
        <v>0</v>
      </c>
      <c r="BN136" s="5">
        <f>IF($C136="Defense",$N136*150000,IF($C136="Midfield",$N136*125000,IF($C136="Striker",$N136*100000,0)))*$BE136</f>
        <v>0</v>
      </c>
      <c r="BO136" s="5">
        <f>$O136*50000*$BE136</f>
        <v>0</v>
      </c>
      <c r="BP136" s="5">
        <f>$P136*BH136*10000</f>
        <v>0</v>
      </c>
      <c r="BQ136" s="5">
        <f>IF($C136="Goalkeeper",BG136*75000,IF($C136="Defense",BG136*50000,0))</f>
        <v>0</v>
      </c>
      <c r="BR136" s="5">
        <f>IF($C136="Goalkeeper",(BI136-BF136)*5000,0)</f>
        <v>0</v>
      </c>
      <c r="BS136" s="5">
        <f>$AG136</f>
        <v>0</v>
      </c>
      <c r="BT136" s="5">
        <f>$AH136</f>
        <v>0</v>
      </c>
      <c r="BU136" s="5">
        <f>IF(AQ136&gt;0,BE136*10000,0)</f>
        <v>0</v>
      </c>
      <c r="BV136" s="5">
        <f>IF(AQ136&gt;0,BF136*(-8000),0)</f>
        <v>0</v>
      </c>
      <c r="BW136" s="5">
        <f>IFERROR(SUM(BJ136:BV136),0)</f>
        <v>-5000</v>
      </c>
      <c r="BX136" s="5">
        <f>AVERAGE(AK136,BD136,BW136)</f>
        <v>-5000</v>
      </c>
      <c r="BY136" s="5">
        <f>BX136*3</f>
        <v>-15000</v>
      </c>
      <c r="BZ136" s="5">
        <f>INDEX('Team forecast'!$R$3:$BH$26,MATCH($B136,'Team forecast'!$B$3:$B$26,0),MATCH(BZ$1,'Team forecast'!$R$2:$BH$2,0))*($BX136-(BY136+CH136)*0.01)</f>
        <v>-30762.503200089061</v>
      </c>
      <c r="CA136" s="5">
        <f>INDEX('Team forecast'!$R$3:$BH$26,MATCH($B136,'Team forecast'!$B$3:$B$26,0),MATCH(CA$1,'Team forecast'!$R$2:$BH$2,0))*($BX136-(BY136+BX136+CH136)*0.01)</f>
        <v>-15965.483948463771</v>
      </c>
      <c r="CB136" s="5">
        <f>INDEX('Team forecast'!$R$3:$BH$26,MATCH($B136,'Team forecast'!$B$3:$B$26,0),MATCH(CB$1,'Team forecast'!$R$2:$BH$2,0))*($BX136-(BY136+BX136*2+CH136)*0.01)</f>
        <v>-8541.0880659399954</v>
      </c>
      <c r="CC136" s="5">
        <f>INDEX('Team forecast'!$R$3:$BH$26,MATCH($B136,'Team forecast'!$B$3:$B$26,0),MATCH(CC$1,'Team forecast'!$R$2:$BH$2,0))*($BX136-(BY136+BX136*3+CH136)*0.01)</f>
        <v>-4998.1043082951846</v>
      </c>
      <c r="CD136" s="5">
        <f>+AK136+BD136*Cockpit!$C$3+BW136*Cockpit!$C$3^2+BZ136*Cockpit!$C$3^3+CA136*Cockpit!$C$3^4+CB136*Cockpit!$C$3^5+CC136*Cockpit!$C$3^6</f>
        <v>-24387.590548503635</v>
      </c>
      <c r="CE136" s="5"/>
      <c r="CF136" s="5"/>
      <c r="CG136" s="5">
        <v>0</v>
      </c>
      <c r="CH136" s="5">
        <f t="shared" si="49"/>
        <v>3000000</v>
      </c>
      <c r="CI136" s="5">
        <f t="shared" si="50"/>
        <v>3000000</v>
      </c>
      <c r="CJ136" s="1">
        <f t="shared" si="51"/>
        <v>-5.0000000000000001E-3</v>
      </c>
      <c r="CK136" s="5">
        <f>RANK(BY136,$BY$2:$BY$623)+COUNTIF($BY$2:$BY136,$BY136)-1</f>
        <v>466</v>
      </c>
      <c r="CL136" s="5">
        <f>RANK(CJ136,$CJ$2:$CJ$623)+COUNTIF($CJ$2:$CJ136,$CJ136)-1</f>
        <v>490</v>
      </c>
    </row>
    <row r="137" spans="1:90">
      <c r="A137" t="str">
        <f>Players!P138</f>
        <v>Haris Seferovic</v>
      </c>
      <c r="B137" t="str">
        <f>Players!G138</f>
        <v>Switzerland</v>
      </c>
      <c r="C137" t="str">
        <f>Players!AB138</f>
        <v>Striker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1.162032718107336</v>
      </c>
      <c r="I137" s="16">
        <f>INDEX('Team forecast'!$B$2:$AO$26,MATCH('Master data'!$B137,'Team forecast'!$B$2:$B$26,0),MATCH('Master data'!I$1,'Team forecast'!$B$2:$AO$2,0))</f>
        <v>0.87435064565555498</v>
      </c>
      <c r="J137" s="16">
        <f>INDEX('Team forecast'!$B$2:$AO$26,MATCH('Master data'!$B137,'Team forecast'!$B$2:$B$26,0),MATCH('Master data'!J$1,'Team forecast'!$B$2:$AO$2,0))</f>
        <v>0.41713279874828868</v>
      </c>
      <c r="K137" s="16">
        <f>INDEX('Team forecast'!$B$2:$AO$26,MATCH('Master data'!$B137,'Team forecast'!$B$2:$B$26,0),MATCH('Master data'!K$1,'Team forecast'!$B$2:$AO$2,0))</f>
        <v>3.2487816133000873</v>
      </c>
      <c r="L137" s="16">
        <f>INDEX('Team forecast'!$B$2:$AO$26,MATCH('Master data'!$B137,'Team forecast'!$B$2:$B$26,0),MATCH('Master data'!L$1,'Team forecast'!$B$2:$AO$2,0))</f>
        <v>2.3631098531231216</v>
      </c>
      <c r="M137">
        <f>IF(Players!BC138=1,95,0)</f>
        <v>95</v>
      </c>
      <c r="N137" s="2">
        <f>Players!BN138</f>
        <v>0.17975200010912151</v>
      </c>
      <c r="O137" s="2">
        <f>Players!BO138</f>
        <v>0.14014727789908035</v>
      </c>
      <c r="P137" s="2">
        <f>Players!BP138</f>
        <v>0.17989694722610114</v>
      </c>
      <c r="Q137" s="2">
        <f>Players!BQ138</f>
        <v>5.859375E-2</v>
      </c>
      <c r="R137" s="2">
        <f>Players!BR138</f>
        <v>0</v>
      </c>
      <c r="S137" s="2">
        <f>H137</f>
        <v>1.162032718107336</v>
      </c>
      <c r="T137" s="2">
        <f>I137</f>
        <v>0.87435064565555498</v>
      </c>
      <c r="U137" s="16">
        <f>INDEX('Team forecast'!$B$2:$AO$26,MATCH('Master data'!$B137,'Team forecast'!$B$2:$B$26,0),MATCH('Master data'!U$1,'Team forecast'!$B$2:$AO$2,0))</f>
        <v>0.43653432427146488</v>
      </c>
      <c r="V137" s="16">
        <f>INDEX('Team forecast'!$B$2:$AO$26,MATCH('Master data'!$B137,'Team forecast'!$B$2:$B$26,0),MATCH('Master data'!V$1,'Team forecast'!$B$2:$AO$2,0))</f>
        <v>0.30275767651085472</v>
      </c>
      <c r="W137" s="16">
        <f>INDEX('Team forecast'!$B$2:$AO$26,MATCH('Master data'!$B137,'Team forecast'!$B$2:$B$26,0),MATCH('Master data'!W$1,'Team forecast'!$B$2:$AO$2,0))</f>
        <v>0.2607079992176804</v>
      </c>
      <c r="X137" s="5">
        <f>IF(M137&gt;95,7000*2,IF(M137&gt;0,7000,-5000))</f>
        <v>7000</v>
      </c>
      <c r="Y137" s="5">
        <f>IF($X137&gt;0,U137*25000,0)</f>
        <v>10913.358106786622</v>
      </c>
      <c r="Z137" s="5">
        <f>IF($X137&gt;0,V137*5000,0)</f>
        <v>1513.7883825542735</v>
      </c>
      <c r="AA137" s="5">
        <f>IF($X137&gt;0,W137*(-15000),0)</f>
        <v>-3910.6199882652058</v>
      </c>
      <c r="AB137" s="5">
        <f>IF($C137="Defense",$N137*150000,IF($C137="Midfield",$N137*125000,IF($C137="Striker",$N137*100000,0)))*$H137</f>
        <v>20887.770527203262</v>
      </c>
      <c r="AC137" s="5">
        <f>$O137*50000*H137</f>
        <v>8142.7861136206257</v>
      </c>
      <c r="AD137" s="5">
        <f>$P137*K137*10000</f>
        <v>5844.458944369735</v>
      </c>
      <c r="AE137" s="5">
        <f>IF($C137="Goalkeeper",J137*75000,IF($C137="Defense",J137*50000,0))</f>
        <v>0</v>
      </c>
      <c r="AF137" s="5">
        <f>IF($C137="Goalkeeper",(L137-I137)*5000,0)</f>
        <v>0</v>
      </c>
      <c r="AG137" s="5">
        <f>IF(M137&gt;0,Q137*(-20000),0)</f>
        <v>-1171.875</v>
      </c>
      <c r="AH137" s="5">
        <f>IF(M137&gt;0,R137*(-50000),0)</f>
        <v>0</v>
      </c>
      <c r="AI137" s="5">
        <f>IF(M137&gt;0,S137*10000,0)</f>
        <v>11620.32718107336</v>
      </c>
      <c r="AJ137" s="5">
        <f>IF(M137&gt;0,T137*(-8000),0)</f>
        <v>-6994.8051652444401</v>
      </c>
      <c r="AK137" s="5">
        <f>IFERROR(SUM(X137:AJ137),-5000)*((Cockpit!$C$3)^0)</f>
        <v>53845.189102098229</v>
      </c>
      <c r="AL137" s="16">
        <f>INDEX('Team forecast'!$B$2:$AO$26,MATCH('Master data'!$B137,'Team forecast'!$B$2:$B$26,0),MATCH('Master data'!AL$1,'Team forecast'!$B$2:$AO$2,0))</f>
        <v>0.79620558314709244</v>
      </c>
      <c r="AM137" s="16">
        <f>INDEX('Team forecast'!$B$2:$AO$26,MATCH('Master data'!$B137,'Team forecast'!$B$2:$B$26,0),MATCH('Master data'!AM$1,'Team forecast'!$B$2:$AO$2,0))</f>
        <v>1.5198357804321134</v>
      </c>
      <c r="AN137" s="16">
        <f>INDEX('Team forecast'!$B$2:$AO$26,MATCH('Master data'!$B137,'Team forecast'!$B$2:$B$26,0),MATCH('Master data'!AN$1,'Team forecast'!$B$2:$AO$2,0))</f>
        <v>0.21874780667306151</v>
      </c>
      <c r="AO137" s="16">
        <f>INDEX('Team forecast'!$B$2:$AO$26,MATCH('Master data'!$B137,'Team forecast'!$B$2:$B$26,0),MATCH('Master data'!AO$1,'Team forecast'!$B$2:$AO$2,0))</f>
        <v>2.2260113838689839</v>
      </c>
      <c r="AP137" s="16">
        <f>INDEX('Team forecast'!$B$2:$AO$26,MATCH('Master data'!$B137,'Team forecast'!$B$2:$B$26,0),MATCH('Master data'!AP$1,'Team forecast'!$B$2:$AO$2,0))</f>
        <v>4.1076642714381446</v>
      </c>
      <c r="AQ137" s="5">
        <f>X137</f>
        <v>7000</v>
      </c>
      <c r="AR137" s="5">
        <f>INDEX('Team forecast'!$B$2:$AO$26,MATCH('Master data'!$B137,'Team forecast'!$B$2:$B$26,0),MATCH('Master data'!AR$1,'Team forecast'!$B$2:$AO$2,0))*IF(X137&gt;0,25000,0)</f>
        <v>4305.3545586107102</v>
      </c>
      <c r="AS137" s="16">
        <f>INDEX('Team forecast'!$B$2:$AO$26,MATCH('Master data'!$B137,'Team forecast'!$B$2:$B$26,0),MATCH('Master data'!AS$1,'Team forecast'!$B$2:$AO$2,0))*IF(X137&gt;0,5000,0)</f>
        <v>1353.111432706223</v>
      </c>
      <c r="AT137" s="16">
        <f>INDEX('Team forecast'!$B$2:$AO$26,MATCH('Master data'!$B137,'Team forecast'!$B$2:$B$26,0),MATCH('Master data'!AT$1,'Team forecast'!$B$2:$AO$2,0))*IF(X137&gt;0,-15000,0)</f>
        <v>-8357.4529667149072</v>
      </c>
      <c r="AU137" s="5">
        <f>IF($C137="Defense",$N137*150000,IF($C137="Midfield",$N137*125000,IF($C137="Striker",$N137*100000,0)))*$AL137</f>
        <v>14311.954606873931</v>
      </c>
      <c r="AV137" s="5">
        <f>$O137*50000*AL137</f>
        <v>5579.3022563057448</v>
      </c>
      <c r="AW137" s="5">
        <f>$P137*AO137*10000</f>
        <v>4004.5265244857897</v>
      </c>
      <c r="AX137" s="5">
        <f>IF($C137="Goalkeeper",AN137*75000,IF($C137="Defense",AN137*50000,0))</f>
        <v>0</v>
      </c>
      <c r="AY137" s="5">
        <f>IF($C137="Goalkeeper",(AP137-AM137)*5000,0)</f>
        <v>0</v>
      </c>
      <c r="AZ137" s="5">
        <f>$AG137</f>
        <v>-1171.875</v>
      </c>
      <c r="BA137" s="5">
        <f>$AH137</f>
        <v>0</v>
      </c>
      <c r="BB137" s="5">
        <f>IF(X137&gt;0,AL137*10000,0)</f>
        <v>7962.0558314709242</v>
      </c>
      <c r="BC137" s="5">
        <f>IF(X137&gt;0,AM137*(-8000),0)</f>
        <v>-12158.686243456907</v>
      </c>
      <c r="BD137" s="5">
        <f>IFERROR(SUM(AQ137:BC137),0)</f>
        <v>22828.291000281512</v>
      </c>
      <c r="BE137" s="16">
        <f>INDEX('Team forecast'!$B$2:$AO$26,MATCH('Master data'!$B137,'Team forecast'!$B$2:$B$26,0),MATCH('Master data'!BE$1,'Team forecast'!$B$2:$AO$2,0))</f>
        <v>1.3677883945550393</v>
      </c>
      <c r="BF137" s="16">
        <f>INDEX('Team forecast'!$B$2:$AO$26,MATCH('Master data'!$B137,'Team forecast'!$B$2:$B$26,0),MATCH('Master data'!BF$1,'Team forecast'!$B$2:$AO$2,0))</f>
        <v>1.2246875509143662</v>
      </c>
      <c r="BG137" s="16">
        <f>INDEX('Team forecast'!$B$2:$AO$26,MATCH('Master data'!$B137,'Team forecast'!$B$2:$B$26,0),MATCH('Master data'!BG$1,'Team forecast'!$B$2:$AO$2,0))</f>
        <v>0.29384949898885449</v>
      </c>
      <c r="BH137" s="16">
        <f>INDEX('Team forecast'!$B$2:$AO$26,MATCH('Master data'!$B137,'Team forecast'!$B$2:$B$26,0),MATCH('Master data'!BH$1,'Team forecast'!$B$2:$AO$2,0))</f>
        <v>3.8240281171714834</v>
      </c>
      <c r="BI137" s="16">
        <f>INDEX('Team forecast'!$B$2:$AO$26,MATCH('Master data'!$B137,'Team forecast'!$B$2:$B$26,0),MATCH('Master data'!BI$1,'Team forecast'!$B$2:$AO$2,0))</f>
        <v>3.3099663538226114</v>
      </c>
      <c r="BJ137" s="5">
        <f>AQ137</f>
        <v>7000</v>
      </c>
      <c r="BK137" s="5">
        <f>INDEX('Team forecast'!$R$3:$BH$26,MATCH($B137,'Team forecast'!$B$3:$B$26,0),MATCH(BK$1,'Team forecast'!$R$2:$BH$2,0))*IF($X137&gt;0,25000,0)</f>
        <v>9745.0088950385434</v>
      </c>
      <c r="BL137" s="5">
        <f>INDEX('Team forecast'!$R$3:$BH$26,MATCH($B137,'Team forecast'!$B$3:$B$26,0),MATCH(BL$1,'Team forecast'!$R$2:$BH$2,0))*IF($X137&gt;0,5000,0)</f>
        <v>1404.4277525202608</v>
      </c>
      <c r="BM137" s="5">
        <f>INDEX('Team forecast'!$R$3:$BH$26,MATCH($B137,'Team forecast'!$B$3:$B$26,0),MATCH(BM$1,'Team forecast'!$R$2:$BH$2,0))*IF($X137&gt;0,-15000,0)</f>
        <v>-4939.7114054160902</v>
      </c>
      <c r="BN137" s="5">
        <f>IF($C137="Defense",$N137*150000,IF($C137="Midfield",$N137*125000,IF($C137="Striker",$N137*100000,0)))*$BE137</f>
        <v>24586.269964731255</v>
      </c>
      <c r="BO137" s="5">
        <f>$O137*50000*$BE137</f>
        <v>9584.5910119421023</v>
      </c>
      <c r="BP137" s="5">
        <f>$P137*BH137*10000</f>
        <v>6879.3098438592524</v>
      </c>
      <c r="BQ137" s="5">
        <f>IF($C137="Goalkeeper",BG137*75000,IF($C137="Defense",BG137*50000,0))</f>
        <v>0</v>
      </c>
      <c r="BR137" s="5">
        <f>IF($C137="Goalkeeper",(BI137-BF137)*5000,0)</f>
        <v>0</v>
      </c>
      <c r="BS137" s="5">
        <f>$AG137</f>
        <v>-1171.875</v>
      </c>
      <c r="BT137" s="5">
        <f>$AH137</f>
        <v>0</v>
      </c>
      <c r="BU137" s="5">
        <f>IF(AQ137&gt;0,BE137*10000,0)</f>
        <v>13677.883945550393</v>
      </c>
      <c r="BV137" s="5">
        <f>IF(AQ137&gt;0,BF137*(-8000),0)</f>
        <v>-9797.5004073149303</v>
      </c>
      <c r="BW137" s="5">
        <f>IFERROR(SUM(BJ137:BV137),0)</f>
        <v>56968.404600910784</v>
      </c>
      <c r="BX137" s="5">
        <f>AVERAGE(AK137,BD137,BW137)</f>
        <v>44547.294901096844</v>
      </c>
      <c r="BY137" s="5">
        <f>BX137*3</f>
        <v>133641.88470329053</v>
      </c>
      <c r="BZ137" s="5">
        <f>INDEX('Team forecast'!$R$3:$BH$26,MATCH($B137,'Team forecast'!$B$3:$B$26,0),MATCH(BZ$1,'Team forecast'!$R$2:$BH$2,0))*($BX137-(BY137+CH137)*0.01)</f>
        <v>2049.9494260481265</v>
      </c>
      <c r="CA137" s="5">
        <f>INDEX('Team forecast'!$R$3:$BH$26,MATCH($B137,'Team forecast'!$B$3:$B$26,0),MATCH(CA$1,'Team forecast'!$R$2:$BH$2,0))*($BX137-(BY137+BX137+CH137)*0.01)</f>
        <v>870.34970712942743</v>
      </c>
      <c r="CB137" s="5">
        <f>INDEX('Team forecast'!$R$3:$BH$26,MATCH($B137,'Team forecast'!$B$3:$B$26,0),MATCH(CB$1,'Team forecast'!$R$2:$BH$2,0))*($BX137-(BY137+BX137*2+CH137)*0.01)</f>
        <v>355.2660477998524</v>
      </c>
      <c r="CC137" s="5">
        <f>INDEX('Team forecast'!$R$3:$BH$26,MATCH($B137,'Team forecast'!$B$3:$B$26,0),MATCH(CC$1,'Team forecast'!$R$2:$BH$2,0))*($BX137-(BY137+BX137*3+CH137)*0.01)</f>
        <v>133.30590048268525</v>
      </c>
      <c r="CD137" s="5">
        <f>+AK137+BD137*Cockpit!$C$3+BW137*Cockpit!$C$3^2+BZ137*Cockpit!$C$3^3+CA137*Cockpit!$C$3^4+CB137*Cockpit!$C$3^5+CC137*Cockpit!$C$3^6</f>
        <v>95221.141185643661</v>
      </c>
      <c r="CE137" s="5"/>
      <c r="CF137" s="5"/>
      <c r="CG137" s="5">
        <v>0</v>
      </c>
      <c r="CH137" s="5">
        <f t="shared" si="49"/>
        <v>4000000</v>
      </c>
      <c r="CI137" s="5">
        <f t="shared" si="50"/>
        <v>4000000</v>
      </c>
      <c r="CJ137" s="1">
        <f t="shared" si="51"/>
        <v>3.3410471175822631E-2</v>
      </c>
      <c r="CK137" s="5">
        <f>RANK(BY137,$BY$2:$BY$623)+COUNTIF($BY$2:$BY137,$BY137)-1</f>
        <v>112</v>
      </c>
      <c r="CL137" s="5">
        <f>RANK(CJ137,$CJ$2:$CJ$623)+COUNTIF($CJ$2:$CJ137,$CJ137)-1</f>
        <v>117</v>
      </c>
    </row>
    <row r="138" spans="1:90">
      <c r="A138" t="str">
        <f>Players!P139</f>
        <v>Pierre-Emile Höjbjerg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1.6608440904336361</v>
      </c>
      <c r="I138" s="16">
        <f>INDEX('Team forecast'!$B$2:$AO$26,MATCH('Master data'!$B138,'Team forecast'!$B$2:$B$26,0),MATCH('Master data'!I$1,'Team forecast'!$B$2:$AO$2,0))</f>
        <v>0.59952758650922311</v>
      </c>
      <c r="J138" s="16">
        <f>INDEX('Team forecast'!$B$2:$AO$26,MATCH('Master data'!$B138,'Team forecast'!$B$2:$B$26,0),MATCH('Master data'!J$1,'Team forecast'!$B$2:$AO$2,0))</f>
        <v>0.54907096336484029</v>
      </c>
      <c r="K138" s="16">
        <f>INDEX('Team forecast'!$B$2:$AO$26,MATCH('Master data'!$B138,'Team forecast'!$B$2:$B$26,0),MATCH('Master data'!K$1,'Team forecast'!$B$2:$AO$2,0))</f>
        <v>4.1898566826848551</v>
      </c>
      <c r="L138" s="16">
        <f>INDEX('Team forecast'!$B$2:$AO$26,MATCH('Master data'!$B138,'Team forecast'!$B$2:$B$26,0),MATCH('Master data'!L$1,'Team forecast'!$B$2:$AO$2,0))</f>
        <v>1.7709122555349361</v>
      </c>
      <c r="M138">
        <f>IF(Players!BC139=1,95,0)</f>
        <v>95</v>
      </c>
      <c r="N138" s="2">
        <f>Players!BN139</f>
        <v>6.8993530447228432E-2</v>
      </c>
      <c r="O138" s="2">
        <f>Players!BO139</f>
        <v>6.5679484245852141E-2</v>
      </c>
      <c r="P138" s="2">
        <f>Players!BP139</f>
        <v>4.1543589425053117E-2</v>
      </c>
      <c r="Q138" s="2">
        <f>Players!BQ139</f>
        <v>0.11842105263157894</v>
      </c>
      <c r="R138" s="2">
        <f>Players!BR139</f>
        <v>0</v>
      </c>
      <c r="S138" s="2">
        <f>H138</f>
        <v>1.6608440904336361</v>
      </c>
      <c r="T138" s="2">
        <f>I138</f>
        <v>0.59952758650922311</v>
      </c>
      <c r="U138" s="16">
        <f>INDEX('Team forecast'!$B$2:$AO$26,MATCH('Master data'!$B138,'Team forecast'!$B$2:$B$26,0),MATCH('Master data'!U$1,'Team forecast'!$B$2:$AO$2,0))</f>
        <v>0.65509845973874048</v>
      </c>
      <c r="V138" s="16">
        <f>INDEX('Team forecast'!$B$2:$AO$26,MATCH('Master data'!$B138,'Team forecast'!$B$2:$B$26,0),MATCH('Master data'!V$1,'Team forecast'!$B$2:$AO$2,0))</f>
        <v>0.22616494443361279</v>
      </c>
      <c r="W138" s="16">
        <f>INDEX('Team forecast'!$B$2:$AO$26,MATCH('Master data'!$B138,'Team forecast'!$B$2:$B$26,0),MATCH('Master data'!W$1,'Team forecast'!$B$2:$AO$2,0))</f>
        <v>0.1187365958276467</v>
      </c>
      <c r="X138" s="5">
        <f>IF(M138&gt;95,7000*2,IF(M138&gt;0,7000,-5000))</f>
        <v>7000</v>
      </c>
      <c r="Y138" s="5">
        <f>IF($X138&gt;0,U138*25000,0)</f>
        <v>16377.461493468512</v>
      </c>
      <c r="Z138" s="5">
        <f>IF($X138&gt;0,V138*5000,0)</f>
        <v>1130.824722168064</v>
      </c>
      <c r="AA138" s="5">
        <f>IF($X138&gt;0,W138*(-15000),0)</f>
        <v>-1781.0489374147005</v>
      </c>
      <c r="AB138" s="5">
        <f>IF($C138="Defense",$N138*150000,IF($C138="Midfield",$N138*125000,IF($C138="Striker",$N138*100000,0)))*$H138</f>
        <v>14323.437165179061</v>
      </c>
      <c r="AC138" s="5">
        <f>$O138*50000*H138</f>
        <v>5454.1691636226315</v>
      </c>
      <c r="AD138" s="5">
        <f>$P138*K138*10000</f>
        <v>1740.6168577527467</v>
      </c>
      <c r="AE138" s="5">
        <f>IF($C138="Goalkeeper",J138*75000,IF($C138="Defense",J138*50000,0))</f>
        <v>0</v>
      </c>
      <c r="AF138" s="5">
        <f>IF($C138="Goalkeeper",(L138-I138)*5000,0)</f>
        <v>0</v>
      </c>
      <c r="AG138" s="5">
        <f>IF(M138&gt;0,Q138*(-20000),0)</f>
        <v>-2368.4210526315787</v>
      </c>
      <c r="AH138" s="5">
        <f>IF(M138&gt;0,R138*(-50000),0)</f>
        <v>0</v>
      </c>
      <c r="AI138" s="5">
        <f>IF(M138&gt;0,S138*10000,0)</f>
        <v>16608.440904336363</v>
      </c>
      <c r="AJ138" s="5">
        <f>IF(M138&gt;0,T138*(-8000),0)</f>
        <v>-4796.2206920737844</v>
      </c>
      <c r="AK138" s="5">
        <f>IFERROR(SUM(X138:AJ138),-5000)*((Cockpit!$C$3)^0)</f>
        <v>53689.259624407321</v>
      </c>
      <c r="AL138" s="16">
        <f>INDEX('Team forecast'!$B$2:$AO$26,MATCH('Master data'!$B138,'Team forecast'!$B$2:$B$26,0),MATCH('Master data'!AL$1,'Team forecast'!$B$2:$AO$2,0))</f>
        <v>1.1610121970988967</v>
      </c>
      <c r="AM138" s="16">
        <f>INDEX('Team forecast'!$B$2:$AO$26,MATCH('Master data'!$B138,'Team forecast'!$B$2:$B$26,0),MATCH('Master data'!AM$1,'Team forecast'!$B$2:$AO$2,0))</f>
        <v>1.5279674504451852</v>
      </c>
      <c r="AN138" s="16">
        <f>INDEX('Team forecast'!$B$2:$AO$26,MATCH('Master data'!$B138,'Team forecast'!$B$2:$B$26,0),MATCH('Master data'!AN$1,'Team forecast'!$B$2:$AO$2,0))</f>
        <v>0.21697623437572761</v>
      </c>
      <c r="AO138" s="16">
        <f>INDEX('Team forecast'!$B$2:$AO$26,MATCH('Master data'!$B138,'Team forecast'!$B$2:$B$26,0),MATCH('Master data'!AO$1,'Team forecast'!$B$2:$AO$2,0))</f>
        <v>2.9289171335903985</v>
      </c>
      <c r="AP138" s="16">
        <f>INDEX('Team forecast'!$B$2:$AO$26,MATCH('Master data'!$B138,'Team forecast'!$B$2:$B$26,0),MATCH('Master data'!AP$1,'Team forecast'!$B$2:$AO$2,0))</f>
        <v>4.5133807766996243</v>
      </c>
      <c r="AQ138" s="5">
        <f>X138</f>
        <v>7000</v>
      </c>
      <c r="AR138" s="5">
        <f>INDEX('Team forecast'!$B$2:$AO$26,MATCH('Master data'!$B138,'Team forecast'!$B$2:$B$26,0),MATCH('Master data'!AR$1,'Team forecast'!$B$2:$AO$2,0))*IF(X138&gt;0,25000,0)</f>
        <v>6348.0209111277081</v>
      </c>
      <c r="AS138" s="16">
        <f>INDEX('Team forecast'!$B$2:$AO$26,MATCH('Master data'!$B138,'Team forecast'!$B$2:$B$26,0),MATCH('Master data'!AS$1,'Team forecast'!$B$2:$AO$2,0))*IF(X138&gt;0,5000,0)</f>
        <v>1381.628080657207</v>
      </c>
      <c r="AT138" s="16">
        <f>INDEX('Team forecast'!$B$2:$AO$26,MATCH('Master data'!$B138,'Team forecast'!$B$2:$B$26,0),MATCH('Master data'!AT$1,'Team forecast'!$B$2:$AO$2,0))*IF(X138&gt;0,-15000,0)</f>
        <v>-7046.3032113517547</v>
      </c>
      <c r="AU138" s="5">
        <f>IF($C138="Defense",$N138*150000,IF($C138="Midfield",$N138*125000,IF($C138="Striker",$N138*100000,0)))*$AL138</f>
        <v>10012.791296268288</v>
      </c>
      <c r="AV138" s="5">
        <f>$O138*50000*AL138</f>
        <v>3812.7341154299579</v>
      </c>
      <c r="AW138" s="5">
        <f>$P138*AO138*10000</f>
        <v>1216.7773085788297</v>
      </c>
      <c r="AX138" s="5">
        <f>IF($C138="Goalkeeper",AN138*75000,IF($C138="Defense",AN138*50000,0))</f>
        <v>0</v>
      </c>
      <c r="AY138" s="5">
        <f>IF($C138="Goalkeeper",(AP138-AM138)*5000,0)</f>
        <v>0</v>
      </c>
      <c r="AZ138" s="5">
        <f>$AG138</f>
        <v>-2368.4210526315787</v>
      </c>
      <c r="BA138" s="5">
        <f>$AH138</f>
        <v>0</v>
      </c>
      <c r="BB138" s="5">
        <f>IF(X138&gt;0,AL138*10000,0)</f>
        <v>11610.121970988966</v>
      </c>
      <c r="BC138" s="5">
        <f>IF(X138&gt;0,AM138*(-8000),0)</f>
        <v>-12223.739603561482</v>
      </c>
      <c r="BD138" s="5">
        <f>IFERROR(SUM(AQ138:BC138),0)</f>
        <v>19743.609815506134</v>
      </c>
      <c r="BE138" s="16">
        <f>INDEX('Team forecast'!$B$2:$AO$26,MATCH('Master data'!$B138,'Team forecast'!$B$2:$B$26,0),MATCH('Master data'!BE$1,'Team forecast'!$B$2:$AO$2,0))</f>
        <v>1.5053002864585165</v>
      </c>
      <c r="BF138" s="16">
        <f>INDEX('Team forecast'!$B$2:$AO$26,MATCH('Master data'!$B138,'Team forecast'!$B$2:$B$26,0),MATCH('Master data'!BF$1,'Team forecast'!$B$2:$AO$2,0))</f>
        <v>0.95602347631827322</v>
      </c>
      <c r="BG138" s="16">
        <f>INDEX('Team forecast'!$B$2:$AO$26,MATCH('Master data'!$B138,'Team forecast'!$B$2:$B$26,0),MATCH('Master data'!BG$1,'Team forecast'!$B$2:$AO$2,0))</f>
        <v>0.38441849991338989</v>
      </c>
      <c r="BH138" s="16">
        <f>INDEX('Team forecast'!$B$2:$AO$26,MATCH('Master data'!$B138,'Team forecast'!$B$2:$B$26,0),MATCH('Master data'!BH$1,'Team forecast'!$B$2:$AO$2,0))</f>
        <v>3.7974620862930761</v>
      </c>
      <c r="BI138" s="16">
        <f>INDEX('Team forecast'!$B$2:$AO$26,MATCH('Master data'!$B138,'Team forecast'!$B$2:$B$26,0),MATCH('Master data'!BI$1,'Team forecast'!$B$2:$AO$2,0))</f>
        <v>2.8239462685093613</v>
      </c>
      <c r="BJ138" s="5">
        <f>AQ138</f>
        <v>7000</v>
      </c>
      <c r="BK138" s="5">
        <f>INDEX('Team forecast'!$R$3:$BH$26,MATCH($B138,'Team forecast'!$B$3:$B$26,0),MATCH(BK$1,'Team forecast'!$R$2:$BH$2,0))*IF($X138&gt;0,25000,0)</f>
        <v>12073.445349038628</v>
      </c>
      <c r="BL138" s="5">
        <f>INDEX('Team forecast'!$R$3:$BH$26,MATCH($B138,'Team forecast'!$B$3:$B$26,0),MATCH(BL$1,'Team forecast'!$R$2:$BH$2,0))*IF($X138&gt;0,5000,0)</f>
        <v>1413.30330850511</v>
      </c>
      <c r="BM138" s="5">
        <f>INDEX('Team forecast'!$R$3:$BH$26,MATCH($B138,'Team forecast'!$B$3:$B$26,0),MATCH(BM$1,'Team forecast'!$R$2:$BH$2,0))*IF($X138&gt;0,-15000,0)</f>
        <v>-3516.0228650614931</v>
      </c>
      <c r="BN138" s="5">
        <f>IF($C138="Defense",$N138*150000,IF($C138="Midfield",$N138*125000,IF($C138="Striker",$N138*100000,0)))*$BE138</f>
        <v>12981.997643249668</v>
      </c>
      <c r="BO138" s="5">
        <f>$O138*50000*$BE138</f>
        <v>4943.3673224864424</v>
      </c>
      <c r="BP138" s="5">
        <f>$P138*BH138*10000</f>
        <v>1577.602057701652</v>
      </c>
      <c r="BQ138" s="5">
        <f>IF($C138="Goalkeeper",BG138*75000,IF($C138="Defense",BG138*50000,0))</f>
        <v>0</v>
      </c>
      <c r="BR138" s="5">
        <f>IF($C138="Goalkeeper",(BI138-BF138)*5000,0)</f>
        <v>0</v>
      </c>
      <c r="BS138" s="5">
        <f>$AG138</f>
        <v>-2368.4210526315787</v>
      </c>
      <c r="BT138" s="5">
        <f>$AH138</f>
        <v>0</v>
      </c>
      <c r="BU138" s="5">
        <f>IF(AQ138&gt;0,BE138*10000,0)</f>
        <v>15053.002864585165</v>
      </c>
      <c r="BV138" s="5">
        <f>IF(AQ138&gt;0,BF138*(-8000),0)</f>
        <v>-7648.1878105461856</v>
      </c>
      <c r="BW138" s="5">
        <f>IFERROR(SUM(BJ138:BV138),0)</f>
        <v>41510.086817327407</v>
      </c>
      <c r="BX138" s="5">
        <f>AVERAGE(AK138,BD138,BW138)</f>
        <v>38314.318752413623</v>
      </c>
      <c r="BY138" s="5">
        <f>BX138*3</f>
        <v>114942.95625724088</v>
      </c>
      <c r="BZ138" s="5">
        <f>INDEX('Team forecast'!$R$3:$BH$26,MATCH($B138,'Team forecast'!$B$3:$B$26,0),MATCH(BZ$1,'Team forecast'!$R$2:$BH$2,0))*($BX138-(BY138+CH138)*0.01)</f>
        <v>-2302.3786783502865</v>
      </c>
      <c r="CA138" s="5">
        <f>INDEX('Team forecast'!$R$3:$BH$26,MATCH($B138,'Team forecast'!$B$3:$B$26,0),MATCH(CA$1,'Team forecast'!$R$2:$BH$2,0))*($BX138-(BY138+BX138+CH138)*0.01)</f>
        <v>-1297.1064690093976</v>
      </c>
      <c r="CB138" s="5">
        <f>INDEX('Team forecast'!$R$3:$BH$26,MATCH($B138,'Team forecast'!$B$3:$B$26,0),MATCH(CB$1,'Team forecast'!$R$2:$BH$2,0))*($BX138-(BY138+BX138*2+CH138)*0.01)</f>
        <v>-715.59434495079324</v>
      </c>
      <c r="CC138" s="5">
        <f>INDEX('Team forecast'!$R$3:$BH$26,MATCH($B138,'Team forecast'!$B$3:$B$26,0),MATCH(CC$1,'Team forecast'!$R$2:$BH$2,0))*($BX138-(BY138+BX138*3+CH138)*0.01)</f>
        <v>-381.35148858933212</v>
      </c>
      <c r="CD138" s="5">
        <f>+AK138+BD138*Cockpit!$C$3+BW138*Cockpit!$C$3^2+BZ138*Cockpit!$C$3^3+CA138*Cockpit!$C$3^4+CB138*Cockpit!$C$3^5+CC138*Cockpit!$C$3^6</f>
        <v>84234.474741971193</v>
      </c>
      <c r="CE138" s="5"/>
      <c r="CF138" s="5"/>
      <c r="CG138" s="5">
        <v>0</v>
      </c>
      <c r="CH138" s="5">
        <f t="shared" si="49"/>
        <v>4000000</v>
      </c>
      <c r="CI138" s="5">
        <f t="shared" si="50"/>
        <v>4000000</v>
      </c>
      <c r="CJ138" s="1">
        <f t="shared" si="51"/>
        <v>2.873573906431022E-2</v>
      </c>
      <c r="CK138" s="5">
        <f>RANK(BY138,$BY$2:$BY$623)+COUNTIF($BY$2:$BY138,$BY138)-1</f>
        <v>143</v>
      </c>
      <c r="CL138" s="5">
        <f>RANK(CJ138,$CJ$2:$CJ$623)+COUNTIF($CJ$2:$CJ138,$CJ138)-1</f>
        <v>157</v>
      </c>
    </row>
    <row r="139" spans="1:90">
      <c r="A139" t="str">
        <f>Players!P140</f>
        <v>Thomas Delaney</v>
      </c>
      <c r="B139" t="str">
        <f>Players!G140</f>
        <v>Denmark</v>
      </c>
      <c r="C139" t="str">
        <f>Players!AB140</f>
        <v>Midfield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4000000</v>
      </c>
      <c r="H139" s="16">
        <f>INDEX('Team forecast'!$B$2:$AO$26,MATCH('Master data'!$B139,'Team forecast'!$B$2:$B$26,0),MATCH('Master data'!H$1,'Team forecast'!$B$2:$AO$2,0))</f>
        <v>1.6608440904336361</v>
      </c>
      <c r="I139" s="16">
        <f>INDEX('Team forecast'!$B$2:$AO$26,MATCH('Master data'!$B139,'Team forecast'!$B$2:$B$26,0),MATCH('Master data'!I$1,'Team forecast'!$B$2:$AO$2,0))</f>
        <v>0.59952758650922311</v>
      </c>
      <c r="J139" s="16">
        <f>INDEX('Team forecast'!$B$2:$AO$26,MATCH('Master data'!$B139,'Team forecast'!$B$2:$B$26,0),MATCH('Master data'!J$1,'Team forecast'!$B$2:$AO$2,0))</f>
        <v>0.54907096336484029</v>
      </c>
      <c r="K139" s="16">
        <f>INDEX('Team forecast'!$B$2:$AO$26,MATCH('Master data'!$B139,'Team forecast'!$B$2:$B$26,0),MATCH('Master data'!K$1,'Team forecast'!$B$2:$AO$2,0))</f>
        <v>4.1898566826848551</v>
      </c>
      <c r="L139" s="16">
        <f>INDEX('Team forecast'!$B$2:$AO$26,MATCH('Master data'!$B139,'Team forecast'!$B$2:$B$26,0),MATCH('Master data'!L$1,'Team forecast'!$B$2:$AO$2,0))</f>
        <v>1.7709122555349361</v>
      </c>
      <c r="M139">
        <f>IF(Players!BC140=1,95,0)</f>
        <v>95</v>
      </c>
      <c r="N139" s="2">
        <f>Players!BN140</f>
        <v>7.3317203798797137E-2</v>
      </c>
      <c r="O139" s="2">
        <f>Players!BO140</f>
        <v>5.1309502519692393E-2</v>
      </c>
      <c r="P139" s="2">
        <f>Players!BP140</f>
        <v>4.7312379564995559E-2</v>
      </c>
      <c r="Q139" s="2">
        <f>Players!BQ140</f>
        <v>0.20979020979020979</v>
      </c>
      <c r="R139" s="2">
        <f>Players!BR140</f>
        <v>0</v>
      </c>
      <c r="S139" s="2">
        <f>H139</f>
        <v>1.6608440904336361</v>
      </c>
      <c r="T139" s="2">
        <f>I139</f>
        <v>0.59952758650922311</v>
      </c>
      <c r="U139" s="16">
        <f>INDEX('Team forecast'!$B$2:$AO$26,MATCH('Master data'!$B139,'Team forecast'!$B$2:$B$26,0),MATCH('Master data'!U$1,'Team forecast'!$B$2:$AO$2,0))</f>
        <v>0.65509845973874048</v>
      </c>
      <c r="V139" s="16">
        <f>INDEX('Team forecast'!$B$2:$AO$26,MATCH('Master data'!$B139,'Team forecast'!$B$2:$B$26,0),MATCH('Master data'!V$1,'Team forecast'!$B$2:$AO$2,0))</f>
        <v>0.22616494443361279</v>
      </c>
      <c r="W139" s="16">
        <f>INDEX('Team forecast'!$B$2:$AO$26,MATCH('Master data'!$B139,'Team forecast'!$B$2:$B$26,0),MATCH('Master data'!W$1,'Team forecast'!$B$2:$AO$2,0))</f>
        <v>0.1187365958276467</v>
      </c>
      <c r="X139" s="5">
        <f>IF(M139&gt;95,7000*2,IF(M139&gt;0,7000,-5000))</f>
        <v>7000</v>
      </c>
      <c r="Y139" s="5">
        <f>IF($X139&gt;0,U139*25000,0)</f>
        <v>16377.461493468512</v>
      </c>
      <c r="Z139" s="5">
        <f>IF($X139&gt;0,V139*5000,0)</f>
        <v>1130.824722168064</v>
      </c>
      <c r="AA139" s="5">
        <f>IF($X139&gt;0,W139*(-15000),0)</f>
        <v>-1781.0489374147005</v>
      </c>
      <c r="AB139" s="5">
        <f>IF($C139="Defense",$N139*150000,IF($C139="Midfield",$N139*125000,IF($C139="Striker",$N139*100000,0)))*$H139</f>
        <v>15221.055582043846</v>
      </c>
      <c r="AC139" s="5">
        <f>$O139*50000*H139</f>
        <v>4260.8542021460444</v>
      </c>
      <c r="AD139" s="5">
        <f>$P139*K139*10000</f>
        <v>1982.3208969411901</v>
      </c>
      <c r="AE139" s="5">
        <f>IF($C139="Goalkeeper",J139*75000,IF($C139="Defense",J139*50000,0))</f>
        <v>0</v>
      </c>
      <c r="AF139" s="5">
        <f>IF($C139="Goalkeeper",(L139-I139)*5000,0)</f>
        <v>0</v>
      </c>
      <c r="AG139" s="5">
        <f>IF(M139&gt;0,Q139*(-20000),0)</f>
        <v>-4195.8041958041958</v>
      </c>
      <c r="AH139" s="5">
        <f>IF(M139&gt;0,R139*(-50000),0)</f>
        <v>0</v>
      </c>
      <c r="AI139" s="5">
        <f>IF(M139&gt;0,S139*10000,0)</f>
        <v>16608.440904336363</v>
      </c>
      <c r="AJ139" s="5">
        <f>IF(M139&gt;0,T139*(-8000),0)</f>
        <v>-4796.2206920737844</v>
      </c>
      <c r="AK139" s="5">
        <f>IFERROR(SUM(X139:AJ139),-5000)*((Cockpit!$C$3)^0)</f>
        <v>51807.883975811346</v>
      </c>
      <c r="AL139" s="16">
        <f>INDEX('Team forecast'!$B$2:$AO$26,MATCH('Master data'!$B139,'Team forecast'!$B$2:$B$26,0),MATCH('Master data'!AL$1,'Team forecast'!$B$2:$AO$2,0))</f>
        <v>1.1610121970988967</v>
      </c>
      <c r="AM139" s="16">
        <f>INDEX('Team forecast'!$B$2:$AO$26,MATCH('Master data'!$B139,'Team forecast'!$B$2:$B$26,0),MATCH('Master data'!AM$1,'Team forecast'!$B$2:$AO$2,0))</f>
        <v>1.5279674504451852</v>
      </c>
      <c r="AN139" s="16">
        <f>INDEX('Team forecast'!$B$2:$AO$26,MATCH('Master data'!$B139,'Team forecast'!$B$2:$B$26,0),MATCH('Master data'!AN$1,'Team forecast'!$B$2:$AO$2,0))</f>
        <v>0.21697623437572761</v>
      </c>
      <c r="AO139" s="16">
        <f>INDEX('Team forecast'!$B$2:$AO$26,MATCH('Master data'!$B139,'Team forecast'!$B$2:$B$26,0),MATCH('Master data'!AO$1,'Team forecast'!$B$2:$AO$2,0))</f>
        <v>2.9289171335903985</v>
      </c>
      <c r="AP139" s="16">
        <f>INDEX('Team forecast'!$B$2:$AO$26,MATCH('Master data'!$B139,'Team forecast'!$B$2:$B$26,0),MATCH('Master data'!AP$1,'Team forecast'!$B$2:$AO$2,0))</f>
        <v>4.5133807766996243</v>
      </c>
      <c r="AQ139" s="5">
        <f>X139</f>
        <v>7000</v>
      </c>
      <c r="AR139" s="5">
        <f>INDEX('Team forecast'!$B$2:$AO$26,MATCH('Master data'!$B139,'Team forecast'!$B$2:$B$26,0),MATCH('Master data'!AR$1,'Team forecast'!$B$2:$AO$2,0))*IF(X139&gt;0,25000,0)</f>
        <v>6348.0209111277081</v>
      </c>
      <c r="AS139" s="16">
        <f>INDEX('Team forecast'!$B$2:$AO$26,MATCH('Master data'!$B139,'Team forecast'!$B$2:$B$26,0),MATCH('Master data'!AS$1,'Team forecast'!$B$2:$AO$2,0))*IF(X139&gt;0,5000,0)</f>
        <v>1381.628080657207</v>
      </c>
      <c r="AT139" s="16">
        <f>INDEX('Team forecast'!$B$2:$AO$26,MATCH('Master data'!$B139,'Team forecast'!$B$2:$B$26,0),MATCH('Master data'!AT$1,'Team forecast'!$B$2:$AO$2,0))*IF(X139&gt;0,-15000,0)</f>
        <v>-7046.3032113517547</v>
      </c>
      <c r="AU139" s="5">
        <f>IF($C139="Defense",$N139*150000,IF($C139="Midfield",$N139*125000,IF($C139="Striker",$N139*100000,0)))*$AL139</f>
        <v>10640.27098344863</v>
      </c>
      <c r="AV139" s="5">
        <f>$O139*50000*AL139</f>
        <v>2978.547912621972</v>
      </c>
      <c r="AW139" s="5">
        <f>$P139*AO139*10000</f>
        <v>1385.7403913884775</v>
      </c>
      <c r="AX139" s="5">
        <f>IF($C139="Goalkeeper",AN139*75000,IF($C139="Defense",AN139*50000,0))</f>
        <v>0</v>
      </c>
      <c r="AY139" s="5">
        <f>IF($C139="Goalkeeper",(AP139-AM139)*5000,0)</f>
        <v>0</v>
      </c>
      <c r="AZ139" s="5">
        <f>$AG139</f>
        <v>-4195.8041958041958</v>
      </c>
      <c r="BA139" s="5">
        <f>$AH139</f>
        <v>0</v>
      </c>
      <c r="BB139" s="5">
        <f>IF(X139&gt;0,AL139*10000,0)</f>
        <v>11610.121970988966</v>
      </c>
      <c r="BC139" s="5">
        <f>IF(X139&gt;0,AM139*(-8000),0)</f>
        <v>-12223.739603561482</v>
      </c>
      <c r="BD139" s="5">
        <f>IFERROR(SUM(AQ139:BC139),0)</f>
        <v>17878.483239515524</v>
      </c>
      <c r="BE139" s="16">
        <f>INDEX('Team forecast'!$B$2:$AO$26,MATCH('Master data'!$B139,'Team forecast'!$B$2:$B$26,0),MATCH('Master data'!BE$1,'Team forecast'!$B$2:$AO$2,0))</f>
        <v>1.5053002864585165</v>
      </c>
      <c r="BF139" s="16">
        <f>INDEX('Team forecast'!$B$2:$AO$26,MATCH('Master data'!$B139,'Team forecast'!$B$2:$B$26,0),MATCH('Master data'!BF$1,'Team forecast'!$B$2:$AO$2,0))</f>
        <v>0.95602347631827322</v>
      </c>
      <c r="BG139" s="16">
        <f>INDEX('Team forecast'!$B$2:$AO$26,MATCH('Master data'!$B139,'Team forecast'!$B$2:$B$26,0),MATCH('Master data'!BG$1,'Team forecast'!$B$2:$AO$2,0))</f>
        <v>0.38441849991338989</v>
      </c>
      <c r="BH139" s="16">
        <f>INDEX('Team forecast'!$B$2:$AO$26,MATCH('Master data'!$B139,'Team forecast'!$B$2:$B$26,0),MATCH('Master data'!BH$1,'Team forecast'!$B$2:$AO$2,0))</f>
        <v>3.7974620862930761</v>
      </c>
      <c r="BI139" s="16">
        <f>INDEX('Team forecast'!$B$2:$AO$26,MATCH('Master data'!$B139,'Team forecast'!$B$2:$B$26,0),MATCH('Master data'!BI$1,'Team forecast'!$B$2:$AO$2,0))</f>
        <v>2.8239462685093613</v>
      </c>
      <c r="BJ139" s="5">
        <f>AQ139</f>
        <v>7000</v>
      </c>
      <c r="BK139" s="5">
        <f>INDEX('Team forecast'!$R$3:$BH$26,MATCH($B139,'Team forecast'!$B$3:$B$26,0),MATCH(BK$1,'Team forecast'!$R$2:$BH$2,0))*IF($X139&gt;0,25000,0)</f>
        <v>12073.445349038628</v>
      </c>
      <c r="BL139" s="5">
        <f>INDEX('Team forecast'!$R$3:$BH$26,MATCH($B139,'Team forecast'!$B$3:$B$26,0),MATCH(BL$1,'Team forecast'!$R$2:$BH$2,0))*IF($X139&gt;0,5000,0)</f>
        <v>1413.30330850511</v>
      </c>
      <c r="BM139" s="5">
        <f>INDEX('Team forecast'!$R$3:$BH$26,MATCH($B139,'Team forecast'!$B$3:$B$26,0),MATCH(BM$1,'Team forecast'!$R$2:$BH$2,0))*IF($X139&gt;0,-15000,0)</f>
        <v>-3516.0228650614931</v>
      </c>
      <c r="BN139" s="5">
        <f>IF($C139="Defense",$N139*150000,IF($C139="Midfield",$N139*125000,IF($C139="Striker",$N139*100000,0)))*$BE139</f>
        <v>13795.550985083346</v>
      </c>
      <c r="BO139" s="5">
        <f>$O139*50000*$BE139</f>
        <v>3861.8104420468471</v>
      </c>
      <c r="BP139" s="5">
        <f>$P139*BH139*10000</f>
        <v>1796.6696761037792</v>
      </c>
      <c r="BQ139" s="5">
        <f>IF($C139="Goalkeeper",BG139*75000,IF($C139="Defense",BG139*50000,0))</f>
        <v>0</v>
      </c>
      <c r="BR139" s="5">
        <f>IF($C139="Goalkeeper",(BI139-BF139)*5000,0)</f>
        <v>0</v>
      </c>
      <c r="BS139" s="5">
        <f>$AG139</f>
        <v>-4195.8041958041958</v>
      </c>
      <c r="BT139" s="5">
        <f>$AH139</f>
        <v>0</v>
      </c>
      <c r="BU139" s="5">
        <f>IF(AQ139&gt;0,BE139*10000,0)</f>
        <v>15053.002864585165</v>
      </c>
      <c r="BV139" s="5">
        <f>IF(AQ139&gt;0,BF139*(-8000),0)</f>
        <v>-7648.1878105461856</v>
      </c>
      <c r="BW139" s="5">
        <f>IFERROR(SUM(BJ139:BV139),0)</f>
        <v>39633.767753951004</v>
      </c>
      <c r="BX139" s="5">
        <f>AVERAGE(AK139,BD139,BW139)</f>
        <v>36440.044989759292</v>
      </c>
      <c r="BY139" s="5">
        <f>BX139*3</f>
        <v>109320.13496927787</v>
      </c>
      <c r="BZ139" s="5">
        <f>INDEX('Team forecast'!$R$3:$BH$26,MATCH($B139,'Team forecast'!$B$3:$B$26,0),MATCH(BZ$1,'Team forecast'!$R$2:$BH$2,0))*($BX139-(BY139+CH139)*0.01)</f>
        <v>-3778.8039718775058</v>
      </c>
      <c r="CA139" s="5">
        <f>INDEX('Team forecast'!$R$3:$BH$26,MATCH($B139,'Team forecast'!$B$3:$B$26,0),MATCH(CA$1,'Team forecast'!$R$2:$BH$2,0))*($BX139-(BY139+BX139+CH139)*0.01)</f>
        <v>-2022.3094265834529</v>
      </c>
      <c r="CB139" s="5">
        <f>INDEX('Team forecast'!$R$3:$BH$26,MATCH($B139,'Team forecast'!$B$3:$B$26,0),MATCH(CB$1,'Team forecast'!$R$2:$BH$2,0))*($BX139-(BY139+BX139*2+CH139)*0.01)</f>
        <v>-1069.3900122008561</v>
      </c>
      <c r="CC139" s="5">
        <f>INDEX('Team forecast'!$R$3:$BH$26,MATCH($B139,'Team forecast'!$B$3:$B$26,0),MATCH(CC$1,'Team forecast'!$R$2:$BH$2,0))*($BX139-(BY139+BX139*3+CH139)*0.01)</f>
        <v>-549.97110370114899</v>
      </c>
      <c r="CD139" s="5">
        <f>+AK139+BD139*Cockpit!$C$3+BW139*Cockpit!$C$3^2+BZ139*Cockpit!$C$3^3+CA139*Cockpit!$C$3^4+CB139*Cockpit!$C$3^5+CC139*Cockpit!$C$3^6</f>
        <v>79633.658735102086</v>
      </c>
      <c r="CE139" s="5"/>
      <c r="CF139" s="5"/>
      <c r="CG139" s="5">
        <v>0</v>
      </c>
      <c r="CH139" s="5">
        <f t="shared" si="49"/>
        <v>4000000</v>
      </c>
      <c r="CI139" s="5">
        <f t="shared" si="50"/>
        <v>4000000</v>
      </c>
      <c r="CJ139" s="1">
        <f t="shared" si="51"/>
        <v>2.733003374231947E-2</v>
      </c>
      <c r="CK139" s="5">
        <f>RANK(BY139,$BY$2:$BY$623)+COUNTIF($BY$2:$BY139,$BY139)-1</f>
        <v>154</v>
      </c>
      <c r="CL139" s="5">
        <f>RANK(CJ139,$CJ$2:$CJ$623)+COUNTIF($CJ$2:$CJ139,$CJ139)-1</f>
        <v>179</v>
      </c>
    </row>
    <row r="140" spans="1:90">
      <c r="A140" t="str">
        <f>Players!P141</f>
        <v>Jonas Wind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3500000</v>
      </c>
      <c r="H140" s="16">
        <f>INDEX('Team forecast'!$B$2:$AO$26,MATCH('Master data'!$B140,'Team forecast'!$B$2:$B$26,0),MATCH('Master data'!H$1,'Team forecast'!$B$2:$AO$2,0))</f>
        <v>1.6608440904336361</v>
      </c>
      <c r="I140" s="16">
        <f>INDEX('Team forecast'!$B$2:$AO$26,MATCH('Master data'!$B140,'Team forecast'!$B$2:$B$26,0),MATCH('Master data'!I$1,'Team forecast'!$B$2:$AO$2,0))</f>
        <v>0.59952758650922311</v>
      </c>
      <c r="J140" s="16">
        <f>INDEX('Team forecast'!$B$2:$AO$26,MATCH('Master data'!$B140,'Team forecast'!$B$2:$B$26,0),MATCH('Master data'!J$1,'Team forecast'!$B$2:$AO$2,0))</f>
        <v>0.54907096336484029</v>
      </c>
      <c r="K140" s="16">
        <f>INDEX('Team forecast'!$B$2:$AO$26,MATCH('Master data'!$B140,'Team forecast'!$B$2:$B$26,0),MATCH('Master data'!K$1,'Team forecast'!$B$2:$AO$2,0))</f>
        <v>4.1898566826848551</v>
      </c>
      <c r="L140" s="16">
        <f>INDEX('Team forecast'!$B$2:$AO$26,MATCH('Master data'!$B140,'Team forecast'!$B$2:$B$26,0),MATCH('Master data'!L$1,'Team forecast'!$B$2:$AO$2,0))</f>
        <v>1.7709122555349361</v>
      </c>
      <c r="M140">
        <f>IF(Players!BC141=1,95,0)</f>
        <v>0</v>
      </c>
      <c r="N140" s="2">
        <f>Players!BN141</f>
        <v>0</v>
      </c>
      <c r="O140" s="2">
        <f>Players!BO141</f>
        <v>0</v>
      </c>
      <c r="P140" s="2">
        <f>Players!BP141</f>
        <v>0</v>
      </c>
      <c r="Q140" s="2">
        <f>Players!BQ141</f>
        <v>0</v>
      </c>
      <c r="R140" s="2">
        <f>Players!BR141</f>
        <v>3.3657442034405384E-2</v>
      </c>
      <c r="S140" s="2">
        <f>H140</f>
        <v>1.6608440904336361</v>
      </c>
      <c r="T140" s="2">
        <f>I140</f>
        <v>0.59952758650922311</v>
      </c>
      <c r="U140" s="16">
        <f>INDEX('Team forecast'!$B$2:$AO$26,MATCH('Master data'!$B140,'Team forecast'!$B$2:$B$26,0),MATCH('Master data'!U$1,'Team forecast'!$B$2:$AO$2,0))</f>
        <v>0.65509845973874048</v>
      </c>
      <c r="V140" s="16">
        <f>INDEX('Team forecast'!$B$2:$AO$26,MATCH('Master data'!$B140,'Team forecast'!$B$2:$B$26,0),MATCH('Master data'!V$1,'Team forecast'!$B$2:$AO$2,0))</f>
        <v>0.22616494443361279</v>
      </c>
      <c r="W140" s="16">
        <f>INDEX('Team forecast'!$B$2:$AO$26,MATCH('Master data'!$B140,'Team forecast'!$B$2:$B$26,0),MATCH('Master data'!W$1,'Team forecast'!$B$2:$AO$2,0))</f>
        <v>0.1187365958276467</v>
      </c>
      <c r="X140" s="5">
        <f>IF(M140&gt;95,7000*2,IF(M140&gt;0,7000,-5000))</f>
        <v>-5000</v>
      </c>
      <c r="Y140" s="5">
        <f>IF($X140&gt;0,U140*25000,0)</f>
        <v>0</v>
      </c>
      <c r="Z140" s="5">
        <f>IF($X140&gt;0,V140*5000,0)</f>
        <v>0</v>
      </c>
      <c r="AA140" s="5">
        <f>IF($X140&gt;0,W140*(-15000),0)</f>
        <v>0</v>
      </c>
      <c r="AB140" s="5">
        <f>IF($C140="Defense",$N140*150000,IF($C140="Midfield",$N140*125000,IF($C140="Striker",$N140*100000,0)))*$H140</f>
        <v>0</v>
      </c>
      <c r="AC140" s="5">
        <f>$O140*50000*H140</f>
        <v>0</v>
      </c>
      <c r="AD140" s="5">
        <f>$P140*K140*10000</f>
        <v>0</v>
      </c>
      <c r="AE140" s="5">
        <f>IF($C140="Goalkeeper",J140*75000,IF($C140="Defense",J140*50000,0))</f>
        <v>0</v>
      </c>
      <c r="AF140" s="5">
        <f>IF($C140="Goalkeeper",(L140-I140)*5000,0)</f>
        <v>0</v>
      </c>
      <c r="AG140" s="5">
        <f>IF(M140&gt;0,Q140*(-20000),0)</f>
        <v>0</v>
      </c>
      <c r="AH140" s="5">
        <f>IF(M140&gt;0,R140*(-50000),0)</f>
        <v>0</v>
      </c>
      <c r="AI140" s="5">
        <f>IF(M140&gt;0,S140*10000,0)</f>
        <v>0</v>
      </c>
      <c r="AJ140" s="5">
        <f>IF(M140&gt;0,T140*(-8000),0)</f>
        <v>0</v>
      </c>
      <c r="AK140" s="5">
        <f>IFERROR(SUM(X140:AJ140),-5000)*((Cockpit!$C$3)^0)</f>
        <v>-5000</v>
      </c>
      <c r="AL140" s="16">
        <f>INDEX('Team forecast'!$B$2:$AO$26,MATCH('Master data'!$B140,'Team forecast'!$B$2:$B$26,0),MATCH('Master data'!AL$1,'Team forecast'!$B$2:$AO$2,0))</f>
        <v>1.1610121970988967</v>
      </c>
      <c r="AM140" s="16">
        <f>INDEX('Team forecast'!$B$2:$AO$26,MATCH('Master data'!$B140,'Team forecast'!$B$2:$B$26,0),MATCH('Master data'!AM$1,'Team forecast'!$B$2:$AO$2,0))</f>
        <v>1.5279674504451852</v>
      </c>
      <c r="AN140" s="16">
        <f>INDEX('Team forecast'!$B$2:$AO$26,MATCH('Master data'!$B140,'Team forecast'!$B$2:$B$26,0),MATCH('Master data'!AN$1,'Team forecast'!$B$2:$AO$2,0))</f>
        <v>0.21697623437572761</v>
      </c>
      <c r="AO140" s="16">
        <f>INDEX('Team forecast'!$B$2:$AO$26,MATCH('Master data'!$B140,'Team forecast'!$B$2:$B$26,0),MATCH('Master data'!AO$1,'Team forecast'!$B$2:$AO$2,0))</f>
        <v>2.9289171335903985</v>
      </c>
      <c r="AP140" s="16">
        <f>INDEX('Team forecast'!$B$2:$AO$26,MATCH('Master data'!$B140,'Team forecast'!$B$2:$B$26,0),MATCH('Master data'!AP$1,'Team forecast'!$B$2:$AO$2,0))</f>
        <v>4.5133807766996243</v>
      </c>
      <c r="AQ140" s="5">
        <f>X140</f>
        <v>-5000</v>
      </c>
      <c r="AR140" s="5">
        <f>INDEX('Team forecast'!$B$2:$AO$26,MATCH('Master data'!$B140,'Team forecast'!$B$2:$B$26,0),MATCH('Master data'!AR$1,'Team forecast'!$B$2:$AO$2,0))*IF(X140&gt;0,25000,0)</f>
        <v>0</v>
      </c>
      <c r="AS140" s="16">
        <f>INDEX('Team forecast'!$B$2:$AO$26,MATCH('Master data'!$B140,'Team forecast'!$B$2:$B$26,0),MATCH('Master data'!AS$1,'Team forecast'!$B$2:$AO$2,0))*IF(X140&gt;0,5000,0)</f>
        <v>0</v>
      </c>
      <c r="AT140" s="16">
        <f>INDEX('Team forecast'!$B$2:$AO$26,MATCH('Master data'!$B140,'Team forecast'!$B$2:$B$26,0),MATCH('Master data'!AT$1,'Team forecast'!$B$2:$AO$2,0))*IF(X140&gt;0,-15000,0)</f>
        <v>0</v>
      </c>
      <c r="AU140" s="5">
        <f>IF($C140="Defense",$N140*150000,IF($C140="Midfield",$N140*125000,IF($C140="Striker",$N140*100000,0)))*$AL140</f>
        <v>0</v>
      </c>
      <c r="AV140" s="5">
        <f>$O140*50000*AL140</f>
        <v>0</v>
      </c>
      <c r="AW140" s="5">
        <f>$P140*AO140*10000</f>
        <v>0</v>
      </c>
      <c r="AX140" s="5">
        <f>IF($C140="Goalkeeper",AN140*75000,IF($C140="Defense",AN140*50000,0))</f>
        <v>0</v>
      </c>
      <c r="AY140" s="5">
        <f>IF($C140="Goalkeeper",(AP140-AM140)*5000,0)</f>
        <v>0</v>
      </c>
      <c r="AZ140" s="5">
        <f>$AG140</f>
        <v>0</v>
      </c>
      <c r="BA140" s="5">
        <f>$AH140</f>
        <v>0</v>
      </c>
      <c r="BB140" s="5">
        <f>IF(X140&gt;0,AL140*10000,0)</f>
        <v>0</v>
      </c>
      <c r="BC140" s="5">
        <f>IF(X140&gt;0,AM140*(-8000),0)</f>
        <v>0</v>
      </c>
      <c r="BD140" s="5">
        <f>IFERROR(SUM(AQ140:BC140),0)</f>
        <v>-5000</v>
      </c>
      <c r="BE140" s="16">
        <f>INDEX('Team forecast'!$B$2:$AO$26,MATCH('Master data'!$B140,'Team forecast'!$B$2:$B$26,0),MATCH('Master data'!BE$1,'Team forecast'!$B$2:$AO$2,0))</f>
        <v>1.5053002864585165</v>
      </c>
      <c r="BF140" s="16">
        <f>INDEX('Team forecast'!$B$2:$AO$26,MATCH('Master data'!$B140,'Team forecast'!$B$2:$B$26,0),MATCH('Master data'!BF$1,'Team forecast'!$B$2:$AO$2,0))</f>
        <v>0.95602347631827322</v>
      </c>
      <c r="BG140" s="16">
        <f>INDEX('Team forecast'!$B$2:$AO$26,MATCH('Master data'!$B140,'Team forecast'!$B$2:$B$26,0),MATCH('Master data'!BG$1,'Team forecast'!$B$2:$AO$2,0))</f>
        <v>0.38441849991338989</v>
      </c>
      <c r="BH140" s="16">
        <f>INDEX('Team forecast'!$B$2:$AO$26,MATCH('Master data'!$B140,'Team forecast'!$B$2:$B$26,0),MATCH('Master data'!BH$1,'Team forecast'!$B$2:$AO$2,0))</f>
        <v>3.7974620862930761</v>
      </c>
      <c r="BI140" s="16">
        <f>INDEX('Team forecast'!$B$2:$AO$26,MATCH('Master data'!$B140,'Team forecast'!$B$2:$B$26,0),MATCH('Master data'!BI$1,'Team forecast'!$B$2:$AO$2,0))</f>
        <v>2.8239462685093613</v>
      </c>
      <c r="BJ140" s="5">
        <f>AQ140</f>
        <v>-5000</v>
      </c>
      <c r="BK140" s="5">
        <f>INDEX('Team forecast'!$R$3:$BH$26,MATCH($B140,'Team forecast'!$B$3:$B$26,0),MATCH(BK$1,'Team forecast'!$R$2:$BH$2,0))*IF($X140&gt;0,25000,0)</f>
        <v>0</v>
      </c>
      <c r="BL140" s="5">
        <f>INDEX('Team forecast'!$R$3:$BH$26,MATCH($B140,'Team forecast'!$B$3:$B$26,0),MATCH(BL$1,'Team forecast'!$R$2:$BH$2,0))*IF($X140&gt;0,5000,0)</f>
        <v>0</v>
      </c>
      <c r="BM140" s="5">
        <f>INDEX('Team forecast'!$R$3:$BH$26,MATCH($B140,'Team forecast'!$B$3:$B$26,0),MATCH(BM$1,'Team forecast'!$R$2:$BH$2,0))*IF($X140&gt;0,-15000,0)</f>
        <v>0</v>
      </c>
      <c r="BN140" s="5">
        <f>IF($C140="Defense",$N140*150000,IF($C140="Midfield",$N140*125000,IF($C140="Striker",$N140*100000,0)))*$BE140</f>
        <v>0</v>
      </c>
      <c r="BO140" s="5">
        <f>$O140*50000*$BE140</f>
        <v>0</v>
      </c>
      <c r="BP140" s="5">
        <f>$P140*BH140*10000</f>
        <v>0</v>
      </c>
      <c r="BQ140" s="5">
        <f>IF($C140="Goalkeeper",BG140*75000,IF($C140="Defense",BG140*50000,0))</f>
        <v>0</v>
      </c>
      <c r="BR140" s="5">
        <f>IF($C140="Goalkeeper",(BI140-BF140)*5000,0)</f>
        <v>0</v>
      </c>
      <c r="BS140" s="5">
        <f>$AG140</f>
        <v>0</v>
      </c>
      <c r="BT140" s="5">
        <f>$AH140</f>
        <v>0</v>
      </c>
      <c r="BU140" s="5">
        <f>IF(AQ140&gt;0,BE140*10000,0)</f>
        <v>0</v>
      </c>
      <c r="BV140" s="5">
        <f>IF(AQ140&gt;0,BF140*(-8000),0)</f>
        <v>0</v>
      </c>
      <c r="BW140" s="5">
        <f>IFERROR(SUM(BJ140:BV140),0)</f>
        <v>-5000</v>
      </c>
      <c r="BX140" s="5">
        <f>AVERAGE(AK140,BD140,BW140)</f>
        <v>-5000</v>
      </c>
      <c r="BY140" s="5">
        <f>BX140*3</f>
        <v>-15000</v>
      </c>
      <c r="BZ140" s="5">
        <f>INDEX('Team forecast'!$R$3:$BH$26,MATCH($B140,'Team forecast'!$B$3:$B$26,0),MATCH(BZ$1,'Team forecast'!$R$2:$BH$2,0))*($BX140-(BY140+CH140)*0.01)</f>
        <v>-32361.976824151079</v>
      </c>
      <c r="CA140" s="5">
        <f>INDEX('Team forecast'!$R$3:$BH$26,MATCH($B140,'Team forecast'!$B$3:$B$26,0),MATCH(CA$1,'Team forecast'!$R$2:$BH$2,0))*($BX140-(BY140+BX140+CH140)*0.01)</f>
        <v>-16041.256378068008</v>
      </c>
      <c r="CB140" s="5">
        <f>INDEX('Team forecast'!$R$3:$BH$26,MATCH($B140,'Team forecast'!$B$3:$B$26,0),MATCH(CB$1,'Team forecast'!$R$2:$BH$2,0))*($BX140-(BY140+BX140*2+CH140)*0.01)</f>
        <v>-7898.2888442943586</v>
      </c>
      <c r="CC140" s="5">
        <f>INDEX('Team forecast'!$R$3:$BH$26,MATCH($B140,'Team forecast'!$B$3:$B$26,0),MATCH(CC$1,'Team forecast'!$R$2:$BH$2,0))*($BX140-(BY140+BX140*3+CH140)*0.01)</f>
        <v>-3799.5986188537595</v>
      </c>
      <c r="CD140" s="5">
        <f>+AK140+BD140*Cockpit!$C$3+BW140*Cockpit!$C$3^2+BZ140*Cockpit!$C$3^3+CA140*Cockpit!$C$3^4+CB140*Cockpit!$C$3^5+CC140*Cockpit!$C$3^6</f>
        <v>-24686.608989187</v>
      </c>
      <c r="CE140" s="5"/>
      <c r="CF140" s="5"/>
      <c r="CG140" s="5">
        <v>0</v>
      </c>
      <c r="CH140" s="5">
        <f t="shared" si="49"/>
        <v>3500000</v>
      </c>
      <c r="CI140" s="5">
        <f t="shared" si="50"/>
        <v>3500000</v>
      </c>
      <c r="CJ140" s="1">
        <f t="shared" si="51"/>
        <v>-4.2857142857142859E-3</v>
      </c>
      <c r="CK140" s="5">
        <f>RANK(BY140,$BY$2:$BY$623)+COUNTIF($BY$2:$BY140,$BY140)-1</f>
        <v>467</v>
      </c>
      <c r="CL140" s="5">
        <f>RANK(CJ140,$CJ$2:$CJ$623)+COUNTIF($CJ$2:$CJ140,$CJ140)-1</f>
        <v>464</v>
      </c>
    </row>
    <row r="141" spans="1:90">
      <c r="A141" t="str">
        <f>Players!P142</f>
        <v>Yussuf Poulsen</v>
      </c>
      <c r="B141" t="str">
        <f>Players!G142</f>
        <v>Denmark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4500000</v>
      </c>
      <c r="H141" s="16">
        <f>INDEX('Team forecast'!$B$2:$AO$26,MATCH('Master data'!$B141,'Team forecast'!$B$2:$B$26,0),MATCH('Master data'!H$1,'Team forecast'!$B$2:$AO$2,0))</f>
        <v>1.6608440904336361</v>
      </c>
      <c r="I141" s="16">
        <f>INDEX('Team forecast'!$B$2:$AO$26,MATCH('Master data'!$B141,'Team forecast'!$B$2:$B$26,0),MATCH('Master data'!I$1,'Team forecast'!$B$2:$AO$2,0))</f>
        <v>0.59952758650922311</v>
      </c>
      <c r="J141" s="16">
        <f>INDEX('Team forecast'!$B$2:$AO$26,MATCH('Master data'!$B141,'Team forecast'!$B$2:$B$26,0),MATCH('Master data'!J$1,'Team forecast'!$B$2:$AO$2,0))</f>
        <v>0.54907096336484029</v>
      </c>
      <c r="K141" s="16">
        <f>INDEX('Team forecast'!$B$2:$AO$26,MATCH('Master data'!$B141,'Team forecast'!$B$2:$B$26,0),MATCH('Master data'!K$1,'Team forecast'!$B$2:$AO$2,0))</f>
        <v>4.1898566826848551</v>
      </c>
      <c r="L141" s="16">
        <f>INDEX('Team forecast'!$B$2:$AO$26,MATCH('Master data'!$B141,'Team forecast'!$B$2:$B$26,0),MATCH('Master data'!L$1,'Team forecast'!$B$2:$AO$2,0))</f>
        <v>1.7709122555349361</v>
      </c>
      <c r="M141">
        <f>IF(Players!BC142=1,95,0)</f>
        <v>95</v>
      </c>
      <c r="N141" s="2">
        <f>Players!BN142</f>
        <v>0.21599442721869117</v>
      </c>
      <c r="O141" s="2">
        <f>Players!BO142</f>
        <v>0.17868384151533992</v>
      </c>
      <c r="P141" s="2">
        <f>Players!BP142</f>
        <v>0.2253554126578434</v>
      </c>
      <c r="Q141" s="2">
        <f>Players!BQ142</f>
        <v>0.10830866025166543</v>
      </c>
      <c r="R141" s="2">
        <f>Players!BR142</f>
        <v>0</v>
      </c>
      <c r="S141" s="2">
        <f>H141</f>
        <v>1.6608440904336361</v>
      </c>
      <c r="T141" s="2">
        <f>I141</f>
        <v>0.59952758650922311</v>
      </c>
      <c r="U141" s="16">
        <f>INDEX('Team forecast'!$B$2:$AO$26,MATCH('Master data'!$B141,'Team forecast'!$B$2:$B$26,0),MATCH('Master data'!U$1,'Team forecast'!$B$2:$AO$2,0))</f>
        <v>0.65509845973874048</v>
      </c>
      <c r="V141" s="16">
        <f>INDEX('Team forecast'!$B$2:$AO$26,MATCH('Master data'!$B141,'Team forecast'!$B$2:$B$26,0),MATCH('Master data'!V$1,'Team forecast'!$B$2:$AO$2,0))</f>
        <v>0.22616494443361279</v>
      </c>
      <c r="W141" s="16">
        <f>INDEX('Team forecast'!$B$2:$AO$26,MATCH('Master data'!$B141,'Team forecast'!$B$2:$B$26,0),MATCH('Master data'!W$1,'Team forecast'!$B$2:$AO$2,0))</f>
        <v>0.1187365958276467</v>
      </c>
      <c r="X141" s="5">
        <f>IF(M141&gt;95,7000*2,IF(M141&gt;0,7000,-5000))</f>
        <v>7000</v>
      </c>
      <c r="Y141" s="5">
        <f>IF($X141&gt;0,U141*25000,0)</f>
        <v>16377.461493468512</v>
      </c>
      <c r="Z141" s="5">
        <f>IF($X141&gt;0,V141*5000,0)</f>
        <v>1130.824722168064</v>
      </c>
      <c r="AA141" s="5">
        <f>IF($X141&gt;0,W141*(-15000),0)</f>
        <v>-1781.0489374147005</v>
      </c>
      <c r="AB141" s="5">
        <f>IF($C141="Defense",$N141*150000,IF($C141="Midfield",$N141*125000,IF($C141="Striker",$N141*100000,0)))*$H141</f>
        <v>35873.306801276136</v>
      </c>
      <c r="AC141" s="5">
        <f>$O141*50000*H141</f>
        <v>14838.300111836636</v>
      </c>
      <c r="AD141" s="5">
        <f>$P141*K141*10000</f>
        <v>9442.068817036683</v>
      </c>
      <c r="AE141" s="5">
        <f>IF($C141="Goalkeeper",J141*75000,IF($C141="Defense",J141*50000,0))</f>
        <v>0</v>
      </c>
      <c r="AF141" s="5">
        <f>IF($C141="Goalkeeper",(L141-I141)*5000,0)</f>
        <v>0</v>
      </c>
      <c r="AG141" s="5">
        <f>IF(M141&gt;0,Q141*(-20000),0)</f>
        <v>-2166.1732050333085</v>
      </c>
      <c r="AH141" s="5">
        <f>IF(M141&gt;0,R141*(-50000),0)</f>
        <v>0</v>
      </c>
      <c r="AI141" s="5">
        <f>IF(M141&gt;0,S141*10000,0)</f>
        <v>16608.440904336363</v>
      </c>
      <c r="AJ141" s="5">
        <f>IF(M141&gt;0,T141*(-8000),0)</f>
        <v>-4796.2206920737844</v>
      </c>
      <c r="AK141" s="5">
        <f>IFERROR(SUM(X141:AJ141),-5000)*((Cockpit!$C$3)^0)</f>
        <v>92526.960015600605</v>
      </c>
      <c r="AL141" s="16">
        <f>INDEX('Team forecast'!$B$2:$AO$26,MATCH('Master data'!$B141,'Team forecast'!$B$2:$B$26,0),MATCH('Master data'!AL$1,'Team forecast'!$B$2:$AO$2,0))</f>
        <v>1.1610121970988967</v>
      </c>
      <c r="AM141" s="16">
        <f>INDEX('Team forecast'!$B$2:$AO$26,MATCH('Master data'!$B141,'Team forecast'!$B$2:$B$26,0),MATCH('Master data'!AM$1,'Team forecast'!$B$2:$AO$2,0))</f>
        <v>1.5279674504451852</v>
      </c>
      <c r="AN141" s="16">
        <f>INDEX('Team forecast'!$B$2:$AO$26,MATCH('Master data'!$B141,'Team forecast'!$B$2:$B$26,0),MATCH('Master data'!AN$1,'Team forecast'!$B$2:$AO$2,0))</f>
        <v>0.21697623437572761</v>
      </c>
      <c r="AO141" s="16">
        <f>INDEX('Team forecast'!$B$2:$AO$26,MATCH('Master data'!$B141,'Team forecast'!$B$2:$B$26,0),MATCH('Master data'!AO$1,'Team forecast'!$B$2:$AO$2,0))</f>
        <v>2.9289171335903985</v>
      </c>
      <c r="AP141" s="16">
        <f>INDEX('Team forecast'!$B$2:$AO$26,MATCH('Master data'!$B141,'Team forecast'!$B$2:$B$26,0),MATCH('Master data'!AP$1,'Team forecast'!$B$2:$AO$2,0))</f>
        <v>4.5133807766996243</v>
      </c>
      <c r="AQ141" s="5">
        <f>X141</f>
        <v>7000</v>
      </c>
      <c r="AR141" s="5">
        <f>INDEX('Team forecast'!$B$2:$AO$26,MATCH('Master data'!$B141,'Team forecast'!$B$2:$B$26,0),MATCH('Master data'!AR$1,'Team forecast'!$B$2:$AO$2,0))*IF(X141&gt;0,25000,0)</f>
        <v>6348.0209111277081</v>
      </c>
      <c r="AS141" s="16">
        <f>INDEX('Team forecast'!$B$2:$AO$26,MATCH('Master data'!$B141,'Team forecast'!$B$2:$B$26,0),MATCH('Master data'!AS$1,'Team forecast'!$B$2:$AO$2,0))*IF(X141&gt;0,5000,0)</f>
        <v>1381.628080657207</v>
      </c>
      <c r="AT141" s="16">
        <f>INDEX('Team forecast'!$B$2:$AO$26,MATCH('Master data'!$B141,'Team forecast'!$B$2:$B$26,0),MATCH('Master data'!AT$1,'Team forecast'!$B$2:$AO$2,0))*IF(X141&gt;0,-15000,0)</f>
        <v>-7046.3032113517547</v>
      </c>
      <c r="AU141" s="5">
        <f>IF($C141="Defense",$N141*150000,IF($C141="Midfield",$N141*125000,IF($C141="Striker",$N141*100000,0)))*$AL141</f>
        <v>25077.216450629036</v>
      </c>
      <c r="AV141" s="5">
        <f>$O141*50000*AL141</f>
        <v>10372.705971189793</v>
      </c>
      <c r="AW141" s="5">
        <f>$P141*AO141*10000</f>
        <v>6600.4732928089206</v>
      </c>
      <c r="AX141" s="5">
        <f>IF($C141="Goalkeeper",AN141*75000,IF($C141="Defense",AN141*50000,0))</f>
        <v>0</v>
      </c>
      <c r="AY141" s="5">
        <f>IF($C141="Goalkeeper",(AP141-AM141)*5000,0)</f>
        <v>0</v>
      </c>
      <c r="AZ141" s="5">
        <f>$AG141</f>
        <v>-2166.1732050333085</v>
      </c>
      <c r="BA141" s="5">
        <f>$AH141</f>
        <v>0</v>
      </c>
      <c r="BB141" s="5">
        <f>IF(X141&gt;0,AL141*10000,0)</f>
        <v>11610.121970988966</v>
      </c>
      <c r="BC141" s="5">
        <f>IF(X141&gt;0,AM141*(-8000),0)</f>
        <v>-12223.739603561482</v>
      </c>
      <c r="BD141" s="5">
        <f>IFERROR(SUM(AQ141:BC141),0)</f>
        <v>46953.950657455091</v>
      </c>
      <c r="BE141" s="16">
        <f>INDEX('Team forecast'!$B$2:$AO$26,MATCH('Master data'!$B141,'Team forecast'!$B$2:$B$26,0),MATCH('Master data'!BE$1,'Team forecast'!$B$2:$AO$2,0))</f>
        <v>1.5053002864585165</v>
      </c>
      <c r="BF141" s="16">
        <f>INDEX('Team forecast'!$B$2:$AO$26,MATCH('Master data'!$B141,'Team forecast'!$B$2:$B$26,0),MATCH('Master data'!BF$1,'Team forecast'!$B$2:$AO$2,0))</f>
        <v>0.95602347631827322</v>
      </c>
      <c r="BG141" s="16">
        <f>INDEX('Team forecast'!$B$2:$AO$26,MATCH('Master data'!$B141,'Team forecast'!$B$2:$B$26,0),MATCH('Master data'!BG$1,'Team forecast'!$B$2:$AO$2,0))</f>
        <v>0.38441849991338989</v>
      </c>
      <c r="BH141" s="16">
        <f>INDEX('Team forecast'!$B$2:$AO$26,MATCH('Master data'!$B141,'Team forecast'!$B$2:$B$26,0),MATCH('Master data'!BH$1,'Team forecast'!$B$2:$AO$2,0))</f>
        <v>3.7974620862930761</v>
      </c>
      <c r="BI141" s="16">
        <f>INDEX('Team forecast'!$B$2:$AO$26,MATCH('Master data'!$B141,'Team forecast'!$B$2:$B$26,0),MATCH('Master data'!BI$1,'Team forecast'!$B$2:$AO$2,0))</f>
        <v>2.8239462685093613</v>
      </c>
      <c r="BJ141" s="5">
        <f>AQ141</f>
        <v>7000</v>
      </c>
      <c r="BK141" s="5">
        <f>INDEX('Team forecast'!$R$3:$BH$26,MATCH($B141,'Team forecast'!$B$3:$B$26,0),MATCH(BK$1,'Team forecast'!$R$2:$BH$2,0))*IF($X141&gt;0,25000,0)</f>
        <v>12073.445349038628</v>
      </c>
      <c r="BL141" s="5">
        <f>INDEX('Team forecast'!$R$3:$BH$26,MATCH($B141,'Team forecast'!$B$3:$B$26,0),MATCH(BL$1,'Team forecast'!$R$2:$BH$2,0))*IF($X141&gt;0,5000,0)</f>
        <v>1413.30330850511</v>
      </c>
      <c r="BM141" s="5">
        <f>INDEX('Team forecast'!$R$3:$BH$26,MATCH($B141,'Team forecast'!$B$3:$B$26,0),MATCH(BM$1,'Team forecast'!$R$2:$BH$2,0))*IF($X141&gt;0,-15000,0)</f>
        <v>-3516.0228650614931</v>
      </c>
      <c r="BN141" s="5">
        <f>IF($C141="Defense",$N141*150000,IF($C141="Midfield",$N141*125000,IF($C141="Striker",$N141*100000,0)))*$BE141</f>
        <v>32513.647316573901</v>
      </c>
      <c r="BO141" s="5">
        <f>$O141*50000*$BE141</f>
        <v>13448.641890927467</v>
      </c>
      <c r="BP141" s="5">
        <f>$P141*BH141*10000</f>
        <v>8557.7863550909115</v>
      </c>
      <c r="BQ141" s="5">
        <f>IF($C141="Goalkeeper",BG141*75000,IF($C141="Defense",BG141*50000,0))</f>
        <v>0</v>
      </c>
      <c r="BR141" s="5">
        <f>IF($C141="Goalkeeper",(BI141-BF141)*5000,0)</f>
        <v>0</v>
      </c>
      <c r="BS141" s="5">
        <f>$AG141</f>
        <v>-2166.1732050333085</v>
      </c>
      <c r="BT141" s="5">
        <f>$AH141</f>
        <v>0</v>
      </c>
      <c r="BU141" s="5">
        <f>IF(AQ141&gt;0,BE141*10000,0)</f>
        <v>15053.002864585165</v>
      </c>
      <c r="BV141" s="5">
        <f>IF(AQ141&gt;0,BF141*(-8000),0)</f>
        <v>-7648.1878105461856</v>
      </c>
      <c r="BW141" s="5">
        <f>IFERROR(SUM(BJ141:BV141),0)</f>
        <v>76729.443204080206</v>
      </c>
      <c r="BX141" s="5">
        <f>AVERAGE(AK141,BD141,BW141)</f>
        <v>72070.117959045296</v>
      </c>
      <c r="BY141" s="5">
        <f>BX141*3</f>
        <v>216210.3538771359</v>
      </c>
      <c r="BZ141" s="5">
        <f>INDEX('Team forecast'!$R$3:$BH$26,MATCH($B141,'Team forecast'!$B$3:$B$26,0),MATCH(BZ$1,'Team forecast'!$R$2:$BH$2,0))*($BX141-(BY141+CH141)*0.01)</f>
        <v>20227.668391581585</v>
      </c>
      <c r="CA141" s="5">
        <f>INDEX('Team forecast'!$R$3:$BH$26,MATCH($B141,'Team forecast'!$B$3:$B$26,0),MATCH(CA$1,'Team forecast'!$R$2:$BH$2,0))*($BX141-(BY141+BX141+CH141)*0.01)</f>
        <v>9748.6153967447917</v>
      </c>
      <c r="CB141" s="5">
        <f>INDEX('Team forecast'!$R$3:$BH$26,MATCH($B141,'Team forecast'!$B$3:$B$26,0),MATCH(CB$1,'Team forecast'!$R$2:$BH$2,0))*($BX141-(BY141+BX141*2+CH141)*0.01)</f>
        <v>4662.7944718368435</v>
      </c>
      <c r="CC141" s="5">
        <f>INDEX('Team forecast'!$R$3:$BH$26,MATCH($B141,'Team forecast'!$B$3:$B$26,0),MATCH(CC$1,'Team forecast'!$R$2:$BH$2,0))*($BX141-(BY141+BX141*3+CH141)*0.01)</f>
        <v>2176.9604929452867</v>
      </c>
      <c r="CD141" s="5">
        <f>+AK141+BD141*Cockpit!$C$3+BW141*Cockpit!$C$3^2+BZ141*Cockpit!$C$3^3+CA141*Cockpit!$C$3^4+CB141*Cockpit!$C$3^5+CC141*Cockpit!$C$3^6</f>
        <v>166655.75336018618</v>
      </c>
      <c r="CE141" s="5"/>
      <c r="CF141" s="5"/>
      <c r="CG141" s="5">
        <v>0</v>
      </c>
      <c r="CH141" s="5">
        <f t="shared" si="49"/>
        <v>4500000</v>
      </c>
      <c r="CI141" s="5">
        <f t="shared" si="50"/>
        <v>4500000</v>
      </c>
      <c r="CJ141" s="1">
        <f t="shared" si="51"/>
        <v>4.8046745306030203E-2</v>
      </c>
      <c r="CK141" s="5">
        <f>RANK(BY141,$BY$2:$BY$623)+COUNTIF($BY$2:$BY141,$BY141)-1</f>
        <v>42</v>
      </c>
      <c r="CL141" s="5">
        <f>RANK(CJ141,$CJ$2:$CJ$623)+COUNTIF($CJ$2:$CJ141,$CJ141)-1</f>
        <v>39</v>
      </c>
    </row>
    <row r="142" spans="1:90">
      <c r="A142" t="str">
        <f>Players!P143</f>
        <v>Bruno Petković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3500000</v>
      </c>
      <c r="H142" s="16">
        <f>INDEX('Team forecast'!$B$2:$AO$26,MATCH('Master data'!$B142,'Team forecast'!$B$2:$B$26,0),MATCH('Master data'!H$1,'Team forecast'!$B$2:$AO$2,0))</f>
        <v>0.74990395996081205</v>
      </c>
      <c r="I142" s="16">
        <f>INDEX('Team forecast'!$B$2:$AO$26,MATCH('Master data'!$B142,'Team forecast'!$B$2:$B$26,0),MATCH('Master data'!I$1,'Team forecast'!$B$2:$AO$2,0))</f>
        <v>1.5223243214152651</v>
      </c>
      <c r="J142" s="16">
        <f>INDEX('Team forecast'!$B$2:$AO$26,MATCH('Master data'!$B142,'Team forecast'!$B$2:$B$26,0),MATCH('Master data'!J$1,'Team forecast'!$B$2:$AO$2,0))</f>
        <v>0.21820412056434271</v>
      </c>
      <c r="K142" s="16">
        <f>INDEX('Team forecast'!$B$2:$AO$26,MATCH('Master data'!$B142,'Team forecast'!$B$2:$B$26,0),MATCH('Master data'!K$1,'Team forecast'!$B$2:$AO$2,0))</f>
        <v>2.1270003227979397</v>
      </c>
      <c r="L142" s="16">
        <f>INDEX('Team forecast'!$B$2:$AO$26,MATCH('Master data'!$B142,'Team forecast'!$B$2:$B$26,0),MATCH('Master data'!L$1,'Team forecast'!$B$2:$AO$2,0))</f>
        <v>4.9475540445996113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0.28081272084805653</v>
      </c>
      <c r="R142" s="2">
        <f>Players!BR143</f>
        <v>0</v>
      </c>
      <c r="S142" s="2">
        <f>H142</f>
        <v>0.74990395996081205</v>
      </c>
      <c r="T142" s="2">
        <f>I142</f>
        <v>1.5223243214152651</v>
      </c>
      <c r="U142" s="16">
        <f>INDEX('Team forecast'!$B$2:$AO$26,MATCH('Master data'!$B142,'Team forecast'!$B$2:$B$26,0),MATCH('Master data'!U$1,'Team forecast'!$B$2:$AO$2,0))</f>
        <v>0.17178615309883699</v>
      </c>
      <c r="V142" s="16">
        <f>INDEX('Team forecast'!$B$2:$AO$26,MATCH('Master data'!$B142,'Team forecast'!$B$2:$B$26,0),MATCH('Master data'!V$1,'Team forecast'!$B$2:$AO$2,0))</f>
        <v>0.26245106723433442</v>
      </c>
      <c r="W142" s="16">
        <f>INDEX('Team forecast'!$B$2:$AO$26,MATCH('Master data'!$B142,'Team forecast'!$B$2:$B$26,0),MATCH('Master data'!W$1,'Team forecast'!$B$2:$AO$2,0))</f>
        <v>0.56576277966682864</v>
      </c>
      <c r="X142" s="5">
        <f>IF(M142&gt;95,7000*2,IF(M142&gt;0,7000,-5000))</f>
        <v>-5000</v>
      </c>
      <c r="Y142" s="5">
        <f>IF($X142&gt;0,U142*25000,0)</f>
        <v>0</v>
      </c>
      <c r="Z142" s="5">
        <f>IF($X142&gt;0,V142*5000,0)</f>
        <v>0</v>
      </c>
      <c r="AA142" s="5">
        <f>IF($X142&gt;0,W142*(-15000),0)</f>
        <v>0</v>
      </c>
      <c r="AB142" s="5">
        <f>IF($C142="Defense",$N142*150000,IF($C142="Midfield",$N142*125000,IF($C142="Striker",$N142*100000,0)))*$H142</f>
        <v>0</v>
      </c>
      <c r="AC142" s="5">
        <f>$O142*50000*H142</f>
        <v>0</v>
      </c>
      <c r="AD142" s="5">
        <f>$P142*K142*10000</f>
        <v>0</v>
      </c>
      <c r="AE142" s="5">
        <f>IF($C142="Goalkeeper",J142*75000,IF($C142="Defense",J142*50000,0))</f>
        <v>0</v>
      </c>
      <c r="AF142" s="5">
        <f>IF($C142="Goalkeeper",(L142-I142)*5000,0)</f>
        <v>0</v>
      </c>
      <c r="AG142" s="5">
        <f>IF(M142&gt;0,Q142*(-20000),0)</f>
        <v>0</v>
      </c>
      <c r="AH142" s="5">
        <f>IF(M142&gt;0,R142*(-50000),0)</f>
        <v>0</v>
      </c>
      <c r="AI142" s="5">
        <f>IF(M142&gt;0,S142*10000,0)</f>
        <v>0</v>
      </c>
      <c r="AJ142" s="5">
        <f>IF(M142&gt;0,T142*(-8000),0)</f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1.3846696653928885</v>
      </c>
      <c r="AM142" s="16">
        <f>INDEX('Team forecast'!$B$2:$AO$26,MATCH('Master data'!$B142,'Team forecast'!$B$2:$B$26,0),MATCH('Master data'!AM$1,'Team forecast'!$B$2:$AO$2,0))</f>
        <v>0.97920455728472433</v>
      </c>
      <c r="AN142" s="16">
        <f>INDEX('Team forecast'!$B$2:$AO$26,MATCH('Master data'!$B142,'Team forecast'!$B$2:$B$26,0),MATCH('Master data'!AN$1,'Team forecast'!$B$2:$AO$2,0))</f>
        <v>0.37560975609756098</v>
      </c>
      <c r="AO142" s="16">
        <f>INDEX('Team forecast'!$B$2:$AO$26,MATCH('Master data'!$B142,'Team forecast'!$B$2:$B$26,0),MATCH('Master data'!AO$1,'Team forecast'!$B$2:$AO$2,0))</f>
        <v>3.9274266872961929</v>
      </c>
      <c r="AP142" s="16">
        <f>INDEX('Team forecast'!$B$2:$AO$26,MATCH('Master data'!$B142,'Team forecast'!$B$2:$B$26,0),MATCH('Master data'!AP$1,'Team forecast'!$B$2:$AO$2,0))</f>
        <v>3.1824148111753541</v>
      </c>
      <c r="AQ142" s="5">
        <f>X142</f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>IF($C142="Defense",$N142*150000,IF($C142="Midfield",$N142*125000,IF($C142="Striker",$N142*100000,0)))*$AL142</f>
        <v>0</v>
      </c>
      <c r="AV142" s="5">
        <f>$O142*50000*AL142</f>
        <v>0</v>
      </c>
      <c r="AW142" s="5">
        <f>$P142*AO142*10000</f>
        <v>0</v>
      </c>
      <c r="AX142" s="5">
        <f>IF($C142="Goalkeeper",AN142*75000,IF($C142="Defense",AN142*50000,0))</f>
        <v>0</v>
      </c>
      <c r="AY142" s="5">
        <f>IF($C142="Goalkeeper",(AP142-AM142)*5000,0)</f>
        <v>0</v>
      </c>
      <c r="AZ142" s="5">
        <f>$AG142</f>
        <v>0</v>
      </c>
      <c r="BA142" s="5">
        <f>$AH142</f>
        <v>0</v>
      </c>
      <c r="BB142" s="5">
        <f>IF(X142&gt;0,AL142*10000,0)</f>
        <v>0</v>
      </c>
      <c r="BC142" s="5">
        <f>IF(X142&gt;0,AM142*(-8000),0)</f>
        <v>0</v>
      </c>
      <c r="BD142" s="5">
        <f>IFERROR(SUM(AQ142:BC142),0)</f>
        <v>-5000</v>
      </c>
      <c r="BE142" s="16">
        <f>INDEX('Team forecast'!$B$2:$AO$26,MATCH('Master data'!$B142,'Team forecast'!$B$2:$B$26,0),MATCH('Master data'!BE$1,'Team forecast'!$B$2:$AO$2,0))</f>
        <v>1.5039270856478595</v>
      </c>
      <c r="BF142" s="16">
        <f>INDEX('Team forecast'!$B$2:$AO$26,MATCH('Master data'!$B142,'Team forecast'!$B$2:$B$26,0),MATCH('Master data'!BF$1,'Team forecast'!$B$2:$AO$2,0))</f>
        <v>0.82681690399773144</v>
      </c>
      <c r="BG142" s="16">
        <f>INDEX('Team forecast'!$B$2:$AO$26,MATCH('Master data'!$B142,'Team forecast'!$B$2:$B$26,0),MATCH('Master data'!BG$1,'Team forecast'!$B$2:$AO$2,0))</f>
        <v>0.43743948445487602</v>
      </c>
      <c r="BH142" s="16">
        <f>INDEX('Team forecast'!$B$2:$AO$26,MATCH('Master data'!$B142,'Team forecast'!$B$2:$B$26,0),MATCH('Master data'!BH$1,'Team forecast'!$B$2:$AO$2,0))</f>
        <v>4.2656840974739287</v>
      </c>
      <c r="BI142" s="16">
        <f>INDEX('Team forecast'!$B$2:$AO$26,MATCH('Master data'!$B142,'Team forecast'!$B$2:$B$26,0),MATCH('Master data'!BI$1,'Team forecast'!$B$2:$AO$2,0))</f>
        <v>2.6871549379926272</v>
      </c>
      <c r="BJ142" s="5">
        <f>AQ142</f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>IF($C142="Defense",$N142*150000,IF($C142="Midfield",$N142*125000,IF($C142="Striker",$N142*100000,0)))*$BE142</f>
        <v>0</v>
      </c>
      <c r="BO142" s="5">
        <f>$O142*50000*$BE142</f>
        <v>0</v>
      </c>
      <c r="BP142" s="5">
        <f>$P142*BH142*10000</f>
        <v>0</v>
      </c>
      <c r="BQ142" s="5">
        <f>IF($C142="Goalkeeper",BG142*75000,IF($C142="Defense",BG142*50000,0))</f>
        <v>0</v>
      </c>
      <c r="BR142" s="5">
        <f>IF($C142="Goalkeeper",(BI142-BF142)*5000,0)</f>
        <v>0</v>
      </c>
      <c r="BS142" s="5">
        <f>$AG142</f>
        <v>0</v>
      </c>
      <c r="BT142" s="5">
        <f>$AH142</f>
        <v>0</v>
      </c>
      <c r="BU142" s="5">
        <f>IF(AQ142&gt;0,BE142*10000,0)</f>
        <v>0</v>
      </c>
      <c r="BV142" s="5">
        <f>IF(AQ142&gt;0,BF142*(-8000),0)</f>
        <v>0</v>
      </c>
      <c r="BW142" s="5">
        <f>IFERROR(SUM(BJ142:BV142),0)</f>
        <v>-5000</v>
      </c>
      <c r="BX142" s="5">
        <f>AVERAGE(AK142,BD142,BW142)</f>
        <v>-5000</v>
      </c>
      <c r="BY142" s="5">
        <f>BX142*3</f>
        <v>-15000</v>
      </c>
      <c r="BZ142" s="5">
        <f>INDEX('Team forecast'!$R$3:$BH$26,MATCH($B142,'Team forecast'!$B$3:$B$26,0),MATCH(BZ$1,'Team forecast'!$R$2:$BH$2,0))*($BX142-(BY142+CH142)*0.01)</f>
        <v>-29744.463992785913</v>
      </c>
      <c r="CA142" s="5">
        <f>INDEX('Team forecast'!$R$3:$BH$26,MATCH($B142,'Team forecast'!$B$3:$B$26,0),MATCH(CA$1,'Team forecast'!$R$2:$BH$2,0))*($BX142-(BY142+BX142+CH142)*0.01)</f>
        <v>-14680.873371324324</v>
      </c>
      <c r="CB142" s="5">
        <f>INDEX('Team forecast'!$R$3:$BH$26,MATCH($B142,'Team forecast'!$B$3:$B$26,0),MATCH(CB$1,'Team forecast'!$R$2:$BH$2,0))*($BX142-(BY142+BX142*2+CH142)*0.01)</f>
        <v>-7168.8795949809119</v>
      </c>
      <c r="CC142" s="5">
        <f>INDEX('Team forecast'!$R$3:$BH$26,MATCH($B142,'Team forecast'!$B$3:$B$26,0),MATCH(CC$1,'Team forecast'!$R$2:$BH$2,0))*($BX142-(BY142+BX142*3+CH142)*0.01)</f>
        <v>-3370.8670994813033</v>
      </c>
      <c r="CD142" s="5">
        <f>+AK142+BD142*Cockpit!$C$3+BW142*Cockpit!$C$3^2+BZ142*Cockpit!$C$3^3+CA142*Cockpit!$C$3^4+CB142*Cockpit!$C$3^5+CC142*Cockpit!$C$3^6</f>
        <v>-23508.639126745446</v>
      </c>
      <c r="CE142" s="5"/>
      <c r="CF142" s="5"/>
      <c r="CG142" s="5">
        <v>0</v>
      </c>
      <c r="CH142" s="5">
        <f t="shared" si="49"/>
        <v>3500000</v>
      </c>
      <c r="CI142" s="5">
        <f t="shared" si="50"/>
        <v>3500000</v>
      </c>
      <c r="CJ142" s="1">
        <f t="shared" si="51"/>
        <v>-4.2857142857142859E-3</v>
      </c>
      <c r="CK142" s="5">
        <f>RANK(BY142,$BY$2:$BY$623)+COUNTIF($BY$2:$BY142,$BY142)-1</f>
        <v>468</v>
      </c>
      <c r="CL142" s="5">
        <f>RANK(CJ142,$CJ$2:$CJ$623)+COUNTIF($CJ$2:$CJ142,$CJ142)-1</f>
        <v>465</v>
      </c>
    </row>
    <row r="143" spans="1:90">
      <c r="A143" t="str">
        <f>Players!P144</f>
        <v>Ante Budimir</v>
      </c>
      <c r="B143" t="str">
        <f>Players!G144</f>
        <v>Croatia</v>
      </c>
      <c r="C143" t="str">
        <f>Players!AB144</f>
        <v>Striker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3000000</v>
      </c>
      <c r="H143" s="16">
        <f>INDEX('Team forecast'!$B$2:$AO$26,MATCH('Master data'!$B143,'Team forecast'!$B$2:$B$26,0),MATCH('Master data'!H$1,'Team forecast'!$B$2:$AO$2,0))</f>
        <v>0.74990395996081205</v>
      </c>
      <c r="I143" s="16">
        <f>INDEX('Team forecast'!$B$2:$AO$26,MATCH('Master data'!$B143,'Team forecast'!$B$2:$B$26,0),MATCH('Master data'!I$1,'Team forecast'!$B$2:$AO$2,0))</f>
        <v>1.5223243214152651</v>
      </c>
      <c r="J143" s="16">
        <f>INDEX('Team forecast'!$B$2:$AO$26,MATCH('Master data'!$B143,'Team forecast'!$B$2:$B$26,0),MATCH('Master data'!J$1,'Team forecast'!$B$2:$AO$2,0))</f>
        <v>0.21820412056434271</v>
      </c>
      <c r="K143" s="16">
        <f>INDEX('Team forecast'!$B$2:$AO$26,MATCH('Master data'!$B143,'Team forecast'!$B$2:$B$26,0),MATCH('Master data'!K$1,'Team forecast'!$B$2:$AO$2,0))</f>
        <v>2.1270003227979397</v>
      </c>
      <c r="L143" s="16">
        <f>INDEX('Team forecast'!$B$2:$AO$26,MATCH('Master data'!$B143,'Team forecast'!$B$2:$B$26,0),MATCH('Master data'!L$1,'Team forecast'!$B$2:$AO$2,0))</f>
        <v>4.9475540445996113</v>
      </c>
      <c r="M143">
        <f>IF(Players!BC144=1,95,0)</f>
        <v>0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0.19333333333333336</v>
      </c>
      <c r="R143" s="2">
        <f>Players!BR144</f>
        <v>0</v>
      </c>
      <c r="S143" s="2">
        <f>H143</f>
        <v>0.74990395996081205</v>
      </c>
      <c r="T143" s="2">
        <f>I143</f>
        <v>1.5223243214152651</v>
      </c>
      <c r="U143" s="16">
        <f>INDEX('Team forecast'!$B$2:$AO$26,MATCH('Master data'!$B143,'Team forecast'!$B$2:$B$26,0),MATCH('Master data'!U$1,'Team forecast'!$B$2:$AO$2,0))</f>
        <v>0.17178615309883699</v>
      </c>
      <c r="V143" s="16">
        <f>INDEX('Team forecast'!$B$2:$AO$26,MATCH('Master data'!$B143,'Team forecast'!$B$2:$B$26,0),MATCH('Master data'!V$1,'Team forecast'!$B$2:$AO$2,0))</f>
        <v>0.26245106723433442</v>
      </c>
      <c r="W143" s="16">
        <f>INDEX('Team forecast'!$B$2:$AO$26,MATCH('Master data'!$B143,'Team forecast'!$B$2:$B$26,0),MATCH('Master data'!W$1,'Team forecast'!$B$2:$AO$2,0))</f>
        <v>0.56576277966682864</v>
      </c>
      <c r="X143" s="5">
        <f>IF(M143&gt;95,7000*2,IF(M143&gt;0,7000,-5000))</f>
        <v>-5000</v>
      </c>
      <c r="Y143" s="5">
        <f>IF($X143&gt;0,U143*25000,0)</f>
        <v>0</v>
      </c>
      <c r="Z143" s="5">
        <f>IF($X143&gt;0,V143*5000,0)</f>
        <v>0</v>
      </c>
      <c r="AA143" s="5">
        <f>IF($X143&gt;0,W143*(-15000),0)</f>
        <v>0</v>
      </c>
      <c r="AB143" s="5">
        <f>IF($C143="Defense",$N143*150000,IF($C143="Midfield",$N143*125000,IF($C143="Striker",$N143*100000,0)))*$H143</f>
        <v>0</v>
      </c>
      <c r="AC143" s="5">
        <f>$O143*50000*H143</f>
        <v>0</v>
      </c>
      <c r="AD143" s="5">
        <f>$P143*K143*10000</f>
        <v>0</v>
      </c>
      <c r="AE143" s="5">
        <f>IF($C143="Goalkeeper",J143*75000,IF($C143="Defense",J143*50000,0))</f>
        <v>0</v>
      </c>
      <c r="AF143" s="5">
        <f>IF($C143="Goalkeeper",(L143-I143)*5000,0)</f>
        <v>0</v>
      </c>
      <c r="AG143" s="5">
        <f>IF(M143&gt;0,Q143*(-20000),0)</f>
        <v>0</v>
      </c>
      <c r="AH143" s="5">
        <f>IF(M143&gt;0,R143*(-50000),0)</f>
        <v>0</v>
      </c>
      <c r="AI143" s="5">
        <f>IF(M143&gt;0,S143*10000,0)</f>
        <v>0</v>
      </c>
      <c r="AJ143" s="5">
        <f>IF(M143&gt;0,T143*(-8000),0)</f>
        <v>0</v>
      </c>
      <c r="AK143" s="5">
        <f>IFERROR(SUM(X143:AJ143),-5000)*((Cockpit!$C$3)^0)</f>
        <v>-5000</v>
      </c>
      <c r="AL143" s="16">
        <f>INDEX('Team forecast'!$B$2:$AO$26,MATCH('Master data'!$B143,'Team forecast'!$B$2:$B$26,0),MATCH('Master data'!AL$1,'Team forecast'!$B$2:$AO$2,0))</f>
        <v>1.3846696653928885</v>
      </c>
      <c r="AM143" s="16">
        <f>INDEX('Team forecast'!$B$2:$AO$26,MATCH('Master data'!$B143,'Team forecast'!$B$2:$B$26,0),MATCH('Master data'!AM$1,'Team forecast'!$B$2:$AO$2,0))</f>
        <v>0.97920455728472433</v>
      </c>
      <c r="AN143" s="16">
        <f>INDEX('Team forecast'!$B$2:$AO$26,MATCH('Master data'!$B143,'Team forecast'!$B$2:$B$26,0),MATCH('Master data'!AN$1,'Team forecast'!$B$2:$AO$2,0))</f>
        <v>0.37560975609756098</v>
      </c>
      <c r="AO143" s="16">
        <f>INDEX('Team forecast'!$B$2:$AO$26,MATCH('Master data'!$B143,'Team forecast'!$B$2:$B$26,0),MATCH('Master data'!AO$1,'Team forecast'!$B$2:$AO$2,0))</f>
        <v>3.9274266872961929</v>
      </c>
      <c r="AP143" s="16">
        <f>INDEX('Team forecast'!$B$2:$AO$26,MATCH('Master data'!$B143,'Team forecast'!$B$2:$B$26,0),MATCH('Master data'!AP$1,'Team forecast'!$B$2:$AO$2,0))</f>
        <v>3.1824148111753541</v>
      </c>
      <c r="AQ143" s="5">
        <f>X143</f>
        <v>-5000</v>
      </c>
      <c r="AR143" s="5">
        <f>INDEX('Team forecast'!$B$2:$AO$26,MATCH('Master data'!$B143,'Team forecast'!$B$2:$B$26,0),MATCH('Master data'!AR$1,'Team forecast'!$B$2:$AO$2,0))*IF(X143&gt;0,25000,0)</f>
        <v>0</v>
      </c>
      <c r="AS143" s="16">
        <f>INDEX('Team forecast'!$B$2:$AO$26,MATCH('Master data'!$B143,'Team forecast'!$B$2:$B$26,0),MATCH('Master data'!AS$1,'Team forecast'!$B$2:$AO$2,0))*IF(X143&gt;0,5000,0)</f>
        <v>0</v>
      </c>
      <c r="AT143" s="16">
        <f>INDEX('Team forecast'!$B$2:$AO$26,MATCH('Master data'!$B143,'Team forecast'!$B$2:$B$26,0),MATCH('Master data'!AT$1,'Team forecast'!$B$2:$AO$2,0))*IF(X143&gt;0,-15000,0)</f>
        <v>0</v>
      </c>
      <c r="AU143" s="5">
        <f>IF($C143="Defense",$N143*150000,IF($C143="Midfield",$N143*125000,IF($C143="Striker",$N143*100000,0)))*$AL143</f>
        <v>0</v>
      </c>
      <c r="AV143" s="5">
        <f>$O143*50000*AL143</f>
        <v>0</v>
      </c>
      <c r="AW143" s="5">
        <f>$P143*AO143*10000</f>
        <v>0</v>
      </c>
      <c r="AX143" s="5">
        <f>IF($C143="Goalkeeper",AN143*75000,IF($C143="Defense",AN143*50000,0))</f>
        <v>0</v>
      </c>
      <c r="AY143" s="5">
        <f>IF($C143="Goalkeeper",(AP143-AM143)*5000,0)</f>
        <v>0</v>
      </c>
      <c r="AZ143" s="5">
        <f>$AG143</f>
        <v>0</v>
      </c>
      <c r="BA143" s="5">
        <f>$AH143</f>
        <v>0</v>
      </c>
      <c r="BB143" s="5">
        <f>IF(X143&gt;0,AL143*10000,0)</f>
        <v>0</v>
      </c>
      <c r="BC143" s="5">
        <f>IF(X143&gt;0,AM143*(-8000),0)</f>
        <v>0</v>
      </c>
      <c r="BD143" s="5">
        <f>IFERROR(SUM(AQ143:BC143),0)</f>
        <v>-5000</v>
      </c>
      <c r="BE143" s="16">
        <f>INDEX('Team forecast'!$B$2:$AO$26,MATCH('Master data'!$B143,'Team forecast'!$B$2:$B$26,0),MATCH('Master data'!BE$1,'Team forecast'!$B$2:$AO$2,0))</f>
        <v>1.5039270856478595</v>
      </c>
      <c r="BF143" s="16">
        <f>INDEX('Team forecast'!$B$2:$AO$26,MATCH('Master data'!$B143,'Team forecast'!$B$2:$B$26,0),MATCH('Master data'!BF$1,'Team forecast'!$B$2:$AO$2,0))</f>
        <v>0.82681690399773144</v>
      </c>
      <c r="BG143" s="16">
        <f>INDEX('Team forecast'!$B$2:$AO$26,MATCH('Master data'!$B143,'Team forecast'!$B$2:$B$26,0),MATCH('Master data'!BG$1,'Team forecast'!$B$2:$AO$2,0))</f>
        <v>0.43743948445487602</v>
      </c>
      <c r="BH143" s="16">
        <f>INDEX('Team forecast'!$B$2:$AO$26,MATCH('Master data'!$B143,'Team forecast'!$B$2:$B$26,0),MATCH('Master data'!BH$1,'Team forecast'!$B$2:$AO$2,0))</f>
        <v>4.2656840974739287</v>
      </c>
      <c r="BI143" s="16">
        <f>INDEX('Team forecast'!$B$2:$AO$26,MATCH('Master data'!$B143,'Team forecast'!$B$2:$B$26,0),MATCH('Master data'!BI$1,'Team forecast'!$B$2:$AO$2,0))</f>
        <v>2.6871549379926272</v>
      </c>
      <c r="BJ143" s="5">
        <f>AQ143</f>
        <v>-5000</v>
      </c>
      <c r="BK143" s="5">
        <f>INDEX('Team forecast'!$R$3:$BH$26,MATCH($B143,'Team forecast'!$B$3:$B$26,0),MATCH(BK$1,'Team forecast'!$R$2:$BH$2,0))*IF($X143&gt;0,25000,0)</f>
        <v>0</v>
      </c>
      <c r="BL143" s="5">
        <f>INDEX('Team forecast'!$R$3:$BH$26,MATCH($B143,'Team forecast'!$B$3:$B$26,0),MATCH(BL$1,'Team forecast'!$R$2:$BH$2,0))*IF($X143&gt;0,5000,0)</f>
        <v>0</v>
      </c>
      <c r="BM143" s="5">
        <f>INDEX('Team forecast'!$R$3:$BH$26,MATCH($B143,'Team forecast'!$B$3:$B$26,0),MATCH(BM$1,'Team forecast'!$R$2:$BH$2,0))*IF($X143&gt;0,-15000,0)</f>
        <v>0</v>
      </c>
      <c r="BN143" s="5">
        <f>IF($C143="Defense",$N143*150000,IF($C143="Midfield",$N143*125000,IF($C143="Striker",$N143*100000,0)))*$BE143</f>
        <v>0</v>
      </c>
      <c r="BO143" s="5">
        <f>$O143*50000*$BE143</f>
        <v>0</v>
      </c>
      <c r="BP143" s="5">
        <f>$P143*BH143*10000</f>
        <v>0</v>
      </c>
      <c r="BQ143" s="5">
        <f>IF($C143="Goalkeeper",BG143*75000,IF($C143="Defense",BG143*50000,0))</f>
        <v>0</v>
      </c>
      <c r="BR143" s="5">
        <f>IF($C143="Goalkeeper",(BI143-BF143)*5000,0)</f>
        <v>0</v>
      </c>
      <c r="BS143" s="5">
        <f>$AG143</f>
        <v>0</v>
      </c>
      <c r="BT143" s="5">
        <f>$AH143</f>
        <v>0</v>
      </c>
      <c r="BU143" s="5">
        <f>IF(AQ143&gt;0,BE143*10000,0)</f>
        <v>0</v>
      </c>
      <c r="BV143" s="5">
        <f>IF(AQ143&gt;0,BF143*(-8000),0)</f>
        <v>0</v>
      </c>
      <c r="BW143" s="5">
        <f>IFERROR(SUM(BJ143:BV143),0)</f>
        <v>-5000</v>
      </c>
      <c r="BX143" s="5">
        <f>AVERAGE(AK143,BD143,BW143)</f>
        <v>-5000</v>
      </c>
      <c r="BY143" s="5">
        <f>BX143*3</f>
        <v>-15000</v>
      </c>
      <c r="BZ143" s="5">
        <f>INDEX('Team forecast'!$R$3:$BH$26,MATCH($B143,'Team forecast'!$B$3:$B$26,0),MATCH(BZ$1,'Team forecast'!$R$2:$BH$2,0))*($BX143-(BY143+CH143)*0.01)</f>
        <v>-26012.410794192951</v>
      </c>
      <c r="CA143" s="5">
        <f>INDEX('Team forecast'!$R$3:$BH$26,MATCH($B143,'Team forecast'!$B$3:$B$26,0),MATCH(CA$1,'Team forecast'!$R$2:$BH$2,0))*($BX143-(BY143+BX143+CH143)*0.01)</f>
        <v>-12836.542545781067</v>
      </c>
      <c r="CB143" s="5">
        <f>INDEX('Team forecast'!$R$3:$BH$26,MATCH($B143,'Team forecast'!$B$3:$B$26,0),MATCH(CB$1,'Team forecast'!$R$2:$BH$2,0))*($BX143-(BY143+BX143*2+CH143)*0.01)</f>
        <v>-6267.1337339770234</v>
      </c>
      <c r="CC143" s="5">
        <f>INDEX('Team forecast'!$R$3:$BH$26,MATCH($B143,'Team forecast'!$B$3:$B$26,0),MATCH(CC$1,'Team forecast'!$R$2:$BH$2,0))*($BX143-(BY143+BX143*3+CH143)*0.01)</f>
        <v>-2946.3246436272348</v>
      </c>
      <c r="CD143" s="5">
        <f>+AK143+BD143*Cockpit!$C$3+BW143*Cockpit!$C$3^2+BZ143*Cockpit!$C$3^3+CA143*Cockpit!$C$3^4+CB143*Cockpit!$C$3^5+CC143*Cockpit!$C$3^6</f>
        <v>-21882.513681470627</v>
      </c>
      <c r="CE143" s="5"/>
      <c r="CF143" s="5"/>
      <c r="CG143" s="5">
        <v>0</v>
      </c>
      <c r="CH143" s="5">
        <f t="shared" si="49"/>
        <v>3000000</v>
      </c>
      <c r="CI143" s="5">
        <f t="shared" si="50"/>
        <v>3000000</v>
      </c>
      <c r="CJ143" s="1">
        <f t="shared" si="51"/>
        <v>-5.0000000000000001E-3</v>
      </c>
      <c r="CK143" s="5">
        <f>RANK(BY143,$BY$2:$BY$623)+COUNTIF($BY$2:$BY143,$BY143)-1</f>
        <v>469</v>
      </c>
      <c r="CL143" s="5">
        <f>RANK(CJ143,$CJ$2:$CJ$623)+COUNTIF($CJ$2:$CJ143,$CJ143)-1</f>
        <v>491</v>
      </c>
    </row>
    <row r="144" spans="1:90">
      <c r="A144" t="str">
        <f>Players!P145</f>
        <v>Gianluigi Donnarumma</v>
      </c>
      <c r="B144" t="str">
        <f>Players!G145</f>
        <v>Italy</v>
      </c>
      <c r="C144" t="str">
        <f>Players!AB145</f>
        <v>Goalkeeper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5000000</v>
      </c>
      <c r="H144" s="16">
        <f>INDEX('Team forecast'!$B$2:$AO$26,MATCH('Master data'!$B144,'Team forecast'!$B$2:$B$26,0),MATCH('Master data'!H$1,'Team forecast'!$B$2:$AO$2,0))</f>
        <v>1.6593477618235051</v>
      </c>
      <c r="I144" s="16">
        <f>INDEX('Team forecast'!$B$2:$AO$26,MATCH('Master data'!$B144,'Team forecast'!$B$2:$B$26,0),MATCH('Master data'!I$1,'Team forecast'!$B$2:$AO$2,0))</f>
        <v>0.65422581624273402</v>
      </c>
      <c r="J144" s="16">
        <f>INDEX('Team forecast'!$B$2:$AO$26,MATCH('Master data'!$B144,'Team forecast'!$B$2:$B$26,0),MATCH('Master data'!J$1,'Team forecast'!$B$2:$AO$2,0))</f>
        <v>0.51984436190144767</v>
      </c>
      <c r="K144" s="16">
        <f>INDEX('Team forecast'!$B$2:$AO$26,MATCH('Master data'!$B144,'Team forecast'!$B$2:$B$26,0),MATCH('Master data'!K$1,'Team forecast'!$B$2:$AO$2,0))</f>
        <v>4.5343674133251923</v>
      </c>
      <c r="L144" s="16">
        <f>INDEX('Team forecast'!$B$2:$AO$26,MATCH('Master data'!$B144,'Team forecast'!$B$2:$B$26,0),MATCH('Master data'!L$1,'Team forecast'!$B$2:$AO$2,0))</f>
        <v>2.1477110129180663</v>
      </c>
      <c r="M144">
        <f>IF(Players!BC145=1,95,0)</f>
        <v>95</v>
      </c>
      <c r="N144" s="2">
        <f>Players!BN145</f>
        <v>0</v>
      </c>
      <c r="O144" s="2">
        <f>Players!BO145</f>
        <v>0</v>
      </c>
      <c r="P144" s="2">
        <f>Players!BP145</f>
        <v>0</v>
      </c>
      <c r="Q144" s="2">
        <f>Players!BQ145</f>
        <v>0.11351351351351352</v>
      </c>
      <c r="R144" s="2">
        <f>Players!BR145</f>
        <v>0</v>
      </c>
      <c r="S144" s="2">
        <f>H144</f>
        <v>1.6593477618235051</v>
      </c>
      <c r="T144" s="2">
        <f>I144</f>
        <v>0.65422581624273402</v>
      </c>
      <c r="U144" s="16">
        <f>INDEX('Team forecast'!$B$2:$AO$26,MATCH('Master data'!$B144,'Team forecast'!$B$2:$B$26,0),MATCH('Master data'!U$1,'Team forecast'!$B$2:$AO$2,0))</f>
        <v>0.61375173050299947</v>
      </c>
      <c r="V144" s="16">
        <f>INDEX('Team forecast'!$B$2:$AO$26,MATCH('Master data'!$B144,'Team forecast'!$B$2:$B$26,0),MATCH('Master data'!V$1,'Team forecast'!$B$2:$AO$2,0))</f>
        <v>0.25034610059990769</v>
      </c>
      <c r="W144" s="16">
        <f>INDEX('Team forecast'!$B$2:$AO$26,MATCH('Master data'!$B144,'Team forecast'!$B$2:$B$26,0),MATCH('Master data'!W$1,'Team forecast'!$B$2:$AO$2,0))</f>
        <v>0.13590216889709281</v>
      </c>
      <c r="X144" s="5">
        <f>IF(M144&gt;95,7000*2,IF(M144&gt;0,7000,-5000))</f>
        <v>7000</v>
      </c>
      <c r="Y144" s="5">
        <f>IF($X144&gt;0,U144*25000,0)</f>
        <v>15343.793262574987</v>
      </c>
      <c r="Z144" s="5">
        <f>IF($X144&gt;0,V144*5000,0)</f>
        <v>1251.7305029995384</v>
      </c>
      <c r="AA144" s="5">
        <f>IF($X144&gt;0,W144*(-15000),0)</f>
        <v>-2038.532533456392</v>
      </c>
      <c r="AB144" s="5">
        <f>IF($C144="Defense",$N144*150000,IF($C144="Midfield",$N144*125000,IF($C144="Striker",$N144*100000,0)))*$H144</f>
        <v>0</v>
      </c>
      <c r="AC144" s="5">
        <f>$O144*50000*H144</f>
        <v>0</v>
      </c>
      <c r="AD144" s="5">
        <f>$P144*K144*10000</f>
        <v>0</v>
      </c>
      <c r="AE144" s="5">
        <f>IF($C144="Goalkeeper",J144*75000,IF($C144="Defense",J144*50000,0))</f>
        <v>38988.327142608578</v>
      </c>
      <c r="AF144" s="5">
        <f>IF($C144="Goalkeeper",(L144-I144)*5000,0)</f>
        <v>7467.425983376661</v>
      </c>
      <c r="AG144" s="5">
        <f>IF(M144&gt;0,Q144*(-20000),0)</f>
        <v>-2270.2702702702704</v>
      </c>
      <c r="AH144" s="5">
        <f>IF(M144&gt;0,R144*(-50000),0)</f>
        <v>0</v>
      </c>
      <c r="AI144" s="5">
        <f>IF(M144&gt;0,S144*10000,0)</f>
        <v>16593.477618235051</v>
      </c>
      <c r="AJ144" s="5">
        <f>IF(M144&gt;0,T144*(-8000),0)</f>
        <v>-5233.8065299418722</v>
      </c>
      <c r="AK144" s="5">
        <f>IFERROR(SUM(X144:AJ144),-5000)*((Cockpit!$C$3)^0)</f>
        <v>77102.145176126287</v>
      </c>
      <c r="AL144" s="16">
        <f>INDEX('Team forecast'!$B$2:$AO$26,MATCH('Master data'!$B144,'Team forecast'!$B$2:$B$26,0),MATCH('Master data'!AL$1,'Team forecast'!$B$2:$AO$2,0))</f>
        <v>1.5198357804321134</v>
      </c>
      <c r="AM144" s="16">
        <f>INDEX('Team forecast'!$B$2:$AO$26,MATCH('Master data'!$B144,'Team forecast'!$B$2:$B$26,0),MATCH('Master data'!AM$1,'Team forecast'!$B$2:$AO$2,0))</f>
        <v>0.79620558314709244</v>
      </c>
      <c r="AN144" s="16">
        <f>INDEX('Team forecast'!$B$2:$AO$26,MATCH('Master data'!$B144,'Team forecast'!$B$2:$B$26,0),MATCH('Master data'!AN$1,'Team forecast'!$B$2:$AO$2,0))</f>
        <v>0.45103714423540769</v>
      </c>
      <c r="AO144" s="16">
        <f>INDEX('Team forecast'!$B$2:$AO$26,MATCH('Master data'!$B144,'Team forecast'!$B$2:$B$26,0),MATCH('Master data'!AO$1,'Team forecast'!$B$2:$AO$2,0))</f>
        <v>4.1531341379722457</v>
      </c>
      <c r="AP144" s="16">
        <f>INDEX('Team forecast'!$B$2:$AO$26,MATCH('Master data'!$B144,'Team forecast'!$B$2:$B$26,0),MATCH('Master data'!AP$1,'Team forecast'!$B$2:$AO$2,0))</f>
        <v>2.6138062073010611</v>
      </c>
      <c r="AQ144" s="5">
        <f>X144</f>
        <v>7000</v>
      </c>
      <c r="AR144" s="5">
        <f>INDEX('Team forecast'!$B$2:$AO$26,MATCH('Master data'!$B144,'Team forecast'!$B$2:$B$26,0),MATCH('Master data'!AR$1,'Team forecast'!$B$2:$AO$2,0))*IF(X144&gt;0,25000,0)</f>
        <v>13929.088277858178</v>
      </c>
      <c r="AS144" s="16">
        <f>INDEX('Team forecast'!$B$2:$AO$26,MATCH('Master data'!$B144,'Team forecast'!$B$2:$B$26,0),MATCH('Master data'!AS$1,'Team forecast'!$B$2:$AO$2,0))*IF(X144&gt;0,5000,0)</f>
        <v>1353.111432706223</v>
      </c>
      <c r="AT144" s="16">
        <f>INDEX('Team forecast'!$B$2:$AO$26,MATCH('Master data'!$B144,'Team forecast'!$B$2:$B$26,0),MATCH('Master data'!AT$1,'Team forecast'!$B$2:$AO$2,0))*IF(X144&gt;0,-15000,0)</f>
        <v>-2583.2127351664258</v>
      </c>
      <c r="AU144" s="5">
        <f>IF($C144="Defense",$N144*150000,IF($C144="Midfield",$N144*125000,IF($C144="Striker",$N144*100000,0)))*$AL144</f>
        <v>0</v>
      </c>
      <c r="AV144" s="5">
        <f>$O144*50000*AL144</f>
        <v>0</v>
      </c>
      <c r="AW144" s="5">
        <f>$P144*AO144*10000</f>
        <v>0</v>
      </c>
      <c r="AX144" s="5">
        <f>IF($C144="Goalkeeper",AN144*75000,IF($C144="Defense",AN144*50000,0))</f>
        <v>33827.785817655575</v>
      </c>
      <c r="AY144" s="5">
        <f>IF($C144="Goalkeeper",(AP144-AM144)*5000,0)</f>
        <v>9088.003120769843</v>
      </c>
      <c r="AZ144" s="5">
        <f>$AG144</f>
        <v>-2270.2702702702704</v>
      </c>
      <c r="BA144" s="5">
        <f>$AH144</f>
        <v>0</v>
      </c>
      <c r="BB144" s="5">
        <f>IF(X144&gt;0,AL144*10000,0)</f>
        <v>15198.357804321135</v>
      </c>
      <c r="BC144" s="5">
        <f>IF(X144&gt;0,AM144*(-8000),0)</f>
        <v>-6369.6446651767392</v>
      </c>
      <c r="BD144" s="5">
        <f>IFERROR(SUM(AQ144:BC144),0)</f>
        <v>69173.218782697528</v>
      </c>
      <c r="BE144" s="16">
        <f>INDEX('Team forecast'!$B$2:$AO$26,MATCH('Master data'!$B144,'Team forecast'!$B$2:$B$26,0),MATCH('Master data'!BE$1,'Team forecast'!$B$2:$AO$2,0))</f>
        <v>1.8402581758343768</v>
      </c>
      <c r="BF144" s="16">
        <f>INDEX('Team forecast'!$B$2:$AO$26,MATCH('Master data'!$B144,'Team forecast'!$B$2:$B$26,0),MATCH('Master data'!BF$1,'Team forecast'!$B$2:$AO$2,0))</f>
        <v>0.65281467345965161</v>
      </c>
      <c r="BG144" s="16">
        <f>INDEX('Team forecast'!$B$2:$AO$26,MATCH('Master data'!$B144,'Team forecast'!$B$2:$B$26,0),MATCH('Master data'!BG$1,'Team forecast'!$B$2:$AO$2,0))</f>
        <v>0.52057845435388617</v>
      </c>
      <c r="BH144" s="16">
        <f>INDEX('Team forecast'!$B$2:$AO$26,MATCH('Master data'!$B144,'Team forecast'!$B$2:$B$26,0),MATCH('Master data'!BH$1,'Team forecast'!$B$2:$AO$2,0))</f>
        <v>5.0287268869057034</v>
      </c>
      <c r="BI144" s="16">
        <f>INDEX('Team forecast'!$B$2:$AO$26,MATCH('Master data'!$B144,'Team forecast'!$B$2:$B$26,0),MATCH('Master data'!BI$1,'Team forecast'!$B$2:$AO$2,0))</f>
        <v>2.1430784734786541</v>
      </c>
      <c r="BJ144" s="5">
        <f>AQ144</f>
        <v>7000</v>
      </c>
      <c r="BK144" s="5">
        <f>INDEX('Team forecast'!$R$3:$BH$26,MATCH($B144,'Team forecast'!$B$3:$B$26,0),MATCH(BK$1,'Team forecast'!$R$2:$BH$2,0))*IF($X144&gt;0,25000,0)</f>
        <v>16539.211310201594</v>
      </c>
      <c r="BL144" s="5">
        <f>INDEX('Team forecast'!$R$3:$BH$26,MATCH($B144,'Team forecast'!$B$3:$B$26,0),MATCH(BL$1,'Team forecast'!$R$2:$BH$2,0))*IF($X144&gt;0,5000,0)</f>
        <v>1147.781411406761</v>
      </c>
      <c r="BM144" s="5">
        <f>INDEX('Team forecast'!$R$3:$BH$26,MATCH($B144,'Team forecast'!$B$3:$B$26,0),MATCH(BM$1,'Team forecast'!$R$2:$BH$2,0))*IF($X144&gt;0,-15000,0)</f>
        <v>-1633.128979658763</v>
      </c>
      <c r="BN144" s="5">
        <f>IF($C144="Defense",$N144*150000,IF($C144="Midfield",$N144*125000,IF($C144="Striker",$N144*100000,0)))*$BE144</f>
        <v>0</v>
      </c>
      <c r="BO144" s="5">
        <f>$O144*50000*$BE144</f>
        <v>0</v>
      </c>
      <c r="BP144" s="5">
        <f>$P144*BH144*10000</f>
        <v>0</v>
      </c>
      <c r="BQ144" s="5">
        <f>IF($C144="Goalkeeper",BG144*75000,IF($C144="Defense",BG144*50000,0))</f>
        <v>39043.384076541464</v>
      </c>
      <c r="BR144" s="5">
        <f>IF($C144="Goalkeeper",(BI144-BF144)*5000,0)</f>
        <v>7451.3190000950126</v>
      </c>
      <c r="BS144" s="5">
        <f>$AG144</f>
        <v>-2270.2702702702704</v>
      </c>
      <c r="BT144" s="5">
        <f>$AH144</f>
        <v>0</v>
      </c>
      <c r="BU144" s="5">
        <f>IF(AQ144&gt;0,BE144*10000,0)</f>
        <v>18402.581758343767</v>
      </c>
      <c r="BV144" s="5">
        <f>IF(AQ144&gt;0,BF144*(-8000),0)</f>
        <v>-5222.5173876772133</v>
      </c>
      <c r="BW144" s="5">
        <f>IFERROR(SUM(BJ144:BV144),0)</f>
        <v>80458.360918982362</v>
      </c>
      <c r="BX144" s="5">
        <f>AVERAGE(AK144,BD144,BW144)</f>
        <v>75577.908292602064</v>
      </c>
      <c r="BY144" s="5">
        <f>BX144*3</f>
        <v>226733.72487780621</v>
      </c>
      <c r="BZ144" s="5">
        <f>INDEX('Team forecast'!$R$3:$BH$26,MATCH($B144,'Team forecast'!$B$3:$B$26,0),MATCH(BZ$1,'Team forecast'!$R$2:$BH$2,0))*($BX144-(BY144+CH144)*0.01)</f>
        <v>22323.576616260249</v>
      </c>
      <c r="CA144" s="5">
        <f>INDEX('Team forecast'!$R$3:$BH$26,MATCH($B144,'Team forecast'!$B$3:$B$26,0),MATCH(CA$1,'Team forecast'!$R$2:$BH$2,0))*($BX144-(BY144+BX144+CH144)*0.01)</f>
        <v>10887.486145634977</v>
      </c>
      <c r="CB144" s="5">
        <f>INDEX('Team forecast'!$R$3:$BH$26,MATCH($B144,'Team forecast'!$B$3:$B$26,0),MATCH(CB$1,'Team forecast'!$R$2:$BH$2,0))*($BX144-(BY144+BX144*2+CH144)*0.01)</f>
        <v>5341.0036352739644</v>
      </c>
      <c r="CC144" s="5">
        <f>INDEX('Team forecast'!$R$3:$BH$26,MATCH($B144,'Team forecast'!$B$3:$B$26,0),MATCH(CC$1,'Team forecast'!$R$2:$BH$2,0))*($BX144-(BY144+BX144*3+CH144)*0.01)</f>
        <v>2677.0885514194015</v>
      </c>
      <c r="CD144" s="5">
        <f>+AK144+BD144*Cockpit!$C$3+BW144*Cockpit!$C$3^2+BZ144*Cockpit!$C$3^3+CA144*Cockpit!$C$3^4+CB144*Cockpit!$C$3^5+CC144*Cockpit!$C$3^6</f>
        <v>168680.27115212366</v>
      </c>
      <c r="CE144" s="5"/>
      <c r="CF144" s="5"/>
      <c r="CG144" s="5">
        <v>0</v>
      </c>
      <c r="CH144" s="5">
        <f t="shared" si="49"/>
        <v>5000000</v>
      </c>
      <c r="CI144" s="5">
        <f t="shared" si="50"/>
        <v>5000000</v>
      </c>
      <c r="CJ144" s="1">
        <f t="shared" si="51"/>
        <v>4.5346744975561244E-2</v>
      </c>
      <c r="CK144" s="5">
        <f>RANK(BY144,$BY$2:$BY$623)+COUNTIF($BY$2:$BY144,$BY144)-1</f>
        <v>30</v>
      </c>
      <c r="CL144" s="5">
        <f>RANK(CJ144,$CJ$2:$CJ$623)+COUNTIF($CJ$2:$CJ144,$CJ144)-1</f>
        <v>52</v>
      </c>
    </row>
    <row r="145" spans="1:90">
      <c r="A145" t="str">
        <f>Players!P146</f>
        <v>Emerson</v>
      </c>
      <c r="B145" t="str">
        <f>Players!G146</f>
        <v>Italy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4000000</v>
      </c>
      <c r="H145" s="16">
        <f>INDEX('Team forecast'!$B$2:$AO$26,MATCH('Master data'!$B145,'Team forecast'!$B$2:$B$26,0),MATCH('Master data'!H$1,'Team forecast'!$B$2:$AO$2,0))</f>
        <v>1.6593477618235051</v>
      </c>
      <c r="I145" s="16">
        <f>INDEX('Team forecast'!$B$2:$AO$26,MATCH('Master data'!$B145,'Team forecast'!$B$2:$B$26,0),MATCH('Master data'!I$1,'Team forecast'!$B$2:$AO$2,0))</f>
        <v>0.65422581624273402</v>
      </c>
      <c r="J145" s="16">
        <f>INDEX('Team forecast'!$B$2:$AO$26,MATCH('Master data'!$B145,'Team forecast'!$B$2:$B$26,0),MATCH('Master data'!J$1,'Team forecast'!$B$2:$AO$2,0))</f>
        <v>0.51984436190144767</v>
      </c>
      <c r="K145" s="16">
        <f>INDEX('Team forecast'!$B$2:$AO$26,MATCH('Master data'!$B145,'Team forecast'!$B$2:$B$26,0),MATCH('Master data'!K$1,'Team forecast'!$B$2:$AO$2,0))</f>
        <v>4.5343674133251923</v>
      </c>
      <c r="L145" s="16">
        <f>INDEX('Team forecast'!$B$2:$AO$26,MATCH('Master data'!$B145,'Team forecast'!$B$2:$B$26,0),MATCH('Master data'!L$1,'Team forecast'!$B$2:$AO$2,0))</f>
        <v>2.1477110129180663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0.13536096256684491</v>
      </c>
      <c r="R145" s="2">
        <f>Players!BR146</f>
        <v>3.0080213903743314E-2</v>
      </c>
      <c r="S145" s="2">
        <f>H145</f>
        <v>1.6593477618235051</v>
      </c>
      <c r="T145" s="2">
        <f>I145</f>
        <v>0.65422581624273402</v>
      </c>
      <c r="U145" s="16">
        <f>INDEX('Team forecast'!$B$2:$AO$26,MATCH('Master data'!$B145,'Team forecast'!$B$2:$B$26,0),MATCH('Master data'!U$1,'Team forecast'!$B$2:$AO$2,0))</f>
        <v>0.61375173050299947</v>
      </c>
      <c r="V145" s="16">
        <f>INDEX('Team forecast'!$B$2:$AO$26,MATCH('Master data'!$B145,'Team forecast'!$B$2:$B$26,0),MATCH('Master data'!V$1,'Team forecast'!$B$2:$AO$2,0))</f>
        <v>0.25034610059990769</v>
      </c>
      <c r="W145" s="16">
        <f>INDEX('Team forecast'!$B$2:$AO$26,MATCH('Master data'!$B145,'Team forecast'!$B$2:$B$26,0),MATCH('Master data'!W$1,'Team forecast'!$B$2:$AO$2,0))</f>
        <v>0.13590216889709281</v>
      </c>
      <c r="X145" s="5">
        <f>IF(M145&gt;95,7000*2,IF(M145&gt;0,7000,-5000))</f>
        <v>-5000</v>
      </c>
      <c r="Y145" s="5">
        <f>IF($X145&gt;0,U145*25000,0)</f>
        <v>0</v>
      </c>
      <c r="Z145" s="5">
        <f>IF($X145&gt;0,V145*5000,0)</f>
        <v>0</v>
      </c>
      <c r="AA145" s="5">
        <f>IF($X145&gt;0,W145*(-15000),0)</f>
        <v>0</v>
      </c>
      <c r="AB145" s="5">
        <f>IF($C145="Defense",$N145*150000,IF($C145="Midfield",$N145*125000,IF($C145="Striker",$N145*100000,0)))*$H145</f>
        <v>0</v>
      </c>
      <c r="AC145" s="5">
        <f>$O145*50000*H145</f>
        <v>0</v>
      </c>
      <c r="AD145" s="5">
        <f>$P145*K145*10000</f>
        <v>0</v>
      </c>
      <c r="AE145" s="5">
        <f>IF($C145="Goalkeeper",J145*75000,IF($C145="Defense",J145*50000,0))</f>
        <v>25992.218095072385</v>
      </c>
      <c r="AF145" s="5">
        <f>IF($C145="Goalkeeper",(L145-I145)*5000,0)</f>
        <v>0</v>
      </c>
      <c r="AG145" s="5">
        <f>IF(M145&gt;0,Q145*(-20000),0)</f>
        <v>0</v>
      </c>
      <c r="AH145" s="5">
        <f>IF(M145&gt;0,R145*(-50000),0)</f>
        <v>0</v>
      </c>
      <c r="AI145" s="5">
        <f>IF(M145&gt;0,S145*10000,0)</f>
        <v>0</v>
      </c>
      <c r="AJ145" s="5">
        <f>IF(M145&gt;0,T145*(-8000),0)</f>
        <v>0</v>
      </c>
      <c r="AK145" s="5">
        <f>IFERROR(SUM(X145:AJ145),-5000)*((Cockpit!$C$3)^0)</f>
        <v>20992.218095072385</v>
      </c>
      <c r="AL145" s="16">
        <f>INDEX('Team forecast'!$B$2:$AO$26,MATCH('Master data'!$B145,'Team forecast'!$B$2:$B$26,0),MATCH('Master data'!AL$1,'Team forecast'!$B$2:$AO$2,0))</f>
        <v>1.5198357804321134</v>
      </c>
      <c r="AM145" s="16">
        <f>INDEX('Team forecast'!$B$2:$AO$26,MATCH('Master data'!$B145,'Team forecast'!$B$2:$B$26,0),MATCH('Master data'!AM$1,'Team forecast'!$B$2:$AO$2,0))</f>
        <v>0.79620558314709244</v>
      </c>
      <c r="AN145" s="16">
        <f>INDEX('Team forecast'!$B$2:$AO$26,MATCH('Master data'!$B145,'Team forecast'!$B$2:$B$26,0),MATCH('Master data'!AN$1,'Team forecast'!$B$2:$AO$2,0))</f>
        <v>0.45103714423540769</v>
      </c>
      <c r="AO145" s="16">
        <f>INDEX('Team forecast'!$B$2:$AO$26,MATCH('Master data'!$B145,'Team forecast'!$B$2:$B$26,0),MATCH('Master data'!AO$1,'Team forecast'!$B$2:$AO$2,0))</f>
        <v>4.1531341379722457</v>
      </c>
      <c r="AP145" s="16">
        <f>INDEX('Team forecast'!$B$2:$AO$26,MATCH('Master data'!$B145,'Team forecast'!$B$2:$B$26,0),MATCH('Master data'!AP$1,'Team forecast'!$B$2:$AO$2,0))</f>
        <v>2.6138062073010611</v>
      </c>
      <c r="AQ145" s="5">
        <f>X145</f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>IF($C145="Defense",$N145*150000,IF($C145="Midfield",$N145*125000,IF($C145="Striker",$N145*100000,0)))*$AL145</f>
        <v>0</v>
      </c>
      <c r="AV145" s="5">
        <f>$O145*50000*AL145</f>
        <v>0</v>
      </c>
      <c r="AW145" s="5">
        <f>$P145*AO145*10000</f>
        <v>0</v>
      </c>
      <c r="AX145" s="5">
        <f>IF($C145="Goalkeeper",AN145*75000,IF($C145="Defense",AN145*50000,0))</f>
        <v>22551.857211770384</v>
      </c>
      <c r="AY145" s="5">
        <f>IF($C145="Goalkeeper",(AP145-AM145)*5000,0)</f>
        <v>0</v>
      </c>
      <c r="AZ145" s="5">
        <f>$AG145</f>
        <v>0</v>
      </c>
      <c r="BA145" s="5">
        <f>$AH145</f>
        <v>0</v>
      </c>
      <c r="BB145" s="5">
        <f>IF(X145&gt;0,AL145*10000,0)</f>
        <v>0</v>
      </c>
      <c r="BC145" s="5">
        <f>IF(X145&gt;0,AM145*(-8000),0)</f>
        <v>0</v>
      </c>
      <c r="BD145" s="5">
        <f>IFERROR(SUM(AQ145:BC145),0)</f>
        <v>17551.857211770384</v>
      </c>
      <c r="BE145" s="16">
        <f>INDEX('Team forecast'!$B$2:$AO$26,MATCH('Master data'!$B145,'Team forecast'!$B$2:$B$26,0),MATCH('Master data'!BE$1,'Team forecast'!$B$2:$AO$2,0))</f>
        <v>1.8402581758343768</v>
      </c>
      <c r="BF145" s="16">
        <f>INDEX('Team forecast'!$B$2:$AO$26,MATCH('Master data'!$B145,'Team forecast'!$B$2:$B$26,0),MATCH('Master data'!BF$1,'Team forecast'!$B$2:$AO$2,0))</f>
        <v>0.65281467345965161</v>
      </c>
      <c r="BG145" s="16">
        <f>INDEX('Team forecast'!$B$2:$AO$26,MATCH('Master data'!$B145,'Team forecast'!$B$2:$B$26,0),MATCH('Master data'!BG$1,'Team forecast'!$B$2:$AO$2,0))</f>
        <v>0.52057845435388617</v>
      </c>
      <c r="BH145" s="16">
        <f>INDEX('Team forecast'!$B$2:$AO$26,MATCH('Master data'!$B145,'Team forecast'!$B$2:$B$26,0),MATCH('Master data'!BH$1,'Team forecast'!$B$2:$AO$2,0))</f>
        <v>5.0287268869057034</v>
      </c>
      <c r="BI145" s="16">
        <f>INDEX('Team forecast'!$B$2:$AO$26,MATCH('Master data'!$B145,'Team forecast'!$B$2:$B$26,0),MATCH('Master data'!BI$1,'Team forecast'!$B$2:$AO$2,0))</f>
        <v>2.1430784734786541</v>
      </c>
      <c r="BJ145" s="5">
        <f>AQ145</f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>IF($C145="Defense",$N145*150000,IF($C145="Midfield",$N145*125000,IF($C145="Striker",$N145*100000,0)))*$BE145</f>
        <v>0</v>
      </c>
      <c r="BO145" s="5">
        <f>$O145*50000*$BE145</f>
        <v>0</v>
      </c>
      <c r="BP145" s="5">
        <f>$P145*BH145*10000</f>
        <v>0</v>
      </c>
      <c r="BQ145" s="5">
        <f>IF($C145="Goalkeeper",BG145*75000,IF($C145="Defense",BG145*50000,0))</f>
        <v>26028.92271769431</v>
      </c>
      <c r="BR145" s="5">
        <f>IF($C145="Goalkeeper",(BI145-BF145)*5000,0)</f>
        <v>0</v>
      </c>
      <c r="BS145" s="5">
        <f>$AG145</f>
        <v>0</v>
      </c>
      <c r="BT145" s="5">
        <f>$AH145</f>
        <v>0</v>
      </c>
      <c r="BU145" s="5">
        <f>IF(AQ145&gt;0,BE145*10000,0)</f>
        <v>0</v>
      </c>
      <c r="BV145" s="5">
        <f>IF(AQ145&gt;0,BF145*(-8000),0)</f>
        <v>0</v>
      </c>
      <c r="BW145" s="5">
        <f>IFERROR(SUM(BJ145:BV145),0)</f>
        <v>21028.92271769431</v>
      </c>
      <c r="BX145" s="5">
        <f>AVERAGE(AK145,BD145,BW145)</f>
        <v>19857.666008179029</v>
      </c>
      <c r="BY145" s="5">
        <f>BX145*3</f>
        <v>59572.998024537083</v>
      </c>
      <c r="BZ145" s="5">
        <f>INDEX('Team forecast'!$R$3:$BH$26,MATCH($B145,'Team forecast'!$B$3:$B$26,0),MATCH(BZ$1,'Team forecast'!$R$2:$BH$2,0))*($BX145-(BY145+CH145)*0.01)</f>
        <v>-19859.992236268474</v>
      </c>
      <c r="CA145" s="5">
        <f>INDEX('Team forecast'!$R$3:$BH$26,MATCH($B145,'Team forecast'!$B$3:$B$26,0),MATCH(CA$1,'Team forecast'!$R$2:$BH$2,0))*($BX145-(BY145+BX145+CH145)*0.01)</f>
        <v>-10106.383832483634</v>
      </c>
      <c r="CB145" s="5">
        <f>INDEX('Team forecast'!$R$3:$BH$26,MATCH($B145,'Team forecast'!$B$3:$B$26,0),MATCH(CB$1,'Team forecast'!$R$2:$BH$2,0))*($BX145-(BY145+BX145*2+CH145)*0.01)</f>
        <v>-5178.3662417198002</v>
      </c>
      <c r="CC145" s="5">
        <f>INDEX('Team forecast'!$R$3:$BH$26,MATCH($B145,'Team forecast'!$B$3:$B$26,0),MATCH(CC$1,'Team forecast'!$R$2:$BH$2,0))*($BX145-(BY145+BX145*3+CH145)*0.01)</f>
        <v>-2714.0531775833688</v>
      </c>
      <c r="CD145" s="5">
        <f>+AK145+BD145*Cockpit!$C$3+BW145*Cockpit!$C$3^2+BZ145*Cockpit!$C$3^3+CA145*Cockpit!$C$3^4+CB145*Cockpit!$C$3^5+CC145*Cockpit!$C$3^6</f>
        <v>33238.683675279921</v>
      </c>
      <c r="CE145" s="5"/>
      <c r="CF145" s="5"/>
      <c r="CG145" s="5">
        <v>0</v>
      </c>
      <c r="CH145" s="5">
        <f t="shared" si="49"/>
        <v>4000000</v>
      </c>
      <c r="CI145" s="5">
        <f t="shared" si="50"/>
        <v>4000000</v>
      </c>
      <c r="CJ145" s="1">
        <f t="shared" si="51"/>
        <v>1.4893249506134271E-2</v>
      </c>
      <c r="CK145" s="5">
        <f>RANK(BY145,$BY$2:$BY$623)+COUNTIF($BY$2:$BY145,$BY145)-1</f>
        <v>271</v>
      </c>
      <c r="CL145" s="5">
        <f>RANK(CJ145,$CJ$2:$CJ$623)+COUNTIF($CJ$2:$CJ145,$CJ145)-1</f>
        <v>307</v>
      </c>
    </row>
    <row r="146" spans="1:90">
      <c r="A146" t="str">
        <f>Players!P147</f>
        <v>Dedryck Boyata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3500000</v>
      </c>
      <c r="H146" s="16">
        <f>INDEX('Team forecast'!$B$2:$AO$26,MATCH('Master data'!$B146,'Team forecast'!$B$2:$B$26,0),MATCH('Master data'!H$1,'Team forecast'!$B$2:$AO$2,0))</f>
        <v>1.5602309947683257</v>
      </c>
      <c r="I146" s="16">
        <f>INDEX('Team forecast'!$B$2:$AO$26,MATCH('Master data'!$B146,'Team forecast'!$B$2:$B$26,0),MATCH('Master data'!I$1,'Team forecast'!$B$2:$AO$2,0))</f>
        <v>0.84461095835632183</v>
      </c>
      <c r="J146" s="16">
        <f>INDEX('Team forecast'!$B$2:$AO$26,MATCH('Master data'!$B146,'Team forecast'!$B$2:$B$26,0),MATCH('Master data'!J$1,'Team forecast'!$B$2:$AO$2,0))</f>
        <v>0.42972450642313093</v>
      </c>
      <c r="K146" s="16">
        <f>INDEX('Team forecast'!$B$2:$AO$26,MATCH('Master data'!$B146,'Team forecast'!$B$2:$B$26,0),MATCH('Master data'!K$1,'Team forecast'!$B$2:$AO$2,0))</f>
        <v>4.1655927994293096</v>
      </c>
      <c r="L146" s="16">
        <f>INDEX('Team forecast'!$B$2:$AO$26,MATCH('Master data'!$B146,'Team forecast'!$B$2:$B$26,0),MATCH('Master data'!L$1,'Team forecast'!$B$2:$AO$2,0))</f>
        <v>2.7727127420788342</v>
      </c>
      <c r="M146">
        <f>IF(Players!BC147=1,95,0)</f>
        <v>0</v>
      </c>
      <c r="N146" s="2">
        <f>Players!BN147</f>
        <v>0</v>
      </c>
      <c r="O146" s="2">
        <f>Players!BO147</f>
        <v>0</v>
      </c>
      <c r="P146" s="2">
        <f>Players!BP147</f>
        <v>0</v>
      </c>
      <c r="Q146" s="2">
        <f>Players!BQ147</f>
        <v>8.7435233160621767E-2</v>
      </c>
      <c r="R146" s="2">
        <f>Players!BR147</f>
        <v>0</v>
      </c>
      <c r="S146" s="2">
        <f>H146</f>
        <v>1.5602309947683257</v>
      </c>
      <c r="T146" s="2">
        <f>I146</f>
        <v>0.84461095835632183</v>
      </c>
      <c r="U146" s="16">
        <f>INDEX('Team forecast'!$B$2:$AO$26,MATCH('Master data'!$B146,'Team forecast'!$B$2:$B$26,0),MATCH('Master data'!U$1,'Team forecast'!$B$2:$AO$2,0))</f>
        <v>0.58357649020425184</v>
      </c>
      <c r="V146" s="16">
        <f>INDEX('Team forecast'!$B$2:$AO$26,MATCH('Master data'!$B146,'Team forecast'!$B$2:$B$26,0),MATCH('Master data'!V$1,'Team forecast'!$B$2:$AO$2,0))</f>
        <v>0.23634847853272201</v>
      </c>
      <c r="W146" s="16">
        <f>INDEX('Team forecast'!$B$2:$AO$26,MATCH('Master data'!$B146,'Team forecast'!$B$2:$B$26,0),MATCH('Master data'!W$1,'Team forecast'!$B$2:$AO$2,0))</f>
        <v>0.18007503126302629</v>
      </c>
      <c r="X146" s="5">
        <f>IF(M146&gt;95,7000*2,IF(M146&gt;0,7000,-5000))</f>
        <v>-5000</v>
      </c>
      <c r="Y146" s="5">
        <f>IF($X146&gt;0,U146*25000,0)</f>
        <v>0</v>
      </c>
      <c r="Z146" s="5">
        <f>IF($X146&gt;0,V146*5000,0)</f>
        <v>0</v>
      </c>
      <c r="AA146" s="5">
        <f>IF($X146&gt;0,W146*(-15000),0)</f>
        <v>0</v>
      </c>
      <c r="AB146" s="5">
        <f>IF($C146="Defense",$N146*150000,IF($C146="Midfield",$N146*125000,IF($C146="Striker",$N146*100000,0)))*$H146</f>
        <v>0</v>
      </c>
      <c r="AC146" s="5">
        <f>$O146*50000*H146</f>
        <v>0</v>
      </c>
      <c r="AD146" s="5">
        <f>$P146*K146*10000</f>
        <v>0</v>
      </c>
      <c r="AE146" s="5">
        <f>IF($C146="Goalkeeper",J146*75000,IF($C146="Defense",J146*50000,0))</f>
        <v>21486.225321156548</v>
      </c>
      <c r="AF146" s="5">
        <f>IF($C146="Goalkeeper",(L146-I146)*5000,0)</f>
        <v>0</v>
      </c>
      <c r="AG146" s="5">
        <f>IF(M146&gt;0,Q146*(-20000),0)</f>
        <v>0</v>
      </c>
      <c r="AH146" s="5">
        <f>IF(M146&gt;0,R146*(-50000),0)</f>
        <v>0</v>
      </c>
      <c r="AI146" s="5">
        <f>IF(M146&gt;0,S146*10000,0)</f>
        <v>0</v>
      </c>
      <c r="AJ146" s="5">
        <f>IF(M146&gt;0,T146*(-8000),0)</f>
        <v>0</v>
      </c>
      <c r="AK146" s="5">
        <f>IFERROR(SUM(X146:AJ146),-5000)*((Cockpit!$C$3)^0)</f>
        <v>16486.225321156548</v>
      </c>
      <c r="AL146" s="16">
        <f>INDEX('Team forecast'!$B$2:$AO$26,MATCH('Master data'!$B146,'Team forecast'!$B$2:$B$26,0),MATCH('Master data'!AL$1,'Team forecast'!$B$2:$AO$2,0))</f>
        <v>1.5279674504451852</v>
      </c>
      <c r="AM146" s="16">
        <f>INDEX('Team forecast'!$B$2:$AO$26,MATCH('Master data'!$B146,'Team forecast'!$B$2:$B$26,0),MATCH('Master data'!AM$1,'Team forecast'!$B$2:$AO$2,0))</f>
        <v>1.1610121970988967</v>
      </c>
      <c r="AN146" s="16">
        <f>INDEX('Team forecast'!$B$2:$AO$26,MATCH('Master data'!$B146,'Team forecast'!$B$2:$B$26,0),MATCH('Master data'!AN$1,'Team forecast'!$B$2:$AO$2,0))</f>
        <v>0.31316903161563348</v>
      </c>
      <c r="AO146" s="16">
        <f>INDEX('Team forecast'!$B$2:$AO$26,MATCH('Master data'!$B146,'Team forecast'!$B$2:$B$26,0),MATCH('Master data'!AO$1,'Team forecast'!$B$2:$AO$2,0))</f>
        <v>4.0794537672172888</v>
      </c>
      <c r="AP146" s="16">
        <f>INDEX('Team forecast'!$B$2:$AO$26,MATCH('Master data'!$B146,'Team forecast'!$B$2:$B$26,0),MATCH('Master data'!AP$1,'Team forecast'!$B$2:$AO$2,0))</f>
        <v>3.8114036773448627</v>
      </c>
      <c r="AQ146" s="5">
        <f>X146</f>
        <v>-5000</v>
      </c>
      <c r="AR146" s="5">
        <f>INDEX('Team forecast'!$B$2:$AO$26,MATCH('Master data'!$B146,'Team forecast'!$B$2:$B$26,0),MATCH('Master data'!AR$1,'Team forecast'!$B$2:$AO$2,0))*IF(X146&gt;0,25000,0)</f>
        <v>0</v>
      </c>
      <c r="AS146" s="16">
        <f>INDEX('Team forecast'!$B$2:$AO$26,MATCH('Master data'!$B146,'Team forecast'!$B$2:$B$26,0),MATCH('Master data'!AS$1,'Team forecast'!$B$2:$AO$2,0))*IF(X146&gt;0,5000,0)</f>
        <v>0</v>
      </c>
      <c r="AT146" s="16">
        <f>INDEX('Team forecast'!$B$2:$AO$26,MATCH('Master data'!$B146,'Team forecast'!$B$2:$B$26,0),MATCH('Master data'!AT$1,'Team forecast'!$B$2:$AO$2,0))*IF(X146&gt;0,-15000,0)</f>
        <v>0</v>
      </c>
      <c r="AU146" s="5">
        <f>IF($C146="Defense",$N146*150000,IF($C146="Midfield",$N146*125000,IF($C146="Striker",$N146*100000,0)))*$AL146</f>
        <v>0</v>
      </c>
      <c r="AV146" s="5">
        <f>$O146*50000*AL146</f>
        <v>0</v>
      </c>
      <c r="AW146" s="5">
        <f>$P146*AO146*10000</f>
        <v>0</v>
      </c>
      <c r="AX146" s="5">
        <f>IF($C146="Goalkeeper",AN146*75000,IF($C146="Defense",AN146*50000,0))</f>
        <v>15658.451580781673</v>
      </c>
      <c r="AY146" s="5">
        <f>IF($C146="Goalkeeper",(AP146-AM146)*5000,0)</f>
        <v>0</v>
      </c>
      <c r="AZ146" s="5">
        <f>$AG146</f>
        <v>0</v>
      </c>
      <c r="BA146" s="5">
        <f>$AH146</f>
        <v>0</v>
      </c>
      <c r="BB146" s="5">
        <f>IF(X146&gt;0,AL146*10000,0)</f>
        <v>0</v>
      </c>
      <c r="BC146" s="5">
        <f>IF(X146&gt;0,AM146*(-8000),0)</f>
        <v>0</v>
      </c>
      <c r="BD146" s="5">
        <f>IFERROR(SUM(AQ146:BC146),0)</f>
        <v>10658.451580781673</v>
      </c>
      <c r="BE146" s="16">
        <f>INDEX('Team forecast'!$B$2:$AO$26,MATCH('Master data'!$B146,'Team forecast'!$B$2:$B$26,0),MATCH('Master data'!BE$1,'Team forecast'!$B$2:$AO$2,0))</f>
        <v>2.3394224481215296</v>
      </c>
      <c r="BF146" s="16">
        <f>INDEX('Team forecast'!$B$2:$AO$26,MATCH('Master data'!$B146,'Team forecast'!$B$2:$B$26,0),MATCH('Master data'!BF$1,'Team forecast'!$B$2:$AO$2,0))</f>
        <v>0.62462402002960304</v>
      </c>
      <c r="BG146" s="16">
        <f>INDEX('Team forecast'!$B$2:$AO$26,MATCH('Master data'!$B146,'Team forecast'!$B$2:$B$26,0),MATCH('Master data'!BG$1,'Team forecast'!$B$2:$AO$2,0))</f>
        <v>0.53546271393231015</v>
      </c>
      <c r="BH146" s="16">
        <f>INDEX('Team forecast'!$B$2:$AO$26,MATCH('Master data'!$B146,'Team forecast'!$B$2:$B$26,0),MATCH('Master data'!BH$1,'Team forecast'!$B$2:$AO$2,0))</f>
        <v>6.2459221342192031</v>
      </c>
      <c r="BI146" s="16">
        <f>INDEX('Team forecast'!$B$2:$AO$26,MATCH('Master data'!$B146,'Team forecast'!$B$2:$B$26,0),MATCH('Master data'!BI$1,'Team forecast'!$B$2:$AO$2,0))</f>
        <v>2.0505333990870809</v>
      </c>
      <c r="BJ146" s="5">
        <f>AQ146</f>
        <v>-5000</v>
      </c>
      <c r="BK146" s="5">
        <f>INDEX('Team forecast'!$R$3:$BH$26,MATCH($B146,'Team forecast'!$B$3:$B$26,0),MATCH(BK$1,'Team forecast'!$R$2:$BH$2,0))*IF($X146&gt;0,25000,0)</f>
        <v>0</v>
      </c>
      <c r="BL146" s="5">
        <f>INDEX('Team forecast'!$R$3:$BH$26,MATCH($B146,'Team forecast'!$B$3:$B$26,0),MATCH(BL$1,'Team forecast'!$R$2:$BH$2,0))*IF($X146&gt;0,5000,0)</f>
        <v>0</v>
      </c>
      <c r="BM146" s="5">
        <f>INDEX('Team forecast'!$R$3:$BH$26,MATCH($B146,'Team forecast'!$B$3:$B$26,0),MATCH(BM$1,'Team forecast'!$R$2:$BH$2,0))*IF($X146&gt;0,-15000,0)</f>
        <v>0</v>
      </c>
      <c r="BN146" s="5">
        <f>IF($C146="Defense",$N146*150000,IF($C146="Midfield",$N146*125000,IF($C146="Striker",$N146*100000,0)))*$BE146</f>
        <v>0</v>
      </c>
      <c r="BO146" s="5">
        <f>$O146*50000*$BE146</f>
        <v>0</v>
      </c>
      <c r="BP146" s="5">
        <f>$P146*BH146*10000</f>
        <v>0</v>
      </c>
      <c r="BQ146" s="5">
        <f>IF($C146="Goalkeeper",BG146*75000,IF($C146="Defense",BG146*50000,0))</f>
        <v>26773.135696615507</v>
      </c>
      <c r="BR146" s="5">
        <f>IF($C146="Goalkeeper",(BI146-BF146)*5000,0)</f>
        <v>0</v>
      </c>
      <c r="BS146" s="5">
        <f>$AG146</f>
        <v>0</v>
      </c>
      <c r="BT146" s="5">
        <f>$AH146</f>
        <v>0</v>
      </c>
      <c r="BU146" s="5">
        <f>IF(AQ146&gt;0,BE146*10000,0)</f>
        <v>0</v>
      </c>
      <c r="BV146" s="5">
        <f>IF(AQ146&gt;0,BF146*(-8000),0)</f>
        <v>0</v>
      </c>
      <c r="BW146" s="5">
        <f>IFERROR(SUM(BJ146:BV146),0)</f>
        <v>21773.135696615507</v>
      </c>
      <c r="BX146" s="5">
        <f>AVERAGE(AK146,BD146,BW146)</f>
        <v>16305.937532851241</v>
      </c>
      <c r="BY146" s="5">
        <f>BX146*3</f>
        <v>48917.812598553726</v>
      </c>
      <c r="BZ146" s="5">
        <f>INDEX('Team forecast'!$R$3:$BH$26,MATCH($B146,'Team forecast'!$B$3:$B$26,0),MATCH(BZ$1,'Team forecast'!$R$2:$BH$2,0))*($BX146-(BY146+CH146)*0.01)</f>
        <v>-18371.001736675458</v>
      </c>
      <c r="CA146" s="5">
        <f>INDEX('Team forecast'!$R$3:$BH$26,MATCH($B146,'Team forecast'!$B$3:$B$26,0),MATCH(CA$1,'Team forecast'!$R$2:$BH$2,0))*($BX146-(BY146+BX146+CH146)*0.01)</f>
        <v>-9451.926169522374</v>
      </c>
      <c r="CB146" s="5">
        <f>INDEX('Team forecast'!$R$3:$BH$26,MATCH($B146,'Team forecast'!$B$3:$B$26,0),MATCH(CB$1,'Team forecast'!$R$2:$BH$2,0))*($BX146-(BY146+BX146*2+CH146)*0.01)</f>
        <v>-4944.5581324874329</v>
      </c>
      <c r="CC146" s="5">
        <f>INDEX('Team forecast'!$R$3:$BH$26,MATCH($B146,'Team forecast'!$B$3:$B$26,0),MATCH(CC$1,'Team forecast'!$R$2:$BH$2,0))*($BX146-(BY146+BX146*3+CH146)*0.01)</f>
        <v>-2725.37852212186</v>
      </c>
      <c r="CD146" s="5">
        <f>+AK146+BD146*Cockpit!$C$3+BW146*Cockpit!$C$3^2+BZ146*Cockpit!$C$3^3+CA146*Cockpit!$C$3^4+CB146*Cockpit!$C$3^5+CC146*Cockpit!$C$3^6</f>
        <v>25068.101705649831</v>
      </c>
      <c r="CE146" s="5"/>
      <c r="CF146" s="5"/>
      <c r="CG146" s="5">
        <v>0</v>
      </c>
      <c r="CH146" s="5">
        <f t="shared" si="49"/>
        <v>3500000</v>
      </c>
      <c r="CI146" s="5">
        <f t="shared" si="50"/>
        <v>3500000</v>
      </c>
      <c r="CJ146" s="1">
        <f t="shared" si="51"/>
        <v>1.3976517885301064E-2</v>
      </c>
      <c r="CK146" s="5">
        <f>RANK(BY146,$BY$2:$BY$623)+COUNTIF($BY$2:$BY146,$BY146)-1</f>
        <v>293</v>
      </c>
      <c r="CL146" s="5">
        <f>RANK(CJ146,$CJ$2:$CJ$623)+COUNTIF($CJ$2:$CJ146,$CJ146)-1</f>
        <v>316</v>
      </c>
    </row>
    <row r="147" spans="1:90">
      <c r="A147" t="str">
        <f>Players!P148</f>
        <v>Jason Denayer</v>
      </c>
      <c r="B147" t="str">
        <f>Players!G148</f>
        <v>Belgium</v>
      </c>
      <c r="C147" t="str">
        <f>Players!AB148</f>
        <v>Defense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4000000</v>
      </c>
      <c r="H147" s="16">
        <f>INDEX('Team forecast'!$B$2:$AO$26,MATCH('Master data'!$B147,'Team forecast'!$B$2:$B$26,0),MATCH('Master data'!H$1,'Team forecast'!$B$2:$AO$2,0))</f>
        <v>1.5602309947683257</v>
      </c>
      <c r="I147" s="16">
        <f>INDEX('Team forecast'!$B$2:$AO$26,MATCH('Master data'!$B147,'Team forecast'!$B$2:$B$26,0),MATCH('Master data'!I$1,'Team forecast'!$B$2:$AO$2,0))</f>
        <v>0.84461095835632183</v>
      </c>
      <c r="J147" s="16">
        <f>INDEX('Team forecast'!$B$2:$AO$26,MATCH('Master data'!$B147,'Team forecast'!$B$2:$B$26,0),MATCH('Master data'!J$1,'Team forecast'!$B$2:$AO$2,0))</f>
        <v>0.42972450642313093</v>
      </c>
      <c r="K147" s="16">
        <f>INDEX('Team forecast'!$B$2:$AO$26,MATCH('Master data'!$B147,'Team forecast'!$B$2:$B$26,0),MATCH('Master data'!K$1,'Team forecast'!$B$2:$AO$2,0))</f>
        <v>4.1655927994293096</v>
      </c>
      <c r="L147" s="16">
        <f>INDEX('Team forecast'!$B$2:$AO$26,MATCH('Master data'!$B147,'Team forecast'!$B$2:$B$26,0),MATCH('Master data'!L$1,'Team forecast'!$B$2:$AO$2,0))</f>
        <v>2.7727127420788342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1.7182130584192441E-2</v>
      </c>
      <c r="R147" s="2">
        <f>Players!BR148</f>
        <v>0</v>
      </c>
      <c r="S147" s="2">
        <f>H147</f>
        <v>1.5602309947683257</v>
      </c>
      <c r="T147" s="2">
        <f>I147</f>
        <v>0.84461095835632183</v>
      </c>
      <c r="U147" s="16">
        <f>INDEX('Team forecast'!$B$2:$AO$26,MATCH('Master data'!$B147,'Team forecast'!$B$2:$B$26,0),MATCH('Master data'!U$1,'Team forecast'!$B$2:$AO$2,0))</f>
        <v>0.58357649020425184</v>
      </c>
      <c r="V147" s="16">
        <f>INDEX('Team forecast'!$B$2:$AO$26,MATCH('Master data'!$B147,'Team forecast'!$B$2:$B$26,0),MATCH('Master data'!V$1,'Team forecast'!$B$2:$AO$2,0))</f>
        <v>0.23634847853272201</v>
      </c>
      <c r="W147" s="16">
        <f>INDEX('Team forecast'!$B$2:$AO$26,MATCH('Master data'!$B147,'Team forecast'!$B$2:$B$26,0),MATCH('Master data'!W$1,'Team forecast'!$B$2:$AO$2,0))</f>
        <v>0.18007503126302629</v>
      </c>
      <c r="X147" s="5">
        <f>IF(M147&gt;95,7000*2,IF(M147&gt;0,7000,-5000))</f>
        <v>-5000</v>
      </c>
      <c r="Y147" s="5">
        <f>IF($X147&gt;0,U147*25000,0)</f>
        <v>0</v>
      </c>
      <c r="Z147" s="5">
        <f>IF($X147&gt;0,V147*5000,0)</f>
        <v>0</v>
      </c>
      <c r="AA147" s="5">
        <f>IF($X147&gt;0,W147*(-15000),0)</f>
        <v>0</v>
      </c>
      <c r="AB147" s="5">
        <f>IF($C147="Defense",$N147*150000,IF($C147="Midfield",$N147*125000,IF($C147="Striker",$N147*100000,0)))*$H147</f>
        <v>0</v>
      </c>
      <c r="AC147" s="5">
        <f>$O147*50000*H147</f>
        <v>0</v>
      </c>
      <c r="AD147" s="5">
        <f>$P147*K147*10000</f>
        <v>0</v>
      </c>
      <c r="AE147" s="5">
        <f>IF($C147="Goalkeeper",J147*75000,IF($C147="Defense",J147*50000,0))</f>
        <v>21486.225321156548</v>
      </c>
      <c r="AF147" s="5">
        <f>IF($C147="Goalkeeper",(L147-I147)*5000,0)</f>
        <v>0</v>
      </c>
      <c r="AG147" s="5">
        <f>IF(M147&gt;0,Q147*(-20000),0)</f>
        <v>0</v>
      </c>
      <c r="AH147" s="5">
        <f>IF(M147&gt;0,R147*(-50000),0)</f>
        <v>0</v>
      </c>
      <c r="AI147" s="5">
        <f>IF(M147&gt;0,S147*10000,0)</f>
        <v>0</v>
      </c>
      <c r="AJ147" s="5">
        <f>IF(M147&gt;0,T147*(-8000),0)</f>
        <v>0</v>
      </c>
      <c r="AK147" s="5">
        <f>IFERROR(SUM(X147:AJ147),-5000)*((Cockpit!$C$3)^0)</f>
        <v>16486.225321156548</v>
      </c>
      <c r="AL147" s="16">
        <f>INDEX('Team forecast'!$B$2:$AO$26,MATCH('Master data'!$B147,'Team forecast'!$B$2:$B$26,0),MATCH('Master data'!AL$1,'Team forecast'!$B$2:$AO$2,0))</f>
        <v>1.5279674504451852</v>
      </c>
      <c r="AM147" s="16">
        <f>INDEX('Team forecast'!$B$2:$AO$26,MATCH('Master data'!$B147,'Team forecast'!$B$2:$B$26,0),MATCH('Master data'!AM$1,'Team forecast'!$B$2:$AO$2,0))</f>
        <v>1.1610121970988967</v>
      </c>
      <c r="AN147" s="16">
        <f>INDEX('Team forecast'!$B$2:$AO$26,MATCH('Master data'!$B147,'Team forecast'!$B$2:$B$26,0),MATCH('Master data'!AN$1,'Team forecast'!$B$2:$AO$2,0))</f>
        <v>0.31316903161563348</v>
      </c>
      <c r="AO147" s="16">
        <f>INDEX('Team forecast'!$B$2:$AO$26,MATCH('Master data'!$B147,'Team forecast'!$B$2:$B$26,0),MATCH('Master data'!AO$1,'Team forecast'!$B$2:$AO$2,0))</f>
        <v>4.0794537672172888</v>
      </c>
      <c r="AP147" s="16">
        <f>INDEX('Team forecast'!$B$2:$AO$26,MATCH('Master data'!$B147,'Team forecast'!$B$2:$B$26,0),MATCH('Master data'!AP$1,'Team forecast'!$B$2:$AO$2,0))</f>
        <v>3.8114036773448627</v>
      </c>
      <c r="AQ147" s="5">
        <f>X147</f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>IF($C147="Defense",$N147*150000,IF($C147="Midfield",$N147*125000,IF($C147="Striker",$N147*100000,0)))*$AL147</f>
        <v>0</v>
      </c>
      <c r="AV147" s="5">
        <f>$O147*50000*AL147</f>
        <v>0</v>
      </c>
      <c r="AW147" s="5">
        <f>$P147*AO147*10000</f>
        <v>0</v>
      </c>
      <c r="AX147" s="5">
        <f>IF($C147="Goalkeeper",AN147*75000,IF($C147="Defense",AN147*50000,0))</f>
        <v>15658.451580781673</v>
      </c>
      <c r="AY147" s="5">
        <f>IF($C147="Goalkeeper",(AP147-AM147)*5000,0)</f>
        <v>0</v>
      </c>
      <c r="AZ147" s="5">
        <f>$AG147</f>
        <v>0</v>
      </c>
      <c r="BA147" s="5">
        <f>$AH147</f>
        <v>0</v>
      </c>
      <c r="BB147" s="5">
        <f>IF(X147&gt;0,AL147*10000,0)</f>
        <v>0</v>
      </c>
      <c r="BC147" s="5">
        <f>IF(X147&gt;0,AM147*(-8000),0)</f>
        <v>0</v>
      </c>
      <c r="BD147" s="5">
        <f>IFERROR(SUM(AQ147:BC147),0)</f>
        <v>10658.451580781673</v>
      </c>
      <c r="BE147" s="16">
        <f>INDEX('Team forecast'!$B$2:$AO$26,MATCH('Master data'!$B147,'Team forecast'!$B$2:$B$26,0),MATCH('Master data'!BE$1,'Team forecast'!$B$2:$AO$2,0))</f>
        <v>2.3394224481215296</v>
      </c>
      <c r="BF147" s="16">
        <f>INDEX('Team forecast'!$B$2:$AO$26,MATCH('Master data'!$B147,'Team forecast'!$B$2:$B$26,0),MATCH('Master data'!BF$1,'Team forecast'!$B$2:$AO$2,0))</f>
        <v>0.62462402002960304</v>
      </c>
      <c r="BG147" s="16">
        <f>INDEX('Team forecast'!$B$2:$AO$26,MATCH('Master data'!$B147,'Team forecast'!$B$2:$B$26,0),MATCH('Master data'!BG$1,'Team forecast'!$B$2:$AO$2,0))</f>
        <v>0.53546271393231015</v>
      </c>
      <c r="BH147" s="16">
        <f>INDEX('Team forecast'!$B$2:$AO$26,MATCH('Master data'!$B147,'Team forecast'!$B$2:$B$26,0),MATCH('Master data'!BH$1,'Team forecast'!$B$2:$AO$2,0))</f>
        <v>6.2459221342192031</v>
      </c>
      <c r="BI147" s="16">
        <f>INDEX('Team forecast'!$B$2:$AO$26,MATCH('Master data'!$B147,'Team forecast'!$B$2:$B$26,0),MATCH('Master data'!BI$1,'Team forecast'!$B$2:$AO$2,0))</f>
        <v>2.0505333990870809</v>
      </c>
      <c r="BJ147" s="5">
        <f>AQ147</f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>IF($C147="Defense",$N147*150000,IF($C147="Midfield",$N147*125000,IF($C147="Striker",$N147*100000,0)))*$BE147</f>
        <v>0</v>
      </c>
      <c r="BO147" s="5">
        <f>$O147*50000*$BE147</f>
        <v>0</v>
      </c>
      <c r="BP147" s="5">
        <f>$P147*BH147*10000</f>
        <v>0</v>
      </c>
      <c r="BQ147" s="5">
        <f>IF($C147="Goalkeeper",BG147*75000,IF($C147="Defense",BG147*50000,0))</f>
        <v>26773.135696615507</v>
      </c>
      <c r="BR147" s="5">
        <f>IF($C147="Goalkeeper",(BI147-BF147)*5000,0)</f>
        <v>0</v>
      </c>
      <c r="BS147" s="5">
        <f>$AG147</f>
        <v>0</v>
      </c>
      <c r="BT147" s="5">
        <f>$AH147</f>
        <v>0</v>
      </c>
      <c r="BU147" s="5">
        <f>IF(AQ147&gt;0,BE147*10000,0)</f>
        <v>0</v>
      </c>
      <c r="BV147" s="5">
        <f>IF(AQ147&gt;0,BF147*(-8000),0)</f>
        <v>0</v>
      </c>
      <c r="BW147" s="5">
        <f>IFERROR(SUM(BJ147:BV147),0)</f>
        <v>21773.135696615507</v>
      </c>
      <c r="BX147" s="5">
        <f>AVERAGE(AK147,BD147,BW147)</f>
        <v>16305.937532851241</v>
      </c>
      <c r="BY147" s="5">
        <f>BX147*3</f>
        <v>48917.812598553726</v>
      </c>
      <c r="BZ147" s="5">
        <f>INDEX('Team forecast'!$R$3:$BH$26,MATCH($B147,'Team forecast'!$B$3:$B$26,0),MATCH(BZ$1,'Team forecast'!$R$2:$BH$2,0))*($BX147-(BY147+CH147)*0.01)</f>
        <v>-23159.296406568315</v>
      </c>
      <c r="CA147" s="5">
        <f>INDEX('Team forecast'!$R$3:$BH$26,MATCH($B147,'Team forecast'!$B$3:$B$26,0),MATCH(CA$1,'Team forecast'!$R$2:$BH$2,0))*($BX147-(BY147+BX147+CH147)*0.01)</f>
        <v>-11894.751460386866</v>
      </c>
      <c r="CB147" s="5">
        <f>INDEX('Team forecast'!$R$3:$BH$26,MATCH($B147,'Team forecast'!$B$3:$B$26,0),MATCH(CB$1,'Team forecast'!$R$2:$BH$2,0))*($BX147-(BY147+BX147*2+CH147)*0.01)</f>
        <v>-6211.7853246660916</v>
      </c>
      <c r="CC147" s="5">
        <f>INDEX('Team forecast'!$R$3:$BH$26,MATCH($B147,'Team forecast'!$B$3:$B$26,0),MATCH(CC$1,'Team forecast'!$R$2:$BH$2,0))*($BX147-(BY147+BX147*3+CH147)*0.01)</f>
        <v>-3418.0687705947221</v>
      </c>
      <c r="CD147" s="5">
        <f>+AK147+BD147*Cockpit!$C$3+BW147*Cockpit!$C$3^2+BZ147*Cockpit!$C$3^3+CA147*Cockpit!$C$3^4+CB147*Cockpit!$C$3^5+CC147*Cockpit!$C$3^6</f>
        <v>22939.124371036993</v>
      </c>
      <c r="CE147" s="5"/>
      <c r="CF147" s="5"/>
      <c r="CG147" s="5">
        <v>0</v>
      </c>
      <c r="CH147" s="5">
        <f t="shared" si="49"/>
        <v>4000000</v>
      </c>
      <c r="CI147" s="5">
        <f t="shared" si="50"/>
        <v>4000000</v>
      </c>
      <c r="CJ147" s="1">
        <f t="shared" si="51"/>
        <v>1.2229453149638431E-2</v>
      </c>
      <c r="CK147" s="5">
        <f>RANK(BY147,$BY$2:$BY$623)+COUNTIF($BY$2:$BY147,$BY147)-1</f>
        <v>294</v>
      </c>
      <c r="CL147" s="5">
        <f>RANK(CJ147,$CJ$2:$CJ$623)+COUNTIF($CJ$2:$CJ147,$CJ147)-1</f>
        <v>336</v>
      </c>
    </row>
    <row r="148" spans="1:90">
      <c r="A148" t="str">
        <f>Players!P149</f>
        <v>Tim Krul</v>
      </c>
      <c r="B148" t="str">
        <f>Players!G149</f>
        <v>Netherlands</v>
      </c>
      <c r="C148" t="str">
        <f>Players!AB149</f>
        <v>Goalkeeper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5000000</v>
      </c>
      <c r="H148" s="16">
        <f>INDEX('Team forecast'!$B$2:$AO$26,MATCH('Master data'!$B148,'Team forecast'!$B$2:$B$26,0),MATCH('Master data'!H$1,'Team forecast'!$B$2:$AO$2,0))</f>
        <v>1.5712166996139025</v>
      </c>
      <c r="I148" s="16">
        <f>INDEX('Team forecast'!$B$2:$AO$26,MATCH('Master data'!$B148,'Team forecast'!$B$2:$B$26,0),MATCH('Master data'!I$1,'Team forecast'!$B$2:$AO$2,0))</f>
        <v>0.76028648339757388</v>
      </c>
      <c r="J148" s="16">
        <f>INDEX('Team forecast'!$B$2:$AO$26,MATCH('Master data'!$B148,'Team forecast'!$B$2:$B$26,0),MATCH('Master data'!J$1,'Team forecast'!$B$2:$AO$2,0))</f>
        <v>0.46753246753246752</v>
      </c>
      <c r="K148" s="16">
        <f>INDEX('Team forecast'!$B$2:$AO$26,MATCH('Master data'!$B148,'Team forecast'!$B$2:$B$26,0),MATCH('Master data'!K$1,'Team forecast'!$B$2:$AO$2,0))</f>
        <v>4.4640175390899657</v>
      </c>
      <c r="L148" s="16">
        <f>INDEX('Team forecast'!$B$2:$AO$26,MATCH('Master data'!$B148,'Team forecast'!$B$2:$B$26,0),MATCH('Master data'!L$1,'Team forecast'!$B$2:$AO$2,0))</f>
        <v>2.4958899707496114</v>
      </c>
      <c r="M148">
        <f>IF(Players!BC149=1,95,0)</f>
        <v>95</v>
      </c>
      <c r="N148" s="2">
        <f>Players!BN149</f>
        <v>0</v>
      </c>
      <c r="O148" s="2">
        <f>Players!BO149</f>
        <v>0</v>
      </c>
      <c r="P148" s="2">
        <f>Players!BP149</f>
        <v>8.4690023140450363E-2</v>
      </c>
      <c r="Q148" s="2">
        <f>Players!BQ149</f>
        <v>0.16245487364620939</v>
      </c>
      <c r="R148" s="2">
        <f>Players!BR149</f>
        <v>0.06</v>
      </c>
      <c r="S148" s="2">
        <f>H148</f>
        <v>1.5712166996139025</v>
      </c>
      <c r="T148" s="2">
        <f>I148</f>
        <v>0.76028648339757388</v>
      </c>
      <c r="U148" s="16">
        <f>INDEX('Team forecast'!$B$2:$AO$26,MATCH('Master data'!$B148,'Team forecast'!$B$2:$B$26,0),MATCH('Master data'!U$1,'Team forecast'!$B$2:$AO$2,0))</f>
        <v>0.58441558441558439</v>
      </c>
      <c r="V148" s="16">
        <f>INDEX('Team forecast'!$B$2:$AO$26,MATCH('Master data'!$B148,'Team forecast'!$B$2:$B$26,0),MATCH('Master data'!V$1,'Team forecast'!$B$2:$AO$2,0))</f>
        <v>0.25974025974025972</v>
      </c>
      <c r="W148" s="16">
        <f>INDEX('Team forecast'!$B$2:$AO$26,MATCH('Master data'!$B148,'Team forecast'!$B$2:$B$26,0),MATCH('Master data'!W$1,'Team forecast'!$B$2:$AO$2,0))</f>
        <v>0.15584415584415581</v>
      </c>
      <c r="X148" s="5">
        <f>IF(M148&gt;95,7000*2,IF(M148&gt;0,7000,-5000))</f>
        <v>7000</v>
      </c>
      <c r="Y148" s="5">
        <f>IF($X148&gt;0,U148*25000,0)</f>
        <v>14610.38961038961</v>
      </c>
      <c r="Z148" s="5">
        <f>IF($X148&gt;0,V148*5000,0)</f>
        <v>1298.7012987012986</v>
      </c>
      <c r="AA148" s="5">
        <f>IF($X148&gt;0,W148*(-15000),0)</f>
        <v>-2337.662337662337</v>
      </c>
      <c r="AB148" s="5">
        <f>IF($C148="Defense",$N148*150000,IF($C148="Midfield",$N148*125000,IF($C148="Striker",$N148*100000,0)))*$H148</f>
        <v>0</v>
      </c>
      <c r="AC148" s="5">
        <f>$O148*50000*H148</f>
        <v>0</v>
      </c>
      <c r="AD148" s="5">
        <f>$P148*K148*10000</f>
        <v>3780.5774868490548</v>
      </c>
      <c r="AE148" s="5">
        <f>IF($C148="Goalkeeper",J148*75000,IF($C148="Defense",J148*50000,0))</f>
        <v>35064.935064935067</v>
      </c>
      <c r="AF148" s="5">
        <f>IF($C148="Goalkeeper",(L148-I148)*5000,0)</f>
        <v>8678.0174367601885</v>
      </c>
      <c r="AG148" s="5">
        <f>IF(M148&gt;0,Q148*(-20000),0)</f>
        <v>-3249.097472924188</v>
      </c>
      <c r="AH148" s="5">
        <f>IF(M148&gt;0,R148*(-50000),0)</f>
        <v>-3000</v>
      </c>
      <c r="AI148" s="5">
        <f>IF(M148&gt;0,S148*10000,0)</f>
        <v>15712.166996139025</v>
      </c>
      <c r="AJ148" s="5">
        <f>IF(M148&gt;0,T148*(-8000),0)</f>
        <v>-6082.291867180591</v>
      </c>
      <c r="AK148" s="5">
        <f>IFERROR(SUM(X148:AJ148),-5000)*((Cockpit!$C$3)^0)</f>
        <v>71475.736216007135</v>
      </c>
      <c r="AL148" s="16">
        <f>INDEX('Team forecast'!$B$2:$AO$26,MATCH('Master data'!$B148,'Team forecast'!$B$2:$B$26,0),MATCH('Master data'!AL$1,'Team forecast'!$B$2:$AO$2,0))</f>
        <v>1.8476112368050062</v>
      </c>
      <c r="AM148" s="16">
        <f>INDEX('Team forecast'!$B$2:$AO$26,MATCH('Master data'!$B148,'Team forecast'!$B$2:$B$26,0),MATCH('Master data'!AM$1,'Team forecast'!$B$2:$AO$2,0))</f>
        <v>0.7977891123063281</v>
      </c>
      <c r="AN148" s="16">
        <f>INDEX('Team forecast'!$B$2:$AO$26,MATCH('Master data'!$B148,'Team forecast'!$B$2:$B$26,0),MATCH('Master data'!AN$1,'Team forecast'!$B$2:$AO$2,0))</f>
        <v>0.45032347896962183</v>
      </c>
      <c r="AO148" s="16">
        <f>INDEX('Team forecast'!$B$2:$AO$26,MATCH('Master data'!$B148,'Team forecast'!$B$2:$B$26,0),MATCH('Master data'!AO$1,'Team forecast'!$B$2:$AO$2,0))</f>
        <v>5.2492879998945963</v>
      </c>
      <c r="AP148" s="16">
        <f>INDEX('Team forecast'!$B$2:$AO$26,MATCH('Master data'!$B148,'Team forecast'!$B$2:$B$26,0),MATCH('Master data'!AP$1,'Team forecast'!$B$2:$AO$2,0))</f>
        <v>2.6190046616116831</v>
      </c>
      <c r="AQ148" s="5">
        <f>X148</f>
        <v>7000</v>
      </c>
      <c r="AR148" s="5">
        <f>INDEX('Team forecast'!$B$2:$AO$26,MATCH('Master data'!$B148,'Team forecast'!$B$2:$B$26,0),MATCH('Master data'!AR$1,'Team forecast'!$B$2:$AO$2,0))*IF(X148&gt;0,25000,0)</f>
        <v>15452.276239153689</v>
      </c>
      <c r="AS148" s="16">
        <f>INDEX('Team forecast'!$B$2:$AO$26,MATCH('Master data'!$B148,'Team forecast'!$B$2:$B$26,0),MATCH('Master data'!AS$1,'Team forecast'!$B$2:$AO$2,0))*IF(X148&gt;0,5000,0)</f>
        <v>1182.0991322952575</v>
      </c>
      <c r="AT148" s="16">
        <f>INDEX('Team forecast'!$B$2:$AO$26,MATCH('Master data'!$B148,'Team forecast'!$B$2:$B$26,0),MATCH('Master data'!AT$1,'Team forecast'!$B$2:$AO$2,0))*IF(X148&gt;0,-15000,0)</f>
        <v>-2182.3368596220134</v>
      </c>
      <c r="AU148" s="5">
        <f>IF($C148="Defense",$N148*150000,IF($C148="Midfield",$N148*125000,IF($C148="Striker",$N148*100000,0)))*$AL148</f>
        <v>0</v>
      </c>
      <c r="AV148" s="5">
        <f>$O148*50000*AL148</f>
        <v>0</v>
      </c>
      <c r="AW148" s="5">
        <f>$P148*AO148*10000</f>
        <v>4445.6232218196174</v>
      </c>
      <c r="AX148" s="5">
        <f>IF($C148="Goalkeeper",AN148*75000,IF($C148="Defense",AN148*50000,0))</f>
        <v>33774.260922721638</v>
      </c>
      <c r="AY148" s="5">
        <f>IF($C148="Goalkeeper",(AP148-AM148)*5000,0)</f>
        <v>9106.0777465267747</v>
      </c>
      <c r="AZ148" s="5">
        <f>$AG148</f>
        <v>-3249.097472924188</v>
      </c>
      <c r="BA148" s="5">
        <f>$AH148</f>
        <v>-3000</v>
      </c>
      <c r="BB148" s="5">
        <f>IF(X148&gt;0,AL148*10000,0)</f>
        <v>18476.11236805006</v>
      </c>
      <c r="BC148" s="5">
        <f>IF(X148&gt;0,AM148*(-8000),0)</f>
        <v>-6382.3128984506247</v>
      </c>
      <c r="BD148" s="5">
        <f>IFERROR(SUM(AQ148:BC148),0)</f>
        <v>74622.702399570218</v>
      </c>
      <c r="BE148" s="16">
        <f>INDEX('Team forecast'!$B$2:$AO$26,MATCH('Master data'!$B148,'Team forecast'!$B$2:$B$26,0),MATCH('Master data'!BE$1,'Team forecast'!$B$2:$AO$2,0))</f>
        <v>2.3683451623921505</v>
      </c>
      <c r="BF148" s="16">
        <f>INDEX('Team forecast'!$B$2:$AO$26,MATCH('Master data'!$B148,'Team forecast'!$B$2:$B$26,0),MATCH('Master data'!BF$1,'Team forecast'!$B$2:$AO$2,0))</f>
        <v>0.49102780480244929</v>
      </c>
      <c r="BG148" s="16">
        <f>INDEX('Team forecast'!$B$2:$AO$26,MATCH('Master data'!$B148,'Team forecast'!$B$2:$B$26,0),MATCH('Master data'!BG$1,'Team forecast'!$B$2:$AO$2,0))</f>
        <v>0.61199705730750009</v>
      </c>
      <c r="BH148" s="16">
        <f>INDEX('Team forecast'!$B$2:$AO$26,MATCH('Master data'!$B148,'Team forecast'!$B$2:$B$26,0),MATCH('Master data'!BH$1,'Team forecast'!$B$2:$AO$2,0))</f>
        <v>6.7287563492262965</v>
      </c>
      <c r="BI148" s="16">
        <f>INDEX('Team forecast'!$B$2:$AO$26,MATCH('Master data'!$B148,'Team forecast'!$B$2:$B$26,0),MATCH('Master data'!BI$1,'Team forecast'!$B$2:$AO$2,0))</f>
        <v>1.6119599652605658</v>
      </c>
      <c r="BJ148" s="5">
        <f>AQ148</f>
        <v>7000</v>
      </c>
      <c r="BK148" s="5">
        <f>INDEX('Team forecast'!$R$3:$BH$26,MATCH($B148,'Team forecast'!$B$3:$B$26,0),MATCH(BK$1,'Team forecast'!$R$2:$BH$2,0))*IF($X148&gt;0,25000,0)</f>
        <v>19838.040205094814</v>
      </c>
      <c r="BL148" s="5">
        <f>INDEX('Team forecast'!$R$3:$BH$26,MATCH($B148,'Team forecast'!$B$3:$B$26,0),MATCH(BL$1,'Team forecast'!$R$2:$BH$2,0))*IF($X148&gt;0,5000,0)</f>
        <v>720.27345975421156</v>
      </c>
      <c r="BM148" s="5">
        <f>INDEX('Team forecast'!$R$3:$BH$26,MATCH($B148,'Team forecast'!$B$3:$B$26,0),MATCH(BM$1,'Team forecast'!$R$2:$BH$2,0))*IF($X148&gt;0,-15000,0)</f>
        <v>-936.3554976804752</v>
      </c>
      <c r="BN148" s="5">
        <f>IF($C148="Defense",$N148*150000,IF($C148="Midfield",$N148*125000,IF($C148="Striker",$N148*100000,0)))*$BE148</f>
        <v>0</v>
      </c>
      <c r="BO148" s="5">
        <f>$O148*50000*$BE148</f>
        <v>0</v>
      </c>
      <c r="BP148" s="5">
        <f>$P148*BH148*10000</f>
        <v>5698.5853092242733</v>
      </c>
      <c r="BQ148" s="5">
        <f>IF($C148="Goalkeeper",BG148*75000,IF($C148="Defense",BG148*50000,0))</f>
        <v>45899.779298062509</v>
      </c>
      <c r="BR148" s="5">
        <f>IF($C148="Goalkeeper",(BI148-BF148)*5000,0)</f>
        <v>5604.660802290583</v>
      </c>
      <c r="BS148" s="5">
        <f>$AG148</f>
        <v>-3249.097472924188</v>
      </c>
      <c r="BT148" s="5">
        <f>$AH148</f>
        <v>-3000</v>
      </c>
      <c r="BU148" s="5">
        <f>IF(AQ148&gt;0,BE148*10000,0)</f>
        <v>23683.451623921505</v>
      </c>
      <c r="BV148" s="5">
        <f>IF(AQ148&gt;0,BF148*(-8000),0)</f>
        <v>-3928.2224384195943</v>
      </c>
      <c r="BW148" s="5">
        <f>IFERROR(SUM(BJ148:BV148),0)</f>
        <v>97331.115289323643</v>
      </c>
      <c r="BX148" s="5">
        <f>AVERAGE(AK148,BD148,BW148)</f>
        <v>81143.184634966994</v>
      </c>
      <c r="BY148" s="5">
        <f>BX148*3</f>
        <v>243429.55390490097</v>
      </c>
      <c r="BZ148" s="5">
        <f>INDEX('Team forecast'!$R$3:$BH$26,MATCH($B148,'Team forecast'!$B$3:$B$26,0),MATCH(BZ$1,'Team forecast'!$R$2:$BH$2,0))*($BX148-(BY148+CH148)*0.01)</f>
        <v>27755.165309470663</v>
      </c>
      <c r="CA148" s="5">
        <f>INDEX('Team forecast'!$R$3:$BH$26,MATCH($B148,'Team forecast'!$B$3:$B$26,0),MATCH(CA$1,'Team forecast'!$R$2:$BH$2,0))*($BX148-(BY148+BX148+CH148)*0.01)</f>
        <v>13479.038960602553</v>
      </c>
      <c r="CB148" s="5">
        <f>INDEX('Team forecast'!$R$3:$BH$26,MATCH($B148,'Team forecast'!$B$3:$B$26,0),MATCH(CB$1,'Team forecast'!$R$2:$BH$2,0))*($BX148-(BY148+BX148*2+CH148)*0.01)</f>
        <v>6537.7299681883133</v>
      </c>
      <c r="CC148" s="5">
        <f>INDEX('Team forecast'!$R$3:$BH$26,MATCH($B148,'Team forecast'!$B$3:$B$26,0),MATCH(CC$1,'Team forecast'!$R$2:$BH$2,0))*($BX148-(BY148+BX148*3+CH148)*0.01)</f>
        <v>3163.7299500644904</v>
      </c>
      <c r="CD148" s="5">
        <f>+AK148+BD148*Cockpit!$C$3+BW148*Cockpit!$C$3^2+BZ148*Cockpit!$C$3^3+CA148*Cockpit!$C$3^4+CB148*Cockpit!$C$3^5+CC148*Cockpit!$C$3^6</f>
        <v>176507.44105942911</v>
      </c>
      <c r="CE148" s="5"/>
      <c r="CF148" s="5"/>
      <c r="CG148" s="5">
        <v>0</v>
      </c>
      <c r="CH148" s="5">
        <f t="shared" si="49"/>
        <v>5000000</v>
      </c>
      <c r="CI148" s="5">
        <f t="shared" si="50"/>
        <v>5000000</v>
      </c>
      <c r="CJ148" s="1">
        <f t="shared" si="51"/>
        <v>4.8685910780980196E-2</v>
      </c>
      <c r="CK148" s="5">
        <f>RANK(BY148,$BY$2:$BY$623)+COUNTIF($BY$2:$BY148,$BY148)-1</f>
        <v>22</v>
      </c>
      <c r="CL148" s="5">
        <f>RANK(CJ148,$CJ$2:$CJ$623)+COUNTIF($CJ$2:$CJ148,$CJ148)-1</f>
        <v>35</v>
      </c>
    </row>
    <row r="149" spans="1:90">
      <c r="A149" t="str">
        <f>Players!P150</f>
        <v>Nathan Aké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3500000</v>
      </c>
      <c r="H149" s="16">
        <f>INDEX('Team forecast'!$B$2:$AO$26,MATCH('Master data'!$B149,'Team forecast'!$B$2:$B$26,0),MATCH('Master data'!H$1,'Team forecast'!$B$2:$AO$2,0))</f>
        <v>1.5712166996139025</v>
      </c>
      <c r="I149" s="16">
        <f>INDEX('Team forecast'!$B$2:$AO$26,MATCH('Master data'!$B149,'Team forecast'!$B$2:$B$26,0),MATCH('Master data'!I$1,'Team forecast'!$B$2:$AO$2,0))</f>
        <v>0.76028648339757388</v>
      </c>
      <c r="J149" s="16">
        <f>INDEX('Team forecast'!$B$2:$AO$26,MATCH('Master data'!$B149,'Team forecast'!$B$2:$B$26,0),MATCH('Master data'!J$1,'Team forecast'!$B$2:$AO$2,0))</f>
        <v>0.46753246753246752</v>
      </c>
      <c r="K149" s="16">
        <f>INDEX('Team forecast'!$B$2:$AO$26,MATCH('Master data'!$B149,'Team forecast'!$B$2:$B$26,0),MATCH('Master data'!K$1,'Team forecast'!$B$2:$AO$2,0))</f>
        <v>4.4640175390899657</v>
      </c>
      <c r="L149" s="16">
        <f>INDEX('Team forecast'!$B$2:$AO$26,MATCH('Master data'!$B149,'Team forecast'!$B$2:$B$26,0),MATCH('Master data'!L$1,'Team forecast'!$B$2:$AO$2,0))</f>
        <v>2.4958899707496114</v>
      </c>
      <c r="M149">
        <f>IF(Players!BC150=1,95,0)</f>
        <v>0</v>
      </c>
      <c r="N149" s="2">
        <f>Players!BN150</f>
        <v>0</v>
      </c>
      <c r="O149" s="2">
        <f>Players!BO150</f>
        <v>0</v>
      </c>
      <c r="P149" s="2">
        <f>Players!BP150</f>
        <v>0</v>
      </c>
      <c r="Q149" s="2">
        <f>Players!BQ150</f>
        <v>0.22584692597239647</v>
      </c>
      <c r="R149" s="2">
        <f>Players!BR150</f>
        <v>0</v>
      </c>
      <c r="S149" s="2">
        <f>H149</f>
        <v>1.5712166996139025</v>
      </c>
      <c r="T149" s="2">
        <f>I149</f>
        <v>0.76028648339757388</v>
      </c>
      <c r="U149" s="16">
        <f>INDEX('Team forecast'!$B$2:$AO$26,MATCH('Master data'!$B149,'Team forecast'!$B$2:$B$26,0),MATCH('Master data'!U$1,'Team forecast'!$B$2:$AO$2,0))</f>
        <v>0.58441558441558439</v>
      </c>
      <c r="V149" s="16">
        <f>INDEX('Team forecast'!$B$2:$AO$26,MATCH('Master data'!$B149,'Team forecast'!$B$2:$B$26,0),MATCH('Master data'!V$1,'Team forecast'!$B$2:$AO$2,0))</f>
        <v>0.25974025974025972</v>
      </c>
      <c r="W149" s="16">
        <f>INDEX('Team forecast'!$B$2:$AO$26,MATCH('Master data'!$B149,'Team forecast'!$B$2:$B$26,0),MATCH('Master data'!W$1,'Team forecast'!$B$2:$AO$2,0))</f>
        <v>0.15584415584415581</v>
      </c>
      <c r="X149" s="5">
        <f>IF(M149&gt;95,7000*2,IF(M149&gt;0,7000,-5000))</f>
        <v>-5000</v>
      </c>
      <c r="Y149" s="5">
        <f>IF($X149&gt;0,U149*25000,0)</f>
        <v>0</v>
      </c>
      <c r="Z149" s="5">
        <f>IF($X149&gt;0,V149*5000,0)</f>
        <v>0</v>
      </c>
      <c r="AA149" s="5">
        <f>IF($X149&gt;0,W149*(-15000),0)</f>
        <v>0</v>
      </c>
      <c r="AB149" s="5">
        <f>IF($C149="Defense",$N149*150000,IF($C149="Midfield",$N149*125000,IF($C149="Striker",$N149*100000,0)))*$H149</f>
        <v>0</v>
      </c>
      <c r="AC149" s="5">
        <f>$O149*50000*H149</f>
        <v>0</v>
      </c>
      <c r="AD149" s="5">
        <f>$P149*K149*10000</f>
        <v>0</v>
      </c>
      <c r="AE149" s="5">
        <f>IF($C149="Goalkeeper",J149*75000,IF($C149="Defense",J149*50000,0))</f>
        <v>23376.623376623374</v>
      </c>
      <c r="AF149" s="5">
        <f>IF($C149="Goalkeeper",(L149-I149)*5000,0)</f>
        <v>0</v>
      </c>
      <c r="AG149" s="5">
        <f>IF(M149&gt;0,Q149*(-20000),0)</f>
        <v>0</v>
      </c>
      <c r="AH149" s="5">
        <f>IF(M149&gt;0,R149*(-50000),0)</f>
        <v>0</v>
      </c>
      <c r="AI149" s="5">
        <f>IF(M149&gt;0,S149*10000,0)</f>
        <v>0</v>
      </c>
      <c r="AJ149" s="5">
        <f>IF(M149&gt;0,T149*(-8000),0)</f>
        <v>0</v>
      </c>
      <c r="AK149" s="5">
        <f>IFERROR(SUM(X149:AJ149),-5000)*((Cockpit!$C$3)^0)</f>
        <v>18376.623376623374</v>
      </c>
      <c r="AL149" s="16">
        <f>INDEX('Team forecast'!$B$2:$AO$26,MATCH('Master data'!$B149,'Team forecast'!$B$2:$B$26,0),MATCH('Master data'!AL$1,'Team forecast'!$B$2:$AO$2,0))</f>
        <v>1.8476112368050062</v>
      </c>
      <c r="AM149" s="16">
        <f>INDEX('Team forecast'!$B$2:$AO$26,MATCH('Master data'!$B149,'Team forecast'!$B$2:$B$26,0),MATCH('Master data'!AM$1,'Team forecast'!$B$2:$AO$2,0))</f>
        <v>0.7977891123063281</v>
      </c>
      <c r="AN149" s="16">
        <f>INDEX('Team forecast'!$B$2:$AO$26,MATCH('Master data'!$B149,'Team forecast'!$B$2:$B$26,0),MATCH('Master data'!AN$1,'Team forecast'!$B$2:$AO$2,0))</f>
        <v>0.45032347896962183</v>
      </c>
      <c r="AO149" s="16">
        <f>INDEX('Team forecast'!$B$2:$AO$26,MATCH('Master data'!$B149,'Team forecast'!$B$2:$B$26,0),MATCH('Master data'!AO$1,'Team forecast'!$B$2:$AO$2,0))</f>
        <v>5.2492879998945963</v>
      </c>
      <c r="AP149" s="16">
        <f>INDEX('Team forecast'!$B$2:$AO$26,MATCH('Master data'!$B149,'Team forecast'!$B$2:$B$26,0),MATCH('Master data'!AP$1,'Team forecast'!$B$2:$AO$2,0))</f>
        <v>2.6190046616116831</v>
      </c>
      <c r="AQ149" s="5">
        <f>X149</f>
        <v>-5000</v>
      </c>
      <c r="AR149" s="5">
        <f>INDEX('Team forecast'!$B$2:$AO$26,MATCH('Master data'!$B149,'Team forecast'!$B$2:$B$26,0),MATCH('Master data'!AR$1,'Team forecast'!$B$2:$AO$2,0))*IF(X149&gt;0,25000,0)</f>
        <v>0</v>
      </c>
      <c r="AS149" s="16">
        <f>INDEX('Team forecast'!$B$2:$AO$26,MATCH('Master data'!$B149,'Team forecast'!$B$2:$B$26,0),MATCH('Master data'!AS$1,'Team forecast'!$B$2:$AO$2,0))*IF(X149&gt;0,5000,0)</f>
        <v>0</v>
      </c>
      <c r="AT149" s="16">
        <f>INDEX('Team forecast'!$B$2:$AO$26,MATCH('Master data'!$B149,'Team forecast'!$B$2:$B$26,0),MATCH('Master data'!AT$1,'Team forecast'!$B$2:$AO$2,0))*IF(X149&gt;0,-15000,0)</f>
        <v>0</v>
      </c>
      <c r="AU149" s="5">
        <f>IF($C149="Defense",$N149*150000,IF($C149="Midfield",$N149*125000,IF($C149="Striker",$N149*100000,0)))*$AL149</f>
        <v>0</v>
      </c>
      <c r="AV149" s="5">
        <f>$O149*50000*AL149</f>
        <v>0</v>
      </c>
      <c r="AW149" s="5">
        <f>$P149*AO149*10000</f>
        <v>0</v>
      </c>
      <c r="AX149" s="5">
        <f>IF($C149="Goalkeeper",AN149*75000,IF($C149="Defense",AN149*50000,0))</f>
        <v>22516.17394848109</v>
      </c>
      <c r="AY149" s="5">
        <f>IF($C149="Goalkeeper",(AP149-AM149)*5000,0)</f>
        <v>0</v>
      </c>
      <c r="AZ149" s="5">
        <f>$AG149</f>
        <v>0</v>
      </c>
      <c r="BA149" s="5">
        <f>$AH149</f>
        <v>0</v>
      </c>
      <c r="BB149" s="5">
        <f>IF(X149&gt;0,AL149*10000,0)</f>
        <v>0</v>
      </c>
      <c r="BC149" s="5">
        <f>IF(X149&gt;0,AM149*(-8000),0)</f>
        <v>0</v>
      </c>
      <c r="BD149" s="5">
        <f>IFERROR(SUM(AQ149:BC149),0)</f>
        <v>17516.17394848109</v>
      </c>
      <c r="BE149" s="16">
        <f>INDEX('Team forecast'!$B$2:$AO$26,MATCH('Master data'!$B149,'Team forecast'!$B$2:$B$26,0),MATCH('Master data'!BE$1,'Team forecast'!$B$2:$AO$2,0))</f>
        <v>2.3683451623921505</v>
      </c>
      <c r="BF149" s="16">
        <f>INDEX('Team forecast'!$B$2:$AO$26,MATCH('Master data'!$B149,'Team forecast'!$B$2:$B$26,0),MATCH('Master data'!BF$1,'Team forecast'!$B$2:$AO$2,0))</f>
        <v>0.49102780480244929</v>
      </c>
      <c r="BG149" s="16">
        <f>INDEX('Team forecast'!$B$2:$AO$26,MATCH('Master data'!$B149,'Team forecast'!$B$2:$B$26,0),MATCH('Master data'!BG$1,'Team forecast'!$B$2:$AO$2,0))</f>
        <v>0.61199705730750009</v>
      </c>
      <c r="BH149" s="16">
        <f>INDEX('Team forecast'!$B$2:$AO$26,MATCH('Master data'!$B149,'Team forecast'!$B$2:$B$26,0),MATCH('Master data'!BH$1,'Team forecast'!$B$2:$AO$2,0))</f>
        <v>6.7287563492262965</v>
      </c>
      <c r="BI149" s="16">
        <f>INDEX('Team forecast'!$B$2:$AO$26,MATCH('Master data'!$B149,'Team forecast'!$B$2:$B$26,0),MATCH('Master data'!BI$1,'Team forecast'!$B$2:$AO$2,0))</f>
        <v>1.6119599652605658</v>
      </c>
      <c r="BJ149" s="5">
        <f>AQ149</f>
        <v>-5000</v>
      </c>
      <c r="BK149" s="5">
        <f>INDEX('Team forecast'!$R$3:$BH$26,MATCH($B149,'Team forecast'!$B$3:$B$26,0),MATCH(BK$1,'Team forecast'!$R$2:$BH$2,0))*IF($X149&gt;0,25000,0)</f>
        <v>0</v>
      </c>
      <c r="BL149" s="5">
        <f>INDEX('Team forecast'!$R$3:$BH$26,MATCH($B149,'Team forecast'!$B$3:$B$26,0),MATCH(BL$1,'Team forecast'!$R$2:$BH$2,0))*IF($X149&gt;0,5000,0)</f>
        <v>0</v>
      </c>
      <c r="BM149" s="5">
        <f>INDEX('Team forecast'!$R$3:$BH$26,MATCH($B149,'Team forecast'!$B$3:$B$26,0),MATCH(BM$1,'Team forecast'!$R$2:$BH$2,0))*IF($X149&gt;0,-15000,0)</f>
        <v>0</v>
      </c>
      <c r="BN149" s="5">
        <f>IF($C149="Defense",$N149*150000,IF($C149="Midfield",$N149*125000,IF($C149="Striker",$N149*100000,0)))*$BE149</f>
        <v>0</v>
      </c>
      <c r="BO149" s="5">
        <f>$O149*50000*$BE149</f>
        <v>0</v>
      </c>
      <c r="BP149" s="5">
        <f>$P149*BH149*10000</f>
        <v>0</v>
      </c>
      <c r="BQ149" s="5">
        <f>IF($C149="Goalkeeper",BG149*75000,IF($C149="Defense",BG149*50000,0))</f>
        <v>30599.852865375004</v>
      </c>
      <c r="BR149" s="5">
        <f>IF($C149="Goalkeeper",(BI149-BF149)*5000,0)</f>
        <v>0</v>
      </c>
      <c r="BS149" s="5">
        <f>$AG149</f>
        <v>0</v>
      </c>
      <c r="BT149" s="5">
        <f>$AH149</f>
        <v>0</v>
      </c>
      <c r="BU149" s="5">
        <f>IF(AQ149&gt;0,BE149*10000,0)</f>
        <v>0</v>
      </c>
      <c r="BV149" s="5">
        <f>IF(AQ149&gt;0,BF149*(-8000),0)</f>
        <v>0</v>
      </c>
      <c r="BW149" s="5">
        <f>IFERROR(SUM(BJ149:BV149),0)</f>
        <v>25599.852865375004</v>
      </c>
      <c r="BX149" s="5">
        <f>AVERAGE(AK149,BD149,BW149)</f>
        <v>20497.550063493156</v>
      </c>
      <c r="BY149" s="5">
        <f>BX149*3</f>
        <v>61492.650190479471</v>
      </c>
      <c r="BZ149" s="5">
        <f>INDEX('Team forecast'!$R$3:$BH$26,MATCH($B149,'Team forecast'!$B$3:$B$26,0),MATCH(BZ$1,'Team forecast'!$R$2:$BH$2,0))*($BX149-(BY149+CH149)*0.01)</f>
        <v>-14615.169562700752</v>
      </c>
      <c r="CA149" s="5">
        <f>INDEX('Team forecast'!$R$3:$BH$26,MATCH($B149,'Team forecast'!$B$3:$B$26,0),MATCH(CA$1,'Team forecast'!$R$2:$BH$2,0))*($BX149-(BY149+BX149+CH149)*0.01)</f>
        <v>-7403.204417767095</v>
      </c>
      <c r="CB149" s="5">
        <f>INDEX('Team forecast'!$R$3:$BH$26,MATCH($B149,'Team forecast'!$B$3:$B$26,0),MATCH(CB$1,'Team forecast'!$R$2:$BH$2,0))*($BX149-(BY149+BX149*2+CH149)*0.01)</f>
        <v>-3747.8172754063658</v>
      </c>
      <c r="CC149" s="5">
        <f>INDEX('Team forecast'!$R$3:$BH$26,MATCH($B149,'Team forecast'!$B$3:$B$26,0),MATCH(CC$1,'Team forecast'!$R$2:$BH$2,0))*($BX149-(BY149+BX149*3+CH149)*0.01)</f>
        <v>-1894.330273388935</v>
      </c>
      <c r="CD149" s="5">
        <f>+AK149+BD149*Cockpit!$C$3+BW149*Cockpit!$C$3^2+BZ149*Cockpit!$C$3^3+CA149*Cockpit!$C$3^4+CB149*Cockpit!$C$3^5+CC149*Cockpit!$C$3^6</f>
        <v>34979.157271967117</v>
      </c>
      <c r="CE149" s="5"/>
      <c r="CF149" s="5"/>
      <c r="CG149" s="5">
        <v>0</v>
      </c>
      <c r="CH149" s="5">
        <f t="shared" si="49"/>
        <v>3500000</v>
      </c>
      <c r="CI149" s="5">
        <f t="shared" si="50"/>
        <v>3500000</v>
      </c>
      <c r="CJ149" s="1">
        <f t="shared" si="51"/>
        <v>1.7569328625851279E-2</v>
      </c>
      <c r="CK149" s="5">
        <f>RANK(BY149,$BY$2:$BY$623)+COUNTIF($BY$2:$BY149,$BY149)-1</f>
        <v>263</v>
      </c>
      <c r="CL149" s="5">
        <f>RANK(CJ149,$CJ$2:$CJ$623)+COUNTIF($CJ$2:$CJ149,$CJ149)-1</f>
        <v>282</v>
      </c>
    </row>
    <row r="150" spans="1:90">
      <c r="A150" t="str">
        <f>Players!P151</f>
        <v>Matthijs de Ligt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4000000</v>
      </c>
      <c r="H150" s="16">
        <f>INDEX('Team forecast'!$B$2:$AO$26,MATCH('Master data'!$B150,'Team forecast'!$B$2:$B$26,0),MATCH('Master data'!H$1,'Team forecast'!$B$2:$AO$2,0))</f>
        <v>1.5712166996139025</v>
      </c>
      <c r="I150" s="16">
        <f>INDEX('Team forecast'!$B$2:$AO$26,MATCH('Master data'!$B150,'Team forecast'!$B$2:$B$26,0),MATCH('Master data'!I$1,'Team forecast'!$B$2:$AO$2,0))</f>
        <v>0.76028648339757388</v>
      </c>
      <c r="J150" s="16">
        <f>INDEX('Team forecast'!$B$2:$AO$26,MATCH('Master data'!$B150,'Team forecast'!$B$2:$B$26,0),MATCH('Master data'!J$1,'Team forecast'!$B$2:$AO$2,0))</f>
        <v>0.46753246753246752</v>
      </c>
      <c r="K150" s="16">
        <f>INDEX('Team forecast'!$B$2:$AO$26,MATCH('Master data'!$B150,'Team forecast'!$B$2:$B$26,0),MATCH('Master data'!K$1,'Team forecast'!$B$2:$AO$2,0))</f>
        <v>4.4640175390899657</v>
      </c>
      <c r="L150" s="16">
        <f>INDEX('Team forecast'!$B$2:$AO$26,MATCH('Master data'!$B150,'Team forecast'!$B$2:$B$26,0),MATCH('Master data'!L$1,'Team forecast'!$B$2:$AO$2,0))</f>
        <v>2.4958899707496114</v>
      </c>
      <c r="M150">
        <f>IF(Players!BC151=1,95,0)</f>
        <v>95</v>
      </c>
      <c r="N150" s="2">
        <f>Players!BN151</f>
        <v>3.6509378000061952E-2</v>
      </c>
      <c r="O150" s="2">
        <f>Players!BO151</f>
        <v>7.052490476527741E-2</v>
      </c>
      <c r="P150" s="2">
        <f>Players!BP151</f>
        <v>6.3431644190819522E-2</v>
      </c>
      <c r="Q150" s="2">
        <f>Players!BQ151</f>
        <v>8.1117620549797209E-2</v>
      </c>
      <c r="R150" s="2">
        <f>Players!BR151</f>
        <v>0</v>
      </c>
      <c r="S150" s="2">
        <f>H150</f>
        <v>1.5712166996139025</v>
      </c>
      <c r="T150" s="2">
        <f>I150</f>
        <v>0.76028648339757388</v>
      </c>
      <c r="U150" s="16">
        <f>INDEX('Team forecast'!$B$2:$AO$26,MATCH('Master data'!$B150,'Team forecast'!$B$2:$B$26,0),MATCH('Master data'!U$1,'Team forecast'!$B$2:$AO$2,0))</f>
        <v>0.58441558441558439</v>
      </c>
      <c r="V150" s="16">
        <f>INDEX('Team forecast'!$B$2:$AO$26,MATCH('Master data'!$B150,'Team forecast'!$B$2:$B$26,0),MATCH('Master data'!V$1,'Team forecast'!$B$2:$AO$2,0))</f>
        <v>0.25974025974025972</v>
      </c>
      <c r="W150" s="16">
        <f>INDEX('Team forecast'!$B$2:$AO$26,MATCH('Master data'!$B150,'Team forecast'!$B$2:$B$26,0),MATCH('Master data'!W$1,'Team forecast'!$B$2:$AO$2,0))</f>
        <v>0.15584415584415581</v>
      </c>
      <c r="X150" s="5">
        <f>IF(M150&gt;95,7000*2,IF(M150&gt;0,7000,-5000))</f>
        <v>7000</v>
      </c>
      <c r="Y150" s="5">
        <f>IF($X150&gt;0,U150*25000,0)</f>
        <v>14610.38961038961</v>
      </c>
      <c r="Z150" s="5">
        <f>IF($X150&gt;0,V150*5000,0)</f>
        <v>1298.7012987012986</v>
      </c>
      <c r="AA150" s="5">
        <f>IF($X150&gt;0,W150*(-15000),0)</f>
        <v>-2337.662337662337</v>
      </c>
      <c r="AB150" s="5">
        <f>IF($C150="Defense",$N150*150000,IF($C150="Midfield",$N150*125000,IF($C150="Striker",$N150*100000,0)))*$H150</f>
        <v>8604.6216609320636</v>
      </c>
      <c r="AC150" s="5">
        <f>$O150*50000*H150</f>
        <v>5540.4954052941976</v>
      </c>
      <c r="AD150" s="5">
        <f>$P150*K150*10000</f>
        <v>2831.599722011325</v>
      </c>
      <c r="AE150" s="5">
        <f>IF($C150="Goalkeeper",J150*75000,IF($C150="Defense",J150*50000,0))</f>
        <v>23376.623376623374</v>
      </c>
      <c r="AF150" s="5">
        <f>IF($C150="Goalkeeper",(L150-I150)*5000,0)</f>
        <v>0</v>
      </c>
      <c r="AG150" s="5">
        <f>IF(M150&gt;0,Q150*(-20000),0)</f>
        <v>-1622.3524109959442</v>
      </c>
      <c r="AH150" s="5">
        <f>IF(M150&gt;0,R150*(-50000),0)</f>
        <v>0</v>
      </c>
      <c r="AI150" s="5">
        <f>IF(M150&gt;0,S150*10000,0)</f>
        <v>15712.166996139025</v>
      </c>
      <c r="AJ150" s="5">
        <f>IF(M150&gt;0,T150*(-8000),0)</f>
        <v>-6082.291867180591</v>
      </c>
      <c r="AK150" s="5">
        <f>IFERROR(SUM(X150:AJ150),-5000)*((Cockpit!$C$3)^0)</f>
        <v>68932.291454252016</v>
      </c>
      <c r="AL150" s="16">
        <f>INDEX('Team forecast'!$B$2:$AO$26,MATCH('Master data'!$B150,'Team forecast'!$B$2:$B$26,0),MATCH('Master data'!AL$1,'Team forecast'!$B$2:$AO$2,0))</f>
        <v>1.8476112368050062</v>
      </c>
      <c r="AM150" s="16">
        <f>INDEX('Team forecast'!$B$2:$AO$26,MATCH('Master data'!$B150,'Team forecast'!$B$2:$B$26,0),MATCH('Master data'!AM$1,'Team forecast'!$B$2:$AO$2,0))</f>
        <v>0.7977891123063281</v>
      </c>
      <c r="AN150" s="16">
        <f>INDEX('Team forecast'!$B$2:$AO$26,MATCH('Master data'!$B150,'Team forecast'!$B$2:$B$26,0),MATCH('Master data'!AN$1,'Team forecast'!$B$2:$AO$2,0))</f>
        <v>0.45032347896962183</v>
      </c>
      <c r="AO150" s="16">
        <f>INDEX('Team forecast'!$B$2:$AO$26,MATCH('Master data'!$B150,'Team forecast'!$B$2:$B$26,0),MATCH('Master data'!AO$1,'Team forecast'!$B$2:$AO$2,0))</f>
        <v>5.2492879998945963</v>
      </c>
      <c r="AP150" s="16">
        <f>INDEX('Team forecast'!$B$2:$AO$26,MATCH('Master data'!$B150,'Team forecast'!$B$2:$B$26,0),MATCH('Master data'!AP$1,'Team forecast'!$B$2:$AO$2,0))</f>
        <v>2.6190046616116831</v>
      </c>
      <c r="AQ150" s="5">
        <f>X150</f>
        <v>7000</v>
      </c>
      <c r="AR150" s="5">
        <f>INDEX('Team forecast'!$B$2:$AO$26,MATCH('Master data'!$B150,'Team forecast'!$B$2:$B$26,0),MATCH('Master data'!AR$1,'Team forecast'!$B$2:$AO$2,0))*IF(X150&gt;0,25000,0)</f>
        <v>15452.276239153689</v>
      </c>
      <c r="AS150" s="16">
        <f>INDEX('Team forecast'!$B$2:$AO$26,MATCH('Master data'!$B150,'Team forecast'!$B$2:$B$26,0),MATCH('Master data'!AS$1,'Team forecast'!$B$2:$AO$2,0))*IF(X150&gt;0,5000,0)</f>
        <v>1182.0991322952575</v>
      </c>
      <c r="AT150" s="16">
        <f>INDEX('Team forecast'!$B$2:$AO$26,MATCH('Master data'!$B150,'Team forecast'!$B$2:$B$26,0),MATCH('Master data'!AT$1,'Team forecast'!$B$2:$AO$2,0))*IF(X150&gt;0,-15000,0)</f>
        <v>-2182.3368596220134</v>
      </c>
      <c r="AU150" s="5">
        <f>IF($C150="Defense",$N150*150000,IF($C150="Midfield",$N150*125000,IF($C150="Striker",$N150*100000,0)))*$AL150</f>
        <v>10118.270556251391</v>
      </c>
      <c r="AV150" s="5">
        <f>$O150*50000*AL150</f>
        <v>6515.130325946473</v>
      </c>
      <c r="AW150" s="5">
        <f>$P150*AO150*10000</f>
        <v>3329.7096866445268</v>
      </c>
      <c r="AX150" s="5">
        <f>IF($C150="Goalkeeper",AN150*75000,IF($C150="Defense",AN150*50000,0))</f>
        <v>22516.17394848109</v>
      </c>
      <c r="AY150" s="5">
        <f>IF($C150="Goalkeeper",(AP150-AM150)*5000,0)</f>
        <v>0</v>
      </c>
      <c r="AZ150" s="5">
        <f>$AG150</f>
        <v>-1622.3524109959442</v>
      </c>
      <c r="BA150" s="5">
        <f>$AH150</f>
        <v>0</v>
      </c>
      <c r="BB150" s="5">
        <f>IF(X150&gt;0,AL150*10000,0)</f>
        <v>18476.11236805006</v>
      </c>
      <c r="BC150" s="5">
        <f>IF(X150&gt;0,AM150*(-8000),0)</f>
        <v>-6382.3128984506247</v>
      </c>
      <c r="BD150" s="5">
        <f>IFERROR(SUM(AQ150:BC150),0)</f>
        <v>74402.770087753917</v>
      </c>
      <c r="BE150" s="16">
        <f>INDEX('Team forecast'!$B$2:$AO$26,MATCH('Master data'!$B150,'Team forecast'!$B$2:$B$26,0),MATCH('Master data'!BE$1,'Team forecast'!$B$2:$AO$2,0))</f>
        <v>2.3683451623921505</v>
      </c>
      <c r="BF150" s="16">
        <f>INDEX('Team forecast'!$B$2:$AO$26,MATCH('Master data'!$B150,'Team forecast'!$B$2:$B$26,0),MATCH('Master data'!BF$1,'Team forecast'!$B$2:$AO$2,0))</f>
        <v>0.49102780480244929</v>
      </c>
      <c r="BG150" s="16">
        <f>INDEX('Team forecast'!$B$2:$AO$26,MATCH('Master data'!$B150,'Team forecast'!$B$2:$B$26,0),MATCH('Master data'!BG$1,'Team forecast'!$B$2:$AO$2,0))</f>
        <v>0.61199705730750009</v>
      </c>
      <c r="BH150" s="16">
        <f>INDEX('Team forecast'!$B$2:$AO$26,MATCH('Master data'!$B150,'Team forecast'!$B$2:$B$26,0),MATCH('Master data'!BH$1,'Team forecast'!$B$2:$AO$2,0))</f>
        <v>6.7287563492262965</v>
      </c>
      <c r="BI150" s="16">
        <f>INDEX('Team forecast'!$B$2:$AO$26,MATCH('Master data'!$B150,'Team forecast'!$B$2:$B$26,0),MATCH('Master data'!BI$1,'Team forecast'!$B$2:$AO$2,0))</f>
        <v>1.6119599652605658</v>
      </c>
      <c r="BJ150" s="5">
        <f>AQ150</f>
        <v>7000</v>
      </c>
      <c r="BK150" s="5">
        <f>INDEX('Team forecast'!$R$3:$BH$26,MATCH($B150,'Team forecast'!$B$3:$B$26,0),MATCH(BK$1,'Team forecast'!$R$2:$BH$2,0))*IF($X150&gt;0,25000,0)</f>
        <v>19838.040205094814</v>
      </c>
      <c r="BL150" s="5">
        <f>INDEX('Team forecast'!$R$3:$BH$26,MATCH($B150,'Team forecast'!$B$3:$B$26,0),MATCH(BL$1,'Team forecast'!$R$2:$BH$2,0))*IF($X150&gt;0,5000,0)</f>
        <v>720.27345975421156</v>
      </c>
      <c r="BM150" s="5">
        <f>INDEX('Team forecast'!$R$3:$BH$26,MATCH($B150,'Team forecast'!$B$3:$B$26,0),MATCH(BM$1,'Team forecast'!$R$2:$BH$2,0))*IF($X150&gt;0,-15000,0)</f>
        <v>-936.3554976804752</v>
      </c>
      <c r="BN150" s="5">
        <f>IF($C150="Defense",$N150*150000,IF($C150="Midfield",$N150*125000,IF($C150="Striker",$N150*100000,0)))*$BE150</f>
        <v>12970.021315258969</v>
      </c>
      <c r="BO150" s="5">
        <f>$O150*50000*$BE150</f>
        <v>8351.3658514505933</v>
      </c>
      <c r="BP150" s="5">
        <f>$P150*BH150*10000</f>
        <v>4268.1607859084024</v>
      </c>
      <c r="BQ150" s="5">
        <f>IF($C150="Goalkeeper",BG150*75000,IF($C150="Defense",BG150*50000,0))</f>
        <v>30599.852865375004</v>
      </c>
      <c r="BR150" s="5">
        <f>IF($C150="Goalkeeper",(BI150-BF150)*5000,0)</f>
        <v>0</v>
      </c>
      <c r="BS150" s="5">
        <f>$AG150</f>
        <v>-1622.3524109959442</v>
      </c>
      <c r="BT150" s="5">
        <f>$AH150</f>
        <v>0</v>
      </c>
      <c r="BU150" s="5">
        <f>IF(AQ150&gt;0,BE150*10000,0)</f>
        <v>23683.451623921505</v>
      </c>
      <c r="BV150" s="5">
        <f>IF(AQ150&gt;0,BF150*(-8000),0)</f>
        <v>-3928.2224384195943</v>
      </c>
      <c r="BW150" s="5">
        <f>IFERROR(SUM(BJ150:BV150),0)</f>
        <v>100944.2357596675</v>
      </c>
      <c r="BX150" s="5">
        <f>AVERAGE(AK150,BD150,BW150)</f>
        <v>81426.432433891139</v>
      </c>
      <c r="BY150" s="5">
        <f>BX150*3</f>
        <v>244279.29730167342</v>
      </c>
      <c r="BZ150" s="5">
        <f>INDEX('Team forecast'!$R$3:$BH$26,MATCH($B150,'Team forecast'!$B$3:$B$26,0),MATCH(BZ$1,'Team forecast'!$R$2:$BH$2,0))*($BX150-(BY150+CH150)*0.01)</f>
        <v>37688.583281169827</v>
      </c>
      <c r="CA150" s="5">
        <f>INDEX('Team forecast'!$R$3:$BH$26,MATCH($B150,'Team forecast'!$B$3:$B$26,0),MATCH(CA$1,'Team forecast'!$R$2:$BH$2,0))*($BX150-(BY150+BX150+CH150)*0.01)</f>
        <v>18442.05692169947</v>
      </c>
      <c r="CB150" s="5">
        <f>INDEX('Team forecast'!$R$3:$BH$26,MATCH($B150,'Team forecast'!$B$3:$B$26,0),MATCH(CB$1,'Team forecast'!$R$2:$BH$2,0))*($BX150-(BY150+BX150*2+CH150)*0.01)</f>
        <v>9016.3700205668556</v>
      </c>
      <c r="CC150" s="5">
        <f>INDEX('Team forecast'!$R$3:$BH$26,MATCH($B150,'Team forecast'!$B$3:$B$26,0),MATCH(CC$1,'Team forecast'!$R$2:$BH$2,0))*($BX150-(BY150+BX150*3+CH150)*0.01)</f>
        <v>4399.8918645164504</v>
      </c>
      <c r="CD150" s="5">
        <f>+AK150+BD150*Cockpit!$C$3+BW150*Cockpit!$C$3^2+BZ150*Cockpit!$C$3^3+CA150*Cockpit!$C$3^4+CB150*Cockpit!$C$3^5+CC150*Cockpit!$C$3^6</f>
        <v>179781.7200352418</v>
      </c>
      <c r="CE150" s="5"/>
      <c r="CF150" s="5"/>
      <c r="CG150" s="5">
        <v>0</v>
      </c>
      <c r="CH150" s="5">
        <f t="shared" si="49"/>
        <v>4000000</v>
      </c>
      <c r="CI150" s="5">
        <f t="shared" si="50"/>
        <v>4000000</v>
      </c>
      <c r="CJ150" s="1">
        <f t="shared" si="51"/>
        <v>6.1069824325418354E-2</v>
      </c>
      <c r="CK150" s="5">
        <f>RANK(BY150,$BY$2:$BY$623)+COUNTIF($BY$2:$BY150,$BY150)-1</f>
        <v>21</v>
      </c>
      <c r="CL150" s="5">
        <f>RANK(CJ150,$CJ$2:$CJ$623)+COUNTIF($CJ$2:$CJ150,$CJ150)-1</f>
        <v>11</v>
      </c>
    </row>
    <row r="151" spans="1:90">
      <c r="A151" t="str">
        <f>Players!P152</f>
        <v>Stefan de Vrij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3500000</v>
      </c>
      <c r="H151" s="16">
        <f>INDEX('Team forecast'!$B$2:$AO$26,MATCH('Master data'!$B151,'Team forecast'!$B$2:$B$26,0),MATCH('Master data'!H$1,'Team forecast'!$B$2:$AO$2,0))</f>
        <v>1.5712166996139025</v>
      </c>
      <c r="I151" s="16">
        <f>INDEX('Team forecast'!$B$2:$AO$26,MATCH('Master data'!$B151,'Team forecast'!$B$2:$B$26,0),MATCH('Master data'!I$1,'Team forecast'!$B$2:$AO$2,0))</f>
        <v>0.76028648339757388</v>
      </c>
      <c r="J151" s="16">
        <f>INDEX('Team forecast'!$B$2:$AO$26,MATCH('Master data'!$B151,'Team forecast'!$B$2:$B$26,0),MATCH('Master data'!J$1,'Team forecast'!$B$2:$AO$2,0))</f>
        <v>0.46753246753246752</v>
      </c>
      <c r="K151" s="16">
        <f>INDEX('Team forecast'!$B$2:$AO$26,MATCH('Master data'!$B151,'Team forecast'!$B$2:$B$26,0),MATCH('Master data'!K$1,'Team forecast'!$B$2:$AO$2,0))</f>
        <v>4.4640175390899657</v>
      </c>
      <c r="L151" s="16">
        <f>INDEX('Team forecast'!$B$2:$AO$26,MATCH('Master data'!$B151,'Team forecast'!$B$2:$B$26,0),MATCH('Master data'!L$1,'Team forecast'!$B$2:$AO$2,0))</f>
        <v>2.4958899707496114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3.2942898975109811E-2</v>
      </c>
      <c r="R151" s="2">
        <f>Players!BR152</f>
        <v>0</v>
      </c>
      <c r="S151" s="2">
        <f>H151</f>
        <v>1.5712166996139025</v>
      </c>
      <c r="T151" s="2">
        <f>I151</f>
        <v>0.76028648339757388</v>
      </c>
      <c r="U151" s="16">
        <f>INDEX('Team forecast'!$B$2:$AO$26,MATCH('Master data'!$B151,'Team forecast'!$B$2:$B$26,0),MATCH('Master data'!U$1,'Team forecast'!$B$2:$AO$2,0))</f>
        <v>0.58441558441558439</v>
      </c>
      <c r="V151" s="16">
        <f>INDEX('Team forecast'!$B$2:$AO$26,MATCH('Master data'!$B151,'Team forecast'!$B$2:$B$26,0),MATCH('Master data'!V$1,'Team forecast'!$B$2:$AO$2,0))</f>
        <v>0.25974025974025972</v>
      </c>
      <c r="W151" s="16">
        <f>INDEX('Team forecast'!$B$2:$AO$26,MATCH('Master data'!$B151,'Team forecast'!$B$2:$B$26,0),MATCH('Master data'!W$1,'Team forecast'!$B$2:$AO$2,0))</f>
        <v>0.15584415584415581</v>
      </c>
      <c r="X151" s="5">
        <f>IF(M151&gt;95,7000*2,IF(M151&gt;0,7000,-5000))</f>
        <v>-5000</v>
      </c>
      <c r="Y151" s="5">
        <f>IF($X151&gt;0,U151*25000,0)</f>
        <v>0</v>
      </c>
      <c r="Z151" s="5">
        <f>IF($X151&gt;0,V151*5000,0)</f>
        <v>0</v>
      </c>
      <c r="AA151" s="5">
        <f>IF($X151&gt;0,W151*(-15000),0)</f>
        <v>0</v>
      </c>
      <c r="AB151" s="5">
        <f>IF($C151="Defense",$N151*150000,IF($C151="Midfield",$N151*125000,IF($C151="Striker",$N151*100000,0)))*$H151</f>
        <v>0</v>
      </c>
      <c r="AC151" s="5">
        <f>$O151*50000*H151</f>
        <v>0</v>
      </c>
      <c r="AD151" s="5">
        <f>$P151*K151*10000</f>
        <v>0</v>
      </c>
      <c r="AE151" s="5">
        <f>IF($C151="Goalkeeper",J151*75000,IF($C151="Defense",J151*50000,0))</f>
        <v>23376.623376623374</v>
      </c>
      <c r="AF151" s="5">
        <f>IF($C151="Goalkeeper",(L151-I151)*5000,0)</f>
        <v>0</v>
      </c>
      <c r="AG151" s="5">
        <f>IF(M151&gt;0,Q151*(-20000),0)</f>
        <v>0</v>
      </c>
      <c r="AH151" s="5">
        <f>IF(M151&gt;0,R151*(-50000),0)</f>
        <v>0</v>
      </c>
      <c r="AI151" s="5">
        <f>IF(M151&gt;0,S151*10000,0)</f>
        <v>0</v>
      </c>
      <c r="AJ151" s="5">
        <f>IF(M151&gt;0,T151*(-8000),0)</f>
        <v>0</v>
      </c>
      <c r="AK151" s="5">
        <f>IFERROR(SUM(X151:AJ151),-5000)*((Cockpit!$C$3)^0)</f>
        <v>18376.623376623374</v>
      </c>
      <c r="AL151" s="16">
        <f>INDEX('Team forecast'!$B$2:$AO$26,MATCH('Master data'!$B151,'Team forecast'!$B$2:$B$26,0),MATCH('Master data'!AL$1,'Team forecast'!$B$2:$AO$2,0))</f>
        <v>1.8476112368050062</v>
      </c>
      <c r="AM151" s="16">
        <f>INDEX('Team forecast'!$B$2:$AO$26,MATCH('Master data'!$B151,'Team forecast'!$B$2:$B$26,0),MATCH('Master data'!AM$1,'Team forecast'!$B$2:$AO$2,0))</f>
        <v>0.7977891123063281</v>
      </c>
      <c r="AN151" s="16">
        <f>INDEX('Team forecast'!$B$2:$AO$26,MATCH('Master data'!$B151,'Team forecast'!$B$2:$B$26,0),MATCH('Master data'!AN$1,'Team forecast'!$B$2:$AO$2,0))</f>
        <v>0.45032347896962183</v>
      </c>
      <c r="AO151" s="16">
        <f>INDEX('Team forecast'!$B$2:$AO$26,MATCH('Master data'!$B151,'Team forecast'!$B$2:$B$26,0),MATCH('Master data'!AO$1,'Team forecast'!$B$2:$AO$2,0))</f>
        <v>5.2492879998945963</v>
      </c>
      <c r="AP151" s="16">
        <f>INDEX('Team forecast'!$B$2:$AO$26,MATCH('Master data'!$B151,'Team forecast'!$B$2:$B$26,0),MATCH('Master data'!AP$1,'Team forecast'!$B$2:$AO$2,0))</f>
        <v>2.6190046616116831</v>
      </c>
      <c r="AQ151" s="5">
        <f>X151</f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>IF($C151="Defense",$N151*150000,IF($C151="Midfield",$N151*125000,IF($C151="Striker",$N151*100000,0)))*$AL151</f>
        <v>0</v>
      </c>
      <c r="AV151" s="5">
        <f>$O151*50000*AL151</f>
        <v>0</v>
      </c>
      <c r="AW151" s="5">
        <f>$P151*AO151*10000</f>
        <v>0</v>
      </c>
      <c r="AX151" s="5">
        <f>IF($C151="Goalkeeper",AN151*75000,IF($C151="Defense",AN151*50000,0))</f>
        <v>22516.17394848109</v>
      </c>
      <c r="AY151" s="5">
        <f>IF($C151="Goalkeeper",(AP151-AM151)*5000,0)</f>
        <v>0</v>
      </c>
      <c r="AZ151" s="5">
        <f>$AG151</f>
        <v>0</v>
      </c>
      <c r="BA151" s="5">
        <f>$AH151</f>
        <v>0</v>
      </c>
      <c r="BB151" s="5">
        <f>IF(X151&gt;0,AL151*10000,0)</f>
        <v>0</v>
      </c>
      <c r="BC151" s="5">
        <f>IF(X151&gt;0,AM151*(-8000),0)</f>
        <v>0</v>
      </c>
      <c r="BD151" s="5">
        <f>IFERROR(SUM(AQ151:BC151),0)</f>
        <v>17516.17394848109</v>
      </c>
      <c r="BE151" s="16">
        <f>INDEX('Team forecast'!$B$2:$AO$26,MATCH('Master data'!$B151,'Team forecast'!$B$2:$B$26,0),MATCH('Master data'!BE$1,'Team forecast'!$B$2:$AO$2,0))</f>
        <v>2.3683451623921505</v>
      </c>
      <c r="BF151" s="16">
        <f>INDEX('Team forecast'!$B$2:$AO$26,MATCH('Master data'!$B151,'Team forecast'!$B$2:$B$26,0),MATCH('Master data'!BF$1,'Team forecast'!$B$2:$AO$2,0))</f>
        <v>0.49102780480244929</v>
      </c>
      <c r="BG151" s="16">
        <f>INDEX('Team forecast'!$B$2:$AO$26,MATCH('Master data'!$B151,'Team forecast'!$B$2:$B$26,0),MATCH('Master data'!BG$1,'Team forecast'!$B$2:$AO$2,0))</f>
        <v>0.61199705730750009</v>
      </c>
      <c r="BH151" s="16">
        <f>INDEX('Team forecast'!$B$2:$AO$26,MATCH('Master data'!$B151,'Team forecast'!$B$2:$B$26,0),MATCH('Master data'!BH$1,'Team forecast'!$B$2:$AO$2,0))</f>
        <v>6.7287563492262965</v>
      </c>
      <c r="BI151" s="16">
        <f>INDEX('Team forecast'!$B$2:$AO$26,MATCH('Master data'!$B151,'Team forecast'!$B$2:$B$26,0),MATCH('Master data'!BI$1,'Team forecast'!$B$2:$AO$2,0))</f>
        <v>1.6119599652605658</v>
      </c>
      <c r="BJ151" s="5">
        <f>AQ151</f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>IF($C151="Defense",$N151*150000,IF($C151="Midfield",$N151*125000,IF($C151="Striker",$N151*100000,0)))*$BE151</f>
        <v>0</v>
      </c>
      <c r="BO151" s="5">
        <f>$O151*50000*$BE151</f>
        <v>0</v>
      </c>
      <c r="BP151" s="5">
        <f>$P151*BH151*10000</f>
        <v>0</v>
      </c>
      <c r="BQ151" s="5">
        <f>IF($C151="Goalkeeper",BG151*75000,IF($C151="Defense",BG151*50000,0))</f>
        <v>30599.852865375004</v>
      </c>
      <c r="BR151" s="5">
        <f>IF($C151="Goalkeeper",(BI151-BF151)*5000,0)</f>
        <v>0</v>
      </c>
      <c r="BS151" s="5">
        <f>$AG151</f>
        <v>0</v>
      </c>
      <c r="BT151" s="5">
        <f>$AH151</f>
        <v>0</v>
      </c>
      <c r="BU151" s="5">
        <f>IF(AQ151&gt;0,BE151*10000,0)</f>
        <v>0</v>
      </c>
      <c r="BV151" s="5">
        <f>IF(AQ151&gt;0,BF151*(-8000),0)</f>
        <v>0</v>
      </c>
      <c r="BW151" s="5">
        <f>IFERROR(SUM(BJ151:BV151),0)</f>
        <v>25599.852865375004</v>
      </c>
      <c r="BX151" s="5">
        <f>AVERAGE(AK151,BD151,BW151)</f>
        <v>20497.550063493156</v>
      </c>
      <c r="BY151" s="5">
        <f>BX151*3</f>
        <v>61492.650190479471</v>
      </c>
      <c r="BZ151" s="5">
        <f>INDEX('Team forecast'!$R$3:$BH$26,MATCH($B151,'Team forecast'!$B$3:$B$26,0),MATCH(BZ$1,'Team forecast'!$R$2:$BH$2,0))*($BX151-(BY151+CH151)*0.01)</f>
        <v>-14615.169562700752</v>
      </c>
      <c r="CA151" s="5">
        <f>INDEX('Team forecast'!$R$3:$BH$26,MATCH($B151,'Team forecast'!$B$3:$B$26,0),MATCH(CA$1,'Team forecast'!$R$2:$BH$2,0))*($BX151-(BY151+BX151+CH151)*0.01)</f>
        <v>-7403.204417767095</v>
      </c>
      <c r="CB151" s="5">
        <f>INDEX('Team forecast'!$R$3:$BH$26,MATCH($B151,'Team forecast'!$B$3:$B$26,0),MATCH(CB$1,'Team forecast'!$R$2:$BH$2,0))*($BX151-(BY151+BX151*2+CH151)*0.01)</f>
        <v>-3747.8172754063658</v>
      </c>
      <c r="CC151" s="5">
        <f>INDEX('Team forecast'!$R$3:$BH$26,MATCH($B151,'Team forecast'!$B$3:$B$26,0),MATCH(CC$1,'Team forecast'!$R$2:$BH$2,0))*($BX151-(BY151+BX151*3+CH151)*0.01)</f>
        <v>-1894.330273388935</v>
      </c>
      <c r="CD151" s="5">
        <f>+AK151+BD151*Cockpit!$C$3+BW151*Cockpit!$C$3^2+BZ151*Cockpit!$C$3^3+CA151*Cockpit!$C$3^4+CB151*Cockpit!$C$3^5+CC151*Cockpit!$C$3^6</f>
        <v>34979.157271967117</v>
      </c>
      <c r="CE151" s="5"/>
      <c r="CF151" s="5"/>
      <c r="CG151" s="5">
        <v>0</v>
      </c>
      <c r="CH151" s="5">
        <f t="shared" si="49"/>
        <v>3500000</v>
      </c>
      <c r="CI151" s="5">
        <f t="shared" si="50"/>
        <v>3500000</v>
      </c>
      <c r="CJ151" s="1">
        <f t="shared" si="51"/>
        <v>1.7569328625851279E-2</v>
      </c>
      <c r="CK151" s="5">
        <f>RANK(BY151,$BY$2:$BY$623)+COUNTIF($BY$2:$BY151,$BY151)-1</f>
        <v>264</v>
      </c>
      <c r="CL151" s="5">
        <f>RANK(CJ151,$CJ$2:$CJ$623)+COUNTIF($CJ$2:$CJ151,$CJ151)-1</f>
        <v>283</v>
      </c>
    </row>
    <row r="152" spans="1:90">
      <c r="A152" t="str">
        <f>Players!P153</f>
        <v>Joël Veltman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3000000</v>
      </c>
      <c r="H152" s="16">
        <f>INDEX('Team forecast'!$B$2:$AO$26,MATCH('Master data'!$B152,'Team forecast'!$B$2:$B$26,0),MATCH('Master data'!H$1,'Team forecast'!$B$2:$AO$2,0))</f>
        <v>1.5712166996139025</v>
      </c>
      <c r="I152" s="16">
        <f>INDEX('Team forecast'!$B$2:$AO$26,MATCH('Master data'!$B152,'Team forecast'!$B$2:$B$26,0),MATCH('Master data'!I$1,'Team forecast'!$B$2:$AO$2,0))</f>
        <v>0.76028648339757388</v>
      </c>
      <c r="J152" s="16">
        <f>INDEX('Team forecast'!$B$2:$AO$26,MATCH('Master data'!$B152,'Team forecast'!$B$2:$B$26,0),MATCH('Master data'!J$1,'Team forecast'!$B$2:$AO$2,0))</f>
        <v>0.46753246753246752</v>
      </c>
      <c r="K152" s="16">
        <f>INDEX('Team forecast'!$B$2:$AO$26,MATCH('Master data'!$B152,'Team forecast'!$B$2:$B$26,0),MATCH('Master data'!K$1,'Team forecast'!$B$2:$AO$2,0))</f>
        <v>4.4640175390899657</v>
      </c>
      <c r="L152" s="16">
        <f>INDEX('Team forecast'!$B$2:$AO$26,MATCH('Master data'!$B152,'Team forecast'!$B$2:$B$26,0),MATCH('Master data'!L$1,'Team forecast'!$B$2:$AO$2,0))</f>
        <v>2.4958899707496114</v>
      </c>
      <c r="M152">
        <f>IF(Players!BC153=1,95,0)</f>
        <v>0</v>
      </c>
      <c r="N152" s="2">
        <f>Players!BN153</f>
        <v>0</v>
      </c>
      <c r="O152" s="2">
        <f>Players!BO153</f>
        <v>0</v>
      </c>
      <c r="P152" s="2">
        <f>Players!BP153</f>
        <v>0</v>
      </c>
      <c r="Q152" s="2">
        <f>Players!BQ153</f>
        <v>5.9158632778264685E-2</v>
      </c>
      <c r="R152" s="2">
        <f>Players!BR153</f>
        <v>0</v>
      </c>
      <c r="S152" s="2">
        <f>H152</f>
        <v>1.5712166996139025</v>
      </c>
      <c r="T152" s="2">
        <f>I152</f>
        <v>0.76028648339757388</v>
      </c>
      <c r="U152" s="16">
        <f>INDEX('Team forecast'!$B$2:$AO$26,MATCH('Master data'!$B152,'Team forecast'!$B$2:$B$26,0),MATCH('Master data'!U$1,'Team forecast'!$B$2:$AO$2,0))</f>
        <v>0.58441558441558439</v>
      </c>
      <c r="V152" s="16">
        <f>INDEX('Team forecast'!$B$2:$AO$26,MATCH('Master data'!$B152,'Team forecast'!$B$2:$B$26,0),MATCH('Master data'!V$1,'Team forecast'!$B$2:$AO$2,0))</f>
        <v>0.25974025974025972</v>
      </c>
      <c r="W152" s="16">
        <f>INDEX('Team forecast'!$B$2:$AO$26,MATCH('Master data'!$B152,'Team forecast'!$B$2:$B$26,0),MATCH('Master data'!W$1,'Team forecast'!$B$2:$AO$2,0))</f>
        <v>0.15584415584415581</v>
      </c>
      <c r="X152" s="5">
        <f>IF(M152&gt;95,7000*2,IF(M152&gt;0,7000,-5000))</f>
        <v>-5000</v>
      </c>
      <c r="Y152" s="5">
        <f>IF($X152&gt;0,U152*25000,0)</f>
        <v>0</v>
      </c>
      <c r="Z152" s="5">
        <f>IF($X152&gt;0,V152*5000,0)</f>
        <v>0</v>
      </c>
      <c r="AA152" s="5">
        <f>IF($X152&gt;0,W152*(-15000),0)</f>
        <v>0</v>
      </c>
      <c r="AB152" s="5">
        <f>IF($C152="Defense",$N152*150000,IF($C152="Midfield",$N152*125000,IF($C152="Striker",$N152*100000,0)))*$H152</f>
        <v>0</v>
      </c>
      <c r="AC152" s="5">
        <f>$O152*50000*H152</f>
        <v>0</v>
      </c>
      <c r="AD152" s="5">
        <f>$P152*K152*10000</f>
        <v>0</v>
      </c>
      <c r="AE152" s="5">
        <f>IF($C152="Goalkeeper",J152*75000,IF($C152="Defense",J152*50000,0))</f>
        <v>23376.623376623374</v>
      </c>
      <c r="AF152" s="5">
        <f>IF($C152="Goalkeeper",(L152-I152)*5000,0)</f>
        <v>0</v>
      </c>
      <c r="AG152" s="5">
        <f>IF(M152&gt;0,Q152*(-20000),0)</f>
        <v>0</v>
      </c>
      <c r="AH152" s="5">
        <f>IF(M152&gt;0,R152*(-50000),0)</f>
        <v>0</v>
      </c>
      <c r="AI152" s="5">
        <f>IF(M152&gt;0,S152*10000,0)</f>
        <v>0</v>
      </c>
      <c r="AJ152" s="5">
        <f>IF(M152&gt;0,T152*(-8000),0)</f>
        <v>0</v>
      </c>
      <c r="AK152" s="5">
        <f>IFERROR(SUM(X152:AJ152),-5000)*((Cockpit!$C$3)^0)</f>
        <v>18376.623376623374</v>
      </c>
      <c r="AL152" s="16">
        <f>INDEX('Team forecast'!$B$2:$AO$26,MATCH('Master data'!$B152,'Team forecast'!$B$2:$B$26,0),MATCH('Master data'!AL$1,'Team forecast'!$B$2:$AO$2,0))</f>
        <v>1.8476112368050062</v>
      </c>
      <c r="AM152" s="16">
        <f>INDEX('Team forecast'!$B$2:$AO$26,MATCH('Master data'!$B152,'Team forecast'!$B$2:$B$26,0),MATCH('Master data'!AM$1,'Team forecast'!$B$2:$AO$2,0))</f>
        <v>0.7977891123063281</v>
      </c>
      <c r="AN152" s="16">
        <f>INDEX('Team forecast'!$B$2:$AO$26,MATCH('Master data'!$B152,'Team forecast'!$B$2:$B$26,0),MATCH('Master data'!AN$1,'Team forecast'!$B$2:$AO$2,0))</f>
        <v>0.45032347896962183</v>
      </c>
      <c r="AO152" s="16">
        <f>INDEX('Team forecast'!$B$2:$AO$26,MATCH('Master data'!$B152,'Team forecast'!$B$2:$B$26,0),MATCH('Master data'!AO$1,'Team forecast'!$B$2:$AO$2,0))</f>
        <v>5.2492879998945963</v>
      </c>
      <c r="AP152" s="16">
        <f>INDEX('Team forecast'!$B$2:$AO$26,MATCH('Master data'!$B152,'Team forecast'!$B$2:$B$26,0),MATCH('Master data'!AP$1,'Team forecast'!$B$2:$AO$2,0))</f>
        <v>2.6190046616116831</v>
      </c>
      <c r="AQ152" s="5">
        <f>X152</f>
        <v>-5000</v>
      </c>
      <c r="AR152" s="5">
        <f>INDEX('Team forecast'!$B$2:$AO$26,MATCH('Master data'!$B152,'Team forecast'!$B$2:$B$26,0),MATCH('Master data'!AR$1,'Team forecast'!$B$2:$AO$2,0))*IF(X152&gt;0,25000,0)</f>
        <v>0</v>
      </c>
      <c r="AS152" s="16">
        <f>INDEX('Team forecast'!$B$2:$AO$26,MATCH('Master data'!$B152,'Team forecast'!$B$2:$B$26,0),MATCH('Master data'!AS$1,'Team forecast'!$B$2:$AO$2,0))*IF(X152&gt;0,5000,0)</f>
        <v>0</v>
      </c>
      <c r="AT152" s="16">
        <f>INDEX('Team forecast'!$B$2:$AO$26,MATCH('Master data'!$B152,'Team forecast'!$B$2:$B$26,0),MATCH('Master data'!AT$1,'Team forecast'!$B$2:$AO$2,0))*IF(X152&gt;0,-15000,0)</f>
        <v>0</v>
      </c>
      <c r="AU152" s="5">
        <f>IF($C152="Defense",$N152*150000,IF($C152="Midfield",$N152*125000,IF($C152="Striker",$N152*100000,0)))*$AL152</f>
        <v>0</v>
      </c>
      <c r="AV152" s="5">
        <f>$O152*50000*AL152</f>
        <v>0</v>
      </c>
      <c r="AW152" s="5">
        <f>$P152*AO152*10000</f>
        <v>0</v>
      </c>
      <c r="AX152" s="5">
        <f>IF($C152="Goalkeeper",AN152*75000,IF($C152="Defense",AN152*50000,0))</f>
        <v>22516.17394848109</v>
      </c>
      <c r="AY152" s="5">
        <f>IF($C152="Goalkeeper",(AP152-AM152)*5000,0)</f>
        <v>0</v>
      </c>
      <c r="AZ152" s="5">
        <f>$AG152</f>
        <v>0</v>
      </c>
      <c r="BA152" s="5">
        <f>$AH152</f>
        <v>0</v>
      </c>
      <c r="BB152" s="5">
        <f>IF(X152&gt;0,AL152*10000,0)</f>
        <v>0</v>
      </c>
      <c r="BC152" s="5">
        <f>IF(X152&gt;0,AM152*(-8000),0)</f>
        <v>0</v>
      </c>
      <c r="BD152" s="5">
        <f>IFERROR(SUM(AQ152:BC152),0)</f>
        <v>17516.17394848109</v>
      </c>
      <c r="BE152" s="16">
        <f>INDEX('Team forecast'!$B$2:$AO$26,MATCH('Master data'!$B152,'Team forecast'!$B$2:$B$26,0),MATCH('Master data'!BE$1,'Team forecast'!$B$2:$AO$2,0))</f>
        <v>2.3683451623921505</v>
      </c>
      <c r="BF152" s="16">
        <f>INDEX('Team forecast'!$B$2:$AO$26,MATCH('Master data'!$B152,'Team forecast'!$B$2:$B$26,0),MATCH('Master data'!BF$1,'Team forecast'!$B$2:$AO$2,0))</f>
        <v>0.49102780480244929</v>
      </c>
      <c r="BG152" s="16">
        <f>INDEX('Team forecast'!$B$2:$AO$26,MATCH('Master data'!$B152,'Team forecast'!$B$2:$B$26,0),MATCH('Master data'!BG$1,'Team forecast'!$B$2:$AO$2,0))</f>
        <v>0.61199705730750009</v>
      </c>
      <c r="BH152" s="16">
        <f>INDEX('Team forecast'!$B$2:$AO$26,MATCH('Master data'!$B152,'Team forecast'!$B$2:$B$26,0),MATCH('Master data'!BH$1,'Team forecast'!$B$2:$AO$2,0))</f>
        <v>6.7287563492262965</v>
      </c>
      <c r="BI152" s="16">
        <f>INDEX('Team forecast'!$B$2:$AO$26,MATCH('Master data'!$B152,'Team forecast'!$B$2:$B$26,0),MATCH('Master data'!BI$1,'Team forecast'!$B$2:$AO$2,0))</f>
        <v>1.6119599652605658</v>
      </c>
      <c r="BJ152" s="5">
        <f>AQ152</f>
        <v>-5000</v>
      </c>
      <c r="BK152" s="5">
        <f>INDEX('Team forecast'!$R$3:$BH$26,MATCH($B152,'Team forecast'!$B$3:$B$26,0),MATCH(BK$1,'Team forecast'!$R$2:$BH$2,0))*IF($X152&gt;0,25000,0)</f>
        <v>0</v>
      </c>
      <c r="BL152" s="5">
        <f>INDEX('Team forecast'!$R$3:$BH$26,MATCH($B152,'Team forecast'!$B$3:$B$26,0),MATCH(BL$1,'Team forecast'!$R$2:$BH$2,0))*IF($X152&gt;0,5000,0)</f>
        <v>0</v>
      </c>
      <c r="BM152" s="5">
        <f>INDEX('Team forecast'!$R$3:$BH$26,MATCH($B152,'Team forecast'!$B$3:$B$26,0),MATCH(BM$1,'Team forecast'!$R$2:$BH$2,0))*IF($X152&gt;0,-15000,0)</f>
        <v>0</v>
      </c>
      <c r="BN152" s="5">
        <f>IF($C152="Defense",$N152*150000,IF($C152="Midfield",$N152*125000,IF($C152="Striker",$N152*100000,0)))*$BE152</f>
        <v>0</v>
      </c>
      <c r="BO152" s="5">
        <f>$O152*50000*$BE152</f>
        <v>0</v>
      </c>
      <c r="BP152" s="5">
        <f>$P152*BH152*10000</f>
        <v>0</v>
      </c>
      <c r="BQ152" s="5">
        <f>IF($C152="Goalkeeper",BG152*75000,IF($C152="Defense",BG152*50000,0))</f>
        <v>30599.852865375004</v>
      </c>
      <c r="BR152" s="5">
        <f>IF($C152="Goalkeeper",(BI152-BF152)*5000,0)</f>
        <v>0</v>
      </c>
      <c r="BS152" s="5">
        <f>$AG152</f>
        <v>0</v>
      </c>
      <c r="BT152" s="5">
        <f>$AH152</f>
        <v>0</v>
      </c>
      <c r="BU152" s="5">
        <f>IF(AQ152&gt;0,BE152*10000,0)</f>
        <v>0</v>
      </c>
      <c r="BV152" s="5">
        <f>IF(AQ152&gt;0,BF152*(-8000),0)</f>
        <v>0</v>
      </c>
      <c r="BW152" s="5">
        <f>IFERROR(SUM(BJ152:BV152),0)</f>
        <v>25599.852865375004</v>
      </c>
      <c r="BX152" s="5">
        <f>AVERAGE(AK152,BD152,BW152)</f>
        <v>20497.550063493156</v>
      </c>
      <c r="BY152" s="5">
        <f>BX152*3</f>
        <v>61492.650190479471</v>
      </c>
      <c r="BZ152" s="5">
        <f>INDEX('Team forecast'!$R$3:$BH$26,MATCH($B152,'Team forecast'!$B$3:$B$26,0),MATCH(BZ$1,'Team forecast'!$R$2:$BH$2,0))*($BX152-(BY152+CH152)*0.01)</f>
        <v>-9781.2720864279636</v>
      </c>
      <c r="CA152" s="5">
        <f>INDEX('Team forecast'!$R$3:$BH$26,MATCH($B152,'Team forecast'!$B$3:$B$26,0),MATCH(CA$1,'Team forecast'!$R$2:$BH$2,0))*($BX152-(BY152+BX152+CH152)*0.01)</f>
        <v>-4987.3858648394589</v>
      </c>
      <c r="CB152" s="5">
        <f>INDEX('Team forecast'!$R$3:$BH$26,MATCH($B152,'Team forecast'!$B$3:$B$26,0),MATCH(CB$1,'Team forecast'!$R$2:$BH$2,0))*($BX152-(BY152+BX152*2+CH152)*0.01)</f>
        <v>-2540.9717026684334</v>
      </c>
      <c r="CC152" s="5">
        <f>INDEX('Team forecast'!$R$3:$BH$26,MATCH($B152,'Team forecast'!$B$3:$B$26,0),MATCH(CC$1,'Team forecast'!$R$2:$BH$2,0))*($BX152-(BY152+BX152*3+CH152)*0.01)</f>
        <v>-1292.2791049822983</v>
      </c>
      <c r="CD152" s="5">
        <f>+AK152+BD152*Cockpit!$C$3+BW152*Cockpit!$C$3^2+BZ152*Cockpit!$C$3^3+CA152*Cockpit!$C$3^4+CB152*Cockpit!$C$3^5+CC152*Cockpit!$C$3^6</f>
        <v>37100.403055584902</v>
      </c>
      <c r="CE152" s="5"/>
      <c r="CF152" s="5"/>
      <c r="CG152" s="5">
        <v>0</v>
      </c>
      <c r="CH152" s="5">
        <f t="shared" si="49"/>
        <v>3000000</v>
      </c>
      <c r="CI152" s="5">
        <f t="shared" si="50"/>
        <v>3000000</v>
      </c>
      <c r="CJ152" s="1">
        <f t="shared" si="51"/>
        <v>2.0497550063493158E-2</v>
      </c>
      <c r="CK152" s="5">
        <f>RANK(BY152,$BY$2:$BY$623)+COUNTIF($BY$2:$BY152,$BY152)-1</f>
        <v>265</v>
      </c>
      <c r="CL152" s="5">
        <f>RANK(CJ152,$CJ$2:$CJ$623)+COUNTIF($CJ$2:$CJ152,$CJ152)-1</f>
        <v>257</v>
      </c>
    </row>
    <row r="153" spans="1:90">
      <c r="A153" t="str">
        <f>Players!P154</f>
        <v>Daley Blind</v>
      </c>
      <c r="B153" t="str">
        <f>Players!G154</f>
        <v>Netherlands</v>
      </c>
      <c r="C153" t="str">
        <f>Players!AB154</f>
        <v>Defense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4000000</v>
      </c>
      <c r="H153" s="16">
        <f>INDEX('Team forecast'!$B$2:$AO$26,MATCH('Master data'!$B153,'Team forecast'!$B$2:$B$26,0),MATCH('Master data'!H$1,'Team forecast'!$B$2:$AO$2,0))</f>
        <v>1.5712166996139025</v>
      </c>
      <c r="I153" s="16">
        <f>INDEX('Team forecast'!$B$2:$AO$26,MATCH('Master data'!$B153,'Team forecast'!$B$2:$B$26,0),MATCH('Master data'!I$1,'Team forecast'!$B$2:$AO$2,0))</f>
        <v>0.76028648339757388</v>
      </c>
      <c r="J153" s="16">
        <f>INDEX('Team forecast'!$B$2:$AO$26,MATCH('Master data'!$B153,'Team forecast'!$B$2:$B$26,0),MATCH('Master data'!J$1,'Team forecast'!$B$2:$AO$2,0))</f>
        <v>0.46753246753246752</v>
      </c>
      <c r="K153" s="16">
        <f>INDEX('Team forecast'!$B$2:$AO$26,MATCH('Master data'!$B153,'Team forecast'!$B$2:$B$26,0),MATCH('Master data'!K$1,'Team forecast'!$B$2:$AO$2,0))</f>
        <v>4.4640175390899657</v>
      </c>
      <c r="L153" s="16">
        <f>INDEX('Team forecast'!$B$2:$AO$26,MATCH('Master data'!$B153,'Team forecast'!$B$2:$B$26,0),MATCH('Master data'!L$1,'Team forecast'!$B$2:$AO$2,0))</f>
        <v>2.4958899707496114</v>
      </c>
      <c r="M153">
        <f>IF(Players!BC154=1,95,0)</f>
        <v>95</v>
      </c>
      <c r="N153" s="2">
        <f>Players!BN154</f>
        <v>2.587801037679947E-2</v>
      </c>
      <c r="O153" s="2">
        <f>Players!BO154</f>
        <v>5.3392538815963855E-2</v>
      </c>
      <c r="P153" s="2">
        <f>Players!BP154</f>
        <v>2.1015425616624343E-2</v>
      </c>
      <c r="Q153" s="2">
        <f>Players!BQ154</f>
        <v>0.13326889279437609</v>
      </c>
      <c r="R153" s="2">
        <f>Players!BR154</f>
        <v>0</v>
      </c>
      <c r="S153" s="2">
        <f>H153</f>
        <v>1.5712166996139025</v>
      </c>
      <c r="T153" s="2">
        <f>I153</f>
        <v>0.76028648339757388</v>
      </c>
      <c r="U153" s="16">
        <f>INDEX('Team forecast'!$B$2:$AO$26,MATCH('Master data'!$B153,'Team forecast'!$B$2:$B$26,0),MATCH('Master data'!U$1,'Team forecast'!$B$2:$AO$2,0))</f>
        <v>0.58441558441558439</v>
      </c>
      <c r="V153" s="16">
        <f>INDEX('Team forecast'!$B$2:$AO$26,MATCH('Master data'!$B153,'Team forecast'!$B$2:$B$26,0),MATCH('Master data'!V$1,'Team forecast'!$B$2:$AO$2,0))</f>
        <v>0.25974025974025972</v>
      </c>
      <c r="W153" s="16">
        <f>INDEX('Team forecast'!$B$2:$AO$26,MATCH('Master data'!$B153,'Team forecast'!$B$2:$B$26,0),MATCH('Master data'!W$1,'Team forecast'!$B$2:$AO$2,0))</f>
        <v>0.15584415584415581</v>
      </c>
      <c r="X153" s="5">
        <f>IF(M153&gt;95,7000*2,IF(M153&gt;0,7000,-5000))</f>
        <v>7000</v>
      </c>
      <c r="Y153" s="5">
        <f>IF($X153&gt;0,U153*25000,0)</f>
        <v>14610.38961038961</v>
      </c>
      <c r="Z153" s="5">
        <f>IF($X153&gt;0,V153*5000,0)</f>
        <v>1298.7012987012986</v>
      </c>
      <c r="AA153" s="5">
        <f>IF($X153&gt;0,W153*(-15000),0)</f>
        <v>-2337.662337662337</v>
      </c>
      <c r="AB153" s="5">
        <f>IF($C153="Defense",$N153*150000,IF($C153="Midfield",$N153*125000,IF($C153="Striker",$N153*100000,0)))*$H153</f>
        <v>6098.9943085213772</v>
      </c>
      <c r="AC153" s="5">
        <f>$O153*50000*H153</f>
        <v>4194.562431121295</v>
      </c>
      <c r="AD153" s="5">
        <f>$P153*K153*10000</f>
        <v>938.13228544051617</v>
      </c>
      <c r="AE153" s="5">
        <f>IF($C153="Goalkeeper",J153*75000,IF($C153="Defense",J153*50000,0))</f>
        <v>23376.623376623374</v>
      </c>
      <c r="AF153" s="5">
        <f>IF($C153="Goalkeeper",(L153-I153)*5000,0)</f>
        <v>0</v>
      </c>
      <c r="AG153" s="5">
        <f>IF(M153&gt;0,Q153*(-20000),0)</f>
        <v>-2665.3778558875219</v>
      </c>
      <c r="AH153" s="5">
        <f>IF(M153&gt;0,R153*(-50000),0)</f>
        <v>0</v>
      </c>
      <c r="AI153" s="5">
        <f>IF(M153&gt;0,S153*10000,0)</f>
        <v>15712.166996139025</v>
      </c>
      <c r="AJ153" s="5">
        <f>IF(M153&gt;0,T153*(-8000),0)</f>
        <v>-6082.291867180591</v>
      </c>
      <c r="AK153" s="5">
        <f>IFERROR(SUM(X153:AJ153),-5000)*((Cockpit!$C$3)^0)</f>
        <v>62144.238246206056</v>
      </c>
      <c r="AL153" s="16">
        <f>INDEX('Team forecast'!$B$2:$AO$26,MATCH('Master data'!$B153,'Team forecast'!$B$2:$B$26,0),MATCH('Master data'!AL$1,'Team forecast'!$B$2:$AO$2,0))</f>
        <v>1.8476112368050062</v>
      </c>
      <c r="AM153" s="16">
        <f>INDEX('Team forecast'!$B$2:$AO$26,MATCH('Master data'!$B153,'Team forecast'!$B$2:$B$26,0),MATCH('Master data'!AM$1,'Team forecast'!$B$2:$AO$2,0))</f>
        <v>0.7977891123063281</v>
      </c>
      <c r="AN153" s="16">
        <f>INDEX('Team forecast'!$B$2:$AO$26,MATCH('Master data'!$B153,'Team forecast'!$B$2:$B$26,0),MATCH('Master data'!AN$1,'Team forecast'!$B$2:$AO$2,0))</f>
        <v>0.45032347896962183</v>
      </c>
      <c r="AO153" s="16">
        <f>INDEX('Team forecast'!$B$2:$AO$26,MATCH('Master data'!$B153,'Team forecast'!$B$2:$B$26,0),MATCH('Master data'!AO$1,'Team forecast'!$B$2:$AO$2,0))</f>
        <v>5.2492879998945963</v>
      </c>
      <c r="AP153" s="16">
        <f>INDEX('Team forecast'!$B$2:$AO$26,MATCH('Master data'!$B153,'Team forecast'!$B$2:$B$26,0),MATCH('Master data'!AP$1,'Team forecast'!$B$2:$AO$2,0))</f>
        <v>2.6190046616116831</v>
      </c>
      <c r="AQ153" s="5">
        <f>X153</f>
        <v>7000</v>
      </c>
      <c r="AR153" s="5">
        <f>INDEX('Team forecast'!$B$2:$AO$26,MATCH('Master data'!$B153,'Team forecast'!$B$2:$B$26,0),MATCH('Master data'!AR$1,'Team forecast'!$B$2:$AO$2,0))*IF(X153&gt;0,25000,0)</f>
        <v>15452.276239153689</v>
      </c>
      <c r="AS153" s="16">
        <f>INDEX('Team forecast'!$B$2:$AO$26,MATCH('Master data'!$B153,'Team forecast'!$B$2:$B$26,0),MATCH('Master data'!AS$1,'Team forecast'!$B$2:$AO$2,0))*IF(X153&gt;0,5000,0)</f>
        <v>1182.0991322952575</v>
      </c>
      <c r="AT153" s="16">
        <f>INDEX('Team forecast'!$B$2:$AO$26,MATCH('Master data'!$B153,'Team forecast'!$B$2:$B$26,0),MATCH('Master data'!AT$1,'Team forecast'!$B$2:$AO$2,0))*IF(X153&gt;0,-15000,0)</f>
        <v>-2182.3368596220134</v>
      </c>
      <c r="AU153" s="5">
        <f>IF($C153="Defense",$N153*150000,IF($C153="Midfield",$N153*125000,IF($C153="Striker",$N153*100000,0)))*$AL153</f>
        <v>7171.8754137496871</v>
      </c>
      <c r="AV153" s="5">
        <f>$O153*50000*AL153</f>
        <v>4932.4327338961139</v>
      </c>
      <c r="AW153" s="5">
        <f>$P153*AO153*10000</f>
        <v>1103.1602150202366</v>
      </c>
      <c r="AX153" s="5">
        <f>IF($C153="Goalkeeper",AN153*75000,IF($C153="Defense",AN153*50000,0))</f>
        <v>22516.17394848109</v>
      </c>
      <c r="AY153" s="5">
        <f>IF($C153="Goalkeeper",(AP153-AM153)*5000,0)</f>
        <v>0</v>
      </c>
      <c r="AZ153" s="5">
        <f>$AG153</f>
        <v>-2665.3778558875219</v>
      </c>
      <c r="BA153" s="5">
        <f>$AH153</f>
        <v>0</v>
      </c>
      <c r="BB153" s="5">
        <f>IF(X153&gt;0,AL153*10000,0)</f>
        <v>18476.11236805006</v>
      </c>
      <c r="BC153" s="5">
        <f>IF(X153&gt;0,AM153*(-8000),0)</f>
        <v>-6382.3128984506247</v>
      </c>
      <c r="BD153" s="5">
        <f>IFERROR(SUM(AQ153:BC153),0)</f>
        <v>66604.102436685993</v>
      </c>
      <c r="BE153" s="16">
        <f>INDEX('Team forecast'!$B$2:$AO$26,MATCH('Master data'!$B153,'Team forecast'!$B$2:$B$26,0),MATCH('Master data'!BE$1,'Team forecast'!$B$2:$AO$2,0))</f>
        <v>2.3683451623921505</v>
      </c>
      <c r="BF153" s="16">
        <f>INDEX('Team forecast'!$B$2:$AO$26,MATCH('Master data'!$B153,'Team forecast'!$B$2:$B$26,0),MATCH('Master data'!BF$1,'Team forecast'!$B$2:$AO$2,0))</f>
        <v>0.49102780480244929</v>
      </c>
      <c r="BG153" s="16">
        <f>INDEX('Team forecast'!$B$2:$AO$26,MATCH('Master data'!$B153,'Team forecast'!$B$2:$B$26,0),MATCH('Master data'!BG$1,'Team forecast'!$B$2:$AO$2,0))</f>
        <v>0.61199705730750009</v>
      </c>
      <c r="BH153" s="16">
        <f>INDEX('Team forecast'!$B$2:$AO$26,MATCH('Master data'!$B153,'Team forecast'!$B$2:$B$26,0),MATCH('Master data'!BH$1,'Team forecast'!$B$2:$AO$2,0))</f>
        <v>6.7287563492262965</v>
      </c>
      <c r="BI153" s="16">
        <f>INDEX('Team forecast'!$B$2:$AO$26,MATCH('Master data'!$B153,'Team forecast'!$B$2:$B$26,0),MATCH('Master data'!BI$1,'Team forecast'!$B$2:$AO$2,0))</f>
        <v>1.6119599652605658</v>
      </c>
      <c r="BJ153" s="5">
        <f>AQ153</f>
        <v>7000</v>
      </c>
      <c r="BK153" s="5">
        <f>INDEX('Team forecast'!$R$3:$BH$26,MATCH($B153,'Team forecast'!$B$3:$B$26,0),MATCH(BK$1,'Team forecast'!$R$2:$BH$2,0))*IF($X153&gt;0,25000,0)</f>
        <v>19838.040205094814</v>
      </c>
      <c r="BL153" s="5">
        <f>INDEX('Team forecast'!$R$3:$BH$26,MATCH($B153,'Team forecast'!$B$3:$B$26,0),MATCH(BL$1,'Team forecast'!$R$2:$BH$2,0))*IF($X153&gt;0,5000,0)</f>
        <v>720.27345975421156</v>
      </c>
      <c r="BM153" s="5">
        <f>INDEX('Team forecast'!$R$3:$BH$26,MATCH($B153,'Team forecast'!$B$3:$B$26,0),MATCH(BM$1,'Team forecast'!$R$2:$BH$2,0))*IF($X153&gt;0,-15000,0)</f>
        <v>-936.3554976804752</v>
      </c>
      <c r="BN153" s="5">
        <f>IF($C153="Defense",$N153*150000,IF($C153="Midfield",$N153*125000,IF($C153="Striker",$N153*100000,0)))*$BE153</f>
        <v>9193.209103234034</v>
      </c>
      <c r="BO153" s="5">
        <f>$O153*50000*$BE153</f>
        <v>6322.5980506311553</v>
      </c>
      <c r="BP153" s="5">
        <f>$P153*BH153*10000</f>
        <v>1414.07678549554</v>
      </c>
      <c r="BQ153" s="5">
        <f>IF($C153="Goalkeeper",BG153*75000,IF($C153="Defense",BG153*50000,0))</f>
        <v>30599.852865375004</v>
      </c>
      <c r="BR153" s="5">
        <f>IF($C153="Goalkeeper",(BI153-BF153)*5000,0)</f>
        <v>0</v>
      </c>
      <c r="BS153" s="5">
        <f>$AG153</f>
        <v>-2665.3778558875219</v>
      </c>
      <c r="BT153" s="5">
        <f>$AH153</f>
        <v>0</v>
      </c>
      <c r="BU153" s="5">
        <f>IF(AQ153&gt;0,BE153*10000,0)</f>
        <v>23683.451623921505</v>
      </c>
      <c r="BV153" s="5">
        <f>IF(AQ153&gt;0,BF153*(-8000),0)</f>
        <v>-3928.2224384195943</v>
      </c>
      <c r="BW153" s="5">
        <f>IFERROR(SUM(BJ153:BV153),0)</f>
        <v>91241.546301518654</v>
      </c>
      <c r="BX153" s="5">
        <f>AVERAGE(AK153,BD153,BW153)</f>
        <v>73329.962328136899</v>
      </c>
      <c r="BY153" s="5">
        <f>BX153*3</f>
        <v>219989.8869844107</v>
      </c>
      <c r="BZ153" s="5">
        <f>INDEX('Team forecast'!$R$3:$BH$26,MATCH($B153,'Team forecast'!$B$3:$B$26,0),MATCH(BZ$1,'Team forecast'!$R$2:$BH$2,0))*($BX153-(BY153+CH153)*0.01)</f>
        <v>30095.907037450663</v>
      </c>
      <c r="CA153" s="5">
        <f>INDEX('Team forecast'!$R$3:$BH$26,MATCH($B153,'Team forecast'!$B$3:$B$26,0),MATCH(CA$1,'Team forecast'!$R$2:$BH$2,0))*($BX153-(BY153+BX153+CH153)*0.01)</f>
        <v>14686.613204316092</v>
      </c>
      <c r="CB153" s="5">
        <f>INDEX('Team forecast'!$R$3:$BH$26,MATCH($B153,'Team forecast'!$B$3:$B$26,0),MATCH(CB$1,'Team forecast'!$R$2:$BH$2,0))*($BX153-(BY153+BX153*2+CH153)*0.01)</f>
        <v>7159.8440911992984</v>
      </c>
      <c r="CC153" s="5">
        <f>INDEX('Team forecast'!$R$3:$BH$26,MATCH($B153,'Team forecast'!$B$3:$B$26,0),MATCH(CC$1,'Team forecast'!$R$2:$BH$2,0))*($BX153-(BY153+BX153*3+CH153)*0.01)</f>
        <v>3483.4878785343667</v>
      </c>
      <c r="CD153" s="5">
        <f>+AK153+BD153*Cockpit!$C$3+BW153*Cockpit!$C$3^2+BZ153*Cockpit!$C$3^3+CA153*Cockpit!$C$3^4+CB153*Cockpit!$C$3^5+CC153*Cockpit!$C$3^6</f>
        <v>160165.81748408484</v>
      </c>
      <c r="CE153" s="5"/>
      <c r="CF153" s="5"/>
      <c r="CG153" s="5">
        <v>0</v>
      </c>
      <c r="CH153" s="5">
        <f t="shared" si="49"/>
        <v>4000000</v>
      </c>
      <c r="CI153" s="5">
        <f t="shared" si="50"/>
        <v>4000000</v>
      </c>
      <c r="CJ153" s="1">
        <f t="shared" si="51"/>
        <v>5.4997471746102672E-2</v>
      </c>
      <c r="CK153" s="5">
        <f>RANK(BY153,$BY$2:$BY$623)+COUNTIF($BY$2:$BY153,$BY153)-1</f>
        <v>38</v>
      </c>
      <c r="CL153" s="5">
        <f>RANK(CJ153,$CJ$2:$CJ$623)+COUNTIF($CJ$2:$CJ153,$CJ153)-1</f>
        <v>21</v>
      </c>
    </row>
    <row r="154" spans="1:90">
      <c r="A154" t="str">
        <f>Players!P155</f>
        <v>Bernd Leno</v>
      </c>
      <c r="B154" t="str">
        <f>Players!G155</f>
        <v>Germany</v>
      </c>
      <c r="C154" t="str">
        <f>Players!AB155</f>
        <v>Goalkeeper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4500000</v>
      </c>
      <c r="H154" s="16">
        <f>INDEX('Team forecast'!$B$2:$AO$26,MATCH('Master data'!$B154,'Team forecast'!$B$2:$B$26,0),MATCH('Master data'!H$1,'Team forecast'!$B$2:$AO$2,0))</f>
        <v>1.2386203137003762</v>
      </c>
      <c r="I154" s="16">
        <f>INDEX('Team forecast'!$B$2:$AO$26,MATCH('Master data'!$B154,'Team forecast'!$B$2:$B$26,0),MATCH('Master data'!I$1,'Team forecast'!$B$2:$AO$2,0))</f>
        <v>1.2386203137003762</v>
      </c>
      <c r="J154" s="16">
        <f>INDEX('Team forecast'!$B$2:$AO$26,MATCH('Master data'!$B154,'Team forecast'!$B$2:$B$26,0),MATCH('Master data'!J$1,'Team forecast'!$B$2:$AO$2,0))</f>
        <v>0.28978375293296982</v>
      </c>
      <c r="K154" s="16">
        <f>INDEX('Team forecast'!$B$2:$AO$26,MATCH('Master data'!$B154,'Team forecast'!$B$2:$B$26,0),MATCH('Master data'!K$1,'Team forecast'!$B$2:$AO$2,0))</f>
        <v>3.2490442399577706</v>
      </c>
      <c r="L154" s="16">
        <f>INDEX('Team forecast'!$B$2:$AO$26,MATCH('Master data'!$B154,'Team forecast'!$B$2:$B$26,0),MATCH('Master data'!L$1,'Team forecast'!$B$2:$AO$2,0))</f>
        <v>3.2998357975681776</v>
      </c>
      <c r="M154">
        <f>IF(Players!BC155=1,95,0)</f>
        <v>0</v>
      </c>
      <c r="N154" s="2">
        <f>Players!BN155</f>
        <v>0</v>
      </c>
      <c r="O154" s="2">
        <f>Players!BO155</f>
        <v>0</v>
      </c>
      <c r="P154" s="2">
        <f>Players!BP155</f>
        <v>0</v>
      </c>
      <c r="Q154" s="2">
        <f>Players!BQ155</f>
        <v>0</v>
      </c>
      <c r="R154" s="2">
        <f>Players!BR155</f>
        <v>2.8735632183908049E-2</v>
      </c>
      <c r="S154" s="2">
        <f>H154</f>
        <v>1.2386203137003762</v>
      </c>
      <c r="T154" s="2">
        <f>I154</f>
        <v>1.2386203137003762</v>
      </c>
      <c r="U154" s="16">
        <f>INDEX('Team forecast'!$B$2:$AO$26,MATCH('Master data'!$B154,'Team forecast'!$B$2:$B$26,0),MATCH('Master data'!U$1,'Team forecast'!$B$2:$AO$2,0))</f>
        <v>0.33635614179719708</v>
      </c>
      <c r="V154" s="16">
        <f>INDEX('Team forecast'!$B$2:$AO$26,MATCH('Master data'!$B154,'Team forecast'!$B$2:$B$26,0),MATCH('Master data'!V$1,'Team forecast'!$B$2:$AO$2,0))</f>
        <v>0.29431162407254741</v>
      </c>
      <c r="W154" s="16">
        <f>INDEX('Team forecast'!$B$2:$AO$26,MATCH('Master data'!$B154,'Team forecast'!$B$2:$B$26,0),MATCH('Master data'!W$1,'Team forecast'!$B$2:$AO$2,0))</f>
        <v>0.36933223413025562</v>
      </c>
      <c r="X154" s="5">
        <f>IF(M154&gt;95,7000*2,IF(M154&gt;0,7000,-5000))</f>
        <v>-5000</v>
      </c>
      <c r="Y154" s="5">
        <f>IF($X154&gt;0,U154*25000,0)</f>
        <v>0</v>
      </c>
      <c r="Z154" s="5">
        <f>IF($X154&gt;0,V154*5000,0)</f>
        <v>0</v>
      </c>
      <c r="AA154" s="5">
        <f>IF($X154&gt;0,W154*(-15000),0)</f>
        <v>0</v>
      </c>
      <c r="AB154" s="5">
        <f>IF($C154="Defense",$N154*150000,IF($C154="Midfield",$N154*125000,IF($C154="Striker",$N154*100000,0)))*$H154</f>
        <v>0</v>
      </c>
      <c r="AC154" s="5">
        <f>$O154*50000*H154</f>
        <v>0</v>
      </c>
      <c r="AD154" s="5">
        <f>$P154*K154*10000</f>
        <v>0</v>
      </c>
      <c r="AE154" s="5">
        <f>IF($C154="Goalkeeper",J154*75000,IF($C154="Defense",J154*50000,0))</f>
        <v>21733.781469972735</v>
      </c>
      <c r="AF154" s="5">
        <f>IF($C154="Goalkeeper",(L154-I154)*5000,0)</f>
        <v>10306.077419339008</v>
      </c>
      <c r="AG154" s="5">
        <f>IF(M154&gt;0,Q154*(-20000),0)</f>
        <v>0</v>
      </c>
      <c r="AH154" s="5">
        <f>IF(M154&gt;0,R154*(-50000),0)</f>
        <v>0</v>
      </c>
      <c r="AI154" s="5">
        <f>IF(M154&gt;0,S154*10000,0)</f>
        <v>0</v>
      </c>
      <c r="AJ154" s="5">
        <f>IF(M154&gt;0,T154*(-8000),0)</f>
        <v>0</v>
      </c>
      <c r="AK154" s="5">
        <f>IFERROR(SUM(X154:AJ154),-5000)*((Cockpit!$C$3)^0)</f>
        <v>27039.858889311741</v>
      </c>
      <c r="AL154" s="16">
        <f>INDEX('Team forecast'!$B$2:$AO$26,MATCH('Master data'!$B154,'Team forecast'!$B$2:$B$26,0),MATCH('Master data'!AL$1,'Team forecast'!$B$2:$AO$2,0))</f>
        <v>1.384389503157577</v>
      </c>
      <c r="AM154" s="16">
        <f>INDEX('Team forecast'!$B$2:$AO$26,MATCH('Master data'!$B154,'Team forecast'!$B$2:$B$26,0),MATCH('Master data'!AM$1,'Team forecast'!$B$2:$AO$2,0))</f>
        <v>1.1612459518433673</v>
      </c>
      <c r="AN154" s="16">
        <f>INDEX('Team forecast'!$B$2:$AO$26,MATCH('Master data'!$B154,'Team forecast'!$B$2:$B$26,0),MATCH('Master data'!AN$1,'Team forecast'!$B$2:$AO$2,0))</f>
        <v>0.31309583542398389</v>
      </c>
      <c r="AO154" s="16">
        <f>INDEX('Team forecast'!$B$2:$AO$26,MATCH('Master data'!$B154,'Team forecast'!$B$2:$B$26,0),MATCH('Master data'!AO$1,'Team forecast'!$B$2:$AO$2,0))</f>
        <v>3.6314136715992724</v>
      </c>
      <c r="AP154" s="16">
        <f>INDEX('Team forecast'!$B$2:$AO$26,MATCH('Master data'!$B154,'Team forecast'!$B$2:$B$26,0),MATCH('Master data'!AP$1,'Team forecast'!$B$2:$AO$2,0))</f>
        <v>3.0937010472773676</v>
      </c>
      <c r="AQ154" s="5">
        <f>X154</f>
        <v>-5000</v>
      </c>
      <c r="AR154" s="5">
        <f>INDEX('Team forecast'!$B$2:$AO$26,MATCH('Master data'!$B154,'Team forecast'!$B$2:$B$26,0),MATCH('Master data'!AR$1,'Team forecast'!$B$2:$AO$2,0))*IF(X154&gt;0,25000,0)</f>
        <v>0</v>
      </c>
      <c r="AS154" s="16">
        <f>INDEX('Team forecast'!$B$2:$AO$26,MATCH('Master data'!$B154,'Team forecast'!$B$2:$B$26,0),MATCH('Master data'!AS$1,'Team forecast'!$B$2:$AO$2,0))*IF(X154&gt;0,5000,0)</f>
        <v>0</v>
      </c>
      <c r="AT154" s="16">
        <f>INDEX('Team forecast'!$B$2:$AO$26,MATCH('Master data'!$B154,'Team forecast'!$B$2:$B$26,0),MATCH('Master data'!AT$1,'Team forecast'!$B$2:$AO$2,0))*IF(X154&gt;0,-15000,0)</f>
        <v>0</v>
      </c>
      <c r="AU154" s="5">
        <f>IF($C154="Defense",$N154*150000,IF($C154="Midfield",$N154*125000,IF($C154="Striker",$N154*100000,0)))*$AL154</f>
        <v>0</v>
      </c>
      <c r="AV154" s="5">
        <f>$O154*50000*AL154</f>
        <v>0</v>
      </c>
      <c r="AW154" s="5">
        <f>$P154*AO154*10000</f>
        <v>0</v>
      </c>
      <c r="AX154" s="5">
        <f>IF($C154="Goalkeeper",AN154*75000,IF($C154="Defense",AN154*50000,0))</f>
        <v>23482.187656798793</v>
      </c>
      <c r="AY154" s="5">
        <f>IF($C154="Goalkeeper",(AP154-AM154)*5000,0)</f>
        <v>9662.275477170002</v>
      </c>
      <c r="AZ154" s="5">
        <f>$AG154</f>
        <v>0</v>
      </c>
      <c r="BA154" s="5">
        <f>$AH154</f>
        <v>0</v>
      </c>
      <c r="BB154" s="5">
        <f>IF(X154&gt;0,AL154*10000,0)</f>
        <v>0</v>
      </c>
      <c r="BC154" s="5">
        <f>IF(X154&gt;0,AM154*(-8000),0)</f>
        <v>0</v>
      </c>
      <c r="BD154" s="5">
        <f>IFERROR(SUM(AQ154:BC154),0)</f>
        <v>28144.463133968795</v>
      </c>
      <c r="BE154" s="16">
        <f>INDEX('Team forecast'!$B$2:$AO$26,MATCH('Master data'!$B154,'Team forecast'!$B$2:$B$26,0),MATCH('Master data'!BE$1,'Team forecast'!$B$2:$AO$2,0))</f>
        <v>2.4374022591536644</v>
      </c>
      <c r="BF154" s="16">
        <f>INDEX('Team forecast'!$B$2:$AO$26,MATCH('Master data'!$B154,'Team forecast'!$B$2:$B$26,0),MATCH('Master data'!BF$1,'Team forecast'!$B$2:$AO$2,0))</f>
        <v>0.68661022841383224</v>
      </c>
      <c r="BG154" s="16">
        <f>INDEX('Team forecast'!$B$2:$AO$26,MATCH('Master data'!$B154,'Team forecast'!$B$2:$B$26,0),MATCH('Master data'!BG$1,'Team forecast'!$B$2:$AO$2,0))</f>
        <v>0.50327918232493496</v>
      </c>
      <c r="BH154" s="16">
        <f>INDEX('Team forecast'!$B$2:$AO$26,MATCH('Master data'!$B154,'Team forecast'!$B$2:$B$26,0),MATCH('Master data'!BH$1,'Team forecast'!$B$2:$AO$2,0))</f>
        <v>6.3935878355689084</v>
      </c>
      <c r="BI154" s="16">
        <f>INDEX('Team forecast'!$B$2:$AO$26,MATCH('Master data'!$B154,'Team forecast'!$B$2:$B$26,0),MATCH('Master data'!BI$1,'Team forecast'!$B$2:$AO$2,0))</f>
        <v>1.8292135092857056</v>
      </c>
      <c r="BJ154" s="5">
        <f>AQ154</f>
        <v>-5000</v>
      </c>
      <c r="BK154" s="5">
        <f>INDEX('Team forecast'!$R$3:$BH$26,MATCH($B154,'Team forecast'!$B$3:$B$26,0),MATCH(BK$1,'Team forecast'!$R$2:$BH$2,0))*IF($X154&gt;0,25000,0)</f>
        <v>0</v>
      </c>
      <c r="BL154" s="5">
        <f>INDEX('Team forecast'!$R$3:$BH$26,MATCH($B154,'Team forecast'!$B$3:$B$26,0),MATCH(BL$1,'Team forecast'!$R$2:$BH$2,0))*IF($X154&gt;0,5000,0)</f>
        <v>0</v>
      </c>
      <c r="BM154" s="5">
        <f>INDEX('Team forecast'!$R$3:$BH$26,MATCH($B154,'Team forecast'!$B$3:$B$26,0),MATCH(BM$1,'Team forecast'!$R$2:$BH$2,0))*IF($X154&gt;0,-15000,0)</f>
        <v>0</v>
      </c>
      <c r="BN154" s="5">
        <f>IF($C154="Defense",$N154*150000,IF($C154="Midfield",$N154*125000,IF($C154="Striker",$N154*100000,0)))*$BE154</f>
        <v>0</v>
      </c>
      <c r="BO154" s="5">
        <f>$O154*50000*$BE154</f>
        <v>0</v>
      </c>
      <c r="BP154" s="5">
        <f>$P154*BH154*10000</f>
        <v>0</v>
      </c>
      <c r="BQ154" s="5">
        <f>IF($C154="Goalkeeper",BG154*75000,IF($C154="Defense",BG154*50000,0))</f>
        <v>37745.938674370125</v>
      </c>
      <c r="BR154" s="5">
        <f>IF($C154="Goalkeeper",(BI154-BF154)*5000,0)</f>
        <v>5713.0164043593668</v>
      </c>
      <c r="BS154" s="5">
        <f>$AG154</f>
        <v>0</v>
      </c>
      <c r="BT154" s="5">
        <f>$AH154</f>
        <v>0</v>
      </c>
      <c r="BU154" s="5">
        <f>IF(AQ154&gt;0,BE154*10000,0)</f>
        <v>0</v>
      </c>
      <c r="BV154" s="5">
        <f>IF(AQ154&gt;0,BF154*(-8000),0)</f>
        <v>0</v>
      </c>
      <c r="BW154" s="5">
        <f>IFERROR(SUM(BJ154:BV154),0)</f>
        <v>38458.955078729494</v>
      </c>
      <c r="BX154" s="5">
        <f>AVERAGE(AK154,BD154,BW154)</f>
        <v>31214.42570067001</v>
      </c>
      <c r="BY154" s="5">
        <f>BX154*3</f>
        <v>93643.277102010034</v>
      </c>
      <c r="BZ154" s="5">
        <f>INDEX('Team forecast'!$R$3:$BH$26,MATCH($B154,'Team forecast'!$B$3:$B$26,0),MATCH(BZ$1,'Team forecast'!$R$2:$BH$2,0))*($BX154-(BY154+CH154)*0.01)</f>
        <v>-13109.281835822329</v>
      </c>
      <c r="CA154" s="5">
        <f>INDEX('Team forecast'!$R$3:$BH$26,MATCH($B154,'Team forecast'!$B$3:$B$26,0),MATCH(CA$1,'Team forecast'!$R$2:$BH$2,0))*($BX154-(BY154+BX154+CH154)*0.01)</f>
        <v>-6803.3673270474837</v>
      </c>
      <c r="CB154" s="5">
        <f>INDEX('Team forecast'!$R$3:$BH$26,MATCH($B154,'Team forecast'!$B$3:$B$26,0),MATCH(CB$1,'Team forecast'!$R$2:$BH$2,0))*($BX154-(BY154+BX154*2+CH154)*0.01)</f>
        <v>-3577.7505288121006</v>
      </c>
      <c r="CC154" s="5">
        <f>INDEX('Team forecast'!$R$3:$BH$26,MATCH($B154,'Team forecast'!$B$3:$B$26,0),MATCH(CC$1,'Team forecast'!$R$2:$BH$2,0))*($BX154-(BY154+BX154*3+CH154)*0.01)</f>
        <v>-1963.9885466842493</v>
      </c>
      <c r="CD154" s="5">
        <f>+AK154+BD154*Cockpit!$C$3+BW154*Cockpit!$C$3^2+BZ154*Cockpit!$C$3^3+CA154*Cockpit!$C$3^4+CB154*Cockpit!$C$3^5+CC154*Cockpit!$C$3^6</f>
        <v>57024.030959587421</v>
      </c>
      <c r="CE154" s="5"/>
      <c r="CF154" s="5"/>
      <c r="CG154" s="5">
        <v>0</v>
      </c>
      <c r="CH154" s="5">
        <f t="shared" si="49"/>
        <v>4500000</v>
      </c>
      <c r="CI154" s="5">
        <f t="shared" si="50"/>
        <v>4500000</v>
      </c>
      <c r="CJ154" s="1">
        <f t="shared" si="51"/>
        <v>2.0809617133780007E-2</v>
      </c>
      <c r="CK154" s="5">
        <f>RANK(BY154,$BY$2:$BY$623)+COUNTIF($BY$2:$BY154,$BY154)-1</f>
        <v>182</v>
      </c>
      <c r="CL154" s="5">
        <f>RANK(CJ154,$CJ$2:$CJ$623)+COUNTIF($CJ$2:$CJ154,$CJ154)-1</f>
        <v>254</v>
      </c>
    </row>
    <row r="155" spans="1:90">
      <c r="A155" t="str">
        <f>Players!P156</f>
        <v>Mats  Hummels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3500000</v>
      </c>
      <c r="H155" s="16">
        <f>INDEX('Team forecast'!$B$2:$AO$26,MATCH('Master data'!$B155,'Team forecast'!$B$2:$B$26,0),MATCH('Master data'!H$1,'Team forecast'!$B$2:$AO$2,0))</f>
        <v>1.2386203137003762</v>
      </c>
      <c r="I155" s="16">
        <f>INDEX('Team forecast'!$B$2:$AO$26,MATCH('Master data'!$B155,'Team forecast'!$B$2:$B$26,0),MATCH('Master data'!I$1,'Team forecast'!$B$2:$AO$2,0))</f>
        <v>1.2386203137003762</v>
      </c>
      <c r="J155" s="16">
        <f>INDEX('Team forecast'!$B$2:$AO$26,MATCH('Master data'!$B155,'Team forecast'!$B$2:$B$26,0),MATCH('Master data'!J$1,'Team forecast'!$B$2:$AO$2,0))</f>
        <v>0.28978375293296982</v>
      </c>
      <c r="K155" s="16">
        <f>INDEX('Team forecast'!$B$2:$AO$26,MATCH('Master data'!$B155,'Team forecast'!$B$2:$B$26,0),MATCH('Master data'!K$1,'Team forecast'!$B$2:$AO$2,0))</f>
        <v>3.2490442399577706</v>
      </c>
      <c r="L155" s="16">
        <f>INDEX('Team forecast'!$B$2:$AO$26,MATCH('Master data'!$B155,'Team forecast'!$B$2:$B$26,0),MATCH('Master data'!L$1,'Team forecast'!$B$2:$AO$2,0))</f>
        <v>3.2998357975681776</v>
      </c>
      <c r="M155">
        <f>IF(Players!BC156=1,95,0)</f>
        <v>0</v>
      </c>
      <c r="N155" s="2">
        <f>Players!BN156</f>
        <v>0</v>
      </c>
      <c r="O155" s="2">
        <f>Players!BO156</f>
        <v>0</v>
      </c>
      <c r="P155" s="2">
        <f>Players!BP156</f>
        <v>0</v>
      </c>
      <c r="Q155" s="2">
        <f>Players!BQ156</f>
        <v>9.5880681818181809E-2</v>
      </c>
      <c r="R155" s="2">
        <f>Players!BR156</f>
        <v>0</v>
      </c>
      <c r="S155" s="2">
        <f>H155</f>
        <v>1.2386203137003762</v>
      </c>
      <c r="T155" s="2">
        <f>I155</f>
        <v>1.2386203137003762</v>
      </c>
      <c r="U155" s="16">
        <f>INDEX('Team forecast'!$B$2:$AO$26,MATCH('Master data'!$B155,'Team forecast'!$B$2:$B$26,0),MATCH('Master data'!U$1,'Team forecast'!$B$2:$AO$2,0))</f>
        <v>0.33635614179719708</v>
      </c>
      <c r="V155" s="16">
        <f>INDEX('Team forecast'!$B$2:$AO$26,MATCH('Master data'!$B155,'Team forecast'!$B$2:$B$26,0),MATCH('Master data'!V$1,'Team forecast'!$B$2:$AO$2,0))</f>
        <v>0.29431162407254741</v>
      </c>
      <c r="W155" s="16">
        <f>INDEX('Team forecast'!$B$2:$AO$26,MATCH('Master data'!$B155,'Team forecast'!$B$2:$B$26,0),MATCH('Master data'!W$1,'Team forecast'!$B$2:$AO$2,0))</f>
        <v>0.36933223413025562</v>
      </c>
      <c r="X155" s="5">
        <f>IF(M155&gt;95,7000*2,IF(M155&gt;0,7000,-5000))</f>
        <v>-5000</v>
      </c>
      <c r="Y155" s="5">
        <f>IF($X155&gt;0,U155*25000,0)</f>
        <v>0</v>
      </c>
      <c r="Z155" s="5">
        <f>IF($X155&gt;0,V155*5000,0)</f>
        <v>0</v>
      </c>
      <c r="AA155" s="5">
        <f>IF($X155&gt;0,W155*(-15000),0)</f>
        <v>0</v>
      </c>
      <c r="AB155" s="5">
        <f>IF($C155="Defense",$N155*150000,IF($C155="Midfield",$N155*125000,IF($C155="Striker",$N155*100000,0)))*$H155</f>
        <v>0</v>
      </c>
      <c r="AC155" s="5">
        <f>$O155*50000*H155</f>
        <v>0</v>
      </c>
      <c r="AD155" s="5">
        <f>$P155*K155*10000</f>
        <v>0</v>
      </c>
      <c r="AE155" s="5">
        <f>IF($C155="Goalkeeper",J155*75000,IF($C155="Defense",J155*50000,0))</f>
        <v>14489.18764664849</v>
      </c>
      <c r="AF155" s="5">
        <f>IF($C155="Goalkeeper",(L155-I155)*5000,0)</f>
        <v>0</v>
      </c>
      <c r="AG155" s="5">
        <f>IF(M155&gt;0,Q155*(-20000),0)</f>
        <v>0</v>
      </c>
      <c r="AH155" s="5">
        <f>IF(M155&gt;0,R155*(-50000),0)</f>
        <v>0</v>
      </c>
      <c r="AI155" s="5">
        <f>IF(M155&gt;0,S155*10000,0)</f>
        <v>0</v>
      </c>
      <c r="AJ155" s="5">
        <f>IF(M155&gt;0,T155*(-8000),0)</f>
        <v>0</v>
      </c>
      <c r="AK155" s="5">
        <f>IFERROR(SUM(X155:AJ155),-5000)*((Cockpit!$C$3)^0)</f>
        <v>9489.18764664849</v>
      </c>
      <c r="AL155" s="16">
        <f>INDEX('Team forecast'!$B$2:$AO$26,MATCH('Master data'!$B155,'Team forecast'!$B$2:$B$26,0),MATCH('Master data'!AL$1,'Team forecast'!$B$2:$AO$2,0))</f>
        <v>1.384389503157577</v>
      </c>
      <c r="AM155" s="16">
        <f>INDEX('Team forecast'!$B$2:$AO$26,MATCH('Master data'!$B155,'Team forecast'!$B$2:$B$26,0),MATCH('Master data'!AM$1,'Team forecast'!$B$2:$AO$2,0))</f>
        <v>1.1612459518433673</v>
      </c>
      <c r="AN155" s="16">
        <f>INDEX('Team forecast'!$B$2:$AO$26,MATCH('Master data'!$B155,'Team forecast'!$B$2:$B$26,0),MATCH('Master data'!AN$1,'Team forecast'!$B$2:$AO$2,0))</f>
        <v>0.31309583542398389</v>
      </c>
      <c r="AO155" s="16">
        <f>INDEX('Team forecast'!$B$2:$AO$26,MATCH('Master data'!$B155,'Team forecast'!$B$2:$B$26,0),MATCH('Master data'!AO$1,'Team forecast'!$B$2:$AO$2,0))</f>
        <v>3.6314136715992724</v>
      </c>
      <c r="AP155" s="16">
        <f>INDEX('Team forecast'!$B$2:$AO$26,MATCH('Master data'!$B155,'Team forecast'!$B$2:$B$26,0),MATCH('Master data'!AP$1,'Team forecast'!$B$2:$AO$2,0))</f>
        <v>3.0937010472773676</v>
      </c>
      <c r="AQ155" s="5">
        <f>X155</f>
        <v>-5000</v>
      </c>
      <c r="AR155" s="5">
        <f>INDEX('Team forecast'!$B$2:$AO$26,MATCH('Master data'!$B155,'Team forecast'!$B$2:$B$26,0),MATCH('Master data'!AR$1,'Team forecast'!$B$2:$AO$2,0))*IF(X155&gt;0,25000,0)</f>
        <v>0</v>
      </c>
      <c r="AS155" s="16">
        <f>INDEX('Team forecast'!$B$2:$AO$26,MATCH('Master data'!$B155,'Team forecast'!$B$2:$B$26,0),MATCH('Master data'!AS$1,'Team forecast'!$B$2:$AO$2,0))*IF(X155&gt;0,5000,0)</f>
        <v>0</v>
      </c>
      <c r="AT155" s="16">
        <f>INDEX('Team forecast'!$B$2:$AO$26,MATCH('Master data'!$B155,'Team forecast'!$B$2:$B$26,0),MATCH('Master data'!AT$1,'Team forecast'!$B$2:$AO$2,0))*IF(X155&gt;0,-15000,0)</f>
        <v>0</v>
      </c>
      <c r="AU155" s="5">
        <f>IF($C155="Defense",$N155*150000,IF($C155="Midfield",$N155*125000,IF($C155="Striker",$N155*100000,0)))*$AL155</f>
        <v>0</v>
      </c>
      <c r="AV155" s="5">
        <f>$O155*50000*AL155</f>
        <v>0</v>
      </c>
      <c r="AW155" s="5">
        <f>$P155*AO155*10000</f>
        <v>0</v>
      </c>
      <c r="AX155" s="5">
        <f>IF($C155="Goalkeeper",AN155*75000,IF($C155="Defense",AN155*50000,0))</f>
        <v>15654.791771199194</v>
      </c>
      <c r="AY155" s="5">
        <f>IF($C155="Goalkeeper",(AP155-AM155)*5000,0)</f>
        <v>0</v>
      </c>
      <c r="AZ155" s="5">
        <f>$AG155</f>
        <v>0</v>
      </c>
      <c r="BA155" s="5">
        <f>$AH155</f>
        <v>0</v>
      </c>
      <c r="BB155" s="5">
        <f>IF(X155&gt;0,AL155*10000,0)</f>
        <v>0</v>
      </c>
      <c r="BC155" s="5">
        <f>IF(X155&gt;0,AM155*(-8000),0)</f>
        <v>0</v>
      </c>
      <c r="BD155" s="5">
        <f>IFERROR(SUM(AQ155:BC155),0)</f>
        <v>10654.791771199194</v>
      </c>
      <c r="BE155" s="16">
        <f>INDEX('Team forecast'!$B$2:$AO$26,MATCH('Master data'!$B155,'Team forecast'!$B$2:$B$26,0),MATCH('Master data'!BE$1,'Team forecast'!$B$2:$AO$2,0))</f>
        <v>2.4374022591536644</v>
      </c>
      <c r="BF155" s="16">
        <f>INDEX('Team forecast'!$B$2:$AO$26,MATCH('Master data'!$B155,'Team forecast'!$B$2:$B$26,0),MATCH('Master data'!BF$1,'Team forecast'!$B$2:$AO$2,0))</f>
        <v>0.68661022841383224</v>
      </c>
      <c r="BG155" s="16">
        <f>INDEX('Team forecast'!$B$2:$AO$26,MATCH('Master data'!$B155,'Team forecast'!$B$2:$B$26,0),MATCH('Master data'!BG$1,'Team forecast'!$B$2:$AO$2,0))</f>
        <v>0.50327918232493496</v>
      </c>
      <c r="BH155" s="16">
        <f>INDEX('Team forecast'!$B$2:$AO$26,MATCH('Master data'!$B155,'Team forecast'!$B$2:$B$26,0),MATCH('Master data'!BH$1,'Team forecast'!$B$2:$AO$2,0))</f>
        <v>6.3935878355689084</v>
      </c>
      <c r="BI155" s="16">
        <f>INDEX('Team forecast'!$B$2:$AO$26,MATCH('Master data'!$B155,'Team forecast'!$B$2:$B$26,0),MATCH('Master data'!BI$1,'Team forecast'!$B$2:$AO$2,0))</f>
        <v>1.8292135092857056</v>
      </c>
      <c r="BJ155" s="5">
        <f>AQ155</f>
        <v>-5000</v>
      </c>
      <c r="BK155" s="5">
        <f>INDEX('Team forecast'!$R$3:$BH$26,MATCH($B155,'Team forecast'!$B$3:$B$26,0),MATCH(BK$1,'Team forecast'!$R$2:$BH$2,0))*IF($X155&gt;0,25000,0)</f>
        <v>0</v>
      </c>
      <c r="BL155" s="5">
        <f>INDEX('Team forecast'!$R$3:$BH$26,MATCH($B155,'Team forecast'!$B$3:$B$26,0),MATCH(BL$1,'Team forecast'!$R$2:$BH$2,0))*IF($X155&gt;0,5000,0)</f>
        <v>0</v>
      </c>
      <c r="BM155" s="5">
        <f>INDEX('Team forecast'!$R$3:$BH$26,MATCH($B155,'Team forecast'!$B$3:$B$26,0),MATCH(BM$1,'Team forecast'!$R$2:$BH$2,0))*IF($X155&gt;0,-15000,0)</f>
        <v>0</v>
      </c>
      <c r="BN155" s="5">
        <f>IF($C155="Defense",$N155*150000,IF($C155="Midfield",$N155*125000,IF($C155="Striker",$N155*100000,0)))*$BE155</f>
        <v>0</v>
      </c>
      <c r="BO155" s="5">
        <f>$O155*50000*$BE155</f>
        <v>0</v>
      </c>
      <c r="BP155" s="5">
        <f>$P155*BH155*10000</f>
        <v>0</v>
      </c>
      <c r="BQ155" s="5">
        <f>IF($C155="Goalkeeper",BG155*75000,IF($C155="Defense",BG155*50000,0))</f>
        <v>25163.959116246748</v>
      </c>
      <c r="BR155" s="5">
        <f>IF($C155="Goalkeeper",(BI155-BF155)*5000,0)</f>
        <v>0</v>
      </c>
      <c r="BS155" s="5">
        <f>$AG155</f>
        <v>0</v>
      </c>
      <c r="BT155" s="5">
        <f>$AH155</f>
        <v>0</v>
      </c>
      <c r="BU155" s="5">
        <f>IF(AQ155&gt;0,BE155*10000,0)</f>
        <v>0</v>
      </c>
      <c r="BV155" s="5">
        <f>IF(AQ155&gt;0,BF155*(-8000),0)</f>
        <v>0</v>
      </c>
      <c r="BW155" s="5">
        <f>IFERROR(SUM(BJ155:BV155),0)</f>
        <v>20163.959116246748</v>
      </c>
      <c r="BX155" s="5">
        <f>AVERAGE(AK155,BD155,BW155)</f>
        <v>13435.979511364809</v>
      </c>
      <c r="BY155" s="5">
        <f>BX155*3</f>
        <v>40307.938534094428</v>
      </c>
      <c r="BZ155" s="5">
        <f>INDEX('Team forecast'!$R$3:$BH$26,MATCH($B155,'Team forecast'!$B$3:$B$26,0),MATCH(BZ$1,'Team forecast'!$R$2:$BH$2,0))*($BX155-(BY155+CH155)*0.01)</f>
        <v>-19560.709486655771</v>
      </c>
      <c r="CA155" s="5">
        <f>INDEX('Team forecast'!$R$3:$BH$26,MATCH($B155,'Team forecast'!$B$3:$B$26,0),MATCH(CA$1,'Team forecast'!$R$2:$BH$2,0))*($BX155-(BY155+BX155+CH155)*0.01)</f>
        <v>-10001.51889645634</v>
      </c>
      <c r="CB155" s="5">
        <f>INDEX('Team forecast'!$R$3:$BH$26,MATCH($B155,'Team forecast'!$B$3:$B$26,0),MATCH(CB$1,'Team forecast'!$R$2:$BH$2,0))*($BX155-(BY155+BX155*2+CH155)*0.01)</f>
        <v>-5183.9360456267323</v>
      </c>
      <c r="CC155" s="5">
        <f>INDEX('Team forecast'!$R$3:$BH$26,MATCH($B155,'Team forecast'!$B$3:$B$26,0),MATCH(CC$1,'Team forecast'!$R$2:$BH$2,0))*($BX155-(BY155+BX155*3+CH155)*0.01)</f>
        <v>-2805.8207776546778</v>
      </c>
      <c r="CD155" s="5">
        <f>+AK155+BD155*Cockpit!$C$3+BW155*Cockpit!$C$3^2+BZ155*Cockpit!$C$3^3+CA155*Cockpit!$C$3^4+CB155*Cockpit!$C$3^5+CC155*Cockpit!$C$3^6</f>
        <v>16853.781877251135</v>
      </c>
      <c r="CE155" s="5"/>
      <c r="CF155" s="5"/>
      <c r="CG155" s="5">
        <v>0</v>
      </c>
      <c r="CH155" s="5">
        <f t="shared" si="49"/>
        <v>3500000</v>
      </c>
      <c r="CI155" s="5">
        <f t="shared" si="50"/>
        <v>3500000</v>
      </c>
      <c r="CJ155" s="1">
        <f t="shared" si="51"/>
        <v>1.1516553866884122E-2</v>
      </c>
      <c r="CK155" s="5">
        <f>RANK(BY155,$BY$2:$BY$623)+COUNTIF($BY$2:$BY155,$BY155)-1</f>
        <v>304</v>
      </c>
      <c r="CL155" s="5">
        <f>RANK(CJ155,$CJ$2:$CJ$623)+COUNTIF($CJ$2:$CJ155,$CJ155)-1</f>
        <v>342</v>
      </c>
    </row>
    <row r="156" spans="1:90">
      <c r="A156" t="str">
        <f>Players!P157</f>
        <v>Antonio Rüdiger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4000000</v>
      </c>
      <c r="H156" s="16">
        <f>INDEX('Team forecast'!$B$2:$AO$26,MATCH('Master data'!$B156,'Team forecast'!$B$2:$B$26,0),MATCH('Master data'!H$1,'Team forecast'!$B$2:$AO$2,0))</f>
        <v>1.2386203137003762</v>
      </c>
      <c r="I156" s="16">
        <f>INDEX('Team forecast'!$B$2:$AO$26,MATCH('Master data'!$B156,'Team forecast'!$B$2:$B$26,0),MATCH('Master data'!I$1,'Team forecast'!$B$2:$AO$2,0))</f>
        <v>1.2386203137003762</v>
      </c>
      <c r="J156" s="16">
        <f>INDEX('Team forecast'!$B$2:$AO$26,MATCH('Master data'!$B156,'Team forecast'!$B$2:$B$26,0),MATCH('Master data'!J$1,'Team forecast'!$B$2:$AO$2,0))</f>
        <v>0.28978375293296982</v>
      </c>
      <c r="K156" s="16">
        <f>INDEX('Team forecast'!$B$2:$AO$26,MATCH('Master data'!$B156,'Team forecast'!$B$2:$B$26,0),MATCH('Master data'!K$1,'Team forecast'!$B$2:$AO$2,0))</f>
        <v>3.2490442399577706</v>
      </c>
      <c r="L156" s="16">
        <f>INDEX('Team forecast'!$B$2:$AO$26,MATCH('Master data'!$B156,'Team forecast'!$B$2:$B$26,0),MATCH('Master data'!L$1,'Team forecast'!$B$2:$AO$2,0))</f>
        <v>3.2998357975681776</v>
      </c>
      <c r="M156">
        <f>IF(Players!BC157=1,95,0)</f>
        <v>95</v>
      </c>
      <c r="N156" s="2">
        <f>Players!BN157</f>
        <v>3.0037265710439756E-2</v>
      </c>
      <c r="O156" s="2">
        <f>Players!BO157</f>
        <v>4.2975670025980538E-2</v>
      </c>
      <c r="P156" s="2">
        <f>Players!BP157</f>
        <v>5.1303909118886173E-2</v>
      </c>
      <c r="Q156" s="2">
        <f>Players!BQ157</f>
        <v>0</v>
      </c>
      <c r="R156" s="2">
        <f>Players!BR157</f>
        <v>0</v>
      </c>
      <c r="S156" s="2">
        <f>H156</f>
        <v>1.2386203137003762</v>
      </c>
      <c r="T156" s="2">
        <f>I156</f>
        <v>1.2386203137003762</v>
      </c>
      <c r="U156" s="16">
        <f>INDEX('Team forecast'!$B$2:$AO$26,MATCH('Master data'!$B156,'Team forecast'!$B$2:$B$26,0),MATCH('Master data'!U$1,'Team forecast'!$B$2:$AO$2,0))</f>
        <v>0.33635614179719708</v>
      </c>
      <c r="V156" s="16">
        <f>INDEX('Team forecast'!$B$2:$AO$26,MATCH('Master data'!$B156,'Team forecast'!$B$2:$B$26,0),MATCH('Master data'!V$1,'Team forecast'!$B$2:$AO$2,0))</f>
        <v>0.29431162407254741</v>
      </c>
      <c r="W156" s="16">
        <f>INDEX('Team forecast'!$B$2:$AO$26,MATCH('Master data'!$B156,'Team forecast'!$B$2:$B$26,0),MATCH('Master data'!W$1,'Team forecast'!$B$2:$AO$2,0))</f>
        <v>0.36933223413025562</v>
      </c>
      <c r="X156" s="5">
        <f>IF(M156&gt;95,7000*2,IF(M156&gt;0,7000,-5000))</f>
        <v>7000</v>
      </c>
      <c r="Y156" s="5">
        <f>IF($X156&gt;0,U156*25000,0)</f>
        <v>8408.9035449299263</v>
      </c>
      <c r="Z156" s="5">
        <f>IF($X156&gt;0,V156*5000,0)</f>
        <v>1471.5581203627371</v>
      </c>
      <c r="AA156" s="5">
        <f>IF($X156&gt;0,W156*(-15000),0)</f>
        <v>-5539.9835119538347</v>
      </c>
      <c r="AB156" s="5">
        <f>IF($C156="Defense",$N156*150000,IF($C156="Midfield",$N156*125000,IF($C156="Striker",$N156*100000,0)))*$H156</f>
        <v>5580.7151215449667</v>
      </c>
      <c r="AC156" s="5">
        <f>$O156*50000*H156</f>
        <v>2661.5268944531931</v>
      </c>
      <c r="AD156" s="5">
        <f>$P156*K156*10000</f>
        <v>1666.8867041003407</v>
      </c>
      <c r="AE156" s="5">
        <f>IF($C156="Goalkeeper",J156*75000,IF($C156="Defense",J156*50000,0))</f>
        <v>14489.18764664849</v>
      </c>
      <c r="AF156" s="5">
        <f>IF($C156="Goalkeeper",(L156-I156)*5000,0)</f>
        <v>0</v>
      </c>
      <c r="AG156" s="5">
        <f>IF(M156&gt;0,Q156*(-20000),0)</f>
        <v>0</v>
      </c>
      <c r="AH156" s="5">
        <f>IF(M156&gt;0,R156*(-50000),0)</f>
        <v>0</v>
      </c>
      <c r="AI156" s="5">
        <f>IF(M156&gt;0,S156*10000,0)</f>
        <v>12386.203137003762</v>
      </c>
      <c r="AJ156" s="5">
        <f>IF(M156&gt;0,T156*(-8000),0)</f>
        <v>-9908.9625096030086</v>
      </c>
      <c r="AK156" s="5">
        <f>IFERROR(SUM(X156:AJ156),-5000)*((Cockpit!$C$3)^0)</f>
        <v>38216.035147486575</v>
      </c>
      <c r="AL156" s="16">
        <f>INDEX('Team forecast'!$B$2:$AO$26,MATCH('Master data'!$B156,'Team forecast'!$B$2:$B$26,0),MATCH('Master data'!AL$1,'Team forecast'!$B$2:$AO$2,0))</f>
        <v>1.384389503157577</v>
      </c>
      <c r="AM156" s="16">
        <f>INDEX('Team forecast'!$B$2:$AO$26,MATCH('Master data'!$B156,'Team forecast'!$B$2:$B$26,0),MATCH('Master data'!AM$1,'Team forecast'!$B$2:$AO$2,0))</f>
        <v>1.1612459518433673</v>
      </c>
      <c r="AN156" s="16">
        <f>INDEX('Team forecast'!$B$2:$AO$26,MATCH('Master data'!$B156,'Team forecast'!$B$2:$B$26,0),MATCH('Master data'!AN$1,'Team forecast'!$B$2:$AO$2,0))</f>
        <v>0.31309583542398389</v>
      </c>
      <c r="AO156" s="16">
        <f>INDEX('Team forecast'!$B$2:$AO$26,MATCH('Master data'!$B156,'Team forecast'!$B$2:$B$26,0),MATCH('Master data'!AO$1,'Team forecast'!$B$2:$AO$2,0))</f>
        <v>3.6314136715992724</v>
      </c>
      <c r="AP156" s="16">
        <f>INDEX('Team forecast'!$B$2:$AO$26,MATCH('Master data'!$B156,'Team forecast'!$B$2:$B$26,0),MATCH('Master data'!AP$1,'Team forecast'!$B$2:$AO$2,0))</f>
        <v>3.0937010472773676</v>
      </c>
      <c r="AQ156" s="5">
        <f>X156</f>
        <v>7000</v>
      </c>
      <c r="AR156" s="5">
        <f>INDEX('Team forecast'!$B$2:$AO$26,MATCH('Master data'!$B156,'Team forecast'!$B$2:$B$26,0),MATCH('Master data'!AR$1,'Team forecast'!$B$2:$AO$2,0))*IF(X156&gt;0,25000,0)</f>
        <v>10436.527847466134</v>
      </c>
      <c r="AS156" s="16">
        <f>INDEX('Team forecast'!$B$2:$AO$26,MATCH('Master data'!$B156,'Team forecast'!$B$2:$B$26,0),MATCH('Master data'!AS$1,'Team forecast'!$B$2:$AO$2,0))*IF(X156&gt;0,5000,0)</f>
        <v>1467.6367285499246</v>
      </c>
      <c r="AT156" s="16">
        <f>INDEX('Team forecast'!$B$2:$AO$26,MATCH('Master data'!$B156,'Team forecast'!$B$2:$B$26,0),MATCH('Master data'!AT$1,'Team forecast'!$B$2:$AO$2,0))*IF(X156&gt;0,-15000,0)</f>
        <v>-4335.1731058705464</v>
      </c>
      <c r="AU156" s="5">
        <f>IF($C156="Defense",$N156*150000,IF($C156="Midfield",$N156*125000,IF($C156="Striker",$N156*100000,0)))*$AL156</f>
        <v>6237.4913029631734</v>
      </c>
      <c r="AV156" s="5">
        <f>$O156*50000*AL156</f>
        <v>2974.7533237565585</v>
      </c>
      <c r="AW156" s="5">
        <f>$P156*AO156*10000</f>
        <v>1863.0571698080983</v>
      </c>
      <c r="AX156" s="5">
        <f>IF($C156="Goalkeeper",AN156*75000,IF($C156="Defense",AN156*50000,0))</f>
        <v>15654.791771199194</v>
      </c>
      <c r="AY156" s="5">
        <f>IF($C156="Goalkeeper",(AP156-AM156)*5000,0)</f>
        <v>0</v>
      </c>
      <c r="AZ156" s="5">
        <f>$AG156</f>
        <v>0</v>
      </c>
      <c r="BA156" s="5">
        <f>$AH156</f>
        <v>0</v>
      </c>
      <c r="BB156" s="5">
        <f>IF(X156&gt;0,AL156*10000,0)</f>
        <v>13843.89503157577</v>
      </c>
      <c r="BC156" s="5">
        <f>IF(X156&gt;0,AM156*(-8000),0)</f>
        <v>-9289.9676147469381</v>
      </c>
      <c r="BD156" s="5">
        <f>IFERROR(SUM(AQ156:BC156),0)</f>
        <v>45853.012454701362</v>
      </c>
      <c r="BE156" s="16">
        <f>INDEX('Team forecast'!$B$2:$AO$26,MATCH('Master data'!$B156,'Team forecast'!$B$2:$B$26,0),MATCH('Master data'!BE$1,'Team forecast'!$B$2:$AO$2,0))</f>
        <v>2.4374022591536644</v>
      </c>
      <c r="BF156" s="16">
        <f>INDEX('Team forecast'!$B$2:$AO$26,MATCH('Master data'!$B156,'Team forecast'!$B$2:$B$26,0),MATCH('Master data'!BF$1,'Team forecast'!$B$2:$AO$2,0))</f>
        <v>0.68661022841383224</v>
      </c>
      <c r="BG156" s="16">
        <f>INDEX('Team forecast'!$B$2:$AO$26,MATCH('Master data'!$B156,'Team forecast'!$B$2:$B$26,0),MATCH('Master data'!BG$1,'Team forecast'!$B$2:$AO$2,0))</f>
        <v>0.50327918232493496</v>
      </c>
      <c r="BH156" s="16">
        <f>INDEX('Team forecast'!$B$2:$AO$26,MATCH('Master data'!$B156,'Team forecast'!$B$2:$B$26,0),MATCH('Master data'!BH$1,'Team forecast'!$B$2:$AO$2,0))</f>
        <v>6.3935878355689084</v>
      </c>
      <c r="BI156" s="16">
        <f>INDEX('Team forecast'!$B$2:$AO$26,MATCH('Master data'!$B156,'Team forecast'!$B$2:$B$26,0),MATCH('Master data'!BI$1,'Team forecast'!$B$2:$AO$2,0))</f>
        <v>1.8292135092857056</v>
      </c>
      <c r="BJ156" s="5">
        <f>AQ156</f>
        <v>7000</v>
      </c>
      <c r="BK156" s="5">
        <f>INDEX('Team forecast'!$R$3:$BH$26,MATCH($B156,'Team forecast'!$B$3:$B$26,0),MATCH(BK$1,'Team forecast'!$R$2:$BH$2,0))*IF($X156&gt;0,25000,0)</f>
        <v>19380.307222593263</v>
      </c>
      <c r="BL156" s="5">
        <f>INDEX('Team forecast'!$R$3:$BH$26,MATCH($B156,'Team forecast'!$B$3:$B$26,0),MATCH(BL$1,'Team forecast'!$R$2:$BH$2,0))*IF($X156&gt;0,5000,0)</f>
        <v>739.43326018509651</v>
      </c>
      <c r="BM156" s="5">
        <f>INDEX('Team forecast'!$R$3:$BH$26,MATCH($B156,'Team forecast'!$B$3:$B$26,0),MATCH(BM$1,'Team forecast'!$R$2:$BH$2,0))*IF($X156&gt;0,-15000,0)</f>
        <v>-1153.5158858887507</v>
      </c>
      <c r="BN156" s="5">
        <f>IF($C156="Defense",$N156*150000,IF($C156="Midfield",$N156*125000,IF($C156="Striker",$N156*100000,0)))*$BE156</f>
        <v>10981.934895213715</v>
      </c>
      <c r="BO156" s="5">
        <f>$O156*50000*$BE156</f>
        <v>5237.449760498369</v>
      </c>
      <c r="BP156" s="5">
        <f>$P156*BH156*10000</f>
        <v>3280.1604925964343</v>
      </c>
      <c r="BQ156" s="5">
        <f>IF($C156="Goalkeeper",BG156*75000,IF($C156="Defense",BG156*50000,0))</f>
        <v>25163.959116246748</v>
      </c>
      <c r="BR156" s="5">
        <f>IF($C156="Goalkeeper",(BI156-BF156)*5000,0)</f>
        <v>0</v>
      </c>
      <c r="BS156" s="5">
        <f>$AG156</f>
        <v>0</v>
      </c>
      <c r="BT156" s="5">
        <f>$AH156</f>
        <v>0</v>
      </c>
      <c r="BU156" s="5">
        <f>IF(AQ156&gt;0,BE156*10000,0)</f>
        <v>24374.022591536643</v>
      </c>
      <c r="BV156" s="5">
        <f>IF(AQ156&gt;0,BF156*(-8000),0)</f>
        <v>-5492.8818273106581</v>
      </c>
      <c r="BW156" s="5">
        <f>IFERROR(SUM(BJ156:BV156),0)</f>
        <v>89510.869625670864</v>
      </c>
      <c r="BX156" s="5">
        <f>AVERAGE(AK156,BD156,BW156)</f>
        <v>57859.972409286267</v>
      </c>
      <c r="BY156" s="5">
        <f>BX156*3</f>
        <v>173579.91722785879</v>
      </c>
      <c r="BZ156" s="5">
        <f>INDEX('Team forecast'!$R$3:$BH$26,MATCH($B156,'Team forecast'!$B$3:$B$26,0),MATCH(BZ$1,'Team forecast'!$R$2:$BH$2,0))*($BX156-(BY156+CH156)*0.01)</f>
        <v>14357.847426881495</v>
      </c>
      <c r="CA156" s="5">
        <f>INDEX('Team forecast'!$R$3:$BH$26,MATCH($B156,'Team forecast'!$B$3:$B$26,0),MATCH(CA$1,'Team forecast'!$R$2:$BH$2,0))*($BX156-(BY156+BX156+CH156)*0.01)</f>
        <v>7034.7999441464881</v>
      </c>
      <c r="CB156" s="5">
        <f>INDEX('Team forecast'!$R$3:$BH$26,MATCH($B156,'Team forecast'!$B$3:$B$26,0),MATCH(CB$1,'Team forecast'!$R$2:$BH$2,0))*($BX156-(BY156+BX156*2+CH156)*0.01)</f>
        <v>3489.3175420285347</v>
      </c>
      <c r="CC156" s="5">
        <f>INDEX('Team forecast'!$R$3:$BH$26,MATCH($B156,'Team forecast'!$B$3:$B$26,0),MATCH(CC$1,'Team forecast'!$R$2:$BH$2,0))*($BX156-(BY156+BX156*3+CH156)*0.01)</f>
        <v>1804.6882163749378</v>
      </c>
      <c r="CD156" s="5">
        <f>+AK156+BD156*Cockpit!$C$3+BW156*Cockpit!$C$3^2+BZ156*Cockpit!$C$3^3+CA156*Cockpit!$C$3^4+CB156*Cockpit!$C$3^5+CC156*Cockpit!$C$3^6</f>
        <v>114829.02085084522</v>
      </c>
      <c r="CE156" s="5"/>
      <c r="CF156" s="5"/>
      <c r="CG156" s="5">
        <v>0</v>
      </c>
      <c r="CH156" s="5">
        <f t="shared" si="49"/>
        <v>4000000</v>
      </c>
      <c r="CI156" s="5">
        <f t="shared" si="50"/>
        <v>4000000</v>
      </c>
      <c r="CJ156" s="1">
        <f t="shared" si="51"/>
        <v>4.3394979306964697E-2</v>
      </c>
      <c r="CK156" s="5">
        <f>RANK(BY156,$BY$2:$BY$623)+COUNTIF($BY$2:$BY156,$BY156)-1</f>
        <v>72</v>
      </c>
      <c r="CL156" s="5">
        <f>RANK(CJ156,$CJ$2:$CJ$623)+COUNTIF($CJ$2:$CJ156,$CJ156)-1</f>
        <v>60</v>
      </c>
    </row>
    <row r="157" spans="1:90">
      <c r="A157" t="str">
        <f>Players!P158</f>
        <v>Niklas Süle</v>
      </c>
      <c r="B157" t="str">
        <f>Players!G158</f>
        <v>Germany</v>
      </c>
      <c r="C157" t="str">
        <f>Players!AB158</f>
        <v>Defense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3500000</v>
      </c>
      <c r="H157" s="16">
        <f>INDEX('Team forecast'!$B$2:$AO$26,MATCH('Master data'!$B157,'Team forecast'!$B$2:$B$26,0),MATCH('Master data'!H$1,'Team forecast'!$B$2:$AO$2,0))</f>
        <v>1.2386203137003762</v>
      </c>
      <c r="I157" s="16">
        <f>INDEX('Team forecast'!$B$2:$AO$26,MATCH('Master data'!$B157,'Team forecast'!$B$2:$B$26,0),MATCH('Master data'!I$1,'Team forecast'!$B$2:$AO$2,0))</f>
        <v>1.2386203137003762</v>
      </c>
      <c r="J157" s="16">
        <f>INDEX('Team forecast'!$B$2:$AO$26,MATCH('Master data'!$B157,'Team forecast'!$B$2:$B$26,0),MATCH('Master data'!J$1,'Team forecast'!$B$2:$AO$2,0))</f>
        <v>0.28978375293296982</v>
      </c>
      <c r="K157" s="16">
        <f>INDEX('Team forecast'!$B$2:$AO$26,MATCH('Master data'!$B157,'Team forecast'!$B$2:$B$26,0),MATCH('Master data'!K$1,'Team forecast'!$B$2:$AO$2,0))</f>
        <v>3.2490442399577706</v>
      </c>
      <c r="L157" s="16">
        <f>INDEX('Team forecast'!$B$2:$AO$26,MATCH('Master data'!$B157,'Team forecast'!$B$2:$B$26,0),MATCH('Master data'!L$1,'Team forecast'!$B$2:$AO$2,0))</f>
        <v>3.2998357975681776</v>
      </c>
      <c r="M157">
        <f>IF(Players!BC158=1,95,0)</f>
        <v>95</v>
      </c>
      <c r="N157" s="2">
        <f>Players!BN158</f>
        <v>3.3269450511613535E-2</v>
      </c>
      <c r="O157" s="2">
        <f>Players!BO158</f>
        <v>2.3215658875155944E-2</v>
      </c>
      <c r="P157" s="2">
        <f>Players!BP158</f>
        <v>4.1692654972576439E-2</v>
      </c>
      <c r="Q157" s="2">
        <f>Players!BQ158</f>
        <v>2.9940119760479042E-2</v>
      </c>
      <c r="R157" s="2">
        <f>Players!BR158</f>
        <v>0</v>
      </c>
      <c r="S157" s="2">
        <f>H157</f>
        <v>1.2386203137003762</v>
      </c>
      <c r="T157" s="2">
        <f>I157</f>
        <v>1.2386203137003762</v>
      </c>
      <c r="U157" s="16">
        <f>INDEX('Team forecast'!$B$2:$AO$26,MATCH('Master data'!$B157,'Team forecast'!$B$2:$B$26,0),MATCH('Master data'!U$1,'Team forecast'!$B$2:$AO$2,0))</f>
        <v>0.33635614179719708</v>
      </c>
      <c r="V157" s="16">
        <f>INDEX('Team forecast'!$B$2:$AO$26,MATCH('Master data'!$B157,'Team forecast'!$B$2:$B$26,0),MATCH('Master data'!V$1,'Team forecast'!$B$2:$AO$2,0))</f>
        <v>0.29431162407254741</v>
      </c>
      <c r="W157" s="16">
        <f>INDEX('Team forecast'!$B$2:$AO$26,MATCH('Master data'!$B157,'Team forecast'!$B$2:$B$26,0),MATCH('Master data'!W$1,'Team forecast'!$B$2:$AO$2,0))</f>
        <v>0.36933223413025562</v>
      </c>
      <c r="X157" s="5">
        <f>IF(M157&gt;95,7000*2,IF(M157&gt;0,7000,-5000))</f>
        <v>7000</v>
      </c>
      <c r="Y157" s="5">
        <f>IF($X157&gt;0,U157*25000,0)</f>
        <v>8408.9035449299263</v>
      </c>
      <c r="Z157" s="5">
        <f>IF($X157&gt;0,V157*5000,0)</f>
        <v>1471.5581203627371</v>
      </c>
      <c r="AA157" s="5">
        <f>IF($X157&gt;0,W157*(-15000),0)</f>
        <v>-5539.9835119538347</v>
      </c>
      <c r="AB157" s="5">
        <f>IF($C157="Defense",$N157*150000,IF($C157="Midfield",$N157*125000,IF($C157="Striker",$N157*100000,0)))*$H157</f>
        <v>6181.2325844000843</v>
      </c>
      <c r="AC157" s="5">
        <f>$O157*50000*H157</f>
        <v>1437.7693339353291</v>
      </c>
      <c r="AD157" s="5">
        <f>$P157*K157*10000</f>
        <v>1354.612804871962</v>
      </c>
      <c r="AE157" s="5">
        <f>IF($C157="Goalkeeper",J157*75000,IF($C157="Defense",J157*50000,0))</f>
        <v>14489.18764664849</v>
      </c>
      <c r="AF157" s="5">
        <f>IF($C157="Goalkeeper",(L157-I157)*5000,0)</f>
        <v>0</v>
      </c>
      <c r="AG157" s="5">
        <f>IF(M157&gt;0,Q157*(-20000),0)</f>
        <v>-598.80239520958082</v>
      </c>
      <c r="AH157" s="5">
        <f>IF(M157&gt;0,R157*(-50000),0)</f>
        <v>0</v>
      </c>
      <c r="AI157" s="5">
        <f>IF(M157&gt;0,S157*10000,0)</f>
        <v>12386.203137003762</v>
      </c>
      <c r="AJ157" s="5">
        <f>IF(M157&gt;0,T157*(-8000),0)</f>
        <v>-9908.9625096030086</v>
      </c>
      <c r="AK157" s="5">
        <f>IFERROR(SUM(X157:AJ157),-5000)*((Cockpit!$C$3)^0)</f>
        <v>36681.718755385868</v>
      </c>
      <c r="AL157" s="16">
        <f>INDEX('Team forecast'!$B$2:$AO$26,MATCH('Master data'!$B157,'Team forecast'!$B$2:$B$26,0),MATCH('Master data'!AL$1,'Team forecast'!$B$2:$AO$2,0))</f>
        <v>1.384389503157577</v>
      </c>
      <c r="AM157" s="16">
        <f>INDEX('Team forecast'!$B$2:$AO$26,MATCH('Master data'!$B157,'Team forecast'!$B$2:$B$26,0),MATCH('Master data'!AM$1,'Team forecast'!$B$2:$AO$2,0))</f>
        <v>1.1612459518433673</v>
      </c>
      <c r="AN157" s="16">
        <f>INDEX('Team forecast'!$B$2:$AO$26,MATCH('Master data'!$B157,'Team forecast'!$B$2:$B$26,0),MATCH('Master data'!AN$1,'Team forecast'!$B$2:$AO$2,0))</f>
        <v>0.31309583542398389</v>
      </c>
      <c r="AO157" s="16">
        <f>INDEX('Team forecast'!$B$2:$AO$26,MATCH('Master data'!$B157,'Team forecast'!$B$2:$B$26,0),MATCH('Master data'!AO$1,'Team forecast'!$B$2:$AO$2,0))</f>
        <v>3.6314136715992724</v>
      </c>
      <c r="AP157" s="16">
        <f>INDEX('Team forecast'!$B$2:$AO$26,MATCH('Master data'!$B157,'Team forecast'!$B$2:$B$26,0),MATCH('Master data'!AP$1,'Team forecast'!$B$2:$AO$2,0))</f>
        <v>3.0937010472773676</v>
      </c>
      <c r="AQ157" s="5">
        <f>X157</f>
        <v>7000</v>
      </c>
      <c r="AR157" s="5">
        <f>INDEX('Team forecast'!$B$2:$AO$26,MATCH('Master data'!$B157,'Team forecast'!$B$2:$B$26,0),MATCH('Master data'!AR$1,'Team forecast'!$B$2:$AO$2,0))*IF(X157&gt;0,25000,0)</f>
        <v>10436.527847466134</v>
      </c>
      <c r="AS157" s="16">
        <f>INDEX('Team forecast'!$B$2:$AO$26,MATCH('Master data'!$B157,'Team forecast'!$B$2:$B$26,0),MATCH('Master data'!AS$1,'Team forecast'!$B$2:$AO$2,0))*IF(X157&gt;0,5000,0)</f>
        <v>1467.6367285499246</v>
      </c>
      <c r="AT157" s="16">
        <f>INDEX('Team forecast'!$B$2:$AO$26,MATCH('Master data'!$B157,'Team forecast'!$B$2:$B$26,0),MATCH('Master data'!AT$1,'Team forecast'!$B$2:$AO$2,0))*IF(X157&gt;0,-15000,0)</f>
        <v>-4335.1731058705464</v>
      </c>
      <c r="AU157" s="5">
        <f>IF($C157="Defense",$N157*150000,IF($C157="Midfield",$N157*125000,IF($C157="Striker",$N157*100000,0)))*$AL157</f>
        <v>6908.6817096147388</v>
      </c>
      <c r="AV157" s="5">
        <f>$O157*50000*AL157</f>
        <v>1606.9757227826467</v>
      </c>
      <c r="AW157" s="5">
        <f>$P157*AO157*10000</f>
        <v>1514.0327727268545</v>
      </c>
      <c r="AX157" s="5">
        <f>IF($C157="Goalkeeper",AN157*75000,IF($C157="Defense",AN157*50000,0))</f>
        <v>15654.791771199194</v>
      </c>
      <c r="AY157" s="5">
        <f>IF($C157="Goalkeeper",(AP157-AM157)*5000,0)</f>
        <v>0</v>
      </c>
      <c r="AZ157" s="5">
        <f>$AG157</f>
        <v>-598.80239520958082</v>
      </c>
      <c r="BA157" s="5">
        <f>$AH157</f>
        <v>0</v>
      </c>
      <c r="BB157" s="5">
        <f>IF(X157&gt;0,AL157*10000,0)</f>
        <v>13843.89503157577</v>
      </c>
      <c r="BC157" s="5">
        <f>IF(X157&gt;0,AM157*(-8000),0)</f>
        <v>-9289.9676147469381</v>
      </c>
      <c r="BD157" s="5">
        <f>IFERROR(SUM(AQ157:BC157),0)</f>
        <v>44208.598468088196</v>
      </c>
      <c r="BE157" s="16">
        <f>INDEX('Team forecast'!$B$2:$AO$26,MATCH('Master data'!$B157,'Team forecast'!$B$2:$B$26,0),MATCH('Master data'!BE$1,'Team forecast'!$B$2:$AO$2,0))</f>
        <v>2.4374022591536644</v>
      </c>
      <c r="BF157" s="16">
        <f>INDEX('Team forecast'!$B$2:$AO$26,MATCH('Master data'!$B157,'Team forecast'!$B$2:$B$26,0),MATCH('Master data'!BF$1,'Team forecast'!$B$2:$AO$2,0))</f>
        <v>0.68661022841383224</v>
      </c>
      <c r="BG157" s="16">
        <f>INDEX('Team forecast'!$B$2:$AO$26,MATCH('Master data'!$B157,'Team forecast'!$B$2:$B$26,0),MATCH('Master data'!BG$1,'Team forecast'!$B$2:$AO$2,0))</f>
        <v>0.50327918232493496</v>
      </c>
      <c r="BH157" s="16">
        <f>INDEX('Team forecast'!$B$2:$AO$26,MATCH('Master data'!$B157,'Team forecast'!$B$2:$B$26,0),MATCH('Master data'!BH$1,'Team forecast'!$B$2:$AO$2,0))</f>
        <v>6.3935878355689084</v>
      </c>
      <c r="BI157" s="16">
        <f>INDEX('Team forecast'!$B$2:$AO$26,MATCH('Master data'!$B157,'Team forecast'!$B$2:$B$26,0),MATCH('Master data'!BI$1,'Team forecast'!$B$2:$AO$2,0))</f>
        <v>1.8292135092857056</v>
      </c>
      <c r="BJ157" s="5">
        <f>AQ157</f>
        <v>7000</v>
      </c>
      <c r="BK157" s="5">
        <f>INDEX('Team forecast'!$R$3:$BH$26,MATCH($B157,'Team forecast'!$B$3:$B$26,0),MATCH(BK$1,'Team forecast'!$R$2:$BH$2,0))*IF($X157&gt;0,25000,0)</f>
        <v>19380.307222593263</v>
      </c>
      <c r="BL157" s="5">
        <f>INDEX('Team forecast'!$R$3:$BH$26,MATCH($B157,'Team forecast'!$B$3:$B$26,0),MATCH(BL$1,'Team forecast'!$R$2:$BH$2,0))*IF($X157&gt;0,5000,0)</f>
        <v>739.43326018509651</v>
      </c>
      <c r="BM157" s="5">
        <f>INDEX('Team forecast'!$R$3:$BH$26,MATCH($B157,'Team forecast'!$B$3:$B$26,0),MATCH(BM$1,'Team forecast'!$R$2:$BH$2,0))*IF($X157&gt;0,-15000,0)</f>
        <v>-1153.5158858887507</v>
      </c>
      <c r="BN157" s="5">
        <f>IF($C157="Defense",$N157*150000,IF($C157="Midfield",$N157*125000,IF($C157="Striker",$N157*100000,0)))*$BE157</f>
        <v>12163.65507567118</v>
      </c>
      <c r="BO157" s="5">
        <f>$O157*50000*$BE157</f>
        <v>2829.2949695022962</v>
      </c>
      <c r="BP157" s="5">
        <f>$P157*BH157*10000</f>
        <v>2665.6565166523628</v>
      </c>
      <c r="BQ157" s="5">
        <f>IF($C157="Goalkeeper",BG157*75000,IF($C157="Defense",BG157*50000,0))</f>
        <v>25163.959116246748</v>
      </c>
      <c r="BR157" s="5">
        <f>IF($C157="Goalkeeper",(BI157-BF157)*5000,0)</f>
        <v>0</v>
      </c>
      <c r="BS157" s="5">
        <f>$AG157</f>
        <v>-598.80239520958082</v>
      </c>
      <c r="BT157" s="5">
        <f>$AH157</f>
        <v>0</v>
      </c>
      <c r="BU157" s="5">
        <f>IF(AQ157&gt;0,BE157*10000,0)</f>
        <v>24374.022591536643</v>
      </c>
      <c r="BV157" s="5">
        <f>IF(AQ157&gt;0,BF157*(-8000),0)</f>
        <v>-5492.8818273106581</v>
      </c>
      <c r="BW157" s="5">
        <f>IFERROR(SUM(BJ157:BV157),0)</f>
        <v>87071.128643978605</v>
      </c>
      <c r="BX157" s="5">
        <f>AVERAGE(AK157,BD157,BW157)</f>
        <v>55987.148622484216</v>
      </c>
      <c r="BY157" s="5">
        <f>BX157*3</f>
        <v>167961.44586745265</v>
      </c>
      <c r="BZ157" s="5">
        <f>INDEX('Team forecast'!$R$3:$BH$26,MATCH($B157,'Team forecast'!$B$3:$B$26,0),MATCH(BZ$1,'Team forecast'!$R$2:$BH$2,0))*($BX157-(BY157+CH157)*0.01)</f>
        <v>17192.486438748219</v>
      </c>
      <c r="CA157" s="5">
        <f>INDEX('Team forecast'!$R$3:$BH$26,MATCH($B157,'Team forecast'!$B$3:$B$26,0),MATCH(CA$1,'Team forecast'!$R$2:$BH$2,0))*($BX157-(BY157+BX157+CH157)*0.01)</f>
        <v>8483.8334364173788</v>
      </c>
      <c r="CB157" s="5">
        <f>INDEX('Team forecast'!$R$3:$BH$26,MATCH($B157,'Team forecast'!$B$3:$B$26,0),MATCH(CB$1,'Team forecast'!$R$2:$BH$2,0))*($BX157-(BY157+BX157*2+CH157)*0.01)</f>
        <v>4240.2011088014142</v>
      </c>
      <c r="CC157" s="5">
        <f>INDEX('Team forecast'!$R$3:$BH$26,MATCH($B157,'Team forecast'!$B$3:$B$26,0),MATCH(CC$1,'Team forecast'!$R$2:$BH$2,0))*($BX157-(BY157+BX157*3+CH157)*0.01)</f>
        <v>2211.0141721325876</v>
      </c>
      <c r="CD157" s="5">
        <f>+AK157+BD157*Cockpit!$C$3+BW157*Cockpit!$C$3^2+BZ157*Cockpit!$C$3^3+CA157*Cockpit!$C$3^4+CB157*Cockpit!$C$3^5+CC157*Cockpit!$C$3^6</f>
        <v>112374.77477077005</v>
      </c>
      <c r="CE157" s="5"/>
      <c r="CF157" s="5"/>
      <c r="CG157" s="5">
        <v>0</v>
      </c>
      <c r="CH157" s="5">
        <f t="shared" si="49"/>
        <v>3500000</v>
      </c>
      <c r="CI157" s="5">
        <f t="shared" si="50"/>
        <v>3500000</v>
      </c>
      <c r="CJ157" s="1">
        <f t="shared" si="51"/>
        <v>4.7988984533557905E-2</v>
      </c>
      <c r="CK157" s="5">
        <f>RANK(BY157,$BY$2:$BY$623)+COUNTIF($BY$2:$BY157,$BY157)-1</f>
        <v>80</v>
      </c>
      <c r="CL157" s="5">
        <f>RANK(CJ157,$CJ$2:$CJ$623)+COUNTIF($CJ$2:$CJ157,$CJ157)-1</f>
        <v>40</v>
      </c>
    </row>
    <row r="158" spans="1:90">
      <c r="A158" t="str">
        <f>Players!P159</f>
        <v>Jonas  Hofmann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3000000</v>
      </c>
      <c r="H158" s="16">
        <f>INDEX('Team forecast'!$B$2:$AO$26,MATCH('Master data'!$B158,'Team forecast'!$B$2:$B$26,0),MATCH('Master data'!H$1,'Team forecast'!$B$2:$AO$2,0))</f>
        <v>1.2386203137003762</v>
      </c>
      <c r="I158" s="16">
        <f>INDEX('Team forecast'!$B$2:$AO$26,MATCH('Master data'!$B158,'Team forecast'!$B$2:$B$26,0),MATCH('Master data'!I$1,'Team forecast'!$B$2:$AO$2,0))</f>
        <v>1.2386203137003762</v>
      </c>
      <c r="J158" s="16">
        <f>INDEX('Team forecast'!$B$2:$AO$26,MATCH('Master data'!$B158,'Team forecast'!$B$2:$B$26,0),MATCH('Master data'!J$1,'Team forecast'!$B$2:$AO$2,0))</f>
        <v>0.28978375293296982</v>
      </c>
      <c r="K158" s="16">
        <f>INDEX('Team forecast'!$B$2:$AO$26,MATCH('Master data'!$B158,'Team forecast'!$B$2:$B$26,0),MATCH('Master data'!K$1,'Team forecast'!$B$2:$AO$2,0))</f>
        <v>3.2490442399577706</v>
      </c>
      <c r="L158" s="16">
        <f>INDEX('Team forecast'!$B$2:$AO$26,MATCH('Master data'!$B158,'Team forecast'!$B$2:$B$26,0),MATCH('Master data'!L$1,'Team forecast'!$B$2:$AO$2,0))</f>
        <v>3.2998357975681776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2.4671052631578948E-2</v>
      </c>
      <c r="R158" s="2">
        <f>Players!BR159</f>
        <v>0</v>
      </c>
      <c r="S158" s="2">
        <f>H158</f>
        <v>1.2386203137003762</v>
      </c>
      <c r="T158" s="2">
        <f>I158</f>
        <v>1.2386203137003762</v>
      </c>
      <c r="U158" s="16">
        <f>INDEX('Team forecast'!$B$2:$AO$26,MATCH('Master data'!$B158,'Team forecast'!$B$2:$B$26,0),MATCH('Master data'!U$1,'Team forecast'!$B$2:$AO$2,0))</f>
        <v>0.33635614179719708</v>
      </c>
      <c r="V158" s="16">
        <f>INDEX('Team forecast'!$B$2:$AO$26,MATCH('Master data'!$B158,'Team forecast'!$B$2:$B$26,0),MATCH('Master data'!V$1,'Team forecast'!$B$2:$AO$2,0))</f>
        <v>0.29431162407254741</v>
      </c>
      <c r="W158" s="16">
        <f>INDEX('Team forecast'!$B$2:$AO$26,MATCH('Master data'!$B158,'Team forecast'!$B$2:$B$26,0),MATCH('Master data'!W$1,'Team forecast'!$B$2:$AO$2,0))</f>
        <v>0.36933223413025562</v>
      </c>
      <c r="X158" s="5">
        <f>IF(M158&gt;95,7000*2,IF(M158&gt;0,7000,-5000))</f>
        <v>-5000</v>
      </c>
      <c r="Y158" s="5">
        <f>IF($X158&gt;0,U158*25000,0)</f>
        <v>0</v>
      </c>
      <c r="Z158" s="5">
        <f>IF($X158&gt;0,V158*5000,0)</f>
        <v>0</v>
      </c>
      <c r="AA158" s="5">
        <f>IF($X158&gt;0,W158*(-15000),0)</f>
        <v>0</v>
      </c>
      <c r="AB158" s="5">
        <f>IF($C158="Defense",$N158*150000,IF($C158="Midfield",$N158*125000,IF($C158="Striker",$N158*100000,0)))*$H158</f>
        <v>0</v>
      </c>
      <c r="AC158" s="5">
        <f>$O158*50000*H158</f>
        <v>0</v>
      </c>
      <c r="AD158" s="5">
        <f>$P158*K158*10000</f>
        <v>0</v>
      </c>
      <c r="AE158" s="5">
        <f>IF($C158="Goalkeeper",J158*75000,IF($C158="Defense",J158*50000,0))</f>
        <v>0</v>
      </c>
      <c r="AF158" s="5">
        <f>IF($C158="Goalkeeper",(L158-I158)*5000,0)</f>
        <v>0</v>
      </c>
      <c r="AG158" s="5">
        <f>IF(M158&gt;0,Q158*(-20000),0)</f>
        <v>0</v>
      </c>
      <c r="AH158" s="5">
        <f>IF(M158&gt;0,R158*(-50000),0)</f>
        <v>0</v>
      </c>
      <c r="AI158" s="5">
        <f>IF(M158&gt;0,S158*10000,0)</f>
        <v>0</v>
      </c>
      <c r="AJ158" s="5">
        <f>IF(M158&gt;0,T158*(-8000),0)</f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1.384389503157577</v>
      </c>
      <c r="AM158" s="16">
        <f>INDEX('Team forecast'!$B$2:$AO$26,MATCH('Master data'!$B158,'Team forecast'!$B$2:$B$26,0),MATCH('Master data'!AM$1,'Team forecast'!$B$2:$AO$2,0))</f>
        <v>1.1612459518433673</v>
      </c>
      <c r="AN158" s="16">
        <f>INDEX('Team forecast'!$B$2:$AO$26,MATCH('Master data'!$B158,'Team forecast'!$B$2:$B$26,0),MATCH('Master data'!AN$1,'Team forecast'!$B$2:$AO$2,0))</f>
        <v>0.31309583542398389</v>
      </c>
      <c r="AO158" s="16">
        <f>INDEX('Team forecast'!$B$2:$AO$26,MATCH('Master data'!$B158,'Team forecast'!$B$2:$B$26,0),MATCH('Master data'!AO$1,'Team forecast'!$B$2:$AO$2,0))</f>
        <v>3.6314136715992724</v>
      </c>
      <c r="AP158" s="16">
        <f>INDEX('Team forecast'!$B$2:$AO$26,MATCH('Master data'!$B158,'Team forecast'!$B$2:$B$26,0),MATCH('Master data'!AP$1,'Team forecast'!$B$2:$AO$2,0))</f>
        <v>3.0937010472773676</v>
      </c>
      <c r="AQ158" s="5">
        <f>X158</f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>IF($C158="Defense",$N158*150000,IF($C158="Midfield",$N158*125000,IF($C158="Striker",$N158*100000,0)))*$AL158</f>
        <v>0</v>
      </c>
      <c r="AV158" s="5">
        <f>$O158*50000*AL158</f>
        <v>0</v>
      </c>
      <c r="AW158" s="5">
        <f>$P158*AO158*10000</f>
        <v>0</v>
      </c>
      <c r="AX158" s="5">
        <f>IF($C158="Goalkeeper",AN158*75000,IF($C158="Defense",AN158*50000,0))</f>
        <v>0</v>
      </c>
      <c r="AY158" s="5">
        <f>IF($C158="Goalkeeper",(AP158-AM158)*5000,0)</f>
        <v>0</v>
      </c>
      <c r="AZ158" s="5">
        <f>$AG158</f>
        <v>0</v>
      </c>
      <c r="BA158" s="5">
        <f>$AH158</f>
        <v>0</v>
      </c>
      <c r="BB158" s="5">
        <f>IF(X158&gt;0,AL158*10000,0)</f>
        <v>0</v>
      </c>
      <c r="BC158" s="5">
        <f>IF(X158&gt;0,AM158*(-8000),0)</f>
        <v>0</v>
      </c>
      <c r="BD158" s="5">
        <f>IFERROR(SUM(AQ158:BC158),0)</f>
        <v>-5000</v>
      </c>
      <c r="BE158" s="16">
        <f>INDEX('Team forecast'!$B$2:$AO$26,MATCH('Master data'!$B158,'Team forecast'!$B$2:$B$26,0),MATCH('Master data'!BE$1,'Team forecast'!$B$2:$AO$2,0))</f>
        <v>2.4374022591536644</v>
      </c>
      <c r="BF158" s="16">
        <f>INDEX('Team forecast'!$B$2:$AO$26,MATCH('Master data'!$B158,'Team forecast'!$B$2:$B$26,0),MATCH('Master data'!BF$1,'Team forecast'!$B$2:$AO$2,0))</f>
        <v>0.68661022841383224</v>
      </c>
      <c r="BG158" s="16">
        <f>INDEX('Team forecast'!$B$2:$AO$26,MATCH('Master data'!$B158,'Team forecast'!$B$2:$B$26,0),MATCH('Master data'!BG$1,'Team forecast'!$B$2:$AO$2,0))</f>
        <v>0.50327918232493496</v>
      </c>
      <c r="BH158" s="16">
        <f>INDEX('Team forecast'!$B$2:$AO$26,MATCH('Master data'!$B158,'Team forecast'!$B$2:$B$26,0),MATCH('Master data'!BH$1,'Team forecast'!$B$2:$AO$2,0))</f>
        <v>6.3935878355689084</v>
      </c>
      <c r="BI158" s="16">
        <f>INDEX('Team forecast'!$B$2:$AO$26,MATCH('Master data'!$B158,'Team forecast'!$B$2:$B$26,0),MATCH('Master data'!BI$1,'Team forecast'!$B$2:$AO$2,0))</f>
        <v>1.8292135092857056</v>
      </c>
      <c r="BJ158" s="5">
        <f>AQ158</f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>IF($C158="Defense",$N158*150000,IF($C158="Midfield",$N158*125000,IF($C158="Striker",$N158*100000,0)))*$BE158</f>
        <v>0</v>
      </c>
      <c r="BO158" s="5">
        <f>$O158*50000*$BE158</f>
        <v>0</v>
      </c>
      <c r="BP158" s="5">
        <f>$P158*BH158*10000</f>
        <v>0</v>
      </c>
      <c r="BQ158" s="5">
        <f>IF($C158="Goalkeeper",BG158*75000,IF($C158="Defense",BG158*50000,0))</f>
        <v>0</v>
      </c>
      <c r="BR158" s="5">
        <f>IF($C158="Goalkeeper",(BI158-BF158)*5000,0)</f>
        <v>0</v>
      </c>
      <c r="BS158" s="5">
        <f>$AG158</f>
        <v>0</v>
      </c>
      <c r="BT158" s="5">
        <f>$AH158</f>
        <v>0</v>
      </c>
      <c r="BU158" s="5">
        <f>IF(AQ158&gt;0,BE158*10000,0)</f>
        <v>0</v>
      </c>
      <c r="BV158" s="5">
        <f>IF(AQ158&gt;0,BF158*(-8000),0)</f>
        <v>0</v>
      </c>
      <c r="BW158" s="5">
        <f>IFERROR(SUM(BJ158:BV158),0)</f>
        <v>-5000</v>
      </c>
      <c r="BX158" s="5">
        <f>AVERAGE(AK158,BD158,BW158)</f>
        <v>-5000</v>
      </c>
      <c r="BY158" s="5">
        <f>BX158*3</f>
        <v>-15000</v>
      </c>
      <c r="BZ158" s="5">
        <f>INDEX('Team forecast'!$R$3:$BH$26,MATCH($B158,'Team forecast'!$B$3:$B$26,0),MATCH(BZ$1,'Team forecast'!$R$2:$BH$2,0))*($BX158-(BY158+CH158)*0.01)</f>
        <v>-31032.349719388087</v>
      </c>
      <c r="CA158" s="5">
        <f>INDEX('Team forecast'!$R$3:$BH$26,MATCH($B158,'Team forecast'!$B$3:$B$26,0),MATCH(CA$1,'Team forecast'!$R$2:$BH$2,0))*($BX158-(BY158+BX158+CH158)*0.01)</f>
        <v>-15747.957954263689</v>
      </c>
      <c r="CB158" s="5">
        <f>INDEX('Team forecast'!$R$3:$BH$26,MATCH($B158,'Team forecast'!$B$3:$B$26,0),MATCH(CB$1,'Team forecast'!$R$2:$BH$2,0))*($BX158-(BY158+BX158*2+CH158)*0.01)</f>
        <v>-8101.4229259925432</v>
      </c>
      <c r="CC158" s="5">
        <f>INDEX('Team forecast'!$R$3:$BH$26,MATCH($B158,'Team forecast'!$B$3:$B$26,0),MATCH(CC$1,'Team forecast'!$R$2:$BH$2,0))*($BX158-(BY158+BX158*3+CH158)*0.01)</f>
        <v>-4352.3111663965083</v>
      </c>
      <c r="CD158" s="5">
        <f>+AK158+BD158*Cockpit!$C$3+BW158*Cockpit!$C$3^2+BZ158*Cockpit!$C$3^3+CA158*Cockpit!$C$3^4+CB158*Cockpit!$C$3^5+CC158*Cockpit!$C$3^6</f>
        <v>-24309.983539569905</v>
      </c>
      <c r="CE158" s="5"/>
      <c r="CF158" s="5"/>
      <c r="CG158" s="5">
        <v>0</v>
      </c>
      <c r="CH158" s="5">
        <f t="shared" si="49"/>
        <v>3000000</v>
      </c>
      <c r="CI158" s="5">
        <f t="shared" si="50"/>
        <v>3000000</v>
      </c>
      <c r="CJ158" s="1">
        <f t="shared" si="51"/>
        <v>-5.0000000000000001E-3</v>
      </c>
      <c r="CK158" s="5">
        <f>RANK(BY158,$BY$2:$BY$623)+COUNTIF($BY$2:$BY158,$BY158)-1</f>
        <v>470</v>
      </c>
      <c r="CL158" s="5">
        <f>RANK(CJ158,$CJ$2:$CJ$623)+COUNTIF($CJ$2:$CJ158,$CJ158)-1</f>
        <v>492</v>
      </c>
    </row>
    <row r="159" spans="1:90">
      <c r="A159" t="str">
        <f>Players!P160</f>
        <v>Jamal Musiala</v>
      </c>
      <c r="B159" t="str">
        <f>Players!G160</f>
        <v>Germany</v>
      </c>
      <c r="C159" t="str">
        <f>Players!AB160</f>
        <v>Midfield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3500000</v>
      </c>
      <c r="H159" s="16">
        <f>INDEX('Team forecast'!$B$2:$AO$26,MATCH('Master data'!$B159,'Team forecast'!$B$2:$B$26,0),MATCH('Master data'!H$1,'Team forecast'!$B$2:$AO$2,0))</f>
        <v>1.2386203137003762</v>
      </c>
      <c r="I159" s="16">
        <f>INDEX('Team forecast'!$B$2:$AO$26,MATCH('Master data'!$B159,'Team forecast'!$B$2:$B$26,0),MATCH('Master data'!I$1,'Team forecast'!$B$2:$AO$2,0))</f>
        <v>1.2386203137003762</v>
      </c>
      <c r="J159" s="16">
        <f>INDEX('Team forecast'!$B$2:$AO$26,MATCH('Master data'!$B159,'Team forecast'!$B$2:$B$26,0),MATCH('Master data'!J$1,'Team forecast'!$B$2:$AO$2,0))</f>
        <v>0.28978375293296982</v>
      </c>
      <c r="K159" s="16">
        <f>INDEX('Team forecast'!$B$2:$AO$26,MATCH('Master data'!$B159,'Team forecast'!$B$2:$B$26,0),MATCH('Master data'!K$1,'Team forecast'!$B$2:$AO$2,0))</f>
        <v>3.2490442399577706</v>
      </c>
      <c r="L159" s="16">
        <f>INDEX('Team forecast'!$B$2:$AO$26,MATCH('Master data'!$B159,'Team forecast'!$B$2:$B$26,0),MATCH('Master data'!L$1,'Team forecast'!$B$2:$AO$2,0))</f>
        <v>3.2998357975681776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6.5000000000000002E-2</v>
      </c>
      <c r="R159" s="2">
        <f>Players!BR160</f>
        <v>0</v>
      </c>
      <c r="S159" s="2">
        <f>H159</f>
        <v>1.2386203137003762</v>
      </c>
      <c r="T159" s="2">
        <f>I159</f>
        <v>1.2386203137003762</v>
      </c>
      <c r="U159" s="16">
        <f>INDEX('Team forecast'!$B$2:$AO$26,MATCH('Master data'!$B159,'Team forecast'!$B$2:$B$26,0),MATCH('Master data'!U$1,'Team forecast'!$B$2:$AO$2,0))</f>
        <v>0.33635614179719708</v>
      </c>
      <c r="V159" s="16">
        <f>INDEX('Team forecast'!$B$2:$AO$26,MATCH('Master data'!$B159,'Team forecast'!$B$2:$B$26,0),MATCH('Master data'!V$1,'Team forecast'!$B$2:$AO$2,0))</f>
        <v>0.29431162407254741</v>
      </c>
      <c r="W159" s="16">
        <f>INDEX('Team forecast'!$B$2:$AO$26,MATCH('Master data'!$B159,'Team forecast'!$B$2:$B$26,0),MATCH('Master data'!W$1,'Team forecast'!$B$2:$AO$2,0))</f>
        <v>0.36933223413025562</v>
      </c>
      <c r="X159" s="5">
        <f>IF(M159&gt;95,7000*2,IF(M159&gt;0,7000,-5000))</f>
        <v>-5000</v>
      </c>
      <c r="Y159" s="5">
        <f>IF($X159&gt;0,U159*25000,0)</f>
        <v>0</v>
      </c>
      <c r="Z159" s="5">
        <f>IF($X159&gt;0,V159*5000,0)</f>
        <v>0</v>
      </c>
      <c r="AA159" s="5">
        <f>IF($X159&gt;0,W159*(-15000),0)</f>
        <v>0</v>
      </c>
      <c r="AB159" s="5">
        <f>IF($C159="Defense",$N159*150000,IF($C159="Midfield",$N159*125000,IF($C159="Striker",$N159*100000,0)))*$H159</f>
        <v>0</v>
      </c>
      <c r="AC159" s="5">
        <f>$O159*50000*H159</f>
        <v>0</v>
      </c>
      <c r="AD159" s="5">
        <f>$P159*K159*10000</f>
        <v>0</v>
      </c>
      <c r="AE159" s="5">
        <f>IF($C159="Goalkeeper",J159*75000,IF($C159="Defense",J159*50000,0))</f>
        <v>0</v>
      </c>
      <c r="AF159" s="5">
        <f>IF($C159="Goalkeeper",(L159-I159)*5000,0)</f>
        <v>0</v>
      </c>
      <c r="AG159" s="5">
        <f>IF(M159&gt;0,Q159*(-20000),0)</f>
        <v>0</v>
      </c>
      <c r="AH159" s="5">
        <f>IF(M159&gt;0,R159*(-50000),0)</f>
        <v>0</v>
      </c>
      <c r="AI159" s="5">
        <f>IF(M159&gt;0,S159*10000,0)</f>
        <v>0</v>
      </c>
      <c r="AJ159" s="5">
        <f>IF(M159&gt;0,T159*(-8000),0)</f>
        <v>0</v>
      </c>
      <c r="AK159" s="5">
        <f>IFERROR(SUM(X159:AJ159),-5000)*((Cockpit!$C$3)^0)</f>
        <v>-5000</v>
      </c>
      <c r="AL159" s="16">
        <f>INDEX('Team forecast'!$B$2:$AO$26,MATCH('Master data'!$B159,'Team forecast'!$B$2:$B$26,0),MATCH('Master data'!AL$1,'Team forecast'!$B$2:$AO$2,0))</f>
        <v>1.384389503157577</v>
      </c>
      <c r="AM159" s="16">
        <f>INDEX('Team forecast'!$B$2:$AO$26,MATCH('Master data'!$B159,'Team forecast'!$B$2:$B$26,0),MATCH('Master data'!AM$1,'Team forecast'!$B$2:$AO$2,0))</f>
        <v>1.1612459518433673</v>
      </c>
      <c r="AN159" s="16">
        <f>INDEX('Team forecast'!$B$2:$AO$26,MATCH('Master data'!$B159,'Team forecast'!$B$2:$B$26,0),MATCH('Master data'!AN$1,'Team forecast'!$B$2:$AO$2,0))</f>
        <v>0.31309583542398389</v>
      </c>
      <c r="AO159" s="16">
        <f>INDEX('Team forecast'!$B$2:$AO$26,MATCH('Master data'!$B159,'Team forecast'!$B$2:$B$26,0),MATCH('Master data'!AO$1,'Team forecast'!$B$2:$AO$2,0))</f>
        <v>3.6314136715992724</v>
      </c>
      <c r="AP159" s="16">
        <f>INDEX('Team forecast'!$B$2:$AO$26,MATCH('Master data'!$B159,'Team forecast'!$B$2:$B$26,0),MATCH('Master data'!AP$1,'Team forecast'!$B$2:$AO$2,0))</f>
        <v>3.0937010472773676</v>
      </c>
      <c r="AQ159" s="5">
        <f>X159</f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>IF($C159="Defense",$N159*150000,IF($C159="Midfield",$N159*125000,IF($C159="Striker",$N159*100000,0)))*$AL159</f>
        <v>0</v>
      </c>
      <c r="AV159" s="5">
        <f>$O159*50000*AL159</f>
        <v>0</v>
      </c>
      <c r="AW159" s="5">
        <f>$P159*AO159*10000</f>
        <v>0</v>
      </c>
      <c r="AX159" s="5">
        <f>IF($C159="Goalkeeper",AN159*75000,IF($C159="Defense",AN159*50000,0))</f>
        <v>0</v>
      </c>
      <c r="AY159" s="5">
        <f>IF($C159="Goalkeeper",(AP159-AM159)*5000,0)</f>
        <v>0</v>
      </c>
      <c r="AZ159" s="5">
        <f>$AG159</f>
        <v>0</v>
      </c>
      <c r="BA159" s="5">
        <f>$AH159</f>
        <v>0</v>
      </c>
      <c r="BB159" s="5">
        <f>IF(X159&gt;0,AL159*10000,0)</f>
        <v>0</v>
      </c>
      <c r="BC159" s="5">
        <f>IF(X159&gt;0,AM159*(-8000),0)</f>
        <v>0</v>
      </c>
      <c r="BD159" s="5">
        <f>IFERROR(SUM(AQ159:BC159),0)</f>
        <v>-5000</v>
      </c>
      <c r="BE159" s="16">
        <f>INDEX('Team forecast'!$B$2:$AO$26,MATCH('Master data'!$B159,'Team forecast'!$B$2:$B$26,0),MATCH('Master data'!BE$1,'Team forecast'!$B$2:$AO$2,0))</f>
        <v>2.4374022591536644</v>
      </c>
      <c r="BF159" s="16">
        <f>INDEX('Team forecast'!$B$2:$AO$26,MATCH('Master data'!$B159,'Team forecast'!$B$2:$B$26,0),MATCH('Master data'!BF$1,'Team forecast'!$B$2:$AO$2,0))</f>
        <v>0.68661022841383224</v>
      </c>
      <c r="BG159" s="16">
        <f>INDEX('Team forecast'!$B$2:$AO$26,MATCH('Master data'!$B159,'Team forecast'!$B$2:$B$26,0),MATCH('Master data'!BG$1,'Team forecast'!$B$2:$AO$2,0))</f>
        <v>0.50327918232493496</v>
      </c>
      <c r="BH159" s="16">
        <f>INDEX('Team forecast'!$B$2:$AO$26,MATCH('Master data'!$B159,'Team forecast'!$B$2:$B$26,0),MATCH('Master data'!BH$1,'Team forecast'!$B$2:$AO$2,0))</f>
        <v>6.3935878355689084</v>
      </c>
      <c r="BI159" s="16">
        <f>INDEX('Team forecast'!$B$2:$AO$26,MATCH('Master data'!$B159,'Team forecast'!$B$2:$B$26,0),MATCH('Master data'!BI$1,'Team forecast'!$B$2:$AO$2,0))</f>
        <v>1.8292135092857056</v>
      </c>
      <c r="BJ159" s="5">
        <f>AQ159</f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>IF($C159="Defense",$N159*150000,IF($C159="Midfield",$N159*125000,IF($C159="Striker",$N159*100000,0)))*$BE159</f>
        <v>0</v>
      </c>
      <c r="BO159" s="5">
        <f>$O159*50000*$BE159</f>
        <v>0</v>
      </c>
      <c r="BP159" s="5">
        <f>$P159*BH159*10000</f>
        <v>0</v>
      </c>
      <c r="BQ159" s="5">
        <f>IF($C159="Goalkeeper",BG159*75000,IF($C159="Defense",BG159*50000,0))</f>
        <v>0</v>
      </c>
      <c r="BR159" s="5">
        <f>IF($C159="Goalkeeper",(BI159-BF159)*5000,0)</f>
        <v>0</v>
      </c>
      <c r="BS159" s="5">
        <f>$AG159</f>
        <v>0</v>
      </c>
      <c r="BT159" s="5">
        <f>$AH159</f>
        <v>0</v>
      </c>
      <c r="BU159" s="5">
        <f>IF(AQ159&gt;0,BE159*10000,0)</f>
        <v>0</v>
      </c>
      <c r="BV159" s="5">
        <f>IF(AQ159&gt;0,BF159*(-8000),0)</f>
        <v>0</v>
      </c>
      <c r="BW159" s="5">
        <f>IFERROR(SUM(BJ159:BV159),0)</f>
        <v>-5000</v>
      </c>
      <c r="BX159" s="5">
        <f>AVERAGE(AK159,BD159,BW159)</f>
        <v>-5000</v>
      </c>
      <c r="BY159" s="5">
        <f>BX159*3</f>
        <v>-15000</v>
      </c>
      <c r="BZ159" s="5">
        <f>INDEX('Team forecast'!$R$3:$BH$26,MATCH($B159,'Team forecast'!$B$3:$B$26,0),MATCH(BZ$1,'Team forecast'!$R$2:$BH$2,0))*($BX159-(BY159+CH159)*0.01)</f>
        <v>-35484.623710691973</v>
      </c>
      <c r="CA159" s="5">
        <f>INDEX('Team forecast'!$R$3:$BH$26,MATCH($B159,'Team forecast'!$B$3:$B$26,0),MATCH(CA$1,'Team forecast'!$R$2:$BH$2,0))*($BX159-(BY159+BX159+CH159)*0.01)</f>
        <v>-18010.59559137054</v>
      </c>
      <c r="CB159" s="5">
        <f>INDEX('Team forecast'!$R$3:$BH$26,MATCH($B159,'Team forecast'!$B$3:$B$26,0),MATCH(CB$1,'Team forecast'!$R$2:$BH$2,0))*($BX159-(BY159+BX159*2+CH159)*0.01)</f>
        <v>-9267.0952894447073</v>
      </c>
      <c r="CC159" s="5">
        <f>INDEX('Team forecast'!$R$3:$BH$26,MATCH($B159,'Team forecast'!$B$3:$B$26,0),MATCH(CC$1,'Team forecast'!$R$2:$BH$2,0))*($BX159-(BY159+BX159*3+CH159)*0.01)</f>
        <v>-4979.4453402288582</v>
      </c>
      <c r="CD159" s="5">
        <f>+AK159+BD159*Cockpit!$C$3+BW159*Cockpit!$C$3^2+BZ159*Cockpit!$C$3^3+CA159*Cockpit!$C$3^4+CB159*Cockpit!$C$3^5+CC159*Cockpit!$C$3^6</f>
        <v>-26284.677827473468</v>
      </c>
      <c r="CE159" s="5"/>
      <c r="CF159" s="5"/>
      <c r="CG159" s="5">
        <v>0</v>
      </c>
      <c r="CH159" s="5">
        <f t="shared" si="49"/>
        <v>3500000</v>
      </c>
      <c r="CI159" s="5">
        <f t="shared" si="50"/>
        <v>3500000</v>
      </c>
      <c r="CJ159" s="1">
        <f t="shared" si="51"/>
        <v>-4.2857142857142859E-3</v>
      </c>
      <c r="CK159" s="5">
        <f>RANK(BY159,$BY$2:$BY$623)+COUNTIF($BY$2:$BY159,$BY159)-1</f>
        <v>471</v>
      </c>
      <c r="CL159" s="5">
        <f>RANK(CJ159,$CJ$2:$CJ$623)+COUNTIF($CJ$2:$CJ159,$CJ159)-1</f>
        <v>466</v>
      </c>
    </row>
    <row r="160" spans="1:90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1.5223243214152651</v>
      </c>
      <c r="I160" s="16">
        <f>INDEX('Team forecast'!$B$2:$AO$26,MATCH('Master data'!$B160,'Team forecast'!$B$2:$B$26,0),MATCH('Master data'!I$1,'Team forecast'!$B$2:$AO$2,0))</f>
        <v>0.74990395996081205</v>
      </c>
      <c r="J160" s="16">
        <f>INDEX('Team forecast'!$B$2:$AO$26,MATCH('Master data'!$B160,'Team forecast'!$B$2:$B$26,0),MATCH('Master data'!J$1,'Team forecast'!$B$2:$AO$2,0))</f>
        <v>0.47241192102180191</v>
      </c>
      <c r="K160" s="16">
        <f>INDEX('Team forecast'!$B$2:$AO$26,MATCH('Master data'!$B160,'Team forecast'!$B$2:$B$26,0),MATCH('Master data'!K$1,'Team forecast'!$B$2:$AO$2,0))</f>
        <v>3.7411838276290243</v>
      </c>
      <c r="L160" s="16">
        <f>INDEX('Team forecast'!$B$2:$AO$26,MATCH('Master data'!$B160,'Team forecast'!$B$2:$B$26,0),MATCH('Master data'!L$1,'Team forecast'!$B$2:$AO$2,0))</f>
        <v>2.461805929164282</v>
      </c>
      <c r="M160">
        <f>IF(Players!BC161=1,95,0)</f>
        <v>0</v>
      </c>
      <c r="N160" s="2">
        <f>Players!BN161</f>
        <v>0</v>
      </c>
      <c r="O160" s="2">
        <f>Players!BO161</f>
        <v>0</v>
      </c>
      <c r="P160" s="2">
        <f>Players!BP161</f>
        <v>0</v>
      </c>
      <c r="Q160" s="2">
        <f>Players!BQ161</f>
        <v>5.6338028169014079E-2</v>
      </c>
      <c r="R160" s="2">
        <f>Players!BR161</f>
        <v>2.8169014084507039E-2</v>
      </c>
      <c r="S160" s="2">
        <f>H160</f>
        <v>1.5223243214152651</v>
      </c>
      <c r="T160" s="2">
        <f>I160</f>
        <v>0.74990395996081205</v>
      </c>
      <c r="U160" s="16">
        <f>INDEX('Team forecast'!$B$2:$AO$26,MATCH('Master data'!$B160,'Team forecast'!$B$2:$B$26,0),MATCH('Master data'!U$1,'Team forecast'!$B$2:$AO$2,0))</f>
        <v>0.56576277966682864</v>
      </c>
      <c r="V160" s="16">
        <f>INDEX('Team forecast'!$B$2:$AO$26,MATCH('Master data'!$B160,'Team forecast'!$B$2:$B$26,0),MATCH('Master data'!V$1,'Team forecast'!$B$2:$AO$2,0))</f>
        <v>0.26245106723433442</v>
      </c>
      <c r="W160" s="16">
        <f>INDEX('Team forecast'!$B$2:$AO$26,MATCH('Master data'!$B160,'Team forecast'!$B$2:$B$26,0),MATCH('Master data'!W$1,'Team forecast'!$B$2:$AO$2,0))</f>
        <v>0.17178615309883699</v>
      </c>
      <c r="X160" s="5">
        <f>IF(M160&gt;95,7000*2,IF(M160&gt;0,7000,-5000))</f>
        <v>-5000</v>
      </c>
      <c r="Y160" s="5">
        <f>IF($X160&gt;0,U160*25000,0)</f>
        <v>0</v>
      </c>
      <c r="Z160" s="5">
        <f>IF($X160&gt;0,V160*5000,0)</f>
        <v>0</v>
      </c>
      <c r="AA160" s="5">
        <f>IF($X160&gt;0,W160*(-15000),0)</f>
        <v>0</v>
      </c>
      <c r="AB160" s="5">
        <f>IF($C160="Defense",$N160*150000,IF($C160="Midfield",$N160*125000,IF($C160="Striker",$N160*100000,0)))*$H160</f>
        <v>0</v>
      </c>
      <c r="AC160" s="5">
        <f>$O160*50000*H160</f>
        <v>0</v>
      </c>
      <c r="AD160" s="5">
        <f>$P160*K160*10000</f>
        <v>0</v>
      </c>
      <c r="AE160" s="5">
        <f>IF($C160="Goalkeeper",J160*75000,IF($C160="Defense",J160*50000,0))</f>
        <v>23620.596051090095</v>
      </c>
      <c r="AF160" s="5">
        <f>IF($C160="Goalkeeper",(L160-I160)*5000,0)</f>
        <v>0</v>
      </c>
      <c r="AG160" s="5">
        <f>IF(M160&gt;0,Q160*(-20000),0)</f>
        <v>0</v>
      </c>
      <c r="AH160" s="5">
        <f>IF(M160&gt;0,R160*(-50000),0)</f>
        <v>0</v>
      </c>
      <c r="AI160" s="5">
        <f>IF(M160&gt;0,S160*10000,0)</f>
        <v>0</v>
      </c>
      <c r="AJ160" s="5">
        <f>IF(M160&gt;0,T160*(-8000),0)</f>
        <v>0</v>
      </c>
      <c r="AK160" s="5">
        <f>IFERROR(SUM(X160:AJ160),-5000)*((Cockpit!$C$3)^0)</f>
        <v>18620.596051090095</v>
      </c>
      <c r="AL160" s="16">
        <f>INDEX('Team forecast'!$B$2:$AO$26,MATCH('Master data'!$B160,'Team forecast'!$B$2:$B$26,0),MATCH('Master data'!AL$1,'Team forecast'!$B$2:$AO$2,0))</f>
        <v>2.0067977929974719</v>
      </c>
      <c r="AM160" s="16">
        <f>INDEX('Team forecast'!$B$2:$AO$26,MATCH('Master data'!$B160,'Team forecast'!$B$2:$B$26,0),MATCH('Master data'!AM$1,'Team forecast'!$B$2:$AO$2,0))</f>
        <v>0.66520361079548807</v>
      </c>
      <c r="AN160" s="16">
        <f>INDEX('Team forecast'!$B$2:$AO$26,MATCH('Master data'!$B160,'Team forecast'!$B$2:$B$26,0),MATCH('Master data'!AN$1,'Team forecast'!$B$2:$AO$2,0))</f>
        <v>0.51416882672404407</v>
      </c>
      <c r="AO160" s="16">
        <f>INDEX('Team forecast'!$B$2:$AO$26,MATCH('Master data'!$B160,'Team forecast'!$B$2:$B$26,0),MATCH('Master data'!AO$1,'Team forecast'!$B$2:$AO$2,0))</f>
        <v>4.9318002365645421</v>
      </c>
      <c r="AP160" s="16">
        <f>INDEX('Team forecast'!$B$2:$AO$26,MATCH('Master data'!$B160,'Team forecast'!$B$2:$B$26,0),MATCH('Master data'!AP$1,'Team forecast'!$B$2:$AO$2,0))</f>
        <v>2.1837492273589256</v>
      </c>
      <c r="AQ160" s="5">
        <f>X160</f>
        <v>-5000</v>
      </c>
      <c r="AR160" s="5">
        <f>INDEX('Team forecast'!$B$2:$AO$26,MATCH('Master data'!$B160,'Team forecast'!$B$2:$B$26,0),MATCH('Master data'!AR$1,'Team forecast'!$B$2:$AO$2,0))*IF(X160&gt;0,25000,0)</f>
        <v>0</v>
      </c>
      <c r="AS160" s="16">
        <f>INDEX('Team forecast'!$B$2:$AO$26,MATCH('Master data'!$B160,'Team forecast'!$B$2:$B$26,0),MATCH('Master data'!AS$1,'Team forecast'!$B$2:$AO$2,0))*IF(X160&gt;0,5000,0)</f>
        <v>0</v>
      </c>
      <c r="AT160" s="16">
        <f>INDEX('Team forecast'!$B$2:$AO$26,MATCH('Master data'!$B160,'Team forecast'!$B$2:$B$26,0),MATCH('Master data'!AT$1,'Team forecast'!$B$2:$AO$2,0))*IF(X160&gt;0,-15000,0)</f>
        <v>0</v>
      </c>
      <c r="AU160" s="5">
        <f>IF($C160="Defense",$N160*150000,IF($C160="Midfield",$N160*125000,IF($C160="Striker",$N160*100000,0)))*$AL160</f>
        <v>0</v>
      </c>
      <c r="AV160" s="5">
        <f>$O160*50000*AL160</f>
        <v>0</v>
      </c>
      <c r="AW160" s="5">
        <f>$P160*AO160*10000</f>
        <v>0</v>
      </c>
      <c r="AX160" s="5">
        <f>IF($C160="Goalkeeper",AN160*75000,IF($C160="Defense",AN160*50000,0))</f>
        <v>25708.441336202202</v>
      </c>
      <c r="AY160" s="5">
        <f>IF($C160="Goalkeeper",(AP160-AM160)*5000,0)</f>
        <v>0</v>
      </c>
      <c r="AZ160" s="5">
        <f>$AG160</f>
        <v>0</v>
      </c>
      <c r="BA160" s="5">
        <f>$AH160</f>
        <v>0</v>
      </c>
      <c r="BB160" s="5">
        <f>IF(X160&gt;0,AL160*10000,0)</f>
        <v>0</v>
      </c>
      <c r="BC160" s="5">
        <f>IF(X160&gt;0,AM160*(-8000),0)</f>
        <v>0</v>
      </c>
      <c r="BD160" s="5">
        <f>IFERROR(SUM(AQ160:BC160),0)</f>
        <v>20708.441336202202</v>
      </c>
      <c r="BE160" s="16">
        <f>INDEX('Team forecast'!$B$2:$AO$26,MATCH('Master data'!$B160,'Team forecast'!$B$2:$B$26,0),MATCH('Master data'!BE$1,'Team forecast'!$B$2:$AO$2,0))</f>
        <v>2.2346287595631029</v>
      </c>
      <c r="BF160" s="16">
        <f>INDEX('Team forecast'!$B$2:$AO$26,MATCH('Master data'!$B160,'Team forecast'!$B$2:$B$26,0),MATCH('Master data'!BF$1,'Team forecast'!$B$2:$AO$2,0))</f>
        <v>0.82586154259115363</v>
      </c>
      <c r="BG160" s="16">
        <f>INDEX('Team forecast'!$B$2:$AO$26,MATCH('Master data'!$B160,'Team forecast'!$B$2:$B$26,0),MATCH('Master data'!BG$1,'Team forecast'!$B$2:$AO$2,0))</f>
        <v>0.43785759694850601</v>
      </c>
      <c r="BH160" s="16">
        <f>INDEX('Team forecast'!$B$2:$AO$26,MATCH('Master data'!$B160,'Team forecast'!$B$2:$B$26,0),MATCH('Master data'!BH$1,'Team forecast'!$B$2:$AO$2,0))</f>
        <v>5.4917055836432862</v>
      </c>
      <c r="BI160" s="16">
        <f>INDEX('Team forecast'!$B$2:$AO$26,MATCH('Master data'!$B160,'Team forecast'!$B$2:$B$26,0),MATCH('Master data'!BI$1,'Team forecast'!$B$2:$AO$2,0))</f>
        <v>2.7111616297184336</v>
      </c>
      <c r="BJ160" s="5">
        <f>AQ160</f>
        <v>-5000</v>
      </c>
      <c r="BK160" s="5">
        <f>INDEX('Team forecast'!$R$3:$BH$26,MATCH($B160,'Team forecast'!$B$3:$B$26,0),MATCH(BK$1,'Team forecast'!$R$2:$BH$2,0))*IF($X160&gt;0,25000,0)</f>
        <v>0</v>
      </c>
      <c r="BL160" s="5">
        <f>INDEX('Team forecast'!$R$3:$BH$26,MATCH($B160,'Team forecast'!$B$3:$B$26,0),MATCH(BL$1,'Team forecast'!$R$2:$BH$2,0))*IF($X160&gt;0,5000,0)</f>
        <v>0</v>
      </c>
      <c r="BM160" s="5">
        <f>INDEX('Team forecast'!$R$3:$BH$26,MATCH($B160,'Team forecast'!$B$3:$B$26,0),MATCH(BM$1,'Team forecast'!$R$2:$BH$2,0))*IF($X160&gt;0,-15000,0)</f>
        <v>0</v>
      </c>
      <c r="BN160" s="5">
        <f>IF($C160="Defense",$N160*150000,IF($C160="Midfield",$N160*125000,IF($C160="Striker",$N160*100000,0)))*$BE160</f>
        <v>0</v>
      </c>
      <c r="BO160" s="5">
        <f>$O160*50000*$BE160</f>
        <v>0</v>
      </c>
      <c r="BP160" s="5">
        <f>$P160*BH160*10000</f>
        <v>0</v>
      </c>
      <c r="BQ160" s="5">
        <f>IF($C160="Goalkeeper",BG160*75000,IF($C160="Defense",BG160*50000,0))</f>
        <v>21892.879847425302</v>
      </c>
      <c r="BR160" s="5">
        <f>IF($C160="Goalkeeper",(BI160-BF160)*5000,0)</f>
        <v>0</v>
      </c>
      <c r="BS160" s="5">
        <f>$AG160</f>
        <v>0</v>
      </c>
      <c r="BT160" s="5">
        <f>$AH160</f>
        <v>0</v>
      </c>
      <c r="BU160" s="5">
        <f>IF(AQ160&gt;0,BE160*10000,0)</f>
        <v>0</v>
      </c>
      <c r="BV160" s="5">
        <f>IF(AQ160&gt;0,BF160*(-8000),0)</f>
        <v>0</v>
      </c>
      <c r="BW160" s="5">
        <f>IFERROR(SUM(BJ160:BV160),0)</f>
        <v>16892.879847425302</v>
      </c>
      <c r="BX160" s="5">
        <f>AVERAGE(AK160,BD160,BW160)</f>
        <v>18740.639078239197</v>
      </c>
      <c r="BY160" s="5">
        <f>BX160*3</f>
        <v>56221.917234717592</v>
      </c>
      <c r="BZ160" s="5">
        <f>INDEX('Team forecast'!$R$3:$BH$26,MATCH($B160,'Team forecast'!$B$3:$B$26,0),MATCH(BZ$1,'Team forecast'!$R$2:$BH$2,0))*($BX160-(BY160+CH160)*0.01)</f>
        <v>-6532.7471209728883</v>
      </c>
      <c r="CA160" s="5">
        <f>INDEX('Team forecast'!$R$3:$BH$26,MATCH($B160,'Team forecast'!$B$3:$B$26,0),MATCH(CA$1,'Team forecast'!$R$2:$BH$2,0))*($BX160-(BY160+BX160+CH160)*0.01)</f>
        <v>-3464.3127266951433</v>
      </c>
      <c r="CB160" s="5">
        <f>INDEX('Team forecast'!$R$3:$BH$26,MATCH($B160,'Team forecast'!$B$3:$B$26,0),MATCH(CB$1,'Team forecast'!$R$2:$BH$2,0))*($BX160-(BY160+BX160*2+CH160)*0.01)</f>
        <v>-1883.0323026320298</v>
      </c>
      <c r="CC160" s="5">
        <f>INDEX('Team forecast'!$R$3:$BH$26,MATCH($B160,'Team forecast'!$B$3:$B$26,0),MATCH(CC$1,'Team forecast'!$R$2:$BH$2,0))*($BX160-(BY160+BX160*3+CH160)*0.01)</f>
        <v>-1104.3753524194797</v>
      </c>
      <c r="CD160" s="5">
        <f>+AK160+BD160*Cockpit!$C$3+BW160*Cockpit!$C$3^2+BZ160*Cockpit!$C$3^3+CA160*Cockpit!$C$3^4+CB160*Cockpit!$C$3^5+CC160*Cockpit!$C$3^6</f>
        <v>36969.306648591191</v>
      </c>
      <c r="CE160" s="5"/>
      <c r="CF160" s="5"/>
      <c r="CG160" s="5">
        <v>0</v>
      </c>
      <c r="CH160" s="5">
        <f t="shared" si="49"/>
        <v>2500000</v>
      </c>
      <c r="CI160" s="5">
        <f t="shared" si="50"/>
        <v>2500000</v>
      </c>
      <c r="CJ160" s="1">
        <f t="shared" si="51"/>
        <v>2.2488766893887038E-2</v>
      </c>
      <c r="CK160" s="5">
        <f>RANK(BY160,$BY$2:$BY$623)+COUNTIF($BY$2:$BY160,$BY160)-1</f>
        <v>284</v>
      </c>
      <c r="CL160" s="5">
        <f>RANK(CJ160,$CJ$2:$CJ$623)+COUNTIF($CJ$2:$CJ160,$CJ160)-1</f>
        <v>238</v>
      </c>
    </row>
    <row r="161" spans="1:90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1.5223243214152651</v>
      </c>
      <c r="I161" s="16">
        <f>INDEX('Team forecast'!$B$2:$AO$26,MATCH('Master data'!$B161,'Team forecast'!$B$2:$B$26,0),MATCH('Master data'!I$1,'Team forecast'!$B$2:$AO$2,0))</f>
        <v>0.74990395996081205</v>
      </c>
      <c r="J161" s="16">
        <f>INDEX('Team forecast'!$B$2:$AO$26,MATCH('Master data'!$B161,'Team forecast'!$B$2:$B$26,0),MATCH('Master data'!J$1,'Team forecast'!$B$2:$AO$2,0))</f>
        <v>0.47241192102180191</v>
      </c>
      <c r="K161" s="16">
        <f>INDEX('Team forecast'!$B$2:$AO$26,MATCH('Master data'!$B161,'Team forecast'!$B$2:$B$26,0),MATCH('Master data'!K$1,'Team forecast'!$B$2:$AO$2,0))</f>
        <v>3.7411838276290243</v>
      </c>
      <c r="L161" s="16">
        <f>INDEX('Team forecast'!$B$2:$AO$26,MATCH('Master data'!$B161,'Team forecast'!$B$2:$B$26,0),MATCH('Master data'!L$1,'Team forecast'!$B$2:$AO$2,0))</f>
        <v>2.461805929164282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>H161</f>
        <v>1.5223243214152651</v>
      </c>
      <c r="T161" s="2">
        <f>I161</f>
        <v>0.74990395996081205</v>
      </c>
      <c r="U161" s="16">
        <f>INDEX('Team forecast'!$B$2:$AO$26,MATCH('Master data'!$B161,'Team forecast'!$B$2:$B$26,0),MATCH('Master data'!U$1,'Team forecast'!$B$2:$AO$2,0))</f>
        <v>0.56576277966682864</v>
      </c>
      <c r="V161" s="16">
        <f>INDEX('Team forecast'!$B$2:$AO$26,MATCH('Master data'!$B161,'Team forecast'!$B$2:$B$26,0),MATCH('Master data'!V$1,'Team forecast'!$B$2:$AO$2,0))</f>
        <v>0.26245106723433442</v>
      </c>
      <c r="W161" s="16">
        <f>INDEX('Team forecast'!$B$2:$AO$26,MATCH('Master data'!$B161,'Team forecast'!$B$2:$B$26,0),MATCH('Master data'!W$1,'Team forecast'!$B$2:$AO$2,0))</f>
        <v>0.17178615309883699</v>
      </c>
      <c r="X161" s="5">
        <f>IF(M161&gt;95,7000*2,IF(M161&gt;0,7000,-5000))</f>
        <v>-5000</v>
      </c>
      <c r="Y161" s="5">
        <f>IF($X161&gt;0,U161*25000,0)</f>
        <v>0</v>
      </c>
      <c r="Z161" s="5">
        <f>IF($X161&gt;0,V161*5000,0)</f>
        <v>0</v>
      </c>
      <c r="AA161" s="5">
        <f>IF($X161&gt;0,W161*(-15000),0)</f>
        <v>0</v>
      </c>
      <c r="AB161" s="5">
        <f>IF($C161="Defense",$N161*150000,IF($C161="Midfield",$N161*125000,IF($C161="Striker",$N161*100000,0)))*$H161</f>
        <v>0</v>
      </c>
      <c r="AC161" s="5">
        <f>$O161*50000*H161</f>
        <v>0</v>
      </c>
      <c r="AD161" s="5">
        <f>$P161*K161*10000</f>
        <v>0</v>
      </c>
      <c r="AE161" s="5">
        <f>IF($C161="Goalkeeper",J161*75000,IF($C161="Defense",J161*50000,0))</f>
        <v>23620.596051090095</v>
      </c>
      <c r="AF161" s="5">
        <f>IF($C161="Goalkeeper",(L161-I161)*5000,0)</f>
        <v>0</v>
      </c>
      <c r="AG161" s="5">
        <f>IF(M161&gt;0,Q161*(-20000),0)</f>
        <v>0</v>
      </c>
      <c r="AH161" s="5">
        <f>IF(M161&gt;0,R161*(-50000),0)</f>
        <v>0</v>
      </c>
      <c r="AI161" s="5">
        <f>IF(M161&gt;0,S161*10000,0)</f>
        <v>0</v>
      </c>
      <c r="AJ161" s="5">
        <f>IF(M161&gt;0,T161*(-8000),0)</f>
        <v>0</v>
      </c>
      <c r="AK161" s="5">
        <f>IFERROR(SUM(X161:AJ161),-5000)*((Cockpit!$C$3)^0)</f>
        <v>18620.596051090095</v>
      </c>
      <c r="AL161" s="16">
        <f>INDEX('Team forecast'!$B$2:$AO$26,MATCH('Master data'!$B161,'Team forecast'!$B$2:$B$26,0),MATCH('Master data'!AL$1,'Team forecast'!$B$2:$AO$2,0))</f>
        <v>2.0067977929974719</v>
      </c>
      <c r="AM161" s="16">
        <f>INDEX('Team forecast'!$B$2:$AO$26,MATCH('Master data'!$B161,'Team forecast'!$B$2:$B$26,0),MATCH('Master data'!AM$1,'Team forecast'!$B$2:$AO$2,0))</f>
        <v>0.66520361079548807</v>
      </c>
      <c r="AN161" s="16">
        <f>INDEX('Team forecast'!$B$2:$AO$26,MATCH('Master data'!$B161,'Team forecast'!$B$2:$B$26,0),MATCH('Master data'!AN$1,'Team forecast'!$B$2:$AO$2,0))</f>
        <v>0.51416882672404407</v>
      </c>
      <c r="AO161" s="16">
        <f>INDEX('Team forecast'!$B$2:$AO$26,MATCH('Master data'!$B161,'Team forecast'!$B$2:$B$26,0),MATCH('Master data'!AO$1,'Team forecast'!$B$2:$AO$2,0))</f>
        <v>4.9318002365645421</v>
      </c>
      <c r="AP161" s="16">
        <f>INDEX('Team forecast'!$B$2:$AO$26,MATCH('Master data'!$B161,'Team forecast'!$B$2:$B$26,0),MATCH('Master data'!AP$1,'Team forecast'!$B$2:$AO$2,0))</f>
        <v>2.1837492273589256</v>
      </c>
      <c r="AQ161" s="5">
        <f>X161</f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>IF($C161="Defense",$N161*150000,IF($C161="Midfield",$N161*125000,IF($C161="Striker",$N161*100000,0)))*$AL161</f>
        <v>0</v>
      </c>
      <c r="AV161" s="5">
        <f>$O161*50000*AL161</f>
        <v>0</v>
      </c>
      <c r="AW161" s="5">
        <f>$P161*AO161*10000</f>
        <v>0</v>
      </c>
      <c r="AX161" s="5">
        <f>IF($C161="Goalkeeper",AN161*75000,IF($C161="Defense",AN161*50000,0))</f>
        <v>25708.441336202202</v>
      </c>
      <c r="AY161" s="5">
        <f>IF($C161="Goalkeeper",(AP161-AM161)*5000,0)</f>
        <v>0</v>
      </c>
      <c r="AZ161" s="5">
        <f>$AG161</f>
        <v>0</v>
      </c>
      <c r="BA161" s="5">
        <f>$AH161</f>
        <v>0</v>
      </c>
      <c r="BB161" s="5">
        <f>IF(X161&gt;0,AL161*10000,0)</f>
        <v>0</v>
      </c>
      <c r="BC161" s="5">
        <f>IF(X161&gt;0,AM161*(-8000),0)</f>
        <v>0</v>
      </c>
      <c r="BD161" s="5">
        <f>IFERROR(SUM(AQ161:BC161),0)</f>
        <v>20708.441336202202</v>
      </c>
      <c r="BE161" s="16">
        <f>INDEX('Team forecast'!$B$2:$AO$26,MATCH('Master data'!$B161,'Team forecast'!$B$2:$B$26,0),MATCH('Master data'!BE$1,'Team forecast'!$B$2:$AO$2,0))</f>
        <v>2.2346287595631029</v>
      </c>
      <c r="BF161" s="16">
        <f>INDEX('Team forecast'!$B$2:$AO$26,MATCH('Master data'!$B161,'Team forecast'!$B$2:$B$26,0),MATCH('Master data'!BF$1,'Team forecast'!$B$2:$AO$2,0))</f>
        <v>0.82586154259115363</v>
      </c>
      <c r="BG161" s="16">
        <f>INDEX('Team forecast'!$B$2:$AO$26,MATCH('Master data'!$B161,'Team forecast'!$B$2:$B$26,0),MATCH('Master data'!BG$1,'Team forecast'!$B$2:$AO$2,0))</f>
        <v>0.43785759694850601</v>
      </c>
      <c r="BH161" s="16">
        <f>INDEX('Team forecast'!$B$2:$AO$26,MATCH('Master data'!$B161,'Team forecast'!$B$2:$B$26,0),MATCH('Master data'!BH$1,'Team forecast'!$B$2:$AO$2,0))</f>
        <v>5.4917055836432862</v>
      </c>
      <c r="BI161" s="16">
        <f>INDEX('Team forecast'!$B$2:$AO$26,MATCH('Master data'!$B161,'Team forecast'!$B$2:$B$26,0),MATCH('Master data'!BI$1,'Team forecast'!$B$2:$AO$2,0))</f>
        <v>2.7111616297184336</v>
      </c>
      <c r="BJ161" s="5">
        <f>AQ161</f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>IF($C161="Defense",$N161*150000,IF($C161="Midfield",$N161*125000,IF($C161="Striker",$N161*100000,0)))*$BE161</f>
        <v>0</v>
      </c>
      <c r="BO161" s="5">
        <f>$O161*50000*$BE161</f>
        <v>0</v>
      </c>
      <c r="BP161" s="5">
        <f>$P161*BH161*10000</f>
        <v>0</v>
      </c>
      <c r="BQ161" s="5">
        <f>IF($C161="Goalkeeper",BG161*75000,IF($C161="Defense",BG161*50000,0))</f>
        <v>21892.879847425302</v>
      </c>
      <c r="BR161" s="5">
        <f>IF($C161="Goalkeeper",(BI161-BF161)*5000,0)</f>
        <v>0</v>
      </c>
      <c r="BS161" s="5">
        <f>$AG161</f>
        <v>0</v>
      </c>
      <c r="BT161" s="5">
        <f>$AH161</f>
        <v>0</v>
      </c>
      <c r="BU161" s="5">
        <f>IF(AQ161&gt;0,BE161*10000,0)</f>
        <v>0</v>
      </c>
      <c r="BV161" s="5">
        <f>IF(AQ161&gt;0,BF161*(-8000),0)</f>
        <v>0</v>
      </c>
      <c r="BW161" s="5">
        <f>IFERROR(SUM(BJ161:BV161),0)</f>
        <v>16892.879847425302</v>
      </c>
      <c r="BX161" s="5">
        <f>AVERAGE(AK161,BD161,BW161)</f>
        <v>18740.639078239197</v>
      </c>
      <c r="BY161" s="5">
        <f>BX161*3</f>
        <v>56221.917234717592</v>
      </c>
      <c r="BZ161" s="5">
        <f>INDEX('Team forecast'!$R$3:$BH$26,MATCH($B161,'Team forecast'!$B$3:$B$26,0),MATCH(BZ$1,'Team forecast'!$R$2:$BH$2,0))*($BX161-(BY161+CH161)*0.01)</f>
        <v>-11321.041790865747</v>
      </c>
      <c r="CA161" s="5">
        <f>INDEX('Team forecast'!$R$3:$BH$26,MATCH($B161,'Team forecast'!$B$3:$B$26,0),MATCH(CA$1,'Team forecast'!$R$2:$BH$2,0))*($BX161-(BY161+BX161+CH161)*0.01)</f>
        <v>-5935.6491561228058</v>
      </c>
      <c r="CB161" s="5">
        <f>INDEX('Team forecast'!$R$3:$BH$26,MATCH($B161,'Team forecast'!$B$3:$B$26,0),MATCH(CB$1,'Team forecast'!$R$2:$BH$2,0))*($BX161-(BY161+BX161*2+CH161)*0.01)</f>
        <v>-3191.3490768576121</v>
      </c>
      <c r="CC161" s="5">
        <f>INDEX('Team forecast'!$R$3:$BH$26,MATCH($B161,'Team forecast'!$B$3:$B$26,0),MATCH(CC$1,'Team forecast'!$R$2:$BH$2,0))*($BX161-(BY161+BX161*3+CH161)*0.01)</f>
        <v>-1852.2121452184749</v>
      </c>
      <c r="CD161" s="5">
        <f>+AK161+BD161*Cockpit!$C$3+BW161*Cockpit!$C$3^2+BZ161*Cockpit!$C$3^3+CA161*Cockpit!$C$3^4+CB161*Cockpit!$C$3^5+CC161*Cockpit!$C$3^6</f>
        <v>34824.445112789777</v>
      </c>
      <c r="CE161" s="5"/>
      <c r="CF161" s="5"/>
      <c r="CG161" s="5">
        <v>0</v>
      </c>
      <c r="CH161" s="5">
        <f t="shared" si="49"/>
        <v>3000000</v>
      </c>
      <c r="CI161" s="5">
        <f t="shared" si="50"/>
        <v>3000000</v>
      </c>
      <c r="CJ161" s="1">
        <f t="shared" si="51"/>
        <v>1.8740639078239196E-2</v>
      </c>
      <c r="CK161" s="5">
        <f>RANK(BY161,$BY$2:$BY$623)+COUNTIF($BY$2:$BY161,$BY161)-1</f>
        <v>285</v>
      </c>
      <c r="CL161" s="5">
        <f>RANK(CJ161,$CJ$2:$CJ$623)+COUNTIF($CJ$2:$CJ161,$CJ161)-1</f>
        <v>272</v>
      </c>
    </row>
    <row r="162" spans="1:90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1.5223243214152651</v>
      </c>
      <c r="I162" s="16">
        <f>INDEX('Team forecast'!$B$2:$AO$26,MATCH('Master data'!$B162,'Team forecast'!$B$2:$B$26,0),MATCH('Master data'!I$1,'Team forecast'!$B$2:$AO$2,0))</f>
        <v>0.74990395996081205</v>
      </c>
      <c r="J162" s="16">
        <f>INDEX('Team forecast'!$B$2:$AO$26,MATCH('Master data'!$B162,'Team forecast'!$B$2:$B$26,0),MATCH('Master data'!J$1,'Team forecast'!$B$2:$AO$2,0))</f>
        <v>0.47241192102180191</v>
      </c>
      <c r="K162" s="16">
        <f>INDEX('Team forecast'!$B$2:$AO$26,MATCH('Master data'!$B162,'Team forecast'!$B$2:$B$26,0),MATCH('Master data'!K$1,'Team forecast'!$B$2:$AO$2,0))</f>
        <v>3.7411838276290243</v>
      </c>
      <c r="L162" s="16">
        <f>INDEX('Team forecast'!$B$2:$AO$26,MATCH('Master data'!$B162,'Team forecast'!$B$2:$B$26,0),MATCH('Master data'!L$1,'Team forecast'!$B$2:$AO$2,0))</f>
        <v>2.461805929164282</v>
      </c>
      <c r="M162">
        <f>IF(Players!BC163=1,95,0)</f>
        <v>95</v>
      </c>
      <c r="N162" s="2">
        <f>Players!BN163</f>
        <v>2.8317632265141276E-2</v>
      </c>
      <c r="O162" s="2">
        <f>Players!BO163</f>
        <v>4.0519679862796469E-2</v>
      </c>
      <c r="P162" s="2">
        <f>Players!BP163</f>
        <v>6.8411979053378771E-2</v>
      </c>
      <c r="Q162" s="2">
        <f>Players!BQ163</f>
        <v>1.0370342205323193</v>
      </c>
      <c r="R162" s="2">
        <f>Players!BR163</f>
        <v>0</v>
      </c>
      <c r="S162" s="2">
        <f>H162</f>
        <v>1.5223243214152651</v>
      </c>
      <c r="T162" s="2">
        <f>I162</f>
        <v>0.74990395996081205</v>
      </c>
      <c r="U162" s="16">
        <f>INDEX('Team forecast'!$B$2:$AO$26,MATCH('Master data'!$B162,'Team forecast'!$B$2:$B$26,0),MATCH('Master data'!U$1,'Team forecast'!$B$2:$AO$2,0))</f>
        <v>0.56576277966682864</v>
      </c>
      <c r="V162" s="16">
        <f>INDEX('Team forecast'!$B$2:$AO$26,MATCH('Master data'!$B162,'Team forecast'!$B$2:$B$26,0),MATCH('Master data'!V$1,'Team forecast'!$B$2:$AO$2,0))</f>
        <v>0.26245106723433442</v>
      </c>
      <c r="W162" s="16">
        <f>INDEX('Team forecast'!$B$2:$AO$26,MATCH('Master data'!$B162,'Team forecast'!$B$2:$B$26,0),MATCH('Master data'!W$1,'Team forecast'!$B$2:$AO$2,0))</f>
        <v>0.17178615309883699</v>
      </c>
      <c r="X162" s="5">
        <f>IF(M162&gt;95,7000*2,IF(M162&gt;0,7000,-5000))</f>
        <v>7000</v>
      </c>
      <c r="Y162" s="5">
        <f>IF($X162&gt;0,U162*25000,0)</f>
        <v>14144.069491670716</v>
      </c>
      <c r="Z162" s="5">
        <f>IF($X162&gt;0,V162*5000,0)</f>
        <v>1312.2553361716721</v>
      </c>
      <c r="AA162" s="5">
        <f>IF($X162&gt;0,W162*(-15000),0)</f>
        <v>-2576.7922964825548</v>
      </c>
      <c r="AB162" s="5">
        <f>IF($C162="Defense",$N162*150000,IF($C162="Midfield",$N162*125000,IF($C162="Striker",$N162*100000,0)))*$H162</f>
        <v>6466.2930483177306</v>
      </c>
      <c r="AC162" s="5">
        <f>$O162*50000*H162</f>
        <v>3084.2047075547707</v>
      </c>
      <c r="AD162" s="5">
        <f>$P162*K162*10000</f>
        <v>2559.4178965059623</v>
      </c>
      <c r="AE162" s="5">
        <f>IF($C162="Goalkeeper",J162*75000,IF($C162="Defense",J162*50000,0))</f>
        <v>23620.596051090095</v>
      </c>
      <c r="AF162" s="5">
        <f>IF($C162="Goalkeeper",(L162-I162)*5000,0)</f>
        <v>0</v>
      </c>
      <c r="AG162" s="5">
        <f>IF(M162&gt;0,Q162*(-20000),0)</f>
        <v>-20740.684410646387</v>
      </c>
      <c r="AH162" s="5">
        <f>IF(M162&gt;0,R162*(-50000),0)</f>
        <v>0</v>
      </c>
      <c r="AI162" s="5">
        <f>IF(M162&gt;0,S162*10000,0)</f>
        <v>15223.243214152651</v>
      </c>
      <c r="AJ162" s="5">
        <f>IF(M162&gt;0,T162*(-8000),0)</f>
        <v>-5999.2316796864961</v>
      </c>
      <c r="AK162" s="5">
        <f>IFERROR(SUM(X162:AJ162),-5000)*((Cockpit!$C$3)^0)</f>
        <v>44093.371358648154</v>
      </c>
      <c r="AL162" s="16">
        <f>INDEX('Team forecast'!$B$2:$AO$26,MATCH('Master data'!$B162,'Team forecast'!$B$2:$B$26,0),MATCH('Master data'!AL$1,'Team forecast'!$B$2:$AO$2,0))</f>
        <v>2.0067977929974719</v>
      </c>
      <c r="AM162" s="16">
        <f>INDEX('Team forecast'!$B$2:$AO$26,MATCH('Master data'!$B162,'Team forecast'!$B$2:$B$26,0),MATCH('Master data'!AM$1,'Team forecast'!$B$2:$AO$2,0))</f>
        <v>0.66520361079548807</v>
      </c>
      <c r="AN162" s="16">
        <f>INDEX('Team forecast'!$B$2:$AO$26,MATCH('Master data'!$B162,'Team forecast'!$B$2:$B$26,0),MATCH('Master data'!AN$1,'Team forecast'!$B$2:$AO$2,0))</f>
        <v>0.51416882672404407</v>
      </c>
      <c r="AO162" s="16">
        <f>INDEX('Team forecast'!$B$2:$AO$26,MATCH('Master data'!$B162,'Team forecast'!$B$2:$B$26,0),MATCH('Master data'!AO$1,'Team forecast'!$B$2:$AO$2,0))</f>
        <v>4.9318002365645421</v>
      </c>
      <c r="AP162" s="16">
        <f>INDEX('Team forecast'!$B$2:$AO$26,MATCH('Master data'!$B162,'Team forecast'!$B$2:$B$26,0),MATCH('Master data'!AP$1,'Team forecast'!$B$2:$AO$2,0))</f>
        <v>2.1837492273589256</v>
      </c>
      <c r="AQ162" s="5">
        <f>X162</f>
        <v>7000</v>
      </c>
      <c r="AR162" s="5">
        <f>INDEX('Team forecast'!$B$2:$AO$26,MATCH('Master data'!$B162,'Team forecast'!$B$2:$B$26,0),MATCH('Master data'!AR$1,'Team forecast'!$B$2:$AO$2,0))*IF(X162&gt;0,25000,0)</f>
        <v>17296.488104871336</v>
      </c>
      <c r="AS162" s="16">
        <f>INDEX('Team forecast'!$B$2:$AO$26,MATCH('Master data'!$B162,'Team forecast'!$B$2:$B$26,0),MATCH('Master data'!AS$1,'Team forecast'!$B$2:$AO$2,0))*IF(X162&gt;0,5000,0)</f>
        <v>1045.4766143388899</v>
      </c>
      <c r="AT162" s="16">
        <f>INDEX('Team forecast'!$B$2:$AO$26,MATCH('Master data'!$B162,'Team forecast'!$B$2:$B$26,0),MATCH('Master data'!AT$1,'Team forecast'!$B$2:$AO$2,0))*IF(X162&gt;0,-15000,0)</f>
        <v>-1485.6772940605274</v>
      </c>
      <c r="AU162" s="5">
        <f>IF($C162="Defense",$N162*150000,IF($C162="Midfield",$N162*125000,IF($C162="Striker",$N162*100000,0)))*$AL162</f>
        <v>8524.1642898899263</v>
      </c>
      <c r="AV162" s="5">
        <f>$O162*50000*AL162</f>
        <v>4065.7402060812028</v>
      </c>
      <c r="AW162" s="5">
        <f>$P162*AO162*10000</f>
        <v>3373.942144793019</v>
      </c>
      <c r="AX162" s="5">
        <f>IF($C162="Goalkeeper",AN162*75000,IF($C162="Defense",AN162*50000,0))</f>
        <v>25708.441336202202</v>
      </c>
      <c r="AY162" s="5">
        <f>IF($C162="Goalkeeper",(AP162-AM162)*5000,0)</f>
        <v>0</v>
      </c>
      <c r="AZ162" s="5">
        <f>$AG162</f>
        <v>-20740.684410646387</v>
      </c>
      <c r="BA162" s="5">
        <f>$AH162</f>
        <v>0</v>
      </c>
      <c r="BB162" s="5">
        <f>IF(X162&gt;0,AL162*10000,0)</f>
        <v>20067.977929974717</v>
      </c>
      <c r="BC162" s="5">
        <f>IF(X162&gt;0,AM162*(-8000),0)</f>
        <v>-5321.6288863639047</v>
      </c>
      <c r="BD162" s="5">
        <f>IFERROR(SUM(AQ162:BC162),0)</f>
        <v>59534.240035080482</v>
      </c>
      <c r="BE162" s="16">
        <f>INDEX('Team forecast'!$B$2:$AO$26,MATCH('Master data'!$B162,'Team forecast'!$B$2:$B$26,0),MATCH('Master data'!BE$1,'Team forecast'!$B$2:$AO$2,0))</f>
        <v>2.2346287595631029</v>
      </c>
      <c r="BF162" s="16">
        <f>INDEX('Team forecast'!$B$2:$AO$26,MATCH('Master data'!$B162,'Team forecast'!$B$2:$B$26,0),MATCH('Master data'!BF$1,'Team forecast'!$B$2:$AO$2,0))</f>
        <v>0.82586154259115363</v>
      </c>
      <c r="BG162" s="16">
        <f>INDEX('Team forecast'!$B$2:$AO$26,MATCH('Master data'!$B162,'Team forecast'!$B$2:$B$26,0),MATCH('Master data'!BG$1,'Team forecast'!$B$2:$AO$2,0))</f>
        <v>0.43785759694850601</v>
      </c>
      <c r="BH162" s="16">
        <f>INDEX('Team forecast'!$B$2:$AO$26,MATCH('Master data'!$B162,'Team forecast'!$B$2:$B$26,0),MATCH('Master data'!BH$1,'Team forecast'!$B$2:$AO$2,0))</f>
        <v>5.4917055836432862</v>
      </c>
      <c r="BI162" s="16">
        <f>INDEX('Team forecast'!$B$2:$AO$26,MATCH('Master data'!$B162,'Team forecast'!$B$2:$B$26,0),MATCH('Master data'!BI$1,'Team forecast'!$B$2:$AO$2,0))</f>
        <v>2.7111616297184336</v>
      </c>
      <c r="BJ162" s="5">
        <f>AQ162</f>
        <v>7000</v>
      </c>
      <c r="BK162" s="5">
        <f>INDEX('Team forecast'!$R$3:$BH$26,MATCH($B162,'Team forecast'!$B$3:$B$26,0),MATCH(BK$1,'Team forecast'!$R$2:$BH$2,0))*IF($X162&gt;0,25000,0)</f>
        <v>16608.391608391608</v>
      </c>
      <c r="BL162" s="5">
        <f>INDEX('Team forecast'!$R$3:$BH$26,MATCH($B162,'Team forecast'!$B$3:$B$26,0),MATCH(BL$1,'Team forecast'!$R$2:$BH$2,0))*IF($X162&gt;0,5000,0)</f>
        <v>1013.9860139860141</v>
      </c>
      <c r="BM162" s="5">
        <f>INDEX('Team forecast'!$R$3:$BH$26,MATCH($B162,'Team forecast'!$B$3:$B$26,0),MATCH(BM$1,'Team forecast'!$R$2:$BH$2,0))*IF($X162&gt;0,-15000,0)</f>
        <v>-1993.0069930069933</v>
      </c>
      <c r="BN162" s="5">
        <f>IF($C162="Defense",$N162*150000,IF($C162="Midfield",$N162*125000,IF($C162="Striker",$N162*100000,0)))*$BE162</f>
        <v>9491.9093193625122</v>
      </c>
      <c r="BO162" s="5">
        <f>$O162*50000*$BE162</f>
        <v>4527.3220974847454</v>
      </c>
      <c r="BP162" s="5">
        <f>$P162*BH162*10000</f>
        <v>3756.984473555277</v>
      </c>
      <c r="BQ162" s="5">
        <f>IF($C162="Goalkeeper",BG162*75000,IF($C162="Defense",BG162*50000,0))</f>
        <v>21892.879847425302</v>
      </c>
      <c r="BR162" s="5">
        <f>IF($C162="Goalkeeper",(BI162-BF162)*5000,0)</f>
        <v>0</v>
      </c>
      <c r="BS162" s="5">
        <f>$AG162</f>
        <v>-20740.684410646387</v>
      </c>
      <c r="BT162" s="5">
        <f>$AH162</f>
        <v>0</v>
      </c>
      <c r="BU162" s="5">
        <f>IF(AQ162&gt;0,BE162*10000,0)</f>
        <v>22346.287595631031</v>
      </c>
      <c r="BV162" s="5">
        <f>IF(AQ162&gt;0,BF162*(-8000),0)</f>
        <v>-6606.8923407292286</v>
      </c>
      <c r="BW162" s="5">
        <f>IFERROR(SUM(BJ162:BV162),0)</f>
        <v>57297.177211453876</v>
      </c>
      <c r="BX162" s="5">
        <f>AVERAGE(AK162,BD162,BW162)</f>
        <v>53641.596201727509</v>
      </c>
      <c r="BY162" s="5">
        <f>BX162*3</f>
        <v>160924.78860518252</v>
      </c>
      <c r="BZ162" s="5">
        <f>INDEX('Team forecast'!$R$3:$BH$26,MATCH($B162,'Team forecast'!$B$3:$B$26,0),MATCH(BZ$1,'Team forecast'!$R$2:$BH$2,0))*($BX162-(BY162+CH162)*0.01)</f>
        <v>16311.180531141696</v>
      </c>
      <c r="CA162" s="5">
        <f>INDEX('Team forecast'!$R$3:$BH$26,MATCH($B162,'Team forecast'!$B$3:$B$26,0),MATCH(CA$1,'Team forecast'!$R$2:$BH$2,0))*($BX162-(BY162+BX162+CH162)*0.01)</f>
        <v>8153.3997125940859</v>
      </c>
      <c r="CB162" s="5">
        <f>INDEX('Team forecast'!$R$3:$BH$26,MATCH($B162,'Team forecast'!$B$3:$B$26,0),MATCH(CB$1,'Team forecast'!$R$2:$BH$2,0))*($BX162-(BY162+BX162*2+CH162)*0.01)</f>
        <v>4176.0206007424458</v>
      </c>
      <c r="CC162" s="5">
        <f>INDEX('Team forecast'!$R$3:$BH$26,MATCH($B162,'Team forecast'!$B$3:$B$26,0),MATCH(CC$1,'Team forecast'!$R$2:$BH$2,0))*($BX162-(BY162+BX162*3+CH162)*0.01)</f>
        <v>2306.792392061343</v>
      </c>
      <c r="CD162" s="5">
        <f>+AK162+BD162*Cockpit!$C$3+BW162*Cockpit!$C$3^2+BZ162*Cockpit!$C$3^3+CA162*Cockpit!$C$3^4+CB162*Cockpit!$C$3^5+CC162*Cockpit!$C$3^6</f>
        <v>116444.21267231554</v>
      </c>
      <c r="CE162" s="5"/>
      <c r="CF162" s="5"/>
      <c r="CG162" s="5">
        <v>0</v>
      </c>
      <c r="CH162" s="5">
        <f t="shared" si="49"/>
        <v>3500000</v>
      </c>
      <c r="CI162" s="5">
        <f t="shared" si="50"/>
        <v>3500000</v>
      </c>
      <c r="CJ162" s="1">
        <f t="shared" si="51"/>
        <v>4.5978511030052148E-2</v>
      </c>
      <c r="CK162" s="5">
        <f>RANK(BY162,$BY$2:$BY$623)+COUNTIF($BY$2:$BY162,$BY162)-1</f>
        <v>85</v>
      </c>
      <c r="CL162" s="5">
        <f>RANK(CJ162,$CJ$2:$CJ$623)+COUNTIF($CJ$2:$CJ162,$CJ162)-1</f>
        <v>46</v>
      </c>
    </row>
    <row r="163" spans="1:90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1.5223243214152651</v>
      </c>
      <c r="I163" s="16">
        <f>INDEX('Team forecast'!$B$2:$AO$26,MATCH('Master data'!$B163,'Team forecast'!$B$2:$B$26,0),MATCH('Master data'!I$1,'Team forecast'!$B$2:$AO$2,0))</f>
        <v>0.74990395996081205</v>
      </c>
      <c r="J163" s="16">
        <f>INDEX('Team forecast'!$B$2:$AO$26,MATCH('Master data'!$B163,'Team forecast'!$B$2:$B$26,0),MATCH('Master data'!J$1,'Team forecast'!$B$2:$AO$2,0))</f>
        <v>0.47241192102180191</v>
      </c>
      <c r="K163" s="16">
        <f>INDEX('Team forecast'!$B$2:$AO$26,MATCH('Master data'!$B163,'Team forecast'!$B$2:$B$26,0),MATCH('Master data'!K$1,'Team forecast'!$B$2:$AO$2,0))</f>
        <v>3.7411838276290243</v>
      </c>
      <c r="L163" s="16">
        <f>INDEX('Team forecast'!$B$2:$AO$26,MATCH('Master data'!$B163,'Team forecast'!$B$2:$B$26,0),MATCH('Master data'!L$1,'Team forecast'!$B$2:$AO$2,0))</f>
        <v>2.461805929164282</v>
      </c>
      <c r="M163">
        <f>IF(Players!BC164=1,95,0)</f>
        <v>95</v>
      </c>
      <c r="N163" s="2">
        <f>Players!BN164</f>
        <v>5.7940339172424096E-2</v>
      </c>
      <c r="O163" s="2">
        <f>Players!BO164</f>
        <v>2.2029045726597602E-2</v>
      </c>
      <c r="P163" s="2">
        <f>Players!BP164</f>
        <v>3.805846442120607E-2</v>
      </c>
      <c r="Q163" s="2">
        <f>Players!BQ164</f>
        <v>0</v>
      </c>
      <c r="R163" s="2">
        <f>Players!BR164</f>
        <v>4.6535677352637028E-2</v>
      </c>
      <c r="S163" s="2">
        <f>H163</f>
        <v>1.5223243214152651</v>
      </c>
      <c r="T163" s="2">
        <f>I163</f>
        <v>0.74990395996081205</v>
      </c>
      <c r="U163" s="16">
        <f>INDEX('Team forecast'!$B$2:$AO$26,MATCH('Master data'!$B163,'Team forecast'!$B$2:$B$26,0),MATCH('Master data'!U$1,'Team forecast'!$B$2:$AO$2,0))</f>
        <v>0.56576277966682864</v>
      </c>
      <c r="V163" s="16">
        <f>INDEX('Team forecast'!$B$2:$AO$26,MATCH('Master data'!$B163,'Team forecast'!$B$2:$B$26,0),MATCH('Master data'!V$1,'Team forecast'!$B$2:$AO$2,0))</f>
        <v>0.26245106723433442</v>
      </c>
      <c r="W163" s="16">
        <f>INDEX('Team forecast'!$B$2:$AO$26,MATCH('Master data'!$B163,'Team forecast'!$B$2:$B$26,0),MATCH('Master data'!W$1,'Team forecast'!$B$2:$AO$2,0))</f>
        <v>0.17178615309883699</v>
      </c>
      <c r="X163" s="5">
        <f>IF(M163&gt;95,7000*2,IF(M163&gt;0,7000,-5000))</f>
        <v>7000</v>
      </c>
      <c r="Y163" s="5">
        <f>IF($X163&gt;0,U163*25000,0)</f>
        <v>14144.069491670716</v>
      </c>
      <c r="Z163" s="5">
        <f>IF($X163&gt;0,V163*5000,0)</f>
        <v>1312.2553361716721</v>
      </c>
      <c r="AA163" s="5">
        <f>IF($X163&gt;0,W163*(-15000),0)</f>
        <v>-2576.7922964825548</v>
      </c>
      <c r="AB163" s="5">
        <f>IF($C163="Defense",$N163*150000,IF($C163="Midfield",$N163*125000,IF($C163="Striker",$N163*100000,0)))*$H163</f>
        <v>13230.598126984623</v>
      </c>
      <c r="AC163" s="5">
        <f>$O163*50000*H163</f>
        <v>1676.767604358427</v>
      </c>
      <c r="AD163" s="5">
        <f>$P163*K163*10000</f>
        <v>1423.8371159701078</v>
      </c>
      <c r="AE163" s="5">
        <f>IF($C163="Goalkeeper",J163*75000,IF($C163="Defense",J163*50000,0))</f>
        <v>23620.596051090095</v>
      </c>
      <c r="AF163" s="5">
        <f>IF($C163="Goalkeeper",(L163-I163)*5000,0)</f>
        <v>0</v>
      </c>
      <c r="AG163" s="5">
        <f>IF(M163&gt;0,Q163*(-20000),0)</f>
        <v>0</v>
      </c>
      <c r="AH163" s="5">
        <f>IF(M163&gt;0,R163*(-50000),0)</f>
        <v>-2326.7838676318515</v>
      </c>
      <c r="AI163" s="5">
        <f>IF(M163&gt;0,S163*10000,0)</f>
        <v>15223.243214152651</v>
      </c>
      <c r="AJ163" s="5">
        <f>IF(M163&gt;0,T163*(-8000),0)</f>
        <v>-5999.2316796864961</v>
      </c>
      <c r="AK163" s="5">
        <f>IFERROR(SUM(X163:AJ163),-5000)*((Cockpit!$C$3)^0)</f>
        <v>66728.559096597397</v>
      </c>
      <c r="AL163" s="16">
        <f>INDEX('Team forecast'!$B$2:$AO$26,MATCH('Master data'!$B163,'Team forecast'!$B$2:$B$26,0),MATCH('Master data'!AL$1,'Team forecast'!$B$2:$AO$2,0))</f>
        <v>2.0067977929974719</v>
      </c>
      <c r="AM163" s="16">
        <f>INDEX('Team forecast'!$B$2:$AO$26,MATCH('Master data'!$B163,'Team forecast'!$B$2:$B$26,0),MATCH('Master data'!AM$1,'Team forecast'!$B$2:$AO$2,0))</f>
        <v>0.66520361079548807</v>
      </c>
      <c r="AN163" s="16">
        <f>INDEX('Team forecast'!$B$2:$AO$26,MATCH('Master data'!$B163,'Team forecast'!$B$2:$B$26,0),MATCH('Master data'!AN$1,'Team forecast'!$B$2:$AO$2,0))</f>
        <v>0.51416882672404407</v>
      </c>
      <c r="AO163" s="16">
        <f>INDEX('Team forecast'!$B$2:$AO$26,MATCH('Master data'!$B163,'Team forecast'!$B$2:$B$26,0),MATCH('Master data'!AO$1,'Team forecast'!$B$2:$AO$2,0))</f>
        <v>4.9318002365645421</v>
      </c>
      <c r="AP163" s="16">
        <f>INDEX('Team forecast'!$B$2:$AO$26,MATCH('Master data'!$B163,'Team forecast'!$B$2:$B$26,0),MATCH('Master data'!AP$1,'Team forecast'!$B$2:$AO$2,0))</f>
        <v>2.1837492273589256</v>
      </c>
      <c r="AQ163" s="5">
        <f>X163</f>
        <v>7000</v>
      </c>
      <c r="AR163" s="5">
        <f>INDEX('Team forecast'!$B$2:$AO$26,MATCH('Master data'!$B163,'Team forecast'!$B$2:$B$26,0),MATCH('Master data'!AR$1,'Team forecast'!$B$2:$AO$2,0))*IF(X163&gt;0,25000,0)</f>
        <v>17296.488104871336</v>
      </c>
      <c r="AS163" s="16">
        <f>INDEX('Team forecast'!$B$2:$AO$26,MATCH('Master data'!$B163,'Team forecast'!$B$2:$B$26,0),MATCH('Master data'!AS$1,'Team forecast'!$B$2:$AO$2,0))*IF(X163&gt;0,5000,0)</f>
        <v>1045.4766143388899</v>
      </c>
      <c r="AT163" s="16">
        <f>INDEX('Team forecast'!$B$2:$AO$26,MATCH('Master data'!$B163,'Team forecast'!$B$2:$B$26,0),MATCH('Master data'!AT$1,'Team forecast'!$B$2:$AO$2,0))*IF(X163&gt;0,-15000,0)</f>
        <v>-1485.6772940605274</v>
      </c>
      <c r="AU163" s="5">
        <f>IF($C163="Defense",$N163*150000,IF($C163="Midfield",$N163*125000,IF($C163="Striker",$N163*100000,0)))*$AL163</f>
        <v>17441.181716511848</v>
      </c>
      <c r="AV163" s="5">
        <f>$O163*50000*AL163</f>
        <v>2210.3920172988228</v>
      </c>
      <c r="AW163" s="5">
        <f>$P163*AO163*10000</f>
        <v>1876.9674383578731</v>
      </c>
      <c r="AX163" s="5">
        <f>IF($C163="Goalkeeper",AN163*75000,IF($C163="Defense",AN163*50000,0))</f>
        <v>25708.441336202202</v>
      </c>
      <c r="AY163" s="5">
        <f>IF($C163="Goalkeeper",(AP163-AM163)*5000,0)</f>
        <v>0</v>
      </c>
      <c r="AZ163" s="5">
        <f>$AG163</f>
        <v>0</v>
      </c>
      <c r="BA163" s="5">
        <f>$AH163</f>
        <v>-2326.7838676318515</v>
      </c>
      <c r="BB163" s="5">
        <f>IF(X163&gt;0,AL163*10000,0)</f>
        <v>20067.977929974717</v>
      </c>
      <c r="BC163" s="5">
        <f>IF(X163&gt;0,AM163*(-8000),0)</f>
        <v>-5321.6288863639047</v>
      </c>
      <c r="BD163" s="5">
        <f>IFERROR(SUM(AQ163:BC163),0)</f>
        <v>83512.835109499414</v>
      </c>
      <c r="BE163" s="16">
        <f>INDEX('Team forecast'!$B$2:$AO$26,MATCH('Master data'!$B163,'Team forecast'!$B$2:$B$26,0),MATCH('Master data'!BE$1,'Team forecast'!$B$2:$AO$2,0))</f>
        <v>2.2346287595631029</v>
      </c>
      <c r="BF163" s="16">
        <f>INDEX('Team forecast'!$B$2:$AO$26,MATCH('Master data'!$B163,'Team forecast'!$B$2:$B$26,0),MATCH('Master data'!BF$1,'Team forecast'!$B$2:$AO$2,0))</f>
        <v>0.82586154259115363</v>
      </c>
      <c r="BG163" s="16">
        <f>INDEX('Team forecast'!$B$2:$AO$26,MATCH('Master data'!$B163,'Team forecast'!$B$2:$B$26,0),MATCH('Master data'!BG$1,'Team forecast'!$B$2:$AO$2,0))</f>
        <v>0.43785759694850601</v>
      </c>
      <c r="BH163" s="16">
        <f>INDEX('Team forecast'!$B$2:$AO$26,MATCH('Master data'!$B163,'Team forecast'!$B$2:$B$26,0),MATCH('Master data'!BH$1,'Team forecast'!$B$2:$AO$2,0))</f>
        <v>5.4917055836432862</v>
      </c>
      <c r="BI163" s="16">
        <f>INDEX('Team forecast'!$B$2:$AO$26,MATCH('Master data'!$B163,'Team forecast'!$B$2:$B$26,0),MATCH('Master data'!BI$1,'Team forecast'!$B$2:$AO$2,0))</f>
        <v>2.7111616297184336</v>
      </c>
      <c r="BJ163" s="5">
        <f>AQ163</f>
        <v>7000</v>
      </c>
      <c r="BK163" s="5">
        <f>INDEX('Team forecast'!$R$3:$BH$26,MATCH($B163,'Team forecast'!$B$3:$B$26,0),MATCH(BK$1,'Team forecast'!$R$2:$BH$2,0))*IF($X163&gt;0,25000,0)</f>
        <v>16608.391608391608</v>
      </c>
      <c r="BL163" s="5">
        <f>INDEX('Team forecast'!$R$3:$BH$26,MATCH($B163,'Team forecast'!$B$3:$B$26,0),MATCH(BL$1,'Team forecast'!$R$2:$BH$2,0))*IF($X163&gt;0,5000,0)</f>
        <v>1013.9860139860141</v>
      </c>
      <c r="BM163" s="5">
        <f>INDEX('Team forecast'!$R$3:$BH$26,MATCH($B163,'Team forecast'!$B$3:$B$26,0),MATCH(BM$1,'Team forecast'!$R$2:$BH$2,0))*IF($X163&gt;0,-15000,0)</f>
        <v>-1993.0069930069933</v>
      </c>
      <c r="BN163" s="5">
        <f>IF($C163="Defense",$N163*150000,IF($C163="Midfield",$N163*125000,IF($C163="Striker",$N163*100000,0)))*$BE163</f>
        <v>19421.272238030928</v>
      </c>
      <c r="BO163" s="5">
        <f>$O163*50000*$BE163</f>
        <v>2461.3369563192837</v>
      </c>
      <c r="BP163" s="5">
        <f>$P163*BH163*10000</f>
        <v>2090.0588156682675</v>
      </c>
      <c r="BQ163" s="5">
        <f>IF($C163="Goalkeeper",BG163*75000,IF($C163="Defense",BG163*50000,0))</f>
        <v>21892.879847425302</v>
      </c>
      <c r="BR163" s="5">
        <f>IF($C163="Goalkeeper",(BI163-BF163)*5000,0)</f>
        <v>0</v>
      </c>
      <c r="BS163" s="5">
        <f>$AG163</f>
        <v>0</v>
      </c>
      <c r="BT163" s="5">
        <f>$AH163</f>
        <v>-2326.7838676318515</v>
      </c>
      <c r="BU163" s="5">
        <f>IF(AQ163&gt;0,BE163*10000,0)</f>
        <v>22346.287595631031</v>
      </c>
      <c r="BV163" s="5">
        <f>IF(AQ163&gt;0,BF163*(-8000),0)</f>
        <v>-6606.8923407292286</v>
      </c>
      <c r="BW163" s="5">
        <f>IFERROR(SUM(BJ163:BV163),0)</f>
        <v>81907.529874084357</v>
      </c>
      <c r="BX163" s="5">
        <f>AVERAGE(AK163,BD163,BW163)</f>
        <v>77382.974693393728</v>
      </c>
      <c r="BY163" s="5">
        <f>BX163*3</f>
        <v>232148.92408018117</v>
      </c>
      <c r="BZ163" s="5">
        <f>INDEX('Team forecast'!$R$3:$BH$26,MATCH($B163,'Team forecast'!$B$3:$B$26,0),MATCH(BZ$1,'Team forecast'!$R$2:$BH$2,0))*($BX163-(BY163+CH163)*0.01)</f>
        <v>33576.944782234372</v>
      </c>
      <c r="CA163" s="5">
        <f>INDEX('Team forecast'!$R$3:$BH$26,MATCH($B163,'Team forecast'!$B$3:$B$26,0),MATCH(CA$1,'Team forecast'!$R$2:$BH$2,0))*($BX163-(BY163+BX163+CH163)*0.01)</f>
        <v>16947.266525013165</v>
      </c>
      <c r="CB163" s="5">
        <f>INDEX('Team forecast'!$R$3:$BH$26,MATCH($B163,'Team forecast'!$B$3:$B$26,0),MATCH(CB$1,'Team forecast'!$R$2:$BH$2,0))*($BX163-(BY163+BX163*2+CH163)*0.01)</f>
        <v>8769.3401340550827</v>
      </c>
      <c r="CC163" s="5">
        <f>INDEX('Team forecast'!$R$3:$BH$26,MATCH($B163,'Team forecast'!$B$3:$B$26,0),MATCH(CC$1,'Team forecast'!$R$2:$BH$2,0))*($BX163-(BY163+BX163*3+CH163)*0.01)</f>
        <v>4896.8347526552734</v>
      </c>
      <c r="CD163" s="5">
        <f>+AK163+BD163*Cockpit!$C$3+BW163*Cockpit!$C$3^2+BZ163*Cockpit!$C$3^3+CA163*Cockpit!$C$3^4+CB163*Cockpit!$C$3^5+CC163*Cockpit!$C$3^6</f>
        <v>173688.17236411976</v>
      </c>
      <c r="CE163" s="5"/>
      <c r="CF163" s="5"/>
      <c r="CG163" s="5">
        <v>0</v>
      </c>
      <c r="CH163" s="5">
        <f t="shared" si="49"/>
        <v>4000000</v>
      </c>
      <c r="CI163" s="5">
        <f t="shared" si="50"/>
        <v>4000000</v>
      </c>
      <c r="CJ163" s="1">
        <f t="shared" si="51"/>
        <v>5.8037231020045293E-2</v>
      </c>
      <c r="CK163" s="5">
        <f>RANK(BY163,$BY$2:$BY$623)+COUNTIF($BY$2:$BY163,$BY163)-1</f>
        <v>26</v>
      </c>
      <c r="CL163" s="5">
        <f>RANK(CJ163,$CJ$2:$CJ$623)+COUNTIF($CJ$2:$CJ163,$CJ163)-1</f>
        <v>15</v>
      </c>
    </row>
    <row r="164" spans="1:90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1.5223243214152651</v>
      </c>
      <c r="I164" s="16">
        <f>INDEX('Team forecast'!$B$2:$AO$26,MATCH('Master data'!$B164,'Team forecast'!$B$2:$B$26,0),MATCH('Master data'!I$1,'Team forecast'!$B$2:$AO$2,0))</f>
        <v>0.74990395996081205</v>
      </c>
      <c r="J164" s="16">
        <f>INDEX('Team forecast'!$B$2:$AO$26,MATCH('Master data'!$B164,'Team forecast'!$B$2:$B$26,0),MATCH('Master data'!J$1,'Team forecast'!$B$2:$AO$2,0))</f>
        <v>0.47241192102180191</v>
      </c>
      <c r="K164" s="16">
        <f>INDEX('Team forecast'!$B$2:$AO$26,MATCH('Master data'!$B164,'Team forecast'!$B$2:$B$26,0),MATCH('Master data'!K$1,'Team forecast'!$B$2:$AO$2,0))</f>
        <v>3.7411838276290243</v>
      </c>
      <c r="L164" s="16">
        <f>INDEX('Team forecast'!$B$2:$AO$26,MATCH('Master data'!$B164,'Team forecast'!$B$2:$B$26,0),MATCH('Master data'!L$1,'Team forecast'!$B$2:$AO$2,0))</f>
        <v>2.461805929164282</v>
      </c>
      <c r="M164">
        <f>IF(Players!BC165=1,95,0)</f>
        <v>95</v>
      </c>
      <c r="N164" s="2">
        <f>Players!BN165</f>
        <v>5.2088848136528101E-2</v>
      </c>
      <c r="O164" s="2">
        <f>Players!BO165</f>
        <v>5.7853506047426742E-2</v>
      </c>
      <c r="P164" s="2">
        <f>Players!BP165</f>
        <v>3.030262255685983E-2</v>
      </c>
      <c r="Q164" s="2">
        <f>Players!BQ165</f>
        <v>0.18526142445450802</v>
      </c>
      <c r="R164" s="2">
        <f>Players!BR165</f>
        <v>0</v>
      </c>
      <c r="S164" s="2">
        <f>H164</f>
        <v>1.5223243214152651</v>
      </c>
      <c r="T164" s="2">
        <f>I164</f>
        <v>0.74990395996081205</v>
      </c>
      <c r="U164" s="16">
        <f>INDEX('Team forecast'!$B$2:$AO$26,MATCH('Master data'!$B164,'Team forecast'!$B$2:$B$26,0),MATCH('Master data'!U$1,'Team forecast'!$B$2:$AO$2,0))</f>
        <v>0.56576277966682864</v>
      </c>
      <c r="V164" s="16">
        <f>INDEX('Team forecast'!$B$2:$AO$26,MATCH('Master data'!$B164,'Team forecast'!$B$2:$B$26,0),MATCH('Master data'!V$1,'Team forecast'!$B$2:$AO$2,0))</f>
        <v>0.26245106723433442</v>
      </c>
      <c r="W164" s="16">
        <f>INDEX('Team forecast'!$B$2:$AO$26,MATCH('Master data'!$B164,'Team forecast'!$B$2:$B$26,0),MATCH('Master data'!W$1,'Team forecast'!$B$2:$AO$2,0))</f>
        <v>0.17178615309883699</v>
      </c>
      <c r="X164" s="5">
        <f>IF(M164&gt;95,7000*2,IF(M164&gt;0,7000,-5000))</f>
        <v>7000</v>
      </c>
      <c r="Y164" s="5">
        <f>IF($X164&gt;0,U164*25000,0)</f>
        <v>14144.069491670716</v>
      </c>
      <c r="Z164" s="5">
        <f>IF($X164&gt;0,V164*5000,0)</f>
        <v>1312.2553361716721</v>
      </c>
      <c r="AA164" s="5">
        <f>IF($X164&gt;0,W164*(-15000),0)</f>
        <v>-2576.7922964825548</v>
      </c>
      <c r="AB164" s="5">
        <f>IF($C164="Defense",$N164*150000,IF($C164="Midfield",$N164*125000,IF($C164="Striker",$N164*100000,0)))*$H164</f>
        <v>9912.0150490928681</v>
      </c>
      <c r="AC164" s="5">
        <f>$O164*50000*H164</f>
        <v>4403.589966757143</v>
      </c>
      <c r="AD164" s="5">
        <f>$P164*K164*10000</f>
        <v>1133.6768144447046</v>
      </c>
      <c r="AE164" s="5">
        <f>IF($C164="Goalkeeper",J164*75000,IF($C164="Defense",J164*50000,0))</f>
        <v>0</v>
      </c>
      <c r="AF164" s="5">
        <f>IF($C164="Goalkeeper",(L164-I164)*5000,0)</f>
        <v>0</v>
      </c>
      <c r="AG164" s="5">
        <f>IF(M164&gt;0,Q164*(-20000),0)</f>
        <v>-3705.2284890901606</v>
      </c>
      <c r="AH164" s="5">
        <f>IF(M164&gt;0,R164*(-50000),0)</f>
        <v>0</v>
      </c>
      <c r="AI164" s="5">
        <f>IF(M164&gt;0,S164*10000,0)</f>
        <v>15223.243214152651</v>
      </c>
      <c r="AJ164" s="5">
        <f>IF(M164&gt;0,T164*(-8000),0)</f>
        <v>-5999.2316796864961</v>
      </c>
      <c r="AK164" s="5">
        <f>IFERROR(SUM(X164:AJ164),-5000)*((Cockpit!$C$3)^0)</f>
        <v>40847.597407030546</v>
      </c>
      <c r="AL164" s="16">
        <f>INDEX('Team forecast'!$B$2:$AO$26,MATCH('Master data'!$B164,'Team forecast'!$B$2:$B$26,0),MATCH('Master data'!AL$1,'Team forecast'!$B$2:$AO$2,0))</f>
        <v>2.0067977929974719</v>
      </c>
      <c r="AM164" s="16">
        <f>INDEX('Team forecast'!$B$2:$AO$26,MATCH('Master data'!$B164,'Team forecast'!$B$2:$B$26,0),MATCH('Master data'!AM$1,'Team forecast'!$B$2:$AO$2,0))</f>
        <v>0.66520361079548807</v>
      </c>
      <c r="AN164" s="16">
        <f>INDEX('Team forecast'!$B$2:$AO$26,MATCH('Master data'!$B164,'Team forecast'!$B$2:$B$26,0),MATCH('Master data'!AN$1,'Team forecast'!$B$2:$AO$2,0))</f>
        <v>0.51416882672404407</v>
      </c>
      <c r="AO164" s="16">
        <f>INDEX('Team forecast'!$B$2:$AO$26,MATCH('Master data'!$B164,'Team forecast'!$B$2:$B$26,0),MATCH('Master data'!AO$1,'Team forecast'!$B$2:$AO$2,0))</f>
        <v>4.9318002365645421</v>
      </c>
      <c r="AP164" s="16">
        <f>INDEX('Team forecast'!$B$2:$AO$26,MATCH('Master data'!$B164,'Team forecast'!$B$2:$B$26,0),MATCH('Master data'!AP$1,'Team forecast'!$B$2:$AO$2,0))</f>
        <v>2.1837492273589256</v>
      </c>
      <c r="AQ164" s="5">
        <f>X164</f>
        <v>7000</v>
      </c>
      <c r="AR164" s="5">
        <f>INDEX('Team forecast'!$B$2:$AO$26,MATCH('Master data'!$B164,'Team forecast'!$B$2:$B$26,0),MATCH('Master data'!AR$1,'Team forecast'!$B$2:$AO$2,0))*IF(X164&gt;0,25000,0)</f>
        <v>17296.488104871336</v>
      </c>
      <c r="AS164" s="16">
        <f>INDEX('Team forecast'!$B$2:$AO$26,MATCH('Master data'!$B164,'Team forecast'!$B$2:$B$26,0),MATCH('Master data'!AS$1,'Team forecast'!$B$2:$AO$2,0))*IF(X164&gt;0,5000,0)</f>
        <v>1045.4766143388899</v>
      </c>
      <c r="AT164" s="16">
        <f>INDEX('Team forecast'!$B$2:$AO$26,MATCH('Master data'!$B164,'Team forecast'!$B$2:$B$26,0),MATCH('Master data'!AT$1,'Team forecast'!$B$2:$AO$2,0))*IF(X164&gt;0,-15000,0)</f>
        <v>-1485.6772940605274</v>
      </c>
      <c r="AU164" s="5">
        <f>IF($C164="Defense",$N164*150000,IF($C164="Midfield",$N164*125000,IF($C164="Striker",$N164*100000,0)))*$AL164</f>
        <v>13066.473185020634</v>
      </c>
      <c r="AV164" s="5">
        <f>$O164*50000*AL164</f>
        <v>5805.014412657094</v>
      </c>
      <c r="AW164" s="5">
        <f>$P164*AO164*10000</f>
        <v>1494.4648109444734</v>
      </c>
      <c r="AX164" s="5">
        <f>IF($C164="Goalkeeper",AN164*75000,IF($C164="Defense",AN164*50000,0))</f>
        <v>0</v>
      </c>
      <c r="AY164" s="5">
        <f>IF($C164="Goalkeeper",(AP164-AM164)*5000,0)</f>
        <v>0</v>
      </c>
      <c r="AZ164" s="5">
        <f>$AG164</f>
        <v>-3705.2284890901606</v>
      </c>
      <c r="BA164" s="5">
        <f>$AH164</f>
        <v>0</v>
      </c>
      <c r="BB164" s="5">
        <f>IF(X164&gt;0,AL164*10000,0)</f>
        <v>20067.977929974717</v>
      </c>
      <c r="BC164" s="5">
        <f>IF(X164&gt;0,AM164*(-8000),0)</f>
        <v>-5321.6288863639047</v>
      </c>
      <c r="BD164" s="5">
        <f>IFERROR(SUM(AQ164:BC164),0)</f>
        <v>55263.36038829256</v>
      </c>
      <c r="BE164" s="16">
        <f>INDEX('Team forecast'!$B$2:$AO$26,MATCH('Master data'!$B164,'Team forecast'!$B$2:$B$26,0),MATCH('Master data'!BE$1,'Team forecast'!$B$2:$AO$2,0))</f>
        <v>2.2346287595631029</v>
      </c>
      <c r="BF164" s="16">
        <f>INDEX('Team forecast'!$B$2:$AO$26,MATCH('Master data'!$B164,'Team forecast'!$B$2:$B$26,0),MATCH('Master data'!BF$1,'Team forecast'!$B$2:$AO$2,0))</f>
        <v>0.82586154259115363</v>
      </c>
      <c r="BG164" s="16">
        <f>INDEX('Team forecast'!$B$2:$AO$26,MATCH('Master data'!$B164,'Team forecast'!$B$2:$B$26,0),MATCH('Master data'!BG$1,'Team forecast'!$B$2:$AO$2,0))</f>
        <v>0.43785759694850601</v>
      </c>
      <c r="BH164" s="16">
        <f>INDEX('Team forecast'!$B$2:$AO$26,MATCH('Master data'!$B164,'Team forecast'!$B$2:$B$26,0),MATCH('Master data'!BH$1,'Team forecast'!$B$2:$AO$2,0))</f>
        <v>5.4917055836432862</v>
      </c>
      <c r="BI164" s="16">
        <f>INDEX('Team forecast'!$B$2:$AO$26,MATCH('Master data'!$B164,'Team forecast'!$B$2:$B$26,0),MATCH('Master data'!BI$1,'Team forecast'!$B$2:$AO$2,0))</f>
        <v>2.7111616297184336</v>
      </c>
      <c r="BJ164" s="5">
        <f>AQ164</f>
        <v>7000</v>
      </c>
      <c r="BK164" s="5">
        <f>INDEX('Team forecast'!$R$3:$BH$26,MATCH($B164,'Team forecast'!$B$3:$B$26,0),MATCH(BK$1,'Team forecast'!$R$2:$BH$2,0))*IF($X164&gt;0,25000,0)</f>
        <v>16608.391608391608</v>
      </c>
      <c r="BL164" s="5">
        <f>INDEX('Team forecast'!$R$3:$BH$26,MATCH($B164,'Team forecast'!$B$3:$B$26,0),MATCH(BL$1,'Team forecast'!$R$2:$BH$2,0))*IF($X164&gt;0,5000,0)</f>
        <v>1013.9860139860141</v>
      </c>
      <c r="BM164" s="5">
        <f>INDEX('Team forecast'!$R$3:$BH$26,MATCH($B164,'Team forecast'!$B$3:$B$26,0),MATCH(BM$1,'Team forecast'!$R$2:$BH$2,0))*IF($X164&gt;0,-15000,0)</f>
        <v>-1993.0069930069933</v>
      </c>
      <c r="BN164" s="5">
        <f>IF($C164="Defense",$N164*150000,IF($C164="Midfield",$N164*125000,IF($C164="Striker",$N164*100000,0)))*$BE164</f>
        <v>14549.904762300081</v>
      </c>
      <c r="BO164" s="5">
        <f>$O164*50000*$BE164</f>
        <v>6464.0554227568846</v>
      </c>
      <c r="BP164" s="5">
        <f>$P164*BH164*10000</f>
        <v>1664.1308149454212</v>
      </c>
      <c r="BQ164" s="5">
        <f>IF($C164="Goalkeeper",BG164*75000,IF($C164="Defense",BG164*50000,0))</f>
        <v>0</v>
      </c>
      <c r="BR164" s="5">
        <f>IF($C164="Goalkeeper",(BI164-BF164)*5000,0)</f>
        <v>0</v>
      </c>
      <c r="BS164" s="5">
        <f>$AG164</f>
        <v>-3705.2284890901606</v>
      </c>
      <c r="BT164" s="5">
        <f>$AH164</f>
        <v>0</v>
      </c>
      <c r="BU164" s="5">
        <f>IF(AQ164&gt;0,BE164*10000,0)</f>
        <v>22346.287595631031</v>
      </c>
      <c r="BV164" s="5">
        <f>IF(AQ164&gt;0,BF164*(-8000),0)</f>
        <v>-6606.8923407292286</v>
      </c>
      <c r="BW164" s="5">
        <f>IFERROR(SUM(BJ164:BV164),0)</f>
        <v>57341.628395184656</v>
      </c>
      <c r="BX164" s="5">
        <f>AVERAGE(AK164,BD164,BW164)</f>
        <v>51150.86206350258</v>
      </c>
      <c r="BY164" s="5">
        <f>BX164*3</f>
        <v>153452.58619050775</v>
      </c>
      <c r="BZ164" s="5">
        <f>INDEX('Team forecast'!$R$3:$BH$26,MATCH($B164,'Team forecast'!$B$3:$B$26,0),MATCH(BZ$1,'Team forecast'!$R$2:$BH$2,0))*($BX164-(BY164+CH164)*0.01)</f>
        <v>13997.464945494266</v>
      </c>
      <c r="CA164" s="5">
        <f>INDEX('Team forecast'!$R$3:$BH$26,MATCH($B164,'Team forecast'!$B$3:$B$26,0),MATCH(CA$1,'Team forecast'!$R$2:$BH$2,0))*($BX164-(BY164+BX164+CH164)*0.01)</f>
        <v>6971.5548463257246</v>
      </c>
      <c r="CB164" s="5">
        <f>INDEX('Team forecast'!$R$3:$BH$26,MATCH($B164,'Team forecast'!$B$3:$B$26,0),MATCH(CB$1,'Team forecast'!$R$2:$BH$2,0))*($BX164-(BY164+BX164*2+CH164)*0.01)</f>
        <v>3556.873442639011</v>
      </c>
      <c r="CC164" s="5">
        <f>INDEX('Team forecast'!$R$3:$BH$26,MATCH($B164,'Team forecast'!$B$3:$B$26,0),MATCH(CC$1,'Team forecast'!$R$2:$BH$2,0))*($BX164-(BY164+BX164*3+CH164)*0.01)</f>
        <v>1956.6118176880639</v>
      </c>
      <c r="CD164" s="5">
        <f>+AK164+BD164*Cockpit!$C$3+BW164*Cockpit!$C$3^2+BZ164*Cockpit!$C$3^3+CA164*Cockpit!$C$3^4+CB164*Cockpit!$C$3^5+CC164*Cockpit!$C$3^6</f>
        <v>109339.66884965476</v>
      </c>
      <c r="CE164" s="5"/>
      <c r="CF164" s="5"/>
      <c r="CG164" s="5">
        <v>0</v>
      </c>
      <c r="CH164" s="5">
        <f t="shared" si="49"/>
        <v>3500000</v>
      </c>
      <c r="CI164" s="5">
        <f t="shared" si="50"/>
        <v>3500000</v>
      </c>
      <c r="CJ164" s="1">
        <f t="shared" si="51"/>
        <v>4.3843596054430785E-2</v>
      </c>
      <c r="CK164" s="5">
        <f>RANK(BY164,$BY$2:$BY$623)+COUNTIF($BY$2:$BY164,$BY164)-1</f>
        <v>93</v>
      </c>
      <c r="CL164" s="5">
        <f>RANK(CJ164,$CJ$2:$CJ$623)+COUNTIF($CJ$2:$CJ164,$CJ164)-1</f>
        <v>59</v>
      </c>
    </row>
    <row r="165" spans="1:90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1.7625676631272518</v>
      </c>
      <c r="I165" s="16">
        <f>INDEX('Team forecast'!$B$2:$AO$26,MATCH('Master data'!$B165,'Team forecast'!$B$2:$B$26,0),MATCH('Master data'!I$1,'Team forecast'!$B$2:$AO$2,0))</f>
        <v>0.75096675144877167</v>
      </c>
      <c r="J165" s="16">
        <f>INDEX('Team forecast'!$B$2:$AO$26,MATCH('Master data'!$B165,'Team forecast'!$B$2:$B$26,0),MATCH('Master data'!J$1,'Team forecast'!$B$2:$AO$2,0))</f>
        <v>0.47191011235955049</v>
      </c>
      <c r="K165" s="16">
        <f>INDEX('Team forecast'!$B$2:$AO$26,MATCH('Master data'!$B165,'Team forecast'!$B$2:$B$26,0),MATCH('Master data'!K$1,'Team forecast'!$B$2:$AO$2,0))</f>
        <v>4.4913621777278765</v>
      </c>
      <c r="L165" s="16">
        <f>INDEX('Team forecast'!$B$2:$AO$26,MATCH('Master data'!$B165,'Team forecast'!$B$2:$B$26,0),MATCH('Master data'!L$1,'Team forecast'!$B$2:$AO$2,0))</f>
        <v>2.0995338051067773</v>
      </c>
      <c r="M165">
        <f>IF(Players!BC166=1,95,0)</f>
        <v>0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>H165</f>
        <v>1.7625676631272518</v>
      </c>
      <c r="T165" s="2">
        <f>I165</f>
        <v>0.75096675144877167</v>
      </c>
      <c r="U165" s="16">
        <f>INDEX('Team forecast'!$B$2:$AO$26,MATCH('Master data'!$B165,'Team forecast'!$B$2:$B$26,0),MATCH('Master data'!U$1,'Team forecast'!$B$2:$AO$2,0))</f>
        <v>0.6292134831460674</v>
      </c>
      <c r="V165" s="16">
        <f>INDEX('Team forecast'!$B$2:$AO$26,MATCH('Master data'!$B165,'Team forecast'!$B$2:$B$26,0),MATCH('Master data'!V$1,'Team forecast'!$B$2:$AO$2,0))</f>
        <v>0.2359550561797753</v>
      </c>
      <c r="W165" s="16">
        <f>INDEX('Team forecast'!$B$2:$AO$26,MATCH('Master data'!$B165,'Team forecast'!$B$2:$B$26,0),MATCH('Master data'!W$1,'Team forecast'!$B$2:$AO$2,0))</f>
        <v>0.1348314606741573</v>
      </c>
      <c r="X165" s="5">
        <f>IF(M165&gt;95,7000*2,IF(M165&gt;0,7000,-5000))</f>
        <v>-5000</v>
      </c>
      <c r="Y165" s="5">
        <f>IF($X165&gt;0,U165*25000,0)</f>
        <v>0</v>
      </c>
      <c r="Z165" s="5">
        <f>IF($X165&gt;0,V165*5000,0)</f>
        <v>0</v>
      </c>
      <c r="AA165" s="5">
        <f>IF($X165&gt;0,W165*(-15000),0)</f>
        <v>0</v>
      </c>
      <c r="AB165" s="5">
        <f>IF($C165="Defense",$N165*150000,IF($C165="Midfield",$N165*125000,IF($C165="Striker",$N165*100000,0)))*$H165</f>
        <v>0</v>
      </c>
      <c r="AC165" s="5">
        <f>$O165*50000*H165</f>
        <v>0</v>
      </c>
      <c r="AD165" s="5">
        <f>$P165*K165*10000</f>
        <v>0</v>
      </c>
      <c r="AE165" s="5">
        <f>IF($C165="Goalkeeper",J165*75000,IF($C165="Defense",J165*50000,0))</f>
        <v>35393.258426966284</v>
      </c>
      <c r="AF165" s="5">
        <f>IF($C165="Goalkeeper",(L165-I165)*5000,0)</f>
        <v>6742.8352682900286</v>
      </c>
      <c r="AG165" s="5">
        <f>IF(M165&gt;0,Q165*(-20000),0)</f>
        <v>0</v>
      </c>
      <c r="AH165" s="5">
        <f>IF(M165&gt;0,R165*(-50000),0)</f>
        <v>0</v>
      </c>
      <c r="AI165" s="5">
        <f>IF(M165&gt;0,S165*10000,0)</f>
        <v>0</v>
      </c>
      <c r="AJ165" s="5">
        <f>IF(M165&gt;0,T165*(-8000),0)</f>
        <v>0</v>
      </c>
      <c r="AK165" s="5">
        <f>IFERROR(SUM(X165:AJ165),-5000)*((Cockpit!$C$3)^0)</f>
        <v>37136.093695256313</v>
      </c>
      <c r="AL165" s="16">
        <f>INDEX('Team forecast'!$B$2:$AO$26,MATCH('Master data'!$B165,'Team forecast'!$B$2:$B$26,0),MATCH('Master data'!AL$1,'Team forecast'!$B$2:$AO$2,0))</f>
        <v>1.1612459518433673</v>
      </c>
      <c r="AM165" s="16">
        <f>INDEX('Team forecast'!$B$2:$AO$26,MATCH('Master data'!$B165,'Team forecast'!$B$2:$B$26,0),MATCH('Master data'!AM$1,'Team forecast'!$B$2:$AO$2,0))</f>
        <v>1.384389503157577</v>
      </c>
      <c r="AN165" s="16">
        <f>INDEX('Team forecast'!$B$2:$AO$26,MATCH('Master data'!$B165,'Team forecast'!$B$2:$B$26,0),MATCH('Master data'!AN$1,'Team forecast'!$B$2:$AO$2,0))</f>
        <v>0.25047666833918708</v>
      </c>
      <c r="AO165" s="16">
        <f>INDEX('Team forecast'!$B$2:$AO$26,MATCH('Master data'!$B165,'Team forecast'!$B$2:$B$26,0),MATCH('Master data'!AO$1,'Team forecast'!$B$2:$AO$2,0))</f>
        <v>2.9590785399382193</v>
      </c>
      <c r="AP165" s="16">
        <f>INDEX('Team forecast'!$B$2:$AO$26,MATCH('Master data'!$B165,'Team forecast'!$B$2:$B$26,0),MATCH('Master data'!AP$1,'Team forecast'!$B$2:$AO$2,0))</f>
        <v>3.8704410757292824</v>
      </c>
      <c r="AQ165" s="5">
        <f>X165</f>
        <v>-5000</v>
      </c>
      <c r="AR165" s="5">
        <f>INDEX('Team forecast'!$B$2:$AO$26,MATCH('Master data'!$B165,'Team forecast'!$B$2:$B$26,0),MATCH('Master data'!AR$1,'Team forecast'!$B$2:$AO$2,0))*IF(X165&gt;0,25000,0)</f>
        <v>0</v>
      </c>
      <c r="AS165" s="16">
        <f>INDEX('Team forecast'!$B$2:$AO$26,MATCH('Master data'!$B165,'Team forecast'!$B$2:$B$26,0),MATCH('Master data'!AS$1,'Team forecast'!$B$2:$AO$2,0))*IF(X165&gt;0,5000,0)</f>
        <v>0</v>
      </c>
      <c r="AT165" s="16">
        <f>INDEX('Team forecast'!$B$2:$AO$26,MATCH('Master data'!$B165,'Team forecast'!$B$2:$B$26,0),MATCH('Master data'!AT$1,'Team forecast'!$B$2:$AO$2,0))*IF(X165&gt;0,-15000,0)</f>
        <v>0</v>
      </c>
      <c r="AU165" s="5">
        <f>IF($C165="Defense",$N165*150000,IF($C165="Midfield",$N165*125000,IF($C165="Striker",$N165*100000,0)))*$AL165</f>
        <v>0</v>
      </c>
      <c r="AV165" s="5">
        <f>$O165*50000*AL165</f>
        <v>0</v>
      </c>
      <c r="AW165" s="5">
        <f>$P165*AO165*10000</f>
        <v>0</v>
      </c>
      <c r="AX165" s="5">
        <f>IF($C165="Goalkeeper",AN165*75000,IF($C165="Defense",AN165*50000,0))</f>
        <v>18785.75012543903</v>
      </c>
      <c r="AY165" s="5">
        <f>IF($C165="Goalkeeper",(AP165-AM165)*5000,0)</f>
        <v>12430.257862858527</v>
      </c>
      <c r="AZ165" s="5">
        <f>$AG165</f>
        <v>0</v>
      </c>
      <c r="BA165" s="5">
        <f>$AH165</f>
        <v>0</v>
      </c>
      <c r="BB165" s="5">
        <f>IF(X165&gt;0,AL165*10000,0)</f>
        <v>0</v>
      </c>
      <c r="BC165" s="5">
        <f>IF(X165&gt;0,AM165*(-8000),0)</f>
        <v>0</v>
      </c>
      <c r="BD165" s="5">
        <f>IFERROR(SUM(AQ165:BC165),0)</f>
        <v>26216.007988297555</v>
      </c>
      <c r="BE165" s="16">
        <f>INDEX('Team forecast'!$B$2:$AO$26,MATCH('Master data'!$B165,'Team forecast'!$B$2:$B$26,0),MATCH('Master data'!BE$1,'Team forecast'!$B$2:$AO$2,0))</f>
        <v>1.0107278258414167</v>
      </c>
      <c r="BF165" s="16">
        <f>INDEX('Team forecast'!$B$2:$AO$26,MATCH('Master data'!$B165,'Team forecast'!$B$2:$B$26,0),MATCH('Master data'!BF$1,'Team forecast'!$B$2:$AO$2,0))</f>
        <v>1.2965069481471114</v>
      </c>
      <c r="BG165" s="16">
        <f>INDEX('Team forecast'!$B$2:$AO$26,MATCH('Master data'!$B165,'Team forecast'!$B$2:$B$26,0),MATCH('Master data'!BG$1,'Team forecast'!$B$2:$AO$2,0))</f>
        <v>0.27348542529246672</v>
      </c>
      <c r="BH165" s="16">
        <f>INDEX('Team forecast'!$B$2:$AO$26,MATCH('Master data'!$B165,'Team forecast'!$B$2:$B$26,0),MATCH('Master data'!BH$1,'Team forecast'!$B$2:$AO$2,0))</f>
        <v>2.5755293393428875</v>
      </c>
      <c r="BI165" s="16">
        <f>INDEX('Team forecast'!$B$2:$AO$26,MATCH('Master data'!$B165,'Team forecast'!$B$2:$B$26,0),MATCH('Master data'!BI$1,'Team forecast'!$B$2:$AO$2,0))</f>
        <v>3.6247412564394597</v>
      </c>
      <c r="BJ165" s="5">
        <f>AQ165</f>
        <v>-5000</v>
      </c>
      <c r="BK165" s="5">
        <f>INDEX('Team forecast'!$R$3:$BH$26,MATCH($B165,'Team forecast'!$B$3:$B$26,0),MATCH(BK$1,'Team forecast'!$R$2:$BH$2,0))*IF($X165&gt;0,25000,0)</f>
        <v>0</v>
      </c>
      <c r="BL165" s="5">
        <f>INDEX('Team forecast'!$R$3:$BH$26,MATCH($B165,'Team forecast'!$B$3:$B$26,0),MATCH(BL$1,'Team forecast'!$R$2:$BH$2,0))*IF($X165&gt;0,5000,0)</f>
        <v>0</v>
      </c>
      <c r="BM165" s="5">
        <f>INDEX('Team forecast'!$R$3:$BH$26,MATCH($B165,'Team forecast'!$B$3:$B$26,0),MATCH(BM$1,'Team forecast'!$R$2:$BH$2,0))*IF($X165&gt;0,-15000,0)</f>
        <v>0</v>
      </c>
      <c r="BN165" s="5">
        <f>IF($C165="Defense",$N165*150000,IF($C165="Midfield",$N165*125000,IF($C165="Striker",$N165*100000,0)))*$BE165</f>
        <v>0</v>
      </c>
      <c r="BO165" s="5">
        <f>$O165*50000*$BE165</f>
        <v>0</v>
      </c>
      <c r="BP165" s="5">
        <f>$P165*BH165*10000</f>
        <v>0</v>
      </c>
      <c r="BQ165" s="5">
        <f>IF($C165="Goalkeeper",BG165*75000,IF($C165="Defense",BG165*50000,0))</f>
        <v>20511.406896935005</v>
      </c>
      <c r="BR165" s="5">
        <f>IF($C165="Goalkeeper",(BI165-BF165)*5000,0)</f>
        <v>11641.171541461741</v>
      </c>
      <c r="BS165" s="5">
        <f>$AG165</f>
        <v>0</v>
      </c>
      <c r="BT165" s="5">
        <f>$AH165</f>
        <v>0</v>
      </c>
      <c r="BU165" s="5">
        <f>IF(AQ165&gt;0,BE165*10000,0)</f>
        <v>0</v>
      </c>
      <c r="BV165" s="5">
        <f>IF(AQ165&gt;0,BF165*(-8000),0)</f>
        <v>0</v>
      </c>
      <c r="BW165" s="5">
        <f>IFERROR(SUM(BJ165:BV165),0)</f>
        <v>27152.578438396748</v>
      </c>
      <c r="BX165" s="5">
        <f>AVERAGE(AK165,BD165,BW165)</f>
        <v>30168.226707316873</v>
      </c>
      <c r="BY165" s="5">
        <f>BX165*3</f>
        <v>90504.680121950616</v>
      </c>
      <c r="BZ165" s="5">
        <f>INDEX('Team forecast'!$R$3:$BH$26,MATCH($B165,'Team forecast'!$B$3:$B$26,0),MATCH(BZ$1,'Team forecast'!$R$2:$BH$2,0))*($BX165-(BY165+CH165)*0.01)</f>
        <v>-11833.138323451649</v>
      </c>
      <c r="CA165" s="5">
        <f>INDEX('Team forecast'!$R$3:$BH$26,MATCH($B165,'Team forecast'!$B$3:$B$26,0),MATCH(CA$1,'Team forecast'!$R$2:$BH$2,0))*($BX165-(BY165+BX165+CH165)*0.01)</f>
        <v>-6145.8527322505724</v>
      </c>
      <c r="CB165" s="5">
        <f>INDEX('Team forecast'!$R$3:$BH$26,MATCH($B165,'Team forecast'!$B$3:$B$26,0),MATCH(CB$1,'Team forecast'!$R$2:$BH$2,0))*($BX165-(BY165+BX165*2+CH165)*0.01)</f>
        <v>-3241.8237002660539</v>
      </c>
      <c r="CC165" s="5">
        <f>INDEX('Team forecast'!$R$3:$BH$26,MATCH($B165,'Team forecast'!$B$3:$B$26,0),MATCH(CC$1,'Team forecast'!$R$2:$BH$2,0))*($BX165-(BY165+BX165*3+CH165)*0.01)</f>
        <v>-1796.7382837354364</v>
      </c>
      <c r="CD165" s="5">
        <f>+AK165+BD165*Cockpit!$C$3+BW165*Cockpit!$C$3^2+BZ165*Cockpit!$C$3^3+CA165*Cockpit!$C$3^4+CB165*Cockpit!$C$3^5+CC165*Cockpit!$C$3^6</f>
        <v>61376.489168039458</v>
      </c>
      <c r="CE165" s="5"/>
      <c r="CF165" s="5"/>
      <c r="CG165" s="5">
        <v>0</v>
      </c>
      <c r="CH165" s="5">
        <f t="shared" si="49"/>
        <v>4500000</v>
      </c>
      <c r="CI165" s="5">
        <f t="shared" si="50"/>
        <v>4500000</v>
      </c>
      <c r="CJ165" s="1">
        <f t="shared" si="51"/>
        <v>2.011215113821125E-2</v>
      </c>
      <c r="CK165" s="5">
        <f>RANK(BY165,$BY$2:$BY$623)+COUNTIF($BY$2:$BY165,$BY165)-1</f>
        <v>191</v>
      </c>
      <c r="CL165" s="5">
        <f>RANK(CJ165,$CJ$2:$CJ$623)+COUNTIF($CJ$2:$CJ165,$CJ165)-1</f>
        <v>261</v>
      </c>
    </row>
    <row r="166" spans="1:90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1.7625676631272518</v>
      </c>
      <c r="I166" s="16">
        <f>INDEX('Team forecast'!$B$2:$AO$26,MATCH('Master data'!$B166,'Team forecast'!$B$2:$B$26,0),MATCH('Master data'!I$1,'Team forecast'!$B$2:$AO$2,0))</f>
        <v>0.75096675144877167</v>
      </c>
      <c r="J166" s="16">
        <f>INDEX('Team forecast'!$B$2:$AO$26,MATCH('Master data'!$B166,'Team forecast'!$B$2:$B$26,0),MATCH('Master data'!J$1,'Team forecast'!$B$2:$AO$2,0))</f>
        <v>0.47191011235955049</v>
      </c>
      <c r="K166" s="16">
        <f>INDEX('Team forecast'!$B$2:$AO$26,MATCH('Master data'!$B166,'Team forecast'!$B$2:$B$26,0),MATCH('Master data'!K$1,'Team forecast'!$B$2:$AO$2,0))</f>
        <v>4.4913621777278765</v>
      </c>
      <c r="L166" s="16">
        <f>INDEX('Team forecast'!$B$2:$AO$26,MATCH('Master data'!$B166,'Team forecast'!$B$2:$B$26,0),MATCH('Master data'!L$1,'Team forecast'!$B$2:$AO$2,0))</f>
        <v>2.0995338051067773</v>
      </c>
      <c r="M166">
        <f>IF(Players!BC167=1,95,0)</f>
        <v>95</v>
      </c>
      <c r="N166" s="2">
        <f>Players!BN167</f>
        <v>2.6173078576304073E-2</v>
      </c>
      <c r="O166" s="2">
        <f>Players!BO167</f>
        <v>1.2051387595867784E-2</v>
      </c>
      <c r="P166" s="2">
        <f>Players!BP167</f>
        <v>2.4396796928655769E-2</v>
      </c>
      <c r="Q166" s="2">
        <f>Players!BQ167</f>
        <v>0.18826889279437609</v>
      </c>
      <c r="R166" s="2">
        <f>Players!BR167</f>
        <v>0</v>
      </c>
      <c r="S166" s="2">
        <f>H166</f>
        <v>1.7625676631272518</v>
      </c>
      <c r="T166" s="2">
        <f>I166</f>
        <v>0.75096675144877167</v>
      </c>
      <c r="U166" s="16">
        <f>INDEX('Team forecast'!$B$2:$AO$26,MATCH('Master data'!$B166,'Team forecast'!$B$2:$B$26,0),MATCH('Master data'!U$1,'Team forecast'!$B$2:$AO$2,0))</f>
        <v>0.6292134831460674</v>
      </c>
      <c r="V166" s="16">
        <f>INDEX('Team forecast'!$B$2:$AO$26,MATCH('Master data'!$B166,'Team forecast'!$B$2:$B$26,0),MATCH('Master data'!V$1,'Team forecast'!$B$2:$AO$2,0))</f>
        <v>0.2359550561797753</v>
      </c>
      <c r="W166" s="16">
        <f>INDEX('Team forecast'!$B$2:$AO$26,MATCH('Master data'!$B166,'Team forecast'!$B$2:$B$26,0),MATCH('Master data'!W$1,'Team forecast'!$B$2:$AO$2,0))</f>
        <v>0.1348314606741573</v>
      </c>
      <c r="X166" s="5">
        <f>IF(M166&gt;95,7000*2,IF(M166&gt;0,7000,-5000))</f>
        <v>7000</v>
      </c>
      <c r="Y166" s="5">
        <f>IF($X166&gt;0,U166*25000,0)</f>
        <v>15730.337078651684</v>
      </c>
      <c r="Z166" s="5">
        <f>IF($X166&gt;0,V166*5000,0)</f>
        <v>1179.7752808988764</v>
      </c>
      <c r="AA166" s="5">
        <f>IF($X166&gt;0,W166*(-15000),0)</f>
        <v>-2022.4719101123594</v>
      </c>
      <c r="AB166" s="5">
        <f>IF($C166="Defense",$N166*150000,IF($C166="Midfield",$N166*125000,IF($C166="Striker",$N166*100000,0)))*$H166</f>
        <v>6919.7732914623311</v>
      </c>
      <c r="AC166" s="5">
        <f>$O166*50000*H166</f>
        <v>1062.0693036144714</v>
      </c>
      <c r="AD166" s="5">
        <f>$P166*K166*10000</f>
        <v>1095.7485098307213</v>
      </c>
      <c r="AE166" s="5">
        <f>IF($C166="Goalkeeper",J166*75000,IF($C166="Defense",J166*50000,0))</f>
        <v>23595.505617977524</v>
      </c>
      <c r="AF166" s="5">
        <f>IF($C166="Goalkeeper",(L166-I166)*5000,0)</f>
        <v>0</v>
      </c>
      <c r="AG166" s="5">
        <f>IF(M166&gt;0,Q166*(-20000),0)</f>
        <v>-3765.3778558875219</v>
      </c>
      <c r="AH166" s="5">
        <f>IF(M166&gt;0,R166*(-50000),0)</f>
        <v>0</v>
      </c>
      <c r="AI166" s="5">
        <f>IF(M166&gt;0,S166*10000,0)</f>
        <v>17625.676631272519</v>
      </c>
      <c r="AJ166" s="5">
        <f>IF(M166&gt;0,T166*(-8000),0)</f>
        <v>-6007.7340115901734</v>
      </c>
      <c r="AK166" s="5">
        <f>IFERROR(SUM(X166:AJ166),-5000)*((Cockpit!$C$3)^0)</f>
        <v>62413.301936118078</v>
      </c>
      <c r="AL166" s="16">
        <f>INDEX('Team forecast'!$B$2:$AO$26,MATCH('Master data'!$B166,'Team forecast'!$B$2:$B$26,0),MATCH('Master data'!AL$1,'Team forecast'!$B$2:$AO$2,0))</f>
        <v>1.1612459518433673</v>
      </c>
      <c r="AM166" s="16">
        <f>INDEX('Team forecast'!$B$2:$AO$26,MATCH('Master data'!$B166,'Team forecast'!$B$2:$B$26,0),MATCH('Master data'!AM$1,'Team forecast'!$B$2:$AO$2,0))</f>
        <v>1.384389503157577</v>
      </c>
      <c r="AN166" s="16">
        <f>INDEX('Team forecast'!$B$2:$AO$26,MATCH('Master data'!$B166,'Team forecast'!$B$2:$B$26,0),MATCH('Master data'!AN$1,'Team forecast'!$B$2:$AO$2,0))</f>
        <v>0.25047666833918708</v>
      </c>
      <c r="AO166" s="16">
        <f>INDEX('Team forecast'!$B$2:$AO$26,MATCH('Master data'!$B166,'Team forecast'!$B$2:$B$26,0),MATCH('Master data'!AO$1,'Team forecast'!$B$2:$AO$2,0))</f>
        <v>2.9590785399382193</v>
      </c>
      <c r="AP166" s="16">
        <f>INDEX('Team forecast'!$B$2:$AO$26,MATCH('Master data'!$B166,'Team forecast'!$B$2:$B$26,0),MATCH('Master data'!AP$1,'Team forecast'!$B$2:$AO$2,0))</f>
        <v>3.8704410757292824</v>
      </c>
      <c r="AQ166" s="5">
        <f>X166</f>
        <v>7000</v>
      </c>
      <c r="AR166" s="5">
        <f>INDEX('Team forecast'!$B$2:$AO$26,MATCH('Master data'!$B166,'Team forecast'!$B$2:$B$26,0),MATCH('Master data'!AR$1,'Team forecast'!$B$2:$AO$2,0))*IF(X166&gt;0,25000,0)</f>
        <v>7225.2885097842445</v>
      </c>
      <c r="AS166" s="16">
        <f>INDEX('Team forecast'!$B$2:$AO$26,MATCH('Master data'!$B166,'Team forecast'!$B$2:$B$26,0),MATCH('Master data'!AS$1,'Team forecast'!$B$2:$AO$2,0))*IF(X166&gt;0,5000,0)</f>
        <v>1467.6367285499246</v>
      </c>
      <c r="AT166" s="16">
        <f>INDEX('Team forecast'!$B$2:$AO$26,MATCH('Master data'!$B166,'Team forecast'!$B$2:$B$26,0),MATCH('Master data'!AT$1,'Team forecast'!$B$2:$AO$2,0))*IF(X166&gt;0,-15000,0)</f>
        <v>-6261.91670847968</v>
      </c>
      <c r="AU166" s="5">
        <f>IF($C166="Defense",$N166*150000,IF($C166="Midfield",$N166*125000,IF($C166="Striker",$N166*100000,0)))*$AL166</f>
        <v>4559.0072316017204</v>
      </c>
      <c r="AV166" s="5">
        <f>$O166*50000*AL166</f>
        <v>699.73125298984178</v>
      </c>
      <c r="AW166" s="5">
        <f>$P166*AO166*10000</f>
        <v>721.92038234815948</v>
      </c>
      <c r="AX166" s="5">
        <f>IF($C166="Goalkeeper",AN166*75000,IF($C166="Defense",AN166*50000,0))</f>
        <v>12523.833416959355</v>
      </c>
      <c r="AY166" s="5">
        <f>IF($C166="Goalkeeper",(AP166-AM166)*5000,0)</f>
        <v>0</v>
      </c>
      <c r="AZ166" s="5">
        <f>$AG166</f>
        <v>-3765.3778558875219</v>
      </c>
      <c r="BA166" s="5">
        <f>$AH166</f>
        <v>0</v>
      </c>
      <c r="BB166" s="5">
        <f>IF(X166&gt;0,AL166*10000,0)</f>
        <v>11612.459518433674</v>
      </c>
      <c r="BC166" s="5">
        <f>IF(X166&gt;0,AM166*(-8000),0)</f>
        <v>-11075.116025260617</v>
      </c>
      <c r="BD166" s="5">
        <f>IFERROR(SUM(AQ166:BC166),0)</f>
        <v>24707.466451039105</v>
      </c>
      <c r="BE166" s="16">
        <f>INDEX('Team forecast'!$B$2:$AO$26,MATCH('Master data'!$B166,'Team forecast'!$B$2:$B$26,0),MATCH('Master data'!BE$1,'Team forecast'!$B$2:$AO$2,0))</f>
        <v>1.0107278258414167</v>
      </c>
      <c r="BF166" s="16">
        <f>INDEX('Team forecast'!$B$2:$AO$26,MATCH('Master data'!$B166,'Team forecast'!$B$2:$B$26,0),MATCH('Master data'!BF$1,'Team forecast'!$B$2:$AO$2,0))</f>
        <v>1.2965069481471114</v>
      </c>
      <c r="BG166" s="16">
        <f>INDEX('Team forecast'!$B$2:$AO$26,MATCH('Master data'!$B166,'Team forecast'!$B$2:$B$26,0),MATCH('Master data'!BG$1,'Team forecast'!$B$2:$AO$2,0))</f>
        <v>0.27348542529246672</v>
      </c>
      <c r="BH166" s="16">
        <f>INDEX('Team forecast'!$B$2:$AO$26,MATCH('Master data'!$B166,'Team forecast'!$B$2:$B$26,0),MATCH('Master data'!BH$1,'Team forecast'!$B$2:$AO$2,0))</f>
        <v>2.5755293393428875</v>
      </c>
      <c r="BI166" s="16">
        <f>INDEX('Team forecast'!$B$2:$AO$26,MATCH('Master data'!$B166,'Team forecast'!$B$2:$B$26,0),MATCH('Master data'!BI$1,'Team forecast'!$B$2:$AO$2,0))</f>
        <v>3.6247412564394597</v>
      </c>
      <c r="BJ166" s="5">
        <f>AQ166</f>
        <v>7000</v>
      </c>
      <c r="BK166" s="5">
        <f>INDEX('Team forecast'!$R$3:$BH$26,MATCH($B166,'Team forecast'!$B$3:$B$26,0),MATCH(BK$1,'Team forecast'!$R$2:$BH$2,0))*IF($X166&gt;0,25000,0)</f>
        <v>7251.5074888154077</v>
      </c>
      <c r="BL166" s="5">
        <f>INDEX('Team forecast'!$R$3:$BH$26,MATCH($B166,'Team forecast'!$B$3:$B$26,0),MATCH(BL$1,'Team forecast'!$R$2:$BH$2,0))*IF($X166&gt;0,5000,0)</f>
        <v>1495.6234195681775</v>
      </c>
      <c r="BM166" s="5">
        <f>INDEX('Team forecast'!$R$3:$BH$26,MATCH($B166,'Team forecast'!$B$3:$B$26,0),MATCH(BM$1,'Team forecast'!$R$2:$BH$2,0))*IF($X166&gt;0,-15000,0)</f>
        <v>-6162.2252480062243</v>
      </c>
      <c r="BN166" s="5">
        <f>IF($C166="Defense",$N166*150000,IF($C166="Midfield",$N166*125000,IF($C166="Striker",$N166*100000,0)))*$BE166</f>
        <v>3968.0788207506566</v>
      </c>
      <c r="BO166" s="5">
        <f>$O166*50000*$BE166</f>
        <v>609.03363915718319</v>
      </c>
      <c r="BP166" s="5">
        <f>$P166*BH166*10000</f>
        <v>628.34666275743382</v>
      </c>
      <c r="BQ166" s="5">
        <f>IF($C166="Goalkeeper",BG166*75000,IF($C166="Defense",BG166*50000,0))</f>
        <v>13674.271264623336</v>
      </c>
      <c r="BR166" s="5">
        <f>IF($C166="Goalkeeper",(BI166-BF166)*5000,0)</f>
        <v>0</v>
      </c>
      <c r="BS166" s="5">
        <f>$AG166</f>
        <v>-3765.3778558875219</v>
      </c>
      <c r="BT166" s="5">
        <f>$AH166</f>
        <v>0</v>
      </c>
      <c r="BU166" s="5">
        <f>IF(AQ166&gt;0,BE166*10000,0)</f>
        <v>10107.278258414168</v>
      </c>
      <c r="BV166" s="5">
        <f>IF(AQ166&gt;0,BF166*(-8000),0)</f>
        <v>-10372.055585176891</v>
      </c>
      <c r="BW166" s="5">
        <f>IFERROR(SUM(BJ166:BV166),0)</f>
        <v>24434.480865015725</v>
      </c>
      <c r="BX166" s="5">
        <f>AVERAGE(AK166,BD166,BW166)</f>
        <v>37185.083084057631</v>
      </c>
      <c r="BY166" s="5">
        <f>BX166*3</f>
        <v>111555.24925217289</v>
      </c>
      <c r="BZ166" s="5">
        <f>INDEX('Team forecast'!$R$3:$BH$26,MATCH($B166,'Team forecast'!$B$3:$B$26,0),MATCH(BZ$1,'Team forecast'!$R$2:$BH$2,0))*($BX166-(BY166+CH166)*0.01)</f>
        <v>-6715.1736610787066</v>
      </c>
      <c r="CA166" s="5">
        <f>INDEX('Team forecast'!$R$3:$BH$26,MATCH($B166,'Team forecast'!$B$3:$B$26,0),MATCH(CA$1,'Team forecast'!$R$2:$BH$2,0))*($BX166-(BY166+BX166+CH166)*0.01)</f>
        <v>-3564.5903197361936</v>
      </c>
      <c r="CB166" s="5">
        <f>INDEX('Team forecast'!$R$3:$BH$26,MATCH($B166,'Team forecast'!$B$3:$B$26,0),MATCH(CB$1,'Team forecast'!$R$2:$BH$2,0))*($BX166-(BY166+BX166*2+CH166)*0.01)</f>
        <v>-1919.3147304951676</v>
      </c>
      <c r="CC166" s="5">
        <f>INDEX('Team forecast'!$R$3:$BH$26,MATCH($B166,'Team forecast'!$B$3:$B$26,0),MATCH(CC$1,'Team forecast'!$R$2:$BH$2,0))*($BX166-(BY166+BX166*3+CH166)*0.01)</f>
        <v>-1084.61822597779</v>
      </c>
      <c r="CD166" s="5">
        <f>+AK166+BD166*Cockpit!$C$3+BW166*Cockpit!$C$3^2+BZ166*Cockpit!$C$3^3+CA166*Cockpit!$C$3^4+CB166*Cockpit!$C$3^5+CC166*Cockpit!$C$3^6</f>
        <v>86702.948298319679</v>
      </c>
      <c r="CE166" s="5"/>
      <c r="CF166" s="5"/>
      <c r="CG166" s="5">
        <v>0</v>
      </c>
      <c r="CH166" s="5">
        <f t="shared" si="49"/>
        <v>4500000</v>
      </c>
      <c r="CI166" s="5">
        <f t="shared" si="50"/>
        <v>4500000</v>
      </c>
      <c r="CJ166" s="1">
        <f t="shared" si="51"/>
        <v>2.4790055389371752E-2</v>
      </c>
      <c r="CK166" s="5">
        <f>RANK(BY166,$BY$2:$BY$623)+COUNTIF($BY$2:$BY166,$BY166)-1</f>
        <v>150</v>
      </c>
      <c r="CL166" s="5">
        <f>RANK(CJ166,$CJ$2:$CJ$623)+COUNTIF($CJ$2:$CJ166,$CJ166)-1</f>
        <v>210</v>
      </c>
    </row>
    <row r="167" spans="1:90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1.7625676631272518</v>
      </c>
      <c r="I167" s="16">
        <f>INDEX('Team forecast'!$B$2:$AO$26,MATCH('Master data'!$B167,'Team forecast'!$B$2:$B$26,0),MATCH('Master data'!I$1,'Team forecast'!$B$2:$AO$2,0))</f>
        <v>0.75096675144877167</v>
      </c>
      <c r="J167" s="16">
        <f>INDEX('Team forecast'!$B$2:$AO$26,MATCH('Master data'!$B167,'Team forecast'!$B$2:$B$26,0),MATCH('Master data'!J$1,'Team forecast'!$B$2:$AO$2,0))</f>
        <v>0.47191011235955049</v>
      </c>
      <c r="K167" s="16">
        <f>INDEX('Team forecast'!$B$2:$AO$26,MATCH('Master data'!$B167,'Team forecast'!$B$2:$B$26,0),MATCH('Master data'!K$1,'Team forecast'!$B$2:$AO$2,0))</f>
        <v>4.4913621777278765</v>
      </c>
      <c r="L167" s="16">
        <f>INDEX('Team forecast'!$B$2:$AO$26,MATCH('Master data'!$B167,'Team forecast'!$B$2:$B$26,0),MATCH('Master data'!L$1,'Team forecast'!$B$2:$AO$2,0))</f>
        <v>2.0995338051067773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>H167</f>
        <v>1.7625676631272518</v>
      </c>
      <c r="T167" s="2">
        <f>I167</f>
        <v>0.75096675144877167</v>
      </c>
      <c r="U167" s="16">
        <f>INDEX('Team forecast'!$B$2:$AO$26,MATCH('Master data'!$B167,'Team forecast'!$B$2:$B$26,0),MATCH('Master data'!U$1,'Team forecast'!$B$2:$AO$2,0))</f>
        <v>0.6292134831460674</v>
      </c>
      <c r="V167" s="16">
        <f>INDEX('Team forecast'!$B$2:$AO$26,MATCH('Master data'!$B167,'Team forecast'!$B$2:$B$26,0),MATCH('Master data'!V$1,'Team forecast'!$B$2:$AO$2,0))</f>
        <v>0.2359550561797753</v>
      </c>
      <c r="W167" s="16">
        <f>INDEX('Team forecast'!$B$2:$AO$26,MATCH('Master data'!$B167,'Team forecast'!$B$2:$B$26,0),MATCH('Master data'!W$1,'Team forecast'!$B$2:$AO$2,0))</f>
        <v>0.1348314606741573</v>
      </c>
      <c r="X167" s="5">
        <f>IF(M167&gt;95,7000*2,IF(M167&gt;0,7000,-5000))</f>
        <v>-5000</v>
      </c>
      <c r="Y167" s="5">
        <f>IF($X167&gt;0,U167*25000,0)</f>
        <v>0</v>
      </c>
      <c r="Z167" s="5">
        <f>IF($X167&gt;0,V167*5000,0)</f>
        <v>0</v>
      </c>
      <c r="AA167" s="5">
        <f>IF($X167&gt;0,W167*(-15000),0)</f>
        <v>0</v>
      </c>
      <c r="AB167" s="5">
        <f>IF($C167="Defense",$N167*150000,IF($C167="Midfield",$N167*125000,IF($C167="Striker",$N167*100000,0)))*$H167</f>
        <v>0</v>
      </c>
      <c r="AC167" s="5">
        <f>$O167*50000*H167</f>
        <v>0</v>
      </c>
      <c r="AD167" s="5">
        <f>$P167*K167*10000</f>
        <v>0</v>
      </c>
      <c r="AE167" s="5">
        <f>IF($C167="Goalkeeper",J167*75000,IF($C167="Defense",J167*50000,0))</f>
        <v>0</v>
      </c>
      <c r="AF167" s="5">
        <f>IF($C167="Goalkeeper",(L167-I167)*5000,0)</f>
        <v>0</v>
      </c>
      <c r="AG167" s="5">
        <f>IF(M167&gt;0,Q167*(-20000),0)</f>
        <v>0</v>
      </c>
      <c r="AH167" s="5">
        <f>IF(M167&gt;0,R167*(-50000),0)</f>
        <v>0</v>
      </c>
      <c r="AI167" s="5">
        <f>IF(M167&gt;0,S167*10000,0)</f>
        <v>0</v>
      </c>
      <c r="AJ167" s="5">
        <f>IF(M167&gt;0,T167*(-8000),0)</f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1.1612459518433673</v>
      </c>
      <c r="AM167" s="16">
        <f>INDEX('Team forecast'!$B$2:$AO$26,MATCH('Master data'!$B167,'Team forecast'!$B$2:$B$26,0),MATCH('Master data'!AM$1,'Team forecast'!$B$2:$AO$2,0))</f>
        <v>1.384389503157577</v>
      </c>
      <c r="AN167" s="16">
        <f>INDEX('Team forecast'!$B$2:$AO$26,MATCH('Master data'!$B167,'Team forecast'!$B$2:$B$26,0),MATCH('Master data'!AN$1,'Team forecast'!$B$2:$AO$2,0))</f>
        <v>0.25047666833918708</v>
      </c>
      <c r="AO167" s="16">
        <f>INDEX('Team forecast'!$B$2:$AO$26,MATCH('Master data'!$B167,'Team forecast'!$B$2:$B$26,0),MATCH('Master data'!AO$1,'Team forecast'!$B$2:$AO$2,0))</f>
        <v>2.9590785399382193</v>
      </c>
      <c r="AP167" s="16">
        <f>INDEX('Team forecast'!$B$2:$AO$26,MATCH('Master data'!$B167,'Team forecast'!$B$2:$B$26,0),MATCH('Master data'!AP$1,'Team forecast'!$B$2:$AO$2,0))</f>
        <v>3.8704410757292824</v>
      </c>
      <c r="AQ167" s="5">
        <f>X167</f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>IF($C167="Defense",$N167*150000,IF($C167="Midfield",$N167*125000,IF($C167="Striker",$N167*100000,0)))*$AL167</f>
        <v>0</v>
      </c>
      <c r="AV167" s="5">
        <f>$O167*50000*AL167</f>
        <v>0</v>
      </c>
      <c r="AW167" s="5">
        <f>$P167*AO167*10000</f>
        <v>0</v>
      </c>
      <c r="AX167" s="5">
        <f>IF($C167="Goalkeeper",AN167*75000,IF($C167="Defense",AN167*50000,0))</f>
        <v>0</v>
      </c>
      <c r="AY167" s="5">
        <f>IF($C167="Goalkeeper",(AP167-AM167)*5000,0)</f>
        <v>0</v>
      </c>
      <c r="AZ167" s="5">
        <f>$AG167</f>
        <v>0</v>
      </c>
      <c r="BA167" s="5">
        <f>$AH167</f>
        <v>0</v>
      </c>
      <c r="BB167" s="5">
        <f>IF(X167&gt;0,AL167*10000,0)</f>
        <v>0</v>
      </c>
      <c r="BC167" s="5">
        <f>IF(X167&gt;0,AM167*(-8000),0)</f>
        <v>0</v>
      </c>
      <c r="BD167" s="5">
        <f>IFERROR(SUM(AQ167:BC167),0)</f>
        <v>-5000</v>
      </c>
      <c r="BE167" s="16">
        <f>INDEX('Team forecast'!$B$2:$AO$26,MATCH('Master data'!$B167,'Team forecast'!$B$2:$B$26,0),MATCH('Master data'!BE$1,'Team forecast'!$B$2:$AO$2,0))</f>
        <v>1.0107278258414167</v>
      </c>
      <c r="BF167" s="16">
        <f>INDEX('Team forecast'!$B$2:$AO$26,MATCH('Master data'!$B167,'Team forecast'!$B$2:$B$26,0),MATCH('Master data'!BF$1,'Team forecast'!$B$2:$AO$2,0))</f>
        <v>1.2965069481471114</v>
      </c>
      <c r="BG167" s="16">
        <f>INDEX('Team forecast'!$B$2:$AO$26,MATCH('Master data'!$B167,'Team forecast'!$B$2:$B$26,0),MATCH('Master data'!BG$1,'Team forecast'!$B$2:$AO$2,0))</f>
        <v>0.27348542529246672</v>
      </c>
      <c r="BH167" s="16">
        <f>INDEX('Team forecast'!$B$2:$AO$26,MATCH('Master data'!$B167,'Team forecast'!$B$2:$B$26,0),MATCH('Master data'!BH$1,'Team forecast'!$B$2:$AO$2,0))</f>
        <v>2.5755293393428875</v>
      </c>
      <c r="BI167" s="16">
        <f>INDEX('Team forecast'!$B$2:$AO$26,MATCH('Master data'!$B167,'Team forecast'!$B$2:$B$26,0),MATCH('Master data'!BI$1,'Team forecast'!$B$2:$AO$2,0))</f>
        <v>3.6247412564394597</v>
      </c>
      <c r="BJ167" s="5">
        <f>AQ167</f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>IF($C167="Defense",$N167*150000,IF($C167="Midfield",$N167*125000,IF($C167="Striker",$N167*100000,0)))*$BE167</f>
        <v>0</v>
      </c>
      <c r="BO167" s="5">
        <f>$O167*50000*$BE167</f>
        <v>0</v>
      </c>
      <c r="BP167" s="5">
        <f>$P167*BH167*10000</f>
        <v>0</v>
      </c>
      <c r="BQ167" s="5">
        <f>IF($C167="Goalkeeper",BG167*75000,IF($C167="Defense",BG167*50000,0))</f>
        <v>0</v>
      </c>
      <c r="BR167" s="5">
        <f>IF($C167="Goalkeeper",(BI167-BF167)*5000,0)</f>
        <v>0</v>
      </c>
      <c r="BS167" s="5">
        <f>$AG167</f>
        <v>0</v>
      </c>
      <c r="BT167" s="5">
        <f>$AH167</f>
        <v>0</v>
      </c>
      <c r="BU167" s="5">
        <f>IF(AQ167&gt;0,BE167*10000,0)</f>
        <v>0</v>
      </c>
      <c r="BV167" s="5">
        <f>IF(AQ167&gt;0,BF167*(-8000),0)</f>
        <v>0</v>
      </c>
      <c r="BW167" s="5">
        <f>IFERROR(SUM(BJ167:BV167),0)</f>
        <v>-5000</v>
      </c>
      <c r="BX167" s="5">
        <f>AVERAGE(AK167,BD167,BW167)</f>
        <v>-5000</v>
      </c>
      <c r="BY167" s="5">
        <f>BX167*3</f>
        <v>-15000</v>
      </c>
      <c r="BZ167" s="5">
        <f>INDEX('Team forecast'!$R$3:$BH$26,MATCH($B167,'Team forecast'!$B$3:$B$26,0),MATCH(BZ$1,'Team forecast'!$R$2:$BH$2,0))*($BX167-(BY167+CH167)*0.01)</f>
        <v>-22445.397281493319</v>
      </c>
      <c r="CA167" s="5">
        <f>INDEX('Team forecast'!$R$3:$BH$26,MATCH($B167,'Team forecast'!$B$3:$B$26,0),MATCH(CA$1,'Team forecast'!$R$2:$BH$2,0))*($BX167-(BY167+BX167+CH167)*0.01)</f>
        <v>-11419.17164701681</v>
      </c>
      <c r="CB167" s="5">
        <f>INDEX('Team forecast'!$R$3:$BH$26,MATCH($B167,'Team forecast'!$B$3:$B$26,0),MATCH(CB$1,'Team forecast'!$R$2:$BH$2,0))*($BX167-(BY167+BX167*2+CH167)*0.01)</f>
        <v>-5902.2745016823346</v>
      </c>
      <c r="CC167" s="5">
        <f>INDEX('Team forecast'!$R$3:$BH$26,MATCH($B167,'Team forecast'!$B$3:$B$26,0),MATCH(CC$1,'Team forecast'!$R$2:$BH$2,0))*($BX167-(BY167+BX167*3+CH167)*0.01)</f>
        <v>-3206.558937361985</v>
      </c>
      <c r="CD167" s="5">
        <f>+AK167+BD167*Cockpit!$C$3+BW167*Cockpit!$C$3^2+BZ167*Cockpit!$C$3^3+CA167*Cockpit!$C$3^4+CB167*Cockpit!$C$3^5+CC167*Cockpit!$C$3^6</f>
        <v>-20520.44534173614</v>
      </c>
      <c r="CE167" s="5"/>
      <c r="CF167" s="5"/>
      <c r="CG167" s="5">
        <v>0</v>
      </c>
      <c r="CH167" s="5">
        <f t="shared" si="49"/>
        <v>2500000</v>
      </c>
      <c r="CI167" s="5">
        <f t="shared" si="50"/>
        <v>2500000</v>
      </c>
      <c r="CJ167" s="1">
        <f t="shared" si="51"/>
        <v>-6.0000000000000001E-3</v>
      </c>
      <c r="CK167" s="5">
        <f>RANK(BY167,$BY$2:$BY$623)+COUNTIF($BY$2:$BY167,$BY167)-1</f>
        <v>472</v>
      </c>
      <c r="CL167" s="5">
        <f>RANK(CJ167,$CJ$2:$CJ$623)+COUNTIF($CJ$2:$CJ167,$CJ167)-1</f>
        <v>529</v>
      </c>
    </row>
    <row r="168" spans="1:90">
      <c r="A168" t="str">
        <f>Players!P169</f>
        <v>Rafa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1.7625676631272518</v>
      </c>
      <c r="I168" s="16">
        <f>INDEX('Team forecast'!$B$2:$AO$26,MATCH('Master data'!$B168,'Team forecast'!$B$2:$B$26,0),MATCH('Master data'!I$1,'Team forecast'!$B$2:$AO$2,0))</f>
        <v>0.75096675144877167</v>
      </c>
      <c r="J168" s="16">
        <f>INDEX('Team forecast'!$B$2:$AO$26,MATCH('Master data'!$B168,'Team forecast'!$B$2:$B$26,0),MATCH('Master data'!J$1,'Team forecast'!$B$2:$AO$2,0))</f>
        <v>0.47191011235955049</v>
      </c>
      <c r="K168" s="16">
        <f>INDEX('Team forecast'!$B$2:$AO$26,MATCH('Master data'!$B168,'Team forecast'!$B$2:$B$26,0),MATCH('Master data'!K$1,'Team forecast'!$B$2:$AO$2,0))</f>
        <v>4.4913621777278765</v>
      </c>
      <c r="L168" s="16">
        <f>INDEX('Team forecast'!$B$2:$AO$26,MATCH('Master data'!$B168,'Team forecast'!$B$2:$B$26,0),MATCH('Master data'!L$1,'Team forecast'!$B$2:$AO$2,0))</f>
        <v>2.0995338051067773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0.11824324324324326</v>
      </c>
      <c r="R168" s="2">
        <f>Players!BR169</f>
        <v>3.3783783783783786E-2</v>
      </c>
      <c r="S168" s="2">
        <f>H168</f>
        <v>1.7625676631272518</v>
      </c>
      <c r="T168" s="2">
        <f>I168</f>
        <v>0.75096675144877167</v>
      </c>
      <c r="U168" s="16">
        <f>INDEX('Team forecast'!$B$2:$AO$26,MATCH('Master data'!$B168,'Team forecast'!$B$2:$B$26,0),MATCH('Master data'!U$1,'Team forecast'!$B$2:$AO$2,0))</f>
        <v>0.6292134831460674</v>
      </c>
      <c r="V168" s="16">
        <f>INDEX('Team forecast'!$B$2:$AO$26,MATCH('Master data'!$B168,'Team forecast'!$B$2:$B$26,0),MATCH('Master data'!V$1,'Team forecast'!$B$2:$AO$2,0))</f>
        <v>0.2359550561797753</v>
      </c>
      <c r="W168" s="16">
        <f>INDEX('Team forecast'!$B$2:$AO$26,MATCH('Master data'!$B168,'Team forecast'!$B$2:$B$26,0),MATCH('Master data'!W$1,'Team forecast'!$B$2:$AO$2,0))</f>
        <v>0.1348314606741573</v>
      </c>
      <c r="X168" s="5">
        <f>IF(M168&gt;95,7000*2,IF(M168&gt;0,7000,-5000))</f>
        <v>-5000</v>
      </c>
      <c r="Y168" s="5">
        <f>IF($X168&gt;0,U168*25000,0)</f>
        <v>0</v>
      </c>
      <c r="Z168" s="5">
        <f>IF($X168&gt;0,V168*5000,0)</f>
        <v>0</v>
      </c>
      <c r="AA168" s="5">
        <f>IF($X168&gt;0,W168*(-15000),0)</f>
        <v>0</v>
      </c>
      <c r="AB168" s="5">
        <f>IF($C168="Defense",$N168*150000,IF($C168="Midfield",$N168*125000,IF($C168="Striker",$N168*100000,0)))*$H168</f>
        <v>0</v>
      </c>
      <c r="AC168" s="5">
        <f>$O168*50000*H168</f>
        <v>0</v>
      </c>
      <c r="AD168" s="5">
        <f>$P168*K168*10000</f>
        <v>0</v>
      </c>
      <c r="AE168" s="5">
        <f>IF($C168="Goalkeeper",J168*75000,IF($C168="Defense",J168*50000,0))</f>
        <v>0</v>
      </c>
      <c r="AF168" s="5">
        <f>IF($C168="Goalkeeper",(L168-I168)*5000,0)</f>
        <v>0</v>
      </c>
      <c r="AG168" s="5">
        <f>IF(M168&gt;0,Q168*(-20000),0)</f>
        <v>0</v>
      </c>
      <c r="AH168" s="5">
        <f>IF(M168&gt;0,R168*(-50000),0)</f>
        <v>0</v>
      </c>
      <c r="AI168" s="5">
        <f>IF(M168&gt;0,S168*10000,0)</f>
        <v>0</v>
      </c>
      <c r="AJ168" s="5">
        <f>IF(M168&gt;0,T168*(-8000),0)</f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1.1612459518433673</v>
      </c>
      <c r="AM168" s="16">
        <f>INDEX('Team forecast'!$B$2:$AO$26,MATCH('Master data'!$B168,'Team forecast'!$B$2:$B$26,0),MATCH('Master data'!AM$1,'Team forecast'!$B$2:$AO$2,0))</f>
        <v>1.384389503157577</v>
      </c>
      <c r="AN168" s="16">
        <f>INDEX('Team forecast'!$B$2:$AO$26,MATCH('Master data'!$B168,'Team forecast'!$B$2:$B$26,0),MATCH('Master data'!AN$1,'Team forecast'!$B$2:$AO$2,0))</f>
        <v>0.25047666833918708</v>
      </c>
      <c r="AO168" s="16">
        <f>INDEX('Team forecast'!$B$2:$AO$26,MATCH('Master data'!$B168,'Team forecast'!$B$2:$B$26,0),MATCH('Master data'!AO$1,'Team forecast'!$B$2:$AO$2,0))</f>
        <v>2.9590785399382193</v>
      </c>
      <c r="AP168" s="16">
        <f>INDEX('Team forecast'!$B$2:$AO$26,MATCH('Master data'!$B168,'Team forecast'!$B$2:$B$26,0),MATCH('Master data'!AP$1,'Team forecast'!$B$2:$AO$2,0))</f>
        <v>3.8704410757292824</v>
      </c>
      <c r="AQ168" s="5">
        <f>X168</f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>IF($C168="Defense",$N168*150000,IF($C168="Midfield",$N168*125000,IF($C168="Striker",$N168*100000,0)))*$AL168</f>
        <v>0</v>
      </c>
      <c r="AV168" s="5">
        <f>$O168*50000*AL168</f>
        <v>0</v>
      </c>
      <c r="AW168" s="5">
        <f>$P168*AO168*10000</f>
        <v>0</v>
      </c>
      <c r="AX168" s="5">
        <f>IF($C168="Goalkeeper",AN168*75000,IF($C168="Defense",AN168*50000,0))</f>
        <v>0</v>
      </c>
      <c r="AY168" s="5">
        <f>IF($C168="Goalkeeper",(AP168-AM168)*5000,0)</f>
        <v>0</v>
      </c>
      <c r="AZ168" s="5">
        <f>$AG168</f>
        <v>0</v>
      </c>
      <c r="BA168" s="5">
        <f>$AH168</f>
        <v>0</v>
      </c>
      <c r="BB168" s="5">
        <f>IF(X168&gt;0,AL168*10000,0)</f>
        <v>0</v>
      </c>
      <c r="BC168" s="5">
        <f>IF(X168&gt;0,AM168*(-8000),0)</f>
        <v>0</v>
      </c>
      <c r="BD168" s="5">
        <f>IFERROR(SUM(AQ168:BC168),0)</f>
        <v>-5000</v>
      </c>
      <c r="BE168" s="16">
        <f>INDEX('Team forecast'!$B$2:$AO$26,MATCH('Master data'!$B168,'Team forecast'!$B$2:$B$26,0),MATCH('Master data'!BE$1,'Team forecast'!$B$2:$AO$2,0))</f>
        <v>1.0107278258414167</v>
      </c>
      <c r="BF168" s="16">
        <f>INDEX('Team forecast'!$B$2:$AO$26,MATCH('Master data'!$B168,'Team forecast'!$B$2:$B$26,0),MATCH('Master data'!BF$1,'Team forecast'!$B$2:$AO$2,0))</f>
        <v>1.2965069481471114</v>
      </c>
      <c r="BG168" s="16">
        <f>INDEX('Team forecast'!$B$2:$AO$26,MATCH('Master data'!$B168,'Team forecast'!$B$2:$B$26,0),MATCH('Master data'!BG$1,'Team forecast'!$B$2:$AO$2,0))</f>
        <v>0.27348542529246672</v>
      </c>
      <c r="BH168" s="16">
        <f>INDEX('Team forecast'!$B$2:$AO$26,MATCH('Master data'!$B168,'Team forecast'!$B$2:$B$26,0),MATCH('Master data'!BH$1,'Team forecast'!$B$2:$AO$2,0))</f>
        <v>2.5755293393428875</v>
      </c>
      <c r="BI168" s="16">
        <f>INDEX('Team forecast'!$B$2:$AO$26,MATCH('Master data'!$B168,'Team forecast'!$B$2:$B$26,0),MATCH('Master data'!BI$1,'Team forecast'!$B$2:$AO$2,0))</f>
        <v>3.6247412564394597</v>
      </c>
      <c r="BJ168" s="5">
        <f>AQ168</f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>IF($C168="Defense",$N168*150000,IF($C168="Midfield",$N168*125000,IF($C168="Striker",$N168*100000,0)))*$BE168</f>
        <v>0</v>
      </c>
      <c r="BO168" s="5">
        <f>$O168*50000*$BE168</f>
        <v>0</v>
      </c>
      <c r="BP168" s="5">
        <f>$P168*BH168*10000</f>
        <v>0</v>
      </c>
      <c r="BQ168" s="5">
        <f>IF($C168="Goalkeeper",BG168*75000,IF($C168="Defense",BG168*50000,0))</f>
        <v>0</v>
      </c>
      <c r="BR168" s="5">
        <f>IF($C168="Goalkeeper",(BI168-BF168)*5000,0)</f>
        <v>0</v>
      </c>
      <c r="BS168" s="5">
        <f>$AG168</f>
        <v>0</v>
      </c>
      <c r="BT168" s="5">
        <f>$AH168</f>
        <v>0</v>
      </c>
      <c r="BU168" s="5">
        <f>IF(AQ168&gt;0,BE168*10000,0)</f>
        <v>0</v>
      </c>
      <c r="BV168" s="5">
        <f>IF(AQ168&gt;0,BF168*(-8000),0)</f>
        <v>0</v>
      </c>
      <c r="BW168" s="5">
        <f>IFERROR(SUM(BJ168:BV168),0)</f>
        <v>-5000</v>
      </c>
      <c r="BX168" s="5">
        <f>AVERAGE(AK168,BD168,BW168)</f>
        <v>-5000</v>
      </c>
      <c r="BY168" s="5">
        <f>BX168*3</f>
        <v>-15000</v>
      </c>
      <c r="BZ168" s="5">
        <f>INDEX('Team forecast'!$R$3:$BH$26,MATCH($B168,'Team forecast'!$B$3:$B$26,0),MATCH(BZ$1,'Team forecast'!$R$2:$BH$2,0))*($BX168-(BY168+CH168)*0.01)</f>
        <v>-29964.793355695438</v>
      </c>
      <c r="CA168" s="5">
        <f>INDEX('Team forecast'!$R$3:$BH$26,MATCH($B168,'Team forecast'!$B$3:$B$26,0),MATCH(CA$1,'Team forecast'!$R$2:$BH$2,0))*($BX168-(BY168+BX168+CH168)*0.01)</f>
        <v>-15251.108441317754</v>
      </c>
      <c r="CB168" s="5">
        <f>INDEX('Team forecast'!$R$3:$BH$26,MATCH($B168,'Team forecast'!$B$3:$B$26,0),MATCH(CB$1,'Team forecast'!$R$2:$BH$2,0))*($BX168-(BY168+BX168*2+CH168)*0.01)</f>
        <v>-7886.232317373876</v>
      </c>
      <c r="CC168" s="5">
        <f>INDEX('Team forecast'!$R$3:$BH$26,MATCH($B168,'Team forecast'!$B$3:$B$26,0),MATCH(CC$1,'Team forecast'!$R$2:$BH$2,0))*($BX168-(BY168+BX168*3+CH168)*0.01)</f>
        <v>-4286.2084112212397</v>
      </c>
      <c r="CD168" s="5">
        <f>+AK168+BD168*Cockpit!$C$3+BW168*Cockpit!$C$3^2+BZ168*Cockpit!$C$3^3+CA168*Cockpit!$C$3^4+CB168*Cockpit!$C$3^5+CC168*Cockpit!$C$3^6</f>
        <v>-23861.386311613198</v>
      </c>
      <c r="CE168" s="5"/>
      <c r="CF168" s="5"/>
      <c r="CG168" s="5">
        <v>0</v>
      </c>
      <c r="CH168" s="5">
        <f t="shared" si="49"/>
        <v>3500000</v>
      </c>
      <c r="CI168" s="5">
        <f t="shared" si="50"/>
        <v>3500000</v>
      </c>
      <c r="CJ168" s="1">
        <f t="shared" si="51"/>
        <v>-4.2857142857142859E-3</v>
      </c>
      <c r="CK168" s="5">
        <f>RANK(BY168,$BY$2:$BY$623)+COUNTIF($BY$2:$BY168,$BY168)-1</f>
        <v>473</v>
      </c>
      <c r="CL168" s="5">
        <f>RANK(CJ168,$CJ$2:$CJ$623)+COUNTIF($CJ$2:$CJ168,$CJ168)-1</f>
        <v>467</v>
      </c>
    </row>
    <row r="169" spans="1:90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1.7533592214060363</v>
      </c>
      <c r="I169" s="16">
        <f>INDEX('Team forecast'!$B$2:$AO$26,MATCH('Master data'!$B169,'Team forecast'!$B$2:$B$26,0),MATCH('Master data'!I$1,'Team forecast'!$B$2:$AO$2,0))</f>
        <v>0.63639779406972985</v>
      </c>
      <c r="J169" s="16">
        <f>INDEX('Team forecast'!$B$2:$AO$26,MATCH('Master data'!$B169,'Team forecast'!$B$2:$B$26,0),MATCH('Master data'!J$1,'Team forecast'!$B$2:$AO$2,0))</f>
        <v>0.52919526509499659</v>
      </c>
      <c r="K169" s="16">
        <f>INDEX('Team forecast'!$B$2:$AO$26,MATCH('Master data'!$B169,'Team forecast'!$B$2:$B$26,0),MATCH('Master data'!K$1,'Team forecast'!$B$2:$AO$2,0))</f>
        <v>4.835748720224867</v>
      </c>
      <c r="L169" s="16">
        <f>INDEX('Team forecast'!$B$2:$AO$26,MATCH('Master data'!$B169,'Team forecast'!$B$2:$B$26,0),MATCH('Master data'!L$1,'Team forecast'!$B$2:$AO$2,0))</f>
        <v>2.0891846775016383</v>
      </c>
      <c r="M169">
        <f>IF(Players!BC170=1,95,0)</f>
        <v>0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>H169</f>
        <v>1.7533592214060363</v>
      </c>
      <c r="T169" s="2">
        <f>I169</f>
        <v>0.63639779406972985</v>
      </c>
      <c r="U169" s="16">
        <f>INDEX('Team forecast'!$B$2:$AO$26,MATCH('Master data'!$B169,'Team forecast'!$B$2:$B$26,0),MATCH('Master data'!U$1,'Team forecast'!$B$2:$AO$2,0))</f>
        <v>0.68039391226499568</v>
      </c>
      <c r="V169" s="16">
        <f>INDEX('Team forecast'!$B$2:$AO$26,MATCH('Master data'!$B169,'Team forecast'!$B$2:$B$26,0),MATCH('Master data'!V$1,'Team forecast'!$B$2:$AO$2,0))</f>
        <v>0.20053715308863029</v>
      </c>
      <c r="W169" s="16">
        <f>INDEX('Team forecast'!$B$2:$AO$26,MATCH('Master data'!$B169,'Team forecast'!$B$2:$B$26,0),MATCH('Master data'!W$1,'Team forecast'!$B$2:$AO$2,0))</f>
        <v>0.11906893464637421</v>
      </c>
      <c r="X169" s="5">
        <f>IF(M169&gt;95,7000*2,IF(M169&gt;0,7000,-5000))</f>
        <v>-5000</v>
      </c>
      <c r="Y169" s="5">
        <f>IF($X169&gt;0,U169*25000,0)</f>
        <v>0</v>
      </c>
      <c r="Z169" s="5">
        <f>IF($X169&gt;0,V169*5000,0)</f>
        <v>0</v>
      </c>
      <c r="AA169" s="5">
        <f>IF($X169&gt;0,W169*(-15000),0)</f>
        <v>0</v>
      </c>
      <c r="AB169" s="5">
        <f>IF($C169="Defense",$N169*150000,IF($C169="Midfield",$N169*125000,IF($C169="Striker",$N169*100000,0)))*$H169</f>
        <v>0</v>
      </c>
      <c r="AC169" s="5">
        <f>$O169*50000*H169</f>
        <v>0</v>
      </c>
      <c r="AD169" s="5">
        <f>$P169*K169*10000</f>
        <v>0</v>
      </c>
      <c r="AE169" s="5">
        <f>IF($C169="Goalkeeper",J169*75000,IF($C169="Defense",J169*50000,0))</f>
        <v>39689.644882124747</v>
      </c>
      <c r="AF169" s="5">
        <f>IF($C169="Goalkeeper",(L169-I169)*5000,0)</f>
        <v>7263.9344171595421</v>
      </c>
      <c r="AG169" s="5">
        <f>IF(M169&gt;0,Q169*(-20000),0)</f>
        <v>0</v>
      </c>
      <c r="AH169" s="5">
        <f>IF(M169&gt;0,R169*(-50000),0)</f>
        <v>0</v>
      </c>
      <c r="AI169" s="5">
        <f>IF(M169&gt;0,S169*10000,0)</f>
        <v>0</v>
      </c>
      <c r="AJ169" s="5">
        <f>IF(M169&gt;0,T169*(-8000),0)</f>
        <v>0</v>
      </c>
      <c r="AK169" s="5">
        <f>IFERROR(SUM(X169:AJ169),-5000)*((Cockpit!$C$3)^0)</f>
        <v>41953.579299284291</v>
      </c>
      <c r="AL169" s="16">
        <f>INDEX('Team forecast'!$B$2:$AO$26,MATCH('Master data'!$B169,'Team forecast'!$B$2:$B$26,0),MATCH('Master data'!AL$1,'Team forecast'!$B$2:$AO$2,0))</f>
        <v>1.9080439968215523</v>
      </c>
      <c r="AM169" s="16">
        <f>INDEX('Team forecast'!$B$2:$AO$26,MATCH('Master data'!$B169,'Team forecast'!$B$2:$B$26,0),MATCH('Master data'!AM$1,'Team forecast'!$B$2:$AO$2,0))</f>
        <v>0.77817916464933856</v>
      </c>
      <c r="AN169" s="16">
        <f>INDEX('Team forecast'!$B$2:$AO$26,MATCH('Master data'!$B169,'Team forecast'!$B$2:$B$26,0),MATCH('Master data'!AN$1,'Team forecast'!$B$2:$AO$2,0))</f>
        <v>0.459241453546125</v>
      </c>
      <c r="AO169" s="16">
        <f>INDEX('Team forecast'!$B$2:$AO$26,MATCH('Master data'!$B169,'Team forecast'!$B$2:$B$26,0),MATCH('Master data'!AO$1,'Team forecast'!$B$2:$AO$2,0))</f>
        <v>5.26236791817451</v>
      </c>
      <c r="AP169" s="16">
        <f>INDEX('Team forecast'!$B$2:$AO$26,MATCH('Master data'!$B169,'Team forecast'!$B$2:$B$26,0),MATCH('Master data'!AP$1,'Team forecast'!$B$2:$AO$2,0))</f>
        <v>2.5546285708185357</v>
      </c>
      <c r="AQ169" s="5">
        <f>X169</f>
        <v>-5000</v>
      </c>
      <c r="AR169" s="5">
        <f>INDEX('Team forecast'!$B$2:$AO$26,MATCH('Master data'!$B169,'Team forecast'!$B$2:$B$26,0),MATCH('Master data'!AR$1,'Team forecast'!$B$2:$AO$2,0))*IF(X169&gt;0,25000,0)</f>
        <v>0</v>
      </c>
      <c r="AS169" s="16">
        <f>INDEX('Team forecast'!$B$2:$AO$26,MATCH('Master data'!$B169,'Team forecast'!$B$2:$B$26,0),MATCH('Master data'!AS$1,'Team forecast'!$B$2:$AO$2,0))*IF(X169&gt;0,5000,0)</f>
        <v>0</v>
      </c>
      <c r="AT169" s="16">
        <f>INDEX('Team forecast'!$B$2:$AO$26,MATCH('Master data'!$B169,'Team forecast'!$B$2:$B$26,0),MATCH('Master data'!AT$1,'Team forecast'!$B$2:$AO$2,0))*IF(X169&gt;0,-15000,0)</f>
        <v>0</v>
      </c>
      <c r="AU169" s="5">
        <f>IF($C169="Defense",$N169*150000,IF($C169="Midfield",$N169*125000,IF($C169="Striker",$N169*100000,0)))*$AL169</f>
        <v>0</v>
      </c>
      <c r="AV169" s="5">
        <f>$O169*50000*AL169</f>
        <v>0</v>
      </c>
      <c r="AW169" s="5">
        <f>$P169*AO169*10000</f>
        <v>0</v>
      </c>
      <c r="AX169" s="5">
        <f>IF($C169="Goalkeeper",AN169*75000,IF($C169="Defense",AN169*50000,0))</f>
        <v>34443.109015959373</v>
      </c>
      <c r="AY169" s="5">
        <f>IF($C169="Goalkeeper",(AP169-AM169)*5000,0)</f>
        <v>8882.2470308459851</v>
      </c>
      <c r="AZ169" s="5">
        <f>$AG169</f>
        <v>0</v>
      </c>
      <c r="BA169" s="5">
        <f>$AH169</f>
        <v>0</v>
      </c>
      <c r="BB169" s="5">
        <f>IF(X169&gt;0,AL169*10000,0)</f>
        <v>0</v>
      </c>
      <c r="BC169" s="5">
        <f>IF(X169&gt;0,AM169*(-8000),0)</f>
        <v>0</v>
      </c>
      <c r="BD169" s="5">
        <f>IFERROR(SUM(AQ169:BC169),0)</f>
        <v>38325.356046805362</v>
      </c>
      <c r="BE169" s="16">
        <f>INDEX('Team forecast'!$B$2:$AO$26,MATCH('Master data'!$B169,'Team forecast'!$B$2:$B$26,0),MATCH('Master data'!BE$1,'Team forecast'!$B$2:$AO$2,0))</f>
        <v>2.3513752571634776</v>
      </c>
      <c r="BF169" s="16">
        <f>INDEX('Team forecast'!$B$2:$AO$26,MATCH('Master data'!$B169,'Team forecast'!$B$2:$B$26,0),MATCH('Master data'!BF$1,'Team forecast'!$B$2:$AO$2,0))</f>
        <v>0.56161379059809569</v>
      </c>
      <c r="BG169" s="16">
        <f>INDEX('Team forecast'!$B$2:$AO$26,MATCH('Master data'!$B169,'Team forecast'!$B$2:$B$26,0),MATCH('Master data'!BG$1,'Team forecast'!$B$2:$AO$2,0))</f>
        <v>0.57028799543769604</v>
      </c>
      <c r="BH169" s="16">
        <f>INDEX('Team forecast'!$B$2:$AO$26,MATCH('Master data'!$B169,'Team forecast'!$B$2:$B$26,0),MATCH('Master data'!BH$1,'Team forecast'!$B$2:$AO$2,0))</f>
        <v>6.4850714855102307</v>
      </c>
      <c r="BI169" s="16">
        <f>INDEX('Team forecast'!$B$2:$AO$26,MATCH('Master data'!$B169,'Team forecast'!$B$2:$B$26,0),MATCH('Master data'!BI$1,'Team forecast'!$B$2:$AO$2,0))</f>
        <v>1.8436816358018293</v>
      </c>
      <c r="BJ169" s="5">
        <f>AQ169</f>
        <v>-5000</v>
      </c>
      <c r="BK169" s="5">
        <f>INDEX('Team forecast'!$R$3:$BH$26,MATCH($B169,'Team forecast'!$B$3:$B$26,0),MATCH(BK$1,'Team forecast'!$R$2:$BH$2,0))*IF($X169&gt;0,25000,0)</f>
        <v>0</v>
      </c>
      <c r="BL169" s="5">
        <f>INDEX('Team forecast'!$R$3:$BH$26,MATCH($B169,'Team forecast'!$B$3:$B$26,0),MATCH(BL$1,'Team forecast'!$R$2:$BH$2,0))*IF($X169&gt;0,5000,0)</f>
        <v>0</v>
      </c>
      <c r="BM169" s="5">
        <f>INDEX('Team forecast'!$R$3:$BH$26,MATCH($B169,'Team forecast'!$B$3:$B$26,0),MATCH(BM$1,'Team forecast'!$R$2:$BH$2,0))*IF($X169&gt;0,-15000,0)</f>
        <v>0</v>
      </c>
      <c r="BN169" s="5">
        <f>IF($C169="Defense",$N169*150000,IF($C169="Midfield",$N169*125000,IF($C169="Striker",$N169*100000,0)))*$BE169</f>
        <v>0</v>
      </c>
      <c r="BO169" s="5">
        <f>$O169*50000*$BE169</f>
        <v>0</v>
      </c>
      <c r="BP169" s="5">
        <f>$P169*BH169*10000</f>
        <v>0</v>
      </c>
      <c r="BQ169" s="5">
        <f>IF($C169="Goalkeeper",BG169*75000,IF($C169="Defense",BG169*50000,0))</f>
        <v>42771.599657827202</v>
      </c>
      <c r="BR169" s="5">
        <f>IF($C169="Goalkeeper",(BI169-BF169)*5000,0)</f>
        <v>6410.3392260186683</v>
      </c>
      <c r="BS169" s="5">
        <f>$AG169</f>
        <v>0</v>
      </c>
      <c r="BT169" s="5">
        <f>$AH169</f>
        <v>0</v>
      </c>
      <c r="BU169" s="5">
        <f>IF(AQ169&gt;0,BE169*10000,0)</f>
        <v>0</v>
      </c>
      <c r="BV169" s="5">
        <f>IF(AQ169&gt;0,BF169*(-8000),0)</f>
        <v>0</v>
      </c>
      <c r="BW169" s="5">
        <f>IFERROR(SUM(BJ169:BV169),0)</f>
        <v>44181.938883845869</v>
      </c>
      <c r="BX169" s="5">
        <f>AVERAGE(AK169,BD169,BW169)</f>
        <v>41486.958076645176</v>
      </c>
      <c r="BY169" s="5">
        <f>BX169*3</f>
        <v>124460.87422993552</v>
      </c>
      <c r="BZ169" s="5">
        <f>INDEX('Team forecast'!$R$3:$BH$26,MATCH($B169,'Team forecast'!$B$3:$B$26,0),MATCH(BZ$1,'Team forecast'!$R$2:$BH$2,0))*($BX169-(BY169+CH169)*0.01)</f>
        <v>-14267.394061684243</v>
      </c>
      <c r="CA169" s="5">
        <f>INDEX('Team forecast'!$R$3:$BH$26,MATCH($B169,'Team forecast'!$B$3:$B$26,0),MATCH(CA$1,'Team forecast'!$R$2:$BH$2,0))*($BX169-(BY169+BX169+CH169)*0.01)</f>
        <v>-7433.1853626911916</v>
      </c>
      <c r="CB169" s="5">
        <f>INDEX('Team forecast'!$R$3:$BH$26,MATCH($B169,'Team forecast'!$B$3:$B$26,0),MATCH(CB$1,'Team forecast'!$R$2:$BH$2,0))*($BX169-(BY169+BX169*2+CH169)*0.01)</f>
        <v>-3913.8879798600656</v>
      </c>
      <c r="CC169" s="5">
        <f>INDEX('Team forecast'!$R$3:$BH$26,MATCH($B169,'Team forecast'!$B$3:$B$26,0),MATCH(CC$1,'Team forecast'!$R$2:$BH$2,0))*($BX169-(BY169+BX169*3+CH169)*0.01)</f>
        <v>-2135.6777572334649</v>
      </c>
      <c r="CD169" s="5">
        <f>+AK169+BD169*Cockpit!$C$3+BW169*Cockpit!$C$3^2+BZ169*Cockpit!$C$3^3+CA169*Cockpit!$C$3^4+CB169*Cockpit!$C$3^5+CC169*Cockpit!$C$3^6</f>
        <v>80741.67093856087</v>
      </c>
      <c r="CE169" s="5"/>
      <c r="CF169" s="5"/>
      <c r="CG169" s="5">
        <v>0</v>
      </c>
      <c r="CH169" s="5">
        <f t="shared" si="49"/>
        <v>5500000</v>
      </c>
      <c r="CI169" s="5">
        <f t="shared" si="50"/>
        <v>5500000</v>
      </c>
      <c r="CJ169" s="1">
        <f t="shared" si="51"/>
        <v>2.2629249859988276E-2</v>
      </c>
      <c r="CK169" s="5">
        <f>RANK(BY169,$BY$2:$BY$623)+COUNTIF($BY$2:$BY169,$BY169)-1</f>
        <v>123</v>
      </c>
      <c r="CL169" s="5">
        <f>RANK(CJ169,$CJ$2:$CJ$623)+COUNTIF($CJ$2:$CJ169,$CJ169)-1</f>
        <v>235</v>
      </c>
    </row>
    <row r="170" spans="1:90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1.7533592214060363</v>
      </c>
      <c r="I170" s="16">
        <f>INDEX('Team forecast'!$B$2:$AO$26,MATCH('Master data'!$B170,'Team forecast'!$B$2:$B$26,0),MATCH('Master data'!I$1,'Team forecast'!$B$2:$AO$2,0))</f>
        <v>0.63639779406972985</v>
      </c>
      <c r="J170" s="16">
        <f>INDEX('Team forecast'!$B$2:$AO$26,MATCH('Master data'!$B170,'Team forecast'!$B$2:$B$26,0),MATCH('Master data'!J$1,'Team forecast'!$B$2:$AO$2,0))</f>
        <v>0.52919526509499659</v>
      </c>
      <c r="K170" s="16">
        <f>INDEX('Team forecast'!$B$2:$AO$26,MATCH('Master data'!$B170,'Team forecast'!$B$2:$B$26,0),MATCH('Master data'!K$1,'Team forecast'!$B$2:$AO$2,0))</f>
        <v>4.835748720224867</v>
      </c>
      <c r="L170" s="16">
        <f>INDEX('Team forecast'!$B$2:$AO$26,MATCH('Master data'!$B170,'Team forecast'!$B$2:$B$26,0),MATCH('Master data'!L$1,'Team forecast'!$B$2:$AO$2,0))</f>
        <v>2.0891846775016383</v>
      </c>
      <c r="M170">
        <f>IF(Players!BC171=1,95,0)</f>
        <v>0</v>
      </c>
      <c r="N170" s="2">
        <f>Players!BN171</f>
        <v>0</v>
      </c>
      <c r="O170" s="2">
        <f>Players!BO171</f>
        <v>0</v>
      </c>
      <c r="P170" s="2">
        <f>Players!BP171</f>
        <v>0</v>
      </c>
      <c r="Q170" s="2">
        <f>Players!BQ171</f>
        <v>3.3507073715562177E-2</v>
      </c>
      <c r="R170" s="2">
        <f>Players!BR171</f>
        <v>0</v>
      </c>
      <c r="S170" s="2">
        <f>H170</f>
        <v>1.7533592214060363</v>
      </c>
      <c r="T170" s="2">
        <f>I170</f>
        <v>0.63639779406972985</v>
      </c>
      <c r="U170" s="16">
        <f>INDEX('Team forecast'!$B$2:$AO$26,MATCH('Master data'!$B170,'Team forecast'!$B$2:$B$26,0),MATCH('Master data'!U$1,'Team forecast'!$B$2:$AO$2,0))</f>
        <v>0.68039391226499568</v>
      </c>
      <c r="V170" s="16">
        <f>INDEX('Team forecast'!$B$2:$AO$26,MATCH('Master data'!$B170,'Team forecast'!$B$2:$B$26,0),MATCH('Master data'!V$1,'Team forecast'!$B$2:$AO$2,0))</f>
        <v>0.20053715308863029</v>
      </c>
      <c r="W170" s="16">
        <f>INDEX('Team forecast'!$B$2:$AO$26,MATCH('Master data'!$B170,'Team forecast'!$B$2:$B$26,0),MATCH('Master data'!W$1,'Team forecast'!$B$2:$AO$2,0))</f>
        <v>0.11906893464637421</v>
      </c>
      <c r="X170" s="5">
        <f>IF(M170&gt;95,7000*2,IF(M170&gt;0,7000,-5000))</f>
        <v>-5000</v>
      </c>
      <c r="Y170" s="5">
        <f>IF($X170&gt;0,U170*25000,0)</f>
        <v>0</v>
      </c>
      <c r="Z170" s="5">
        <f>IF($X170&gt;0,V170*5000,0)</f>
        <v>0</v>
      </c>
      <c r="AA170" s="5">
        <f>IF($X170&gt;0,W170*(-15000),0)</f>
        <v>0</v>
      </c>
      <c r="AB170" s="5">
        <f>IF($C170="Defense",$N170*150000,IF($C170="Midfield",$N170*125000,IF($C170="Striker",$N170*100000,0)))*$H170</f>
        <v>0</v>
      </c>
      <c r="AC170" s="5">
        <f>$O170*50000*H170</f>
        <v>0</v>
      </c>
      <c r="AD170" s="5">
        <f>$P170*K170*10000</f>
        <v>0</v>
      </c>
      <c r="AE170" s="5">
        <f>IF($C170="Goalkeeper",J170*75000,IF($C170="Defense",J170*50000,0))</f>
        <v>26459.763254749829</v>
      </c>
      <c r="AF170" s="5">
        <f>IF($C170="Goalkeeper",(L170-I170)*5000,0)</f>
        <v>0</v>
      </c>
      <c r="AG170" s="5">
        <f>IF(M170&gt;0,Q170*(-20000),0)</f>
        <v>0</v>
      </c>
      <c r="AH170" s="5">
        <f>IF(M170&gt;0,R170*(-50000),0)</f>
        <v>0</v>
      </c>
      <c r="AI170" s="5">
        <f>IF(M170&gt;0,S170*10000,0)</f>
        <v>0</v>
      </c>
      <c r="AJ170" s="5">
        <f>IF(M170&gt;0,T170*(-8000),0)</f>
        <v>0</v>
      </c>
      <c r="AK170" s="5">
        <f>IFERROR(SUM(X170:AJ170),-5000)*((Cockpit!$C$3)^0)</f>
        <v>21459.763254749829</v>
      </c>
      <c r="AL170" s="16">
        <f>INDEX('Team forecast'!$B$2:$AO$26,MATCH('Master data'!$B170,'Team forecast'!$B$2:$B$26,0),MATCH('Master data'!AL$1,'Team forecast'!$B$2:$AO$2,0))</f>
        <v>1.9080439968215523</v>
      </c>
      <c r="AM170" s="16">
        <f>INDEX('Team forecast'!$B$2:$AO$26,MATCH('Master data'!$B170,'Team forecast'!$B$2:$B$26,0),MATCH('Master data'!AM$1,'Team forecast'!$B$2:$AO$2,0))</f>
        <v>0.77817916464933856</v>
      </c>
      <c r="AN170" s="16">
        <f>INDEX('Team forecast'!$B$2:$AO$26,MATCH('Master data'!$B170,'Team forecast'!$B$2:$B$26,0),MATCH('Master data'!AN$1,'Team forecast'!$B$2:$AO$2,0))</f>
        <v>0.459241453546125</v>
      </c>
      <c r="AO170" s="16">
        <f>INDEX('Team forecast'!$B$2:$AO$26,MATCH('Master data'!$B170,'Team forecast'!$B$2:$B$26,0),MATCH('Master data'!AO$1,'Team forecast'!$B$2:$AO$2,0))</f>
        <v>5.26236791817451</v>
      </c>
      <c r="AP170" s="16">
        <f>INDEX('Team forecast'!$B$2:$AO$26,MATCH('Master data'!$B170,'Team forecast'!$B$2:$B$26,0),MATCH('Master data'!AP$1,'Team forecast'!$B$2:$AO$2,0))</f>
        <v>2.5546285708185357</v>
      </c>
      <c r="AQ170" s="5">
        <f>X170</f>
        <v>-5000</v>
      </c>
      <c r="AR170" s="5">
        <f>INDEX('Team forecast'!$B$2:$AO$26,MATCH('Master data'!$B170,'Team forecast'!$B$2:$B$26,0),MATCH('Master data'!AR$1,'Team forecast'!$B$2:$AO$2,0))*IF(X170&gt;0,25000,0)</f>
        <v>0</v>
      </c>
      <c r="AS170" s="16">
        <f>INDEX('Team forecast'!$B$2:$AO$26,MATCH('Master data'!$B170,'Team forecast'!$B$2:$B$26,0),MATCH('Master data'!AS$1,'Team forecast'!$B$2:$AO$2,0))*IF(X170&gt;0,5000,0)</f>
        <v>0</v>
      </c>
      <c r="AT170" s="16">
        <f>INDEX('Team forecast'!$B$2:$AO$26,MATCH('Master data'!$B170,'Team forecast'!$B$2:$B$26,0),MATCH('Master data'!AT$1,'Team forecast'!$B$2:$AO$2,0))*IF(X170&gt;0,-15000,0)</f>
        <v>0</v>
      </c>
      <c r="AU170" s="5">
        <f>IF($C170="Defense",$N170*150000,IF($C170="Midfield",$N170*125000,IF($C170="Striker",$N170*100000,0)))*$AL170</f>
        <v>0</v>
      </c>
      <c r="AV170" s="5">
        <f>$O170*50000*AL170</f>
        <v>0</v>
      </c>
      <c r="AW170" s="5">
        <f>$P170*AO170*10000</f>
        <v>0</v>
      </c>
      <c r="AX170" s="5">
        <f>IF($C170="Goalkeeper",AN170*75000,IF($C170="Defense",AN170*50000,0))</f>
        <v>22962.072677306249</v>
      </c>
      <c r="AY170" s="5">
        <f>IF($C170="Goalkeeper",(AP170-AM170)*5000,0)</f>
        <v>0</v>
      </c>
      <c r="AZ170" s="5">
        <f>$AG170</f>
        <v>0</v>
      </c>
      <c r="BA170" s="5">
        <f>$AH170</f>
        <v>0</v>
      </c>
      <c r="BB170" s="5">
        <f>IF(X170&gt;0,AL170*10000,0)</f>
        <v>0</v>
      </c>
      <c r="BC170" s="5">
        <f>IF(X170&gt;0,AM170*(-8000),0)</f>
        <v>0</v>
      </c>
      <c r="BD170" s="5">
        <f>IFERROR(SUM(AQ170:BC170),0)</f>
        <v>17962.072677306249</v>
      </c>
      <c r="BE170" s="16">
        <f>INDEX('Team forecast'!$B$2:$AO$26,MATCH('Master data'!$B170,'Team forecast'!$B$2:$B$26,0),MATCH('Master data'!BE$1,'Team forecast'!$B$2:$AO$2,0))</f>
        <v>2.3513752571634776</v>
      </c>
      <c r="BF170" s="16">
        <f>INDEX('Team forecast'!$B$2:$AO$26,MATCH('Master data'!$B170,'Team forecast'!$B$2:$B$26,0),MATCH('Master data'!BF$1,'Team forecast'!$B$2:$AO$2,0))</f>
        <v>0.56161379059809569</v>
      </c>
      <c r="BG170" s="16">
        <f>INDEX('Team forecast'!$B$2:$AO$26,MATCH('Master data'!$B170,'Team forecast'!$B$2:$B$26,0),MATCH('Master data'!BG$1,'Team forecast'!$B$2:$AO$2,0))</f>
        <v>0.57028799543769604</v>
      </c>
      <c r="BH170" s="16">
        <f>INDEX('Team forecast'!$B$2:$AO$26,MATCH('Master data'!$B170,'Team forecast'!$B$2:$B$26,0),MATCH('Master data'!BH$1,'Team forecast'!$B$2:$AO$2,0))</f>
        <v>6.4850714855102307</v>
      </c>
      <c r="BI170" s="16">
        <f>INDEX('Team forecast'!$B$2:$AO$26,MATCH('Master data'!$B170,'Team forecast'!$B$2:$B$26,0),MATCH('Master data'!BI$1,'Team forecast'!$B$2:$AO$2,0))</f>
        <v>1.8436816358018293</v>
      </c>
      <c r="BJ170" s="5">
        <f>AQ170</f>
        <v>-5000</v>
      </c>
      <c r="BK170" s="5">
        <f>INDEX('Team forecast'!$R$3:$BH$26,MATCH($B170,'Team forecast'!$B$3:$B$26,0),MATCH(BK$1,'Team forecast'!$R$2:$BH$2,0))*IF($X170&gt;0,25000,0)</f>
        <v>0</v>
      </c>
      <c r="BL170" s="5">
        <f>INDEX('Team forecast'!$R$3:$BH$26,MATCH($B170,'Team forecast'!$B$3:$B$26,0),MATCH(BL$1,'Team forecast'!$R$2:$BH$2,0))*IF($X170&gt;0,5000,0)</f>
        <v>0</v>
      </c>
      <c r="BM170" s="5">
        <f>INDEX('Team forecast'!$R$3:$BH$26,MATCH($B170,'Team forecast'!$B$3:$B$26,0),MATCH(BM$1,'Team forecast'!$R$2:$BH$2,0))*IF($X170&gt;0,-15000,0)</f>
        <v>0</v>
      </c>
      <c r="BN170" s="5">
        <f>IF($C170="Defense",$N170*150000,IF($C170="Midfield",$N170*125000,IF($C170="Striker",$N170*100000,0)))*$BE170</f>
        <v>0</v>
      </c>
      <c r="BO170" s="5">
        <f>$O170*50000*$BE170</f>
        <v>0</v>
      </c>
      <c r="BP170" s="5">
        <f>$P170*BH170*10000</f>
        <v>0</v>
      </c>
      <c r="BQ170" s="5">
        <f>IF($C170="Goalkeeper",BG170*75000,IF($C170="Defense",BG170*50000,0))</f>
        <v>28514.3997718848</v>
      </c>
      <c r="BR170" s="5">
        <f>IF($C170="Goalkeeper",(BI170-BF170)*5000,0)</f>
        <v>0</v>
      </c>
      <c r="BS170" s="5">
        <f>$AG170</f>
        <v>0</v>
      </c>
      <c r="BT170" s="5">
        <f>$AH170</f>
        <v>0</v>
      </c>
      <c r="BU170" s="5">
        <f>IF(AQ170&gt;0,BE170*10000,0)</f>
        <v>0</v>
      </c>
      <c r="BV170" s="5">
        <f>IF(AQ170&gt;0,BF170*(-8000),0)</f>
        <v>0</v>
      </c>
      <c r="BW170" s="5">
        <f>IFERROR(SUM(BJ170:BV170),0)</f>
        <v>23514.3997718848</v>
      </c>
      <c r="BX170" s="5">
        <f>AVERAGE(AK170,BD170,BW170)</f>
        <v>20978.745234646962</v>
      </c>
      <c r="BY170" s="5">
        <f>BX170*3</f>
        <v>62936.235703940882</v>
      </c>
      <c r="BZ170" s="5">
        <f>INDEX('Team forecast'!$R$3:$BH$26,MATCH($B170,'Team forecast'!$B$3:$B$26,0),MATCH(BZ$1,'Team forecast'!$R$2:$BH$2,0))*($BX170-(BY170+CH170)*0.01)</f>
        <v>-14163.916226754358</v>
      </c>
      <c r="CA170" s="5">
        <f>INDEX('Team forecast'!$R$3:$BH$26,MATCH($B170,'Team forecast'!$B$3:$B$26,0),MATCH(CA$1,'Team forecast'!$R$2:$BH$2,0))*($BX170-(BY170+BX170+CH170)*0.01)</f>
        <v>-7280.2764454822409</v>
      </c>
      <c r="CB170" s="5">
        <f>INDEX('Team forecast'!$R$3:$BH$26,MATCH($B170,'Team forecast'!$B$3:$B$26,0),MATCH(CB$1,'Team forecast'!$R$2:$BH$2,0))*($BX170-(BY170+BX170*2+CH170)*0.01)</f>
        <v>-3784.0231163087947</v>
      </c>
      <c r="CC170" s="5">
        <f>INDEX('Team forecast'!$R$3:$BH$26,MATCH($B170,'Team forecast'!$B$3:$B$26,0),MATCH(CC$1,'Team forecast'!$R$2:$BH$2,0))*($BX170-(BY170+BX170*3+CH170)*0.01)</f>
        <v>-2039.2815460163645</v>
      </c>
      <c r="CD170" s="5">
        <f>+AK170+BD170*Cockpit!$C$3+BW170*Cockpit!$C$3^2+BZ170*Cockpit!$C$3^3+CA170*Cockpit!$C$3^4+CB170*Cockpit!$C$3^5+CC170*Cockpit!$C$3^6</f>
        <v>37573.1883521743</v>
      </c>
      <c r="CE170" s="5"/>
      <c r="CF170" s="5"/>
      <c r="CG170" s="5">
        <v>0</v>
      </c>
      <c r="CH170" s="5">
        <f t="shared" si="49"/>
        <v>3500000</v>
      </c>
      <c r="CI170" s="5">
        <f t="shared" si="50"/>
        <v>3500000</v>
      </c>
      <c r="CJ170" s="1">
        <f t="shared" si="51"/>
        <v>1.7981781629697394E-2</v>
      </c>
      <c r="CK170" s="5">
        <f>RANK(BY170,$BY$2:$BY$623)+COUNTIF($BY$2:$BY170,$BY170)-1</f>
        <v>258</v>
      </c>
      <c r="CL170" s="5">
        <f>RANK(CJ170,$CJ$2:$CJ$623)+COUNTIF($CJ$2:$CJ170,$CJ170)-1</f>
        <v>280</v>
      </c>
    </row>
    <row r="171" spans="1:90">
      <c r="A171" t="str">
        <f>Players!P172</f>
        <v>Diego Llorente</v>
      </c>
      <c r="B171" t="str">
        <f>Players!G172</f>
        <v>Spain</v>
      </c>
      <c r="C171" t="str">
        <f>Players!AB172</f>
        <v>Defense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3000000</v>
      </c>
      <c r="H171" s="16">
        <f>INDEX('Team forecast'!$B$2:$AO$26,MATCH('Master data'!$B171,'Team forecast'!$B$2:$B$26,0),MATCH('Master data'!H$1,'Team forecast'!$B$2:$AO$2,0))</f>
        <v>1.7533592214060363</v>
      </c>
      <c r="I171" s="16">
        <f>INDEX('Team forecast'!$B$2:$AO$26,MATCH('Master data'!$B171,'Team forecast'!$B$2:$B$26,0),MATCH('Master data'!I$1,'Team forecast'!$B$2:$AO$2,0))</f>
        <v>0.63639779406972985</v>
      </c>
      <c r="J171" s="16">
        <f>INDEX('Team forecast'!$B$2:$AO$26,MATCH('Master data'!$B171,'Team forecast'!$B$2:$B$26,0),MATCH('Master data'!J$1,'Team forecast'!$B$2:$AO$2,0))</f>
        <v>0.52919526509499659</v>
      </c>
      <c r="K171" s="16">
        <f>INDEX('Team forecast'!$B$2:$AO$26,MATCH('Master data'!$B171,'Team forecast'!$B$2:$B$26,0),MATCH('Master data'!K$1,'Team forecast'!$B$2:$AO$2,0))</f>
        <v>4.835748720224867</v>
      </c>
      <c r="L171" s="16">
        <f>INDEX('Team forecast'!$B$2:$AO$26,MATCH('Master data'!$B171,'Team forecast'!$B$2:$B$26,0),MATCH('Master data'!L$1,'Team forecast'!$B$2:$AO$2,0))</f>
        <v>2.0891846775016383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0.75474903474903476</v>
      </c>
      <c r="R171" s="2">
        <f>Players!BR172</f>
        <v>0</v>
      </c>
      <c r="S171" s="2">
        <f>H171</f>
        <v>1.7533592214060363</v>
      </c>
      <c r="T171" s="2">
        <f>I171</f>
        <v>0.63639779406972985</v>
      </c>
      <c r="U171" s="16">
        <f>INDEX('Team forecast'!$B$2:$AO$26,MATCH('Master data'!$B171,'Team forecast'!$B$2:$B$26,0),MATCH('Master data'!U$1,'Team forecast'!$B$2:$AO$2,0))</f>
        <v>0.68039391226499568</v>
      </c>
      <c r="V171" s="16">
        <f>INDEX('Team forecast'!$B$2:$AO$26,MATCH('Master data'!$B171,'Team forecast'!$B$2:$B$26,0),MATCH('Master data'!V$1,'Team forecast'!$B$2:$AO$2,0))</f>
        <v>0.20053715308863029</v>
      </c>
      <c r="W171" s="16">
        <f>INDEX('Team forecast'!$B$2:$AO$26,MATCH('Master data'!$B171,'Team forecast'!$B$2:$B$26,0),MATCH('Master data'!W$1,'Team forecast'!$B$2:$AO$2,0))</f>
        <v>0.11906893464637421</v>
      </c>
      <c r="X171" s="5">
        <f>IF(M171&gt;95,7000*2,IF(M171&gt;0,7000,-5000))</f>
        <v>-5000</v>
      </c>
      <c r="Y171" s="5">
        <f>IF($X171&gt;0,U171*25000,0)</f>
        <v>0</v>
      </c>
      <c r="Z171" s="5">
        <f>IF($X171&gt;0,V171*5000,0)</f>
        <v>0</v>
      </c>
      <c r="AA171" s="5">
        <f>IF($X171&gt;0,W171*(-15000),0)</f>
        <v>0</v>
      </c>
      <c r="AB171" s="5">
        <f>IF($C171="Defense",$N171*150000,IF($C171="Midfield",$N171*125000,IF($C171="Striker",$N171*100000,0)))*$H171</f>
        <v>0</v>
      </c>
      <c r="AC171" s="5">
        <f>$O171*50000*H171</f>
        <v>0</v>
      </c>
      <c r="AD171" s="5">
        <f>$P171*K171*10000</f>
        <v>0</v>
      </c>
      <c r="AE171" s="5">
        <f>IF($C171="Goalkeeper",J171*75000,IF($C171="Defense",J171*50000,0))</f>
        <v>26459.763254749829</v>
      </c>
      <c r="AF171" s="5">
        <f>IF($C171="Goalkeeper",(L171-I171)*5000,0)</f>
        <v>0</v>
      </c>
      <c r="AG171" s="5">
        <f>IF(M171&gt;0,Q171*(-20000),0)</f>
        <v>0</v>
      </c>
      <c r="AH171" s="5">
        <f>IF(M171&gt;0,R171*(-50000),0)</f>
        <v>0</v>
      </c>
      <c r="AI171" s="5">
        <f>IF(M171&gt;0,S171*10000,0)</f>
        <v>0</v>
      </c>
      <c r="AJ171" s="5">
        <f>IF(M171&gt;0,T171*(-8000),0)</f>
        <v>0</v>
      </c>
      <c r="AK171" s="5">
        <f>IFERROR(SUM(X171:AJ171),-5000)*((Cockpit!$C$3)^0)</f>
        <v>21459.763254749829</v>
      </c>
      <c r="AL171" s="16">
        <f>INDEX('Team forecast'!$B$2:$AO$26,MATCH('Master data'!$B171,'Team forecast'!$B$2:$B$26,0),MATCH('Master data'!AL$1,'Team forecast'!$B$2:$AO$2,0))</f>
        <v>1.9080439968215523</v>
      </c>
      <c r="AM171" s="16">
        <f>INDEX('Team forecast'!$B$2:$AO$26,MATCH('Master data'!$B171,'Team forecast'!$B$2:$B$26,0),MATCH('Master data'!AM$1,'Team forecast'!$B$2:$AO$2,0))</f>
        <v>0.77817916464933856</v>
      </c>
      <c r="AN171" s="16">
        <f>INDEX('Team forecast'!$B$2:$AO$26,MATCH('Master data'!$B171,'Team forecast'!$B$2:$B$26,0),MATCH('Master data'!AN$1,'Team forecast'!$B$2:$AO$2,0))</f>
        <v>0.459241453546125</v>
      </c>
      <c r="AO171" s="16">
        <f>INDEX('Team forecast'!$B$2:$AO$26,MATCH('Master data'!$B171,'Team forecast'!$B$2:$B$26,0),MATCH('Master data'!AO$1,'Team forecast'!$B$2:$AO$2,0))</f>
        <v>5.26236791817451</v>
      </c>
      <c r="AP171" s="16">
        <f>INDEX('Team forecast'!$B$2:$AO$26,MATCH('Master data'!$B171,'Team forecast'!$B$2:$B$26,0),MATCH('Master data'!AP$1,'Team forecast'!$B$2:$AO$2,0))</f>
        <v>2.5546285708185357</v>
      </c>
      <c r="AQ171" s="5">
        <f>X171</f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>IF($C171="Defense",$N171*150000,IF($C171="Midfield",$N171*125000,IF($C171="Striker",$N171*100000,0)))*$AL171</f>
        <v>0</v>
      </c>
      <c r="AV171" s="5">
        <f>$O171*50000*AL171</f>
        <v>0</v>
      </c>
      <c r="AW171" s="5">
        <f>$P171*AO171*10000</f>
        <v>0</v>
      </c>
      <c r="AX171" s="5">
        <f>IF($C171="Goalkeeper",AN171*75000,IF($C171="Defense",AN171*50000,0))</f>
        <v>22962.072677306249</v>
      </c>
      <c r="AY171" s="5">
        <f>IF($C171="Goalkeeper",(AP171-AM171)*5000,0)</f>
        <v>0</v>
      </c>
      <c r="AZ171" s="5">
        <f>$AG171</f>
        <v>0</v>
      </c>
      <c r="BA171" s="5">
        <f>$AH171</f>
        <v>0</v>
      </c>
      <c r="BB171" s="5">
        <f>IF(X171&gt;0,AL171*10000,0)</f>
        <v>0</v>
      </c>
      <c r="BC171" s="5">
        <f>IF(X171&gt;0,AM171*(-8000),0)</f>
        <v>0</v>
      </c>
      <c r="BD171" s="5">
        <f>IFERROR(SUM(AQ171:BC171),0)</f>
        <v>17962.072677306249</v>
      </c>
      <c r="BE171" s="16">
        <f>INDEX('Team forecast'!$B$2:$AO$26,MATCH('Master data'!$B171,'Team forecast'!$B$2:$B$26,0),MATCH('Master data'!BE$1,'Team forecast'!$B$2:$AO$2,0))</f>
        <v>2.3513752571634776</v>
      </c>
      <c r="BF171" s="16">
        <f>INDEX('Team forecast'!$B$2:$AO$26,MATCH('Master data'!$B171,'Team forecast'!$B$2:$B$26,0),MATCH('Master data'!BF$1,'Team forecast'!$B$2:$AO$2,0))</f>
        <v>0.56161379059809569</v>
      </c>
      <c r="BG171" s="16">
        <f>INDEX('Team forecast'!$B$2:$AO$26,MATCH('Master data'!$B171,'Team forecast'!$B$2:$B$26,0),MATCH('Master data'!BG$1,'Team forecast'!$B$2:$AO$2,0))</f>
        <v>0.57028799543769604</v>
      </c>
      <c r="BH171" s="16">
        <f>INDEX('Team forecast'!$B$2:$AO$26,MATCH('Master data'!$B171,'Team forecast'!$B$2:$B$26,0),MATCH('Master data'!BH$1,'Team forecast'!$B$2:$AO$2,0))</f>
        <v>6.4850714855102307</v>
      </c>
      <c r="BI171" s="16">
        <f>INDEX('Team forecast'!$B$2:$AO$26,MATCH('Master data'!$B171,'Team forecast'!$B$2:$B$26,0),MATCH('Master data'!BI$1,'Team forecast'!$B$2:$AO$2,0))</f>
        <v>1.8436816358018293</v>
      </c>
      <c r="BJ171" s="5">
        <f>AQ171</f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>IF($C171="Defense",$N171*150000,IF($C171="Midfield",$N171*125000,IF($C171="Striker",$N171*100000,0)))*$BE171</f>
        <v>0</v>
      </c>
      <c r="BO171" s="5">
        <f>$O171*50000*$BE171</f>
        <v>0</v>
      </c>
      <c r="BP171" s="5">
        <f>$P171*BH171*10000</f>
        <v>0</v>
      </c>
      <c r="BQ171" s="5">
        <f>IF($C171="Goalkeeper",BG171*75000,IF($C171="Defense",BG171*50000,0))</f>
        <v>28514.3997718848</v>
      </c>
      <c r="BR171" s="5">
        <f>IF($C171="Goalkeeper",(BI171-BF171)*5000,0)</f>
        <v>0</v>
      </c>
      <c r="BS171" s="5">
        <f>$AG171</f>
        <v>0</v>
      </c>
      <c r="BT171" s="5">
        <f>$AH171</f>
        <v>0</v>
      </c>
      <c r="BU171" s="5">
        <f>IF(AQ171&gt;0,BE171*10000,0)</f>
        <v>0</v>
      </c>
      <c r="BV171" s="5">
        <f>IF(AQ171&gt;0,BF171*(-8000),0)</f>
        <v>0</v>
      </c>
      <c r="BW171" s="5">
        <f>IFERROR(SUM(BJ171:BV171),0)</f>
        <v>23514.3997718848</v>
      </c>
      <c r="BX171" s="5">
        <f>AVERAGE(AK171,BD171,BW171)</f>
        <v>20978.745234646962</v>
      </c>
      <c r="BY171" s="5">
        <f>BX171*3</f>
        <v>62936.235703940882</v>
      </c>
      <c r="BZ171" s="5">
        <f>INDEX('Team forecast'!$R$3:$BH$26,MATCH($B171,'Team forecast'!$B$3:$B$26,0),MATCH(BZ$1,'Team forecast'!$R$2:$BH$2,0))*($BX171-(BY171+CH171)*0.01)</f>
        <v>-9330.0187504815676</v>
      </c>
      <c r="CA171" s="5">
        <f>INDEX('Team forecast'!$R$3:$BH$26,MATCH($B171,'Team forecast'!$B$3:$B$26,0),MATCH(CA$1,'Team forecast'!$R$2:$BH$2,0))*($BX171-(BY171+BX171+CH171)*0.01)</f>
        <v>-4830.721183084499</v>
      </c>
      <c r="CB171" s="5">
        <f>INDEX('Team forecast'!$R$3:$BH$26,MATCH($B171,'Team forecast'!$B$3:$B$26,0),MATCH(CB$1,'Team forecast'!$R$2:$BH$2,0))*($BX171-(BY171+BX171*2+CH171)*0.01)</f>
        <v>-2528.5569916874765</v>
      </c>
      <c r="CC171" s="5">
        <f>INDEX('Team forecast'!$R$3:$BH$26,MATCH($B171,'Team forecast'!$B$3:$B$26,0),MATCH(CC$1,'Team forecast'!$R$2:$BH$2,0))*($BX171-(BY171+BX171*3+CH171)*0.01)</f>
        <v>-1371.9764790293934</v>
      </c>
      <c r="CD171" s="5">
        <f>+AK171+BD171*Cockpit!$C$3+BW171*Cockpit!$C$3^2+BZ171*Cockpit!$C$3^3+CA171*Cockpit!$C$3^4+CB171*Cockpit!$C$3^5+CC171*Cockpit!$C$3^6</f>
        <v>39713.229620913677</v>
      </c>
      <c r="CE171" s="5"/>
      <c r="CF171" s="5"/>
      <c r="CG171" s="5">
        <v>0</v>
      </c>
      <c r="CH171" s="5">
        <f t="shared" si="49"/>
        <v>3000000</v>
      </c>
      <c r="CI171" s="5">
        <f t="shared" si="50"/>
        <v>3000000</v>
      </c>
      <c r="CJ171" s="1">
        <f t="shared" si="51"/>
        <v>2.0978745234646962E-2</v>
      </c>
      <c r="CK171" s="5">
        <f>RANK(BY171,$BY$2:$BY$623)+COUNTIF($BY$2:$BY171,$BY171)-1</f>
        <v>259</v>
      </c>
      <c r="CL171" s="5">
        <f>RANK(CJ171,$CJ$2:$CJ$623)+COUNTIF($CJ$2:$CJ171,$CJ171)-1</f>
        <v>251</v>
      </c>
    </row>
    <row r="172" spans="1:90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1.7533592214060363</v>
      </c>
      <c r="I172" s="16">
        <f>INDEX('Team forecast'!$B$2:$AO$26,MATCH('Master data'!$B172,'Team forecast'!$B$2:$B$26,0),MATCH('Master data'!I$1,'Team forecast'!$B$2:$AO$2,0))</f>
        <v>0.63639779406972985</v>
      </c>
      <c r="J172" s="16">
        <f>INDEX('Team forecast'!$B$2:$AO$26,MATCH('Master data'!$B172,'Team forecast'!$B$2:$B$26,0),MATCH('Master data'!J$1,'Team forecast'!$B$2:$AO$2,0))</f>
        <v>0.52919526509499659</v>
      </c>
      <c r="K172" s="16">
        <f>INDEX('Team forecast'!$B$2:$AO$26,MATCH('Master data'!$B172,'Team forecast'!$B$2:$B$26,0),MATCH('Master data'!K$1,'Team forecast'!$B$2:$AO$2,0))</f>
        <v>4.835748720224867</v>
      </c>
      <c r="L172" s="16">
        <f>INDEX('Team forecast'!$B$2:$AO$26,MATCH('Master data'!$B172,'Team forecast'!$B$2:$B$26,0),MATCH('Master data'!L$1,'Team forecast'!$B$2:$AO$2,0))</f>
        <v>2.0891846775016383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>H172</f>
        <v>1.7533592214060363</v>
      </c>
      <c r="T172" s="2">
        <f>I172</f>
        <v>0.63639779406972985</v>
      </c>
      <c r="U172" s="16">
        <f>INDEX('Team forecast'!$B$2:$AO$26,MATCH('Master data'!$B172,'Team forecast'!$B$2:$B$26,0),MATCH('Master data'!U$1,'Team forecast'!$B$2:$AO$2,0))</f>
        <v>0.68039391226499568</v>
      </c>
      <c r="V172" s="16">
        <f>INDEX('Team forecast'!$B$2:$AO$26,MATCH('Master data'!$B172,'Team forecast'!$B$2:$B$26,0),MATCH('Master data'!V$1,'Team forecast'!$B$2:$AO$2,0))</f>
        <v>0.20053715308863029</v>
      </c>
      <c r="W172" s="16">
        <f>INDEX('Team forecast'!$B$2:$AO$26,MATCH('Master data'!$B172,'Team forecast'!$B$2:$B$26,0),MATCH('Master data'!W$1,'Team forecast'!$B$2:$AO$2,0))</f>
        <v>0.11906893464637421</v>
      </c>
      <c r="X172" s="5">
        <f>IF(M172&gt;95,7000*2,IF(M172&gt;0,7000,-5000))</f>
        <v>-5000</v>
      </c>
      <c r="Y172" s="5">
        <f>IF($X172&gt;0,U172*25000,0)</f>
        <v>0</v>
      </c>
      <c r="Z172" s="5">
        <f>IF($X172&gt;0,V172*5000,0)</f>
        <v>0</v>
      </c>
      <c r="AA172" s="5">
        <f>IF($X172&gt;0,W172*(-15000),0)</f>
        <v>0</v>
      </c>
      <c r="AB172" s="5">
        <f>IF($C172="Defense",$N172*150000,IF($C172="Midfield",$N172*125000,IF($C172="Striker",$N172*100000,0)))*$H172</f>
        <v>0</v>
      </c>
      <c r="AC172" s="5">
        <f>$O172*50000*H172</f>
        <v>0</v>
      </c>
      <c r="AD172" s="5">
        <f>$P172*K172*10000</f>
        <v>0</v>
      </c>
      <c r="AE172" s="5">
        <f>IF($C172="Goalkeeper",J172*75000,IF($C172="Defense",J172*50000,0))</f>
        <v>26459.763254749829</v>
      </c>
      <c r="AF172" s="5">
        <f>IF($C172="Goalkeeper",(L172-I172)*5000,0)</f>
        <v>0</v>
      </c>
      <c r="AG172" s="5">
        <f>IF(M172&gt;0,Q172*(-20000),0)</f>
        <v>0</v>
      </c>
      <c r="AH172" s="5">
        <f>IF(M172&gt;0,R172*(-50000),0)</f>
        <v>0</v>
      </c>
      <c r="AI172" s="5">
        <f>IF(M172&gt;0,S172*10000,0)</f>
        <v>0</v>
      </c>
      <c r="AJ172" s="5">
        <f>IF(M172&gt;0,T172*(-8000),0)</f>
        <v>0</v>
      </c>
      <c r="AK172" s="5">
        <f>IFERROR(SUM(X172:AJ172),-5000)*((Cockpit!$C$3)^0)</f>
        <v>21459.763254749829</v>
      </c>
      <c r="AL172" s="16">
        <f>INDEX('Team forecast'!$B$2:$AO$26,MATCH('Master data'!$B172,'Team forecast'!$B$2:$B$26,0),MATCH('Master data'!AL$1,'Team forecast'!$B$2:$AO$2,0))</f>
        <v>1.9080439968215523</v>
      </c>
      <c r="AM172" s="16">
        <f>INDEX('Team forecast'!$B$2:$AO$26,MATCH('Master data'!$B172,'Team forecast'!$B$2:$B$26,0),MATCH('Master data'!AM$1,'Team forecast'!$B$2:$AO$2,0))</f>
        <v>0.77817916464933856</v>
      </c>
      <c r="AN172" s="16">
        <f>INDEX('Team forecast'!$B$2:$AO$26,MATCH('Master data'!$B172,'Team forecast'!$B$2:$B$26,0),MATCH('Master data'!AN$1,'Team forecast'!$B$2:$AO$2,0))</f>
        <v>0.459241453546125</v>
      </c>
      <c r="AO172" s="16">
        <f>INDEX('Team forecast'!$B$2:$AO$26,MATCH('Master data'!$B172,'Team forecast'!$B$2:$B$26,0),MATCH('Master data'!AO$1,'Team forecast'!$B$2:$AO$2,0))</f>
        <v>5.26236791817451</v>
      </c>
      <c r="AP172" s="16">
        <f>INDEX('Team forecast'!$B$2:$AO$26,MATCH('Master data'!$B172,'Team forecast'!$B$2:$B$26,0),MATCH('Master data'!AP$1,'Team forecast'!$B$2:$AO$2,0))</f>
        <v>2.5546285708185357</v>
      </c>
      <c r="AQ172" s="5">
        <f>X172</f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>IF($C172="Defense",$N172*150000,IF($C172="Midfield",$N172*125000,IF($C172="Striker",$N172*100000,0)))*$AL172</f>
        <v>0</v>
      </c>
      <c r="AV172" s="5">
        <f>$O172*50000*AL172</f>
        <v>0</v>
      </c>
      <c r="AW172" s="5">
        <f>$P172*AO172*10000</f>
        <v>0</v>
      </c>
      <c r="AX172" s="5">
        <f>IF($C172="Goalkeeper",AN172*75000,IF($C172="Defense",AN172*50000,0))</f>
        <v>22962.072677306249</v>
      </c>
      <c r="AY172" s="5">
        <f>IF($C172="Goalkeeper",(AP172-AM172)*5000,0)</f>
        <v>0</v>
      </c>
      <c r="AZ172" s="5">
        <f>$AG172</f>
        <v>0</v>
      </c>
      <c r="BA172" s="5">
        <f>$AH172</f>
        <v>0</v>
      </c>
      <c r="BB172" s="5">
        <f>IF(X172&gt;0,AL172*10000,0)</f>
        <v>0</v>
      </c>
      <c r="BC172" s="5">
        <f>IF(X172&gt;0,AM172*(-8000),0)</f>
        <v>0</v>
      </c>
      <c r="BD172" s="5">
        <f>IFERROR(SUM(AQ172:BC172),0)</f>
        <v>17962.072677306249</v>
      </c>
      <c r="BE172" s="16">
        <f>INDEX('Team forecast'!$B$2:$AO$26,MATCH('Master data'!$B172,'Team forecast'!$B$2:$B$26,0),MATCH('Master data'!BE$1,'Team forecast'!$B$2:$AO$2,0))</f>
        <v>2.3513752571634776</v>
      </c>
      <c r="BF172" s="16">
        <f>INDEX('Team forecast'!$B$2:$AO$26,MATCH('Master data'!$B172,'Team forecast'!$B$2:$B$26,0),MATCH('Master data'!BF$1,'Team forecast'!$B$2:$AO$2,0))</f>
        <v>0.56161379059809569</v>
      </c>
      <c r="BG172" s="16">
        <f>INDEX('Team forecast'!$B$2:$AO$26,MATCH('Master data'!$B172,'Team forecast'!$B$2:$B$26,0),MATCH('Master data'!BG$1,'Team forecast'!$B$2:$AO$2,0))</f>
        <v>0.57028799543769604</v>
      </c>
      <c r="BH172" s="16">
        <f>INDEX('Team forecast'!$B$2:$AO$26,MATCH('Master data'!$B172,'Team forecast'!$B$2:$B$26,0),MATCH('Master data'!BH$1,'Team forecast'!$B$2:$AO$2,0))</f>
        <v>6.4850714855102307</v>
      </c>
      <c r="BI172" s="16">
        <f>INDEX('Team forecast'!$B$2:$AO$26,MATCH('Master data'!$B172,'Team forecast'!$B$2:$B$26,0),MATCH('Master data'!BI$1,'Team forecast'!$B$2:$AO$2,0))</f>
        <v>1.8436816358018293</v>
      </c>
      <c r="BJ172" s="5">
        <f>AQ172</f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>IF($C172="Defense",$N172*150000,IF($C172="Midfield",$N172*125000,IF($C172="Striker",$N172*100000,0)))*$BE172</f>
        <v>0</v>
      </c>
      <c r="BO172" s="5">
        <f>$O172*50000*$BE172</f>
        <v>0</v>
      </c>
      <c r="BP172" s="5">
        <f>$P172*BH172*10000</f>
        <v>0</v>
      </c>
      <c r="BQ172" s="5">
        <f>IF($C172="Goalkeeper",BG172*75000,IF($C172="Defense",BG172*50000,0))</f>
        <v>28514.3997718848</v>
      </c>
      <c r="BR172" s="5">
        <f>IF($C172="Goalkeeper",(BI172-BF172)*5000,0)</f>
        <v>0</v>
      </c>
      <c r="BS172" s="5">
        <f>$AG172</f>
        <v>0</v>
      </c>
      <c r="BT172" s="5">
        <f>$AH172</f>
        <v>0</v>
      </c>
      <c r="BU172" s="5">
        <f>IF(AQ172&gt;0,BE172*10000,0)</f>
        <v>0</v>
      </c>
      <c r="BV172" s="5">
        <f>IF(AQ172&gt;0,BF172*(-8000),0)</f>
        <v>0</v>
      </c>
      <c r="BW172" s="5">
        <f>IFERROR(SUM(BJ172:BV172),0)</f>
        <v>23514.3997718848</v>
      </c>
      <c r="BX172" s="5">
        <f>AVERAGE(AK172,BD172,BW172)</f>
        <v>20978.745234646962</v>
      </c>
      <c r="BY172" s="5">
        <f>BX172*3</f>
        <v>62936.235703940882</v>
      </c>
      <c r="BZ172" s="5">
        <f>INDEX('Team forecast'!$R$3:$BH$26,MATCH($B172,'Team forecast'!$B$3:$B$26,0),MATCH(BZ$1,'Team forecast'!$R$2:$BH$2,0))*($BX172-(BY172+CH172)*0.01)</f>
        <v>-18997.813703027146</v>
      </c>
      <c r="CA172" s="5">
        <f>INDEX('Team forecast'!$R$3:$BH$26,MATCH($B172,'Team forecast'!$B$3:$B$26,0),MATCH(CA$1,'Team forecast'!$R$2:$BH$2,0))*($BX172-(BY172+BX172+CH172)*0.01)</f>
        <v>-9729.8317078799846</v>
      </c>
      <c r="CB172" s="5">
        <f>INDEX('Team forecast'!$R$3:$BH$26,MATCH($B172,'Team forecast'!$B$3:$B$26,0),MATCH(CB$1,'Team forecast'!$R$2:$BH$2,0))*($BX172-(BY172+BX172*2+CH172)*0.01)</f>
        <v>-5039.4892409301128</v>
      </c>
      <c r="CC172" s="5">
        <f>INDEX('Team forecast'!$R$3:$BH$26,MATCH($B172,'Team forecast'!$B$3:$B$26,0),MATCH(CC$1,'Team forecast'!$R$2:$BH$2,0))*($BX172-(BY172+BX172*3+CH172)*0.01)</f>
        <v>-2706.586613003336</v>
      </c>
      <c r="CD172" s="5">
        <f>+AK172+BD172*Cockpit!$C$3+BW172*Cockpit!$C$3^2+BZ172*Cockpit!$C$3^3+CA172*Cockpit!$C$3^4+CB172*Cockpit!$C$3^5+CC172*Cockpit!$C$3^6</f>
        <v>35433.147083434917</v>
      </c>
      <c r="CE172" s="5"/>
      <c r="CF172" s="5"/>
      <c r="CG172" s="5">
        <v>0</v>
      </c>
      <c r="CH172" s="5">
        <f t="shared" si="49"/>
        <v>4000000</v>
      </c>
      <c r="CI172" s="5">
        <f t="shared" si="50"/>
        <v>4000000</v>
      </c>
      <c r="CJ172" s="1">
        <f t="shared" si="51"/>
        <v>1.5734058925985221E-2</v>
      </c>
      <c r="CK172" s="5">
        <f>RANK(BY172,$BY$2:$BY$623)+COUNTIF($BY$2:$BY172,$BY172)-1</f>
        <v>260</v>
      </c>
      <c r="CL172" s="5">
        <f>RANK(CJ172,$CJ$2:$CJ$623)+COUNTIF($CJ$2:$CJ172,$CJ172)-1</f>
        <v>302</v>
      </c>
    </row>
    <row r="173" spans="1:90">
      <c r="A173" t="str">
        <f>Players!P174</f>
        <v>Pau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1.7533592214060363</v>
      </c>
      <c r="I173" s="16">
        <f>INDEX('Team forecast'!$B$2:$AO$26,MATCH('Master data'!$B173,'Team forecast'!$B$2:$B$26,0),MATCH('Master data'!I$1,'Team forecast'!$B$2:$AO$2,0))</f>
        <v>0.63639779406972985</v>
      </c>
      <c r="J173" s="16">
        <f>INDEX('Team forecast'!$B$2:$AO$26,MATCH('Master data'!$B173,'Team forecast'!$B$2:$B$26,0),MATCH('Master data'!J$1,'Team forecast'!$B$2:$AO$2,0))</f>
        <v>0.52919526509499659</v>
      </c>
      <c r="K173" s="16">
        <f>INDEX('Team forecast'!$B$2:$AO$26,MATCH('Master data'!$B173,'Team forecast'!$B$2:$B$26,0),MATCH('Master data'!K$1,'Team forecast'!$B$2:$AO$2,0))</f>
        <v>4.835748720224867</v>
      </c>
      <c r="L173" s="16">
        <f>INDEX('Team forecast'!$B$2:$AO$26,MATCH('Master data'!$B173,'Team forecast'!$B$2:$B$26,0),MATCH('Master data'!L$1,'Team forecast'!$B$2:$AO$2,0))</f>
        <v>2.0891846775016383</v>
      </c>
      <c r="M173">
        <f>IF(Players!BC174=1,95,0)</f>
        <v>95</v>
      </c>
      <c r="N173" s="2">
        <f>Players!BN174</f>
        <v>2.9186902173126521E-2</v>
      </c>
      <c r="O173" s="2">
        <f>Players!BO174</f>
        <v>3.5482650167120128E-2</v>
      </c>
      <c r="P173" s="2">
        <f>Players!BP174</f>
        <v>1.4828064607567039E-2</v>
      </c>
      <c r="Q173" s="2">
        <f>Players!BQ174</f>
        <v>3.0303030303030304E-2</v>
      </c>
      <c r="R173" s="2">
        <f>Players!BR174</f>
        <v>0</v>
      </c>
      <c r="S173" s="2">
        <f>H173</f>
        <v>1.7533592214060363</v>
      </c>
      <c r="T173" s="2">
        <f>I173</f>
        <v>0.63639779406972985</v>
      </c>
      <c r="U173" s="16">
        <f>INDEX('Team forecast'!$B$2:$AO$26,MATCH('Master data'!$B173,'Team forecast'!$B$2:$B$26,0),MATCH('Master data'!U$1,'Team forecast'!$B$2:$AO$2,0))</f>
        <v>0.68039391226499568</v>
      </c>
      <c r="V173" s="16">
        <f>INDEX('Team forecast'!$B$2:$AO$26,MATCH('Master data'!$B173,'Team forecast'!$B$2:$B$26,0),MATCH('Master data'!V$1,'Team forecast'!$B$2:$AO$2,0))</f>
        <v>0.20053715308863029</v>
      </c>
      <c r="W173" s="16">
        <f>INDEX('Team forecast'!$B$2:$AO$26,MATCH('Master data'!$B173,'Team forecast'!$B$2:$B$26,0),MATCH('Master data'!W$1,'Team forecast'!$B$2:$AO$2,0))</f>
        <v>0.11906893464637421</v>
      </c>
      <c r="X173" s="5">
        <f>IF(M173&gt;95,7000*2,IF(M173&gt;0,7000,-5000))</f>
        <v>7000</v>
      </c>
      <c r="Y173" s="5">
        <f>IF($X173&gt;0,U173*25000,0)</f>
        <v>17009.847806624894</v>
      </c>
      <c r="Z173" s="5">
        <f>IF($X173&gt;0,V173*5000,0)</f>
        <v>1002.6857654431515</v>
      </c>
      <c r="AA173" s="5">
        <f>IF($X173&gt;0,W173*(-15000),0)</f>
        <v>-1786.0340196956131</v>
      </c>
      <c r="AB173" s="5">
        <f>IF($C173="Defense",$N173*150000,IF($C173="Midfield",$N173*125000,IF($C173="Striker",$N173*100000,0)))*$H173</f>
        <v>7676.2686104290897</v>
      </c>
      <c r="AC173" s="5">
        <f>$O173*50000*H173</f>
        <v>3110.6915935222255</v>
      </c>
      <c r="AD173" s="5">
        <f>$P173*K173*10000</f>
        <v>717.04794449453948</v>
      </c>
      <c r="AE173" s="5">
        <f>IF($C173="Goalkeeper",J173*75000,IF($C173="Defense",J173*50000,0))</f>
        <v>26459.763254749829</v>
      </c>
      <c r="AF173" s="5">
        <f>IF($C173="Goalkeeper",(L173-I173)*5000,0)</f>
        <v>0</v>
      </c>
      <c r="AG173" s="5">
        <f>IF(M173&gt;0,Q173*(-20000),0)</f>
        <v>-606.06060606060612</v>
      </c>
      <c r="AH173" s="5">
        <f>IF(M173&gt;0,R173*(-50000),0)</f>
        <v>0</v>
      </c>
      <c r="AI173" s="5">
        <f>IF(M173&gt;0,S173*10000,0)</f>
        <v>17533.592214060362</v>
      </c>
      <c r="AJ173" s="5">
        <f>IF(M173&gt;0,T173*(-8000),0)</f>
        <v>-5091.1823525578384</v>
      </c>
      <c r="AK173" s="5">
        <f>IFERROR(SUM(X173:AJ173),-5000)*((Cockpit!$C$3)^0)</f>
        <v>73026.620211010028</v>
      </c>
      <c r="AL173" s="16">
        <f>INDEX('Team forecast'!$B$2:$AO$26,MATCH('Master data'!$B173,'Team forecast'!$B$2:$B$26,0),MATCH('Master data'!AL$1,'Team forecast'!$B$2:$AO$2,0))</f>
        <v>1.9080439968215523</v>
      </c>
      <c r="AM173" s="16">
        <f>INDEX('Team forecast'!$B$2:$AO$26,MATCH('Master data'!$B173,'Team forecast'!$B$2:$B$26,0),MATCH('Master data'!AM$1,'Team forecast'!$B$2:$AO$2,0))</f>
        <v>0.77817916464933856</v>
      </c>
      <c r="AN173" s="16">
        <f>INDEX('Team forecast'!$B$2:$AO$26,MATCH('Master data'!$B173,'Team forecast'!$B$2:$B$26,0),MATCH('Master data'!AN$1,'Team forecast'!$B$2:$AO$2,0))</f>
        <v>0.459241453546125</v>
      </c>
      <c r="AO173" s="16">
        <f>INDEX('Team forecast'!$B$2:$AO$26,MATCH('Master data'!$B173,'Team forecast'!$B$2:$B$26,0),MATCH('Master data'!AO$1,'Team forecast'!$B$2:$AO$2,0))</f>
        <v>5.26236791817451</v>
      </c>
      <c r="AP173" s="16">
        <f>INDEX('Team forecast'!$B$2:$AO$26,MATCH('Master data'!$B173,'Team forecast'!$B$2:$B$26,0),MATCH('Master data'!AP$1,'Team forecast'!$B$2:$AO$2,0))</f>
        <v>2.5546285708185357</v>
      </c>
      <c r="AQ173" s="5">
        <f>X173</f>
        <v>7000</v>
      </c>
      <c r="AR173" s="5">
        <f>INDEX('Team forecast'!$B$2:$AO$26,MATCH('Master data'!$B173,'Team forecast'!$B$2:$B$26,0),MATCH('Master data'!AR$1,'Team forecast'!$B$2:$AO$2,0))*IF(X173&gt;0,25000,0)</f>
        <v>16181.32638333662</v>
      </c>
      <c r="AS173" s="16">
        <f>INDEX('Team forecast'!$B$2:$AO$26,MATCH('Master data'!$B173,'Team forecast'!$B$2:$B$26,0),MATCH('Master data'!AS$1,'Team forecast'!$B$2:$AO$2,0))*IF(X173&gt;0,5000,0)</f>
        <v>1059.787969721827</v>
      </c>
      <c r="AT173" s="16">
        <f>INDEX('Team forecast'!$B$2:$AO$26,MATCH('Master data'!$B173,'Team forecast'!$B$2:$B$26,0),MATCH('Master data'!AT$1,'Team forecast'!$B$2:$AO$2,0))*IF(X173&gt;0,-15000,0)</f>
        <v>-2111.8402608325455</v>
      </c>
      <c r="AU173" s="5">
        <f>IF($C173="Defense",$N173*150000,IF($C173="Midfield",$N173*125000,IF($C173="Striker",$N173*100000,0)))*$AL173</f>
        <v>8353.4840215877975</v>
      </c>
      <c r="AV173" s="5">
        <f>$O173*50000*AL173</f>
        <v>3385.1228821346403</v>
      </c>
      <c r="AW173" s="5">
        <f>$P173*AO173*10000</f>
        <v>780.30731479479687</v>
      </c>
      <c r="AX173" s="5">
        <f>IF($C173="Goalkeeper",AN173*75000,IF($C173="Defense",AN173*50000,0))</f>
        <v>22962.072677306249</v>
      </c>
      <c r="AY173" s="5">
        <f>IF($C173="Goalkeeper",(AP173-AM173)*5000,0)</f>
        <v>0</v>
      </c>
      <c r="AZ173" s="5">
        <f>$AG173</f>
        <v>-606.06060606060612</v>
      </c>
      <c r="BA173" s="5">
        <f>$AH173</f>
        <v>0</v>
      </c>
      <c r="BB173" s="5">
        <f>IF(X173&gt;0,AL173*10000,0)</f>
        <v>19080.439968215524</v>
      </c>
      <c r="BC173" s="5">
        <f>IF(X173&gt;0,AM173*(-8000),0)</f>
        <v>-6225.4333171947083</v>
      </c>
      <c r="BD173" s="5">
        <f>IFERROR(SUM(AQ173:BC173),0)</f>
        <v>69859.207033009588</v>
      </c>
      <c r="BE173" s="16">
        <f>INDEX('Team forecast'!$B$2:$AO$26,MATCH('Master data'!$B173,'Team forecast'!$B$2:$B$26,0),MATCH('Master data'!BE$1,'Team forecast'!$B$2:$AO$2,0))</f>
        <v>2.3513752571634776</v>
      </c>
      <c r="BF173" s="16">
        <f>INDEX('Team forecast'!$B$2:$AO$26,MATCH('Master data'!$B173,'Team forecast'!$B$2:$B$26,0),MATCH('Master data'!BF$1,'Team forecast'!$B$2:$AO$2,0))</f>
        <v>0.56161379059809569</v>
      </c>
      <c r="BG173" s="16">
        <f>INDEX('Team forecast'!$B$2:$AO$26,MATCH('Master data'!$B173,'Team forecast'!$B$2:$B$26,0),MATCH('Master data'!BG$1,'Team forecast'!$B$2:$AO$2,0))</f>
        <v>0.57028799543769604</v>
      </c>
      <c r="BH173" s="16">
        <f>INDEX('Team forecast'!$B$2:$AO$26,MATCH('Master data'!$B173,'Team forecast'!$B$2:$B$26,0),MATCH('Master data'!BH$1,'Team forecast'!$B$2:$AO$2,0))</f>
        <v>6.4850714855102307</v>
      </c>
      <c r="BI173" s="16">
        <f>INDEX('Team forecast'!$B$2:$AO$26,MATCH('Master data'!$B173,'Team forecast'!$B$2:$B$26,0),MATCH('Master data'!BI$1,'Team forecast'!$B$2:$AO$2,0))</f>
        <v>1.8436816358018293</v>
      </c>
      <c r="BJ173" s="5">
        <f>AQ173</f>
        <v>7000</v>
      </c>
      <c r="BK173" s="5">
        <f>INDEX('Team forecast'!$R$3:$BH$26,MATCH($B173,'Team forecast'!$B$3:$B$26,0),MATCH(BK$1,'Team forecast'!$R$2:$BH$2,0))*IF($X173&gt;0,25000,0)</f>
        <v>19047.619047619046</v>
      </c>
      <c r="BL173" s="5">
        <f>INDEX('Team forecast'!$R$3:$BH$26,MATCH($B173,'Team forecast'!$B$3:$B$26,0),MATCH(BL$1,'Team forecast'!$R$2:$BH$2,0))*IF($X173&gt;0,5000,0)</f>
        <v>850.34013605442146</v>
      </c>
      <c r="BM173" s="5">
        <f>INDEX('Team forecast'!$R$3:$BH$26,MATCH($B173,'Team forecast'!$B$3:$B$26,0),MATCH(BM$1,'Team forecast'!$R$2:$BH$2,0))*IF($X173&gt;0,-15000,0)</f>
        <v>-1020.408163265306</v>
      </c>
      <c r="BN173" s="5">
        <f>IF($C173="Defense",$N173*150000,IF($C173="Midfield",$N173*125000,IF($C173="Striker",$N173*100000,0)))*$BE173</f>
        <v>10294.403940471097</v>
      </c>
      <c r="BO173" s="5">
        <f>$O173*50000*$BE173</f>
        <v>4171.6512830776901</v>
      </c>
      <c r="BP173" s="5">
        <f>$P173*BH173*10000</f>
        <v>961.61058971836451</v>
      </c>
      <c r="BQ173" s="5">
        <f>IF($C173="Goalkeeper",BG173*75000,IF($C173="Defense",BG173*50000,0))</f>
        <v>28514.3997718848</v>
      </c>
      <c r="BR173" s="5">
        <f>IF($C173="Goalkeeper",(BI173-BF173)*5000,0)</f>
        <v>0</v>
      </c>
      <c r="BS173" s="5">
        <f>$AG173</f>
        <v>-606.06060606060612</v>
      </c>
      <c r="BT173" s="5">
        <f>$AH173</f>
        <v>0</v>
      </c>
      <c r="BU173" s="5">
        <f>IF(AQ173&gt;0,BE173*10000,0)</f>
        <v>23513.752571634777</v>
      </c>
      <c r="BV173" s="5">
        <f>IF(AQ173&gt;0,BF173*(-8000),0)</f>
        <v>-4492.9103247847652</v>
      </c>
      <c r="BW173" s="5">
        <f>IFERROR(SUM(BJ173:BV173),0)</f>
        <v>88234.398246349519</v>
      </c>
      <c r="BX173" s="5">
        <f>AVERAGE(AK173,BD173,BW173)</f>
        <v>77040.075163456379</v>
      </c>
      <c r="BY173" s="5">
        <f>BX173*3</f>
        <v>231120.22549036914</v>
      </c>
      <c r="BZ173" s="5">
        <f>INDEX('Team forecast'!$R$3:$BH$26,MATCH($B173,'Team forecast'!$B$3:$B$26,0),MATCH(BZ$1,'Team forecast'!$R$2:$BH$2,0))*($BX173-(BY173+CH173)*0.01)</f>
        <v>43242.957173835835</v>
      </c>
      <c r="CA173" s="5">
        <f>INDEX('Team forecast'!$R$3:$BH$26,MATCH($B173,'Team forecast'!$B$3:$B$26,0),MATCH(CA$1,'Team forecast'!$R$2:$BH$2,0))*($BX173-(BY173+BX173+CH173)*0.01)</f>
        <v>21535.741359788692</v>
      </c>
      <c r="CB173" s="5">
        <f>INDEX('Team forecast'!$R$3:$BH$26,MATCH($B173,'Team forecast'!$B$3:$B$26,0),MATCH(CB$1,'Team forecast'!$R$2:$BH$2,0))*($BX173-(BY173+BX173*2+CH173)*0.01)</f>
        <v>10844.23212741202</v>
      </c>
      <c r="CC173" s="5">
        <f>INDEX('Team forecast'!$R$3:$BH$26,MATCH($B173,'Team forecast'!$B$3:$B$26,0),MATCH(CC$1,'Team forecast'!$R$2:$BH$2,0))*($BX173-(BY173+BX173*3+CH173)*0.01)</f>
        <v>5661.1053113929065</v>
      </c>
      <c r="CD173" s="5">
        <f>+AK173+BD173*Cockpit!$C$3+BW173*Cockpit!$C$3^2+BZ173*Cockpit!$C$3^3+CA173*Cockpit!$C$3^4+CB173*Cockpit!$C$3^5+CC173*Cockpit!$C$3^6</f>
        <v>177806.4585915021</v>
      </c>
      <c r="CE173" s="5"/>
      <c r="CF173" s="5"/>
      <c r="CG173" s="5">
        <v>0</v>
      </c>
      <c r="CH173" s="5">
        <f t="shared" si="49"/>
        <v>3000000</v>
      </c>
      <c r="CI173" s="5">
        <f t="shared" si="50"/>
        <v>3000000</v>
      </c>
      <c r="CJ173" s="1">
        <f t="shared" si="51"/>
        <v>7.7040075163456373E-2</v>
      </c>
      <c r="CK173" s="5">
        <f>RANK(BY173,$BY$2:$BY$623)+COUNTIF($BY$2:$BY173,$BY173)-1</f>
        <v>28</v>
      </c>
      <c r="CL173" s="5">
        <f>RANK(CJ173,$CJ$2:$CJ$623)+COUNTIF($CJ$2:$CJ173,$CJ173)-1</f>
        <v>3</v>
      </c>
    </row>
    <row r="174" spans="1:90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1.7533592214060363</v>
      </c>
      <c r="I174" s="16">
        <f>INDEX('Team forecast'!$B$2:$AO$26,MATCH('Master data'!$B174,'Team forecast'!$B$2:$B$26,0),MATCH('Master data'!I$1,'Team forecast'!$B$2:$AO$2,0))</f>
        <v>0.63639779406972985</v>
      </c>
      <c r="J174" s="16">
        <f>INDEX('Team forecast'!$B$2:$AO$26,MATCH('Master data'!$B174,'Team forecast'!$B$2:$B$26,0),MATCH('Master data'!J$1,'Team forecast'!$B$2:$AO$2,0))</f>
        <v>0.52919526509499659</v>
      </c>
      <c r="K174" s="16">
        <f>INDEX('Team forecast'!$B$2:$AO$26,MATCH('Master data'!$B174,'Team forecast'!$B$2:$B$26,0),MATCH('Master data'!K$1,'Team forecast'!$B$2:$AO$2,0))</f>
        <v>4.835748720224867</v>
      </c>
      <c r="L174" s="16">
        <f>INDEX('Team forecast'!$B$2:$AO$26,MATCH('Master data'!$B174,'Team forecast'!$B$2:$B$26,0),MATCH('Master data'!L$1,'Team forecast'!$B$2:$AO$2,0))</f>
        <v>2.0891846775016383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31:S194" si="52">H174</f>
        <v>1.7533592214060363</v>
      </c>
      <c r="T174" s="2">
        <f t="shared" ref="T131:T194" si="53">I174</f>
        <v>0.63639779406972985</v>
      </c>
      <c r="U174" s="16">
        <f>INDEX('Team forecast'!$B$2:$AO$26,MATCH('Master data'!$B174,'Team forecast'!$B$2:$B$26,0),MATCH('Master data'!U$1,'Team forecast'!$B$2:$AO$2,0))</f>
        <v>0.68039391226499568</v>
      </c>
      <c r="V174" s="16">
        <f>INDEX('Team forecast'!$B$2:$AO$26,MATCH('Master data'!$B174,'Team forecast'!$B$2:$B$26,0),MATCH('Master data'!V$1,'Team forecast'!$B$2:$AO$2,0))</f>
        <v>0.20053715308863029</v>
      </c>
      <c r="W174" s="16">
        <f>INDEX('Team forecast'!$B$2:$AO$26,MATCH('Master data'!$B174,'Team forecast'!$B$2:$B$26,0),MATCH('Master data'!W$1,'Team forecast'!$B$2:$AO$2,0))</f>
        <v>0.11906893464637421</v>
      </c>
      <c r="X174" s="5">
        <f t="shared" ref="X131:X194" si="54">IF(M174&gt;95,7000*2,IF(M174&gt;0,7000,-5000))</f>
        <v>-5000</v>
      </c>
      <c r="Y174" s="5">
        <f t="shared" ref="Y131:Y194" si="55">IF($X174&gt;0,U174*25000,0)</f>
        <v>0</v>
      </c>
      <c r="Z174" s="5">
        <f t="shared" ref="Z131:Z194" si="56">IF($X174&gt;0,V174*5000,0)</f>
        <v>0</v>
      </c>
      <c r="AA174" s="5">
        <f t="shared" ref="AA131:AA194" si="57">IF($X174&gt;0,W174*(-15000),0)</f>
        <v>0</v>
      </c>
      <c r="AB174" s="5">
        <f t="shared" ref="AB131:AB194" si="58">IF($C174="Defense",$N174*150000,IF($C174="Midfield",$N174*125000,IF($C174="Striker",$N174*100000,0)))*$H174</f>
        <v>0</v>
      </c>
      <c r="AC174" s="5">
        <f t="shared" ref="AC131:AC194" si="59">$O174*50000*H174</f>
        <v>0</v>
      </c>
      <c r="AD174" s="5">
        <f t="shared" ref="AD131:AD194" si="60">$P174*K174*10000</f>
        <v>0</v>
      </c>
      <c r="AE174" s="5">
        <f t="shared" ref="AE131:AE194" si="61">IF($C174="Goalkeeper",J174*75000,IF($C174="Defense",J174*50000,0))</f>
        <v>0</v>
      </c>
      <c r="AF174" s="5">
        <f t="shared" ref="AF131:AF194" si="62">IF($C174="Goalkeeper",(L174-I174)*5000,0)</f>
        <v>0</v>
      </c>
      <c r="AG174" s="5">
        <f t="shared" ref="AG131:AG194" si="63">IF(M174&gt;0,Q174*(-20000),0)</f>
        <v>0</v>
      </c>
      <c r="AH174" s="5">
        <f t="shared" ref="AH131:AH194" si="64">IF(M174&gt;0,R174*(-50000),0)</f>
        <v>0</v>
      </c>
      <c r="AI174" s="5">
        <f t="shared" ref="AI131:AI194" si="65">IF(M174&gt;0,S174*10000,0)</f>
        <v>0</v>
      </c>
      <c r="AJ174" s="5">
        <f t="shared" ref="AJ131:AJ194" si="66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1.9080439968215523</v>
      </c>
      <c r="AM174" s="16">
        <f>INDEX('Team forecast'!$B$2:$AO$26,MATCH('Master data'!$B174,'Team forecast'!$B$2:$B$26,0),MATCH('Master data'!AM$1,'Team forecast'!$B$2:$AO$2,0))</f>
        <v>0.77817916464933856</v>
      </c>
      <c r="AN174" s="16">
        <f>INDEX('Team forecast'!$B$2:$AO$26,MATCH('Master data'!$B174,'Team forecast'!$B$2:$B$26,0),MATCH('Master data'!AN$1,'Team forecast'!$B$2:$AO$2,0))</f>
        <v>0.459241453546125</v>
      </c>
      <c r="AO174" s="16">
        <f>INDEX('Team forecast'!$B$2:$AO$26,MATCH('Master data'!$B174,'Team forecast'!$B$2:$B$26,0),MATCH('Master data'!AO$1,'Team forecast'!$B$2:$AO$2,0))</f>
        <v>5.26236791817451</v>
      </c>
      <c r="AP174" s="16">
        <f>INDEX('Team forecast'!$B$2:$AO$26,MATCH('Master data'!$B174,'Team forecast'!$B$2:$B$26,0),MATCH('Master data'!AP$1,'Team forecast'!$B$2:$AO$2,0))</f>
        <v>2.5546285708185357</v>
      </c>
      <c r="AQ174" s="5">
        <f t="shared" ref="AQ131:AQ194" si="67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31:AU194" si="68">IF($C174="Defense",$N174*150000,IF($C174="Midfield",$N174*125000,IF($C174="Striker",$N174*100000,0)))*$AL174</f>
        <v>0</v>
      </c>
      <c r="AV174" s="5">
        <f t="shared" ref="AV131:AV194" si="69">$O174*50000*AL174</f>
        <v>0</v>
      </c>
      <c r="AW174" s="5">
        <f t="shared" ref="AW131:AW194" si="70">$P174*AO174*10000</f>
        <v>0</v>
      </c>
      <c r="AX174" s="5">
        <f t="shared" ref="AX131:AX194" si="71">IF($C174="Goalkeeper",AN174*75000,IF($C174="Defense",AN174*50000,0))</f>
        <v>0</v>
      </c>
      <c r="AY174" s="5">
        <f t="shared" ref="AY131:AY194" si="72">IF($C174="Goalkeeper",(AP174-AM174)*5000,0)</f>
        <v>0</v>
      </c>
      <c r="AZ174" s="5">
        <f t="shared" ref="AZ131:AZ194" si="73">$AG174</f>
        <v>0</v>
      </c>
      <c r="BA174" s="5">
        <f t="shared" ref="BA131:BA194" si="74">$AH174</f>
        <v>0</v>
      </c>
      <c r="BB174" s="5">
        <f t="shared" ref="BB131:BB194" si="75">IF(X174&gt;0,AL174*10000,0)</f>
        <v>0</v>
      </c>
      <c r="BC174" s="5">
        <f t="shared" ref="BC131:BC194" si="76">IF(X174&gt;0,AM174*(-8000),0)</f>
        <v>0</v>
      </c>
      <c r="BD174" s="5">
        <f t="shared" ref="BD131:BD194" si="77">IFERROR(SUM(AQ174:BC174),0)</f>
        <v>-5000</v>
      </c>
      <c r="BE174" s="16">
        <f>INDEX('Team forecast'!$B$2:$AO$26,MATCH('Master data'!$B174,'Team forecast'!$B$2:$B$26,0),MATCH('Master data'!BE$1,'Team forecast'!$B$2:$AO$2,0))</f>
        <v>2.3513752571634776</v>
      </c>
      <c r="BF174" s="16">
        <f>INDEX('Team forecast'!$B$2:$AO$26,MATCH('Master data'!$B174,'Team forecast'!$B$2:$B$26,0),MATCH('Master data'!BF$1,'Team forecast'!$B$2:$AO$2,0))</f>
        <v>0.56161379059809569</v>
      </c>
      <c r="BG174" s="16">
        <f>INDEX('Team forecast'!$B$2:$AO$26,MATCH('Master data'!$B174,'Team forecast'!$B$2:$B$26,0),MATCH('Master data'!BG$1,'Team forecast'!$B$2:$AO$2,0))</f>
        <v>0.57028799543769604</v>
      </c>
      <c r="BH174" s="16">
        <f>INDEX('Team forecast'!$B$2:$AO$26,MATCH('Master data'!$B174,'Team forecast'!$B$2:$B$26,0),MATCH('Master data'!BH$1,'Team forecast'!$B$2:$AO$2,0))</f>
        <v>6.4850714855102307</v>
      </c>
      <c r="BI174" s="16">
        <f>INDEX('Team forecast'!$B$2:$AO$26,MATCH('Master data'!$B174,'Team forecast'!$B$2:$B$26,0),MATCH('Master data'!BI$1,'Team forecast'!$B$2:$AO$2,0))</f>
        <v>1.8436816358018293</v>
      </c>
      <c r="BJ174" s="5">
        <f t="shared" ref="BJ131:BJ194" si="78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31:BN194" si="79">IF($C174="Defense",$N174*150000,IF($C174="Midfield",$N174*125000,IF($C174="Striker",$N174*100000,0)))*$BE174</f>
        <v>0</v>
      </c>
      <c r="BO174" s="5">
        <f t="shared" ref="BO131:BO194" si="80">$O174*50000*$BE174</f>
        <v>0</v>
      </c>
      <c r="BP174" s="5">
        <f t="shared" ref="BP131:BP194" si="81">$P174*BH174*10000</f>
        <v>0</v>
      </c>
      <c r="BQ174" s="5">
        <f t="shared" ref="BQ131:BQ194" si="82">IF($C174="Goalkeeper",BG174*75000,IF($C174="Defense",BG174*50000,0))</f>
        <v>0</v>
      </c>
      <c r="BR174" s="5">
        <f t="shared" ref="BR131:BR194" si="83">IF($C174="Goalkeeper",(BI174-BF174)*5000,0)</f>
        <v>0</v>
      </c>
      <c r="BS174" s="5">
        <f t="shared" ref="BS131:BS194" si="84">$AG174</f>
        <v>0</v>
      </c>
      <c r="BT174" s="5">
        <f t="shared" ref="BT131:BT194" si="85">$AH174</f>
        <v>0</v>
      </c>
      <c r="BU174" s="5">
        <f t="shared" ref="BU131:BU194" si="86">IF(AQ174&gt;0,BE174*10000,0)</f>
        <v>0</v>
      </c>
      <c r="BV174" s="5">
        <f t="shared" ref="BV131:BV194" si="87">IF(AQ174&gt;0,BF174*(-8000),0)</f>
        <v>0</v>
      </c>
      <c r="BW174" s="5">
        <f t="shared" ref="BW131:BW194" si="88">IFERROR(SUM(BJ174:BV174),0)</f>
        <v>-5000</v>
      </c>
      <c r="BX174" s="5">
        <f t="shared" ref="BX131:BX194" si="89">AVERAGE(AK174,BD174,BW174)</f>
        <v>-5000</v>
      </c>
      <c r="BY174" s="5">
        <f t="shared" ref="BY131:BY194" si="90">BX174*3</f>
        <v>-15000</v>
      </c>
      <c r="BZ174" s="5">
        <f>INDEX('Team forecast'!$R$3:$BH$26,MATCH($B174,'Team forecast'!$B$3:$B$26,0),MATCH(BZ$1,'Team forecast'!$R$2:$BH$2,0))*($BX174-(BY174+CH174)*0.01)</f>
        <v>-38526.162885894133</v>
      </c>
      <c r="CA174" s="5">
        <f>INDEX('Team forecast'!$R$3:$BH$26,MATCH($B174,'Team forecast'!$B$3:$B$26,0),MATCH(CA$1,'Team forecast'!$R$2:$BH$2,0))*($BX174-(BY174+BX174+CH174)*0.01)</f>
        <v>-19498.459888686037</v>
      </c>
      <c r="CB174" s="5">
        <f>INDEX('Team forecast'!$R$3:$BH$26,MATCH($B174,'Team forecast'!$B$3:$B$26,0),MATCH(CB$1,'Team forecast'!$R$2:$BH$2,0))*($BX174-(BY174+BX174*2+CH174)*0.01)</f>
        <v>-9980.9556907394781</v>
      </c>
      <c r="CC174" s="5">
        <f>INDEX('Team forecast'!$R$3:$BH$26,MATCH($B174,'Team forecast'!$B$3:$B$26,0),MATCH(CC$1,'Team forecast'!$R$2:$BH$2,0))*($BX174-(BY174+BX174*3+CH174)*0.01)</f>
        <v>-5298.4022318765528</v>
      </c>
      <c r="CD174" s="5">
        <f>+AK174+BD174*Cockpit!$C$3+BW174*Cockpit!$C$3^2+BZ174*Cockpit!$C$3^3+CA174*Cockpit!$C$3^4+CB174*Cockpit!$C$3^5+CC174*Cockpit!$C$3^6</f>
        <v>-27601.781750994527</v>
      </c>
      <c r="CE174" s="5"/>
      <c r="CF174" s="5"/>
      <c r="CG174" s="5">
        <v>0</v>
      </c>
      <c r="CH174" s="5">
        <f t="shared" si="49"/>
        <v>3500000</v>
      </c>
      <c r="CI174" s="5">
        <f t="shared" si="50"/>
        <v>3500000</v>
      </c>
      <c r="CJ174" s="1">
        <f t="shared" si="51"/>
        <v>-4.2857142857142859E-3</v>
      </c>
      <c r="CK174" s="5">
        <f>RANK(BY174,$BY$2:$BY$623)+COUNTIF($BY$2:$BY174,$BY174)-1</f>
        <v>474</v>
      </c>
      <c r="CL174" s="5">
        <f>RANK(CJ174,$CJ$2:$CJ$623)+COUNTIF($CJ$2:$CJ174,$CJ174)-1</f>
        <v>468</v>
      </c>
    </row>
    <row r="175" spans="1:90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1.7533592214060363</v>
      </c>
      <c r="I175" s="16">
        <f>INDEX('Team forecast'!$B$2:$AO$26,MATCH('Master data'!$B175,'Team forecast'!$B$2:$B$26,0),MATCH('Master data'!I$1,'Team forecast'!$B$2:$AO$2,0))</f>
        <v>0.63639779406972985</v>
      </c>
      <c r="J175" s="16">
        <f>INDEX('Team forecast'!$B$2:$AO$26,MATCH('Master data'!$B175,'Team forecast'!$B$2:$B$26,0),MATCH('Master data'!J$1,'Team forecast'!$B$2:$AO$2,0))</f>
        <v>0.52919526509499659</v>
      </c>
      <c r="K175" s="16">
        <f>INDEX('Team forecast'!$B$2:$AO$26,MATCH('Master data'!$B175,'Team forecast'!$B$2:$B$26,0),MATCH('Master data'!K$1,'Team forecast'!$B$2:$AO$2,0))</f>
        <v>4.835748720224867</v>
      </c>
      <c r="L175" s="16">
        <f>INDEX('Team forecast'!$B$2:$AO$26,MATCH('Master data'!$B175,'Team forecast'!$B$2:$B$26,0),MATCH('Master data'!L$1,'Team forecast'!$B$2:$AO$2,0))</f>
        <v>2.0891846775016383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52"/>
        <v>1.7533592214060363</v>
      </c>
      <c r="T175" s="2">
        <f t="shared" si="53"/>
        <v>0.63639779406972985</v>
      </c>
      <c r="U175" s="16">
        <f>INDEX('Team forecast'!$B$2:$AO$26,MATCH('Master data'!$B175,'Team forecast'!$B$2:$B$26,0),MATCH('Master data'!U$1,'Team forecast'!$B$2:$AO$2,0))</f>
        <v>0.68039391226499568</v>
      </c>
      <c r="V175" s="16">
        <f>INDEX('Team forecast'!$B$2:$AO$26,MATCH('Master data'!$B175,'Team forecast'!$B$2:$B$26,0),MATCH('Master data'!V$1,'Team forecast'!$B$2:$AO$2,0))</f>
        <v>0.20053715308863029</v>
      </c>
      <c r="W175" s="16">
        <f>INDEX('Team forecast'!$B$2:$AO$26,MATCH('Master data'!$B175,'Team forecast'!$B$2:$B$26,0),MATCH('Master data'!W$1,'Team forecast'!$B$2:$AO$2,0))</f>
        <v>0.11906893464637421</v>
      </c>
      <c r="X175" s="5">
        <f t="shared" si="54"/>
        <v>-5000</v>
      </c>
      <c r="Y175" s="5">
        <f t="shared" si="55"/>
        <v>0</v>
      </c>
      <c r="Z175" s="5">
        <f t="shared" si="56"/>
        <v>0</v>
      </c>
      <c r="AA175" s="5">
        <f t="shared" si="57"/>
        <v>0</v>
      </c>
      <c r="AB175" s="5">
        <f t="shared" si="58"/>
        <v>0</v>
      </c>
      <c r="AC175" s="5">
        <f t="shared" si="59"/>
        <v>0</v>
      </c>
      <c r="AD175" s="5">
        <f t="shared" si="60"/>
        <v>0</v>
      </c>
      <c r="AE175" s="5">
        <f t="shared" si="61"/>
        <v>0</v>
      </c>
      <c r="AF175" s="5">
        <f t="shared" si="62"/>
        <v>0</v>
      </c>
      <c r="AG175" s="5">
        <f t="shared" si="63"/>
        <v>0</v>
      </c>
      <c r="AH175" s="5">
        <f t="shared" si="64"/>
        <v>0</v>
      </c>
      <c r="AI175" s="5">
        <f t="shared" si="65"/>
        <v>0</v>
      </c>
      <c r="AJ175" s="5">
        <f t="shared" si="66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1.9080439968215523</v>
      </c>
      <c r="AM175" s="16">
        <f>INDEX('Team forecast'!$B$2:$AO$26,MATCH('Master data'!$B175,'Team forecast'!$B$2:$B$26,0),MATCH('Master data'!AM$1,'Team forecast'!$B$2:$AO$2,0))</f>
        <v>0.77817916464933856</v>
      </c>
      <c r="AN175" s="16">
        <f>INDEX('Team forecast'!$B$2:$AO$26,MATCH('Master data'!$B175,'Team forecast'!$B$2:$B$26,0),MATCH('Master data'!AN$1,'Team forecast'!$B$2:$AO$2,0))</f>
        <v>0.459241453546125</v>
      </c>
      <c r="AO175" s="16">
        <f>INDEX('Team forecast'!$B$2:$AO$26,MATCH('Master data'!$B175,'Team forecast'!$B$2:$B$26,0),MATCH('Master data'!AO$1,'Team forecast'!$B$2:$AO$2,0))</f>
        <v>5.26236791817451</v>
      </c>
      <c r="AP175" s="16">
        <f>INDEX('Team forecast'!$B$2:$AO$26,MATCH('Master data'!$B175,'Team forecast'!$B$2:$B$26,0),MATCH('Master data'!AP$1,'Team forecast'!$B$2:$AO$2,0))</f>
        <v>2.5546285708185357</v>
      </c>
      <c r="AQ175" s="5">
        <f t="shared" si="67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68"/>
        <v>0</v>
      </c>
      <c r="AV175" s="5">
        <f t="shared" si="69"/>
        <v>0</v>
      </c>
      <c r="AW175" s="5">
        <f t="shared" si="70"/>
        <v>0</v>
      </c>
      <c r="AX175" s="5">
        <f t="shared" si="71"/>
        <v>0</v>
      </c>
      <c r="AY175" s="5">
        <f t="shared" si="72"/>
        <v>0</v>
      </c>
      <c r="AZ175" s="5">
        <f t="shared" si="73"/>
        <v>0</v>
      </c>
      <c r="BA175" s="5">
        <f t="shared" si="74"/>
        <v>0</v>
      </c>
      <c r="BB175" s="5">
        <f t="shared" si="75"/>
        <v>0</v>
      </c>
      <c r="BC175" s="5">
        <f t="shared" si="76"/>
        <v>0</v>
      </c>
      <c r="BD175" s="5">
        <f t="shared" si="77"/>
        <v>-5000</v>
      </c>
      <c r="BE175" s="16">
        <f>INDEX('Team forecast'!$B$2:$AO$26,MATCH('Master data'!$B175,'Team forecast'!$B$2:$B$26,0),MATCH('Master data'!BE$1,'Team forecast'!$B$2:$AO$2,0))</f>
        <v>2.3513752571634776</v>
      </c>
      <c r="BF175" s="16">
        <f>INDEX('Team forecast'!$B$2:$AO$26,MATCH('Master data'!$B175,'Team forecast'!$B$2:$B$26,0),MATCH('Master data'!BF$1,'Team forecast'!$B$2:$AO$2,0))</f>
        <v>0.56161379059809569</v>
      </c>
      <c r="BG175" s="16">
        <f>INDEX('Team forecast'!$B$2:$AO$26,MATCH('Master data'!$B175,'Team forecast'!$B$2:$B$26,0),MATCH('Master data'!BG$1,'Team forecast'!$B$2:$AO$2,0))</f>
        <v>0.57028799543769604</v>
      </c>
      <c r="BH175" s="16">
        <f>INDEX('Team forecast'!$B$2:$AO$26,MATCH('Master data'!$B175,'Team forecast'!$B$2:$B$26,0),MATCH('Master data'!BH$1,'Team forecast'!$B$2:$AO$2,0))</f>
        <v>6.4850714855102307</v>
      </c>
      <c r="BI175" s="16">
        <f>INDEX('Team forecast'!$B$2:$AO$26,MATCH('Master data'!$B175,'Team forecast'!$B$2:$B$26,0),MATCH('Master data'!BI$1,'Team forecast'!$B$2:$AO$2,0))</f>
        <v>1.8436816358018293</v>
      </c>
      <c r="BJ175" s="5">
        <f t="shared" si="78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79"/>
        <v>0</v>
      </c>
      <c r="BO175" s="5">
        <f t="shared" si="80"/>
        <v>0</v>
      </c>
      <c r="BP175" s="5">
        <f t="shared" si="81"/>
        <v>0</v>
      </c>
      <c r="BQ175" s="5">
        <f t="shared" si="82"/>
        <v>0</v>
      </c>
      <c r="BR175" s="5">
        <f t="shared" si="83"/>
        <v>0</v>
      </c>
      <c r="BS175" s="5">
        <f t="shared" si="84"/>
        <v>0</v>
      </c>
      <c r="BT175" s="5">
        <f t="shared" si="85"/>
        <v>0</v>
      </c>
      <c r="BU175" s="5">
        <f t="shared" si="86"/>
        <v>0</v>
      </c>
      <c r="BV175" s="5">
        <f t="shared" si="87"/>
        <v>0</v>
      </c>
      <c r="BW175" s="5">
        <f t="shared" si="88"/>
        <v>-5000</v>
      </c>
      <c r="BX175" s="5">
        <f t="shared" si="89"/>
        <v>-5000</v>
      </c>
      <c r="BY175" s="5">
        <f t="shared" si="90"/>
        <v>-15000</v>
      </c>
      <c r="BZ175" s="5">
        <f>INDEX('Team forecast'!$R$3:$BH$26,MATCH($B175,'Team forecast'!$B$3:$B$26,0),MATCH(BZ$1,'Team forecast'!$R$2:$BH$2,0))*($BX175-(BY175+CH175)*0.01)</f>
        <v>-48193.957838439717</v>
      </c>
      <c r="CA175" s="5">
        <f>INDEX('Team forecast'!$R$3:$BH$26,MATCH($B175,'Team forecast'!$B$3:$B$26,0),MATCH(CA$1,'Team forecast'!$R$2:$BH$2,0))*($BX175-(BY175+BX175+CH175)*0.01)</f>
        <v>-24397.570413481521</v>
      </c>
      <c r="CB175" s="5">
        <f>INDEX('Team forecast'!$R$3:$BH$26,MATCH($B175,'Team forecast'!$B$3:$B$26,0),MATCH(CB$1,'Team forecast'!$R$2:$BH$2,0))*($BX175-(BY175+BX175*2+CH175)*0.01)</f>
        <v>-12491.887939982114</v>
      </c>
      <c r="CC175" s="5">
        <f>INDEX('Team forecast'!$R$3:$BH$26,MATCH($B175,'Team forecast'!$B$3:$B$26,0),MATCH(CC$1,'Team forecast'!$R$2:$BH$2,0))*($BX175-(BY175+BX175*3+CH175)*0.01)</f>
        <v>-6633.0123658504954</v>
      </c>
      <c r="CD175" s="5">
        <f>+AK175+BD175*Cockpit!$C$3+BW175*Cockpit!$C$3^2+BZ175*Cockpit!$C$3^3+CA175*Cockpit!$C$3^4+CB175*Cockpit!$C$3^5+CC175*Cockpit!$C$3^6</f>
        <v>-31881.864288473294</v>
      </c>
      <c r="CE175" s="5"/>
      <c r="CF175" s="5"/>
      <c r="CG175" s="5">
        <v>0</v>
      </c>
      <c r="CH175" s="5">
        <f t="shared" si="49"/>
        <v>4500000</v>
      </c>
      <c r="CI175" s="5">
        <f t="shared" si="50"/>
        <v>4500000</v>
      </c>
      <c r="CJ175" s="1">
        <f t="shared" si="51"/>
        <v>-3.3333333333333335E-3</v>
      </c>
      <c r="CK175" s="5">
        <f>RANK(BY175,$BY$2:$BY$623)+COUNTIF($BY$2:$BY175,$BY175)-1</f>
        <v>475</v>
      </c>
      <c r="CL175" s="5">
        <f>RANK(CJ175,$CJ$2:$CJ$623)+COUNTIF($CJ$2:$CJ175,$CJ175)-1</f>
        <v>435</v>
      </c>
    </row>
    <row r="176" spans="1:90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0.76028648339757388</v>
      </c>
      <c r="I176" s="16">
        <f>INDEX('Team forecast'!$B$2:$AO$26,MATCH('Master data'!$B176,'Team forecast'!$B$2:$B$26,0),MATCH('Master data'!I$1,'Team forecast'!$B$2:$AO$2,0))</f>
        <v>1.5712166996139025</v>
      </c>
      <c r="J176" s="16">
        <f>INDEX('Team forecast'!$B$2:$AO$26,MATCH('Master data'!$B176,'Team forecast'!$B$2:$B$26,0),MATCH('Master data'!J$1,'Team forecast'!$B$2:$AO$2,0))</f>
        <v>0.20779220779220781</v>
      </c>
      <c r="K176" s="16">
        <f>INDEX('Team forecast'!$B$2:$AO$26,MATCH('Master data'!$B176,'Team forecast'!$B$2:$B$26,0),MATCH('Master data'!K$1,'Team forecast'!$B$2:$AO$2,0))</f>
        <v>2.0548283335069564</v>
      </c>
      <c r="L176" s="16">
        <f>INDEX('Team forecast'!$B$2:$AO$26,MATCH('Master data'!$B176,'Team forecast'!$B$2:$B$26,0),MATCH('Master data'!L$1,'Team forecast'!$B$2:$AO$2,0))</f>
        <v>5.3509268021816121</v>
      </c>
      <c r="M176">
        <f>IF(Players!BC177=1,95,0)</f>
        <v>95</v>
      </c>
      <c r="N176" s="2">
        <f>Players!BN177</f>
        <v>8.0244159222431194E-2</v>
      </c>
      <c r="O176" s="2">
        <f>Players!BO177</f>
        <v>5.9794790449753832E-2</v>
      </c>
      <c r="P176" s="2">
        <f>Players!BP177</f>
        <v>7.7736464674416195E-2</v>
      </c>
      <c r="Q176" s="2">
        <f>Players!BQ177</f>
        <v>0.14499999999999999</v>
      </c>
      <c r="R176" s="2">
        <f>Players!BR177</f>
        <v>0</v>
      </c>
      <c r="S176" s="2">
        <f t="shared" si="52"/>
        <v>0.76028648339757388</v>
      </c>
      <c r="T176" s="2">
        <f t="shared" si="53"/>
        <v>1.5712166996139025</v>
      </c>
      <c r="U176" s="16">
        <f>INDEX('Team forecast'!$B$2:$AO$26,MATCH('Master data'!$B176,'Team forecast'!$B$2:$B$26,0),MATCH('Master data'!U$1,'Team forecast'!$B$2:$AO$2,0))</f>
        <v>0.15584415584415581</v>
      </c>
      <c r="V176" s="16">
        <f>INDEX('Team forecast'!$B$2:$AO$26,MATCH('Master data'!$B176,'Team forecast'!$B$2:$B$26,0),MATCH('Master data'!V$1,'Team forecast'!$B$2:$AO$2,0))</f>
        <v>0.25974025974025972</v>
      </c>
      <c r="W176" s="16">
        <f>INDEX('Team forecast'!$B$2:$AO$26,MATCH('Master data'!$B176,'Team forecast'!$B$2:$B$26,0),MATCH('Master data'!W$1,'Team forecast'!$B$2:$AO$2,0))</f>
        <v>0.58441558441558439</v>
      </c>
      <c r="X176" s="5">
        <f t="shared" si="54"/>
        <v>7000</v>
      </c>
      <c r="Y176" s="5">
        <f t="shared" si="55"/>
        <v>3896.1038961038953</v>
      </c>
      <c r="Z176" s="5">
        <f t="shared" si="56"/>
        <v>1298.7012987012986</v>
      </c>
      <c r="AA176" s="5">
        <f t="shared" si="57"/>
        <v>-8766.233766233765</v>
      </c>
      <c r="AB176" s="5">
        <f t="shared" si="58"/>
        <v>7626.0687035521505</v>
      </c>
      <c r="AC176" s="5">
        <f t="shared" si="59"/>
        <v>2273.0585478269086</v>
      </c>
      <c r="AD176" s="5">
        <f t="shared" si="60"/>
        <v>1597.3509015965301</v>
      </c>
      <c r="AE176" s="5">
        <f t="shared" si="61"/>
        <v>0</v>
      </c>
      <c r="AF176" s="5">
        <f t="shared" si="62"/>
        <v>0</v>
      </c>
      <c r="AG176" s="5">
        <f t="shared" si="63"/>
        <v>-2900</v>
      </c>
      <c r="AH176" s="5">
        <f t="shared" si="64"/>
        <v>0</v>
      </c>
      <c r="AI176" s="5">
        <f t="shared" si="65"/>
        <v>7602.8648339757392</v>
      </c>
      <c r="AJ176" s="5">
        <f t="shared" si="66"/>
        <v>-12569.733596911221</v>
      </c>
      <c r="AK176" s="5">
        <f>IFERROR(SUM(X176:AJ176),-5000)*((Cockpit!$C$3)^0)</f>
        <v>7058.1808186115377</v>
      </c>
      <c r="AL176" s="16">
        <f>INDEX('Team forecast'!$B$2:$AO$26,MATCH('Master data'!$B176,'Team forecast'!$B$2:$B$26,0),MATCH('Master data'!AL$1,'Team forecast'!$B$2:$AO$2,0))</f>
        <v>1.5712166996139025</v>
      </c>
      <c r="AM176" s="16">
        <f>INDEX('Team forecast'!$B$2:$AO$26,MATCH('Master data'!$B176,'Team forecast'!$B$2:$B$26,0),MATCH('Master data'!AM$1,'Team forecast'!$B$2:$AO$2,0))</f>
        <v>0.76028648339757388</v>
      </c>
      <c r="AN176" s="16">
        <f>INDEX('Team forecast'!$B$2:$AO$26,MATCH('Master data'!$B176,'Team forecast'!$B$2:$B$26,0),MATCH('Master data'!AN$1,'Team forecast'!$B$2:$AO$2,0))</f>
        <v>0.46753246753246752</v>
      </c>
      <c r="AO176" s="16">
        <f>INDEX('Team forecast'!$B$2:$AO$26,MATCH('Master data'!$B176,'Team forecast'!$B$2:$B$26,0),MATCH('Master data'!AO$1,'Team forecast'!$B$2:$AO$2,0))</f>
        <v>4.2465316205781152</v>
      </c>
      <c r="AP176" s="16">
        <f>INDEX('Team forecast'!$B$2:$AO$26,MATCH('Master data'!$B176,'Team forecast'!$B$2:$B$26,0),MATCH('Master data'!AP$1,'Team forecast'!$B$2:$AO$2,0))</f>
        <v>2.5892273945078212</v>
      </c>
      <c r="AQ176" s="5">
        <f t="shared" si="67"/>
        <v>7000</v>
      </c>
      <c r="AR176" s="5">
        <f>INDEX('Team forecast'!$B$2:$AO$26,MATCH('Master data'!$B176,'Team forecast'!$B$2:$B$26,0),MATCH('Master data'!AR$1,'Team forecast'!$B$2:$AO$2,0))*IF(X176&gt;0,25000,0)</f>
        <v>14610.38961038961</v>
      </c>
      <c r="AS176" s="16">
        <f>INDEX('Team forecast'!$B$2:$AO$26,MATCH('Master data'!$B176,'Team forecast'!$B$2:$B$26,0),MATCH('Master data'!AS$1,'Team forecast'!$B$2:$AO$2,0))*IF(X176&gt;0,5000,0)</f>
        <v>1298.7012987012986</v>
      </c>
      <c r="AT176" s="16">
        <f>INDEX('Team forecast'!$B$2:$AO$26,MATCH('Master data'!$B176,'Team forecast'!$B$2:$B$26,0),MATCH('Master data'!AT$1,'Team forecast'!$B$2:$AO$2,0))*IF(X176&gt;0,-15000,0)</f>
        <v>-2337.662337662337</v>
      </c>
      <c r="AU176" s="5">
        <f t="shared" si="68"/>
        <v>15760.120377095103</v>
      </c>
      <c r="AV176" s="5">
        <f t="shared" si="69"/>
        <v>4697.5286652283557</v>
      </c>
      <c r="AW176" s="5">
        <f t="shared" si="70"/>
        <v>3301.1035531186199</v>
      </c>
      <c r="AX176" s="5">
        <f t="shared" si="71"/>
        <v>0</v>
      </c>
      <c r="AY176" s="5">
        <f t="shared" si="72"/>
        <v>0</v>
      </c>
      <c r="AZ176" s="5">
        <f t="shared" si="73"/>
        <v>-2900</v>
      </c>
      <c r="BA176" s="5">
        <f t="shared" si="74"/>
        <v>0</v>
      </c>
      <c r="BB176" s="5">
        <f t="shared" si="75"/>
        <v>15712.166996139025</v>
      </c>
      <c r="BC176" s="5">
        <f t="shared" si="76"/>
        <v>-6082.291867180591</v>
      </c>
      <c r="BD176" s="5">
        <f t="shared" si="77"/>
        <v>51060.05629582909</v>
      </c>
      <c r="BE176" s="16">
        <f>INDEX('Team forecast'!$B$2:$AO$26,MATCH('Master data'!$B176,'Team forecast'!$B$2:$B$26,0),MATCH('Master data'!BE$1,'Team forecast'!$B$2:$AO$2,0))</f>
        <v>1.1461513485277883</v>
      </c>
      <c r="BF176" s="16">
        <f>INDEX('Team forecast'!$B$2:$AO$26,MATCH('Master data'!$B176,'Team forecast'!$B$2:$B$26,0),MATCH('Master data'!BF$1,'Team forecast'!$B$2:$AO$2,0))</f>
        <v>1.1461513485277883</v>
      </c>
      <c r="BG176" s="16">
        <f>INDEX('Team forecast'!$B$2:$AO$26,MATCH('Master data'!$B176,'Team forecast'!$B$2:$B$26,0),MATCH('Master data'!BG$1,'Team forecast'!$B$2:$AO$2,0))</f>
        <v>0.31785774198959899</v>
      </c>
      <c r="BH176" s="16">
        <f>INDEX('Team forecast'!$B$2:$AO$26,MATCH('Master data'!$B176,'Team forecast'!$B$2:$B$26,0),MATCH('Master data'!BH$1,'Team forecast'!$B$2:$AO$2,0))</f>
        <v>3.0977063473724007</v>
      </c>
      <c r="BI176" s="16">
        <f>INDEX('Team forecast'!$B$2:$AO$26,MATCH('Master data'!$B176,'Team forecast'!$B$2:$B$26,0),MATCH('Master data'!BI$1,'Team forecast'!$B$2:$AO$2,0))</f>
        <v>3.9033266205107195</v>
      </c>
      <c r="BJ176" s="5">
        <f t="shared" si="78"/>
        <v>7000</v>
      </c>
      <c r="BK176" s="5">
        <f>INDEX('Team forecast'!$R$3:$BH$26,MATCH($B176,'Team forecast'!$B$3:$B$26,0),MATCH(BK$1,'Team forecast'!$R$2:$BH$2,0))*IF($X176&gt;0,25000,0)</f>
        <v>8668.8475088072482</v>
      </c>
      <c r="BL176" s="5">
        <f>INDEX('Team forecast'!$R$3:$BH$26,MATCH($B176,'Team forecast'!$B$3:$B$26,0),MATCH(BL$1,'Team forecast'!$R$2:$BH$2,0))*IF($X176&gt;0,5000,0)</f>
        <v>1467.0357322596881</v>
      </c>
      <c r="BM176" s="5">
        <f>INDEX('Team forecast'!$R$3:$BH$26,MATCH($B176,'Team forecast'!$B$3:$B$26,0),MATCH(BM$1,'Team forecast'!$R$2:$BH$2,0))*IF($X176&gt;0,-15000,0)</f>
        <v>-5397.584297936588</v>
      </c>
      <c r="BN176" s="5">
        <f t="shared" si="79"/>
        <v>11496.49391303351</v>
      </c>
      <c r="BO176" s="5">
        <f t="shared" si="80"/>
        <v>3426.6939854460934</v>
      </c>
      <c r="BP176" s="5">
        <f t="shared" si="81"/>
        <v>2408.0474004422945</v>
      </c>
      <c r="BQ176" s="5">
        <f t="shared" si="82"/>
        <v>0</v>
      </c>
      <c r="BR176" s="5">
        <f t="shared" si="83"/>
        <v>0</v>
      </c>
      <c r="BS176" s="5">
        <f t="shared" si="84"/>
        <v>-2900</v>
      </c>
      <c r="BT176" s="5">
        <f t="shared" si="85"/>
        <v>0</v>
      </c>
      <c r="BU176" s="5">
        <f t="shared" si="86"/>
        <v>11461.513485277883</v>
      </c>
      <c r="BV176" s="5">
        <f t="shared" si="87"/>
        <v>-9169.2107882223063</v>
      </c>
      <c r="BW176" s="5">
        <f t="shared" si="88"/>
        <v>28461.836939107816</v>
      </c>
      <c r="BX176" s="5">
        <f t="shared" si="89"/>
        <v>28860.024684516149</v>
      </c>
      <c r="BY176" s="5">
        <f t="shared" si="90"/>
        <v>86580.074053548451</v>
      </c>
      <c r="BZ176" s="5">
        <f>INDEX('Team forecast'!$R$3:$BH$26,MATCH($B176,'Team forecast'!$B$3:$B$26,0),MATCH(BZ$1,'Team forecast'!$R$2:$BH$2,0))*($BX176-(BY176+CH176)*0.01)</f>
        <v>-5229.1857876985869</v>
      </c>
      <c r="CA176" s="5">
        <f>INDEX('Team forecast'!$R$3:$BH$26,MATCH($B176,'Team forecast'!$B$3:$B$26,0),MATCH(CA$1,'Team forecast'!$R$2:$BH$2,0))*($BX176-(BY176+BX176+CH176)*0.01)</f>
        <v>-2675.2201018800056</v>
      </c>
      <c r="CB176" s="5">
        <f>INDEX('Team forecast'!$R$3:$BH$26,MATCH($B176,'Team forecast'!$B$3:$B$26,0),MATCH(CB$1,'Team forecast'!$R$2:$BH$2,0))*($BX176-(BY176+BX176*2+CH176)*0.01)</f>
        <v>-1344.4686046777017</v>
      </c>
      <c r="CC176" s="5">
        <f>INDEX('Team forecast'!$R$3:$BH$26,MATCH($B176,'Team forecast'!$B$3:$B$26,0),MATCH(CC$1,'Team forecast'!$R$2:$BH$2,0))*($BX176-(BY176+BX176*3+CH176)*0.01)</f>
        <v>-636.16033663480289</v>
      </c>
      <c r="CD176" s="5">
        <f>+AK176+BD176*Cockpit!$C$3+BW176*Cockpit!$C$3^2+BZ176*Cockpit!$C$3^3+CA176*Cockpit!$C$3^4+CB176*Cockpit!$C$3^5+CC176*Cockpit!$C$3^6</f>
        <v>51437.197904532753</v>
      </c>
      <c r="CE176" s="5"/>
      <c r="CF176" s="5"/>
      <c r="CG176" s="5">
        <v>0</v>
      </c>
      <c r="CH176" s="5">
        <f t="shared" si="49"/>
        <v>3500000</v>
      </c>
      <c r="CI176" s="5">
        <f t="shared" si="50"/>
        <v>3500000</v>
      </c>
      <c r="CJ176" s="1">
        <f t="shared" si="51"/>
        <v>2.4737164015299556E-2</v>
      </c>
      <c r="CK176" s="5">
        <f>RANK(BY176,$BY$2:$BY$623)+COUNTIF($BY$2:$BY176,$BY176)-1</f>
        <v>199</v>
      </c>
      <c r="CL176" s="5">
        <f>RANK(CJ176,$CJ$2:$CJ$623)+COUNTIF($CJ$2:$CJ176,$CJ176)-1</f>
        <v>211</v>
      </c>
    </row>
    <row r="177" spans="1:90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0.76028648339757388</v>
      </c>
      <c r="I177" s="16">
        <f>INDEX('Team forecast'!$B$2:$AO$26,MATCH('Master data'!$B177,'Team forecast'!$B$2:$B$26,0),MATCH('Master data'!I$1,'Team forecast'!$B$2:$AO$2,0))</f>
        <v>1.5712166996139025</v>
      </c>
      <c r="J177" s="16">
        <f>INDEX('Team forecast'!$B$2:$AO$26,MATCH('Master data'!$B177,'Team forecast'!$B$2:$B$26,0),MATCH('Master data'!J$1,'Team forecast'!$B$2:$AO$2,0))</f>
        <v>0.20779220779220781</v>
      </c>
      <c r="K177" s="16">
        <f>INDEX('Team forecast'!$B$2:$AO$26,MATCH('Master data'!$B177,'Team forecast'!$B$2:$B$26,0),MATCH('Master data'!K$1,'Team forecast'!$B$2:$AO$2,0))</f>
        <v>2.0548283335069564</v>
      </c>
      <c r="L177" s="16">
        <f>INDEX('Team forecast'!$B$2:$AO$26,MATCH('Master data'!$B177,'Team forecast'!$B$2:$B$26,0),MATCH('Master data'!L$1,'Team forecast'!$B$2:$AO$2,0))</f>
        <v>5.3509268021816121</v>
      </c>
      <c r="M177">
        <f>IF(Players!BC178=1,95,0)</f>
        <v>0</v>
      </c>
      <c r="N177" s="2">
        <f>Players!BN178</f>
        <v>0</v>
      </c>
      <c r="O177" s="2">
        <f>Players!BO178</f>
        <v>0</v>
      </c>
      <c r="P177" s="2">
        <f>Players!BP178</f>
        <v>0</v>
      </c>
      <c r="Q177" s="2">
        <f>Players!BQ178</f>
        <v>0.521900826446281</v>
      </c>
      <c r="R177" s="2">
        <f>Players!BR178</f>
        <v>0</v>
      </c>
      <c r="S177" s="2">
        <f t="shared" si="52"/>
        <v>0.76028648339757388</v>
      </c>
      <c r="T177" s="2">
        <f t="shared" si="53"/>
        <v>1.5712166996139025</v>
      </c>
      <c r="U177" s="16">
        <f>INDEX('Team forecast'!$B$2:$AO$26,MATCH('Master data'!$B177,'Team forecast'!$B$2:$B$26,0),MATCH('Master data'!U$1,'Team forecast'!$B$2:$AO$2,0))</f>
        <v>0.15584415584415581</v>
      </c>
      <c r="V177" s="16">
        <f>INDEX('Team forecast'!$B$2:$AO$26,MATCH('Master data'!$B177,'Team forecast'!$B$2:$B$26,0),MATCH('Master data'!V$1,'Team forecast'!$B$2:$AO$2,0))</f>
        <v>0.25974025974025972</v>
      </c>
      <c r="W177" s="16">
        <f>INDEX('Team forecast'!$B$2:$AO$26,MATCH('Master data'!$B177,'Team forecast'!$B$2:$B$26,0),MATCH('Master data'!W$1,'Team forecast'!$B$2:$AO$2,0))</f>
        <v>0.58441558441558439</v>
      </c>
      <c r="X177" s="5">
        <f t="shared" si="54"/>
        <v>-5000</v>
      </c>
      <c r="Y177" s="5">
        <f t="shared" si="55"/>
        <v>0</v>
      </c>
      <c r="Z177" s="5">
        <f t="shared" si="56"/>
        <v>0</v>
      </c>
      <c r="AA177" s="5">
        <f t="shared" si="57"/>
        <v>0</v>
      </c>
      <c r="AB177" s="5">
        <f t="shared" si="58"/>
        <v>0</v>
      </c>
      <c r="AC177" s="5">
        <f t="shared" si="59"/>
        <v>0</v>
      </c>
      <c r="AD177" s="5">
        <f t="shared" si="60"/>
        <v>0</v>
      </c>
      <c r="AE177" s="5">
        <f t="shared" si="61"/>
        <v>0</v>
      </c>
      <c r="AF177" s="5">
        <f t="shared" si="62"/>
        <v>0</v>
      </c>
      <c r="AG177" s="5">
        <f t="shared" si="63"/>
        <v>0</v>
      </c>
      <c r="AH177" s="5">
        <f t="shared" si="64"/>
        <v>0</v>
      </c>
      <c r="AI177" s="5">
        <f t="shared" si="65"/>
        <v>0</v>
      </c>
      <c r="AJ177" s="5">
        <f t="shared" si="66"/>
        <v>0</v>
      </c>
      <c r="AK177" s="5">
        <f>IFERROR(SUM(X177:AJ177),-5000)*((Cockpit!$C$3)^0)</f>
        <v>-5000</v>
      </c>
      <c r="AL177" s="16">
        <f>INDEX('Team forecast'!$B$2:$AO$26,MATCH('Master data'!$B177,'Team forecast'!$B$2:$B$26,0),MATCH('Master data'!AL$1,'Team forecast'!$B$2:$AO$2,0))</f>
        <v>1.5712166996139025</v>
      </c>
      <c r="AM177" s="16">
        <f>INDEX('Team forecast'!$B$2:$AO$26,MATCH('Master data'!$B177,'Team forecast'!$B$2:$B$26,0),MATCH('Master data'!AM$1,'Team forecast'!$B$2:$AO$2,0))</f>
        <v>0.76028648339757388</v>
      </c>
      <c r="AN177" s="16">
        <f>INDEX('Team forecast'!$B$2:$AO$26,MATCH('Master data'!$B177,'Team forecast'!$B$2:$B$26,0),MATCH('Master data'!AN$1,'Team forecast'!$B$2:$AO$2,0))</f>
        <v>0.46753246753246752</v>
      </c>
      <c r="AO177" s="16">
        <f>INDEX('Team forecast'!$B$2:$AO$26,MATCH('Master data'!$B177,'Team forecast'!$B$2:$B$26,0),MATCH('Master data'!AO$1,'Team forecast'!$B$2:$AO$2,0))</f>
        <v>4.2465316205781152</v>
      </c>
      <c r="AP177" s="16">
        <f>INDEX('Team forecast'!$B$2:$AO$26,MATCH('Master data'!$B177,'Team forecast'!$B$2:$B$26,0),MATCH('Master data'!AP$1,'Team forecast'!$B$2:$AO$2,0))</f>
        <v>2.5892273945078212</v>
      </c>
      <c r="AQ177" s="5">
        <f t="shared" si="67"/>
        <v>-5000</v>
      </c>
      <c r="AR177" s="5">
        <f>INDEX('Team forecast'!$B$2:$AO$26,MATCH('Master data'!$B177,'Team forecast'!$B$2:$B$26,0),MATCH('Master data'!AR$1,'Team forecast'!$B$2:$AO$2,0))*IF(X177&gt;0,25000,0)</f>
        <v>0</v>
      </c>
      <c r="AS177" s="16">
        <f>INDEX('Team forecast'!$B$2:$AO$26,MATCH('Master data'!$B177,'Team forecast'!$B$2:$B$26,0),MATCH('Master data'!AS$1,'Team forecast'!$B$2:$AO$2,0))*IF(X177&gt;0,5000,0)</f>
        <v>0</v>
      </c>
      <c r="AT177" s="16">
        <f>INDEX('Team forecast'!$B$2:$AO$26,MATCH('Master data'!$B177,'Team forecast'!$B$2:$B$26,0),MATCH('Master data'!AT$1,'Team forecast'!$B$2:$AO$2,0))*IF(X177&gt;0,-15000,0)</f>
        <v>0</v>
      </c>
      <c r="AU177" s="5">
        <f t="shared" si="68"/>
        <v>0</v>
      </c>
      <c r="AV177" s="5">
        <f t="shared" si="69"/>
        <v>0</v>
      </c>
      <c r="AW177" s="5">
        <f t="shared" si="70"/>
        <v>0</v>
      </c>
      <c r="AX177" s="5">
        <f t="shared" si="71"/>
        <v>0</v>
      </c>
      <c r="AY177" s="5">
        <f t="shared" si="72"/>
        <v>0</v>
      </c>
      <c r="AZ177" s="5">
        <f t="shared" si="73"/>
        <v>0</v>
      </c>
      <c r="BA177" s="5">
        <f t="shared" si="74"/>
        <v>0</v>
      </c>
      <c r="BB177" s="5">
        <f t="shared" si="75"/>
        <v>0</v>
      </c>
      <c r="BC177" s="5">
        <f t="shared" si="76"/>
        <v>0</v>
      </c>
      <c r="BD177" s="5">
        <f t="shared" si="77"/>
        <v>-5000</v>
      </c>
      <c r="BE177" s="16">
        <f>INDEX('Team forecast'!$B$2:$AO$26,MATCH('Master data'!$B177,'Team forecast'!$B$2:$B$26,0),MATCH('Master data'!BE$1,'Team forecast'!$B$2:$AO$2,0))</f>
        <v>1.1461513485277883</v>
      </c>
      <c r="BF177" s="16">
        <f>INDEX('Team forecast'!$B$2:$AO$26,MATCH('Master data'!$B177,'Team forecast'!$B$2:$B$26,0),MATCH('Master data'!BF$1,'Team forecast'!$B$2:$AO$2,0))</f>
        <v>1.1461513485277883</v>
      </c>
      <c r="BG177" s="16">
        <f>INDEX('Team forecast'!$B$2:$AO$26,MATCH('Master data'!$B177,'Team forecast'!$B$2:$B$26,0),MATCH('Master data'!BG$1,'Team forecast'!$B$2:$AO$2,0))</f>
        <v>0.31785774198959899</v>
      </c>
      <c r="BH177" s="16">
        <f>INDEX('Team forecast'!$B$2:$AO$26,MATCH('Master data'!$B177,'Team forecast'!$B$2:$B$26,0),MATCH('Master data'!BH$1,'Team forecast'!$B$2:$AO$2,0))</f>
        <v>3.0977063473724007</v>
      </c>
      <c r="BI177" s="16">
        <f>INDEX('Team forecast'!$B$2:$AO$26,MATCH('Master data'!$B177,'Team forecast'!$B$2:$B$26,0),MATCH('Master data'!BI$1,'Team forecast'!$B$2:$AO$2,0))</f>
        <v>3.9033266205107195</v>
      </c>
      <c r="BJ177" s="5">
        <f t="shared" si="78"/>
        <v>-5000</v>
      </c>
      <c r="BK177" s="5">
        <f>INDEX('Team forecast'!$R$3:$BH$26,MATCH($B177,'Team forecast'!$B$3:$B$26,0),MATCH(BK$1,'Team forecast'!$R$2:$BH$2,0))*IF($X177&gt;0,25000,0)</f>
        <v>0</v>
      </c>
      <c r="BL177" s="5">
        <f>INDEX('Team forecast'!$R$3:$BH$26,MATCH($B177,'Team forecast'!$B$3:$B$26,0),MATCH(BL$1,'Team forecast'!$R$2:$BH$2,0))*IF($X177&gt;0,5000,0)</f>
        <v>0</v>
      </c>
      <c r="BM177" s="5">
        <f>INDEX('Team forecast'!$R$3:$BH$26,MATCH($B177,'Team forecast'!$B$3:$B$26,0),MATCH(BM$1,'Team forecast'!$R$2:$BH$2,0))*IF($X177&gt;0,-15000,0)</f>
        <v>0</v>
      </c>
      <c r="BN177" s="5">
        <f t="shared" si="79"/>
        <v>0</v>
      </c>
      <c r="BO177" s="5">
        <f t="shared" si="80"/>
        <v>0</v>
      </c>
      <c r="BP177" s="5">
        <f t="shared" si="81"/>
        <v>0</v>
      </c>
      <c r="BQ177" s="5">
        <f t="shared" si="82"/>
        <v>0</v>
      </c>
      <c r="BR177" s="5">
        <f t="shared" si="83"/>
        <v>0</v>
      </c>
      <c r="BS177" s="5">
        <f t="shared" si="84"/>
        <v>0</v>
      </c>
      <c r="BT177" s="5">
        <f t="shared" si="85"/>
        <v>0</v>
      </c>
      <c r="BU177" s="5">
        <f t="shared" si="86"/>
        <v>0</v>
      </c>
      <c r="BV177" s="5">
        <f t="shared" si="87"/>
        <v>0</v>
      </c>
      <c r="BW177" s="5">
        <f t="shared" si="88"/>
        <v>-5000</v>
      </c>
      <c r="BX177" s="5">
        <f t="shared" si="89"/>
        <v>-5000</v>
      </c>
      <c r="BY177" s="5">
        <f t="shared" si="90"/>
        <v>-15000</v>
      </c>
      <c r="BZ177" s="5">
        <f>INDEX('Team forecast'!$R$3:$BH$26,MATCH($B177,'Team forecast'!$B$3:$B$26,0),MATCH(BZ$1,'Team forecast'!$R$2:$BH$2,0))*($BX177-(BY177+CH177)*0.01)</f>
        <v>-37208.570389971836</v>
      </c>
      <c r="CA177" s="5">
        <f>INDEX('Team forecast'!$R$3:$BH$26,MATCH($B177,'Team forecast'!$B$3:$B$26,0),MATCH(CA$1,'Team forecast'!$R$2:$BH$2,0))*($BX177-(BY177+BX177+CH177)*0.01)</f>
        <v>-18264.201837421875</v>
      </c>
      <c r="CB177" s="5">
        <f>INDEX('Team forecast'!$R$3:$BH$26,MATCH($B177,'Team forecast'!$B$3:$B$26,0),MATCH(CB$1,'Team forecast'!$R$2:$BH$2,0))*($BX177-(BY177+BX177*2+CH177)*0.01)</f>
        <v>-8820.7200225717042</v>
      </c>
      <c r="CC177" s="5">
        <f>INDEX('Team forecast'!$R$3:$BH$26,MATCH($B177,'Team forecast'!$B$3:$B$26,0),MATCH(CC$1,'Team forecast'!$R$2:$BH$2,0))*($BX177-(BY177+BX177*3+CH177)*0.01)</f>
        <v>-4016.6245655619728</v>
      </c>
      <c r="CD177" s="5">
        <f>+AK177+BD177*Cockpit!$C$3+BW177*Cockpit!$C$3^2+BZ177*Cockpit!$C$3^3+CA177*Cockpit!$C$3^4+CB177*Cockpit!$C$3^5+CC177*Cockpit!$C$3^6</f>
        <v>-26702.262500940353</v>
      </c>
      <c r="CE177" s="5"/>
      <c r="CF177" s="5"/>
      <c r="CG177" s="5">
        <v>0</v>
      </c>
      <c r="CH177" s="5">
        <f t="shared" si="49"/>
        <v>4500000</v>
      </c>
      <c r="CI177" s="5">
        <f t="shared" si="50"/>
        <v>4500000</v>
      </c>
      <c r="CJ177" s="1">
        <f t="shared" si="51"/>
        <v>-3.3333333333333335E-3</v>
      </c>
      <c r="CK177" s="5">
        <f>RANK(BY177,$BY$2:$BY$623)+COUNTIF($BY$2:$BY177,$BY177)-1</f>
        <v>476</v>
      </c>
      <c r="CL177" s="5">
        <f>RANK(CJ177,$CJ$2:$CJ$623)+COUNTIF($CJ$2:$CJ177,$CJ177)-1</f>
        <v>436</v>
      </c>
    </row>
    <row r="178" spans="1:90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0.84461095835632183</v>
      </c>
      <c r="I178" s="16">
        <f>INDEX('Team forecast'!$B$2:$AO$26,MATCH('Master data'!$B178,'Team forecast'!$B$2:$B$26,0),MATCH('Master data'!I$1,'Team forecast'!$B$2:$AO$2,0))</f>
        <v>1.5602309947683257</v>
      </c>
      <c r="J178" s="16">
        <f>INDEX('Team forecast'!$B$2:$AO$26,MATCH('Master data'!$B178,'Team forecast'!$B$2:$B$26,0),MATCH('Master data'!J$1,'Team forecast'!$B$2:$AO$2,0))</f>
        <v>0.21008753647353071</v>
      </c>
      <c r="K178" s="16">
        <f>INDEX('Team forecast'!$B$2:$AO$26,MATCH('Master data'!$B178,'Team forecast'!$B$2:$B$26,0),MATCH('Master data'!K$1,'Team forecast'!$B$2:$AO$2,0))</f>
        <v>2.876402354682019</v>
      </c>
      <c r="L178" s="16">
        <f>INDEX('Team forecast'!$B$2:$AO$26,MATCH('Master data'!$B178,'Team forecast'!$B$2:$B$26,0),MATCH('Master data'!L$1,'Team forecast'!$B$2:$AO$2,0))</f>
        <v>4.4253824578883423</v>
      </c>
      <c r="M178">
        <f>IF(Players!BC179=1,95,0)</f>
        <v>95</v>
      </c>
      <c r="N178" s="2">
        <f>Players!BN179</f>
        <v>0.21487286642474587</v>
      </c>
      <c r="O178" s="2">
        <f>Players!BO179</f>
        <v>0.31290367320122819</v>
      </c>
      <c r="P178" s="2">
        <f>Players!BP179</f>
        <v>0.30240564519766555</v>
      </c>
      <c r="Q178" s="2">
        <f>Players!BQ179</f>
        <v>0.28895522388059702</v>
      </c>
      <c r="R178" s="2">
        <f>Players!BR179</f>
        <v>0</v>
      </c>
      <c r="S178" s="2">
        <f t="shared" si="52"/>
        <v>0.84461095835632183</v>
      </c>
      <c r="T178" s="2">
        <f t="shared" si="53"/>
        <v>1.5602309947683257</v>
      </c>
      <c r="U178" s="16">
        <f>INDEX('Team forecast'!$B$2:$AO$26,MATCH('Master data'!$B178,'Team forecast'!$B$2:$B$26,0),MATCH('Master data'!U$1,'Team forecast'!$B$2:$AO$2,0))</f>
        <v>0.18007503126302629</v>
      </c>
      <c r="V178" s="16">
        <f>INDEX('Team forecast'!$B$2:$AO$26,MATCH('Master data'!$B178,'Team forecast'!$B$2:$B$26,0),MATCH('Master data'!V$1,'Team forecast'!$B$2:$AO$2,0))</f>
        <v>0.23634847853272201</v>
      </c>
      <c r="W178" s="16">
        <f>INDEX('Team forecast'!$B$2:$AO$26,MATCH('Master data'!$B178,'Team forecast'!$B$2:$B$26,0),MATCH('Master data'!W$1,'Team forecast'!$B$2:$AO$2,0))</f>
        <v>0.58357649020425184</v>
      </c>
      <c r="X178" s="5">
        <f t="shared" si="54"/>
        <v>7000</v>
      </c>
      <c r="Y178" s="5">
        <f t="shared" si="55"/>
        <v>4501.8757815756571</v>
      </c>
      <c r="Z178" s="5">
        <f t="shared" si="56"/>
        <v>1181.74239266361</v>
      </c>
      <c r="AA178" s="5">
        <f t="shared" si="57"/>
        <v>-8753.6473530637777</v>
      </c>
      <c r="AB178" s="5">
        <f t="shared" si="58"/>
        <v>22685.49720447182</v>
      </c>
      <c r="AC178" s="5">
        <f t="shared" si="59"/>
        <v>13214.093564785135</v>
      </c>
      <c r="AD178" s="5">
        <f t="shared" si="60"/>
        <v>8698.4030991570035</v>
      </c>
      <c r="AE178" s="5">
        <f t="shared" si="61"/>
        <v>0</v>
      </c>
      <c r="AF178" s="5">
        <f t="shared" si="62"/>
        <v>0</v>
      </c>
      <c r="AG178" s="5">
        <f t="shared" si="63"/>
        <v>-5779.1044776119406</v>
      </c>
      <c r="AH178" s="5">
        <f t="shared" si="64"/>
        <v>0</v>
      </c>
      <c r="AI178" s="5">
        <f t="shared" si="65"/>
        <v>8446.1095835632186</v>
      </c>
      <c r="AJ178" s="5">
        <f t="shared" si="66"/>
        <v>-12481.847958146605</v>
      </c>
      <c r="AK178" s="5">
        <f>IFERROR(SUM(X178:AJ178),-5000)*((Cockpit!$C$3)^0)</f>
        <v>38713.121837394123</v>
      </c>
      <c r="AL178" s="16">
        <f>INDEX('Team forecast'!$B$2:$AO$26,MATCH('Master data'!$B178,'Team forecast'!$B$2:$B$26,0),MATCH('Master data'!AL$1,'Team forecast'!$B$2:$AO$2,0))</f>
        <v>1.5687475343836428</v>
      </c>
      <c r="AM178" s="16">
        <f>INDEX('Team forecast'!$B$2:$AO$26,MATCH('Master data'!$B178,'Team forecast'!$B$2:$B$26,0),MATCH('Master data'!AM$1,'Team forecast'!$B$2:$AO$2,0))</f>
        <v>0.75781731816731412</v>
      </c>
      <c r="AN178" s="16">
        <f>INDEX('Team forecast'!$B$2:$AO$26,MATCH('Master data'!$B178,'Team forecast'!$B$2:$B$26,0),MATCH('Master data'!AN$1,'Team forecast'!$B$2:$AO$2,0))</f>
        <v>0.46868830883965779</v>
      </c>
      <c r="AO178" s="16">
        <f>INDEX('Team forecast'!$B$2:$AO$26,MATCH('Master data'!$B178,'Team forecast'!$B$2:$B$26,0),MATCH('Master data'!AO$1,'Team forecast'!$B$2:$AO$2,0))</f>
        <v>5.3425178268869509</v>
      </c>
      <c r="AP178" s="16">
        <f>INDEX('Team forecast'!$B$2:$AO$26,MATCH('Master data'!$B178,'Team forecast'!$B$2:$B$26,0),MATCH('Master data'!AP$1,'Team forecast'!$B$2:$AO$2,0))</f>
        <v>2.1494454842563817</v>
      </c>
      <c r="AQ178" s="5">
        <f t="shared" si="67"/>
        <v>7000</v>
      </c>
      <c r="AR178" s="5">
        <f>INDEX('Team forecast'!$B$2:$AO$26,MATCH('Master data'!$B178,'Team forecast'!$B$2:$B$26,0),MATCH('Master data'!AR$1,'Team forecast'!$B$2:$AO$2,0))*IF(X178&gt;0,25000,0)</f>
        <v>14202.676025444174</v>
      </c>
      <c r="AS178" s="16">
        <f>INDEX('Team forecast'!$B$2:$AO$26,MATCH('Master data'!$B178,'Team forecast'!$B$2:$B$26,0),MATCH('Master data'!AS$1,'Team forecast'!$B$2:$AO$2,0))*IF(X178&gt;0,5000,0)</f>
        <v>1266.7251590261019</v>
      </c>
      <c r="AT178" s="16">
        <f>INDEX('Team forecast'!$B$2:$AO$26,MATCH('Master data'!$B178,'Team forecast'!$B$2:$B$26,0),MATCH('Master data'!AT$1,'Team forecast'!$B$2:$AO$2,0))*IF(X178&gt;0,-15000,0)</f>
        <v>-2678.2189076551876</v>
      </c>
      <c r="AU178" s="5">
        <f t="shared" si="68"/>
        <v>42135.159926220738</v>
      </c>
      <c r="AV178" s="5">
        <f t="shared" si="69"/>
        <v>24543.343291700592</v>
      </c>
      <c r="AW178" s="5">
        <f t="shared" si="70"/>
        <v>16156.075504197785</v>
      </c>
      <c r="AX178" s="5">
        <f t="shared" si="71"/>
        <v>0</v>
      </c>
      <c r="AY178" s="5">
        <f t="shared" si="72"/>
        <v>0</v>
      </c>
      <c r="AZ178" s="5">
        <f t="shared" si="73"/>
        <v>-5779.1044776119406</v>
      </c>
      <c r="BA178" s="5">
        <f t="shared" si="74"/>
        <v>0</v>
      </c>
      <c r="BB178" s="5">
        <f t="shared" si="75"/>
        <v>15687.475343836428</v>
      </c>
      <c r="BC178" s="5">
        <f t="shared" si="76"/>
        <v>-6062.5385453385134</v>
      </c>
      <c r="BD178" s="5">
        <f t="shared" si="77"/>
        <v>106471.59331982018</v>
      </c>
      <c r="BE178" s="16">
        <f>INDEX('Team forecast'!$B$2:$AO$26,MATCH('Master data'!$B178,'Team forecast'!$B$2:$B$26,0),MATCH('Master data'!BE$1,'Team forecast'!$B$2:$AO$2,0))</f>
        <v>0.95602347631827322</v>
      </c>
      <c r="BF178" s="16">
        <f>INDEX('Team forecast'!$B$2:$AO$26,MATCH('Master data'!$B178,'Team forecast'!$B$2:$B$26,0),MATCH('Master data'!BF$1,'Team forecast'!$B$2:$AO$2,0))</f>
        <v>1.5053002864585165</v>
      </c>
      <c r="BG178" s="16">
        <f>INDEX('Team forecast'!$B$2:$AO$26,MATCH('Master data'!$B178,'Team forecast'!$B$2:$B$26,0),MATCH('Master data'!BG$1,'Team forecast'!$B$2:$AO$2,0))</f>
        <v>0.22195063505392029</v>
      </c>
      <c r="BH178" s="16">
        <f>INDEX('Team forecast'!$B$2:$AO$26,MATCH('Master data'!$B178,'Team forecast'!$B$2:$B$26,0),MATCH('Master data'!BH$1,'Team forecast'!$B$2:$AO$2,0))</f>
        <v>3.2558282025664269</v>
      </c>
      <c r="BI178" s="16">
        <f>INDEX('Team forecast'!$B$2:$AO$26,MATCH('Master data'!$B178,'Team forecast'!$B$2:$B$26,0),MATCH('Master data'!BI$1,'Team forecast'!$B$2:$AO$2,0))</f>
        <v>4.2695789943187012</v>
      </c>
      <c r="BJ178" s="5">
        <f t="shared" si="78"/>
        <v>7000</v>
      </c>
      <c r="BK178" s="5">
        <f>INDEX('Team forecast'!$R$3:$BH$26,MATCH($B178,'Team forecast'!$B$3:$B$26,0),MATCH(BK$1,'Team forecast'!$R$2:$BH$2,0))*IF($X178&gt;0,25000,0)</f>
        <v>5860.0381084358223</v>
      </c>
      <c r="BL178" s="5">
        <f>INDEX('Team forecast'!$R$3:$BH$26,MATCH($B178,'Team forecast'!$B$3:$B$26,0),MATCH(BL$1,'Team forecast'!$R$2:$BH$2,0))*IF($X178&gt;0,5000,0)</f>
        <v>1413.30330850511</v>
      </c>
      <c r="BM178" s="5">
        <f>INDEX('Team forecast'!$R$3:$BH$26,MATCH($B178,'Team forecast'!$B$3:$B$26,0),MATCH(BM$1,'Team forecast'!$R$2:$BH$2,0))*IF($X178&gt;0,-15000,0)</f>
        <v>-7244.0672094231768</v>
      </c>
      <c r="BN178" s="5">
        <f t="shared" si="79"/>
        <v>25677.93809073219</v>
      </c>
      <c r="BO178" s="5">
        <f t="shared" si="80"/>
        <v>14957.162870329754</v>
      </c>
      <c r="BP178" s="5">
        <f t="shared" si="81"/>
        <v>9845.8082824985613</v>
      </c>
      <c r="BQ178" s="5">
        <f t="shared" si="82"/>
        <v>0</v>
      </c>
      <c r="BR178" s="5">
        <f t="shared" si="83"/>
        <v>0</v>
      </c>
      <c r="BS178" s="5">
        <f t="shared" si="84"/>
        <v>-5779.1044776119406</v>
      </c>
      <c r="BT178" s="5">
        <f t="shared" si="85"/>
        <v>0</v>
      </c>
      <c r="BU178" s="5">
        <f t="shared" si="86"/>
        <v>9560.2347631827324</v>
      </c>
      <c r="BV178" s="5">
        <f t="shared" si="87"/>
        <v>-12042.402291668132</v>
      </c>
      <c r="BW178" s="5">
        <f t="shared" si="88"/>
        <v>49248.911444980928</v>
      </c>
      <c r="BX178" s="5">
        <f t="shared" si="89"/>
        <v>64811.208867398418</v>
      </c>
      <c r="BY178" s="5">
        <f t="shared" si="90"/>
        <v>194433.62660219526</v>
      </c>
      <c r="BZ178" s="5">
        <f>INDEX('Team forecast'!$R$3:$BH$26,MATCH($B178,'Team forecast'!$B$3:$B$26,0),MATCH(BZ$1,'Team forecast'!$R$2:$BH$2,0))*($BX178-(BY178+CH178)*0.01)</f>
        <v>14691.509322271821</v>
      </c>
      <c r="CA178" s="5">
        <f>INDEX('Team forecast'!$R$3:$BH$26,MATCH($B178,'Team forecast'!$B$3:$B$26,0),MATCH(CA$1,'Team forecast'!$R$2:$BH$2,0))*($BX178-(BY178+BX178+CH178)*0.01)</f>
        <v>7007.0609598837937</v>
      </c>
      <c r="CB178" s="5">
        <f>INDEX('Team forecast'!$R$3:$BH$26,MATCH($B178,'Team forecast'!$B$3:$B$26,0),MATCH(CB$1,'Team forecast'!$R$2:$BH$2,0))*($BX178-(BY178+BX178*2+CH178)*0.01)</f>
        <v>3282.0984584140642</v>
      </c>
      <c r="CC178" s="5">
        <f>INDEX('Team forecast'!$R$3:$BH$26,MATCH($B178,'Team forecast'!$B$3:$B$26,0),MATCH(CC$1,'Team forecast'!$R$2:$BH$2,0))*($BX178-(BY178+BX178*3+CH178)*0.01)</f>
        <v>1442.6108253453931</v>
      </c>
      <c r="CD178" s="5">
        <f>+AK178+BD178*Cockpit!$C$3+BW178*Cockpit!$C$3^2+BZ178*Cockpit!$C$3^3+CA178*Cockpit!$C$3^4+CB178*Cockpit!$C$3^5+CC178*Cockpit!$C$3^6</f>
        <v>137878.59920127649</v>
      </c>
      <c r="CE178" s="5"/>
      <c r="CF178" s="5"/>
      <c r="CG178" s="5">
        <v>0</v>
      </c>
      <c r="CH178" s="5">
        <f t="shared" si="49"/>
        <v>4000000</v>
      </c>
      <c r="CI178" s="5">
        <f t="shared" si="50"/>
        <v>4000000</v>
      </c>
      <c r="CJ178" s="1">
        <f t="shared" si="51"/>
        <v>4.8608406650548816E-2</v>
      </c>
      <c r="CK178" s="5">
        <f>RANK(BY178,$BY$2:$BY$623)+COUNTIF($BY$2:$BY178,$BY178)-1</f>
        <v>55</v>
      </c>
      <c r="CL178" s="5">
        <f>RANK(CJ178,$CJ$2:$CJ$623)+COUNTIF($CJ$2:$CJ178,$CJ178)-1</f>
        <v>37</v>
      </c>
    </row>
    <row r="179" spans="1:90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1.2386203137003762</v>
      </c>
      <c r="I179" s="16">
        <f>INDEX('Team forecast'!$B$2:$AO$26,MATCH('Master data'!$B179,'Team forecast'!$B$2:$B$26,0),MATCH('Master data'!I$1,'Team forecast'!$B$2:$AO$2,0))</f>
        <v>1.2386203137003762</v>
      </c>
      <c r="J179" s="16">
        <f>INDEX('Team forecast'!$B$2:$AO$26,MATCH('Master data'!$B179,'Team forecast'!$B$2:$B$26,0),MATCH('Master data'!J$1,'Team forecast'!$B$2:$AO$2,0))</f>
        <v>0.28978375293296982</v>
      </c>
      <c r="K179" s="16">
        <f>INDEX('Team forecast'!$B$2:$AO$26,MATCH('Master data'!$B179,'Team forecast'!$B$2:$B$26,0),MATCH('Master data'!K$1,'Team forecast'!$B$2:$AO$2,0))</f>
        <v>3.2404985504377408</v>
      </c>
      <c r="L179" s="16">
        <f>INDEX('Team forecast'!$B$2:$AO$26,MATCH('Master data'!$B179,'Team forecast'!$B$2:$B$26,0),MATCH('Master data'!L$1,'Team forecast'!$B$2:$AO$2,0))</f>
        <v>3.7600973808761418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52"/>
        <v>1.2386203137003762</v>
      </c>
      <c r="T179" s="2">
        <f t="shared" si="53"/>
        <v>1.2386203137003762</v>
      </c>
      <c r="U179" s="16">
        <f>INDEX('Team forecast'!$B$2:$AO$26,MATCH('Master data'!$B179,'Team forecast'!$B$2:$B$26,0),MATCH('Master data'!U$1,'Team forecast'!$B$2:$AO$2,0))</f>
        <v>0.36933223413025562</v>
      </c>
      <c r="V179" s="16">
        <f>INDEX('Team forecast'!$B$2:$AO$26,MATCH('Master data'!$B179,'Team forecast'!$B$2:$B$26,0),MATCH('Master data'!V$1,'Team forecast'!$B$2:$AO$2,0))</f>
        <v>0.29431162407254741</v>
      </c>
      <c r="W179" s="16">
        <f>INDEX('Team forecast'!$B$2:$AO$26,MATCH('Master data'!$B179,'Team forecast'!$B$2:$B$26,0),MATCH('Master data'!W$1,'Team forecast'!$B$2:$AO$2,0))</f>
        <v>0.33635614179719708</v>
      </c>
      <c r="X179" s="5">
        <f t="shared" si="54"/>
        <v>-5000</v>
      </c>
      <c r="Y179" s="5">
        <f t="shared" si="55"/>
        <v>0</v>
      </c>
      <c r="Z179" s="5">
        <f t="shared" si="56"/>
        <v>0</v>
      </c>
      <c r="AA179" s="5">
        <f t="shared" si="57"/>
        <v>0</v>
      </c>
      <c r="AB179" s="5">
        <f t="shared" si="58"/>
        <v>0</v>
      </c>
      <c r="AC179" s="5">
        <f t="shared" si="59"/>
        <v>0</v>
      </c>
      <c r="AD179" s="5">
        <f t="shared" si="60"/>
        <v>0</v>
      </c>
      <c r="AE179" s="5">
        <f t="shared" si="61"/>
        <v>14489.18764664849</v>
      </c>
      <c r="AF179" s="5">
        <f t="shared" si="62"/>
        <v>0</v>
      </c>
      <c r="AG179" s="5">
        <f t="shared" si="63"/>
        <v>0</v>
      </c>
      <c r="AH179" s="5">
        <f t="shared" si="64"/>
        <v>0</v>
      </c>
      <c r="AI179" s="5">
        <f t="shared" si="65"/>
        <v>0</v>
      </c>
      <c r="AJ179" s="5">
        <f t="shared" si="66"/>
        <v>0</v>
      </c>
      <c r="AK179" s="5">
        <f>IFERROR(SUM(X179:AJ179),-5000)*((Cockpit!$C$3)^0)</f>
        <v>9489.18764664849</v>
      </c>
      <c r="AL179" s="16">
        <f>INDEX('Team forecast'!$B$2:$AO$26,MATCH('Master data'!$B179,'Team forecast'!$B$2:$B$26,0),MATCH('Master data'!AL$1,'Team forecast'!$B$2:$AO$2,0))</f>
        <v>2.140423422331811</v>
      </c>
      <c r="AM179" s="16">
        <f>INDEX('Team forecast'!$B$2:$AO$26,MATCH('Master data'!$B179,'Team forecast'!$B$2:$B$26,0),MATCH('Master data'!AM$1,'Team forecast'!$B$2:$AO$2,0))</f>
        <v>0.80291922538135296</v>
      </c>
      <c r="AN179" s="16">
        <f>INDEX('Team forecast'!$B$2:$AO$26,MATCH('Master data'!$B179,'Team forecast'!$B$2:$B$26,0),MATCH('Master data'!AN$1,'Team forecast'!$B$2:$AO$2,0))</f>
        <v>0.44801918430198229</v>
      </c>
      <c r="AO179" s="16">
        <f>INDEX('Team forecast'!$B$2:$AO$26,MATCH('Master data'!$B179,'Team forecast'!$B$2:$B$26,0),MATCH('Master data'!AO$1,'Team forecast'!$B$2:$AO$2,0))</f>
        <v>5.5998104670734943</v>
      </c>
      <c r="AP179" s="16">
        <f>INDEX('Team forecast'!$B$2:$AO$26,MATCH('Master data'!$B179,'Team forecast'!$B$2:$B$26,0),MATCH('Master data'!AP$1,'Team forecast'!$B$2:$AO$2,0))</f>
        <v>2.4374333627648213</v>
      </c>
      <c r="AQ179" s="5">
        <f t="shared" si="67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68"/>
        <v>0</v>
      </c>
      <c r="AV179" s="5">
        <f t="shared" si="69"/>
        <v>0</v>
      </c>
      <c r="AW179" s="5">
        <f t="shared" si="70"/>
        <v>0</v>
      </c>
      <c r="AX179" s="5">
        <f t="shared" si="71"/>
        <v>22400.959215099116</v>
      </c>
      <c r="AY179" s="5">
        <f t="shared" si="72"/>
        <v>0</v>
      </c>
      <c r="AZ179" s="5">
        <f t="shared" si="73"/>
        <v>0</v>
      </c>
      <c r="BA179" s="5">
        <f t="shared" si="74"/>
        <v>0</v>
      </c>
      <c r="BB179" s="5">
        <f t="shared" si="75"/>
        <v>0</v>
      </c>
      <c r="BC179" s="5">
        <f t="shared" si="76"/>
        <v>0</v>
      </c>
      <c r="BD179" s="5">
        <f t="shared" si="77"/>
        <v>17400.959215099116</v>
      </c>
      <c r="BE179" s="16">
        <f>INDEX('Team forecast'!$B$2:$AO$26,MATCH('Master data'!$B179,'Team forecast'!$B$2:$B$26,0),MATCH('Master data'!BE$1,'Team forecast'!$B$2:$AO$2,0))</f>
        <v>1.2965069481471114</v>
      </c>
      <c r="BF179" s="16">
        <f>INDEX('Team forecast'!$B$2:$AO$26,MATCH('Master data'!$B179,'Team forecast'!$B$2:$B$26,0),MATCH('Master data'!BF$1,'Team forecast'!$B$2:$AO$2,0))</f>
        <v>1.0107278258414167</v>
      </c>
      <c r="BG179" s="16">
        <f>INDEX('Team forecast'!$B$2:$AO$26,MATCH('Master data'!$B179,'Team forecast'!$B$2:$B$26,0),MATCH('Master data'!BG$1,'Team forecast'!$B$2:$AO$2,0))</f>
        <v>0.36395398803179979</v>
      </c>
      <c r="BH179" s="16">
        <f>INDEX('Team forecast'!$B$2:$AO$26,MATCH('Master data'!$B179,'Team forecast'!$B$2:$B$26,0),MATCH('Master data'!BH$1,'Team forecast'!$B$2:$AO$2,0))</f>
        <v>3.3919425021794698</v>
      </c>
      <c r="BI179" s="16">
        <f>INDEX('Team forecast'!$B$2:$AO$26,MATCH('Master data'!$B179,'Team forecast'!$B$2:$B$26,0),MATCH('Master data'!BI$1,'Team forecast'!$B$2:$AO$2,0))</f>
        <v>3.0682808998757292</v>
      </c>
      <c r="BJ179" s="5">
        <f t="shared" si="78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79"/>
        <v>0</v>
      </c>
      <c r="BO179" s="5">
        <f t="shared" si="80"/>
        <v>0</v>
      </c>
      <c r="BP179" s="5">
        <f t="shared" si="81"/>
        <v>0</v>
      </c>
      <c r="BQ179" s="5">
        <f t="shared" si="82"/>
        <v>18197.699401589991</v>
      </c>
      <c r="BR179" s="5">
        <f t="shared" si="83"/>
        <v>0</v>
      </c>
      <c r="BS179" s="5">
        <f t="shared" si="84"/>
        <v>0</v>
      </c>
      <c r="BT179" s="5">
        <f t="shared" si="85"/>
        <v>0</v>
      </c>
      <c r="BU179" s="5">
        <f t="shared" si="86"/>
        <v>0</v>
      </c>
      <c r="BV179" s="5">
        <f t="shared" si="87"/>
        <v>0</v>
      </c>
      <c r="BW179" s="5">
        <f t="shared" si="88"/>
        <v>13197.699401589991</v>
      </c>
      <c r="BX179" s="5">
        <f t="shared" si="89"/>
        <v>13362.615421112532</v>
      </c>
      <c r="BY179" s="5">
        <f t="shared" si="90"/>
        <v>40087.846263337597</v>
      </c>
      <c r="BZ179" s="5">
        <f>INDEX('Team forecast'!$R$3:$BH$26,MATCH($B179,'Team forecast'!$B$3:$B$26,0),MATCH(BZ$1,'Team forecast'!$R$2:$BH$2,0))*($BX179-(BY179+CH179)*0.01)</f>
        <v>-15039.874356922357</v>
      </c>
      <c r="CA179" s="5">
        <f>INDEX('Team forecast'!$R$3:$BH$26,MATCH($B179,'Team forecast'!$B$3:$B$26,0),MATCH(CA$1,'Team forecast'!$R$2:$BH$2,0))*($BX179-(BY179+BX179+CH179)*0.01)</f>
        <v>-7878.0896930821027</v>
      </c>
      <c r="CB179" s="5">
        <f>INDEX('Team forecast'!$R$3:$BH$26,MATCH($B179,'Team forecast'!$B$3:$B$26,0),MATCH(CB$1,'Team forecast'!$R$2:$BH$2,0))*($BX179-(BY179+BX179*2+CH179)*0.01)</f>
        <v>-4253.4656296500834</v>
      </c>
      <c r="CC179" s="5">
        <f>INDEX('Team forecast'!$R$3:$BH$26,MATCH($B179,'Team forecast'!$B$3:$B$26,0),MATCH(CC$1,'Team forecast'!$R$2:$BH$2,0))*($BX179-(BY179+BX179*3+CH179)*0.01)</f>
        <v>-2511.8918814087201</v>
      </c>
      <c r="CD179" s="5">
        <f>+AK179+BD179*Cockpit!$C$3+BW179*Cockpit!$C$3^2+BZ179*Cockpit!$C$3^3+CA179*Cockpit!$C$3^4+CB179*Cockpit!$C$3^5+CC179*Cockpit!$C$3^6</f>
        <v>20162.396462694731</v>
      </c>
      <c r="CE179" s="5"/>
      <c r="CF179" s="5"/>
      <c r="CG179" s="5">
        <v>0</v>
      </c>
      <c r="CH179" s="5">
        <f t="shared" si="49"/>
        <v>3000000</v>
      </c>
      <c r="CI179" s="5">
        <f t="shared" si="50"/>
        <v>3000000</v>
      </c>
      <c r="CJ179" s="1">
        <f t="shared" si="51"/>
        <v>1.3362615421112532E-2</v>
      </c>
      <c r="CK179" s="5">
        <f>RANK(BY179,$BY$2:$BY$623)+COUNTIF($BY$2:$BY179,$BY179)-1</f>
        <v>312</v>
      </c>
      <c r="CL179" s="5">
        <f>RANK(CJ179,$CJ$2:$CJ$623)+COUNTIF($CJ$2:$CJ179,$CJ179)-1</f>
        <v>325</v>
      </c>
    </row>
    <row r="180" spans="1:90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1.2386203137003762</v>
      </c>
      <c r="I180" s="16">
        <f>INDEX('Team forecast'!$B$2:$AO$26,MATCH('Master data'!$B180,'Team forecast'!$B$2:$B$26,0),MATCH('Master data'!I$1,'Team forecast'!$B$2:$AO$2,0))</f>
        <v>1.2386203137003762</v>
      </c>
      <c r="J180" s="16">
        <f>INDEX('Team forecast'!$B$2:$AO$26,MATCH('Master data'!$B180,'Team forecast'!$B$2:$B$26,0),MATCH('Master data'!J$1,'Team forecast'!$B$2:$AO$2,0))</f>
        <v>0.28978375293296982</v>
      </c>
      <c r="K180" s="16">
        <f>INDEX('Team forecast'!$B$2:$AO$26,MATCH('Master data'!$B180,'Team forecast'!$B$2:$B$26,0),MATCH('Master data'!K$1,'Team forecast'!$B$2:$AO$2,0))</f>
        <v>3.2404985504377408</v>
      </c>
      <c r="L180" s="16">
        <f>INDEX('Team forecast'!$B$2:$AO$26,MATCH('Master data'!$B180,'Team forecast'!$B$2:$B$26,0),MATCH('Master data'!L$1,'Team forecast'!$B$2:$AO$2,0))</f>
        <v>3.7600973808761418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52"/>
        <v>1.2386203137003762</v>
      </c>
      <c r="T180" s="2">
        <f t="shared" si="53"/>
        <v>1.2386203137003762</v>
      </c>
      <c r="U180" s="16">
        <f>INDEX('Team forecast'!$B$2:$AO$26,MATCH('Master data'!$B180,'Team forecast'!$B$2:$B$26,0),MATCH('Master data'!U$1,'Team forecast'!$B$2:$AO$2,0))</f>
        <v>0.36933223413025562</v>
      </c>
      <c r="V180" s="16">
        <f>INDEX('Team forecast'!$B$2:$AO$26,MATCH('Master data'!$B180,'Team forecast'!$B$2:$B$26,0),MATCH('Master data'!V$1,'Team forecast'!$B$2:$AO$2,0))</f>
        <v>0.29431162407254741</v>
      </c>
      <c r="W180" s="16">
        <f>INDEX('Team forecast'!$B$2:$AO$26,MATCH('Master data'!$B180,'Team forecast'!$B$2:$B$26,0),MATCH('Master data'!W$1,'Team forecast'!$B$2:$AO$2,0))</f>
        <v>0.33635614179719708</v>
      </c>
      <c r="X180" s="5">
        <f t="shared" si="54"/>
        <v>-5000</v>
      </c>
      <c r="Y180" s="5">
        <f t="shared" si="55"/>
        <v>0</v>
      </c>
      <c r="Z180" s="5">
        <f t="shared" si="56"/>
        <v>0</v>
      </c>
      <c r="AA180" s="5">
        <f t="shared" si="57"/>
        <v>0</v>
      </c>
      <c r="AB180" s="5">
        <f t="shared" si="58"/>
        <v>0</v>
      </c>
      <c r="AC180" s="5">
        <f t="shared" si="59"/>
        <v>0</v>
      </c>
      <c r="AD180" s="5">
        <f t="shared" si="60"/>
        <v>0</v>
      </c>
      <c r="AE180" s="5">
        <f t="shared" si="61"/>
        <v>14489.18764664849</v>
      </c>
      <c r="AF180" s="5">
        <f t="shared" si="62"/>
        <v>0</v>
      </c>
      <c r="AG180" s="5">
        <f t="shared" si="63"/>
        <v>0</v>
      </c>
      <c r="AH180" s="5">
        <f t="shared" si="64"/>
        <v>0</v>
      </c>
      <c r="AI180" s="5">
        <f t="shared" si="65"/>
        <v>0</v>
      </c>
      <c r="AJ180" s="5">
        <f t="shared" si="66"/>
        <v>0</v>
      </c>
      <c r="AK180" s="5">
        <f>IFERROR(SUM(X180:AJ180),-5000)*((Cockpit!$C$3)^0)</f>
        <v>9489.18764664849</v>
      </c>
      <c r="AL180" s="16">
        <f>INDEX('Team forecast'!$B$2:$AO$26,MATCH('Master data'!$B180,'Team forecast'!$B$2:$B$26,0),MATCH('Master data'!AL$1,'Team forecast'!$B$2:$AO$2,0))</f>
        <v>2.140423422331811</v>
      </c>
      <c r="AM180" s="16">
        <f>INDEX('Team forecast'!$B$2:$AO$26,MATCH('Master data'!$B180,'Team forecast'!$B$2:$B$26,0),MATCH('Master data'!AM$1,'Team forecast'!$B$2:$AO$2,0))</f>
        <v>0.80291922538135296</v>
      </c>
      <c r="AN180" s="16">
        <f>INDEX('Team forecast'!$B$2:$AO$26,MATCH('Master data'!$B180,'Team forecast'!$B$2:$B$26,0),MATCH('Master data'!AN$1,'Team forecast'!$B$2:$AO$2,0))</f>
        <v>0.44801918430198229</v>
      </c>
      <c r="AO180" s="16">
        <f>INDEX('Team forecast'!$B$2:$AO$26,MATCH('Master data'!$B180,'Team forecast'!$B$2:$B$26,0),MATCH('Master data'!AO$1,'Team forecast'!$B$2:$AO$2,0))</f>
        <v>5.5998104670734943</v>
      </c>
      <c r="AP180" s="16">
        <f>INDEX('Team forecast'!$B$2:$AO$26,MATCH('Master data'!$B180,'Team forecast'!$B$2:$B$26,0),MATCH('Master data'!AP$1,'Team forecast'!$B$2:$AO$2,0))</f>
        <v>2.4374333627648213</v>
      </c>
      <c r="AQ180" s="5">
        <f t="shared" si="67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68"/>
        <v>0</v>
      </c>
      <c r="AV180" s="5">
        <f t="shared" si="69"/>
        <v>0</v>
      </c>
      <c r="AW180" s="5">
        <f t="shared" si="70"/>
        <v>0</v>
      </c>
      <c r="AX180" s="5">
        <f t="shared" si="71"/>
        <v>22400.959215099116</v>
      </c>
      <c r="AY180" s="5">
        <f t="shared" si="72"/>
        <v>0</v>
      </c>
      <c r="AZ180" s="5">
        <f t="shared" si="73"/>
        <v>0</v>
      </c>
      <c r="BA180" s="5">
        <f t="shared" si="74"/>
        <v>0</v>
      </c>
      <c r="BB180" s="5">
        <f t="shared" si="75"/>
        <v>0</v>
      </c>
      <c r="BC180" s="5">
        <f t="shared" si="76"/>
        <v>0</v>
      </c>
      <c r="BD180" s="5">
        <f t="shared" si="77"/>
        <v>17400.959215099116</v>
      </c>
      <c r="BE180" s="16">
        <f>INDEX('Team forecast'!$B$2:$AO$26,MATCH('Master data'!$B180,'Team forecast'!$B$2:$B$26,0),MATCH('Master data'!BE$1,'Team forecast'!$B$2:$AO$2,0))</f>
        <v>1.2965069481471114</v>
      </c>
      <c r="BF180" s="16">
        <f>INDEX('Team forecast'!$B$2:$AO$26,MATCH('Master data'!$B180,'Team forecast'!$B$2:$B$26,0),MATCH('Master data'!BF$1,'Team forecast'!$B$2:$AO$2,0))</f>
        <v>1.0107278258414167</v>
      </c>
      <c r="BG180" s="16">
        <f>INDEX('Team forecast'!$B$2:$AO$26,MATCH('Master data'!$B180,'Team forecast'!$B$2:$B$26,0),MATCH('Master data'!BG$1,'Team forecast'!$B$2:$AO$2,0))</f>
        <v>0.36395398803179979</v>
      </c>
      <c r="BH180" s="16">
        <f>INDEX('Team forecast'!$B$2:$AO$26,MATCH('Master data'!$B180,'Team forecast'!$B$2:$B$26,0),MATCH('Master data'!BH$1,'Team forecast'!$B$2:$AO$2,0))</f>
        <v>3.3919425021794698</v>
      </c>
      <c r="BI180" s="16">
        <f>INDEX('Team forecast'!$B$2:$AO$26,MATCH('Master data'!$B180,'Team forecast'!$B$2:$B$26,0),MATCH('Master data'!BI$1,'Team forecast'!$B$2:$AO$2,0))</f>
        <v>3.0682808998757292</v>
      </c>
      <c r="BJ180" s="5">
        <f t="shared" si="78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79"/>
        <v>0</v>
      </c>
      <c r="BO180" s="5">
        <f t="shared" si="80"/>
        <v>0</v>
      </c>
      <c r="BP180" s="5">
        <f t="shared" si="81"/>
        <v>0</v>
      </c>
      <c r="BQ180" s="5">
        <f t="shared" si="82"/>
        <v>18197.699401589991</v>
      </c>
      <c r="BR180" s="5">
        <f t="shared" si="83"/>
        <v>0</v>
      </c>
      <c r="BS180" s="5">
        <f t="shared" si="84"/>
        <v>0</v>
      </c>
      <c r="BT180" s="5">
        <f t="shared" si="85"/>
        <v>0</v>
      </c>
      <c r="BU180" s="5">
        <f t="shared" si="86"/>
        <v>0</v>
      </c>
      <c r="BV180" s="5">
        <f t="shared" si="87"/>
        <v>0</v>
      </c>
      <c r="BW180" s="5">
        <f t="shared" si="88"/>
        <v>13197.699401589991</v>
      </c>
      <c r="BX180" s="5">
        <f t="shared" si="89"/>
        <v>13362.615421112532</v>
      </c>
      <c r="BY180" s="5">
        <f t="shared" si="90"/>
        <v>40087.846263337597</v>
      </c>
      <c r="BZ180" s="5">
        <f>INDEX('Team forecast'!$R$3:$BH$26,MATCH($B180,'Team forecast'!$B$3:$B$26,0),MATCH(BZ$1,'Team forecast'!$R$2:$BH$2,0))*($BX180-(BY180+CH180)*0.01)</f>
        <v>-19453.432922214903</v>
      </c>
      <c r="CA180" s="5">
        <f>INDEX('Team forecast'!$R$3:$BH$26,MATCH($B180,'Team forecast'!$B$3:$B$26,0),MATCH(CA$1,'Team forecast'!$R$2:$BH$2,0))*($BX180-(BY180+BX180+CH180)*0.01)</f>
        <v>-10171.981064987818</v>
      </c>
      <c r="CB180" s="5">
        <f>INDEX('Team forecast'!$R$3:$BH$26,MATCH($B180,'Team forecast'!$B$3:$B$26,0),MATCH(CB$1,'Team forecast'!$R$2:$BH$2,0))*($BX180-(BY180+BX180*2+CH180)*0.01)</f>
        <v>-5482.3991643177087</v>
      </c>
      <c r="CC180" s="5">
        <f>INDEX('Team forecast'!$R$3:$BH$26,MATCH($B180,'Team forecast'!$B$3:$B$26,0),MATCH(CC$1,'Team forecast'!$R$2:$BH$2,0))*($BX180-(BY180+BX180*3+CH180)*0.01)</f>
        <v>-3232.0798220852594</v>
      </c>
      <c r="CD180" s="5">
        <f>+AK180+BD180*Cockpit!$C$3+BW180*Cockpit!$C$3^2+BZ180*Cockpit!$C$3^3+CA180*Cockpit!$C$3^4+CB180*Cockpit!$C$3^5+CC180*Cockpit!$C$3^6</f>
        <v>18176.499816344931</v>
      </c>
      <c r="CE180" s="5"/>
      <c r="CF180" s="5"/>
      <c r="CG180" s="5">
        <v>0</v>
      </c>
      <c r="CH180" s="5">
        <f t="shared" si="49"/>
        <v>3500000</v>
      </c>
      <c r="CI180" s="5">
        <f t="shared" si="50"/>
        <v>3500000</v>
      </c>
      <c r="CJ180" s="1">
        <f t="shared" si="51"/>
        <v>1.1453670360953599E-2</v>
      </c>
      <c r="CK180" s="5">
        <f>RANK(BY180,$BY$2:$BY$623)+COUNTIF($BY$2:$BY180,$BY180)-1</f>
        <v>313</v>
      </c>
      <c r="CL180" s="5">
        <f>RANK(CJ180,$CJ$2:$CJ$623)+COUNTIF($CJ$2:$CJ180,$CJ180)-1</f>
        <v>347</v>
      </c>
    </row>
    <row r="181" spans="1:90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1.2386203137003762</v>
      </c>
      <c r="I181" s="16">
        <f>INDEX('Team forecast'!$B$2:$AO$26,MATCH('Master data'!$B181,'Team forecast'!$B$2:$B$26,0),MATCH('Master data'!I$1,'Team forecast'!$B$2:$AO$2,0))</f>
        <v>1.2386203137003762</v>
      </c>
      <c r="J181" s="16">
        <f>INDEX('Team forecast'!$B$2:$AO$26,MATCH('Master data'!$B181,'Team forecast'!$B$2:$B$26,0),MATCH('Master data'!J$1,'Team forecast'!$B$2:$AO$2,0))</f>
        <v>0.28978375293296982</v>
      </c>
      <c r="K181" s="16">
        <f>INDEX('Team forecast'!$B$2:$AO$26,MATCH('Master data'!$B181,'Team forecast'!$B$2:$B$26,0),MATCH('Master data'!K$1,'Team forecast'!$B$2:$AO$2,0))</f>
        <v>3.2404985504377408</v>
      </c>
      <c r="L181" s="16">
        <f>INDEX('Team forecast'!$B$2:$AO$26,MATCH('Master data'!$B181,'Team forecast'!$B$2:$B$26,0),MATCH('Master data'!L$1,'Team forecast'!$B$2:$AO$2,0))</f>
        <v>3.7600973808761418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52"/>
        <v>1.2386203137003762</v>
      </c>
      <c r="T181" s="2">
        <f t="shared" si="53"/>
        <v>1.2386203137003762</v>
      </c>
      <c r="U181" s="16">
        <f>INDEX('Team forecast'!$B$2:$AO$26,MATCH('Master data'!$B181,'Team forecast'!$B$2:$B$26,0),MATCH('Master data'!U$1,'Team forecast'!$B$2:$AO$2,0))</f>
        <v>0.36933223413025562</v>
      </c>
      <c r="V181" s="16">
        <f>INDEX('Team forecast'!$B$2:$AO$26,MATCH('Master data'!$B181,'Team forecast'!$B$2:$B$26,0),MATCH('Master data'!V$1,'Team forecast'!$B$2:$AO$2,0))</f>
        <v>0.29431162407254741</v>
      </c>
      <c r="W181" s="16">
        <f>INDEX('Team forecast'!$B$2:$AO$26,MATCH('Master data'!$B181,'Team forecast'!$B$2:$B$26,0),MATCH('Master data'!W$1,'Team forecast'!$B$2:$AO$2,0))</f>
        <v>0.33635614179719708</v>
      </c>
      <c r="X181" s="5">
        <f t="shared" si="54"/>
        <v>-5000</v>
      </c>
      <c r="Y181" s="5">
        <f t="shared" si="55"/>
        <v>0</v>
      </c>
      <c r="Z181" s="5">
        <f t="shared" si="56"/>
        <v>0</v>
      </c>
      <c r="AA181" s="5">
        <f t="shared" si="57"/>
        <v>0</v>
      </c>
      <c r="AB181" s="5">
        <f t="shared" si="58"/>
        <v>0</v>
      </c>
      <c r="AC181" s="5">
        <f t="shared" si="59"/>
        <v>0</v>
      </c>
      <c r="AD181" s="5">
        <f t="shared" si="60"/>
        <v>0</v>
      </c>
      <c r="AE181" s="5">
        <f t="shared" si="61"/>
        <v>14489.18764664849</v>
      </c>
      <c r="AF181" s="5">
        <f t="shared" si="62"/>
        <v>0</v>
      </c>
      <c r="AG181" s="5">
        <f t="shared" si="63"/>
        <v>0</v>
      </c>
      <c r="AH181" s="5">
        <f t="shared" si="64"/>
        <v>0</v>
      </c>
      <c r="AI181" s="5">
        <f t="shared" si="65"/>
        <v>0</v>
      </c>
      <c r="AJ181" s="5">
        <f t="shared" si="66"/>
        <v>0</v>
      </c>
      <c r="AK181" s="5">
        <f>IFERROR(SUM(X181:AJ181),-5000)*((Cockpit!$C$3)^0)</f>
        <v>9489.18764664849</v>
      </c>
      <c r="AL181" s="16">
        <f>INDEX('Team forecast'!$B$2:$AO$26,MATCH('Master data'!$B181,'Team forecast'!$B$2:$B$26,0),MATCH('Master data'!AL$1,'Team forecast'!$B$2:$AO$2,0))</f>
        <v>2.140423422331811</v>
      </c>
      <c r="AM181" s="16">
        <f>INDEX('Team forecast'!$B$2:$AO$26,MATCH('Master data'!$B181,'Team forecast'!$B$2:$B$26,0),MATCH('Master data'!AM$1,'Team forecast'!$B$2:$AO$2,0))</f>
        <v>0.80291922538135296</v>
      </c>
      <c r="AN181" s="16">
        <f>INDEX('Team forecast'!$B$2:$AO$26,MATCH('Master data'!$B181,'Team forecast'!$B$2:$B$26,0),MATCH('Master data'!AN$1,'Team forecast'!$B$2:$AO$2,0))</f>
        <v>0.44801918430198229</v>
      </c>
      <c r="AO181" s="16">
        <f>INDEX('Team forecast'!$B$2:$AO$26,MATCH('Master data'!$B181,'Team forecast'!$B$2:$B$26,0),MATCH('Master data'!AO$1,'Team forecast'!$B$2:$AO$2,0))</f>
        <v>5.5998104670734943</v>
      </c>
      <c r="AP181" s="16">
        <f>INDEX('Team forecast'!$B$2:$AO$26,MATCH('Master data'!$B181,'Team forecast'!$B$2:$B$26,0),MATCH('Master data'!AP$1,'Team forecast'!$B$2:$AO$2,0))</f>
        <v>2.4374333627648213</v>
      </c>
      <c r="AQ181" s="5">
        <f t="shared" si="67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68"/>
        <v>0</v>
      </c>
      <c r="AV181" s="5">
        <f t="shared" si="69"/>
        <v>0</v>
      </c>
      <c r="AW181" s="5">
        <f t="shared" si="70"/>
        <v>0</v>
      </c>
      <c r="AX181" s="5">
        <f t="shared" si="71"/>
        <v>22400.959215099116</v>
      </c>
      <c r="AY181" s="5">
        <f t="shared" si="72"/>
        <v>0</v>
      </c>
      <c r="AZ181" s="5">
        <f t="shared" si="73"/>
        <v>0</v>
      </c>
      <c r="BA181" s="5">
        <f t="shared" si="74"/>
        <v>0</v>
      </c>
      <c r="BB181" s="5">
        <f t="shared" si="75"/>
        <v>0</v>
      </c>
      <c r="BC181" s="5">
        <f t="shared" si="76"/>
        <v>0</v>
      </c>
      <c r="BD181" s="5">
        <f t="shared" si="77"/>
        <v>17400.959215099116</v>
      </c>
      <c r="BE181" s="16">
        <f>INDEX('Team forecast'!$B$2:$AO$26,MATCH('Master data'!$B181,'Team forecast'!$B$2:$B$26,0),MATCH('Master data'!BE$1,'Team forecast'!$B$2:$AO$2,0))</f>
        <v>1.2965069481471114</v>
      </c>
      <c r="BF181" s="16">
        <f>INDEX('Team forecast'!$B$2:$AO$26,MATCH('Master data'!$B181,'Team forecast'!$B$2:$B$26,0),MATCH('Master data'!BF$1,'Team forecast'!$B$2:$AO$2,0))</f>
        <v>1.0107278258414167</v>
      </c>
      <c r="BG181" s="16">
        <f>INDEX('Team forecast'!$B$2:$AO$26,MATCH('Master data'!$B181,'Team forecast'!$B$2:$B$26,0),MATCH('Master data'!BG$1,'Team forecast'!$B$2:$AO$2,0))</f>
        <v>0.36395398803179979</v>
      </c>
      <c r="BH181" s="16">
        <f>INDEX('Team forecast'!$B$2:$AO$26,MATCH('Master data'!$B181,'Team forecast'!$B$2:$B$26,0),MATCH('Master data'!BH$1,'Team forecast'!$B$2:$AO$2,0))</f>
        <v>3.3919425021794698</v>
      </c>
      <c r="BI181" s="16">
        <f>INDEX('Team forecast'!$B$2:$AO$26,MATCH('Master data'!$B181,'Team forecast'!$B$2:$B$26,0),MATCH('Master data'!BI$1,'Team forecast'!$B$2:$AO$2,0))</f>
        <v>3.0682808998757292</v>
      </c>
      <c r="BJ181" s="5">
        <f t="shared" si="78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79"/>
        <v>0</v>
      </c>
      <c r="BO181" s="5">
        <f t="shared" si="80"/>
        <v>0</v>
      </c>
      <c r="BP181" s="5">
        <f t="shared" si="81"/>
        <v>0</v>
      </c>
      <c r="BQ181" s="5">
        <f t="shared" si="82"/>
        <v>18197.699401589991</v>
      </c>
      <c r="BR181" s="5">
        <f t="shared" si="83"/>
        <v>0</v>
      </c>
      <c r="BS181" s="5">
        <f t="shared" si="84"/>
        <v>0</v>
      </c>
      <c r="BT181" s="5">
        <f t="shared" si="85"/>
        <v>0</v>
      </c>
      <c r="BU181" s="5">
        <f t="shared" si="86"/>
        <v>0</v>
      </c>
      <c r="BV181" s="5">
        <f t="shared" si="87"/>
        <v>0</v>
      </c>
      <c r="BW181" s="5">
        <f t="shared" si="88"/>
        <v>13197.699401589991</v>
      </c>
      <c r="BX181" s="5">
        <f t="shared" si="89"/>
        <v>13362.615421112532</v>
      </c>
      <c r="BY181" s="5">
        <f t="shared" si="90"/>
        <v>40087.846263337597</v>
      </c>
      <c r="BZ181" s="5">
        <f>INDEX('Team forecast'!$R$3:$BH$26,MATCH($B181,'Team forecast'!$B$3:$B$26,0),MATCH(BZ$1,'Team forecast'!$R$2:$BH$2,0))*($BX181-(BY181+CH181)*0.01)</f>
        <v>-19453.432922214903</v>
      </c>
      <c r="CA181" s="5">
        <f>INDEX('Team forecast'!$R$3:$BH$26,MATCH($B181,'Team forecast'!$B$3:$B$26,0),MATCH(CA$1,'Team forecast'!$R$2:$BH$2,0))*($BX181-(BY181+BX181+CH181)*0.01)</f>
        <v>-10171.981064987818</v>
      </c>
      <c r="CB181" s="5">
        <f>INDEX('Team forecast'!$R$3:$BH$26,MATCH($B181,'Team forecast'!$B$3:$B$26,0),MATCH(CB$1,'Team forecast'!$R$2:$BH$2,0))*($BX181-(BY181+BX181*2+CH181)*0.01)</f>
        <v>-5482.3991643177087</v>
      </c>
      <c r="CC181" s="5">
        <f>INDEX('Team forecast'!$R$3:$BH$26,MATCH($B181,'Team forecast'!$B$3:$B$26,0),MATCH(CC$1,'Team forecast'!$R$2:$BH$2,0))*($BX181-(BY181+BX181*3+CH181)*0.01)</f>
        <v>-3232.0798220852594</v>
      </c>
      <c r="CD181" s="5">
        <f>+AK181+BD181*Cockpit!$C$3+BW181*Cockpit!$C$3^2+BZ181*Cockpit!$C$3^3+CA181*Cockpit!$C$3^4+CB181*Cockpit!$C$3^5+CC181*Cockpit!$C$3^6</f>
        <v>18176.499816344931</v>
      </c>
      <c r="CE181" s="5"/>
      <c r="CF181" s="5"/>
      <c r="CG181" s="5">
        <v>0</v>
      </c>
      <c r="CH181" s="5">
        <f t="shared" si="49"/>
        <v>3500000</v>
      </c>
      <c r="CI181" s="5">
        <f t="shared" si="50"/>
        <v>3500000</v>
      </c>
      <c r="CJ181" s="1">
        <f t="shared" si="51"/>
        <v>1.1453670360953599E-2</v>
      </c>
      <c r="CK181" s="5">
        <f>RANK(BY181,$BY$2:$BY$623)+COUNTIF($BY$2:$BY181,$BY181)-1</f>
        <v>314</v>
      </c>
      <c r="CL181" s="5">
        <f>RANK(CJ181,$CJ$2:$CJ$623)+COUNTIF($CJ$2:$CJ181,$CJ181)-1</f>
        <v>348</v>
      </c>
    </row>
    <row r="182" spans="1:90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1.2386203137003762</v>
      </c>
      <c r="I182" s="16">
        <f>INDEX('Team forecast'!$B$2:$AO$26,MATCH('Master data'!$B182,'Team forecast'!$B$2:$B$26,0),MATCH('Master data'!I$1,'Team forecast'!$B$2:$AO$2,0))</f>
        <v>1.2386203137003762</v>
      </c>
      <c r="J182" s="16">
        <f>INDEX('Team forecast'!$B$2:$AO$26,MATCH('Master data'!$B182,'Team forecast'!$B$2:$B$26,0),MATCH('Master data'!J$1,'Team forecast'!$B$2:$AO$2,0))</f>
        <v>0.28978375293296982</v>
      </c>
      <c r="K182" s="16">
        <f>INDEX('Team forecast'!$B$2:$AO$26,MATCH('Master data'!$B182,'Team forecast'!$B$2:$B$26,0),MATCH('Master data'!K$1,'Team forecast'!$B$2:$AO$2,0))</f>
        <v>3.2404985504377408</v>
      </c>
      <c r="L182" s="16">
        <f>INDEX('Team forecast'!$B$2:$AO$26,MATCH('Master data'!$B182,'Team forecast'!$B$2:$B$26,0),MATCH('Master data'!L$1,'Team forecast'!$B$2:$AO$2,0))</f>
        <v>3.7600973808761418</v>
      </c>
      <c r="M182">
        <f>IF(Players!BC183=1,95,0)</f>
        <v>95</v>
      </c>
      <c r="N182" s="2">
        <f>Players!BN183</f>
        <v>1.7937563876037396E-2</v>
      </c>
      <c r="O182" s="2">
        <f>Players!BO183</f>
        <v>2.0853116717113949E-2</v>
      </c>
      <c r="P182" s="2">
        <f>Players!BP183</f>
        <v>5.3649778249033955E-3</v>
      </c>
      <c r="Q182" s="2">
        <f>Players!BQ183</f>
        <v>0.11703511053315994</v>
      </c>
      <c r="R182" s="2">
        <f>Players!BR183</f>
        <v>3.9011703511053313E-2</v>
      </c>
      <c r="S182" s="2">
        <f t="shared" si="52"/>
        <v>1.2386203137003762</v>
      </c>
      <c r="T182" s="2">
        <f t="shared" si="53"/>
        <v>1.2386203137003762</v>
      </c>
      <c r="U182" s="16">
        <f>INDEX('Team forecast'!$B$2:$AO$26,MATCH('Master data'!$B182,'Team forecast'!$B$2:$B$26,0),MATCH('Master data'!U$1,'Team forecast'!$B$2:$AO$2,0))</f>
        <v>0.36933223413025562</v>
      </c>
      <c r="V182" s="16">
        <f>INDEX('Team forecast'!$B$2:$AO$26,MATCH('Master data'!$B182,'Team forecast'!$B$2:$B$26,0),MATCH('Master data'!V$1,'Team forecast'!$B$2:$AO$2,0))</f>
        <v>0.29431162407254741</v>
      </c>
      <c r="W182" s="16">
        <f>INDEX('Team forecast'!$B$2:$AO$26,MATCH('Master data'!$B182,'Team forecast'!$B$2:$B$26,0),MATCH('Master data'!W$1,'Team forecast'!$B$2:$AO$2,0))</f>
        <v>0.33635614179719708</v>
      </c>
      <c r="X182" s="5">
        <f t="shared" si="54"/>
        <v>7000</v>
      </c>
      <c r="Y182" s="5">
        <f t="shared" si="55"/>
        <v>9233.30585325639</v>
      </c>
      <c r="Z182" s="5">
        <f t="shared" si="56"/>
        <v>1471.5581203627371</v>
      </c>
      <c r="AA182" s="5">
        <f t="shared" si="57"/>
        <v>-5045.3421269579567</v>
      </c>
      <c r="AB182" s="5">
        <f t="shared" si="58"/>
        <v>3332.6746492736961</v>
      </c>
      <c r="AC182" s="5">
        <f t="shared" si="59"/>
        <v>1291.4546984891119</v>
      </c>
      <c r="AD182" s="5">
        <f t="shared" si="60"/>
        <v>173.85202864730078</v>
      </c>
      <c r="AE182" s="5">
        <f t="shared" si="61"/>
        <v>14489.18764664849</v>
      </c>
      <c r="AF182" s="5">
        <f t="shared" si="62"/>
        <v>0</v>
      </c>
      <c r="AG182" s="5">
        <f t="shared" si="63"/>
        <v>-2340.7022106631989</v>
      </c>
      <c r="AH182" s="5">
        <f t="shared" si="64"/>
        <v>-1950.5851755526655</v>
      </c>
      <c r="AI182" s="5">
        <f t="shared" si="65"/>
        <v>12386.203137003762</v>
      </c>
      <c r="AJ182" s="5">
        <f t="shared" si="66"/>
        <v>-9908.9625096030086</v>
      </c>
      <c r="AK182" s="5">
        <f>IFERROR(SUM(X182:AJ182),-5000)*((Cockpit!$C$3)^0)</f>
        <v>30132.644110904657</v>
      </c>
      <c r="AL182" s="16">
        <f>INDEX('Team forecast'!$B$2:$AO$26,MATCH('Master data'!$B182,'Team forecast'!$B$2:$B$26,0),MATCH('Master data'!AL$1,'Team forecast'!$B$2:$AO$2,0))</f>
        <v>2.140423422331811</v>
      </c>
      <c r="AM182" s="16">
        <f>INDEX('Team forecast'!$B$2:$AO$26,MATCH('Master data'!$B182,'Team forecast'!$B$2:$B$26,0),MATCH('Master data'!AM$1,'Team forecast'!$B$2:$AO$2,0))</f>
        <v>0.80291922538135296</v>
      </c>
      <c r="AN182" s="16">
        <f>INDEX('Team forecast'!$B$2:$AO$26,MATCH('Master data'!$B182,'Team forecast'!$B$2:$B$26,0),MATCH('Master data'!AN$1,'Team forecast'!$B$2:$AO$2,0))</f>
        <v>0.44801918430198229</v>
      </c>
      <c r="AO182" s="16">
        <f>INDEX('Team forecast'!$B$2:$AO$26,MATCH('Master data'!$B182,'Team forecast'!$B$2:$B$26,0),MATCH('Master data'!AO$1,'Team forecast'!$B$2:$AO$2,0))</f>
        <v>5.5998104670734943</v>
      </c>
      <c r="AP182" s="16">
        <f>INDEX('Team forecast'!$B$2:$AO$26,MATCH('Master data'!$B182,'Team forecast'!$B$2:$B$26,0),MATCH('Master data'!AP$1,'Team forecast'!$B$2:$AO$2,0))</f>
        <v>2.4374333627648213</v>
      </c>
      <c r="AQ182" s="5">
        <f t="shared" si="67"/>
        <v>7000</v>
      </c>
      <c r="AR182" s="5">
        <f>INDEX('Team forecast'!$B$2:$AO$26,MATCH('Master data'!$B182,'Team forecast'!$B$2:$B$26,0),MATCH('Master data'!AR$1,'Team forecast'!$B$2:$AO$2,0))*IF(X182&gt;0,25000,0)</f>
        <v>16800.719411324339</v>
      </c>
      <c r="AS182" s="16">
        <f>INDEX('Team forecast'!$B$2:$AO$26,MATCH('Master data'!$B182,'Team forecast'!$B$2:$B$26,0),MATCH('Master data'!AS$1,'Team forecast'!$B$2:$AO$2,0))*IF(X182&gt;0,5000,0)</f>
        <v>1086.42065477386</v>
      </c>
      <c r="AT182" s="16">
        <f>INDEX('Team forecast'!$B$2:$AO$26,MATCH('Master data'!$B182,'Team forecast'!$B$2:$B$26,0),MATCH('Master data'!AT$1,'Team forecast'!$B$2:$AO$2,0))*IF(X182&gt;0,-15000,0)</f>
        <v>-1660.3063888838174</v>
      </c>
      <c r="AU182" s="5">
        <f t="shared" si="68"/>
        <v>5759.0972789765146</v>
      </c>
      <c r="AV182" s="5">
        <f t="shared" si="69"/>
        <v>2231.7249724964868</v>
      </c>
      <c r="AW182" s="5">
        <f t="shared" si="70"/>
        <v>300.42858979511226</v>
      </c>
      <c r="AX182" s="5">
        <f t="shared" si="71"/>
        <v>22400.959215099116</v>
      </c>
      <c r="AY182" s="5">
        <f t="shared" si="72"/>
        <v>0</v>
      </c>
      <c r="AZ182" s="5">
        <f t="shared" si="73"/>
        <v>-2340.7022106631989</v>
      </c>
      <c r="BA182" s="5">
        <f t="shared" si="74"/>
        <v>-1950.5851755526655</v>
      </c>
      <c r="BB182" s="5">
        <f t="shared" si="75"/>
        <v>21404.234223318112</v>
      </c>
      <c r="BC182" s="5">
        <f t="shared" si="76"/>
        <v>-6423.3538030508234</v>
      </c>
      <c r="BD182" s="5">
        <f t="shared" si="77"/>
        <v>64608.636767633026</v>
      </c>
      <c r="BE182" s="16">
        <f>INDEX('Team forecast'!$B$2:$AO$26,MATCH('Master data'!$B182,'Team forecast'!$B$2:$B$26,0),MATCH('Master data'!BE$1,'Team forecast'!$B$2:$AO$2,0))</f>
        <v>1.2965069481471114</v>
      </c>
      <c r="BF182" s="16">
        <f>INDEX('Team forecast'!$B$2:$AO$26,MATCH('Master data'!$B182,'Team forecast'!$B$2:$B$26,0),MATCH('Master data'!BF$1,'Team forecast'!$B$2:$AO$2,0))</f>
        <v>1.0107278258414167</v>
      </c>
      <c r="BG182" s="16">
        <f>INDEX('Team forecast'!$B$2:$AO$26,MATCH('Master data'!$B182,'Team forecast'!$B$2:$B$26,0),MATCH('Master data'!BG$1,'Team forecast'!$B$2:$AO$2,0))</f>
        <v>0.36395398803179979</v>
      </c>
      <c r="BH182" s="16">
        <f>INDEX('Team forecast'!$B$2:$AO$26,MATCH('Master data'!$B182,'Team forecast'!$B$2:$B$26,0),MATCH('Master data'!BH$1,'Team forecast'!$B$2:$AO$2,0))</f>
        <v>3.3919425021794698</v>
      </c>
      <c r="BI182" s="16">
        <f>INDEX('Team forecast'!$B$2:$AO$26,MATCH('Master data'!$B182,'Team forecast'!$B$2:$B$26,0),MATCH('Master data'!BI$1,'Team forecast'!$B$2:$AO$2,0))</f>
        <v>3.0682808998757292</v>
      </c>
      <c r="BJ182" s="5">
        <f t="shared" si="78"/>
        <v>7000</v>
      </c>
      <c r="BK182" s="5">
        <f>INDEX('Team forecast'!$R$3:$BH$26,MATCH($B182,'Team forecast'!$B$3:$B$26,0),MATCH(BK$1,'Team forecast'!$R$2:$BH$2,0))*IF($X182&gt;0,25000,0)</f>
        <v>10270.375413343707</v>
      </c>
      <c r="BL182" s="5">
        <f>INDEX('Team forecast'!$R$3:$BH$26,MATCH($B182,'Team forecast'!$B$3:$B$26,0),MATCH(BL$1,'Team forecast'!$R$2:$BH$2,0))*IF($X182&gt;0,5000,0)</f>
        <v>1495.6234195681775</v>
      </c>
      <c r="BM182" s="5">
        <f>INDEX('Team forecast'!$R$3:$BH$26,MATCH($B182,'Team forecast'!$B$3:$B$26,0),MATCH(BM$1,'Team forecast'!$R$2:$BH$2,0))*IF($X182&gt;0,-15000,0)</f>
        <v>-4350.9044932892448</v>
      </c>
      <c r="BN182" s="5">
        <f t="shared" si="79"/>
        <v>3488.4264297172672</v>
      </c>
      <c r="BO182" s="5">
        <f t="shared" si="80"/>
        <v>1351.8105357130457</v>
      </c>
      <c r="BP182" s="5">
        <f t="shared" si="81"/>
        <v>181.97696307540193</v>
      </c>
      <c r="BQ182" s="5">
        <f t="shared" si="82"/>
        <v>18197.699401589991</v>
      </c>
      <c r="BR182" s="5">
        <f t="shared" si="83"/>
        <v>0</v>
      </c>
      <c r="BS182" s="5">
        <f t="shared" si="84"/>
        <v>-2340.7022106631989</v>
      </c>
      <c r="BT182" s="5">
        <f t="shared" si="85"/>
        <v>-1950.5851755526655</v>
      </c>
      <c r="BU182" s="5">
        <f t="shared" si="86"/>
        <v>12965.069481471115</v>
      </c>
      <c r="BV182" s="5">
        <f t="shared" si="87"/>
        <v>-8085.8226067313335</v>
      </c>
      <c r="BW182" s="5">
        <f t="shared" si="88"/>
        <v>38222.96715824226</v>
      </c>
      <c r="BX182" s="5">
        <f t="shared" si="89"/>
        <v>44321.416012259979</v>
      </c>
      <c r="BY182" s="5">
        <f t="shared" si="90"/>
        <v>132964.24803677993</v>
      </c>
      <c r="BZ182" s="5">
        <f>INDEX('Team forecast'!$R$3:$BH$26,MATCH($B182,'Team forecast'!$B$3:$B$26,0),MATCH(BZ$1,'Team forecast'!$R$2:$BH$2,0))*($BX182-(BY182+CH182)*0.01)</f>
        <v>2640.873539419651</v>
      </c>
      <c r="CA182" s="5">
        <f>INDEX('Team forecast'!$R$3:$BH$26,MATCH($B182,'Team forecast'!$B$3:$B$26,0),MATCH(CA$1,'Team forecast'!$R$2:$BH$2,0))*($BX182-(BY182+BX182+CH182)*0.01)</f>
        <v>1169.2236707383345</v>
      </c>
      <c r="CB182" s="5">
        <f>INDEX('Team forecast'!$R$3:$BH$26,MATCH($B182,'Team forecast'!$B$3:$B$26,0),MATCH(CB$1,'Team forecast'!$R$2:$BH$2,0))*($BX182-(BY182+BX182*2+CH182)*0.01)</f>
        <v>517.46586652897611</v>
      </c>
      <c r="CC182" s="5">
        <f>INDEX('Team forecast'!$R$3:$BH$26,MATCH($B182,'Team forecast'!$B$3:$B$26,0),MATCH(CC$1,'Team forecast'!$R$2:$BH$2,0))*($BX182-(BY182+BX182*3+CH182)*0.01)</f>
        <v>239.40934782637524</v>
      </c>
      <c r="CD182" s="5">
        <f>+AK182+BD182*Cockpit!$C$3+BW182*Cockpit!$C$3^2+BZ182*Cockpit!$C$3^3+CA182*Cockpit!$C$3^4+CB182*Cockpit!$C$3^5+CC182*Cockpit!$C$3^6</f>
        <v>91295.654594977037</v>
      </c>
      <c r="CE182" s="5"/>
      <c r="CF182" s="5"/>
      <c r="CG182" s="5">
        <v>0</v>
      </c>
      <c r="CH182" s="5">
        <f t="shared" si="49"/>
        <v>4000000</v>
      </c>
      <c r="CI182" s="5">
        <f t="shared" si="50"/>
        <v>4000000</v>
      </c>
      <c r="CJ182" s="1">
        <f t="shared" si="51"/>
        <v>3.324106200919498E-2</v>
      </c>
      <c r="CK182" s="5">
        <f>RANK(BY182,$BY$2:$BY$623)+COUNTIF($BY$2:$BY182,$BY182)-1</f>
        <v>113</v>
      </c>
      <c r="CL182" s="5">
        <f>RANK(CJ182,$CJ$2:$CJ$623)+COUNTIF($CJ$2:$CJ182,$CJ182)-1</f>
        <v>118</v>
      </c>
    </row>
    <row r="183" spans="1:90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1.2386203137003762</v>
      </c>
      <c r="I183" s="16">
        <f>INDEX('Team forecast'!$B$2:$AO$26,MATCH('Master data'!$B183,'Team forecast'!$B$2:$B$26,0),MATCH('Master data'!I$1,'Team forecast'!$B$2:$AO$2,0))</f>
        <v>1.2386203137003762</v>
      </c>
      <c r="J183" s="16">
        <f>INDEX('Team forecast'!$B$2:$AO$26,MATCH('Master data'!$B183,'Team forecast'!$B$2:$B$26,0),MATCH('Master data'!J$1,'Team forecast'!$B$2:$AO$2,0))</f>
        <v>0.28978375293296982</v>
      </c>
      <c r="K183" s="16">
        <f>INDEX('Team forecast'!$B$2:$AO$26,MATCH('Master data'!$B183,'Team forecast'!$B$2:$B$26,0),MATCH('Master data'!K$1,'Team forecast'!$B$2:$AO$2,0))</f>
        <v>3.2404985504377408</v>
      </c>
      <c r="L183" s="16">
        <f>INDEX('Team forecast'!$B$2:$AO$26,MATCH('Master data'!$B183,'Team forecast'!$B$2:$B$26,0),MATCH('Master data'!L$1,'Team forecast'!$B$2:$AO$2,0))</f>
        <v>3.7600973808761418</v>
      </c>
      <c r="M183">
        <f>IF(Players!BC184=1,95,0)</f>
        <v>95</v>
      </c>
      <c r="N183" s="2">
        <f>Players!BN184</f>
        <v>6.5646935140572155E-2</v>
      </c>
      <c r="O183" s="2">
        <f>Players!BO184</f>
        <v>3.3671607199197894E-2</v>
      </c>
      <c r="P183" s="2">
        <f>Players!BP184</f>
        <v>6.4212730698065545E-2</v>
      </c>
      <c r="Q183" s="2">
        <f>Players!BQ184</f>
        <v>0.1522762645914397</v>
      </c>
      <c r="R183" s="2">
        <f>Players!BR184</f>
        <v>3.8910505836575876E-2</v>
      </c>
      <c r="S183" s="2">
        <f t="shared" si="52"/>
        <v>1.2386203137003762</v>
      </c>
      <c r="T183" s="2">
        <f t="shared" si="53"/>
        <v>1.2386203137003762</v>
      </c>
      <c r="U183" s="16">
        <f>INDEX('Team forecast'!$B$2:$AO$26,MATCH('Master data'!$B183,'Team forecast'!$B$2:$B$26,0),MATCH('Master data'!U$1,'Team forecast'!$B$2:$AO$2,0))</f>
        <v>0.36933223413025562</v>
      </c>
      <c r="V183" s="16">
        <f>INDEX('Team forecast'!$B$2:$AO$26,MATCH('Master data'!$B183,'Team forecast'!$B$2:$B$26,0),MATCH('Master data'!V$1,'Team forecast'!$B$2:$AO$2,0))</f>
        <v>0.29431162407254741</v>
      </c>
      <c r="W183" s="16">
        <f>INDEX('Team forecast'!$B$2:$AO$26,MATCH('Master data'!$B183,'Team forecast'!$B$2:$B$26,0),MATCH('Master data'!W$1,'Team forecast'!$B$2:$AO$2,0))</f>
        <v>0.33635614179719708</v>
      </c>
      <c r="X183" s="5">
        <f t="shared" si="54"/>
        <v>7000</v>
      </c>
      <c r="Y183" s="5">
        <f t="shared" si="55"/>
        <v>9233.30585325639</v>
      </c>
      <c r="Z183" s="5">
        <f t="shared" si="56"/>
        <v>1471.5581203627371</v>
      </c>
      <c r="AA183" s="5">
        <f t="shared" si="57"/>
        <v>-5045.3421269579567</v>
      </c>
      <c r="AB183" s="5">
        <f t="shared" si="58"/>
        <v>10163.953424660465</v>
      </c>
      <c r="AC183" s="5">
        <f t="shared" si="59"/>
        <v>2085.3168335933169</v>
      </c>
      <c r="AD183" s="5">
        <f t="shared" si="60"/>
        <v>2080.8126074673041</v>
      </c>
      <c r="AE183" s="5">
        <f t="shared" si="61"/>
        <v>0</v>
      </c>
      <c r="AF183" s="5">
        <f t="shared" si="62"/>
        <v>0</v>
      </c>
      <c r="AG183" s="5">
        <f t="shared" si="63"/>
        <v>-3045.5252918287938</v>
      </c>
      <c r="AH183" s="5">
        <f t="shared" si="64"/>
        <v>-1945.5252918287938</v>
      </c>
      <c r="AI183" s="5">
        <f t="shared" si="65"/>
        <v>12386.203137003762</v>
      </c>
      <c r="AJ183" s="5">
        <f t="shared" si="66"/>
        <v>-9908.9625096030086</v>
      </c>
      <c r="AK183" s="5">
        <f>IFERROR(SUM(X183:AJ183),-5000)*((Cockpit!$C$3)^0)</f>
        <v>24475.794756125426</v>
      </c>
      <c r="AL183" s="16">
        <f>INDEX('Team forecast'!$B$2:$AO$26,MATCH('Master data'!$B183,'Team forecast'!$B$2:$B$26,0),MATCH('Master data'!AL$1,'Team forecast'!$B$2:$AO$2,0))</f>
        <v>2.140423422331811</v>
      </c>
      <c r="AM183" s="16">
        <f>INDEX('Team forecast'!$B$2:$AO$26,MATCH('Master data'!$B183,'Team forecast'!$B$2:$B$26,0),MATCH('Master data'!AM$1,'Team forecast'!$B$2:$AO$2,0))</f>
        <v>0.80291922538135296</v>
      </c>
      <c r="AN183" s="16">
        <f>INDEX('Team forecast'!$B$2:$AO$26,MATCH('Master data'!$B183,'Team forecast'!$B$2:$B$26,0),MATCH('Master data'!AN$1,'Team forecast'!$B$2:$AO$2,0))</f>
        <v>0.44801918430198229</v>
      </c>
      <c r="AO183" s="16">
        <f>INDEX('Team forecast'!$B$2:$AO$26,MATCH('Master data'!$B183,'Team forecast'!$B$2:$B$26,0),MATCH('Master data'!AO$1,'Team forecast'!$B$2:$AO$2,0))</f>
        <v>5.5998104670734943</v>
      </c>
      <c r="AP183" s="16">
        <f>INDEX('Team forecast'!$B$2:$AO$26,MATCH('Master data'!$B183,'Team forecast'!$B$2:$B$26,0),MATCH('Master data'!AP$1,'Team forecast'!$B$2:$AO$2,0))</f>
        <v>2.4374333627648213</v>
      </c>
      <c r="AQ183" s="5">
        <f t="shared" si="67"/>
        <v>7000</v>
      </c>
      <c r="AR183" s="5">
        <f>INDEX('Team forecast'!$B$2:$AO$26,MATCH('Master data'!$B183,'Team forecast'!$B$2:$B$26,0),MATCH('Master data'!AR$1,'Team forecast'!$B$2:$AO$2,0))*IF(X183&gt;0,25000,0)</f>
        <v>16800.719411324339</v>
      </c>
      <c r="AS183" s="16">
        <f>INDEX('Team forecast'!$B$2:$AO$26,MATCH('Master data'!$B183,'Team forecast'!$B$2:$B$26,0),MATCH('Master data'!AS$1,'Team forecast'!$B$2:$AO$2,0))*IF(X183&gt;0,5000,0)</f>
        <v>1086.42065477386</v>
      </c>
      <c r="AT183" s="16">
        <f>INDEX('Team forecast'!$B$2:$AO$26,MATCH('Master data'!$B183,'Team forecast'!$B$2:$B$26,0),MATCH('Master data'!AT$1,'Team forecast'!$B$2:$AO$2,0))*IF(X183&gt;0,-15000,0)</f>
        <v>-1660.3063888838174</v>
      </c>
      <c r="AU183" s="5">
        <f t="shared" si="68"/>
        <v>17564.029697397236</v>
      </c>
      <c r="AV183" s="5">
        <f t="shared" si="69"/>
        <v>3603.5748358359801</v>
      </c>
      <c r="AW183" s="5">
        <f t="shared" si="70"/>
        <v>3595.7912148239889</v>
      </c>
      <c r="AX183" s="5">
        <f t="shared" si="71"/>
        <v>0</v>
      </c>
      <c r="AY183" s="5">
        <f t="shared" si="72"/>
        <v>0</v>
      </c>
      <c r="AZ183" s="5">
        <f t="shared" si="73"/>
        <v>-3045.5252918287938</v>
      </c>
      <c r="BA183" s="5">
        <f t="shared" si="74"/>
        <v>-1945.5252918287938</v>
      </c>
      <c r="BB183" s="5">
        <f t="shared" si="75"/>
        <v>21404.234223318112</v>
      </c>
      <c r="BC183" s="5">
        <f t="shared" si="76"/>
        <v>-6423.3538030508234</v>
      </c>
      <c r="BD183" s="5">
        <f t="shared" si="77"/>
        <v>57980.059261881288</v>
      </c>
      <c r="BE183" s="16">
        <f>INDEX('Team forecast'!$B$2:$AO$26,MATCH('Master data'!$B183,'Team forecast'!$B$2:$B$26,0),MATCH('Master data'!BE$1,'Team forecast'!$B$2:$AO$2,0))</f>
        <v>1.2965069481471114</v>
      </c>
      <c r="BF183" s="16">
        <f>INDEX('Team forecast'!$B$2:$AO$26,MATCH('Master data'!$B183,'Team forecast'!$B$2:$B$26,0),MATCH('Master data'!BF$1,'Team forecast'!$B$2:$AO$2,0))</f>
        <v>1.0107278258414167</v>
      </c>
      <c r="BG183" s="16">
        <f>INDEX('Team forecast'!$B$2:$AO$26,MATCH('Master data'!$B183,'Team forecast'!$B$2:$B$26,0),MATCH('Master data'!BG$1,'Team forecast'!$B$2:$AO$2,0))</f>
        <v>0.36395398803179979</v>
      </c>
      <c r="BH183" s="16">
        <f>INDEX('Team forecast'!$B$2:$AO$26,MATCH('Master data'!$B183,'Team forecast'!$B$2:$B$26,0),MATCH('Master data'!BH$1,'Team forecast'!$B$2:$AO$2,0))</f>
        <v>3.3919425021794698</v>
      </c>
      <c r="BI183" s="16">
        <f>INDEX('Team forecast'!$B$2:$AO$26,MATCH('Master data'!$B183,'Team forecast'!$B$2:$B$26,0),MATCH('Master data'!BI$1,'Team forecast'!$B$2:$AO$2,0))</f>
        <v>3.0682808998757292</v>
      </c>
      <c r="BJ183" s="5">
        <f t="shared" si="78"/>
        <v>7000</v>
      </c>
      <c r="BK183" s="5">
        <f>INDEX('Team forecast'!$R$3:$BH$26,MATCH($B183,'Team forecast'!$B$3:$B$26,0),MATCH(BK$1,'Team forecast'!$R$2:$BH$2,0))*IF($X183&gt;0,25000,0)</f>
        <v>10270.375413343707</v>
      </c>
      <c r="BL183" s="5">
        <f>INDEX('Team forecast'!$R$3:$BH$26,MATCH($B183,'Team forecast'!$B$3:$B$26,0),MATCH(BL$1,'Team forecast'!$R$2:$BH$2,0))*IF($X183&gt;0,5000,0)</f>
        <v>1495.6234195681775</v>
      </c>
      <c r="BM183" s="5">
        <f>INDEX('Team forecast'!$R$3:$BH$26,MATCH($B183,'Team forecast'!$B$3:$B$26,0),MATCH(BM$1,'Team forecast'!$R$2:$BH$2,0))*IF($X183&gt;0,-15000,0)</f>
        <v>-4350.9044932892448</v>
      </c>
      <c r="BN183" s="5">
        <f t="shared" si="79"/>
        <v>10638.963441789321</v>
      </c>
      <c r="BO183" s="5">
        <f t="shared" si="80"/>
        <v>2182.7736344520181</v>
      </c>
      <c r="BP183" s="5">
        <f t="shared" si="81"/>
        <v>2178.0589043577288</v>
      </c>
      <c r="BQ183" s="5">
        <f t="shared" si="82"/>
        <v>0</v>
      </c>
      <c r="BR183" s="5">
        <f t="shared" si="83"/>
        <v>0</v>
      </c>
      <c r="BS183" s="5">
        <f t="shared" si="84"/>
        <v>-3045.5252918287938</v>
      </c>
      <c r="BT183" s="5">
        <f t="shared" si="85"/>
        <v>-1945.5252918287938</v>
      </c>
      <c r="BU183" s="5">
        <f t="shared" si="86"/>
        <v>12965.069481471115</v>
      </c>
      <c r="BV183" s="5">
        <f t="shared" si="87"/>
        <v>-8085.8226067313335</v>
      </c>
      <c r="BW183" s="5">
        <f t="shared" si="88"/>
        <v>29303.086611303897</v>
      </c>
      <c r="BX183" s="5">
        <f t="shared" si="89"/>
        <v>37252.980209770198</v>
      </c>
      <c r="BY183" s="5">
        <f t="shared" si="90"/>
        <v>111758.94062931059</v>
      </c>
      <c r="BZ183" s="5">
        <f>INDEX('Team forecast'!$R$3:$BH$26,MATCH($B183,'Team forecast'!$B$3:$B$26,0),MATCH(BZ$1,'Team forecast'!$R$2:$BH$2,0))*($BX183-(BY183+CH183)*0.01)</f>
        <v>-3411.3358041644046</v>
      </c>
      <c r="CA183" s="5">
        <f>INDEX('Team forecast'!$R$3:$BH$26,MATCH($B183,'Team forecast'!$B$3:$B$26,0),MATCH(CA$1,'Team forecast'!$R$2:$BH$2,0))*($BX183-(BY183+BX183+CH183)*0.01)</f>
        <v>-1943.9073181002079</v>
      </c>
      <c r="CB183" s="5">
        <f>INDEX('Team forecast'!$R$3:$BH$26,MATCH($B183,'Team forecast'!$B$3:$B$26,0),MATCH(CB$1,'Team forecast'!$R$2:$BH$2,0))*($BX183-(BY183+BX183*2+CH183)*0.01)</f>
        <v>-1132.9953145827672</v>
      </c>
      <c r="CC183" s="5">
        <f>INDEX('Team forecast'!$R$3:$BH$26,MATCH($B183,'Team forecast'!$B$3:$B$26,0),MATCH(CC$1,'Team forecast'!$R$2:$BH$2,0))*($BX183-(BY183+BX183*3+CH183)*0.01)</f>
        <v>-717.62387036071902</v>
      </c>
      <c r="CD183" s="5">
        <f>+AK183+BD183*Cockpit!$C$3+BW183*Cockpit!$C$3^2+BZ183*Cockpit!$C$3^3+CA183*Cockpit!$C$3^4+CB183*Cockpit!$C$3^5+CC183*Cockpit!$C$3^6</f>
        <v>74545.811488536667</v>
      </c>
      <c r="CE183" s="5"/>
      <c r="CF183" s="5"/>
      <c r="CG183" s="5">
        <v>0</v>
      </c>
      <c r="CH183" s="5">
        <f t="shared" si="49"/>
        <v>4000000</v>
      </c>
      <c r="CI183" s="5">
        <f t="shared" si="50"/>
        <v>4000000</v>
      </c>
      <c r="CJ183" s="1">
        <f t="shared" si="51"/>
        <v>2.7939735157327648E-2</v>
      </c>
      <c r="CK183" s="5">
        <f>RANK(BY183,$BY$2:$BY$623)+COUNTIF($BY$2:$BY183,$BY183)-1</f>
        <v>149</v>
      </c>
      <c r="CL183" s="5">
        <f>RANK(CJ183,$CJ$2:$CJ$623)+COUNTIF($CJ$2:$CJ183,$CJ183)-1</f>
        <v>168</v>
      </c>
    </row>
    <row r="184" spans="1:90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0.87435064565555498</v>
      </c>
      <c r="I184" s="16">
        <f>INDEX('Team forecast'!$B$2:$AO$26,MATCH('Master data'!$B184,'Team forecast'!$B$2:$B$26,0),MATCH('Master data'!I$1,'Team forecast'!$B$2:$AO$2,0))</f>
        <v>1.162032718107336</v>
      </c>
      <c r="J184" s="16">
        <f>INDEX('Team forecast'!$B$2:$AO$26,MATCH('Master data'!$B184,'Team forecast'!$B$2:$B$26,0),MATCH('Master data'!J$1,'Team forecast'!$B$2:$AO$2,0))</f>
        <v>0.31284959906121651</v>
      </c>
      <c r="K184" s="16">
        <f>INDEX('Team forecast'!$B$2:$AO$26,MATCH('Master data'!$B184,'Team forecast'!$B$2:$B$26,0),MATCH('Master data'!K$1,'Team forecast'!$B$2:$AO$2,0))</f>
        <v>2.6542787457400774</v>
      </c>
      <c r="L184" s="16">
        <f>INDEX('Team forecast'!$B$2:$AO$26,MATCH('Master data'!$B184,'Team forecast'!$B$2:$B$26,0),MATCH('Master data'!L$1,'Team forecast'!$B$2:$AO$2,0))</f>
        <v>3.0401288408862195</v>
      </c>
      <c r="M184">
        <f>IF(Players!BC185=1,95,0)</f>
        <v>95</v>
      </c>
      <c r="N184" s="2">
        <f>Players!BN185</f>
        <v>0.4131970417785103</v>
      </c>
      <c r="O184" s="2">
        <f>Players!BO185</f>
        <v>0.24333125661416694</v>
      </c>
      <c r="P184" s="2">
        <f>Players!BP185</f>
        <v>0.4787188620601478</v>
      </c>
      <c r="Q184" s="2">
        <f>Players!BQ185</f>
        <v>0.17875406283856987</v>
      </c>
      <c r="R184" s="2">
        <f>Players!BR185</f>
        <v>0</v>
      </c>
      <c r="S184" s="2">
        <f t="shared" si="52"/>
        <v>0.87435064565555498</v>
      </c>
      <c r="T184" s="2">
        <f t="shared" si="53"/>
        <v>1.162032718107336</v>
      </c>
      <c r="U184" s="16">
        <f>INDEX('Team forecast'!$B$2:$AO$26,MATCH('Master data'!$B184,'Team forecast'!$B$2:$B$26,0),MATCH('Master data'!U$1,'Team forecast'!$B$2:$AO$2,0))</f>
        <v>0.2607079992176804</v>
      </c>
      <c r="V184" s="16">
        <f>INDEX('Team forecast'!$B$2:$AO$26,MATCH('Master data'!$B184,'Team forecast'!$B$2:$B$26,0),MATCH('Master data'!V$1,'Team forecast'!$B$2:$AO$2,0))</f>
        <v>0.30275767651085472</v>
      </c>
      <c r="W184" s="16">
        <f>INDEX('Team forecast'!$B$2:$AO$26,MATCH('Master data'!$B184,'Team forecast'!$B$2:$B$26,0),MATCH('Master data'!W$1,'Team forecast'!$B$2:$AO$2,0))</f>
        <v>0.43653432427146488</v>
      </c>
      <c r="X184" s="5">
        <f t="shared" si="54"/>
        <v>7000</v>
      </c>
      <c r="Y184" s="5">
        <f t="shared" si="55"/>
        <v>6517.6999804420102</v>
      </c>
      <c r="Z184" s="5">
        <f t="shared" si="56"/>
        <v>1513.7883825542735</v>
      </c>
      <c r="AA184" s="5">
        <f t="shared" si="57"/>
        <v>-6548.0148640719735</v>
      </c>
      <c r="AB184" s="5">
        <f t="shared" si="58"/>
        <v>36127.910026200581</v>
      </c>
      <c r="AC184" s="5">
        <f t="shared" si="59"/>
        <v>10637.842066438719</v>
      </c>
      <c r="AD184" s="5">
        <f t="shared" si="60"/>
        <v>12706.533007511263</v>
      </c>
      <c r="AE184" s="5">
        <f t="shared" si="61"/>
        <v>0</v>
      </c>
      <c r="AF184" s="5">
        <f t="shared" si="62"/>
        <v>0</v>
      </c>
      <c r="AG184" s="5">
        <f t="shared" si="63"/>
        <v>-3575.0812567713974</v>
      </c>
      <c r="AH184" s="5">
        <f t="shared" si="64"/>
        <v>0</v>
      </c>
      <c r="AI184" s="5">
        <f t="shared" si="65"/>
        <v>8743.5064565555494</v>
      </c>
      <c r="AJ184" s="5">
        <f t="shared" si="66"/>
        <v>-9296.261744858688</v>
      </c>
      <c r="AK184" s="5">
        <f>IFERROR(SUM(X184:AJ184),-5000)*((Cockpit!$C$3)^0)</f>
        <v>63827.922054000337</v>
      </c>
      <c r="AL184" s="16">
        <f>INDEX('Team forecast'!$B$2:$AO$26,MATCH('Master data'!$B184,'Team forecast'!$B$2:$B$26,0),MATCH('Master data'!AL$1,'Team forecast'!$B$2:$AO$2,0))</f>
        <v>1.0279287794501248</v>
      </c>
      <c r="AM184" s="16">
        <f>INDEX('Team forecast'!$B$2:$AO$26,MATCH('Master data'!$B184,'Team forecast'!$B$2:$B$26,0),MATCH('Master data'!AM$1,'Team forecast'!$B$2:$AO$2,0))</f>
        <v>1.2847203648825669</v>
      </c>
      <c r="AN184" s="16">
        <f>INDEX('Team forecast'!$B$2:$AO$26,MATCH('Master data'!$B184,'Team forecast'!$B$2:$B$26,0),MATCH('Master data'!AN$1,'Team forecast'!$B$2:$AO$2,0))</f>
        <v>0.27672795566788022</v>
      </c>
      <c r="AO184" s="16">
        <f>INDEX('Team forecast'!$B$2:$AO$26,MATCH('Master data'!$B184,'Team forecast'!$B$2:$B$26,0),MATCH('Master data'!AO$1,'Team forecast'!$B$2:$AO$2,0))</f>
        <v>3.1204980804735931</v>
      </c>
      <c r="AP184" s="16">
        <f>INDEX('Team forecast'!$B$2:$AO$26,MATCH('Master data'!$B184,'Team forecast'!$B$2:$B$26,0),MATCH('Master data'!AP$1,'Team forecast'!$B$2:$AO$2,0))</f>
        <v>3.3611062519089856</v>
      </c>
      <c r="AQ184" s="5">
        <f t="shared" si="67"/>
        <v>7000</v>
      </c>
      <c r="AR184" s="5">
        <f>INDEX('Team forecast'!$B$2:$AO$26,MATCH('Master data'!$B184,'Team forecast'!$B$2:$B$26,0),MATCH('Master data'!AR$1,'Team forecast'!$B$2:$AO$2,0))*IF(X184&gt;0,25000,0)</f>
        <v>6720.5360662199482</v>
      </c>
      <c r="AS184" s="16">
        <f>INDEX('Team forecast'!$B$2:$AO$26,MATCH('Master data'!$B184,'Team forecast'!$B$2:$B$26,0),MATCH('Master data'!AS$1,'Team forecast'!$B$2:$AO$2,0))*IF(X184&gt;0,5000,0)</f>
        <v>1517.5404020496649</v>
      </c>
      <c r="AT184" s="16">
        <f>INDEX('Team forecast'!$B$2:$AO$26,MATCH('Master data'!$B184,'Team forecast'!$B$2:$B$26,0),MATCH('Master data'!AT$1,'Team forecast'!$B$2:$AO$2,0))*IF(X184&gt;0,-15000,0)</f>
        <v>-6415.0571541190393</v>
      </c>
      <c r="AU184" s="5">
        <f t="shared" si="68"/>
        <v>42473.713082778639</v>
      </c>
      <c r="AV184" s="5">
        <f t="shared" si="69"/>
        <v>12506.360080673287</v>
      </c>
      <c r="AW184" s="5">
        <f t="shared" si="70"/>
        <v>14938.41290145194</v>
      </c>
      <c r="AX184" s="5">
        <f t="shared" si="71"/>
        <v>0</v>
      </c>
      <c r="AY184" s="5">
        <f t="shared" si="72"/>
        <v>0</v>
      </c>
      <c r="AZ184" s="5">
        <f t="shared" si="73"/>
        <v>-3575.0812567713974</v>
      </c>
      <c r="BA184" s="5">
        <f t="shared" si="74"/>
        <v>0</v>
      </c>
      <c r="BB184" s="5">
        <f t="shared" si="75"/>
        <v>10279.287794501248</v>
      </c>
      <c r="BC184" s="5">
        <f t="shared" si="76"/>
        <v>-10277.762919060535</v>
      </c>
      <c r="BD184" s="5">
        <f t="shared" si="77"/>
        <v>75167.948997723739</v>
      </c>
      <c r="BE184" s="16">
        <f>INDEX('Team forecast'!$B$2:$AO$26,MATCH('Master data'!$B184,'Team forecast'!$B$2:$B$26,0),MATCH('Master data'!BE$1,'Team forecast'!$B$2:$AO$2,0))</f>
        <v>0.65281467345965161</v>
      </c>
      <c r="BF184" s="16">
        <f>INDEX('Team forecast'!$B$2:$AO$26,MATCH('Master data'!$B184,'Team forecast'!$B$2:$B$26,0),MATCH('Master data'!BF$1,'Team forecast'!$B$2:$AO$2,0))</f>
        <v>1.8402581758343768</v>
      </c>
      <c r="BG184" s="16">
        <f>INDEX('Team forecast'!$B$2:$AO$26,MATCH('Master data'!$B184,'Team forecast'!$B$2:$B$26,0),MATCH('Master data'!BG$1,'Team forecast'!$B$2:$AO$2,0))</f>
        <v>0.15877642857793531</v>
      </c>
      <c r="BH184" s="16">
        <f>INDEX('Team forecast'!$B$2:$AO$26,MATCH('Master data'!$B184,'Team forecast'!$B$2:$B$26,0),MATCH('Master data'!BH$1,'Team forecast'!$B$2:$AO$2,0))</f>
        <v>1.9817588301453708</v>
      </c>
      <c r="BI184" s="16">
        <f>INDEX('Team forecast'!$B$2:$AO$26,MATCH('Master data'!$B184,'Team forecast'!$B$2:$B$26,0),MATCH('Master data'!BI$1,'Team forecast'!$B$2:$AO$2,0))</f>
        <v>4.8145132816423697</v>
      </c>
      <c r="BJ184" s="5">
        <f t="shared" si="78"/>
        <v>7000</v>
      </c>
      <c r="BK184" s="5">
        <f>INDEX('Team forecast'!$R$3:$BH$26,MATCH($B184,'Team forecast'!$B$3:$B$26,0),MATCH(BK$1,'Team forecast'!$R$2:$BH$2,0))*IF($X184&gt;0,25000,0)</f>
        <v>2721.881632764605</v>
      </c>
      <c r="BL184" s="5">
        <f>INDEX('Team forecast'!$R$3:$BH$26,MATCH($B184,'Team forecast'!$B$3:$B$26,0),MATCH(BL$1,'Team forecast'!$R$2:$BH$2,0))*IF($X184&gt;0,5000,0)</f>
        <v>1147.781411406761</v>
      </c>
      <c r="BM184" s="5">
        <f>INDEX('Team forecast'!$R$3:$BH$26,MATCH($B184,'Team forecast'!$B$3:$B$26,0),MATCH(BM$1,'Team forecast'!$R$2:$BH$2,0))*IF($X184&gt;0,-15000,0)</f>
        <v>-9923.5267861209559</v>
      </c>
      <c r="BN184" s="5">
        <f t="shared" si="79"/>
        <v>26974.109190313222</v>
      </c>
      <c r="BO184" s="5">
        <f t="shared" si="80"/>
        <v>7942.5107414552031</v>
      </c>
      <c r="BP184" s="5">
        <f t="shared" si="81"/>
        <v>9487.0533204484163</v>
      </c>
      <c r="BQ184" s="5">
        <f t="shared" si="82"/>
        <v>0</v>
      </c>
      <c r="BR184" s="5">
        <f t="shared" si="83"/>
        <v>0</v>
      </c>
      <c r="BS184" s="5">
        <f t="shared" si="84"/>
        <v>-3575.0812567713974</v>
      </c>
      <c r="BT184" s="5">
        <f t="shared" si="85"/>
        <v>0</v>
      </c>
      <c r="BU184" s="5">
        <f t="shared" si="86"/>
        <v>6528.1467345965157</v>
      </c>
      <c r="BV184" s="5">
        <f t="shared" si="87"/>
        <v>-14722.065406675014</v>
      </c>
      <c r="BW184" s="5">
        <f t="shared" si="88"/>
        <v>33580.809581417358</v>
      </c>
      <c r="BX184" s="5">
        <f t="shared" si="89"/>
        <v>57525.560211047145</v>
      </c>
      <c r="BY184" s="5">
        <f t="shared" si="90"/>
        <v>172576.68063314143</v>
      </c>
      <c r="BZ184" s="5">
        <f>INDEX('Team forecast'!$R$3:$BH$26,MATCH($B184,'Team forecast'!$B$3:$B$26,0),MATCH(BZ$1,'Team forecast'!$R$2:$BH$2,0))*($BX184-(BY184+CH184)*0.01)</f>
        <v>2857.9987414618313</v>
      </c>
      <c r="CA184" s="5">
        <f>INDEX('Team forecast'!$R$3:$BH$26,MATCH($B184,'Team forecast'!$B$3:$B$26,0),MATCH(CA$1,'Team forecast'!$R$2:$BH$2,0))*($BX184-(BY184+BX184+CH184)*0.01)</f>
        <v>1264.5449655139125</v>
      </c>
      <c r="CB184" s="5">
        <f>INDEX('Team forecast'!$R$3:$BH$26,MATCH($B184,'Team forecast'!$B$3:$B$26,0),MATCH(CB$1,'Team forecast'!$R$2:$BH$2,0))*($BX184-(BY184+BX184*2+CH184)*0.01)</f>
        <v>543.62749515076098</v>
      </c>
      <c r="CC184" s="5">
        <f>INDEX('Team forecast'!$R$3:$BH$26,MATCH($B184,'Team forecast'!$B$3:$B$26,0),MATCH(CC$1,'Team forecast'!$R$2:$BH$2,0))*($BX184-(BY184+BX184*3+CH184)*0.01)</f>
        <v>216.6823527235378</v>
      </c>
      <c r="CD184" s="5">
        <f>+AK184+BD184*Cockpit!$C$3+BW184*Cockpit!$C$3^2+BZ184*Cockpit!$C$3^3+CA184*Cockpit!$C$3^4+CB184*Cockpit!$C$3^5+CC184*Cockpit!$C$3^6</f>
        <v>130051.90508633434</v>
      </c>
      <c r="CE184" s="5"/>
      <c r="CF184" s="5"/>
      <c r="CG184" s="5">
        <v>0</v>
      </c>
      <c r="CH184" s="5">
        <f t="shared" si="49"/>
        <v>5000000</v>
      </c>
      <c r="CI184" s="5">
        <f t="shared" si="50"/>
        <v>5000000</v>
      </c>
      <c r="CJ184" s="1">
        <f t="shared" si="51"/>
        <v>3.4515336126628285E-2</v>
      </c>
      <c r="CK184" s="5">
        <f>RANK(BY184,$BY$2:$BY$623)+COUNTIF($BY$2:$BY184,$BY184)-1</f>
        <v>74</v>
      </c>
      <c r="CL184" s="5">
        <f>RANK(CJ184,$CJ$2:$CJ$623)+COUNTIF($CJ$2:$CJ184,$CJ184)-1</f>
        <v>107</v>
      </c>
    </row>
    <row r="185" spans="1:90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0.63639779406972985</v>
      </c>
      <c r="I185" s="16">
        <f>INDEX('Team forecast'!$B$2:$AO$26,MATCH('Master data'!$B185,'Team forecast'!$B$2:$B$26,0),MATCH('Master data'!I$1,'Team forecast'!$B$2:$AO$2,0))</f>
        <v>1.7533592214060363</v>
      </c>
      <c r="J185" s="16">
        <f>INDEX('Team forecast'!$B$2:$AO$26,MATCH('Master data'!$B185,'Team forecast'!$B$2:$B$26,0),MATCH('Master data'!J$1,'Team forecast'!$B$2:$AO$2,0))</f>
        <v>0.1731911776674534</v>
      </c>
      <c r="K185" s="16">
        <f>INDEX('Team forecast'!$B$2:$AO$26,MATCH('Master data'!$B185,'Team forecast'!$B$2:$B$26,0),MATCH('Master data'!K$1,'Team forecast'!$B$2:$AO$2,0))</f>
        <v>2.0682928307266222</v>
      </c>
      <c r="L185" s="16">
        <f>INDEX('Team forecast'!$B$2:$AO$26,MATCH('Master data'!$B185,'Team forecast'!$B$2:$B$26,0),MATCH('Master data'!L$1,'Team forecast'!$B$2:$AO$2,0))</f>
        <v>5.2600776642181089</v>
      </c>
      <c r="M185">
        <f>IF(Players!BC186=1,95,0)</f>
        <v>95</v>
      </c>
      <c r="N185" s="2">
        <f>Players!BN186</f>
        <v>0.13318712726158849</v>
      </c>
      <c r="O185" s="2">
        <f>Players!BO186</f>
        <v>0.16443997800974405</v>
      </c>
      <c r="P185" s="2">
        <f>Players!BP186</f>
        <v>0.12739035224116738</v>
      </c>
      <c r="Q185" s="2">
        <f>Players!BQ186</f>
        <v>0.16423357664233576</v>
      </c>
      <c r="R185" s="2">
        <f>Players!BR186</f>
        <v>0</v>
      </c>
      <c r="S185" s="2">
        <f t="shared" si="52"/>
        <v>0.63639779406972985</v>
      </c>
      <c r="T185" s="2">
        <f t="shared" si="53"/>
        <v>1.7533592214060363</v>
      </c>
      <c r="U185" s="16">
        <f>INDEX('Team forecast'!$B$2:$AO$26,MATCH('Master data'!$B185,'Team forecast'!$B$2:$B$26,0),MATCH('Master data'!U$1,'Team forecast'!$B$2:$AO$2,0))</f>
        <v>0.11906893464637421</v>
      </c>
      <c r="V185" s="16">
        <f>INDEX('Team forecast'!$B$2:$AO$26,MATCH('Master data'!$B185,'Team forecast'!$B$2:$B$26,0),MATCH('Master data'!V$1,'Team forecast'!$B$2:$AO$2,0))</f>
        <v>0.20053715308863029</v>
      </c>
      <c r="W185" s="16">
        <f>INDEX('Team forecast'!$B$2:$AO$26,MATCH('Master data'!$B185,'Team forecast'!$B$2:$B$26,0),MATCH('Master data'!W$1,'Team forecast'!$B$2:$AO$2,0))</f>
        <v>0.68039391226499568</v>
      </c>
      <c r="X185" s="5">
        <f t="shared" si="54"/>
        <v>7000</v>
      </c>
      <c r="Y185" s="5">
        <f t="shared" si="55"/>
        <v>2976.723366159355</v>
      </c>
      <c r="Z185" s="5">
        <f t="shared" si="56"/>
        <v>1002.6857654431515</v>
      </c>
      <c r="AA185" s="5">
        <f t="shared" si="57"/>
        <v>-10205.908683974934</v>
      </c>
      <c r="AB185" s="5">
        <f t="shared" si="58"/>
        <v>10594.999248469912</v>
      </c>
      <c r="AC185" s="5">
        <f t="shared" si="59"/>
        <v>5232.4619631137994</v>
      </c>
      <c r="AD185" s="5">
        <f t="shared" si="60"/>
        <v>2634.8055224414557</v>
      </c>
      <c r="AE185" s="5">
        <f t="shared" si="61"/>
        <v>0</v>
      </c>
      <c r="AF185" s="5">
        <f t="shared" si="62"/>
        <v>0</v>
      </c>
      <c r="AG185" s="5">
        <f t="shared" si="63"/>
        <v>-3284.6715328467153</v>
      </c>
      <c r="AH185" s="5">
        <f t="shared" si="64"/>
        <v>0</v>
      </c>
      <c r="AI185" s="5">
        <f t="shared" si="65"/>
        <v>6363.9779406972984</v>
      </c>
      <c r="AJ185" s="5">
        <f t="shared" si="66"/>
        <v>-14026.873771248291</v>
      </c>
      <c r="AK185" s="5">
        <f>IFERROR(SUM(X185:AJ185),-5000)*((Cockpit!$C$3)^0)</f>
        <v>8288.1998182550342</v>
      </c>
      <c r="AL185" s="16">
        <f>INDEX('Team forecast'!$B$2:$AO$26,MATCH('Master data'!$B185,'Team forecast'!$B$2:$B$26,0),MATCH('Master data'!AL$1,'Team forecast'!$B$2:$AO$2,0))</f>
        <v>1.3852986184856255</v>
      </c>
      <c r="AM185" s="16">
        <f>INDEX('Team forecast'!$B$2:$AO$26,MATCH('Master data'!$B185,'Team forecast'!$B$2:$B$26,0),MATCH('Master data'!AM$1,'Team forecast'!$B$2:$AO$2,0))</f>
        <v>0.80548012323268336</v>
      </c>
      <c r="AN185" s="16">
        <f>INDEX('Team forecast'!$B$2:$AO$26,MATCH('Master data'!$B185,'Team forecast'!$B$2:$B$26,0),MATCH('Master data'!AN$1,'Team forecast'!$B$2:$AO$2,0))</f>
        <v>0.4468733207814955</v>
      </c>
      <c r="AO185" s="16">
        <f>INDEX('Team forecast'!$B$2:$AO$26,MATCH('Master data'!$B185,'Team forecast'!$B$2:$B$26,0),MATCH('Master data'!AO$1,'Team forecast'!$B$2:$AO$2,0))</f>
        <v>4.5022205100782831</v>
      </c>
      <c r="AP185" s="16">
        <f>INDEX('Team forecast'!$B$2:$AO$26,MATCH('Master data'!$B185,'Team forecast'!$B$2:$B$26,0),MATCH('Master data'!AP$1,'Team forecast'!$B$2:$AO$2,0))</f>
        <v>2.4164403696980501</v>
      </c>
      <c r="AQ185" s="5">
        <f t="shared" si="67"/>
        <v>7000</v>
      </c>
      <c r="AR185" s="5">
        <f>INDEX('Team forecast'!$B$2:$AO$26,MATCH('Master data'!$B185,'Team forecast'!$B$2:$B$26,0),MATCH('Master data'!AR$1,'Team forecast'!$B$2:$AO$2,0))*IF(X185&gt;0,25000,0)</f>
        <v>12681.540184339738</v>
      </c>
      <c r="AS185" s="16">
        <f>INDEX('Team forecast'!$B$2:$AO$26,MATCH('Master data'!$B185,'Team forecast'!$B$2:$B$26,0),MATCH('Master data'!AS$1,'Team forecast'!$B$2:$AO$2,0))*IF(X185&gt;0,5000,0)</f>
        <v>1380.0499612369715</v>
      </c>
      <c r="AT185" s="16">
        <f>INDEX('Team forecast'!$B$2:$AO$26,MATCH('Master data'!$B185,'Team forecast'!$B$2:$B$26,0),MATCH('Master data'!AT$1,'Team forecast'!$B$2:$AO$2,0))*IF(X185&gt;0,-15000,0)</f>
        <v>-3250.9260056852445</v>
      </c>
      <c r="AU185" s="5">
        <f t="shared" si="68"/>
        <v>23062.992924443468</v>
      </c>
      <c r="AV185" s="5">
        <f t="shared" si="69"/>
        <v>11389.923718035254</v>
      </c>
      <c r="AW185" s="5">
        <f t="shared" si="70"/>
        <v>5735.3945664628072</v>
      </c>
      <c r="AX185" s="5">
        <f t="shared" si="71"/>
        <v>0</v>
      </c>
      <c r="AY185" s="5">
        <f t="shared" si="72"/>
        <v>0</v>
      </c>
      <c r="AZ185" s="5">
        <f t="shared" si="73"/>
        <v>-3284.6715328467153</v>
      </c>
      <c r="BA185" s="5">
        <f t="shared" si="74"/>
        <v>0</v>
      </c>
      <c r="BB185" s="5">
        <f t="shared" si="75"/>
        <v>13852.986184856256</v>
      </c>
      <c r="BC185" s="5">
        <f t="shared" si="76"/>
        <v>-6443.8409858614668</v>
      </c>
      <c r="BD185" s="5">
        <f t="shared" si="77"/>
        <v>62123.449014981066</v>
      </c>
      <c r="BE185" s="16">
        <f>INDEX('Team forecast'!$B$2:$AO$26,MATCH('Master data'!$B185,'Team forecast'!$B$2:$B$26,0),MATCH('Master data'!BE$1,'Team forecast'!$B$2:$AO$2,0))</f>
        <v>1.2688103238212438</v>
      </c>
      <c r="BF185" s="16">
        <f>INDEX('Team forecast'!$B$2:$AO$26,MATCH('Master data'!$B185,'Team forecast'!$B$2:$B$26,0),MATCH('Master data'!BF$1,'Team forecast'!$B$2:$AO$2,0))</f>
        <v>1.2236898885407743</v>
      </c>
      <c r="BG185" s="16">
        <f>INDEX('Team forecast'!$B$2:$AO$26,MATCH('Master data'!$B185,'Team forecast'!$B$2:$B$26,0),MATCH('Master data'!BG$1,'Team forecast'!$B$2:$AO$2,0))</f>
        <v>0.29414280786478092</v>
      </c>
      <c r="BH185" s="16">
        <f>INDEX('Team forecast'!$B$2:$AO$26,MATCH('Master data'!$B185,'Team forecast'!$B$2:$B$26,0),MATCH('Master data'!BH$1,'Team forecast'!$B$2:$AO$2,0))</f>
        <v>4.1236335524190419</v>
      </c>
      <c r="BI185" s="16">
        <f>INDEX('Team forecast'!$B$2:$AO$26,MATCH('Master data'!$B185,'Team forecast'!$B$2:$B$26,0),MATCH('Master data'!BI$1,'Team forecast'!$B$2:$AO$2,0))</f>
        <v>3.6710696656223227</v>
      </c>
      <c r="BJ185" s="5">
        <f t="shared" si="78"/>
        <v>7000</v>
      </c>
      <c r="BK185" s="5">
        <f>INDEX('Team forecast'!$R$3:$BH$26,MATCH($B185,'Team forecast'!$B$3:$B$26,0),MATCH(BK$1,'Team forecast'!$R$2:$BH$2,0))*IF($X185&gt;0,25000,0)</f>
        <v>9372.1973094170389</v>
      </c>
      <c r="BL185" s="5">
        <f>INDEX('Team forecast'!$R$3:$BH$26,MATCH($B185,'Team forecast'!$B$3:$B$26,0),MATCH(BL$1,'Team forecast'!$R$2:$BH$2,0))*IF($X185&gt;0,5000,0)</f>
        <v>1448.4304932735427</v>
      </c>
      <c r="BM185" s="5">
        <f>INDEX('Team forecast'!$R$3:$BH$26,MATCH($B185,'Team forecast'!$B$3:$B$26,0),MATCH(BM$1,'Team forecast'!$R$2:$BH$2,0))*IF($X185&gt;0,-15000,0)</f>
        <v>-5031.390134529147</v>
      </c>
      <c r="BN185" s="5">
        <f t="shared" si="79"/>
        <v>21123.650258699665</v>
      </c>
      <c r="BO185" s="5">
        <f t="shared" si="80"/>
        <v>10432.157087385078</v>
      </c>
      <c r="BP185" s="5">
        <f t="shared" si="81"/>
        <v>5253.1113075615813</v>
      </c>
      <c r="BQ185" s="5">
        <f t="shared" si="82"/>
        <v>0</v>
      </c>
      <c r="BR185" s="5">
        <f t="shared" si="83"/>
        <v>0</v>
      </c>
      <c r="BS185" s="5">
        <f t="shared" si="84"/>
        <v>-3284.6715328467153</v>
      </c>
      <c r="BT185" s="5">
        <f t="shared" si="85"/>
        <v>0</v>
      </c>
      <c r="BU185" s="5">
        <f t="shared" si="86"/>
        <v>12688.103238212438</v>
      </c>
      <c r="BV185" s="5">
        <f t="shared" si="87"/>
        <v>-9789.5191083261943</v>
      </c>
      <c r="BW185" s="5">
        <f t="shared" si="88"/>
        <v>49212.068918847282</v>
      </c>
      <c r="BX185" s="5">
        <f t="shared" si="89"/>
        <v>39874.572584027796</v>
      </c>
      <c r="BY185" s="5">
        <f t="shared" si="90"/>
        <v>119623.71775208338</v>
      </c>
      <c r="BZ185" s="5">
        <f>INDEX('Team forecast'!$R$3:$BH$26,MATCH($B185,'Team forecast'!$B$3:$B$26,0),MATCH(BZ$1,'Team forecast'!$R$2:$BH$2,0))*($BX185-(BY185+CH185)*0.01)</f>
        <v>-865.5781548533339</v>
      </c>
      <c r="CA185" s="5">
        <f>INDEX('Team forecast'!$R$3:$BH$26,MATCH($B185,'Team forecast'!$B$3:$B$26,0),MATCH(CA$1,'Team forecast'!$R$2:$BH$2,0))*($BX185-(BY185+BX185+CH185)*0.01)</f>
        <v>-554.21349102714521</v>
      </c>
      <c r="CB185" s="5">
        <f>INDEX('Team forecast'!$R$3:$BH$26,MATCH($B185,'Team forecast'!$B$3:$B$26,0),MATCH(CB$1,'Team forecast'!$R$2:$BH$2,0))*($BX185-(BY185+BX185*2+CH185)*0.01)</f>
        <v>-330.72747661257438</v>
      </c>
      <c r="CC185" s="5">
        <f>INDEX('Team forecast'!$R$3:$BH$26,MATCH($B185,'Team forecast'!$B$3:$B$26,0),MATCH(CC$1,'Team forecast'!$R$2:$BH$2,0))*($BX185-(BY185+BX185*3+CH185)*0.01)</f>
        <v>-180.23056583265119</v>
      </c>
      <c r="CD185" s="5">
        <f>+AK185+BD185*Cockpit!$C$3+BW185*Cockpit!$C$3^2+BZ185*Cockpit!$C$3^3+CA185*Cockpit!$C$3^4+CB185*Cockpit!$C$3^5+CC185*Cockpit!$C$3^6</f>
        <v>71150.545953869558</v>
      </c>
      <c r="CE185" s="5"/>
      <c r="CF185" s="5"/>
      <c r="CG185" s="5">
        <v>0</v>
      </c>
      <c r="CH185" s="5">
        <f t="shared" si="49"/>
        <v>4000000</v>
      </c>
      <c r="CI185" s="5">
        <f t="shared" si="50"/>
        <v>4000000</v>
      </c>
      <c r="CJ185" s="1">
        <f t="shared" si="51"/>
        <v>2.9905929438020847E-2</v>
      </c>
      <c r="CK185" s="5">
        <f>RANK(BY185,$BY$2:$BY$623)+COUNTIF($BY$2:$BY185,$BY185)-1</f>
        <v>135</v>
      </c>
      <c r="CL185" s="5">
        <f>RANK(CJ185,$CJ$2:$CJ$623)+COUNTIF($CJ$2:$CJ185,$CJ185)-1</f>
        <v>145</v>
      </c>
    </row>
    <row r="186" spans="1:90">
      <c r="A186" t="str">
        <f>Players!P187</f>
        <v>Arkadiusz Milik</v>
      </c>
      <c r="B186" t="str">
        <f>Players!G187</f>
        <v>Poland</v>
      </c>
      <c r="C186" t="str">
        <f>Players!AB187</f>
        <v>Striker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4000000</v>
      </c>
      <c r="H186" s="16">
        <f>INDEX('Team forecast'!$B$2:$AO$26,MATCH('Master data'!$B186,'Team forecast'!$B$2:$B$26,0),MATCH('Master data'!H$1,'Team forecast'!$B$2:$AO$2,0))</f>
        <v>1.5369105908463034</v>
      </c>
      <c r="I186" s="16">
        <f>INDEX('Team forecast'!$B$2:$AO$26,MATCH('Master data'!$B186,'Team forecast'!$B$2:$B$26,0),MATCH('Master data'!I$1,'Team forecast'!$B$2:$AO$2,0))</f>
        <v>0.81328039356128246</v>
      </c>
      <c r="J186" s="16">
        <f>INDEX('Team forecast'!$B$2:$AO$26,MATCH('Master data'!$B186,'Team forecast'!$B$2:$B$26,0),MATCH('Master data'!J$1,'Team forecast'!$B$2:$AO$2,0))</f>
        <v>0.44340114762649968</v>
      </c>
      <c r="K186" s="16">
        <f>INDEX('Team forecast'!$B$2:$AO$26,MATCH('Master data'!$B186,'Team forecast'!$B$2:$B$26,0),MATCH('Master data'!K$1,'Team forecast'!$B$2:$AO$2,0))</f>
        <v>4.6107317725389105</v>
      </c>
      <c r="L186" s="16">
        <f>INDEX('Team forecast'!$B$2:$AO$26,MATCH('Master data'!$B186,'Team forecast'!$B$2:$B$26,0),MATCH('Master data'!L$1,'Team forecast'!$B$2:$AO$2,0))</f>
        <v>2.0723952197374849</v>
      </c>
      <c r="M186">
        <f>IF(Players!BC187=1,95,0)</f>
        <v>95</v>
      </c>
      <c r="N186" s="2">
        <f>Players!BN187</f>
        <v>0.22873579115622397</v>
      </c>
      <c r="O186" s="2">
        <f>Players!BO187</f>
        <v>0.23190046356996097</v>
      </c>
      <c r="P186" s="2">
        <f>Players!BP187</f>
        <v>0.21879977839843703</v>
      </c>
      <c r="Q186" s="2">
        <f>Players!BQ187</f>
        <v>7.3589533932951756E-2</v>
      </c>
      <c r="R186" s="2">
        <f>Players!BR187</f>
        <v>0</v>
      </c>
      <c r="S186" s="2">
        <f t="shared" si="52"/>
        <v>1.5369105908463034</v>
      </c>
      <c r="T186" s="2">
        <f t="shared" si="53"/>
        <v>0.81328039356128246</v>
      </c>
      <c r="U186" s="16">
        <f>INDEX('Team forecast'!$B$2:$AO$26,MATCH('Master data'!$B186,'Team forecast'!$B$2:$B$26,0),MATCH('Master data'!U$1,'Team forecast'!$B$2:$AO$2,0))</f>
        <v>0.54773082942097018</v>
      </c>
      <c r="V186" s="16">
        <f>INDEX('Team forecast'!$B$2:$AO$26,MATCH('Master data'!$B186,'Team forecast'!$B$2:$B$26,0),MATCH('Master data'!V$1,'Team forecast'!$B$2:$AO$2,0))</f>
        <v>0.2660406885758998</v>
      </c>
      <c r="W186" s="16">
        <f>INDEX('Team forecast'!$B$2:$AO$26,MATCH('Master data'!$B186,'Team forecast'!$B$2:$B$26,0),MATCH('Master data'!W$1,'Team forecast'!$B$2:$AO$2,0))</f>
        <v>0.18622848200312991</v>
      </c>
      <c r="X186" s="5">
        <f t="shared" si="54"/>
        <v>7000</v>
      </c>
      <c r="Y186" s="5">
        <f t="shared" si="55"/>
        <v>13693.270735524255</v>
      </c>
      <c r="Z186" s="5">
        <f t="shared" si="56"/>
        <v>1330.2034428794989</v>
      </c>
      <c r="AA186" s="5">
        <f t="shared" si="57"/>
        <v>-2793.4272300469488</v>
      </c>
      <c r="AB186" s="5">
        <f t="shared" si="58"/>
        <v>35154.645993360886</v>
      </c>
      <c r="AC186" s="5">
        <f t="shared" si="59"/>
        <v>17820.513924142018</v>
      </c>
      <c r="AD186" s="5">
        <f t="shared" si="60"/>
        <v>10088.270900861464</v>
      </c>
      <c r="AE186" s="5">
        <f t="shared" si="61"/>
        <v>0</v>
      </c>
      <c r="AF186" s="5">
        <f t="shared" si="62"/>
        <v>0</v>
      </c>
      <c r="AG186" s="5">
        <f t="shared" si="63"/>
        <v>-1471.7906786590352</v>
      </c>
      <c r="AH186" s="5">
        <f t="shared" si="64"/>
        <v>0</v>
      </c>
      <c r="AI186" s="5">
        <f t="shared" si="65"/>
        <v>15369.105908463034</v>
      </c>
      <c r="AJ186" s="5">
        <f t="shared" si="66"/>
        <v>-6506.24314849026</v>
      </c>
      <c r="AK186" s="5">
        <f>IFERROR(SUM(X186:AJ186),-5000)*((Cockpit!$C$3)^0)</f>
        <v>89684.54984803492</v>
      </c>
      <c r="AL186" s="16">
        <f>INDEX('Team forecast'!$B$2:$AO$26,MATCH('Master data'!$B186,'Team forecast'!$B$2:$B$26,0),MATCH('Master data'!AL$1,'Team forecast'!$B$2:$AO$2,0))</f>
        <v>0.77817916464933856</v>
      </c>
      <c r="AM186" s="16">
        <f>INDEX('Team forecast'!$B$2:$AO$26,MATCH('Master data'!$B186,'Team forecast'!$B$2:$B$26,0),MATCH('Master data'!AM$1,'Team forecast'!$B$2:$AO$2,0))</f>
        <v>1.9080439968215523</v>
      </c>
      <c r="AN186" s="16">
        <f>INDEX('Team forecast'!$B$2:$AO$26,MATCH('Master data'!$B186,'Team forecast'!$B$2:$B$26,0),MATCH('Master data'!AN$1,'Team forecast'!$B$2:$AO$2,0))</f>
        <v>0.1483703157610558</v>
      </c>
      <c r="AO186" s="16">
        <f>INDEX('Team forecast'!$B$2:$AO$26,MATCH('Master data'!$B186,'Team forecast'!$B$2:$B$26,0),MATCH('Master data'!AO$1,'Team forecast'!$B$2:$AO$2,0))</f>
        <v>2.3345374939480159</v>
      </c>
      <c r="AP186" s="16">
        <f>INDEX('Team forecast'!$B$2:$AO$26,MATCH('Master data'!$B186,'Team forecast'!$B$2:$B$26,0),MATCH('Master data'!AP$1,'Team forecast'!$B$2:$AO$2,0))</f>
        <v>4.862063919611546</v>
      </c>
      <c r="AQ186" s="5">
        <f t="shared" si="67"/>
        <v>7000</v>
      </c>
      <c r="AR186" s="5">
        <f>INDEX('Team forecast'!$B$2:$AO$26,MATCH('Master data'!$B186,'Team forecast'!$B$2:$B$26,0),MATCH('Master data'!AR$1,'Team forecast'!$B$2:$AO$2,0))*IF(X186&gt;0,25000,0)</f>
        <v>3519.7337680542423</v>
      </c>
      <c r="AS186" s="16">
        <f>INDEX('Team forecast'!$B$2:$AO$26,MATCH('Master data'!$B186,'Team forecast'!$B$2:$B$26,0),MATCH('Master data'!AS$1,'Team forecast'!$B$2:$AO$2,0))*IF(X186&gt;0,5000,0)</f>
        <v>1059.787969721827</v>
      </c>
      <c r="AT186" s="16">
        <f>INDEX('Team forecast'!$B$2:$AO$26,MATCH('Master data'!$B186,'Team forecast'!$B$2:$B$26,0),MATCH('Master data'!AT$1,'Team forecast'!$B$2:$AO$2,0))*IF(X186&gt;0,-15000,0)</f>
        <v>-9708.7958300019709</v>
      </c>
      <c r="AU186" s="5">
        <f t="shared" si="68"/>
        <v>17799.742688735594</v>
      </c>
      <c r="AV186" s="5">
        <f t="shared" si="69"/>
        <v>9023.0054511333292</v>
      </c>
      <c r="AW186" s="5">
        <f t="shared" si="70"/>
        <v>5107.9628633866851</v>
      </c>
      <c r="AX186" s="5">
        <f t="shared" si="71"/>
        <v>0</v>
      </c>
      <c r="AY186" s="5">
        <f t="shared" si="72"/>
        <v>0</v>
      </c>
      <c r="AZ186" s="5">
        <f t="shared" si="73"/>
        <v>-1471.7906786590352</v>
      </c>
      <c r="BA186" s="5">
        <f t="shared" si="74"/>
        <v>0</v>
      </c>
      <c r="BB186" s="5">
        <f t="shared" si="75"/>
        <v>7781.791646493386</v>
      </c>
      <c r="BC186" s="5">
        <f t="shared" si="76"/>
        <v>-15264.351974572419</v>
      </c>
      <c r="BD186" s="5">
        <f t="shared" si="77"/>
        <v>24847.085904291642</v>
      </c>
      <c r="BE186" s="16">
        <f>INDEX('Team forecast'!$B$2:$AO$26,MATCH('Master data'!$B186,'Team forecast'!$B$2:$B$26,0),MATCH('Master data'!BE$1,'Team forecast'!$B$2:$AO$2,0))</f>
        <v>1.2236898885407743</v>
      </c>
      <c r="BF186" s="16">
        <f>INDEX('Team forecast'!$B$2:$AO$26,MATCH('Master data'!$B186,'Team forecast'!$B$2:$B$26,0),MATCH('Master data'!BF$1,'Team forecast'!$B$2:$AO$2,0))</f>
        <v>1.2688103238212438</v>
      </c>
      <c r="BG186" s="16">
        <f>INDEX('Team forecast'!$B$2:$AO$26,MATCH('Master data'!$B186,'Team forecast'!$B$2:$B$26,0),MATCH('Master data'!BG$1,'Team forecast'!$B$2:$AO$2,0))</f>
        <v>0.28116591928251122</v>
      </c>
      <c r="BH186" s="16">
        <f>INDEX('Team forecast'!$B$2:$AO$26,MATCH('Master data'!$B186,'Team forecast'!$B$2:$B$26,0),MATCH('Master data'!BH$1,'Team forecast'!$B$2:$AO$2,0))</f>
        <v>3.6710696656223227</v>
      </c>
      <c r="BI186" s="16">
        <f>INDEX('Team forecast'!$B$2:$AO$26,MATCH('Master data'!$B186,'Team forecast'!$B$2:$B$26,0),MATCH('Master data'!BI$1,'Team forecast'!$B$2:$AO$2,0))</f>
        <v>3.2331732950384708</v>
      </c>
      <c r="BJ186" s="5">
        <f t="shared" si="78"/>
        <v>7000</v>
      </c>
      <c r="BK186" s="5">
        <f>INDEX('Team forecast'!$R$3:$BH$26,MATCH($B186,'Team forecast'!$B$3:$B$26,0),MATCH(BK$1,'Team forecast'!$R$2:$BH$2,0))*IF($X186&gt;0,25000,0)</f>
        <v>8385.6502242152455</v>
      </c>
      <c r="BL186" s="5">
        <f>INDEX('Team forecast'!$R$3:$BH$26,MATCH($B186,'Team forecast'!$B$3:$B$26,0),MATCH(BL$1,'Team forecast'!$R$2:$BH$2,0))*IF($X186&gt;0,5000,0)</f>
        <v>1448.4304932735427</v>
      </c>
      <c r="BM186" s="5">
        <f>INDEX('Team forecast'!$R$3:$BH$26,MATCH($B186,'Team forecast'!$B$3:$B$26,0),MATCH(BM$1,'Team forecast'!$R$2:$BH$2,0))*IF($X186&gt;0,-15000,0)</f>
        <v>-5623.3183856502237</v>
      </c>
      <c r="BN186" s="5">
        <f t="shared" si="79"/>
        <v>27990.167478524552</v>
      </c>
      <c r="BO186" s="5">
        <f t="shared" si="80"/>
        <v>14188.71262092397</v>
      </c>
      <c r="BP186" s="5">
        <f t="shared" si="81"/>
        <v>8032.2922932338861</v>
      </c>
      <c r="BQ186" s="5">
        <f t="shared" si="82"/>
        <v>0</v>
      </c>
      <c r="BR186" s="5">
        <f t="shared" si="83"/>
        <v>0</v>
      </c>
      <c r="BS186" s="5">
        <f t="shared" si="84"/>
        <v>-1471.7906786590352</v>
      </c>
      <c r="BT186" s="5">
        <f t="shared" si="85"/>
        <v>0</v>
      </c>
      <c r="BU186" s="5">
        <f t="shared" si="86"/>
        <v>12236.898885407743</v>
      </c>
      <c r="BV186" s="5">
        <f t="shared" si="87"/>
        <v>-10150.482590569951</v>
      </c>
      <c r="BW186" s="5">
        <f t="shared" si="88"/>
        <v>62036.560340699725</v>
      </c>
      <c r="BX186" s="5">
        <f t="shared" si="89"/>
        <v>58856.065364342096</v>
      </c>
      <c r="BY186" s="5">
        <f t="shared" si="90"/>
        <v>176568.19609302629</v>
      </c>
      <c r="BZ186" s="5">
        <f>INDEX('Team forecast'!$R$3:$BH$26,MATCH($B186,'Team forecast'!$B$3:$B$26,0),MATCH(BZ$1,'Team forecast'!$R$2:$BH$2,0))*($BX186-(BY186+CH186)*0.01)</f>
        <v>11339.061341490351</v>
      </c>
      <c r="CA186" s="5">
        <f>INDEX('Team forecast'!$R$3:$BH$26,MATCH($B186,'Team forecast'!$B$3:$B$26,0),MATCH(CA$1,'Team forecast'!$R$2:$BH$2,0))*($BX186-(BY186+BX186+CH186)*0.01)</f>
        <v>5389.6031946815456</v>
      </c>
      <c r="CB186" s="5">
        <f>INDEX('Team forecast'!$R$3:$BH$26,MATCH($B186,'Team forecast'!$B$3:$B$26,0),MATCH(CB$1,'Team forecast'!$R$2:$BH$2,0))*($BX186-(BY186+BX186*2+CH186)*0.01)</f>
        <v>2521.8319143747235</v>
      </c>
      <c r="CC186" s="5">
        <f>INDEX('Team forecast'!$R$3:$BH$26,MATCH($B186,'Team forecast'!$B$3:$B$26,0),MATCH(CC$1,'Team forecast'!$R$2:$BH$2,0))*($BX186-(BY186+BX186*3+CH186)*0.01)</f>
        <v>1118.8421558150972</v>
      </c>
      <c r="CD186" s="5">
        <f>+AK186+BD186*Cockpit!$C$3+BW186*Cockpit!$C$3^2+BZ186*Cockpit!$C$3^3+CA186*Cockpit!$C$3^4+CB186*Cockpit!$C$3^5+CC186*Cockpit!$C$3^6</f>
        <v>138675.73115313871</v>
      </c>
      <c r="CE186" s="5"/>
      <c r="CF186" s="5"/>
      <c r="CG186" s="5">
        <v>0</v>
      </c>
      <c r="CH186" s="5">
        <f t="shared" si="49"/>
        <v>4000000</v>
      </c>
      <c r="CI186" s="5">
        <f t="shared" si="50"/>
        <v>4000000</v>
      </c>
      <c r="CJ186" s="1">
        <f t="shared" si="51"/>
        <v>4.4142049023256573E-2</v>
      </c>
      <c r="CK186" s="5">
        <f>RANK(BY186,$BY$2:$BY$623)+COUNTIF($BY$2:$BY186,$BY186)-1</f>
        <v>71</v>
      </c>
      <c r="CL186" s="5">
        <f>RANK(CJ186,$CJ$2:$CJ$623)+COUNTIF($CJ$2:$CJ186,$CJ186)-1</f>
        <v>56</v>
      </c>
    </row>
    <row r="187" spans="1:90">
      <c r="A187" t="str">
        <f>Players!P188</f>
        <v>Granit Xhaka</v>
      </c>
      <c r="B187" t="str">
        <f>Players!G188</f>
        <v>Switzerland</v>
      </c>
      <c r="C187" t="str">
        <f>Players!AB188</f>
        <v>Midfield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3500000</v>
      </c>
      <c r="H187" s="16">
        <f>INDEX('Team forecast'!$B$2:$AO$26,MATCH('Master data'!$B187,'Team forecast'!$B$2:$B$26,0),MATCH('Master data'!H$1,'Team forecast'!$B$2:$AO$2,0))</f>
        <v>1.162032718107336</v>
      </c>
      <c r="I187" s="16">
        <f>INDEX('Team forecast'!$B$2:$AO$26,MATCH('Master data'!$B187,'Team forecast'!$B$2:$B$26,0),MATCH('Master data'!I$1,'Team forecast'!$B$2:$AO$2,0))</f>
        <v>0.87435064565555498</v>
      </c>
      <c r="J187" s="16">
        <f>INDEX('Team forecast'!$B$2:$AO$26,MATCH('Master data'!$B187,'Team forecast'!$B$2:$B$26,0),MATCH('Master data'!J$1,'Team forecast'!$B$2:$AO$2,0))</f>
        <v>0.41713279874828868</v>
      </c>
      <c r="K187" s="16">
        <f>INDEX('Team forecast'!$B$2:$AO$26,MATCH('Master data'!$B187,'Team forecast'!$B$2:$B$26,0),MATCH('Master data'!K$1,'Team forecast'!$B$2:$AO$2,0))</f>
        <v>3.2487816133000873</v>
      </c>
      <c r="L187" s="16">
        <f>INDEX('Team forecast'!$B$2:$AO$26,MATCH('Master data'!$B187,'Team forecast'!$B$2:$B$26,0),MATCH('Master data'!L$1,'Team forecast'!$B$2:$AO$2,0))</f>
        <v>2.3631098531231216</v>
      </c>
      <c r="M187">
        <f>IF(Players!BC188=1,95,0)</f>
        <v>95</v>
      </c>
      <c r="N187" s="2">
        <f>Players!BN188</f>
        <v>8.7366281959442474E-2</v>
      </c>
      <c r="O187" s="2">
        <f>Players!BO188</f>
        <v>7.7382839835790099E-2</v>
      </c>
      <c r="P187" s="2">
        <f>Players!BP188</f>
        <v>7.6695161640564613E-2</v>
      </c>
      <c r="Q187" s="2">
        <f>Players!BQ188</f>
        <v>0.25490087232355274</v>
      </c>
      <c r="R187" s="2">
        <f>Players!BR188</f>
        <v>3.5685963521015066E-2</v>
      </c>
      <c r="S187" s="2">
        <f t="shared" si="52"/>
        <v>1.162032718107336</v>
      </c>
      <c r="T187" s="2">
        <f t="shared" si="53"/>
        <v>0.87435064565555498</v>
      </c>
      <c r="U187" s="16">
        <f>INDEX('Team forecast'!$B$2:$AO$26,MATCH('Master data'!$B187,'Team forecast'!$B$2:$B$26,0),MATCH('Master data'!U$1,'Team forecast'!$B$2:$AO$2,0))</f>
        <v>0.43653432427146488</v>
      </c>
      <c r="V187" s="16">
        <f>INDEX('Team forecast'!$B$2:$AO$26,MATCH('Master data'!$B187,'Team forecast'!$B$2:$B$26,0),MATCH('Master data'!V$1,'Team forecast'!$B$2:$AO$2,0))</f>
        <v>0.30275767651085472</v>
      </c>
      <c r="W187" s="16">
        <f>INDEX('Team forecast'!$B$2:$AO$26,MATCH('Master data'!$B187,'Team forecast'!$B$2:$B$26,0),MATCH('Master data'!W$1,'Team forecast'!$B$2:$AO$2,0))</f>
        <v>0.2607079992176804</v>
      </c>
      <c r="X187" s="5">
        <f t="shared" si="54"/>
        <v>7000</v>
      </c>
      <c r="Y187" s="5">
        <f t="shared" si="55"/>
        <v>10913.358106786622</v>
      </c>
      <c r="Z187" s="5">
        <f t="shared" si="56"/>
        <v>1513.7883825542735</v>
      </c>
      <c r="AA187" s="5">
        <f t="shared" si="57"/>
        <v>-3910.6199882652058</v>
      </c>
      <c r="AB187" s="5">
        <f t="shared" si="58"/>
        <v>12690.309762032857</v>
      </c>
      <c r="AC187" s="5">
        <f t="shared" si="59"/>
        <v>4496.06958546239</v>
      </c>
      <c r="AD187" s="5">
        <f t="shared" si="60"/>
        <v>2491.6583096694449</v>
      </c>
      <c r="AE187" s="5">
        <f t="shared" si="61"/>
        <v>0</v>
      </c>
      <c r="AF187" s="5">
        <f t="shared" si="62"/>
        <v>0</v>
      </c>
      <c r="AG187" s="5">
        <f t="shared" si="63"/>
        <v>-5098.0174464710544</v>
      </c>
      <c r="AH187" s="5">
        <f t="shared" si="64"/>
        <v>-1784.2981760507532</v>
      </c>
      <c r="AI187" s="5">
        <f t="shared" si="65"/>
        <v>11620.32718107336</v>
      </c>
      <c r="AJ187" s="5">
        <f t="shared" si="66"/>
        <v>-6994.8051652444401</v>
      </c>
      <c r="AK187" s="5">
        <f>IFERROR(SUM(X187:AJ187),-5000)*((Cockpit!$C$3)^0)</f>
        <v>32937.770551547495</v>
      </c>
      <c r="AL187" s="16">
        <f>INDEX('Team forecast'!$B$2:$AO$26,MATCH('Master data'!$B187,'Team forecast'!$B$2:$B$26,0),MATCH('Master data'!AL$1,'Team forecast'!$B$2:$AO$2,0))</f>
        <v>0.79620558314709244</v>
      </c>
      <c r="AM187" s="16">
        <f>INDEX('Team forecast'!$B$2:$AO$26,MATCH('Master data'!$B187,'Team forecast'!$B$2:$B$26,0),MATCH('Master data'!AM$1,'Team forecast'!$B$2:$AO$2,0))</f>
        <v>1.5198357804321134</v>
      </c>
      <c r="AN187" s="16">
        <f>INDEX('Team forecast'!$B$2:$AO$26,MATCH('Master data'!$B187,'Team forecast'!$B$2:$B$26,0),MATCH('Master data'!AN$1,'Team forecast'!$B$2:$AO$2,0))</f>
        <v>0.21874780667306151</v>
      </c>
      <c r="AO187" s="16">
        <f>INDEX('Team forecast'!$B$2:$AO$26,MATCH('Master data'!$B187,'Team forecast'!$B$2:$B$26,0),MATCH('Master data'!AO$1,'Team forecast'!$B$2:$AO$2,0))</f>
        <v>2.2260113838689839</v>
      </c>
      <c r="AP187" s="16">
        <f>INDEX('Team forecast'!$B$2:$AO$26,MATCH('Master data'!$B187,'Team forecast'!$B$2:$B$26,0),MATCH('Master data'!AP$1,'Team forecast'!$B$2:$AO$2,0))</f>
        <v>4.1076642714381446</v>
      </c>
      <c r="AQ187" s="5">
        <f t="shared" si="67"/>
        <v>7000</v>
      </c>
      <c r="AR187" s="5">
        <f>INDEX('Team forecast'!$B$2:$AO$26,MATCH('Master data'!$B187,'Team forecast'!$B$2:$B$26,0),MATCH('Master data'!AR$1,'Team forecast'!$B$2:$AO$2,0))*IF(X187&gt;0,25000,0)</f>
        <v>4305.3545586107102</v>
      </c>
      <c r="AS187" s="16">
        <f>INDEX('Team forecast'!$B$2:$AO$26,MATCH('Master data'!$B187,'Team forecast'!$B$2:$B$26,0),MATCH('Master data'!AS$1,'Team forecast'!$B$2:$AO$2,0))*IF(X187&gt;0,5000,0)</f>
        <v>1353.111432706223</v>
      </c>
      <c r="AT187" s="16">
        <f>INDEX('Team forecast'!$B$2:$AO$26,MATCH('Master data'!$B187,'Team forecast'!$B$2:$B$26,0),MATCH('Master data'!AT$1,'Team forecast'!$B$2:$AO$2,0))*IF(X187&gt;0,-15000,0)</f>
        <v>-8357.4529667149072</v>
      </c>
      <c r="AU187" s="5">
        <f t="shared" si="68"/>
        <v>8695.1901843639007</v>
      </c>
      <c r="AV187" s="5">
        <f t="shared" si="69"/>
        <v>3080.6324558516658</v>
      </c>
      <c r="AW187" s="5">
        <f t="shared" si="70"/>
        <v>1707.2430289956865</v>
      </c>
      <c r="AX187" s="5">
        <f t="shared" si="71"/>
        <v>0</v>
      </c>
      <c r="AY187" s="5">
        <f t="shared" si="72"/>
        <v>0</v>
      </c>
      <c r="AZ187" s="5">
        <f t="shared" si="73"/>
        <v>-5098.0174464710544</v>
      </c>
      <c r="BA187" s="5">
        <f t="shared" si="74"/>
        <v>-1784.2981760507532</v>
      </c>
      <c r="BB187" s="5">
        <f t="shared" si="75"/>
        <v>7962.0558314709242</v>
      </c>
      <c r="BC187" s="5">
        <f t="shared" si="76"/>
        <v>-12158.686243456907</v>
      </c>
      <c r="BD187" s="5">
        <f t="shared" si="77"/>
        <v>6705.1326593054891</v>
      </c>
      <c r="BE187" s="16">
        <f>INDEX('Team forecast'!$B$2:$AO$26,MATCH('Master data'!$B187,'Team forecast'!$B$2:$B$26,0),MATCH('Master data'!BE$1,'Team forecast'!$B$2:$AO$2,0))</f>
        <v>1.3677883945550393</v>
      </c>
      <c r="BF187" s="16">
        <f>INDEX('Team forecast'!$B$2:$AO$26,MATCH('Master data'!$B187,'Team forecast'!$B$2:$B$26,0),MATCH('Master data'!BF$1,'Team forecast'!$B$2:$AO$2,0))</f>
        <v>1.2246875509143662</v>
      </c>
      <c r="BG187" s="16">
        <f>INDEX('Team forecast'!$B$2:$AO$26,MATCH('Master data'!$B187,'Team forecast'!$B$2:$B$26,0),MATCH('Master data'!BG$1,'Team forecast'!$B$2:$AO$2,0))</f>
        <v>0.29384949898885449</v>
      </c>
      <c r="BH187" s="16">
        <f>INDEX('Team forecast'!$B$2:$AO$26,MATCH('Master data'!$B187,'Team forecast'!$B$2:$B$26,0),MATCH('Master data'!BH$1,'Team forecast'!$B$2:$AO$2,0))</f>
        <v>3.8240281171714834</v>
      </c>
      <c r="BI187" s="16">
        <f>INDEX('Team forecast'!$B$2:$AO$26,MATCH('Master data'!$B187,'Team forecast'!$B$2:$B$26,0),MATCH('Master data'!BI$1,'Team forecast'!$B$2:$AO$2,0))</f>
        <v>3.3099663538226114</v>
      </c>
      <c r="BJ187" s="5">
        <f t="shared" si="78"/>
        <v>7000</v>
      </c>
      <c r="BK187" s="5">
        <f>INDEX('Team forecast'!$R$3:$BH$26,MATCH($B187,'Team forecast'!$B$3:$B$26,0),MATCH(BK$1,'Team forecast'!$R$2:$BH$2,0))*IF($X187&gt;0,25000,0)</f>
        <v>9745.0088950385434</v>
      </c>
      <c r="BL187" s="5">
        <f>INDEX('Team forecast'!$R$3:$BH$26,MATCH($B187,'Team forecast'!$B$3:$B$26,0),MATCH(BL$1,'Team forecast'!$R$2:$BH$2,0))*IF($X187&gt;0,5000,0)</f>
        <v>1404.4277525202608</v>
      </c>
      <c r="BM187" s="5">
        <f>INDEX('Team forecast'!$R$3:$BH$26,MATCH($B187,'Team forecast'!$B$3:$B$26,0),MATCH(BM$1,'Team forecast'!$R$2:$BH$2,0))*IF($X187&gt;0,-15000,0)</f>
        <v>-4939.7114054160902</v>
      </c>
      <c r="BN187" s="5">
        <f t="shared" si="79"/>
        <v>14937.32331744359</v>
      </c>
      <c r="BO187" s="5">
        <f t="shared" si="80"/>
        <v>5292.1675132552546</v>
      </c>
      <c r="BP187" s="5">
        <f t="shared" si="81"/>
        <v>2932.8445456453092</v>
      </c>
      <c r="BQ187" s="5">
        <f t="shared" si="82"/>
        <v>0</v>
      </c>
      <c r="BR187" s="5">
        <f t="shared" si="83"/>
        <v>0</v>
      </c>
      <c r="BS187" s="5">
        <f t="shared" si="84"/>
        <v>-5098.0174464710544</v>
      </c>
      <c r="BT187" s="5">
        <f t="shared" si="85"/>
        <v>-1784.2981760507532</v>
      </c>
      <c r="BU187" s="5">
        <f t="shared" si="86"/>
        <v>13677.883945550393</v>
      </c>
      <c r="BV187" s="5">
        <f t="shared" si="87"/>
        <v>-9797.5004073149303</v>
      </c>
      <c r="BW187" s="5">
        <f t="shared" si="88"/>
        <v>33370.128534200521</v>
      </c>
      <c r="BX187" s="5">
        <f t="shared" si="89"/>
        <v>24337.67724835117</v>
      </c>
      <c r="BY187" s="5">
        <f t="shared" si="90"/>
        <v>73013.031745053508</v>
      </c>
      <c r="BZ187" s="5">
        <f>INDEX('Team forecast'!$R$3:$BH$26,MATCH($B187,'Team forecast'!$B$3:$B$26,0),MATCH(BZ$1,'Team forecast'!$R$2:$BH$2,0))*($BX187-(BY187+CH187)*0.01)</f>
        <v>-7273.389641036405</v>
      </c>
      <c r="CA187" s="5">
        <f>INDEX('Team forecast'!$R$3:$BH$26,MATCH($B187,'Team forecast'!$B$3:$B$26,0),MATCH(CA$1,'Team forecast'!$R$2:$BH$2,0))*($BX187-(BY187+BX187+CH187)*0.01)</f>
        <v>-3662.1211122258937</v>
      </c>
      <c r="CB187" s="5">
        <f>INDEX('Team forecast'!$R$3:$BH$26,MATCH($B187,'Team forecast'!$B$3:$B$26,0),MATCH(CB$1,'Team forecast'!$R$2:$BH$2,0))*($BX187-(BY187+BX187*2+CH187)*0.01)</f>
        <v>-1819.1404485975534</v>
      </c>
      <c r="CC187" s="5">
        <f>INDEX('Team forecast'!$R$3:$BH$26,MATCH($B187,'Team forecast'!$B$3:$B$26,0),MATCH(CC$1,'Team forecast'!$R$2:$BH$2,0))*($BX187-(BY187+BX187*3+CH187)*0.01)</f>
        <v>-862.12258591920056</v>
      </c>
      <c r="CD187" s="5">
        <f>+AK187+BD187*Cockpit!$C$3+BW187*Cockpit!$C$3^2+BZ187*Cockpit!$C$3^3+CA187*Cockpit!$C$3^4+CB187*Cockpit!$C$3^5+CC187*Cockpit!$C$3^6</f>
        <v>49045.322247452656</v>
      </c>
      <c r="CE187" s="5"/>
      <c r="CF187" s="5"/>
      <c r="CG187" s="5">
        <v>0</v>
      </c>
      <c r="CH187" s="5">
        <f t="shared" si="49"/>
        <v>3500000</v>
      </c>
      <c r="CI187" s="5">
        <f t="shared" si="50"/>
        <v>3500000</v>
      </c>
      <c r="CJ187" s="1">
        <f t="shared" si="51"/>
        <v>2.086086621287243E-2</v>
      </c>
      <c r="CK187" s="5">
        <f>RANK(BY187,$BY$2:$BY$623)+COUNTIF($BY$2:$BY187,$BY187)-1</f>
        <v>236</v>
      </c>
      <c r="CL187" s="5">
        <f>RANK(CJ187,$CJ$2:$CJ$623)+COUNTIF($CJ$2:$CJ187,$CJ187)-1</f>
        <v>253</v>
      </c>
    </row>
    <row r="188" spans="1:90">
      <c r="A188" t="str">
        <f>Players!P189</f>
        <v>Breel Embolo</v>
      </c>
      <c r="B188" t="str">
        <f>Players!G189</f>
        <v>Switzerland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1.162032718107336</v>
      </c>
      <c r="I188" s="16">
        <f>INDEX('Team forecast'!$B$2:$AO$26,MATCH('Master data'!$B188,'Team forecast'!$B$2:$B$26,0),MATCH('Master data'!I$1,'Team forecast'!$B$2:$AO$2,0))</f>
        <v>0.87435064565555498</v>
      </c>
      <c r="J188" s="16">
        <f>INDEX('Team forecast'!$B$2:$AO$26,MATCH('Master data'!$B188,'Team forecast'!$B$2:$B$26,0),MATCH('Master data'!J$1,'Team forecast'!$B$2:$AO$2,0))</f>
        <v>0.41713279874828868</v>
      </c>
      <c r="K188" s="16">
        <f>INDEX('Team forecast'!$B$2:$AO$26,MATCH('Master data'!$B188,'Team forecast'!$B$2:$B$26,0),MATCH('Master data'!K$1,'Team forecast'!$B$2:$AO$2,0))</f>
        <v>3.2487816133000873</v>
      </c>
      <c r="L188" s="16">
        <f>INDEX('Team forecast'!$B$2:$AO$26,MATCH('Master data'!$B188,'Team forecast'!$B$2:$B$26,0),MATCH('Master data'!L$1,'Team forecast'!$B$2:$AO$2,0))</f>
        <v>2.3631098531231216</v>
      </c>
      <c r="M188">
        <f>IF(Players!BC189=1,95,0)</f>
        <v>95</v>
      </c>
      <c r="N188" s="2">
        <f>Players!BN189</f>
        <v>0.28166061091315525</v>
      </c>
      <c r="O188" s="2">
        <f>Players!BO189</f>
        <v>0.14911534205670712</v>
      </c>
      <c r="P188" s="2">
        <f>Players!BP189</f>
        <v>0.32408613127405711</v>
      </c>
      <c r="Q188" s="2">
        <f>Players!BQ189</f>
        <v>0.2154355400696864</v>
      </c>
      <c r="R188" s="2">
        <f>Players!BR189</f>
        <v>0</v>
      </c>
      <c r="S188" s="2">
        <f t="shared" si="52"/>
        <v>1.162032718107336</v>
      </c>
      <c r="T188" s="2">
        <f t="shared" si="53"/>
        <v>0.87435064565555498</v>
      </c>
      <c r="U188" s="16">
        <f>INDEX('Team forecast'!$B$2:$AO$26,MATCH('Master data'!$B188,'Team forecast'!$B$2:$B$26,0),MATCH('Master data'!U$1,'Team forecast'!$B$2:$AO$2,0))</f>
        <v>0.43653432427146488</v>
      </c>
      <c r="V188" s="16">
        <f>INDEX('Team forecast'!$B$2:$AO$26,MATCH('Master data'!$B188,'Team forecast'!$B$2:$B$26,0),MATCH('Master data'!V$1,'Team forecast'!$B$2:$AO$2,0))</f>
        <v>0.30275767651085472</v>
      </c>
      <c r="W188" s="16">
        <f>INDEX('Team forecast'!$B$2:$AO$26,MATCH('Master data'!$B188,'Team forecast'!$B$2:$B$26,0),MATCH('Master data'!W$1,'Team forecast'!$B$2:$AO$2,0))</f>
        <v>0.2607079992176804</v>
      </c>
      <c r="X188" s="5">
        <f t="shared" si="54"/>
        <v>7000</v>
      </c>
      <c r="Y188" s="5">
        <f t="shared" si="55"/>
        <v>10913.358106786622</v>
      </c>
      <c r="Z188" s="5">
        <f t="shared" si="56"/>
        <v>1513.7883825542735</v>
      </c>
      <c r="AA188" s="5">
        <f t="shared" si="57"/>
        <v>-3910.6199882652058</v>
      </c>
      <c r="AB188" s="5">
        <f t="shared" si="58"/>
        <v>32729.884528318657</v>
      </c>
      <c r="AC188" s="5">
        <f t="shared" si="59"/>
        <v>8663.8453120830272</v>
      </c>
      <c r="AD188" s="5">
        <f t="shared" si="60"/>
        <v>10528.850644087152</v>
      </c>
      <c r="AE188" s="5">
        <f t="shared" si="61"/>
        <v>0</v>
      </c>
      <c r="AF188" s="5">
        <f t="shared" si="62"/>
        <v>0</v>
      </c>
      <c r="AG188" s="5">
        <f t="shared" si="63"/>
        <v>-4308.7108013937277</v>
      </c>
      <c r="AH188" s="5">
        <f t="shared" si="64"/>
        <v>0</v>
      </c>
      <c r="AI188" s="5">
        <f t="shared" si="65"/>
        <v>11620.32718107336</v>
      </c>
      <c r="AJ188" s="5">
        <f t="shared" si="66"/>
        <v>-6994.8051652444401</v>
      </c>
      <c r="AK188" s="5">
        <f>IFERROR(SUM(X188:AJ188),-5000)*((Cockpit!$C$3)^0)</f>
        <v>67755.918199999724</v>
      </c>
      <c r="AL188" s="16">
        <f>INDEX('Team forecast'!$B$2:$AO$26,MATCH('Master data'!$B188,'Team forecast'!$B$2:$B$26,0),MATCH('Master data'!AL$1,'Team forecast'!$B$2:$AO$2,0))</f>
        <v>0.79620558314709244</v>
      </c>
      <c r="AM188" s="16">
        <f>INDEX('Team forecast'!$B$2:$AO$26,MATCH('Master data'!$B188,'Team forecast'!$B$2:$B$26,0),MATCH('Master data'!AM$1,'Team forecast'!$B$2:$AO$2,0))</f>
        <v>1.5198357804321134</v>
      </c>
      <c r="AN188" s="16">
        <f>INDEX('Team forecast'!$B$2:$AO$26,MATCH('Master data'!$B188,'Team forecast'!$B$2:$B$26,0),MATCH('Master data'!AN$1,'Team forecast'!$B$2:$AO$2,0))</f>
        <v>0.21874780667306151</v>
      </c>
      <c r="AO188" s="16">
        <f>INDEX('Team forecast'!$B$2:$AO$26,MATCH('Master data'!$B188,'Team forecast'!$B$2:$B$26,0),MATCH('Master data'!AO$1,'Team forecast'!$B$2:$AO$2,0))</f>
        <v>2.2260113838689839</v>
      </c>
      <c r="AP188" s="16">
        <f>INDEX('Team forecast'!$B$2:$AO$26,MATCH('Master data'!$B188,'Team forecast'!$B$2:$B$26,0),MATCH('Master data'!AP$1,'Team forecast'!$B$2:$AO$2,0))</f>
        <v>4.1076642714381446</v>
      </c>
      <c r="AQ188" s="5">
        <f t="shared" si="67"/>
        <v>7000</v>
      </c>
      <c r="AR188" s="5">
        <f>INDEX('Team forecast'!$B$2:$AO$26,MATCH('Master data'!$B188,'Team forecast'!$B$2:$B$26,0),MATCH('Master data'!AR$1,'Team forecast'!$B$2:$AO$2,0))*IF(X188&gt;0,25000,0)</f>
        <v>4305.3545586107102</v>
      </c>
      <c r="AS188" s="16">
        <f>INDEX('Team forecast'!$B$2:$AO$26,MATCH('Master data'!$B188,'Team forecast'!$B$2:$B$26,0),MATCH('Master data'!AS$1,'Team forecast'!$B$2:$AO$2,0))*IF(X188&gt;0,5000,0)</f>
        <v>1353.111432706223</v>
      </c>
      <c r="AT188" s="16">
        <f>INDEX('Team forecast'!$B$2:$AO$26,MATCH('Master data'!$B188,'Team forecast'!$B$2:$B$26,0),MATCH('Master data'!AT$1,'Team forecast'!$B$2:$AO$2,0))*IF(X188&gt;0,-15000,0)</f>
        <v>-8357.4529667149072</v>
      </c>
      <c r="AU188" s="5">
        <f t="shared" si="68"/>
        <v>22425.975096167509</v>
      </c>
      <c r="AV188" s="5">
        <f t="shared" si="69"/>
        <v>5936.3233939219326</v>
      </c>
      <c r="AW188" s="5">
        <f t="shared" si="70"/>
        <v>7214.1941757010909</v>
      </c>
      <c r="AX188" s="5">
        <f t="shared" si="71"/>
        <v>0</v>
      </c>
      <c r="AY188" s="5">
        <f t="shared" si="72"/>
        <v>0</v>
      </c>
      <c r="AZ188" s="5">
        <f t="shared" si="73"/>
        <v>-4308.7108013937277</v>
      </c>
      <c r="BA188" s="5">
        <f t="shared" si="74"/>
        <v>0</v>
      </c>
      <c r="BB188" s="5">
        <f t="shared" si="75"/>
        <v>7962.0558314709242</v>
      </c>
      <c r="BC188" s="5">
        <f t="shared" si="76"/>
        <v>-12158.686243456907</v>
      </c>
      <c r="BD188" s="5">
        <f t="shared" si="77"/>
        <v>31372.164477012855</v>
      </c>
      <c r="BE188" s="16">
        <f>INDEX('Team forecast'!$B$2:$AO$26,MATCH('Master data'!$B188,'Team forecast'!$B$2:$B$26,0),MATCH('Master data'!BE$1,'Team forecast'!$B$2:$AO$2,0))</f>
        <v>1.3677883945550393</v>
      </c>
      <c r="BF188" s="16">
        <f>INDEX('Team forecast'!$B$2:$AO$26,MATCH('Master data'!$B188,'Team forecast'!$B$2:$B$26,0),MATCH('Master data'!BF$1,'Team forecast'!$B$2:$AO$2,0))</f>
        <v>1.2246875509143662</v>
      </c>
      <c r="BG188" s="16">
        <f>INDEX('Team forecast'!$B$2:$AO$26,MATCH('Master data'!$B188,'Team forecast'!$B$2:$B$26,0),MATCH('Master data'!BG$1,'Team forecast'!$B$2:$AO$2,0))</f>
        <v>0.29384949898885449</v>
      </c>
      <c r="BH188" s="16">
        <f>INDEX('Team forecast'!$B$2:$AO$26,MATCH('Master data'!$B188,'Team forecast'!$B$2:$B$26,0),MATCH('Master data'!BH$1,'Team forecast'!$B$2:$AO$2,0))</f>
        <v>3.8240281171714834</v>
      </c>
      <c r="BI188" s="16">
        <f>INDEX('Team forecast'!$B$2:$AO$26,MATCH('Master data'!$B188,'Team forecast'!$B$2:$B$26,0),MATCH('Master data'!BI$1,'Team forecast'!$B$2:$AO$2,0))</f>
        <v>3.3099663538226114</v>
      </c>
      <c r="BJ188" s="5">
        <f t="shared" si="78"/>
        <v>7000</v>
      </c>
      <c r="BK188" s="5">
        <f>INDEX('Team forecast'!$R$3:$BH$26,MATCH($B188,'Team forecast'!$B$3:$B$26,0),MATCH(BK$1,'Team forecast'!$R$2:$BH$2,0))*IF($X188&gt;0,25000,0)</f>
        <v>9745.0088950385434</v>
      </c>
      <c r="BL188" s="5">
        <f>INDEX('Team forecast'!$R$3:$BH$26,MATCH($B188,'Team forecast'!$B$3:$B$26,0),MATCH(BL$1,'Team forecast'!$R$2:$BH$2,0))*IF($X188&gt;0,5000,0)</f>
        <v>1404.4277525202608</v>
      </c>
      <c r="BM188" s="5">
        <f>INDEX('Team forecast'!$R$3:$BH$26,MATCH($B188,'Team forecast'!$B$3:$B$26,0),MATCH(BM$1,'Team forecast'!$R$2:$BH$2,0))*IF($X188&gt;0,-15000,0)</f>
        <v>-4939.7114054160902</v>
      </c>
      <c r="BN188" s="5">
        <f t="shared" si="79"/>
        <v>38525.211481029619</v>
      </c>
      <c r="BO188" s="5">
        <f t="shared" si="80"/>
        <v>10197.911715763448</v>
      </c>
      <c r="BP188" s="5">
        <f t="shared" si="81"/>
        <v>12393.144783773228</v>
      </c>
      <c r="BQ188" s="5">
        <f t="shared" si="82"/>
        <v>0</v>
      </c>
      <c r="BR188" s="5">
        <f t="shared" si="83"/>
        <v>0</v>
      </c>
      <c r="BS188" s="5">
        <f t="shared" si="84"/>
        <v>-4308.7108013937277</v>
      </c>
      <c r="BT188" s="5">
        <f t="shared" si="85"/>
        <v>0</v>
      </c>
      <c r="BU188" s="5">
        <f t="shared" si="86"/>
        <v>13677.883945550393</v>
      </c>
      <c r="BV188" s="5">
        <f t="shared" si="87"/>
        <v>-9797.5004073149303</v>
      </c>
      <c r="BW188" s="5">
        <f t="shared" si="88"/>
        <v>73897.665959550737</v>
      </c>
      <c r="BX188" s="5">
        <f t="shared" si="89"/>
        <v>57675.249545521103</v>
      </c>
      <c r="BY188" s="5">
        <f t="shared" si="90"/>
        <v>173025.74863656331</v>
      </c>
      <c r="BZ188" s="5">
        <f>INDEX('Team forecast'!$R$3:$BH$26,MATCH($B188,'Team forecast'!$B$3:$B$26,0),MATCH(BZ$1,'Team forecast'!$R$2:$BH$2,0))*($BX188-(BY188+CH188)*0.01)</f>
        <v>10179.909398445079</v>
      </c>
      <c r="CA188" s="5">
        <f>INDEX('Team forecast'!$R$3:$BH$26,MATCH($B188,'Team forecast'!$B$3:$B$26,0),MATCH(CA$1,'Team forecast'!$R$2:$BH$2,0))*($BX188-(BY188+BX188+CH188)*0.01)</f>
        <v>4836.8148494955876</v>
      </c>
      <c r="CB188" s="5">
        <f>INDEX('Team forecast'!$R$3:$BH$26,MATCH($B188,'Team forecast'!$B$3:$B$26,0),MATCH(CB$1,'Team forecast'!$R$2:$BH$2,0))*($BX188-(BY188+BX188*2+CH188)*0.01)</f>
        <v>2265.1169640310982</v>
      </c>
      <c r="CC188" s="5">
        <f>INDEX('Team forecast'!$R$3:$BH$26,MATCH($B188,'Team forecast'!$B$3:$B$26,0),MATCH(CC$1,'Team forecast'!$R$2:$BH$2,0))*($BX188-(BY188+BX188*3+CH188)*0.01)</f>
        <v>1010.9102439044036</v>
      </c>
      <c r="CD188" s="5">
        <f>+AK188+BD188*Cockpit!$C$3+BW188*Cockpit!$C$3^2+BZ188*Cockpit!$C$3^3+CA188*Cockpit!$C$3^4+CB188*Cockpit!$C$3^5+CC188*Cockpit!$C$3^6</f>
        <v>125872.8276091507</v>
      </c>
      <c r="CE188" s="5"/>
      <c r="CF188" s="5"/>
      <c r="CG188" s="5">
        <v>0</v>
      </c>
      <c r="CH188" s="5">
        <f t="shared" si="49"/>
        <v>4000000</v>
      </c>
      <c r="CI188" s="5">
        <f t="shared" si="50"/>
        <v>4000000</v>
      </c>
      <c r="CJ188" s="1">
        <f t="shared" si="51"/>
        <v>4.3256437159140827E-2</v>
      </c>
      <c r="CK188" s="5">
        <f>RANK(BY188,$BY$2:$BY$623)+COUNTIF($BY$2:$BY188,$BY188)-1</f>
        <v>73</v>
      </c>
      <c r="CL188" s="5">
        <f>RANK(CJ188,$CJ$2:$CJ$623)+COUNTIF($CJ$2:$CJ188,$CJ188)-1</f>
        <v>61</v>
      </c>
    </row>
    <row r="189" spans="1:90">
      <c r="A189" t="str">
        <f>Players!P190</f>
        <v>Sasa  Kalajdzic</v>
      </c>
      <c r="B189" t="str">
        <f>Players!G190</f>
        <v>Austria</v>
      </c>
      <c r="C189" t="str">
        <f>Players!AB190</f>
        <v>Striker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1.5562991347612565</v>
      </c>
      <c r="I189" s="16">
        <f>INDEX('Team forecast'!$B$2:$AO$26,MATCH('Master data'!$B189,'Team forecast'!$B$2:$B$26,0),MATCH('Master data'!I$1,'Team forecast'!$B$2:$AO$2,0))</f>
        <v>0.65653770483831209</v>
      </c>
      <c r="J189" s="16">
        <f>INDEX('Team forecast'!$B$2:$AO$26,MATCH('Master data'!$B189,'Team forecast'!$B$2:$B$26,0),MATCH('Master data'!J$1,'Team forecast'!$B$2:$AO$2,0))</f>
        <v>0.51864392781930047</v>
      </c>
      <c r="K189" s="16">
        <f>INDEX('Team forecast'!$B$2:$AO$26,MATCH('Master data'!$B189,'Team forecast'!$B$2:$B$26,0),MATCH('Master data'!K$1,'Team forecast'!$B$2:$AO$2,0))</f>
        <v>4.6996138345751106</v>
      </c>
      <c r="L189" s="16">
        <f>INDEX('Team forecast'!$B$2:$AO$26,MATCH('Master data'!$B189,'Team forecast'!$B$2:$B$26,0),MATCH('Master data'!L$1,'Team forecast'!$B$2:$AO$2,0))</f>
        <v>1.9825710955314819</v>
      </c>
      <c r="M189">
        <f>IF(Players!BC190=1,95,0)</f>
        <v>95</v>
      </c>
      <c r="N189" s="2">
        <f>Players!BN190</f>
        <v>0.30550384561310867</v>
      </c>
      <c r="O189" s="2">
        <f>Players!BO190</f>
        <v>0.2407906372207618</v>
      </c>
      <c r="P189" s="2">
        <f>Players!BP190</f>
        <v>0.30978829078447812</v>
      </c>
      <c r="Q189" s="2">
        <f>Players!BQ190</f>
        <v>2.1037868162692847E-2</v>
      </c>
      <c r="R189" s="2">
        <f>Players!BR190</f>
        <v>0</v>
      </c>
      <c r="S189" s="2">
        <f t="shared" si="52"/>
        <v>1.5562991347612565</v>
      </c>
      <c r="T189" s="2">
        <f t="shared" si="53"/>
        <v>0.65653770483831209</v>
      </c>
      <c r="U189" s="16">
        <f>INDEX('Team forecast'!$B$2:$AO$26,MATCH('Master data'!$B189,'Team forecast'!$B$2:$B$26,0),MATCH('Master data'!U$1,'Team forecast'!$B$2:$AO$2,0))</f>
        <v>0.60453400503778332</v>
      </c>
      <c r="V189" s="16">
        <f>INDEX('Team forecast'!$B$2:$AO$26,MATCH('Master data'!$B189,'Team forecast'!$B$2:$B$26,0),MATCH('Master data'!V$1,'Team forecast'!$B$2:$AO$2,0))</f>
        <v>0.23727959697733</v>
      </c>
      <c r="W189" s="16">
        <f>INDEX('Team forecast'!$B$2:$AO$26,MATCH('Master data'!$B189,'Team forecast'!$B$2:$B$26,0),MATCH('Master data'!W$1,'Team forecast'!$B$2:$AO$2,0))</f>
        <v>0.15818639798488671</v>
      </c>
      <c r="X189" s="5">
        <f t="shared" si="54"/>
        <v>7000</v>
      </c>
      <c r="Y189" s="5">
        <f t="shared" si="55"/>
        <v>15113.350125944582</v>
      </c>
      <c r="Z189" s="5">
        <f t="shared" si="56"/>
        <v>1186.39798488665</v>
      </c>
      <c r="AA189" s="5">
        <f t="shared" si="57"/>
        <v>-2372.7959697733004</v>
      </c>
      <c r="AB189" s="5">
        <f t="shared" si="58"/>
        <v>47545.537059391754</v>
      </c>
      <c r="AC189" s="5">
        <f t="shared" si="59"/>
        <v>18737.113018264157</v>
      </c>
      <c r="AD189" s="5">
        <f t="shared" si="60"/>
        <v>14558.853371601106</v>
      </c>
      <c r="AE189" s="5">
        <f t="shared" si="61"/>
        <v>0</v>
      </c>
      <c r="AF189" s="5">
        <f t="shared" si="62"/>
        <v>0</v>
      </c>
      <c r="AG189" s="5">
        <f t="shared" si="63"/>
        <v>-420.75736325385691</v>
      </c>
      <c r="AH189" s="5">
        <f t="shared" si="64"/>
        <v>0</v>
      </c>
      <c r="AI189" s="5">
        <f t="shared" si="65"/>
        <v>15562.991347612564</v>
      </c>
      <c r="AJ189" s="5">
        <f t="shared" si="66"/>
        <v>-5252.3016387064963</v>
      </c>
      <c r="AK189" s="5">
        <f>IFERROR(SUM(X189:AJ189),-5000)*((Cockpit!$C$3)^0)</f>
        <v>111658.38793596716</v>
      </c>
      <c r="AL189" s="16">
        <f>INDEX('Team forecast'!$B$2:$AO$26,MATCH('Master data'!$B189,'Team forecast'!$B$2:$B$26,0),MATCH('Master data'!AL$1,'Team forecast'!$B$2:$AO$2,0))</f>
        <v>0.7977891123063281</v>
      </c>
      <c r="AM189" s="16">
        <f>INDEX('Team forecast'!$B$2:$AO$26,MATCH('Master data'!$B189,'Team forecast'!$B$2:$B$26,0),MATCH('Master data'!AM$1,'Team forecast'!$B$2:$AO$2,0))</f>
        <v>1.8476112368050062</v>
      </c>
      <c r="AN189" s="16">
        <f>INDEX('Team forecast'!$B$2:$AO$26,MATCH('Master data'!$B189,'Team forecast'!$B$2:$B$26,0),MATCH('Master data'!AN$1,'Team forecast'!$B$2:$AO$2,0))</f>
        <v>0.15761321763936759</v>
      </c>
      <c r="AO189" s="16">
        <f>INDEX('Team forecast'!$B$2:$AO$26,MATCH('Master data'!$B189,'Team forecast'!$B$2:$B$26,0),MATCH('Master data'!AO$1,'Team forecast'!$B$2:$AO$2,0))</f>
        <v>2.4091131746618726</v>
      </c>
      <c r="AP189" s="16">
        <f>INDEX('Team forecast'!$B$2:$AO$26,MATCH('Master data'!$B189,'Team forecast'!$B$2:$B$26,0),MATCH('Master data'!AP$1,'Team forecast'!$B$2:$AO$2,0))</f>
        <v>5.5792997216677493</v>
      </c>
      <c r="AQ189" s="5">
        <f t="shared" si="67"/>
        <v>7000</v>
      </c>
      <c r="AR189" s="5">
        <f>INDEX('Team forecast'!$B$2:$AO$26,MATCH('Master data'!$B189,'Team forecast'!$B$2:$B$26,0),MATCH('Master data'!AR$1,'Team forecast'!$B$2:$AO$2,0))*IF(X189&gt;0,25000,0)</f>
        <v>3637.2280993700224</v>
      </c>
      <c r="AS189" s="16">
        <f>INDEX('Team forecast'!$B$2:$AO$26,MATCH('Master data'!$B189,'Team forecast'!$B$2:$B$26,0),MATCH('Master data'!AS$1,'Team forecast'!$B$2:$AO$2,0))*IF(X189&gt;0,5000,0)</f>
        <v>1182.0991322952575</v>
      </c>
      <c r="AT189" s="16">
        <f>INDEX('Team forecast'!$B$2:$AO$26,MATCH('Master data'!$B189,'Team forecast'!$B$2:$B$26,0),MATCH('Master data'!AT$1,'Team forecast'!$B$2:$AO$2,0))*IF(X189&gt;0,-15000,0)</f>
        <v>-9271.3657434922134</v>
      </c>
      <c r="AU189" s="5">
        <f t="shared" si="68"/>
        <v>24372.764179785147</v>
      </c>
      <c r="AV189" s="5">
        <f t="shared" si="69"/>
        <v>9605.0074360013314</v>
      </c>
      <c r="AW189" s="5">
        <f t="shared" si="70"/>
        <v>7463.1505268486944</v>
      </c>
      <c r="AX189" s="5">
        <f t="shared" si="71"/>
        <v>0</v>
      </c>
      <c r="AY189" s="5">
        <f t="shared" si="72"/>
        <v>0</v>
      </c>
      <c r="AZ189" s="5">
        <f t="shared" si="73"/>
        <v>-420.75736325385691</v>
      </c>
      <c r="BA189" s="5">
        <f t="shared" si="74"/>
        <v>0</v>
      </c>
      <c r="BB189" s="5">
        <f t="shared" si="75"/>
        <v>7977.8911230632812</v>
      </c>
      <c r="BC189" s="5">
        <f t="shared" si="76"/>
        <v>-14780.88989444005</v>
      </c>
      <c r="BD189" s="5">
        <f t="shared" si="77"/>
        <v>36765.127496177614</v>
      </c>
      <c r="BE189" s="16">
        <f>INDEX('Team forecast'!$B$2:$AO$26,MATCH('Master data'!$B189,'Team forecast'!$B$2:$B$26,0),MATCH('Master data'!BE$1,'Team forecast'!$B$2:$AO$2,0))</f>
        <v>1.1461513485277883</v>
      </c>
      <c r="BF189" s="16">
        <f>INDEX('Team forecast'!$B$2:$AO$26,MATCH('Master data'!$B189,'Team forecast'!$B$2:$B$26,0),MATCH('Master data'!BF$1,'Team forecast'!$B$2:$AO$2,0))</f>
        <v>1.1461513485277883</v>
      </c>
      <c r="BG189" s="16">
        <f>INDEX('Team forecast'!$B$2:$AO$26,MATCH('Master data'!$B189,'Team forecast'!$B$2:$B$26,0),MATCH('Master data'!BG$1,'Team forecast'!$B$2:$AO$2,0))</f>
        <v>0.31785774198959899</v>
      </c>
      <c r="BH189" s="16">
        <f>INDEX('Team forecast'!$B$2:$AO$26,MATCH('Master data'!$B189,'Team forecast'!$B$2:$B$26,0),MATCH('Master data'!BH$1,'Team forecast'!$B$2:$AO$2,0))</f>
        <v>3.4610754537779926</v>
      </c>
      <c r="BI189" s="16">
        <f>INDEX('Team forecast'!$B$2:$AO$26,MATCH('Master data'!$B189,'Team forecast'!$B$2:$B$26,0),MATCH('Master data'!BI$1,'Team forecast'!$B$2:$AO$2,0))</f>
        <v>3.4610754537779926</v>
      </c>
      <c r="BJ189" s="5">
        <f t="shared" si="78"/>
        <v>7000</v>
      </c>
      <c r="BK189" s="5">
        <f>INDEX('Team forecast'!$R$3:$BH$26,MATCH($B189,'Team forecast'!$B$3:$B$26,0),MATCH(BK$1,'Team forecast'!$R$2:$BH$2,0))*IF($X189&gt;0,25000,0)</f>
        <v>8995.9738298943139</v>
      </c>
      <c r="BL189" s="5">
        <f>INDEX('Team forecast'!$R$3:$BH$26,MATCH($B189,'Team forecast'!$B$3:$B$26,0),MATCH(BL$1,'Team forecast'!$R$2:$BH$2,0))*IF($X189&gt;0,5000,0)</f>
        <v>1467.0357322596881</v>
      </c>
      <c r="BM189" s="5">
        <f>INDEX('Team forecast'!$R$3:$BH$26,MATCH($B189,'Team forecast'!$B$3:$B$26,0),MATCH(BM$1,'Team forecast'!$R$2:$BH$2,0))*IF($X189&gt;0,-15000,0)</f>
        <v>-5201.3085052843489</v>
      </c>
      <c r="BN189" s="5">
        <f t="shared" si="79"/>
        <v>35015.364462988975</v>
      </c>
      <c r="BO189" s="5">
        <f t="shared" si="80"/>
        <v>13799.125678172079</v>
      </c>
      <c r="BP189" s="5">
        <f t="shared" si="81"/>
        <v>10722.006491019964</v>
      </c>
      <c r="BQ189" s="5">
        <f t="shared" si="82"/>
        <v>0</v>
      </c>
      <c r="BR189" s="5">
        <f t="shared" si="83"/>
        <v>0</v>
      </c>
      <c r="BS189" s="5">
        <f t="shared" si="84"/>
        <v>-420.75736325385691</v>
      </c>
      <c r="BT189" s="5">
        <f t="shared" si="85"/>
        <v>0</v>
      </c>
      <c r="BU189" s="5">
        <f t="shared" si="86"/>
        <v>11461.513485277883</v>
      </c>
      <c r="BV189" s="5">
        <f t="shared" si="87"/>
        <v>-9169.2107882223063</v>
      </c>
      <c r="BW189" s="5">
        <f t="shared" si="88"/>
        <v>73669.743022852403</v>
      </c>
      <c r="BX189" s="5">
        <f t="shared" si="89"/>
        <v>74031.086151665731</v>
      </c>
      <c r="BY189" s="5">
        <f t="shared" si="90"/>
        <v>222093.25845499721</v>
      </c>
      <c r="BZ189" s="5">
        <f>INDEX('Team forecast'!$R$3:$BH$26,MATCH($B189,'Team forecast'!$B$3:$B$26,0),MATCH(BZ$1,'Team forecast'!$R$2:$BH$2,0))*($BX189-(BY189+CH189)*0.01)</f>
        <v>22740.193253567231</v>
      </c>
      <c r="CA189" s="5">
        <f>INDEX('Team forecast'!$R$3:$BH$26,MATCH($B189,'Team forecast'!$B$3:$B$26,0),MATCH(CA$1,'Team forecast'!$R$2:$BH$2,0))*($BX189-(BY189+BX189+CH189)*0.01)</f>
        <v>10903.084256117734</v>
      </c>
      <c r="CB189" s="5">
        <f>INDEX('Team forecast'!$R$3:$BH$26,MATCH($B189,'Team forecast'!$B$3:$B$26,0),MATCH(CB$1,'Team forecast'!$R$2:$BH$2,0))*($BX189-(BY189+BX189*2+CH189)*0.01)</f>
        <v>5135.6926988867217</v>
      </c>
      <c r="CC189" s="5">
        <f>INDEX('Team forecast'!$R$3:$BH$26,MATCH($B189,'Team forecast'!$B$3:$B$26,0),MATCH(CC$1,'Team forecast'!$R$2:$BH$2,0))*($BX189-(BY189+BX189*3+CH189)*0.01)</f>
        <v>2271.2382768123034</v>
      </c>
      <c r="CD189" s="5">
        <f>+AK189+BD189*Cockpit!$C$3+BW189*Cockpit!$C$3^2+BZ189*Cockpit!$C$3^3+CA189*Cockpit!$C$3^4+CB189*Cockpit!$C$3^5+CC189*Cockpit!$C$3^6</f>
        <v>178677.81225284931</v>
      </c>
      <c r="CE189" s="5"/>
      <c r="CF189" s="5"/>
      <c r="CG189" s="5">
        <v>0</v>
      </c>
      <c r="CH189" s="5">
        <f t="shared" si="49"/>
        <v>4000000</v>
      </c>
      <c r="CI189" s="5">
        <f t="shared" si="50"/>
        <v>4000000</v>
      </c>
      <c r="CJ189" s="1">
        <f t="shared" si="51"/>
        <v>5.5523314613749306E-2</v>
      </c>
      <c r="CK189" s="5">
        <f>RANK(BY189,$BY$2:$BY$623)+COUNTIF($BY$2:$BY189,$BY189)-1</f>
        <v>35</v>
      </c>
      <c r="CL189" s="5">
        <f>RANK(CJ189,$CJ$2:$CJ$623)+COUNTIF($CJ$2:$CJ189,$CJ189)-1</f>
        <v>19</v>
      </c>
    </row>
    <row r="190" spans="1:90">
      <c r="A190" t="str">
        <f>Players!P191</f>
        <v>Daniel Wass</v>
      </c>
      <c r="B190" t="str">
        <f>Players!G191</f>
        <v>Denmark</v>
      </c>
      <c r="C190" t="str">
        <f>Players!AB191</f>
        <v>Midfield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1.6608440904336361</v>
      </c>
      <c r="I190" s="16">
        <f>INDEX('Team forecast'!$B$2:$AO$26,MATCH('Master data'!$B190,'Team forecast'!$B$2:$B$26,0),MATCH('Master data'!I$1,'Team forecast'!$B$2:$AO$2,0))</f>
        <v>0.59952758650922311</v>
      </c>
      <c r="J190" s="16">
        <f>INDEX('Team forecast'!$B$2:$AO$26,MATCH('Master data'!$B190,'Team forecast'!$B$2:$B$26,0),MATCH('Master data'!J$1,'Team forecast'!$B$2:$AO$2,0))</f>
        <v>0.54907096336484029</v>
      </c>
      <c r="K190" s="16">
        <f>INDEX('Team forecast'!$B$2:$AO$26,MATCH('Master data'!$B190,'Team forecast'!$B$2:$B$26,0),MATCH('Master data'!K$1,'Team forecast'!$B$2:$AO$2,0))</f>
        <v>4.1898566826848551</v>
      </c>
      <c r="L190" s="16">
        <f>INDEX('Team forecast'!$B$2:$AO$26,MATCH('Master data'!$B190,'Team forecast'!$B$2:$B$26,0),MATCH('Master data'!L$1,'Team forecast'!$B$2:$AO$2,0))</f>
        <v>1.7709122555349361</v>
      </c>
      <c r="M190">
        <f>IF(Players!BC191=1,95,0)</f>
        <v>95</v>
      </c>
      <c r="N190" s="2">
        <f>Players!BN191</f>
        <v>8.188395773564934E-2</v>
      </c>
      <c r="O190" s="2">
        <f>Players!BO191</f>
        <v>0.15215421588452341</v>
      </c>
      <c r="P190" s="2">
        <f>Players!BP191</f>
        <v>8.1459575251035823E-2</v>
      </c>
      <c r="Q190" s="2">
        <f>Players!BQ191</f>
        <v>0.12040133779264213</v>
      </c>
      <c r="R190" s="2">
        <f>Players!BR191</f>
        <v>0</v>
      </c>
      <c r="S190" s="2">
        <f t="shared" si="52"/>
        <v>1.6608440904336361</v>
      </c>
      <c r="T190" s="2">
        <f t="shared" si="53"/>
        <v>0.59952758650922311</v>
      </c>
      <c r="U190" s="16">
        <f>INDEX('Team forecast'!$B$2:$AO$26,MATCH('Master data'!$B190,'Team forecast'!$B$2:$B$26,0),MATCH('Master data'!U$1,'Team forecast'!$B$2:$AO$2,0))</f>
        <v>0.65509845973874048</v>
      </c>
      <c r="V190" s="16">
        <f>INDEX('Team forecast'!$B$2:$AO$26,MATCH('Master data'!$B190,'Team forecast'!$B$2:$B$26,0),MATCH('Master data'!V$1,'Team forecast'!$B$2:$AO$2,0))</f>
        <v>0.22616494443361279</v>
      </c>
      <c r="W190" s="16">
        <f>INDEX('Team forecast'!$B$2:$AO$26,MATCH('Master data'!$B190,'Team forecast'!$B$2:$B$26,0),MATCH('Master data'!W$1,'Team forecast'!$B$2:$AO$2,0))</f>
        <v>0.1187365958276467</v>
      </c>
      <c r="X190" s="5">
        <f t="shared" si="54"/>
        <v>7000</v>
      </c>
      <c r="Y190" s="5">
        <f t="shared" si="55"/>
        <v>16377.461493468512</v>
      </c>
      <c r="Z190" s="5">
        <f t="shared" si="56"/>
        <v>1130.824722168064</v>
      </c>
      <c r="AA190" s="5">
        <f t="shared" si="57"/>
        <v>-1781.0489374147005</v>
      </c>
      <c r="AB190" s="5">
        <f t="shared" si="58"/>
        <v>16999.560913321355</v>
      </c>
      <c r="AC190" s="5">
        <f t="shared" si="59"/>
        <v>12635.221514318719</v>
      </c>
      <c r="AD190" s="5">
        <f t="shared" si="60"/>
        <v>3413.0394573422227</v>
      </c>
      <c r="AE190" s="5">
        <f t="shared" si="61"/>
        <v>0</v>
      </c>
      <c r="AF190" s="5">
        <f t="shared" si="62"/>
        <v>0</v>
      </c>
      <c r="AG190" s="5">
        <f t="shared" si="63"/>
        <v>-2408.0267558528426</v>
      </c>
      <c r="AH190" s="5">
        <f t="shared" si="64"/>
        <v>0</v>
      </c>
      <c r="AI190" s="5">
        <f t="shared" si="65"/>
        <v>16608.440904336363</v>
      </c>
      <c r="AJ190" s="5">
        <f t="shared" si="66"/>
        <v>-4796.2206920737844</v>
      </c>
      <c r="AK190" s="5">
        <f>IFERROR(SUM(X190:AJ190),-5000)*((Cockpit!$C$3)^0)</f>
        <v>65179.252619613922</v>
      </c>
      <c r="AL190" s="16">
        <f>INDEX('Team forecast'!$B$2:$AO$26,MATCH('Master data'!$B190,'Team forecast'!$B$2:$B$26,0),MATCH('Master data'!AL$1,'Team forecast'!$B$2:$AO$2,0))</f>
        <v>1.1610121970988967</v>
      </c>
      <c r="AM190" s="16">
        <f>INDEX('Team forecast'!$B$2:$AO$26,MATCH('Master data'!$B190,'Team forecast'!$B$2:$B$26,0),MATCH('Master data'!AM$1,'Team forecast'!$B$2:$AO$2,0))</f>
        <v>1.5279674504451852</v>
      </c>
      <c r="AN190" s="16">
        <f>INDEX('Team forecast'!$B$2:$AO$26,MATCH('Master data'!$B190,'Team forecast'!$B$2:$B$26,0),MATCH('Master data'!AN$1,'Team forecast'!$B$2:$AO$2,0))</f>
        <v>0.21697623437572761</v>
      </c>
      <c r="AO190" s="16">
        <f>INDEX('Team forecast'!$B$2:$AO$26,MATCH('Master data'!$B190,'Team forecast'!$B$2:$B$26,0),MATCH('Master data'!AO$1,'Team forecast'!$B$2:$AO$2,0))</f>
        <v>2.9289171335903985</v>
      </c>
      <c r="AP190" s="16">
        <f>INDEX('Team forecast'!$B$2:$AO$26,MATCH('Master data'!$B190,'Team forecast'!$B$2:$B$26,0),MATCH('Master data'!AP$1,'Team forecast'!$B$2:$AO$2,0))</f>
        <v>4.5133807766996243</v>
      </c>
      <c r="AQ190" s="5">
        <f t="shared" si="67"/>
        <v>7000</v>
      </c>
      <c r="AR190" s="5">
        <f>INDEX('Team forecast'!$B$2:$AO$26,MATCH('Master data'!$B190,'Team forecast'!$B$2:$B$26,0),MATCH('Master data'!AR$1,'Team forecast'!$B$2:$AO$2,0))*IF(X190&gt;0,25000,0)</f>
        <v>6348.0209111277081</v>
      </c>
      <c r="AS190" s="16">
        <f>INDEX('Team forecast'!$B$2:$AO$26,MATCH('Master data'!$B190,'Team forecast'!$B$2:$B$26,0),MATCH('Master data'!AS$1,'Team forecast'!$B$2:$AO$2,0))*IF(X190&gt;0,5000,0)</f>
        <v>1381.628080657207</v>
      </c>
      <c r="AT190" s="16">
        <f>INDEX('Team forecast'!$B$2:$AO$26,MATCH('Master data'!$B190,'Team forecast'!$B$2:$B$26,0),MATCH('Master data'!AT$1,'Team forecast'!$B$2:$AO$2,0))*IF(X190&gt;0,-15000,0)</f>
        <v>-7046.3032113517547</v>
      </c>
      <c r="AU190" s="5">
        <f t="shared" si="68"/>
        <v>11883.53420972743</v>
      </c>
      <c r="AV190" s="5">
        <f t="shared" si="69"/>
        <v>8832.6450240975173</v>
      </c>
      <c r="AW190" s="5">
        <f t="shared" si="70"/>
        <v>2385.883456477552</v>
      </c>
      <c r="AX190" s="5">
        <f t="shared" si="71"/>
        <v>0</v>
      </c>
      <c r="AY190" s="5">
        <f t="shared" si="72"/>
        <v>0</v>
      </c>
      <c r="AZ190" s="5">
        <f t="shared" si="73"/>
        <v>-2408.0267558528426</v>
      </c>
      <c r="BA190" s="5">
        <f t="shared" si="74"/>
        <v>0</v>
      </c>
      <c r="BB190" s="5">
        <f t="shared" si="75"/>
        <v>11610.121970988966</v>
      </c>
      <c r="BC190" s="5">
        <f t="shared" si="76"/>
        <v>-12223.739603561482</v>
      </c>
      <c r="BD190" s="5">
        <f t="shared" si="77"/>
        <v>27763.764082310299</v>
      </c>
      <c r="BE190" s="16">
        <f>INDEX('Team forecast'!$B$2:$AO$26,MATCH('Master data'!$B190,'Team forecast'!$B$2:$B$26,0),MATCH('Master data'!BE$1,'Team forecast'!$B$2:$AO$2,0))</f>
        <v>1.5053002864585165</v>
      </c>
      <c r="BF190" s="16">
        <f>INDEX('Team forecast'!$B$2:$AO$26,MATCH('Master data'!$B190,'Team forecast'!$B$2:$B$26,0),MATCH('Master data'!BF$1,'Team forecast'!$B$2:$AO$2,0))</f>
        <v>0.95602347631827322</v>
      </c>
      <c r="BG190" s="16">
        <f>INDEX('Team forecast'!$B$2:$AO$26,MATCH('Master data'!$B190,'Team forecast'!$B$2:$B$26,0),MATCH('Master data'!BG$1,'Team forecast'!$B$2:$AO$2,0))</f>
        <v>0.38441849991338989</v>
      </c>
      <c r="BH190" s="16">
        <f>INDEX('Team forecast'!$B$2:$AO$26,MATCH('Master data'!$B190,'Team forecast'!$B$2:$B$26,0),MATCH('Master data'!BH$1,'Team forecast'!$B$2:$AO$2,0))</f>
        <v>3.7974620862930761</v>
      </c>
      <c r="BI190" s="16">
        <f>INDEX('Team forecast'!$B$2:$AO$26,MATCH('Master data'!$B190,'Team forecast'!$B$2:$B$26,0),MATCH('Master data'!BI$1,'Team forecast'!$B$2:$AO$2,0))</f>
        <v>2.8239462685093613</v>
      </c>
      <c r="BJ190" s="5">
        <f t="shared" si="78"/>
        <v>7000</v>
      </c>
      <c r="BK190" s="5">
        <f>INDEX('Team forecast'!$R$3:$BH$26,MATCH($B190,'Team forecast'!$B$3:$B$26,0),MATCH(BK$1,'Team forecast'!$R$2:$BH$2,0))*IF($X190&gt;0,25000,0)</f>
        <v>12073.445349038628</v>
      </c>
      <c r="BL190" s="5">
        <f>INDEX('Team forecast'!$R$3:$BH$26,MATCH($B190,'Team forecast'!$B$3:$B$26,0),MATCH(BL$1,'Team forecast'!$R$2:$BH$2,0))*IF($X190&gt;0,5000,0)</f>
        <v>1413.30330850511</v>
      </c>
      <c r="BM190" s="5">
        <f>INDEX('Team forecast'!$R$3:$BH$26,MATCH($B190,'Team forecast'!$B$3:$B$26,0),MATCH(BM$1,'Team forecast'!$R$2:$BH$2,0))*IF($X190&gt;0,-15000,0)</f>
        <v>-3516.0228650614931</v>
      </c>
      <c r="BN190" s="5">
        <f t="shared" si="79"/>
        <v>15407.493129478751</v>
      </c>
      <c r="BO190" s="5">
        <f t="shared" si="80"/>
        <v>11451.889237842202</v>
      </c>
      <c r="BP190" s="5">
        <f t="shared" si="81"/>
        <v>3093.3964858134632</v>
      </c>
      <c r="BQ190" s="5">
        <f t="shared" si="82"/>
        <v>0</v>
      </c>
      <c r="BR190" s="5">
        <f t="shared" si="83"/>
        <v>0</v>
      </c>
      <c r="BS190" s="5">
        <f t="shared" si="84"/>
        <v>-2408.0267558528426</v>
      </c>
      <c r="BT190" s="5">
        <f t="shared" si="85"/>
        <v>0</v>
      </c>
      <c r="BU190" s="5">
        <f t="shared" si="86"/>
        <v>15053.002864585165</v>
      </c>
      <c r="BV190" s="5">
        <f t="shared" si="87"/>
        <v>-7648.1878105461856</v>
      </c>
      <c r="BW190" s="5">
        <f t="shared" si="88"/>
        <v>51920.2929438028</v>
      </c>
      <c r="BX190" s="5">
        <f t="shared" si="89"/>
        <v>48287.769881909007</v>
      </c>
      <c r="BY190" s="5">
        <f t="shared" si="90"/>
        <v>144863.30964572701</v>
      </c>
      <c r="BZ190" s="5">
        <f>INDEX('Team forecast'!$R$3:$BH$26,MATCH($B190,'Team forecast'!$B$3:$B$26,0),MATCH(BZ$1,'Team forecast'!$R$2:$BH$2,0))*($BX190-(BY190+CH190)*0.01)</f>
        <v>5554.0272559093664</v>
      </c>
      <c r="CA190" s="5">
        <f>INDEX('Team forecast'!$R$3:$BH$26,MATCH($B190,'Team forecast'!$B$3:$B$26,0),MATCH(CA$1,'Team forecast'!$R$2:$BH$2,0))*($BX190-(BY190+BX190+CH190)*0.01)</f>
        <v>2561.8688847763469</v>
      </c>
      <c r="CB190" s="5">
        <f>INDEX('Team forecast'!$R$3:$BH$26,MATCH($B190,'Team forecast'!$B$3:$B$26,0),MATCH(CB$1,'Team forecast'!$R$2:$BH$2,0))*($BX190-(BY190+BX190*2+CH190)*0.01)</f>
        <v>1167.0355394629917</v>
      </c>
      <c r="CC190" s="5">
        <f>INDEX('Team forecast'!$R$3:$BH$26,MATCH($B190,'Team forecast'!$B$3:$B$26,0),MATCH(CC$1,'Team forecast'!$R$2:$BH$2,0))*($BX190-(BY190+BX190*3+CH190)*0.01)</f>
        <v>515.91310759771977</v>
      </c>
      <c r="CD190" s="5">
        <f>+AK190+BD190*Cockpit!$C$3+BW190*Cockpit!$C$3^2+BZ190*Cockpit!$C$3^3+CA190*Cockpit!$C$3^4+CB190*Cockpit!$C$3^5+CC190*Cockpit!$C$3^6</f>
        <v>109114.77678306226</v>
      </c>
      <c r="CE190" s="5"/>
      <c r="CF190" s="5"/>
      <c r="CG190" s="5">
        <v>0</v>
      </c>
      <c r="CH190" s="5">
        <f t="shared" si="49"/>
        <v>4000000</v>
      </c>
      <c r="CI190" s="5">
        <f t="shared" si="50"/>
        <v>4000000</v>
      </c>
      <c r="CJ190" s="1">
        <f t="shared" si="51"/>
        <v>3.6215827411431756E-2</v>
      </c>
      <c r="CK190" s="5">
        <f>RANK(BY190,$BY$2:$BY$623)+COUNTIF($BY$2:$BY190,$BY190)-1</f>
        <v>99</v>
      </c>
      <c r="CL190" s="5">
        <f>RANK(CJ190,$CJ$2:$CJ$623)+COUNTIF($CJ$2:$CJ190,$CJ190)-1</f>
        <v>96</v>
      </c>
    </row>
    <row r="191" spans="1:90">
      <c r="A191" t="str">
        <f>Players!P192</f>
        <v>Andreas  Skov Olsen</v>
      </c>
      <c r="B191" t="str">
        <f>Players!G192</f>
        <v>Denmark</v>
      </c>
      <c r="C191" t="str">
        <f>Players!AB192</f>
        <v>Striker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4000000</v>
      </c>
      <c r="H191" s="16">
        <f>INDEX('Team forecast'!$B$2:$AO$26,MATCH('Master data'!$B191,'Team forecast'!$B$2:$B$26,0),MATCH('Master data'!H$1,'Team forecast'!$B$2:$AO$2,0))</f>
        <v>1.6608440904336361</v>
      </c>
      <c r="I191" s="16">
        <f>INDEX('Team forecast'!$B$2:$AO$26,MATCH('Master data'!$B191,'Team forecast'!$B$2:$B$26,0),MATCH('Master data'!I$1,'Team forecast'!$B$2:$AO$2,0))</f>
        <v>0.59952758650922311</v>
      </c>
      <c r="J191" s="16">
        <f>INDEX('Team forecast'!$B$2:$AO$26,MATCH('Master data'!$B191,'Team forecast'!$B$2:$B$26,0),MATCH('Master data'!J$1,'Team forecast'!$B$2:$AO$2,0))</f>
        <v>0.54907096336484029</v>
      </c>
      <c r="K191" s="16">
        <f>INDEX('Team forecast'!$B$2:$AO$26,MATCH('Master data'!$B191,'Team forecast'!$B$2:$B$26,0),MATCH('Master data'!K$1,'Team forecast'!$B$2:$AO$2,0))</f>
        <v>4.1898566826848551</v>
      </c>
      <c r="L191" s="16">
        <f>INDEX('Team forecast'!$B$2:$AO$26,MATCH('Master data'!$B191,'Team forecast'!$B$2:$B$26,0),MATCH('Master data'!L$1,'Team forecast'!$B$2:$AO$2,0))</f>
        <v>1.7709122555349361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3.826530612244898E-2</v>
      </c>
      <c r="R191" s="2">
        <f>Players!BR192</f>
        <v>0</v>
      </c>
      <c r="S191" s="2">
        <f t="shared" si="52"/>
        <v>1.6608440904336361</v>
      </c>
      <c r="T191" s="2">
        <f t="shared" si="53"/>
        <v>0.59952758650922311</v>
      </c>
      <c r="U191" s="16">
        <f>INDEX('Team forecast'!$B$2:$AO$26,MATCH('Master data'!$B191,'Team forecast'!$B$2:$B$26,0),MATCH('Master data'!U$1,'Team forecast'!$B$2:$AO$2,0))</f>
        <v>0.65509845973874048</v>
      </c>
      <c r="V191" s="16">
        <f>INDEX('Team forecast'!$B$2:$AO$26,MATCH('Master data'!$B191,'Team forecast'!$B$2:$B$26,0),MATCH('Master data'!V$1,'Team forecast'!$B$2:$AO$2,0))</f>
        <v>0.22616494443361279</v>
      </c>
      <c r="W191" s="16">
        <f>INDEX('Team forecast'!$B$2:$AO$26,MATCH('Master data'!$B191,'Team forecast'!$B$2:$B$26,0),MATCH('Master data'!W$1,'Team forecast'!$B$2:$AO$2,0))</f>
        <v>0.1187365958276467</v>
      </c>
      <c r="X191" s="5">
        <f t="shared" si="54"/>
        <v>-5000</v>
      </c>
      <c r="Y191" s="5">
        <f t="shared" si="55"/>
        <v>0</v>
      </c>
      <c r="Z191" s="5">
        <f t="shared" si="56"/>
        <v>0</v>
      </c>
      <c r="AA191" s="5">
        <f t="shared" si="57"/>
        <v>0</v>
      </c>
      <c r="AB191" s="5">
        <f t="shared" si="58"/>
        <v>0</v>
      </c>
      <c r="AC191" s="5">
        <f t="shared" si="59"/>
        <v>0</v>
      </c>
      <c r="AD191" s="5">
        <f t="shared" si="60"/>
        <v>0</v>
      </c>
      <c r="AE191" s="5">
        <f t="shared" si="61"/>
        <v>0</v>
      </c>
      <c r="AF191" s="5">
        <f t="shared" si="62"/>
        <v>0</v>
      </c>
      <c r="AG191" s="5">
        <f t="shared" si="63"/>
        <v>0</v>
      </c>
      <c r="AH191" s="5">
        <f t="shared" si="64"/>
        <v>0</v>
      </c>
      <c r="AI191" s="5">
        <f t="shared" si="65"/>
        <v>0</v>
      </c>
      <c r="AJ191" s="5">
        <f t="shared" si="66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1.1610121970988967</v>
      </c>
      <c r="AM191" s="16">
        <f>INDEX('Team forecast'!$B$2:$AO$26,MATCH('Master data'!$B191,'Team forecast'!$B$2:$B$26,0),MATCH('Master data'!AM$1,'Team forecast'!$B$2:$AO$2,0))</f>
        <v>1.5279674504451852</v>
      </c>
      <c r="AN191" s="16">
        <f>INDEX('Team forecast'!$B$2:$AO$26,MATCH('Master data'!$B191,'Team forecast'!$B$2:$B$26,0),MATCH('Master data'!AN$1,'Team forecast'!$B$2:$AO$2,0))</f>
        <v>0.21697623437572761</v>
      </c>
      <c r="AO191" s="16">
        <f>INDEX('Team forecast'!$B$2:$AO$26,MATCH('Master data'!$B191,'Team forecast'!$B$2:$B$26,0),MATCH('Master data'!AO$1,'Team forecast'!$B$2:$AO$2,0))</f>
        <v>2.9289171335903985</v>
      </c>
      <c r="AP191" s="16">
        <f>INDEX('Team forecast'!$B$2:$AO$26,MATCH('Master data'!$B191,'Team forecast'!$B$2:$B$26,0),MATCH('Master data'!AP$1,'Team forecast'!$B$2:$AO$2,0))</f>
        <v>4.5133807766996243</v>
      </c>
      <c r="AQ191" s="5">
        <f t="shared" si="67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68"/>
        <v>0</v>
      </c>
      <c r="AV191" s="5">
        <f t="shared" si="69"/>
        <v>0</v>
      </c>
      <c r="AW191" s="5">
        <f t="shared" si="70"/>
        <v>0</v>
      </c>
      <c r="AX191" s="5">
        <f t="shared" si="71"/>
        <v>0</v>
      </c>
      <c r="AY191" s="5">
        <f t="shared" si="72"/>
        <v>0</v>
      </c>
      <c r="AZ191" s="5">
        <f t="shared" si="73"/>
        <v>0</v>
      </c>
      <c r="BA191" s="5">
        <f t="shared" si="74"/>
        <v>0</v>
      </c>
      <c r="BB191" s="5">
        <f t="shared" si="75"/>
        <v>0</v>
      </c>
      <c r="BC191" s="5">
        <f t="shared" si="76"/>
        <v>0</v>
      </c>
      <c r="BD191" s="5">
        <f t="shared" si="77"/>
        <v>-5000</v>
      </c>
      <c r="BE191" s="16">
        <f>INDEX('Team forecast'!$B$2:$AO$26,MATCH('Master data'!$B191,'Team forecast'!$B$2:$B$26,0),MATCH('Master data'!BE$1,'Team forecast'!$B$2:$AO$2,0))</f>
        <v>1.5053002864585165</v>
      </c>
      <c r="BF191" s="16">
        <f>INDEX('Team forecast'!$B$2:$AO$26,MATCH('Master data'!$B191,'Team forecast'!$B$2:$B$26,0),MATCH('Master data'!BF$1,'Team forecast'!$B$2:$AO$2,0))</f>
        <v>0.95602347631827322</v>
      </c>
      <c r="BG191" s="16">
        <f>INDEX('Team forecast'!$B$2:$AO$26,MATCH('Master data'!$B191,'Team forecast'!$B$2:$B$26,0),MATCH('Master data'!BG$1,'Team forecast'!$B$2:$AO$2,0))</f>
        <v>0.38441849991338989</v>
      </c>
      <c r="BH191" s="16">
        <f>INDEX('Team forecast'!$B$2:$AO$26,MATCH('Master data'!$B191,'Team forecast'!$B$2:$B$26,0),MATCH('Master data'!BH$1,'Team forecast'!$B$2:$AO$2,0))</f>
        <v>3.7974620862930761</v>
      </c>
      <c r="BI191" s="16">
        <f>INDEX('Team forecast'!$B$2:$AO$26,MATCH('Master data'!$B191,'Team forecast'!$B$2:$B$26,0),MATCH('Master data'!BI$1,'Team forecast'!$B$2:$AO$2,0))</f>
        <v>2.8239462685093613</v>
      </c>
      <c r="BJ191" s="5">
        <f t="shared" si="78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79"/>
        <v>0</v>
      </c>
      <c r="BO191" s="5">
        <f t="shared" si="80"/>
        <v>0</v>
      </c>
      <c r="BP191" s="5">
        <f t="shared" si="81"/>
        <v>0</v>
      </c>
      <c r="BQ191" s="5">
        <f t="shared" si="82"/>
        <v>0</v>
      </c>
      <c r="BR191" s="5">
        <f t="shared" si="83"/>
        <v>0</v>
      </c>
      <c r="BS191" s="5">
        <f t="shared" si="84"/>
        <v>0</v>
      </c>
      <c r="BT191" s="5">
        <f t="shared" si="85"/>
        <v>0</v>
      </c>
      <c r="BU191" s="5">
        <f t="shared" si="86"/>
        <v>0</v>
      </c>
      <c r="BV191" s="5">
        <f t="shared" si="87"/>
        <v>0</v>
      </c>
      <c r="BW191" s="5">
        <f t="shared" si="88"/>
        <v>-5000</v>
      </c>
      <c r="BX191" s="5">
        <f t="shared" si="89"/>
        <v>-5000</v>
      </c>
      <c r="BY191" s="5">
        <f t="shared" si="90"/>
        <v>-15000</v>
      </c>
      <c r="BZ191" s="5">
        <f>INDEX('Team forecast'!$R$3:$BH$26,MATCH($B191,'Team forecast'!$B$3:$B$26,0),MATCH(BZ$1,'Team forecast'!$R$2:$BH$2,0))*($BX191-(BY191+CH191)*0.01)</f>
        <v>-36422.450704220224</v>
      </c>
      <c r="CA191" s="5">
        <f>INDEX('Team forecast'!$R$3:$BH$26,MATCH($B191,'Team forecast'!$B$3:$B$26,0),MATCH(CA$1,'Team forecast'!$R$2:$BH$2,0))*($BX191-(BY191+BX191+CH191)*0.01)</f>
        <v>-18056.489591393136</v>
      </c>
      <c r="CB191" s="5">
        <f>INDEX('Team forecast'!$R$3:$BH$26,MATCH($B191,'Team forecast'!$B$3:$B$26,0),MATCH(CB$1,'Team forecast'!$R$2:$BH$2,0))*($BX191-(BY191+BX191*2+CH191)*0.01)</f>
        <v>-8891.7842964068568</v>
      </c>
      <c r="CC191" s="5">
        <f>INDEX('Team forecast'!$R$3:$BH$26,MATCH($B191,'Team forecast'!$B$3:$B$26,0),MATCH(CC$1,'Team forecast'!$R$2:$BH$2,0))*($BX191-(BY191+BX191*3+CH191)*0.01)</f>
        <v>-4278.1374877270291</v>
      </c>
      <c r="CD191" s="5">
        <f>+AK191+BD191*Cockpit!$C$3+BW191*Cockpit!$C$3^2+BZ191*Cockpit!$C$3^3+CA191*Cockpit!$C$3^4+CB191*Cockpit!$C$3^5+CC191*Cockpit!$C$3^6</f>
        <v>-26460.625438877592</v>
      </c>
      <c r="CE191" s="5"/>
      <c r="CF191" s="5"/>
      <c r="CG191" s="5">
        <v>0</v>
      </c>
      <c r="CH191" s="5">
        <f t="shared" si="49"/>
        <v>4000000</v>
      </c>
      <c r="CI191" s="5">
        <f t="shared" si="50"/>
        <v>4000000</v>
      </c>
      <c r="CJ191" s="1">
        <f t="shared" si="51"/>
        <v>-3.7499999999999999E-3</v>
      </c>
      <c r="CK191" s="5">
        <f>RANK(BY191,$BY$2:$BY$623)+COUNTIF($BY$2:$BY191,$BY191)-1</f>
        <v>477</v>
      </c>
      <c r="CL191" s="5">
        <f>RANK(CJ191,$CJ$2:$CJ$623)+COUNTIF($CJ$2:$CJ191,$CJ191)-1</f>
        <v>447</v>
      </c>
    </row>
    <row r="192" spans="1:90">
      <c r="A192" t="str">
        <f>Players!P193</f>
        <v>Mathias Jensen</v>
      </c>
      <c r="B192" t="str">
        <f>Players!G193</f>
        <v>Denmark</v>
      </c>
      <c r="C192" t="str">
        <f>Players!AB193</f>
        <v>Midfield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3000000</v>
      </c>
      <c r="H192" s="16">
        <f>INDEX('Team forecast'!$B$2:$AO$26,MATCH('Master data'!$B192,'Team forecast'!$B$2:$B$26,0),MATCH('Master data'!H$1,'Team forecast'!$B$2:$AO$2,0))</f>
        <v>1.6608440904336361</v>
      </c>
      <c r="I192" s="16">
        <f>INDEX('Team forecast'!$B$2:$AO$26,MATCH('Master data'!$B192,'Team forecast'!$B$2:$B$26,0),MATCH('Master data'!I$1,'Team forecast'!$B$2:$AO$2,0))</f>
        <v>0.59952758650922311</v>
      </c>
      <c r="J192" s="16">
        <f>INDEX('Team forecast'!$B$2:$AO$26,MATCH('Master data'!$B192,'Team forecast'!$B$2:$B$26,0),MATCH('Master data'!J$1,'Team forecast'!$B$2:$AO$2,0))</f>
        <v>0.54907096336484029</v>
      </c>
      <c r="K192" s="16">
        <f>INDEX('Team forecast'!$B$2:$AO$26,MATCH('Master data'!$B192,'Team forecast'!$B$2:$B$26,0),MATCH('Master data'!K$1,'Team forecast'!$B$2:$AO$2,0))</f>
        <v>4.1898566826848551</v>
      </c>
      <c r="L192" s="16">
        <f>INDEX('Team forecast'!$B$2:$AO$26,MATCH('Master data'!$B192,'Team forecast'!$B$2:$B$26,0),MATCH('Master data'!L$1,'Team forecast'!$B$2:$AO$2,0))</f>
        <v>1.7709122555349361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0</v>
      </c>
      <c r="R192" s="2">
        <f>Players!BR193</f>
        <v>0</v>
      </c>
      <c r="S192" s="2">
        <f t="shared" si="52"/>
        <v>1.6608440904336361</v>
      </c>
      <c r="T192" s="2">
        <f t="shared" si="53"/>
        <v>0.59952758650922311</v>
      </c>
      <c r="U192" s="16">
        <f>INDEX('Team forecast'!$B$2:$AO$26,MATCH('Master data'!$B192,'Team forecast'!$B$2:$B$26,0),MATCH('Master data'!U$1,'Team forecast'!$B$2:$AO$2,0))</f>
        <v>0.65509845973874048</v>
      </c>
      <c r="V192" s="16">
        <f>INDEX('Team forecast'!$B$2:$AO$26,MATCH('Master data'!$B192,'Team forecast'!$B$2:$B$26,0),MATCH('Master data'!V$1,'Team forecast'!$B$2:$AO$2,0))</f>
        <v>0.22616494443361279</v>
      </c>
      <c r="W192" s="16">
        <f>INDEX('Team forecast'!$B$2:$AO$26,MATCH('Master data'!$B192,'Team forecast'!$B$2:$B$26,0),MATCH('Master data'!W$1,'Team forecast'!$B$2:$AO$2,0))</f>
        <v>0.1187365958276467</v>
      </c>
      <c r="X192" s="5">
        <f t="shared" si="54"/>
        <v>-5000</v>
      </c>
      <c r="Y192" s="5">
        <f t="shared" si="55"/>
        <v>0</v>
      </c>
      <c r="Z192" s="5">
        <f t="shared" si="56"/>
        <v>0</v>
      </c>
      <c r="AA192" s="5">
        <f t="shared" si="57"/>
        <v>0</v>
      </c>
      <c r="AB192" s="5">
        <f t="shared" si="58"/>
        <v>0</v>
      </c>
      <c r="AC192" s="5">
        <f t="shared" si="59"/>
        <v>0</v>
      </c>
      <c r="AD192" s="5">
        <f t="shared" si="60"/>
        <v>0</v>
      </c>
      <c r="AE192" s="5">
        <f t="shared" si="61"/>
        <v>0</v>
      </c>
      <c r="AF192" s="5">
        <f t="shared" si="62"/>
        <v>0</v>
      </c>
      <c r="AG192" s="5">
        <f t="shared" si="63"/>
        <v>0</v>
      </c>
      <c r="AH192" s="5">
        <f t="shared" si="64"/>
        <v>0</v>
      </c>
      <c r="AI192" s="5">
        <f t="shared" si="65"/>
        <v>0</v>
      </c>
      <c r="AJ192" s="5">
        <f t="shared" si="66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1.1610121970988967</v>
      </c>
      <c r="AM192" s="16">
        <f>INDEX('Team forecast'!$B$2:$AO$26,MATCH('Master data'!$B192,'Team forecast'!$B$2:$B$26,0),MATCH('Master data'!AM$1,'Team forecast'!$B$2:$AO$2,0))</f>
        <v>1.5279674504451852</v>
      </c>
      <c r="AN192" s="16">
        <f>INDEX('Team forecast'!$B$2:$AO$26,MATCH('Master data'!$B192,'Team forecast'!$B$2:$B$26,0),MATCH('Master data'!AN$1,'Team forecast'!$B$2:$AO$2,0))</f>
        <v>0.21697623437572761</v>
      </c>
      <c r="AO192" s="16">
        <f>INDEX('Team forecast'!$B$2:$AO$26,MATCH('Master data'!$B192,'Team forecast'!$B$2:$B$26,0),MATCH('Master data'!AO$1,'Team forecast'!$B$2:$AO$2,0))</f>
        <v>2.9289171335903985</v>
      </c>
      <c r="AP192" s="16">
        <f>INDEX('Team forecast'!$B$2:$AO$26,MATCH('Master data'!$B192,'Team forecast'!$B$2:$B$26,0),MATCH('Master data'!AP$1,'Team forecast'!$B$2:$AO$2,0))</f>
        <v>4.5133807766996243</v>
      </c>
      <c r="AQ192" s="5">
        <f t="shared" si="67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68"/>
        <v>0</v>
      </c>
      <c r="AV192" s="5">
        <f t="shared" si="69"/>
        <v>0</v>
      </c>
      <c r="AW192" s="5">
        <f t="shared" si="70"/>
        <v>0</v>
      </c>
      <c r="AX192" s="5">
        <f t="shared" si="71"/>
        <v>0</v>
      </c>
      <c r="AY192" s="5">
        <f t="shared" si="72"/>
        <v>0</v>
      </c>
      <c r="AZ192" s="5">
        <f t="shared" si="73"/>
        <v>0</v>
      </c>
      <c r="BA192" s="5">
        <f t="shared" si="74"/>
        <v>0</v>
      </c>
      <c r="BB192" s="5">
        <f t="shared" si="75"/>
        <v>0</v>
      </c>
      <c r="BC192" s="5">
        <f t="shared" si="76"/>
        <v>0</v>
      </c>
      <c r="BD192" s="5">
        <f t="shared" si="77"/>
        <v>-5000</v>
      </c>
      <c r="BE192" s="16">
        <f>INDEX('Team forecast'!$B$2:$AO$26,MATCH('Master data'!$B192,'Team forecast'!$B$2:$B$26,0),MATCH('Master data'!BE$1,'Team forecast'!$B$2:$AO$2,0))</f>
        <v>1.5053002864585165</v>
      </c>
      <c r="BF192" s="16">
        <f>INDEX('Team forecast'!$B$2:$AO$26,MATCH('Master data'!$B192,'Team forecast'!$B$2:$B$26,0),MATCH('Master data'!BF$1,'Team forecast'!$B$2:$AO$2,0))</f>
        <v>0.95602347631827322</v>
      </c>
      <c r="BG192" s="16">
        <f>INDEX('Team forecast'!$B$2:$AO$26,MATCH('Master data'!$B192,'Team forecast'!$B$2:$B$26,0),MATCH('Master data'!BG$1,'Team forecast'!$B$2:$AO$2,0))</f>
        <v>0.38441849991338989</v>
      </c>
      <c r="BH192" s="16">
        <f>INDEX('Team forecast'!$B$2:$AO$26,MATCH('Master data'!$B192,'Team forecast'!$B$2:$B$26,0),MATCH('Master data'!BH$1,'Team forecast'!$B$2:$AO$2,0))</f>
        <v>3.7974620862930761</v>
      </c>
      <c r="BI192" s="16">
        <f>INDEX('Team forecast'!$B$2:$AO$26,MATCH('Master data'!$B192,'Team forecast'!$B$2:$B$26,0),MATCH('Master data'!BI$1,'Team forecast'!$B$2:$AO$2,0))</f>
        <v>2.8239462685093613</v>
      </c>
      <c r="BJ192" s="5">
        <f t="shared" si="78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79"/>
        <v>0</v>
      </c>
      <c r="BO192" s="5">
        <f t="shared" si="80"/>
        <v>0</v>
      </c>
      <c r="BP192" s="5">
        <f t="shared" si="81"/>
        <v>0</v>
      </c>
      <c r="BQ192" s="5">
        <f t="shared" si="82"/>
        <v>0</v>
      </c>
      <c r="BR192" s="5">
        <f t="shared" si="83"/>
        <v>0</v>
      </c>
      <c r="BS192" s="5">
        <f t="shared" si="84"/>
        <v>0</v>
      </c>
      <c r="BT192" s="5">
        <f t="shared" si="85"/>
        <v>0</v>
      </c>
      <c r="BU192" s="5">
        <f t="shared" si="86"/>
        <v>0</v>
      </c>
      <c r="BV192" s="5">
        <f t="shared" si="87"/>
        <v>0</v>
      </c>
      <c r="BW192" s="5">
        <f t="shared" si="88"/>
        <v>-5000</v>
      </c>
      <c r="BX192" s="5">
        <f t="shared" si="89"/>
        <v>-5000</v>
      </c>
      <c r="BY192" s="5">
        <f t="shared" si="90"/>
        <v>-15000</v>
      </c>
      <c r="BZ192" s="5">
        <f>INDEX('Team forecast'!$R$3:$BH$26,MATCH($B192,'Team forecast'!$B$3:$B$26,0),MATCH(BZ$1,'Team forecast'!$R$2:$BH$2,0))*($BX192-(BY192+CH192)*0.01)</f>
        <v>-28301.502944081934</v>
      </c>
      <c r="CA192" s="5">
        <f>INDEX('Team forecast'!$R$3:$BH$26,MATCH($B192,'Team forecast'!$B$3:$B$26,0),MATCH(CA$1,'Team forecast'!$R$2:$BH$2,0))*($BX192-(BY192+BX192+CH192)*0.01)</f>
        <v>-14026.023164742881</v>
      </c>
      <c r="CB192" s="5">
        <f>INDEX('Team forecast'!$R$3:$BH$26,MATCH($B192,'Team forecast'!$B$3:$B$26,0),MATCH(CB$1,'Team forecast'!$R$2:$BH$2,0))*($BX192-(BY192+BX192*2+CH192)*0.01)</f>
        <v>-6904.7933921818603</v>
      </c>
      <c r="CC192" s="5">
        <f>INDEX('Team forecast'!$R$3:$BH$26,MATCH($B192,'Team forecast'!$B$3:$B$26,0),MATCH(CC$1,'Team forecast'!$R$2:$BH$2,0))*($BX192-(BY192+BX192*3+CH192)*0.01)</f>
        <v>-3321.0597499804899</v>
      </c>
      <c r="CD192" s="5">
        <f>+AK192+BD192*Cockpit!$C$3+BW192*Cockpit!$C$3^2+BZ192*Cockpit!$C$3^3+CA192*Cockpit!$C$3^4+CB192*Cockpit!$C$3^5+CC192*Cockpit!$C$3^6</f>
        <v>-22912.592539496411</v>
      </c>
      <c r="CE192" s="5"/>
      <c r="CF192" s="5"/>
      <c r="CG192" s="5">
        <v>0</v>
      </c>
      <c r="CH192" s="5">
        <f t="shared" si="49"/>
        <v>3000000</v>
      </c>
      <c r="CI192" s="5">
        <f t="shared" si="50"/>
        <v>3000000</v>
      </c>
      <c r="CJ192" s="1">
        <f t="shared" si="51"/>
        <v>-5.0000000000000001E-3</v>
      </c>
      <c r="CK192" s="5">
        <f>RANK(BY192,$BY$2:$BY$623)+COUNTIF($BY$2:$BY192,$BY192)-1</f>
        <v>478</v>
      </c>
      <c r="CL192" s="5">
        <f>RANK(CJ192,$CJ$2:$CJ$623)+COUNTIF($CJ$2:$CJ192,$CJ192)-1</f>
        <v>493</v>
      </c>
    </row>
    <row r="193" spans="1:90">
      <c r="A193" t="str">
        <f>Players!P194</f>
        <v xml:space="preserve">Andreas  Cornelius 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2500000</v>
      </c>
      <c r="H193" s="16">
        <f>INDEX('Team forecast'!$B$2:$AO$26,MATCH('Master data'!$B193,'Team forecast'!$B$2:$B$26,0),MATCH('Master data'!H$1,'Team forecast'!$B$2:$AO$2,0))</f>
        <v>1.6608440904336361</v>
      </c>
      <c r="I193" s="16">
        <f>INDEX('Team forecast'!$B$2:$AO$26,MATCH('Master data'!$B193,'Team forecast'!$B$2:$B$26,0),MATCH('Master data'!I$1,'Team forecast'!$B$2:$AO$2,0))</f>
        <v>0.59952758650922311</v>
      </c>
      <c r="J193" s="16">
        <f>INDEX('Team forecast'!$B$2:$AO$26,MATCH('Master data'!$B193,'Team forecast'!$B$2:$B$26,0),MATCH('Master data'!J$1,'Team forecast'!$B$2:$AO$2,0))</f>
        <v>0.54907096336484029</v>
      </c>
      <c r="K193" s="16">
        <f>INDEX('Team forecast'!$B$2:$AO$26,MATCH('Master data'!$B193,'Team forecast'!$B$2:$B$26,0),MATCH('Master data'!K$1,'Team forecast'!$B$2:$AO$2,0))</f>
        <v>4.1898566826848551</v>
      </c>
      <c r="L193" s="16">
        <f>INDEX('Team forecast'!$B$2:$AO$26,MATCH('Master data'!$B193,'Team forecast'!$B$2:$B$26,0),MATCH('Master data'!L$1,'Team forecast'!$B$2:$AO$2,0))</f>
        <v>1.7709122555349361</v>
      </c>
      <c r="M193">
        <f>IF(Players!BC194=1,95,0)</f>
        <v>0</v>
      </c>
      <c r="N193" s="2">
        <f>Players!BN194</f>
        <v>0</v>
      </c>
      <c r="O193" s="2">
        <f>Players!BO194</f>
        <v>0</v>
      </c>
      <c r="P193" s="2">
        <f>Players!BP194</f>
        <v>0</v>
      </c>
      <c r="Q193" s="2">
        <f>Players!BQ194</f>
        <v>9.4637223974763401E-2</v>
      </c>
      <c r="R193" s="2">
        <f>Players!BR194</f>
        <v>0</v>
      </c>
      <c r="S193" s="2">
        <f t="shared" si="52"/>
        <v>1.6608440904336361</v>
      </c>
      <c r="T193" s="2">
        <f t="shared" si="53"/>
        <v>0.59952758650922311</v>
      </c>
      <c r="U193" s="16">
        <f>INDEX('Team forecast'!$B$2:$AO$26,MATCH('Master data'!$B193,'Team forecast'!$B$2:$B$26,0),MATCH('Master data'!U$1,'Team forecast'!$B$2:$AO$2,0))</f>
        <v>0.65509845973874048</v>
      </c>
      <c r="V193" s="16">
        <f>INDEX('Team forecast'!$B$2:$AO$26,MATCH('Master data'!$B193,'Team forecast'!$B$2:$B$26,0),MATCH('Master data'!V$1,'Team forecast'!$B$2:$AO$2,0))</f>
        <v>0.22616494443361279</v>
      </c>
      <c r="W193" s="16">
        <f>INDEX('Team forecast'!$B$2:$AO$26,MATCH('Master data'!$B193,'Team forecast'!$B$2:$B$26,0),MATCH('Master data'!W$1,'Team forecast'!$B$2:$AO$2,0))</f>
        <v>0.1187365958276467</v>
      </c>
      <c r="X193" s="5">
        <f t="shared" si="54"/>
        <v>-5000</v>
      </c>
      <c r="Y193" s="5">
        <f t="shared" si="55"/>
        <v>0</v>
      </c>
      <c r="Z193" s="5">
        <f t="shared" si="56"/>
        <v>0</v>
      </c>
      <c r="AA193" s="5">
        <f t="shared" si="57"/>
        <v>0</v>
      </c>
      <c r="AB193" s="5">
        <f t="shared" si="58"/>
        <v>0</v>
      </c>
      <c r="AC193" s="5">
        <f t="shared" si="59"/>
        <v>0</v>
      </c>
      <c r="AD193" s="5">
        <f t="shared" si="60"/>
        <v>0</v>
      </c>
      <c r="AE193" s="5">
        <f t="shared" si="61"/>
        <v>0</v>
      </c>
      <c r="AF193" s="5">
        <f t="shared" si="62"/>
        <v>0</v>
      </c>
      <c r="AG193" s="5">
        <f t="shared" si="63"/>
        <v>0</v>
      </c>
      <c r="AH193" s="5">
        <f t="shared" si="64"/>
        <v>0</v>
      </c>
      <c r="AI193" s="5">
        <f t="shared" si="65"/>
        <v>0</v>
      </c>
      <c r="AJ193" s="5">
        <f t="shared" si="66"/>
        <v>0</v>
      </c>
      <c r="AK193" s="5">
        <f>IFERROR(SUM(X193:AJ193),-5000)*((Cockpit!$C$3)^0)</f>
        <v>-5000</v>
      </c>
      <c r="AL193" s="16">
        <f>INDEX('Team forecast'!$B$2:$AO$26,MATCH('Master data'!$B193,'Team forecast'!$B$2:$B$26,0),MATCH('Master data'!AL$1,'Team forecast'!$B$2:$AO$2,0))</f>
        <v>1.1610121970988967</v>
      </c>
      <c r="AM193" s="16">
        <f>INDEX('Team forecast'!$B$2:$AO$26,MATCH('Master data'!$B193,'Team forecast'!$B$2:$B$26,0),MATCH('Master data'!AM$1,'Team forecast'!$B$2:$AO$2,0))</f>
        <v>1.5279674504451852</v>
      </c>
      <c r="AN193" s="16">
        <f>INDEX('Team forecast'!$B$2:$AO$26,MATCH('Master data'!$B193,'Team forecast'!$B$2:$B$26,0),MATCH('Master data'!AN$1,'Team forecast'!$B$2:$AO$2,0))</f>
        <v>0.21697623437572761</v>
      </c>
      <c r="AO193" s="16">
        <f>INDEX('Team forecast'!$B$2:$AO$26,MATCH('Master data'!$B193,'Team forecast'!$B$2:$B$26,0),MATCH('Master data'!AO$1,'Team forecast'!$B$2:$AO$2,0))</f>
        <v>2.9289171335903985</v>
      </c>
      <c r="AP193" s="16">
        <f>INDEX('Team forecast'!$B$2:$AO$26,MATCH('Master data'!$B193,'Team forecast'!$B$2:$B$26,0),MATCH('Master data'!AP$1,'Team forecast'!$B$2:$AO$2,0))</f>
        <v>4.5133807766996243</v>
      </c>
      <c r="AQ193" s="5">
        <f t="shared" si="67"/>
        <v>-5000</v>
      </c>
      <c r="AR193" s="5">
        <f>INDEX('Team forecast'!$B$2:$AO$26,MATCH('Master data'!$B193,'Team forecast'!$B$2:$B$26,0),MATCH('Master data'!AR$1,'Team forecast'!$B$2:$AO$2,0))*IF(X193&gt;0,25000,0)</f>
        <v>0</v>
      </c>
      <c r="AS193" s="16">
        <f>INDEX('Team forecast'!$B$2:$AO$26,MATCH('Master data'!$B193,'Team forecast'!$B$2:$B$26,0),MATCH('Master data'!AS$1,'Team forecast'!$B$2:$AO$2,0))*IF(X193&gt;0,5000,0)</f>
        <v>0</v>
      </c>
      <c r="AT193" s="16">
        <f>INDEX('Team forecast'!$B$2:$AO$26,MATCH('Master data'!$B193,'Team forecast'!$B$2:$B$26,0),MATCH('Master data'!AT$1,'Team forecast'!$B$2:$AO$2,0))*IF(X193&gt;0,-15000,0)</f>
        <v>0</v>
      </c>
      <c r="AU193" s="5">
        <f t="shared" si="68"/>
        <v>0</v>
      </c>
      <c r="AV193" s="5">
        <f t="shared" si="69"/>
        <v>0</v>
      </c>
      <c r="AW193" s="5">
        <f t="shared" si="70"/>
        <v>0</v>
      </c>
      <c r="AX193" s="5">
        <f t="shared" si="71"/>
        <v>0</v>
      </c>
      <c r="AY193" s="5">
        <f t="shared" si="72"/>
        <v>0</v>
      </c>
      <c r="AZ193" s="5">
        <f t="shared" si="73"/>
        <v>0</v>
      </c>
      <c r="BA193" s="5">
        <f t="shared" si="74"/>
        <v>0</v>
      </c>
      <c r="BB193" s="5">
        <f t="shared" si="75"/>
        <v>0</v>
      </c>
      <c r="BC193" s="5">
        <f t="shared" si="76"/>
        <v>0</v>
      </c>
      <c r="BD193" s="5">
        <f t="shared" si="77"/>
        <v>-5000</v>
      </c>
      <c r="BE193" s="16">
        <f>INDEX('Team forecast'!$B$2:$AO$26,MATCH('Master data'!$B193,'Team forecast'!$B$2:$B$26,0),MATCH('Master data'!BE$1,'Team forecast'!$B$2:$AO$2,0))</f>
        <v>1.5053002864585165</v>
      </c>
      <c r="BF193" s="16">
        <f>INDEX('Team forecast'!$B$2:$AO$26,MATCH('Master data'!$B193,'Team forecast'!$B$2:$B$26,0),MATCH('Master data'!BF$1,'Team forecast'!$B$2:$AO$2,0))</f>
        <v>0.95602347631827322</v>
      </c>
      <c r="BG193" s="16">
        <f>INDEX('Team forecast'!$B$2:$AO$26,MATCH('Master data'!$B193,'Team forecast'!$B$2:$B$26,0),MATCH('Master data'!BG$1,'Team forecast'!$B$2:$AO$2,0))</f>
        <v>0.38441849991338989</v>
      </c>
      <c r="BH193" s="16">
        <f>INDEX('Team forecast'!$B$2:$AO$26,MATCH('Master data'!$B193,'Team forecast'!$B$2:$B$26,0),MATCH('Master data'!BH$1,'Team forecast'!$B$2:$AO$2,0))</f>
        <v>3.7974620862930761</v>
      </c>
      <c r="BI193" s="16">
        <f>INDEX('Team forecast'!$B$2:$AO$26,MATCH('Master data'!$B193,'Team forecast'!$B$2:$B$26,0),MATCH('Master data'!BI$1,'Team forecast'!$B$2:$AO$2,0))</f>
        <v>2.8239462685093613</v>
      </c>
      <c r="BJ193" s="5">
        <f t="shared" si="78"/>
        <v>-5000</v>
      </c>
      <c r="BK193" s="5">
        <f>INDEX('Team forecast'!$R$3:$BH$26,MATCH($B193,'Team forecast'!$B$3:$B$26,0),MATCH(BK$1,'Team forecast'!$R$2:$BH$2,0))*IF($X193&gt;0,25000,0)</f>
        <v>0</v>
      </c>
      <c r="BL193" s="5">
        <f>INDEX('Team forecast'!$R$3:$BH$26,MATCH($B193,'Team forecast'!$B$3:$B$26,0),MATCH(BL$1,'Team forecast'!$R$2:$BH$2,0))*IF($X193&gt;0,5000,0)</f>
        <v>0</v>
      </c>
      <c r="BM193" s="5">
        <f>INDEX('Team forecast'!$R$3:$BH$26,MATCH($B193,'Team forecast'!$B$3:$B$26,0),MATCH(BM$1,'Team forecast'!$R$2:$BH$2,0))*IF($X193&gt;0,-15000,0)</f>
        <v>0</v>
      </c>
      <c r="BN193" s="5">
        <f t="shared" si="79"/>
        <v>0</v>
      </c>
      <c r="BO193" s="5">
        <f t="shared" si="80"/>
        <v>0</v>
      </c>
      <c r="BP193" s="5">
        <f t="shared" si="81"/>
        <v>0</v>
      </c>
      <c r="BQ193" s="5">
        <f t="shared" si="82"/>
        <v>0</v>
      </c>
      <c r="BR193" s="5">
        <f t="shared" si="83"/>
        <v>0</v>
      </c>
      <c r="BS193" s="5">
        <f t="shared" si="84"/>
        <v>0</v>
      </c>
      <c r="BT193" s="5">
        <f t="shared" si="85"/>
        <v>0</v>
      </c>
      <c r="BU193" s="5">
        <f t="shared" si="86"/>
        <v>0</v>
      </c>
      <c r="BV193" s="5">
        <f t="shared" si="87"/>
        <v>0</v>
      </c>
      <c r="BW193" s="5">
        <f t="shared" si="88"/>
        <v>-5000</v>
      </c>
      <c r="BX193" s="5">
        <f t="shared" si="89"/>
        <v>-5000</v>
      </c>
      <c r="BY193" s="5">
        <f t="shared" si="90"/>
        <v>-15000</v>
      </c>
      <c r="BZ193" s="5">
        <f>INDEX('Team forecast'!$R$3:$BH$26,MATCH($B193,'Team forecast'!$B$3:$B$26,0),MATCH(BZ$1,'Team forecast'!$R$2:$BH$2,0))*($BX193-(BY193+CH193)*0.01)</f>
        <v>-24241.02906401279</v>
      </c>
      <c r="CA193" s="5">
        <f>INDEX('Team forecast'!$R$3:$BH$26,MATCH($B193,'Team forecast'!$B$3:$B$26,0),MATCH(CA$1,'Team forecast'!$R$2:$BH$2,0))*($BX193-(BY193+BX193+CH193)*0.01)</f>
        <v>-12010.789951417755</v>
      </c>
      <c r="CB193" s="5">
        <f>INDEX('Team forecast'!$R$3:$BH$26,MATCH($B193,'Team forecast'!$B$3:$B$26,0),MATCH(CB$1,'Team forecast'!$R$2:$BH$2,0))*($BX193-(BY193+BX193*2+CH193)*0.01)</f>
        <v>-5911.297940069363</v>
      </c>
      <c r="CC193" s="5">
        <f>INDEX('Team forecast'!$R$3:$BH$26,MATCH($B193,'Team forecast'!$B$3:$B$26,0),MATCH(CC$1,'Team forecast'!$R$2:$BH$2,0))*($BX193-(BY193+BX193*3+CH193)*0.01)</f>
        <v>-2842.5208811072207</v>
      </c>
      <c r="CD193" s="5">
        <f>+AK193+BD193*Cockpit!$C$3+BW193*Cockpit!$C$3^2+BZ193*Cockpit!$C$3^3+CA193*Cockpit!$C$3^4+CB193*Cockpit!$C$3^5+CC193*Cockpit!$C$3^6</f>
        <v>-21138.576089805811</v>
      </c>
      <c r="CE193" s="5"/>
      <c r="CF193" s="5"/>
      <c r="CG193" s="5">
        <v>0</v>
      </c>
      <c r="CH193" s="5">
        <f t="shared" si="49"/>
        <v>2500000</v>
      </c>
      <c r="CI193" s="5">
        <f t="shared" si="50"/>
        <v>2500000</v>
      </c>
      <c r="CJ193" s="1">
        <f t="shared" si="51"/>
        <v>-6.0000000000000001E-3</v>
      </c>
      <c r="CK193" s="5">
        <f>RANK(BY193,$BY$2:$BY$623)+COUNTIF($BY$2:$BY193,$BY193)-1</f>
        <v>479</v>
      </c>
      <c r="CL193" s="5">
        <f>RANK(CJ193,$CJ$2:$CJ$623)+COUNTIF($CJ$2:$CJ193,$CJ193)-1</f>
        <v>530</v>
      </c>
    </row>
    <row r="194" spans="1:90">
      <c r="A194" t="str">
        <f>Players!P195</f>
        <v>Kasper Dolberg</v>
      </c>
      <c r="B194" t="str">
        <f>Players!G195</f>
        <v>Denmark</v>
      </c>
      <c r="C194" t="str">
        <f>Players!AB195</f>
        <v>Striker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4000000</v>
      </c>
      <c r="H194" s="16">
        <f>INDEX('Team forecast'!$B$2:$AO$26,MATCH('Master data'!$B194,'Team forecast'!$B$2:$B$26,0),MATCH('Master data'!H$1,'Team forecast'!$B$2:$AO$2,0))</f>
        <v>1.6608440904336361</v>
      </c>
      <c r="I194" s="16">
        <f>INDEX('Team forecast'!$B$2:$AO$26,MATCH('Master data'!$B194,'Team forecast'!$B$2:$B$26,0),MATCH('Master data'!I$1,'Team forecast'!$B$2:$AO$2,0))</f>
        <v>0.59952758650922311</v>
      </c>
      <c r="J194" s="16">
        <f>INDEX('Team forecast'!$B$2:$AO$26,MATCH('Master data'!$B194,'Team forecast'!$B$2:$B$26,0),MATCH('Master data'!J$1,'Team forecast'!$B$2:$AO$2,0))</f>
        <v>0.54907096336484029</v>
      </c>
      <c r="K194" s="16">
        <f>INDEX('Team forecast'!$B$2:$AO$26,MATCH('Master data'!$B194,'Team forecast'!$B$2:$B$26,0),MATCH('Master data'!K$1,'Team forecast'!$B$2:$AO$2,0))</f>
        <v>4.1898566826848551</v>
      </c>
      <c r="L194" s="16">
        <f>INDEX('Team forecast'!$B$2:$AO$26,MATCH('Master data'!$B194,'Team forecast'!$B$2:$B$26,0),MATCH('Master data'!L$1,'Team forecast'!$B$2:$AO$2,0))</f>
        <v>1.7709122555349361</v>
      </c>
      <c r="M194">
        <f>IF(Players!BC195=1,95,0)</f>
        <v>95</v>
      </c>
      <c r="N194" s="2">
        <f>Players!BN195</f>
        <v>0.20344590173309768</v>
      </c>
      <c r="O194" s="2">
        <f>Players!BO195</f>
        <v>8.6584096293272517E-2</v>
      </c>
      <c r="P194" s="2">
        <f>Players!BP195</f>
        <v>0.18949491441955171</v>
      </c>
      <c r="Q194" s="2">
        <f>Players!BQ195</f>
        <v>4.6680497925311204E-2</v>
      </c>
      <c r="R194" s="2">
        <f>Players!BR195</f>
        <v>0</v>
      </c>
      <c r="S194" s="2">
        <f t="shared" si="52"/>
        <v>1.6608440904336361</v>
      </c>
      <c r="T194" s="2">
        <f t="shared" si="53"/>
        <v>0.59952758650922311</v>
      </c>
      <c r="U194" s="16">
        <f>INDEX('Team forecast'!$B$2:$AO$26,MATCH('Master data'!$B194,'Team forecast'!$B$2:$B$26,0),MATCH('Master data'!U$1,'Team forecast'!$B$2:$AO$2,0))</f>
        <v>0.65509845973874048</v>
      </c>
      <c r="V194" s="16">
        <f>INDEX('Team forecast'!$B$2:$AO$26,MATCH('Master data'!$B194,'Team forecast'!$B$2:$B$26,0),MATCH('Master data'!V$1,'Team forecast'!$B$2:$AO$2,0))</f>
        <v>0.22616494443361279</v>
      </c>
      <c r="W194" s="16">
        <f>INDEX('Team forecast'!$B$2:$AO$26,MATCH('Master data'!$B194,'Team forecast'!$B$2:$B$26,0),MATCH('Master data'!W$1,'Team forecast'!$B$2:$AO$2,0))</f>
        <v>0.1187365958276467</v>
      </c>
      <c r="X194" s="5">
        <f t="shared" si="54"/>
        <v>7000</v>
      </c>
      <c r="Y194" s="5">
        <f t="shared" si="55"/>
        <v>16377.461493468512</v>
      </c>
      <c r="Z194" s="5">
        <f t="shared" si="56"/>
        <v>1130.824722168064</v>
      </c>
      <c r="AA194" s="5">
        <f t="shared" si="57"/>
        <v>-1781.0489374147005</v>
      </c>
      <c r="AB194" s="5">
        <f t="shared" si="58"/>
        <v>33789.192361635753</v>
      </c>
      <c r="AC194" s="5">
        <f t="shared" si="59"/>
        <v>7190.1342327109287</v>
      </c>
      <c r="AD194" s="5">
        <f t="shared" si="60"/>
        <v>7939.5653351555347</v>
      </c>
      <c r="AE194" s="5">
        <f t="shared" si="61"/>
        <v>0</v>
      </c>
      <c r="AF194" s="5">
        <f t="shared" si="62"/>
        <v>0</v>
      </c>
      <c r="AG194" s="5">
        <f t="shared" si="63"/>
        <v>-933.60995850622407</v>
      </c>
      <c r="AH194" s="5">
        <f t="shared" si="64"/>
        <v>0</v>
      </c>
      <c r="AI194" s="5">
        <f t="shared" si="65"/>
        <v>16608.440904336363</v>
      </c>
      <c r="AJ194" s="5">
        <f t="shared" si="66"/>
        <v>-4796.2206920737844</v>
      </c>
      <c r="AK194" s="5">
        <f>IFERROR(SUM(X194:AJ194),-5000)*((Cockpit!$C$3)^0)</f>
        <v>82524.739461480465</v>
      </c>
      <c r="AL194" s="16">
        <f>INDEX('Team forecast'!$B$2:$AO$26,MATCH('Master data'!$B194,'Team forecast'!$B$2:$B$26,0),MATCH('Master data'!AL$1,'Team forecast'!$B$2:$AO$2,0))</f>
        <v>1.1610121970988967</v>
      </c>
      <c r="AM194" s="16">
        <f>INDEX('Team forecast'!$B$2:$AO$26,MATCH('Master data'!$B194,'Team forecast'!$B$2:$B$26,0),MATCH('Master data'!AM$1,'Team forecast'!$B$2:$AO$2,0))</f>
        <v>1.5279674504451852</v>
      </c>
      <c r="AN194" s="16">
        <f>INDEX('Team forecast'!$B$2:$AO$26,MATCH('Master data'!$B194,'Team forecast'!$B$2:$B$26,0),MATCH('Master data'!AN$1,'Team forecast'!$B$2:$AO$2,0))</f>
        <v>0.21697623437572761</v>
      </c>
      <c r="AO194" s="16">
        <f>INDEX('Team forecast'!$B$2:$AO$26,MATCH('Master data'!$B194,'Team forecast'!$B$2:$B$26,0),MATCH('Master data'!AO$1,'Team forecast'!$B$2:$AO$2,0))</f>
        <v>2.9289171335903985</v>
      </c>
      <c r="AP194" s="16">
        <f>INDEX('Team forecast'!$B$2:$AO$26,MATCH('Master data'!$B194,'Team forecast'!$B$2:$B$26,0),MATCH('Master data'!AP$1,'Team forecast'!$B$2:$AO$2,0))</f>
        <v>4.5133807766996243</v>
      </c>
      <c r="AQ194" s="5">
        <f t="shared" si="67"/>
        <v>7000</v>
      </c>
      <c r="AR194" s="5">
        <f>INDEX('Team forecast'!$B$2:$AO$26,MATCH('Master data'!$B194,'Team forecast'!$B$2:$B$26,0),MATCH('Master data'!AR$1,'Team forecast'!$B$2:$AO$2,0))*IF(X194&gt;0,25000,0)</f>
        <v>6348.0209111277081</v>
      </c>
      <c r="AS194" s="16">
        <f>INDEX('Team forecast'!$B$2:$AO$26,MATCH('Master data'!$B194,'Team forecast'!$B$2:$B$26,0),MATCH('Master data'!AS$1,'Team forecast'!$B$2:$AO$2,0))*IF(X194&gt;0,5000,0)</f>
        <v>1381.628080657207</v>
      </c>
      <c r="AT194" s="16">
        <f>INDEX('Team forecast'!$B$2:$AO$26,MATCH('Master data'!$B194,'Team forecast'!$B$2:$B$26,0),MATCH('Master data'!AT$1,'Team forecast'!$B$2:$AO$2,0))*IF(X194&gt;0,-15000,0)</f>
        <v>-7046.3032113517547</v>
      </c>
      <c r="AU194" s="5">
        <f t="shared" si="68"/>
        <v>23620.317336190998</v>
      </c>
      <c r="AV194" s="5">
        <f t="shared" si="69"/>
        <v>5026.2595935637382</v>
      </c>
      <c r="AW194" s="5">
        <f t="shared" si="70"/>
        <v>5550.1490157167136</v>
      </c>
      <c r="AX194" s="5">
        <f t="shared" si="71"/>
        <v>0</v>
      </c>
      <c r="AY194" s="5">
        <f t="shared" si="72"/>
        <v>0</v>
      </c>
      <c r="AZ194" s="5">
        <f t="shared" si="73"/>
        <v>-933.60995850622407</v>
      </c>
      <c r="BA194" s="5">
        <f t="shared" si="74"/>
        <v>0</v>
      </c>
      <c r="BB194" s="5">
        <f t="shared" si="75"/>
        <v>11610.121970988966</v>
      </c>
      <c r="BC194" s="5">
        <f t="shared" si="76"/>
        <v>-12223.739603561482</v>
      </c>
      <c r="BD194" s="5">
        <f t="shared" si="77"/>
        <v>40332.844134825864</v>
      </c>
      <c r="BE194" s="16">
        <f>INDEX('Team forecast'!$B$2:$AO$26,MATCH('Master data'!$B194,'Team forecast'!$B$2:$B$26,0),MATCH('Master data'!BE$1,'Team forecast'!$B$2:$AO$2,0))</f>
        <v>1.5053002864585165</v>
      </c>
      <c r="BF194" s="16">
        <f>INDEX('Team forecast'!$B$2:$AO$26,MATCH('Master data'!$B194,'Team forecast'!$B$2:$B$26,0),MATCH('Master data'!BF$1,'Team forecast'!$B$2:$AO$2,0))</f>
        <v>0.95602347631827322</v>
      </c>
      <c r="BG194" s="16">
        <f>INDEX('Team forecast'!$B$2:$AO$26,MATCH('Master data'!$B194,'Team forecast'!$B$2:$B$26,0),MATCH('Master data'!BG$1,'Team forecast'!$B$2:$AO$2,0))</f>
        <v>0.38441849991338989</v>
      </c>
      <c r="BH194" s="16">
        <f>INDEX('Team forecast'!$B$2:$AO$26,MATCH('Master data'!$B194,'Team forecast'!$B$2:$B$26,0),MATCH('Master data'!BH$1,'Team forecast'!$B$2:$AO$2,0))</f>
        <v>3.7974620862930761</v>
      </c>
      <c r="BI194" s="16">
        <f>INDEX('Team forecast'!$B$2:$AO$26,MATCH('Master data'!$B194,'Team forecast'!$B$2:$B$26,0),MATCH('Master data'!BI$1,'Team forecast'!$B$2:$AO$2,0))</f>
        <v>2.8239462685093613</v>
      </c>
      <c r="BJ194" s="5">
        <f t="shared" si="78"/>
        <v>7000</v>
      </c>
      <c r="BK194" s="5">
        <f>INDEX('Team forecast'!$R$3:$BH$26,MATCH($B194,'Team forecast'!$B$3:$B$26,0),MATCH(BK$1,'Team forecast'!$R$2:$BH$2,0))*IF($X194&gt;0,25000,0)</f>
        <v>12073.445349038628</v>
      </c>
      <c r="BL194" s="5">
        <f>INDEX('Team forecast'!$R$3:$BH$26,MATCH($B194,'Team forecast'!$B$3:$B$26,0),MATCH(BL$1,'Team forecast'!$R$2:$BH$2,0))*IF($X194&gt;0,5000,0)</f>
        <v>1413.30330850511</v>
      </c>
      <c r="BM194" s="5">
        <f>INDEX('Team forecast'!$R$3:$BH$26,MATCH($B194,'Team forecast'!$B$3:$B$26,0),MATCH(BM$1,'Team forecast'!$R$2:$BH$2,0))*IF($X194&gt;0,-15000,0)</f>
        <v>-3516.0228650614931</v>
      </c>
      <c r="BN194" s="5">
        <f t="shared" si="79"/>
        <v>30624.717415764313</v>
      </c>
      <c r="BO194" s="5">
        <f t="shared" si="80"/>
        <v>6516.7532476507458</v>
      </c>
      <c r="BP194" s="5">
        <f t="shared" si="81"/>
        <v>7195.9975305359876</v>
      </c>
      <c r="BQ194" s="5">
        <f t="shared" si="82"/>
        <v>0</v>
      </c>
      <c r="BR194" s="5">
        <f t="shared" si="83"/>
        <v>0</v>
      </c>
      <c r="BS194" s="5">
        <f t="shared" si="84"/>
        <v>-933.60995850622407</v>
      </c>
      <c r="BT194" s="5">
        <f t="shared" si="85"/>
        <v>0</v>
      </c>
      <c r="BU194" s="5">
        <f t="shared" si="86"/>
        <v>15053.002864585165</v>
      </c>
      <c r="BV194" s="5">
        <f t="shared" si="87"/>
        <v>-7648.1878105461856</v>
      </c>
      <c r="BW194" s="5">
        <f t="shared" si="88"/>
        <v>67779.399081966054</v>
      </c>
      <c r="BX194" s="5">
        <f t="shared" si="89"/>
        <v>63545.660892757463</v>
      </c>
      <c r="BY194" s="5">
        <f t="shared" si="90"/>
        <v>190636.98267827238</v>
      </c>
      <c r="BZ194" s="5">
        <f>INDEX('Team forecast'!$R$3:$BH$26,MATCH($B194,'Team forecast'!$B$3:$B$26,0),MATCH(BZ$1,'Team forecast'!$R$2:$BH$2,0))*($BX194-(BY194+CH194)*0.01)</f>
        <v>17573.155231320805</v>
      </c>
      <c r="CA194" s="5">
        <f>INDEX('Team forecast'!$R$3:$BH$26,MATCH($B194,'Team forecast'!$B$3:$B$26,0),MATCH(CA$1,'Team forecast'!$R$2:$BH$2,0))*($BX194-(BY194+BX194+CH194)*0.01)</f>
        <v>8465.5249610048359</v>
      </c>
      <c r="CB194" s="5">
        <f>INDEX('Team forecast'!$R$3:$BH$26,MATCH($B194,'Team forecast'!$B$3:$B$26,0),MATCH(CB$1,'Team forecast'!$R$2:$BH$2,0))*($BX194-(BY194+BX194*2+CH194)*0.01)</f>
        <v>4047.1781518031521</v>
      </c>
      <c r="CC194" s="5">
        <f>INDEX('Team forecast'!$R$3:$BH$26,MATCH($B194,'Team forecast'!$B$3:$B$26,0),MATCH(CC$1,'Team forecast'!$R$2:$BH$2,0))*($BX194-(BY194+BX194*3+CH194)*0.01)</f>
        <v>1888.5939618736525</v>
      </c>
      <c r="CD194" s="5">
        <f>+AK194+BD194*Cockpit!$C$3+BW194*Cockpit!$C$3^2+BZ194*Cockpit!$C$3^3+CA194*Cockpit!$C$3^4+CB194*Cockpit!$C$3^5+CC194*Cockpit!$C$3^6</f>
        <v>147115.30707816823</v>
      </c>
      <c r="CE194" s="5"/>
      <c r="CF194" s="5"/>
      <c r="CG194" s="5">
        <v>0</v>
      </c>
      <c r="CH194" s="5">
        <f t="shared" si="49"/>
        <v>4000000</v>
      </c>
      <c r="CI194" s="5">
        <f t="shared" si="50"/>
        <v>4000000</v>
      </c>
      <c r="CJ194" s="1">
        <f t="shared" si="51"/>
        <v>4.7659245669568098E-2</v>
      </c>
      <c r="CK194" s="5">
        <f>RANK(BY194,$BY$2:$BY$623)+COUNTIF($BY$2:$BY194,$BY194)-1</f>
        <v>58</v>
      </c>
      <c r="CL194" s="5">
        <f>RANK(CJ194,$CJ$2:$CJ$623)+COUNTIF($CJ$2:$CJ194,$CJ194)-1</f>
        <v>41</v>
      </c>
    </row>
    <row r="195" spans="1:90">
      <c r="A195" t="str">
        <f>Players!P196</f>
        <v>Dominik Livaković</v>
      </c>
      <c r="B195" t="str">
        <f>Players!G196</f>
        <v>Croatia</v>
      </c>
      <c r="C195" t="str">
        <f>Players!AB196</f>
        <v>Goalkeeper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4500000</v>
      </c>
      <c r="H195" s="16">
        <f>INDEX('Team forecast'!$B$2:$AO$26,MATCH('Master data'!$B195,'Team forecast'!$B$2:$B$26,0),MATCH('Master data'!H$1,'Team forecast'!$B$2:$AO$2,0))</f>
        <v>0.74990395996081205</v>
      </c>
      <c r="I195" s="16">
        <f>INDEX('Team forecast'!$B$2:$AO$26,MATCH('Master data'!$B195,'Team forecast'!$B$2:$B$26,0),MATCH('Master data'!I$1,'Team forecast'!$B$2:$AO$2,0))</f>
        <v>1.5223243214152651</v>
      </c>
      <c r="J195" s="16">
        <f>INDEX('Team forecast'!$B$2:$AO$26,MATCH('Master data'!$B195,'Team forecast'!$B$2:$B$26,0),MATCH('Master data'!J$1,'Team forecast'!$B$2:$AO$2,0))</f>
        <v>0.21820412056434271</v>
      </c>
      <c r="K195" s="16">
        <f>INDEX('Team forecast'!$B$2:$AO$26,MATCH('Master data'!$B195,'Team forecast'!$B$2:$B$26,0),MATCH('Master data'!K$1,'Team forecast'!$B$2:$AO$2,0))</f>
        <v>2.1270003227979397</v>
      </c>
      <c r="L195" s="16">
        <f>INDEX('Team forecast'!$B$2:$AO$26,MATCH('Master data'!$B195,'Team forecast'!$B$2:$B$26,0),MATCH('Master data'!L$1,'Team forecast'!$B$2:$AO$2,0))</f>
        <v>4.9475540445996113</v>
      </c>
      <c r="M195">
        <f>IF(Players!BC196=1,95,0)</f>
        <v>95</v>
      </c>
      <c r="N195" s="2">
        <f>Players!BN196</f>
        <v>1.2599318950899925E-2</v>
      </c>
      <c r="O195" s="2">
        <f>Players!BO196</f>
        <v>2.1566932861403997E-2</v>
      </c>
      <c r="P195" s="2">
        <f>Players!BP196</f>
        <v>4.9632781159121953E-2</v>
      </c>
      <c r="Q195" s="2">
        <f>Players!BQ196</f>
        <v>0.11811023622047244</v>
      </c>
      <c r="R195" s="2">
        <f>Players!BR196</f>
        <v>0</v>
      </c>
      <c r="S195" s="2">
        <f t="shared" ref="S195:S258" si="91">H195</f>
        <v>0.74990395996081205</v>
      </c>
      <c r="T195" s="2">
        <f t="shared" ref="T195:T258" si="92">I195</f>
        <v>1.5223243214152651</v>
      </c>
      <c r="U195" s="16">
        <f>INDEX('Team forecast'!$B$2:$AO$26,MATCH('Master data'!$B195,'Team forecast'!$B$2:$B$26,0),MATCH('Master data'!U$1,'Team forecast'!$B$2:$AO$2,0))</f>
        <v>0.17178615309883699</v>
      </c>
      <c r="V195" s="16">
        <f>INDEX('Team forecast'!$B$2:$AO$26,MATCH('Master data'!$B195,'Team forecast'!$B$2:$B$26,0),MATCH('Master data'!V$1,'Team forecast'!$B$2:$AO$2,0))</f>
        <v>0.26245106723433442</v>
      </c>
      <c r="W195" s="16">
        <f>INDEX('Team forecast'!$B$2:$AO$26,MATCH('Master data'!$B195,'Team forecast'!$B$2:$B$26,0),MATCH('Master data'!W$1,'Team forecast'!$B$2:$AO$2,0))</f>
        <v>0.56576277966682864</v>
      </c>
      <c r="X195" s="5">
        <f t="shared" ref="X195:X258" si="93">IF(M195&gt;95,7000*2,IF(M195&gt;0,7000,-5000))</f>
        <v>7000</v>
      </c>
      <c r="Y195" s="5">
        <f t="shared" ref="Y195:Y258" si="94">IF($X195&gt;0,U195*25000,0)</f>
        <v>4294.6538274709246</v>
      </c>
      <c r="Z195" s="5">
        <f t="shared" ref="Z195:Z258" si="95">IF($X195&gt;0,V195*5000,0)</f>
        <v>1312.2553361716721</v>
      </c>
      <c r="AA195" s="5">
        <f t="shared" ref="AA195:AA258" si="96">IF($X195&gt;0,W195*(-15000),0)</f>
        <v>-8486.4416950024297</v>
      </c>
      <c r="AB195" s="5">
        <f t="shared" ref="AB195:AB258" si="97">IF($C195="Defense",$N195*150000,IF($C195="Midfield",$N195*125000,IF($C195="Striker",$N195*100000,0)))*$H195</f>
        <v>0</v>
      </c>
      <c r="AC195" s="5">
        <f t="shared" ref="AC195:AC258" si="98">$O195*50000*H195</f>
        <v>808.65641784879131</v>
      </c>
      <c r="AD195" s="5">
        <f t="shared" ref="AD195:AD258" si="99">$P195*K195*10000</f>
        <v>1055.6894154681188</v>
      </c>
      <c r="AE195" s="5">
        <f t="shared" ref="AE195:AE258" si="100">IF($C195="Goalkeeper",J195*75000,IF($C195="Defense",J195*50000,0))</f>
        <v>16365.309042325704</v>
      </c>
      <c r="AF195" s="5">
        <f t="shared" ref="AF195:AF258" si="101">IF($C195="Goalkeeper",(L195-I195)*5000,0)</f>
        <v>17126.148615921731</v>
      </c>
      <c r="AG195" s="5">
        <f t="shared" ref="AG195:AG258" si="102">IF(M195&gt;0,Q195*(-20000),0)</f>
        <v>-2362.2047244094488</v>
      </c>
      <c r="AH195" s="5">
        <f t="shared" ref="AH195:AH258" si="103">IF(M195&gt;0,R195*(-50000),0)</f>
        <v>0</v>
      </c>
      <c r="AI195" s="5">
        <f t="shared" ref="AI195:AI258" si="104">IF(M195&gt;0,S195*10000,0)</f>
        <v>7499.0395996081206</v>
      </c>
      <c r="AJ195" s="5">
        <f t="shared" ref="AJ195:AJ258" si="105">IF(M195&gt;0,T195*(-8000),0)</f>
        <v>-12178.594571322121</v>
      </c>
      <c r="AK195" s="5">
        <f>IFERROR(SUM(X195:AJ195),-5000)*((Cockpit!$C$3)^0)</f>
        <v>32434.511264081055</v>
      </c>
      <c r="AL195" s="16">
        <f>INDEX('Team forecast'!$B$2:$AO$26,MATCH('Master data'!$B195,'Team forecast'!$B$2:$B$26,0),MATCH('Master data'!AL$1,'Team forecast'!$B$2:$AO$2,0))</f>
        <v>1.3846696653928885</v>
      </c>
      <c r="AM195" s="16">
        <f>INDEX('Team forecast'!$B$2:$AO$26,MATCH('Master data'!$B195,'Team forecast'!$B$2:$B$26,0),MATCH('Master data'!AM$1,'Team forecast'!$B$2:$AO$2,0))</f>
        <v>0.97920455728472433</v>
      </c>
      <c r="AN195" s="16">
        <f>INDEX('Team forecast'!$B$2:$AO$26,MATCH('Master data'!$B195,'Team forecast'!$B$2:$B$26,0),MATCH('Master data'!AN$1,'Team forecast'!$B$2:$AO$2,0))</f>
        <v>0.37560975609756098</v>
      </c>
      <c r="AO195" s="16">
        <f>INDEX('Team forecast'!$B$2:$AO$26,MATCH('Master data'!$B195,'Team forecast'!$B$2:$B$26,0),MATCH('Master data'!AO$1,'Team forecast'!$B$2:$AO$2,0))</f>
        <v>3.9274266872961929</v>
      </c>
      <c r="AP195" s="16">
        <f>INDEX('Team forecast'!$B$2:$AO$26,MATCH('Master data'!$B195,'Team forecast'!$B$2:$B$26,0),MATCH('Master data'!AP$1,'Team forecast'!$B$2:$AO$2,0))</f>
        <v>3.1824148111753541</v>
      </c>
      <c r="AQ195" s="5">
        <f t="shared" ref="AQ195:AQ258" si="106">X195</f>
        <v>7000</v>
      </c>
      <c r="AR195" s="5">
        <f>INDEX('Team forecast'!$B$2:$AO$26,MATCH('Master data'!$B195,'Team forecast'!$B$2:$B$26,0),MATCH('Master data'!AR$1,'Team forecast'!$B$2:$AO$2,0))*IF(X195&gt;0,25000,0)</f>
        <v>11178.861788617885</v>
      </c>
      <c r="AS195" s="16">
        <f>INDEX('Team forecast'!$B$2:$AO$26,MATCH('Master data'!$B195,'Team forecast'!$B$2:$B$26,0),MATCH('Master data'!AS$1,'Team forecast'!$B$2:$AO$2,0))*IF(X195&gt;0,5000,0)</f>
        <v>1422.7642276422764</v>
      </c>
      <c r="AT195" s="16">
        <f>INDEX('Team forecast'!$B$2:$AO$26,MATCH('Master data'!$B195,'Team forecast'!$B$2:$B$26,0),MATCH('Master data'!AT$1,'Team forecast'!$B$2:$AO$2,0))*IF(X195&gt;0,-15000,0)</f>
        <v>-4024.3902439024391</v>
      </c>
      <c r="AU195" s="5">
        <f t="shared" ref="AU195:AU258" si="107">IF($C195="Defense",$N195*150000,IF($C195="Midfield",$N195*125000,IF($C195="Striker",$N195*100000,0)))*$AL195</f>
        <v>0</v>
      </c>
      <c r="AV195" s="5">
        <f t="shared" ref="AV195:AV258" si="108">$O195*50000*AL195</f>
        <v>1493.1538854375583</v>
      </c>
      <c r="AW195" s="5">
        <f t="shared" ref="AW195:AW258" si="109">$P195*AO195*10000</f>
        <v>1949.2910928906724</v>
      </c>
      <c r="AX195" s="5">
        <f t="shared" ref="AX195:AX258" si="110">IF($C195="Goalkeeper",AN195*75000,IF($C195="Defense",AN195*50000,0))</f>
        <v>28170.731707317074</v>
      </c>
      <c r="AY195" s="5">
        <f t="shared" ref="AY195:AY258" si="111">IF($C195="Goalkeeper",(AP195-AM195)*5000,0)</f>
        <v>11016.051269453148</v>
      </c>
      <c r="AZ195" s="5">
        <f t="shared" ref="AZ195:AZ258" si="112">$AG195</f>
        <v>-2362.2047244094488</v>
      </c>
      <c r="BA195" s="5">
        <f t="shared" ref="BA195:BA258" si="113">$AH195</f>
        <v>0</v>
      </c>
      <c r="BB195" s="5">
        <f t="shared" ref="BB195:BB258" si="114">IF(X195&gt;0,AL195*10000,0)</f>
        <v>13846.696653928884</v>
      </c>
      <c r="BC195" s="5">
        <f t="shared" ref="BC195:BC258" si="115">IF(X195&gt;0,AM195*(-8000),0)</f>
        <v>-7833.6364582777951</v>
      </c>
      <c r="BD195" s="5">
        <f t="shared" ref="BD195:BD258" si="116">IFERROR(SUM(AQ195:BC195),0)</f>
        <v>61857.319198697813</v>
      </c>
      <c r="BE195" s="16">
        <f>INDEX('Team forecast'!$B$2:$AO$26,MATCH('Master data'!$B195,'Team forecast'!$B$2:$B$26,0),MATCH('Master data'!BE$1,'Team forecast'!$B$2:$AO$2,0))</f>
        <v>1.5039270856478595</v>
      </c>
      <c r="BF195" s="16">
        <f>INDEX('Team forecast'!$B$2:$AO$26,MATCH('Master data'!$B195,'Team forecast'!$B$2:$B$26,0),MATCH('Master data'!BF$1,'Team forecast'!$B$2:$AO$2,0))</f>
        <v>0.82681690399773144</v>
      </c>
      <c r="BG195" s="16">
        <f>INDEX('Team forecast'!$B$2:$AO$26,MATCH('Master data'!$B195,'Team forecast'!$B$2:$B$26,0),MATCH('Master data'!BG$1,'Team forecast'!$B$2:$AO$2,0))</f>
        <v>0.43743948445487602</v>
      </c>
      <c r="BH195" s="16">
        <f>INDEX('Team forecast'!$B$2:$AO$26,MATCH('Master data'!$B195,'Team forecast'!$B$2:$B$26,0),MATCH('Master data'!BH$1,'Team forecast'!$B$2:$AO$2,0))</f>
        <v>4.2656840974739287</v>
      </c>
      <c r="BI195" s="16">
        <f>INDEX('Team forecast'!$B$2:$AO$26,MATCH('Master data'!$B195,'Team forecast'!$B$2:$B$26,0),MATCH('Master data'!BI$1,'Team forecast'!$B$2:$AO$2,0))</f>
        <v>2.6871549379926272</v>
      </c>
      <c r="BJ195" s="5">
        <f t="shared" ref="BJ195:BJ258" si="117">AQ195</f>
        <v>7000</v>
      </c>
      <c r="BK195" s="5">
        <f>INDEX('Team forecast'!$R$3:$BH$26,MATCH($B195,'Team forecast'!$B$3:$B$26,0),MATCH(BK$1,'Team forecast'!$R$2:$BH$2,0))*IF($X195&gt;0,25000,0)</f>
        <v>12935.038518826977</v>
      </c>
      <c r="BL195" s="5">
        <f>INDEX('Team forecast'!$R$3:$BH$26,MATCH($B195,'Team forecast'!$B$3:$B$26,0),MATCH(BL$1,'Team forecast'!$R$2:$BH$2,0))*IF($X195&gt;0,5000,0)</f>
        <v>1355.4462898601791</v>
      </c>
      <c r="BM195" s="5">
        <f>INDEX('Team forecast'!$R$3:$BH$26,MATCH($B195,'Team forecast'!$B$3:$B$26,0),MATCH(BM$1,'Team forecast'!$R$2:$BH$2,0))*IF($X195&gt;0,-15000,0)</f>
        <v>-3172.6380191232765</v>
      </c>
      <c r="BN195" s="5">
        <f t="shared" ref="BN195:BN258" si="118">IF($C195="Defense",$N195*150000,IF($C195="Midfield",$N195*125000,IF($C195="Striker",$N195*100000,0)))*$BE195</f>
        <v>0</v>
      </c>
      <c r="BO195" s="5">
        <f t="shared" ref="BO195:BO258" si="119">$O195*50000*$BE195</f>
        <v>1621.7547242307182</v>
      </c>
      <c r="BP195" s="5">
        <f t="shared" ref="BP195:BP258" si="120">$P195*BH195*10000</f>
        <v>2117.1776530387015</v>
      </c>
      <c r="BQ195" s="5">
        <f t="shared" ref="BQ195:BQ258" si="121">IF($C195="Goalkeeper",BG195*75000,IF($C195="Defense",BG195*50000,0))</f>
        <v>32807.961334115702</v>
      </c>
      <c r="BR195" s="5">
        <f t="shared" ref="BR195:BR258" si="122">IF($C195="Goalkeeper",(BI195-BF195)*5000,0)</f>
        <v>9301.6901699744794</v>
      </c>
      <c r="BS195" s="5">
        <f t="shared" ref="BS195:BS258" si="123">$AG195</f>
        <v>-2362.2047244094488</v>
      </c>
      <c r="BT195" s="5">
        <f t="shared" ref="BT195:BT258" si="124">$AH195</f>
        <v>0</v>
      </c>
      <c r="BU195" s="5">
        <f t="shared" ref="BU195:BU258" si="125">IF(AQ195&gt;0,BE195*10000,0)</f>
        <v>15039.270856478595</v>
      </c>
      <c r="BV195" s="5">
        <f t="shared" ref="BV195:BV258" si="126">IF(AQ195&gt;0,BF195*(-8000),0)</f>
        <v>-6614.5352319818512</v>
      </c>
      <c r="BW195" s="5">
        <f t="shared" ref="BW195:BW258" si="127">IFERROR(SUM(BJ195:BV195),0)</f>
        <v>70028.961571010776</v>
      </c>
      <c r="BX195" s="5">
        <f t="shared" ref="BX195:BX258" si="128">AVERAGE(AK195,BD195,BW195)</f>
        <v>54773.597344596543</v>
      </c>
      <c r="BY195" s="5">
        <f t="shared" ref="BY195:BY258" si="129">BX195*3</f>
        <v>164320.79203378962</v>
      </c>
      <c r="BZ195" s="5">
        <f>INDEX('Team forecast'!$R$3:$BH$26,MATCH($B195,'Team forecast'!$B$3:$B$26,0),MATCH(BZ$1,'Team forecast'!$R$2:$BH$2,0))*($BX195-(BY195+CH195)*0.01)</f>
        <v>6068.6091713221758</v>
      </c>
      <c r="CA195" s="5">
        <f>INDEX('Team forecast'!$R$3:$BH$26,MATCH($B195,'Team forecast'!$B$3:$B$26,0),MATCH(CA$1,'Team forecast'!$R$2:$BH$2,0))*($BX195-(BY195+BX195+CH195)*0.01)</f>
        <v>2796.9842997491542</v>
      </c>
      <c r="CB195" s="5">
        <f>INDEX('Team forecast'!$R$3:$BH$26,MATCH($B195,'Team forecast'!$B$3:$B$26,0),MATCH(CB$1,'Team forecast'!$R$2:$BH$2,0))*($BX195-(BY195+BX195*2+CH195)*0.01)</f>
        <v>1268.7415435438706</v>
      </c>
      <c r="CC195" s="5">
        <f>INDEX('Team forecast'!$R$3:$BH$26,MATCH($B195,'Team forecast'!$B$3:$B$26,0),MATCH(CC$1,'Team forecast'!$R$2:$BH$2,0))*($BX195-(BY195+BX195*3+CH195)*0.01)</f>
        <v>550.81679344912084</v>
      </c>
      <c r="CD195" s="5">
        <f>+AK195+BD195*Cockpit!$C$3+BW195*Cockpit!$C$3^2+BZ195*Cockpit!$C$3^3+CA195*Cockpit!$C$3^4+CB195*Cockpit!$C$3^5+CC195*Cockpit!$C$3^6</f>
        <v>107362.7382362416</v>
      </c>
      <c r="CE195" s="5"/>
      <c r="CF195" s="5"/>
      <c r="CG195" s="5">
        <v>0</v>
      </c>
      <c r="CH195" s="5">
        <f t="shared" ref="CH195:CH258" si="130">+G195+CG195</f>
        <v>4500000</v>
      </c>
      <c r="CI195" s="5">
        <f t="shared" ref="CI195:CI258" si="131">CH195</f>
        <v>4500000</v>
      </c>
      <c r="CJ195" s="1">
        <f t="shared" ref="CJ195:CJ258" si="132">IFERROR(BY195/CI195,-100%)</f>
        <v>3.6515731563064362E-2</v>
      </c>
      <c r="CK195" s="5">
        <f>RANK(BY195,$BY$2:$BY$623)+COUNTIF($BY$2:$BY195,$BY195)-1</f>
        <v>82</v>
      </c>
      <c r="CL195" s="5">
        <f>RANK(CJ195,$CJ$2:$CJ$623)+COUNTIF($CJ$2:$CJ195,$CJ195)-1</f>
        <v>95</v>
      </c>
    </row>
    <row r="196" spans="1:90">
      <c r="A196" t="str">
        <f>Players!P197</f>
        <v>Domagoj Bradarić</v>
      </c>
      <c r="B196" t="str">
        <f>Players!G197</f>
        <v>Croatia</v>
      </c>
      <c r="C196" t="str">
        <f>Players!AB197</f>
        <v>Defense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2000000</v>
      </c>
      <c r="H196" s="16">
        <f>INDEX('Team forecast'!$B$2:$AO$26,MATCH('Master data'!$B196,'Team forecast'!$B$2:$B$26,0),MATCH('Master data'!H$1,'Team forecast'!$B$2:$AO$2,0))</f>
        <v>0.74990395996081205</v>
      </c>
      <c r="I196" s="16">
        <f>INDEX('Team forecast'!$B$2:$AO$26,MATCH('Master data'!$B196,'Team forecast'!$B$2:$B$26,0),MATCH('Master data'!I$1,'Team forecast'!$B$2:$AO$2,0))</f>
        <v>1.5223243214152651</v>
      </c>
      <c r="J196" s="16">
        <f>INDEX('Team forecast'!$B$2:$AO$26,MATCH('Master data'!$B196,'Team forecast'!$B$2:$B$26,0),MATCH('Master data'!J$1,'Team forecast'!$B$2:$AO$2,0))</f>
        <v>0.21820412056434271</v>
      </c>
      <c r="K196" s="16">
        <f>INDEX('Team forecast'!$B$2:$AO$26,MATCH('Master data'!$B196,'Team forecast'!$B$2:$B$26,0),MATCH('Master data'!K$1,'Team forecast'!$B$2:$AO$2,0))</f>
        <v>2.1270003227979397</v>
      </c>
      <c r="L196" s="16">
        <f>INDEX('Team forecast'!$B$2:$AO$26,MATCH('Master data'!$B196,'Team forecast'!$B$2:$B$26,0),MATCH('Master data'!L$1,'Team forecast'!$B$2:$AO$2,0))</f>
        <v>4.9475540445996113</v>
      </c>
      <c r="M196">
        <f>IF(Players!BC197=1,95,0)</f>
        <v>0</v>
      </c>
      <c r="N196" s="2">
        <f>Players!BN197</f>
        <v>0</v>
      </c>
      <c r="O196" s="2">
        <f>Players!BO197</f>
        <v>0</v>
      </c>
      <c r="P196" s="2">
        <f>Players!BP197</f>
        <v>0</v>
      </c>
      <c r="Q196" s="2">
        <f>Players!BQ197</f>
        <v>0.3581980906921241</v>
      </c>
      <c r="R196" s="2">
        <f>Players!BR197</f>
        <v>0</v>
      </c>
      <c r="S196" s="2">
        <f t="shared" si="91"/>
        <v>0.74990395996081205</v>
      </c>
      <c r="T196" s="2">
        <f t="shared" si="92"/>
        <v>1.5223243214152651</v>
      </c>
      <c r="U196" s="16">
        <f>INDEX('Team forecast'!$B$2:$AO$26,MATCH('Master data'!$B196,'Team forecast'!$B$2:$B$26,0),MATCH('Master data'!U$1,'Team forecast'!$B$2:$AO$2,0))</f>
        <v>0.17178615309883699</v>
      </c>
      <c r="V196" s="16">
        <f>INDEX('Team forecast'!$B$2:$AO$26,MATCH('Master data'!$B196,'Team forecast'!$B$2:$B$26,0),MATCH('Master data'!V$1,'Team forecast'!$B$2:$AO$2,0))</f>
        <v>0.26245106723433442</v>
      </c>
      <c r="W196" s="16">
        <f>INDEX('Team forecast'!$B$2:$AO$26,MATCH('Master data'!$B196,'Team forecast'!$B$2:$B$26,0),MATCH('Master data'!W$1,'Team forecast'!$B$2:$AO$2,0))</f>
        <v>0.56576277966682864</v>
      </c>
      <c r="X196" s="5">
        <f t="shared" si="93"/>
        <v>-5000</v>
      </c>
      <c r="Y196" s="5">
        <f t="shared" si="94"/>
        <v>0</v>
      </c>
      <c r="Z196" s="5">
        <f t="shared" si="95"/>
        <v>0</v>
      </c>
      <c r="AA196" s="5">
        <f t="shared" si="96"/>
        <v>0</v>
      </c>
      <c r="AB196" s="5">
        <f t="shared" si="97"/>
        <v>0</v>
      </c>
      <c r="AC196" s="5">
        <f t="shared" si="98"/>
        <v>0</v>
      </c>
      <c r="AD196" s="5">
        <f t="shared" si="99"/>
        <v>0</v>
      </c>
      <c r="AE196" s="5">
        <f t="shared" si="100"/>
        <v>10910.206028217135</v>
      </c>
      <c r="AF196" s="5">
        <f t="shared" si="101"/>
        <v>0</v>
      </c>
      <c r="AG196" s="5">
        <f t="shared" si="102"/>
        <v>0</v>
      </c>
      <c r="AH196" s="5">
        <f t="shared" si="103"/>
        <v>0</v>
      </c>
      <c r="AI196" s="5">
        <f t="shared" si="104"/>
        <v>0</v>
      </c>
      <c r="AJ196" s="5">
        <f t="shared" si="105"/>
        <v>0</v>
      </c>
      <c r="AK196" s="5">
        <f>IFERROR(SUM(X196:AJ196),-5000)*((Cockpit!$C$3)^0)</f>
        <v>5910.2060282171351</v>
      </c>
      <c r="AL196" s="16">
        <f>INDEX('Team forecast'!$B$2:$AO$26,MATCH('Master data'!$B196,'Team forecast'!$B$2:$B$26,0),MATCH('Master data'!AL$1,'Team forecast'!$B$2:$AO$2,0))</f>
        <v>1.3846696653928885</v>
      </c>
      <c r="AM196" s="16">
        <f>INDEX('Team forecast'!$B$2:$AO$26,MATCH('Master data'!$B196,'Team forecast'!$B$2:$B$26,0),MATCH('Master data'!AM$1,'Team forecast'!$B$2:$AO$2,0))</f>
        <v>0.97920455728472433</v>
      </c>
      <c r="AN196" s="16">
        <f>INDEX('Team forecast'!$B$2:$AO$26,MATCH('Master data'!$B196,'Team forecast'!$B$2:$B$26,0),MATCH('Master data'!AN$1,'Team forecast'!$B$2:$AO$2,0))</f>
        <v>0.37560975609756098</v>
      </c>
      <c r="AO196" s="16">
        <f>INDEX('Team forecast'!$B$2:$AO$26,MATCH('Master data'!$B196,'Team forecast'!$B$2:$B$26,0),MATCH('Master data'!AO$1,'Team forecast'!$B$2:$AO$2,0))</f>
        <v>3.9274266872961929</v>
      </c>
      <c r="AP196" s="16">
        <f>INDEX('Team forecast'!$B$2:$AO$26,MATCH('Master data'!$B196,'Team forecast'!$B$2:$B$26,0),MATCH('Master data'!AP$1,'Team forecast'!$B$2:$AO$2,0))</f>
        <v>3.1824148111753541</v>
      </c>
      <c r="AQ196" s="5">
        <f t="shared" si="106"/>
        <v>-5000</v>
      </c>
      <c r="AR196" s="5">
        <f>INDEX('Team forecast'!$B$2:$AO$26,MATCH('Master data'!$B196,'Team forecast'!$B$2:$B$26,0),MATCH('Master data'!AR$1,'Team forecast'!$B$2:$AO$2,0))*IF(X196&gt;0,25000,0)</f>
        <v>0</v>
      </c>
      <c r="AS196" s="16">
        <f>INDEX('Team forecast'!$B$2:$AO$26,MATCH('Master data'!$B196,'Team forecast'!$B$2:$B$26,0),MATCH('Master data'!AS$1,'Team forecast'!$B$2:$AO$2,0))*IF(X196&gt;0,5000,0)</f>
        <v>0</v>
      </c>
      <c r="AT196" s="16">
        <f>INDEX('Team forecast'!$B$2:$AO$26,MATCH('Master data'!$B196,'Team forecast'!$B$2:$B$26,0),MATCH('Master data'!AT$1,'Team forecast'!$B$2:$AO$2,0))*IF(X196&gt;0,-15000,0)</f>
        <v>0</v>
      </c>
      <c r="AU196" s="5">
        <f t="shared" si="107"/>
        <v>0</v>
      </c>
      <c r="AV196" s="5">
        <f t="shared" si="108"/>
        <v>0</v>
      </c>
      <c r="AW196" s="5">
        <f t="shared" si="109"/>
        <v>0</v>
      </c>
      <c r="AX196" s="5">
        <f t="shared" si="110"/>
        <v>18780.487804878048</v>
      </c>
      <c r="AY196" s="5">
        <f t="shared" si="111"/>
        <v>0</v>
      </c>
      <c r="AZ196" s="5">
        <f t="shared" si="112"/>
        <v>0</v>
      </c>
      <c r="BA196" s="5">
        <f t="shared" si="113"/>
        <v>0</v>
      </c>
      <c r="BB196" s="5">
        <f t="shared" si="114"/>
        <v>0</v>
      </c>
      <c r="BC196" s="5">
        <f t="shared" si="115"/>
        <v>0</v>
      </c>
      <c r="BD196" s="5">
        <f t="shared" si="116"/>
        <v>13780.487804878048</v>
      </c>
      <c r="BE196" s="16">
        <f>INDEX('Team forecast'!$B$2:$AO$26,MATCH('Master data'!$B196,'Team forecast'!$B$2:$B$26,0),MATCH('Master data'!BE$1,'Team forecast'!$B$2:$AO$2,0))</f>
        <v>1.5039270856478595</v>
      </c>
      <c r="BF196" s="16">
        <f>INDEX('Team forecast'!$B$2:$AO$26,MATCH('Master data'!$B196,'Team forecast'!$B$2:$B$26,0),MATCH('Master data'!BF$1,'Team forecast'!$B$2:$AO$2,0))</f>
        <v>0.82681690399773144</v>
      </c>
      <c r="BG196" s="16">
        <f>INDEX('Team forecast'!$B$2:$AO$26,MATCH('Master data'!$B196,'Team forecast'!$B$2:$B$26,0),MATCH('Master data'!BG$1,'Team forecast'!$B$2:$AO$2,0))</f>
        <v>0.43743948445487602</v>
      </c>
      <c r="BH196" s="16">
        <f>INDEX('Team forecast'!$B$2:$AO$26,MATCH('Master data'!$B196,'Team forecast'!$B$2:$B$26,0),MATCH('Master data'!BH$1,'Team forecast'!$B$2:$AO$2,0))</f>
        <v>4.2656840974739287</v>
      </c>
      <c r="BI196" s="16">
        <f>INDEX('Team forecast'!$B$2:$AO$26,MATCH('Master data'!$B196,'Team forecast'!$B$2:$B$26,0),MATCH('Master data'!BI$1,'Team forecast'!$B$2:$AO$2,0))</f>
        <v>2.6871549379926272</v>
      </c>
      <c r="BJ196" s="5">
        <f t="shared" si="117"/>
        <v>-5000</v>
      </c>
      <c r="BK196" s="5">
        <f>INDEX('Team forecast'!$R$3:$BH$26,MATCH($B196,'Team forecast'!$B$3:$B$26,0),MATCH(BK$1,'Team forecast'!$R$2:$BH$2,0))*IF($X196&gt;0,25000,0)</f>
        <v>0</v>
      </c>
      <c r="BL196" s="5">
        <f>INDEX('Team forecast'!$R$3:$BH$26,MATCH($B196,'Team forecast'!$B$3:$B$26,0),MATCH(BL$1,'Team forecast'!$R$2:$BH$2,0))*IF($X196&gt;0,5000,0)</f>
        <v>0</v>
      </c>
      <c r="BM196" s="5">
        <f>INDEX('Team forecast'!$R$3:$BH$26,MATCH($B196,'Team forecast'!$B$3:$B$26,0),MATCH(BM$1,'Team forecast'!$R$2:$BH$2,0))*IF($X196&gt;0,-15000,0)</f>
        <v>0</v>
      </c>
      <c r="BN196" s="5">
        <f t="shared" si="118"/>
        <v>0</v>
      </c>
      <c r="BO196" s="5">
        <f t="shared" si="119"/>
        <v>0</v>
      </c>
      <c r="BP196" s="5">
        <f t="shared" si="120"/>
        <v>0</v>
      </c>
      <c r="BQ196" s="5">
        <f t="shared" si="121"/>
        <v>21871.9742227438</v>
      </c>
      <c r="BR196" s="5">
        <f t="shared" si="122"/>
        <v>0</v>
      </c>
      <c r="BS196" s="5">
        <f t="shared" si="123"/>
        <v>0</v>
      </c>
      <c r="BT196" s="5">
        <f t="shared" si="124"/>
        <v>0</v>
      </c>
      <c r="BU196" s="5">
        <f t="shared" si="125"/>
        <v>0</v>
      </c>
      <c r="BV196" s="5">
        <f t="shared" si="126"/>
        <v>0</v>
      </c>
      <c r="BW196" s="5">
        <f t="shared" si="127"/>
        <v>16871.9742227438</v>
      </c>
      <c r="BX196" s="5">
        <f t="shared" si="128"/>
        <v>12187.556018612993</v>
      </c>
      <c r="BY196" s="5">
        <f t="shared" si="129"/>
        <v>36562.668055838978</v>
      </c>
      <c r="BZ196" s="5">
        <f>INDEX('Team forecast'!$R$3:$BH$26,MATCH($B196,'Team forecast'!$B$3:$B$26,0),MATCH(BZ$1,'Team forecast'!$R$2:$BH$2,0))*($BX196-(BY196+CH196)*0.01)</f>
        <v>-6104.1989544465177</v>
      </c>
      <c r="CA196" s="5">
        <f>INDEX('Team forecast'!$R$3:$BH$26,MATCH($B196,'Team forecast'!$B$3:$B$26,0),MATCH(CA$1,'Team forecast'!$R$2:$BH$2,0))*($BX196-(BY196+BX196+CH196)*0.01)</f>
        <v>-3061.5693335656952</v>
      </c>
      <c r="CB196" s="5">
        <f>INDEX('Team forecast'!$R$3:$BH$26,MATCH($B196,'Team forecast'!$B$3:$B$26,0),MATCH(CB$1,'Team forecast'!$R$2:$BH$2,0))*($BX196-(BY196+BX196*2+CH196)*0.01)</f>
        <v>-1518.8685868634675</v>
      </c>
      <c r="CC196" s="5">
        <f>INDEX('Team forecast'!$R$3:$BH$26,MATCH($B196,'Team forecast'!$B$3:$B$26,0),MATCH(CC$1,'Team forecast'!$R$2:$BH$2,0))*($BX196-(BY196+BX196*3+CH196)*0.01)</f>
        <v>-725.43245037208726</v>
      </c>
      <c r="CD196" s="5">
        <f>+AK196+BD196*Cockpit!$C$3+BW196*Cockpit!$C$3^2+BZ196*Cockpit!$C$3^3+CA196*Cockpit!$C$3^4+CB196*Cockpit!$C$3^5+CC196*Cockpit!$C$3^6</f>
        <v>19918.744714065022</v>
      </c>
      <c r="CE196" s="5"/>
      <c r="CF196" s="5"/>
      <c r="CG196" s="5">
        <v>0</v>
      </c>
      <c r="CH196" s="5">
        <f t="shared" si="130"/>
        <v>2000000</v>
      </c>
      <c r="CI196" s="5">
        <f t="shared" si="131"/>
        <v>2000000</v>
      </c>
      <c r="CJ196" s="1">
        <f t="shared" si="132"/>
        <v>1.8281334027919489E-2</v>
      </c>
      <c r="CK196" s="5">
        <f>RANK(BY196,$BY$2:$BY$623)+COUNTIF($BY$2:$BY196,$BY196)-1</f>
        <v>318</v>
      </c>
      <c r="CL196" s="5">
        <f>RANK(CJ196,$CJ$2:$CJ$623)+COUNTIF($CJ$2:$CJ196,$CJ196)-1</f>
        <v>276</v>
      </c>
    </row>
    <row r="197" spans="1:90">
      <c r="A197" t="str">
        <f>Players!P198</f>
        <v>Andrej Kramaric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5000000</v>
      </c>
      <c r="H197" s="16">
        <f>INDEX('Team forecast'!$B$2:$AO$26,MATCH('Master data'!$B197,'Team forecast'!$B$2:$B$26,0),MATCH('Master data'!H$1,'Team forecast'!$B$2:$AO$2,0))</f>
        <v>0.74990395996081205</v>
      </c>
      <c r="I197" s="16">
        <f>INDEX('Team forecast'!$B$2:$AO$26,MATCH('Master data'!$B197,'Team forecast'!$B$2:$B$26,0),MATCH('Master data'!I$1,'Team forecast'!$B$2:$AO$2,0))</f>
        <v>1.5223243214152651</v>
      </c>
      <c r="J197" s="16">
        <f>INDEX('Team forecast'!$B$2:$AO$26,MATCH('Master data'!$B197,'Team forecast'!$B$2:$B$26,0),MATCH('Master data'!J$1,'Team forecast'!$B$2:$AO$2,0))</f>
        <v>0.21820412056434271</v>
      </c>
      <c r="K197" s="16">
        <f>INDEX('Team forecast'!$B$2:$AO$26,MATCH('Master data'!$B197,'Team forecast'!$B$2:$B$26,0),MATCH('Master data'!K$1,'Team forecast'!$B$2:$AO$2,0))</f>
        <v>2.1270003227979397</v>
      </c>
      <c r="L197" s="16">
        <f>INDEX('Team forecast'!$B$2:$AO$26,MATCH('Master data'!$B197,'Team forecast'!$B$2:$B$26,0),MATCH('Master data'!L$1,'Team forecast'!$B$2:$AO$2,0))</f>
        <v>4.9475540445996113</v>
      </c>
      <c r="M197">
        <f>IF(Players!BC198=1,95,0)</f>
        <v>95</v>
      </c>
      <c r="N197" s="2">
        <f>Players!BN198</f>
        <v>0.27406213979717298</v>
      </c>
      <c r="O197" s="2">
        <f>Players!BO198</f>
        <v>0.1553053349414785</v>
      </c>
      <c r="P197" s="2">
        <f>Players!BP198</f>
        <v>0.31144576050596512</v>
      </c>
      <c r="Q197" s="2">
        <f>Players!BQ198</f>
        <v>3.7815126050420172E-2</v>
      </c>
      <c r="R197" s="2">
        <f>Players!BR198</f>
        <v>0</v>
      </c>
      <c r="S197" s="2">
        <f t="shared" si="91"/>
        <v>0.74990395996081205</v>
      </c>
      <c r="T197" s="2">
        <f t="shared" si="92"/>
        <v>1.5223243214152651</v>
      </c>
      <c r="U197" s="16">
        <f>INDEX('Team forecast'!$B$2:$AO$26,MATCH('Master data'!$B197,'Team forecast'!$B$2:$B$26,0),MATCH('Master data'!U$1,'Team forecast'!$B$2:$AO$2,0))</f>
        <v>0.17178615309883699</v>
      </c>
      <c r="V197" s="16">
        <f>INDEX('Team forecast'!$B$2:$AO$26,MATCH('Master data'!$B197,'Team forecast'!$B$2:$B$26,0),MATCH('Master data'!V$1,'Team forecast'!$B$2:$AO$2,0))</f>
        <v>0.26245106723433442</v>
      </c>
      <c r="W197" s="16">
        <f>INDEX('Team forecast'!$B$2:$AO$26,MATCH('Master data'!$B197,'Team forecast'!$B$2:$B$26,0),MATCH('Master data'!W$1,'Team forecast'!$B$2:$AO$2,0))</f>
        <v>0.56576277966682864</v>
      </c>
      <c r="X197" s="5">
        <f t="shared" si="93"/>
        <v>7000</v>
      </c>
      <c r="Y197" s="5">
        <f t="shared" si="94"/>
        <v>4294.6538274709246</v>
      </c>
      <c r="Z197" s="5">
        <f t="shared" si="95"/>
        <v>1312.2553361716721</v>
      </c>
      <c r="AA197" s="5">
        <f t="shared" si="96"/>
        <v>-8486.4416950024297</v>
      </c>
      <c r="AB197" s="5">
        <f t="shared" si="97"/>
        <v>20552.028390923366</v>
      </c>
      <c r="AC197" s="5">
        <f t="shared" si="98"/>
        <v>5823.2042837827503</v>
      </c>
      <c r="AD197" s="5">
        <f t="shared" si="99"/>
        <v>6624.4523313023765</v>
      </c>
      <c r="AE197" s="5">
        <f t="shared" si="100"/>
        <v>0</v>
      </c>
      <c r="AF197" s="5">
        <f t="shared" si="101"/>
        <v>0</v>
      </c>
      <c r="AG197" s="5">
        <f t="shared" si="102"/>
        <v>-756.30252100840346</v>
      </c>
      <c r="AH197" s="5">
        <f t="shared" si="103"/>
        <v>0</v>
      </c>
      <c r="AI197" s="5">
        <f t="shared" si="104"/>
        <v>7499.0395996081206</v>
      </c>
      <c r="AJ197" s="5">
        <f t="shared" si="105"/>
        <v>-12178.594571322121</v>
      </c>
      <c r="AK197" s="5">
        <f>IFERROR(SUM(X197:AJ197),-5000)*((Cockpit!$C$3)^0)</f>
        <v>31684.294981926258</v>
      </c>
      <c r="AL197" s="16">
        <f>INDEX('Team forecast'!$B$2:$AO$26,MATCH('Master data'!$B197,'Team forecast'!$B$2:$B$26,0),MATCH('Master data'!AL$1,'Team forecast'!$B$2:$AO$2,0))</f>
        <v>1.3846696653928885</v>
      </c>
      <c r="AM197" s="16">
        <f>INDEX('Team forecast'!$B$2:$AO$26,MATCH('Master data'!$B197,'Team forecast'!$B$2:$B$26,0),MATCH('Master data'!AM$1,'Team forecast'!$B$2:$AO$2,0))</f>
        <v>0.97920455728472433</v>
      </c>
      <c r="AN197" s="16">
        <f>INDEX('Team forecast'!$B$2:$AO$26,MATCH('Master data'!$B197,'Team forecast'!$B$2:$B$26,0),MATCH('Master data'!AN$1,'Team forecast'!$B$2:$AO$2,0))</f>
        <v>0.37560975609756098</v>
      </c>
      <c r="AO197" s="16">
        <f>INDEX('Team forecast'!$B$2:$AO$26,MATCH('Master data'!$B197,'Team forecast'!$B$2:$B$26,0),MATCH('Master data'!AO$1,'Team forecast'!$B$2:$AO$2,0))</f>
        <v>3.9274266872961929</v>
      </c>
      <c r="AP197" s="16">
        <f>INDEX('Team forecast'!$B$2:$AO$26,MATCH('Master data'!$B197,'Team forecast'!$B$2:$B$26,0),MATCH('Master data'!AP$1,'Team forecast'!$B$2:$AO$2,0))</f>
        <v>3.1824148111753541</v>
      </c>
      <c r="AQ197" s="5">
        <f t="shared" si="106"/>
        <v>7000</v>
      </c>
      <c r="AR197" s="5">
        <f>INDEX('Team forecast'!$B$2:$AO$26,MATCH('Master data'!$B197,'Team forecast'!$B$2:$B$26,0),MATCH('Master data'!AR$1,'Team forecast'!$B$2:$AO$2,0))*IF(X197&gt;0,25000,0)</f>
        <v>11178.861788617885</v>
      </c>
      <c r="AS197" s="16">
        <f>INDEX('Team forecast'!$B$2:$AO$26,MATCH('Master data'!$B197,'Team forecast'!$B$2:$B$26,0),MATCH('Master data'!AS$1,'Team forecast'!$B$2:$AO$2,0))*IF(X197&gt;0,5000,0)</f>
        <v>1422.7642276422764</v>
      </c>
      <c r="AT197" s="16">
        <f>INDEX('Team forecast'!$B$2:$AO$26,MATCH('Master data'!$B197,'Team forecast'!$B$2:$B$26,0),MATCH('Master data'!AT$1,'Team forecast'!$B$2:$AO$2,0))*IF(X197&gt;0,-15000,0)</f>
        <v>-4024.3902439024391</v>
      </c>
      <c r="AU197" s="5">
        <f t="shared" si="107"/>
        <v>37948.55314098105</v>
      </c>
      <c r="AV197" s="5">
        <f t="shared" si="108"/>
        <v>10752.329308357375</v>
      </c>
      <c r="AW197" s="5">
        <f t="shared" si="109"/>
        <v>12231.803914563861</v>
      </c>
      <c r="AX197" s="5">
        <f t="shared" si="110"/>
        <v>0</v>
      </c>
      <c r="AY197" s="5">
        <f t="shared" si="111"/>
        <v>0</v>
      </c>
      <c r="AZ197" s="5">
        <f t="shared" si="112"/>
        <v>-756.30252100840346</v>
      </c>
      <c r="BA197" s="5">
        <f t="shared" si="113"/>
        <v>0</v>
      </c>
      <c r="BB197" s="5">
        <f t="shared" si="114"/>
        <v>13846.696653928884</v>
      </c>
      <c r="BC197" s="5">
        <f t="shared" si="115"/>
        <v>-7833.6364582777951</v>
      </c>
      <c r="BD197" s="5">
        <f t="shared" si="116"/>
        <v>81766.6798109027</v>
      </c>
      <c r="BE197" s="16">
        <f>INDEX('Team forecast'!$B$2:$AO$26,MATCH('Master data'!$B197,'Team forecast'!$B$2:$B$26,0),MATCH('Master data'!BE$1,'Team forecast'!$B$2:$AO$2,0))</f>
        <v>1.5039270856478595</v>
      </c>
      <c r="BF197" s="16">
        <f>INDEX('Team forecast'!$B$2:$AO$26,MATCH('Master data'!$B197,'Team forecast'!$B$2:$B$26,0),MATCH('Master data'!BF$1,'Team forecast'!$B$2:$AO$2,0))</f>
        <v>0.82681690399773144</v>
      </c>
      <c r="BG197" s="16">
        <f>INDEX('Team forecast'!$B$2:$AO$26,MATCH('Master data'!$B197,'Team forecast'!$B$2:$B$26,0),MATCH('Master data'!BG$1,'Team forecast'!$B$2:$AO$2,0))</f>
        <v>0.43743948445487602</v>
      </c>
      <c r="BH197" s="16">
        <f>INDEX('Team forecast'!$B$2:$AO$26,MATCH('Master data'!$B197,'Team forecast'!$B$2:$B$26,0),MATCH('Master data'!BH$1,'Team forecast'!$B$2:$AO$2,0))</f>
        <v>4.2656840974739287</v>
      </c>
      <c r="BI197" s="16">
        <f>INDEX('Team forecast'!$B$2:$AO$26,MATCH('Master data'!$B197,'Team forecast'!$B$2:$B$26,0),MATCH('Master data'!BI$1,'Team forecast'!$B$2:$AO$2,0))</f>
        <v>2.6871549379926272</v>
      </c>
      <c r="BJ197" s="5">
        <f t="shared" si="117"/>
        <v>7000</v>
      </c>
      <c r="BK197" s="5">
        <f>INDEX('Team forecast'!$R$3:$BH$26,MATCH($B197,'Team forecast'!$B$3:$B$26,0),MATCH(BK$1,'Team forecast'!$R$2:$BH$2,0))*IF($X197&gt;0,25000,0)</f>
        <v>12935.038518826977</v>
      </c>
      <c r="BL197" s="5">
        <f>INDEX('Team forecast'!$R$3:$BH$26,MATCH($B197,'Team forecast'!$B$3:$B$26,0),MATCH(BL$1,'Team forecast'!$R$2:$BH$2,0))*IF($X197&gt;0,5000,0)</f>
        <v>1355.4462898601791</v>
      </c>
      <c r="BM197" s="5">
        <f>INDEX('Team forecast'!$R$3:$BH$26,MATCH($B197,'Team forecast'!$B$3:$B$26,0),MATCH(BM$1,'Team forecast'!$R$2:$BH$2,0))*IF($X197&gt;0,-15000,0)</f>
        <v>-3172.6380191232765</v>
      </c>
      <c r="BN197" s="5">
        <f t="shared" si="118"/>
        <v>41216.94751915786</v>
      </c>
      <c r="BO197" s="5">
        <f t="shared" si="119"/>
        <v>11678.394988205122</v>
      </c>
      <c r="BP197" s="5">
        <f t="shared" si="120"/>
        <v>13285.292278159694</v>
      </c>
      <c r="BQ197" s="5">
        <f t="shared" si="121"/>
        <v>0</v>
      </c>
      <c r="BR197" s="5">
        <f t="shared" si="122"/>
        <v>0</v>
      </c>
      <c r="BS197" s="5">
        <f t="shared" si="123"/>
        <v>-756.30252100840346</v>
      </c>
      <c r="BT197" s="5">
        <f t="shared" si="124"/>
        <v>0</v>
      </c>
      <c r="BU197" s="5">
        <f t="shared" si="125"/>
        <v>15039.270856478595</v>
      </c>
      <c r="BV197" s="5">
        <f t="shared" si="126"/>
        <v>-6614.5352319818512</v>
      </c>
      <c r="BW197" s="5">
        <f t="shared" si="127"/>
        <v>91966.914678574918</v>
      </c>
      <c r="BX197" s="5">
        <f t="shared" si="128"/>
        <v>68472.629823801297</v>
      </c>
      <c r="BY197" s="5">
        <f t="shared" si="129"/>
        <v>205417.88947140391</v>
      </c>
      <c r="BZ197" s="5">
        <f>INDEX('Team forecast'!$R$3:$BH$26,MATCH($B197,'Team forecast'!$B$3:$B$26,0),MATCH(BZ$1,'Team forecast'!$R$2:$BH$2,0))*($BX197-(BY197+CH197)*0.01)</f>
        <v>12254.906461168337</v>
      </c>
      <c r="CA197" s="5">
        <f>INDEX('Team forecast'!$R$3:$BH$26,MATCH($B197,'Team forecast'!$B$3:$B$26,0),MATCH(CA$1,'Team forecast'!$R$2:$BH$2,0))*($BX197-(BY197+BX197+CH197)*0.01)</f>
        <v>5803.6386674568894</v>
      </c>
      <c r="CB197" s="5">
        <f>INDEX('Team forecast'!$R$3:$BH$26,MATCH($B197,'Team forecast'!$B$3:$B$26,0),MATCH(CB$1,'Team forecast'!$R$2:$BH$2,0))*($BX197-(BY197+BX197*2+CH197)*0.01)</f>
        <v>2714.0743917373193</v>
      </c>
      <c r="CC197" s="5">
        <f>INDEX('Team forecast'!$R$3:$BH$26,MATCH($B197,'Team forecast'!$B$3:$B$26,0),MATCH(CC$1,'Team forecast'!$R$2:$BH$2,0))*($BX197-(BY197+BX197*3+CH197)*0.01)</f>
        <v>1219.6486652057447</v>
      </c>
      <c r="CD197" s="5">
        <f>+AK197+BD197*Cockpit!$C$3+BW197*Cockpit!$C$3^2+BZ197*Cockpit!$C$3^3+CA197*Cockpit!$C$3^4+CB197*Cockpit!$C$3^5+CC197*Cockpit!$C$3^6</f>
        <v>132311.56406815822</v>
      </c>
      <c r="CE197" s="5"/>
      <c r="CF197" s="5"/>
      <c r="CG197" s="5">
        <v>0</v>
      </c>
      <c r="CH197" s="5">
        <f t="shared" si="130"/>
        <v>5000000</v>
      </c>
      <c r="CI197" s="5">
        <f t="shared" si="131"/>
        <v>5000000</v>
      </c>
      <c r="CJ197" s="1">
        <f t="shared" si="132"/>
        <v>4.1083577894280784E-2</v>
      </c>
      <c r="CK197" s="5">
        <f>RANK(BY197,$BY$2:$BY$623)+COUNTIF($BY$2:$BY197,$BY197)-1</f>
        <v>47</v>
      </c>
      <c r="CL197" s="5">
        <f>RANK(CJ197,$CJ$2:$CJ$623)+COUNTIF($CJ$2:$CJ197,$CJ197)-1</f>
        <v>66</v>
      </c>
    </row>
    <row r="198" spans="1:90">
      <c r="A198" t="str">
        <f>Players!P199</f>
        <v>Mislav Oršić</v>
      </c>
      <c r="B198" t="str">
        <f>Players!G199</f>
        <v>Croatia</v>
      </c>
      <c r="C198" t="str">
        <f>Players!AB199</f>
        <v>Striker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3000000</v>
      </c>
      <c r="H198" s="16">
        <f>INDEX('Team forecast'!$B$2:$AO$26,MATCH('Master data'!$B198,'Team forecast'!$B$2:$B$26,0),MATCH('Master data'!H$1,'Team forecast'!$B$2:$AO$2,0))</f>
        <v>0.74990395996081205</v>
      </c>
      <c r="I198" s="16">
        <f>INDEX('Team forecast'!$B$2:$AO$26,MATCH('Master data'!$B198,'Team forecast'!$B$2:$B$26,0),MATCH('Master data'!I$1,'Team forecast'!$B$2:$AO$2,0))</f>
        <v>1.5223243214152651</v>
      </c>
      <c r="J198" s="16">
        <f>INDEX('Team forecast'!$B$2:$AO$26,MATCH('Master data'!$B198,'Team forecast'!$B$2:$B$26,0),MATCH('Master data'!J$1,'Team forecast'!$B$2:$AO$2,0))</f>
        <v>0.21820412056434271</v>
      </c>
      <c r="K198" s="16">
        <f>INDEX('Team forecast'!$B$2:$AO$26,MATCH('Master data'!$B198,'Team forecast'!$B$2:$B$26,0),MATCH('Master data'!K$1,'Team forecast'!$B$2:$AO$2,0))</f>
        <v>2.1270003227979397</v>
      </c>
      <c r="L198" s="16">
        <f>INDEX('Team forecast'!$B$2:$AO$26,MATCH('Master data'!$B198,'Team forecast'!$B$2:$B$26,0),MATCH('Master data'!L$1,'Team forecast'!$B$2:$AO$2,0))</f>
        <v>4.9475540445996113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6.1475409836065573E-2</v>
      </c>
      <c r="R198" s="2">
        <f>Players!BR199</f>
        <v>0</v>
      </c>
      <c r="S198" s="2">
        <f t="shared" si="91"/>
        <v>0.74990395996081205</v>
      </c>
      <c r="T198" s="2">
        <f t="shared" si="92"/>
        <v>1.5223243214152651</v>
      </c>
      <c r="U198" s="16">
        <f>INDEX('Team forecast'!$B$2:$AO$26,MATCH('Master data'!$B198,'Team forecast'!$B$2:$B$26,0),MATCH('Master data'!U$1,'Team forecast'!$B$2:$AO$2,0))</f>
        <v>0.17178615309883699</v>
      </c>
      <c r="V198" s="16">
        <f>INDEX('Team forecast'!$B$2:$AO$26,MATCH('Master data'!$B198,'Team forecast'!$B$2:$B$26,0),MATCH('Master data'!V$1,'Team forecast'!$B$2:$AO$2,0))</f>
        <v>0.26245106723433442</v>
      </c>
      <c r="W198" s="16">
        <f>INDEX('Team forecast'!$B$2:$AO$26,MATCH('Master data'!$B198,'Team forecast'!$B$2:$B$26,0),MATCH('Master data'!W$1,'Team forecast'!$B$2:$AO$2,0))</f>
        <v>0.56576277966682864</v>
      </c>
      <c r="X198" s="5">
        <f t="shared" si="93"/>
        <v>-5000</v>
      </c>
      <c r="Y198" s="5">
        <f t="shared" si="94"/>
        <v>0</v>
      </c>
      <c r="Z198" s="5">
        <f t="shared" si="95"/>
        <v>0</v>
      </c>
      <c r="AA198" s="5">
        <f t="shared" si="96"/>
        <v>0</v>
      </c>
      <c r="AB198" s="5">
        <f t="shared" si="97"/>
        <v>0</v>
      </c>
      <c r="AC198" s="5">
        <f t="shared" si="98"/>
        <v>0</v>
      </c>
      <c r="AD198" s="5">
        <f t="shared" si="99"/>
        <v>0</v>
      </c>
      <c r="AE198" s="5">
        <f t="shared" si="100"/>
        <v>0</v>
      </c>
      <c r="AF198" s="5">
        <f t="shared" si="101"/>
        <v>0</v>
      </c>
      <c r="AG198" s="5">
        <f t="shared" si="102"/>
        <v>0</v>
      </c>
      <c r="AH198" s="5">
        <f t="shared" si="103"/>
        <v>0</v>
      </c>
      <c r="AI198" s="5">
        <f t="shared" si="104"/>
        <v>0</v>
      </c>
      <c r="AJ198" s="5">
        <f t="shared" si="105"/>
        <v>0</v>
      </c>
      <c r="AK198" s="5">
        <f>IFERROR(SUM(X198:AJ198),-5000)*((Cockpit!$C$3)^0)</f>
        <v>-5000</v>
      </c>
      <c r="AL198" s="16">
        <f>INDEX('Team forecast'!$B$2:$AO$26,MATCH('Master data'!$B198,'Team forecast'!$B$2:$B$26,0),MATCH('Master data'!AL$1,'Team forecast'!$B$2:$AO$2,0))</f>
        <v>1.3846696653928885</v>
      </c>
      <c r="AM198" s="16">
        <f>INDEX('Team forecast'!$B$2:$AO$26,MATCH('Master data'!$B198,'Team forecast'!$B$2:$B$26,0),MATCH('Master data'!AM$1,'Team forecast'!$B$2:$AO$2,0))</f>
        <v>0.97920455728472433</v>
      </c>
      <c r="AN198" s="16">
        <f>INDEX('Team forecast'!$B$2:$AO$26,MATCH('Master data'!$B198,'Team forecast'!$B$2:$B$26,0),MATCH('Master data'!AN$1,'Team forecast'!$B$2:$AO$2,0))</f>
        <v>0.37560975609756098</v>
      </c>
      <c r="AO198" s="16">
        <f>INDEX('Team forecast'!$B$2:$AO$26,MATCH('Master data'!$B198,'Team forecast'!$B$2:$B$26,0),MATCH('Master data'!AO$1,'Team forecast'!$B$2:$AO$2,0))</f>
        <v>3.9274266872961929</v>
      </c>
      <c r="AP198" s="16">
        <f>INDEX('Team forecast'!$B$2:$AO$26,MATCH('Master data'!$B198,'Team forecast'!$B$2:$B$26,0),MATCH('Master data'!AP$1,'Team forecast'!$B$2:$AO$2,0))</f>
        <v>3.1824148111753541</v>
      </c>
      <c r="AQ198" s="5">
        <f t="shared" si="106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107"/>
        <v>0</v>
      </c>
      <c r="AV198" s="5">
        <f t="shared" si="108"/>
        <v>0</v>
      </c>
      <c r="AW198" s="5">
        <f t="shared" si="109"/>
        <v>0</v>
      </c>
      <c r="AX198" s="5">
        <f t="shared" si="110"/>
        <v>0</v>
      </c>
      <c r="AY198" s="5">
        <f t="shared" si="111"/>
        <v>0</v>
      </c>
      <c r="AZ198" s="5">
        <f t="shared" si="112"/>
        <v>0</v>
      </c>
      <c r="BA198" s="5">
        <f t="shared" si="113"/>
        <v>0</v>
      </c>
      <c r="BB198" s="5">
        <f t="shared" si="114"/>
        <v>0</v>
      </c>
      <c r="BC198" s="5">
        <f t="shared" si="115"/>
        <v>0</v>
      </c>
      <c r="BD198" s="5">
        <f t="shared" si="116"/>
        <v>-5000</v>
      </c>
      <c r="BE198" s="16">
        <f>INDEX('Team forecast'!$B$2:$AO$26,MATCH('Master data'!$B198,'Team forecast'!$B$2:$B$26,0),MATCH('Master data'!BE$1,'Team forecast'!$B$2:$AO$2,0))</f>
        <v>1.5039270856478595</v>
      </c>
      <c r="BF198" s="16">
        <f>INDEX('Team forecast'!$B$2:$AO$26,MATCH('Master data'!$B198,'Team forecast'!$B$2:$B$26,0),MATCH('Master data'!BF$1,'Team forecast'!$B$2:$AO$2,0))</f>
        <v>0.82681690399773144</v>
      </c>
      <c r="BG198" s="16">
        <f>INDEX('Team forecast'!$B$2:$AO$26,MATCH('Master data'!$B198,'Team forecast'!$B$2:$B$26,0),MATCH('Master data'!BG$1,'Team forecast'!$B$2:$AO$2,0))</f>
        <v>0.43743948445487602</v>
      </c>
      <c r="BH198" s="16">
        <f>INDEX('Team forecast'!$B$2:$AO$26,MATCH('Master data'!$B198,'Team forecast'!$B$2:$B$26,0),MATCH('Master data'!BH$1,'Team forecast'!$B$2:$AO$2,0))</f>
        <v>4.2656840974739287</v>
      </c>
      <c r="BI198" s="16">
        <f>INDEX('Team forecast'!$B$2:$AO$26,MATCH('Master data'!$B198,'Team forecast'!$B$2:$B$26,0),MATCH('Master data'!BI$1,'Team forecast'!$B$2:$AO$2,0))</f>
        <v>2.6871549379926272</v>
      </c>
      <c r="BJ198" s="5">
        <f t="shared" si="117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118"/>
        <v>0</v>
      </c>
      <c r="BO198" s="5">
        <f t="shared" si="119"/>
        <v>0</v>
      </c>
      <c r="BP198" s="5">
        <f t="shared" si="120"/>
        <v>0</v>
      </c>
      <c r="BQ198" s="5">
        <f t="shared" si="121"/>
        <v>0</v>
      </c>
      <c r="BR198" s="5">
        <f t="shared" si="122"/>
        <v>0</v>
      </c>
      <c r="BS198" s="5">
        <f t="shared" si="123"/>
        <v>0</v>
      </c>
      <c r="BT198" s="5">
        <f t="shared" si="124"/>
        <v>0</v>
      </c>
      <c r="BU198" s="5">
        <f t="shared" si="125"/>
        <v>0</v>
      </c>
      <c r="BV198" s="5">
        <f t="shared" si="126"/>
        <v>0</v>
      </c>
      <c r="BW198" s="5">
        <f t="shared" si="127"/>
        <v>-5000</v>
      </c>
      <c r="BX198" s="5">
        <f t="shared" si="128"/>
        <v>-5000</v>
      </c>
      <c r="BY198" s="5">
        <f t="shared" si="129"/>
        <v>-15000</v>
      </c>
      <c r="BZ198" s="5">
        <f>INDEX('Team forecast'!$R$3:$BH$26,MATCH($B198,'Team forecast'!$B$3:$B$26,0),MATCH(BZ$1,'Team forecast'!$R$2:$BH$2,0))*($BX198-(BY198+CH198)*0.01)</f>
        <v>-26012.410794192951</v>
      </c>
      <c r="CA198" s="5">
        <f>INDEX('Team forecast'!$R$3:$BH$26,MATCH($B198,'Team forecast'!$B$3:$B$26,0),MATCH(CA$1,'Team forecast'!$R$2:$BH$2,0))*($BX198-(BY198+BX198+CH198)*0.01)</f>
        <v>-12836.542545781067</v>
      </c>
      <c r="CB198" s="5">
        <f>INDEX('Team forecast'!$R$3:$BH$26,MATCH($B198,'Team forecast'!$B$3:$B$26,0),MATCH(CB$1,'Team forecast'!$R$2:$BH$2,0))*($BX198-(BY198+BX198*2+CH198)*0.01)</f>
        <v>-6267.1337339770234</v>
      </c>
      <c r="CC198" s="5">
        <f>INDEX('Team forecast'!$R$3:$BH$26,MATCH($B198,'Team forecast'!$B$3:$B$26,0),MATCH(CC$1,'Team forecast'!$R$2:$BH$2,0))*($BX198-(BY198+BX198*3+CH198)*0.01)</f>
        <v>-2946.3246436272348</v>
      </c>
      <c r="CD198" s="5">
        <f>+AK198+BD198*Cockpit!$C$3+BW198*Cockpit!$C$3^2+BZ198*Cockpit!$C$3^3+CA198*Cockpit!$C$3^4+CB198*Cockpit!$C$3^5+CC198*Cockpit!$C$3^6</f>
        <v>-21882.513681470627</v>
      </c>
      <c r="CE198" s="5"/>
      <c r="CF198" s="5"/>
      <c r="CG198" s="5">
        <v>0</v>
      </c>
      <c r="CH198" s="5">
        <f t="shared" si="130"/>
        <v>3000000</v>
      </c>
      <c r="CI198" s="5">
        <f t="shared" si="131"/>
        <v>3000000</v>
      </c>
      <c r="CJ198" s="1">
        <f t="shared" si="132"/>
        <v>-5.0000000000000001E-3</v>
      </c>
      <c r="CK198" s="5">
        <f>RANK(BY198,$BY$2:$BY$623)+COUNTIF($BY$2:$BY198,$BY198)-1</f>
        <v>480</v>
      </c>
      <c r="CL198" s="5">
        <f>RANK(CJ198,$CJ$2:$CJ$623)+COUNTIF($CJ$2:$CJ198,$CJ198)-1</f>
        <v>494</v>
      </c>
    </row>
    <row r="199" spans="1:90">
      <c r="A199" t="str">
        <f>Players!P200</f>
        <v>Salvatore Sirigu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1.6593477618235051</v>
      </c>
      <c r="I199" s="16">
        <f>INDEX('Team forecast'!$B$2:$AO$26,MATCH('Master data'!$B199,'Team forecast'!$B$2:$B$26,0),MATCH('Master data'!I$1,'Team forecast'!$B$2:$AO$2,0))</f>
        <v>0.65422581624273402</v>
      </c>
      <c r="J199" s="16">
        <f>INDEX('Team forecast'!$B$2:$AO$26,MATCH('Master data'!$B199,'Team forecast'!$B$2:$B$26,0),MATCH('Master data'!J$1,'Team forecast'!$B$2:$AO$2,0))</f>
        <v>0.51984436190144767</v>
      </c>
      <c r="K199" s="16">
        <f>INDEX('Team forecast'!$B$2:$AO$26,MATCH('Master data'!$B199,'Team forecast'!$B$2:$B$26,0),MATCH('Master data'!K$1,'Team forecast'!$B$2:$AO$2,0))</f>
        <v>4.5343674133251923</v>
      </c>
      <c r="L199" s="16">
        <f>INDEX('Team forecast'!$B$2:$AO$26,MATCH('Master data'!$B199,'Team forecast'!$B$2:$B$26,0),MATCH('Master data'!L$1,'Team forecast'!$B$2:$AO$2,0))</f>
        <v>2.1477110129180663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91"/>
        <v>1.6593477618235051</v>
      </c>
      <c r="T199" s="2">
        <f t="shared" si="92"/>
        <v>0.65422581624273402</v>
      </c>
      <c r="U199" s="16">
        <f>INDEX('Team forecast'!$B$2:$AO$26,MATCH('Master data'!$B199,'Team forecast'!$B$2:$B$26,0),MATCH('Master data'!U$1,'Team forecast'!$B$2:$AO$2,0))</f>
        <v>0.61375173050299947</v>
      </c>
      <c r="V199" s="16">
        <f>INDEX('Team forecast'!$B$2:$AO$26,MATCH('Master data'!$B199,'Team forecast'!$B$2:$B$26,0),MATCH('Master data'!V$1,'Team forecast'!$B$2:$AO$2,0))</f>
        <v>0.25034610059990769</v>
      </c>
      <c r="W199" s="16">
        <f>INDEX('Team forecast'!$B$2:$AO$26,MATCH('Master data'!$B199,'Team forecast'!$B$2:$B$26,0),MATCH('Master data'!W$1,'Team forecast'!$B$2:$AO$2,0))</f>
        <v>0.13590216889709281</v>
      </c>
      <c r="X199" s="5">
        <f t="shared" si="93"/>
        <v>-5000</v>
      </c>
      <c r="Y199" s="5">
        <f t="shared" si="94"/>
        <v>0</v>
      </c>
      <c r="Z199" s="5">
        <f t="shared" si="95"/>
        <v>0</v>
      </c>
      <c r="AA199" s="5">
        <f t="shared" si="96"/>
        <v>0</v>
      </c>
      <c r="AB199" s="5">
        <f t="shared" si="97"/>
        <v>0</v>
      </c>
      <c r="AC199" s="5">
        <f t="shared" si="98"/>
        <v>0</v>
      </c>
      <c r="AD199" s="5">
        <f t="shared" si="99"/>
        <v>0</v>
      </c>
      <c r="AE199" s="5">
        <f t="shared" si="100"/>
        <v>38988.327142608578</v>
      </c>
      <c r="AF199" s="5">
        <f t="shared" si="101"/>
        <v>7467.425983376661</v>
      </c>
      <c r="AG199" s="5">
        <f t="shared" si="102"/>
        <v>0</v>
      </c>
      <c r="AH199" s="5">
        <f t="shared" si="103"/>
        <v>0</v>
      </c>
      <c r="AI199" s="5">
        <f t="shared" si="104"/>
        <v>0</v>
      </c>
      <c r="AJ199" s="5">
        <f t="shared" si="105"/>
        <v>0</v>
      </c>
      <c r="AK199" s="5">
        <f>IFERROR(SUM(X199:AJ199),-5000)*((Cockpit!$C$3)^0)</f>
        <v>41455.75312598524</v>
      </c>
      <c r="AL199" s="16">
        <f>INDEX('Team forecast'!$B$2:$AO$26,MATCH('Master data'!$B199,'Team forecast'!$B$2:$B$26,0),MATCH('Master data'!AL$1,'Team forecast'!$B$2:$AO$2,0))</f>
        <v>1.5198357804321134</v>
      </c>
      <c r="AM199" s="16">
        <f>INDEX('Team forecast'!$B$2:$AO$26,MATCH('Master data'!$B199,'Team forecast'!$B$2:$B$26,0),MATCH('Master data'!AM$1,'Team forecast'!$B$2:$AO$2,0))</f>
        <v>0.79620558314709244</v>
      </c>
      <c r="AN199" s="16">
        <f>INDEX('Team forecast'!$B$2:$AO$26,MATCH('Master data'!$B199,'Team forecast'!$B$2:$B$26,0),MATCH('Master data'!AN$1,'Team forecast'!$B$2:$AO$2,0))</f>
        <v>0.45103714423540769</v>
      </c>
      <c r="AO199" s="16">
        <f>INDEX('Team forecast'!$B$2:$AO$26,MATCH('Master data'!$B199,'Team forecast'!$B$2:$B$26,0),MATCH('Master data'!AO$1,'Team forecast'!$B$2:$AO$2,0))</f>
        <v>4.1531341379722457</v>
      </c>
      <c r="AP199" s="16">
        <f>INDEX('Team forecast'!$B$2:$AO$26,MATCH('Master data'!$B199,'Team forecast'!$B$2:$B$26,0),MATCH('Master data'!AP$1,'Team forecast'!$B$2:$AO$2,0))</f>
        <v>2.6138062073010611</v>
      </c>
      <c r="AQ199" s="5">
        <f t="shared" si="106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107"/>
        <v>0</v>
      </c>
      <c r="AV199" s="5">
        <f t="shared" si="108"/>
        <v>0</v>
      </c>
      <c r="AW199" s="5">
        <f t="shared" si="109"/>
        <v>0</v>
      </c>
      <c r="AX199" s="5">
        <f t="shared" si="110"/>
        <v>33827.785817655575</v>
      </c>
      <c r="AY199" s="5">
        <f t="shared" si="111"/>
        <v>9088.003120769843</v>
      </c>
      <c r="AZ199" s="5">
        <f t="shared" si="112"/>
        <v>0</v>
      </c>
      <c r="BA199" s="5">
        <f t="shared" si="113"/>
        <v>0</v>
      </c>
      <c r="BB199" s="5">
        <f t="shared" si="114"/>
        <v>0</v>
      </c>
      <c r="BC199" s="5">
        <f t="shared" si="115"/>
        <v>0</v>
      </c>
      <c r="BD199" s="5">
        <f t="shared" si="116"/>
        <v>37915.788938425416</v>
      </c>
      <c r="BE199" s="16">
        <f>INDEX('Team forecast'!$B$2:$AO$26,MATCH('Master data'!$B199,'Team forecast'!$B$2:$B$26,0),MATCH('Master data'!BE$1,'Team forecast'!$B$2:$AO$2,0))</f>
        <v>1.8402581758343768</v>
      </c>
      <c r="BF199" s="16">
        <f>INDEX('Team forecast'!$B$2:$AO$26,MATCH('Master data'!$B199,'Team forecast'!$B$2:$B$26,0),MATCH('Master data'!BF$1,'Team forecast'!$B$2:$AO$2,0))</f>
        <v>0.65281467345965161</v>
      </c>
      <c r="BG199" s="16">
        <f>INDEX('Team forecast'!$B$2:$AO$26,MATCH('Master data'!$B199,'Team forecast'!$B$2:$B$26,0),MATCH('Master data'!BG$1,'Team forecast'!$B$2:$AO$2,0))</f>
        <v>0.52057845435388617</v>
      </c>
      <c r="BH199" s="16">
        <f>INDEX('Team forecast'!$B$2:$AO$26,MATCH('Master data'!$B199,'Team forecast'!$B$2:$B$26,0),MATCH('Master data'!BH$1,'Team forecast'!$B$2:$AO$2,0))</f>
        <v>5.0287268869057034</v>
      </c>
      <c r="BI199" s="16">
        <f>INDEX('Team forecast'!$B$2:$AO$26,MATCH('Master data'!$B199,'Team forecast'!$B$2:$B$26,0),MATCH('Master data'!BI$1,'Team forecast'!$B$2:$AO$2,0))</f>
        <v>2.1430784734786541</v>
      </c>
      <c r="BJ199" s="5">
        <f t="shared" si="117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118"/>
        <v>0</v>
      </c>
      <c r="BO199" s="5">
        <f t="shared" si="119"/>
        <v>0</v>
      </c>
      <c r="BP199" s="5">
        <f t="shared" si="120"/>
        <v>0</v>
      </c>
      <c r="BQ199" s="5">
        <f t="shared" si="121"/>
        <v>39043.384076541464</v>
      </c>
      <c r="BR199" s="5">
        <f t="shared" si="122"/>
        <v>7451.3190000950126</v>
      </c>
      <c r="BS199" s="5">
        <f t="shared" si="123"/>
        <v>0</v>
      </c>
      <c r="BT199" s="5">
        <f t="shared" si="124"/>
        <v>0</v>
      </c>
      <c r="BU199" s="5">
        <f t="shared" si="125"/>
        <v>0</v>
      </c>
      <c r="BV199" s="5">
        <f t="shared" si="126"/>
        <v>0</v>
      </c>
      <c r="BW199" s="5">
        <f t="shared" si="127"/>
        <v>41494.703076636477</v>
      </c>
      <c r="BX199" s="5">
        <f t="shared" si="128"/>
        <v>40288.748380349047</v>
      </c>
      <c r="BY199" s="5">
        <f t="shared" si="129"/>
        <v>120866.24514104714</v>
      </c>
      <c r="BZ199" s="5">
        <f>INDEX('Team forecast'!$R$3:$BH$26,MATCH($B199,'Team forecast'!$B$3:$B$26,0),MATCH(BZ$1,'Team forecast'!$R$2:$BH$2,0))*($BX199-(BY199+CH199)*0.01)</f>
        <v>-5669.258598537428</v>
      </c>
      <c r="CA199" s="5">
        <f>INDEX('Team forecast'!$R$3:$BH$26,MATCH($B199,'Team forecast'!$B$3:$B$26,0),MATCH(CA$1,'Team forecast'!$R$2:$BH$2,0))*($BX199-(BY199+BX199+CH199)*0.01)</f>
        <v>-3052.0970643193778</v>
      </c>
      <c r="CB199" s="5">
        <f>INDEX('Team forecast'!$R$3:$BH$26,MATCH($B199,'Team forecast'!$B$3:$B$26,0),MATCH(CB$1,'Team forecast'!$R$2:$BH$2,0))*($BX199-(BY199+BX199*2+CH199)*0.01)</f>
        <v>-1647.8695529167528</v>
      </c>
      <c r="CC199" s="5">
        <f>INDEX('Team forecast'!$R$3:$BH$26,MATCH($B199,'Team forecast'!$B$3:$B$26,0),MATCH(CC$1,'Team forecast'!$R$2:$BH$2,0))*($BX199-(BY199+BX199*3+CH199)*0.01)</f>
        <v>-906.88678280613942</v>
      </c>
      <c r="CD199" s="5">
        <f>+AK199+BD199*Cockpit!$C$3+BW199*Cockpit!$C$3^2+BZ199*Cockpit!$C$3^3+CA199*Cockpit!$C$3^4+CB199*Cockpit!$C$3^5+CC199*Cockpit!$C$3^6</f>
        <v>82595.751967109099</v>
      </c>
      <c r="CE199" s="5"/>
      <c r="CF199" s="5"/>
      <c r="CG199" s="5">
        <v>0</v>
      </c>
      <c r="CH199" s="5">
        <f t="shared" si="130"/>
        <v>4500000</v>
      </c>
      <c r="CI199" s="5">
        <f t="shared" si="131"/>
        <v>4500000</v>
      </c>
      <c r="CJ199" s="1">
        <f t="shared" si="132"/>
        <v>2.6859165586899363E-2</v>
      </c>
      <c r="CK199" s="5">
        <f>RANK(BY199,$BY$2:$BY$623)+COUNTIF($BY$2:$BY199,$BY199)-1</f>
        <v>133</v>
      </c>
      <c r="CL199" s="5">
        <f>RANK(CJ199,$CJ$2:$CJ$623)+COUNTIF($CJ$2:$CJ199,$CJ199)-1</f>
        <v>183</v>
      </c>
    </row>
    <row r="200" spans="1:90">
      <c r="A200" t="str">
        <f>Players!P201</f>
        <v>Alex Meret</v>
      </c>
      <c r="B200" t="str">
        <f>Players!G201</f>
        <v>Italy</v>
      </c>
      <c r="C200" t="str">
        <f>Players!AB201</f>
        <v>Goalkeeper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4500000</v>
      </c>
      <c r="H200" s="16">
        <f>INDEX('Team forecast'!$B$2:$AO$26,MATCH('Master data'!$B200,'Team forecast'!$B$2:$B$26,0),MATCH('Master data'!H$1,'Team forecast'!$B$2:$AO$2,0))</f>
        <v>1.6593477618235051</v>
      </c>
      <c r="I200" s="16">
        <f>INDEX('Team forecast'!$B$2:$AO$26,MATCH('Master data'!$B200,'Team forecast'!$B$2:$B$26,0),MATCH('Master data'!I$1,'Team forecast'!$B$2:$AO$2,0))</f>
        <v>0.65422581624273402</v>
      </c>
      <c r="J200" s="16">
        <f>INDEX('Team forecast'!$B$2:$AO$26,MATCH('Master data'!$B200,'Team forecast'!$B$2:$B$26,0),MATCH('Master data'!J$1,'Team forecast'!$B$2:$AO$2,0))</f>
        <v>0.51984436190144767</v>
      </c>
      <c r="K200" s="16">
        <f>INDEX('Team forecast'!$B$2:$AO$26,MATCH('Master data'!$B200,'Team forecast'!$B$2:$B$26,0),MATCH('Master data'!K$1,'Team forecast'!$B$2:$AO$2,0))</f>
        <v>4.5343674133251923</v>
      </c>
      <c r="L200" s="16">
        <f>INDEX('Team forecast'!$B$2:$AO$26,MATCH('Master data'!$B200,'Team forecast'!$B$2:$B$26,0),MATCH('Master data'!L$1,'Team forecast'!$B$2:$AO$2,0))</f>
        <v>2.1477110129180663</v>
      </c>
      <c r="M200">
        <f>IF(Players!BC201=1,95,0)</f>
        <v>0</v>
      </c>
      <c r="N200" s="2">
        <f>Players!BN201</f>
        <v>0</v>
      </c>
      <c r="O200" s="2">
        <f>Players!BO201</f>
        <v>0</v>
      </c>
      <c r="P200" s="2">
        <f>Players!BP201</f>
        <v>0</v>
      </c>
      <c r="Q200" s="2">
        <f>Players!BQ201</f>
        <v>0</v>
      </c>
      <c r="R200" s="2">
        <f>Players!BR201</f>
        <v>0</v>
      </c>
      <c r="S200" s="2">
        <f t="shared" si="91"/>
        <v>1.6593477618235051</v>
      </c>
      <c r="T200" s="2">
        <f t="shared" si="92"/>
        <v>0.65422581624273402</v>
      </c>
      <c r="U200" s="16">
        <f>INDEX('Team forecast'!$B$2:$AO$26,MATCH('Master data'!$B200,'Team forecast'!$B$2:$B$26,0),MATCH('Master data'!U$1,'Team forecast'!$B$2:$AO$2,0))</f>
        <v>0.61375173050299947</v>
      </c>
      <c r="V200" s="16">
        <f>INDEX('Team forecast'!$B$2:$AO$26,MATCH('Master data'!$B200,'Team forecast'!$B$2:$B$26,0),MATCH('Master data'!V$1,'Team forecast'!$B$2:$AO$2,0))</f>
        <v>0.25034610059990769</v>
      </c>
      <c r="W200" s="16">
        <f>INDEX('Team forecast'!$B$2:$AO$26,MATCH('Master data'!$B200,'Team forecast'!$B$2:$B$26,0),MATCH('Master data'!W$1,'Team forecast'!$B$2:$AO$2,0))</f>
        <v>0.13590216889709281</v>
      </c>
      <c r="X200" s="5">
        <f t="shared" si="93"/>
        <v>-5000</v>
      </c>
      <c r="Y200" s="5">
        <f t="shared" si="94"/>
        <v>0</v>
      </c>
      <c r="Z200" s="5">
        <f t="shared" si="95"/>
        <v>0</v>
      </c>
      <c r="AA200" s="5">
        <f t="shared" si="96"/>
        <v>0</v>
      </c>
      <c r="AB200" s="5">
        <f t="shared" si="97"/>
        <v>0</v>
      </c>
      <c r="AC200" s="5">
        <f t="shared" si="98"/>
        <v>0</v>
      </c>
      <c r="AD200" s="5">
        <f t="shared" si="99"/>
        <v>0</v>
      </c>
      <c r="AE200" s="5">
        <f t="shared" si="100"/>
        <v>38988.327142608578</v>
      </c>
      <c r="AF200" s="5">
        <f t="shared" si="101"/>
        <v>7467.425983376661</v>
      </c>
      <c r="AG200" s="5">
        <f t="shared" si="102"/>
        <v>0</v>
      </c>
      <c r="AH200" s="5">
        <f t="shared" si="103"/>
        <v>0</v>
      </c>
      <c r="AI200" s="5">
        <f t="shared" si="104"/>
        <v>0</v>
      </c>
      <c r="AJ200" s="5">
        <f t="shared" si="105"/>
        <v>0</v>
      </c>
      <c r="AK200" s="5">
        <f>IFERROR(SUM(X200:AJ200),-5000)*((Cockpit!$C$3)^0)</f>
        <v>41455.75312598524</v>
      </c>
      <c r="AL200" s="16">
        <f>INDEX('Team forecast'!$B$2:$AO$26,MATCH('Master data'!$B200,'Team forecast'!$B$2:$B$26,0),MATCH('Master data'!AL$1,'Team forecast'!$B$2:$AO$2,0))</f>
        <v>1.5198357804321134</v>
      </c>
      <c r="AM200" s="16">
        <f>INDEX('Team forecast'!$B$2:$AO$26,MATCH('Master data'!$B200,'Team forecast'!$B$2:$B$26,0),MATCH('Master data'!AM$1,'Team forecast'!$B$2:$AO$2,0))</f>
        <v>0.79620558314709244</v>
      </c>
      <c r="AN200" s="16">
        <f>INDEX('Team forecast'!$B$2:$AO$26,MATCH('Master data'!$B200,'Team forecast'!$B$2:$B$26,0),MATCH('Master data'!AN$1,'Team forecast'!$B$2:$AO$2,0))</f>
        <v>0.45103714423540769</v>
      </c>
      <c r="AO200" s="16">
        <f>INDEX('Team forecast'!$B$2:$AO$26,MATCH('Master data'!$B200,'Team forecast'!$B$2:$B$26,0),MATCH('Master data'!AO$1,'Team forecast'!$B$2:$AO$2,0))</f>
        <v>4.1531341379722457</v>
      </c>
      <c r="AP200" s="16">
        <f>INDEX('Team forecast'!$B$2:$AO$26,MATCH('Master data'!$B200,'Team forecast'!$B$2:$B$26,0),MATCH('Master data'!AP$1,'Team forecast'!$B$2:$AO$2,0))</f>
        <v>2.6138062073010611</v>
      </c>
      <c r="AQ200" s="5">
        <f t="shared" si="106"/>
        <v>-5000</v>
      </c>
      <c r="AR200" s="5">
        <f>INDEX('Team forecast'!$B$2:$AO$26,MATCH('Master data'!$B200,'Team forecast'!$B$2:$B$26,0),MATCH('Master data'!AR$1,'Team forecast'!$B$2:$AO$2,0))*IF(X200&gt;0,25000,0)</f>
        <v>0</v>
      </c>
      <c r="AS200" s="16">
        <f>INDEX('Team forecast'!$B$2:$AO$26,MATCH('Master data'!$B200,'Team forecast'!$B$2:$B$26,0),MATCH('Master data'!AS$1,'Team forecast'!$B$2:$AO$2,0))*IF(X200&gt;0,5000,0)</f>
        <v>0</v>
      </c>
      <c r="AT200" s="16">
        <f>INDEX('Team forecast'!$B$2:$AO$26,MATCH('Master data'!$B200,'Team forecast'!$B$2:$B$26,0),MATCH('Master data'!AT$1,'Team forecast'!$B$2:$AO$2,0))*IF(X200&gt;0,-15000,0)</f>
        <v>0</v>
      </c>
      <c r="AU200" s="5">
        <f t="shared" si="107"/>
        <v>0</v>
      </c>
      <c r="AV200" s="5">
        <f t="shared" si="108"/>
        <v>0</v>
      </c>
      <c r="AW200" s="5">
        <f t="shared" si="109"/>
        <v>0</v>
      </c>
      <c r="AX200" s="5">
        <f t="shared" si="110"/>
        <v>33827.785817655575</v>
      </c>
      <c r="AY200" s="5">
        <f t="shared" si="111"/>
        <v>9088.003120769843</v>
      </c>
      <c r="AZ200" s="5">
        <f t="shared" si="112"/>
        <v>0</v>
      </c>
      <c r="BA200" s="5">
        <f t="shared" si="113"/>
        <v>0</v>
      </c>
      <c r="BB200" s="5">
        <f t="shared" si="114"/>
        <v>0</v>
      </c>
      <c r="BC200" s="5">
        <f t="shared" si="115"/>
        <v>0</v>
      </c>
      <c r="BD200" s="5">
        <f t="shared" si="116"/>
        <v>37915.788938425416</v>
      </c>
      <c r="BE200" s="16">
        <f>INDEX('Team forecast'!$B$2:$AO$26,MATCH('Master data'!$B200,'Team forecast'!$B$2:$B$26,0),MATCH('Master data'!BE$1,'Team forecast'!$B$2:$AO$2,0))</f>
        <v>1.8402581758343768</v>
      </c>
      <c r="BF200" s="16">
        <f>INDEX('Team forecast'!$B$2:$AO$26,MATCH('Master data'!$B200,'Team forecast'!$B$2:$B$26,0),MATCH('Master data'!BF$1,'Team forecast'!$B$2:$AO$2,0))</f>
        <v>0.65281467345965161</v>
      </c>
      <c r="BG200" s="16">
        <f>INDEX('Team forecast'!$B$2:$AO$26,MATCH('Master data'!$B200,'Team forecast'!$B$2:$B$26,0),MATCH('Master data'!BG$1,'Team forecast'!$B$2:$AO$2,0))</f>
        <v>0.52057845435388617</v>
      </c>
      <c r="BH200" s="16">
        <f>INDEX('Team forecast'!$B$2:$AO$26,MATCH('Master data'!$B200,'Team forecast'!$B$2:$B$26,0),MATCH('Master data'!BH$1,'Team forecast'!$B$2:$AO$2,0))</f>
        <v>5.0287268869057034</v>
      </c>
      <c r="BI200" s="16">
        <f>INDEX('Team forecast'!$B$2:$AO$26,MATCH('Master data'!$B200,'Team forecast'!$B$2:$B$26,0),MATCH('Master data'!BI$1,'Team forecast'!$B$2:$AO$2,0))</f>
        <v>2.1430784734786541</v>
      </c>
      <c r="BJ200" s="5">
        <f t="shared" si="117"/>
        <v>-5000</v>
      </c>
      <c r="BK200" s="5">
        <f>INDEX('Team forecast'!$R$3:$BH$26,MATCH($B200,'Team forecast'!$B$3:$B$26,0),MATCH(BK$1,'Team forecast'!$R$2:$BH$2,0))*IF($X200&gt;0,25000,0)</f>
        <v>0</v>
      </c>
      <c r="BL200" s="5">
        <f>INDEX('Team forecast'!$R$3:$BH$26,MATCH($B200,'Team forecast'!$B$3:$B$26,0),MATCH(BL$1,'Team forecast'!$R$2:$BH$2,0))*IF($X200&gt;0,5000,0)</f>
        <v>0</v>
      </c>
      <c r="BM200" s="5">
        <f>INDEX('Team forecast'!$R$3:$BH$26,MATCH($B200,'Team forecast'!$B$3:$B$26,0),MATCH(BM$1,'Team forecast'!$R$2:$BH$2,0))*IF($X200&gt;0,-15000,0)</f>
        <v>0</v>
      </c>
      <c r="BN200" s="5">
        <f t="shared" si="118"/>
        <v>0</v>
      </c>
      <c r="BO200" s="5">
        <f t="shared" si="119"/>
        <v>0</v>
      </c>
      <c r="BP200" s="5">
        <f t="shared" si="120"/>
        <v>0</v>
      </c>
      <c r="BQ200" s="5">
        <f t="shared" si="121"/>
        <v>39043.384076541464</v>
      </c>
      <c r="BR200" s="5">
        <f t="shared" si="122"/>
        <v>7451.3190000950126</v>
      </c>
      <c r="BS200" s="5">
        <f t="shared" si="123"/>
        <v>0</v>
      </c>
      <c r="BT200" s="5">
        <f t="shared" si="124"/>
        <v>0</v>
      </c>
      <c r="BU200" s="5">
        <f t="shared" si="125"/>
        <v>0</v>
      </c>
      <c r="BV200" s="5">
        <f t="shared" si="126"/>
        <v>0</v>
      </c>
      <c r="BW200" s="5">
        <f t="shared" si="127"/>
        <v>41494.703076636477</v>
      </c>
      <c r="BX200" s="5">
        <f t="shared" si="128"/>
        <v>40288.748380349047</v>
      </c>
      <c r="BY200" s="5">
        <f t="shared" si="129"/>
        <v>120866.24514104714</v>
      </c>
      <c r="BZ200" s="5">
        <f>INDEX('Team forecast'!$R$3:$BH$26,MATCH($B200,'Team forecast'!$B$3:$B$26,0),MATCH(BZ$1,'Team forecast'!$R$2:$BH$2,0))*($BX200-(BY200+CH200)*0.01)</f>
        <v>-5669.258598537428</v>
      </c>
      <c r="CA200" s="5">
        <f>INDEX('Team forecast'!$R$3:$BH$26,MATCH($B200,'Team forecast'!$B$3:$B$26,0),MATCH(CA$1,'Team forecast'!$R$2:$BH$2,0))*($BX200-(BY200+BX200+CH200)*0.01)</f>
        <v>-3052.0970643193778</v>
      </c>
      <c r="CB200" s="5">
        <f>INDEX('Team forecast'!$R$3:$BH$26,MATCH($B200,'Team forecast'!$B$3:$B$26,0),MATCH(CB$1,'Team forecast'!$R$2:$BH$2,0))*($BX200-(BY200+BX200*2+CH200)*0.01)</f>
        <v>-1647.8695529167528</v>
      </c>
      <c r="CC200" s="5">
        <f>INDEX('Team forecast'!$R$3:$BH$26,MATCH($B200,'Team forecast'!$B$3:$B$26,0),MATCH(CC$1,'Team forecast'!$R$2:$BH$2,0))*($BX200-(BY200+BX200*3+CH200)*0.01)</f>
        <v>-906.88678280613942</v>
      </c>
      <c r="CD200" s="5">
        <f>+AK200+BD200*Cockpit!$C$3+BW200*Cockpit!$C$3^2+BZ200*Cockpit!$C$3^3+CA200*Cockpit!$C$3^4+CB200*Cockpit!$C$3^5+CC200*Cockpit!$C$3^6</f>
        <v>82595.751967109099</v>
      </c>
      <c r="CE200" s="5"/>
      <c r="CF200" s="5"/>
      <c r="CG200" s="5">
        <v>0</v>
      </c>
      <c r="CH200" s="5">
        <f t="shared" si="130"/>
        <v>4500000</v>
      </c>
      <c r="CI200" s="5">
        <f t="shared" si="131"/>
        <v>4500000</v>
      </c>
      <c r="CJ200" s="1">
        <f t="shared" si="132"/>
        <v>2.6859165586899363E-2</v>
      </c>
      <c r="CK200" s="5">
        <f>RANK(BY200,$BY$2:$BY$623)+COUNTIF($BY$2:$BY200,$BY200)-1</f>
        <v>134</v>
      </c>
      <c r="CL200" s="5">
        <f>RANK(CJ200,$CJ$2:$CJ$623)+COUNTIF($CJ$2:$CJ200,$CJ200)-1</f>
        <v>184</v>
      </c>
    </row>
    <row r="201" spans="1:90">
      <c r="A201" t="str">
        <f>Players!P202</f>
        <v>Leonardo Bonucci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4000000</v>
      </c>
      <c r="H201" s="16">
        <f>INDEX('Team forecast'!$B$2:$AO$26,MATCH('Master data'!$B201,'Team forecast'!$B$2:$B$26,0),MATCH('Master data'!H$1,'Team forecast'!$B$2:$AO$2,0))</f>
        <v>1.6593477618235051</v>
      </c>
      <c r="I201" s="16">
        <f>INDEX('Team forecast'!$B$2:$AO$26,MATCH('Master data'!$B201,'Team forecast'!$B$2:$B$26,0),MATCH('Master data'!I$1,'Team forecast'!$B$2:$AO$2,0))</f>
        <v>0.65422581624273402</v>
      </c>
      <c r="J201" s="16">
        <f>INDEX('Team forecast'!$B$2:$AO$26,MATCH('Master data'!$B201,'Team forecast'!$B$2:$B$26,0),MATCH('Master data'!J$1,'Team forecast'!$B$2:$AO$2,0))</f>
        <v>0.51984436190144767</v>
      </c>
      <c r="K201" s="16">
        <f>INDEX('Team forecast'!$B$2:$AO$26,MATCH('Master data'!$B201,'Team forecast'!$B$2:$B$26,0),MATCH('Master data'!K$1,'Team forecast'!$B$2:$AO$2,0))</f>
        <v>4.5343674133251923</v>
      </c>
      <c r="L201" s="16">
        <f>INDEX('Team forecast'!$B$2:$AO$26,MATCH('Master data'!$B201,'Team forecast'!$B$2:$B$26,0),MATCH('Master data'!L$1,'Team forecast'!$B$2:$AO$2,0))</f>
        <v>2.1477110129180663</v>
      </c>
      <c r="M201">
        <f>IF(Players!BC202=1,95,0)</f>
        <v>95</v>
      </c>
      <c r="N201" s="2">
        <f>Players!BN202</f>
        <v>4.1482733479316518E-2</v>
      </c>
      <c r="O201" s="2">
        <f>Players!BO202</f>
        <v>8.9826228204779632E-2</v>
      </c>
      <c r="P201" s="2">
        <f>Players!BP202</f>
        <v>2.2674093645752857E-2</v>
      </c>
      <c r="Q201" s="2">
        <f>Players!BQ202</f>
        <v>0.14858267716535434</v>
      </c>
      <c r="R201" s="2">
        <f>Players!BR202</f>
        <v>0</v>
      </c>
      <c r="S201" s="2">
        <f t="shared" si="91"/>
        <v>1.6593477618235051</v>
      </c>
      <c r="T201" s="2">
        <f t="shared" si="92"/>
        <v>0.65422581624273402</v>
      </c>
      <c r="U201" s="16">
        <f>INDEX('Team forecast'!$B$2:$AO$26,MATCH('Master data'!$B201,'Team forecast'!$B$2:$B$26,0),MATCH('Master data'!U$1,'Team forecast'!$B$2:$AO$2,0))</f>
        <v>0.61375173050299947</v>
      </c>
      <c r="V201" s="16">
        <f>INDEX('Team forecast'!$B$2:$AO$26,MATCH('Master data'!$B201,'Team forecast'!$B$2:$B$26,0),MATCH('Master data'!V$1,'Team forecast'!$B$2:$AO$2,0))</f>
        <v>0.25034610059990769</v>
      </c>
      <c r="W201" s="16">
        <f>INDEX('Team forecast'!$B$2:$AO$26,MATCH('Master data'!$B201,'Team forecast'!$B$2:$B$26,0),MATCH('Master data'!W$1,'Team forecast'!$B$2:$AO$2,0))</f>
        <v>0.13590216889709281</v>
      </c>
      <c r="X201" s="5">
        <f t="shared" si="93"/>
        <v>7000</v>
      </c>
      <c r="Y201" s="5">
        <f t="shared" si="94"/>
        <v>15343.793262574987</v>
      </c>
      <c r="Z201" s="5">
        <f t="shared" si="95"/>
        <v>1251.7305029995384</v>
      </c>
      <c r="AA201" s="5">
        <f t="shared" si="96"/>
        <v>-2038.532533456392</v>
      </c>
      <c r="AB201" s="5">
        <f t="shared" si="97"/>
        <v>10325.142142983726</v>
      </c>
      <c r="AC201" s="5">
        <f t="shared" si="98"/>
        <v>7452.6475362324245</v>
      </c>
      <c r="AD201" s="5">
        <f t="shared" si="99"/>
        <v>1028.1267135398555</v>
      </c>
      <c r="AE201" s="5">
        <f t="shared" si="100"/>
        <v>25992.218095072385</v>
      </c>
      <c r="AF201" s="5">
        <f t="shared" si="101"/>
        <v>0</v>
      </c>
      <c r="AG201" s="5">
        <f t="shared" si="102"/>
        <v>-2971.6535433070867</v>
      </c>
      <c r="AH201" s="5">
        <f t="shared" si="103"/>
        <v>0</v>
      </c>
      <c r="AI201" s="5">
        <f t="shared" si="104"/>
        <v>16593.477618235051</v>
      </c>
      <c r="AJ201" s="5">
        <f t="shared" si="105"/>
        <v>-5233.8065299418722</v>
      </c>
      <c r="AK201" s="5">
        <f>IFERROR(SUM(X201:AJ201),-5000)*((Cockpit!$C$3)^0)</f>
        <v>74743.143264932616</v>
      </c>
      <c r="AL201" s="16">
        <f>INDEX('Team forecast'!$B$2:$AO$26,MATCH('Master data'!$B201,'Team forecast'!$B$2:$B$26,0),MATCH('Master data'!AL$1,'Team forecast'!$B$2:$AO$2,0))</f>
        <v>1.5198357804321134</v>
      </c>
      <c r="AM201" s="16">
        <f>INDEX('Team forecast'!$B$2:$AO$26,MATCH('Master data'!$B201,'Team forecast'!$B$2:$B$26,0),MATCH('Master data'!AM$1,'Team forecast'!$B$2:$AO$2,0))</f>
        <v>0.79620558314709244</v>
      </c>
      <c r="AN201" s="16">
        <f>INDEX('Team forecast'!$B$2:$AO$26,MATCH('Master data'!$B201,'Team forecast'!$B$2:$B$26,0),MATCH('Master data'!AN$1,'Team forecast'!$B$2:$AO$2,0))</f>
        <v>0.45103714423540769</v>
      </c>
      <c r="AO201" s="16">
        <f>INDEX('Team forecast'!$B$2:$AO$26,MATCH('Master data'!$B201,'Team forecast'!$B$2:$B$26,0),MATCH('Master data'!AO$1,'Team forecast'!$B$2:$AO$2,0))</f>
        <v>4.1531341379722457</v>
      </c>
      <c r="AP201" s="16">
        <f>INDEX('Team forecast'!$B$2:$AO$26,MATCH('Master data'!$B201,'Team forecast'!$B$2:$B$26,0),MATCH('Master data'!AP$1,'Team forecast'!$B$2:$AO$2,0))</f>
        <v>2.6138062073010611</v>
      </c>
      <c r="AQ201" s="5">
        <f t="shared" si="106"/>
        <v>7000</v>
      </c>
      <c r="AR201" s="5">
        <f>INDEX('Team forecast'!$B$2:$AO$26,MATCH('Master data'!$B201,'Team forecast'!$B$2:$B$26,0),MATCH('Master data'!AR$1,'Team forecast'!$B$2:$AO$2,0))*IF(X201&gt;0,25000,0)</f>
        <v>13929.088277858178</v>
      </c>
      <c r="AS201" s="16">
        <f>INDEX('Team forecast'!$B$2:$AO$26,MATCH('Master data'!$B201,'Team forecast'!$B$2:$B$26,0),MATCH('Master data'!AS$1,'Team forecast'!$B$2:$AO$2,0))*IF(X201&gt;0,5000,0)</f>
        <v>1353.111432706223</v>
      </c>
      <c r="AT201" s="16">
        <f>INDEX('Team forecast'!$B$2:$AO$26,MATCH('Master data'!$B201,'Team forecast'!$B$2:$B$26,0),MATCH('Master data'!AT$1,'Team forecast'!$B$2:$AO$2,0))*IF(X201&gt;0,-15000,0)</f>
        <v>-2583.2127351664258</v>
      </c>
      <c r="AU201" s="5">
        <f t="shared" si="107"/>
        <v>9457.0413917991555</v>
      </c>
      <c r="AV201" s="5">
        <f t="shared" si="108"/>
        <v>6826.0557823442186</v>
      </c>
      <c r="AW201" s="5">
        <f t="shared" si="109"/>
        <v>941.68552367755763</v>
      </c>
      <c r="AX201" s="5">
        <f t="shared" si="110"/>
        <v>22551.857211770384</v>
      </c>
      <c r="AY201" s="5">
        <f t="shared" si="111"/>
        <v>0</v>
      </c>
      <c r="AZ201" s="5">
        <f t="shared" si="112"/>
        <v>-2971.6535433070867</v>
      </c>
      <c r="BA201" s="5">
        <f t="shared" si="113"/>
        <v>0</v>
      </c>
      <c r="BB201" s="5">
        <f t="shared" si="114"/>
        <v>15198.357804321135</v>
      </c>
      <c r="BC201" s="5">
        <f t="shared" si="115"/>
        <v>-6369.6446651767392</v>
      </c>
      <c r="BD201" s="5">
        <f t="shared" si="116"/>
        <v>65332.686480826604</v>
      </c>
      <c r="BE201" s="16">
        <f>INDEX('Team forecast'!$B$2:$AO$26,MATCH('Master data'!$B201,'Team forecast'!$B$2:$B$26,0),MATCH('Master data'!BE$1,'Team forecast'!$B$2:$AO$2,0))</f>
        <v>1.8402581758343768</v>
      </c>
      <c r="BF201" s="16">
        <f>INDEX('Team forecast'!$B$2:$AO$26,MATCH('Master data'!$B201,'Team forecast'!$B$2:$B$26,0),MATCH('Master data'!BF$1,'Team forecast'!$B$2:$AO$2,0))</f>
        <v>0.65281467345965161</v>
      </c>
      <c r="BG201" s="16">
        <f>INDEX('Team forecast'!$B$2:$AO$26,MATCH('Master data'!$B201,'Team forecast'!$B$2:$B$26,0),MATCH('Master data'!BG$1,'Team forecast'!$B$2:$AO$2,0))</f>
        <v>0.52057845435388617</v>
      </c>
      <c r="BH201" s="16">
        <f>INDEX('Team forecast'!$B$2:$AO$26,MATCH('Master data'!$B201,'Team forecast'!$B$2:$B$26,0),MATCH('Master data'!BH$1,'Team forecast'!$B$2:$AO$2,0))</f>
        <v>5.0287268869057034</v>
      </c>
      <c r="BI201" s="16">
        <f>INDEX('Team forecast'!$B$2:$AO$26,MATCH('Master data'!$B201,'Team forecast'!$B$2:$B$26,0),MATCH('Master data'!BI$1,'Team forecast'!$B$2:$AO$2,0))</f>
        <v>2.1430784734786541</v>
      </c>
      <c r="BJ201" s="5">
        <f t="shared" si="117"/>
        <v>7000</v>
      </c>
      <c r="BK201" s="5">
        <f>INDEX('Team forecast'!$R$3:$BH$26,MATCH($B201,'Team forecast'!$B$3:$B$26,0),MATCH(BK$1,'Team forecast'!$R$2:$BH$2,0))*IF($X201&gt;0,25000,0)</f>
        <v>16539.211310201594</v>
      </c>
      <c r="BL201" s="5">
        <f>INDEX('Team forecast'!$R$3:$BH$26,MATCH($B201,'Team forecast'!$B$3:$B$26,0),MATCH(BL$1,'Team forecast'!$R$2:$BH$2,0))*IF($X201&gt;0,5000,0)</f>
        <v>1147.781411406761</v>
      </c>
      <c r="BM201" s="5">
        <f>INDEX('Team forecast'!$R$3:$BH$26,MATCH($B201,'Team forecast'!$B$3:$B$26,0),MATCH(BM$1,'Team forecast'!$R$2:$BH$2,0))*IF($X201&gt;0,-15000,0)</f>
        <v>-1633.128979658763</v>
      </c>
      <c r="BN201" s="5">
        <f t="shared" si="118"/>
        <v>11450.840916190597</v>
      </c>
      <c r="BO201" s="5">
        <f t="shared" si="119"/>
        <v>8265.1725429105118</v>
      </c>
      <c r="BP201" s="5">
        <f t="shared" si="120"/>
        <v>1140.2182435261516</v>
      </c>
      <c r="BQ201" s="5">
        <f t="shared" si="121"/>
        <v>26028.92271769431</v>
      </c>
      <c r="BR201" s="5">
        <f t="shared" si="122"/>
        <v>0</v>
      </c>
      <c r="BS201" s="5">
        <f t="shared" si="123"/>
        <v>-2971.6535433070867</v>
      </c>
      <c r="BT201" s="5">
        <f t="shared" si="124"/>
        <v>0</v>
      </c>
      <c r="BU201" s="5">
        <f t="shared" si="125"/>
        <v>18402.581758343767</v>
      </c>
      <c r="BV201" s="5">
        <f t="shared" si="126"/>
        <v>-5222.5173876772133</v>
      </c>
      <c r="BW201" s="5">
        <f t="shared" si="127"/>
        <v>80147.428989630629</v>
      </c>
      <c r="BX201" s="5">
        <f t="shared" si="128"/>
        <v>73407.752911796619</v>
      </c>
      <c r="BY201" s="5">
        <f t="shared" si="129"/>
        <v>220223.25873538986</v>
      </c>
      <c r="BZ201" s="5">
        <f>INDEX('Team forecast'!$R$3:$BH$26,MATCH($B201,'Team forecast'!$B$3:$B$26,0),MATCH(BZ$1,'Team forecast'!$R$2:$BH$2,0))*($BX201-(BY201+CH201)*0.01)</f>
        <v>29884.245328152469</v>
      </c>
      <c r="CA201" s="5">
        <f>INDEX('Team forecast'!$R$3:$BH$26,MATCH($B201,'Team forecast'!$B$3:$B$26,0),MATCH(CA$1,'Team forecast'!$R$2:$BH$2,0))*($BX201-(BY201+BX201+CH201)*0.01)</f>
        <v>14708.954613580869</v>
      </c>
      <c r="CB201" s="5">
        <f>INDEX('Team forecast'!$R$3:$BH$26,MATCH($B201,'Team forecast'!$B$3:$B$26,0),MATCH(CB$1,'Team forecast'!$R$2:$BH$2,0))*($BX201-(BY201+BX201*2+CH201)*0.01)</f>
        <v>7285.989364719182</v>
      </c>
      <c r="CC201" s="5">
        <f>INDEX('Team forecast'!$R$3:$BH$26,MATCH($B201,'Team forecast'!$B$3:$B$26,0),MATCH(CC$1,'Team forecast'!$R$2:$BH$2,0))*($BX201-(BY201+BX201*3+CH201)*0.01)</f>
        <v>3689.7546408842582</v>
      </c>
      <c r="CD201" s="5">
        <f>+AK201+BD201*Cockpit!$C$3+BW201*Cockpit!$C$3^2+BZ201*Cockpit!$C$3^3+CA201*Cockpit!$C$3^4+CB201*Cockpit!$C$3^5+CC201*Cockpit!$C$3^6</f>
        <v>166962.81178837328</v>
      </c>
      <c r="CE201" s="5"/>
      <c r="CF201" s="5"/>
      <c r="CG201" s="5">
        <v>0</v>
      </c>
      <c r="CH201" s="5">
        <f t="shared" si="130"/>
        <v>4000000</v>
      </c>
      <c r="CI201" s="5">
        <f t="shared" si="131"/>
        <v>4000000</v>
      </c>
      <c r="CJ201" s="1">
        <f t="shared" si="132"/>
        <v>5.5055814683847466E-2</v>
      </c>
      <c r="CK201" s="5">
        <f>RANK(BY201,$BY$2:$BY$623)+COUNTIF($BY$2:$BY201,$BY201)-1</f>
        <v>37</v>
      </c>
      <c r="CL201" s="5">
        <f>RANK(CJ201,$CJ$2:$CJ$623)+COUNTIF($CJ$2:$CJ201,$CJ201)-1</f>
        <v>20</v>
      </c>
    </row>
    <row r="202" spans="1:90">
      <c r="A202" t="str">
        <f>Players!P203</f>
        <v>Giorgio Chiellini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4500000</v>
      </c>
      <c r="H202" s="16">
        <f>INDEX('Team forecast'!$B$2:$AO$26,MATCH('Master data'!$B202,'Team forecast'!$B$2:$B$26,0),MATCH('Master data'!H$1,'Team forecast'!$B$2:$AO$2,0))</f>
        <v>1.6593477618235051</v>
      </c>
      <c r="I202" s="16">
        <f>INDEX('Team forecast'!$B$2:$AO$26,MATCH('Master data'!$B202,'Team forecast'!$B$2:$B$26,0),MATCH('Master data'!I$1,'Team forecast'!$B$2:$AO$2,0))</f>
        <v>0.65422581624273402</v>
      </c>
      <c r="J202" s="16">
        <f>INDEX('Team forecast'!$B$2:$AO$26,MATCH('Master data'!$B202,'Team forecast'!$B$2:$B$26,0),MATCH('Master data'!J$1,'Team forecast'!$B$2:$AO$2,0))</f>
        <v>0.51984436190144767</v>
      </c>
      <c r="K202" s="16">
        <f>INDEX('Team forecast'!$B$2:$AO$26,MATCH('Master data'!$B202,'Team forecast'!$B$2:$B$26,0),MATCH('Master data'!K$1,'Team forecast'!$B$2:$AO$2,0))</f>
        <v>4.5343674133251923</v>
      </c>
      <c r="L202" s="16">
        <f>INDEX('Team forecast'!$B$2:$AO$26,MATCH('Master data'!$B202,'Team forecast'!$B$2:$B$26,0),MATCH('Master data'!L$1,'Team forecast'!$B$2:$AO$2,0))</f>
        <v>2.1477110129180663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0.12977649603460706</v>
      </c>
      <c r="R202" s="2">
        <f>Players!BR203</f>
        <v>0</v>
      </c>
      <c r="S202" s="2">
        <f t="shared" si="91"/>
        <v>1.6593477618235051</v>
      </c>
      <c r="T202" s="2">
        <f t="shared" si="92"/>
        <v>0.65422581624273402</v>
      </c>
      <c r="U202" s="16">
        <f>INDEX('Team forecast'!$B$2:$AO$26,MATCH('Master data'!$B202,'Team forecast'!$B$2:$B$26,0),MATCH('Master data'!U$1,'Team forecast'!$B$2:$AO$2,0))</f>
        <v>0.61375173050299947</v>
      </c>
      <c r="V202" s="16">
        <f>INDEX('Team forecast'!$B$2:$AO$26,MATCH('Master data'!$B202,'Team forecast'!$B$2:$B$26,0),MATCH('Master data'!V$1,'Team forecast'!$B$2:$AO$2,0))</f>
        <v>0.25034610059990769</v>
      </c>
      <c r="W202" s="16">
        <f>INDEX('Team forecast'!$B$2:$AO$26,MATCH('Master data'!$B202,'Team forecast'!$B$2:$B$26,0),MATCH('Master data'!W$1,'Team forecast'!$B$2:$AO$2,0))</f>
        <v>0.13590216889709281</v>
      </c>
      <c r="X202" s="5">
        <f t="shared" si="93"/>
        <v>-5000</v>
      </c>
      <c r="Y202" s="5">
        <f t="shared" si="94"/>
        <v>0</v>
      </c>
      <c r="Z202" s="5">
        <f t="shared" si="95"/>
        <v>0</v>
      </c>
      <c r="AA202" s="5">
        <f t="shared" si="96"/>
        <v>0</v>
      </c>
      <c r="AB202" s="5">
        <f t="shared" si="97"/>
        <v>0</v>
      </c>
      <c r="AC202" s="5">
        <f t="shared" si="98"/>
        <v>0</v>
      </c>
      <c r="AD202" s="5">
        <f t="shared" si="99"/>
        <v>0</v>
      </c>
      <c r="AE202" s="5">
        <f t="shared" si="100"/>
        <v>25992.218095072385</v>
      </c>
      <c r="AF202" s="5">
        <f t="shared" si="101"/>
        <v>0</v>
      </c>
      <c r="AG202" s="5">
        <f t="shared" si="102"/>
        <v>0</v>
      </c>
      <c r="AH202" s="5">
        <f t="shared" si="103"/>
        <v>0</v>
      </c>
      <c r="AI202" s="5">
        <f t="shared" si="104"/>
        <v>0</v>
      </c>
      <c r="AJ202" s="5">
        <f t="shared" si="105"/>
        <v>0</v>
      </c>
      <c r="AK202" s="5">
        <f>IFERROR(SUM(X202:AJ202),-5000)*((Cockpit!$C$3)^0)</f>
        <v>20992.218095072385</v>
      </c>
      <c r="AL202" s="16">
        <f>INDEX('Team forecast'!$B$2:$AO$26,MATCH('Master data'!$B202,'Team forecast'!$B$2:$B$26,0),MATCH('Master data'!AL$1,'Team forecast'!$B$2:$AO$2,0))</f>
        <v>1.5198357804321134</v>
      </c>
      <c r="AM202" s="16">
        <f>INDEX('Team forecast'!$B$2:$AO$26,MATCH('Master data'!$B202,'Team forecast'!$B$2:$B$26,0),MATCH('Master data'!AM$1,'Team forecast'!$B$2:$AO$2,0))</f>
        <v>0.79620558314709244</v>
      </c>
      <c r="AN202" s="16">
        <f>INDEX('Team forecast'!$B$2:$AO$26,MATCH('Master data'!$B202,'Team forecast'!$B$2:$B$26,0),MATCH('Master data'!AN$1,'Team forecast'!$B$2:$AO$2,0))</f>
        <v>0.45103714423540769</v>
      </c>
      <c r="AO202" s="16">
        <f>INDEX('Team forecast'!$B$2:$AO$26,MATCH('Master data'!$B202,'Team forecast'!$B$2:$B$26,0),MATCH('Master data'!AO$1,'Team forecast'!$B$2:$AO$2,0))</f>
        <v>4.1531341379722457</v>
      </c>
      <c r="AP202" s="16">
        <f>INDEX('Team forecast'!$B$2:$AO$26,MATCH('Master data'!$B202,'Team forecast'!$B$2:$B$26,0),MATCH('Master data'!AP$1,'Team forecast'!$B$2:$AO$2,0))</f>
        <v>2.6138062073010611</v>
      </c>
      <c r="AQ202" s="5">
        <f t="shared" si="106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107"/>
        <v>0</v>
      </c>
      <c r="AV202" s="5">
        <f t="shared" si="108"/>
        <v>0</v>
      </c>
      <c r="AW202" s="5">
        <f t="shared" si="109"/>
        <v>0</v>
      </c>
      <c r="AX202" s="5">
        <f t="shared" si="110"/>
        <v>22551.857211770384</v>
      </c>
      <c r="AY202" s="5">
        <f t="shared" si="111"/>
        <v>0</v>
      </c>
      <c r="AZ202" s="5">
        <f t="shared" si="112"/>
        <v>0</v>
      </c>
      <c r="BA202" s="5">
        <f t="shared" si="113"/>
        <v>0</v>
      </c>
      <c r="BB202" s="5">
        <f t="shared" si="114"/>
        <v>0</v>
      </c>
      <c r="BC202" s="5">
        <f t="shared" si="115"/>
        <v>0</v>
      </c>
      <c r="BD202" s="5">
        <f t="shared" si="116"/>
        <v>17551.857211770384</v>
      </c>
      <c r="BE202" s="16">
        <f>INDEX('Team forecast'!$B$2:$AO$26,MATCH('Master data'!$B202,'Team forecast'!$B$2:$B$26,0),MATCH('Master data'!BE$1,'Team forecast'!$B$2:$AO$2,0))</f>
        <v>1.8402581758343768</v>
      </c>
      <c r="BF202" s="16">
        <f>INDEX('Team forecast'!$B$2:$AO$26,MATCH('Master data'!$B202,'Team forecast'!$B$2:$B$26,0),MATCH('Master data'!BF$1,'Team forecast'!$B$2:$AO$2,0))</f>
        <v>0.65281467345965161</v>
      </c>
      <c r="BG202" s="16">
        <f>INDEX('Team forecast'!$B$2:$AO$26,MATCH('Master data'!$B202,'Team forecast'!$B$2:$B$26,0),MATCH('Master data'!BG$1,'Team forecast'!$B$2:$AO$2,0))</f>
        <v>0.52057845435388617</v>
      </c>
      <c r="BH202" s="16">
        <f>INDEX('Team forecast'!$B$2:$AO$26,MATCH('Master data'!$B202,'Team forecast'!$B$2:$B$26,0),MATCH('Master data'!BH$1,'Team forecast'!$B$2:$AO$2,0))</f>
        <v>5.0287268869057034</v>
      </c>
      <c r="BI202" s="16">
        <f>INDEX('Team forecast'!$B$2:$AO$26,MATCH('Master data'!$B202,'Team forecast'!$B$2:$B$26,0),MATCH('Master data'!BI$1,'Team forecast'!$B$2:$AO$2,0))</f>
        <v>2.1430784734786541</v>
      </c>
      <c r="BJ202" s="5">
        <f t="shared" si="117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118"/>
        <v>0</v>
      </c>
      <c r="BO202" s="5">
        <f t="shared" si="119"/>
        <v>0</v>
      </c>
      <c r="BP202" s="5">
        <f t="shared" si="120"/>
        <v>0</v>
      </c>
      <c r="BQ202" s="5">
        <f t="shared" si="121"/>
        <v>26028.92271769431</v>
      </c>
      <c r="BR202" s="5">
        <f t="shared" si="122"/>
        <v>0</v>
      </c>
      <c r="BS202" s="5">
        <f t="shared" si="123"/>
        <v>0</v>
      </c>
      <c r="BT202" s="5">
        <f t="shared" si="124"/>
        <v>0</v>
      </c>
      <c r="BU202" s="5">
        <f t="shared" si="125"/>
        <v>0</v>
      </c>
      <c r="BV202" s="5">
        <f t="shared" si="126"/>
        <v>0</v>
      </c>
      <c r="BW202" s="5">
        <f t="shared" si="127"/>
        <v>21028.92271769431</v>
      </c>
      <c r="BX202" s="5">
        <f t="shared" si="128"/>
        <v>19857.666008179029</v>
      </c>
      <c r="BY202" s="5">
        <f t="shared" si="129"/>
        <v>59572.998024537083</v>
      </c>
      <c r="BZ202" s="5">
        <f>INDEX('Team forecast'!$R$3:$BH$26,MATCH($B202,'Team forecast'!$B$3:$B$26,0),MATCH(BZ$1,'Team forecast'!$R$2:$BH$2,0))*($BX202-(BY202+CH202)*0.01)</f>
        <v>-24648.286906161335</v>
      </c>
      <c r="CA202" s="5">
        <f>INDEX('Team forecast'!$R$3:$BH$26,MATCH($B202,'Team forecast'!$B$3:$B$26,0),MATCH(CA$1,'Team forecast'!$R$2:$BH$2,0))*($BX202-(BY202+BX202+CH202)*0.01)</f>
        <v>-12519.947691664871</v>
      </c>
      <c r="CB202" s="5">
        <f>INDEX('Team forecast'!$R$3:$BH$26,MATCH($B202,'Team forecast'!$B$3:$B$26,0),MATCH(CB$1,'Team forecast'!$R$2:$BH$2,0))*($BX202-(BY202+BX202*2+CH202)*0.01)</f>
        <v>-6403.422547060828</v>
      </c>
      <c r="CC202" s="5">
        <f>INDEX('Team forecast'!$R$3:$BH$26,MATCH($B202,'Team forecast'!$B$3:$B$26,0),MATCH(CC$1,'Team forecast'!$R$2:$BH$2,0))*($BX202-(BY202+BX202*3+CH202)*0.01)</f>
        <v>-3350.145656879411</v>
      </c>
      <c r="CD202" s="5">
        <f>+AK202+BD202*Cockpit!$C$3+BW202*Cockpit!$C$3^2+BZ202*Cockpit!$C$3^3+CA202*Cockpit!$C$3^4+CB202*Cockpit!$C$3^5+CC202*Cockpit!$C$3^6</f>
        <v>31126.008547150104</v>
      </c>
      <c r="CE202" s="5"/>
      <c r="CF202" s="5"/>
      <c r="CG202" s="5">
        <v>0</v>
      </c>
      <c r="CH202" s="5">
        <f t="shared" si="130"/>
        <v>4500000</v>
      </c>
      <c r="CI202" s="5">
        <f t="shared" si="131"/>
        <v>4500000</v>
      </c>
      <c r="CJ202" s="1">
        <f t="shared" si="132"/>
        <v>1.3238444005452685E-2</v>
      </c>
      <c r="CK202" s="5">
        <f>RANK(BY202,$BY$2:$BY$623)+COUNTIF($BY$2:$BY202,$BY202)-1</f>
        <v>272</v>
      </c>
      <c r="CL202" s="5">
        <f>RANK(CJ202,$CJ$2:$CJ$623)+COUNTIF($CJ$2:$CJ202,$CJ202)-1</f>
        <v>327</v>
      </c>
    </row>
    <row r="203" spans="1:90">
      <c r="A203" t="str">
        <f>Players!P204</f>
        <v>Leonardo Spinazzola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1.6593477618235051</v>
      </c>
      <c r="I203" s="16">
        <f>INDEX('Team forecast'!$B$2:$AO$26,MATCH('Master data'!$B203,'Team forecast'!$B$2:$B$26,0),MATCH('Master data'!I$1,'Team forecast'!$B$2:$AO$2,0))</f>
        <v>0.65422581624273402</v>
      </c>
      <c r="J203" s="16">
        <f>INDEX('Team forecast'!$B$2:$AO$26,MATCH('Master data'!$B203,'Team forecast'!$B$2:$B$26,0),MATCH('Master data'!J$1,'Team forecast'!$B$2:$AO$2,0))</f>
        <v>0.51984436190144767</v>
      </c>
      <c r="K203" s="16">
        <f>INDEX('Team forecast'!$B$2:$AO$26,MATCH('Master data'!$B203,'Team forecast'!$B$2:$B$26,0),MATCH('Master data'!K$1,'Team forecast'!$B$2:$AO$2,0))</f>
        <v>4.5343674133251923</v>
      </c>
      <c r="L203" s="16">
        <f>INDEX('Team forecast'!$B$2:$AO$26,MATCH('Master data'!$B203,'Team forecast'!$B$2:$B$26,0),MATCH('Master data'!L$1,'Team forecast'!$B$2:$AO$2,0))</f>
        <v>2.1477110129180663</v>
      </c>
      <c r="M203">
        <f>IF(Players!BC204=1,95,0)</f>
        <v>95</v>
      </c>
      <c r="N203" s="2">
        <f>Players!BN204</f>
        <v>3.9572557921444665E-2</v>
      </c>
      <c r="O203" s="2">
        <f>Players!BO204</f>
        <v>0.10575798716074783</v>
      </c>
      <c r="P203" s="2">
        <f>Players!BP204</f>
        <v>4.3261744871520944E-2</v>
      </c>
      <c r="Q203" s="2">
        <f>Players!BQ204</f>
        <v>0</v>
      </c>
      <c r="R203" s="2">
        <f>Players!BR204</f>
        <v>0</v>
      </c>
      <c r="S203" s="2">
        <f t="shared" si="91"/>
        <v>1.6593477618235051</v>
      </c>
      <c r="T203" s="2">
        <f t="shared" si="92"/>
        <v>0.65422581624273402</v>
      </c>
      <c r="U203" s="16">
        <f>INDEX('Team forecast'!$B$2:$AO$26,MATCH('Master data'!$B203,'Team forecast'!$B$2:$B$26,0),MATCH('Master data'!U$1,'Team forecast'!$B$2:$AO$2,0))</f>
        <v>0.61375173050299947</v>
      </c>
      <c r="V203" s="16">
        <f>INDEX('Team forecast'!$B$2:$AO$26,MATCH('Master data'!$B203,'Team forecast'!$B$2:$B$26,0),MATCH('Master data'!V$1,'Team forecast'!$B$2:$AO$2,0))</f>
        <v>0.25034610059990769</v>
      </c>
      <c r="W203" s="16">
        <f>INDEX('Team forecast'!$B$2:$AO$26,MATCH('Master data'!$B203,'Team forecast'!$B$2:$B$26,0),MATCH('Master data'!W$1,'Team forecast'!$B$2:$AO$2,0))</f>
        <v>0.13590216889709281</v>
      </c>
      <c r="X203" s="5">
        <f t="shared" si="93"/>
        <v>7000</v>
      </c>
      <c r="Y203" s="5">
        <f t="shared" si="94"/>
        <v>15343.793262574987</v>
      </c>
      <c r="Z203" s="5">
        <f t="shared" si="95"/>
        <v>1251.7305029995384</v>
      </c>
      <c r="AA203" s="5">
        <f t="shared" si="96"/>
        <v>-2038.532533456392</v>
      </c>
      <c r="AB203" s="5">
        <f t="shared" si="97"/>
        <v>9849.6953124870324</v>
      </c>
      <c r="AC203" s="5">
        <f t="shared" si="98"/>
        <v>8774.4639645072948</v>
      </c>
      <c r="AD203" s="5">
        <f t="shared" si="99"/>
        <v>1961.6464618901284</v>
      </c>
      <c r="AE203" s="5">
        <f t="shared" si="100"/>
        <v>25992.218095072385</v>
      </c>
      <c r="AF203" s="5">
        <f t="shared" si="101"/>
        <v>0</v>
      </c>
      <c r="AG203" s="5">
        <f t="shared" si="102"/>
        <v>0</v>
      </c>
      <c r="AH203" s="5">
        <f t="shared" si="103"/>
        <v>0</v>
      </c>
      <c r="AI203" s="5">
        <f t="shared" si="104"/>
        <v>16593.477618235051</v>
      </c>
      <c r="AJ203" s="5">
        <f t="shared" si="105"/>
        <v>-5233.8065299418722</v>
      </c>
      <c r="AK203" s="5">
        <f>IFERROR(SUM(X203:AJ203),-5000)*((Cockpit!$C$3)^0)</f>
        <v>79494.686154368159</v>
      </c>
      <c r="AL203" s="16">
        <f>INDEX('Team forecast'!$B$2:$AO$26,MATCH('Master data'!$B203,'Team forecast'!$B$2:$B$26,0),MATCH('Master data'!AL$1,'Team forecast'!$B$2:$AO$2,0))</f>
        <v>1.5198357804321134</v>
      </c>
      <c r="AM203" s="16">
        <f>INDEX('Team forecast'!$B$2:$AO$26,MATCH('Master data'!$B203,'Team forecast'!$B$2:$B$26,0),MATCH('Master data'!AM$1,'Team forecast'!$B$2:$AO$2,0))</f>
        <v>0.79620558314709244</v>
      </c>
      <c r="AN203" s="16">
        <f>INDEX('Team forecast'!$B$2:$AO$26,MATCH('Master data'!$B203,'Team forecast'!$B$2:$B$26,0),MATCH('Master data'!AN$1,'Team forecast'!$B$2:$AO$2,0))</f>
        <v>0.45103714423540769</v>
      </c>
      <c r="AO203" s="16">
        <f>INDEX('Team forecast'!$B$2:$AO$26,MATCH('Master data'!$B203,'Team forecast'!$B$2:$B$26,0),MATCH('Master data'!AO$1,'Team forecast'!$B$2:$AO$2,0))</f>
        <v>4.1531341379722457</v>
      </c>
      <c r="AP203" s="16">
        <f>INDEX('Team forecast'!$B$2:$AO$26,MATCH('Master data'!$B203,'Team forecast'!$B$2:$B$26,0),MATCH('Master data'!AP$1,'Team forecast'!$B$2:$AO$2,0))</f>
        <v>2.6138062073010611</v>
      </c>
      <c r="AQ203" s="5">
        <f t="shared" si="106"/>
        <v>7000</v>
      </c>
      <c r="AR203" s="5">
        <f>INDEX('Team forecast'!$B$2:$AO$26,MATCH('Master data'!$B203,'Team forecast'!$B$2:$B$26,0),MATCH('Master data'!AR$1,'Team forecast'!$B$2:$AO$2,0))*IF(X203&gt;0,25000,0)</f>
        <v>13929.088277858178</v>
      </c>
      <c r="AS203" s="16">
        <f>INDEX('Team forecast'!$B$2:$AO$26,MATCH('Master data'!$B203,'Team forecast'!$B$2:$B$26,0),MATCH('Master data'!AS$1,'Team forecast'!$B$2:$AO$2,0))*IF(X203&gt;0,5000,0)</f>
        <v>1353.111432706223</v>
      </c>
      <c r="AT203" s="16">
        <f>INDEX('Team forecast'!$B$2:$AO$26,MATCH('Master data'!$B203,'Team forecast'!$B$2:$B$26,0),MATCH('Master data'!AT$1,'Team forecast'!$B$2:$AO$2,0))*IF(X203&gt;0,-15000,0)</f>
        <v>-2583.2127351664258</v>
      </c>
      <c r="AU203" s="5">
        <f t="shared" si="107"/>
        <v>9021.5684178350803</v>
      </c>
      <c r="AV203" s="5">
        <f t="shared" si="108"/>
        <v>8036.7386476692309</v>
      </c>
      <c r="AW203" s="5">
        <f t="shared" si="109"/>
        <v>1796.7182949415935</v>
      </c>
      <c r="AX203" s="5">
        <f t="shared" si="110"/>
        <v>22551.857211770384</v>
      </c>
      <c r="AY203" s="5">
        <f t="shared" si="111"/>
        <v>0</v>
      </c>
      <c r="AZ203" s="5">
        <f t="shared" si="112"/>
        <v>0</v>
      </c>
      <c r="BA203" s="5">
        <f t="shared" si="113"/>
        <v>0</v>
      </c>
      <c r="BB203" s="5">
        <f t="shared" si="114"/>
        <v>15198.357804321135</v>
      </c>
      <c r="BC203" s="5">
        <f t="shared" si="115"/>
        <v>-6369.6446651767392</v>
      </c>
      <c r="BD203" s="5">
        <f t="shared" si="116"/>
        <v>69934.582686758673</v>
      </c>
      <c r="BE203" s="16">
        <f>INDEX('Team forecast'!$B$2:$AO$26,MATCH('Master data'!$B203,'Team forecast'!$B$2:$B$26,0),MATCH('Master data'!BE$1,'Team forecast'!$B$2:$AO$2,0))</f>
        <v>1.8402581758343768</v>
      </c>
      <c r="BF203" s="16">
        <f>INDEX('Team forecast'!$B$2:$AO$26,MATCH('Master data'!$B203,'Team forecast'!$B$2:$B$26,0),MATCH('Master data'!BF$1,'Team forecast'!$B$2:$AO$2,0))</f>
        <v>0.65281467345965161</v>
      </c>
      <c r="BG203" s="16">
        <f>INDEX('Team forecast'!$B$2:$AO$26,MATCH('Master data'!$B203,'Team forecast'!$B$2:$B$26,0),MATCH('Master data'!BG$1,'Team forecast'!$B$2:$AO$2,0))</f>
        <v>0.52057845435388617</v>
      </c>
      <c r="BH203" s="16">
        <f>INDEX('Team forecast'!$B$2:$AO$26,MATCH('Master data'!$B203,'Team forecast'!$B$2:$B$26,0),MATCH('Master data'!BH$1,'Team forecast'!$B$2:$AO$2,0))</f>
        <v>5.0287268869057034</v>
      </c>
      <c r="BI203" s="16">
        <f>INDEX('Team forecast'!$B$2:$AO$26,MATCH('Master data'!$B203,'Team forecast'!$B$2:$B$26,0),MATCH('Master data'!BI$1,'Team forecast'!$B$2:$AO$2,0))</f>
        <v>2.1430784734786541</v>
      </c>
      <c r="BJ203" s="5">
        <f t="shared" si="117"/>
        <v>7000</v>
      </c>
      <c r="BK203" s="5">
        <f>INDEX('Team forecast'!$R$3:$BH$26,MATCH($B203,'Team forecast'!$B$3:$B$26,0),MATCH(BK$1,'Team forecast'!$R$2:$BH$2,0))*IF($X203&gt;0,25000,0)</f>
        <v>16539.211310201594</v>
      </c>
      <c r="BL203" s="5">
        <f>INDEX('Team forecast'!$R$3:$BH$26,MATCH($B203,'Team forecast'!$B$3:$B$26,0),MATCH(BL$1,'Team forecast'!$R$2:$BH$2,0))*IF($X203&gt;0,5000,0)</f>
        <v>1147.781411406761</v>
      </c>
      <c r="BM203" s="5">
        <f>INDEX('Team forecast'!$R$3:$BH$26,MATCH($B203,'Team forecast'!$B$3:$B$26,0),MATCH(BM$1,'Team forecast'!$R$2:$BH$2,0))*IF($X203&gt;0,-15000,0)</f>
        <v>-1633.128979658763</v>
      </c>
      <c r="BN203" s="5">
        <f t="shared" si="118"/>
        <v>10923.558488042696</v>
      </c>
      <c r="BO203" s="5">
        <f t="shared" si="119"/>
        <v>9731.1000266176634</v>
      </c>
      <c r="BP203" s="5">
        <f t="shared" si="120"/>
        <v>2175.5149960987228</v>
      </c>
      <c r="BQ203" s="5">
        <f t="shared" si="121"/>
        <v>26028.92271769431</v>
      </c>
      <c r="BR203" s="5">
        <f t="shared" si="122"/>
        <v>0</v>
      </c>
      <c r="BS203" s="5">
        <f t="shared" si="123"/>
        <v>0</v>
      </c>
      <c r="BT203" s="5">
        <f t="shared" si="124"/>
        <v>0</v>
      </c>
      <c r="BU203" s="5">
        <f t="shared" si="125"/>
        <v>18402.581758343767</v>
      </c>
      <c r="BV203" s="5">
        <f t="shared" si="126"/>
        <v>-5222.5173876772133</v>
      </c>
      <c r="BW203" s="5">
        <f t="shared" si="127"/>
        <v>85093.02434106954</v>
      </c>
      <c r="BX203" s="5">
        <f t="shared" si="128"/>
        <v>78174.097727398781</v>
      </c>
      <c r="BY203" s="5">
        <f t="shared" si="129"/>
        <v>234522.29318219633</v>
      </c>
      <c r="BZ203" s="5">
        <f>INDEX('Team forecast'!$R$3:$BH$26,MATCH($B203,'Team forecast'!$B$3:$B$26,0),MATCH(BZ$1,'Team forecast'!$R$2:$BH$2,0))*($BX203-(BY203+CH203)*0.01)</f>
        <v>39100.136712276668</v>
      </c>
      <c r="CA203" s="5">
        <f>INDEX('Team forecast'!$R$3:$BH$26,MATCH($B203,'Team forecast'!$B$3:$B$26,0),MATCH(CA$1,'Team forecast'!$R$2:$BH$2,0))*($BX203-(BY203+BX203+CH203)*0.01)</f>
        <v>19331.262969530086</v>
      </c>
      <c r="CB203" s="5">
        <f>INDEX('Team forecast'!$R$3:$BH$26,MATCH($B203,'Team forecast'!$B$3:$B$26,0),MATCH(CB$1,'Team forecast'!$R$2:$BH$2,0))*($BX203-(BY203+BX203*2+CH203)*0.01)</f>
        <v>9620.4634163189694</v>
      </c>
      <c r="CC203" s="5">
        <f>INDEX('Team forecast'!$R$3:$BH$26,MATCH($B203,'Team forecast'!$B$3:$B$26,0),MATCH(CC$1,'Team forecast'!$R$2:$BH$2,0))*($BX203-(BY203+BX203*3+CH203)*0.01)</f>
        <v>4895.8323052763071</v>
      </c>
      <c r="CD203" s="5">
        <f>+AK203+BD203*Cockpit!$C$3+BW203*Cockpit!$C$3^2+BZ203*Cockpit!$C$3^3+CA203*Cockpit!$C$3^4+CB203*Cockpit!$C$3^5+CC203*Cockpit!$C$3^6</f>
        <v>181037.31472122634</v>
      </c>
      <c r="CE203" s="5"/>
      <c r="CF203" s="5"/>
      <c r="CG203" s="5">
        <v>0</v>
      </c>
      <c r="CH203" s="5">
        <f t="shared" si="130"/>
        <v>3500000</v>
      </c>
      <c r="CI203" s="5">
        <f t="shared" si="131"/>
        <v>3500000</v>
      </c>
      <c r="CJ203" s="1">
        <f t="shared" si="132"/>
        <v>6.700636948062752E-2</v>
      </c>
      <c r="CK203" s="5">
        <f>RANK(BY203,$BY$2:$BY$623)+COUNTIF($BY$2:$BY203,$BY203)-1</f>
        <v>25</v>
      </c>
      <c r="CL203" s="5">
        <f>RANK(CJ203,$CJ$2:$CJ$623)+COUNTIF($CJ$2:$CJ203,$CJ203)-1</f>
        <v>5</v>
      </c>
    </row>
    <row r="204" spans="1:90">
      <c r="A204" t="str">
        <f>Players!P205</f>
        <v>Francesco Acerbi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3500000</v>
      </c>
      <c r="H204" s="16">
        <f>INDEX('Team forecast'!$B$2:$AO$26,MATCH('Master data'!$B204,'Team forecast'!$B$2:$B$26,0),MATCH('Master data'!H$1,'Team forecast'!$B$2:$AO$2,0))</f>
        <v>1.6593477618235051</v>
      </c>
      <c r="I204" s="16">
        <f>INDEX('Team forecast'!$B$2:$AO$26,MATCH('Master data'!$B204,'Team forecast'!$B$2:$B$26,0),MATCH('Master data'!I$1,'Team forecast'!$B$2:$AO$2,0))</f>
        <v>0.65422581624273402</v>
      </c>
      <c r="J204" s="16">
        <f>INDEX('Team forecast'!$B$2:$AO$26,MATCH('Master data'!$B204,'Team forecast'!$B$2:$B$26,0),MATCH('Master data'!J$1,'Team forecast'!$B$2:$AO$2,0))</f>
        <v>0.51984436190144767</v>
      </c>
      <c r="K204" s="16">
        <f>INDEX('Team forecast'!$B$2:$AO$26,MATCH('Master data'!$B204,'Team forecast'!$B$2:$B$26,0),MATCH('Master data'!K$1,'Team forecast'!$B$2:$AO$2,0))</f>
        <v>4.5343674133251923</v>
      </c>
      <c r="L204" s="16">
        <f>INDEX('Team forecast'!$B$2:$AO$26,MATCH('Master data'!$B204,'Team forecast'!$B$2:$B$26,0),MATCH('Master data'!L$1,'Team forecast'!$B$2:$AO$2,0))</f>
        <v>2.1477110129180663</v>
      </c>
      <c r="M204">
        <f>IF(Players!BC205=1,95,0)</f>
        <v>95</v>
      </c>
      <c r="N204" s="2">
        <f>Players!BN205</f>
        <v>2.230365457584212E-2</v>
      </c>
      <c r="O204" s="2">
        <f>Players!BO205</f>
        <v>2.8968298780550857E-2</v>
      </c>
      <c r="P204" s="2">
        <f>Players!BP205</f>
        <v>0</v>
      </c>
      <c r="Q204" s="2">
        <f>Players!BQ205</f>
        <v>0.11190053285968028</v>
      </c>
      <c r="R204" s="2">
        <f>Players!BR205</f>
        <v>3.1971580817051509E-2</v>
      </c>
      <c r="S204" s="2">
        <f t="shared" si="91"/>
        <v>1.6593477618235051</v>
      </c>
      <c r="T204" s="2">
        <f t="shared" si="92"/>
        <v>0.65422581624273402</v>
      </c>
      <c r="U204" s="16">
        <f>INDEX('Team forecast'!$B$2:$AO$26,MATCH('Master data'!$B204,'Team forecast'!$B$2:$B$26,0),MATCH('Master data'!U$1,'Team forecast'!$B$2:$AO$2,0))</f>
        <v>0.61375173050299947</v>
      </c>
      <c r="V204" s="16">
        <f>INDEX('Team forecast'!$B$2:$AO$26,MATCH('Master data'!$B204,'Team forecast'!$B$2:$B$26,0),MATCH('Master data'!V$1,'Team forecast'!$B$2:$AO$2,0))</f>
        <v>0.25034610059990769</v>
      </c>
      <c r="W204" s="16">
        <f>INDEX('Team forecast'!$B$2:$AO$26,MATCH('Master data'!$B204,'Team forecast'!$B$2:$B$26,0),MATCH('Master data'!W$1,'Team forecast'!$B$2:$AO$2,0))</f>
        <v>0.13590216889709281</v>
      </c>
      <c r="X204" s="5">
        <f t="shared" si="93"/>
        <v>7000</v>
      </c>
      <c r="Y204" s="5">
        <f t="shared" si="94"/>
        <v>15343.793262574987</v>
      </c>
      <c r="Z204" s="5">
        <f t="shared" si="95"/>
        <v>1251.7305029995384</v>
      </c>
      <c r="AA204" s="5">
        <f t="shared" si="96"/>
        <v>-2038.532533456392</v>
      </c>
      <c r="AB204" s="5">
        <f t="shared" si="97"/>
        <v>5551.4278951362303</v>
      </c>
      <c r="AC204" s="5">
        <f t="shared" si="98"/>
        <v>2403.4240872670821</v>
      </c>
      <c r="AD204" s="5">
        <f t="shared" si="99"/>
        <v>0</v>
      </c>
      <c r="AE204" s="5">
        <f t="shared" si="100"/>
        <v>25992.218095072385</v>
      </c>
      <c r="AF204" s="5">
        <f t="shared" si="101"/>
        <v>0</v>
      </c>
      <c r="AG204" s="5">
        <f t="shared" si="102"/>
        <v>-2238.0106571936058</v>
      </c>
      <c r="AH204" s="5">
        <f t="shared" si="103"/>
        <v>-1598.5790408525754</v>
      </c>
      <c r="AI204" s="5">
        <f t="shared" si="104"/>
        <v>16593.477618235051</v>
      </c>
      <c r="AJ204" s="5">
        <f t="shared" si="105"/>
        <v>-5233.8065299418722</v>
      </c>
      <c r="AK204" s="5">
        <f>IFERROR(SUM(X204:AJ204),-5000)*((Cockpit!$C$3)^0)</f>
        <v>63027.142699840821</v>
      </c>
      <c r="AL204" s="16">
        <f>INDEX('Team forecast'!$B$2:$AO$26,MATCH('Master data'!$B204,'Team forecast'!$B$2:$B$26,0),MATCH('Master data'!AL$1,'Team forecast'!$B$2:$AO$2,0))</f>
        <v>1.5198357804321134</v>
      </c>
      <c r="AM204" s="16">
        <f>INDEX('Team forecast'!$B$2:$AO$26,MATCH('Master data'!$B204,'Team forecast'!$B$2:$B$26,0),MATCH('Master data'!AM$1,'Team forecast'!$B$2:$AO$2,0))</f>
        <v>0.79620558314709244</v>
      </c>
      <c r="AN204" s="16">
        <f>INDEX('Team forecast'!$B$2:$AO$26,MATCH('Master data'!$B204,'Team forecast'!$B$2:$B$26,0),MATCH('Master data'!AN$1,'Team forecast'!$B$2:$AO$2,0))</f>
        <v>0.45103714423540769</v>
      </c>
      <c r="AO204" s="16">
        <f>INDEX('Team forecast'!$B$2:$AO$26,MATCH('Master data'!$B204,'Team forecast'!$B$2:$B$26,0),MATCH('Master data'!AO$1,'Team forecast'!$B$2:$AO$2,0))</f>
        <v>4.1531341379722457</v>
      </c>
      <c r="AP204" s="16">
        <f>INDEX('Team forecast'!$B$2:$AO$26,MATCH('Master data'!$B204,'Team forecast'!$B$2:$B$26,0),MATCH('Master data'!AP$1,'Team forecast'!$B$2:$AO$2,0))</f>
        <v>2.6138062073010611</v>
      </c>
      <c r="AQ204" s="5">
        <f t="shared" si="106"/>
        <v>7000</v>
      </c>
      <c r="AR204" s="5">
        <f>INDEX('Team forecast'!$B$2:$AO$26,MATCH('Master data'!$B204,'Team forecast'!$B$2:$B$26,0),MATCH('Master data'!AR$1,'Team forecast'!$B$2:$AO$2,0))*IF(X204&gt;0,25000,0)</f>
        <v>13929.088277858178</v>
      </c>
      <c r="AS204" s="16">
        <f>INDEX('Team forecast'!$B$2:$AO$26,MATCH('Master data'!$B204,'Team forecast'!$B$2:$B$26,0),MATCH('Master data'!AS$1,'Team forecast'!$B$2:$AO$2,0))*IF(X204&gt;0,5000,0)</f>
        <v>1353.111432706223</v>
      </c>
      <c r="AT204" s="16">
        <f>INDEX('Team forecast'!$B$2:$AO$26,MATCH('Master data'!$B204,'Team forecast'!$B$2:$B$26,0),MATCH('Master data'!AT$1,'Team forecast'!$B$2:$AO$2,0))*IF(X204&gt;0,-15000,0)</f>
        <v>-2583.2127351664258</v>
      </c>
      <c r="AU204" s="5">
        <f t="shared" si="107"/>
        <v>5084.6838388144924</v>
      </c>
      <c r="AV204" s="5">
        <f t="shared" si="108"/>
        <v>2201.3528492464575</v>
      </c>
      <c r="AW204" s="5">
        <f t="shared" si="109"/>
        <v>0</v>
      </c>
      <c r="AX204" s="5">
        <f t="shared" si="110"/>
        <v>22551.857211770384</v>
      </c>
      <c r="AY204" s="5">
        <f t="shared" si="111"/>
        <v>0</v>
      </c>
      <c r="AZ204" s="5">
        <f t="shared" si="112"/>
        <v>-2238.0106571936058</v>
      </c>
      <c r="BA204" s="5">
        <f t="shared" si="113"/>
        <v>-1598.5790408525754</v>
      </c>
      <c r="BB204" s="5">
        <f t="shared" si="114"/>
        <v>15198.357804321135</v>
      </c>
      <c r="BC204" s="5">
        <f t="shared" si="115"/>
        <v>-6369.6446651767392</v>
      </c>
      <c r="BD204" s="5">
        <f t="shared" si="116"/>
        <v>54529.004316327519</v>
      </c>
      <c r="BE204" s="16">
        <f>INDEX('Team forecast'!$B$2:$AO$26,MATCH('Master data'!$B204,'Team forecast'!$B$2:$B$26,0),MATCH('Master data'!BE$1,'Team forecast'!$B$2:$AO$2,0))</f>
        <v>1.8402581758343768</v>
      </c>
      <c r="BF204" s="16">
        <f>INDEX('Team forecast'!$B$2:$AO$26,MATCH('Master data'!$B204,'Team forecast'!$B$2:$B$26,0),MATCH('Master data'!BF$1,'Team forecast'!$B$2:$AO$2,0))</f>
        <v>0.65281467345965161</v>
      </c>
      <c r="BG204" s="16">
        <f>INDEX('Team forecast'!$B$2:$AO$26,MATCH('Master data'!$B204,'Team forecast'!$B$2:$B$26,0),MATCH('Master data'!BG$1,'Team forecast'!$B$2:$AO$2,0))</f>
        <v>0.52057845435388617</v>
      </c>
      <c r="BH204" s="16">
        <f>INDEX('Team forecast'!$B$2:$AO$26,MATCH('Master data'!$B204,'Team forecast'!$B$2:$B$26,0),MATCH('Master data'!BH$1,'Team forecast'!$B$2:$AO$2,0))</f>
        <v>5.0287268869057034</v>
      </c>
      <c r="BI204" s="16">
        <f>INDEX('Team forecast'!$B$2:$AO$26,MATCH('Master data'!$B204,'Team forecast'!$B$2:$B$26,0),MATCH('Master data'!BI$1,'Team forecast'!$B$2:$AO$2,0))</f>
        <v>2.1430784734786541</v>
      </c>
      <c r="BJ204" s="5">
        <f t="shared" si="117"/>
        <v>7000</v>
      </c>
      <c r="BK204" s="5">
        <f>INDEX('Team forecast'!$R$3:$BH$26,MATCH($B204,'Team forecast'!$B$3:$B$26,0),MATCH(BK$1,'Team forecast'!$R$2:$BH$2,0))*IF($X204&gt;0,25000,0)</f>
        <v>16539.211310201594</v>
      </c>
      <c r="BL204" s="5">
        <f>INDEX('Team forecast'!$R$3:$BH$26,MATCH($B204,'Team forecast'!$B$3:$B$26,0),MATCH(BL$1,'Team forecast'!$R$2:$BH$2,0))*IF($X204&gt;0,5000,0)</f>
        <v>1147.781411406761</v>
      </c>
      <c r="BM204" s="5">
        <f>INDEX('Team forecast'!$R$3:$BH$26,MATCH($B204,'Team forecast'!$B$3:$B$26,0),MATCH(BM$1,'Team forecast'!$R$2:$BH$2,0))*IF($X204&gt;0,-15000,0)</f>
        <v>-1633.128979658763</v>
      </c>
      <c r="BN204" s="5">
        <f t="shared" si="118"/>
        <v>6156.6724026268903</v>
      </c>
      <c r="BO204" s="5">
        <f t="shared" si="119"/>
        <v>2665.4574335460861</v>
      </c>
      <c r="BP204" s="5">
        <f t="shared" si="120"/>
        <v>0</v>
      </c>
      <c r="BQ204" s="5">
        <f t="shared" si="121"/>
        <v>26028.92271769431</v>
      </c>
      <c r="BR204" s="5">
        <f t="shared" si="122"/>
        <v>0</v>
      </c>
      <c r="BS204" s="5">
        <f t="shared" si="123"/>
        <v>-2238.0106571936058</v>
      </c>
      <c r="BT204" s="5">
        <f t="shared" si="124"/>
        <v>-1598.5790408525754</v>
      </c>
      <c r="BU204" s="5">
        <f t="shared" si="125"/>
        <v>18402.581758343767</v>
      </c>
      <c r="BV204" s="5">
        <f t="shared" si="126"/>
        <v>-5222.5173876772133</v>
      </c>
      <c r="BW204" s="5">
        <f t="shared" si="127"/>
        <v>67248.390968437248</v>
      </c>
      <c r="BX204" s="5">
        <f t="shared" si="128"/>
        <v>61601.512661535198</v>
      </c>
      <c r="BY204" s="5">
        <f t="shared" si="129"/>
        <v>184804.53798460559</v>
      </c>
      <c r="BZ204" s="5">
        <f>INDEX('Team forecast'!$R$3:$BH$26,MATCH($B204,'Team forecast'!$B$3:$B$26,0),MATCH(BZ$1,'Team forecast'!$R$2:$BH$2,0))*($BX204-(BY204+CH204)*0.01)</f>
        <v>23705.379089255872</v>
      </c>
      <c r="CA204" s="5">
        <f>INDEX('Team forecast'!$R$3:$BH$26,MATCH($B204,'Team forecast'!$B$3:$B$26,0),MATCH(CA$1,'Team forecast'!$R$2:$BH$2,0))*($BX204-(BY204+BX204+CH204)*0.01)</f>
        <v>11651.456434840477</v>
      </c>
      <c r="CB204" s="5">
        <f>INDEX('Team forecast'!$R$3:$BH$26,MATCH($B204,'Team forecast'!$B$3:$B$26,0),MATCH(CB$1,'Team forecast'!$R$2:$BH$2,0))*($BX204-(BY204+BX204*2+CH204)*0.01)</f>
        <v>5763.0169484789885</v>
      </c>
      <c r="CC204" s="5">
        <f>INDEX('Team forecast'!$R$3:$BH$26,MATCH($B204,'Team forecast'!$B$3:$B$26,0),MATCH(CC$1,'Team forecast'!$R$2:$BH$2,0))*($BX204-(BY204+BX204*3+CH204)*0.01)</f>
        <v>2913.9933213730415</v>
      </c>
      <c r="CD204" s="5">
        <f>+AK204+BD204*Cockpit!$C$3+BW204*Cockpit!$C$3^2+BZ204*Cockpit!$C$3^3+CA204*Cockpit!$C$3^4+CB204*Cockpit!$C$3^5+CC204*Cockpit!$C$3^6</f>
        <v>139608.06393581751</v>
      </c>
      <c r="CE204" s="5"/>
      <c r="CF204" s="5"/>
      <c r="CG204" s="5">
        <v>0</v>
      </c>
      <c r="CH204" s="5">
        <f t="shared" si="130"/>
        <v>3500000</v>
      </c>
      <c r="CI204" s="5">
        <f t="shared" si="131"/>
        <v>3500000</v>
      </c>
      <c r="CJ204" s="1">
        <f t="shared" si="132"/>
        <v>5.280129656703017E-2</v>
      </c>
      <c r="CK204" s="5">
        <f>RANK(BY204,$BY$2:$BY$623)+COUNTIF($BY$2:$BY204,$BY204)-1</f>
        <v>64</v>
      </c>
      <c r="CL204" s="5">
        <f>RANK(CJ204,$CJ$2:$CJ$623)+COUNTIF($CJ$2:$CJ204,$CJ204)-1</f>
        <v>24</v>
      </c>
    </row>
    <row r="205" spans="1:90">
      <c r="A205" t="str">
        <f>Players!P206</f>
        <v>Giovanni Di Lorenzo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2500000</v>
      </c>
      <c r="H205" s="16">
        <f>INDEX('Team forecast'!$B$2:$AO$26,MATCH('Master data'!$B205,'Team forecast'!$B$2:$B$26,0),MATCH('Master data'!H$1,'Team forecast'!$B$2:$AO$2,0))</f>
        <v>1.6593477618235051</v>
      </c>
      <c r="I205" s="16">
        <f>INDEX('Team forecast'!$B$2:$AO$26,MATCH('Master data'!$B205,'Team forecast'!$B$2:$B$26,0),MATCH('Master data'!I$1,'Team forecast'!$B$2:$AO$2,0))</f>
        <v>0.65422581624273402</v>
      </c>
      <c r="J205" s="16">
        <f>INDEX('Team forecast'!$B$2:$AO$26,MATCH('Master data'!$B205,'Team forecast'!$B$2:$B$26,0),MATCH('Master data'!J$1,'Team forecast'!$B$2:$AO$2,0))</f>
        <v>0.51984436190144767</v>
      </c>
      <c r="K205" s="16">
        <f>INDEX('Team forecast'!$B$2:$AO$26,MATCH('Master data'!$B205,'Team forecast'!$B$2:$B$26,0),MATCH('Master data'!K$1,'Team forecast'!$B$2:$AO$2,0))</f>
        <v>4.5343674133251923</v>
      </c>
      <c r="L205" s="16">
        <f>INDEX('Team forecast'!$B$2:$AO$26,MATCH('Master data'!$B205,'Team forecast'!$B$2:$B$26,0),MATCH('Master data'!L$1,'Team forecast'!$B$2:$AO$2,0))</f>
        <v>2.1477110129180663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0.15277777777777779</v>
      </c>
      <c r="R205" s="2">
        <f>Players!BR206</f>
        <v>0</v>
      </c>
      <c r="S205" s="2">
        <f t="shared" si="91"/>
        <v>1.6593477618235051</v>
      </c>
      <c r="T205" s="2">
        <f t="shared" si="92"/>
        <v>0.65422581624273402</v>
      </c>
      <c r="U205" s="16">
        <f>INDEX('Team forecast'!$B$2:$AO$26,MATCH('Master data'!$B205,'Team forecast'!$B$2:$B$26,0),MATCH('Master data'!U$1,'Team forecast'!$B$2:$AO$2,0))</f>
        <v>0.61375173050299947</v>
      </c>
      <c r="V205" s="16">
        <f>INDEX('Team forecast'!$B$2:$AO$26,MATCH('Master data'!$B205,'Team forecast'!$B$2:$B$26,0),MATCH('Master data'!V$1,'Team forecast'!$B$2:$AO$2,0))</f>
        <v>0.25034610059990769</v>
      </c>
      <c r="W205" s="16">
        <f>INDEX('Team forecast'!$B$2:$AO$26,MATCH('Master data'!$B205,'Team forecast'!$B$2:$B$26,0),MATCH('Master data'!W$1,'Team forecast'!$B$2:$AO$2,0))</f>
        <v>0.13590216889709281</v>
      </c>
      <c r="X205" s="5">
        <f t="shared" si="93"/>
        <v>-5000</v>
      </c>
      <c r="Y205" s="5">
        <f t="shared" si="94"/>
        <v>0</v>
      </c>
      <c r="Z205" s="5">
        <f t="shared" si="95"/>
        <v>0</v>
      </c>
      <c r="AA205" s="5">
        <f t="shared" si="96"/>
        <v>0</v>
      </c>
      <c r="AB205" s="5">
        <f t="shared" si="97"/>
        <v>0</v>
      </c>
      <c r="AC205" s="5">
        <f t="shared" si="98"/>
        <v>0</v>
      </c>
      <c r="AD205" s="5">
        <f t="shared" si="99"/>
        <v>0</v>
      </c>
      <c r="AE205" s="5">
        <f t="shared" si="100"/>
        <v>25992.218095072385</v>
      </c>
      <c r="AF205" s="5">
        <f t="shared" si="101"/>
        <v>0</v>
      </c>
      <c r="AG205" s="5">
        <f t="shared" si="102"/>
        <v>0</v>
      </c>
      <c r="AH205" s="5">
        <f t="shared" si="103"/>
        <v>0</v>
      </c>
      <c r="AI205" s="5">
        <f t="shared" si="104"/>
        <v>0</v>
      </c>
      <c r="AJ205" s="5">
        <f t="shared" si="105"/>
        <v>0</v>
      </c>
      <c r="AK205" s="5">
        <f>IFERROR(SUM(X205:AJ205),-5000)*((Cockpit!$C$3)^0)</f>
        <v>20992.218095072385</v>
      </c>
      <c r="AL205" s="16">
        <f>INDEX('Team forecast'!$B$2:$AO$26,MATCH('Master data'!$B205,'Team forecast'!$B$2:$B$26,0),MATCH('Master data'!AL$1,'Team forecast'!$B$2:$AO$2,0))</f>
        <v>1.5198357804321134</v>
      </c>
      <c r="AM205" s="16">
        <f>INDEX('Team forecast'!$B$2:$AO$26,MATCH('Master data'!$B205,'Team forecast'!$B$2:$B$26,0),MATCH('Master data'!AM$1,'Team forecast'!$B$2:$AO$2,0))</f>
        <v>0.79620558314709244</v>
      </c>
      <c r="AN205" s="16">
        <f>INDEX('Team forecast'!$B$2:$AO$26,MATCH('Master data'!$B205,'Team forecast'!$B$2:$B$26,0),MATCH('Master data'!AN$1,'Team forecast'!$B$2:$AO$2,0))</f>
        <v>0.45103714423540769</v>
      </c>
      <c r="AO205" s="16">
        <f>INDEX('Team forecast'!$B$2:$AO$26,MATCH('Master data'!$B205,'Team forecast'!$B$2:$B$26,0),MATCH('Master data'!AO$1,'Team forecast'!$B$2:$AO$2,0))</f>
        <v>4.1531341379722457</v>
      </c>
      <c r="AP205" s="16">
        <f>INDEX('Team forecast'!$B$2:$AO$26,MATCH('Master data'!$B205,'Team forecast'!$B$2:$B$26,0),MATCH('Master data'!AP$1,'Team forecast'!$B$2:$AO$2,0))</f>
        <v>2.6138062073010611</v>
      </c>
      <c r="AQ205" s="5">
        <f t="shared" si="106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107"/>
        <v>0</v>
      </c>
      <c r="AV205" s="5">
        <f t="shared" si="108"/>
        <v>0</v>
      </c>
      <c r="AW205" s="5">
        <f t="shared" si="109"/>
        <v>0</v>
      </c>
      <c r="AX205" s="5">
        <f t="shared" si="110"/>
        <v>22551.857211770384</v>
      </c>
      <c r="AY205" s="5">
        <f t="shared" si="111"/>
        <v>0</v>
      </c>
      <c r="AZ205" s="5">
        <f t="shared" si="112"/>
        <v>0</v>
      </c>
      <c r="BA205" s="5">
        <f t="shared" si="113"/>
        <v>0</v>
      </c>
      <c r="BB205" s="5">
        <f t="shared" si="114"/>
        <v>0</v>
      </c>
      <c r="BC205" s="5">
        <f t="shared" si="115"/>
        <v>0</v>
      </c>
      <c r="BD205" s="5">
        <f t="shared" si="116"/>
        <v>17551.857211770384</v>
      </c>
      <c r="BE205" s="16">
        <f>INDEX('Team forecast'!$B$2:$AO$26,MATCH('Master data'!$B205,'Team forecast'!$B$2:$B$26,0),MATCH('Master data'!BE$1,'Team forecast'!$B$2:$AO$2,0))</f>
        <v>1.8402581758343768</v>
      </c>
      <c r="BF205" s="16">
        <f>INDEX('Team forecast'!$B$2:$AO$26,MATCH('Master data'!$B205,'Team forecast'!$B$2:$B$26,0),MATCH('Master data'!BF$1,'Team forecast'!$B$2:$AO$2,0))</f>
        <v>0.65281467345965161</v>
      </c>
      <c r="BG205" s="16">
        <f>INDEX('Team forecast'!$B$2:$AO$26,MATCH('Master data'!$B205,'Team forecast'!$B$2:$B$26,0),MATCH('Master data'!BG$1,'Team forecast'!$B$2:$AO$2,0))</f>
        <v>0.52057845435388617</v>
      </c>
      <c r="BH205" s="16">
        <f>INDEX('Team forecast'!$B$2:$AO$26,MATCH('Master data'!$B205,'Team forecast'!$B$2:$B$26,0),MATCH('Master data'!BH$1,'Team forecast'!$B$2:$AO$2,0))</f>
        <v>5.0287268869057034</v>
      </c>
      <c r="BI205" s="16">
        <f>INDEX('Team forecast'!$B$2:$AO$26,MATCH('Master data'!$B205,'Team forecast'!$B$2:$B$26,0),MATCH('Master data'!BI$1,'Team forecast'!$B$2:$AO$2,0))</f>
        <v>2.1430784734786541</v>
      </c>
      <c r="BJ205" s="5">
        <f t="shared" si="117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118"/>
        <v>0</v>
      </c>
      <c r="BO205" s="5">
        <f t="shared" si="119"/>
        <v>0</v>
      </c>
      <c r="BP205" s="5">
        <f t="shared" si="120"/>
        <v>0</v>
      </c>
      <c r="BQ205" s="5">
        <f t="shared" si="121"/>
        <v>26028.92271769431</v>
      </c>
      <c r="BR205" s="5">
        <f t="shared" si="122"/>
        <v>0</v>
      </c>
      <c r="BS205" s="5">
        <f t="shared" si="123"/>
        <v>0</v>
      </c>
      <c r="BT205" s="5">
        <f t="shared" si="124"/>
        <v>0</v>
      </c>
      <c r="BU205" s="5">
        <f t="shared" si="125"/>
        <v>0</v>
      </c>
      <c r="BV205" s="5">
        <f t="shared" si="126"/>
        <v>0</v>
      </c>
      <c r="BW205" s="5">
        <f t="shared" si="127"/>
        <v>21028.92271769431</v>
      </c>
      <c r="BX205" s="5">
        <f t="shared" si="128"/>
        <v>19857.666008179029</v>
      </c>
      <c r="BY205" s="5">
        <f t="shared" si="129"/>
        <v>59572.998024537083</v>
      </c>
      <c r="BZ205" s="5">
        <f>INDEX('Team forecast'!$R$3:$BH$26,MATCH($B205,'Team forecast'!$B$3:$B$26,0),MATCH(BZ$1,'Team forecast'!$R$2:$BH$2,0))*($BX205-(BY205+CH205)*0.01)</f>
        <v>-5495.1082265899049</v>
      </c>
      <c r="CA205" s="5">
        <f>INDEX('Team forecast'!$R$3:$BH$26,MATCH($B205,'Team forecast'!$B$3:$B$26,0),MATCH(CA$1,'Team forecast'!$R$2:$BH$2,0))*($BX205-(BY205+BX205+CH205)*0.01)</f>
        <v>-2865.6922549399183</v>
      </c>
      <c r="CB205" s="5">
        <f>INDEX('Team forecast'!$R$3:$BH$26,MATCH($B205,'Team forecast'!$B$3:$B$26,0),MATCH(CB$1,'Team forecast'!$R$2:$BH$2,0))*($BX205-(BY205+BX205*2+CH205)*0.01)</f>
        <v>-1503.1973256967158</v>
      </c>
      <c r="CC205" s="5">
        <f>INDEX('Team forecast'!$R$3:$BH$26,MATCH($B205,'Team forecast'!$B$3:$B$26,0),MATCH(CC$1,'Team forecast'!$R$2:$BH$2,0))*($BX205-(BY205+BX205*3+CH205)*0.01)</f>
        <v>-805.77573969524576</v>
      </c>
      <c r="CD205" s="5">
        <f>+AK205+BD205*Cockpit!$C$3+BW205*Cockpit!$C$3^2+BZ205*Cockpit!$C$3^3+CA205*Cockpit!$C$3^4+CB205*Cockpit!$C$3^5+CC205*Cockpit!$C$3^6</f>
        <v>39576.709059669396</v>
      </c>
      <c r="CE205" s="5"/>
      <c r="CF205" s="5"/>
      <c r="CG205" s="5">
        <v>0</v>
      </c>
      <c r="CH205" s="5">
        <f t="shared" si="130"/>
        <v>2500000</v>
      </c>
      <c r="CI205" s="5">
        <f t="shared" si="131"/>
        <v>2500000</v>
      </c>
      <c r="CJ205" s="1">
        <f t="shared" si="132"/>
        <v>2.3829199209814834E-2</v>
      </c>
      <c r="CK205" s="5">
        <f>RANK(BY205,$BY$2:$BY$623)+COUNTIF($BY$2:$BY205,$BY205)-1</f>
        <v>273</v>
      </c>
      <c r="CL205" s="5">
        <f>RANK(CJ205,$CJ$2:$CJ$623)+COUNTIF($CJ$2:$CJ205,$CJ205)-1</f>
        <v>220</v>
      </c>
    </row>
    <row r="206" spans="1:90">
      <c r="A206" t="str">
        <f>Players!P207</f>
        <v>Alessandro Bastoni</v>
      </c>
      <c r="B206" t="str">
        <f>Players!G207</f>
        <v>Italy</v>
      </c>
      <c r="C206" t="str">
        <f>Players!AB207</f>
        <v>Defense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3500000</v>
      </c>
      <c r="H206" s="16">
        <f>INDEX('Team forecast'!$B$2:$AO$26,MATCH('Master data'!$B206,'Team forecast'!$B$2:$B$26,0),MATCH('Master data'!H$1,'Team forecast'!$B$2:$AO$2,0))</f>
        <v>1.6593477618235051</v>
      </c>
      <c r="I206" s="16">
        <f>INDEX('Team forecast'!$B$2:$AO$26,MATCH('Master data'!$B206,'Team forecast'!$B$2:$B$26,0),MATCH('Master data'!I$1,'Team forecast'!$B$2:$AO$2,0))</f>
        <v>0.65422581624273402</v>
      </c>
      <c r="J206" s="16">
        <f>INDEX('Team forecast'!$B$2:$AO$26,MATCH('Master data'!$B206,'Team forecast'!$B$2:$B$26,0),MATCH('Master data'!J$1,'Team forecast'!$B$2:$AO$2,0))</f>
        <v>0.51984436190144767</v>
      </c>
      <c r="K206" s="16">
        <f>INDEX('Team forecast'!$B$2:$AO$26,MATCH('Master data'!$B206,'Team forecast'!$B$2:$B$26,0),MATCH('Master data'!K$1,'Team forecast'!$B$2:$AO$2,0))</f>
        <v>4.5343674133251923</v>
      </c>
      <c r="L206" s="16">
        <f>INDEX('Team forecast'!$B$2:$AO$26,MATCH('Master data'!$B206,'Team forecast'!$B$2:$B$26,0),MATCH('Master data'!L$1,'Team forecast'!$B$2:$AO$2,0))</f>
        <v>2.1477110129180663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0.18727614490772387</v>
      </c>
      <c r="R206" s="2">
        <f>Players!BR207</f>
        <v>0</v>
      </c>
      <c r="S206" s="2">
        <f t="shared" si="91"/>
        <v>1.6593477618235051</v>
      </c>
      <c r="T206" s="2">
        <f t="shared" si="92"/>
        <v>0.65422581624273402</v>
      </c>
      <c r="U206" s="16">
        <f>INDEX('Team forecast'!$B$2:$AO$26,MATCH('Master data'!$B206,'Team forecast'!$B$2:$B$26,0),MATCH('Master data'!U$1,'Team forecast'!$B$2:$AO$2,0))</f>
        <v>0.61375173050299947</v>
      </c>
      <c r="V206" s="16">
        <f>INDEX('Team forecast'!$B$2:$AO$26,MATCH('Master data'!$B206,'Team forecast'!$B$2:$B$26,0),MATCH('Master data'!V$1,'Team forecast'!$B$2:$AO$2,0))</f>
        <v>0.25034610059990769</v>
      </c>
      <c r="W206" s="16">
        <f>INDEX('Team forecast'!$B$2:$AO$26,MATCH('Master data'!$B206,'Team forecast'!$B$2:$B$26,0),MATCH('Master data'!W$1,'Team forecast'!$B$2:$AO$2,0))</f>
        <v>0.13590216889709281</v>
      </c>
      <c r="X206" s="5">
        <f t="shared" si="93"/>
        <v>-5000</v>
      </c>
      <c r="Y206" s="5">
        <f t="shared" si="94"/>
        <v>0</v>
      </c>
      <c r="Z206" s="5">
        <f t="shared" si="95"/>
        <v>0</v>
      </c>
      <c r="AA206" s="5">
        <f t="shared" si="96"/>
        <v>0</v>
      </c>
      <c r="AB206" s="5">
        <f t="shared" si="97"/>
        <v>0</v>
      </c>
      <c r="AC206" s="5">
        <f t="shared" si="98"/>
        <v>0</v>
      </c>
      <c r="AD206" s="5">
        <f t="shared" si="99"/>
        <v>0</v>
      </c>
      <c r="AE206" s="5">
        <f t="shared" si="100"/>
        <v>25992.218095072385</v>
      </c>
      <c r="AF206" s="5">
        <f t="shared" si="101"/>
        <v>0</v>
      </c>
      <c r="AG206" s="5">
        <f t="shared" si="102"/>
        <v>0</v>
      </c>
      <c r="AH206" s="5">
        <f t="shared" si="103"/>
        <v>0</v>
      </c>
      <c r="AI206" s="5">
        <f t="shared" si="104"/>
        <v>0</v>
      </c>
      <c r="AJ206" s="5">
        <f t="shared" si="105"/>
        <v>0</v>
      </c>
      <c r="AK206" s="5">
        <f>IFERROR(SUM(X206:AJ206),-5000)*((Cockpit!$C$3)^0)</f>
        <v>20992.218095072385</v>
      </c>
      <c r="AL206" s="16">
        <f>INDEX('Team forecast'!$B$2:$AO$26,MATCH('Master data'!$B206,'Team forecast'!$B$2:$B$26,0),MATCH('Master data'!AL$1,'Team forecast'!$B$2:$AO$2,0))</f>
        <v>1.5198357804321134</v>
      </c>
      <c r="AM206" s="16">
        <f>INDEX('Team forecast'!$B$2:$AO$26,MATCH('Master data'!$B206,'Team forecast'!$B$2:$B$26,0),MATCH('Master data'!AM$1,'Team forecast'!$B$2:$AO$2,0))</f>
        <v>0.79620558314709244</v>
      </c>
      <c r="AN206" s="16">
        <f>INDEX('Team forecast'!$B$2:$AO$26,MATCH('Master data'!$B206,'Team forecast'!$B$2:$B$26,0),MATCH('Master data'!AN$1,'Team forecast'!$B$2:$AO$2,0))</f>
        <v>0.45103714423540769</v>
      </c>
      <c r="AO206" s="16">
        <f>INDEX('Team forecast'!$B$2:$AO$26,MATCH('Master data'!$B206,'Team forecast'!$B$2:$B$26,0),MATCH('Master data'!AO$1,'Team forecast'!$B$2:$AO$2,0))</f>
        <v>4.1531341379722457</v>
      </c>
      <c r="AP206" s="16">
        <f>INDEX('Team forecast'!$B$2:$AO$26,MATCH('Master data'!$B206,'Team forecast'!$B$2:$B$26,0),MATCH('Master data'!AP$1,'Team forecast'!$B$2:$AO$2,0))</f>
        <v>2.6138062073010611</v>
      </c>
      <c r="AQ206" s="5">
        <f t="shared" si="106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107"/>
        <v>0</v>
      </c>
      <c r="AV206" s="5">
        <f t="shared" si="108"/>
        <v>0</v>
      </c>
      <c r="AW206" s="5">
        <f t="shared" si="109"/>
        <v>0</v>
      </c>
      <c r="AX206" s="5">
        <f t="shared" si="110"/>
        <v>22551.857211770384</v>
      </c>
      <c r="AY206" s="5">
        <f t="shared" si="111"/>
        <v>0</v>
      </c>
      <c r="AZ206" s="5">
        <f t="shared" si="112"/>
        <v>0</v>
      </c>
      <c r="BA206" s="5">
        <f t="shared" si="113"/>
        <v>0</v>
      </c>
      <c r="BB206" s="5">
        <f t="shared" si="114"/>
        <v>0</v>
      </c>
      <c r="BC206" s="5">
        <f t="shared" si="115"/>
        <v>0</v>
      </c>
      <c r="BD206" s="5">
        <f t="shared" si="116"/>
        <v>17551.857211770384</v>
      </c>
      <c r="BE206" s="16">
        <f>INDEX('Team forecast'!$B$2:$AO$26,MATCH('Master data'!$B206,'Team forecast'!$B$2:$B$26,0),MATCH('Master data'!BE$1,'Team forecast'!$B$2:$AO$2,0))</f>
        <v>1.8402581758343768</v>
      </c>
      <c r="BF206" s="16">
        <f>INDEX('Team forecast'!$B$2:$AO$26,MATCH('Master data'!$B206,'Team forecast'!$B$2:$B$26,0),MATCH('Master data'!BF$1,'Team forecast'!$B$2:$AO$2,0))</f>
        <v>0.65281467345965161</v>
      </c>
      <c r="BG206" s="16">
        <f>INDEX('Team forecast'!$B$2:$AO$26,MATCH('Master data'!$B206,'Team forecast'!$B$2:$B$26,0),MATCH('Master data'!BG$1,'Team forecast'!$B$2:$AO$2,0))</f>
        <v>0.52057845435388617</v>
      </c>
      <c r="BH206" s="16">
        <f>INDEX('Team forecast'!$B$2:$AO$26,MATCH('Master data'!$B206,'Team forecast'!$B$2:$B$26,0),MATCH('Master data'!BH$1,'Team forecast'!$B$2:$AO$2,0))</f>
        <v>5.0287268869057034</v>
      </c>
      <c r="BI206" s="16">
        <f>INDEX('Team forecast'!$B$2:$AO$26,MATCH('Master data'!$B206,'Team forecast'!$B$2:$B$26,0),MATCH('Master data'!BI$1,'Team forecast'!$B$2:$AO$2,0))</f>
        <v>2.1430784734786541</v>
      </c>
      <c r="BJ206" s="5">
        <f t="shared" si="117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118"/>
        <v>0</v>
      </c>
      <c r="BO206" s="5">
        <f t="shared" si="119"/>
        <v>0</v>
      </c>
      <c r="BP206" s="5">
        <f t="shared" si="120"/>
        <v>0</v>
      </c>
      <c r="BQ206" s="5">
        <f t="shared" si="121"/>
        <v>26028.92271769431</v>
      </c>
      <c r="BR206" s="5">
        <f t="shared" si="122"/>
        <v>0</v>
      </c>
      <c r="BS206" s="5">
        <f t="shared" si="123"/>
        <v>0</v>
      </c>
      <c r="BT206" s="5">
        <f t="shared" si="124"/>
        <v>0</v>
      </c>
      <c r="BU206" s="5">
        <f t="shared" si="125"/>
        <v>0</v>
      </c>
      <c r="BV206" s="5">
        <f t="shared" si="126"/>
        <v>0</v>
      </c>
      <c r="BW206" s="5">
        <f t="shared" si="127"/>
        <v>21028.92271769431</v>
      </c>
      <c r="BX206" s="5">
        <f t="shared" si="128"/>
        <v>19857.666008179029</v>
      </c>
      <c r="BY206" s="5">
        <f t="shared" si="129"/>
        <v>59572.998024537083</v>
      </c>
      <c r="BZ206" s="5">
        <f>INDEX('Team forecast'!$R$3:$BH$26,MATCH($B206,'Team forecast'!$B$3:$B$26,0),MATCH(BZ$1,'Team forecast'!$R$2:$BH$2,0))*($BX206-(BY206+CH206)*0.01)</f>
        <v>-15071.697566375617</v>
      </c>
      <c r="CA206" s="5">
        <f>INDEX('Team forecast'!$R$3:$BH$26,MATCH($B206,'Team forecast'!$B$3:$B$26,0),MATCH(CA$1,'Team forecast'!$R$2:$BH$2,0))*($BX206-(BY206+BX206+CH206)*0.01)</f>
        <v>-7692.8199733023957</v>
      </c>
      <c r="CB206" s="5">
        <f>INDEX('Team forecast'!$R$3:$BH$26,MATCH($B206,'Team forecast'!$B$3:$B$26,0),MATCH(CB$1,'Team forecast'!$R$2:$BH$2,0))*($BX206-(BY206+BX206*2+CH206)*0.01)</f>
        <v>-3953.3099363787719</v>
      </c>
      <c r="CC206" s="5">
        <f>INDEX('Team forecast'!$R$3:$BH$26,MATCH($B206,'Team forecast'!$B$3:$B$26,0),MATCH(CC$1,'Team forecast'!$R$2:$BH$2,0))*($BX206-(BY206+BX206*3+CH206)*0.01)</f>
        <v>-2077.9606982873279</v>
      </c>
      <c r="CD206" s="5">
        <f>+AK206+BD206*Cockpit!$C$3+BW206*Cockpit!$C$3^2+BZ206*Cockpit!$C$3^3+CA206*Cockpit!$C$3^4+CB206*Cockpit!$C$3^5+CC206*Cockpit!$C$3^6</f>
        <v>35351.358803409748</v>
      </c>
      <c r="CE206" s="5"/>
      <c r="CF206" s="5"/>
      <c r="CG206" s="5">
        <v>0</v>
      </c>
      <c r="CH206" s="5">
        <f t="shared" si="130"/>
        <v>3500000</v>
      </c>
      <c r="CI206" s="5">
        <f t="shared" si="131"/>
        <v>3500000</v>
      </c>
      <c r="CJ206" s="1">
        <f t="shared" si="132"/>
        <v>1.7020856578439165E-2</v>
      </c>
      <c r="CK206" s="5">
        <f>RANK(BY206,$BY$2:$BY$623)+COUNTIF($BY$2:$BY206,$BY206)-1</f>
        <v>274</v>
      </c>
      <c r="CL206" s="5">
        <f>RANK(CJ206,$CJ$2:$CJ$623)+COUNTIF($CJ$2:$CJ206,$CJ206)-1</f>
        <v>289</v>
      </c>
    </row>
    <row r="207" spans="1:90">
      <c r="A207" t="str">
        <f>Players!P208</f>
        <v>Bryan Cristante</v>
      </c>
      <c r="B207" t="str">
        <f>Players!G208</f>
        <v>Italy</v>
      </c>
      <c r="C207" t="str">
        <f>Players!AB208</f>
        <v>Midfield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1.6593477618235051</v>
      </c>
      <c r="I207" s="16">
        <f>INDEX('Team forecast'!$B$2:$AO$26,MATCH('Master data'!$B207,'Team forecast'!$B$2:$B$26,0),MATCH('Master data'!I$1,'Team forecast'!$B$2:$AO$2,0))</f>
        <v>0.65422581624273402</v>
      </c>
      <c r="J207" s="16">
        <f>INDEX('Team forecast'!$B$2:$AO$26,MATCH('Master data'!$B207,'Team forecast'!$B$2:$B$26,0),MATCH('Master data'!J$1,'Team forecast'!$B$2:$AO$2,0))</f>
        <v>0.51984436190144767</v>
      </c>
      <c r="K207" s="16">
        <f>INDEX('Team forecast'!$B$2:$AO$26,MATCH('Master data'!$B207,'Team forecast'!$B$2:$B$26,0),MATCH('Master data'!K$1,'Team forecast'!$B$2:$AO$2,0))</f>
        <v>4.5343674133251923</v>
      </c>
      <c r="L207" s="16">
        <f>INDEX('Team forecast'!$B$2:$AO$26,MATCH('Master data'!$B207,'Team forecast'!$B$2:$B$26,0),MATCH('Master data'!L$1,'Team forecast'!$B$2:$AO$2,0))</f>
        <v>2.1477110129180663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0.16759776536312848</v>
      </c>
      <c r="R207" s="2">
        <f>Players!BR208</f>
        <v>0</v>
      </c>
      <c r="S207" s="2">
        <f t="shared" si="91"/>
        <v>1.6593477618235051</v>
      </c>
      <c r="T207" s="2">
        <f t="shared" si="92"/>
        <v>0.65422581624273402</v>
      </c>
      <c r="U207" s="16">
        <f>INDEX('Team forecast'!$B$2:$AO$26,MATCH('Master data'!$B207,'Team forecast'!$B$2:$B$26,0),MATCH('Master data'!U$1,'Team forecast'!$B$2:$AO$2,0))</f>
        <v>0.61375173050299947</v>
      </c>
      <c r="V207" s="16">
        <f>INDEX('Team forecast'!$B$2:$AO$26,MATCH('Master data'!$B207,'Team forecast'!$B$2:$B$26,0),MATCH('Master data'!V$1,'Team forecast'!$B$2:$AO$2,0))</f>
        <v>0.25034610059990769</v>
      </c>
      <c r="W207" s="16">
        <f>INDEX('Team forecast'!$B$2:$AO$26,MATCH('Master data'!$B207,'Team forecast'!$B$2:$B$26,0),MATCH('Master data'!W$1,'Team forecast'!$B$2:$AO$2,0))</f>
        <v>0.13590216889709281</v>
      </c>
      <c r="X207" s="5">
        <f t="shared" si="93"/>
        <v>-5000</v>
      </c>
      <c r="Y207" s="5">
        <f t="shared" si="94"/>
        <v>0</v>
      </c>
      <c r="Z207" s="5">
        <f t="shared" si="95"/>
        <v>0</v>
      </c>
      <c r="AA207" s="5">
        <f t="shared" si="96"/>
        <v>0</v>
      </c>
      <c r="AB207" s="5">
        <f t="shared" si="97"/>
        <v>0</v>
      </c>
      <c r="AC207" s="5">
        <f t="shared" si="98"/>
        <v>0</v>
      </c>
      <c r="AD207" s="5">
        <f t="shared" si="99"/>
        <v>0</v>
      </c>
      <c r="AE207" s="5">
        <f t="shared" si="100"/>
        <v>0</v>
      </c>
      <c r="AF207" s="5">
        <f t="shared" si="101"/>
        <v>0</v>
      </c>
      <c r="AG207" s="5">
        <f t="shared" si="102"/>
        <v>0</v>
      </c>
      <c r="AH207" s="5">
        <f t="shared" si="103"/>
        <v>0</v>
      </c>
      <c r="AI207" s="5">
        <f t="shared" si="104"/>
        <v>0</v>
      </c>
      <c r="AJ207" s="5">
        <f t="shared" si="105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1.5198357804321134</v>
      </c>
      <c r="AM207" s="16">
        <f>INDEX('Team forecast'!$B$2:$AO$26,MATCH('Master data'!$B207,'Team forecast'!$B$2:$B$26,0),MATCH('Master data'!AM$1,'Team forecast'!$B$2:$AO$2,0))</f>
        <v>0.79620558314709244</v>
      </c>
      <c r="AN207" s="16">
        <f>INDEX('Team forecast'!$B$2:$AO$26,MATCH('Master data'!$B207,'Team forecast'!$B$2:$B$26,0),MATCH('Master data'!AN$1,'Team forecast'!$B$2:$AO$2,0))</f>
        <v>0.45103714423540769</v>
      </c>
      <c r="AO207" s="16">
        <f>INDEX('Team forecast'!$B$2:$AO$26,MATCH('Master data'!$B207,'Team forecast'!$B$2:$B$26,0),MATCH('Master data'!AO$1,'Team forecast'!$B$2:$AO$2,0))</f>
        <v>4.1531341379722457</v>
      </c>
      <c r="AP207" s="16">
        <f>INDEX('Team forecast'!$B$2:$AO$26,MATCH('Master data'!$B207,'Team forecast'!$B$2:$B$26,0),MATCH('Master data'!AP$1,'Team forecast'!$B$2:$AO$2,0))</f>
        <v>2.6138062073010611</v>
      </c>
      <c r="AQ207" s="5">
        <f t="shared" si="106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107"/>
        <v>0</v>
      </c>
      <c r="AV207" s="5">
        <f t="shared" si="108"/>
        <v>0</v>
      </c>
      <c r="AW207" s="5">
        <f t="shared" si="109"/>
        <v>0</v>
      </c>
      <c r="AX207" s="5">
        <f t="shared" si="110"/>
        <v>0</v>
      </c>
      <c r="AY207" s="5">
        <f t="shared" si="111"/>
        <v>0</v>
      </c>
      <c r="AZ207" s="5">
        <f t="shared" si="112"/>
        <v>0</v>
      </c>
      <c r="BA207" s="5">
        <f t="shared" si="113"/>
        <v>0</v>
      </c>
      <c r="BB207" s="5">
        <f t="shared" si="114"/>
        <v>0</v>
      </c>
      <c r="BC207" s="5">
        <f t="shared" si="115"/>
        <v>0</v>
      </c>
      <c r="BD207" s="5">
        <f t="shared" si="116"/>
        <v>-5000</v>
      </c>
      <c r="BE207" s="16">
        <f>INDEX('Team forecast'!$B$2:$AO$26,MATCH('Master data'!$B207,'Team forecast'!$B$2:$B$26,0),MATCH('Master data'!BE$1,'Team forecast'!$B$2:$AO$2,0))</f>
        <v>1.8402581758343768</v>
      </c>
      <c r="BF207" s="16">
        <f>INDEX('Team forecast'!$B$2:$AO$26,MATCH('Master data'!$B207,'Team forecast'!$B$2:$B$26,0),MATCH('Master data'!BF$1,'Team forecast'!$B$2:$AO$2,0))</f>
        <v>0.65281467345965161</v>
      </c>
      <c r="BG207" s="16">
        <f>INDEX('Team forecast'!$B$2:$AO$26,MATCH('Master data'!$B207,'Team forecast'!$B$2:$B$26,0),MATCH('Master data'!BG$1,'Team forecast'!$B$2:$AO$2,0))</f>
        <v>0.52057845435388617</v>
      </c>
      <c r="BH207" s="16">
        <f>INDEX('Team forecast'!$B$2:$AO$26,MATCH('Master data'!$B207,'Team forecast'!$B$2:$B$26,0),MATCH('Master data'!BH$1,'Team forecast'!$B$2:$AO$2,0))</f>
        <v>5.0287268869057034</v>
      </c>
      <c r="BI207" s="16">
        <f>INDEX('Team forecast'!$B$2:$AO$26,MATCH('Master data'!$B207,'Team forecast'!$B$2:$B$26,0),MATCH('Master data'!BI$1,'Team forecast'!$B$2:$AO$2,0))</f>
        <v>2.1430784734786541</v>
      </c>
      <c r="BJ207" s="5">
        <f t="shared" si="117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118"/>
        <v>0</v>
      </c>
      <c r="BO207" s="5">
        <f t="shared" si="119"/>
        <v>0</v>
      </c>
      <c r="BP207" s="5">
        <f t="shared" si="120"/>
        <v>0</v>
      </c>
      <c r="BQ207" s="5">
        <f t="shared" si="121"/>
        <v>0</v>
      </c>
      <c r="BR207" s="5">
        <f t="shared" si="122"/>
        <v>0</v>
      </c>
      <c r="BS207" s="5">
        <f t="shared" si="123"/>
        <v>0</v>
      </c>
      <c r="BT207" s="5">
        <f t="shared" si="124"/>
        <v>0</v>
      </c>
      <c r="BU207" s="5">
        <f t="shared" si="125"/>
        <v>0</v>
      </c>
      <c r="BV207" s="5">
        <f t="shared" si="126"/>
        <v>0</v>
      </c>
      <c r="BW207" s="5">
        <f t="shared" si="127"/>
        <v>-5000</v>
      </c>
      <c r="BX207" s="5">
        <f t="shared" si="128"/>
        <v>-5000</v>
      </c>
      <c r="BY207" s="5">
        <f t="shared" si="129"/>
        <v>-15000</v>
      </c>
      <c r="BZ207" s="5">
        <f>INDEX('Team forecast'!$R$3:$BH$26,MATCH($B207,'Team forecast'!$B$3:$B$26,0),MATCH(BZ$1,'Team forecast'!$R$2:$BH$2,0))*($BX207-(BY207+CH207)*0.01)</f>
        <v>-33374.413849153221</v>
      </c>
      <c r="CA207" s="5">
        <f>INDEX('Team forecast'!$R$3:$BH$26,MATCH($B207,'Team forecast'!$B$3:$B$26,0),MATCH(CA$1,'Team forecast'!$R$2:$BH$2,0))*($BX207-(BY207+BX207+CH207)*0.01)</f>
        <v>-16798.404459901416</v>
      </c>
      <c r="CB207" s="5">
        <f>INDEX('Team forecast'!$R$3:$BH$26,MATCH($B207,'Team forecast'!$B$3:$B$26,0),MATCH(CB$1,'Team forecast'!$R$2:$BH$2,0))*($BX207-(BY207+BX207*2+CH207)*0.01)</f>
        <v>-8514.1413221201456</v>
      </c>
      <c r="CC207" s="5">
        <f>INDEX('Team forecast'!$R$3:$BH$26,MATCH($B207,'Team forecast'!$B$3:$B$26,0),MATCH(CC$1,'Team forecast'!$R$2:$BH$2,0))*($BX207-(BY207+BX207*3+CH207)*0.01)</f>
        <v>-4414.4818063145249</v>
      </c>
      <c r="CD207" s="5">
        <f>+AK207+BD207*Cockpit!$C$3+BW207*Cockpit!$C$3^2+BZ207*Cockpit!$C$3^3+CA207*Cockpit!$C$3^4+CB207*Cockpit!$C$3^5+CC207*Cockpit!$C$3^6</f>
        <v>-25271.231874033696</v>
      </c>
      <c r="CE207" s="5"/>
      <c r="CF207" s="5"/>
      <c r="CG207" s="5">
        <v>0</v>
      </c>
      <c r="CH207" s="5">
        <f t="shared" si="130"/>
        <v>3000000</v>
      </c>
      <c r="CI207" s="5">
        <f t="shared" si="131"/>
        <v>3000000</v>
      </c>
      <c r="CJ207" s="1">
        <f t="shared" si="132"/>
        <v>-5.0000000000000001E-3</v>
      </c>
      <c r="CK207" s="5">
        <f>RANK(BY207,$BY$2:$BY$623)+COUNTIF($BY$2:$BY207,$BY207)-1</f>
        <v>481</v>
      </c>
      <c r="CL207" s="5">
        <f>RANK(CJ207,$CJ$2:$CJ$623)+COUNTIF($CJ$2:$CJ207,$CJ207)-1</f>
        <v>495</v>
      </c>
    </row>
    <row r="208" spans="1:90">
      <c r="A208" t="str">
        <f>Players!P209</f>
        <v>Stefano Sensi</v>
      </c>
      <c r="B208" t="str">
        <f>Players!G209</f>
        <v>Italy</v>
      </c>
      <c r="C208" t="str">
        <f>Players!AB209</f>
        <v>Midfield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3500000</v>
      </c>
      <c r="H208" s="16">
        <f>INDEX('Team forecast'!$B$2:$AO$26,MATCH('Master data'!$B208,'Team forecast'!$B$2:$B$26,0),MATCH('Master data'!H$1,'Team forecast'!$B$2:$AO$2,0))</f>
        <v>1.6593477618235051</v>
      </c>
      <c r="I208" s="16">
        <f>INDEX('Team forecast'!$B$2:$AO$26,MATCH('Master data'!$B208,'Team forecast'!$B$2:$B$26,0),MATCH('Master data'!I$1,'Team forecast'!$B$2:$AO$2,0))</f>
        <v>0.65422581624273402</v>
      </c>
      <c r="J208" s="16">
        <f>INDEX('Team forecast'!$B$2:$AO$26,MATCH('Master data'!$B208,'Team forecast'!$B$2:$B$26,0),MATCH('Master data'!J$1,'Team forecast'!$B$2:$AO$2,0))</f>
        <v>0.51984436190144767</v>
      </c>
      <c r="K208" s="16">
        <f>INDEX('Team forecast'!$B$2:$AO$26,MATCH('Master data'!$B208,'Team forecast'!$B$2:$B$26,0),MATCH('Master data'!K$1,'Team forecast'!$B$2:$AO$2,0))</f>
        <v>4.5343674133251923</v>
      </c>
      <c r="L208" s="16">
        <f>INDEX('Team forecast'!$B$2:$AO$26,MATCH('Master data'!$B208,'Team forecast'!$B$2:$B$26,0),MATCH('Master data'!L$1,'Team forecast'!$B$2:$AO$2,0))</f>
        <v>2.1477110129180663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7.5503355704697989E-2</v>
      </c>
      <c r="R208" s="2">
        <f>Players!BR209</f>
        <v>0.06</v>
      </c>
      <c r="S208" s="2">
        <f t="shared" si="91"/>
        <v>1.6593477618235051</v>
      </c>
      <c r="T208" s="2">
        <f t="shared" si="92"/>
        <v>0.65422581624273402</v>
      </c>
      <c r="U208" s="16">
        <f>INDEX('Team forecast'!$B$2:$AO$26,MATCH('Master data'!$B208,'Team forecast'!$B$2:$B$26,0),MATCH('Master data'!U$1,'Team forecast'!$B$2:$AO$2,0))</f>
        <v>0.61375173050299947</v>
      </c>
      <c r="V208" s="16">
        <f>INDEX('Team forecast'!$B$2:$AO$26,MATCH('Master data'!$B208,'Team forecast'!$B$2:$B$26,0),MATCH('Master data'!V$1,'Team forecast'!$B$2:$AO$2,0))</f>
        <v>0.25034610059990769</v>
      </c>
      <c r="W208" s="16">
        <f>INDEX('Team forecast'!$B$2:$AO$26,MATCH('Master data'!$B208,'Team forecast'!$B$2:$B$26,0),MATCH('Master data'!W$1,'Team forecast'!$B$2:$AO$2,0))</f>
        <v>0.13590216889709281</v>
      </c>
      <c r="X208" s="5">
        <f t="shared" si="93"/>
        <v>-5000</v>
      </c>
      <c r="Y208" s="5">
        <f t="shared" si="94"/>
        <v>0</v>
      </c>
      <c r="Z208" s="5">
        <f t="shared" si="95"/>
        <v>0</v>
      </c>
      <c r="AA208" s="5">
        <f t="shared" si="96"/>
        <v>0</v>
      </c>
      <c r="AB208" s="5">
        <f t="shared" si="97"/>
        <v>0</v>
      </c>
      <c r="AC208" s="5">
        <f t="shared" si="98"/>
        <v>0</v>
      </c>
      <c r="AD208" s="5">
        <f t="shared" si="99"/>
        <v>0</v>
      </c>
      <c r="AE208" s="5">
        <f t="shared" si="100"/>
        <v>0</v>
      </c>
      <c r="AF208" s="5">
        <f t="shared" si="101"/>
        <v>0</v>
      </c>
      <c r="AG208" s="5">
        <f t="shared" si="102"/>
        <v>0</v>
      </c>
      <c r="AH208" s="5">
        <f t="shared" si="103"/>
        <v>0</v>
      </c>
      <c r="AI208" s="5">
        <f t="shared" si="104"/>
        <v>0</v>
      </c>
      <c r="AJ208" s="5">
        <f t="shared" si="105"/>
        <v>0</v>
      </c>
      <c r="AK208" s="5">
        <f>IFERROR(SUM(X208:AJ208),-5000)*((Cockpit!$C$3)^0)</f>
        <v>-5000</v>
      </c>
      <c r="AL208" s="16">
        <f>INDEX('Team forecast'!$B$2:$AO$26,MATCH('Master data'!$B208,'Team forecast'!$B$2:$B$26,0),MATCH('Master data'!AL$1,'Team forecast'!$B$2:$AO$2,0))</f>
        <v>1.5198357804321134</v>
      </c>
      <c r="AM208" s="16">
        <f>INDEX('Team forecast'!$B$2:$AO$26,MATCH('Master data'!$B208,'Team forecast'!$B$2:$B$26,0),MATCH('Master data'!AM$1,'Team forecast'!$B$2:$AO$2,0))</f>
        <v>0.79620558314709244</v>
      </c>
      <c r="AN208" s="16">
        <f>INDEX('Team forecast'!$B$2:$AO$26,MATCH('Master data'!$B208,'Team forecast'!$B$2:$B$26,0),MATCH('Master data'!AN$1,'Team forecast'!$B$2:$AO$2,0))</f>
        <v>0.45103714423540769</v>
      </c>
      <c r="AO208" s="16">
        <f>INDEX('Team forecast'!$B$2:$AO$26,MATCH('Master data'!$B208,'Team forecast'!$B$2:$B$26,0),MATCH('Master data'!AO$1,'Team forecast'!$B$2:$AO$2,0))</f>
        <v>4.1531341379722457</v>
      </c>
      <c r="AP208" s="16">
        <f>INDEX('Team forecast'!$B$2:$AO$26,MATCH('Master data'!$B208,'Team forecast'!$B$2:$B$26,0),MATCH('Master data'!AP$1,'Team forecast'!$B$2:$AO$2,0))</f>
        <v>2.6138062073010611</v>
      </c>
      <c r="AQ208" s="5">
        <f t="shared" si="106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107"/>
        <v>0</v>
      </c>
      <c r="AV208" s="5">
        <f t="shared" si="108"/>
        <v>0</v>
      </c>
      <c r="AW208" s="5">
        <f t="shared" si="109"/>
        <v>0</v>
      </c>
      <c r="AX208" s="5">
        <f t="shared" si="110"/>
        <v>0</v>
      </c>
      <c r="AY208" s="5">
        <f t="shared" si="111"/>
        <v>0</v>
      </c>
      <c r="AZ208" s="5">
        <f t="shared" si="112"/>
        <v>0</v>
      </c>
      <c r="BA208" s="5">
        <f t="shared" si="113"/>
        <v>0</v>
      </c>
      <c r="BB208" s="5">
        <f t="shared" si="114"/>
        <v>0</v>
      </c>
      <c r="BC208" s="5">
        <f t="shared" si="115"/>
        <v>0</v>
      </c>
      <c r="BD208" s="5">
        <f t="shared" si="116"/>
        <v>-5000</v>
      </c>
      <c r="BE208" s="16">
        <f>INDEX('Team forecast'!$B$2:$AO$26,MATCH('Master data'!$B208,'Team forecast'!$B$2:$B$26,0),MATCH('Master data'!BE$1,'Team forecast'!$B$2:$AO$2,0))</f>
        <v>1.8402581758343768</v>
      </c>
      <c r="BF208" s="16">
        <f>INDEX('Team forecast'!$B$2:$AO$26,MATCH('Master data'!$B208,'Team forecast'!$B$2:$B$26,0),MATCH('Master data'!BF$1,'Team forecast'!$B$2:$AO$2,0))</f>
        <v>0.65281467345965161</v>
      </c>
      <c r="BG208" s="16">
        <f>INDEX('Team forecast'!$B$2:$AO$26,MATCH('Master data'!$B208,'Team forecast'!$B$2:$B$26,0),MATCH('Master data'!BG$1,'Team forecast'!$B$2:$AO$2,0))</f>
        <v>0.52057845435388617</v>
      </c>
      <c r="BH208" s="16">
        <f>INDEX('Team forecast'!$B$2:$AO$26,MATCH('Master data'!$B208,'Team forecast'!$B$2:$B$26,0),MATCH('Master data'!BH$1,'Team forecast'!$B$2:$AO$2,0))</f>
        <v>5.0287268869057034</v>
      </c>
      <c r="BI208" s="16">
        <f>INDEX('Team forecast'!$B$2:$AO$26,MATCH('Master data'!$B208,'Team forecast'!$B$2:$B$26,0),MATCH('Master data'!BI$1,'Team forecast'!$B$2:$AO$2,0))</f>
        <v>2.1430784734786541</v>
      </c>
      <c r="BJ208" s="5">
        <f t="shared" si="117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118"/>
        <v>0</v>
      </c>
      <c r="BO208" s="5">
        <f t="shared" si="119"/>
        <v>0</v>
      </c>
      <c r="BP208" s="5">
        <f t="shared" si="120"/>
        <v>0</v>
      </c>
      <c r="BQ208" s="5">
        <f t="shared" si="121"/>
        <v>0</v>
      </c>
      <c r="BR208" s="5">
        <f t="shared" si="122"/>
        <v>0</v>
      </c>
      <c r="BS208" s="5">
        <f t="shared" si="123"/>
        <v>0</v>
      </c>
      <c r="BT208" s="5">
        <f t="shared" si="124"/>
        <v>0</v>
      </c>
      <c r="BU208" s="5">
        <f t="shared" si="125"/>
        <v>0</v>
      </c>
      <c r="BV208" s="5">
        <f t="shared" si="126"/>
        <v>0</v>
      </c>
      <c r="BW208" s="5">
        <f t="shared" si="127"/>
        <v>-5000</v>
      </c>
      <c r="BX208" s="5">
        <f t="shared" si="128"/>
        <v>-5000</v>
      </c>
      <c r="BY208" s="5">
        <f t="shared" si="129"/>
        <v>-15000</v>
      </c>
      <c r="BZ208" s="5">
        <f>INDEX('Team forecast'!$R$3:$BH$26,MATCH($B208,'Team forecast'!$B$3:$B$26,0),MATCH(BZ$1,'Team forecast'!$R$2:$BH$2,0))*($BX208-(BY208+CH208)*0.01)</f>
        <v>-38162.708519046078</v>
      </c>
      <c r="CA208" s="5">
        <f>INDEX('Team forecast'!$R$3:$BH$26,MATCH($B208,'Team forecast'!$B$3:$B$26,0),MATCH(CA$1,'Team forecast'!$R$2:$BH$2,0))*($BX208-(BY208+BX208+CH208)*0.01)</f>
        <v>-19211.968319082654</v>
      </c>
      <c r="CB208" s="5">
        <f>INDEX('Team forecast'!$R$3:$BH$26,MATCH($B208,'Team forecast'!$B$3:$B$26,0),MATCH(CB$1,'Team forecast'!$R$2:$BH$2,0))*($BX208-(BY208+BX208*2+CH208)*0.01)</f>
        <v>-9739.1976274611734</v>
      </c>
      <c r="CC208" s="5">
        <f>INDEX('Team forecast'!$R$3:$BH$26,MATCH($B208,'Team forecast'!$B$3:$B$26,0),MATCH(CC$1,'Team forecast'!$R$2:$BH$2,0))*($BX208-(BY208+BX208*3+CH208)*0.01)</f>
        <v>-5050.5742856105662</v>
      </c>
      <c r="CD208" s="5">
        <f>+AK208+BD208*Cockpit!$C$3+BW208*Cockpit!$C$3^2+BZ208*Cockpit!$C$3^3+CA208*Cockpit!$C$3^4+CB208*Cockpit!$C$3^5+CC208*Cockpit!$C$3^6</f>
        <v>-27383.907002163516</v>
      </c>
      <c r="CE208" s="5"/>
      <c r="CF208" s="5"/>
      <c r="CG208" s="5">
        <v>0</v>
      </c>
      <c r="CH208" s="5">
        <f t="shared" si="130"/>
        <v>3500000</v>
      </c>
      <c r="CI208" s="5">
        <f t="shared" si="131"/>
        <v>3500000</v>
      </c>
      <c r="CJ208" s="1">
        <f t="shared" si="132"/>
        <v>-4.2857142857142859E-3</v>
      </c>
      <c r="CK208" s="5">
        <f>RANK(BY208,$BY$2:$BY$623)+COUNTIF($BY$2:$BY208,$BY208)-1</f>
        <v>482</v>
      </c>
      <c r="CL208" s="5">
        <f>RANK(CJ208,$CJ$2:$CJ$623)+COUNTIF($CJ$2:$CJ208,$CJ208)-1</f>
        <v>469</v>
      </c>
    </row>
    <row r="209" spans="1:90">
      <c r="A209" t="str">
        <f>Players!P210</f>
        <v>Giacomo Raspadori</v>
      </c>
      <c r="B209" t="str">
        <f>Players!G210</f>
        <v>Italy</v>
      </c>
      <c r="C209" t="str">
        <f>Players!AB210</f>
        <v>Striker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3000000</v>
      </c>
      <c r="H209" s="16">
        <f>INDEX('Team forecast'!$B$2:$AO$26,MATCH('Master data'!$B209,'Team forecast'!$B$2:$B$26,0),MATCH('Master data'!H$1,'Team forecast'!$B$2:$AO$2,0))</f>
        <v>1.6593477618235051</v>
      </c>
      <c r="I209" s="16">
        <f>INDEX('Team forecast'!$B$2:$AO$26,MATCH('Master data'!$B209,'Team forecast'!$B$2:$B$26,0),MATCH('Master data'!I$1,'Team forecast'!$B$2:$AO$2,0))</f>
        <v>0.65422581624273402</v>
      </c>
      <c r="J209" s="16">
        <f>INDEX('Team forecast'!$B$2:$AO$26,MATCH('Master data'!$B209,'Team forecast'!$B$2:$B$26,0),MATCH('Master data'!J$1,'Team forecast'!$B$2:$AO$2,0))</f>
        <v>0.51984436190144767</v>
      </c>
      <c r="K209" s="16">
        <f>INDEX('Team forecast'!$B$2:$AO$26,MATCH('Master data'!$B209,'Team forecast'!$B$2:$B$26,0),MATCH('Master data'!K$1,'Team forecast'!$B$2:$AO$2,0))</f>
        <v>4.5343674133251923</v>
      </c>
      <c r="L209" s="16">
        <f>INDEX('Team forecast'!$B$2:$AO$26,MATCH('Master data'!$B209,'Team forecast'!$B$2:$B$26,0),MATCH('Master data'!L$1,'Team forecast'!$B$2:$AO$2,0))</f>
        <v>2.1477110129180663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3.6615134255492267E-2</v>
      </c>
      <c r="R209" s="2">
        <f>Players!BR210</f>
        <v>0</v>
      </c>
      <c r="S209" s="2">
        <f t="shared" si="91"/>
        <v>1.6593477618235051</v>
      </c>
      <c r="T209" s="2">
        <f t="shared" si="92"/>
        <v>0.65422581624273402</v>
      </c>
      <c r="U209" s="16">
        <f>INDEX('Team forecast'!$B$2:$AO$26,MATCH('Master data'!$B209,'Team forecast'!$B$2:$B$26,0),MATCH('Master data'!U$1,'Team forecast'!$B$2:$AO$2,0))</f>
        <v>0.61375173050299947</v>
      </c>
      <c r="V209" s="16">
        <f>INDEX('Team forecast'!$B$2:$AO$26,MATCH('Master data'!$B209,'Team forecast'!$B$2:$B$26,0),MATCH('Master data'!V$1,'Team forecast'!$B$2:$AO$2,0))</f>
        <v>0.25034610059990769</v>
      </c>
      <c r="W209" s="16">
        <f>INDEX('Team forecast'!$B$2:$AO$26,MATCH('Master data'!$B209,'Team forecast'!$B$2:$B$26,0),MATCH('Master data'!W$1,'Team forecast'!$B$2:$AO$2,0))</f>
        <v>0.13590216889709281</v>
      </c>
      <c r="X209" s="5">
        <f t="shared" si="93"/>
        <v>-5000</v>
      </c>
      <c r="Y209" s="5">
        <f t="shared" si="94"/>
        <v>0</v>
      </c>
      <c r="Z209" s="5">
        <f t="shared" si="95"/>
        <v>0</v>
      </c>
      <c r="AA209" s="5">
        <f t="shared" si="96"/>
        <v>0</v>
      </c>
      <c r="AB209" s="5">
        <f t="shared" si="97"/>
        <v>0</v>
      </c>
      <c r="AC209" s="5">
        <f t="shared" si="98"/>
        <v>0</v>
      </c>
      <c r="AD209" s="5">
        <f t="shared" si="99"/>
        <v>0</v>
      </c>
      <c r="AE209" s="5">
        <f t="shared" si="100"/>
        <v>0</v>
      </c>
      <c r="AF209" s="5">
        <f t="shared" si="101"/>
        <v>0</v>
      </c>
      <c r="AG209" s="5">
        <f t="shared" si="102"/>
        <v>0</v>
      </c>
      <c r="AH209" s="5">
        <f t="shared" si="103"/>
        <v>0</v>
      </c>
      <c r="AI209" s="5">
        <f t="shared" si="104"/>
        <v>0</v>
      </c>
      <c r="AJ209" s="5">
        <f t="shared" si="105"/>
        <v>0</v>
      </c>
      <c r="AK209" s="5">
        <f>IFERROR(SUM(X209:AJ209),-5000)*((Cockpit!$C$3)^0)</f>
        <v>-5000</v>
      </c>
      <c r="AL209" s="16">
        <f>INDEX('Team forecast'!$B$2:$AO$26,MATCH('Master data'!$B209,'Team forecast'!$B$2:$B$26,0),MATCH('Master data'!AL$1,'Team forecast'!$B$2:$AO$2,0))</f>
        <v>1.5198357804321134</v>
      </c>
      <c r="AM209" s="16">
        <f>INDEX('Team forecast'!$B$2:$AO$26,MATCH('Master data'!$B209,'Team forecast'!$B$2:$B$26,0),MATCH('Master data'!AM$1,'Team forecast'!$B$2:$AO$2,0))</f>
        <v>0.79620558314709244</v>
      </c>
      <c r="AN209" s="16">
        <f>INDEX('Team forecast'!$B$2:$AO$26,MATCH('Master data'!$B209,'Team forecast'!$B$2:$B$26,0),MATCH('Master data'!AN$1,'Team forecast'!$B$2:$AO$2,0))</f>
        <v>0.45103714423540769</v>
      </c>
      <c r="AO209" s="16">
        <f>INDEX('Team forecast'!$B$2:$AO$26,MATCH('Master data'!$B209,'Team forecast'!$B$2:$B$26,0),MATCH('Master data'!AO$1,'Team forecast'!$B$2:$AO$2,0))</f>
        <v>4.1531341379722457</v>
      </c>
      <c r="AP209" s="16">
        <f>INDEX('Team forecast'!$B$2:$AO$26,MATCH('Master data'!$B209,'Team forecast'!$B$2:$B$26,0),MATCH('Master data'!AP$1,'Team forecast'!$B$2:$AO$2,0))</f>
        <v>2.6138062073010611</v>
      </c>
      <c r="AQ209" s="5">
        <f t="shared" si="106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107"/>
        <v>0</v>
      </c>
      <c r="AV209" s="5">
        <f t="shared" si="108"/>
        <v>0</v>
      </c>
      <c r="AW209" s="5">
        <f t="shared" si="109"/>
        <v>0</v>
      </c>
      <c r="AX209" s="5">
        <f t="shared" si="110"/>
        <v>0</v>
      </c>
      <c r="AY209" s="5">
        <f t="shared" si="111"/>
        <v>0</v>
      </c>
      <c r="AZ209" s="5">
        <f t="shared" si="112"/>
        <v>0</v>
      </c>
      <c r="BA209" s="5">
        <f t="shared" si="113"/>
        <v>0</v>
      </c>
      <c r="BB209" s="5">
        <f t="shared" si="114"/>
        <v>0</v>
      </c>
      <c r="BC209" s="5">
        <f t="shared" si="115"/>
        <v>0</v>
      </c>
      <c r="BD209" s="5">
        <f t="shared" si="116"/>
        <v>-5000</v>
      </c>
      <c r="BE209" s="16">
        <f>INDEX('Team forecast'!$B$2:$AO$26,MATCH('Master data'!$B209,'Team forecast'!$B$2:$B$26,0),MATCH('Master data'!BE$1,'Team forecast'!$B$2:$AO$2,0))</f>
        <v>1.8402581758343768</v>
      </c>
      <c r="BF209" s="16">
        <f>INDEX('Team forecast'!$B$2:$AO$26,MATCH('Master data'!$B209,'Team forecast'!$B$2:$B$26,0),MATCH('Master data'!BF$1,'Team forecast'!$B$2:$AO$2,0))</f>
        <v>0.65281467345965161</v>
      </c>
      <c r="BG209" s="16">
        <f>INDEX('Team forecast'!$B$2:$AO$26,MATCH('Master data'!$B209,'Team forecast'!$B$2:$B$26,0),MATCH('Master data'!BG$1,'Team forecast'!$B$2:$AO$2,0))</f>
        <v>0.52057845435388617</v>
      </c>
      <c r="BH209" s="16">
        <f>INDEX('Team forecast'!$B$2:$AO$26,MATCH('Master data'!$B209,'Team forecast'!$B$2:$B$26,0),MATCH('Master data'!BH$1,'Team forecast'!$B$2:$AO$2,0))</f>
        <v>5.0287268869057034</v>
      </c>
      <c r="BI209" s="16">
        <f>INDEX('Team forecast'!$B$2:$AO$26,MATCH('Master data'!$B209,'Team forecast'!$B$2:$B$26,0),MATCH('Master data'!BI$1,'Team forecast'!$B$2:$AO$2,0))</f>
        <v>2.1430784734786541</v>
      </c>
      <c r="BJ209" s="5">
        <f t="shared" si="117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118"/>
        <v>0</v>
      </c>
      <c r="BO209" s="5">
        <f t="shared" si="119"/>
        <v>0</v>
      </c>
      <c r="BP209" s="5">
        <f t="shared" si="120"/>
        <v>0</v>
      </c>
      <c r="BQ209" s="5">
        <f t="shared" si="121"/>
        <v>0</v>
      </c>
      <c r="BR209" s="5">
        <f t="shared" si="122"/>
        <v>0</v>
      </c>
      <c r="BS209" s="5">
        <f t="shared" si="123"/>
        <v>0</v>
      </c>
      <c r="BT209" s="5">
        <f t="shared" si="124"/>
        <v>0</v>
      </c>
      <c r="BU209" s="5">
        <f t="shared" si="125"/>
        <v>0</v>
      </c>
      <c r="BV209" s="5">
        <f t="shared" si="126"/>
        <v>0</v>
      </c>
      <c r="BW209" s="5">
        <f t="shared" si="127"/>
        <v>-5000</v>
      </c>
      <c r="BX209" s="5">
        <f t="shared" si="128"/>
        <v>-5000</v>
      </c>
      <c r="BY209" s="5">
        <f t="shared" si="129"/>
        <v>-15000</v>
      </c>
      <c r="BZ209" s="5">
        <f>INDEX('Team forecast'!$R$3:$BH$26,MATCH($B209,'Team forecast'!$B$3:$B$26,0),MATCH(BZ$1,'Team forecast'!$R$2:$BH$2,0))*($BX209-(BY209+CH209)*0.01)</f>
        <v>-33374.413849153221</v>
      </c>
      <c r="CA209" s="5">
        <f>INDEX('Team forecast'!$R$3:$BH$26,MATCH($B209,'Team forecast'!$B$3:$B$26,0),MATCH(CA$1,'Team forecast'!$R$2:$BH$2,0))*($BX209-(BY209+BX209+CH209)*0.01)</f>
        <v>-16798.404459901416</v>
      </c>
      <c r="CB209" s="5">
        <f>INDEX('Team forecast'!$R$3:$BH$26,MATCH($B209,'Team forecast'!$B$3:$B$26,0),MATCH(CB$1,'Team forecast'!$R$2:$BH$2,0))*($BX209-(BY209+BX209*2+CH209)*0.01)</f>
        <v>-8514.1413221201456</v>
      </c>
      <c r="CC209" s="5">
        <f>INDEX('Team forecast'!$R$3:$BH$26,MATCH($B209,'Team forecast'!$B$3:$B$26,0),MATCH(CC$1,'Team forecast'!$R$2:$BH$2,0))*($BX209-(BY209+BX209*3+CH209)*0.01)</f>
        <v>-4414.4818063145249</v>
      </c>
      <c r="CD209" s="5">
        <f>+AK209+BD209*Cockpit!$C$3+BW209*Cockpit!$C$3^2+BZ209*Cockpit!$C$3^3+CA209*Cockpit!$C$3^4+CB209*Cockpit!$C$3^5+CC209*Cockpit!$C$3^6</f>
        <v>-25271.231874033696</v>
      </c>
      <c r="CE209" s="5"/>
      <c r="CF209" s="5"/>
      <c r="CG209" s="5">
        <v>0</v>
      </c>
      <c r="CH209" s="5">
        <f t="shared" si="130"/>
        <v>3000000</v>
      </c>
      <c r="CI209" s="5">
        <f t="shared" si="131"/>
        <v>3000000</v>
      </c>
      <c r="CJ209" s="1">
        <f t="shared" si="132"/>
        <v>-5.0000000000000001E-3</v>
      </c>
      <c r="CK209" s="5">
        <f>RANK(BY209,$BY$2:$BY$623)+COUNTIF($BY$2:$BY209,$BY209)-1</f>
        <v>483</v>
      </c>
      <c r="CL209" s="5">
        <f>RANK(CJ209,$CJ$2:$CJ$623)+COUNTIF($CJ$2:$CJ209,$CJ209)-1</f>
        <v>496</v>
      </c>
    </row>
    <row r="210" spans="1:90">
      <c r="A210" t="str">
        <f>Players!P211</f>
        <v>Simon Mignolet</v>
      </c>
      <c r="B210" t="str">
        <f>Players!G211</f>
        <v>Belgium</v>
      </c>
      <c r="C210" t="str">
        <f>Players!AB211</f>
        <v>Goalkeeper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5500000</v>
      </c>
      <c r="H210" s="16">
        <f>INDEX('Team forecast'!$B$2:$AO$26,MATCH('Master data'!$B210,'Team forecast'!$B$2:$B$26,0),MATCH('Master data'!H$1,'Team forecast'!$B$2:$AO$2,0))</f>
        <v>1.5602309947683257</v>
      </c>
      <c r="I210" s="16">
        <f>INDEX('Team forecast'!$B$2:$AO$26,MATCH('Master data'!$B210,'Team forecast'!$B$2:$B$26,0),MATCH('Master data'!I$1,'Team forecast'!$B$2:$AO$2,0))</f>
        <v>0.84461095835632183</v>
      </c>
      <c r="J210" s="16">
        <f>INDEX('Team forecast'!$B$2:$AO$26,MATCH('Master data'!$B210,'Team forecast'!$B$2:$B$26,0),MATCH('Master data'!J$1,'Team forecast'!$B$2:$AO$2,0))</f>
        <v>0.42972450642313093</v>
      </c>
      <c r="K210" s="16">
        <f>INDEX('Team forecast'!$B$2:$AO$26,MATCH('Master data'!$B210,'Team forecast'!$B$2:$B$26,0),MATCH('Master data'!K$1,'Team forecast'!$B$2:$AO$2,0))</f>
        <v>4.1655927994293096</v>
      </c>
      <c r="L210" s="16">
        <f>INDEX('Team forecast'!$B$2:$AO$26,MATCH('Master data'!$B210,'Team forecast'!$B$2:$B$26,0),MATCH('Master data'!L$1,'Team forecast'!$B$2:$AO$2,0))</f>
        <v>2.7727127420788342</v>
      </c>
      <c r="M210">
        <f>IF(Players!BC211=1,95,0)</f>
        <v>0</v>
      </c>
      <c r="N210" s="2">
        <f>Players!BN211</f>
        <v>0</v>
      </c>
      <c r="O210" s="2">
        <f>Players!BO211</f>
        <v>0</v>
      </c>
      <c r="P210" s="2">
        <f>Players!BP211</f>
        <v>0</v>
      </c>
      <c r="Q210" s="2">
        <f>Players!BQ211</f>
        <v>0</v>
      </c>
      <c r="R210" s="2">
        <f>Players!BR211</f>
        <v>0</v>
      </c>
      <c r="S210" s="2">
        <f t="shared" si="91"/>
        <v>1.5602309947683257</v>
      </c>
      <c r="T210" s="2">
        <f t="shared" si="92"/>
        <v>0.84461095835632183</v>
      </c>
      <c r="U210" s="16">
        <f>INDEX('Team forecast'!$B$2:$AO$26,MATCH('Master data'!$B210,'Team forecast'!$B$2:$B$26,0),MATCH('Master data'!U$1,'Team forecast'!$B$2:$AO$2,0))</f>
        <v>0.58357649020425184</v>
      </c>
      <c r="V210" s="16">
        <f>INDEX('Team forecast'!$B$2:$AO$26,MATCH('Master data'!$B210,'Team forecast'!$B$2:$B$26,0),MATCH('Master data'!V$1,'Team forecast'!$B$2:$AO$2,0))</f>
        <v>0.23634847853272201</v>
      </c>
      <c r="W210" s="16">
        <f>INDEX('Team forecast'!$B$2:$AO$26,MATCH('Master data'!$B210,'Team forecast'!$B$2:$B$26,0),MATCH('Master data'!W$1,'Team forecast'!$B$2:$AO$2,0))</f>
        <v>0.18007503126302629</v>
      </c>
      <c r="X210" s="5">
        <f t="shared" si="93"/>
        <v>-5000</v>
      </c>
      <c r="Y210" s="5">
        <f t="shared" si="94"/>
        <v>0</v>
      </c>
      <c r="Z210" s="5">
        <f t="shared" si="95"/>
        <v>0</v>
      </c>
      <c r="AA210" s="5">
        <f t="shared" si="96"/>
        <v>0</v>
      </c>
      <c r="AB210" s="5">
        <f t="shared" si="97"/>
        <v>0</v>
      </c>
      <c r="AC210" s="5">
        <f t="shared" si="98"/>
        <v>0</v>
      </c>
      <c r="AD210" s="5">
        <f t="shared" si="99"/>
        <v>0</v>
      </c>
      <c r="AE210" s="5">
        <f t="shared" si="100"/>
        <v>32229.337981734818</v>
      </c>
      <c r="AF210" s="5">
        <f t="shared" si="101"/>
        <v>9640.5089186125624</v>
      </c>
      <c r="AG210" s="5">
        <f t="shared" si="102"/>
        <v>0</v>
      </c>
      <c r="AH210" s="5">
        <f t="shared" si="103"/>
        <v>0</v>
      </c>
      <c r="AI210" s="5">
        <f t="shared" si="104"/>
        <v>0</v>
      </c>
      <c r="AJ210" s="5">
        <f t="shared" si="105"/>
        <v>0</v>
      </c>
      <c r="AK210" s="5">
        <f>IFERROR(SUM(X210:AJ210),-5000)*((Cockpit!$C$3)^0)</f>
        <v>36869.84690034738</v>
      </c>
      <c r="AL210" s="16">
        <f>INDEX('Team forecast'!$B$2:$AO$26,MATCH('Master data'!$B210,'Team forecast'!$B$2:$B$26,0),MATCH('Master data'!AL$1,'Team forecast'!$B$2:$AO$2,0))</f>
        <v>1.5279674504451852</v>
      </c>
      <c r="AM210" s="16">
        <f>INDEX('Team forecast'!$B$2:$AO$26,MATCH('Master data'!$B210,'Team forecast'!$B$2:$B$26,0),MATCH('Master data'!AM$1,'Team forecast'!$B$2:$AO$2,0))</f>
        <v>1.1610121970988967</v>
      </c>
      <c r="AN210" s="16">
        <f>INDEX('Team forecast'!$B$2:$AO$26,MATCH('Master data'!$B210,'Team forecast'!$B$2:$B$26,0),MATCH('Master data'!AN$1,'Team forecast'!$B$2:$AO$2,0))</f>
        <v>0.31316903161563348</v>
      </c>
      <c r="AO210" s="16">
        <f>INDEX('Team forecast'!$B$2:$AO$26,MATCH('Master data'!$B210,'Team forecast'!$B$2:$B$26,0),MATCH('Master data'!AO$1,'Team forecast'!$B$2:$AO$2,0))</f>
        <v>4.0794537672172888</v>
      </c>
      <c r="AP210" s="16">
        <f>INDEX('Team forecast'!$B$2:$AO$26,MATCH('Master data'!$B210,'Team forecast'!$B$2:$B$26,0),MATCH('Master data'!AP$1,'Team forecast'!$B$2:$AO$2,0))</f>
        <v>3.8114036773448627</v>
      </c>
      <c r="AQ210" s="5">
        <f t="shared" si="106"/>
        <v>-5000</v>
      </c>
      <c r="AR210" s="5">
        <f>INDEX('Team forecast'!$B$2:$AO$26,MATCH('Master data'!$B210,'Team forecast'!$B$2:$B$26,0),MATCH('Master data'!AR$1,'Team forecast'!$B$2:$AO$2,0))*IF(X210&gt;0,25000,0)</f>
        <v>0</v>
      </c>
      <c r="AS210" s="16">
        <f>INDEX('Team forecast'!$B$2:$AO$26,MATCH('Master data'!$B210,'Team forecast'!$B$2:$B$26,0),MATCH('Master data'!AS$1,'Team forecast'!$B$2:$AO$2,0))*IF(X210&gt;0,5000,0)</f>
        <v>0</v>
      </c>
      <c r="AT210" s="16">
        <f>INDEX('Team forecast'!$B$2:$AO$26,MATCH('Master data'!$B210,'Team forecast'!$B$2:$B$26,0),MATCH('Master data'!AT$1,'Team forecast'!$B$2:$AO$2,0))*IF(X210&gt;0,-15000,0)</f>
        <v>0</v>
      </c>
      <c r="AU210" s="5">
        <f t="shared" si="107"/>
        <v>0</v>
      </c>
      <c r="AV210" s="5">
        <f t="shared" si="108"/>
        <v>0</v>
      </c>
      <c r="AW210" s="5">
        <f t="shared" si="109"/>
        <v>0</v>
      </c>
      <c r="AX210" s="5">
        <f t="shared" si="110"/>
        <v>23487.677371172511</v>
      </c>
      <c r="AY210" s="5">
        <f t="shared" si="111"/>
        <v>13251.957401229831</v>
      </c>
      <c r="AZ210" s="5">
        <f t="shared" si="112"/>
        <v>0</v>
      </c>
      <c r="BA210" s="5">
        <f t="shared" si="113"/>
        <v>0</v>
      </c>
      <c r="BB210" s="5">
        <f t="shared" si="114"/>
        <v>0</v>
      </c>
      <c r="BC210" s="5">
        <f t="shared" si="115"/>
        <v>0</v>
      </c>
      <c r="BD210" s="5">
        <f t="shared" si="116"/>
        <v>31739.634772402344</v>
      </c>
      <c r="BE210" s="16">
        <f>INDEX('Team forecast'!$B$2:$AO$26,MATCH('Master data'!$B210,'Team forecast'!$B$2:$B$26,0),MATCH('Master data'!BE$1,'Team forecast'!$B$2:$AO$2,0))</f>
        <v>2.3394224481215296</v>
      </c>
      <c r="BF210" s="16">
        <f>INDEX('Team forecast'!$B$2:$AO$26,MATCH('Master data'!$B210,'Team forecast'!$B$2:$B$26,0),MATCH('Master data'!BF$1,'Team forecast'!$B$2:$AO$2,0))</f>
        <v>0.62462402002960304</v>
      </c>
      <c r="BG210" s="16">
        <f>INDEX('Team forecast'!$B$2:$AO$26,MATCH('Master data'!$B210,'Team forecast'!$B$2:$B$26,0),MATCH('Master data'!BG$1,'Team forecast'!$B$2:$AO$2,0))</f>
        <v>0.53546271393231015</v>
      </c>
      <c r="BH210" s="16">
        <f>INDEX('Team forecast'!$B$2:$AO$26,MATCH('Master data'!$B210,'Team forecast'!$B$2:$B$26,0),MATCH('Master data'!BH$1,'Team forecast'!$B$2:$AO$2,0))</f>
        <v>6.2459221342192031</v>
      </c>
      <c r="BI210" s="16">
        <f>INDEX('Team forecast'!$B$2:$AO$26,MATCH('Master data'!$B210,'Team forecast'!$B$2:$B$26,0),MATCH('Master data'!BI$1,'Team forecast'!$B$2:$AO$2,0))</f>
        <v>2.0505333990870809</v>
      </c>
      <c r="BJ210" s="5">
        <f t="shared" si="117"/>
        <v>-5000</v>
      </c>
      <c r="BK210" s="5">
        <f>INDEX('Team forecast'!$R$3:$BH$26,MATCH($B210,'Team forecast'!$B$3:$B$26,0),MATCH(BK$1,'Team forecast'!$R$2:$BH$2,0))*IF($X210&gt;0,25000,0)</f>
        <v>0</v>
      </c>
      <c r="BL210" s="5">
        <f>INDEX('Team forecast'!$R$3:$BH$26,MATCH($B210,'Team forecast'!$B$3:$B$26,0),MATCH(BL$1,'Team forecast'!$R$2:$BH$2,0))*IF($X210&gt;0,5000,0)</f>
        <v>0</v>
      </c>
      <c r="BM210" s="5">
        <f>INDEX('Team forecast'!$R$3:$BH$26,MATCH($B210,'Team forecast'!$B$3:$B$26,0),MATCH(BM$1,'Team forecast'!$R$2:$BH$2,0))*IF($X210&gt;0,-15000,0)</f>
        <v>0</v>
      </c>
      <c r="BN210" s="5">
        <f t="shared" si="118"/>
        <v>0</v>
      </c>
      <c r="BO210" s="5">
        <f t="shared" si="119"/>
        <v>0</v>
      </c>
      <c r="BP210" s="5">
        <f t="shared" si="120"/>
        <v>0</v>
      </c>
      <c r="BQ210" s="5">
        <f t="shared" si="121"/>
        <v>40159.703544923264</v>
      </c>
      <c r="BR210" s="5">
        <f t="shared" si="122"/>
        <v>7129.5468952873889</v>
      </c>
      <c r="BS210" s="5">
        <f t="shared" si="123"/>
        <v>0</v>
      </c>
      <c r="BT210" s="5">
        <f t="shared" si="124"/>
        <v>0</v>
      </c>
      <c r="BU210" s="5">
        <f t="shared" si="125"/>
        <v>0</v>
      </c>
      <c r="BV210" s="5">
        <f t="shared" si="126"/>
        <v>0</v>
      </c>
      <c r="BW210" s="5">
        <f t="shared" si="127"/>
        <v>42289.250440210657</v>
      </c>
      <c r="BX210" s="5">
        <f t="shared" si="128"/>
        <v>36966.244037653458</v>
      </c>
      <c r="BY210" s="5">
        <f t="shared" si="129"/>
        <v>110898.73211296037</v>
      </c>
      <c r="BZ210" s="5">
        <f>INDEX('Team forecast'!$R$3:$BH$26,MATCH($B210,'Team forecast'!$B$3:$B$26,0),MATCH(BZ$1,'Team forecast'!$R$2:$BH$2,0))*($BX210-(BY210+CH210)*0.01)</f>
        <v>-18332.219126279222</v>
      </c>
      <c r="CA210" s="5">
        <f>INDEX('Team forecast'!$R$3:$BH$26,MATCH($B210,'Team forecast'!$B$3:$B$26,0),MATCH(CA$1,'Team forecast'!$R$2:$BH$2,0))*($BX210-(BY210+BX210+CH210)*0.01)</f>
        <v>-9533.0796375672835</v>
      </c>
      <c r="CB210" s="5">
        <f>INDEX('Team forecast'!$R$3:$BH$26,MATCH($B210,'Team forecast'!$B$3:$B$26,0),MATCH(CB$1,'Team forecast'!$R$2:$BH$2,0))*($BX210-(BY210+BX210*2+CH210)*0.01)</f>
        <v>-5039.0194828921794</v>
      </c>
      <c r="CC210" s="5">
        <f>INDEX('Team forecast'!$R$3:$BH$26,MATCH($B210,'Team forecast'!$B$3:$B$26,0),MATCH(CC$1,'Team forecast'!$R$2:$BH$2,0))*($BX210-(BY210+BX210*3+CH210)*0.01)</f>
        <v>-2805.6352609019641</v>
      </c>
      <c r="CD210" s="5">
        <f>+AK210+BD210*Cockpit!$C$3+BW210*Cockpit!$C$3^2+BZ210*Cockpit!$C$3^3+CA210*Cockpit!$C$3^4+CB210*Cockpit!$C$3^5+CC210*Cockpit!$C$3^6</f>
        <v>68600.094247225861</v>
      </c>
      <c r="CE210" s="5"/>
      <c r="CF210" s="5"/>
      <c r="CG210" s="5">
        <v>0</v>
      </c>
      <c r="CH210" s="5">
        <f t="shared" si="130"/>
        <v>5500000</v>
      </c>
      <c r="CI210" s="5">
        <f t="shared" si="131"/>
        <v>5500000</v>
      </c>
      <c r="CJ210" s="1">
        <f t="shared" si="132"/>
        <v>2.0163405838720068E-2</v>
      </c>
      <c r="CK210" s="5">
        <f>RANK(BY210,$BY$2:$BY$623)+COUNTIF($BY$2:$BY210,$BY210)-1</f>
        <v>151</v>
      </c>
      <c r="CL210" s="5">
        <f>RANK(CJ210,$CJ$2:$CJ$623)+COUNTIF($CJ$2:$CJ210,$CJ210)-1</f>
        <v>260</v>
      </c>
    </row>
    <row r="211" spans="1:90">
      <c r="A211" t="str">
        <f>Players!P212</f>
        <v>Timothy Castagne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4500000</v>
      </c>
      <c r="H211" s="16">
        <f>INDEX('Team forecast'!$B$2:$AO$26,MATCH('Master data'!$B211,'Team forecast'!$B$2:$B$26,0),MATCH('Master data'!H$1,'Team forecast'!$B$2:$AO$2,0))</f>
        <v>1.5602309947683257</v>
      </c>
      <c r="I211" s="16">
        <f>INDEX('Team forecast'!$B$2:$AO$26,MATCH('Master data'!$B211,'Team forecast'!$B$2:$B$26,0),MATCH('Master data'!I$1,'Team forecast'!$B$2:$AO$2,0))</f>
        <v>0.84461095835632183</v>
      </c>
      <c r="J211" s="16">
        <f>INDEX('Team forecast'!$B$2:$AO$26,MATCH('Master data'!$B211,'Team forecast'!$B$2:$B$26,0),MATCH('Master data'!J$1,'Team forecast'!$B$2:$AO$2,0))</f>
        <v>0.42972450642313093</v>
      </c>
      <c r="K211" s="16">
        <f>INDEX('Team forecast'!$B$2:$AO$26,MATCH('Master data'!$B211,'Team forecast'!$B$2:$B$26,0),MATCH('Master data'!K$1,'Team forecast'!$B$2:$AO$2,0))</f>
        <v>4.1655927994293096</v>
      </c>
      <c r="L211" s="16">
        <f>INDEX('Team forecast'!$B$2:$AO$26,MATCH('Master data'!$B211,'Team forecast'!$B$2:$B$26,0),MATCH('Master data'!L$1,'Team forecast'!$B$2:$AO$2,0))</f>
        <v>2.7727127420788342</v>
      </c>
      <c r="M211">
        <f>IF(Players!BC212=1,95,0)</f>
        <v>0</v>
      </c>
      <c r="N211" s="2">
        <f>Players!BN212</f>
        <v>0</v>
      </c>
      <c r="O211" s="2">
        <f>Players!BO212</f>
        <v>0</v>
      </c>
      <c r="P211" s="2">
        <f>Players!BP212</f>
        <v>0</v>
      </c>
      <c r="Q211" s="2">
        <f>Players!BQ212</f>
        <v>1.9181585677749361E-2</v>
      </c>
      <c r="R211" s="2">
        <f>Players!BR212</f>
        <v>0</v>
      </c>
      <c r="S211" s="2">
        <f t="shared" si="91"/>
        <v>1.5602309947683257</v>
      </c>
      <c r="T211" s="2">
        <f t="shared" si="92"/>
        <v>0.84461095835632183</v>
      </c>
      <c r="U211" s="16">
        <f>INDEX('Team forecast'!$B$2:$AO$26,MATCH('Master data'!$B211,'Team forecast'!$B$2:$B$26,0),MATCH('Master data'!U$1,'Team forecast'!$B$2:$AO$2,0))</f>
        <v>0.58357649020425184</v>
      </c>
      <c r="V211" s="16">
        <f>INDEX('Team forecast'!$B$2:$AO$26,MATCH('Master data'!$B211,'Team forecast'!$B$2:$B$26,0),MATCH('Master data'!V$1,'Team forecast'!$B$2:$AO$2,0))</f>
        <v>0.23634847853272201</v>
      </c>
      <c r="W211" s="16">
        <f>INDEX('Team forecast'!$B$2:$AO$26,MATCH('Master data'!$B211,'Team forecast'!$B$2:$B$26,0),MATCH('Master data'!W$1,'Team forecast'!$B$2:$AO$2,0))</f>
        <v>0.18007503126302629</v>
      </c>
      <c r="X211" s="5">
        <f t="shared" si="93"/>
        <v>-5000</v>
      </c>
      <c r="Y211" s="5">
        <f t="shared" si="94"/>
        <v>0</v>
      </c>
      <c r="Z211" s="5">
        <f t="shared" si="95"/>
        <v>0</v>
      </c>
      <c r="AA211" s="5">
        <f t="shared" si="96"/>
        <v>0</v>
      </c>
      <c r="AB211" s="5">
        <f t="shared" si="97"/>
        <v>0</v>
      </c>
      <c r="AC211" s="5">
        <f t="shared" si="98"/>
        <v>0</v>
      </c>
      <c r="AD211" s="5">
        <f t="shared" si="99"/>
        <v>0</v>
      </c>
      <c r="AE211" s="5">
        <f t="shared" si="100"/>
        <v>21486.225321156548</v>
      </c>
      <c r="AF211" s="5">
        <f t="shared" si="101"/>
        <v>0</v>
      </c>
      <c r="AG211" s="5">
        <f t="shared" si="102"/>
        <v>0</v>
      </c>
      <c r="AH211" s="5">
        <f t="shared" si="103"/>
        <v>0</v>
      </c>
      <c r="AI211" s="5">
        <f t="shared" si="104"/>
        <v>0</v>
      </c>
      <c r="AJ211" s="5">
        <f t="shared" si="105"/>
        <v>0</v>
      </c>
      <c r="AK211" s="5">
        <f>IFERROR(SUM(X211:AJ211),-5000)*((Cockpit!$C$3)^0)</f>
        <v>16486.225321156548</v>
      </c>
      <c r="AL211" s="16">
        <f>INDEX('Team forecast'!$B$2:$AO$26,MATCH('Master data'!$B211,'Team forecast'!$B$2:$B$26,0),MATCH('Master data'!AL$1,'Team forecast'!$B$2:$AO$2,0))</f>
        <v>1.5279674504451852</v>
      </c>
      <c r="AM211" s="16">
        <f>INDEX('Team forecast'!$B$2:$AO$26,MATCH('Master data'!$B211,'Team forecast'!$B$2:$B$26,0),MATCH('Master data'!AM$1,'Team forecast'!$B$2:$AO$2,0))</f>
        <v>1.1610121970988967</v>
      </c>
      <c r="AN211" s="16">
        <f>INDEX('Team forecast'!$B$2:$AO$26,MATCH('Master data'!$B211,'Team forecast'!$B$2:$B$26,0),MATCH('Master data'!AN$1,'Team forecast'!$B$2:$AO$2,0))</f>
        <v>0.31316903161563348</v>
      </c>
      <c r="AO211" s="16">
        <f>INDEX('Team forecast'!$B$2:$AO$26,MATCH('Master data'!$B211,'Team forecast'!$B$2:$B$26,0),MATCH('Master data'!AO$1,'Team forecast'!$B$2:$AO$2,0))</f>
        <v>4.0794537672172888</v>
      </c>
      <c r="AP211" s="16">
        <f>INDEX('Team forecast'!$B$2:$AO$26,MATCH('Master data'!$B211,'Team forecast'!$B$2:$B$26,0),MATCH('Master data'!AP$1,'Team forecast'!$B$2:$AO$2,0))</f>
        <v>3.8114036773448627</v>
      </c>
      <c r="AQ211" s="5">
        <f t="shared" si="106"/>
        <v>-5000</v>
      </c>
      <c r="AR211" s="5">
        <f>INDEX('Team forecast'!$B$2:$AO$26,MATCH('Master data'!$B211,'Team forecast'!$B$2:$B$26,0),MATCH('Master data'!AR$1,'Team forecast'!$B$2:$AO$2,0))*IF(X211&gt;0,25000,0)</f>
        <v>0</v>
      </c>
      <c r="AS211" s="16">
        <f>INDEX('Team forecast'!$B$2:$AO$26,MATCH('Master data'!$B211,'Team forecast'!$B$2:$B$26,0),MATCH('Master data'!AS$1,'Team forecast'!$B$2:$AO$2,0))*IF(X211&gt;0,5000,0)</f>
        <v>0</v>
      </c>
      <c r="AT211" s="16">
        <f>INDEX('Team forecast'!$B$2:$AO$26,MATCH('Master data'!$B211,'Team forecast'!$B$2:$B$26,0),MATCH('Master data'!AT$1,'Team forecast'!$B$2:$AO$2,0))*IF(X211&gt;0,-15000,0)</f>
        <v>0</v>
      </c>
      <c r="AU211" s="5">
        <f t="shared" si="107"/>
        <v>0</v>
      </c>
      <c r="AV211" s="5">
        <f t="shared" si="108"/>
        <v>0</v>
      </c>
      <c r="AW211" s="5">
        <f t="shared" si="109"/>
        <v>0</v>
      </c>
      <c r="AX211" s="5">
        <f t="shared" si="110"/>
        <v>15658.451580781673</v>
      </c>
      <c r="AY211" s="5">
        <f t="shared" si="111"/>
        <v>0</v>
      </c>
      <c r="AZ211" s="5">
        <f t="shared" si="112"/>
        <v>0</v>
      </c>
      <c r="BA211" s="5">
        <f t="shared" si="113"/>
        <v>0</v>
      </c>
      <c r="BB211" s="5">
        <f t="shared" si="114"/>
        <v>0</v>
      </c>
      <c r="BC211" s="5">
        <f t="shared" si="115"/>
        <v>0</v>
      </c>
      <c r="BD211" s="5">
        <f t="shared" si="116"/>
        <v>10658.451580781673</v>
      </c>
      <c r="BE211" s="16">
        <f>INDEX('Team forecast'!$B$2:$AO$26,MATCH('Master data'!$B211,'Team forecast'!$B$2:$B$26,0),MATCH('Master data'!BE$1,'Team forecast'!$B$2:$AO$2,0))</f>
        <v>2.3394224481215296</v>
      </c>
      <c r="BF211" s="16">
        <f>INDEX('Team forecast'!$B$2:$AO$26,MATCH('Master data'!$B211,'Team forecast'!$B$2:$B$26,0),MATCH('Master data'!BF$1,'Team forecast'!$B$2:$AO$2,0))</f>
        <v>0.62462402002960304</v>
      </c>
      <c r="BG211" s="16">
        <f>INDEX('Team forecast'!$B$2:$AO$26,MATCH('Master data'!$B211,'Team forecast'!$B$2:$B$26,0),MATCH('Master data'!BG$1,'Team forecast'!$B$2:$AO$2,0))</f>
        <v>0.53546271393231015</v>
      </c>
      <c r="BH211" s="16">
        <f>INDEX('Team forecast'!$B$2:$AO$26,MATCH('Master data'!$B211,'Team forecast'!$B$2:$B$26,0),MATCH('Master data'!BH$1,'Team forecast'!$B$2:$AO$2,0))</f>
        <v>6.2459221342192031</v>
      </c>
      <c r="BI211" s="16">
        <f>INDEX('Team forecast'!$B$2:$AO$26,MATCH('Master data'!$B211,'Team forecast'!$B$2:$B$26,0),MATCH('Master data'!BI$1,'Team forecast'!$B$2:$AO$2,0))</f>
        <v>2.0505333990870809</v>
      </c>
      <c r="BJ211" s="5">
        <f t="shared" si="117"/>
        <v>-5000</v>
      </c>
      <c r="BK211" s="5">
        <f>INDEX('Team forecast'!$R$3:$BH$26,MATCH($B211,'Team forecast'!$B$3:$B$26,0),MATCH(BK$1,'Team forecast'!$R$2:$BH$2,0))*IF($X211&gt;0,25000,0)</f>
        <v>0</v>
      </c>
      <c r="BL211" s="5">
        <f>INDEX('Team forecast'!$R$3:$BH$26,MATCH($B211,'Team forecast'!$B$3:$B$26,0),MATCH(BL$1,'Team forecast'!$R$2:$BH$2,0))*IF($X211&gt;0,5000,0)</f>
        <v>0</v>
      </c>
      <c r="BM211" s="5">
        <f>INDEX('Team forecast'!$R$3:$BH$26,MATCH($B211,'Team forecast'!$B$3:$B$26,0),MATCH(BM$1,'Team forecast'!$R$2:$BH$2,0))*IF($X211&gt;0,-15000,0)</f>
        <v>0</v>
      </c>
      <c r="BN211" s="5">
        <f t="shared" si="118"/>
        <v>0</v>
      </c>
      <c r="BO211" s="5">
        <f t="shared" si="119"/>
        <v>0</v>
      </c>
      <c r="BP211" s="5">
        <f t="shared" si="120"/>
        <v>0</v>
      </c>
      <c r="BQ211" s="5">
        <f t="shared" si="121"/>
        <v>26773.135696615507</v>
      </c>
      <c r="BR211" s="5">
        <f t="shared" si="122"/>
        <v>0</v>
      </c>
      <c r="BS211" s="5">
        <f t="shared" si="123"/>
        <v>0</v>
      </c>
      <c r="BT211" s="5">
        <f t="shared" si="124"/>
        <v>0</v>
      </c>
      <c r="BU211" s="5">
        <f t="shared" si="125"/>
        <v>0</v>
      </c>
      <c r="BV211" s="5">
        <f t="shared" si="126"/>
        <v>0</v>
      </c>
      <c r="BW211" s="5">
        <f t="shared" si="127"/>
        <v>21773.135696615507</v>
      </c>
      <c r="BX211" s="5">
        <f t="shared" si="128"/>
        <v>16305.937532851241</v>
      </c>
      <c r="BY211" s="5">
        <f t="shared" si="129"/>
        <v>48917.812598553726</v>
      </c>
      <c r="BZ211" s="5">
        <f>INDEX('Team forecast'!$R$3:$BH$26,MATCH($B211,'Team forecast'!$B$3:$B$26,0),MATCH(BZ$1,'Team forecast'!$R$2:$BH$2,0))*($BX211-(BY211+CH211)*0.01)</f>
        <v>-27947.591076461165</v>
      </c>
      <c r="CA211" s="5">
        <f>INDEX('Team forecast'!$R$3:$BH$26,MATCH($B211,'Team forecast'!$B$3:$B$26,0),MATCH(CA$1,'Team forecast'!$R$2:$BH$2,0))*($BX211-(BY211+BX211+CH211)*0.01)</f>
        <v>-14337.576751251358</v>
      </c>
      <c r="CB211" s="5">
        <f>INDEX('Team forecast'!$R$3:$BH$26,MATCH($B211,'Team forecast'!$B$3:$B$26,0),MATCH(CB$1,'Team forecast'!$R$2:$BH$2,0))*($BX211-(BY211+BX211*2+CH211)*0.01)</f>
        <v>-7479.0125168447503</v>
      </c>
      <c r="CC211" s="5">
        <f>INDEX('Team forecast'!$R$3:$BH$26,MATCH($B211,'Team forecast'!$B$3:$B$26,0),MATCH(CC$1,'Team forecast'!$R$2:$BH$2,0))*($BX211-(BY211+BX211*3+CH211)*0.01)</f>
        <v>-4110.7590190675846</v>
      </c>
      <c r="CD211" s="5">
        <f>+AK211+BD211*Cockpit!$C$3+BW211*Cockpit!$C$3^2+BZ211*Cockpit!$C$3^3+CA211*Cockpit!$C$3^4+CB211*Cockpit!$C$3^5+CC211*Cockpit!$C$3^6</f>
        <v>20810.147036424161</v>
      </c>
      <c r="CE211" s="5"/>
      <c r="CF211" s="5"/>
      <c r="CG211" s="5">
        <v>0</v>
      </c>
      <c r="CH211" s="5">
        <f t="shared" si="130"/>
        <v>4500000</v>
      </c>
      <c r="CI211" s="5">
        <f t="shared" si="131"/>
        <v>4500000</v>
      </c>
      <c r="CJ211" s="1">
        <f t="shared" si="132"/>
        <v>1.0870625021900828E-2</v>
      </c>
      <c r="CK211" s="5">
        <f>RANK(BY211,$BY$2:$BY$623)+COUNTIF($BY$2:$BY211,$BY211)-1</f>
        <v>295</v>
      </c>
      <c r="CL211" s="5">
        <f>RANK(CJ211,$CJ$2:$CJ$623)+COUNTIF($CJ$2:$CJ211,$CJ211)-1</f>
        <v>352</v>
      </c>
    </row>
    <row r="212" spans="1:90">
      <c r="A212" t="str">
        <f>Players!P213</f>
        <v>Thomas Meunier</v>
      </c>
      <c r="B212" t="str">
        <f>Players!G213</f>
        <v>Belgium</v>
      </c>
      <c r="C212" t="str">
        <f>Players!AB213</f>
        <v>Defense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5000000</v>
      </c>
      <c r="H212" s="16">
        <f>INDEX('Team forecast'!$B$2:$AO$26,MATCH('Master data'!$B212,'Team forecast'!$B$2:$B$26,0),MATCH('Master data'!H$1,'Team forecast'!$B$2:$AO$2,0))</f>
        <v>1.5602309947683257</v>
      </c>
      <c r="I212" s="16">
        <f>INDEX('Team forecast'!$B$2:$AO$26,MATCH('Master data'!$B212,'Team forecast'!$B$2:$B$26,0),MATCH('Master data'!I$1,'Team forecast'!$B$2:$AO$2,0))</f>
        <v>0.84461095835632183</v>
      </c>
      <c r="J212" s="16">
        <f>INDEX('Team forecast'!$B$2:$AO$26,MATCH('Master data'!$B212,'Team forecast'!$B$2:$B$26,0),MATCH('Master data'!J$1,'Team forecast'!$B$2:$AO$2,0))</f>
        <v>0.42972450642313093</v>
      </c>
      <c r="K212" s="16">
        <f>INDEX('Team forecast'!$B$2:$AO$26,MATCH('Master data'!$B212,'Team forecast'!$B$2:$B$26,0),MATCH('Master data'!K$1,'Team forecast'!$B$2:$AO$2,0))</f>
        <v>4.1655927994293096</v>
      </c>
      <c r="L212" s="16">
        <f>INDEX('Team forecast'!$B$2:$AO$26,MATCH('Master data'!$B212,'Team forecast'!$B$2:$B$26,0),MATCH('Master data'!L$1,'Team forecast'!$B$2:$AO$2,0))</f>
        <v>2.7727127420788342</v>
      </c>
      <c r="M212">
        <f>IF(Players!BC213=1,95,0)</f>
        <v>95</v>
      </c>
      <c r="N212" s="2">
        <f>Players!BN213</f>
        <v>3.3213704659083153E-2</v>
      </c>
      <c r="O212" s="2">
        <f>Players!BO213</f>
        <v>2.7450060246274336E-2</v>
      </c>
      <c r="P212" s="2">
        <f>Players!BP213</f>
        <v>2.7166412007181832E-2</v>
      </c>
      <c r="Q212" s="2">
        <f>Players!BQ213</f>
        <v>9.1587516960651288E-2</v>
      </c>
      <c r="R212" s="2">
        <f>Players!BR213</f>
        <v>0</v>
      </c>
      <c r="S212" s="2">
        <f t="shared" si="91"/>
        <v>1.5602309947683257</v>
      </c>
      <c r="T212" s="2">
        <f t="shared" si="92"/>
        <v>0.84461095835632183</v>
      </c>
      <c r="U212" s="16">
        <f>INDEX('Team forecast'!$B$2:$AO$26,MATCH('Master data'!$B212,'Team forecast'!$B$2:$B$26,0),MATCH('Master data'!U$1,'Team forecast'!$B$2:$AO$2,0))</f>
        <v>0.58357649020425184</v>
      </c>
      <c r="V212" s="16">
        <f>INDEX('Team forecast'!$B$2:$AO$26,MATCH('Master data'!$B212,'Team forecast'!$B$2:$B$26,0),MATCH('Master data'!V$1,'Team forecast'!$B$2:$AO$2,0))</f>
        <v>0.23634847853272201</v>
      </c>
      <c r="W212" s="16">
        <f>INDEX('Team forecast'!$B$2:$AO$26,MATCH('Master data'!$B212,'Team forecast'!$B$2:$B$26,0),MATCH('Master data'!W$1,'Team forecast'!$B$2:$AO$2,0))</f>
        <v>0.18007503126302629</v>
      </c>
      <c r="X212" s="5">
        <f t="shared" si="93"/>
        <v>7000</v>
      </c>
      <c r="Y212" s="5">
        <f t="shared" si="94"/>
        <v>14589.412255106296</v>
      </c>
      <c r="Z212" s="5">
        <f t="shared" si="95"/>
        <v>1181.74239266361</v>
      </c>
      <c r="AA212" s="5">
        <f t="shared" si="96"/>
        <v>-2701.1254689453945</v>
      </c>
      <c r="AB212" s="5">
        <f t="shared" si="97"/>
        <v>7773.1577190274029</v>
      </c>
      <c r="AC212" s="5">
        <f t="shared" si="98"/>
        <v>2141.4217402247541</v>
      </c>
      <c r="AD212" s="5">
        <f t="shared" si="99"/>
        <v>1131.6421024344659</v>
      </c>
      <c r="AE212" s="5">
        <f t="shared" si="100"/>
        <v>21486.225321156548</v>
      </c>
      <c r="AF212" s="5">
        <f t="shared" si="101"/>
        <v>0</v>
      </c>
      <c r="AG212" s="5">
        <f t="shared" si="102"/>
        <v>-1831.7503392130259</v>
      </c>
      <c r="AH212" s="5">
        <f t="shared" si="103"/>
        <v>0</v>
      </c>
      <c r="AI212" s="5">
        <f t="shared" si="104"/>
        <v>15602.309947683258</v>
      </c>
      <c r="AJ212" s="5">
        <f t="shared" si="105"/>
        <v>-6756.8876668505745</v>
      </c>
      <c r="AK212" s="5">
        <f>IFERROR(SUM(X212:AJ212),-5000)*((Cockpit!$C$3)^0)</f>
        <v>59616.148003287344</v>
      </c>
      <c r="AL212" s="16">
        <f>INDEX('Team forecast'!$B$2:$AO$26,MATCH('Master data'!$B212,'Team forecast'!$B$2:$B$26,0),MATCH('Master data'!AL$1,'Team forecast'!$B$2:$AO$2,0))</f>
        <v>1.5279674504451852</v>
      </c>
      <c r="AM212" s="16">
        <f>INDEX('Team forecast'!$B$2:$AO$26,MATCH('Master data'!$B212,'Team forecast'!$B$2:$B$26,0),MATCH('Master data'!AM$1,'Team forecast'!$B$2:$AO$2,0))</f>
        <v>1.1610121970988967</v>
      </c>
      <c r="AN212" s="16">
        <f>INDEX('Team forecast'!$B$2:$AO$26,MATCH('Master data'!$B212,'Team forecast'!$B$2:$B$26,0),MATCH('Master data'!AN$1,'Team forecast'!$B$2:$AO$2,0))</f>
        <v>0.31316903161563348</v>
      </c>
      <c r="AO212" s="16">
        <f>INDEX('Team forecast'!$B$2:$AO$26,MATCH('Master data'!$B212,'Team forecast'!$B$2:$B$26,0),MATCH('Master data'!AO$1,'Team forecast'!$B$2:$AO$2,0))</f>
        <v>4.0794537672172888</v>
      </c>
      <c r="AP212" s="16">
        <f>INDEX('Team forecast'!$B$2:$AO$26,MATCH('Master data'!$B212,'Team forecast'!$B$2:$B$26,0),MATCH('Master data'!AP$1,'Team forecast'!$B$2:$AO$2,0))</f>
        <v>3.8114036773448627</v>
      </c>
      <c r="AQ212" s="5">
        <f t="shared" si="106"/>
        <v>7000</v>
      </c>
      <c r="AR212" s="5">
        <f>INDEX('Team forecast'!$B$2:$AO$26,MATCH('Master data'!$B212,'Team forecast'!$B$2:$B$26,0),MATCH('Master data'!AR$1,'Team forecast'!$B$2:$AO$2,0))*IF(X212&gt;0,25000,0)</f>
        <v>11743.838685586257</v>
      </c>
      <c r="AS212" s="16">
        <f>INDEX('Team forecast'!$B$2:$AO$26,MATCH('Master data'!$B212,'Team forecast'!$B$2:$B$26,0),MATCH('Master data'!AS$1,'Team forecast'!$B$2:$AO$2,0))*IF(X212&gt;0,5000,0)</f>
        <v>1381.628080657207</v>
      </c>
      <c r="AT212" s="16">
        <f>INDEX('Team forecast'!$B$2:$AO$26,MATCH('Master data'!$B212,'Team forecast'!$B$2:$B$26,0),MATCH('Master data'!AT$1,'Team forecast'!$B$2:$AO$2,0))*IF(X212&gt;0,-15000,0)</f>
        <v>-3808.8125466766246</v>
      </c>
      <c r="AU212" s="5">
        <f t="shared" si="107"/>
        <v>7612.4189441667986</v>
      </c>
      <c r="AV212" s="5">
        <f t="shared" si="108"/>
        <v>2097.1399284533268</v>
      </c>
      <c r="AW212" s="5">
        <f t="shared" si="109"/>
        <v>1108.2412180447491</v>
      </c>
      <c r="AX212" s="5">
        <f t="shared" si="110"/>
        <v>15658.451580781673</v>
      </c>
      <c r="AY212" s="5">
        <f t="shared" si="111"/>
        <v>0</v>
      </c>
      <c r="AZ212" s="5">
        <f t="shared" si="112"/>
        <v>-1831.7503392130259</v>
      </c>
      <c r="BA212" s="5">
        <f t="shared" si="113"/>
        <v>0</v>
      </c>
      <c r="BB212" s="5">
        <f t="shared" si="114"/>
        <v>15279.674504451852</v>
      </c>
      <c r="BC212" s="5">
        <f t="shared" si="115"/>
        <v>-9288.0975767911732</v>
      </c>
      <c r="BD212" s="5">
        <f t="shared" si="116"/>
        <v>46952.732479461039</v>
      </c>
      <c r="BE212" s="16">
        <f>INDEX('Team forecast'!$B$2:$AO$26,MATCH('Master data'!$B212,'Team forecast'!$B$2:$B$26,0),MATCH('Master data'!BE$1,'Team forecast'!$B$2:$AO$2,0))</f>
        <v>2.3394224481215296</v>
      </c>
      <c r="BF212" s="16">
        <f>INDEX('Team forecast'!$B$2:$AO$26,MATCH('Master data'!$B212,'Team forecast'!$B$2:$B$26,0),MATCH('Master data'!BF$1,'Team forecast'!$B$2:$AO$2,0))</f>
        <v>0.62462402002960304</v>
      </c>
      <c r="BG212" s="16">
        <f>INDEX('Team forecast'!$B$2:$AO$26,MATCH('Master data'!$B212,'Team forecast'!$B$2:$B$26,0),MATCH('Master data'!BG$1,'Team forecast'!$B$2:$AO$2,0))</f>
        <v>0.53546271393231015</v>
      </c>
      <c r="BH212" s="16">
        <f>INDEX('Team forecast'!$B$2:$AO$26,MATCH('Master data'!$B212,'Team forecast'!$B$2:$B$26,0),MATCH('Master data'!BH$1,'Team forecast'!$B$2:$AO$2,0))</f>
        <v>6.2459221342192031</v>
      </c>
      <c r="BI212" s="16">
        <f>INDEX('Team forecast'!$B$2:$AO$26,MATCH('Master data'!$B212,'Team forecast'!$B$2:$B$26,0),MATCH('Master data'!BI$1,'Team forecast'!$B$2:$AO$2,0))</f>
        <v>2.0505333990870809</v>
      </c>
      <c r="BJ212" s="5">
        <f t="shared" si="117"/>
        <v>7000</v>
      </c>
      <c r="BK212" s="5">
        <f>INDEX('Team forecast'!$R$3:$BH$26,MATCH($B212,'Team forecast'!$B$3:$B$26,0),MATCH(BK$1,'Team forecast'!$R$2:$BH$2,0))*IF($X212&gt;0,25000,0)</f>
        <v>19590.099290206468</v>
      </c>
      <c r="BL212" s="5">
        <f>INDEX('Team forecast'!$R$3:$BH$26,MATCH($B212,'Team forecast'!$B$3:$B$26,0),MATCH(BL$1,'Team forecast'!$R$2:$BH$2,0))*IF($X212&gt;0,5000,0)</f>
        <v>771.06630806252645</v>
      </c>
      <c r="BM212" s="5">
        <f>INDEX('Team forecast'!$R$3:$BH$26,MATCH($B212,'Team forecast'!$B$3:$B$26,0),MATCH(BM$1,'Team forecast'!$R$2:$BH$2,0))*IF($X212&gt;0,-15000,0)</f>
        <v>-932.74150168854032</v>
      </c>
      <c r="BN212" s="5">
        <f t="shared" si="118"/>
        <v>11655.132939710664</v>
      </c>
      <c r="BO212" s="5">
        <f t="shared" si="119"/>
        <v>3210.8643571211296</v>
      </c>
      <c r="BP212" s="5">
        <f t="shared" si="120"/>
        <v>1696.7929406297533</v>
      </c>
      <c r="BQ212" s="5">
        <f t="shared" si="121"/>
        <v>26773.135696615507</v>
      </c>
      <c r="BR212" s="5">
        <f t="shared" si="122"/>
        <v>0</v>
      </c>
      <c r="BS212" s="5">
        <f t="shared" si="123"/>
        <v>-1831.7503392130259</v>
      </c>
      <c r="BT212" s="5">
        <f t="shared" si="124"/>
        <v>0</v>
      </c>
      <c r="BU212" s="5">
        <f t="shared" si="125"/>
        <v>23394.224481215297</v>
      </c>
      <c r="BV212" s="5">
        <f t="shared" si="126"/>
        <v>-4996.992160236824</v>
      </c>
      <c r="BW212" s="5">
        <f t="shared" si="127"/>
        <v>86329.83201242295</v>
      </c>
      <c r="BX212" s="5">
        <f t="shared" si="128"/>
        <v>64299.57083172378</v>
      </c>
      <c r="BY212" s="5">
        <f t="shared" si="129"/>
        <v>192898.71249517135</v>
      </c>
      <c r="BZ212" s="5">
        <f>INDEX('Team forecast'!$R$3:$BH$26,MATCH($B212,'Team forecast'!$B$3:$B$26,0),MATCH(BZ$1,'Team forecast'!$R$2:$BH$2,0))*($BX212-(BY212+CH212)*0.01)</f>
        <v>11846.800005320021</v>
      </c>
      <c r="CA212" s="5">
        <f>INDEX('Team forecast'!$R$3:$BH$26,MATCH($B212,'Team forecast'!$B$3:$B$26,0),MATCH(CA$1,'Team forecast'!$R$2:$BH$2,0))*($BX212-(BY212+BX212+CH212)*0.01)</f>
        <v>5729.6897126928689</v>
      </c>
      <c r="CB212" s="5">
        <f>INDEX('Team forecast'!$R$3:$BH$26,MATCH($B212,'Team forecast'!$B$3:$B$26,0),MATCH(CB$1,'Team forecast'!$R$2:$BH$2,0))*($BX212-(BY212+BX212*2+CH212)*0.01)</f>
        <v>2809.3393528552556</v>
      </c>
      <c r="CC212" s="5">
        <f>INDEX('Team forecast'!$R$3:$BH$26,MATCH($B212,'Team forecast'!$B$3:$B$26,0),MATCH(CC$1,'Team forecast'!$R$2:$BH$2,0))*($BX212-(BY212+BX212*3+CH212)*0.01)</f>
        <v>1446.5584261429046</v>
      </c>
      <c r="CD212" s="5">
        <f>+AK212+BD212*Cockpit!$C$3+BW212*Cockpit!$C$3^2+BZ212*Cockpit!$C$3^3+CA212*Cockpit!$C$3^4+CB212*Cockpit!$C$3^5+CC212*Cockpit!$C$3^6</f>
        <v>134425.68708966215</v>
      </c>
      <c r="CE212" s="5"/>
      <c r="CF212" s="5"/>
      <c r="CG212" s="5">
        <v>0</v>
      </c>
      <c r="CH212" s="5">
        <f t="shared" si="130"/>
        <v>5000000</v>
      </c>
      <c r="CI212" s="5">
        <f t="shared" si="131"/>
        <v>5000000</v>
      </c>
      <c r="CJ212" s="1">
        <f t="shared" si="132"/>
        <v>3.8579742499034272E-2</v>
      </c>
      <c r="CK212" s="5">
        <f>RANK(BY212,$BY$2:$BY$623)+COUNTIF($BY$2:$BY212,$BY212)-1</f>
        <v>56</v>
      </c>
      <c r="CL212" s="5">
        <f>RANK(CJ212,$CJ$2:$CJ$623)+COUNTIF($CJ$2:$CJ212,$CJ212)-1</f>
        <v>82</v>
      </c>
    </row>
    <row r="213" spans="1:90">
      <c r="A213" t="str">
        <f>Players!P214</f>
        <v>Jan Vertonghen</v>
      </c>
      <c r="B213" t="str">
        <f>Players!G214</f>
        <v>Belgium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4000000</v>
      </c>
      <c r="H213" s="16">
        <f>INDEX('Team forecast'!$B$2:$AO$26,MATCH('Master data'!$B213,'Team forecast'!$B$2:$B$26,0),MATCH('Master data'!H$1,'Team forecast'!$B$2:$AO$2,0))</f>
        <v>1.5602309947683257</v>
      </c>
      <c r="I213" s="16">
        <f>INDEX('Team forecast'!$B$2:$AO$26,MATCH('Master data'!$B213,'Team forecast'!$B$2:$B$26,0),MATCH('Master data'!I$1,'Team forecast'!$B$2:$AO$2,0))</f>
        <v>0.84461095835632183</v>
      </c>
      <c r="J213" s="16">
        <f>INDEX('Team forecast'!$B$2:$AO$26,MATCH('Master data'!$B213,'Team forecast'!$B$2:$B$26,0),MATCH('Master data'!J$1,'Team forecast'!$B$2:$AO$2,0))</f>
        <v>0.42972450642313093</v>
      </c>
      <c r="K213" s="16">
        <f>INDEX('Team forecast'!$B$2:$AO$26,MATCH('Master data'!$B213,'Team forecast'!$B$2:$B$26,0),MATCH('Master data'!K$1,'Team forecast'!$B$2:$AO$2,0))</f>
        <v>4.1655927994293096</v>
      </c>
      <c r="L213" s="16">
        <f>INDEX('Team forecast'!$B$2:$AO$26,MATCH('Master data'!$B213,'Team forecast'!$B$2:$B$26,0),MATCH('Master data'!L$1,'Team forecast'!$B$2:$AO$2,0))</f>
        <v>2.7727127420788342</v>
      </c>
      <c r="M213">
        <f>IF(Players!BC214=1,95,0)</f>
        <v>95</v>
      </c>
      <c r="N213" s="2">
        <f>Players!BN214</f>
        <v>0.10908039202018888</v>
      </c>
      <c r="O213" s="2">
        <f>Players!BO214</f>
        <v>2.6684125429101608E-2</v>
      </c>
      <c r="P213" s="2">
        <f>Players!BP214</f>
        <v>0.12317023387941306</v>
      </c>
      <c r="Q213" s="2">
        <f>Players!BQ214</f>
        <v>8.742107819329771E-2</v>
      </c>
      <c r="R213" s="2">
        <f>Players!BR214</f>
        <v>0</v>
      </c>
      <c r="S213" s="2">
        <f t="shared" si="91"/>
        <v>1.5602309947683257</v>
      </c>
      <c r="T213" s="2">
        <f t="shared" si="92"/>
        <v>0.84461095835632183</v>
      </c>
      <c r="U213" s="16">
        <f>INDEX('Team forecast'!$B$2:$AO$26,MATCH('Master data'!$B213,'Team forecast'!$B$2:$B$26,0),MATCH('Master data'!U$1,'Team forecast'!$B$2:$AO$2,0))</f>
        <v>0.58357649020425184</v>
      </c>
      <c r="V213" s="16">
        <f>INDEX('Team forecast'!$B$2:$AO$26,MATCH('Master data'!$B213,'Team forecast'!$B$2:$B$26,0),MATCH('Master data'!V$1,'Team forecast'!$B$2:$AO$2,0))</f>
        <v>0.23634847853272201</v>
      </c>
      <c r="W213" s="16">
        <f>INDEX('Team forecast'!$B$2:$AO$26,MATCH('Master data'!$B213,'Team forecast'!$B$2:$B$26,0),MATCH('Master data'!W$1,'Team forecast'!$B$2:$AO$2,0))</f>
        <v>0.18007503126302629</v>
      </c>
      <c r="X213" s="5">
        <f t="shared" si="93"/>
        <v>7000</v>
      </c>
      <c r="Y213" s="5">
        <f t="shared" si="94"/>
        <v>14589.412255106296</v>
      </c>
      <c r="Z213" s="5">
        <f t="shared" si="95"/>
        <v>1181.74239266361</v>
      </c>
      <c r="AA213" s="5">
        <f t="shared" si="96"/>
        <v>-2701.1254689453945</v>
      </c>
      <c r="AB213" s="5">
        <f t="shared" si="97"/>
        <v>25528.591282706733</v>
      </c>
      <c r="AC213" s="5">
        <f t="shared" si="98"/>
        <v>2081.6699781384991</v>
      </c>
      <c r="AD213" s="5">
        <f t="shared" si="99"/>
        <v>5130.7703935210702</v>
      </c>
      <c r="AE213" s="5">
        <f t="shared" si="100"/>
        <v>21486.225321156548</v>
      </c>
      <c r="AF213" s="5">
        <f t="shared" si="101"/>
        <v>0</v>
      </c>
      <c r="AG213" s="5">
        <f t="shared" si="102"/>
        <v>-1748.4215638659541</v>
      </c>
      <c r="AH213" s="5">
        <f t="shared" si="103"/>
        <v>0</v>
      </c>
      <c r="AI213" s="5">
        <f t="shared" si="104"/>
        <v>15602.309947683258</v>
      </c>
      <c r="AJ213" s="5">
        <f t="shared" si="105"/>
        <v>-6756.8876668505745</v>
      </c>
      <c r="AK213" s="5">
        <f>IFERROR(SUM(X213:AJ213),-5000)*((Cockpit!$C$3)^0)</f>
        <v>81394.286871314092</v>
      </c>
      <c r="AL213" s="16">
        <f>INDEX('Team forecast'!$B$2:$AO$26,MATCH('Master data'!$B213,'Team forecast'!$B$2:$B$26,0),MATCH('Master data'!AL$1,'Team forecast'!$B$2:$AO$2,0))</f>
        <v>1.5279674504451852</v>
      </c>
      <c r="AM213" s="16">
        <f>INDEX('Team forecast'!$B$2:$AO$26,MATCH('Master data'!$B213,'Team forecast'!$B$2:$B$26,0),MATCH('Master data'!AM$1,'Team forecast'!$B$2:$AO$2,0))</f>
        <v>1.1610121970988967</v>
      </c>
      <c r="AN213" s="16">
        <f>INDEX('Team forecast'!$B$2:$AO$26,MATCH('Master data'!$B213,'Team forecast'!$B$2:$B$26,0),MATCH('Master data'!AN$1,'Team forecast'!$B$2:$AO$2,0))</f>
        <v>0.31316903161563348</v>
      </c>
      <c r="AO213" s="16">
        <f>INDEX('Team forecast'!$B$2:$AO$26,MATCH('Master data'!$B213,'Team forecast'!$B$2:$B$26,0),MATCH('Master data'!AO$1,'Team forecast'!$B$2:$AO$2,0))</f>
        <v>4.0794537672172888</v>
      </c>
      <c r="AP213" s="16">
        <f>INDEX('Team forecast'!$B$2:$AO$26,MATCH('Master data'!$B213,'Team forecast'!$B$2:$B$26,0),MATCH('Master data'!AP$1,'Team forecast'!$B$2:$AO$2,0))</f>
        <v>3.8114036773448627</v>
      </c>
      <c r="AQ213" s="5">
        <f t="shared" si="106"/>
        <v>7000</v>
      </c>
      <c r="AR213" s="5">
        <f>INDEX('Team forecast'!$B$2:$AO$26,MATCH('Master data'!$B213,'Team forecast'!$B$2:$B$26,0),MATCH('Master data'!AR$1,'Team forecast'!$B$2:$AO$2,0))*IF(X213&gt;0,25000,0)</f>
        <v>11743.838685586257</v>
      </c>
      <c r="AS213" s="16">
        <f>INDEX('Team forecast'!$B$2:$AO$26,MATCH('Master data'!$B213,'Team forecast'!$B$2:$B$26,0),MATCH('Master data'!AS$1,'Team forecast'!$B$2:$AO$2,0))*IF(X213&gt;0,5000,0)</f>
        <v>1381.628080657207</v>
      </c>
      <c r="AT213" s="16">
        <f>INDEX('Team forecast'!$B$2:$AO$26,MATCH('Master data'!$B213,'Team forecast'!$B$2:$B$26,0),MATCH('Master data'!AT$1,'Team forecast'!$B$2:$AO$2,0))*IF(X213&gt;0,-15000,0)</f>
        <v>-3808.8125466766246</v>
      </c>
      <c r="AU213" s="5">
        <f t="shared" si="107"/>
        <v>25000.693273297398</v>
      </c>
      <c r="AV213" s="5">
        <f t="shared" si="108"/>
        <v>2038.623754963196</v>
      </c>
      <c r="AW213" s="5">
        <f t="shared" si="109"/>
        <v>5024.6727460840611</v>
      </c>
      <c r="AX213" s="5">
        <f t="shared" si="110"/>
        <v>15658.451580781673</v>
      </c>
      <c r="AY213" s="5">
        <f t="shared" si="111"/>
        <v>0</v>
      </c>
      <c r="AZ213" s="5">
        <f t="shared" si="112"/>
        <v>-1748.4215638659541</v>
      </c>
      <c r="BA213" s="5">
        <f t="shared" si="113"/>
        <v>0</v>
      </c>
      <c r="BB213" s="5">
        <f t="shared" si="114"/>
        <v>15279.674504451852</v>
      </c>
      <c r="BC213" s="5">
        <f t="shared" si="115"/>
        <v>-9288.0975767911732</v>
      </c>
      <c r="BD213" s="5">
        <f t="shared" si="116"/>
        <v>68282.250938487894</v>
      </c>
      <c r="BE213" s="16">
        <f>INDEX('Team forecast'!$B$2:$AO$26,MATCH('Master data'!$B213,'Team forecast'!$B$2:$B$26,0),MATCH('Master data'!BE$1,'Team forecast'!$B$2:$AO$2,0))</f>
        <v>2.3394224481215296</v>
      </c>
      <c r="BF213" s="16">
        <f>INDEX('Team forecast'!$B$2:$AO$26,MATCH('Master data'!$B213,'Team forecast'!$B$2:$B$26,0),MATCH('Master data'!BF$1,'Team forecast'!$B$2:$AO$2,0))</f>
        <v>0.62462402002960304</v>
      </c>
      <c r="BG213" s="16">
        <f>INDEX('Team forecast'!$B$2:$AO$26,MATCH('Master data'!$B213,'Team forecast'!$B$2:$B$26,0),MATCH('Master data'!BG$1,'Team forecast'!$B$2:$AO$2,0))</f>
        <v>0.53546271393231015</v>
      </c>
      <c r="BH213" s="16">
        <f>INDEX('Team forecast'!$B$2:$AO$26,MATCH('Master data'!$B213,'Team forecast'!$B$2:$B$26,0),MATCH('Master data'!BH$1,'Team forecast'!$B$2:$AO$2,0))</f>
        <v>6.2459221342192031</v>
      </c>
      <c r="BI213" s="16">
        <f>INDEX('Team forecast'!$B$2:$AO$26,MATCH('Master data'!$B213,'Team forecast'!$B$2:$B$26,0),MATCH('Master data'!BI$1,'Team forecast'!$B$2:$AO$2,0))</f>
        <v>2.0505333990870809</v>
      </c>
      <c r="BJ213" s="5">
        <f t="shared" si="117"/>
        <v>7000</v>
      </c>
      <c r="BK213" s="5">
        <f>INDEX('Team forecast'!$R$3:$BH$26,MATCH($B213,'Team forecast'!$B$3:$B$26,0),MATCH(BK$1,'Team forecast'!$R$2:$BH$2,0))*IF($X213&gt;0,25000,0)</f>
        <v>19590.099290206468</v>
      </c>
      <c r="BL213" s="5">
        <f>INDEX('Team forecast'!$R$3:$BH$26,MATCH($B213,'Team forecast'!$B$3:$B$26,0),MATCH(BL$1,'Team forecast'!$R$2:$BH$2,0))*IF($X213&gt;0,5000,0)</f>
        <v>771.06630806252645</v>
      </c>
      <c r="BM213" s="5">
        <f>INDEX('Team forecast'!$R$3:$BH$26,MATCH($B213,'Team forecast'!$B$3:$B$26,0),MATCH(BM$1,'Team forecast'!$R$2:$BH$2,0))*IF($X213&gt;0,-15000,0)</f>
        <v>-932.74150168854032</v>
      </c>
      <c r="BN213" s="5">
        <f t="shared" si="118"/>
        <v>38277.767661288963</v>
      </c>
      <c r="BO213" s="5">
        <f t="shared" si="119"/>
        <v>3121.2721018665425</v>
      </c>
      <c r="BP213" s="5">
        <f t="shared" si="120"/>
        <v>7693.1169006438204</v>
      </c>
      <c r="BQ213" s="5">
        <f t="shared" si="121"/>
        <v>26773.135696615507</v>
      </c>
      <c r="BR213" s="5">
        <f t="shared" si="122"/>
        <v>0</v>
      </c>
      <c r="BS213" s="5">
        <f t="shared" si="123"/>
        <v>-1748.4215638659541</v>
      </c>
      <c r="BT213" s="5">
        <f t="shared" si="124"/>
        <v>0</v>
      </c>
      <c r="BU213" s="5">
        <f t="shared" si="125"/>
        <v>23394.224481215297</v>
      </c>
      <c r="BV213" s="5">
        <f t="shared" si="126"/>
        <v>-4996.992160236824</v>
      </c>
      <c r="BW213" s="5">
        <f t="shared" si="127"/>
        <v>118942.5272141078</v>
      </c>
      <c r="BX213" s="5">
        <f t="shared" si="128"/>
        <v>89539.688341303263</v>
      </c>
      <c r="BY213" s="5">
        <f t="shared" si="129"/>
        <v>268619.06502390979</v>
      </c>
      <c r="BZ213" s="5">
        <f>INDEX('Team forecast'!$R$3:$BH$26,MATCH($B213,'Team forecast'!$B$3:$B$26,0),MATCH(BZ$1,'Team forecast'!$R$2:$BH$2,0))*($BX213-(BY213+CH213)*0.01)</f>
        <v>44869.670651991968</v>
      </c>
      <c r="CA213" s="5">
        <f>INDEX('Team forecast'!$R$3:$BH$26,MATCH($B213,'Team forecast'!$B$3:$B$26,0),MATCH(CA$1,'Team forecast'!$R$2:$BH$2,0))*($BX213-(BY213+BX213+CH213)*0.01)</f>
        <v>22453.522194606001</v>
      </c>
      <c r="CB213" s="5">
        <f>INDEX('Team forecast'!$R$3:$BH$26,MATCH($B213,'Team forecast'!$B$3:$B$26,0),MATCH(CB$1,'Team forecast'!$R$2:$BH$2,0))*($BX213-(BY213+BX213*2+CH213)*0.01)</f>
        <v>11420.936753178099</v>
      </c>
      <c r="CC213" s="5">
        <f>INDEX('Team forecast'!$R$3:$BH$26,MATCH($B213,'Team forecast'!$B$3:$B$26,0),MATCH(CC$1,'Team forecast'!$R$2:$BH$2,0))*($BX213-(BY213+BX213*3+CH213)*0.01)</f>
        <v>6118.8525776972601</v>
      </c>
      <c r="CD213" s="5">
        <f>+AK213+BD213*Cockpit!$C$3+BW213*Cockpit!$C$3^2+BZ213*Cockpit!$C$3^3+CA213*Cockpit!$C$3^4+CB213*Cockpit!$C$3^5+CC213*Cockpit!$C$3^6</f>
        <v>199550.28868696195</v>
      </c>
      <c r="CE213" s="5"/>
      <c r="CF213" s="5"/>
      <c r="CG213" s="5">
        <v>0</v>
      </c>
      <c r="CH213" s="5">
        <f t="shared" si="130"/>
        <v>4000000</v>
      </c>
      <c r="CI213" s="5">
        <f t="shared" si="131"/>
        <v>4000000</v>
      </c>
      <c r="CJ213" s="1">
        <f t="shared" si="132"/>
        <v>6.7154766255977452E-2</v>
      </c>
      <c r="CK213" s="5">
        <f>RANK(BY213,$BY$2:$BY$623)+COUNTIF($BY$2:$BY213,$BY213)-1</f>
        <v>13</v>
      </c>
      <c r="CL213" s="5">
        <f>RANK(CJ213,$CJ$2:$CJ$623)+COUNTIF($CJ$2:$CJ213,$CJ213)-1</f>
        <v>4</v>
      </c>
    </row>
    <row r="214" spans="1:90">
      <c r="A214" t="str">
        <f>Players!P215</f>
        <v>Jérémy Doku</v>
      </c>
      <c r="B214" t="str">
        <f>Players!G215</f>
        <v>Belgium</v>
      </c>
      <c r="C214" t="str">
        <f>Players!AB215</f>
        <v>Striker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1.5602309947683257</v>
      </c>
      <c r="I214" s="16">
        <f>INDEX('Team forecast'!$B$2:$AO$26,MATCH('Master data'!$B214,'Team forecast'!$B$2:$B$26,0),MATCH('Master data'!I$1,'Team forecast'!$B$2:$AO$2,0))</f>
        <v>0.84461095835632183</v>
      </c>
      <c r="J214" s="16">
        <f>INDEX('Team forecast'!$B$2:$AO$26,MATCH('Master data'!$B214,'Team forecast'!$B$2:$B$26,0),MATCH('Master data'!J$1,'Team forecast'!$B$2:$AO$2,0))</f>
        <v>0.42972450642313093</v>
      </c>
      <c r="K214" s="16">
        <f>INDEX('Team forecast'!$B$2:$AO$26,MATCH('Master data'!$B214,'Team forecast'!$B$2:$B$26,0),MATCH('Master data'!K$1,'Team forecast'!$B$2:$AO$2,0))</f>
        <v>4.1655927994293096</v>
      </c>
      <c r="L214" s="16">
        <f>INDEX('Team forecast'!$B$2:$AO$26,MATCH('Master data'!$B214,'Team forecast'!$B$2:$B$26,0),MATCH('Master data'!L$1,'Team forecast'!$B$2:$AO$2,0))</f>
        <v>2.7727127420788342</v>
      </c>
      <c r="M214">
        <f>IF(Players!BC215=1,95,0)</f>
        <v>0</v>
      </c>
      <c r="N214" s="2">
        <f>Players!BN215</f>
        <v>0</v>
      </c>
      <c r="O214" s="2">
        <f>Players!BO215</f>
        <v>0</v>
      </c>
      <c r="P214" s="2">
        <f>Players!BP215</f>
        <v>0</v>
      </c>
      <c r="Q214" s="2">
        <f>Players!BQ215</f>
        <v>0.1044132873166523</v>
      </c>
      <c r="R214" s="2">
        <f>Players!BR215</f>
        <v>3.8826574633304578E-2</v>
      </c>
      <c r="S214" s="2">
        <f t="shared" si="91"/>
        <v>1.5602309947683257</v>
      </c>
      <c r="T214" s="2">
        <f t="shared" si="92"/>
        <v>0.84461095835632183</v>
      </c>
      <c r="U214" s="16">
        <f>INDEX('Team forecast'!$B$2:$AO$26,MATCH('Master data'!$B214,'Team forecast'!$B$2:$B$26,0),MATCH('Master data'!U$1,'Team forecast'!$B$2:$AO$2,0))</f>
        <v>0.58357649020425184</v>
      </c>
      <c r="V214" s="16">
        <f>INDEX('Team forecast'!$B$2:$AO$26,MATCH('Master data'!$B214,'Team forecast'!$B$2:$B$26,0),MATCH('Master data'!V$1,'Team forecast'!$B$2:$AO$2,0))</f>
        <v>0.23634847853272201</v>
      </c>
      <c r="W214" s="16">
        <f>INDEX('Team forecast'!$B$2:$AO$26,MATCH('Master data'!$B214,'Team forecast'!$B$2:$B$26,0),MATCH('Master data'!W$1,'Team forecast'!$B$2:$AO$2,0))</f>
        <v>0.18007503126302629</v>
      </c>
      <c r="X214" s="5">
        <f t="shared" si="93"/>
        <v>-5000</v>
      </c>
      <c r="Y214" s="5">
        <f t="shared" si="94"/>
        <v>0</v>
      </c>
      <c r="Z214" s="5">
        <f t="shared" si="95"/>
        <v>0</v>
      </c>
      <c r="AA214" s="5">
        <f t="shared" si="96"/>
        <v>0</v>
      </c>
      <c r="AB214" s="5">
        <f t="shared" si="97"/>
        <v>0</v>
      </c>
      <c r="AC214" s="5">
        <f t="shared" si="98"/>
        <v>0</v>
      </c>
      <c r="AD214" s="5">
        <f t="shared" si="99"/>
        <v>0</v>
      </c>
      <c r="AE214" s="5">
        <f t="shared" si="100"/>
        <v>0</v>
      </c>
      <c r="AF214" s="5">
        <f t="shared" si="101"/>
        <v>0</v>
      </c>
      <c r="AG214" s="5">
        <f t="shared" si="102"/>
        <v>0</v>
      </c>
      <c r="AH214" s="5">
        <f t="shared" si="103"/>
        <v>0</v>
      </c>
      <c r="AI214" s="5">
        <f t="shared" si="104"/>
        <v>0</v>
      </c>
      <c r="AJ214" s="5">
        <f t="shared" si="105"/>
        <v>0</v>
      </c>
      <c r="AK214" s="5">
        <f>IFERROR(SUM(X214:AJ214),-5000)*((Cockpit!$C$3)^0)</f>
        <v>-5000</v>
      </c>
      <c r="AL214" s="16">
        <f>INDEX('Team forecast'!$B$2:$AO$26,MATCH('Master data'!$B214,'Team forecast'!$B$2:$B$26,0),MATCH('Master data'!AL$1,'Team forecast'!$B$2:$AO$2,0))</f>
        <v>1.5279674504451852</v>
      </c>
      <c r="AM214" s="16">
        <f>INDEX('Team forecast'!$B$2:$AO$26,MATCH('Master data'!$B214,'Team forecast'!$B$2:$B$26,0),MATCH('Master data'!AM$1,'Team forecast'!$B$2:$AO$2,0))</f>
        <v>1.1610121970988967</v>
      </c>
      <c r="AN214" s="16">
        <f>INDEX('Team forecast'!$B$2:$AO$26,MATCH('Master data'!$B214,'Team forecast'!$B$2:$B$26,0),MATCH('Master data'!AN$1,'Team forecast'!$B$2:$AO$2,0))</f>
        <v>0.31316903161563348</v>
      </c>
      <c r="AO214" s="16">
        <f>INDEX('Team forecast'!$B$2:$AO$26,MATCH('Master data'!$B214,'Team forecast'!$B$2:$B$26,0),MATCH('Master data'!AO$1,'Team forecast'!$B$2:$AO$2,0))</f>
        <v>4.0794537672172888</v>
      </c>
      <c r="AP214" s="16">
        <f>INDEX('Team forecast'!$B$2:$AO$26,MATCH('Master data'!$B214,'Team forecast'!$B$2:$B$26,0),MATCH('Master data'!AP$1,'Team forecast'!$B$2:$AO$2,0))</f>
        <v>3.8114036773448627</v>
      </c>
      <c r="AQ214" s="5">
        <f t="shared" si="106"/>
        <v>-5000</v>
      </c>
      <c r="AR214" s="5">
        <f>INDEX('Team forecast'!$B$2:$AO$26,MATCH('Master data'!$B214,'Team forecast'!$B$2:$B$26,0),MATCH('Master data'!AR$1,'Team forecast'!$B$2:$AO$2,0))*IF(X214&gt;0,25000,0)</f>
        <v>0</v>
      </c>
      <c r="AS214" s="16">
        <f>INDEX('Team forecast'!$B$2:$AO$26,MATCH('Master data'!$B214,'Team forecast'!$B$2:$B$26,0),MATCH('Master data'!AS$1,'Team forecast'!$B$2:$AO$2,0))*IF(X214&gt;0,5000,0)</f>
        <v>0</v>
      </c>
      <c r="AT214" s="16">
        <f>INDEX('Team forecast'!$B$2:$AO$26,MATCH('Master data'!$B214,'Team forecast'!$B$2:$B$26,0),MATCH('Master data'!AT$1,'Team forecast'!$B$2:$AO$2,0))*IF(X214&gt;0,-15000,0)</f>
        <v>0</v>
      </c>
      <c r="AU214" s="5">
        <f t="shared" si="107"/>
        <v>0</v>
      </c>
      <c r="AV214" s="5">
        <f t="shared" si="108"/>
        <v>0</v>
      </c>
      <c r="AW214" s="5">
        <f t="shared" si="109"/>
        <v>0</v>
      </c>
      <c r="AX214" s="5">
        <f t="shared" si="110"/>
        <v>0</v>
      </c>
      <c r="AY214" s="5">
        <f t="shared" si="111"/>
        <v>0</v>
      </c>
      <c r="AZ214" s="5">
        <f t="shared" si="112"/>
        <v>0</v>
      </c>
      <c r="BA214" s="5">
        <f t="shared" si="113"/>
        <v>0</v>
      </c>
      <c r="BB214" s="5">
        <f t="shared" si="114"/>
        <v>0</v>
      </c>
      <c r="BC214" s="5">
        <f t="shared" si="115"/>
        <v>0</v>
      </c>
      <c r="BD214" s="5">
        <f t="shared" si="116"/>
        <v>-5000</v>
      </c>
      <c r="BE214" s="16">
        <f>INDEX('Team forecast'!$B$2:$AO$26,MATCH('Master data'!$B214,'Team forecast'!$B$2:$B$26,0),MATCH('Master data'!BE$1,'Team forecast'!$B$2:$AO$2,0))</f>
        <v>2.3394224481215296</v>
      </c>
      <c r="BF214" s="16">
        <f>INDEX('Team forecast'!$B$2:$AO$26,MATCH('Master data'!$B214,'Team forecast'!$B$2:$B$26,0),MATCH('Master data'!BF$1,'Team forecast'!$B$2:$AO$2,0))</f>
        <v>0.62462402002960304</v>
      </c>
      <c r="BG214" s="16">
        <f>INDEX('Team forecast'!$B$2:$AO$26,MATCH('Master data'!$B214,'Team forecast'!$B$2:$B$26,0),MATCH('Master data'!BG$1,'Team forecast'!$B$2:$AO$2,0))</f>
        <v>0.53546271393231015</v>
      </c>
      <c r="BH214" s="16">
        <f>INDEX('Team forecast'!$B$2:$AO$26,MATCH('Master data'!$B214,'Team forecast'!$B$2:$B$26,0),MATCH('Master data'!BH$1,'Team forecast'!$B$2:$AO$2,0))</f>
        <v>6.2459221342192031</v>
      </c>
      <c r="BI214" s="16">
        <f>INDEX('Team forecast'!$B$2:$AO$26,MATCH('Master data'!$B214,'Team forecast'!$B$2:$B$26,0),MATCH('Master data'!BI$1,'Team forecast'!$B$2:$AO$2,0))</f>
        <v>2.0505333990870809</v>
      </c>
      <c r="BJ214" s="5">
        <f t="shared" si="117"/>
        <v>-5000</v>
      </c>
      <c r="BK214" s="5">
        <f>INDEX('Team forecast'!$R$3:$BH$26,MATCH($B214,'Team forecast'!$B$3:$B$26,0),MATCH(BK$1,'Team forecast'!$R$2:$BH$2,0))*IF($X214&gt;0,25000,0)</f>
        <v>0</v>
      </c>
      <c r="BL214" s="5">
        <f>INDEX('Team forecast'!$R$3:$BH$26,MATCH($B214,'Team forecast'!$B$3:$B$26,0),MATCH(BL$1,'Team forecast'!$R$2:$BH$2,0))*IF($X214&gt;0,5000,0)</f>
        <v>0</v>
      </c>
      <c r="BM214" s="5">
        <f>INDEX('Team forecast'!$R$3:$BH$26,MATCH($B214,'Team forecast'!$B$3:$B$26,0),MATCH(BM$1,'Team forecast'!$R$2:$BH$2,0))*IF($X214&gt;0,-15000,0)</f>
        <v>0</v>
      </c>
      <c r="BN214" s="5">
        <f t="shared" si="118"/>
        <v>0</v>
      </c>
      <c r="BO214" s="5">
        <f t="shared" si="119"/>
        <v>0</v>
      </c>
      <c r="BP214" s="5">
        <f t="shared" si="120"/>
        <v>0</v>
      </c>
      <c r="BQ214" s="5">
        <f t="shared" si="121"/>
        <v>0</v>
      </c>
      <c r="BR214" s="5">
        <f t="shared" si="122"/>
        <v>0</v>
      </c>
      <c r="BS214" s="5">
        <f t="shared" si="123"/>
        <v>0</v>
      </c>
      <c r="BT214" s="5">
        <f t="shared" si="124"/>
        <v>0</v>
      </c>
      <c r="BU214" s="5">
        <f t="shared" si="125"/>
        <v>0</v>
      </c>
      <c r="BV214" s="5">
        <f t="shared" si="126"/>
        <v>0</v>
      </c>
      <c r="BW214" s="5">
        <f t="shared" si="127"/>
        <v>-5000</v>
      </c>
      <c r="BX214" s="5">
        <f t="shared" si="128"/>
        <v>-5000</v>
      </c>
      <c r="BY214" s="5">
        <f t="shared" si="129"/>
        <v>-15000</v>
      </c>
      <c r="BZ214" s="5">
        <f>INDEX('Team forecast'!$R$3:$BH$26,MATCH($B214,'Team forecast'!$B$3:$B$26,0),MATCH(BZ$1,'Team forecast'!$R$2:$BH$2,0))*($BX214-(BY214+CH214)*0.01)</f>
        <v>-38162.708519046078</v>
      </c>
      <c r="CA214" s="5">
        <f>INDEX('Team forecast'!$R$3:$BH$26,MATCH($B214,'Team forecast'!$B$3:$B$26,0),MATCH(CA$1,'Team forecast'!$R$2:$BH$2,0))*($BX214-(BY214+BX214+CH214)*0.01)</f>
        <v>-19444.889315281354</v>
      </c>
      <c r="CB214" s="5">
        <f>INDEX('Team forecast'!$R$3:$BH$26,MATCH($B214,'Team forecast'!$B$3:$B$26,0),MATCH(CB$1,'Team forecast'!$R$2:$BH$2,0))*($BX214-(BY214+BX214*2+CH214)*0.01)</f>
        <v>-10074.456177820339</v>
      </c>
      <c r="CC214" s="5">
        <f>INDEX('Team forecast'!$R$3:$BH$26,MATCH($B214,'Team forecast'!$B$3:$B$26,0),MATCH(CC$1,'Team forecast'!$R$2:$BH$2,0))*($BX214-(BY214+BX214*3+CH214)*0.01)</f>
        <v>-5499.9605728745237</v>
      </c>
      <c r="CD214" s="5">
        <f>+AK214+BD214*Cockpit!$C$3+BW214*Cockpit!$C$3^2+BZ214*Cockpit!$C$3^3+CA214*Cockpit!$C$3^4+CB214*Cockpit!$C$3^5+CC214*Cockpit!$C$3^6</f>
        <v>-27513.51765603455</v>
      </c>
      <c r="CE214" s="5"/>
      <c r="CF214" s="5"/>
      <c r="CG214" s="5">
        <v>0</v>
      </c>
      <c r="CH214" s="5">
        <f t="shared" si="130"/>
        <v>3500000</v>
      </c>
      <c r="CI214" s="5">
        <f t="shared" si="131"/>
        <v>3500000</v>
      </c>
      <c r="CJ214" s="1">
        <f t="shared" si="132"/>
        <v>-4.2857142857142859E-3</v>
      </c>
      <c r="CK214" s="5">
        <f>RANK(BY214,$BY$2:$BY$623)+COUNTIF($BY$2:$BY214,$BY214)-1</f>
        <v>484</v>
      </c>
      <c r="CL214" s="5">
        <f>RANK(CJ214,$CJ$2:$CJ$623)+COUNTIF($CJ$2:$CJ214,$CJ214)-1</f>
        <v>470</v>
      </c>
    </row>
    <row r="215" spans="1:90">
      <c r="A215" t="str">
        <f>Players!P216</f>
        <v>Owen Wijndal</v>
      </c>
      <c r="B215" t="str">
        <f>Players!G216</f>
        <v>Netherlands</v>
      </c>
      <c r="C215" t="str">
        <f>Players!AB216</f>
        <v>Defense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3500000</v>
      </c>
      <c r="H215" s="16">
        <f>INDEX('Team forecast'!$B$2:$AO$26,MATCH('Master data'!$B215,'Team forecast'!$B$2:$B$26,0),MATCH('Master data'!H$1,'Team forecast'!$B$2:$AO$2,0))</f>
        <v>1.5712166996139025</v>
      </c>
      <c r="I215" s="16">
        <f>INDEX('Team forecast'!$B$2:$AO$26,MATCH('Master data'!$B215,'Team forecast'!$B$2:$B$26,0),MATCH('Master data'!I$1,'Team forecast'!$B$2:$AO$2,0))</f>
        <v>0.76028648339757388</v>
      </c>
      <c r="J215" s="16">
        <f>INDEX('Team forecast'!$B$2:$AO$26,MATCH('Master data'!$B215,'Team forecast'!$B$2:$B$26,0),MATCH('Master data'!J$1,'Team forecast'!$B$2:$AO$2,0))</f>
        <v>0.46753246753246752</v>
      </c>
      <c r="K215" s="16">
        <f>INDEX('Team forecast'!$B$2:$AO$26,MATCH('Master data'!$B215,'Team forecast'!$B$2:$B$26,0),MATCH('Master data'!K$1,'Team forecast'!$B$2:$AO$2,0))</f>
        <v>4.4640175390899657</v>
      </c>
      <c r="L215" s="16">
        <f>INDEX('Team forecast'!$B$2:$AO$26,MATCH('Master data'!$B215,'Team forecast'!$B$2:$B$26,0),MATCH('Master data'!L$1,'Team forecast'!$B$2:$AO$2,0))</f>
        <v>2.4958899707496114</v>
      </c>
      <c r="M215">
        <f>IF(Players!BC216=1,95,0)</f>
        <v>95</v>
      </c>
      <c r="N215" s="2">
        <f>Players!BN216</f>
        <v>2.6183484361011269E-2</v>
      </c>
      <c r="O215" s="2">
        <f>Players!BO216</f>
        <v>6.6784394049022649E-3</v>
      </c>
      <c r="P215" s="2">
        <f>Players!BP216</f>
        <v>2.1015425616624343E-2</v>
      </c>
      <c r="Q215" s="2">
        <f>Players!BQ216</f>
        <v>6.32688927943761E-2</v>
      </c>
      <c r="R215" s="2">
        <f>Players!BR216</f>
        <v>0</v>
      </c>
      <c r="S215" s="2">
        <f t="shared" si="91"/>
        <v>1.5712166996139025</v>
      </c>
      <c r="T215" s="2">
        <f t="shared" si="92"/>
        <v>0.76028648339757388</v>
      </c>
      <c r="U215" s="16">
        <f>INDEX('Team forecast'!$B$2:$AO$26,MATCH('Master data'!$B215,'Team forecast'!$B$2:$B$26,0),MATCH('Master data'!U$1,'Team forecast'!$B$2:$AO$2,0))</f>
        <v>0.58441558441558439</v>
      </c>
      <c r="V215" s="16">
        <f>INDEX('Team forecast'!$B$2:$AO$26,MATCH('Master data'!$B215,'Team forecast'!$B$2:$B$26,0),MATCH('Master data'!V$1,'Team forecast'!$B$2:$AO$2,0))</f>
        <v>0.25974025974025972</v>
      </c>
      <c r="W215" s="16">
        <f>INDEX('Team forecast'!$B$2:$AO$26,MATCH('Master data'!$B215,'Team forecast'!$B$2:$B$26,0),MATCH('Master data'!W$1,'Team forecast'!$B$2:$AO$2,0))</f>
        <v>0.15584415584415581</v>
      </c>
      <c r="X215" s="5">
        <f t="shared" si="93"/>
        <v>7000</v>
      </c>
      <c r="Y215" s="5">
        <f t="shared" si="94"/>
        <v>14610.38961038961</v>
      </c>
      <c r="Z215" s="5">
        <f t="shared" si="95"/>
        <v>1298.7012987012986</v>
      </c>
      <c r="AA215" s="5">
        <f t="shared" si="96"/>
        <v>-2337.662337662337</v>
      </c>
      <c r="AB215" s="5">
        <f t="shared" si="97"/>
        <v>6170.9891823150538</v>
      </c>
      <c r="AC215" s="5">
        <f t="shared" si="98"/>
        <v>524.6637760170986</v>
      </c>
      <c r="AD215" s="5">
        <f t="shared" si="99"/>
        <v>938.13228544051617</v>
      </c>
      <c r="AE215" s="5">
        <f t="shared" si="100"/>
        <v>23376.623376623374</v>
      </c>
      <c r="AF215" s="5">
        <f t="shared" si="101"/>
        <v>0</v>
      </c>
      <c r="AG215" s="5">
        <f t="shared" si="102"/>
        <v>-1265.3778558875219</v>
      </c>
      <c r="AH215" s="5">
        <f t="shared" si="103"/>
        <v>0</v>
      </c>
      <c r="AI215" s="5">
        <f t="shared" si="104"/>
        <v>15712.166996139025</v>
      </c>
      <c r="AJ215" s="5">
        <f t="shared" si="105"/>
        <v>-6082.291867180591</v>
      </c>
      <c r="AK215" s="5">
        <f>IFERROR(SUM(X215:AJ215),-5000)*((Cockpit!$C$3)^0)</f>
        <v>59946.334464895532</v>
      </c>
      <c r="AL215" s="16">
        <f>INDEX('Team forecast'!$B$2:$AO$26,MATCH('Master data'!$B215,'Team forecast'!$B$2:$B$26,0),MATCH('Master data'!AL$1,'Team forecast'!$B$2:$AO$2,0))</f>
        <v>1.8476112368050062</v>
      </c>
      <c r="AM215" s="16">
        <f>INDEX('Team forecast'!$B$2:$AO$26,MATCH('Master data'!$B215,'Team forecast'!$B$2:$B$26,0),MATCH('Master data'!AM$1,'Team forecast'!$B$2:$AO$2,0))</f>
        <v>0.7977891123063281</v>
      </c>
      <c r="AN215" s="16">
        <f>INDEX('Team forecast'!$B$2:$AO$26,MATCH('Master data'!$B215,'Team forecast'!$B$2:$B$26,0),MATCH('Master data'!AN$1,'Team forecast'!$B$2:$AO$2,0))</f>
        <v>0.45032347896962183</v>
      </c>
      <c r="AO215" s="16">
        <f>INDEX('Team forecast'!$B$2:$AO$26,MATCH('Master data'!$B215,'Team forecast'!$B$2:$B$26,0),MATCH('Master data'!AO$1,'Team forecast'!$B$2:$AO$2,0))</f>
        <v>5.2492879998945963</v>
      </c>
      <c r="AP215" s="16">
        <f>INDEX('Team forecast'!$B$2:$AO$26,MATCH('Master data'!$B215,'Team forecast'!$B$2:$B$26,0),MATCH('Master data'!AP$1,'Team forecast'!$B$2:$AO$2,0))</f>
        <v>2.6190046616116831</v>
      </c>
      <c r="AQ215" s="5">
        <f t="shared" si="106"/>
        <v>7000</v>
      </c>
      <c r="AR215" s="5">
        <f>INDEX('Team forecast'!$B$2:$AO$26,MATCH('Master data'!$B215,'Team forecast'!$B$2:$B$26,0),MATCH('Master data'!AR$1,'Team forecast'!$B$2:$AO$2,0))*IF(X215&gt;0,25000,0)</f>
        <v>15452.276239153689</v>
      </c>
      <c r="AS215" s="16">
        <f>INDEX('Team forecast'!$B$2:$AO$26,MATCH('Master data'!$B215,'Team forecast'!$B$2:$B$26,0),MATCH('Master data'!AS$1,'Team forecast'!$B$2:$AO$2,0))*IF(X215&gt;0,5000,0)</f>
        <v>1182.0991322952575</v>
      </c>
      <c r="AT215" s="16">
        <f>INDEX('Team forecast'!$B$2:$AO$26,MATCH('Master data'!$B215,'Team forecast'!$B$2:$B$26,0),MATCH('Master data'!AT$1,'Team forecast'!$B$2:$AO$2,0))*IF(X215&gt;0,-15000,0)</f>
        <v>-2182.3368596220134</v>
      </c>
      <c r="AU215" s="5">
        <f t="shared" si="107"/>
        <v>7256.5349886168851</v>
      </c>
      <c r="AV215" s="5">
        <f t="shared" si="108"/>
        <v>616.95798444093816</v>
      </c>
      <c r="AW215" s="5">
        <f t="shared" si="109"/>
        <v>1103.1602150202366</v>
      </c>
      <c r="AX215" s="5">
        <f t="shared" si="110"/>
        <v>22516.17394848109</v>
      </c>
      <c r="AY215" s="5">
        <f t="shared" si="111"/>
        <v>0</v>
      </c>
      <c r="AZ215" s="5">
        <f t="shared" si="112"/>
        <v>-1265.3778558875219</v>
      </c>
      <c r="BA215" s="5">
        <f t="shared" si="113"/>
        <v>0</v>
      </c>
      <c r="BB215" s="5">
        <f t="shared" si="114"/>
        <v>18476.11236805006</v>
      </c>
      <c r="BC215" s="5">
        <f t="shared" si="115"/>
        <v>-6382.3128984506247</v>
      </c>
      <c r="BD215" s="5">
        <f t="shared" si="116"/>
        <v>63773.287262097998</v>
      </c>
      <c r="BE215" s="16">
        <f>INDEX('Team forecast'!$B$2:$AO$26,MATCH('Master data'!$B215,'Team forecast'!$B$2:$B$26,0),MATCH('Master data'!BE$1,'Team forecast'!$B$2:$AO$2,0))</f>
        <v>2.3683451623921505</v>
      </c>
      <c r="BF215" s="16">
        <f>INDEX('Team forecast'!$B$2:$AO$26,MATCH('Master data'!$B215,'Team forecast'!$B$2:$B$26,0),MATCH('Master data'!BF$1,'Team forecast'!$B$2:$AO$2,0))</f>
        <v>0.49102780480244929</v>
      </c>
      <c r="BG215" s="16">
        <f>INDEX('Team forecast'!$B$2:$AO$26,MATCH('Master data'!$B215,'Team forecast'!$B$2:$B$26,0),MATCH('Master data'!BG$1,'Team forecast'!$B$2:$AO$2,0))</f>
        <v>0.61199705730750009</v>
      </c>
      <c r="BH215" s="16">
        <f>INDEX('Team forecast'!$B$2:$AO$26,MATCH('Master data'!$B215,'Team forecast'!$B$2:$B$26,0),MATCH('Master data'!BH$1,'Team forecast'!$B$2:$AO$2,0))</f>
        <v>6.7287563492262965</v>
      </c>
      <c r="BI215" s="16">
        <f>INDEX('Team forecast'!$B$2:$AO$26,MATCH('Master data'!$B215,'Team forecast'!$B$2:$B$26,0),MATCH('Master data'!BI$1,'Team forecast'!$B$2:$AO$2,0))</f>
        <v>1.6119599652605658</v>
      </c>
      <c r="BJ215" s="5">
        <f t="shared" si="117"/>
        <v>7000</v>
      </c>
      <c r="BK215" s="5">
        <f>INDEX('Team forecast'!$R$3:$BH$26,MATCH($B215,'Team forecast'!$B$3:$B$26,0),MATCH(BK$1,'Team forecast'!$R$2:$BH$2,0))*IF($X215&gt;0,25000,0)</f>
        <v>19838.040205094814</v>
      </c>
      <c r="BL215" s="5">
        <f>INDEX('Team forecast'!$R$3:$BH$26,MATCH($B215,'Team forecast'!$B$3:$B$26,0),MATCH(BL$1,'Team forecast'!$R$2:$BH$2,0))*IF($X215&gt;0,5000,0)</f>
        <v>720.27345975421156</v>
      </c>
      <c r="BM215" s="5">
        <f>INDEX('Team forecast'!$R$3:$BH$26,MATCH($B215,'Team forecast'!$B$3:$B$26,0),MATCH(BM$1,'Team forecast'!$R$2:$BH$2,0))*IF($X215&gt;0,-15000,0)</f>
        <v>-936.3554976804752</v>
      </c>
      <c r="BN215" s="5">
        <f t="shared" si="118"/>
        <v>9301.7292781457345</v>
      </c>
      <c r="BO215" s="5">
        <f t="shared" si="119"/>
        <v>790.84248284646958</v>
      </c>
      <c r="BP215" s="5">
        <f t="shared" si="120"/>
        <v>1414.07678549554</v>
      </c>
      <c r="BQ215" s="5">
        <f t="shared" si="121"/>
        <v>30599.852865375004</v>
      </c>
      <c r="BR215" s="5">
        <f t="shared" si="122"/>
        <v>0</v>
      </c>
      <c r="BS215" s="5">
        <f t="shared" si="123"/>
        <v>-1265.3778558875219</v>
      </c>
      <c r="BT215" s="5">
        <f t="shared" si="124"/>
        <v>0</v>
      </c>
      <c r="BU215" s="5">
        <f t="shared" si="125"/>
        <v>23683.451623921505</v>
      </c>
      <c r="BV215" s="5">
        <f t="shared" si="126"/>
        <v>-3928.2224384195943</v>
      </c>
      <c r="BW215" s="5">
        <f t="shared" si="127"/>
        <v>87218.310908645683</v>
      </c>
      <c r="BX215" s="5">
        <f t="shared" si="128"/>
        <v>70312.644211879742</v>
      </c>
      <c r="BY215" s="5">
        <f t="shared" si="129"/>
        <v>210937.93263563921</v>
      </c>
      <c r="BZ215" s="5">
        <f>INDEX('Team forecast'!$R$3:$BH$26,MATCH($B215,'Team forecast'!$B$3:$B$26,0),MATCH(BZ$1,'Team forecast'!$R$2:$BH$2,0))*($BX215-(BY215+CH215)*0.01)</f>
        <v>32100.235666829652</v>
      </c>
      <c r="CA215" s="5">
        <f>INDEX('Team forecast'!$R$3:$BH$26,MATCH($B215,'Team forecast'!$B$3:$B$26,0),MATCH(CA$1,'Team forecast'!$R$2:$BH$2,0))*($BX215-(BY215+BX215+CH215)*0.01)</f>
        <v>15702.887484858698</v>
      </c>
      <c r="CB215" s="5">
        <f>INDEX('Team forecast'!$R$3:$BH$26,MATCH($B215,'Team forecast'!$B$3:$B$26,0),MATCH(CB$1,'Team forecast'!$R$2:$BH$2,0))*($BX215-(BY215+BX215*2+CH215)*0.01)</f>
        <v>7674.8166320093169</v>
      </c>
      <c r="CC215" s="5">
        <f>INDEX('Team forecast'!$R$3:$BH$26,MATCH($B215,'Team forecast'!$B$3:$B$26,0),MATCH(CC$1,'Team forecast'!$R$2:$BH$2,0))*($BX215-(BY215+BX215*3+CH215)*0.01)</f>
        <v>3744.022026239742</v>
      </c>
      <c r="CD215" s="5">
        <f>+AK215+BD215*Cockpit!$C$3+BW215*Cockpit!$C$3^2+BZ215*Cockpit!$C$3^3+CA215*Cockpit!$C$3^4+CB215*Cockpit!$C$3^5+CC215*Cockpit!$C$3^6</f>
        <v>155177.90765006412</v>
      </c>
      <c r="CE215" s="5"/>
      <c r="CF215" s="5"/>
      <c r="CG215" s="5">
        <v>0</v>
      </c>
      <c r="CH215" s="5">
        <f t="shared" si="130"/>
        <v>3500000</v>
      </c>
      <c r="CI215" s="5">
        <f t="shared" si="131"/>
        <v>3500000</v>
      </c>
      <c r="CJ215" s="1">
        <f t="shared" si="132"/>
        <v>6.0267980753039775E-2</v>
      </c>
      <c r="CK215" s="5">
        <f>RANK(BY215,$BY$2:$BY$623)+COUNTIF($BY$2:$BY215,$BY215)-1</f>
        <v>44</v>
      </c>
      <c r="CL215" s="5">
        <f>RANK(CJ215,$CJ$2:$CJ$623)+COUNTIF($CJ$2:$CJ215,$CJ215)-1</f>
        <v>13</v>
      </c>
    </row>
    <row r="216" spans="1:90">
      <c r="A216" t="str">
        <f>Players!P217</f>
        <v>Denzel Dumfries</v>
      </c>
      <c r="B216" t="str">
        <f>Players!G217</f>
        <v>Netherlands</v>
      </c>
      <c r="C216" t="str">
        <f>Players!AB217</f>
        <v>Defense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3500000</v>
      </c>
      <c r="H216" s="16">
        <f>INDEX('Team forecast'!$B$2:$AO$26,MATCH('Master data'!$B216,'Team forecast'!$B$2:$B$26,0),MATCH('Master data'!H$1,'Team forecast'!$B$2:$AO$2,0))</f>
        <v>1.5712166996139025</v>
      </c>
      <c r="I216" s="16">
        <f>INDEX('Team forecast'!$B$2:$AO$26,MATCH('Master data'!$B216,'Team forecast'!$B$2:$B$26,0),MATCH('Master data'!I$1,'Team forecast'!$B$2:$AO$2,0))</f>
        <v>0.76028648339757388</v>
      </c>
      <c r="J216" s="16">
        <f>INDEX('Team forecast'!$B$2:$AO$26,MATCH('Master data'!$B216,'Team forecast'!$B$2:$B$26,0),MATCH('Master data'!J$1,'Team forecast'!$B$2:$AO$2,0))</f>
        <v>0.46753246753246752</v>
      </c>
      <c r="K216" s="16">
        <f>INDEX('Team forecast'!$B$2:$AO$26,MATCH('Master data'!$B216,'Team forecast'!$B$2:$B$26,0),MATCH('Master data'!K$1,'Team forecast'!$B$2:$AO$2,0))</f>
        <v>4.4640175390899657</v>
      </c>
      <c r="L216" s="16">
        <f>INDEX('Team forecast'!$B$2:$AO$26,MATCH('Master data'!$B216,'Team forecast'!$B$2:$B$26,0),MATCH('Master data'!L$1,'Team forecast'!$B$2:$AO$2,0))</f>
        <v>2.4958899707496114</v>
      </c>
      <c r="M216">
        <f>IF(Players!BC217=1,95,0)</f>
        <v>95</v>
      </c>
      <c r="N216" s="2">
        <f>Players!BN217</f>
        <v>2.6183484361011269E-2</v>
      </c>
      <c r="O216" s="2">
        <f>Players!BO217</f>
        <v>2.671375761960906E-2</v>
      </c>
      <c r="P216" s="2">
        <f>Players!BP217</f>
        <v>2.1015425616624343E-2</v>
      </c>
      <c r="Q216" s="2">
        <f>Players!BQ217</f>
        <v>6.32688927943761E-2</v>
      </c>
      <c r="R216" s="2">
        <f>Players!BR217</f>
        <v>0</v>
      </c>
      <c r="S216" s="2">
        <f t="shared" si="91"/>
        <v>1.5712166996139025</v>
      </c>
      <c r="T216" s="2">
        <f t="shared" si="92"/>
        <v>0.76028648339757388</v>
      </c>
      <c r="U216" s="16">
        <f>INDEX('Team forecast'!$B$2:$AO$26,MATCH('Master data'!$B216,'Team forecast'!$B$2:$B$26,0),MATCH('Master data'!U$1,'Team forecast'!$B$2:$AO$2,0))</f>
        <v>0.58441558441558439</v>
      </c>
      <c r="V216" s="16">
        <f>INDEX('Team forecast'!$B$2:$AO$26,MATCH('Master data'!$B216,'Team forecast'!$B$2:$B$26,0),MATCH('Master data'!V$1,'Team forecast'!$B$2:$AO$2,0))</f>
        <v>0.25974025974025972</v>
      </c>
      <c r="W216" s="16">
        <f>INDEX('Team forecast'!$B$2:$AO$26,MATCH('Master data'!$B216,'Team forecast'!$B$2:$B$26,0),MATCH('Master data'!W$1,'Team forecast'!$B$2:$AO$2,0))</f>
        <v>0.15584415584415581</v>
      </c>
      <c r="X216" s="5">
        <f t="shared" si="93"/>
        <v>7000</v>
      </c>
      <c r="Y216" s="5">
        <f t="shared" si="94"/>
        <v>14610.38961038961</v>
      </c>
      <c r="Z216" s="5">
        <f t="shared" si="95"/>
        <v>1298.7012987012986</v>
      </c>
      <c r="AA216" s="5">
        <f t="shared" si="96"/>
        <v>-2337.662337662337</v>
      </c>
      <c r="AB216" s="5">
        <f t="shared" si="97"/>
        <v>6170.9891823150538</v>
      </c>
      <c r="AC216" s="5">
        <f t="shared" si="98"/>
        <v>2098.6551040683944</v>
      </c>
      <c r="AD216" s="5">
        <f t="shared" si="99"/>
        <v>938.13228544051617</v>
      </c>
      <c r="AE216" s="5">
        <f t="shared" si="100"/>
        <v>23376.623376623374</v>
      </c>
      <c r="AF216" s="5">
        <f t="shared" si="101"/>
        <v>0</v>
      </c>
      <c r="AG216" s="5">
        <f t="shared" si="102"/>
        <v>-1265.3778558875219</v>
      </c>
      <c r="AH216" s="5">
        <f t="shared" si="103"/>
        <v>0</v>
      </c>
      <c r="AI216" s="5">
        <f t="shared" si="104"/>
        <v>15712.166996139025</v>
      </c>
      <c r="AJ216" s="5">
        <f t="shared" si="105"/>
        <v>-6082.291867180591</v>
      </c>
      <c r="AK216" s="5">
        <f>IFERROR(SUM(X216:AJ216),-5000)*((Cockpit!$C$3)^0)</f>
        <v>61520.325792946831</v>
      </c>
      <c r="AL216" s="16">
        <f>INDEX('Team forecast'!$B$2:$AO$26,MATCH('Master data'!$B216,'Team forecast'!$B$2:$B$26,0),MATCH('Master data'!AL$1,'Team forecast'!$B$2:$AO$2,0))</f>
        <v>1.8476112368050062</v>
      </c>
      <c r="AM216" s="16">
        <f>INDEX('Team forecast'!$B$2:$AO$26,MATCH('Master data'!$B216,'Team forecast'!$B$2:$B$26,0),MATCH('Master data'!AM$1,'Team forecast'!$B$2:$AO$2,0))</f>
        <v>0.7977891123063281</v>
      </c>
      <c r="AN216" s="16">
        <f>INDEX('Team forecast'!$B$2:$AO$26,MATCH('Master data'!$B216,'Team forecast'!$B$2:$B$26,0),MATCH('Master data'!AN$1,'Team forecast'!$B$2:$AO$2,0))</f>
        <v>0.45032347896962183</v>
      </c>
      <c r="AO216" s="16">
        <f>INDEX('Team forecast'!$B$2:$AO$26,MATCH('Master data'!$B216,'Team forecast'!$B$2:$B$26,0),MATCH('Master data'!AO$1,'Team forecast'!$B$2:$AO$2,0))</f>
        <v>5.2492879998945963</v>
      </c>
      <c r="AP216" s="16">
        <f>INDEX('Team forecast'!$B$2:$AO$26,MATCH('Master data'!$B216,'Team forecast'!$B$2:$B$26,0),MATCH('Master data'!AP$1,'Team forecast'!$B$2:$AO$2,0))</f>
        <v>2.6190046616116831</v>
      </c>
      <c r="AQ216" s="5">
        <f t="shared" si="106"/>
        <v>7000</v>
      </c>
      <c r="AR216" s="5">
        <f>INDEX('Team forecast'!$B$2:$AO$26,MATCH('Master data'!$B216,'Team forecast'!$B$2:$B$26,0),MATCH('Master data'!AR$1,'Team forecast'!$B$2:$AO$2,0))*IF(X216&gt;0,25000,0)</f>
        <v>15452.276239153689</v>
      </c>
      <c r="AS216" s="16">
        <f>INDEX('Team forecast'!$B$2:$AO$26,MATCH('Master data'!$B216,'Team forecast'!$B$2:$B$26,0),MATCH('Master data'!AS$1,'Team forecast'!$B$2:$AO$2,0))*IF(X216&gt;0,5000,0)</f>
        <v>1182.0991322952575</v>
      </c>
      <c r="AT216" s="16">
        <f>INDEX('Team forecast'!$B$2:$AO$26,MATCH('Master data'!$B216,'Team forecast'!$B$2:$B$26,0),MATCH('Master data'!AT$1,'Team forecast'!$B$2:$AO$2,0))*IF(X216&gt;0,-15000,0)</f>
        <v>-2182.3368596220134</v>
      </c>
      <c r="AU216" s="5">
        <f t="shared" si="107"/>
        <v>7256.5349886168851</v>
      </c>
      <c r="AV216" s="5">
        <f t="shared" si="108"/>
        <v>2467.8319377637526</v>
      </c>
      <c r="AW216" s="5">
        <f t="shared" si="109"/>
        <v>1103.1602150202366</v>
      </c>
      <c r="AX216" s="5">
        <f t="shared" si="110"/>
        <v>22516.17394848109</v>
      </c>
      <c r="AY216" s="5">
        <f t="shared" si="111"/>
        <v>0</v>
      </c>
      <c r="AZ216" s="5">
        <f t="shared" si="112"/>
        <v>-1265.3778558875219</v>
      </c>
      <c r="BA216" s="5">
        <f t="shared" si="113"/>
        <v>0</v>
      </c>
      <c r="BB216" s="5">
        <f t="shared" si="114"/>
        <v>18476.11236805006</v>
      </c>
      <c r="BC216" s="5">
        <f t="shared" si="115"/>
        <v>-6382.3128984506247</v>
      </c>
      <c r="BD216" s="5">
        <f t="shared" si="116"/>
        <v>65624.161215420812</v>
      </c>
      <c r="BE216" s="16">
        <f>INDEX('Team forecast'!$B$2:$AO$26,MATCH('Master data'!$B216,'Team forecast'!$B$2:$B$26,0),MATCH('Master data'!BE$1,'Team forecast'!$B$2:$AO$2,0))</f>
        <v>2.3683451623921505</v>
      </c>
      <c r="BF216" s="16">
        <f>INDEX('Team forecast'!$B$2:$AO$26,MATCH('Master data'!$B216,'Team forecast'!$B$2:$B$26,0),MATCH('Master data'!BF$1,'Team forecast'!$B$2:$AO$2,0))</f>
        <v>0.49102780480244929</v>
      </c>
      <c r="BG216" s="16">
        <f>INDEX('Team forecast'!$B$2:$AO$26,MATCH('Master data'!$B216,'Team forecast'!$B$2:$B$26,0),MATCH('Master data'!BG$1,'Team forecast'!$B$2:$AO$2,0))</f>
        <v>0.61199705730750009</v>
      </c>
      <c r="BH216" s="16">
        <f>INDEX('Team forecast'!$B$2:$AO$26,MATCH('Master data'!$B216,'Team forecast'!$B$2:$B$26,0),MATCH('Master data'!BH$1,'Team forecast'!$B$2:$AO$2,0))</f>
        <v>6.7287563492262965</v>
      </c>
      <c r="BI216" s="16">
        <f>INDEX('Team forecast'!$B$2:$AO$26,MATCH('Master data'!$B216,'Team forecast'!$B$2:$B$26,0),MATCH('Master data'!BI$1,'Team forecast'!$B$2:$AO$2,0))</f>
        <v>1.6119599652605658</v>
      </c>
      <c r="BJ216" s="5">
        <f t="shared" si="117"/>
        <v>7000</v>
      </c>
      <c r="BK216" s="5">
        <f>INDEX('Team forecast'!$R$3:$BH$26,MATCH($B216,'Team forecast'!$B$3:$B$26,0),MATCH(BK$1,'Team forecast'!$R$2:$BH$2,0))*IF($X216&gt;0,25000,0)</f>
        <v>19838.040205094814</v>
      </c>
      <c r="BL216" s="5">
        <f>INDEX('Team forecast'!$R$3:$BH$26,MATCH($B216,'Team forecast'!$B$3:$B$26,0),MATCH(BL$1,'Team forecast'!$R$2:$BH$2,0))*IF($X216&gt;0,5000,0)</f>
        <v>720.27345975421156</v>
      </c>
      <c r="BM216" s="5">
        <f>INDEX('Team forecast'!$R$3:$BH$26,MATCH($B216,'Team forecast'!$B$3:$B$26,0),MATCH(BM$1,'Team forecast'!$R$2:$BH$2,0))*IF($X216&gt;0,-15000,0)</f>
        <v>-936.3554976804752</v>
      </c>
      <c r="BN216" s="5">
        <f t="shared" si="118"/>
        <v>9301.7292781457345</v>
      </c>
      <c r="BO216" s="5">
        <f t="shared" si="119"/>
        <v>3163.3699313858783</v>
      </c>
      <c r="BP216" s="5">
        <f t="shared" si="120"/>
        <v>1414.07678549554</v>
      </c>
      <c r="BQ216" s="5">
        <f t="shared" si="121"/>
        <v>30599.852865375004</v>
      </c>
      <c r="BR216" s="5">
        <f t="shared" si="122"/>
        <v>0</v>
      </c>
      <c r="BS216" s="5">
        <f t="shared" si="123"/>
        <v>-1265.3778558875219</v>
      </c>
      <c r="BT216" s="5">
        <f t="shared" si="124"/>
        <v>0</v>
      </c>
      <c r="BU216" s="5">
        <f t="shared" si="125"/>
        <v>23683.451623921505</v>
      </c>
      <c r="BV216" s="5">
        <f t="shared" si="126"/>
        <v>-3928.2224384195943</v>
      </c>
      <c r="BW216" s="5">
        <f t="shared" si="127"/>
        <v>89590.838357185101</v>
      </c>
      <c r="BX216" s="5">
        <f t="shared" si="128"/>
        <v>72245.10845518425</v>
      </c>
      <c r="BY216" s="5">
        <f t="shared" si="129"/>
        <v>216735.32536555274</v>
      </c>
      <c r="BZ216" s="5">
        <f>INDEX('Team forecast'!$R$3:$BH$26,MATCH($B216,'Team forecast'!$B$3:$B$26,0),MATCH(BZ$1,'Team forecast'!$R$2:$BH$2,0))*($BX216-(BY216+CH216)*0.01)</f>
        <v>33912.454468396885</v>
      </c>
      <c r="CA216" s="5">
        <f>INDEX('Team forecast'!$R$3:$BH$26,MATCH($B216,'Team forecast'!$B$3:$B$26,0),MATCH(CA$1,'Team forecast'!$R$2:$BH$2,0))*($BX216-(BY216+BX216+CH216)*0.01)</f>
        <v>16599.236215452802</v>
      </c>
      <c r="CB216" s="5">
        <f>INDEX('Team forecast'!$R$3:$BH$26,MATCH($B216,'Team forecast'!$B$3:$B$26,0),MATCH(CB$1,'Team forecast'!$R$2:$BH$2,0))*($BX216-(BY216+BX216*2+CH216)*0.01)</f>
        <v>8117.931956145535</v>
      </c>
      <c r="CC216" s="5">
        <f>INDEX('Team forecast'!$R$3:$BH$26,MATCH($B216,'Team forecast'!$B$3:$B$26,0),MATCH(CC$1,'Team forecast'!$R$2:$BH$2,0))*($BX216-(BY216+BX216*3+CH216)*0.01)</f>
        <v>3962.7491890898209</v>
      </c>
      <c r="CD216" s="5">
        <f>+AK216+BD216*Cockpit!$C$3+BW216*Cockpit!$C$3^2+BZ216*Cockpit!$C$3^3+CA216*Cockpit!$C$3^4+CB216*Cockpit!$C$3^5+CC216*Cockpit!$C$3^6</f>
        <v>159831.83686909653</v>
      </c>
      <c r="CE216" s="5"/>
      <c r="CF216" s="5"/>
      <c r="CG216" s="5">
        <v>0</v>
      </c>
      <c r="CH216" s="5">
        <f t="shared" si="130"/>
        <v>3500000</v>
      </c>
      <c r="CI216" s="5">
        <f t="shared" si="131"/>
        <v>3500000</v>
      </c>
      <c r="CJ216" s="1">
        <f t="shared" si="132"/>
        <v>6.1924378675872208E-2</v>
      </c>
      <c r="CK216" s="5">
        <f>RANK(BY216,$BY$2:$BY$623)+COUNTIF($BY$2:$BY216,$BY216)-1</f>
        <v>41</v>
      </c>
      <c r="CL216" s="5">
        <f>RANK(CJ216,$CJ$2:$CJ$623)+COUNTIF($CJ$2:$CJ216,$CJ216)-1</f>
        <v>10</v>
      </c>
    </row>
    <row r="217" spans="1:90">
      <c r="A217" t="str">
        <f>Players!P218</f>
        <v>Teun Koopmeiners</v>
      </c>
      <c r="B217" t="str">
        <f>Players!G218</f>
        <v>Netherlands</v>
      </c>
      <c r="C217" t="str">
        <f>Players!AB218</f>
        <v>Midfield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2500000</v>
      </c>
      <c r="H217" s="16">
        <f>INDEX('Team forecast'!$B$2:$AO$26,MATCH('Master data'!$B217,'Team forecast'!$B$2:$B$26,0),MATCH('Master data'!H$1,'Team forecast'!$B$2:$AO$2,0))</f>
        <v>1.5712166996139025</v>
      </c>
      <c r="I217" s="16">
        <f>INDEX('Team forecast'!$B$2:$AO$26,MATCH('Master data'!$B217,'Team forecast'!$B$2:$B$26,0),MATCH('Master data'!I$1,'Team forecast'!$B$2:$AO$2,0))</f>
        <v>0.76028648339757388</v>
      </c>
      <c r="J217" s="16">
        <f>INDEX('Team forecast'!$B$2:$AO$26,MATCH('Master data'!$B217,'Team forecast'!$B$2:$B$26,0),MATCH('Master data'!J$1,'Team forecast'!$B$2:$AO$2,0))</f>
        <v>0.46753246753246752</v>
      </c>
      <c r="K217" s="16">
        <f>INDEX('Team forecast'!$B$2:$AO$26,MATCH('Master data'!$B217,'Team forecast'!$B$2:$B$26,0),MATCH('Master data'!K$1,'Team forecast'!$B$2:$AO$2,0))</f>
        <v>4.4640175390899657</v>
      </c>
      <c r="L217" s="16">
        <f>INDEX('Team forecast'!$B$2:$AO$26,MATCH('Master data'!$B217,'Team forecast'!$B$2:$B$26,0),MATCH('Master data'!L$1,'Team forecast'!$B$2:$AO$2,0))</f>
        <v>2.4958899707496114</v>
      </c>
      <c r="M217">
        <f>IF(Players!BC218=1,95,0)</f>
        <v>0</v>
      </c>
      <c r="N217" s="2">
        <f>Players!BN218</f>
        <v>0</v>
      </c>
      <c r="O217" s="2">
        <f>Players!BO218</f>
        <v>0</v>
      </c>
      <c r="P217" s="2">
        <f>Players!BP218</f>
        <v>0</v>
      </c>
      <c r="Q217" s="2">
        <f>Players!BQ218</f>
        <v>8.0405002977963075E-2</v>
      </c>
      <c r="R217" s="2">
        <f>Players!BR218</f>
        <v>0</v>
      </c>
      <c r="S217" s="2">
        <f t="shared" si="91"/>
        <v>1.5712166996139025</v>
      </c>
      <c r="T217" s="2">
        <f t="shared" si="92"/>
        <v>0.76028648339757388</v>
      </c>
      <c r="U217" s="16">
        <f>INDEX('Team forecast'!$B$2:$AO$26,MATCH('Master data'!$B217,'Team forecast'!$B$2:$B$26,0),MATCH('Master data'!U$1,'Team forecast'!$B$2:$AO$2,0))</f>
        <v>0.58441558441558439</v>
      </c>
      <c r="V217" s="16">
        <f>INDEX('Team forecast'!$B$2:$AO$26,MATCH('Master data'!$B217,'Team forecast'!$B$2:$B$26,0),MATCH('Master data'!V$1,'Team forecast'!$B$2:$AO$2,0))</f>
        <v>0.25974025974025972</v>
      </c>
      <c r="W217" s="16">
        <f>INDEX('Team forecast'!$B$2:$AO$26,MATCH('Master data'!$B217,'Team forecast'!$B$2:$B$26,0),MATCH('Master data'!W$1,'Team forecast'!$B$2:$AO$2,0))</f>
        <v>0.15584415584415581</v>
      </c>
      <c r="X217" s="5">
        <f t="shared" si="93"/>
        <v>-5000</v>
      </c>
      <c r="Y217" s="5">
        <f t="shared" si="94"/>
        <v>0</v>
      </c>
      <c r="Z217" s="5">
        <f t="shared" si="95"/>
        <v>0</v>
      </c>
      <c r="AA217" s="5">
        <f t="shared" si="96"/>
        <v>0</v>
      </c>
      <c r="AB217" s="5">
        <f t="shared" si="97"/>
        <v>0</v>
      </c>
      <c r="AC217" s="5">
        <f t="shared" si="98"/>
        <v>0</v>
      </c>
      <c r="AD217" s="5">
        <f t="shared" si="99"/>
        <v>0</v>
      </c>
      <c r="AE217" s="5">
        <f t="shared" si="100"/>
        <v>0</v>
      </c>
      <c r="AF217" s="5">
        <f t="shared" si="101"/>
        <v>0</v>
      </c>
      <c r="AG217" s="5">
        <f t="shared" si="102"/>
        <v>0</v>
      </c>
      <c r="AH217" s="5">
        <f t="shared" si="103"/>
        <v>0</v>
      </c>
      <c r="AI217" s="5">
        <f t="shared" si="104"/>
        <v>0</v>
      </c>
      <c r="AJ217" s="5">
        <f t="shared" si="105"/>
        <v>0</v>
      </c>
      <c r="AK217" s="5">
        <f>IFERROR(SUM(X217:AJ217),-5000)*((Cockpit!$C$3)^0)</f>
        <v>-5000</v>
      </c>
      <c r="AL217" s="16">
        <f>INDEX('Team forecast'!$B$2:$AO$26,MATCH('Master data'!$B217,'Team forecast'!$B$2:$B$26,0),MATCH('Master data'!AL$1,'Team forecast'!$B$2:$AO$2,0))</f>
        <v>1.8476112368050062</v>
      </c>
      <c r="AM217" s="16">
        <f>INDEX('Team forecast'!$B$2:$AO$26,MATCH('Master data'!$B217,'Team forecast'!$B$2:$B$26,0),MATCH('Master data'!AM$1,'Team forecast'!$B$2:$AO$2,0))</f>
        <v>0.7977891123063281</v>
      </c>
      <c r="AN217" s="16">
        <f>INDEX('Team forecast'!$B$2:$AO$26,MATCH('Master data'!$B217,'Team forecast'!$B$2:$B$26,0),MATCH('Master data'!AN$1,'Team forecast'!$B$2:$AO$2,0))</f>
        <v>0.45032347896962183</v>
      </c>
      <c r="AO217" s="16">
        <f>INDEX('Team forecast'!$B$2:$AO$26,MATCH('Master data'!$B217,'Team forecast'!$B$2:$B$26,0),MATCH('Master data'!AO$1,'Team forecast'!$B$2:$AO$2,0))</f>
        <v>5.2492879998945963</v>
      </c>
      <c r="AP217" s="16">
        <f>INDEX('Team forecast'!$B$2:$AO$26,MATCH('Master data'!$B217,'Team forecast'!$B$2:$B$26,0),MATCH('Master data'!AP$1,'Team forecast'!$B$2:$AO$2,0))</f>
        <v>2.6190046616116831</v>
      </c>
      <c r="AQ217" s="5">
        <f t="shared" si="106"/>
        <v>-5000</v>
      </c>
      <c r="AR217" s="5">
        <f>INDEX('Team forecast'!$B$2:$AO$26,MATCH('Master data'!$B217,'Team forecast'!$B$2:$B$26,0),MATCH('Master data'!AR$1,'Team forecast'!$B$2:$AO$2,0))*IF(X217&gt;0,25000,0)</f>
        <v>0</v>
      </c>
      <c r="AS217" s="16">
        <f>INDEX('Team forecast'!$B$2:$AO$26,MATCH('Master data'!$B217,'Team forecast'!$B$2:$B$26,0),MATCH('Master data'!AS$1,'Team forecast'!$B$2:$AO$2,0))*IF(X217&gt;0,5000,0)</f>
        <v>0</v>
      </c>
      <c r="AT217" s="16">
        <f>INDEX('Team forecast'!$B$2:$AO$26,MATCH('Master data'!$B217,'Team forecast'!$B$2:$B$26,0),MATCH('Master data'!AT$1,'Team forecast'!$B$2:$AO$2,0))*IF(X217&gt;0,-15000,0)</f>
        <v>0</v>
      </c>
      <c r="AU217" s="5">
        <f t="shared" si="107"/>
        <v>0</v>
      </c>
      <c r="AV217" s="5">
        <f t="shared" si="108"/>
        <v>0</v>
      </c>
      <c r="AW217" s="5">
        <f t="shared" si="109"/>
        <v>0</v>
      </c>
      <c r="AX217" s="5">
        <f t="shared" si="110"/>
        <v>0</v>
      </c>
      <c r="AY217" s="5">
        <f t="shared" si="111"/>
        <v>0</v>
      </c>
      <c r="AZ217" s="5">
        <f t="shared" si="112"/>
        <v>0</v>
      </c>
      <c r="BA217" s="5">
        <f t="shared" si="113"/>
        <v>0</v>
      </c>
      <c r="BB217" s="5">
        <f t="shared" si="114"/>
        <v>0</v>
      </c>
      <c r="BC217" s="5">
        <f t="shared" si="115"/>
        <v>0</v>
      </c>
      <c r="BD217" s="5">
        <f t="shared" si="116"/>
        <v>-5000</v>
      </c>
      <c r="BE217" s="16">
        <f>INDEX('Team forecast'!$B$2:$AO$26,MATCH('Master data'!$B217,'Team forecast'!$B$2:$B$26,0),MATCH('Master data'!BE$1,'Team forecast'!$B$2:$AO$2,0))</f>
        <v>2.3683451623921505</v>
      </c>
      <c r="BF217" s="16">
        <f>INDEX('Team forecast'!$B$2:$AO$26,MATCH('Master data'!$B217,'Team forecast'!$B$2:$B$26,0),MATCH('Master data'!BF$1,'Team forecast'!$B$2:$AO$2,0))</f>
        <v>0.49102780480244929</v>
      </c>
      <c r="BG217" s="16">
        <f>INDEX('Team forecast'!$B$2:$AO$26,MATCH('Master data'!$B217,'Team forecast'!$B$2:$B$26,0),MATCH('Master data'!BG$1,'Team forecast'!$B$2:$AO$2,0))</f>
        <v>0.61199705730750009</v>
      </c>
      <c r="BH217" s="16">
        <f>INDEX('Team forecast'!$B$2:$AO$26,MATCH('Master data'!$B217,'Team forecast'!$B$2:$B$26,0),MATCH('Master data'!BH$1,'Team forecast'!$B$2:$AO$2,0))</f>
        <v>6.7287563492262965</v>
      </c>
      <c r="BI217" s="16">
        <f>INDEX('Team forecast'!$B$2:$AO$26,MATCH('Master data'!$B217,'Team forecast'!$B$2:$B$26,0),MATCH('Master data'!BI$1,'Team forecast'!$B$2:$AO$2,0))</f>
        <v>1.6119599652605658</v>
      </c>
      <c r="BJ217" s="5">
        <f t="shared" si="117"/>
        <v>-5000</v>
      </c>
      <c r="BK217" s="5">
        <f>INDEX('Team forecast'!$R$3:$BH$26,MATCH($B217,'Team forecast'!$B$3:$B$26,0),MATCH(BK$1,'Team forecast'!$R$2:$BH$2,0))*IF($X217&gt;0,25000,0)</f>
        <v>0</v>
      </c>
      <c r="BL217" s="5">
        <f>INDEX('Team forecast'!$R$3:$BH$26,MATCH($B217,'Team forecast'!$B$3:$B$26,0),MATCH(BL$1,'Team forecast'!$R$2:$BH$2,0))*IF($X217&gt;0,5000,0)</f>
        <v>0</v>
      </c>
      <c r="BM217" s="5">
        <f>INDEX('Team forecast'!$R$3:$BH$26,MATCH($B217,'Team forecast'!$B$3:$B$26,0),MATCH(BM$1,'Team forecast'!$R$2:$BH$2,0))*IF($X217&gt;0,-15000,0)</f>
        <v>0</v>
      </c>
      <c r="BN217" s="5">
        <f t="shared" si="118"/>
        <v>0</v>
      </c>
      <c r="BO217" s="5">
        <f t="shared" si="119"/>
        <v>0</v>
      </c>
      <c r="BP217" s="5">
        <f t="shared" si="120"/>
        <v>0</v>
      </c>
      <c r="BQ217" s="5">
        <f t="shared" si="121"/>
        <v>0</v>
      </c>
      <c r="BR217" s="5">
        <f t="shared" si="122"/>
        <v>0</v>
      </c>
      <c r="BS217" s="5">
        <f t="shared" si="123"/>
        <v>0</v>
      </c>
      <c r="BT217" s="5">
        <f t="shared" si="124"/>
        <v>0</v>
      </c>
      <c r="BU217" s="5">
        <f t="shared" si="125"/>
        <v>0</v>
      </c>
      <c r="BV217" s="5">
        <f t="shared" si="126"/>
        <v>0</v>
      </c>
      <c r="BW217" s="5">
        <f t="shared" si="127"/>
        <v>-5000</v>
      </c>
      <c r="BX217" s="5">
        <f t="shared" si="128"/>
        <v>-5000</v>
      </c>
      <c r="BY217" s="5">
        <f t="shared" si="129"/>
        <v>-15000</v>
      </c>
      <c r="BZ217" s="5">
        <f>INDEX('Team forecast'!$R$3:$BH$26,MATCH($B217,'Team forecast'!$B$3:$B$26,0),MATCH(BZ$1,'Team forecast'!$R$2:$BH$2,0))*($BX217-(BY217+CH217)*0.01)</f>
        <v>-28858.367933348556</v>
      </c>
      <c r="CA217" s="5">
        <f>INDEX('Team forecast'!$R$3:$BH$26,MATCH($B217,'Team forecast'!$B$3:$B$26,0),MATCH(CA$1,'Team forecast'!$R$2:$BH$2,0))*($BX217-(BY217+BX217+CH217)*0.01)</f>
        <v>-14398.278575448723</v>
      </c>
      <c r="CB217" s="5">
        <f>INDEX('Team forecast'!$R$3:$BH$26,MATCH($B217,'Team forecast'!$B$3:$B$26,0),MATCH(CB$1,'Team forecast'!$R$2:$BH$2,0))*($BX217-(BY217+BX217*2+CH217)*0.01)</f>
        <v>-7180.731157790693</v>
      </c>
      <c r="CC217" s="5">
        <f>INDEX('Team forecast'!$R$3:$BH$26,MATCH($B217,'Team forecast'!$B$3:$B$26,0),MATCH(CC$1,'Team forecast'!$R$2:$BH$2,0))*($BX217-(BY217+BX217*3+CH217)*0.01)</f>
        <v>-3576.1839403354215</v>
      </c>
      <c r="CD217" s="5">
        <f>+AK217+BD217*Cockpit!$C$3+BW217*Cockpit!$C$3^2+BZ217*Cockpit!$C$3^3+CA217*Cockpit!$C$3^4+CB217*Cockpit!$C$3^5+CC217*Cockpit!$C$3^6</f>
        <v>-23209.856724001755</v>
      </c>
      <c r="CE217" s="5"/>
      <c r="CF217" s="5"/>
      <c r="CG217" s="5">
        <v>0</v>
      </c>
      <c r="CH217" s="5">
        <f t="shared" si="130"/>
        <v>2500000</v>
      </c>
      <c r="CI217" s="5">
        <f t="shared" si="131"/>
        <v>2500000</v>
      </c>
      <c r="CJ217" s="1">
        <f t="shared" si="132"/>
        <v>-6.0000000000000001E-3</v>
      </c>
      <c r="CK217" s="5">
        <f>RANK(BY217,$BY$2:$BY$623)+COUNTIF($BY$2:$BY217,$BY217)-1</f>
        <v>485</v>
      </c>
      <c r="CL217" s="5">
        <f>RANK(CJ217,$CJ$2:$CJ$623)+COUNTIF($CJ$2:$CJ217,$CJ217)-1</f>
        <v>531</v>
      </c>
    </row>
    <row r="218" spans="1:90">
      <c r="A218" t="str">
        <f>Players!P219</f>
        <v>Wout Weghorst</v>
      </c>
      <c r="B218" t="str">
        <f>Players!G219</f>
        <v>Netherlands</v>
      </c>
      <c r="C218" t="str">
        <f>Players!AB219</f>
        <v>Striker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5000000</v>
      </c>
      <c r="H218" s="16">
        <f>INDEX('Team forecast'!$B$2:$AO$26,MATCH('Master data'!$B218,'Team forecast'!$B$2:$B$26,0),MATCH('Master data'!H$1,'Team forecast'!$B$2:$AO$2,0))</f>
        <v>1.5712166996139025</v>
      </c>
      <c r="I218" s="16">
        <f>INDEX('Team forecast'!$B$2:$AO$26,MATCH('Master data'!$B218,'Team forecast'!$B$2:$B$26,0),MATCH('Master data'!I$1,'Team forecast'!$B$2:$AO$2,0))</f>
        <v>0.76028648339757388</v>
      </c>
      <c r="J218" s="16">
        <f>INDEX('Team forecast'!$B$2:$AO$26,MATCH('Master data'!$B218,'Team forecast'!$B$2:$B$26,0),MATCH('Master data'!J$1,'Team forecast'!$B$2:$AO$2,0))</f>
        <v>0.46753246753246752</v>
      </c>
      <c r="K218" s="16">
        <f>INDEX('Team forecast'!$B$2:$AO$26,MATCH('Master data'!$B218,'Team forecast'!$B$2:$B$26,0),MATCH('Master data'!K$1,'Team forecast'!$B$2:$AO$2,0))</f>
        <v>4.4640175390899657</v>
      </c>
      <c r="L218" s="16">
        <f>INDEX('Team forecast'!$B$2:$AO$26,MATCH('Master data'!$B218,'Team forecast'!$B$2:$B$26,0),MATCH('Master data'!L$1,'Team forecast'!$B$2:$AO$2,0))</f>
        <v>2.4958899707496114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4.5809297590770279E-2</v>
      </c>
      <c r="R218" s="2">
        <f>Players!BR219</f>
        <v>0</v>
      </c>
      <c r="S218" s="2">
        <f t="shared" si="91"/>
        <v>1.5712166996139025</v>
      </c>
      <c r="T218" s="2">
        <f t="shared" si="92"/>
        <v>0.76028648339757388</v>
      </c>
      <c r="U218" s="16">
        <f>INDEX('Team forecast'!$B$2:$AO$26,MATCH('Master data'!$B218,'Team forecast'!$B$2:$B$26,0),MATCH('Master data'!U$1,'Team forecast'!$B$2:$AO$2,0))</f>
        <v>0.58441558441558439</v>
      </c>
      <c r="V218" s="16">
        <f>INDEX('Team forecast'!$B$2:$AO$26,MATCH('Master data'!$B218,'Team forecast'!$B$2:$B$26,0),MATCH('Master data'!V$1,'Team forecast'!$B$2:$AO$2,0))</f>
        <v>0.25974025974025972</v>
      </c>
      <c r="W218" s="16">
        <f>INDEX('Team forecast'!$B$2:$AO$26,MATCH('Master data'!$B218,'Team forecast'!$B$2:$B$26,0),MATCH('Master data'!W$1,'Team forecast'!$B$2:$AO$2,0))</f>
        <v>0.15584415584415581</v>
      </c>
      <c r="X218" s="5">
        <f t="shared" si="93"/>
        <v>-5000</v>
      </c>
      <c r="Y218" s="5">
        <f t="shared" si="94"/>
        <v>0</v>
      </c>
      <c r="Z218" s="5">
        <f t="shared" si="95"/>
        <v>0</v>
      </c>
      <c r="AA218" s="5">
        <f t="shared" si="96"/>
        <v>0</v>
      </c>
      <c r="AB218" s="5">
        <f t="shared" si="97"/>
        <v>0</v>
      </c>
      <c r="AC218" s="5">
        <f t="shared" si="98"/>
        <v>0</v>
      </c>
      <c r="AD218" s="5">
        <f t="shared" si="99"/>
        <v>0</v>
      </c>
      <c r="AE218" s="5">
        <f t="shared" si="100"/>
        <v>0</v>
      </c>
      <c r="AF218" s="5">
        <f t="shared" si="101"/>
        <v>0</v>
      </c>
      <c r="AG218" s="5">
        <f t="shared" si="102"/>
        <v>0</v>
      </c>
      <c r="AH218" s="5">
        <f t="shared" si="103"/>
        <v>0</v>
      </c>
      <c r="AI218" s="5">
        <f t="shared" si="104"/>
        <v>0</v>
      </c>
      <c r="AJ218" s="5">
        <f t="shared" si="105"/>
        <v>0</v>
      </c>
      <c r="AK218" s="5">
        <f>IFERROR(SUM(X218:AJ218),-5000)*((Cockpit!$C$3)^0)</f>
        <v>-5000</v>
      </c>
      <c r="AL218" s="16">
        <f>INDEX('Team forecast'!$B$2:$AO$26,MATCH('Master data'!$B218,'Team forecast'!$B$2:$B$26,0),MATCH('Master data'!AL$1,'Team forecast'!$B$2:$AO$2,0))</f>
        <v>1.8476112368050062</v>
      </c>
      <c r="AM218" s="16">
        <f>INDEX('Team forecast'!$B$2:$AO$26,MATCH('Master data'!$B218,'Team forecast'!$B$2:$B$26,0),MATCH('Master data'!AM$1,'Team forecast'!$B$2:$AO$2,0))</f>
        <v>0.7977891123063281</v>
      </c>
      <c r="AN218" s="16">
        <f>INDEX('Team forecast'!$B$2:$AO$26,MATCH('Master data'!$B218,'Team forecast'!$B$2:$B$26,0),MATCH('Master data'!AN$1,'Team forecast'!$B$2:$AO$2,0))</f>
        <v>0.45032347896962183</v>
      </c>
      <c r="AO218" s="16">
        <f>INDEX('Team forecast'!$B$2:$AO$26,MATCH('Master data'!$B218,'Team forecast'!$B$2:$B$26,0),MATCH('Master data'!AO$1,'Team forecast'!$B$2:$AO$2,0))</f>
        <v>5.2492879998945963</v>
      </c>
      <c r="AP218" s="16">
        <f>INDEX('Team forecast'!$B$2:$AO$26,MATCH('Master data'!$B218,'Team forecast'!$B$2:$B$26,0),MATCH('Master data'!AP$1,'Team forecast'!$B$2:$AO$2,0))</f>
        <v>2.6190046616116831</v>
      </c>
      <c r="AQ218" s="5">
        <f t="shared" si="106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107"/>
        <v>0</v>
      </c>
      <c r="AV218" s="5">
        <f t="shared" si="108"/>
        <v>0</v>
      </c>
      <c r="AW218" s="5">
        <f t="shared" si="109"/>
        <v>0</v>
      </c>
      <c r="AX218" s="5">
        <f t="shared" si="110"/>
        <v>0</v>
      </c>
      <c r="AY218" s="5">
        <f t="shared" si="111"/>
        <v>0</v>
      </c>
      <c r="AZ218" s="5">
        <f t="shared" si="112"/>
        <v>0</v>
      </c>
      <c r="BA218" s="5">
        <f t="shared" si="113"/>
        <v>0</v>
      </c>
      <c r="BB218" s="5">
        <f t="shared" si="114"/>
        <v>0</v>
      </c>
      <c r="BC218" s="5">
        <f t="shared" si="115"/>
        <v>0</v>
      </c>
      <c r="BD218" s="5">
        <f t="shared" si="116"/>
        <v>-5000</v>
      </c>
      <c r="BE218" s="16">
        <f>INDEX('Team forecast'!$B$2:$AO$26,MATCH('Master data'!$B218,'Team forecast'!$B$2:$B$26,0),MATCH('Master data'!BE$1,'Team forecast'!$B$2:$AO$2,0))</f>
        <v>2.3683451623921505</v>
      </c>
      <c r="BF218" s="16">
        <f>INDEX('Team forecast'!$B$2:$AO$26,MATCH('Master data'!$B218,'Team forecast'!$B$2:$B$26,0),MATCH('Master data'!BF$1,'Team forecast'!$B$2:$AO$2,0))</f>
        <v>0.49102780480244929</v>
      </c>
      <c r="BG218" s="16">
        <f>INDEX('Team forecast'!$B$2:$AO$26,MATCH('Master data'!$B218,'Team forecast'!$B$2:$B$26,0),MATCH('Master data'!BG$1,'Team forecast'!$B$2:$AO$2,0))</f>
        <v>0.61199705730750009</v>
      </c>
      <c r="BH218" s="16">
        <f>INDEX('Team forecast'!$B$2:$AO$26,MATCH('Master data'!$B218,'Team forecast'!$B$2:$B$26,0),MATCH('Master data'!BH$1,'Team forecast'!$B$2:$AO$2,0))</f>
        <v>6.7287563492262965</v>
      </c>
      <c r="BI218" s="16">
        <f>INDEX('Team forecast'!$B$2:$AO$26,MATCH('Master data'!$B218,'Team forecast'!$B$2:$B$26,0),MATCH('Master data'!BI$1,'Team forecast'!$B$2:$AO$2,0))</f>
        <v>1.6119599652605658</v>
      </c>
      <c r="BJ218" s="5">
        <f t="shared" si="117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118"/>
        <v>0</v>
      </c>
      <c r="BO218" s="5">
        <f t="shared" si="119"/>
        <v>0</v>
      </c>
      <c r="BP218" s="5">
        <f t="shared" si="120"/>
        <v>0</v>
      </c>
      <c r="BQ218" s="5">
        <f t="shared" si="121"/>
        <v>0</v>
      </c>
      <c r="BR218" s="5">
        <f t="shared" si="122"/>
        <v>0</v>
      </c>
      <c r="BS218" s="5">
        <f t="shared" si="123"/>
        <v>0</v>
      </c>
      <c r="BT218" s="5">
        <f t="shared" si="124"/>
        <v>0</v>
      </c>
      <c r="BU218" s="5">
        <f t="shared" si="125"/>
        <v>0</v>
      </c>
      <c r="BV218" s="5">
        <f t="shared" si="126"/>
        <v>0</v>
      </c>
      <c r="BW218" s="5">
        <f t="shared" si="127"/>
        <v>-5000</v>
      </c>
      <c r="BX218" s="5">
        <f t="shared" si="128"/>
        <v>-5000</v>
      </c>
      <c r="BY218" s="5">
        <f t="shared" si="129"/>
        <v>-15000</v>
      </c>
      <c r="BZ218" s="5">
        <f>INDEX('Team forecast'!$R$3:$BH$26,MATCH($B218,'Team forecast'!$B$3:$B$26,0),MATCH(BZ$1,'Team forecast'!$R$2:$BH$2,0))*($BX218-(BY218+CH218)*0.01)</f>
        <v>-53027.855314712506</v>
      </c>
      <c r="CA218" s="5">
        <f>INDEX('Team forecast'!$R$3:$BH$26,MATCH($B218,'Team forecast'!$B$3:$B$26,0),MATCH(CA$1,'Team forecast'!$R$2:$BH$2,0))*($BX218-(BY218+BX218+CH218)*0.01)</f>
        <v>-26477.371340086916</v>
      </c>
      <c r="CB218" s="5">
        <f>INDEX('Team forecast'!$R$3:$BH$26,MATCH($B218,'Team forecast'!$B$3:$B$26,0),MATCH(CB$1,'Team forecast'!$R$2:$BH$2,0))*($BX218-(BY218+BX218*2+CH218)*0.01)</f>
        <v>-13214.95902148035</v>
      </c>
      <c r="CC218" s="5">
        <f>INDEX('Team forecast'!$R$3:$BH$26,MATCH($B218,'Team forecast'!$B$3:$B$26,0),MATCH(CC$1,'Team forecast'!$R$2:$BH$2,0))*($BX218-(BY218+BX218*3+CH218)*0.01)</f>
        <v>-6586.439782368604</v>
      </c>
      <c r="CD218" s="5">
        <f>+AK218+BD218*Cockpit!$C$3+BW218*Cockpit!$C$3^2+BZ218*Cockpit!$C$3^3+CA218*Cockpit!$C$3^4+CB218*Cockpit!$C$3^5+CC218*Cockpit!$C$3^6</f>
        <v>-33816.085642090693</v>
      </c>
      <c r="CE218" s="5"/>
      <c r="CF218" s="5"/>
      <c r="CG218" s="5">
        <v>0</v>
      </c>
      <c r="CH218" s="5">
        <f t="shared" si="130"/>
        <v>5000000</v>
      </c>
      <c r="CI218" s="5">
        <f t="shared" si="131"/>
        <v>5000000</v>
      </c>
      <c r="CJ218" s="1">
        <f t="shared" si="132"/>
        <v>-3.0000000000000001E-3</v>
      </c>
      <c r="CK218" s="5">
        <f>RANK(BY218,$BY$2:$BY$623)+COUNTIF($BY$2:$BY218,$BY218)-1</f>
        <v>486</v>
      </c>
      <c r="CL218" s="5">
        <f>RANK(CJ218,$CJ$2:$CJ$623)+COUNTIF($CJ$2:$CJ218,$CJ218)-1</f>
        <v>428</v>
      </c>
    </row>
    <row r="219" spans="1:90">
      <c r="A219" t="str">
        <f>Players!P220</f>
        <v>Robin Gosens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5000000</v>
      </c>
      <c r="H219" s="16">
        <f>INDEX('Team forecast'!$B$2:$AO$26,MATCH('Master data'!$B219,'Team forecast'!$B$2:$B$26,0),MATCH('Master data'!H$1,'Team forecast'!$B$2:$AO$2,0))</f>
        <v>1.2386203137003762</v>
      </c>
      <c r="I219" s="16">
        <f>INDEX('Team forecast'!$B$2:$AO$26,MATCH('Master data'!$B219,'Team forecast'!$B$2:$B$26,0),MATCH('Master data'!I$1,'Team forecast'!$B$2:$AO$2,0))</f>
        <v>1.2386203137003762</v>
      </c>
      <c r="J219" s="16">
        <f>INDEX('Team forecast'!$B$2:$AO$26,MATCH('Master data'!$B219,'Team forecast'!$B$2:$B$26,0),MATCH('Master data'!J$1,'Team forecast'!$B$2:$AO$2,0))</f>
        <v>0.28978375293296982</v>
      </c>
      <c r="K219" s="16">
        <f>INDEX('Team forecast'!$B$2:$AO$26,MATCH('Master data'!$B219,'Team forecast'!$B$2:$B$26,0),MATCH('Master data'!K$1,'Team forecast'!$B$2:$AO$2,0))</f>
        <v>3.2490442399577706</v>
      </c>
      <c r="L219" s="16">
        <f>INDEX('Team forecast'!$B$2:$AO$26,MATCH('Master data'!$B219,'Team forecast'!$B$2:$B$26,0),MATCH('Master data'!L$1,'Team forecast'!$B$2:$AO$2,0))</f>
        <v>3.2998357975681776</v>
      </c>
      <c r="M219">
        <f>IF(Players!BC220=1,95,0)</f>
        <v>95</v>
      </c>
      <c r="N219" s="2">
        <f>Players!BN220</f>
        <v>0.10057142804051666</v>
      </c>
      <c r="O219" s="2">
        <f>Players!BO220</f>
        <v>7.8671804062504125E-2</v>
      </c>
      <c r="P219" s="2">
        <f>Players!BP220</f>
        <v>0.10876602203733433</v>
      </c>
      <c r="Q219" s="2">
        <f>Players!BQ220</f>
        <v>0.1242603550295858</v>
      </c>
      <c r="R219" s="2">
        <f>Players!BR220</f>
        <v>3.5502958579881658E-2</v>
      </c>
      <c r="S219" s="2">
        <f t="shared" si="91"/>
        <v>1.2386203137003762</v>
      </c>
      <c r="T219" s="2">
        <f t="shared" si="92"/>
        <v>1.2386203137003762</v>
      </c>
      <c r="U219" s="16">
        <f>INDEX('Team forecast'!$B$2:$AO$26,MATCH('Master data'!$B219,'Team forecast'!$B$2:$B$26,0),MATCH('Master data'!U$1,'Team forecast'!$B$2:$AO$2,0))</f>
        <v>0.33635614179719708</v>
      </c>
      <c r="V219" s="16">
        <f>INDEX('Team forecast'!$B$2:$AO$26,MATCH('Master data'!$B219,'Team forecast'!$B$2:$B$26,0),MATCH('Master data'!V$1,'Team forecast'!$B$2:$AO$2,0))</f>
        <v>0.29431162407254741</v>
      </c>
      <c r="W219" s="16">
        <f>INDEX('Team forecast'!$B$2:$AO$26,MATCH('Master data'!$B219,'Team forecast'!$B$2:$B$26,0),MATCH('Master data'!W$1,'Team forecast'!$B$2:$AO$2,0))</f>
        <v>0.36933223413025562</v>
      </c>
      <c r="X219" s="5">
        <f t="shared" si="93"/>
        <v>7000</v>
      </c>
      <c r="Y219" s="5">
        <f t="shared" si="94"/>
        <v>8408.9035449299263</v>
      </c>
      <c r="Z219" s="5">
        <f t="shared" si="95"/>
        <v>1471.5581203627371</v>
      </c>
      <c r="AA219" s="5">
        <f t="shared" si="96"/>
        <v>-5539.9835119538347</v>
      </c>
      <c r="AB219" s="5">
        <f t="shared" si="97"/>
        <v>18685.472062325935</v>
      </c>
      <c r="AC219" s="5">
        <f t="shared" si="98"/>
        <v>4872.224731363669</v>
      </c>
      <c r="AD219" s="5">
        <f t="shared" si="99"/>
        <v>3533.8561740352102</v>
      </c>
      <c r="AE219" s="5">
        <f t="shared" si="100"/>
        <v>14489.18764664849</v>
      </c>
      <c r="AF219" s="5">
        <f t="shared" si="101"/>
        <v>0</v>
      </c>
      <c r="AG219" s="5">
        <f t="shared" si="102"/>
        <v>-2485.207100591716</v>
      </c>
      <c r="AH219" s="5">
        <f t="shared" si="103"/>
        <v>-1775.1479289940828</v>
      </c>
      <c r="AI219" s="5">
        <f t="shared" si="104"/>
        <v>12386.203137003762</v>
      </c>
      <c r="AJ219" s="5">
        <f t="shared" si="105"/>
        <v>-9908.9625096030086</v>
      </c>
      <c r="AK219" s="5">
        <f>IFERROR(SUM(X219:AJ219),-5000)*((Cockpit!$C$3)^0)</f>
        <v>51138.104365527091</v>
      </c>
      <c r="AL219" s="16">
        <f>INDEX('Team forecast'!$B$2:$AO$26,MATCH('Master data'!$B219,'Team forecast'!$B$2:$B$26,0),MATCH('Master data'!AL$1,'Team forecast'!$B$2:$AO$2,0))</f>
        <v>1.384389503157577</v>
      </c>
      <c r="AM219" s="16">
        <f>INDEX('Team forecast'!$B$2:$AO$26,MATCH('Master data'!$B219,'Team forecast'!$B$2:$B$26,0),MATCH('Master data'!AM$1,'Team forecast'!$B$2:$AO$2,0))</f>
        <v>1.1612459518433673</v>
      </c>
      <c r="AN219" s="16">
        <f>INDEX('Team forecast'!$B$2:$AO$26,MATCH('Master data'!$B219,'Team forecast'!$B$2:$B$26,0),MATCH('Master data'!AN$1,'Team forecast'!$B$2:$AO$2,0))</f>
        <v>0.31309583542398389</v>
      </c>
      <c r="AO219" s="16">
        <f>INDEX('Team forecast'!$B$2:$AO$26,MATCH('Master data'!$B219,'Team forecast'!$B$2:$B$26,0),MATCH('Master data'!AO$1,'Team forecast'!$B$2:$AO$2,0))</f>
        <v>3.6314136715992724</v>
      </c>
      <c r="AP219" s="16">
        <f>INDEX('Team forecast'!$B$2:$AO$26,MATCH('Master data'!$B219,'Team forecast'!$B$2:$B$26,0),MATCH('Master data'!AP$1,'Team forecast'!$B$2:$AO$2,0))</f>
        <v>3.0937010472773676</v>
      </c>
      <c r="AQ219" s="5">
        <f t="shared" si="106"/>
        <v>7000</v>
      </c>
      <c r="AR219" s="5">
        <f>INDEX('Team forecast'!$B$2:$AO$26,MATCH('Master data'!$B219,'Team forecast'!$B$2:$B$26,0),MATCH('Master data'!AR$1,'Team forecast'!$B$2:$AO$2,0))*IF(X219&gt;0,25000,0)</f>
        <v>10436.527847466134</v>
      </c>
      <c r="AS219" s="16">
        <f>INDEX('Team forecast'!$B$2:$AO$26,MATCH('Master data'!$B219,'Team forecast'!$B$2:$B$26,0),MATCH('Master data'!AS$1,'Team forecast'!$B$2:$AO$2,0))*IF(X219&gt;0,5000,0)</f>
        <v>1467.6367285499246</v>
      </c>
      <c r="AT219" s="16">
        <f>INDEX('Team forecast'!$B$2:$AO$26,MATCH('Master data'!$B219,'Team forecast'!$B$2:$B$26,0),MATCH('Master data'!AT$1,'Team forecast'!$B$2:$AO$2,0))*IF(X219&gt;0,-15000,0)</f>
        <v>-4335.1731058705464</v>
      </c>
      <c r="AU219" s="5">
        <f t="shared" si="107"/>
        <v>20884.504394528831</v>
      </c>
      <c r="AV219" s="5">
        <f t="shared" si="108"/>
        <v>5445.6209869300164</v>
      </c>
      <c r="AW219" s="5">
        <f t="shared" si="109"/>
        <v>3949.7441943184363</v>
      </c>
      <c r="AX219" s="5">
        <f t="shared" si="110"/>
        <v>15654.791771199194</v>
      </c>
      <c r="AY219" s="5">
        <f t="shared" si="111"/>
        <v>0</v>
      </c>
      <c r="AZ219" s="5">
        <f t="shared" si="112"/>
        <v>-2485.207100591716</v>
      </c>
      <c r="BA219" s="5">
        <f t="shared" si="113"/>
        <v>-1775.1479289940828</v>
      </c>
      <c r="BB219" s="5">
        <f t="shared" si="114"/>
        <v>13843.89503157577</v>
      </c>
      <c r="BC219" s="5">
        <f t="shared" si="115"/>
        <v>-9289.9676147469381</v>
      </c>
      <c r="BD219" s="5">
        <f t="shared" si="116"/>
        <v>60797.225204365015</v>
      </c>
      <c r="BE219" s="16">
        <f>INDEX('Team forecast'!$B$2:$AO$26,MATCH('Master data'!$B219,'Team forecast'!$B$2:$B$26,0),MATCH('Master data'!BE$1,'Team forecast'!$B$2:$AO$2,0))</f>
        <v>2.4374022591536644</v>
      </c>
      <c r="BF219" s="16">
        <f>INDEX('Team forecast'!$B$2:$AO$26,MATCH('Master data'!$B219,'Team forecast'!$B$2:$B$26,0),MATCH('Master data'!BF$1,'Team forecast'!$B$2:$AO$2,0))</f>
        <v>0.68661022841383224</v>
      </c>
      <c r="BG219" s="16">
        <f>INDEX('Team forecast'!$B$2:$AO$26,MATCH('Master data'!$B219,'Team forecast'!$B$2:$B$26,0),MATCH('Master data'!BG$1,'Team forecast'!$B$2:$AO$2,0))</f>
        <v>0.50327918232493496</v>
      </c>
      <c r="BH219" s="16">
        <f>INDEX('Team forecast'!$B$2:$AO$26,MATCH('Master data'!$B219,'Team forecast'!$B$2:$B$26,0),MATCH('Master data'!BH$1,'Team forecast'!$B$2:$AO$2,0))</f>
        <v>6.3935878355689084</v>
      </c>
      <c r="BI219" s="16">
        <f>INDEX('Team forecast'!$B$2:$AO$26,MATCH('Master data'!$B219,'Team forecast'!$B$2:$B$26,0),MATCH('Master data'!BI$1,'Team forecast'!$B$2:$AO$2,0))</f>
        <v>1.8292135092857056</v>
      </c>
      <c r="BJ219" s="5">
        <f t="shared" si="117"/>
        <v>7000</v>
      </c>
      <c r="BK219" s="5">
        <f>INDEX('Team forecast'!$R$3:$BH$26,MATCH($B219,'Team forecast'!$B$3:$B$26,0),MATCH(BK$1,'Team forecast'!$R$2:$BH$2,0))*IF($X219&gt;0,25000,0)</f>
        <v>19380.307222593263</v>
      </c>
      <c r="BL219" s="5">
        <f>INDEX('Team forecast'!$R$3:$BH$26,MATCH($B219,'Team forecast'!$B$3:$B$26,0),MATCH(BL$1,'Team forecast'!$R$2:$BH$2,0))*IF($X219&gt;0,5000,0)</f>
        <v>739.43326018509651</v>
      </c>
      <c r="BM219" s="5">
        <f>INDEX('Team forecast'!$R$3:$BH$26,MATCH($B219,'Team forecast'!$B$3:$B$26,0),MATCH(BM$1,'Team forecast'!$R$2:$BH$2,0))*IF($X219&gt;0,-15000,0)</f>
        <v>-1153.5158858887507</v>
      </c>
      <c r="BN219" s="5">
        <f t="shared" si="118"/>
        <v>36769.95388683983</v>
      </c>
      <c r="BO219" s="5">
        <f t="shared" si="119"/>
        <v>9587.7416476820999</v>
      </c>
      <c r="BP219" s="5">
        <f t="shared" si="120"/>
        <v>6954.0511542112063</v>
      </c>
      <c r="BQ219" s="5">
        <f t="shared" si="121"/>
        <v>25163.959116246748</v>
      </c>
      <c r="BR219" s="5">
        <f t="shared" si="122"/>
        <v>0</v>
      </c>
      <c r="BS219" s="5">
        <f t="shared" si="123"/>
        <v>-2485.207100591716</v>
      </c>
      <c r="BT219" s="5">
        <f t="shared" si="124"/>
        <v>-1775.1479289940828</v>
      </c>
      <c r="BU219" s="5">
        <f t="shared" si="125"/>
        <v>24374.022591536643</v>
      </c>
      <c r="BV219" s="5">
        <f t="shared" si="126"/>
        <v>-5492.8818273106581</v>
      </c>
      <c r="BW219" s="5">
        <f t="shared" si="127"/>
        <v>119062.7161365097</v>
      </c>
      <c r="BX219" s="5">
        <f t="shared" si="128"/>
        <v>76999.348568800604</v>
      </c>
      <c r="BY219" s="5">
        <f t="shared" si="129"/>
        <v>230998.04570640181</v>
      </c>
      <c r="BZ219" s="5">
        <f>INDEX('Team forecast'!$R$3:$BH$26,MATCH($B219,'Team forecast'!$B$3:$B$26,0),MATCH(BZ$1,'Team forecast'!$R$2:$BH$2,0))*($BX219-(BY219+CH219)*0.01)</f>
        <v>21984.766301122469</v>
      </c>
      <c r="CA219" s="5">
        <f>INDEX('Team forecast'!$R$3:$BH$26,MATCH($B219,'Team forecast'!$B$3:$B$26,0),MATCH(CA$1,'Team forecast'!$R$2:$BH$2,0))*($BX219-(BY219+BX219+CH219)*0.01)</f>
        <v>10824.175456991228</v>
      </c>
      <c r="CB219" s="5">
        <f>INDEX('Team forecast'!$R$3:$BH$26,MATCH($B219,'Team forecast'!$B$3:$B$26,0),MATCH(CB$1,'Team forecast'!$R$2:$BH$2,0))*($BX219-(BY219+BX219*2+CH219)*0.01)</f>
        <v>5396.9187652678138</v>
      </c>
      <c r="CC219" s="5">
        <f>INDEX('Team forecast'!$R$3:$BH$26,MATCH($B219,'Team forecast'!$B$3:$B$26,0),MATCH(CC$1,'Team forecast'!$R$2:$BH$2,0))*($BX219-(BY219+BX219*3+CH219)*0.01)</f>
        <v>2806.9757575373951</v>
      </c>
      <c r="CD219" s="5">
        <f>+AK219+BD219*Cockpit!$C$3+BW219*Cockpit!$C$3^2+BZ219*Cockpit!$C$3^3+CA219*Cockpit!$C$3^4+CB219*Cockpit!$C$3^5+CC219*Cockpit!$C$3^6</f>
        <v>154195.5980751949</v>
      </c>
      <c r="CE219" s="5"/>
      <c r="CF219" s="5"/>
      <c r="CG219" s="5">
        <v>0</v>
      </c>
      <c r="CH219" s="5">
        <f t="shared" si="130"/>
        <v>5000000</v>
      </c>
      <c r="CI219" s="5">
        <f t="shared" si="131"/>
        <v>5000000</v>
      </c>
      <c r="CJ219" s="1">
        <f t="shared" si="132"/>
        <v>4.6199609141280365E-2</v>
      </c>
      <c r="CK219" s="5">
        <f>RANK(BY219,$BY$2:$BY$623)+COUNTIF($BY$2:$BY219,$BY219)-1</f>
        <v>29</v>
      </c>
      <c r="CL219" s="5">
        <f>RANK(CJ219,$CJ$2:$CJ$623)+COUNTIF($CJ$2:$CJ219,$CJ219)-1</f>
        <v>45</v>
      </c>
    </row>
    <row r="220" spans="1:90">
      <c r="A220" t="str">
        <f>Players!P221</f>
        <v>Emre Can</v>
      </c>
      <c r="B220" t="str">
        <f>Players!G221</f>
        <v>Germany</v>
      </c>
      <c r="C220" t="str">
        <f>Players!AB221</f>
        <v>Defense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4000000</v>
      </c>
      <c r="H220" s="16">
        <f>INDEX('Team forecast'!$B$2:$AO$26,MATCH('Master data'!$B220,'Team forecast'!$B$2:$B$26,0),MATCH('Master data'!H$1,'Team forecast'!$B$2:$AO$2,0))</f>
        <v>1.2386203137003762</v>
      </c>
      <c r="I220" s="16">
        <f>INDEX('Team forecast'!$B$2:$AO$26,MATCH('Master data'!$B220,'Team forecast'!$B$2:$B$26,0),MATCH('Master data'!I$1,'Team forecast'!$B$2:$AO$2,0))</f>
        <v>1.2386203137003762</v>
      </c>
      <c r="J220" s="16">
        <f>INDEX('Team forecast'!$B$2:$AO$26,MATCH('Master data'!$B220,'Team forecast'!$B$2:$B$26,0),MATCH('Master data'!J$1,'Team forecast'!$B$2:$AO$2,0))</f>
        <v>0.28978375293296982</v>
      </c>
      <c r="K220" s="16">
        <f>INDEX('Team forecast'!$B$2:$AO$26,MATCH('Master data'!$B220,'Team forecast'!$B$2:$B$26,0),MATCH('Master data'!K$1,'Team forecast'!$B$2:$AO$2,0))</f>
        <v>3.2490442399577706</v>
      </c>
      <c r="L220" s="16">
        <f>INDEX('Team forecast'!$B$2:$AO$26,MATCH('Master data'!$B220,'Team forecast'!$B$2:$B$26,0),MATCH('Master data'!L$1,'Team forecast'!$B$2:$AO$2,0))</f>
        <v>3.2998357975681776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0.93048523206751055</v>
      </c>
      <c r="R220" s="2">
        <f>Players!BR221</f>
        <v>0</v>
      </c>
      <c r="S220" s="2">
        <f t="shared" si="91"/>
        <v>1.2386203137003762</v>
      </c>
      <c r="T220" s="2">
        <f t="shared" si="92"/>
        <v>1.2386203137003762</v>
      </c>
      <c r="U220" s="16">
        <f>INDEX('Team forecast'!$B$2:$AO$26,MATCH('Master data'!$B220,'Team forecast'!$B$2:$B$26,0),MATCH('Master data'!U$1,'Team forecast'!$B$2:$AO$2,0))</f>
        <v>0.33635614179719708</v>
      </c>
      <c r="V220" s="16">
        <f>INDEX('Team forecast'!$B$2:$AO$26,MATCH('Master data'!$B220,'Team forecast'!$B$2:$B$26,0),MATCH('Master data'!V$1,'Team forecast'!$B$2:$AO$2,0))</f>
        <v>0.29431162407254741</v>
      </c>
      <c r="W220" s="16">
        <f>INDEX('Team forecast'!$B$2:$AO$26,MATCH('Master data'!$B220,'Team forecast'!$B$2:$B$26,0),MATCH('Master data'!W$1,'Team forecast'!$B$2:$AO$2,0))</f>
        <v>0.36933223413025562</v>
      </c>
      <c r="X220" s="5">
        <f t="shared" si="93"/>
        <v>-5000</v>
      </c>
      <c r="Y220" s="5">
        <f t="shared" si="94"/>
        <v>0</v>
      </c>
      <c r="Z220" s="5">
        <f t="shared" si="95"/>
        <v>0</v>
      </c>
      <c r="AA220" s="5">
        <f t="shared" si="96"/>
        <v>0</v>
      </c>
      <c r="AB220" s="5">
        <f t="shared" si="97"/>
        <v>0</v>
      </c>
      <c r="AC220" s="5">
        <f t="shared" si="98"/>
        <v>0</v>
      </c>
      <c r="AD220" s="5">
        <f t="shared" si="99"/>
        <v>0</v>
      </c>
      <c r="AE220" s="5">
        <f t="shared" si="100"/>
        <v>14489.18764664849</v>
      </c>
      <c r="AF220" s="5">
        <f t="shared" si="101"/>
        <v>0</v>
      </c>
      <c r="AG220" s="5">
        <f t="shared" si="102"/>
        <v>0</v>
      </c>
      <c r="AH220" s="5">
        <f t="shared" si="103"/>
        <v>0</v>
      </c>
      <c r="AI220" s="5">
        <f t="shared" si="104"/>
        <v>0</v>
      </c>
      <c r="AJ220" s="5">
        <f t="shared" si="105"/>
        <v>0</v>
      </c>
      <c r="AK220" s="5">
        <f>IFERROR(SUM(X220:AJ220),-5000)*((Cockpit!$C$3)^0)</f>
        <v>9489.18764664849</v>
      </c>
      <c r="AL220" s="16">
        <f>INDEX('Team forecast'!$B$2:$AO$26,MATCH('Master data'!$B220,'Team forecast'!$B$2:$B$26,0),MATCH('Master data'!AL$1,'Team forecast'!$B$2:$AO$2,0))</f>
        <v>1.384389503157577</v>
      </c>
      <c r="AM220" s="16">
        <f>INDEX('Team forecast'!$B$2:$AO$26,MATCH('Master data'!$B220,'Team forecast'!$B$2:$B$26,0),MATCH('Master data'!AM$1,'Team forecast'!$B$2:$AO$2,0))</f>
        <v>1.1612459518433673</v>
      </c>
      <c r="AN220" s="16">
        <f>INDEX('Team forecast'!$B$2:$AO$26,MATCH('Master data'!$B220,'Team forecast'!$B$2:$B$26,0),MATCH('Master data'!AN$1,'Team forecast'!$B$2:$AO$2,0))</f>
        <v>0.31309583542398389</v>
      </c>
      <c r="AO220" s="16">
        <f>INDEX('Team forecast'!$B$2:$AO$26,MATCH('Master data'!$B220,'Team forecast'!$B$2:$B$26,0),MATCH('Master data'!AO$1,'Team forecast'!$B$2:$AO$2,0))</f>
        <v>3.6314136715992724</v>
      </c>
      <c r="AP220" s="16">
        <f>INDEX('Team forecast'!$B$2:$AO$26,MATCH('Master data'!$B220,'Team forecast'!$B$2:$B$26,0),MATCH('Master data'!AP$1,'Team forecast'!$B$2:$AO$2,0))</f>
        <v>3.0937010472773676</v>
      </c>
      <c r="AQ220" s="5">
        <f t="shared" si="106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107"/>
        <v>0</v>
      </c>
      <c r="AV220" s="5">
        <f t="shared" si="108"/>
        <v>0</v>
      </c>
      <c r="AW220" s="5">
        <f t="shared" si="109"/>
        <v>0</v>
      </c>
      <c r="AX220" s="5">
        <f t="shared" si="110"/>
        <v>15654.791771199194</v>
      </c>
      <c r="AY220" s="5">
        <f t="shared" si="111"/>
        <v>0</v>
      </c>
      <c r="AZ220" s="5">
        <f t="shared" si="112"/>
        <v>0</v>
      </c>
      <c r="BA220" s="5">
        <f t="shared" si="113"/>
        <v>0</v>
      </c>
      <c r="BB220" s="5">
        <f t="shared" si="114"/>
        <v>0</v>
      </c>
      <c r="BC220" s="5">
        <f t="shared" si="115"/>
        <v>0</v>
      </c>
      <c r="BD220" s="5">
        <f t="shared" si="116"/>
        <v>10654.791771199194</v>
      </c>
      <c r="BE220" s="16">
        <f>INDEX('Team forecast'!$B$2:$AO$26,MATCH('Master data'!$B220,'Team forecast'!$B$2:$B$26,0),MATCH('Master data'!BE$1,'Team forecast'!$B$2:$AO$2,0))</f>
        <v>2.4374022591536644</v>
      </c>
      <c r="BF220" s="16">
        <f>INDEX('Team forecast'!$B$2:$AO$26,MATCH('Master data'!$B220,'Team forecast'!$B$2:$B$26,0),MATCH('Master data'!BF$1,'Team forecast'!$B$2:$AO$2,0))</f>
        <v>0.68661022841383224</v>
      </c>
      <c r="BG220" s="16">
        <f>INDEX('Team forecast'!$B$2:$AO$26,MATCH('Master data'!$B220,'Team forecast'!$B$2:$B$26,0),MATCH('Master data'!BG$1,'Team forecast'!$B$2:$AO$2,0))</f>
        <v>0.50327918232493496</v>
      </c>
      <c r="BH220" s="16">
        <f>INDEX('Team forecast'!$B$2:$AO$26,MATCH('Master data'!$B220,'Team forecast'!$B$2:$B$26,0),MATCH('Master data'!BH$1,'Team forecast'!$B$2:$AO$2,0))</f>
        <v>6.3935878355689084</v>
      </c>
      <c r="BI220" s="16">
        <f>INDEX('Team forecast'!$B$2:$AO$26,MATCH('Master data'!$B220,'Team forecast'!$B$2:$B$26,0),MATCH('Master data'!BI$1,'Team forecast'!$B$2:$AO$2,0))</f>
        <v>1.8292135092857056</v>
      </c>
      <c r="BJ220" s="5">
        <f t="shared" si="117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118"/>
        <v>0</v>
      </c>
      <c r="BO220" s="5">
        <f t="shared" si="119"/>
        <v>0</v>
      </c>
      <c r="BP220" s="5">
        <f t="shared" si="120"/>
        <v>0</v>
      </c>
      <c r="BQ220" s="5">
        <f t="shared" si="121"/>
        <v>25163.959116246748</v>
      </c>
      <c r="BR220" s="5">
        <f t="shared" si="122"/>
        <v>0</v>
      </c>
      <c r="BS220" s="5">
        <f t="shared" si="123"/>
        <v>0</v>
      </c>
      <c r="BT220" s="5">
        <f t="shared" si="124"/>
        <v>0</v>
      </c>
      <c r="BU220" s="5">
        <f t="shared" si="125"/>
        <v>0</v>
      </c>
      <c r="BV220" s="5">
        <f t="shared" si="126"/>
        <v>0</v>
      </c>
      <c r="BW220" s="5">
        <f t="shared" si="127"/>
        <v>20163.959116246748</v>
      </c>
      <c r="BX220" s="5">
        <f t="shared" si="128"/>
        <v>13435.979511364809</v>
      </c>
      <c r="BY220" s="5">
        <f t="shared" si="129"/>
        <v>40307.938534094428</v>
      </c>
      <c r="BZ220" s="5">
        <f>INDEX('Team forecast'!$R$3:$BH$26,MATCH($B220,'Team forecast'!$B$3:$B$26,0),MATCH(BZ$1,'Team forecast'!$R$2:$BH$2,0))*($BX220-(BY220+CH220)*0.01)</f>
        <v>-24012.983477959657</v>
      </c>
      <c r="CA220" s="5">
        <f>INDEX('Team forecast'!$R$3:$BH$26,MATCH($B220,'Team forecast'!$B$3:$B$26,0),MATCH(CA$1,'Team forecast'!$R$2:$BH$2,0))*($BX220-(BY220+BX220+CH220)*0.01)</f>
        <v>-12264.156533563193</v>
      </c>
      <c r="CB220" s="5">
        <f>INDEX('Team forecast'!$R$3:$BH$26,MATCH($B220,'Team forecast'!$B$3:$B$26,0),MATCH(CB$1,'Team forecast'!$R$2:$BH$2,0))*($BX220-(BY220+BX220*2+CH220)*0.01)</f>
        <v>-6349.6084090788963</v>
      </c>
      <c r="CC220" s="5">
        <f>INDEX('Team forecast'!$R$3:$BH$26,MATCH($B220,'Team forecast'!$B$3:$B$26,0),MATCH(CC$1,'Team forecast'!$R$2:$BH$2,0))*($BX220-(BY220+BX220*3+CH220)*0.01)</f>
        <v>-3432.9549514870278</v>
      </c>
      <c r="CD220" s="5">
        <f>+AK220+BD220*Cockpit!$C$3+BW220*Cockpit!$C$3^2+BZ220*Cockpit!$C$3^3+CA220*Cockpit!$C$3^4+CB220*Cockpit!$C$3^5+CC220*Cockpit!$C$3^6</f>
        <v>14879.087589347562</v>
      </c>
      <c r="CE220" s="5"/>
      <c r="CF220" s="5"/>
      <c r="CG220" s="5">
        <v>0</v>
      </c>
      <c r="CH220" s="5">
        <f t="shared" si="130"/>
        <v>4000000</v>
      </c>
      <c r="CI220" s="5">
        <f t="shared" si="131"/>
        <v>4000000</v>
      </c>
      <c r="CJ220" s="1">
        <f t="shared" si="132"/>
        <v>1.0076984633523607E-2</v>
      </c>
      <c r="CK220" s="5">
        <f>RANK(BY220,$BY$2:$BY$623)+COUNTIF($BY$2:$BY220,$BY220)-1</f>
        <v>305</v>
      </c>
      <c r="CL220" s="5">
        <f>RANK(CJ220,$CJ$2:$CJ$623)+COUNTIF($CJ$2:$CJ220,$CJ220)-1</f>
        <v>359</v>
      </c>
    </row>
    <row r="221" spans="1:90">
      <c r="A221" t="str">
        <f>Players!P222</f>
        <v>Lukas Klostermann</v>
      </c>
      <c r="B221" t="str">
        <f>Players!G222</f>
        <v>Germany</v>
      </c>
      <c r="C221" t="str">
        <f>Players!AB222</f>
        <v>Defense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3500000</v>
      </c>
      <c r="H221" s="16">
        <f>INDEX('Team forecast'!$B$2:$AO$26,MATCH('Master data'!$B221,'Team forecast'!$B$2:$B$26,0),MATCH('Master data'!H$1,'Team forecast'!$B$2:$AO$2,0))</f>
        <v>1.2386203137003762</v>
      </c>
      <c r="I221" s="16">
        <f>INDEX('Team forecast'!$B$2:$AO$26,MATCH('Master data'!$B221,'Team forecast'!$B$2:$B$26,0),MATCH('Master data'!I$1,'Team forecast'!$B$2:$AO$2,0))</f>
        <v>1.2386203137003762</v>
      </c>
      <c r="J221" s="16">
        <f>INDEX('Team forecast'!$B$2:$AO$26,MATCH('Master data'!$B221,'Team forecast'!$B$2:$B$26,0),MATCH('Master data'!J$1,'Team forecast'!$B$2:$AO$2,0))</f>
        <v>0.28978375293296982</v>
      </c>
      <c r="K221" s="16">
        <f>INDEX('Team forecast'!$B$2:$AO$26,MATCH('Master data'!$B221,'Team forecast'!$B$2:$B$26,0),MATCH('Master data'!K$1,'Team forecast'!$B$2:$AO$2,0))</f>
        <v>3.2490442399577706</v>
      </c>
      <c r="L221" s="16">
        <f>INDEX('Team forecast'!$B$2:$AO$26,MATCH('Master data'!$B221,'Team forecast'!$B$2:$B$26,0),MATCH('Master data'!L$1,'Team forecast'!$B$2:$AO$2,0))</f>
        <v>3.2998357975681776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6.2370062370062374E-2</v>
      </c>
      <c r="R221" s="2">
        <f>Players!BR222</f>
        <v>0</v>
      </c>
      <c r="S221" s="2">
        <f t="shared" si="91"/>
        <v>1.2386203137003762</v>
      </c>
      <c r="T221" s="2">
        <f t="shared" si="92"/>
        <v>1.2386203137003762</v>
      </c>
      <c r="U221" s="16">
        <f>INDEX('Team forecast'!$B$2:$AO$26,MATCH('Master data'!$B221,'Team forecast'!$B$2:$B$26,0),MATCH('Master data'!U$1,'Team forecast'!$B$2:$AO$2,0))</f>
        <v>0.33635614179719708</v>
      </c>
      <c r="V221" s="16">
        <f>INDEX('Team forecast'!$B$2:$AO$26,MATCH('Master data'!$B221,'Team forecast'!$B$2:$B$26,0),MATCH('Master data'!V$1,'Team forecast'!$B$2:$AO$2,0))</f>
        <v>0.29431162407254741</v>
      </c>
      <c r="W221" s="16">
        <f>INDEX('Team forecast'!$B$2:$AO$26,MATCH('Master data'!$B221,'Team forecast'!$B$2:$B$26,0),MATCH('Master data'!W$1,'Team forecast'!$B$2:$AO$2,0))</f>
        <v>0.36933223413025562</v>
      </c>
      <c r="X221" s="5">
        <f t="shared" si="93"/>
        <v>-5000</v>
      </c>
      <c r="Y221" s="5">
        <f t="shared" si="94"/>
        <v>0</v>
      </c>
      <c r="Z221" s="5">
        <f t="shared" si="95"/>
        <v>0</v>
      </c>
      <c r="AA221" s="5">
        <f t="shared" si="96"/>
        <v>0</v>
      </c>
      <c r="AB221" s="5">
        <f t="shared" si="97"/>
        <v>0</v>
      </c>
      <c r="AC221" s="5">
        <f t="shared" si="98"/>
        <v>0</v>
      </c>
      <c r="AD221" s="5">
        <f t="shared" si="99"/>
        <v>0</v>
      </c>
      <c r="AE221" s="5">
        <f t="shared" si="100"/>
        <v>14489.18764664849</v>
      </c>
      <c r="AF221" s="5">
        <f t="shared" si="101"/>
        <v>0</v>
      </c>
      <c r="AG221" s="5">
        <f t="shared" si="102"/>
        <v>0</v>
      </c>
      <c r="AH221" s="5">
        <f t="shared" si="103"/>
        <v>0</v>
      </c>
      <c r="AI221" s="5">
        <f t="shared" si="104"/>
        <v>0</v>
      </c>
      <c r="AJ221" s="5">
        <f t="shared" si="105"/>
        <v>0</v>
      </c>
      <c r="AK221" s="5">
        <f>IFERROR(SUM(X221:AJ221),-5000)*((Cockpit!$C$3)^0)</f>
        <v>9489.18764664849</v>
      </c>
      <c r="AL221" s="16">
        <f>INDEX('Team forecast'!$B$2:$AO$26,MATCH('Master data'!$B221,'Team forecast'!$B$2:$B$26,0),MATCH('Master data'!AL$1,'Team forecast'!$B$2:$AO$2,0))</f>
        <v>1.384389503157577</v>
      </c>
      <c r="AM221" s="16">
        <f>INDEX('Team forecast'!$B$2:$AO$26,MATCH('Master data'!$B221,'Team forecast'!$B$2:$B$26,0),MATCH('Master data'!AM$1,'Team forecast'!$B$2:$AO$2,0))</f>
        <v>1.1612459518433673</v>
      </c>
      <c r="AN221" s="16">
        <f>INDEX('Team forecast'!$B$2:$AO$26,MATCH('Master data'!$B221,'Team forecast'!$B$2:$B$26,0),MATCH('Master data'!AN$1,'Team forecast'!$B$2:$AO$2,0))</f>
        <v>0.31309583542398389</v>
      </c>
      <c r="AO221" s="16">
        <f>INDEX('Team forecast'!$B$2:$AO$26,MATCH('Master data'!$B221,'Team forecast'!$B$2:$B$26,0),MATCH('Master data'!AO$1,'Team forecast'!$B$2:$AO$2,0))</f>
        <v>3.6314136715992724</v>
      </c>
      <c r="AP221" s="16">
        <f>INDEX('Team forecast'!$B$2:$AO$26,MATCH('Master data'!$B221,'Team forecast'!$B$2:$B$26,0),MATCH('Master data'!AP$1,'Team forecast'!$B$2:$AO$2,0))</f>
        <v>3.0937010472773676</v>
      </c>
      <c r="AQ221" s="5">
        <f t="shared" si="106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107"/>
        <v>0</v>
      </c>
      <c r="AV221" s="5">
        <f t="shared" si="108"/>
        <v>0</v>
      </c>
      <c r="AW221" s="5">
        <f t="shared" si="109"/>
        <v>0</v>
      </c>
      <c r="AX221" s="5">
        <f t="shared" si="110"/>
        <v>15654.791771199194</v>
      </c>
      <c r="AY221" s="5">
        <f t="shared" si="111"/>
        <v>0</v>
      </c>
      <c r="AZ221" s="5">
        <f t="shared" si="112"/>
        <v>0</v>
      </c>
      <c r="BA221" s="5">
        <f t="shared" si="113"/>
        <v>0</v>
      </c>
      <c r="BB221" s="5">
        <f t="shared" si="114"/>
        <v>0</v>
      </c>
      <c r="BC221" s="5">
        <f t="shared" si="115"/>
        <v>0</v>
      </c>
      <c r="BD221" s="5">
        <f t="shared" si="116"/>
        <v>10654.791771199194</v>
      </c>
      <c r="BE221" s="16">
        <f>INDEX('Team forecast'!$B$2:$AO$26,MATCH('Master data'!$B221,'Team forecast'!$B$2:$B$26,0),MATCH('Master data'!BE$1,'Team forecast'!$B$2:$AO$2,0))</f>
        <v>2.4374022591536644</v>
      </c>
      <c r="BF221" s="16">
        <f>INDEX('Team forecast'!$B$2:$AO$26,MATCH('Master data'!$B221,'Team forecast'!$B$2:$B$26,0),MATCH('Master data'!BF$1,'Team forecast'!$B$2:$AO$2,0))</f>
        <v>0.68661022841383224</v>
      </c>
      <c r="BG221" s="16">
        <f>INDEX('Team forecast'!$B$2:$AO$26,MATCH('Master data'!$B221,'Team forecast'!$B$2:$B$26,0),MATCH('Master data'!BG$1,'Team forecast'!$B$2:$AO$2,0))</f>
        <v>0.50327918232493496</v>
      </c>
      <c r="BH221" s="16">
        <f>INDEX('Team forecast'!$B$2:$AO$26,MATCH('Master data'!$B221,'Team forecast'!$B$2:$B$26,0),MATCH('Master data'!BH$1,'Team forecast'!$B$2:$AO$2,0))</f>
        <v>6.3935878355689084</v>
      </c>
      <c r="BI221" s="16">
        <f>INDEX('Team forecast'!$B$2:$AO$26,MATCH('Master data'!$B221,'Team forecast'!$B$2:$B$26,0),MATCH('Master data'!BI$1,'Team forecast'!$B$2:$AO$2,0))</f>
        <v>1.8292135092857056</v>
      </c>
      <c r="BJ221" s="5">
        <f t="shared" si="117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118"/>
        <v>0</v>
      </c>
      <c r="BO221" s="5">
        <f t="shared" si="119"/>
        <v>0</v>
      </c>
      <c r="BP221" s="5">
        <f t="shared" si="120"/>
        <v>0</v>
      </c>
      <c r="BQ221" s="5">
        <f t="shared" si="121"/>
        <v>25163.959116246748</v>
      </c>
      <c r="BR221" s="5">
        <f t="shared" si="122"/>
        <v>0</v>
      </c>
      <c r="BS221" s="5">
        <f t="shared" si="123"/>
        <v>0</v>
      </c>
      <c r="BT221" s="5">
        <f t="shared" si="124"/>
        <v>0</v>
      </c>
      <c r="BU221" s="5">
        <f t="shared" si="125"/>
        <v>0</v>
      </c>
      <c r="BV221" s="5">
        <f t="shared" si="126"/>
        <v>0</v>
      </c>
      <c r="BW221" s="5">
        <f t="shared" si="127"/>
        <v>20163.959116246748</v>
      </c>
      <c r="BX221" s="5">
        <f t="shared" si="128"/>
        <v>13435.979511364809</v>
      </c>
      <c r="BY221" s="5">
        <f t="shared" si="129"/>
        <v>40307.938534094428</v>
      </c>
      <c r="BZ221" s="5">
        <f>INDEX('Team forecast'!$R$3:$BH$26,MATCH($B221,'Team forecast'!$B$3:$B$26,0),MATCH(BZ$1,'Team forecast'!$R$2:$BH$2,0))*($BX221-(BY221+CH221)*0.01)</f>
        <v>-19560.709486655771</v>
      </c>
      <c r="CA221" s="5">
        <f>INDEX('Team forecast'!$R$3:$BH$26,MATCH($B221,'Team forecast'!$B$3:$B$26,0),MATCH(CA$1,'Team forecast'!$R$2:$BH$2,0))*($BX221-(BY221+BX221+CH221)*0.01)</f>
        <v>-10001.51889645634</v>
      </c>
      <c r="CB221" s="5">
        <f>INDEX('Team forecast'!$R$3:$BH$26,MATCH($B221,'Team forecast'!$B$3:$B$26,0),MATCH(CB$1,'Team forecast'!$R$2:$BH$2,0))*($BX221-(BY221+BX221*2+CH221)*0.01)</f>
        <v>-5183.9360456267323</v>
      </c>
      <c r="CC221" s="5">
        <f>INDEX('Team forecast'!$R$3:$BH$26,MATCH($B221,'Team forecast'!$B$3:$B$26,0),MATCH(CC$1,'Team forecast'!$R$2:$BH$2,0))*($BX221-(BY221+BX221*3+CH221)*0.01)</f>
        <v>-2805.8207776546778</v>
      </c>
      <c r="CD221" s="5">
        <f>+AK221+BD221*Cockpit!$C$3+BW221*Cockpit!$C$3^2+BZ221*Cockpit!$C$3^3+CA221*Cockpit!$C$3^4+CB221*Cockpit!$C$3^5+CC221*Cockpit!$C$3^6</f>
        <v>16853.781877251135</v>
      </c>
      <c r="CE221" s="5"/>
      <c r="CF221" s="5"/>
      <c r="CG221" s="5">
        <v>0</v>
      </c>
      <c r="CH221" s="5">
        <f t="shared" si="130"/>
        <v>3500000</v>
      </c>
      <c r="CI221" s="5">
        <f t="shared" si="131"/>
        <v>3500000</v>
      </c>
      <c r="CJ221" s="1">
        <f t="shared" si="132"/>
        <v>1.1516553866884122E-2</v>
      </c>
      <c r="CK221" s="5">
        <f>RANK(BY221,$BY$2:$BY$623)+COUNTIF($BY$2:$BY221,$BY221)-1</f>
        <v>306</v>
      </c>
      <c r="CL221" s="5">
        <f>RANK(CJ221,$CJ$2:$CJ$623)+COUNTIF($CJ$2:$CJ221,$CJ221)-1</f>
        <v>343</v>
      </c>
    </row>
    <row r="222" spans="1:90">
      <c r="A222" t="str">
        <f>Players!P223</f>
        <v xml:space="preserve">Sam  Johnstone </v>
      </c>
      <c r="B222" t="str">
        <f>Players!G223</f>
        <v>England</v>
      </c>
      <c r="C222" t="str">
        <f>Players!AB223</f>
        <v>Goalkeeper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5000000</v>
      </c>
      <c r="H222" s="16">
        <f>INDEX('Team forecast'!$B$2:$AO$26,MATCH('Master data'!$B222,'Team forecast'!$B$2:$B$26,0),MATCH('Master data'!H$1,'Team forecast'!$B$2:$AO$2,0))</f>
        <v>1.5223243214152651</v>
      </c>
      <c r="I222" s="16">
        <f>INDEX('Team forecast'!$B$2:$AO$26,MATCH('Master data'!$B222,'Team forecast'!$B$2:$B$26,0),MATCH('Master data'!I$1,'Team forecast'!$B$2:$AO$2,0))</f>
        <v>0.74990395996081205</v>
      </c>
      <c r="J222" s="16">
        <f>INDEX('Team forecast'!$B$2:$AO$26,MATCH('Master data'!$B222,'Team forecast'!$B$2:$B$26,0),MATCH('Master data'!J$1,'Team forecast'!$B$2:$AO$2,0))</f>
        <v>0.47241192102180191</v>
      </c>
      <c r="K222" s="16">
        <f>INDEX('Team forecast'!$B$2:$AO$26,MATCH('Master data'!$B222,'Team forecast'!$B$2:$B$26,0),MATCH('Master data'!K$1,'Team forecast'!$B$2:$AO$2,0))</f>
        <v>3.7411838276290243</v>
      </c>
      <c r="L222" s="16">
        <f>INDEX('Team forecast'!$B$2:$AO$26,MATCH('Master data'!$B222,'Team forecast'!$B$2:$B$26,0),MATCH('Master data'!L$1,'Team forecast'!$B$2:$AO$2,0))</f>
        <v>2.461805929164282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1.3513513513513513E-2</v>
      </c>
      <c r="R222" s="2">
        <f>Players!BR223</f>
        <v>0</v>
      </c>
      <c r="S222" s="2">
        <f t="shared" si="91"/>
        <v>1.5223243214152651</v>
      </c>
      <c r="T222" s="2">
        <f t="shared" si="92"/>
        <v>0.74990395996081205</v>
      </c>
      <c r="U222" s="16">
        <f>INDEX('Team forecast'!$B$2:$AO$26,MATCH('Master data'!$B222,'Team forecast'!$B$2:$B$26,0),MATCH('Master data'!U$1,'Team forecast'!$B$2:$AO$2,0))</f>
        <v>0.56576277966682864</v>
      </c>
      <c r="V222" s="16">
        <f>INDEX('Team forecast'!$B$2:$AO$26,MATCH('Master data'!$B222,'Team forecast'!$B$2:$B$26,0),MATCH('Master data'!V$1,'Team forecast'!$B$2:$AO$2,0))</f>
        <v>0.26245106723433442</v>
      </c>
      <c r="W222" s="16">
        <f>INDEX('Team forecast'!$B$2:$AO$26,MATCH('Master data'!$B222,'Team forecast'!$B$2:$B$26,0),MATCH('Master data'!W$1,'Team forecast'!$B$2:$AO$2,0))</f>
        <v>0.17178615309883699</v>
      </c>
      <c r="X222" s="5">
        <f t="shared" si="93"/>
        <v>-5000</v>
      </c>
      <c r="Y222" s="5">
        <f t="shared" si="94"/>
        <v>0</v>
      </c>
      <c r="Z222" s="5">
        <f t="shared" si="95"/>
        <v>0</v>
      </c>
      <c r="AA222" s="5">
        <f t="shared" si="96"/>
        <v>0</v>
      </c>
      <c r="AB222" s="5">
        <f t="shared" si="97"/>
        <v>0</v>
      </c>
      <c r="AC222" s="5">
        <f t="shared" si="98"/>
        <v>0</v>
      </c>
      <c r="AD222" s="5">
        <f t="shared" si="99"/>
        <v>0</v>
      </c>
      <c r="AE222" s="5">
        <f t="shared" si="100"/>
        <v>35430.894076635144</v>
      </c>
      <c r="AF222" s="5">
        <f t="shared" si="101"/>
        <v>8559.5098460173504</v>
      </c>
      <c r="AG222" s="5">
        <f t="shared" si="102"/>
        <v>0</v>
      </c>
      <c r="AH222" s="5">
        <f t="shared" si="103"/>
        <v>0</v>
      </c>
      <c r="AI222" s="5">
        <f t="shared" si="104"/>
        <v>0</v>
      </c>
      <c r="AJ222" s="5">
        <f t="shared" si="105"/>
        <v>0</v>
      </c>
      <c r="AK222" s="5">
        <f>IFERROR(SUM(X222:AJ222),-5000)*((Cockpit!$C$3)^0)</f>
        <v>38990.403922652491</v>
      </c>
      <c r="AL222" s="16">
        <f>INDEX('Team forecast'!$B$2:$AO$26,MATCH('Master data'!$B222,'Team forecast'!$B$2:$B$26,0),MATCH('Master data'!AL$1,'Team forecast'!$B$2:$AO$2,0))</f>
        <v>2.0067977929974719</v>
      </c>
      <c r="AM222" s="16">
        <f>INDEX('Team forecast'!$B$2:$AO$26,MATCH('Master data'!$B222,'Team forecast'!$B$2:$B$26,0),MATCH('Master data'!AM$1,'Team forecast'!$B$2:$AO$2,0))</f>
        <v>0.66520361079548807</v>
      </c>
      <c r="AN222" s="16">
        <f>INDEX('Team forecast'!$B$2:$AO$26,MATCH('Master data'!$B222,'Team forecast'!$B$2:$B$26,0),MATCH('Master data'!AN$1,'Team forecast'!$B$2:$AO$2,0))</f>
        <v>0.51416882672404407</v>
      </c>
      <c r="AO222" s="16">
        <f>INDEX('Team forecast'!$B$2:$AO$26,MATCH('Master data'!$B222,'Team forecast'!$B$2:$B$26,0),MATCH('Master data'!AO$1,'Team forecast'!$B$2:$AO$2,0))</f>
        <v>4.9318002365645421</v>
      </c>
      <c r="AP222" s="16">
        <f>INDEX('Team forecast'!$B$2:$AO$26,MATCH('Master data'!$B222,'Team forecast'!$B$2:$B$26,0),MATCH('Master data'!AP$1,'Team forecast'!$B$2:$AO$2,0))</f>
        <v>2.1837492273589256</v>
      </c>
      <c r="AQ222" s="5">
        <f t="shared" si="106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107"/>
        <v>0</v>
      </c>
      <c r="AV222" s="5">
        <f t="shared" si="108"/>
        <v>0</v>
      </c>
      <c r="AW222" s="5">
        <f t="shared" si="109"/>
        <v>0</v>
      </c>
      <c r="AX222" s="5">
        <f t="shared" si="110"/>
        <v>38562.662004303304</v>
      </c>
      <c r="AY222" s="5">
        <f t="shared" si="111"/>
        <v>7592.7280828171888</v>
      </c>
      <c r="AZ222" s="5">
        <f t="shared" si="112"/>
        <v>0</v>
      </c>
      <c r="BA222" s="5">
        <f t="shared" si="113"/>
        <v>0</v>
      </c>
      <c r="BB222" s="5">
        <f t="shared" si="114"/>
        <v>0</v>
      </c>
      <c r="BC222" s="5">
        <f t="shared" si="115"/>
        <v>0</v>
      </c>
      <c r="BD222" s="5">
        <f t="shared" si="116"/>
        <v>41155.39008712049</v>
      </c>
      <c r="BE222" s="16">
        <f>INDEX('Team forecast'!$B$2:$AO$26,MATCH('Master data'!$B222,'Team forecast'!$B$2:$B$26,0),MATCH('Master data'!BE$1,'Team forecast'!$B$2:$AO$2,0))</f>
        <v>2.2346287595631029</v>
      </c>
      <c r="BF222" s="16">
        <f>INDEX('Team forecast'!$B$2:$AO$26,MATCH('Master data'!$B222,'Team forecast'!$B$2:$B$26,0),MATCH('Master data'!BF$1,'Team forecast'!$B$2:$AO$2,0))</f>
        <v>0.82586154259115363</v>
      </c>
      <c r="BG222" s="16">
        <f>INDEX('Team forecast'!$B$2:$AO$26,MATCH('Master data'!$B222,'Team forecast'!$B$2:$B$26,0),MATCH('Master data'!BG$1,'Team forecast'!$B$2:$AO$2,0))</f>
        <v>0.43785759694850601</v>
      </c>
      <c r="BH222" s="16">
        <f>INDEX('Team forecast'!$B$2:$AO$26,MATCH('Master data'!$B222,'Team forecast'!$B$2:$B$26,0),MATCH('Master data'!BH$1,'Team forecast'!$B$2:$AO$2,0))</f>
        <v>5.4917055836432862</v>
      </c>
      <c r="BI222" s="16">
        <f>INDEX('Team forecast'!$B$2:$AO$26,MATCH('Master data'!$B222,'Team forecast'!$B$2:$B$26,0),MATCH('Master data'!BI$1,'Team forecast'!$B$2:$AO$2,0))</f>
        <v>2.7111616297184336</v>
      </c>
      <c r="BJ222" s="5">
        <f t="shared" si="117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118"/>
        <v>0</v>
      </c>
      <c r="BO222" s="5">
        <f t="shared" si="119"/>
        <v>0</v>
      </c>
      <c r="BP222" s="5">
        <f t="shared" si="120"/>
        <v>0</v>
      </c>
      <c r="BQ222" s="5">
        <f t="shared" si="121"/>
        <v>32839.319771137954</v>
      </c>
      <c r="BR222" s="5">
        <f t="shared" si="122"/>
        <v>9426.5004356364007</v>
      </c>
      <c r="BS222" s="5">
        <f t="shared" si="123"/>
        <v>0</v>
      </c>
      <c r="BT222" s="5">
        <f t="shared" si="124"/>
        <v>0</v>
      </c>
      <c r="BU222" s="5">
        <f t="shared" si="125"/>
        <v>0</v>
      </c>
      <c r="BV222" s="5">
        <f t="shared" si="126"/>
        <v>0</v>
      </c>
      <c r="BW222" s="5">
        <f t="shared" si="127"/>
        <v>37265.820206774355</v>
      </c>
      <c r="BX222" s="5">
        <f t="shared" si="128"/>
        <v>39137.204738849112</v>
      </c>
      <c r="BY222" s="5">
        <f t="shared" si="129"/>
        <v>117411.61421654734</v>
      </c>
      <c r="BZ222" s="5">
        <f>INDEX('Team forecast'!$R$3:$BH$26,MATCH($B222,'Team forecast'!$B$3:$B$26,0),MATCH(BZ$1,'Team forecast'!$R$2:$BH$2,0))*($BX222-(BY222+CH222)*0.01)</f>
        <v>-11527.255742894462</v>
      </c>
      <c r="CA222" s="5">
        <f>INDEX('Team forecast'!$R$3:$BH$26,MATCH($B222,'Team forecast'!$B$3:$B$26,0),MATCH(CA$1,'Team forecast'!$R$2:$BH$2,0))*($BX222-(BY222+BX222+CH222)*0.01)</f>
        <v>-6142.8939293959693</v>
      </c>
      <c r="CB222" s="5">
        <f>INDEX('Team forecast'!$R$3:$BH$26,MATCH($B222,'Team forecast'!$B$3:$B$26,0),MATCH(CB$1,'Team forecast'!$R$2:$BH$2,0))*($BX222-(BY222+BX222*2+CH222)*0.01)</f>
        <v>-3354.4340655897463</v>
      </c>
      <c r="CC222" s="5">
        <f>INDEX('Team forecast'!$R$3:$BH$26,MATCH($B222,'Team forecast'!$B$3:$B$26,0),MATCH(CC$1,'Team forecast'!$R$2:$BH$2,0))*($BX222-(BY222+BX222*3+CH222)*0.01)</f>
        <v>-1975.9384938384644</v>
      </c>
      <c r="CD222" s="5">
        <f>+AK222+BD222*Cockpit!$C$3+BW222*Cockpit!$C$3^2+BZ222*Cockpit!$C$3^3+CA222*Cockpit!$C$3^4+CB222*Cockpit!$C$3^5+CC222*Cockpit!$C$3^6</f>
        <v>77745.81630829713</v>
      </c>
      <c r="CE222" s="5"/>
      <c r="CF222" s="5"/>
      <c r="CG222" s="5">
        <v>0</v>
      </c>
      <c r="CH222" s="5">
        <f t="shared" si="130"/>
        <v>5000000</v>
      </c>
      <c r="CI222" s="5">
        <f t="shared" si="131"/>
        <v>5000000</v>
      </c>
      <c r="CJ222" s="1">
        <f t="shared" si="132"/>
        <v>2.3482322843309467E-2</v>
      </c>
      <c r="CK222" s="5">
        <f>RANK(BY222,$BY$2:$BY$623)+COUNTIF($BY$2:$BY222,$BY222)-1</f>
        <v>139</v>
      </c>
      <c r="CL222" s="5">
        <f>RANK(CJ222,$CJ$2:$CJ$623)+COUNTIF($CJ$2:$CJ222,$CJ222)-1</f>
        <v>228</v>
      </c>
    </row>
    <row r="223" spans="1:90">
      <c r="A223" t="str">
        <f>Players!P224</f>
        <v>Anthony Lopes</v>
      </c>
      <c r="B223" t="str">
        <f>Players!G224</f>
        <v>Portugal</v>
      </c>
      <c r="C223" t="str">
        <f>Players!AB224</f>
        <v>Goalkeeper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5000000</v>
      </c>
      <c r="H223" s="16">
        <f>INDEX('Team forecast'!$B$2:$AO$26,MATCH('Master data'!$B223,'Team forecast'!$B$2:$B$26,0),MATCH('Master data'!H$1,'Team forecast'!$B$2:$AO$2,0))</f>
        <v>1.7625676631272518</v>
      </c>
      <c r="I223" s="16">
        <f>INDEX('Team forecast'!$B$2:$AO$26,MATCH('Master data'!$B223,'Team forecast'!$B$2:$B$26,0),MATCH('Master data'!I$1,'Team forecast'!$B$2:$AO$2,0))</f>
        <v>0.75096675144877167</v>
      </c>
      <c r="J223" s="16">
        <f>INDEX('Team forecast'!$B$2:$AO$26,MATCH('Master data'!$B223,'Team forecast'!$B$2:$B$26,0),MATCH('Master data'!J$1,'Team forecast'!$B$2:$AO$2,0))</f>
        <v>0.47191011235955049</v>
      </c>
      <c r="K223" s="16">
        <f>INDEX('Team forecast'!$B$2:$AO$26,MATCH('Master data'!$B223,'Team forecast'!$B$2:$B$26,0),MATCH('Master data'!K$1,'Team forecast'!$B$2:$AO$2,0))</f>
        <v>4.4913621777278765</v>
      </c>
      <c r="L223" s="16">
        <f>INDEX('Team forecast'!$B$2:$AO$26,MATCH('Master data'!$B223,'Team forecast'!$B$2:$B$26,0),MATCH('Master data'!L$1,'Team forecast'!$B$2:$AO$2,0))</f>
        <v>2.0995338051067773</v>
      </c>
      <c r="M223">
        <f>IF(Players!BC224=1,95,0)</f>
        <v>95</v>
      </c>
      <c r="N223" s="2">
        <f>Players!BN224</f>
        <v>0</v>
      </c>
      <c r="O223" s="2">
        <f>Players!BO224</f>
        <v>0</v>
      </c>
      <c r="P223" s="2">
        <f>Players!BP224</f>
        <v>0</v>
      </c>
      <c r="Q223" s="2">
        <f>Players!BQ224</f>
        <v>2.6315789473684213E-2</v>
      </c>
      <c r="R223" s="2">
        <f>Players!BR224</f>
        <v>0</v>
      </c>
      <c r="S223" s="2">
        <f t="shared" si="91"/>
        <v>1.7625676631272518</v>
      </c>
      <c r="T223" s="2">
        <f t="shared" si="92"/>
        <v>0.75096675144877167</v>
      </c>
      <c r="U223" s="16">
        <f>INDEX('Team forecast'!$B$2:$AO$26,MATCH('Master data'!$B223,'Team forecast'!$B$2:$B$26,0),MATCH('Master data'!U$1,'Team forecast'!$B$2:$AO$2,0))</f>
        <v>0.6292134831460674</v>
      </c>
      <c r="V223" s="16">
        <f>INDEX('Team forecast'!$B$2:$AO$26,MATCH('Master data'!$B223,'Team forecast'!$B$2:$B$26,0),MATCH('Master data'!V$1,'Team forecast'!$B$2:$AO$2,0))</f>
        <v>0.2359550561797753</v>
      </c>
      <c r="W223" s="16">
        <f>INDEX('Team forecast'!$B$2:$AO$26,MATCH('Master data'!$B223,'Team forecast'!$B$2:$B$26,0),MATCH('Master data'!W$1,'Team forecast'!$B$2:$AO$2,0))</f>
        <v>0.1348314606741573</v>
      </c>
      <c r="X223" s="5">
        <f t="shared" si="93"/>
        <v>7000</v>
      </c>
      <c r="Y223" s="5">
        <f t="shared" si="94"/>
        <v>15730.337078651684</v>
      </c>
      <c r="Z223" s="5">
        <f t="shared" si="95"/>
        <v>1179.7752808988764</v>
      </c>
      <c r="AA223" s="5">
        <f t="shared" si="96"/>
        <v>-2022.4719101123594</v>
      </c>
      <c r="AB223" s="5">
        <f t="shared" si="97"/>
        <v>0</v>
      </c>
      <c r="AC223" s="5">
        <f t="shared" si="98"/>
        <v>0</v>
      </c>
      <c r="AD223" s="5">
        <f t="shared" si="99"/>
        <v>0</v>
      </c>
      <c r="AE223" s="5">
        <f t="shared" si="100"/>
        <v>35393.258426966284</v>
      </c>
      <c r="AF223" s="5">
        <f t="shared" si="101"/>
        <v>6742.8352682900286</v>
      </c>
      <c r="AG223" s="5">
        <f t="shared" si="102"/>
        <v>-526.31578947368428</v>
      </c>
      <c r="AH223" s="5">
        <f t="shared" si="103"/>
        <v>0</v>
      </c>
      <c r="AI223" s="5">
        <f t="shared" si="104"/>
        <v>17625.676631272519</v>
      </c>
      <c r="AJ223" s="5">
        <f t="shared" si="105"/>
        <v>-6007.7340115901734</v>
      </c>
      <c r="AK223" s="5">
        <f>IFERROR(SUM(X223:AJ223),-5000)*((Cockpit!$C$3)^0)</f>
        <v>75115.360974903175</v>
      </c>
      <c r="AL223" s="16">
        <f>INDEX('Team forecast'!$B$2:$AO$26,MATCH('Master data'!$B223,'Team forecast'!$B$2:$B$26,0),MATCH('Master data'!AL$1,'Team forecast'!$B$2:$AO$2,0))</f>
        <v>1.1612459518433673</v>
      </c>
      <c r="AM223" s="16">
        <f>INDEX('Team forecast'!$B$2:$AO$26,MATCH('Master data'!$B223,'Team forecast'!$B$2:$B$26,0),MATCH('Master data'!AM$1,'Team forecast'!$B$2:$AO$2,0))</f>
        <v>1.384389503157577</v>
      </c>
      <c r="AN223" s="16">
        <f>INDEX('Team forecast'!$B$2:$AO$26,MATCH('Master data'!$B223,'Team forecast'!$B$2:$B$26,0),MATCH('Master data'!AN$1,'Team forecast'!$B$2:$AO$2,0))</f>
        <v>0.25047666833918708</v>
      </c>
      <c r="AO223" s="16">
        <f>INDEX('Team forecast'!$B$2:$AO$26,MATCH('Master data'!$B223,'Team forecast'!$B$2:$B$26,0),MATCH('Master data'!AO$1,'Team forecast'!$B$2:$AO$2,0))</f>
        <v>2.9590785399382193</v>
      </c>
      <c r="AP223" s="16">
        <f>INDEX('Team forecast'!$B$2:$AO$26,MATCH('Master data'!$B223,'Team forecast'!$B$2:$B$26,0),MATCH('Master data'!AP$1,'Team forecast'!$B$2:$AO$2,0))</f>
        <v>3.8704410757292824</v>
      </c>
      <c r="AQ223" s="5">
        <f t="shared" si="106"/>
        <v>7000</v>
      </c>
      <c r="AR223" s="5">
        <f>INDEX('Team forecast'!$B$2:$AO$26,MATCH('Master data'!$B223,'Team forecast'!$B$2:$B$26,0),MATCH('Master data'!AR$1,'Team forecast'!$B$2:$AO$2,0))*IF(X223&gt;0,25000,0)</f>
        <v>7225.2885097842445</v>
      </c>
      <c r="AS223" s="16">
        <f>INDEX('Team forecast'!$B$2:$AO$26,MATCH('Master data'!$B223,'Team forecast'!$B$2:$B$26,0),MATCH('Master data'!AS$1,'Team forecast'!$B$2:$AO$2,0))*IF(X223&gt;0,5000,0)</f>
        <v>1467.6367285499246</v>
      </c>
      <c r="AT223" s="16">
        <f>INDEX('Team forecast'!$B$2:$AO$26,MATCH('Master data'!$B223,'Team forecast'!$B$2:$B$26,0),MATCH('Master data'!AT$1,'Team forecast'!$B$2:$AO$2,0))*IF(X223&gt;0,-15000,0)</f>
        <v>-6261.91670847968</v>
      </c>
      <c r="AU223" s="5">
        <f t="shared" si="107"/>
        <v>0</v>
      </c>
      <c r="AV223" s="5">
        <f t="shared" si="108"/>
        <v>0</v>
      </c>
      <c r="AW223" s="5">
        <f t="shared" si="109"/>
        <v>0</v>
      </c>
      <c r="AX223" s="5">
        <f t="shared" si="110"/>
        <v>18785.75012543903</v>
      </c>
      <c r="AY223" s="5">
        <f t="shared" si="111"/>
        <v>12430.257862858527</v>
      </c>
      <c r="AZ223" s="5">
        <f t="shared" si="112"/>
        <v>-526.31578947368428</v>
      </c>
      <c r="BA223" s="5">
        <f t="shared" si="113"/>
        <v>0</v>
      </c>
      <c r="BB223" s="5">
        <f t="shared" si="114"/>
        <v>11612.459518433674</v>
      </c>
      <c r="BC223" s="5">
        <f t="shared" si="115"/>
        <v>-11075.116025260617</v>
      </c>
      <c r="BD223" s="5">
        <f t="shared" si="116"/>
        <v>40658.044221851422</v>
      </c>
      <c r="BE223" s="16">
        <f>INDEX('Team forecast'!$B$2:$AO$26,MATCH('Master data'!$B223,'Team forecast'!$B$2:$B$26,0),MATCH('Master data'!BE$1,'Team forecast'!$B$2:$AO$2,0))</f>
        <v>1.0107278258414167</v>
      </c>
      <c r="BF223" s="16">
        <f>INDEX('Team forecast'!$B$2:$AO$26,MATCH('Master data'!$B223,'Team forecast'!$B$2:$B$26,0),MATCH('Master data'!BF$1,'Team forecast'!$B$2:$AO$2,0))</f>
        <v>1.2965069481471114</v>
      </c>
      <c r="BG223" s="16">
        <f>INDEX('Team forecast'!$B$2:$AO$26,MATCH('Master data'!$B223,'Team forecast'!$B$2:$B$26,0),MATCH('Master data'!BG$1,'Team forecast'!$B$2:$AO$2,0))</f>
        <v>0.27348542529246672</v>
      </c>
      <c r="BH223" s="16">
        <f>INDEX('Team forecast'!$B$2:$AO$26,MATCH('Master data'!$B223,'Team forecast'!$B$2:$B$26,0),MATCH('Master data'!BH$1,'Team forecast'!$B$2:$AO$2,0))</f>
        <v>2.5755293393428875</v>
      </c>
      <c r="BI223" s="16">
        <f>INDEX('Team forecast'!$B$2:$AO$26,MATCH('Master data'!$B223,'Team forecast'!$B$2:$B$26,0),MATCH('Master data'!BI$1,'Team forecast'!$B$2:$AO$2,0))</f>
        <v>3.6247412564394597</v>
      </c>
      <c r="BJ223" s="5">
        <f t="shared" si="117"/>
        <v>7000</v>
      </c>
      <c r="BK223" s="5">
        <f>INDEX('Team forecast'!$R$3:$BH$26,MATCH($B223,'Team forecast'!$B$3:$B$26,0),MATCH(BK$1,'Team forecast'!$R$2:$BH$2,0))*IF($X223&gt;0,25000,0)</f>
        <v>7251.5074888154077</v>
      </c>
      <c r="BL223" s="5">
        <f>INDEX('Team forecast'!$R$3:$BH$26,MATCH($B223,'Team forecast'!$B$3:$B$26,0),MATCH(BL$1,'Team forecast'!$R$2:$BH$2,0))*IF($X223&gt;0,5000,0)</f>
        <v>1495.6234195681775</v>
      </c>
      <c r="BM223" s="5">
        <f>INDEX('Team forecast'!$R$3:$BH$26,MATCH($B223,'Team forecast'!$B$3:$B$26,0),MATCH(BM$1,'Team forecast'!$R$2:$BH$2,0))*IF($X223&gt;0,-15000,0)</f>
        <v>-6162.2252480062243</v>
      </c>
      <c r="BN223" s="5">
        <f t="shared" si="118"/>
        <v>0</v>
      </c>
      <c r="BO223" s="5">
        <f t="shared" si="119"/>
        <v>0</v>
      </c>
      <c r="BP223" s="5">
        <f t="shared" si="120"/>
        <v>0</v>
      </c>
      <c r="BQ223" s="5">
        <f t="shared" si="121"/>
        <v>20511.406896935005</v>
      </c>
      <c r="BR223" s="5">
        <f t="shared" si="122"/>
        <v>11641.171541461741</v>
      </c>
      <c r="BS223" s="5">
        <f t="shared" si="123"/>
        <v>-526.31578947368428</v>
      </c>
      <c r="BT223" s="5">
        <f t="shared" si="124"/>
        <v>0</v>
      </c>
      <c r="BU223" s="5">
        <f t="shared" si="125"/>
        <v>10107.278258414168</v>
      </c>
      <c r="BV223" s="5">
        <f t="shared" si="126"/>
        <v>-10372.055585176891</v>
      </c>
      <c r="BW223" s="5">
        <f t="shared" si="127"/>
        <v>40946.39098253769</v>
      </c>
      <c r="BX223" s="5">
        <f t="shared" si="128"/>
        <v>52239.932059764098</v>
      </c>
      <c r="BY223" s="5">
        <f t="shared" si="129"/>
        <v>156719.79617929229</v>
      </c>
      <c r="BZ223" s="5">
        <f>INDEX('Team forecast'!$R$3:$BH$26,MATCH($B223,'Team forecast'!$B$3:$B$26,0),MATCH(BZ$1,'Team forecast'!$R$2:$BH$2,0))*($BX223-(BY223+CH223)*0.01)</f>
        <v>505.85541352662892</v>
      </c>
      <c r="CA223" s="5">
        <f>INDEX('Team forecast'!$R$3:$BH$26,MATCH($B223,'Team forecast'!$B$3:$B$26,0),MATCH(CA$1,'Team forecast'!$R$2:$BH$2,0))*($BX223-(BY223+BX223+CH223)*0.01)</f>
        <v>57.607336488066856</v>
      </c>
      <c r="CB223" s="5">
        <f>INDEX('Team forecast'!$R$3:$BH$26,MATCH($B223,'Team forecast'!$B$3:$B$26,0),MATCH(CB$1,'Team forecast'!$R$2:$BH$2,0))*($BX223-(BY223+BX223*2+CH223)*0.01)</f>
        <v>-73.816035847117064</v>
      </c>
      <c r="CC223" s="5">
        <f>INDEX('Team forecast'!$R$3:$BH$26,MATCH($B223,'Team forecast'!$B$3:$B$26,0),MATCH(CC$1,'Team forecast'!$R$2:$BH$2,0))*($BX223-(BY223+BX223*3+CH223)*0.01)</f>
        <v>-96.570743996126922</v>
      </c>
      <c r="CD223" s="5">
        <f>+AK223+BD223*Cockpit!$C$3+BW223*Cockpit!$C$3^2+BZ223*Cockpit!$C$3^3+CA223*Cockpit!$C$3^4+CB223*Cockpit!$C$3^5+CC223*Cockpit!$C$3^6</f>
        <v>120562.18337391685</v>
      </c>
      <c r="CE223" s="5"/>
      <c r="CF223" s="5"/>
      <c r="CG223" s="5">
        <v>0</v>
      </c>
      <c r="CH223" s="5">
        <f t="shared" si="130"/>
        <v>5000000</v>
      </c>
      <c r="CI223" s="5">
        <f t="shared" si="131"/>
        <v>5000000</v>
      </c>
      <c r="CJ223" s="1">
        <f t="shared" si="132"/>
        <v>3.1343959235858455E-2</v>
      </c>
      <c r="CK223" s="5">
        <f>RANK(BY223,$BY$2:$BY$623)+COUNTIF($BY$2:$BY223,$BY223)-1</f>
        <v>92</v>
      </c>
      <c r="CL223" s="5">
        <f>RANK(CJ223,$CJ$2:$CJ$623)+COUNTIF($CJ$2:$CJ223,$CJ223)-1</f>
        <v>130</v>
      </c>
    </row>
    <row r="224" spans="1:90">
      <c r="A224" t="str">
        <f>Players!P225</f>
        <v>Nuno Mendes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1.7625676631272518</v>
      </c>
      <c r="I224" s="16">
        <f>INDEX('Team forecast'!$B$2:$AO$26,MATCH('Master data'!$B224,'Team forecast'!$B$2:$B$26,0),MATCH('Master data'!I$1,'Team forecast'!$B$2:$AO$2,0))</f>
        <v>0.75096675144877167</v>
      </c>
      <c r="J224" s="16">
        <f>INDEX('Team forecast'!$B$2:$AO$26,MATCH('Master data'!$B224,'Team forecast'!$B$2:$B$26,0),MATCH('Master data'!J$1,'Team forecast'!$B$2:$AO$2,0))</f>
        <v>0.47191011235955049</v>
      </c>
      <c r="K224" s="16">
        <f>INDEX('Team forecast'!$B$2:$AO$26,MATCH('Master data'!$B224,'Team forecast'!$B$2:$B$26,0),MATCH('Master data'!K$1,'Team forecast'!$B$2:$AO$2,0))</f>
        <v>4.4913621777278765</v>
      </c>
      <c r="L224" s="16">
        <f>INDEX('Team forecast'!$B$2:$AO$26,MATCH('Master data'!$B224,'Team forecast'!$B$2:$B$26,0),MATCH('Master data'!L$1,'Team forecast'!$B$2:$AO$2,0))</f>
        <v>2.0995338051067773</v>
      </c>
      <c r="M224">
        <f>IF(Players!BC225=1,95,0)</f>
        <v>95</v>
      </c>
      <c r="N224" s="2">
        <f>Players!BN225</f>
        <v>5.5913278569713523E-2</v>
      </c>
      <c r="O224" s="2">
        <f>Players!BO225</f>
        <v>6.6926783270767273E-2</v>
      </c>
      <c r="P224" s="2">
        <f>Players!BP225</f>
        <v>1.421148387838363E-2</v>
      </c>
      <c r="Q224" s="2">
        <f>Players!BQ225</f>
        <v>0.1382063882063882</v>
      </c>
      <c r="R224" s="2">
        <f>Players!BR225</f>
        <v>0</v>
      </c>
      <c r="S224" s="2">
        <f t="shared" si="91"/>
        <v>1.7625676631272518</v>
      </c>
      <c r="T224" s="2">
        <f t="shared" si="92"/>
        <v>0.75096675144877167</v>
      </c>
      <c r="U224" s="16">
        <f>INDEX('Team forecast'!$B$2:$AO$26,MATCH('Master data'!$B224,'Team forecast'!$B$2:$B$26,0),MATCH('Master data'!U$1,'Team forecast'!$B$2:$AO$2,0))</f>
        <v>0.6292134831460674</v>
      </c>
      <c r="V224" s="16">
        <f>INDEX('Team forecast'!$B$2:$AO$26,MATCH('Master data'!$B224,'Team forecast'!$B$2:$B$26,0),MATCH('Master data'!V$1,'Team forecast'!$B$2:$AO$2,0))</f>
        <v>0.2359550561797753</v>
      </c>
      <c r="W224" s="16">
        <f>INDEX('Team forecast'!$B$2:$AO$26,MATCH('Master data'!$B224,'Team forecast'!$B$2:$B$26,0),MATCH('Master data'!W$1,'Team forecast'!$B$2:$AO$2,0))</f>
        <v>0.1348314606741573</v>
      </c>
      <c r="X224" s="5">
        <f t="shared" si="93"/>
        <v>7000</v>
      </c>
      <c r="Y224" s="5">
        <f t="shared" si="94"/>
        <v>15730.337078651684</v>
      </c>
      <c r="Z224" s="5">
        <f t="shared" si="95"/>
        <v>1179.7752808988764</v>
      </c>
      <c r="AA224" s="5">
        <f t="shared" si="96"/>
        <v>-2022.4719101123594</v>
      </c>
      <c r="AB224" s="5">
        <f t="shared" si="97"/>
        <v>14782.640511960451</v>
      </c>
      <c r="AC224" s="5">
        <f t="shared" si="98"/>
        <v>5898.1491995090164</v>
      </c>
      <c r="AD224" s="5">
        <f t="shared" si="99"/>
        <v>638.28921180761711</v>
      </c>
      <c r="AE224" s="5">
        <f t="shared" si="100"/>
        <v>23595.505617977524</v>
      </c>
      <c r="AF224" s="5">
        <f t="shared" si="101"/>
        <v>0</v>
      </c>
      <c r="AG224" s="5">
        <f t="shared" si="102"/>
        <v>-2764.1277641277638</v>
      </c>
      <c r="AH224" s="5">
        <f t="shared" si="103"/>
        <v>0</v>
      </c>
      <c r="AI224" s="5">
        <f t="shared" si="104"/>
        <v>17625.676631272519</v>
      </c>
      <c r="AJ224" s="5">
        <f t="shared" si="105"/>
        <v>-6007.7340115901734</v>
      </c>
      <c r="AK224" s="5">
        <f>IFERROR(SUM(X224:AJ224),-5000)*((Cockpit!$C$3)^0)</f>
        <v>75656.039846247397</v>
      </c>
      <c r="AL224" s="16">
        <f>INDEX('Team forecast'!$B$2:$AO$26,MATCH('Master data'!$B224,'Team forecast'!$B$2:$B$26,0),MATCH('Master data'!AL$1,'Team forecast'!$B$2:$AO$2,0))</f>
        <v>1.1612459518433673</v>
      </c>
      <c r="AM224" s="16">
        <f>INDEX('Team forecast'!$B$2:$AO$26,MATCH('Master data'!$B224,'Team forecast'!$B$2:$B$26,0),MATCH('Master data'!AM$1,'Team forecast'!$B$2:$AO$2,0))</f>
        <v>1.384389503157577</v>
      </c>
      <c r="AN224" s="16">
        <f>INDEX('Team forecast'!$B$2:$AO$26,MATCH('Master data'!$B224,'Team forecast'!$B$2:$B$26,0),MATCH('Master data'!AN$1,'Team forecast'!$B$2:$AO$2,0))</f>
        <v>0.25047666833918708</v>
      </c>
      <c r="AO224" s="16">
        <f>INDEX('Team forecast'!$B$2:$AO$26,MATCH('Master data'!$B224,'Team forecast'!$B$2:$B$26,0),MATCH('Master data'!AO$1,'Team forecast'!$B$2:$AO$2,0))</f>
        <v>2.9590785399382193</v>
      </c>
      <c r="AP224" s="16">
        <f>INDEX('Team forecast'!$B$2:$AO$26,MATCH('Master data'!$B224,'Team forecast'!$B$2:$B$26,0),MATCH('Master data'!AP$1,'Team forecast'!$B$2:$AO$2,0))</f>
        <v>3.8704410757292824</v>
      </c>
      <c r="AQ224" s="5">
        <f t="shared" si="106"/>
        <v>7000</v>
      </c>
      <c r="AR224" s="5">
        <f>INDEX('Team forecast'!$B$2:$AO$26,MATCH('Master data'!$B224,'Team forecast'!$B$2:$B$26,0),MATCH('Master data'!AR$1,'Team forecast'!$B$2:$AO$2,0))*IF(X224&gt;0,25000,0)</f>
        <v>7225.2885097842445</v>
      </c>
      <c r="AS224" s="16">
        <f>INDEX('Team forecast'!$B$2:$AO$26,MATCH('Master data'!$B224,'Team forecast'!$B$2:$B$26,0),MATCH('Master data'!AS$1,'Team forecast'!$B$2:$AO$2,0))*IF(X224&gt;0,5000,0)</f>
        <v>1467.6367285499246</v>
      </c>
      <c r="AT224" s="16">
        <f>INDEX('Team forecast'!$B$2:$AO$26,MATCH('Master data'!$B224,'Team forecast'!$B$2:$B$26,0),MATCH('Master data'!AT$1,'Team forecast'!$B$2:$AO$2,0))*IF(X224&gt;0,-15000,0)</f>
        <v>-6261.91670847968</v>
      </c>
      <c r="AU224" s="5">
        <f t="shared" si="107"/>
        <v>9739.3602590055507</v>
      </c>
      <c r="AV224" s="5">
        <f t="shared" si="108"/>
        <v>3885.9228071538446</v>
      </c>
      <c r="AW224" s="5">
        <f t="shared" si="109"/>
        <v>420.52896965202973</v>
      </c>
      <c r="AX224" s="5">
        <f t="shared" si="110"/>
        <v>12523.833416959355</v>
      </c>
      <c r="AY224" s="5">
        <f t="shared" si="111"/>
        <v>0</v>
      </c>
      <c r="AZ224" s="5">
        <f t="shared" si="112"/>
        <v>-2764.1277641277638</v>
      </c>
      <c r="BA224" s="5">
        <f t="shared" si="113"/>
        <v>0</v>
      </c>
      <c r="BB224" s="5">
        <f t="shared" si="114"/>
        <v>11612.459518433674</v>
      </c>
      <c r="BC224" s="5">
        <f t="shared" si="115"/>
        <v>-11075.116025260617</v>
      </c>
      <c r="BD224" s="5">
        <f t="shared" si="116"/>
        <v>33773.869711670559</v>
      </c>
      <c r="BE224" s="16">
        <f>INDEX('Team forecast'!$B$2:$AO$26,MATCH('Master data'!$B224,'Team forecast'!$B$2:$B$26,0),MATCH('Master data'!BE$1,'Team forecast'!$B$2:$AO$2,0))</f>
        <v>1.0107278258414167</v>
      </c>
      <c r="BF224" s="16">
        <f>INDEX('Team forecast'!$B$2:$AO$26,MATCH('Master data'!$B224,'Team forecast'!$B$2:$B$26,0),MATCH('Master data'!BF$1,'Team forecast'!$B$2:$AO$2,0))</f>
        <v>1.2965069481471114</v>
      </c>
      <c r="BG224" s="16">
        <f>INDEX('Team forecast'!$B$2:$AO$26,MATCH('Master data'!$B224,'Team forecast'!$B$2:$B$26,0),MATCH('Master data'!BG$1,'Team forecast'!$B$2:$AO$2,0))</f>
        <v>0.27348542529246672</v>
      </c>
      <c r="BH224" s="16">
        <f>INDEX('Team forecast'!$B$2:$AO$26,MATCH('Master data'!$B224,'Team forecast'!$B$2:$B$26,0),MATCH('Master data'!BH$1,'Team forecast'!$B$2:$AO$2,0))</f>
        <v>2.5755293393428875</v>
      </c>
      <c r="BI224" s="16">
        <f>INDEX('Team forecast'!$B$2:$AO$26,MATCH('Master data'!$B224,'Team forecast'!$B$2:$B$26,0),MATCH('Master data'!BI$1,'Team forecast'!$B$2:$AO$2,0))</f>
        <v>3.6247412564394597</v>
      </c>
      <c r="BJ224" s="5">
        <f t="shared" si="117"/>
        <v>7000</v>
      </c>
      <c r="BK224" s="5">
        <f>INDEX('Team forecast'!$R$3:$BH$26,MATCH($B224,'Team forecast'!$B$3:$B$26,0),MATCH(BK$1,'Team forecast'!$R$2:$BH$2,0))*IF($X224&gt;0,25000,0)</f>
        <v>7251.5074888154077</v>
      </c>
      <c r="BL224" s="5">
        <f>INDEX('Team forecast'!$R$3:$BH$26,MATCH($B224,'Team forecast'!$B$3:$B$26,0),MATCH(BL$1,'Team forecast'!$R$2:$BH$2,0))*IF($X224&gt;0,5000,0)</f>
        <v>1495.6234195681775</v>
      </c>
      <c r="BM224" s="5">
        <f>INDEX('Team forecast'!$R$3:$BH$26,MATCH($B224,'Team forecast'!$B$3:$B$26,0),MATCH(BM$1,'Team forecast'!$R$2:$BH$2,0))*IF($X224&gt;0,-15000,0)</f>
        <v>-6162.2252480062243</v>
      </c>
      <c r="BN224" s="5">
        <f t="shared" si="118"/>
        <v>8476.9659726648042</v>
      </c>
      <c r="BO224" s="5">
        <f t="shared" si="119"/>
        <v>3382.2381072911153</v>
      </c>
      <c r="BP224" s="5">
        <f t="shared" si="120"/>
        <v>366.0209368437549</v>
      </c>
      <c r="BQ224" s="5">
        <f t="shared" si="121"/>
        <v>13674.271264623336</v>
      </c>
      <c r="BR224" s="5">
        <f t="shared" si="122"/>
        <v>0</v>
      </c>
      <c r="BS224" s="5">
        <f t="shared" si="123"/>
        <v>-2764.1277641277638</v>
      </c>
      <c r="BT224" s="5">
        <f t="shared" si="124"/>
        <v>0</v>
      </c>
      <c r="BU224" s="5">
        <f t="shared" si="125"/>
        <v>10107.278258414168</v>
      </c>
      <c r="BV224" s="5">
        <f t="shared" si="126"/>
        <v>-10372.055585176891</v>
      </c>
      <c r="BW224" s="5">
        <f t="shared" si="127"/>
        <v>32455.496850909887</v>
      </c>
      <c r="BX224" s="5">
        <f t="shared" si="128"/>
        <v>47295.135469609282</v>
      </c>
      <c r="BY224" s="5">
        <f t="shared" si="129"/>
        <v>141885.40640882784</v>
      </c>
      <c r="BZ224" s="5">
        <f>INDEX('Team forecast'!$R$3:$BH$26,MATCH($B224,'Team forecast'!$B$3:$B$26,0),MATCH(BZ$1,'Team forecast'!$R$2:$BH$2,0))*($BX224-(BY224+CH224)*0.01)</f>
        <v>8178.3067702592116</v>
      </c>
      <c r="CA224" s="5">
        <f>INDEX('Team forecast'!$R$3:$BH$26,MATCH($B224,'Team forecast'!$B$3:$B$26,0),MATCH(CA$1,'Team forecast'!$R$2:$BH$2,0))*($BX224-(BY224+BX224+CH224)*0.01)</f>
        <v>3986.4903205012665</v>
      </c>
      <c r="CB224" s="5">
        <f>INDEX('Team forecast'!$R$3:$BH$26,MATCH($B224,'Team forecast'!$B$3:$B$26,0),MATCH(CB$1,'Team forecast'!$R$2:$BH$2,0))*($BX224-(BY224+BX224*2+CH224)*0.01)</f>
        <v>1970.1452426961534</v>
      </c>
      <c r="CC224" s="5">
        <f>INDEX('Team forecast'!$R$3:$BH$26,MATCH($B224,'Team forecast'!$B$3:$B$26,0),MATCH(CC$1,'Team forecast'!$R$2:$BH$2,0))*($BX224-(BY224+BX224*3+CH224)*0.01)</f>
        <v>1021.0706453239967</v>
      </c>
      <c r="CD224" s="5">
        <f>+AK224+BD224*Cockpit!$C$3+BW224*Cockpit!$C$3^2+BZ224*Cockpit!$C$3^3+CA224*Cockpit!$C$3^4+CB224*Cockpit!$C$3^5+CC224*Cockpit!$C$3^6</f>
        <v>116156.35945213826</v>
      </c>
      <c r="CE224" s="5"/>
      <c r="CF224" s="5"/>
      <c r="CG224" s="5">
        <v>0</v>
      </c>
      <c r="CH224" s="5">
        <f t="shared" si="130"/>
        <v>3500000</v>
      </c>
      <c r="CI224" s="5">
        <f t="shared" si="131"/>
        <v>3500000</v>
      </c>
      <c r="CJ224" s="1">
        <f t="shared" si="132"/>
        <v>4.0538687545379384E-2</v>
      </c>
      <c r="CK224" s="5">
        <f>RANK(BY224,$BY$2:$BY$623)+COUNTIF($BY$2:$BY224,$BY224)-1</f>
        <v>101</v>
      </c>
      <c r="CL224" s="5">
        <f>RANK(CJ224,$CJ$2:$CJ$623)+COUNTIF($CJ$2:$CJ224,$CJ224)-1</f>
        <v>72</v>
      </c>
    </row>
    <row r="225" spans="1:90">
      <c r="A225" t="str">
        <f>Players!P226</f>
        <v>Pepe</v>
      </c>
      <c r="B225" t="str">
        <f>Players!G226</f>
        <v>Portugal</v>
      </c>
      <c r="C225" t="str">
        <f>Players!AB226</f>
        <v>Defense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2500000</v>
      </c>
      <c r="H225" s="16">
        <f>INDEX('Team forecast'!$B$2:$AO$26,MATCH('Master data'!$B225,'Team forecast'!$B$2:$B$26,0),MATCH('Master data'!H$1,'Team forecast'!$B$2:$AO$2,0))</f>
        <v>1.7625676631272518</v>
      </c>
      <c r="I225" s="16">
        <f>INDEX('Team forecast'!$B$2:$AO$26,MATCH('Master data'!$B225,'Team forecast'!$B$2:$B$26,0),MATCH('Master data'!I$1,'Team forecast'!$B$2:$AO$2,0))</f>
        <v>0.75096675144877167</v>
      </c>
      <c r="J225" s="16">
        <f>INDEX('Team forecast'!$B$2:$AO$26,MATCH('Master data'!$B225,'Team forecast'!$B$2:$B$26,0),MATCH('Master data'!J$1,'Team forecast'!$B$2:$AO$2,0))</f>
        <v>0.47191011235955049</v>
      </c>
      <c r="K225" s="16">
        <f>INDEX('Team forecast'!$B$2:$AO$26,MATCH('Master data'!$B225,'Team forecast'!$B$2:$B$26,0),MATCH('Master data'!K$1,'Team forecast'!$B$2:$AO$2,0))</f>
        <v>4.4913621777278765</v>
      </c>
      <c r="L225" s="16">
        <f>INDEX('Team forecast'!$B$2:$AO$26,MATCH('Master data'!$B225,'Team forecast'!$B$2:$B$26,0),MATCH('Master data'!L$1,'Team forecast'!$B$2:$AO$2,0))</f>
        <v>2.0995338051067773</v>
      </c>
      <c r="M225">
        <f>IF(Players!BC226=1,95,0)</f>
        <v>95</v>
      </c>
      <c r="N225" s="2">
        <f>Players!BN226</f>
        <v>2.0049299920504783E-2</v>
      </c>
      <c r="O225" s="2">
        <f>Players!BO226</f>
        <v>3.3141315888636405E-2</v>
      </c>
      <c r="P225" s="2">
        <f>Players!BP226</f>
        <v>0</v>
      </c>
      <c r="Q225" s="2">
        <f>Players!BQ226</f>
        <v>0</v>
      </c>
      <c r="R225" s="2">
        <f>Players!BR226</f>
        <v>0</v>
      </c>
      <c r="S225" s="2">
        <f t="shared" si="91"/>
        <v>1.7625676631272518</v>
      </c>
      <c r="T225" s="2">
        <f t="shared" si="92"/>
        <v>0.75096675144877167</v>
      </c>
      <c r="U225" s="16">
        <f>INDEX('Team forecast'!$B$2:$AO$26,MATCH('Master data'!$B225,'Team forecast'!$B$2:$B$26,0),MATCH('Master data'!U$1,'Team forecast'!$B$2:$AO$2,0))</f>
        <v>0.6292134831460674</v>
      </c>
      <c r="V225" s="16">
        <f>INDEX('Team forecast'!$B$2:$AO$26,MATCH('Master data'!$B225,'Team forecast'!$B$2:$B$26,0),MATCH('Master data'!V$1,'Team forecast'!$B$2:$AO$2,0))</f>
        <v>0.2359550561797753</v>
      </c>
      <c r="W225" s="16">
        <f>INDEX('Team forecast'!$B$2:$AO$26,MATCH('Master data'!$B225,'Team forecast'!$B$2:$B$26,0),MATCH('Master data'!W$1,'Team forecast'!$B$2:$AO$2,0))</f>
        <v>0.1348314606741573</v>
      </c>
      <c r="X225" s="5">
        <f t="shared" si="93"/>
        <v>7000</v>
      </c>
      <c r="Y225" s="5">
        <f t="shared" si="94"/>
        <v>15730.337078651684</v>
      </c>
      <c r="Z225" s="5">
        <f t="shared" si="95"/>
        <v>1179.7752808988764</v>
      </c>
      <c r="AA225" s="5">
        <f t="shared" si="96"/>
        <v>-2022.4719101123594</v>
      </c>
      <c r="AB225" s="5">
        <f t="shared" si="97"/>
        <v>5300.7371562332264</v>
      </c>
      <c r="AC225" s="5">
        <f t="shared" si="98"/>
        <v>2920.6905849397963</v>
      </c>
      <c r="AD225" s="5">
        <f t="shared" si="99"/>
        <v>0</v>
      </c>
      <c r="AE225" s="5">
        <f t="shared" si="100"/>
        <v>23595.505617977524</v>
      </c>
      <c r="AF225" s="5">
        <f t="shared" si="101"/>
        <v>0</v>
      </c>
      <c r="AG225" s="5">
        <f t="shared" si="102"/>
        <v>0</v>
      </c>
      <c r="AH225" s="5">
        <f t="shared" si="103"/>
        <v>0</v>
      </c>
      <c r="AI225" s="5">
        <f t="shared" si="104"/>
        <v>17625.676631272519</v>
      </c>
      <c r="AJ225" s="5">
        <f t="shared" si="105"/>
        <v>-6007.7340115901734</v>
      </c>
      <c r="AK225" s="5">
        <f>IFERROR(SUM(X225:AJ225),-5000)*((Cockpit!$C$3)^0)</f>
        <v>65322.51642827109</v>
      </c>
      <c r="AL225" s="16">
        <f>INDEX('Team forecast'!$B$2:$AO$26,MATCH('Master data'!$B225,'Team forecast'!$B$2:$B$26,0),MATCH('Master data'!AL$1,'Team forecast'!$B$2:$AO$2,0))</f>
        <v>1.1612459518433673</v>
      </c>
      <c r="AM225" s="16">
        <f>INDEX('Team forecast'!$B$2:$AO$26,MATCH('Master data'!$B225,'Team forecast'!$B$2:$B$26,0),MATCH('Master data'!AM$1,'Team forecast'!$B$2:$AO$2,0))</f>
        <v>1.384389503157577</v>
      </c>
      <c r="AN225" s="16">
        <f>INDEX('Team forecast'!$B$2:$AO$26,MATCH('Master data'!$B225,'Team forecast'!$B$2:$B$26,0),MATCH('Master data'!AN$1,'Team forecast'!$B$2:$AO$2,0))</f>
        <v>0.25047666833918708</v>
      </c>
      <c r="AO225" s="16">
        <f>INDEX('Team forecast'!$B$2:$AO$26,MATCH('Master data'!$B225,'Team forecast'!$B$2:$B$26,0),MATCH('Master data'!AO$1,'Team forecast'!$B$2:$AO$2,0))</f>
        <v>2.9590785399382193</v>
      </c>
      <c r="AP225" s="16">
        <f>INDEX('Team forecast'!$B$2:$AO$26,MATCH('Master data'!$B225,'Team forecast'!$B$2:$B$26,0),MATCH('Master data'!AP$1,'Team forecast'!$B$2:$AO$2,0))</f>
        <v>3.8704410757292824</v>
      </c>
      <c r="AQ225" s="5">
        <f t="shared" si="106"/>
        <v>7000</v>
      </c>
      <c r="AR225" s="5">
        <f>INDEX('Team forecast'!$B$2:$AO$26,MATCH('Master data'!$B225,'Team forecast'!$B$2:$B$26,0),MATCH('Master data'!AR$1,'Team forecast'!$B$2:$AO$2,0))*IF(X225&gt;0,25000,0)</f>
        <v>7225.2885097842445</v>
      </c>
      <c r="AS225" s="16">
        <f>INDEX('Team forecast'!$B$2:$AO$26,MATCH('Master data'!$B225,'Team forecast'!$B$2:$B$26,0),MATCH('Master data'!AS$1,'Team forecast'!$B$2:$AO$2,0))*IF(X225&gt;0,5000,0)</f>
        <v>1467.6367285499246</v>
      </c>
      <c r="AT225" s="16">
        <f>INDEX('Team forecast'!$B$2:$AO$26,MATCH('Master data'!$B225,'Team forecast'!$B$2:$B$26,0),MATCH('Master data'!AT$1,'Team forecast'!$B$2:$AO$2,0))*IF(X225&gt;0,-15000,0)</f>
        <v>-6261.91670847968</v>
      </c>
      <c r="AU225" s="5">
        <f t="shared" si="107"/>
        <v>3492.3252554969586</v>
      </c>
      <c r="AV225" s="5">
        <f t="shared" si="108"/>
        <v>1924.2609457220647</v>
      </c>
      <c r="AW225" s="5">
        <f t="shared" si="109"/>
        <v>0</v>
      </c>
      <c r="AX225" s="5">
        <f t="shared" si="110"/>
        <v>12523.833416959355</v>
      </c>
      <c r="AY225" s="5">
        <f t="shared" si="111"/>
        <v>0</v>
      </c>
      <c r="AZ225" s="5">
        <f t="shared" si="112"/>
        <v>0</v>
      </c>
      <c r="BA225" s="5">
        <f t="shared" si="113"/>
        <v>0</v>
      </c>
      <c r="BB225" s="5">
        <f t="shared" si="114"/>
        <v>11612.459518433674</v>
      </c>
      <c r="BC225" s="5">
        <f t="shared" si="115"/>
        <v>-11075.116025260617</v>
      </c>
      <c r="BD225" s="5">
        <f t="shared" si="116"/>
        <v>27908.771641205927</v>
      </c>
      <c r="BE225" s="16">
        <f>INDEX('Team forecast'!$B$2:$AO$26,MATCH('Master data'!$B225,'Team forecast'!$B$2:$B$26,0),MATCH('Master data'!BE$1,'Team forecast'!$B$2:$AO$2,0))</f>
        <v>1.0107278258414167</v>
      </c>
      <c r="BF225" s="16">
        <f>INDEX('Team forecast'!$B$2:$AO$26,MATCH('Master data'!$B225,'Team forecast'!$B$2:$B$26,0),MATCH('Master data'!BF$1,'Team forecast'!$B$2:$AO$2,0))</f>
        <v>1.2965069481471114</v>
      </c>
      <c r="BG225" s="16">
        <f>INDEX('Team forecast'!$B$2:$AO$26,MATCH('Master data'!$B225,'Team forecast'!$B$2:$B$26,0),MATCH('Master data'!BG$1,'Team forecast'!$B$2:$AO$2,0))</f>
        <v>0.27348542529246672</v>
      </c>
      <c r="BH225" s="16">
        <f>INDEX('Team forecast'!$B$2:$AO$26,MATCH('Master data'!$B225,'Team forecast'!$B$2:$B$26,0),MATCH('Master data'!BH$1,'Team forecast'!$B$2:$AO$2,0))</f>
        <v>2.5755293393428875</v>
      </c>
      <c r="BI225" s="16">
        <f>INDEX('Team forecast'!$B$2:$AO$26,MATCH('Master data'!$B225,'Team forecast'!$B$2:$B$26,0),MATCH('Master data'!BI$1,'Team forecast'!$B$2:$AO$2,0))</f>
        <v>3.6247412564394597</v>
      </c>
      <c r="BJ225" s="5">
        <f t="shared" si="117"/>
        <v>7000</v>
      </c>
      <c r="BK225" s="5">
        <f>INDEX('Team forecast'!$R$3:$BH$26,MATCH($B225,'Team forecast'!$B$3:$B$26,0),MATCH(BK$1,'Team forecast'!$R$2:$BH$2,0))*IF($X225&gt;0,25000,0)</f>
        <v>7251.5074888154077</v>
      </c>
      <c r="BL225" s="5">
        <f>INDEX('Team forecast'!$R$3:$BH$26,MATCH($B225,'Team forecast'!$B$3:$B$26,0),MATCH(BL$1,'Team forecast'!$R$2:$BH$2,0))*IF($X225&gt;0,5000,0)</f>
        <v>1495.6234195681775</v>
      </c>
      <c r="BM225" s="5">
        <f>INDEX('Team forecast'!$R$3:$BH$26,MATCH($B225,'Team forecast'!$B$3:$B$26,0),MATCH(BM$1,'Team forecast'!$R$2:$BH$2,0))*IF($X225&gt;0,-15000,0)</f>
        <v>-6162.2252480062243</v>
      </c>
      <c r="BN225" s="5">
        <f t="shared" si="118"/>
        <v>3039.657797744143</v>
      </c>
      <c r="BO225" s="5">
        <f t="shared" si="119"/>
        <v>1674.8425076822537</v>
      </c>
      <c r="BP225" s="5">
        <f t="shared" si="120"/>
        <v>0</v>
      </c>
      <c r="BQ225" s="5">
        <f t="shared" si="121"/>
        <v>13674.271264623336</v>
      </c>
      <c r="BR225" s="5">
        <f t="shared" si="122"/>
        <v>0</v>
      </c>
      <c r="BS225" s="5">
        <f t="shared" si="123"/>
        <v>0</v>
      </c>
      <c r="BT225" s="5">
        <f t="shared" si="124"/>
        <v>0</v>
      </c>
      <c r="BU225" s="5">
        <f t="shared" si="125"/>
        <v>10107.278258414168</v>
      </c>
      <c r="BV225" s="5">
        <f t="shared" si="126"/>
        <v>-10372.055585176891</v>
      </c>
      <c r="BW225" s="5">
        <f t="shared" si="127"/>
        <v>27708.899903664369</v>
      </c>
      <c r="BX225" s="5">
        <f t="shared" si="128"/>
        <v>40313.395991047124</v>
      </c>
      <c r="BY225" s="5">
        <f t="shared" si="129"/>
        <v>120940.18797314138</v>
      </c>
      <c r="BZ225" s="5">
        <f>INDEX('Team forecast'!$R$3:$BH$26,MATCH($B225,'Team forecast'!$B$3:$B$26,0),MATCH(BZ$1,'Team forecast'!$R$2:$BH$2,0))*($BX225-(BY225+CH225)*0.01)</f>
        <v>10605.351795119714</v>
      </c>
      <c r="CA225" s="5">
        <f>INDEX('Team forecast'!$R$3:$BH$26,MATCH($B225,'Team forecast'!$B$3:$B$26,0),MATCH(CA$1,'Team forecast'!$R$2:$BH$2,0))*($BX225-(BY225+BX225+CH225)*0.01)</f>
        <v>5250.0830127741328</v>
      </c>
      <c r="CB225" s="5">
        <f>INDEX('Team forecast'!$R$3:$BH$26,MATCH($B225,'Team forecast'!$B$3:$B$26,0),MATCH(CB$1,'Team forecast'!$R$2:$BH$2,0))*($BX225-(BY225+BX225*2+CH225)*0.01)</f>
        <v>2638.2127808542155</v>
      </c>
      <c r="CC225" s="5">
        <f>INDEX('Team forecast'!$R$3:$BH$26,MATCH($B225,'Team forecast'!$B$3:$B$26,0),MATCH(CC$1,'Team forecast'!$R$2:$BH$2,0))*($BX225-(BY225+BX225*3+CH225)*0.01)</f>
        <v>1392.163971845961</v>
      </c>
      <c r="CD225" s="5">
        <f>+AK225+BD225*Cockpit!$C$3+BW225*Cockpit!$C$3^2+BZ225*Cockpit!$C$3^3+CA225*Cockpit!$C$3^4+CB225*Cockpit!$C$3^5+CC225*Cockpit!$C$3^6</f>
        <v>100892.44982903764</v>
      </c>
      <c r="CE225" s="5"/>
      <c r="CF225" s="5"/>
      <c r="CG225" s="5">
        <v>0</v>
      </c>
      <c r="CH225" s="5">
        <f t="shared" si="130"/>
        <v>2500000</v>
      </c>
      <c r="CI225" s="5">
        <f t="shared" si="131"/>
        <v>2500000</v>
      </c>
      <c r="CJ225" s="1">
        <f t="shared" si="132"/>
        <v>4.8376075189256552E-2</v>
      </c>
      <c r="CK225" s="5">
        <f>RANK(BY225,$BY$2:$BY$623)+COUNTIF($BY$2:$BY225,$BY225)-1</f>
        <v>132</v>
      </c>
      <c r="CL225" s="5">
        <f>RANK(CJ225,$CJ$2:$CJ$623)+COUNTIF($CJ$2:$CJ225,$CJ225)-1</f>
        <v>38</v>
      </c>
    </row>
    <row r="226" spans="1:90">
      <c r="A226" t="str">
        <f>Players!P227</f>
        <v>José Fonte</v>
      </c>
      <c r="B226" t="str">
        <f>Players!G227</f>
        <v>Portugal</v>
      </c>
      <c r="C226" t="str">
        <f>Players!AB227</f>
        <v>Defense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1.7625676631272518</v>
      </c>
      <c r="I226" s="16">
        <f>INDEX('Team forecast'!$B$2:$AO$26,MATCH('Master data'!$B226,'Team forecast'!$B$2:$B$26,0),MATCH('Master data'!I$1,'Team forecast'!$B$2:$AO$2,0))</f>
        <v>0.75096675144877167</v>
      </c>
      <c r="J226" s="16">
        <f>INDEX('Team forecast'!$B$2:$AO$26,MATCH('Master data'!$B226,'Team forecast'!$B$2:$B$26,0),MATCH('Master data'!J$1,'Team forecast'!$B$2:$AO$2,0))</f>
        <v>0.47191011235955049</v>
      </c>
      <c r="K226" s="16">
        <f>INDEX('Team forecast'!$B$2:$AO$26,MATCH('Master data'!$B226,'Team forecast'!$B$2:$B$26,0),MATCH('Master data'!K$1,'Team forecast'!$B$2:$AO$2,0))</f>
        <v>4.4913621777278765</v>
      </c>
      <c r="L226" s="16">
        <f>INDEX('Team forecast'!$B$2:$AO$26,MATCH('Master data'!$B226,'Team forecast'!$B$2:$B$26,0),MATCH('Master data'!L$1,'Team forecast'!$B$2:$AO$2,0))</f>
        <v>2.0995338051067773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9.8839033573893939E-2</v>
      </c>
      <c r="R226" s="2">
        <f>Players!BR227</f>
        <v>0</v>
      </c>
      <c r="S226" s="2">
        <f t="shared" si="91"/>
        <v>1.7625676631272518</v>
      </c>
      <c r="T226" s="2">
        <f t="shared" si="92"/>
        <v>0.75096675144877167</v>
      </c>
      <c r="U226" s="16">
        <f>INDEX('Team forecast'!$B$2:$AO$26,MATCH('Master data'!$B226,'Team forecast'!$B$2:$B$26,0),MATCH('Master data'!U$1,'Team forecast'!$B$2:$AO$2,0))</f>
        <v>0.6292134831460674</v>
      </c>
      <c r="V226" s="16">
        <f>INDEX('Team forecast'!$B$2:$AO$26,MATCH('Master data'!$B226,'Team forecast'!$B$2:$B$26,0),MATCH('Master data'!V$1,'Team forecast'!$B$2:$AO$2,0))</f>
        <v>0.2359550561797753</v>
      </c>
      <c r="W226" s="16">
        <f>INDEX('Team forecast'!$B$2:$AO$26,MATCH('Master data'!$B226,'Team forecast'!$B$2:$B$26,0),MATCH('Master data'!W$1,'Team forecast'!$B$2:$AO$2,0))</f>
        <v>0.1348314606741573</v>
      </c>
      <c r="X226" s="5">
        <f t="shared" si="93"/>
        <v>-5000</v>
      </c>
      <c r="Y226" s="5">
        <f t="shared" si="94"/>
        <v>0</v>
      </c>
      <c r="Z226" s="5">
        <f t="shared" si="95"/>
        <v>0</v>
      </c>
      <c r="AA226" s="5">
        <f t="shared" si="96"/>
        <v>0</v>
      </c>
      <c r="AB226" s="5">
        <f t="shared" si="97"/>
        <v>0</v>
      </c>
      <c r="AC226" s="5">
        <f t="shared" si="98"/>
        <v>0</v>
      </c>
      <c r="AD226" s="5">
        <f t="shared" si="99"/>
        <v>0</v>
      </c>
      <c r="AE226" s="5">
        <f t="shared" si="100"/>
        <v>23595.505617977524</v>
      </c>
      <c r="AF226" s="5">
        <f t="shared" si="101"/>
        <v>0</v>
      </c>
      <c r="AG226" s="5">
        <f t="shared" si="102"/>
        <v>0</v>
      </c>
      <c r="AH226" s="5">
        <f t="shared" si="103"/>
        <v>0</v>
      </c>
      <c r="AI226" s="5">
        <f t="shared" si="104"/>
        <v>0</v>
      </c>
      <c r="AJ226" s="5">
        <f t="shared" si="105"/>
        <v>0</v>
      </c>
      <c r="AK226" s="5">
        <f>IFERROR(SUM(X226:AJ226),-5000)*((Cockpit!$C$3)^0)</f>
        <v>18595.505617977524</v>
      </c>
      <c r="AL226" s="16">
        <f>INDEX('Team forecast'!$B$2:$AO$26,MATCH('Master data'!$B226,'Team forecast'!$B$2:$B$26,0),MATCH('Master data'!AL$1,'Team forecast'!$B$2:$AO$2,0))</f>
        <v>1.1612459518433673</v>
      </c>
      <c r="AM226" s="16">
        <f>INDEX('Team forecast'!$B$2:$AO$26,MATCH('Master data'!$B226,'Team forecast'!$B$2:$B$26,0),MATCH('Master data'!AM$1,'Team forecast'!$B$2:$AO$2,0))</f>
        <v>1.384389503157577</v>
      </c>
      <c r="AN226" s="16">
        <f>INDEX('Team forecast'!$B$2:$AO$26,MATCH('Master data'!$B226,'Team forecast'!$B$2:$B$26,0),MATCH('Master data'!AN$1,'Team forecast'!$B$2:$AO$2,0))</f>
        <v>0.25047666833918708</v>
      </c>
      <c r="AO226" s="16">
        <f>INDEX('Team forecast'!$B$2:$AO$26,MATCH('Master data'!$B226,'Team forecast'!$B$2:$B$26,0),MATCH('Master data'!AO$1,'Team forecast'!$B$2:$AO$2,0))</f>
        <v>2.9590785399382193</v>
      </c>
      <c r="AP226" s="16">
        <f>INDEX('Team forecast'!$B$2:$AO$26,MATCH('Master data'!$B226,'Team forecast'!$B$2:$B$26,0),MATCH('Master data'!AP$1,'Team forecast'!$B$2:$AO$2,0))</f>
        <v>3.8704410757292824</v>
      </c>
      <c r="AQ226" s="5">
        <f t="shared" si="106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107"/>
        <v>0</v>
      </c>
      <c r="AV226" s="5">
        <f t="shared" si="108"/>
        <v>0</v>
      </c>
      <c r="AW226" s="5">
        <f t="shared" si="109"/>
        <v>0</v>
      </c>
      <c r="AX226" s="5">
        <f t="shared" si="110"/>
        <v>12523.833416959355</v>
      </c>
      <c r="AY226" s="5">
        <f t="shared" si="111"/>
        <v>0</v>
      </c>
      <c r="AZ226" s="5">
        <f t="shared" si="112"/>
        <v>0</v>
      </c>
      <c r="BA226" s="5">
        <f t="shared" si="113"/>
        <v>0</v>
      </c>
      <c r="BB226" s="5">
        <f t="shared" si="114"/>
        <v>0</v>
      </c>
      <c r="BC226" s="5">
        <f t="shared" si="115"/>
        <v>0</v>
      </c>
      <c r="BD226" s="5">
        <f t="shared" si="116"/>
        <v>7523.8334169593545</v>
      </c>
      <c r="BE226" s="16">
        <f>INDEX('Team forecast'!$B$2:$AO$26,MATCH('Master data'!$B226,'Team forecast'!$B$2:$B$26,0),MATCH('Master data'!BE$1,'Team forecast'!$B$2:$AO$2,0))</f>
        <v>1.0107278258414167</v>
      </c>
      <c r="BF226" s="16">
        <f>INDEX('Team forecast'!$B$2:$AO$26,MATCH('Master data'!$B226,'Team forecast'!$B$2:$B$26,0),MATCH('Master data'!BF$1,'Team forecast'!$B$2:$AO$2,0))</f>
        <v>1.2965069481471114</v>
      </c>
      <c r="BG226" s="16">
        <f>INDEX('Team forecast'!$B$2:$AO$26,MATCH('Master data'!$B226,'Team forecast'!$B$2:$B$26,0),MATCH('Master data'!BG$1,'Team forecast'!$B$2:$AO$2,0))</f>
        <v>0.27348542529246672</v>
      </c>
      <c r="BH226" s="16">
        <f>INDEX('Team forecast'!$B$2:$AO$26,MATCH('Master data'!$B226,'Team forecast'!$B$2:$B$26,0),MATCH('Master data'!BH$1,'Team forecast'!$B$2:$AO$2,0))</f>
        <v>2.5755293393428875</v>
      </c>
      <c r="BI226" s="16">
        <f>INDEX('Team forecast'!$B$2:$AO$26,MATCH('Master data'!$B226,'Team forecast'!$B$2:$B$26,0),MATCH('Master data'!BI$1,'Team forecast'!$B$2:$AO$2,0))</f>
        <v>3.6247412564394597</v>
      </c>
      <c r="BJ226" s="5">
        <f t="shared" si="117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118"/>
        <v>0</v>
      </c>
      <c r="BO226" s="5">
        <f t="shared" si="119"/>
        <v>0</v>
      </c>
      <c r="BP226" s="5">
        <f t="shared" si="120"/>
        <v>0</v>
      </c>
      <c r="BQ226" s="5">
        <f t="shared" si="121"/>
        <v>13674.271264623336</v>
      </c>
      <c r="BR226" s="5">
        <f t="shared" si="122"/>
        <v>0</v>
      </c>
      <c r="BS226" s="5">
        <f t="shared" si="123"/>
        <v>0</v>
      </c>
      <c r="BT226" s="5">
        <f t="shared" si="124"/>
        <v>0</v>
      </c>
      <c r="BU226" s="5">
        <f t="shared" si="125"/>
        <v>0</v>
      </c>
      <c r="BV226" s="5">
        <f t="shared" si="126"/>
        <v>0</v>
      </c>
      <c r="BW226" s="5">
        <f t="shared" si="127"/>
        <v>8674.2712646233358</v>
      </c>
      <c r="BX226" s="5">
        <f t="shared" si="128"/>
        <v>11597.870099853404</v>
      </c>
      <c r="BY226" s="5">
        <f t="shared" si="129"/>
        <v>34793.610299560212</v>
      </c>
      <c r="BZ226" s="5">
        <f>INDEX('Team forecast'!$R$3:$BH$26,MATCH($B226,'Team forecast'!$B$3:$B$26,0),MATCH(BZ$1,'Team forecast'!$R$2:$BH$2,0))*($BX226-(BY226+CH226)*0.01)</f>
        <v>-17858.615306606862</v>
      </c>
      <c r="CA226" s="5">
        <f>INDEX('Team forecast'!$R$3:$BH$26,MATCH($B226,'Team forecast'!$B$3:$B$26,0),MATCH(CA$1,'Team forecast'!$R$2:$BH$2,0))*($BX226-(BY226+BX226+CH226)*0.01)</f>
        <v>-9145.3174836228027</v>
      </c>
      <c r="CB226" s="5">
        <f>INDEX('Team forecast'!$R$3:$BH$26,MATCH($B226,'Team forecast'!$B$3:$B$26,0),MATCH(CB$1,'Team forecast'!$R$2:$BH$2,0))*($BX226-(BY226+BX226*2+CH226)*0.01)</f>
        <v>-4757.932277072352</v>
      </c>
      <c r="CC226" s="5">
        <f>INDEX('Team forecast'!$R$3:$BH$26,MATCH($B226,'Team forecast'!$B$3:$B$26,0),MATCH(CC$1,'Team forecast'!$R$2:$BH$2,0))*($BX226-(BY226+BX226*3+CH226)*0.01)</f>
        <v>-2601.7395294950875</v>
      </c>
      <c r="CD226" s="5">
        <f>+AK226+BD226*Cockpit!$C$3+BW226*Cockpit!$C$3^2+BZ226*Cockpit!$C$3^3+CA226*Cockpit!$C$3^4+CB226*Cockpit!$C$3^5+CC226*Cockpit!$C$3^6</f>
        <v>19513.732611152845</v>
      </c>
      <c r="CE226" s="5"/>
      <c r="CF226" s="5"/>
      <c r="CG226" s="5">
        <v>0</v>
      </c>
      <c r="CH226" s="5">
        <f t="shared" si="130"/>
        <v>3500000</v>
      </c>
      <c r="CI226" s="5">
        <f t="shared" si="131"/>
        <v>3500000</v>
      </c>
      <c r="CJ226" s="1">
        <f t="shared" si="132"/>
        <v>9.9410315141600612E-3</v>
      </c>
      <c r="CK226" s="5">
        <f>RANK(BY226,$BY$2:$BY$623)+COUNTIF($BY$2:$BY226,$BY226)-1</f>
        <v>326</v>
      </c>
      <c r="CL226" s="5">
        <f>RANK(CJ226,$CJ$2:$CJ$623)+COUNTIF($CJ$2:$CJ226,$CJ226)-1</f>
        <v>364</v>
      </c>
    </row>
    <row r="227" spans="1:90">
      <c r="A227" t="str">
        <f>Players!P228</f>
        <v>João  Palhinha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3500000</v>
      </c>
      <c r="H227" s="16">
        <f>INDEX('Team forecast'!$B$2:$AO$26,MATCH('Master data'!$B227,'Team forecast'!$B$2:$B$26,0),MATCH('Master data'!H$1,'Team forecast'!$B$2:$AO$2,0))</f>
        <v>1.7625676631272518</v>
      </c>
      <c r="I227" s="16">
        <f>INDEX('Team forecast'!$B$2:$AO$26,MATCH('Master data'!$B227,'Team forecast'!$B$2:$B$26,0),MATCH('Master data'!I$1,'Team forecast'!$B$2:$AO$2,0))</f>
        <v>0.75096675144877167</v>
      </c>
      <c r="J227" s="16">
        <f>INDEX('Team forecast'!$B$2:$AO$26,MATCH('Master data'!$B227,'Team forecast'!$B$2:$B$26,0),MATCH('Master data'!J$1,'Team forecast'!$B$2:$AO$2,0))</f>
        <v>0.47191011235955049</v>
      </c>
      <c r="K227" s="16">
        <f>INDEX('Team forecast'!$B$2:$AO$26,MATCH('Master data'!$B227,'Team forecast'!$B$2:$B$26,0),MATCH('Master data'!K$1,'Team forecast'!$B$2:$AO$2,0))</f>
        <v>4.4913621777278765</v>
      </c>
      <c r="L227" s="16">
        <f>INDEX('Team forecast'!$B$2:$AO$26,MATCH('Master data'!$B227,'Team forecast'!$B$2:$B$26,0),MATCH('Master data'!L$1,'Team forecast'!$B$2:$AO$2,0))</f>
        <v>2.0995338051067773</v>
      </c>
      <c r="M227">
        <f>IF(Players!BC228=1,95,0)</f>
        <v>0</v>
      </c>
      <c r="N227" s="2">
        <f>Players!BN228</f>
        <v>0</v>
      </c>
      <c r="O227" s="2">
        <f>Players!BO228</f>
        <v>0</v>
      </c>
      <c r="P227" s="2">
        <f>Players!BP228</f>
        <v>0</v>
      </c>
      <c r="Q227" s="2">
        <f>Players!BQ228</f>
        <v>0.19040500297796309</v>
      </c>
      <c r="R227" s="2">
        <f>Players!BR228</f>
        <v>0</v>
      </c>
      <c r="S227" s="2">
        <f t="shared" si="91"/>
        <v>1.7625676631272518</v>
      </c>
      <c r="T227" s="2">
        <f t="shared" si="92"/>
        <v>0.75096675144877167</v>
      </c>
      <c r="U227" s="16">
        <f>INDEX('Team forecast'!$B$2:$AO$26,MATCH('Master data'!$B227,'Team forecast'!$B$2:$B$26,0),MATCH('Master data'!U$1,'Team forecast'!$B$2:$AO$2,0))</f>
        <v>0.6292134831460674</v>
      </c>
      <c r="V227" s="16">
        <f>INDEX('Team forecast'!$B$2:$AO$26,MATCH('Master data'!$B227,'Team forecast'!$B$2:$B$26,0),MATCH('Master data'!V$1,'Team forecast'!$B$2:$AO$2,0))</f>
        <v>0.2359550561797753</v>
      </c>
      <c r="W227" s="16">
        <f>INDEX('Team forecast'!$B$2:$AO$26,MATCH('Master data'!$B227,'Team forecast'!$B$2:$B$26,0),MATCH('Master data'!W$1,'Team forecast'!$B$2:$AO$2,0))</f>
        <v>0.1348314606741573</v>
      </c>
      <c r="X227" s="5">
        <f t="shared" si="93"/>
        <v>-5000</v>
      </c>
      <c r="Y227" s="5">
        <f t="shared" si="94"/>
        <v>0</v>
      </c>
      <c r="Z227" s="5">
        <f t="shared" si="95"/>
        <v>0</v>
      </c>
      <c r="AA227" s="5">
        <f t="shared" si="96"/>
        <v>0</v>
      </c>
      <c r="AB227" s="5">
        <f t="shared" si="97"/>
        <v>0</v>
      </c>
      <c r="AC227" s="5">
        <f t="shared" si="98"/>
        <v>0</v>
      </c>
      <c r="AD227" s="5">
        <f t="shared" si="99"/>
        <v>0</v>
      </c>
      <c r="AE227" s="5">
        <f t="shared" si="100"/>
        <v>0</v>
      </c>
      <c r="AF227" s="5">
        <f t="shared" si="101"/>
        <v>0</v>
      </c>
      <c r="AG227" s="5">
        <f t="shared" si="102"/>
        <v>0</v>
      </c>
      <c r="AH227" s="5">
        <f t="shared" si="103"/>
        <v>0</v>
      </c>
      <c r="AI227" s="5">
        <f t="shared" si="104"/>
        <v>0</v>
      </c>
      <c r="AJ227" s="5">
        <f t="shared" si="105"/>
        <v>0</v>
      </c>
      <c r="AK227" s="5">
        <f>IFERROR(SUM(X227:AJ227),-5000)*((Cockpit!$C$3)^0)</f>
        <v>-5000</v>
      </c>
      <c r="AL227" s="16">
        <f>INDEX('Team forecast'!$B$2:$AO$26,MATCH('Master data'!$B227,'Team forecast'!$B$2:$B$26,0),MATCH('Master data'!AL$1,'Team forecast'!$B$2:$AO$2,0))</f>
        <v>1.1612459518433673</v>
      </c>
      <c r="AM227" s="16">
        <f>INDEX('Team forecast'!$B$2:$AO$26,MATCH('Master data'!$B227,'Team forecast'!$B$2:$B$26,0),MATCH('Master data'!AM$1,'Team forecast'!$B$2:$AO$2,0))</f>
        <v>1.384389503157577</v>
      </c>
      <c r="AN227" s="16">
        <f>INDEX('Team forecast'!$B$2:$AO$26,MATCH('Master data'!$B227,'Team forecast'!$B$2:$B$26,0),MATCH('Master data'!AN$1,'Team forecast'!$B$2:$AO$2,0))</f>
        <v>0.25047666833918708</v>
      </c>
      <c r="AO227" s="16">
        <f>INDEX('Team forecast'!$B$2:$AO$26,MATCH('Master data'!$B227,'Team forecast'!$B$2:$B$26,0),MATCH('Master data'!AO$1,'Team forecast'!$B$2:$AO$2,0))</f>
        <v>2.9590785399382193</v>
      </c>
      <c r="AP227" s="16">
        <f>INDEX('Team forecast'!$B$2:$AO$26,MATCH('Master data'!$B227,'Team forecast'!$B$2:$B$26,0),MATCH('Master data'!AP$1,'Team forecast'!$B$2:$AO$2,0))</f>
        <v>3.8704410757292824</v>
      </c>
      <c r="AQ227" s="5">
        <f t="shared" si="106"/>
        <v>-5000</v>
      </c>
      <c r="AR227" s="5">
        <f>INDEX('Team forecast'!$B$2:$AO$26,MATCH('Master data'!$B227,'Team forecast'!$B$2:$B$26,0),MATCH('Master data'!AR$1,'Team forecast'!$B$2:$AO$2,0))*IF(X227&gt;0,25000,0)</f>
        <v>0</v>
      </c>
      <c r="AS227" s="16">
        <f>INDEX('Team forecast'!$B$2:$AO$26,MATCH('Master data'!$B227,'Team forecast'!$B$2:$B$26,0),MATCH('Master data'!AS$1,'Team forecast'!$B$2:$AO$2,0))*IF(X227&gt;0,5000,0)</f>
        <v>0</v>
      </c>
      <c r="AT227" s="16">
        <f>INDEX('Team forecast'!$B$2:$AO$26,MATCH('Master data'!$B227,'Team forecast'!$B$2:$B$26,0),MATCH('Master data'!AT$1,'Team forecast'!$B$2:$AO$2,0))*IF(X227&gt;0,-15000,0)</f>
        <v>0</v>
      </c>
      <c r="AU227" s="5">
        <f t="shared" si="107"/>
        <v>0</v>
      </c>
      <c r="AV227" s="5">
        <f t="shared" si="108"/>
        <v>0</v>
      </c>
      <c r="AW227" s="5">
        <f t="shared" si="109"/>
        <v>0</v>
      </c>
      <c r="AX227" s="5">
        <f t="shared" si="110"/>
        <v>0</v>
      </c>
      <c r="AY227" s="5">
        <f t="shared" si="111"/>
        <v>0</v>
      </c>
      <c r="AZ227" s="5">
        <f t="shared" si="112"/>
        <v>0</v>
      </c>
      <c r="BA227" s="5">
        <f t="shared" si="113"/>
        <v>0</v>
      </c>
      <c r="BB227" s="5">
        <f t="shared" si="114"/>
        <v>0</v>
      </c>
      <c r="BC227" s="5">
        <f t="shared" si="115"/>
        <v>0</v>
      </c>
      <c r="BD227" s="5">
        <f t="shared" si="116"/>
        <v>-5000</v>
      </c>
      <c r="BE227" s="16">
        <f>INDEX('Team forecast'!$B$2:$AO$26,MATCH('Master data'!$B227,'Team forecast'!$B$2:$B$26,0),MATCH('Master data'!BE$1,'Team forecast'!$B$2:$AO$2,0))</f>
        <v>1.0107278258414167</v>
      </c>
      <c r="BF227" s="16">
        <f>INDEX('Team forecast'!$B$2:$AO$26,MATCH('Master data'!$B227,'Team forecast'!$B$2:$B$26,0),MATCH('Master data'!BF$1,'Team forecast'!$B$2:$AO$2,0))</f>
        <v>1.2965069481471114</v>
      </c>
      <c r="BG227" s="16">
        <f>INDEX('Team forecast'!$B$2:$AO$26,MATCH('Master data'!$B227,'Team forecast'!$B$2:$B$26,0),MATCH('Master data'!BG$1,'Team forecast'!$B$2:$AO$2,0))</f>
        <v>0.27348542529246672</v>
      </c>
      <c r="BH227" s="16">
        <f>INDEX('Team forecast'!$B$2:$AO$26,MATCH('Master data'!$B227,'Team forecast'!$B$2:$B$26,0),MATCH('Master data'!BH$1,'Team forecast'!$B$2:$AO$2,0))</f>
        <v>2.5755293393428875</v>
      </c>
      <c r="BI227" s="16">
        <f>INDEX('Team forecast'!$B$2:$AO$26,MATCH('Master data'!$B227,'Team forecast'!$B$2:$B$26,0),MATCH('Master data'!BI$1,'Team forecast'!$B$2:$AO$2,0))</f>
        <v>3.6247412564394597</v>
      </c>
      <c r="BJ227" s="5">
        <f t="shared" si="117"/>
        <v>-5000</v>
      </c>
      <c r="BK227" s="5">
        <f>INDEX('Team forecast'!$R$3:$BH$26,MATCH($B227,'Team forecast'!$B$3:$B$26,0),MATCH(BK$1,'Team forecast'!$R$2:$BH$2,0))*IF($X227&gt;0,25000,0)</f>
        <v>0</v>
      </c>
      <c r="BL227" s="5">
        <f>INDEX('Team forecast'!$R$3:$BH$26,MATCH($B227,'Team forecast'!$B$3:$B$26,0),MATCH(BL$1,'Team forecast'!$R$2:$BH$2,0))*IF($X227&gt;0,5000,0)</f>
        <v>0</v>
      </c>
      <c r="BM227" s="5">
        <f>INDEX('Team forecast'!$R$3:$BH$26,MATCH($B227,'Team forecast'!$B$3:$B$26,0),MATCH(BM$1,'Team forecast'!$R$2:$BH$2,0))*IF($X227&gt;0,-15000,0)</f>
        <v>0</v>
      </c>
      <c r="BN227" s="5">
        <f t="shared" si="118"/>
        <v>0</v>
      </c>
      <c r="BO227" s="5">
        <f t="shared" si="119"/>
        <v>0</v>
      </c>
      <c r="BP227" s="5">
        <f t="shared" si="120"/>
        <v>0</v>
      </c>
      <c r="BQ227" s="5">
        <f t="shared" si="121"/>
        <v>0</v>
      </c>
      <c r="BR227" s="5">
        <f t="shared" si="122"/>
        <v>0</v>
      </c>
      <c r="BS227" s="5">
        <f t="shared" si="123"/>
        <v>0</v>
      </c>
      <c r="BT227" s="5">
        <f t="shared" si="124"/>
        <v>0</v>
      </c>
      <c r="BU227" s="5">
        <f t="shared" si="125"/>
        <v>0</v>
      </c>
      <c r="BV227" s="5">
        <f t="shared" si="126"/>
        <v>0</v>
      </c>
      <c r="BW227" s="5">
        <f t="shared" si="127"/>
        <v>-5000</v>
      </c>
      <c r="BX227" s="5">
        <f t="shared" si="128"/>
        <v>-5000</v>
      </c>
      <c r="BY227" s="5">
        <f t="shared" si="129"/>
        <v>-15000</v>
      </c>
      <c r="BZ227" s="5">
        <f>INDEX('Team forecast'!$R$3:$BH$26,MATCH($B227,'Team forecast'!$B$3:$B$26,0),MATCH(BZ$1,'Team forecast'!$R$2:$BH$2,0))*($BX227-(BY227+CH227)*0.01)</f>
        <v>-29964.793355695438</v>
      </c>
      <c r="CA227" s="5">
        <f>INDEX('Team forecast'!$R$3:$BH$26,MATCH($B227,'Team forecast'!$B$3:$B$26,0),MATCH(CA$1,'Team forecast'!$R$2:$BH$2,0))*($BX227-(BY227+BX227+CH227)*0.01)</f>
        <v>-15251.108441317754</v>
      </c>
      <c r="CB227" s="5">
        <f>INDEX('Team forecast'!$R$3:$BH$26,MATCH($B227,'Team forecast'!$B$3:$B$26,0),MATCH(CB$1,'Team forecast'!$R$2:$BH$2,0))*($BX227-(BY227+BX227*2+CH227)*0.01)</f>
        <v>-7886.232317373876</v>
      </c>
      <c r="CC227" s="5">
        <f>INDEX('Team forecast'!$R$3:$BH$26,MATCH($B227,'Team forecast'!$B$3:$B$26,0),MATCH(CC$1,'Team forecast'!$R$2:$BH$2,0))*($BX227-(BY227+BX227*3+CH227)*0.01)</f>
        <v>-4286.2084112212397</v>
      </c>
      <c r="CD227" s="5">
        <f>+AK227+BD227*Cockpit!$C$3+BW227*Cockpit!$C$3^2+BZ227*Cockpit!$C$3^3+CA227*Cockpit!$C$3^4+CB227*Cockpit!$C$3^5+CC227*Cockpit!$C$3^6</f>
        <v>-23861.386311613198</v>
      </c>
      <c r="CE227" s="5"/>
      <c r="CF227" s="5"/>
      <c r="CG227" s="5">
        <v>0</v>
      </c>
      <c r="CH227" s="5">
        <f t="shared" si="130"/>
        <v>3500000</v>
      </c>
      <c r="CI227" s="5">
        <f t="shared" si="131"/>
        <v>3500000</v>
      </c>
      <c r="CJ227" s="1">
        <f t="shared" si="132"/>
        <v>-4.2857142857142859E-3</v>
      </c>
      <c r="CK227" s="5">
        <f>RANK(BY227,$BY$2:$BY$623)+COUNTIF($BY$2:$BY227,$BY227)-1</f>
        <v>487</v>
      </c>
      <c r="CL227" s="5">
        <f>RANK(CJ227,$CJ$2:$CJ$623)+COUNTIF($CJ$2:$CJ227,$CJ227)-1</f>
        <v>471</v>
      </c>
    </row>
    <row r="228" spans="1:90">
      <c r="A228" t="str">
        <f>Players!P229</f>
        <v>Renato Sanches</v>
      </c>
      <c r="B228" t="str">
        <f>Players!G229</f>
        <v>Portugal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3500000</v>
      </c>
      <c r="H228" s="16">
        <f>INDEX('Team forecast'!$B$2:$AO$26,MATCH('Master data'!$B228,'Team forecast'!$B$2:$B$26,0),MATCH('Master data'!H$1,'Team forecast'!$B$2:$AO$2,0))</f>
        <v>1.7625676631272518</v>
      </c>
      <c r="I228" s="16">
        <f>INDEX('Team forecast'!$B$2:$AO$26,MATCH('Master data'!$B228,'Team forecast'!$B$2:$B$26,0),MATCH('Master data'!I$1,'Team forecast'!$B$2:$AO$2,0))</f>
        <v>0.75096675144877167</v>
      </c>
      <c r="J228" s="16">
        <f>INDEX('Team forecast'!$B$2:$AO$26,MATCH('Master data'!$B228,'Team forecast'!$B$2:$B$26,0),MATCH('Master data'!J$1,'Team forecast'!$B$2:$AO$2,0))</f>
        <v>0.47191011235955049</v>
      </c>
      <c r="K228" s="16">
        <f>INDEX('Team forecast'!$B$2:$AO$26,MATCH('Master data'!$B228,'Team forecast'!$B$2:$B$26,0),MATCH('Master data'!K$1,'Team forecast'!$B$2:$AO$2,0))</f>
        <v>4.4913621777278765</v>
      </c>
      <c r="L228" s="16">
        <f>INDEX('Team forecast'!$B$2:$AO$26,MATCH('Master data'!$B228,'Team forecast'!$B$2:$B$26,0),MATCH('Master data'!L$1,'Team forecast'!$B$2:$AO$2,0))</f>
        <v>2.0995338051067773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0.14150943396226415</v>
      </c>
      <c r="R228" s="2">
        <f>Players!BR229</f>
        <v>0</v>
      </c>
      <c r="S228" s="2">
        <f t="shared" si="91"/>
        <v>1.7625676631272518</v>
      </c>
      <c r="T228" s="2">
        <f t="shared" si="92"/>
        <v>0.75096675144877167</v>
      </c>
      <c r="U228" s="16">
        <f>INDEX('Team forecast'!$B$2:$AO$26,MATCH('Master data'!$B228,'Team forecast'!$B$2:$B$26,0),MATCH('Master data'!U$1,'Team forecast'!$B$2:$AO$2,0))</f>
        <v>0.6292134831460674</v>
      </c>
      <c r="V228" s="16">
        <f>INDEX('Team forecast'!$B$2:$AO$26,MATCH('Master data'!$B228,'Team forecast'!$B$2:$B$26,0),MATCH('Master data'!V$1,'Team forecast'!$B$2:$AO$2,0))</f>
        <v>0.2359550561797753</v>
      </c>
      <c r="W228" s="16">
        <f>INDEX('Team forecast'!$B$2:$AO$26,MATCH('Master data'!$B228,'Team forecast'!$B$2:$B$26,0),MATCH('Master data'!W$1,'Team forecast'!$B$2:$AO$2,0))</f>
        <v>0.1348314606741573</v>
      </c>
      <c r="X228" s="5">
        <f t="shared" si="93"/>
        <v>-5000</v>
      </c>
      <c r="Y228" s="5">
        <f t="shared" si="94"/>
        <v>0</v>
      </c>
      <c r="Z228" s="5">
        <f t="shared" si="95"/>
        <v>0</v>
      </c>
      <c r="AA228" s="5">
        <f t="shared" si="96"/>
        <v>0</v>
      </c>
      <c r="AB228" s="5">
        <f t="shared" si="97"/>
        <v>0</v>
      </c>
      <c r="AC228" s="5">
        <f t="shared" si="98"/>
        <v>0</v>
      </c>
      <c r="AD228" s="5">
        <f t="shared" si="99"/>
        <v>0</v>
      </c>
      <c r="AE228" s="5">
        <f t="shared" si="100"/>
        <v>0</v>
      </c>
      <c r="AF228" s="5">
        <f t="shared" si="101"/>
        <v>0</v>
      </c>
      <c r="AG228" s="5">
        <f t="shared" si="102"/>
        <v>0</v>
      </c>
      <c r="AH228" s="5">
        <f t="shared" si="103"/>
        <v>0</v>
      </c>
      <c r="AI228" s="5">
        <f t="shared" si="104"/>
        <v>0</v>
      </c>
      <c r="AJ228" s="5">
        <f t="shared" si="105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1.1612459518433673</v>
      </c>
      <c r="AM228" s="16">
        <f>INDEX('Team forecast'!$B$2:$AO$26,MATCH('Master data'!$B228,'Team forecast'!$B$2:$B$26,0),MATCH('Master data'!AM$1,'Team forecast'!$B$2:$AO$2,0))</f>
        <v>1.384389503157577</v>
      </c>
      <c r="AN228" s="16">
        <f>INDEX('Team forecast'!$B$2:$AO$26,MATCH('Master data'!$B228,'Team forecast'!$B$2:$B$26,0),MATCH('Master data'!AN$1,'Team forecast'!$B$2:$AO$2,0))</f>
        <v>0.25047666833918708</v>
      </c>
      <c r="AO228" s="16">
        <f>INDEX('Team forecast'!$B$2:$AO$26,MATCH('Master data'!$B228,'Team forecast'!$B$2:$B$26,0),MATCH('Master data'!AO$1,'Team forecast'!$B$2:$AO$2,0))</f>
        <v>2.9590785399382193</v>
      </c>
      <c r="AP228" s="16">
        <f>INDEX('Team forecast'!$B$2:$AO$26,MATCH('Master data'!$B228,'Team forecast'!$B$2:$B$26,0),MATCH('Master data'!AP$1,'Team forecast'!$B$2:$AO$2,0))</f>
        <v>3.8704410757292824</v>
      </c>
      <c r="AQ228" s="5">
        <f t="shared" si="106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107"/>
        <v>0</v>
      </c>
      <c r="AV228" s="5">
        <f t="shared" si="108"/>
        <v>0</v>
      </c>
      <c r="AW228" s="5">
        <f t="shared" si="109"/>
        <v>0</v>
      </c>
      <c r="AX228" s="5">
        <f t="shared" si="110"/>
        <v>0</v>
      </c>
      <c r="AY228" s="5">
        <f t="shared" si="111"/>
        <v>0</v>
      </c>
      <c r="AZ228" s="5">
        <f t="shared" si="112"/>
        <v>0</v>
      </c>
      <c r="BA228" s="5">
        <f t="shared" si="113"/>
        <v>0</v>
      </c>
      <c r="BB228" s="5">
        <f t="shared" si="114"/>
        <v>0</v>
      </c>
      <c r="BC228" s="5">
        <f t="shared" si="115"/>
        <v>0</v>
      </c>
      <c r="BD228" s="5">
        <f t="shared" si="116"/>
        <v>-5000</v>
      </c>
      <c r="BE228" s="16">
        <f>INDEX('Team forecast'!$B$2:$AO$26,MATCH('Master data'!$B228,'Team forecast'!$B$2:$B$26,0),MATCH('Master data'!BE$1,'Team forecast'!$B$2:$AO$2,0))</f>
        <v>1.0107278258414167</v>
      </c>
      <c r="BF228" s="16">
        <f>INDEX('Team forecast'!$B$2:$AO$26,MATCH('Master data'!$B228,'Team forecast'!$B$2:$B$26,0),MATCH('Master data'!BF$1,'Team forecast'!$B$2:$AO$2,0))</f>
        <v>1.2965069481471114</v>
      </c>
      <c r="BG228" s="16">
        <f>INDEX('Team forecast'!$B$2:$AO$26,MATCH('Master data'!$B228,'Team forecast'!$B$2:$B$26,0),MATCH('Master data'!BG$1,'Team forecast'!$B$2:$AO$2,0))</f>
        <v>0.27348542529246672</v>
      </c>
      <c r="BH228" s="16">
        <f>INDEX('Team forecast'!$B$2:$AO$26,MATCH('Master data'!$B228,'Team forecast'!$B$2:$B$26,0),MATCH('Master data'!BH$1,'Team forecast'!$B$2:$AO$2,0))</f>
        <v>2.5755293393428875</v>
      </c>
      <c r="BI228" s="16">
        <f>INDEX('Team forecast'!$B$2:$AO$26,MATCH('Master data'!$B228,'Team forecast'!$B$2:$B$26,0),MATCH('Master data'!BI$1,'Team forecast'!$B$2:$AO$2,0))</f>
        <v>3.6247412564394597</v>
      </c>
      <c r="BJ228" s="5">
        <f t="shared" si="117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118"/>
        <v>0</v>
      </c>
      <c r="BO228" s="5">
        <f t="shared" si="119"/>
        <v>0</v>
      </c>
      <c r="BP228" s="5">
        <f t="shared" si="120"/>
        <v>0</v>
      </c>
      <c r="BQ228" s="5">
        <f t="shared" si="121"/>
        <v>0</v>
      </c>
      <c r="BR228" s="5">
        <f t="shared" si="122"/>
        <v>0</v>
      </c>
      <c r="BS228" s="5">
        <f t="shared" si="123"/>
        <v>0</v>
      </c>
      <c r="BT228" s="5">
        <f t="shared" si="124"/>
        <v>0</v>
      </c>
      <c r="BU228" s="5">
        <f t="shared" si="125"/>
        <v>0</v>
      </c>
      <c r="BV228" s="5">
        <f t="shared" si="126"/>
        <v>0</v>
      </c>
      <c r="BW228" s="5">
        <f t="shared" si="127"/>
        <v>-5000</v>
      </c>
      <c r="BX228" s="5">
        <f t="shared" si="128"/>
        <v>-5000</v>
      </c>
      <c r="BY228" s="5">
        <f t="shared" si="129"/>
        <v>-15000</v>
      </c>
      <c r="BZ228" s="5">
        <f>INDEX('Team forecast'!$R$3:$BH$26,MATCH($B228,'Team forecast'!$B$3:$B$26,0),MATCH(BZ$1,'Team forecast'!$R$2:$BH$2,0))*($BX228-(BY228+CH228)*0.01)</f>
        <v>-29964.793355695438</v>
      </c>
      <c r="CA228" s="5">
        <f>INDEX('Team forecast'!$R$3:$BH$26,MATCH($B228,'Team forecast'!$B$3:$B$26,0),MATCH(CA$1,'Team forecast'!$R$2:$BH$2,0))*($BX228-(BY228+BX228+CH228)*0.01)</f>
        <v>-15251.108441317754</v>
      </c>
      <c r="CB228" s="5">
        <f>INDEX('Team forecast'!$R$3:$BH$26,MATCH($B228,'Team forecast'!$B$3:$B$26,0),MATCH(CB$1,'Team forecast'!$R$2:$BH$2,0))*($BX228-(BY228+BX228*2+CH228)*0.01)</f>
        <v>-7886.232317373876</v>
      </c>
      <c r="CC228" s="5">
        <f>INDEX('Team forecast'!$R$3:$BH$26,MATCH($B228,'Team forecast'!$B$3:$B$26,0),MATCH(CC$1,'Team forecast'!$R$2:$BH$2,0))*($BX228-(BY228+BX228*3+CH228)*0.01)</f>
        <v>-4286.2084112212397</v>
      </c>
      <c r="CD228" s="5">
        <f>+AK228+BD228*Cockpit!$C$3+BW228*Cockpit!$C$3^2+BZ228*Cockpit!$C$3^3+CA228*Cockpit!$C$3^4+CB228*Cockpit!$C$3^5+CC228*Cockpit!$C$3^6</f>
        <v>-23861.386311613198</v>
      </c>
      <c r="CE228" s="5"/>
      <c r="CF228" s="5"/>
      <c r="CG228" s="5">
        <v>0</v>
      </c>
      <c r="CH228" s="5">
        <f t="shared" si="130"/>
        <v>3500000</v>
      </c>
      <c r="CI228" s="5">
        <f t="shared" si="131"/>
        <v>3500000</v>
      </c>
      <c r="CJ228" s="1">
        <f t="shared" si="132"/>
        <v>-4.2857142857142859E-3</v>
      </c>
      <c r="CK228" s="5">
        <f>RANK(BY228,$BY$2:$BY$623)+COUNTIF($BY$2:$BY228,$BY228)-1</f>
        <v>488</v>
      </c>
      <c r="CL228" s="5">
        <f>RANK(CJ228,$CJ$2:$CJ$623)+COUNTIF($CJ$2:$CJ228,$CJ228)-1</f>
        <v>472</v>
      </c>
    </row>
    <row r="229" spans="1:90">
      <c r="A229" t="str">
        <f>Players!P230</f>
        <v>Danilo Pereira</v>
      </c>
      <c r="B229" t="str">
        <f>Players!G230</f>
        <v>Portugal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4000000</v>
      </c>
      <c r="H229" s="16">
        <f>INDEX('Team forecast'!$B$2:$AO$26,MATCH('Master data'!$B229,'Team forecast'!$B$2:$B$26,0),MATCH('Master data'!H$1,'Team forecast'!$B$2:$AO$2,0))</f>
        <v>1.7625676631272518</v>
      </c>
      <c r="I229" s="16">
        <f>INDEX('Team forecast'!$B$2:$AO$26,MATCH('Master data'!$B229,'Team forecast'!$B$2:$B$26,0),MATCH('Master data'!I$1,'Team forecast'!$B$2:$AO$2,0))</f>
        <v>0.75096675144877167</v>
      </c>
      <c r="J229" s="16">
        <f>INDEX('Team forecast'!$B$2:$AO$26,MATCH('Master data'!$B229,'Team forecast'!$B$2:$B$26,0),MATCH('Master data'!J$1,'Team forecast'!$B$2:$AO$2,0))</f>
        <v>0.47191011235955049</v>
      </c>
      <c r="K229" s="16">
        <f>INDEX('Team forecast'!$B$2:$AO$26,MATCH('Master data'!$B229,'Team forecast'!$B$2:$B$26,0),MATCH('Master data'!K$1,'Team forecast'!$B$2:$AO$2,0))</f>
        <v>4.4913621777278765</v>
      </c>
      <c r="L229" s="16">
        <f>INDEX('Team forecast'!$B$2:$AO$26,MATCH('Master data'!$B229,'Team forecast'!$B$2:$B$26,0),MATCH('Master data'!L$1,'Team forecast'!$B$2:$AO$2,0))</f>
        <v>2.0995338051067773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8.0405002977963075E-2</v>
      </c>
      <c r="R229" s="2">
        <f>Players!BR230</f>
        <v>0</v>
      </c>
      <c r="S229" s="2">
        <f t="shared" si="91"/>
        <v>1.7625676631272518</v>
      </c>
      <c r="T229" s="2">
        <f t="shared" si="92"/>
        <v>0.75096675144877167</v>
      </c>
      <c r="U229" s="16">
        <f>INDEX('Team forecast'!$B$2:$AO$26,MATCH('Master data'!$B229,'Team forecast'!$B$2:$B$26,0),MATCH('Master data'!U$1,'Team forecast'!$B$2:$AO$2,0))</f>
        <v>0.6292134831460674</v>
      </c>
      <c r="V229" s="16">
        <f>INDEX('Team forecast'!$B$2:$AO$26,MATCH('Master data'!$B229,'Team forecast'!$B$2:$B$26,0),MATCH('Master data'!V$1,'Team forecast'!$B$2:$AO$2,0))</f>
        <v>0.2359550561797753</v>
      </c>
      <c r="W229" s="16">
        <f>INDEX('Team forecast'!$B$2:$AO$26,MATCH('Master data'!$B229,'Team forecast'!$B$2:$B$26,0),MATCH('Master data'!W$1,'Team forecast'!$B$2:$AO$2,0))</f>
        <v>0.1348314606741573</v>
      </c>
      <c r="X229" s="5">
        <f t="shared" si="93"/>
        <v>-5000</v>
      </c>
      <c r="Y229" s="5">
        <f t="shared" si="94"/>
        <v>0</v>
      </c>
      <c r="Z229" s="5">
        <f t="shared" si="95"/>
        <v>0</v>
      </c>
      <c r="AA229" s="5">
        <f t="shared" si="96"/>
        <v>0</v>
      </c>
      <c r="AB229" s="5">
        <f t="shared" si="97"/>
        <v>0</v>
      </c>
      <c r="AC229" s="5">
        <f t="shared" si="98"/>
        <v>0</v>
      </c>
      <c r="AD229" s="5">
        <f t="shared" si="99"/>
        <v>0</v>
      </c>
      <c r="AE229" s="5">
        <f t="shared" si="100"/>
        <v>0</v>
      </c>
      <c r="AF229" s="5">
        <f t="shared" si="101"/>
        <v>0</v>
      </c>
      <c r="AG229" s="5">
        <f t="shared" si="102"/>
        <v>0</v>
      </c>
      <c r="AH229" s="5">
        <f t="shared" si="103"/>
        <v>0</v>
      </c>
      <c r="AI229" s="5">
        <f t="shared" si="104"/>
        <v>0</v>
      </c>
      <c r="AJ229" s="5">
        <f t="shared" si="105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1.1612459518433673</v>
      </c>
      <c r="AM229" s="16">
        <f>INDEX('Team forecast'!$B$2:$AO$26,MATCH('Master data'!$B229,'Team forecast'!$B$2:$B$26,0),MATCH('Master data'!AM$1,'Team forecast'!$B$2:$AO$2,0))</f>
        <v>1.384389503157577</v>
      </c>
      <c r="AN229" s="16">
        <f>INDEX('Team forecast'!$B$2:$AO$26,MATCH('Master data'!$B229,'Team forecast'!$B$2:$B$26,0),MATCH('Master data'!AN$1,'Team forecast'!$B$2:$AO$2,0))</f>
        <v>0.25047666833918708</v>
      </c>
      <c r="AO229" s="16">
        <f>INDEX('Team forecast'!$B$2:$AO$26,MATCH('Master data'!$B229,'Team forecast'!$B$2:$B$26,0),MATCH('Master data'!AO$1,'Team forecast'!$B$2:$AO$2,0))</f>
        <v>2.9590785399382193</v>
      </c>
      <c r="AP229" s="16">
        <f>INDEX('Team forecast'!$B$2:$AO$26,MATCH('Master data'!$B229,'Team forecast'!$B$2:$B$26,0),MATCH('Master data'!AP$1,'Team forecast'!$B$2:$AO$2,0))</f>
        <v>3.8704410757292824</v>
      </c>
      <c r="AQ229" s="5">
        <f t="shared" si="106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107"/>
        <v>0</v>
      </c>
      <c r="AV229" s="5">
        <f t="shared" si="108"/>
        <v>0</v>
      </c>
      <c r="AW229" s="5">
        <f t="shared" si="109"/>
        <v>0</v>
      </c>
      <c r="AX229" s="5">
        <f t="shared" si="110"/>
        <v>0</v>
      </c>
      <c r="AY229" s="5">
        <f t="shared" si="111"/>
        <v>0</v>
      </c>
      <c r="AZ229" s="5">
        <f t="shared" si="112"/>
        <v>0</v>
      </c>
      <c r="BA229" s="5">
        <f t="shared" si="113"/>
        <v>0</v>
      </c>
      <c r="BB229" s="5">
        <f t="shared" si="114"/>
        <v>0</v>
      </c>
      <c r="BC229" s="5">
        <f t="shared" si="115"/>
        <v>0</v>
      </c>
      <c r="BD229" s="5">
        <f t="shared" si="116"/>
        <v>-5000</v>
      </c>
      <c r="BE229" s="16">
        <f>INDEX('Team forecast'!$B$2:$AO$26,MATCH('Master data'!$B229,'Team forecast'!$B$2:$B$26,0),MATCH('Master data'!BE$1,'Team forecast'!$B$2:$AO$2,0))</f>
        <v>1.0107278258414167</v>
      </c>
      <c r="BF229" s="16">
        <f>INDEX('Team forecast'!$B$2:$AO$26,MATCH('Master data'!$B229,'Team forecast'!$B$2:$B$26,0),MATCH('Master data'!BF$1,'Team forecast'!$B$2:$AO$2,0))</f>
        <v>1.2965069481471114</v>
      </c>
      <c r="BG229" s="16">
        <f>INDEX('Team forecast'!$B$2:$AO$26,MATCH('Master data'!$B229,'Team forecast'!$B$2:$B$26,0),MATCH('Master data'!BG$1,'Team forecast'!$B$2:$AO$2,0))</f>
        <v>0.27348542529246672</v>
      </c>
      <c r="BH229" s="16">
        <f>INDEX('Team forecast'!$B$2:$AO$26,MATCH('Master data'!$B229,'Team forecast'!$B$2:$B$26,0),MATCH('Master data'!BH$1,'Team forecast'!$B$2:$AO$2,0))</f>
        <v>2.5755293393428875</v>
      </c>
      <c r="BI229" s="16">
        <f>INDEX('Team forecast'!$B$2:$AO$26,MATCH('Master data'!$B229,'Team forecast'!$B$2:$B$26,0),MATCH('Master data'!BI$1,'Team forecast'!$B$2:$AO$2,0))</f>
        <v>3.6247412564394597</v>
      </c>
      <c r="BJ229" s="5">
        <f t="shared" si="117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118"/>
        <v>0</v>
      </c>
      <c r="BO229" s="5">
        <f t="shared" si="119"/>
        <v>0</v>
      </c>
      <c r="BP229" s="5">
        <f t="shared" si="120"/>
        <v>0</v>
      </c>
      <c r="BQ229" s="5">
        <f t="shared" si="121"/>
        <v>0</v>
      </c>
      <c r="BR229" s="5">
        <f t="shared" si="122"/>
        <v>0</v>
      </c>
      <c r="BS229" s="5">
        <f t="shared" si="123"/>
        <v>0</v>
      </c>
      <c r="BT229" s="5">
        <f t="shared" si="124"/>
        <v>0</v>
      </c>
      <c r="BU229" s="5">
        <f t="shared" si="125"/>
        <v>0</v>
      </c>
      <c r="BV229" s="5">
        <f t="shared" si="126"/>
        <v>0</v>
      </c>
      <c r="BW229" s="5">
        <f t="shared" si="127"/>
        <v>-5000</v>
      </c>
      <c r="BX229" s="5">
        <f t="shared" si="128"/>
        <v>-5000</v>
      </c>
      <c r="BY229" s="5">
        <f t="shared" si="129"/>
        <v>-15000</v>
      </c>
      <c r="BZ229" s="5">
        <f>INDEX('Team forecast'!$R$3:$BH$26,MATCH($B229,'Team forecast'!$B$3:$B$26,0),MATCH(BZ$1,'Team forecast'!$R$2:$BH$2,0))*($BX229-(BY229+CH229)*0.01)</f>
        <v>-33724.491392796495</v>
      </c>
      <c r="CA229" s="5">
        <f>INDEX('Team forecast'!$R$3:$BH$26,MATCH($B229,'Team forecast'!$B$3:$B$26,0),MATCH(CA$1,'Team forecast'!$R$2:$BH$2,0))*($BX229-(BY229+BX229+CH229)*0.01)</f>
        <v>-17167.076838468223</v>
      </c>
      <c r="CB229" s="5">
        <f>INDEX('Team forecast'!$R$3:$BH$26,MATCH($B229,'Team forecast'!$B$3:$B$26,0),MATCH(CB$1,'Team forecast'!$R$2:$BH$2,0))*($BX229-(BY229+BX229*2+CH229)*0.01)</f>
        <v>-8878.2112252196457</v>
      </c>
      <c r="CC229" s="5">
        <f>INDEX('Team forecast'!$R$3:$BH$26,MATCH($B229,'Team forecast'!$B$3:$B$26,0),MATCH(CC$1,'Team forecast'!$R$2:$BH$2,0))*($BX229-(BY229+BX229*3+CH229)*0.01)</f>
        <v>-4826.0331481508665</v>
      </c>
      <c r="CD229" s="5">
        <f>+AK229+BD229*Cockpit!$C$3+BW229*Cockpit!$C$3^2+BZ229*Cockpit!$C$3^3+CA229*Cockpit!$C$3^4+CB229*Cockpit!$C$3^5+CC229*Cockpit!$C$3^6</f>
        <v>-25531.856796551725</v>
      </c>
      <c r="CE229" s="5"/>
      <c r="CF229" s="5"/>
      <c r="CG229" s="5">
        <v>0</v>
      </c>
      <c r="CH229" s="5">
        <f t="shared" si="130"/>
        <v>4000000</v>
      </c>
      <c r="CI229" s="5">
        <f t="shared" si="131"/>
        <v>4000000</v>
      </c>
      <c r="CJ229" s="1">
        <f t="shared" si="132"/>
        <v>-3.7499999999999999E-3</v>
      </c>
      <c r="CK229" s="5">
        <f>RANK(BY229,$BY$2:$BY$623)+COUNTIF($BY$2:$BY229,$BY229)-1</f>
        <v>489</v>
      </c>
      <c r="CL229" s="5">
        <f>RANK(CJ229,$CJ$2:$CJ$623)+COUNTIF($CJ$2:$CJ229,$CJ229)-1</f>
        <v>448</v>
      </c>
    </row>
    <row r="230" spans="1:90">
      <c r="A230" t="str">
        <f>Players!P231</f>
        <v>Mykola Shaparenko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3000000</v>
      </c>
      <c r="H230" s="16">
        <f>INDEX('Team forecast'!$B$2:$AO$26,MATCH('Master data'!$B230,'Team forecast'!$B$2:$B$26,0),MATCH('Master data'!H$1,'Team forecast'!$B$2:$AO$2,0))</f>
        <v>0.76028648339757388</v>
      </c>
      <c r="I230" s="16">
        <f>INDEX('Team forecast'!$B$2:$AO$26,MATCH('Master data'!$B230,'Team forecast'!$B$2:$B$26,0),MATCH('Master data'!I$1,'Team forecast'!$B$2:$AO$2,0))</f>
        <v>1.5712166996139025</v>
      </c>
      <c r="J230" s="16">
        <f>INDEX('Team forecast'!$B$2:$AO$26,MATCH('Master data'!$B230,'Team forecast'!$B$2:$B$26,0),MATCH('Master data'!J$1,'Team forecast'!$B$2:$AO$2,0))</f>
        <v>0.20779220779220781</v>
      </c>
      <c r="K230" s="16">
        <f>INDEX('Team forecast'!$B$2:$AO$26,MATCH('Master data'!$B230,'Team forecast'!$B$2:$B$26,0),MATCH('Master data'!K$1,'Team forecast'!$B$2:$AO$2,0))</f>
        <v>2.0548283335069564</v>
      </c>
      <c r="L230" s="16">
        <f>INDEX('Team forecast'!$B$2:$AO$26,MATCH('Master data'!$B230,'Team forecast'!$B$2:$B$26,0),MATCH('Master data'!L$1,'Team forecast'!$B$2:$AO$2,0))</f>
        <v>5.3509268021816121</v>
      </c>
      <c r="M230">
        <f>IF(Players!BC231=1,95,0)</f>
        <v>0</v>
      </c>
      <c r="N230" s="2">
        <f>Players!BN231</f>
        <v>0</v>
      </c>
      <c r="O230" s="2">
        <f>Players!BO231</f>
        <v>0</v>
      </c>
      <c r="P230" s="2">
        <f>Players!BP231</f>
        <v>0</v>
      </c>
      <c r="Q230" s="2">
        <f>Players!BQ231</f>
        <v>8.0405002977963075E-2</v>
      </c>
      <c r="R230" s="2">
        <f>Players!BR231</f>
        <v>0</v>
      </c>
      <c r="S230" s="2">
        <f t="shared" si="91"/>
        <v>0.76028648339757388</v>
      </c>
      <c r="T230" s="2">
        <f t="shared" si="92"/>
        <v>1.5712166996139025</v>
      </c>
      <c r="U230" s="16">
        <f>INDEX('Team forecast'!$B$2:$AO$26,MATCH('Master data'!$B230,'Team forecast'!$B$2:$B$26,0),MATCH('Master data'!U$1,'Team forecast'!$B$2:$AO$2,0))</f>
        <v>0.15584415584415581</v>
      </c>
      <c r="V230" s="16">
        <f>INDEX('Team forecast'!$B$2:$AO$26,MATCH('Master data'!$B230,'Team forecast'!$B$2:$B$26,0),MATCH('Master data'!V$1,'Team forecast'!$B$2:$AO$2,0))</f>
        <v>0.25974025974025972</v>
      </c>
      <c r="W230" s="16">
        <f>INDEX('Team forecast'!$B$2:$AO$26,MATCH('Master data'!$B230,'Team forecast'!$B$2:$B$26,0),MATCH('Master data'!W$1,'Team forecast'!$B$2:$AO$2,0))</f>
        <v>0.58441558441558439</v>
      </c>
      <c r="X230" s="5">
        <f t="shared" si="93"/>
        <v>-5000</v>
      </c>
      <c r="Y230" s="5">
        <f t="shared" si="94"/>
        <v>0</v>
      </c>
      <c r="Z230" s="5">
        <f t="shared" si="95"/>
        <v>0</v>
      </c>
      <c r="AA230" s="5">
        <f t="shared" si="96"/>
        <v>0</v>
      </c>
      <c r="AB230" s="5">
        <f t="shared" si="97"/>
        <v>0</v>
      </c>
      <c r="AC230" s="5">
        <f t="shared" si="98"/>
        <v>0</v>
      </c>
      <c r="AD230" s="5">
        <f t="shared" si="99"/>
        <v>0</v>
      </c>
      <c r="AE230" s="5">
        <f t="shared" si="100"/>
        <v>0</v>
      </c>
      <c r="AF230" s="5">
        <f t="shared" si="101"/>
        <v>0</v>
      </c>
      <c r="AG230" s="5">
        <f t="shared" si="102"/>
        <v>0</v>
      </c>
      <c r="AH230" s="5">
        <f t="shared" si="103"/>
        <v>0</v>
      </c>
      <c r="AI230" s="5">
        <f t="shared" si="104"/>
        <v>0</v>
      </c>
      <c r="AJ230" s="5">
        <f t="shared" si="105"/>
        <v>0</v>
      </c>
      <c r="AK230" s="5">
        <f>IFERROR(SUM(X230:AJ230),-5000)*((Cockpit!$C$3)^0)</f>
        <v>-5000</v>
      </c>
      <c r="AL230" s="16">
        <f>INDEX('Team forecast'!$B$2:$AO$26,MATCH('Master data'!$B230,'Team forecast'!$B$2:$B$26,0),MATCH('Master data'!AL$1,'Team forecast'!$B$2:$AO$2,0))</f>
        <v>1.5712166996139025</v>
      </c>
      <c r="AM230" s="16">
        <f>INDEX('Team forecast'!$B$2:$AO$26,MATCH('Master data'!$B230,'Team forecast'!$B$2:$B$26,0),MATCH('Master data'!AM$1,'Team forecast'!$B$2:$AO$2,0))</f>
        <v>0.76028648339757388</v>
      </c>
      <c r="AN230" s="16">
        <f>INDEX('Team forecast'!$B$2:$AO$26,MATCH('Master data'!$B230,'Team forecast'!$B$2:$B$26,0),MATCH('Master data'!AN$1,'Team forecast'!$B$2:$AO$2,0))</f>
        <v>0.46753246753246752</v>
      </c>
      <c r="AO230" s="16">
        <f>INDEX('Team forecast'!$B$2:$AO$26,MATCH('Master data'!$B230,'Team forecast'!$B$2:$B$26,0),MATCH('Master data'!AO$1,'Team forecast'!$B$2:$AO$2,0))</f>
        <v>4.2465316205781152</v>
      </c>
      <c r="AP230" s="16">
        <f>INDEX('Team forecast'!$B$2:$AO$26,MATCH('Master data'!$B230,'Team forecast'!$B$2:$B$26,0),MATCH('Master data'!AP$1,'Team forecast'!$B$2:$AO$2,0))</f>
        <v>2.5892273945078212</v>
      </c>
      <c r="AQ230" s="5">
        <f t="shared" si="106"/>
        <v>-5000</v>
      </c>
      <c r="AR230" s="5">
        <f>INDEX('Team forecast'!$B$2:$AO$26,MATCH('Master data'!$B230,'Team forecast'!$B$2:$B$26,0),MATCH('Master data'!AR$1,'Team forecast'!$B$2:$AO$2,0))*IF(X230&gt;0,25000,0)</f>
        <v>0</v>
      </c>
      <c r="AS230" s="16">
        <f>INDEX('Team forecast'!$B$2:$AO$26,MATCH('Master data'!$B230,'Team forecast'!$B$2:$B$26,0),MATCH('Master data'!AS$1,'Team forecast'!$B$2:$AO$2,0))*IF(X230&gt;0,5000,0)</f>
        <v>0</v>
      </c>
      <c r="AT230" s="16">
        <f>INDEX('Team forecast'!$B$2:$AO$26,MATCH('Master data'!$B230,'Team forecast'!$B$2:$B$26,0),MATCH('Master data'!AT$1,'Team forecast'!$B$2:$AO$2,0))*IF(X230&gt;0,-15000,0)</f>
        <v>0</v>
      </c>
      <c r="AU230" s="5">
        <f t="shared" si="107"/>
        <v>0</v>
      </c>
      <c r="AV230" s="5">
        <f t="shared" si="108"/>
        <v>0</v>
      </c>
      <c r="AW230" s="5">
        <f t="shared" si="109"/>
        <v>0</v>
      </c>
      <c r="AX230" s="5">
        <f t="shared" si="110"/>
        <v>0</v>
      </c>
      <c r="AY230" s="5">
        <f t="shared" si="111"/>
        <v>0</v>
      </c>
      <c r="AZ230" s="5">
        <f t="shared" si="112"/>
        <v>0</v>
      </c>
      <c r="BA230" s="5">
        <f t="shared" si="113"/>
        <v>0</v>
      </c>
      <c r="BB230" s="5">
        <f t="shared" si="114"/>
        <v>0</v>
      </c>
      <c r="BC230" s="5">
        <f t="shared" si="115"/>
        <v>0</v>
      </c>
      <c r="BD230" s="5">
        <f t="shared" si="116"/>
        <v>-5000</v>
      </c>
      <c r="BE230" s="16">
        <f>INDEX('Team forecast'!$B$2:$AO$26,MATCH('Master data'!$B230,'Team forecast'!$B$2:$B$26,0),MATCH('Master data'!BE$1,'Team forecast'!$B$2:$AO$2,0))</f>
        <v>1.1461513485277883</v>
      </c>
      <c r="BF230" s="16">
        <f>INDEX('Team forecast'!$B$2:$AO$26,MATCH('Master data'!$B230,'Team forecast'!$B$2:$B$26,0),MATCH('Master data'!BF$1,'Team forecast'!$B$2:$AO$2,0))</f>
        <v>1.1461513485277883</v>
      </c>
      <c r="BG230" s="16">
        <f>INDEX('Team forecast'!$B$2:$AO$26,MATCH('Master data'!$B230,'Team forecast'!$B$2:$B$26,0),MATCH('Master data'!BG$1,'Team forecast'!$B$2:$AO$2,0))</f>
        <v>0.31785774198959899</v>
      </c>
      <c r="BH230" s="16">
        <f>INDEX('Team forecast'!$B$2:$AO$26,MATCH('Master data'!$B230,'Team forecast'!$B$2:$B$26,0),MATCH('Master data'!BH$1,'Team forecast'!$B$2:$AO$2,0))</f>
        <v>3.0977063473724007</v>
      </c>
      <c r="BI230" s="16">
        <f>INDEX('Team forecast'!$B$2:$AO$26,MATCH('Master data'!$B230,'Team forecast'!$B$2:$B$26,0),MATCH('Master data'!BI$1,'Team forecast'!$B$2:$AO$2,0))</f>
        <v>3.9033266205107195</v>
      </c>
      <c r="BJ230" s="5">
        <f t="shared" si="117"/>
        <v>-5000</v>
      </c>
      <c r="BK230" s="5">
        <f>INDEX('Team forecast'!$R$3:$BH$26,MATCH($B230,'Team forecast'!$B$3:$B$26,0),MATCH(BK$1,'Team forecast'!$R$2:$BH$2,0))*IF($X230&gt;0,25000,0)</f>
        <v>0</v>
      </c>
      <c r="BL230" s="5">
        <f>INDEX('Team forecast'!$R$3:$BH$26,MATCH($B230,'Team forecast'!$B$3:$B$26,0),MATCH(BL$1,'Team forecast'!$R$2:$BH$2,0))*IF($X230&gt;0,5000,0)</f>
        <v>0</v>
      </c>
      <c r="BM230" s="5">
        <f>INDEX('Team forecast'!$R$3:$BH$26,MATCH($B230,'Team forecast'!$B$3:$B$26,0),MATCH(BM$1,'Team forecast'!$R$2:$BH$2,0))*IF($X230&gt;0,-15000,0)</f>
        <v>0</v>
      </c>
      <c r="BN230" s="5">
        <f t="shared" si="118"/>
        <v>0</v>
      </c>
      <c r="BO230" s="5">
        <f t="shared" si="119"/>
        <v>0</v>
      </c>
      <c r="BP230" s="5">
        <f t="shared" si="120"/>
        <v>0</v>
      </c>
      <c r="BQ230" s="5">
        <f t="shared" si="121"/>
        <v>0</v>
      </c>
      <c r="BR230" s="5">
        <f t="shared" si="122"/>
        <v>0</v>
      </c>
      <c r="BS230" s="5">
        <f t="shared" si="123"/>
        <v>0</v>
      </c>
      <c r="BT230" s="5">
        <f t="shared" si="124"/>
        <v>0</v>
      </c>
      <c r="BU230" s="5">
        <f t="shared" si="125"/>
        <v>0</v>
      </c>
      <c r="BV230" s="5">
        <f t="shared" si="126"/>
        <v>0</v>
      </c>
      <c r="BW230" s="5">
        <f t="shared" si="127"/>
        <v>-5000</v>
      </c>
      <c r="BX230" s="5">
        <f t="shared" si="128"/>
        <v>-5000</v>
      </c>
      <c r="BY230" s="5">
        <f t="shared" si="129"/>
        <v>-15000</v>
      </c>
      <c r="BZ230" s="5">
        <f>INDEX('Team forecast'!$R$3:$BH$26,MATCH($B230,'Team forecast'!$B$3:$B$26,0),MATCH(BZ$1,'Team forecast'!$R$2:$BH$2,0))*($BX230-(BY230+CH230)*0.01)</f>
        <v>-26012.410794192951</v>
      </c>
      <c r="CA230" s="5">
        <f>INDEX('Team forecast'!$R$3:$BH$26,MATCH($B230,'Team forecast'!$B$3:$B$26,0),MATCH(CA$1,'Team forecast'!$R$2:$BH$2,0))*($BX230-(BY230+BX230+CH230)*0.01)</f>
        <v>-12762.936223740589</v>
      </c>
      <c r="CB230" s="5">
        <f>INDEX('Team forecast'!$R$3:$BH$26,MATCH($B230,'Team forecast'!$B$3:$B$26,0),MATCH(CB$1,'Team forecast'!$R$2:$BH$2,0))*($BX230-(BY230+BX230*2+CH230)*0.01)</f>
        <v>-6161.2064479269693</v>
      </c>
      <c r="CC230" s="5">
        <f>INDEX('Team forecast'!$R$3:$BH$26,MATCH($B230,'Team forecast'!$B$3:$B$26,0),MATCH(CC$1,'Team forecast'!$R$2:$BH$2,0))*($BX230-(BY230+BX230*3+CH230)*0.01)</f>
        <v>-2804.3636302816994</v>
      </c>
      <c r="CD230" s="5">
        <f>+AK230+BD230*Cockpit!$C$3+BW230*Cockpit!$C$3^2+BZ230*Cockpit!$C$3^3+CA230*Cockpit!$C$3^4+CB230*Cockpit!$C$3^5+CC230*Cockpit!$C$3^6</f>
        <v>-21841.561919208969</v>
      </c>
      <c r="CE230" s="5"/>
      <c r="CF230" s="5"/>
      <c r="CG230" s="5">
        <v>0</v>
      </c>
      <c r="CH230" s="5">
        <f t="shared" si="130"/>
        <v>3000000</v>
      </c>
      <c r="CI230" s="5">
        <f t="shared" si="131"/>
        <v>3000000</v>
      </c>
      <c r="CJ230" s="1">
        <f t="shared" si="132"/>
        <v>-5.0000000000000001E-3</v>
      </c>
      <c r="CK230" s="5">
        <f>RANK(BY230,$BY$2:$BY$623)+COUNTIF($BY$2:$BY230,$BY230)-1</f>
        <v>490</v>
      </c>
      <c r="CL230" s="5">
        <f>RANK(CJ230,$CJ$2:$CJ$623)+COUNTIF($CJ$2:$CJ230,$CJ230)-1</f>
        <v>497</v>
      </c>
    </row>
    <row r="231" spans="1:90">
      <c r="A231" t="str">
        <f>Players!P232</f>
        <v>Marlos</v>
      </c>
      <c r="B231" t="str">
        <f>Players!G232</f>
        <v>Ukraine</v>
      </c>
      <c r="C231" t="str">
        <f>Players!AB232</f>
        <v>Midfield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2500000</v>
      </c>
      <c r="H231" s="16">
        <f>INDEX('Team forecast'!$B$2:$AO$26,MATCH('Master data'!$B231,'Team forecast'!$B$2:$B$26,0),MATCH('Master data'!H$1,'Team forecast'!$B$2:$AO$2,0))</f>
        <v>0.76028648339757388</v>
      </c>
      <c r="I231" s="16">
        <f>INDEX('Team forecast'!$B$2:$AO$26,MATCH('Master data'!$B231,'Team forecast'!$B$2:$B$26,0),MATCH('Master data'!I$1,'Team forecast'!$B$2:$AO$2,0))</f>
        <v>1.5712166996139025</v>
      </c>
      <c r="J231" s="16">
        <f>INDEX('Team forecast'!$B$2:$AO$26,MATCH('Master data'!$B231,'Team forecast'!$B$2:$B$26,0),MATCH('Master data'!J$1,'Team forecast'!$B$2:$AO$2,0))</f>
        <v>0.20779220779220781</v>
      </c>
      <c r="K231" s="16">
        <f>INDEX('Team forecast'!$B$2:$AO$26,MATCH('Master data'!$B231,'Team forecast'!$B$2:$B$26,0),MATCH('Master data'!K$1,'Team forecast'!$B$2:$AO$2,0))</f>
        <v>2.0548283335069564</v>
      </c>
      <c r="L231" s="16">
        <f>INDEX('Team forecast'!$B$2:$AO$26,MATCH('Master data'!$B231,'Team forecast'!$B$2:$B$26,0),MATCH('Master data'!L$1,'Team forecast'!$B$2:$AO$2,0))</f>
        <v>5.3509268021816121</v>
      </c>
      <c r="M231">
        <f>IF(Players!BC232=1,95,0)</f>
        <v>95</v>
      </c>
      <c r="N231" s="2">
        <f>Players!BN232</f>
        <v>8.1524483845353518E-2</v>
      </c>
      <c r="O231" s="2">
        <f>Players!BO232</f>
        <v>8.6227562752625359E-2</v>
      </c>
      <c r="P231" s="2">
        <f>Players!BP232</f>
        <v>3.2964197045480294E-2</v>
      </c>
      <c r="Q231" s="2">
        <f>Players!BQ232</f>
        <v>0.10356731875719218</v>
      </c>
      <c r="R231" s="2">
        <f>Players!BR232</f>
        <v>5.1783659378596088E-2</v>
      </c>
      <c r="S231" s="2">
        <f t="shared" si="91"/>
        <v>0.76028648339757388</v>
      </c>
      <c r="T231" s="2">
        <f t="shared" si="92"/>
        <v>1.5712166996139025</v>
      </c>
      <c r="U231" s="16">
        <f>INDEX('Team forecast'!$B$2:$AO$26,MATCH('Master data'!$B231,'Team forecast'!$B$2:$B$26,0),MATCH('Master data'!U$1,'Team forecast'!$B$2:$AO$2,0))</f>
        <v>0.15584415584415581</v>
      </c>
      <c r="V231" s="16">
        <f>INDEX('Team forecast'!$B$2:$AO$26,MATCH('Master data'!$B231,'Team forecast'!$B$2:$B$26,0),MATCH('Master data'!V$1,'Team forecast'!$B$2:$AO$2,0))</f>
        <v>0.25974025974025972</v>
      </c>
      <c r="W231" s="16">
        <f>INDEX('Team forecast'!$B$2:$AO$26,MATCH('Master data'!$B231,'Team forecast'!$B$2:$B$26,0),MATCH('Master data'!W$1,'Team forecast'!$B$2:$AO$2,0))</f>
        <v>0.58441558441558439</v>
      </c>
      <c r="X231" s="5">
        <f t="shared" si="93"/>
        <v>7000</v>
      </c>
      <c r="Y231" s="5">
        <f t="shared" si="94"/>
        <v>3896.1038961038953</v>
      </c>
      <c r="Z231" s="5">
        <f t="shared" si="95"/>
        <v>1298.7012987012986</v>
      </c>
      <c r="AA231" s="5">
        <f t="shared" si="96"/>
        <v>-8766.233766233765</v>
      </c>
      <c r="AB231" s="5">
        <f t="shared" si="97"/>
        <v>7747.7453916982686</v>
      </c>
      <c r="AC231" s="5">
        <f t="shared" si="98"/>
        <v>3277.882522856858</v>
      </c>
      <c r="AD231" s="5">
        <f t="shared" si="99"/>
        <v>677.35766080359213</v>
      </c>
      <c r="AE231" s="5">
        <f t="shared" si="100"/>
        <v>0</v>
      </c>
      <c r="AF231" s="5">
        <f t="shared" si="101"/>
        <v>0</v>
      </c>
      <c r="AG231" s="5">
        <f t="shared" si="102"/>
        <v>-2071.3463751438435</v>
      </c>
      <c r="AH231" s="5">
        <f t="shared" si="103"/>
        <v>-2589.1829689298042</v>
      </c>
      <c r="AI231" s="5">
        <f t="shared" si="104"/>
        <v>7602.8648339757392</v>
      </c>
      <c r="AJ231" s="5">
        <f t="shared" si="105"/>
        <v>-12569.733596911221</v>
      </c>
      <c r="AK231" s="5">
        <f>IFERROR(SUM(X231:AJ231),-5000)*((Cockpit!$C$3)^0)</f>
        <v>5504.1588969210206</v>
      </c>
      <c r="AL231" s="16">
        <f>INDEX('Team forecast'!$B$2:$AO$26,MATCH('Master data'!$B231,'Team forecast'!$B$2:$B$26,0),MATCH('Master data'!AL$1,'Team forecast'!$B$2:$AO$2,0))</f>
        <v>1.5712166996139025</v>
      </c>
      <c r="AM231" s="16">
        <f>INDEX('Team forecast'!$B$2:$AO$26,MATCH('Master data'!$B231,'Team forecast'!$B$2:$B$26,0),MATCH('Master data'!AM$1,'Team forecast'!$B$2:$AO$2,0))</f>
        <v>0.76028648339757388</v>
      </c>
      <c r="AN231" s="16">
        <f>INDEX('Team forecast'!$B$2:$AO$26,MATCH('Master data'!$B231,'Team forecast'!$B$2:$B$26,0),MATCH('Master data'!AN$1,'Team forecast'!$B$2:$AO$2,0))</f>
        <v>0.46753246753246752</v>
      </c>
      <c r="AO231" s="16">
        <f>INDEX('Team forecast'!$B$2:$AO$26,MATCH('Master data'!$B231,'Team forecast'!$B$2:$B$26,0),MATCH('Master data'!AO$1,'Team forecast'!$B$2:$AO$2,0))</f>
        <v>4.2465316205781152</v>
      </c>
      <c r="AP231" s="16">
        <f>INDEX('Team forecast'!$B$2:$AO$26,MATCH('Master data'!$B231,'Team forecast'!$B$2:$B$26,0),MATCH('Master data'!AP$1,'Team forecast'!$B$2:$AO$2,0))</f>
        <v>2.5892273945078212</v>
      </c>
      <c r="AQ231" s="5">
        <f t="shared" si="106"/>
        <v>7000</v>
      </c>
      <c r="AR231" s="5">
        <f>INDEX('Team forecast'!$B$2:$AO$26,MATCH('Master data'!$B231,'Team forecast'!$B$2:$B$26,0),MATCH('Master data'!AR$1,'Team forecast'!$B$2:$AO$2,0))*IF(X231&gt;0,25000,0)</f>
        <v>14610.38961038961</v>
      </c>
      <c r="AS231" s="16">
        <f>INDEX('Team forecast'!$B$2:$AO$26,MATCH('Master data'!$B231,'Team forecast'!$B$2:$B$26,0),MATCH('Master data'!AS$1,'Team forecast'!$B$2:$AO$2,0))*IF(X231&gt;0,5000,0)</f>
        <v>1298.7012987012986</v>
      </c>
      <c r="AT231" s="16">
        <f>INDEX('Team forecast'!$B$2:$AO$26,MATCH('Master data'!$B231,'Team forecast'!$B$2:$B$26,0),MATCH('Master data'!AT$1,'Team forecast'!$B$2:$AO$2,0))*IF(X231&gt;0,-15000,0)</f>
        <v>-2337.662337662337</v>
      </c>
      <c r="AU231" s="5">
        <f t="shared" si="107"/>
        <v>16011.578805652909</v>
      </c>
      <c r="AV231" s="5">
        <f t="shared" si="108"/>
        <v>6774.109328196535</v>
      </c>
      <c r="AW231" s="5">
        <f t="shared" si="109"/>
        <v>1399.8350510059977</v>
      </c>
      <c r="AX231" s="5">
        <f t="shared" si="110"/>
        <v>0</v>
      </c>
      <c r="AY231" s="5">
        <f t="shared" si="111"/>
        <v>0</v>
      </c>
      <c r="AZ231" s="5">
        <f t="shared" si="112"/>
        <v>-2071.3463751438435</v>
      </c>
      <c r="BA231" s="5">
        <f t="shared" si="113"/>
        <v>-2589.1829689298042</v>
      </c>
      <c r="BB231" s="5">
        <f t="shared" si="114"/>
        <v>15712.166996139025</v>
      </c>
      <c r="BC231" s="5">
        <f t="shared" si="115"/>
        <v>-6082.291867180591</v>
      </c>
      <c r="BD231" s="5">
        <f t="shared" si="116"/>
        <v>49726.297541168802</v>
      </c>
      <c r="BE231" s="16">
        <f>INDEX('Team forecast'!$B$2:$AO$26,MATCH('Master data'!$B231,'Team forecast'!$B$2:$B$26,0),MATCH('Master data'!BE$1,'Team forecast'!$B$2:$AO$2,0))</f>
        <v>1.1461513485277883</v>
      </c>
      <c r="BF231" s="16">
        <f>INDEX('Team forecast'!$B$2:$AO$26,MATCH('Master data'!$B231,'Team forecast'!$B$2:$B$26,0),MATCH('Master data'!BF$1,'Team forecast'!$B$2:$AO$2,0))</f>
        <v>1.1461513485277883</v>
      </c>
      <c r="BG231" s="16">
        <f>INDEX('Team forecast'!$B$2:$AO$26,MATCH('Master data'!$B231,'Team forecast'!$B$2:$B$26,0),MATCH('Master data'!BG$1,'Team forecast'!$B$2:$AO$2,0))</f>
        <v>0.31785774198959899</v>
      </c>
      <c r="BH231" s="16">
        <f>INDEX('Team forecast'!$B$2:$AO$26,MATCH('Master data'!$B231,'Team forecast'!$B$2:$B$26,0),MATCH('Master data'!BH$1,'Team forecast'!$B$2:$AO$2,0))</f>
        <v>3.0977063473724007</v>
      </c>
      <c r="BI231" s="16">
        <f>INDEX('Team forecast'!$B$2:$AO$26,MATCH('Master data'!$B231,'Team forecast'!$B$2:$B$26,0),MATCH('Master data'!BI$1,'Team forecast'!$B$2:$AO$2,0))</f>
        <v>3.9033266205107195</v>
      </c>
      <c r="BJ231" s="5">
        <f t="shared" si="117"/>
        <v>7000</v>
      </c>
      <c r="BK231" s="5">
        <f>INDEX('Team forecast'!$R$3:$BH$26,MATCH($B231,'Team forecast'!$B$3:$B$26,0),MATCH(BK$1,'Team forecast'!$R$2:$BH$2,0))*IF($X231&gt;0,25000,0)</f>
        <v>8668.8475088072482</v>
      </c>
      <c r="BL231" s="5">
        <f>INDEX('Team forecast'!$R$3:$BH$26,MATCH($B231,'Team forecast'!$B$3:$B$26,0),MATCH(BL$1,'Team forecast'!$R$2:$BH$2,0))*IF($X231&gt;0,5000,0)</f>
        <v>1467.0357322596881</v>
      </c>
      <c r="BM231" s="5">
        <f>INDEX('Team forecast'!$R$3:$BH$26,MATCH($B231,'Team forecast'!$B$3:$B$26,0),MATCH(BM$1,'Team forecast'!$R$2:$BH$2,0))*IF($X231&gt;0,-15000,0)</f>
        <v>-5397.584297936588</v>
      </c>
      <c r="BN231" s="5">
        <f t="shared" si="118"/>
        <v>11679.924637172979</v>
      </c>
      <c r="BO231" s="5">
        <f t="shared" si="119"/>
        <v>4941.4918664593024</v>
      </c>
      <c r="BP231" s="5">
        <f t="shared" si="120"/>
        <v>1021.1340242381884</v>
      </c>
      <c r="BQ231" s="5">
        <f t="shared" si="121"/>
        <v>0</v>
      </c>
      <c r="BR231" s="5">
        <f t="shared" si="122"/>
        <v>0</v>
      </c>
      <c r="BS231" s="5">
        <f t="shared" si="123"/>
        <v>-2071.3463751438435</v>
      </c>
      <c r="BT231" s="5">
        <f t="shared" si="124"/>
        <v>-2589.1829689298042</v>
      </c>
      <c r="BU231" s="5">
        <f t="shared" si="125"/>
        <v>11461.513485277883</v>
      </c>
      <c r="BV231" s="5">
        <f t="shared" si="126"/>
        <v>-9169.2107882223063</v>
      </c>
      <c r="BW231" s="5">
        <f t="shared" si="127"/>
        <v>27012.622823982747</v>
      </c>
      <c r="BX231" s="5">
        <f t="shared" si="128"/>
        <v>27414.35975402419</v>
      </c>
      <c r="BY231" s="5">
        <f t="shared" si="129"/>
        <v>82243.07926207257</v>
      </c>
      <c r="BZ231" s="5">
        <f>INDEX('Team forecast'!$R$3:$BH$26,MATCH($B231,'Team forecast'!$B$3:$B$26,0),MATCH(BZ$1,'Team forecast'!$R$2:$BH$2,0))*($BX231-(BY231+CH231)*0.01)</f>
        <v>1188.2327144677145</v>
      </c>
      <c r="CA231" s="5">
        <f>INDEX('Team forecast'!$R$3:$BH$26,MATCH($B231,'Team forecast'!$B$3:$B$26,0),MATCH(CA$1,'Team forecast'!$R$2:$BH$2,0))*($BX231-(BY231+BX231+CH231)*0.01)</f>
        <v>483.29915389554861</v>
      </c>
      <c r="CB231" s="5">
        <f>INDEX('Team forecast'!$R$3:$BH$26,MATCH($B231,'Team forecast'!$B$3:$B$26,0),MATCH(CB$1,'Team forecast'!$R$2:$BH$2,0))*($BX231-(BY231+BX231*2+CH231)*0.01)</f>
        <v>185.03862964014499</v>
      </c>
      <c r="CC231" s="5">
        <f>INDEX('Team forecast'!$R$3:$BH$26,MATCH($B231,'Team forecast'!$B$3:$B$26,0),MATCH(CC$1,'Team forecast'!$R$2:$BH$2,0))*($BX231-(BY231+BX231*3+CH231)*0.01)</f>
        <v>62.188837985667732</v>
      </c>
      <c r="CD231" s="5">
        <f>+AK231+BD231*Cockpit!$C$3+BW231*Cockpit!$C$3^2+BZ231*Cockpit!$C$3^3+CA231*Cockpit!$C$3^4+CB231*Cockpit!$C$3^5+CC231*Cockpit!$C$3^6</f>
        <v>51137.996398348958</v>
      </c>
      <c r="CE231" s="5"/>
      <c r="CF231" s="5"/>
      <c r="CG231" s="5">
        <v>0</v>
      </c>
      <c r="CH231" s="5">
        <f t="shared" si="130"/>
        <v>2500000</v>
      </c>
      <c r="CI231" s="5">
        <f t="shared" si="131"/>
        <v>2500000</v>
      </c>
      <c r="CJ231" s="1">
        <f t="shared" si="132"/>
        <v>3.2897231704829027E-2</v>
      </c>
      <c r="CK231" s="5">
        <f>RANK(BY231,$BY$2:$BY$623)+COUNTIF($BY$2:$BY231,$BY231)-1</f>
        <v>207</v>
      </c>
      <c r="CL231" s="5">
        <f>RANK(CJ231,$CJ$2:$CJ$623)+COUNTIF($CJ$2:$CJ231,$CJ231)-1</f>
        <v>121</v>
      </c>
    </row>
    <row r="232" spans="1:90">
      <c r="A232" t="str">
        <f>Players!P233</f>
        <v>Ruslan Malinovskyi</v>
      </c>
      <c r="B232" t="str">
        <f>Players!G233</f>
        <v>Ukraine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3500000</v>
      </c>
      <c r="H232" s="16">
        <f>INDEX('Team forecast'!$B$2:$AO$26,MATCH('Master data'!$B232,'Team forecast'!$B$2:$B$26,0),MATCH('Master data'!H$1,'Team forecast'!$B$2:$AO$2,0))</f>
        <v>0.76028648339757388</v>
      </c>
      <c r="I232" s="16">
        <f>INDEX('Team forecast'!$B$2:$AO$26,MATCH('Master data'!$B232,'Team forecast'!$B$2:$B$26,0),MATCH('Master data'!I$1,'Team forecast'!$B$2:$AO$2,0))</f>
        <v>1.5712166996139025</v>
      </c>
      <c r="J232" s="16">
        <f>INDEX('Team forecast'!$B$2:$AO$26,MATCH('Master data'!$B232,'Team forecast'!$B$2:$B$26,0),MATCH('Master data'!J$1,'Team forecast'!$B$2:$AO$2,0))</f>
        <v>0.20779220779220781</v>
      </c>
      <c r="K232" s="16">
        <f>INDEX('Team forecast'!$B$2:$AO$26,MATCH('Master data'!$B232,'Team forecast'!$B$2:$B$26,0),MATCH('Master data'!K$1,'Team forecast'!$B$2:$AO$2,0))</f>
        <v>2.0548283335069564</v>
      </c>
      <c r="L232" s="16">
        <f>INDEX('Team forecast'!$B$2:$AO$26,MATCH('Master data'!$B232,'Team forecast'!$B$2:$B$26,0),MATCH('Master data'!L$1,'Team forecast'!$B$2:$AO$2,0))</f>
        <v>5.3509268021816121</v>
      </c>
      <c r="M232">
        <f>IF(Players!BC233=1,95,0)</f>
        <v>95</v>
      </c>
      <c r="N232" s="2">
        <f>Players!BN233</f>
        <v>0.22040122269182993</v>
      </c>
      <c r="O232" s="2">
        <f>Players!BO233</f>
        <v>0.31099154633938964</v>
      </c>
      <c r="P232" s="2">
        <f>Players!BP233</f>
        <v>0.30453244893521253</v>
      </c>
      <c r="Q232" s="2">
        <f>Players!BQ233</f>
        <v>7.1732199787460149E-2</v>
      </c>
      <c r="R232" s="2">
        <f>Players!BR233</f>
        <v>0</v>
      </c>
      <c r="S232" s="2">
        <f t="shared" si="91"/>
        <v>0.76028648339757388</v>
      </c>
      <c r="T232" s="2">
        <f t="shared" si="92"/>
        <v>1.5712166996139025</v>
      </c>
      <c r="U232" s="16">
        <f>INDEX('Team forecast'!$B$2:$AO$26,MATCH('Master data'!$B232,'Team forecast'!$B$2:$B$26,0),MATCH('Master data'!U$1,'Team forecast'!$B$2:$AO$2,0))</f>
        <v>0.15584415584415581</v>
      </c>
      <c r="V232" s="16">
        <f>INDEX('Team forecast'!$B$2:$AO$26,MATCH('Master data'!$B232,'Team forecast'!$B$2:$B$26,0),MATCH('Master data'!V$1,'Team forecast'!$B$2:$AO$2,0))</f>
        <v>0.25974025974025972</v>
      </c>
      <c r="W232" s="16">
        <f>INDEX('Team forecast'!$B$2:$AO$26,MATCH('Master data'!$B232,'Team forecast'!$B$2:$B$26,0),MATCH('Master data'!W$1,'Team forecast'!$B$2:$AO$2,0))</f>
        <v>0.58441558441558439</v>
      </c>
      <c r="X232" s="5">
        <f t="shared" si="93"/>
        <v>7000</v>
      </c>
      <c r="Y232" s="5">
        <f t="shared" si="94"/>
        <v>3896.1038961038953</v>
      </c>
      <c r="Z232" s="5">
        <f t="shared" si="95"/>
        <v>1298.7012987012986</v>
      </c>
      <c r="AA232" s="5">
        <f t="shared" si="96"/>
        <v>-8766.233766233765</v>
      </c>
      <c r="AB232" s="5">
        <f t="shared" si="97"/>
        <v>20946.008817112117</v>
      </c>
      <c r="AC232" s="5">
        <f t="shared" si="98"/>
        <v>11822.13345663741</v>
      </c>
      <c r="AD232" s="5">
        <f t="shared" si="99"/>
        <v>6257.6190454433499</v>
      </c>
      <c r="AE232" s="5">
        <f t="shared" si="100"/>
        <v>0</v>
      </c>
      <c r="AF232" s="5">
        <f t="shared" si="101"/>
        <v>0</v>
      </c>
      <c r="AG232" s="5">
        <f t="shared" si="102"/>
        <v>-1434.643995749203</v>
      </c>
      <c r="AH232" s="5">
        <f t="shared" si="103"/>
        <v>0</v>
      </c>
      <c r="AI232" s="5">
        <f t="shared" si="104"/>
        <v>7602.8648339757392</v>
      </c>
      <c r="AJ232" s="5">
        <f t="shared" si="105"/>
        <v>-12569.733596911221</v>
      </c>
      <c r="AK232" s="5">
        <f>IFERROR(SUM(X232:AJ232),-5000)*((Cockpit!$C$3)^0)</f>
        <v>36052.819989079624</v>
      </c>
      <c r="AL232" s="16">
        <f>INDEX('Team forecast'!$B$2:$AO$26,MATCH('Master data'!$B232,'Team forecast'!$B$2:$B$26,0),MATCH('Master data'!AL$1,'Team forecast'!$B$2:$AO$2,0))</f>
        <v>1.5712166996139025</v>
      </c>
      <c r="AM232" s="16">
        <f>INDEX('Team forecast'!$B$2:$AO$26,MATCH('Master data'!$B232,'Team forecast'!$B$2:$B$26,0),MATCH('Master data'!AM$1,'Team forecast'!$B$2:$AO$2,0))</f>
        <v>0.76028648339757388</v>
      </c>
      <c r="AN232" s="16">
        <f>INDEX('Team forecast'!$B$2:$AO$26,MATCH('Master data'!$B232,'Team forecast'!$B$2:$B$26,0),MATCH('Master data'!AN$1,'Team forecast'!$B$2:$AO$2,0))</f>
        <v>0.46753246753246752</v>
      </c>
      <c r="AO232" s="16">
        <f>INDEX('Team forecast'!$B$2:$AO$26,MATCH('Master data'!$B232,'Team forecast'!$B$2:$B$26,0),MATCH('Master data'!AO$1,'Team forecast'!$B$2:$AO$2,0))</f>
        <v>4.2465316205781152</v>
      </c>
      <c r="AP232" s="16">
        <f>INDEX('Team forecast'!$B$2:$AO$26,MATCH('Master data'!$B232,'Team forecast'!$B$2:$B$26,0),MATCH('Master data'!AP$1,'Team forecast'!$B$2:$AO$2,0))</f>
        <v>2.5892273945078212</v>
      </c>
      <c r="AQ232" s="5">
        <f t="shared" si="106"/>
        <v>7000</v>
      </c>
      <c r="AR232" s="5">
        <f>INDEX('Team forecast'!$B$2:$AO$26,MATCH('Master data'!$B232,'Team forecast'!$B$2:$B$26,0),MATCH('Master data'!AR$1,'Team forecast'!$B$2:$AO$2,0))*IF(X232&gt;0,25000,0)</f>
        <v>14610.38961038961</v>
      </c>
      <c r="AS232" s="16">
        <f>INDEX('Team forecast'!$B$2:$AO$26,MATCH('Master data'!$B232,'Team forecast'!$B$2:$B$26,0),MATCH('Master data'!AS$1,'Team forecast'!$B$2:$AO$2,0))*IF(X232&gt;0,5000,0)</f>
        <v>1298.7012987012986</v>
      </c>
      <c r="AT232" s="16">
        <f>INDEX('Team forecast'!$B$2:$AO$26,MATCH('Master data'!$B232,'Team forecast'!$B$2:$B$26,0),MATCH('Master data'!AT$1,'Team forecast'!$B$2:$AO$2,0))*IF(X232&gt;0,-15000,0)</f>
        <v>-2337.662337662337</v>
      </c>
      <c r="AU232" s="5">
        <f t="shared" si="107"/>
        <v>43287.260213590722</v>
      </c>
      <c r="AV232" s="5">
        <f t="shared" si="108"/>
        <v>24431.755552359991</v>
      </c>
      <c r="AW232" s="5">
        <f t="shared" si="109"/>
        <v>12932.066738954702</v>
      </c>
      <c r="AX232" s="5">
        <f t="shared" si="110"/>
        <v>0</v>
      </c>
      <c r="AY232" s="5">
        <f t="shared" si="111"/>
        <v>0</v>
      </c>
      <c r="AZ232" s="5">
        <f t="shared" si="112"/>
        <v>-1434.643995749203</v>
      </c>
      <c r="BA232" s="5">
        <f t="shared" si="113"/>
        <v>0</v>
      </c>
      <c r="BB232" s="5">
        <f t="shared" si="114"/>
        <v>15712.166996139025</v>
      </c>
      <c r="BC232" s="5">
        <f t="shared" si="115"/>
        <v>-6082.291867180591</v>
      </c>
      <c r="BD232" s="5">
        <f t="shared" si="116"/>
        <v>109417.74220954323</v>
      </c>
      <c r="BE232" s="16">
        <f>INDEX('Team forecast'!$B$2:$AO$26,MATCH('Master data'!$B232,'Team forecast'!$B$2:$B$26,0),MATCH('Master data'!BE$1,'Team forecast'!$B$2:$AO$2,0))</f>
        <v>1.1461513485277883</v>
      </c>
      <c r="BF232" s="16">
        <f>INDEX('Team forecast'!$B$2:$AO$26,MATCH('Master data'!$B232,'Team forecast'!$B$2:$B$26,0),MATCH('Master data'!BF$1,'Team forecast'!$B$2:$AO$2,0))</f>
        <v>1.1461513485277883</v>
      </c>
      <c r="BG232" s="16">
        <f>INDEX('Team forecast'!$B$2:$AO$26,MATCH('Master data'!$B232,'Team forecast'!$B$2:$B$26,0),MATCH('Master data'!BG$1,'Team forecast'!$B$2:$AO$2,0))</f>
        <v>0.31785774198959899</v>
      </c>
      <c r="BH232" s="16">
        <f>INDEX('Team forecast'!$B$2:$AO$26,MATCH('Master data'!$B232,'Team forecast'!$B$2:$B$26,0),MATCH('Master data'!BH$1,'Team forecast'!$B$2:$AO$2,0))</f>
        <v>3.0977063473724007</v>
      </c>
      <c r="BI232" s="16">
        <f>INDEX('Team forecast'!$B$2:$AO$26,MATCH('Master data'!$B232,'Team forecast'!$B$2:$B$26,0),MATCH('Master data'!BI$1,'Team forecast'!$B$2:$AO$2,0))</f>
        <v>3.9033266205107195</v>
      </c>
      <c r="BJ232" s="5">
        <f t="shared" si="117"/>
        <v>7000</v>
      </c>
      <c r="BK232" s="5">
        <f>INDEX('Team forecast'!$R$3:$BH$26,MATCH($B232,'Team forecast'!$B$3:$B$26,0),MATCH(BK$1,'Team forecast'!$R$2:$BH$2,0))*IF($X232&gt;0,25000,0)</f>
        <v>8668.8475088072482</v>
      </c>
      <c r="BL232" s="5">
        <f>INDEX('Team forecast'!$R$3:$BH$26,MATCH($B232,'Team forecast'!$B$3:$B$26,0),MATCH(BL$1,'Team forecast'!$R$2:$BH$2,0))*IF($X232&gt;0,5000,0)</f>
        <v>1467.0357322596881</v>
      </c>
      <c r="BM232" s="5">
        <f>INDEX('Team forecast'!$R$3:$BH$26,MATCH($B232,'Team forecast'!$B$3:$B$26,0),MATCH(BM$1,'Team forecast'!$R$2:$BH$2,0))*IF($X232&gt;0,-15000,0)</f>
        <v>-5397.584297936588</v>
      </c>
      <c r="BN232" s="5">
        <f t="shared" si="118"/>
        <v>31576.64482567678</v>
      </c>
      <c r="BO232" s="5">
        <f t="shared" si="119"/>
        <v>17822.16901088168</v>
      </c>
      <c r="BP232" s="5">
        <f t="shared" si="120"/>
        <v>9433.5210004746932</v>
      </c>
      <c r="BQ232" s="5">
        <f t="shared" si="121"/>
        <v>0</v>
      </c>
      <c r="BR232" s="5">
        <f t="shared" si="122"/>
        <v>0</v>
      </c>
      <c r="BS232" s="5">
        <f t="shared" si="123"/>
        <v>-1434.643995749203</v>
      </c>
      <c r="BT232" s="5">
        <f t="shared" si="124"/>
        <v>0</v>
      </c>
      <c r="BU232" s="5">
        <f t="shared" si="125"/>
        <v>11461.513485277883</v>
      </c>
      <c r="BV232" s="5">
        <f t="shared" si="126"/>
        <v>-9169.2107882223063</v>
      </c>
      <c r="BW232" s="5">
        <f t="shared" si="127"/>
        <v>71428.292481469878</v>
      </c>
      <c r="BX232" s="5">
        <f t="shared" si="128"/>
        <v>72299.618226697567</v>
      </c>
      <c r="BY232" s="5">
        <f t="shared" si="129"/>
        <v>216898.85468009271</v>
      </c>
      <c r="BZ232" s="5">
        <f>INDEX('Team forecast'!$R$3:$BH$26,MATCH($B232,'Team forecast'!$B$3:$B$26,0),MATCH(BZ$1,'Team forecast'!$R$2:$BH$2,0))*($BX232-(BY232+CH232)*0.01)</f>
        <v>26221.875773088628</v>
      </c>
      <c r="CA232" s="5">
        <f>INDEX('Team forecast'!$R$3:$BH$26,MATCH($B232,'Team forecast'!$B$3:$B$26,0),MATCH(CA$1,'Team forecast'!$R$2:$BH$2,0))*($BX232-(BY232+BX232+CH232)*0.01)</f>
        <v>12619.035400577233</v>
      </c>
      <c r="CB232" s="5">
        <f>INDEX('Team forecast'!$R$3:$BH$26,MATCH($B232,'Team forecast'!$B$3:$B$26,0),MATCH(CB$1,'Team forecast'!$R$2:$BH$2,0))*($BX232-(BY232+BX232*2+CH232)*0.01)</f>
        <v>5972.3166798127768</v>
      </c>
      <c r="CC232" s="5">
        <f>INDEX('Team forecast'!$R$3:$BH$26,MATCH($B232,'Team forecast'!$B$3:$B$26,0),MATCH(CC$1,'Team forecast'!$R$2:$BH$2,0))*($BX232-(BY232+BX232*3+CH232)*0.01)</f>
        <v>2663.8739938919562</v>
      </c>
      <c r="CD232" s="5">
        <f>+AK232+BD232*Cockpit!$C$3+BW232*Cockpit!$C$3^2+BZ232*Cockpit!$C$3^3+CA232*Cockpit!$C$3^4+CB232*Cockpit!$C$3^5+CC232*Cockpit!$C$3^6</f>
        <v>152026.32627080198</v>
      </c>
      <c r="CE232" s="5"/>
      <c r="CF232" s="5"/>
      <c r="CG232" s="5">
        <v>0</v>
      </c>
      <c r="CH232" s="5">
        <f t="shared" si="130"/>
        <v>3500000</v>
      </c>
      <c r="CI232" s="5">
        <f t="shared" si="131"/>
        <v>3500000</v>
      </c>
      <c r="CJ232" s="1">
        <f t="shared" si="132"/>
        <v>6.1971101337169349E-2</v>
      </c>
      <c r="CK232" s="5">
        <f>RANK(BY232,$BY$2:$BY$623)+COUNTIF($BY$2:$BY232,$BY232)-1</f>
        <v>40</v>
      </c>
      <c r="CL232" s="5">
        <f>RANK(CJ232,$CJ$2:$CJ$623)+COUNTIF($CJ$2:$CJ232,$CJ232)-1</f>
        <v>9</v>
      </c>
    </row>
    <row r="233" spans="1:90">
      <c r="A233" t="str">
        <f>Players!P234</f>
        <v>Roman Yaremchuk</v>
      </c>
      <c r="B233" t="str">
        <f>Players!G234</f>
        <v>Ukraine</v>
      </c>
      <c r="C233" t="str">
        <f>Players!AB234</f>
        <v>Striker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4000000</v>
      </c>
      <c r="H233" s="16">
        <f>INDEX('Team forecast'!$B$2:$AO$26,MATCH('Master data'!$B233,'Team forecast'!$B$2:$B$26,0),MATCH('Master data'!H$1,'Team forecast'!$B$2:$AO$2,0))</f>
        <v>0.76028648339757388</v>
      </c>
      <c r="I233" s="16">
        <f>INDEX('Team forecast'!$B$2:$AO$26,MATCH('Master data'!$B233,'Team forecast'!$B$2:$B$26,0),MATCH('Master data'!I$1,'Team forecast'!$B$2:$AO$2,0))</f>
        <v>1.5712166996139025</v>
      </c>
      <c r="J233" s="16">
        <f>INDEX('Team forecast'!$B$2:$AO$26,MATCH('Master data'!$B233,'Team forecast'!$B$2:$B$26,0),MATCH('Master data'!J$1,'Team forecast'!$B$2:$AO$2,0))</f>
        <v>0.20779220779220781</v>
      </c>
      <c r="K233" s="16">
        <f>INDEX('Team forecast'!$B$2:$AO$26,MATCH('Master data'!$B233,'Team forecast'!$B$2:$B$26,0),MATCH('Master data'!K$1,'Team forecast'!$B$2:$AO$2,0))</f>
        <v>2.0548283335069564</v>
      </c>
      <c r="L233" s="16">
        <f>INDEX('Team forecast'!$B$2:$AO$26,MATCH('Master data'!$B233,'Team forecast'!$B$2:$B$26,0),MATCH('Master data'!L$1,'Team forecast'!$B$2:$AO$2,0))</f>
        <v>5.3509268021816121</v>
      </c>
      <c r="M233">
        <f>IF(Players!BC234=1,95,0)</f>
        <v>95</v>
      </c>
      <c r="N233" s="2">
        <f>Players!BN234</f>
        <v>0.26094095485424523</v>
      </c>
      <c r="O233" s="2">
        <f>Players!BO234</f>
        <v>0.13601877704680604</v>
      </c>
      <c r="P233" s="2">
        <f>Players!BP234</f>
        <v>0.22734831136922515</v>
      </c>
      <c r="Q233" s="2">
        <f>Players!BQ234</f>
        <v>0</v>
      </c>
      <c r="R233" s="2">
        <f>Players!BR234</f>
        <v>0</v>
      </c>
      <c r="S233" s="2">
        <f t="shared" si="91"/>
        <v>0.76028648339757388</v>
      </c>
      <c r="T233" s="2">
        <f t="shared" si="92"/>
        <v>1.5712166996139025</v>
      </c>
      <c r="U233" s="16">
        <f>INDEX('Team forecast'!$B$2:$AO$26,MATCH('Master data'!$B233,'Team forecast'!$B$2:$B$26,0),MATCH('Master data'!U$1,'Team forecast'!$B$2:$AO$2,0))</f>
        <v>0.15584415584415581</v>
      </c>
      <c r="V233" s="16">
        <f>INDEX('Team forecast'!$B$2:$AO$26,MATCH('Master data'!$B233,'Team forecast'!$B$2:$B$26,0),MATCH('Master data'!V$1,'Team forecast'!$B$2:$AO$2,0))</f>
        <v>0.25974025974025972</v>
      </c>
      <c r="W233" s="16">
        <f>INDEX('Team forecast'!$B$2:$AO$26,MATCH('Master data'!$B233,'Team forecast'!$B$2:$B$26,0),MATCH('Master data'!W$1,'Team forecast'!$B$2:$AO$2,0))</f>
        <v>0.58441558441558439</v>
      </c>
      <c r="X233" s="5">
        <f t="shared" si="93"/>
        <v>7000</v>
      </c>
      <c r="Y233" s="5">
        <f t="shared" si="94"/>
        <v>3896.1038961038953</v>
      </c>
      <c r="Z233" s="5">
        <f t="shared" si="95"/>
        <v>1298.7012987012986</v>
      </c>
      <c r="AA233" s="5">
        <f t="shared" si="96"/>
        <v>-8766.233766233765</v>
      </c>
      <c r="AB233" s="5">
        <f t="shared" si="97"/>
        <v>19838.988094053919</v>
      </c>
      <c r="AC233" s="5">
        <f t="shared" si="98"/>
        <v>5170.6618838477407</v>
      </c>
      <c r="AD233" s="5">
        <f t="shared" si="99"/>
        <v>4671.6175177644554</v>
      </c>
      <c r="AE233" s="5">
        <f t="shared" si="100"/>
        <v>0</v>
      </c>
      <c r="AF233" s="5">
        <f t="shared" si="101"/>
        <v>0</v>
      </c>
      <c r="AG233" s="5">
        <f t="shared" si="102"/>
        <v>0</v>
      </c>
      <c r="AH233" s="5">
        <f t="shared" si="103"/>
        <v>0</v>
      </c>
      <c r="AI233" s="5">
        <f t="shared" si="104"/>
        <v>7602.8648339757392</v>
      </c>
      <c r="AJ233" s="5">
        <f t="shared" si="105"/>
        <v>-12569.733596911221</v>
      </c>
      <c r="AK233" s="5">
        <f>IFERROR(SUM(X233:AJ233),-5000)*((Cockpit!$C$3)^0)</f>
        <v>28142.97016130207</v>
      </c>
      <c r="AL233" s="16">
        <f>INDEX('Team forecast'!$B$2:$AO$26,MATCH('Master data'!$B233,'Team forecast'!$B$2:$B$26,0),MATCH('Master data'!AL$1,'Team forecast'!$B$2:$AO$2,0))</f>
        <v>1.5712166996139025</v>
      </c>
      <c r="AM233" s="16">
        <f>INDEX('Team forecast'!$B$2:$AO$26,MATCH('Master data'!$B233,'Team forecast'!$B$2:$B$26,0),MATCH('Master data'!AM$1,'Team forecast'!$B$2:$AO$2,0))</f>
        <v>0.76028648339757388</v>
      </c>
      <c r="AN233" s="16">
        <f>INDEX('Team forecast'!$B$2:$AO$26,MATCH('Master data'!$B233,'Team forecast'!$B$2:$B$26,0),MATCH('Master data'!AN$1,'Team forecast'!$B$2:$AO$2,0))</f>
        <v>0.46753246753246752</v>
      </c>
      <c r="AO233" s="16">
        <f>INDEX('Team forecast'!$B$2:$AO$26,MATCH('Master data'!$B233,'Team forecast'!$B$2:$B$26,0),MATCH('Master data'!AO$1,'Team forecast'!$B$2:$AO$2,0))</f>
        <v>4.2465316205781152</v>
      </c>
      <c r="AP233" s="16">
        <f>INDEX('Team forecast'!$B$2:$AO$26,MATCH('Master data'!$B233,'Team forecast'!$B$2:$B$26,0),MATCH('Master data'!AP$1,'Team forecast'!$B$2:$AO$2,0))</f>
        <v>2.5892273945078212</v>
      </c>
      <c r="AQ233" s="5">
        <f t="shared" si="106"/>
        <v>7000</v>
      </c>
      <c r="AR233" s="5">
        <f>INDEX('Team forecast'!$B$2:$AO$26,MATCH('Master data'!$B233,'Team forecast'!$B$2:$B$26,0),MATCH('Master data'!AR$1,'Team forecast'!$B$2:$AO$2,0))*IF(X233&gt;0,25000,0)</f>
        <v>14610.38961038961</v>
      </c>
      <c r="AS233" s="16">
        <f>INDEX('Team forecast'!$B$2:$AO$26,MATCH('Master data'!$B233,'Team forecast'!$B$2:$B$26,0),MATCH('Master data'!AS$1,'Team forecast'!$B$2:$AO$2,0))*IF(X233&gt;0,5000,0)</f>
        <v>1298.7012987012986</v>
      </c>
      <c r="AT233" s="16">
        <f>INDEX('Team forecast'!$B$2:$AO$26,MATCH('Master data'!$B233,'Team forecast'!$B$2:$B$26,0),MATCH('Master data'!AT$1,'Team forecast'!$B$2:$AO$2,0))*IF(X233&gt;0,-15000,0)</f>
        <v>-2337.662337662337</v>
      </c>
      <c r="AU233" s="5">
        <f t="shared" si="107"/>
        <v>40999.478588018756</v>
      </c>
      <c r="AV233" s="5">
        <f t="shared" si="108"/>
        <v>10685.748697850091</v>
      </c>
      <c r="AW233" s="5">
        <f t="shared" si="109"/>
        <v>9654.417931144535</v>
      </c>
      <c r="AX233" s="5">
        <f t="shared" si="110"/>
        <v>0</v>
      </c>
      <c r="AY233" s="5">
        <f t="shared" si="111"/>
        <v>0</v>
      </c>
      <c r="AZ233" s="5">
        <f t="shared" si="112"/>
        <v>0</v>
      </c>
      <c r="BA233" s="5">
        <f t="shared" si="113"/>
        <v>0</v>
      </c>
      <c r="BB233" s="5">
        <f t="shared" si="114"/>
        <v>15712.166996139025</v>
      </c>
      <c r="BC233" s="5">
        <f t="shared" si="115"/>
        <v>-6082.291867180591</v>
      </c>
      <c r="BD233" s="5">
        <f t="shared" si="116"/>
        <v>91540.948917400397</v>
      </c>
      <c r="BE233" s="16">
        <f>INDEX('Team forecast'!$B$2:$AO$26,MATCH('Master data'!$B233,'Team forecast'!$B$2:$B$26,0),MATCH('Master data'!BE$1,'Team forecast'!$B$2:$AO$2,0))</f>
        <v>1.1461513485277883</v>
      </c>
      <c r="BF233" s="16">
        <f>INDEX('Team forecast'!$B$2:$AO$26,MATCH('Master data'!$B233,'Team forecast'!$B$2:$B$26,0),MATCH('Master data'!BF$1,'Team forecast'!$B$2:$AO$2,0))</f>
        <v>1.1461513485277883</v>
      </c>
      <c r="BG233" s="16">
        <f>INDEX('Team forecast'!$B$2:$AO$26,MATCH('Master data'!$B233,'Team forecast'!$B$2:$B$26,0),MATCH('Master data'!BG$1,'Team forecast'!$B$2:$AO$2,0))</f>
        <v>0.31785774198959899</v>
      </c>
      <c r="BH233" s="16">
        <f>INDEX('Team forecast'!$B$2:$AO$26,MATCH('Master data'!$B233,'Team forecast'!$B$2:$B$26,0),MATCH('Master data'!BH$1,'Team forecast'!$B$2:$AO$2,0))</f>
        <v>3.0977063473724007</v>
      </c>
      <c r="BI233" s="16">
        <f>INDEX('Team forecast'!$B$2:$AO$26,MATCH('Master data'!$B233,'Team forecast'!$B$2:$B$26,0),MATCH('Master data'!BI$1,'Team forecast'!$B$2:$AO$2,0))</f>
        <v>3.9033266205107195</v>
      </c>
      <c r="BJ233" s="5">
        <f t="shared" si="117"/>
        <v>7000</v>
      </c>
      <c r="BK233" s="5">
        <f>INDEX('Team forecast'!$R$3:$BH$26,MATCH($B233,'Team forecast'!$B$3:$B$26,0),MATCH(BK$1,'Team forecast'!$R$2:$BH$2,0))*IF($X233&gt;0,25000,0)</f>
        <v>8668.8475088072482</v>
      </c>
      <c r="BL233" s="5">
        <f>INDEX('Team forecast'!$R$3:$BH$26,MATCH($B233,'Team forecast'!$B$3:$B$26,0),MATCH(BL$1,'Team forecast'!$R$2:$BH$2,0))*IF($X233&gt;0,5000,0)</f>
        <v>1467.0357322596881</v>
      </c>
      <c r="BM233" s="5">
        <f>INDEX('Team forecast'!$R$3:$BH$26,MATCH($B233,'Team forecast'!$B$3:$B$26,0),MATCH(BM$1,'Team forecast'!$R$2:$BH$2,0))*IF($X233&gt;0,-15000,0)</f>
        <v>-5397.584297936588</v>
      </c>
      <c r="BN233" s="5">
        <f t="shared" si="118"/>
        <v>29907.782729232193</v>
      </c>
      <c r="BO233" s="5">
        <f t="shared" si="119"/>
        <v>7794.9052368648663</v>
      </c>
      <c r="BP233" s="5">
        <f t="shared" si="120"/>
        <v>7042.5830719284568</v>
      </c>
      <c r="BQ233" s="5">
        <f t="shared" si="121"/>
        <v>0</v>
      </c>
      <c r="BR233" s="5">
        <f t="shared" si="122"/>
        <v>0</v>
      </c>
      <c r="BS233" s="5">
        <f t="shared" si="123"/>
        <v>0</v>
      </c>
      <c r="BT233" s="5">
        <f t="shared" si="124"/>
        <v>0</v>
      </c>
      <c r="BU233" s="5">
        <f t="shared" si="125"/>
        <v>11461.513485277883</v>
      </c>
      <c r="BV233" s="5">
        <f t="shared" si="126"/>
        <v>-9169.2107882223063</v>
      </c>
      <c r="BW233" s="5">
        <f t="shared" si="127"/>
        <v>58775.872678211439</v>
      </c>
      <c r="BX233" s="5">
        <f t="shared" si="128"/>
        <v>59486.597252304637</v>
      </c>
      <c r="BY233" s="5">
        <f t="shared" si="129"/>
        <v>178459.79175691391</v>
      </c>
      <c r="BZ233" s="5">
        <f>INDEX('Team forecast'!$R$3:$BH$26,MATCH($B233,'Team forecast'!$B$3:$B$26,0),MATCH(BZ$1,'Team forecast'!$R$2:$BH$2,0))*($BX233-(BY233+CH233)*0.01)</f>
        <v>13212.960647738022</v>
      </c>
      <c r="CA233" s="5">
        <f>INDEX('Team forecast'!$R$3:$BH$26,MATCH($B233,'Team forecast'!$B$3:$B$26,0),MATCH(CA$1,'Team forecast'!$R$2:$BH$2,0))*($BX233-(BY233+BX233+CH233)*0.01)</f>
        <v>6274.0589676132877</v>
      </c>
      <c r="CB233" s="5">
        <f>INDEX('Team forecast'!$R$3:$BH$26,MATCH($B233,'Team forecast'!$B$3:$B$26,0),MATCH(CB$1,'Team forecast'!$R$2:$BH$2,0))*($BX233-(BY233+BX233*2+CH233)*0.01)</f>
        <v>2927.6399514028371</v>
      </c>
      <c r="CC233" s="5">
        <f>INDEX('Team forecast'!$R$3:$BH$26,MATCH($B233,'Team forecast'!$B$3:$B$26,0),MATCH(CC$1,'Team forecast'!$R$2:$BH$2,0))*($BX233-(BY233+BX233*3+CH233)*0.01)</f>
        <v>1286.4029286137095</v>
      </c>
      <c r="CD233" s="5">
        <f>+AK233+BD233*Cockpit!$C$3+BW233*Cockpit!$C$3^2+BZ233*Cockpit!$C$3^3+CA233*Cockpit!$C$3^4+CB233*Cockpit!$C$3^5+CC233*Cockpit!$C$3^6</f>
        <v>120945.6191813443</v>
      </c>
      <c r="CE233" s="5"/>
      <c r="CF233" s="5"/>
      <c r="CG233" s="5">
        <v>0</v>
      </c>
      <c r="CH233" s="5">
        <f t="shared" si="130"/>
        <v>4000000</v>
      </c>
      <c r="CI233" s="5">
        <f t="shared" si="131"/>
        <v>4000000</v>
      </c>
      <c r="CJ233" s="1">
        <f t="shared" si="132"/>
        <v>4.4614947939228475E-2</v>
      </c>
      <c r="CK233" s="5">
        <f>RANK(BY233,$BY$2:$BY$623)+COUNTIF($BY$2:$BY233,$BY233)-1</f>
        <v>70</v>
      </c>
      <c r="CL233" s="5">
        <f>RANK(CJ233,$CJ$2:$CJ$623)+COUNTIF($CJ$2:$CJ233,$CJ233)-1</f>
        <v>55</v>
      </c>
    </row>
    <row r="234" spans="1:90">
      <c r="A234" t="str">
        <f>Players!P235</f>
        <v>Hakan Calhanoglu</v>
      </c>
      <c r="B234" t="str">
        <f>Players!G235</f>
        <v>Turkey</v>
      </c>
      <c r="C234" t="str">
        <f>Players!AB235</f>
        <v>Midfield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4500000</v>
      </c>
      <c r="H234" s="16">
        <f>INDEX('Team forecast'!$B$2:$AO$26,MATCH('Master data'!$B234,'Team forecast'!$B$2:$B$26,0),MATCH('Master data'!H$1,'Team forecast'!$B$2:$AO$2,0))</f>
        <v>0.65422581624273402</v>
      </c>
      <c r="I234" s="16">
        <f>INDEX('Team forecast'!$B$2:$AO$26,MATCH('Master data'!$B234,'Team forecast'!$B$2:$B$26,0),MATCH('Master data'!I$1,'Team forecast'!$B$2:$AO$2,0))</f>
        <v>1.6593477618235051</v>
      </c>
      <c r="J234" s="16">
        <f>INDEX('Team forecast'!$B$2:$AO$26,MATCH('Master data'!$B234,'Team forecast'!$B$2:$B$26,0),MATCH('Master data'!J$1,'Team forecast'!$B$2:$AO$2,0))</f>
        <v>0.19026303645592979</v>
      </c>
      <c r="K234" s="16">
        <f>INDEX('Team forecast'!$B$2:$AO$26,MATCH('Master data'!$B234,'Team forecast'!$B$2:$B$26,0),MATCH('Master data'!K$1,'Team forecast'!$B$2:$AO$2,0))</f>
        <v>1.7429374799138486</v>
      </c>
      <c r="L234" s="16">
        <f>INDEX('Team forecast'!$B$2:$AO$26,MATCH('Master data'!$B234,'Team forecast'!$B$2:$B$26,0),MATCH('Master data'!L$1,'Team forecast'!$B$2:$AO$2,0))</f>
        <v>4.1860818536911157</v>
      </c>
      <c r="M234">
        <f>IF(Players!BC235=1,95,0)</f>
        <v>95</v>
      </c>
      <c r="N234" s="2">
        <f>Players!BN235</f>
        <v>7.8956099032368818E-2</v>
      </c>
      <c r="O234" s="2">
        <f>Players!BO235</f>
        <v>0.23829802554773905</v>
      </c>
      <c r="P234" s="2">
        <f>Players!BP235</f>
        <v>0.15361214370065948</v>
      </c>
      <c r="Q234" s="2">
        <f>Players!BQ235</f>
        <v>6.8571428571428575E-2</v>
      </c>
      <c r="R234" s="2">
        <f>Players!BR235</f>
        <v>0</v>
      </c>
      <c r="S234" s="2">
        <f t="shared" si="91"/>
        <v>0.65422581624273402</v>
      </c>
      <c r="T234" s="2">
        <f t="shared" si="92"/>
        <v>1.6593477618235051</v>
      </c>
      <c r="U234" s="16">
        <f>INDEX('Team forecast'!$B$2:$AO$26,MATCH('Master data'!$B234,'Team forecast'!$B$2:$B$26,0),MATCH('Master data'!U$1,'Team forecast'!$B$2:$AO$2,0))</f>
        <v>0.13590216889709281</v>
      </c>
      <c r="V234" s="16">
        <f>INDEX('Team forecast'!$B$2:$AO$26,MATCH('Master data'!$B234,'Team forecast'!$B$2:$B$26,0),MATCH('Master data'!V$1,'Team forecast'!$B$2:$AO$2,0))</f>
        <v>0.25034610059990769</v>
      </c>
      <c r="W234" s="16">
        <f>INDEX('Team forecast'!$B$2:$AO$26,MATCH('Master data'!$B234,'Team forecast'!$B$2:$B$26,0),MATCH('Master data'!W$1,'Team forecast'!$B$2:$AO$2,0))</f>
        <v>0.61375173050299947</v>
      </c>
      <c r="X234" s="5">
        <f t="shared" si="93"/>
        <v>7000</v>
      </c>
      <c r="Y234" s="5">
        <f t="shared" si="94"/>
        <v>3397.5542224273204</v>
      </c>
      <c r="Z234" s="5">
        <f t="shared" si="95"/>
        <v>1251.7305029995384</v>
      </c>
      <c r="AA234" s="5">
        <f t="shared" si="96"/>
        <v>-9206.2759575449927</v>
      </c>
      <c r="AB234" s="5">
        <f t="shared" si="97"/>
        <v>6456.889792099204</v>
      </c>
      <c r="AC234" s="5">
        <f t="shared" si="98"/>
        <v>7795.0360136500731</v>
      </c>
      <c r="AD234" s="5">
        <f t="shared" si="99"/>
        <v>2677.3636262579143</v>
      </c>
      <c r="AE234" s="5">
        <f t="shared" si="100"/>
        <v>0</v>
      </c>
      <c r="AF234" s="5">
        <f t="shared" si="101"/>
        <v>0</v>
      </c>
      <c r="AG234" s="5">
        <f t="shared" si="102"/>
        <v>-1371.4285714285716</v>
      </c>
      <c r="AH234" s="5">
        <f t="shared" si="103"/>
        <v>0</v>
      </c>
      <c r="AI234" s="5">
        <f t="shared" si="104"/>
        <v>6542.2581624273398</v>
      </c>
      <c r="AJ234" s="5">
        <f t="shared" si="105"/>
        <v>-13274.782094588041</v>
      </c>
      <c r="AK234" s="5">
        <f>IFERROR(SUM(X234:AJ234),-5000)*((Cockpit!$C$3)^0)</f>
        <v>11268.345696299784</v>
      </c>
      <c r="AL234" s="16">
        <f>INDEX('Team forecast'!$B$2:$AO$26,MATCH('Master data'!$B234,'Team forecast'!$B$2:$B$26,0),MATCH('Master data'!AL$1,'Team forecast'!$B$2:$AO$2,0))</f>
        <v>1.2847203648825669</v>
      </c>
      <c r="AM234" s="16">
        <f>INDEX('Team forecast'!$B$2:$AO$26,MATCH('Master data'!$B234,'Team forecast'!$B$2:$B$26,0),MATCH('Master data'!AM$1,'Team forecast'!$B$2:$AO$2,0))</f>
        <v>1.0279287794501248</v>
      </c>
      <c r="AN234" s="16">
        <f>INDEX('Team forecast'!$B$2:$AO$26,MATCH('Master data'!$B234,'Team forecast'!$B$2:$B$26,0),MATCH('Master data'!AN$1,'Team forecast'!$B$2:$AO$2,0))</f>
        <v>0.35774716702311499</v>
      </c>
      <c r="AO234" s="16">
        <f>INDEX('Team forecast'!$B$2:$AO$26,MATCH('Master data'!$B234,'Team forecast'!$B$2:$B$26,0),MATCH('Master data'!AO$1,'Team forecast'!$B$2:$AO$2,0))</f>
        <v>3.4226519644581361</v>
      </c>
      <c r="AP234" s="16">
        <f>INDEX('Team forecast'!$B$2:$AO$26,MATCH('Master data'!$B234,'Team forecast'!$B$2:$B$26,0),MATCH('Master data'!AP$1,'Team forecast'!$B$2:$AO$2,0))</f>
        <v>2.5931839663400877</v>
      </c>
      <c r="AQ234" s="5">
        <f t="shared" si="106"/>
        <v>7000</v>
      </c>
      <c r="AR234" s="5">
        <f>INDEX('Team forecast'!$B$2:$AO$26,MATCH('Master data'!$B234,'Team forecast'!$B$2:$B$26,0),MATCH('Master data'!AR$1,'Team forecast'!$B$2:$AO$2,0))*IF(X234&gt;0,25000,0)</f>
        <v>10691.761923531732</v>
      </c>
      <c r="AS234" s="16">
        <f>INDEX('Team forecast'!$B$2:$AO$26,MATCH('Master data'!$B234,'Team forecast'!$B$2:$B$26,0),MATCH('Master data'!AS$1,'Team forecast'!$B$2:$AO$2,0))*IF(X234&gt;0,5000,0)</f>
        <v>1517.5404020496649</v>
      </c>
      <c r="AT234" s="16">
        <f>INDEX('Team forecast'!$B$2:$AO$26,MATCH('Master data'!$B234,'Team forecast'!$B$2:$B$26,0),MATCH('Master data'!AT$1,'Team forecast'!$B$2:$AO$2,0))*IF(X234&gt;0,-15000,0)</f>
        <v>-4032.3216397319688</v>
      </c>
      <c r="AU234" s="5">
        <f t="shared" si="107"/>
        <v>12679.56354482112</v>
      </c>
      <c r="AV234" s="5">
        <f t="shared" si="108"/>
        <v>15307.316316624328</v>
      </c>
      <c r="AW234" s="5">
        <f t="shared" si="109"/>
        <v>5257.6090540168761</v>
      </c>
      <c r="AX234" s="5">
        <f t="shared" si="110"/>
        <v>0</v>
      </c>
      <c r="AY234" s="5">
        <f t="shared" si="111"/>
        <v>0</v>
      </c>
      <c r="AZ234" s="5">
        <f t="shared" si="112"/>
        <v>-1371.4285714285716</v>
      </c>
      <c r="BA234" s="5">
        <f t="shared" si="113"/>
        <v>0</v>
      </c>
      <c r="BB234" s="5">
        <f t="shared" si="114"/>
        <v>12847.203648825669</v>
      </c>
      <c r="BC234" s="5">
        <f t="shared" si="115"/>
        <v>-8223.4302356009994</v>
      </c>
      <c r="BD234" s="5">
        <f t="shared" si="116"/>
        <v>51673.814443107847</v>
      </c>
      <c r="BE234" s="16">
        <f>INDEX('Team forecast'!$B$2:$AO$26,MATCH('Master data'!$B234,'Team forecast'!$B$2:$B$26,0),MATCH('Master data'!BE$1,'Team forecast'!$B$2:$AO$2,0))</f>
        <v>1.2246875509143662</v>
      </c>
      <c r="BF234" s="16">
        <f>INDEX('Team forecast'!$B$2:$AO$26,MATCH('Master data'!$B234,'Team forecast'!$B$2:$B$26,0),MATCH('Master data'!BF$1,'Team forecast'!$B$2:$AO$2,0))</f>
        <v>1.3677883945550393</v>
      </c>
      <c r="BG234" s="16">
        <f>INDEX('Team forecast'!$B$2:$AO$26,MATCH('Master data'!$B234,'Team forecast'!$B$2:$B$26,0),MATCH('Master data'!BG$1,'Team forecast'!$B$2:$AO$2,0))</f>
        <v>0.25466956579034061</v>
      </c>
      <c r="BH234" s="16">
        <f>INDEX('Team forecast'!$B$2:$AO$26,MATCH('Master data'!$B234,'Team forecast'!$B$2:$B$26,0),MATCH('Master data'!BH$1,'Team forecast'!$B$2:$AO$2,0))</f>
        <v>3.2627172157947619</v>
      </c>
      <c r="BI234" s="16">
        <f>INDEX('Team forecast'!$B$2:$AO$26,MATCH('Master data'!$B234,'Team forecast'!$B$2:$B$26,0),MATCH('Master data'!BI$1,'Team forecast'!$B$2:$AO$2,0))</f>
        <v>3.4505570862638493</v>
      </c>
      <c r="BJ234" s="5">
        <f t="shared" si="117"/>
        <v>7000</v>
      </c>
      <c r="BK234" s="5">
        <f>INDEX('Team forecast'!$R$3:$BH$26,MATCH($B234,'Team forecast'!$B$3:$B$26,0),MATCH(BK$1,'Team forecast'!$R$2:$BH$2,0))*IF($X234&gt;0,25000,0)</f>
        <v>8232.8523423601509</v>
      </c>
      <c r="BL234" s="5">
        <f>INDEX('Team forecast'!$R$3:$BH$26,MATCH($B234,'Team forecast'!$B$3:$B$26,0),MATCH(BL$1,'Team forecast'!$R$2:$BH$2,0))*IF($X234&gt;0,5000,0)</f>
        <v>1404.4277525202608</v>
      </c>
      <c r="BM234" s="5">
        <f>INDEX('Team forecast'!$R$3:$BH$26,MATCH($B234,'Team forecast'!$B$3:$B$26,0),MATCH(BM$1,'Team forecast'!$R$2:$BH$2,0))*IF($X234&gt;0,-15000,0)</f>
        <v>-5847.0053370231253</v>
      </c>
      <c r="BN234" s="5">
        <f t="shared" si="118"/>
        <v>12087.068944212991</v>
      </c>
      <c r="BO234" s="5">
        <f t="shared" si="119"/>
        <v>14592.031264789481</v>
      </c>
      <c r="BP234" s="5">
        <f t="shared" si="120"/>
        <v>5011.9298580728055</v>
      </c>
      <c r="BQ234" s="5">
        <f t="shared" si="121"/>
        <v>0</v>
      </c>
      <c r="BR234" s="5">
        <f t="shared" si="122"/>
        <v>0</v>
      </c>
      <c r="BS234" s="5">
        <f t="shared" si="123"/>
        <v>-1371.4285714285716</v>
      </c>
      <c r="BT234" s="5">
        <f t="shared" si="124"/>
        <v>0</v>
      </c>
      <c r="BU234" s="5">
        <f t="shared" si="125"/>
        <v>12246.875509143661</v>
      </c>
      <c r="BV234" s="5">
        <f t="shared" si="126"/>
        <v>-10942.307156440314</v>
      </c>
      <c r="BW234" s="5">
        <f t="shared" si="127"/>
        <v>42414.44460620734</v>
      </c>
      <c r="BX234" s="5">
        <f t="shared" si="128"/>
        <v>35118.868248538325</v>
      </c>
      <c r="BY234" s="5">
        <f t="shared" si="129"/>
        <v>105356.60474561498</v>
      </c>
      <c r="BZ234" s="5">
        <f>INDEX('Team forecast'!$R$3:$BH$26,MATCH($B234,'Team forecast'!$B$3:$B$26,0),MATCH(BZ$1,'Team forecast'!$R$2:$BH$2,0))*($BX234-(BY234+CH234)*0.01)</f>
        <v>-6607.1510117493153</v>
      </c>
      <c r="CA234" s="5">
        <f>INDEX('Team forecast'!$R$3:$BH$26,MATCH($B234,'Team forecast'!$B$3:$B$26,0),MATCH(CA$1,'Team forecast'!$R$2:$BH$2,0))*($BX234-(BY234+BX234+CH234)*0.01)</f>
        <v>-3361.8479760246623</v>
      </c>
      <c r="CB234" s="5">
        <f>INDEX('Team forecast'!$R$3:$BH$26,MATCH($B234,'Team forecast'!$B$3:$B$26,0),MATCH(CB$1,'Team forecast'!$R$2:$BH$2,0))*($BX234-(BY234+BX234*2+CH234)*0.01)</f>
        <v>-1686.814670964656</v>
      </c>
      <c r="CC234" s="5">
        <f>INDEX('Team forecast'!$R$3:$BH$26,MATCH($B234,'Team forecast'!$B$3:$B$26,0),MATCH(CC$1,'Team forecast'!$R$2:$BH$2,0))*($BX234-(BY234+BX234*3+CH234)*0.01)</f>
        <v>-807.20227338345489</v>
      </c>
      <c r="CD234" s="5">
        <f>+AK234+BD234*Cockpit!$C$3+BW234*Cockpit!$C$3^2+BZ234*Cockpit!$C$3^3+CA234*Cockpit!$C$3^4+CB234*Cockpit!$C$3^5+CC234*Cockpit!$C$3^6</f>
        <v>61653.679016967879</v>
      </c>
      <c r="CE234" s="5"/>
      <c r="CF234" s="5"/>
      <c r="CG234" s="5">
        <v>0</v>
      </c>
      <c r="CH234" s="5">
        <f t="shared" si="130"/>
        <v>4500000</v>
      </c>
      <c r="CI234" s="5">
        <f t="shared" si="131"/>
        <v>4500000</v>
      </c>
      <c r="CJ234" s="1">
        <f t="shared" si="132"/>
        <v>2.3412578832358887E-2</v>
      </c>
      <c r="CK234" s="5">
        <f>RANK(BY234,$BY$2:$BY$623)+COUNTIF($BY$2:$BY234,$BY234)-1</f>
        <v>157</v>
      </c>
      <c r="CL234" s="5">
        <f>RANK(CJ234,$CJ$2:$CJ$623)+COUNTIF($CJ$2:$CJ234,$CJ234)-1</f>
        <v>229</v>
      </c>
    </row>
    <row r="235" spans="1:90">
      <c r="A235" t="str">
        <f>Players!P236</f>
        <v>Aleksey Miranchuk</v>
      </c>
      <c r="B235" t="str">
        <f>Players!G236</f>
        <v>Russia</v>
      </c>
      <c r="C235" t="str">
        <f>Players!AB236</f>
        <v>Midfield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3000000</v>
      </c>
      <c r="H235" s="16">
        <f>INDEX('Team forecast'!$B$2:$AO$26,MATCH('Master data'!$B235,'Team forecast'!$B$2:$B$26,0),MATCH('Master data'!H$1,'Team forecast'!$B$2:$AO$2,0))</f>
        <v>0.84461095835632183</v>
      </c>
      <c r="I235" s="16">
        <f>INDEX('Team forecast'!$B$2:$AO$26,MATCH('Master data'!$B235,'Team forecast'!$B$2:$B$26,0),MATCH('Master data'!I$1,'Team forecast'!$B$2:$AO$2,0))</f>
        <v>1.5602309947683257</v>
      </c>
      <c r="J235" s="16">
        <f>INDEX('Team forecast'!$B$2:$AO$26,MATCH('Master data'!$B235,'Team forecast'!$B$2:$B$26,0),MATCH('Master data'!J$1,'Team forecast'!$B$2:$AO$2,0))</f>
        <v>0.21008753647353071</v>
      </c>
      <c r="K235" s="16">
        <f>INDEX('Team forecast'!$B$2:$AO$26,MATCH('Master data'!$B235,'Team forecast'!$B$2:$B$26,0),MATCH('Master data'!K$1,'Team forecast'!$B$2:$AO$2,0))</f>
        <v>2.876402354682019</v>
      </c>
      <c r="L235" s="16">
        <f>INDEX('Team forecast'!$B$2:$AO$26,MATCH('Master data'!$B235,'Team forecast'!$B$2:$B$26,0),MATCH('Master data'!L$1,'Team forecast'!$B$2:$AO$2,0))</f>
        <v>4.4253824578883423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0</v>
      </c>
      <c r="R235" s="2">
        <f>Players!BR236</f>
        <v>0</v>
      </c>
      <c r="S235" s="2">
        <f t="shared" si="91"/>
        <v>0.84461095835632183</v>
      </c>
      <c r="T235" s="2">
        <f t="shared" si="92"/>
        <v>1.5602309947683257</v>
      </c>
      <c r="U235" s="16">
        <f>INDEX('Team forecast'!$B$2:$AO$26,MATCH('Master data'!$B235,'Team forecast'!$B$2:$B$26,0),MATCH('Master data'!U$1,'Team forecast'!$B$2:$AO$2,0))</f>
        <v>0.18007503126302629</v>
      </c>
      <c r="V235" s="16">
        <f>INDEX('Team forecast'!$B$2:$AO$26,MATCH('Master data'!$B235,'Team forecast'!$B$2:$B$26,0),MATCH('Master data'!V$1,'Team forecast'!$B$2:$AO$2,0))</f>
        <v>0.23634847853272201</v>
      </c>
      <c r="W235" s="16">
        <f>INDEX('Team forecast'!$B$2:$AO$26,MATCH('Master data'!$B235,'Team forecast'!$B$2:$B$26,0),MATCH('Master data'!W$1,'Team forecast'!$B$2:$AO$2,0))</f>
        <v>0.58357649020425184</v>
      </c>
      <c r="X235" s="5">
        <f t="shared" si="93"/>
        <v>-5000</v>
      </c>
      <c r="Y235" s="5">
        <f t="shared" si="94"/>
        <v>0</v>
      </c>
      <c r="Z235" s="5">
        <f t="shared" si="95"/>
        <v>0</v>
      </c>
      <c r="AA235" s="5">
        <f t="shared" si="96"/>
        <v>0</v>
      </c>
      <c r="AB235" s="5">
        <f t="shared" si="97"/>
        <v>0</v>
      </c>
      <c r="AC235" s="5">
        <f t="shared" si="98"/>
        <v>0</v>
      </c>
      <c r="AD235" s="5">
        <f t="shared" si="99"/>
        <v>0</v>
      </c>
      <c r="AE235" s="5">
        <f t="shared" si="100"/>
        <v>0</v>
      </c>
      <c r="AF235" s="5">
        <f t="shared" si="101"/>
        <v>0</v>
      </c>
      <c r="AG235" s="5">
        <f t="shared" si="102"/>
        <v>0</v>
      </c>
      <c r="AH235" s="5">
        <f t="shared" si="103"/>
        <v>0</v>
      </c>
      <c r="AI235" s="5">
        <f t="shared" si="104"/>
        <v>0</v>
      </c>
      <c r="AJ235" s="5">
        <f t="shared" si="105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1.5687475343836428</v>
      </c>
      <c r="AM235" s="16">
        <f>INDEX('Team forecast'!$B$2:$AO$26,MATCH('Master data'!$B235,'Team forecast'!$B$2:$B$26,0),MATCH('Master data'!AM$1,'Team forecast'!$B$2:$AO$2,0))</f>
        <v>0.75781731816731412</v>
      </c>
      <c r="AN235" s="16">
        <f>INDEX('Team forecast'!$B$2:$AO$26,MATCH('Master data'!$B235,'Team forecast'!$B$2:$B$26,0),MATCH('Master data'!AN$1,'Team forecast'!$B$2:$AO$2,0))</f>
        <v>0.46868830883965779</v>
      </c>
      <c r="AO235" s="16">
        <f>INDEX('Team forecast'!$B$2:$AO$26,MATCH('Master data'!$B235,'Team forecast'!$B$2:$B$26,0),MATCH('Master data'!AO$1,'Team forecast'!$B$2:$AO$2,0))</f>
        <v>5.3425178268869509</v>
      </c>
      <c r="AP235" s="16">
        <f>INDEX('Team forecast'!$B$2:$AO$26,MATCH('Master data'!$B235,'Team forecast'!$B$2:$B$26,0),MATCH('Master data'!AP$1,'Team forecast'!$B$2:$AO$2,0))</f>
        <v>2.1494454842563817</v>
      </c>
      <c r="AQ235" s="5">
        <f t="shared" si="106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107"/>
        <v>0</v>
      </c>
      <c r="AV235" s="5">
        <f t="shared" si="108"/>
        <v>0</v>
      </c>
      <c r="AW235" s="5">
        <f t="shared" si="109"/>
        <v>0</v>
      </c>
      <c r="AX235" s="5">
        <f t="shared" si="110"/>
        <v>0</v>
      </c>
      <c r="AY235" s="5">
        <f t="shared" si="111"/>
        <v>0</v>
      </c>
      <c r="AZ235" s="5">
        <f t="shared" si="112"/>
        <v>0</v>
      </c>
      <c r="BA235" s="5">
        <f t="shared" si="113"/>
        <v>0</v>
      </c>
      <c r="BB235" s="5">
        <f t="shared" si="114"/>
        <v>0</v>
      </c>
      <c r="BC235" s="5">
        <f t="shared" si="115"/>
        <v>0</v>
      </c>
      <c r="BD235" s="5">
        <f t="shared" si="116"/>
        <v>-5000</v>
      </c>
      <c r="BE235" s="16">
        <f>INDEX('Team forecast'!$B$2:$AO$26,MATCH('Master data'!$B235,'Team forecast'!$B$2:$B$26,0),MATCH('Master data'!BE$1,'Team forecast'!$B$2:$AO$2,0))</f>
        <v>0.95602347631827322</v>
      </c>
      <c r="BF235" s="16">
        <f>INDEX('Team forecast'!$B$2:$AO$26,MATCH('Master data'!$B235,'Team forecast'!$B$2:$B$26,0),MATCH('Master data'!BF$1,'Team forecast'!$B$2:$AO$2,0))</f>
        <v>1.5053002864585165</v>
      </c>
      <c r="BG235" s="16">
        <f>INDEX('Team forecast'!$B$2:$AO$26,MATCH('Master data'!$B235,'Team forecast'!$B$2:$B$26,0),MATCH('Master data'!BG$1,'Team forecast'!$B$2:$AO$2,0))</f>
        <v>0.22195063505392029</v>
      </c>
      <c r="BH235" s="16">
        <f>INDEX('Team forecast'!$B$2:$AO$26,MATCH('Master data'!$B235,'Team forecast'!$B$2:$B$26,0),MATCH('Master data'!BH$1,'Team forecast'!$B$2:$AO$2,0))</f>
        <v>3.2558282025664269</v>
      </c>
      <c r="BI235" s="16">
        <f>INDEX('Team forecast'!$B$2:$AO$26,MATCH('Master data'!$B235,'Team forecast'!$B$2:$B$26,0),MATCH('Master data'!BI$1,'Team forecast'!$B$2:$AO$2,0))</f>
        <v>4.2695789943187012</v>
      </c>
      <c r="BJ235" s="5">
        <f t="shared" si="117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118"/>
        <v>0</v>
      </c>
      <c r="BO235" s="5">
        <f t="shared" si="119"/>
        <v>0</v>
      </c>
      <c r="BP235" s="5">
        <f t="shared" si="120"/>
        <v>0</v>
      </c>
      <c r="BQ235" s="5">
        <f t="shared" si="121"/>
        <v>0</v>
      </c>
      <c r="BR235" s="5">
        <f t="shared" si="122"/>
        <v>0</v>
      </c>
      <c r="BS235" s="5">
        <f t="shared" si="123"/>
        <v>0</v>
      </c>
      <c r="BT235" s="5">
        <f t="shared" si="124"/>
        <v>0</v>
      </c>
      <c r="BU235" s="5">
        <f t="shared" si="125"/>
        <v>0</v>
      </c>
      <c r="BV235" s="5">
        <f t="shared" si="126"/>
        <v>0</v>
      </c>
      <c r="BW235" s="5">
        <f t="shared" si="127"/>
        <v>-5000</v>
      </c>
      <c r="BX235" s="5">
        <f t="shared" si="128"/>
        <v>-5000</v>
      </c>
      <c r="BY235" s="5">
        <f t="shared" si="129"/>
        <v>-15000</v>
      </c>
      <c r="BZ235" s="5">
        <f>INDEX('Team forecast'!$R$3:$BH$26,MATCH($B235,'Team forecast'!$B$3:$B$26,0),MATCH(BZ$1,'Team forecast'!$R$2:$BH$2,0))*($BX235-(BY235+CH235)*0.01)</f>
        <v>-22390.429544368617</v>
      </c>
      <c r="CA235" s="5">
        <f>INDEX('Team forecast'!$R$3:$BH$26,MATCH($B235,'Team forecast'!$B$3:$B$26,0),MATCH(CA$1,'Team forecast'!$R$2:$BH$2,0))*($BX235-(BY235+BX235+CH235)*0.01)</f>
        <v>-10974.767078683311</v>
      </c>
      <c r="CB235" s="5">
        <f>INDEX('Team forecast'!$R$3:$BH$26,MATCH($B235,'Team forecast'!$B$3:$B$26,0),MATCH(CB$1,'Team forecast'!$R$2:$BH$2,0))*($BX235-(BY235+BX235*2+CH235)*0.01)</f>
        <v>-5287.4127466117425</v>
      </c>
      <c r="CC235" s="5">
        <f>INDEX('Team forecast'!$R$3:$BH$26,MATCH($B235,'Team forecast'!$B$3:$B$26,0),MATCH(CC$1,'Team forecast'!$R$2:$BH$2,0))*($BX235-(BY235+BX235*3+CH235)*0.01)</f>
        <v>-2392.5682258176826</v>
      </c>
      <c r="CD235" s="5">
        <f>+AK235+BD235*Cockpit!$C$3+BW235*Cockpit!$C$3^2+BZ235*Cockpit!$C$3^3+CA235*Cockpit!$C$3^4+CB235*Cockpit!$C$3^5+CC235*Cockpit!$C$3^6</f>
        <v>-20263.944075502161</v>
      </c>
      <c r="CE235" s="5"/>
      <c r="CF235" s="5"/>
      <c r="CG235" s="5">
        <v>0</v>
      </c>
      <c r="CH235" s="5">
        <f t="shared" si="130"/>
        <v>3000000</v>
      </c>
      <c r="CI235" s="5">
        <f t="shared" si="131"/>
        <v>3000000</v>
      </c>
      <c r="CJ235" s="1">
        <f t="shared" si="132"/>
        <v>-5.0000000000000001E-3</v>
      </c>
      <c r="CK235" s="5">
        <f>RANK(BY235,$BY$2:$BY$623)+COUNTIF($BY$2:$BY235,$BY235)-1</f>
        <v>491</v>
      </c>
      <c r="CL235" s="5">
        <f>RANK(CJ235,$CJ$2:$CJ$623)+COUNTIF($CJ$2:$CJ235,$CJ235)-1</f>
        <v>498</v>
      </c>
    </row>
    <row r="236" spans="1:90">
      <c r="A236" t="str">
        <f>Players!P237</f>
        <v>Artem Dzyuba</v>
      </c>
      <c r="B236" t="str">
        <f>Players!G237</f>
        <v>Russia</v>
      </c>
      <c r="C236" t="str">
        <f>Players!AB237</f>
        <v>Striker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4000000</v>
      </c>
      <c r="H236" s="16">
        <f>INDEX('Team forecast'!$B$2:$AO$26,MATCH('Master data'!$B236,'Team forecast'!$B$2:$B$26,0),MATCH('Master data'!H$1,'Team forecast'!$B$2:$AO$2,0))</f>
        <v>0.84461095835632183</v>
      </c>
      <c r="I236" s="16">
        <f>INDEX('Team forecast'!$B$2:$AO$26,MATCH('Master data'!$B236,'Team forecast'!$B$2:$B$26,0),MATCH('Master data'!I$1,'Team forecast'!$B$2:$AO$2,0))</f>
        <v>1.5602309947683257</v>
      </c>
      <c r="J236" s="16">
        <f>INDEX('Team forecast'!$B$2:$AO$26,MATCH('Master data'!$B236,'Team forecast'!$B$2:$B$26,0),MATCH('Master data'!J$1,'Team forecast'!$B$2:$AO$2,0))</f>
        <v>0.21008753647353071</v>
      </c>
      <c r="K236" s="16">
        <f>INDEX('Team forecast'!$B$2:$AO$26,MATCH('Master data'!$B236,'Team forecast'!$B$2:$B$26,0),MATCH('Master data'!K$1,'Team forecast'!$B$2:$AO$2,0))</f>
        <v>2.876402354682019</v>
      </c>
      <c r="L236" s="16">
        <f>INDEX('Team forecast'!$B$2:$AO$26,MATCH('Master data'!$B236,'Team forecast'!$B$2:$B$26,0),MATCH('Master data'!L$1,'Team forecast'!$B$2:$AO$2,0))</f>
        <v>4.4253824578883423</v>
      </c>
      <c r="M236">
        <f>IF(Players!BC237=1,95,0)</f>
        <v>95</v>
      </c>
      <c r="N236" s="2">
        <f>Players!BN237</f>
        <v>0.24598096391644667</v>
      </c>
      <c r="O236" s="2">
        <f>Players!BO237</f>
        <v>0.15575907651597706</v>
      </c>
      <c r="P236" s="2">
        <f>Players!BP237</f>
        <v>0.20055474808644405</v>
      </c>
      <c r="Q236" s="2">
        <f>Players!BQ237</f>
        <v>6.1475409836065573E-2</v>
      </c>
      <c r="R236" s="2">
        <f>Players!BR237</f>
        <v>0</v>
      </c>
      <c r="S236" s="2">
        <f t="shared" si="91"/>
        <v>0.84461095835632183</v>
      </c>
      <c r="T236" s="2">
        <f t="shared" si="92"/>
        <v>1.5602309947683257</v>
      </c>
      <c r="U236" s="16">
        <f>INDEX('Team forecast'!$B$2:$AO$26,MATCH('Master data'!$B236,'Team forecast'!$B$2:$B$26,0),MATCH('Master data'!U$1,'Team forecast'!$B$2:$AO$2,0))</f>
        <v>0.18007503126302629</v>
      </c>
      <c r="V236" s="16">
        <f>INDEX('Team forecast'!$B$2:$AO$26,MATCH('Master data'!$B236,'Team forecast'!$B$2:$B$26,0),MATCH('Master data'!V$1,'Team forecast'!$B$2:$AO$2,0))</f>
        <v>0.23634847853272201</v>
      </c>
      <c r="W236" s="16">
        <f>INDEX('Team forecast'!$B$2:$AO$26,MATCH('Master data'!$B236,'Team forecast'!$B$2:$B$26,0),MATCH('Master data'!W$1,'Team forecast'!$B$2:$AO$2,0))</f>
        <v>0.58357649020425184</v>
      </c>
      <c r="X236" s="5">
        <f t="shared" si="93"/>
        <v>7000</v>
      </c>
      <c r="Y236" s="5">
        <f t="shared" si="94"/>
        <v>4501.8757815756571</v>
      </c>
      <c r="Z236" s="5">
        <f t="shared" si="95"/>
        <v>1181.74239266361</v>
      </c>
      <c r="AA236" s="5">
        <f t="shared" si="96"/>
        <v>-8753.6473530637777</v>
      </c>
      <c r="AB236" s="5">
        <f t="shared" si="97"/>
        <v>20775.821767088186</v>
      </c>
      <c r="AC236" s="5">
        <f t="shared" si="98"/>
        <v>6577.7911444427527</v>
      </c>
      <c r="AD236" s="5">
        <f t="shared" si="99"/>
        <v>5768.7614963850683</v>
      </c>
      <c r="AE236" s="5">
        <f t="shared" si="100"/>
        <v>0</v>
      </c>
      <c r="AF236" s="5">
        <f t="shared" si="101"/>
        <v>0</v>
      </c>
      <c r="AG236" s="5">
        <f t="shared" si="102"/>
        <v>-1229.5081967213114</v>
      </c>
      <c r="AH236" s="5">
        <f t="shared" si="103"/>
        <v>0</v>
      </c>
      <c r="AI236" s="5">
        <f t="shared" si="104"/>
        <v>8446.1095835632186</v>
      </c>
      <c r="AJ236" s="5">
        <f t="shared" si="105"/>
        <v>-12481.847958146605</v>
      </c>
      <c r="AK236" s="5">
        <f>IFERROR(SUM(X236:AJ236),-5000)*((Cockpit!$C$3)^0)</f>
        <v>31787.098657786806</v>
      </c>
      <c r="AL236" s="16">
        <f>INDEX('Team forecast'!$B$2:$AO$26,MATCH('Master data'!$B236,'Team forecast'!$B$2:$B$26,0),MATCH('Master data'!AL$1,'Team forecast'!$B$2:$AO$2,0))</f>
        <v>1.5687475343836428</v>
      </c>
      <c r="AM236" s="16">
        <f>INDEX('Team forecast'!$B$2:$AO$26,MATCH('Master data'!$B236,'Team forecast'!$B$2:$B$26,0),MATCH('Master data'!AM$1,'Team forecast'!$B$2:$AO$2,0))</f>
        <v>0.75781731816731412</v>
      </c>
      <c r="AN236" s="16">
        <f>INDEX('Team forecast'!$B$2:$AO$26,MATCH('Master data'!$B236,'Team forecast'!$B$2:$B$26,0),MATCH('Master data'!AN$1,'Team forecast'!$B$2:$AO$2,0))</f>
        <v>0.46868830883965779</v>
      </c>
      <c r="AO236" s="16">
        <f>INDEX('Team forecast'!$B$2:$AO$26,MATCH('Master data'!$B236,'Team forecast'!$B$2:$B$26,0),MATCH('Master data'!AO$1,'Team forecast'!$B$2:$AO$2,0))</f>
        <v>5.3425178268869509</v>
      </c>
      <c r="AP236" s="16">
        <f>INDEX('Team forecast'!$B$2:$AO$26,MATCH('Master data'!$B236,'Team forecast'!$B$2:$B$26,0),MATCH('Master data'!AP$1,'Team forecast'!$B$2:$AO$2,0))</f>
        <v>2.1494454842563817</v>
      </c>
      <c r="AQ236" s="5">
        <f t="shared" si="106"/>
        <v>7000</v>
      </c>
      <c r="AR236" s="5">
        <f>INDEX('Team forecast'!$B$2:$AO$26,MATCH('Master data'!$B236,'Team forecast'!$B$2:$B$26,0),MATCH('Master data'!AR$1,'Team forecast'!$B$2:$AO$2,0))*IF(X236&gt;0,25000,0)</f>
        <v>14202.676025444174</v>
      </c>
      <c r="AS236" s="16">
        <f>INDEX('Team forecast'!$B$2:$AO$26,MATCH('Master data'!$B236,'Team forecast'!$B$2:$B$26,0),MATCH('Master data'!AS$1,'Team forecast'!$B$2:$AO$2,0))*IF(X236&gt;0,5000,0)</f>
        <v>1266.7251590261019</v>
      </c>
      <c r="AT236" s="16">
        <f>INDEX('Team forecast'!$B$2:$AO$26,MATCH('Master data'!$B236,'Team forecast'!$B$2:$B$26,0),MATCH('Master data'!AT$1,'Team forecast'!$B$2:$AO$2,0))*IF(X236&gt;0,-15000,0)</f>
        <v>-2678.2189076551876</v>
      </c>
      <c r="AU236" s="5">
        <f t="shared" si="107"/>
        <v>38588.203064923749</v>
      </c>
      <c r="AV236" s="5">
        <f t="shared" si="108"/>
        <v>12217.333362115609</v>
      </c>
      <c r="AW236" s="5">
        <f t="shared" si="109"/>
        <v>10714.67316918649</v>
      </c>
      <c r="AX236" s="5">
        <f t="shared" si="110"/>
        <v>0</v>
      </c>
      <c r="AY236" s="5">
        <f t="shared" si="111"/>
        <v>0</v>
      </c>
      <c r="AZ236" s="5">
        <f t="shared" si="112"/>
        <v>-1229.5081967213114</v>
      </c>
      <c r="BA236" s="5">
        <f t="shared" si="113"/>
        <v>0</v>
      </c>
      <c r="BB236" s="5">
        <f t="shared" si="114"/>
        <v>15687.475343836428</v>
      </c>
      <c r="BC236" s="5">
        <f t="shared" si="115"/>
        <v>-6062.5385453385134</v>
      </c>
      <c r="BD236" s="5">
        <f t="shared" si="116"/>
        <v>89706.820474817549</v>
      </c>
      <c r="BE236" s="16">
        <f>INDEX('Team forecast'!$B$2:$AO$26,MATCH('Master data'!$B236,'Team forecast'!$B$2:$B$26,0),MATCH('Master data'!BE$1,'Team forecast'!$B$2:$AO$2,0))</f>
        <v>0.95602347631827322</v>
      </c>
      <c r="BF236" s="16">
        <f>INDEX('Team forecast'!$B$2:$AO$26,MATCH('Master data'!$B236,'Team forecast'!$B$2:$B$26,0),MATCH('Master data'!BF$1,'Team forecast'!$B$2:$AO$2,0))</f>
        <v>1.5053002864585165</v>
      </c>
      <c r="BG236" s="16">
        <f>INDEX('Team forecast'!$B$2:$AO$26,MATCH('Master data'!$B236,'Team forecast'!$B$2:$B$26,0),MATCH('Master data'!BG$1,'Team forecast'!$B$2:$AO$2,0))</f>
        <v>0.22195063505392029</v>
      </c>
      <c r="BH236" s="16">
        <f>INDEX('Team forecast'!$B$2:$AO$26,MATCH('Master data'!$B236,'Team forecast'!$B$2:$B$26,0),MATCH('Master data'!BH$1,'Team forecast'!$B$2:$AO$2,0))</f>
        <v>3.2558282025664269</v>
      </c>
      <c r="BI236" s="16">
        <f>INDEX('Team forecast'!$B$2:$AO$26,MATCH('Master data'!$B236,'Team forecast'!$B$2:$B$26,0),MATCH('Master data'!BI$1,'Team forecast'!$B$2:$AO$2,0))</f>
        <v>4.2695789943187012</v>
      </c>
      <c r="BJ236" s="5">
        <f t="shared" si="117"/>
        <v>7000</v>
      </c>
      <c r="BK236" s="5">
        <f>INDEX('Team forecast'!$R$3:$BH$26,MATCH($B236,'Team forecast'!$B$3:$B$26,0),MATCH(BK$1,'Team forecast'!$R$2:$BH$2,0))*IF($X236&gt;0,25000,0)</f>
        <v>5860.0381084358223</v>
      </c>
      <c r="BL236" s="5">
        <f>INDEX('Team forecast'!$R$3:$BH$26,MATCH($B236,'Team forecast'!$B$3:$B$26,0),MATCH(BL$1,'Team forecast'!$R$2:$BH$2,0))*IF($X236&gt;0,5000,0)</f>
        <v>1413.30330850511</v>
      </c>
      <c r="BM236" s="5">
        <f>INDEX('Team forecast'!$R$3:$BH$26,MATCH($B236,'Team forecast'!$B$3:$B$26,0),MATCH(BM$1,'Team forecast'!$R$2:$BH$2,0))*IF($X236&gt;0,-15000,0)</f>
        <v>-7244.0672094231768</v>
      </c>
      <c r="BN236" s="5">
        <f t="shared" si="118"/>
        <v>23516.357623152107</v>
      </c>
      <c r="BO236" s="5">
        <f t="shared" si="119"/>
        <v>7445.4666899464155</v>
      </c>
      <c r="BP236" s="5">
        <f t="shared" si="120"/>
        <v>6529.7180497844965</v>
      </c>
      <c r="BQ236" s="5">
        <f t="shared" si="121"/>
        <v>0</v>
      </c>
      <c r="BR236" s="5">
        <f t="shared" si="122"/>
        <v>0</v>
      </c>
      <c r="BS236" s="5">
        <f t="shared" si="123"/>
        <v>-1229.5081967213114</v>
      </c>
      <c r="BT236" s="5">
        <f t="shared" si="124"/>
        <v>0</v>
      </c>
      <c r="BU236" s="5">
        <f t="shared" si="125"/>
        <v>9560.2347631827324</v>
      </c>
      <c r="BV236" s="5">
        <f t="shared" si="126"/>
        <v>-12042.402291668132</v>
      </c>
      <c r="BW236" s="5">
        <f t="shared" si="127"/>
        <v>40809.140845194066</v>
      </c>
      <c r="BX236" s="5">
        <f t="shared" si="128"/>
        <v>54101.019992599475</v>
      </c>
      <c r="BY236" s="5">
        <f t="shared" si="129"/>
        <v>162303.05997779843</v>
      </c>
      <c r="BZ236" s="5">
        <f>INDEX('Team forecast'!$R$3:$BH$26,MATCH($B236,'Team forecast'!$B$3:$B$26,0),MATCH(BZ$1,'Team forecast'!$R$2:$BH$2,0))*($BX236-(BY236+CH236)*0.01)</f>
        <v>8016.8591780587794</v>
      </c>
      <c r="CA236" s="5">
        <f>INDEX('Team forecast'!$R$3:$BH$26,MATCH($B236,'Team forecast'!$B$3:$B$26,0),MATCH(CA$1,'Team forecast'!$R$2:$BH$2,0))*($BX236-(BY236+BX236+CH236)*0.01)</f>
        <v>3764.527766238999</v>
      </c>
      <c r="CB236" s="5">
        <f>INDEX('Team forecast'!$R$3:$BH$26,MATCH($B236,'Team forecast'!$B$3:$B$26,0),MATCH(CB$1,'Team forecast'!$R$2:$BH$2,0))*($BX236-(BY236+BX236*2+CH236)*0.01)</f>
        <v>1733.9623514652985</v>
      </c>
      <c r="CC236" s="5">
        <f>INDEX('Team forecast'!$R$3:$BH$26,MATCH($B236,'Team forecast'!$B$3:$B$26,0),MATCH(CC$1,'Team forecast'!$R$2:$BH$2,0))*($BX236-(BY236+BX236*3+CH236)*0.01)</f>
        <v>748.45041789037919</v>
      </c>
      <c r="CD236" s="5">
        <f>+AK236+BD236*Cockpit!$C$3+BW236*Cockpit!$C$3^2+BZ236*Cockpit!$C$3^3+CA236*Cockpit!$C$3^4+CB236*Cockpit!$C$3^5+CC236*Cockpit!$C$3^6</f>
        <v>113142.06597999389</v>
      </c>
      <c r="CE236" s="5"/>
      <c r="CF236" s="5"/>
      <c r="CG236" s="5">
        <v>0</v>
      </c>
      <c r="CH236" s="5">
        <f t="shared" si="130"/>
        <v>4000000</v>
      </c>
      <c r="CI236" s="5">
        <f t="shared" si="131"/>
        <v>4000000</v>
      </c>
      <c r="CJ236" s="1">
        <f t="shared" si="132"/>
        <v>4.0575764994449606E-2</v>
      </c>
      <c r="CK236" s="5">
        <f>RANK(BY236,$BY$2:$BY$623)+COUNTIF($BY$2:$BY236,$BY236)-1</f>
        <v>84</v>
      </c>
      <c r="CL236" s="5">
        <f>RANK(CJ236,$CJ$2:$CJ$623)+COUNTIF($CJ$2:$CJ236,$CJ236)-1</f>
        <v>71</v>
      </c>
    </row>
    <row r="237" spans="1:90">
      <c r="A237" t="str">
        <f>Players!P238</f>
        <v>Anton Zabolotny</v>
      </c>
      <c r="B237" t="str">
        <f>Players!G238</f>
        <v>Russia</v>
      </c>
      <c r="C237" t="str">
        <f>Players!AB238</f>
        <v>Striker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2500000</v>
      </c>
      <c r="H237" s="16">
        <f>INDEX('Team forecast'!$B$2:$AO$26,MATCH('Master data'!$B237,'Team forecast'!$B$2:$B$26,0),MATCH('Master data'!H$1,'Team forecast'!$B$2:$AO$2,0))</f>
        <v>0.84461095835632183</v>
      </c>
      <c r="I237" s="16">
        <f>INDEX('Team forecast'!$B$2:$AO$26,MATCH('Master data'!$B237,'Team forecast'!$B$2:$B$26,0),MATCH('Master data'!I$1,'Team forecast'!$B$2:$AO$2,0))</f>
        <v>1.5602309947683257</v>
      </c>
      <c r="J237" s="16">
        <f>INDEX('Team forecast'!$B$2:$AO$26,MATCH('Master data'!$B237,'Team forecast'!$B$2:$B$26,0),MATCH('Master data'!J$1,'Team forecast'!$B$2:$AO$2,0))</f>
        <v>0.21008753647353071</v>
      </c>
      <c r="K237" s="16">
        <f>INDEX('Team forecast'!$B$2:$AO$26,MATCH('Master data'!$B237,'Team forecast'!$B$2:$B$26,0),MATCH('Master data'!K$1,'Team forecast'!$B$2:$AO$2,0))</f>
        <v>2.876402354682019</v>
      </c>
      <c r="L237" s="16">
        <f>INDEX('Team forecast'!$B$2:$AO$26,MATCH('Master data'!$B237,'Team forecast'!$B$2:$B$26,0),MATCH('Master data'!L$1,'Team forecast'!$B$2:$AO$2,0))</f>
        <v>4.4253824578883423</v>
      </c>
      <c r="M237">
        <f>IF(Players!BC238=1,95,0)</f>
        <v>0</v>
      </c>
      <c r="N237" s="2">
        <f>Players!BN238</f>
        <v>0</v>
      </c>
      <c r="O237" s="2">
        <f>Players!BO238</f>
        <v>0</v>
      </c>
      <c r="P237" s="2">
        <f>Players!BP238</f>
        <v>0</v>
      </c>
      <c r="Q237" s="2">
        <f>Players!BQ238</f>
        <v>4.5614754098360653</v>
      </c>
      <c r="R237" s="2">
        <f>Players!BR238</f>
        <v>0</v>
      </c>
      <c r="S237" s="2">
        <f t="shared" si="91"/>
        <v>0.84461095835632183</v>
      </c>
      <c r="T237" s="2">
        <f t="shared" si="92"/>
        <v>1.5602309947683257</v>
      </c>
      <c r="U237" s="16">
        <f>INDEX('Team forecast'!$B$2:$AO$26,MATCH('Master data'!$B237,'Team forecast'!$B$2:$B$26,0),MATCH('Master data'!U$1,'Team forecast'!$B$2:$AO$2,0))</f>
        <v>0.18007503126302629</v>
      </c>
      <c r="V237" s="16">
        <f>INDEX('Team forecast'!$B$2:$AO$26,MATCH('Master data'!$B237,'Team forecast'!$B$2:$B$26,0),MATCH('Master data'!V$1,'Team forecast'!$B$2:$AO$2,0))</f>
        <v>0.23634847853272201</v>
      </c>
      <c r="W237" s="16">
        <f>INDEX('Team forecast'!$B$2:$AO$26,MATCH('Master data'!$B237,'Team forecast'!$B$2:$B$26,0),MATCH('Master data'!W$1,'Team forecast'!$B$2:$AO$2,0))</f>
        <v>0.58357649020425184</v>
      </c>
      <c r="X237" s="5">
        <f t="shared" si="93"/>
        <v>-5000</v>
      </c>
      <c r="Y237" s="5">
        <f t="shared" si="94"/>
        <v>0</v>
      </c>
      <c r="Z237" s="5">
        <f t="shared" si="95"/>
        <v>0</v>
      </c>
      <c r="AA237" s="5">
        <f t="shared" si="96"/>
        <v>0</v>
      </c>
      <c r="AB237" s="5">
        <f t="shared" si="97"/>
        <v>0</v>
      </c>
      <c r="AC237" s="5">
        <f t="shared" si="98"/>
        <v>0</v>
      </c>
      <c r="AD237" s="5">
        <f t="shared" si="99"/>
        <v>0</v>
      </c>
      <c r="AE237" s="5">
        <f t="shared" si="100"/>
        <v>0</v>
      </c>
      <c r="AF237" s="5">
        <f t="shared" si="101"/>
        <v>0</v>
      </c>
      <c r="AG237" s="5">
        <f t="shared" si="102"/>
        <v>0</v>
      </c>
      <c r="AH237" s="5">
        <f t="shared" si="103"/>
        <v>0</v>
      </c>
      <c r="AI237" s="5">
        <f t="shared" si="104"/>
        <v>0</v>
      </c>
      <c r="AJ237" s="5">
        <f t="shared" si="105"/>
        <v>0</v>
      </c>
      <c r="AK237" s="5">
        <f>IFERROR(SUM(X237:AJ237),-5000)*((Cockpit!$C$3)^0)</f>
        <v>-5000</v>
      </c>
      <c r="AL237" s="16">
        <f>INDEX('Team forecast'!$B$2:$AO$26,MATCH('Master data'!$B237,'Team forecast'!$B$2:$B$26,0),MATCH('Master data'!AL$1,'Team forecast'!$B$2:$AO$2,0))</f>
        <v>1.5687475343836428</v>
      </c>
      <c r="AM237" s="16">
        <f>INDEX('Team forecast'!$B$2:$AO$26,MATCH('Master data'!$B237,'Team forecast'!$B$2:$B$26,0),MATCH('Master data'!AM$1,'Team forecast'!$B$2:$AO$2,0))</f>
        <v>0.75781731816731412</v>
      </c>
      <c r="AN237" s="16">
        <f>INDEX('Team forecast'!$B$2:$AO$26,MATCH('Master data'!$B237,'Team forecast'!$B$2:$B$26,0),MATCH('Master data'!AN$1,'Team forecast'!$B$2:$AO$2,0))</f>
        <v>0.46868830883965779</v>
      </c>
      <c r="AO237" s="16">
        <f>INDEX('Team forecast'!$B$2:$AO$26,MATCH('Master data'!$B237,'Team forecast'!$B$2:$B$26,0),MATCH('Master data'!AO$1,'Team forecast'!$B$2:$AO$2,0))</f>
        <v>5.3425178268869509</v>
      </c>
      <c r="AP237" s="16">
        <f>INDEX('Team forecast'!$B$2:$AO$26,MATCH('Master data'!$B237,'Team forecast'!$B$2:$B$26,0),MATCH('Master data'!AP$1,'Team forecast'!$B$2:$AO$2,0))</f>
        <v>2.1494454842563817</v>
      </c>
      <c r="AQ237" s="5">
        <f t="shared" si="106"/>
        <v>-5000</v>
      </c>
      <c r="AR237" s="5">
        <f>INDEX('Team forecast'!$B$2:$AO$26,MATCH('Master data'!$B237,'Team forecast'!$B$2:$B$26,0),MATCH('Master data'!AR$1,'Team forecast'!$B$2:$AO$2,0))*IF(X237&gt;0,25000,0)</f>
        <v>0</v>
      </c>
      <c r="AS237" s="16">
        <f>INDEX('Team forecast'!$B$2:$AO$26,MATCH('Master data'!$B237,'Team forecast'!$B$2:$B$26,0),MATCH('Master data'!AS$1,'Team forecast'!$B$2:$AO$2,0))*IF(X237&gt;0,5000,0)</f>
        <v>0</v>
      </c>
      <c r="AT237" s="16">
        <f>INDEX('Team forecast'!$B$2:$AO$26,MATCH('Master data'!$B237,'Team forecast'!$B$2:$B$26,0),MATCH('Master data'!AT$1,'Team forecast'!$B$2:$AO$2,0))*IF(X237&gt;0,-15000,0)</f>
        <v>0</v>
      </c>
      <c r="AU237" s="5">
        <f t="shared" si="107"/>
        <v>0</v>
      </c>
      <c r="AV237" s="5">
        <f t="shared" si="108"/>
        <v>0</v>
      </c>
      <c r="AW237" s="5">
        <f t="shared" si="109"/>
        <v>0</v>
      </c>
      <c r="AX237" s="5">
        <f t="shared" si="110"/>
        <v>0</v>
      </c>
      <c r="AY237" s="5">
        <f t="shared" si="111"/>
        <v>0</v>
      </c>
      <c r="AZ237" s="5">
        <f t="shared" si="112"/>
        <v>0</v>
      </c>
      <c r="BA237" s="5">
        <f t="shared" si="113"/>
        <v>0</v>
      </c>
      <c r="BB237" s="5">
        <f t="shared" si="114"/>
        <v>0</v>
      </c>
      <c r="BC237" s="5">
        <f t="shared" si="115"/>
        <v>0</v>
      </c>
      <c r="BD237" s="5">
        <f t="shared" si="116"/>
        <v>-5000</v>
      </c>
      <c r="BE237" s="16">
        <f>INDEX('Team forecast'!$B$2:$AO$26,MATCH('Master data'!$B237,'Team forecast'!$B$2:$B$26,0),MATCH('Master data'!BE$1,'Team forecast'!$B$2:$AO$2,0))</f>
        <v>0.95602347631827322</v>
      </c>
      <c r="BF237" s="16">
        <f>INDEX('Team forecast'!$B$2:$AO$26,MATCH('Master data'!$B237,'Team forecast'!$B$2:$B$26,0),MATCH('Master data'!BF$1,'Team forecast'!$B$2:$AO$2,0))</f>
        <v>1.5053002864585165</v>
      </c>
      <c r="BG237" s="16">
        <f>INDEX('Team forecast'!$B$2:$AO$26,MATCH('Master data'!$B237,'Team forecast'!$B$2:$B$26,0),MATCH('Master data'!BG$1,'Team forecast'!$B$2:$AO$2,0))</f>
        <v>0.22195063505392029</v>
      </c>
      <c r="BH237" s="16">
        <f>INDEX('Team forecast'!$B$2:$AO$26,MATCH('Master data'!$B237,'Team forecast'!$B$2:$B$26,0),MATCH('Master data'!BH$1,'Team forecast'!$B$2:$AO$2,0))</f>
        <v>3.2558282025664269</v>
      </c>
      <c r="BI237" s="16">
        <f>INDEX('Team forecast'!$B$2:$AO$26,MATCH('Master data'!$B237,'Team forecast'!$B$2:$B$26,0),MATCH('Master data'!BI$1,'Team forecast'!$B$2:$AO$2,0))</f>
        <v>4.2695789943187012</v>
      </c>
      <c r="BJ237" s="5">
        <f t="shared" si="117"/>
        <v>-5000</v>
      </c>
      <c r="BK237" s="5">
        <f>INDEX('Team forecast'!$R$3:$BH$26,MATCH($B237,'Team forecast'!$B$3:$B$26,0),MATCH(BK$1,'Team forecast'!$R$2:$BH$2,0))*IF($X237&gt;0,25000,0)</f>
        <v>0</v>
      </c>
      <c r="BL237" s="5">
        <f>INDEX('Team forecast'!$R$3:$BH$26,MATCH($B237,'Team forecast'!$B$3:$B$26,0),MATCH(BL$1,'Team forecast'!$R$2:$BH$2,0))*IF($X237&gt;0,5000,0)</f>
        <v>0</v>
      </c>
      <c r="BM237" s="5">
        <f>INDEX('Team forecast'!$R$3:$BH$26,MATCH($B237,'Team forecast'!$B$3:$B$26,0),MATCH(BM$1,'Team forecast'!$R$2:$BH$2,0))*IF($X237&gt;0,-15000,0)</f>
        <v>0</v>
      </c>
      <c r="BN237" s="5">
        <f t="shared" si="118"/>
        <v>0</v>
      </c>
      <c r="BO237" s="5">
        <f t="shared" si="119"/>
        <v>0</v>
      </c>
      <c r="BP237" s="5">
        <f t="shared" si="120"/>
        <v>0</v>
      </c>
      <c r="BQ237" s="5">
        <f t="shared" si="121"/>
        <v>0</v>
      </c>
      <c r="BR237" s="5">
        <f t="shared" si="122"/>
        <v>0</v>
      </c>
      <c r="BS237" s="5">
        <f t="shared" si="123"/>
        <v>0</v>
      </c>
      <c r="BT237" s="5">
        <f t="shared" si="124"/>
        <v>0</v>
      </c>
      <c r="BU237" s="5">
        <f t="shared" si="125"/>
        <v>0</v>
      </c>
      <c r="BV237" s="5">
        <f t="shared" si="126"/>
        <v>0</v>
      </c>
      <c r="BW237" s="5">
        <f t="shared" si="127"/>
        <v>-5000</v>
      </c>
      <c r="BX237" s="5">
        <f t="shared" si="128"/>
        <v>-5000</v>
      </c>
      <c r="BY237" s="5">
        <f t="shared" si="129"/>
        <v>-15000</v>
      </c>
      <c r="BZ237" s="5">
        <f>INDEX('Team forecast'!$R$3:$BH$26,MATCH($B237,'Team forecast'!$B$3:$B$26,0),MATCH(BZ$1,'Team forecast'!$R$2:$BH$2,0))*($BX237-(BY237+CH237)*0.01)</f>
        <v>-19178.029322794926</v>
      </c>
      <c r="CA237" s="5">
        <f>INDEX('Team forecast'!$R$3:$BH$26,MATCH($B237,'Team forecast'!$B$3:$B$26,0),MATCH(CA$1,'Team forecast'!$R$2:$BH$2,0))*($BX237-(BY237+BX237+CH237)*0.01)</f>
        <v>-9397.9327282977792</v>
      </c>
      <c r="CB237" s="5">
        <f>INDEX('Team forecast'!$R$3:$BH$26,MATCH($B237,'Team forecast'!$B$3:$B$26,0),MATCH(CB$1,'Team forecast'!$R$2:$BH$2,0))*($BX237-(BY237+BX237*2+CH237)*0.01)</f>
        <v>-4526.6339341496214</v>
      </c>
      <c r="CC237" s="5">
        <f>INDEX('Team forecast'!$R$3:$BH$26,MATCH($B237,'Team forecast'!$B$3:$B$26,0),MATCH(CC$1,'Team forecast'!$R$2:$BH$2,0))*($BX237-(BY237+BX237*3+CH237)*0.01)</f>
        <v>-2047.8177610024545</v>
      </c>
      <c r="CD237" s="5">
        <f>+AK237+BD237*Cockpit!$C$3+BW237*Cockpit!$C$3^2+BZ237*Cockpit!$C$3^3+CA237*Cockpit!$C$3^4+CB237*Cockpit!$C$3^5+CC237*Cockpit!$C$3^6</f>
        <v>-18870.197312731281</v>
      </c>
      <c r="CE237" s="5"/>
      <c r="CF237" s="5"/>
      <c r="CG237" s="5">
        <v>0</v>
      </c>
      <c r="CH237" s="5">
        <f t="shared" si="130"/>
        <v>2500000</v>
      </c>
      <c r="CI237" s="5">
        <f t="shared" si="131"/>
        <v>2500000</v>
      </c>
      <c r="CJ237" s="1">
        <f t="shared" si="132"/>
        <v>-6.0000000000000001E-3</v>
      </c>
      <c r="CK237" s="5">
        <f>RANK(BY237,$BY$2:$BY$623)+COUNTIF($BY$2:$BY237,$BY237)-1</f>
        <v>492</v>
      </c>
      <c r="CL237" s="5">
        <f>RANK(CJ237,$CJ$2:$CJ$623)+COUNTIF($CJ$2:$CJ237,$CJ237)-1</f>
        <v>532</v>
      </c>
    </row>
    <row r="238" spans="1:90">
      <c r="A238" t="str">
        <f>Players!P239</f>
        <v>Harry Wilson</v>
      </c>
      <c r="B238" t="str">
        <f>Players!G239</f>
        <v>Wales</v>
      </c>
      <c r="C238" t="str">
        <f>Players!AB239</f>
        <v>Midfield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3500000</v>
      </c>
      <c r="H238" s="16">
        <f>INDEX('Team forecast'!$B$2:$AO$26,MATCH('Master data'!$B238,'Team forecast'!$B$2:$B$26,0),MATCH('Master data'!H$1,'Team forecast'!$B$2:$AO$2,0))</f>
        <v>0.87435064565555498</v>
      </c>
      <c r="I238" s="16">
        <f>INDEX('Team forecast'!$B$2:$AO$26,MATCH('Master data'!$B238,'Team forecast'!$B$2:$B$26,0),MATCH('Master data'!I$1,'Team forecast'!$B$2:$AO$2,0))</f>
        <v>1.162032718107336</v>
      </c>
      <c r="J238" s="16">
        <f>INDEX('Team forecast'!$B$2:$AO$26,MATCH('Master data'!$B238,'Team forecast'!$B$2:$B$26,0),MATCH('Master data'!J$1,'Team forecast'!$B$2:$AO$2,0))</f>
        <v>0.31284959906121651</v>
      </c>
      <c r="K238" s="16">
        <f>INDEX('Team forecast'!$B$2:$AO$26,MATCH('Master data'!$B238,'Team forecast'!$B$2:$B$26,0),MATCH('Master data'!K$1,'Team forecast'!$B$2:$AO$2,0))</f>
        <v>2.6542787457400774</v>
      </c>
      <c r="L238" s="16">
        <f>INDEX('Team forecast'!$B$2:$AO$26,MATCH('Master data'!$B238,'Team forecast'!$B$2:$B$26,0),MATCH('Master data'!L$1,'Team forecast'!$B$2:$AO$2,0))</f>
        <v>3.0401288408862195</v>
      </c>
      <c r="M238">
        <f>IF(Players!BC239=1,95,0)</f>
        <v>95</v>
      </c>
      <c r="N238" s="2">
        <f>Players!BN239</f>
        <v>8.2770683018210015E-2</v>
      </c>
      <c r="O238" s="2">
        <f>Players!BO239</f>
        <v>0.14570062110369372</v>
      </c>
      <c r="P238" s="2">
        <f>Players!BP239</f>
        <v>6.0622035288622256E-2</v>
      </c>
      <c r="Q238" s="2">
        <f>Players!BQ239</f>
        <v>0.3763240418118467</v>
      </c>
      <c r="R238" s="2">
        <f>Players!BR239</f>
        <v>0</v>
      </c>
      <c r="S238" s="2">
        <f t="shared" si="91"/>
        <v>0.87435064565555498</v>
      </c>
      <c r="T238" s="2">
        <f t="shared" si="92"/>
        <v>1.162032718107336</v>
      </c>
      <c r="U238" s="16">
        <f>INDEX('Team forecast'!$B$2:$AO$26,MATCH('Master data'!$B238,'Team forecast'!$B$2:$B$26,0),MATCH('Master data'!U$1,'Team forecast'!$B$2:$AO$2,0))</f>
        <v>0.2607079992176804</v>
      </c>
      <c r="V238" s="16">
        <f>INDEX('Team forecast'!$B$2:$AO$26,MATCH('Master data'!$B238,'Team forecast'!$B$2:$B$26,0),MATCH('Master data'!V$1,'Team forecast'!$B$2:$AO$2,0))</f>
        <v>0.30275767651085472</v>
      </c>
      <c r="W238" s="16">
        <f>INDEX('Team forecast'!$B$2:$AO$26,MATCH('Master data'!$B238,'Team forecast'!$B$2:$B$26,0),MATCH('Master data'!W$1,'Team forecast'!$B$2:$AO$2,0))</f>
        <v>0.43653432427146488</v>
      </c>
      <c r="X238" s="5">
        <f t="shared" si="93"/>
        <v>7000</v>
      </c>
      <c r="Y238" s="5">
        <f t="shared" si="94"/>
        <v>6517.6999804420102</v>
      </c>
      <c r="Z238" s="5">
        <f t="shared" si="95"/>
        <v>1513.7883825542735</v>
      </c>
      <c r="AA238" s="5">
        <f t="shared" si="96"/>
        <v>-6548.0148640719735</v>
      </c>
      <c r="AB238" s="5">
        <f t="shared" si="97"/>
        <v>9046.3250172904009</v>
      </c>
      <c r="AC238" s="5">
        <f t="shared" si="98"/>
        <v>6369.6716067214993</v>
      </c>
      <c r="AD238" s="5">
        <f t="shared" si="99"/>
        <v>1609.0777979009499</v>
      </c>
      <c r="AE238" s="5">
        <f t="shared" si="100"/>
        <v>0</v>
      </c>
      <c r="AF238" s="5">
        <f t="shared" si="101"/>
        <v>0</v>
      </c>
      <c r="AG238" s="5">
        <f t="shared" si="102"/>
        <v>-7526.480836236934</v>
      </c>
      <c r="AH238" s="5">
        <f t="shared" si="103"/>
        <v>0</v>
      </c>
      <c r="AI238" s="5">
        <f t="shared" si="104"/>
        <v>8743.5064565555494</v>
      </c>
      <c r="AJ238" s="5">
        <f t="shared" si="105"/>
        <v>-9296.261744858688</v>
      </c>
      <c r="AK238" s="5">
        <f>IFERROR(SUM(X238:AJ238),-5000)*((Cockpit!$C$3)^0)</f>
        <v>17429.311796297086</v>
      </c>
      <c r="AL238" s="16">
        <f>INDEX('Team forecast'!$B$2:$AO$26,MATCH('Master data'!$B238,'Team forecast'!$B$2:$B$26,0),MATCH('Master data'!AL$1,'Team forecast'!$B$2:$AO$2,0))</f>
        <v>1.0279287794501248</v>
      </c>
      <c r="AM238" s="16">
        <f>INDEX('Team forecast'!$B$2:$AO$26,MATCH('Master data'!$B238,'Team forecast'!$B$2:$B$26,0),MATCH('Master data'!AM$1,'Team forecast'!$B$2:$AO$2,0))</f>
        <v>1.2847203648825669</v>
      </c>
      <c r="AN238" s="16">
        <f>INDEX('Team forecast'!$B$2:$AO$26,MATCH('Master data'!$B238,'Team forecast'!$B$2:$B$26,0),MATCH('Master data'!AN$1,'Team forecast'!$B$2:$AO$2,0))</f>
        <v>0.27672795566788022</v>
      </c>
      <c r="AO238" s="16">
        <f>INDEX('Team forecast'!$B$2:$AO$26,MATCH('Master data'!$B238,'Team forecast'!$B$2:$B$26,0),MATCH('Master data'!AO$1,'Team forecast'!$B$2:$AO$2,0))</f>
        <v>3.1204980804735931</v>
      </c>
      <c r="AP238" s="16">
        <f>INDEX('Team forecast'!$B$2:$AO$26,MATCH('Master data'!$B238,'Team forecast'!$B$2:$B$26,0),MATCH('Master data'!AP$1,'Team forecast'!$B$2:$AO$2,0))</f>
        <v>3.3611062519089856</v>
      </c>
      <c r="AQ238" s="5">
        <f t="shared" si="106"/>
        <v>7000</v>
      </c>
      <c r="AR238" s="5">
        <f>INDEX('Team forecast'!$B$2:$AO$26,MATCH('Master data'!$B238,'Team forecast'!$B$2:$B$26,0),MATCH('Master data'!AR$1,'Team forecast'!$B$2:$AO$2,0))*IF(X238&gt;0,25000,0)</f>
        <v>6720.5360662199482</v>
      </c>
      <c r="AS238" s="16">
        <f>INDEX('Team forecast'!$B$2:$AO$26,MATCH('Master data'!$B238,'Team forecast'!$B$2:$B$26,0),MATCH('Master data'!AS$1,'Team forecast'!$B$2:$AO$2,0))*IF(X238&gt;0,5000,0)</f>
        <v>1517.5404020496649</v>
      </c>
      <c r="AT238" s="16">
        <f>INDEX('Team forecast'!$B$2:$AO$26,MATCH('Master data'!$B238,'Team forecast'!$B$2:$B$26,0),MATCH('Master data'!AT$1,'Team forecast'!$B$2:$AO$2,0))*IF(X238&gt;0,-15000,0)</f>
        <v>-6415.0571541190393</v>
      </c>
      <c r="AU238" s="5">
        <f t="shared" si="107"/>
        <v>10635.295896145224</v>
      </c>
      <c r="AV238" s="5">
        <f t="shared" si="108"/>
        <v>7488.493080812249</v>
      </c>
      <c r="AW238" s="5">
        <f t="shared" si="109"/>
        <v>1891.7094475254817</v>
      </c>
      <c r="AX238" s="5">
        <f t="shared" si="110"/>
        <v>0</v>
      </c>
      <c r="AY238" s="5">
        <f t="shared" si="111"/>
        <v>0</v>
      </c>
      <c r="AZ238" s="5">
        <f t="shared" si="112"/>
        <v>-7526.480836236934</v>
      </c>
      <c r="BA238" s="5">
        <f t="shared" si="113"/>
        <v>0</v>
      </c>
      <c r="BB238" s="5">
        <f t="shared" si="114"/>
        <v>10279.287794501248</v>
      </c>
      <c r="BC238" s="5">
        <f t="shared" si="115"/>
        <v>-10277.762919060535</v>
      </c>
      <c r="BD238" s="5">
        <f t="shared" si="116"/>
        <v>21313.561777837305</v>
      </c>
      <c r="BE238" s="16">
        <f>INDEX('Team forecast'!$B$2:$AO$26,MATCH('Master data'!$B238,'Team forecast'!$B$2:$B$26,0),MATCH('Master data'!BE$1,'Team forecast'!$B$2:$AO$2,0))</f>
        <v>0.65281467345965161</v>
      </c>
      <c r="BF238" s="16">
        <f>INDEX('Team forecast'!$B$2:$AO$26,MATCH('Master data'!$B238,'Team forecast'!$B$2:$B$26,0),MATCH('Master data'!BF$1,'Team forecast'!$B$2:$AO$2,0))</f>
        <v>1.8402581758343768</v>
      </c>
      <c r="BG238" s="16">
        <f>INDEX('Team forecast'!$B$2:$AO$26,MATCH('Master data'!$B238,'Team forecast'!$B$2:$B$26,0),MATCH('Master data'!BG$1,'Team forecast'!$B$2:$AO$2,0))</f>
        <v>0.15877642857793531</v>
      </c>
      <c r="BH238" s="16">
        <f>INDEX('Team forecast'!$B$2:$AO$26,MATCH('Master data'!$B238,'Team forecast'!$B$2:$B$26,0),MATCH('Master data'!BH$1,'Team forecast'!$B$2:$AO$2,0))</f>
        <v>1.9817588301453708</v>
      </c>
      <c r="BI238" s="16">
        <f>INDEX('Team forecast'!$B$2:$AO$26,MATCH('Master data'!$B238,'Team forecast'!$B$2:$B$26,0),MATCH('Master data'!BI$1,'Team forecast'!$B$2:$AO$2,0))</f>
        <v>4.8145132816423697</v>
      </c>
      <c r="BJ238" s="5">
        <f t="shared" si="117"/>
        <v>7000</v>
      </c>
      <c r="BK238" s="5">
        <f>INDEX('Team forecast'!$R$3:$BH$26,MATCH($B238,'Team forecast'!$B$3:$B$26,0),MATCH(BK$1,'Team forecast'!$R$2:$BH$2,0))*IF($X238&gt;0,25000,0)</f>
        <v>2721.881632764605</v>
      </c>
      <c r="BL238" s="5">
        <f>INDEX('Team forecast'!$R$3:$BH$26,MATCH($B238,'Team forecast'!$B$3:$B$26,0),MATCH(BL$1,'Team forecast'!$R$2:$BH$2,0))*IF($X238&gt;0,5000,0)</f>
        <v>1147.781411406761</v>
      </c>
      <c r="BM238" s="5">
        <f>INDEX('Team forecast'!$R$3:$BH$26,MATCH($B238,'Team forecast'!$B$3:$B$26,0),MATCH(BM$1,'Team forecast'!$R$2:$BH$2,0))*IF($X238&gt;0,-15000,0)</f>
        <v>-9923.5267861209559</v>
      </c>
      <c r="BN238" s="5">
        <f t="shared" si="118"/>
        <v>6754.2395508206373</v>
      </c>
      <c r="BO238" s="5">
        <f t="shared" si="119"/>
        <v>4755.7751694338122</v>
      </c>
      <c r="BP238" s="5">
        <f t="shared" si="120"/>
        <v>1201.3825373461143</v>
      </c>
      <c r="BQ238" s="5">
        <f t="shared" si="121"/>
        <v>0</v>
      </c>
      <c r="BR238" s="5">
        <f t="shared" si="122"/>
        <v>0</v>
      </c>
      <c r="BS238" s="5">
        <f t="shared" si="123"/>
        <v>-7526.480836236934</v>
      </c>
      <c r="BT238" s="5">
        <f t="shared" si="124"/>
        <v>0</v>
      </c>
      <c r="BU238" s="5">
        <f t="shared" si="125"/>
        <v>6528.1467345965157</v>
      </c>
      <c r="BV238" s="5">
        <f t="shared" si="126"/>
        <v>-14722.065406675014</v>
      </c>
      <c r="BW238" s="5">
        <f t="shared" si="127"/>
        <v>-2062.8659926644577</v>
      </c>
      <c r="BX238" s="5">
        <f t="shared" si="128"/>
        <v>12226.669193823313</v>
      </c>
      <c r="BY238" s="5">
        <f t="shared" si="129"/>
        <v>36680.007581469938</v>
      </c>
      <c r="BZ238" s="5">
        <f>INDEX('Team forecast'!$R$3:$BH$26,MATCH($B238,'Team forecast'!$B$3:$B$26,0),MATCH(BZ$1,'Team forecast'!$R$2:$BH$2,0))*($BX238-(BY238+CH238)*0.01)</f>
        <v>-11402.900124721771</v>
      </c>
      <c r="CA238" s="5">
        <f>INDEX('Team forecast'!$R$3:$BH$26,MATCH($B238,'Team forecast'!$B$3:$B$26,0),MATCH(CA$1,'Team forecast'!$R$2:$BH$2,0))*($BX238-(BY238+BX238+CH238)*0.01)</f>
        <v>-5630.4210725065523</v>
      </c>
      <c r="CB238" s="5">
        <f>INDEX('Team forecast'!$R$3:$BH$26,MATCH($B238,'Team forecast'!$B$3:$B$26,0),MATCH(CB$1,'Team forecast'!$R$2:$BH$2,0))*($BX238-(BY238+BX238*2+CH238)*0.01)</f>
        <v>-2734.303041110808</v>
      </c>
      <c r="CC238" s="5">
        <f>INDEX('Team forecast'!$R$3:$BH$26,MATCH($B238,'Team forecast'!$B$3:$B$26,0),MATCH(CC$1,'Team forecast'!$R$2:$BH$2,0))*($BX238-(BY238+BX238*3+CH238)*0.01)</f>
        <v>-1250.2464042005017</v>
      </c>
      <c r="CD238" s="5">
        <f>+AK238+BD238*Cockpit!$C$3+BW238*Cockpit!$C$3^2+BZ238*Cockpit!$C$3^3+CA238*Cockpit!$C$3^4+CB238*Cockpit!$C$3^5+CC238*Cockpit!$C$3^6</f>
        <v>25760.870807558171</v>
      </c>
      <c r="CE238" s="5"/>
      <c r="CF238" s="5"/>
      <c r="CG238" s="5">
        <v>0</v>
      </c>
      <c r="CH238" s="5">
        <f t="shared" si="130"/>
        <v>3500000</v>
      </c>
      <c r="CI238" s="5">
        <f t="shared" si="131"/>
        <v>3500000</v>
      </c>
      <c r="CJ238" s="1">
        <f t="shared" si="132"/>
        <v>1.0480002166134268E-2</v>
      </c>
      <c r="CK238" s="5">
        <f>RANK(BY238,$BY$2:$BY$623)+COUNTIF($BY$2:$BY238,$BY238)-1</f>
        <v>317</v>
      </c>
      <c r="CL238" s="5">
        <f>RANK(CJ238,$CJ$2:$CJ$623)+COUNTIF($CJ$2:$CJ238,$CJ238)-1</f>
        <v>354</v>
      </c>
    </row>
    <row r="239" spans="1:90">
      <c r="A239" t="str">
        <f>Players!P240</f>
        <v>Emil Forsberg</v>
      </c>
      <c r="B239" t="str">
        <f>Players!G240</f>
        <v>Sweden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4000000</v>
      </c>
      <c r="H239" s="16">
        <f>INDEX('Team forecast'!$B$2:$AO$26,MATCH('Master data'!$B239,'Team forecast'!$B$2:$B$26,0),MATCH('Master data'!H$1,'Team forecast'!$B$2:$AO$2,0))</f>
        <v>0.63639779406972985</v>
      </c>
      <c r="I239" s="16">
        <f>INDEX('Team forecast'!$B$2:$AO$26,MATCH('Master data'!$B239,'Team forecast'!$B$2:$B$26,0),MATCH('Master data'!I$1,'Team forecast'!$B$2:$AO$2,0))</f>
        <v>1.7533592214060363</v>
      </c>
      <c r="J239" s="16">
        <f>INDEX('Team forecast'!$B$2:$AO$26,MATCH('Master data'!$B239,'Team forecast'!$B$2:$B$26,0),MATCH('Master data'!J$1,'Team forecast'!$B$2:$AO$2,0))</f>
        <v>0.1731911776674534</v>
      </c>
      <c r="K239" s="16">
        <f>INDEX('Team forecast'!$B$2:$AO$26,MATCH('Master data'!$B239,'Team forecast'!$B$2:$B$26,0),MATCH('Master data'!K$1,'Team forecast'!$B$2:$AO$2,0))</f>
        <v>2.0682928307266222</v>
      </c>
      <c r="L239" s="16">
        <f>INDEX('Team forecast'!$B$2:$AO$26,MATCH('Master data'!$B239,'Team forecast'!$B$2:$B$26,0),MATCH('Master data'!L$1,'Team forecast'!$B$2:$AO$2,0))</f>
        <v>5.2600776642181089</v>
      </c>
      <c r="M239">
        <f>IF(Players!BC240=1,95,0)</f>
        <v>0</v>
      </c>
      <c r="N239" s="2">
        <f>Players!BN240</f>
        <v>0</v>
      </c>
      <c r="O239" s="2">
        <f>Players!BO240</f>
        <v>0</v>
      </c>
      <c r="P239" s="2">
        <f>Players!BP240</f>
        <v>0</v>
      </c>
      <c r="Q239" s="2">
        <f>Players!BQ240</f>
        <v>0</v>
      </c>
      <c r="R239" s="2">
        <f>Players!BR240</f>
        <v>0</v>
      </c>
      <c r="S239" s="2">
        <f t="shared" si="91"/>
        <v>0.63639779406972985</v>
      </c>
      <c r="T239" s="2">
        <f t="shared" si="92"/>
        <v>1.7533592214060363</v>
      </c>
      <c r="U239" s="16">
        <f>INDEX('Team forecast'!$B$2:$AO$26,MATCH('Master data'!$B239,'Team forecast'!$B$2:$B$26,0),MATCH('Master data'!U$1,'Team forecast'!$B$2:$AO$2,0))</f>
        <v>0.11906893464637421</v>
      </c>
      <c r="V239" s="16">
        <f>INDEX('Team forecast'!$B$2:$AO$26,MATCH('Master data'!$B239,'Team forecast'!$B$2:$B$26,0),MATCH('Master data'!V$1,'Team forecast'!$B$2:$AO$2,0))</f>
        <v>0.20053715308863029</v>
      </c>
      <c r="W239" s="16">
        <f>INDEX('Team forecast'!$B$2:$AO$26,MATCH('Master data'!$B239,'Team forecast'!$B$2:$B$26,0),MATCH('Master data'!W$1,'Team forecast'!$B$2:$AO$2,0))</f>
        <v>0.68039391226499568</v>
      </c>
      <c r="X239" s="5">
        <f t="shared" si="93"/>
        <v>-5000</v>
      </c>
      <c r="Y239" s="5">
        <f t="shared" si="94"/>
        <v>0</v>
      </c>
      <c r="Z239" s="5">
        <f t="shared" si="95"/>
        <v>0</v>
      </c>
      <c r="AA239" s="5">
        <f t="shared" si="96"/>
        <v>0</v>
      </c>
      <c r="AB239" s="5">
        <f t="shared" si="97"/>
        <v>0</v>
      </c>
      <c r="AC239" s="5">
        <f t="shared" si="98"/>
        <v>0</v>
      </c>
      <c r="AD239" s="5">
        <f t="shared" si="99"/>
        <v>0</v>
      </c>
      <c r="AE239" s="5">
        <f t="shared" si="100"/>
        <v>0</v>
      </c>
      <c r="AF239" s="5">
        <f t="shared" si="101"/>
        <v>0</v>
      </c>
      <c r="AG239" s="5">
        <f t="shared" si="102"/>
        <v>0</v>
      </c>
      <c r="AH239" s="5">
        <f t="shared" si="103"/>
        <v>0</v>
      </c>
      <c r="AI239" s="5">
        <f t="shared" si="104"/>
        <v>0</v>
      </c>
      <c r="AJ239" s="5">
        <f t="shared" si="105"/>
        <v>0</v>
      </c>
      <c r="AK239" s="5">
        <f>IFERROR(SUM(X239:AJ239),-5000)*((Cockpit!$C$3)^0)</f>
        <v>-5000</v>
      </c>
      <c r="AL239" s="16">
        <f>INDEX('Team forecast'!$B$2:$AO$26,MATCH('Master data'!$B239,'Team forecast'!$B$2:$B$26,0),MATCH('Master data'!AL$1,'Team forecast'!$B$2:$AO$2,0))</f>
        <v>1.3852986184856255</v>
      </c>
      <c r="AM239" s="16">
        <f>INDEX('Team forecast'!$B$2:$AO$26,MATCH('Master data'!$B239,'Team forecast'!$B$2:$B$26,0),MATCH('Master data'!AM$1,'Team forecast'!$B$2:$AO$2,0))</f>
        <v>0.80548012323268336</v>
      </c>
      <c r="AN239" s="16">
        <f>INDEX('Team forecast'!$B$2:$AO$26,MATCH('Master data'!$B239,'Team forecast'!$B$2:$B$26,0),MATCH('Master data'!AN$1,'Team forecast'!$B$2:$AO$2,0))</f>
        <v>0.4468733207814955</v>
      </c>
      <c r="AO239" s="16">
        <f>INDEX('Team forecast'!$B$2:$AO$26,MATCH('Master data'!$B239,'Team forecast'!$B$2:$B$26,0),MATCH('Master data'!AO$1,'Team forecast'!$B$2:$AO$2,0))</f>
        <v>4.5022205100782831</v>
      </c>
      <c r="AP239" s="16">
        <f>INDEX('Team forecast'!$B$2:$AO$26,MATCH('Master data'!$B239,'Team forecast'!$B$2:$B$26,0),MATCH('Master data'!AP$1,'Team forecast'!$B$2:$AO$2,0))</f>
        <v>2.4164403696980501</v>
      </c>
      <c r="AQ239" s="5">
        <f t="shared" si="106"/>
        <v>-5000</v>
      </c>
      <c r="AR239" s="5">
        <f>INDEX('Team forecast'!$B$2:$AO$26,MATCH('Master data'!$B239,'Team forecast'!$B$2:$B$26,0),MATCH('Master data'!AR$1,'Team forecast'!$B$2:$AO$2,0))*IF(X239&gt;0,25000,0)</f>
        <v>0</v>
      </c>
      <c r="AS239" s="16">
        <f>INDEX('Team forecast'!$B$2:$AO$26,MATCH('Master data'!$B239,'Team forecast'!$B$2:$B$26,0),MATCH('Master data'!AS$1,'Team forecast'!$B$2:$AO$2,0))*IF(X239&gt;0,5000,0)</f>
        <v>0</v>
      </c>
      <c r="AT239" s="16">
        <f>INDEX('Team forecast'!$B$2:$AO$26,MATCH('Master data'!$B239,'Team forecast'!$B$2:$B$26,0),MATCH('Master data'!AT$1,'Team forecast'!$B$2:$AO$2,0))*IF(X239&gt;0,-15000,0)</f>
        <v>0</v>
      </c>
      <c r="AU239" s="5">
        <f t="shared" si="107"/>
        <v>0</v>
      </c>
      <c r="AV239" s="5">
        <f t="shared" si="108"/>
        <v>0</v>
      </c>
      <c r="AW239" s="5">
        <f t="shared" si="109"/>
        <v>0</v>
      </c>
      <c r="AX239" s="5">
        <f t="shared" si="110"/>
        <v>0</v>
      </c>
      <c r="AY239" s="5">
        <f t="shared" si="111"/>
        <v>0</v>
      </c>
      <c r="AZ239" s="5">
        <f t="shared" si="112"/>
        <v>0</v>
      </c>
      <c r="BA239" s="5">
        <f t="shared" si="113"/>
        <v>0</v>
      </c>
      <c r="BB239" s="5">
        <f t="shared" si="114"/>
        <v>0</v>
      </c>
      <c r="BC239" s="5">
        <f t="shared" si="115"/>
        <v>0</v>
      </c>
      <c r="BD239" s="5">
        <f t="shared" si="116"/>
        <v>-5000</v>
      </c>
      <c r="BE239" s="16">
        <f>INDEX('Team forecast'!$B$2:$AO$26,MATCH('Master data'!$B239,'Team forecast'!$B$2:$B$26,0),MATCH('Master data'!BE$1,'Team forecast'!$B$2:$AO$2,0))</f>
        <v>1.2688103238212438</v>
      </c>
      <c r="BF239" s="16">
        <f>INDEX('Team forecast'!$B$2:$AO$26,MATCH('Master data'!$B239,'Team forecast'!$B$2:$B$26,0),MATCH('Master data'!BF$1,'Team forecast'!$B$2:$AO$2,0))</f>
        <v>1.2236898885407743</v>
      </c>
      <c r="BG239" s="16">
        <f>INDEX('Team forecast'!$B$2:$AO$26,MATCH('Master data'!$B239,'Team forecast'!$B$2:$B$26,0),MATCH('Master data'!BG$1,'Team forecast'!$B$2:$AO$2,0))</f>
        <v>0.29414280786478092</v>
      </c>
      <c r="BH239" s="16">
        <f>INDEX('Team forecast'!$B$2:$AO$26,MATCH('Master data'!$B239,'Team forecast'!$B$2:$B$26,0),MATCH('Master data'!BH$1,'Team forecast'!$B$2:$AO$2,0))</f>
        <v>4.1236335524190419</v>
      </c>
      <c r="BI239" s="16">
        <f>INDEX('Team forecast'!$B$2:$AO$26,MATCH('Master data'!$B239,'Team forecast'!$B$2:$B$26,0),MATCH('Master data'!BI$1,'Team forecast'!$B$2:$AO$2,0))</f>
        <v>3.6710696656223227</v>
      </c>
      <c r="BJ239" s="5">
        <f t="shared" si="117"/>
        <v>-5000</v>
      </c>
      <c r="BK239" s="5">
        <f>INDEX('Team forecast'!$R$3:$BH$26,MATCH($B239,'Team forecast'!$B$3:$B$26,0),MATCH(BK$1,'Team forecast'!$R$2:$BH$2,0))*IF($X239&gt;0,25000,0)</f>
        <v>0</v>
      </c>
      <c r="BL239" s="5">
        <f>INDEX('Team forecast'!$R$3:$BH$26,MATCH($B239,'Team forecast'!$B$3:$B$26,0),MATCH(BL$1,'Team forecast'!$R$2:$BH$2,0))*IF($X239&gt;0,5000,0)</f>
        <v>0</v>
      </c>
      <c r="BM239" s="5">
        <f>INDEX('Team forecast'!$R$3:$BH$26,MATCH($B239,'Team forecast'!$B$3:$B$26,0),MATCH(BM$1,'Team forecast'!$R$2:$BH$2,0))*IF($X239&gt;0,-15000,0)</f>
        <v>0</v>
      </c>
      <c r="BN239" s="5">
        <f t="shared" si="118"/>
        <v>0</v>
      </c>
      <c r="BO239" s="5">
        <f t="shared" si="119"/>
        <v>0</v>
      </c>
      <c r="BP239" s="5">
        <f t="shared" si="120"/>
        <v>0</v>
      </c>
      <c r="BQ239" s="5">
        <f t="shared" si="121"/>
        <v>0</v>
      </c>
      <c r="BR239" s="5">
        <f t="shared" si="122"/>
        <v>0</v>
      </c>
      <c r="BS239" s="5">
        <f t="shared" si="123"/>
        <v>0</v>
      </c>
      <c r="BT239" s="5">
        <f t="shared" si="124"/>
        <v>0</v>
      </c>
      <c r="BU239" s="5">
        <f t="shared" si="125"/>
        <v>0</v>
      </c>
      <c r="BV239" s="5">
        <f t="shared" si="126"/>
        <v>0</v>
      </c>
      <c r="BW239" s="5">
        <f t="shared" si="127"/>
        <v>-5000</v>
      </c>
      <c r="BX239" s="5">
        <f t="shared" si="128"/>
        <v>-5000</v>
      </c>
      <c r="BY239" s="5">
        <f t="shared" si="129"/>
        <v>-15000</v>
      </c>
      <c r="BZ239" s="5">
        <f>INDEX('Team forecast'!$R$3:$BH$26,MATCH($B239,'Team forecast'!$B$3:$B$26,0),MATCH(BZ$1,'Team forecast'!$R$2:$BH$2,0))*($BX239-(BY239+CH239)*0.01)</f>
        <v>-29372.944116306626</v>
      </c>
      <c r="CA239" s="5">
        <f>INDEX('Team forecast'!$R$3:$BH$26,MATCH($B239,'Team forecast'!$B$3:$B$26,0),MATCH(CA$1,'Team forecast'!$R$2:$BH$2,0))*($BX239-(BY239+BX239+CH239)*0.01)</f>
        <v>-14431.885300268161</v>
      </c>
      <c r="CB239" s="5">
        <f>INDEX('Team forecast'!$R$3:$BH$26,MATCH($B239,'Team forecast'!$B$3:$B$26,0),MATCH(CB$1,'Team forecast'!$R$2:$BH$2,0))*($BX239-(BY239+BX239*2+CH239)*0.01)</f>
        <v>-6983.9380691761853</v>
      </c>
      <c r="CC239" s="5">
        <f>INDEX('Team forecast'!$R$3:$BH$26,MATCH($B239,'Team forecast'!$B$3:$B$26,0),MATCH(CC$1,'Team forecast'!$R$2:$BH$2,0))*($BX239-(BY239+BX239*3+CH239)*0.01)</f>
        <v>-3199.6110354517568</v>
      </c>
      <c r="CD239" s="5">
        <f>+AK239+BD239*Cockpit!$C$3+BW239*Cockpit!$C$3^2+BZ239*Cockpit!$C$3^3+CA239*Cockpit!$C$3^4+CB239*Cockpit!$C$3^5+CC239*Cockpit!$C$3^6</f>
        <v>-23309.987068958399</v>
      </c>
      <c r="CE239" s="5"/>
      <c r="CF239" s="5"/>
      <c r="CG239" s="5">
        <v>0</v>
      </c>
      <c r="CH239" s="5">
        <f t="shared" si="130"/>
        <v>4000000</v>
      </c>
      <c r="CI239" s="5">
        <f t="shared" si="131"/>
        <v>4000000</v>
      </c>
      <c r="CJ239" s="1">
        <f t="shared" si="132"/>
        <v>-3.7499999999999999E-3</v>
      </c>
      <c r="CK239" s="5">
        <f>RANK(BY239,$BY$2:$BY$623)+COUNTIF($BY$2:$BY239,$BY239)-1</f>
        <v>493</v>
      </c>
      <c r="CL239" s="5">
        <f>RANK(CJ239,$CJ$2:$CJ$623)+COUNTIF($CJ$2:$CJ239,$CJ239)-1</f>
        <v>449</v>
      </c>
    </row>
    <row r="240" spans="1:90">
      <c r="A240" t="str">
        <f>Players!P241</f>
        <v>Alexander Isak</v>
      </c>
      <c r="B240" t="str">
        <f>Players!G241</f>
        <v>Sweden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5000000</v>
      </c>
      <c r="H240" s="16">
        <f>INDEX('Team forecast'!$B$2:$AO$26,MATCH('Master data'!$B240,'Team forecast'!$B$2:$B$26,0),MATCH('Master data'!H$1,'Team forecast'!$B$2:$AO$2,0))</f>
        <v>0.63639779406972985</v>
      </c>
      <c r="I240" s="16">
        <f>INDEX('Team forecast'!$B$2:$AO$26,MATCH('Master data'!$B240,'Team forecast'!$B$2:$B$26,0),MATCH('Master data'!I$1,'Team forecast'!$B$2:$AO$2,0))</f>
        <v>1.7533592214060363</v>
      </c>
      <c r="J240" s="16">
        <f>INDEX('Team forecast'!$B$2:$AO$26,MATCH('Master data'!$B240,'Team forecast'!$B$2:$B$26,0),MATCH('Master data'!J$1,'Team forecast'!$B$2:$AO$2,0))</f>
        <v>0.1731911776674534</v>
      </c>
      <c r="K240" s="16">
        <f>INDEX('Team forecast'!$B$2:$AO$26,MATCH('Master data'!$B240,'Team forecast'!$B$2:$B$26,0),MATCH('Master data'!K$1,'Team forecast'!$B$2:$AO$2,0))</f>
        <v>2.0682928307266222</v>
      </c>
      <c r="L240" s="16">
        <f>INDEX('Team forecast'!$B$2:$AO$26,MATCH('Master data'!$B240,'Team forecast'!$B$2:$B$26,0),MATCH('Master data'!L$1,'Team forecast'!$B$2:$AO$2,0))</f>
        <v>5.2600776642181089</v>
      </c>
      <c r="M240">
        <f>IF(Players!BC241=1,95,0)</f>
        <v>95</v>
      </c>
      <c r="N240" s="2">
        <f>Players!BN241</f>
        <v>0.35857924300924265</v>
      </c>
      <c r="O240" s="2">
        <f>Players!BO241</f>
        <v>6.1486241777628625E-2</v>
      </c>
      <c r="P240" s="2">
        <f>Players!BP241</f>
        <v>0.37418151500877367</v>
      </c>
      <c r="Q240" s="2">
        <f>Players!BQ241</f>
        <v>7.6303518440016954E-2</v>
      </c>
      <c r="R240" s="2">
        <f>Players!BR241</f>
        <v>0</v>
      </c>
      <c r="S240" s="2">
        <f t="shared" si="91"/>
        <v>0.63639779406972985</v>
      </c>
      <c r="T240" s="2">
        <f t="shared" si="92"/>
        <v>1.7533592214060363</v>
      </c>
      <c r="U240" s="16">
        <f>INDEX('Team forecast'!$B$2:$AO$26,MATCH('Master data'!$B240,'Team forecast'!$B$2:$B$26,0),MATCH('Master data'!U$1,'Team forecast'!$B$2:$AO$2,0))</f>
        <v>0.11906893464637421</v>
      </c>
      <c r="V240" s="16">
        <f>INDEX('Team forecast'!$B$2:$AO$26,MATCH('Master data'!$B240,'Team forecast'!$B$2:$B$26,0),MATCH('Master data'!V$1,'Team forecast'!$B$2:$AO$2,0))</f>
        <v>0.20053715308863029</v>
      </c>
      <c r="W240" s="16">
        <f>INDEX('Team forecast'!$B$2:$AO$26,MATCH('Master data'!$B240,'Team forecast'!$B$2:$B$26,0),MATCH('Master data'!W$1,'Team forecast'!$B$2:$AO$2,0))</f>
        <v>0.68039391226499568</v>
      </c>
      <c r="X240" s="5">
        <f t="shared" si="93"/>
        <v>7000</v>
      </c>
      <c r="Y240" s="5">
        <f t="shared" si="94"/>
        <v>2976.723366159355</v>
      </c>
      <c r="Z240" s="5">
        <f t="shared" si="95"/>
        <v>1002.6857654431515</v>
      </c>
      <c r="AA240" s="5">
        <f t="shared" si="96"/>
        <v>-10205.908683974934</v>
      </c>
      <c r="AB240" s="5">
        <f t="shared" si="97"/>
        <v>22819.90392502756</v>
      </c>
      <c r="AC240" s="5">
        <f t="shared" si="98"/>
        <v>1956.4854316460462</v>
      </c>
      <c r="AD240" s="5">
        <f t="shared" si="99"/>
        <v>7739.1694488307248</v>
      </c>
      <c r="AE240" s="5">
        <f t="shared" si="100"/>
        <v>0</v>
      </c>
      <c r="AF240" s="5">
        <f t="shared" si="101"/>
        <v>0</v>
      </c>
      <c r="AG240" s="5">
        <f t="shared" si="102"/>
        <v>-1526.0703688003391</v>
      </c>
      <c r="AH240" s="5">
        <f t="shared" si="103"/>
        <v>0</v>
      </c>
      <c r="AI240" s="5">
        <f t="shared" si="104"/>
        <v>6363.9779406972984</v>
      </c>
      <c r="AJ240" s="5">
        <f t="shared" si="105"/>
        <v>-14026.873771248291</v>
      </c>
      <c r="AK240" s="5">
        <f>IFERROR(SUM(X240:AJ240),-5000)*((Cockpit!$C$3)^0)</f>
        <v>24100.093053780576</v>
      </c>
      <c r="AL240" s="16">
        <f>INDEX('Team forecast'!$B$2:$AO$26,MATCH('Master data'!$B240,'Team forecast'!$B$2:$B$26,0),MATCH('Master data'!AL$1,'Team forecast'!$B$2:$AO$2,0))</f>
        <v>1.3852986184856255</v>
      </c>
      <c r="AM240" s="16">
        <f>INDEX('Team forecast'!$B$2:$AO$26,MATCH('Master data'!$B240,'Team forecast'!$B$2:$B$26,0),MATCH('Master data'!AM$1,'Team forecast'!$B$2:$AO$2,0))</f>
        <v>0.80548012323268336</v>
      </c>
      <c r="AN240" s="16">
        <f>INDEX('Team forecast'!$B$2:$AO$26,MATCH('Master data'!$B240,'Team forecast'!$B$2:$B$26,0),MATCH('Master data'!AN$1,'Team forecast'!$B$2:$AO$2,0))</f>
        <v>0.4468733207814955</v>
      </c>
      <c r="AO240" s="16">
        <f>INDEX('Team forecast'!$B$2:$AO$26,MATCH('Master data'!$B240,'Team forecast'!$B$2:$B$26,0),MATCH('Master data'!AO$1,'Team forecast'!$B$2:$AO$2,0))</f>
        <v>4.5022205100782831</v>
      </c>
      <c r="AP240" s="16">
        <f>INDEX('Team forecast'!$B$2:$AO$26,MATCH('Master data'!$B240,'Team forecast'!$B$2:$B$26,0),MATCH('Master data'!AP$1,'Team forecast'!$B$2:$AO$2,0))</f>
        <v>2.4164403696980501</v>
      </c>
      <c r="AQ240" s="5">
        <f t="shared" si="106"/>
        <v>7000</v>
      </c>
      <c r="AR240" s="5">
        <f>INDEX('Team forecast'!$B$2:$AO$26,MATCH('Master data'!$B240,'Team forecast'!$B$2:$B$26,0),MATCH('Master data'!AR$1,'Team forecast'!$B$2:$AO$2,0))*IF(X240&gt;0,25000,0)</f>
        <v>12681.540184339738</v>
      </c>
      <c r="AS240" s="16">
        <f>INDEX('Team forecast'!$B$2:$AO$26,MATCH('Master data'!$B240,'Team forecast'!$B$2:$B$26,0),MATCH('Master data'!AS$1,'Team forecast'!$B$2:$AO$2,0))*IF(X240&gt;0,5000,0)</f>
        <v>1380.0499612369715</v>
      </c>
      <c r="AT240" s="16">
        <f>INDEX('Team forecast'!$B$2:$AO$26,MATCH('Master data'!$B240,'Team forecast'!$B$2:$B$26,0),MATCH('Master data'!AT$1,'Team forecast'!$B$2:$AO$2,0))*IF(X240&gt;0,-15000,0)</f>
        <v>-3250.9260056852445</v>
      </c>
      <c r="AU240" s="5">
        <f t="shared" si="107"/>
        <v>49673.932995832525</v>
      </c>
      <c r="AV240" s="5">
        <f t="shared" si="108"/>
        <v>4258.8402895211048</v>
      </c>
      <c r="AW240" s="5">
        <f t="shared" si="109"/>
        <v>16846.476913646657</v>
      </c>
      <c r="AX240" s="5">
        <f t="shared" si="110"/>
        <v>0</v>
      </c>
      <c r="AY240" s="5">
        <f t="shared" si="111"/>
        <v>0</v>
      </c>
      <c r="AZ240" s="5">
        <f t="shared" si="112"/>
        <v>-1526.0703688003391</v>
      </c>
      <c r="BA240" s="5">
        <f t="shared" si="113"/>
        <v>0</v>
      </c>
      <c r="BB240" s="5">
        <f t="shared" si="114"/>
        <v>13852.986184856256</v>
      </c>
      <c r="BC240" s="5">
        <f t="shared" si="115"/>
        <v>-6443.8409858614668</v>
      </c>
      <c r="BD240" s="5">
        <f t="shared" si="116"/>
        <v>94472.989169086199</v>
      </c>
      <c r="BE240" s="16">
        <f>INDEX('Team forecast'!$B$2:$AO$26,MATCH('Master data'!$B240,'Team forecast'!$B$2:$B$26,0),MATCH('Master data'!BE$1,'Team forecast'!$B$2:$AO$2,0))</f>
        <v>1.2688103238212438</v>
      </c>
      <c r="BF240" s="16">
        <f>INDEX('Team forecast'!$B$2:$AO$26,MATCH('Master data'!$B240,'Team forecast'!$B$2:$B$26,0),MATCH('Master data'!BF$1,'Team forecast'!$B$2:$AO$2,0))</f>
        <v>1.2236898885407743</v>
      </c>
      <c r="BG240" s="16">
        <f>INDEX('Team forecast'!$B$2:$AO$26,MATCH('Master data'!$B240,'Team forecast'!$B$2:$B$26,0),MATCH('Master data'!BG$1,'Team forecast'!$B$2:$AO$2,0))</f>
        <v>0.29414280786478092</v>
      </c>
      <c r="BH240" s="16">
        <f>INDEX('Team forecast'!$B$2:$AO$26,MATCH('Master data'!$B240,'Team forecast'!$B$2:$B$26,0),MATCH('Master data'!BH$1,'Team forecast'!$B$2:$AO$2,0))</f>
        <v>4.1236335524190419</v>
      </c>
      <c r="BI240" s="16">
        <f>INDEX('Team forecast'!$B$2:$AO$26,MATCH('Master data'!$B240,'Team forecast'!$B$2:$B$26,0),MATCH('Master data'!BI$1,'Team forecast'!$B$2:$AO$2,0))</f>
        <v>3.6710696656223227</v>
      </c>
      <c r="BJ240" s="5">
        <f t="shared" si="117"/>
        <v>7000</v>
      </c>
      <c r="BK240" s="5">
        <f>INDEX('Team forecast'!$R$3:$BH$26,MATCH($B240,'Team forecast'!$B$3:$B$26,0),MATCH(BK$1,'Team forecast'!$R$2:$BH$2,0))*IF($X240&gt;0,25000,0)</f>
        <v>9372.1973094170389</v>
      </c>
      <c r="BL240" s="5">
        <f>INDEX('Team forecast'!$R$3:$BH$26,MATCH($B240,'Team forecast'!$B$3:$B$26,0),MATCH(BL$1,'Team forecast'!$R$2:$BH$2,0))*IF($X240&gt;0,5000,0)</f>
        <v>1448.4304932735427</v>
      </c>
      <c r="BM240" s="5">
        <f>INDEX('Team forecast'!$R$3:$BH$26,MATCH($B240,'Team forecast'!$B$3:$B$26,0),MATCH(BM$1,'Team forecast'!$R$2:$BH$2,0))*IF($X240&gt;0,-15000,0)</f>
        <v>-5031.390134529147</v>
      </c>
      <c r="BN240" s="5">
        <f t="shared" si="118"/>
        <v>45496.904543813362</v>
      </c>
      <c r="BO240" s="5">
        <f t="shared" si="119"/>
        <v>3900.7189170212137</v>
      </c>
      <c r="BP240" s="5">
        <f t="shared" si="120"/>
        <v>15429.874499851683</v>
      </c>
      <c r="BQ240" s="5">
        <f t="shared" si="121"/>
        <v>0</v>
      </c>
      <c r="BR240" s="5">
        <f t="shared" si="122"/>
        <v>0</v>
      </c>
      <c r="BS240" s="5">
        <f t="shared" si="123"/>
        <v>-1526.0703688003391</v>
      </c>
      <c r="BT240" s="5">
        <f t="shared" si="124"/>
        <v>0</v>
      </c>
      <c r="BU240" s="5">
        <f t="shared" si="125"/>
        <v>12688.103238212438</v>
      </c>
      <c r="BV240" s="5">
        <f t="shared" si="126"/>
        <v>-9789.5191083261943</v>
      </c>
      <c r="BW240" s="5">
        <f t="shared" si="127"/>
        <v>78989.249389933597</v>
      </c>
      <c r="BX240" s="5">
        <f t="shared" si="128"/>
        <v>65854.110537600121</v>
      </c>
      <c r="BY240" s="5">
        <f t="shared" si="129"/>
        <v>197562.33161280036</v>
      </c>
      <c r="BZ240" s="5">
        <f>INDEX('Team forecast'!$R$3:$BH$26,MATCH($B240,'Team forecast'!$B$3:$B$26,0),MATCH(BZ$1,'Team forecast'!$R$2:$BH$2,0))*($BX240-(BY240+CH240)*0.01)</f>
        <v>9089.2314286549863</v>
      </c>
      <c r="CA240" s="5">
        <f>INDEX('Team forecast'!$R$3:$BH$26,MATCH($B240,'Team forecast'!$B$3:$B$26,0),MATCH(CA$1,'Team forecast'!$R$2:$BH$2,0))*($BX240-(BY240+BX240+CH240)*0.01)</f>
        <v>4258.6773665898345</v>
      </c>
      <c r="CB240" s="5">
        <f>INDEX('Team forecast'!$R$3:$BH$26,MATCH($B240,'Team forecast'!$B$3:$B$26,0),MATCH(CB$1,'Team forecast'!$R$2:$BH$2,0))*($BX240-(BY240+BX240*2+CH240)*0.01)</f>
        <v>1960.4039029432104</v>
      </c>
      <c r="CC240" s="5">
        <f>INDEX('Team forecast'!$R$3:$BH$26,MATCH($B240,'Team forecast'!$B$3:$B$26,0),MATCH(CC$1,'Team forecast'!$R$2:$BH$2,0))*($BX240-(BY240+BX240*3+CH240)*0.01)</f>
        <v>852.0030135351102</v>
      </c>
      <c r="CD240" s="5">
        <f>+AK240+BD240*Cockpit!$C$3+BW240*Cockpit!$C$3^2+BZ240*Cockpit!$C$3^3+CA240*Cockpit!$C$3^4+CB240*Cockpit!$C$3^5+CC240*Cockpit!$C$3^6</f>
        <v>126055.70352763736</v>
      </c>
      <c r="CE240" s="5"/>
      <c r="CF240" s="5"/>
      <c r="CG240" s="5">
        <v>0</v>
      </c>
      <c r="CH240" s="5">
        <f t="shared" si="130"/>
        <v>5000000</v>
      </c>
      <c r="CI240" s="5">
        <f t="shared" si="131"/>
        <v>5000000</v>
      </c>
      <c r="CJ240" s="1">
        <f t="shared" si="132"/>
        <v>3.9512466322560072E-2</v>
      </c>
      <c r="CK240" s="5">
        <f>RANK(BY240,$BY$2:$BY$623)+COUNTIF($BY$2:$BY240,$BY240)-1</f>
        <v>53</v>
      </c>
      <c r="CL240" s="5">
        <f>RANK(CJ240,$CJ$2:$CJ$623)+COUNTIF($CJ$2:$CJ240,$CJ240)-1</f>
        <v>79</v>
      </c>
    </row>
    <row r="241" spans="1:90">
      <c r="A241" t="str">
        <f>Players!P242</f>
        <v>Remo Freuler</v>
      </c>
      <c r="B241" t="str">
        <f>Players!G242</f>
        <v>Switzerland</v>
      </c>
      <c r="C241" t="str">
        <f>Players!AB242</f>
        <v>Midfield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3500000</v>
      </c>
      <c r="H241" s="16">
        <f>INDEX('Team forecast'!$B$2:$AO$26,MATCH('Master data'!$B241,'Team forecast'!$B$2:$B$26,0),MATCH('Master data'!H$1,'Team forecast'!$B$2:$AO$2,0))</f>
        <v>1.162032718107336</v>
      </c>
      <c r="I241" s="16">
        <f>INDEX('Team forecast'!$B$2:$AO$26,MATCH('Master data'!$B241,'Team forecast'!$B$2:$B$26,0),MATCH('Master data'!I$1,'Team forecast'!$B$2:$AO$2,0))</f>
        <v>0.87435064565555498</v>
      </c>
      <c r="J241" s="16">
        <f>INDEX('Team forecast'!$B$2:$AO$26,MATCH('Master data'!$B241,'Team forecast'!$B$2:$B$26,0),MATCH('Master data'!J$1,'Team forecast'!$B$2:$AO$2,0))</f>
        <v>0.41713279874828868</v>
      </c>
      <c r="K241" s="16">
        <f>INDEX('Team forecast'!$B$2:$AO$26,MATCH('Master data'!$B241,'Team forecast'!$B$2:$B$26,0),MATCH('Master data'!K$1,'Team forecast'!$B$2:$AO$2,0))</f>
        <v>3.2487816133000873</v>
      </c>
      <c r="L241" s="16">
        <f>INDEX('Team forecast'!$B$2:$AO$26,MATCH('Master data'!$B241,'Team forecast'!$B$2:$B$26,0),MATCH('Master data'!L$1,'Team forecast'!$B$2:$AO$2,0))</f>
        <v>2.3631098531231216</v>
      </c>
      <c r="M241">
        <f>IF(Players!BC242=1,95,0)</f>
        <v>95</v>
      </c>
      <c r="N241" s="2">
        <f>Players!BN242</f>
        <v>9.7498654527601411E-2</v>
      </c>
      <c r="O241" s="2">
        <f>Players!BO242</f>
        <v>7.1387378505967339E-2</v>
      </c>
      <c r="P241" s="2">
        <f>Players!BP242</f>
        <v>7.1112205021141156E-2</v>
      </c>
      <c r="Q241" s="2">
        <f>Players!BQ242</f>
        <v>8.2720588235294115E-2</v>
      </c>
      <c r="R241" s="2">
        <f>Players!BR242</f>
        <v>0</v>
      </c>
      <c r="S241" s="2">
        <f t="shared" si="91"/>
        <v>1.162032718107336</v>
      </c>
      <c r="T241" s="2">
        <f t="shared" si="92"/>
        <v>0.87435064565555498</v>
      </c>
      <c r="U241" s="16">
        <f>INDEX('Team forecast'!$B$2:$AO$26,MATCH('Master data'!$B241,'Team forecast'!$B$2:$B$26,0),MATCH('Master data'!U$1,'Team forecast'!$B$2:$AO$2,0))</f>
        <v>0.43653432427146488</v>
      </c>
      <c r="V241" s="16">
        <f>INDEX('Team forecast'!$B$2:$AO$26,MATCH('Master data'!$B241,'Team forecast'!$B$2:$B$26,0),MATCH('Master data'!V$1,'Team forecast'!$B$2:$AO$2,0))</f>
        <v>0.30275767651085472</v>
      </c>
      <c r="W241" s="16">
        <f>INDEX('Team forecast'!$B$2:$AO$26,MATCH('Master data'!$B241,'Team forecast'!$B$2:$B$26,0),MATCH('Master data'!W$1,'Team forecast'!$B$2:$AO$2,0))</f>
        <v>0.2607079992176804</v>
      </c>
      <c r="X241" s="5">
        <f t="shared" si="93"/>
        <v>7000</v>
      </c>
      <c r="Y241" s="5">
        <f t="shared" si="94"/>
        <v>10913.358106786622</v>
      </c>
      <c r="Z241" s="5">
        <f t="shared" si="95"/>
        <v>1513.7883825542735</v>
      </c>
      <c r="AA241" s="5">
        <f t="shared" si="96"/>
        <v>-3910.6199882652058</v>
      </c>
      <c r="AB241" s="5">
        <f t="shared" si="97"/>
        <v>14162.078316564599</v>
      </c>
      <c r="AC241" s="5">
        <f t="shared" si="98"/>
        <v>4147.7234741923221</v>
      </c>
      <c r="AD241" s="5">
        <f t="shared" si="99"/>
        <v>2310.2802415390952</v>
      </c>
      <c r="AE241" s="5">
        <f t="shared" si="100"/>
        <v>0</v>
      </c>
      <c r="AF241" s="5">
        <f t="shared" si="101"/>
        <v>0</v>
      </c>
      <c r="AG241" s="5">
        <f t="shared" si="102"/>
        <v>-1654.4117647058822</v>
      </c>
      <c r="AH241" s="5">
        <f t="shared" si="103"/>
        <v>0</v>
      </c>
      <c r="AI241" s="5">
        <f t="shared" si="104"/>
        <v>11620.32718107336</v>
      </c>
      <c r="AJ241" s="5">
        <f t="shared" si="105"/>
        <v>-6994.8051652444401</v>
      </c>
      <c r="AK241" s="5">
        <f>IFERROR(SUM(X241:AJ241),-5000)*((Cockpit!$C$3)^0)</f>
        <v>39107.718784494748</v>
      </c>
      <c r="AL241" s="16">
        <f>INDEX('Team forecast'!$B$2:$AO$26,MATCH('Master data'!$B241,'Team forecast'!$B$2:$B$26,0),MATCH('Master data'!AL$1,'Team forecast'!$B$2:$AO$2,0))</f>
        <v>0.79620558314709244</v>
      </c>
      <c r="AM241" s="16">
        <f>INDEX('Team forecast'!$B$2:$AO$26,MATCH('Master data'!$B241,'Team forecast'!$B$2:$B$26,0),MATCH('Master data'!AM$1,'Team forecast'!$B$2:$AO$2,0))</f>
        <v>1.5198357804321134</v>
      </c>
      <c r="AN241" s="16">
        <f>INDEX('Team forecast'!$B$2:$AO$26,MATCH('Master data'!$B241,'Team forecast'!$B$2:$B$26,0),MATCH('Master data'!AN$1,'Team forecast'!$B$2:$AO$2,0))</f>
        <v>0.21874780667306151</v>
      </c>
      <c r="AO241" s="16">
        <f>INDEX('Team forecast'!$B$2:$AO$26,MATCH('Master data'!$B241,'Team forecast'!$B$2:$B$26,0),MATCH('Master data'!AO$1,'Team forecast'!$B$2:$AO$2,0))</f>
        <v>2.2260113838689839</v>
      </c>
      <c r="AP241" s="16">
        <f>INDEX('Team forecast'!$B$2:$AO$26,MATCH('Master data'!$B241,'Team forecast'!$B$2:$B$26,0),MATCH('Master data'!AP$1,'Team forecast'!$B$2:$AO$2,0))</f>
        <v>4.1076642714381446</v>
      </c>
      <c r="AQ241" s="5">
        <f t="shared" si="106"/>
        <v>7000</v>
      </c>
      <c r="AR241" s="5">
        <f>INDEX('Team forecast'!$B$2:$AO$26,MATCH('Master data'!$B241,'Team forecast'!$B$2:$B$26,0),MATCH('Master data'!AR$1,'Team forecast'!$B$2:$AO$2,0))*IF(X241&gt;0,25000,0)</f>
        <v>4305.3545586107102</v>
      </c>
      <c r="AS241" s="16">
        <f>INDEX('Team forecast'!$B$2:$AO$26,MATCH('Master data'!$B241,'Team forecast'!$B$2:$B$26,0),MATCH('Master data'!AS$1,'Team forecast'!$B$2:$AO$2,0))*IF(X241&gt;0,5000,0)</f>
        <v>1353.111432706223</v>
      </c>
      <c r="AT241" s="16">
        <f>INDEX('Team forecast'!$B$2:$AO$26,MATCH('Master data'!$B241,'Team forecast'!$B$2:$B$26,0),MATCH('Master data'!AT$1,'Team forecast'!$B$2:$AO$2,0))*IF(X241&gt;0,-15000,0)</f>
        <v>-8357.4529667149072</v>
      </c>
      <c r="AU241" s="5">
        <f t="shared" si="107"/>
        <v>9703.6216355257238</v>
      </c>
      <c r="AV241" s="5">
        <f t="shared" si="108"/>
        <v>2841.9514666342966</v>
      </c>
      <c r="AW241" s="5">
        <f t="shared" si="109"/>
        <v>1582.9657790908532</v>
      </c>
      <c r="AX241" s="5">
        <f t="shared" si="110"/>
        <v>0</v>
      </c>
      <c r="AY241" s="5">
        <f t="shared" si="111"/>
        <v>0</v>
      </c>
      <c r="AZ241" s="5">
        <f t="shared" si="112"/>
        <v>-1654.4117647058822</v>
      </c>
      <c r="BA241" s="5">
        <f t="shared" si="113"/>
        <v>0</v>
      </c>
      <c r="BB241" s="5">
        <f t="shared" si="114"/>
        <v>7962.0558314709242</v>
      </c>
      <c r="BC241" s="5">
        <f t="shared" si="115"/>
        <v>-12158.686243456907</v>
      </c>
      <c r="BD241" s="5">
        <f t="shared" si="116"/>
        <v>12578.509729161035</v>
      </c>
      <c r="BE241" s="16">
        <f>INDEX('Team forecast'!$B$2:$AO$26,MATCH('Master data'!$B241,'Team forecast'!$B$2:$B$26,0),MATCH('Master data'!BE$1,'Team forecast'!$B$2:$AO$2,0))</f>
        <v>1.3677883945550393</v>
      </c>
      <c r="BF241" s="16">
        <f>INDEX('Team forecast'!$B$2:$AO$26,MATCH('Master data'!$B241,'Team forecast'!$B$2:$B$26,0),MATCH('Master data'!BF$1,'Team forecast'!$B$2:$AO$2,0))</f>
        <v>1.2246875509143662</v>
      </c>
      <c r="BG241" s="16">
        <f>INDEX('Team forecast'!$B$2:$AO$26,MATCH('Master data'!$B241,'Team forecast'!$B$2:$B$26,0),MATCH('Master data'!BG$1,'Team forecast'!$B$2:$AO$2,0))</f>
        <v>0.29384949898885449</v>
      </c>
      <c r="BH241" s="16">
        <f>INDEX('Team forecast'!$B$2:$AO$26,MATCH('Master data'!$B241,'Team forecast'!$B$2:$B$26,0),MATCH('Master data'!BH$1,'Team forecast'!$B$2:$AO$2,0))</f>
        <v>3.8240281171714834</v>
      </c>
      <c r="BI241" s="16">
        <f>INDEX('Team forecast'!$B$2:$AO$26,MATCH('Master data'!$B241,'Team forecast'!$B$2:$B$26,0),MATCH('Master data'!BI$1,'Team forecast'!$B$2:$AO$2,0))</f>
        <v>3.3099663538226114</v>
      </c>
      <c r="BJ241" s="5">
        <f t="shared" si="117"/>
        <v>7000</v>
      </c>
      <c r="BK241" s="5">
        <f>INDEX('Team forecast'!$R$3:$BH$26,MATCH($B241,'Team forecast'!$B$3:$B$26,0),MATCH(BK$1,'Team forecast'!$R$2:$BH$2,0))*IF($X241&gt;0,25000,0)</f>
        <v>9745.0088950385434</v>
      </c>
      <c r="BL241" s="5">
        <f>INDEX('Team forecast'!$R$3:$BH$26,MATCH($B241,'Team forecast'!$B$3:$B$26,0),MATCH(BL$1,'Team forecast'!$R$2:$BH$2,0))*IF($X241&gt;0,5000,0)</f>
        <v>1404.4277525202608</v>
      </c>
      <c r="BM241" s="5">
        <f>INDEX('Team forecast'!$R$3:$BH$26,MATCH($B241,'Team forecast'!$B$3:$B$26,0),MATCH(BM$1,'Team forecast'!$R$2:$BH$2,0))*IF($X241&gt;0,-15000,0)</f>
        <v>-4939.7114054160902</v>
      </c>
      <c r="BN241" s="5">
        <f t="shared" si="118"/>
        <v>16669.691018448044</v>
      </c>
      <c r="BO241" s="5">
        <f t="shared" si="119"/>
        <v>4882.1413919084989</v>
      </c>
      <c r="BP241" s="5">
        <f t="shared" si="120"/>
        <v>2719.3507147490691</v>
      </c>
      <c r="BQ241" s="5">
        <f t="shared" si="121"/>
        <v>0</v>
      </c>
      <c r="BR241" s="5">
        <f t="shared" si="122"/>
        <v>0</v>
      </c>
      <c r="BS241" s="5">
        <f t="shared" si="123"/>
        <v>-1654.4117647058822</v>
      </c>
      <c r="BT241" s="5">
        <f t="shared" si="124"/>
        <v>0</v>
      </c>
      <c r="BU241" s="5">
        <f t="shared" si="125"/>
        <v>13677.883945550393</v>
      </c>
      <c r="BV241" s="5">
        <f t="shared" si="126"/>
        <v>-9797.5004073149303</v>
      </c>
      <c r="BW241" s="5">
        <f t="shared" si="127"/>
        <v>39706.880140777896</v>
      </c>
      <c r="BX241" s="5">
        <f t="shared" si="128"/>
        <v>30464.369551477896</v>
      </c>
      <c r="BY241" s="5">
        <f t="shared" si="129"/>
        <v>91393.108654433687</v>
      </c>
      <c r="BZ241" s="5">
        <f>INDEX('Team forecast'!$R$3:$BH$26,MATCH($B241,'Team forecast'!$B$3:$B$26,0),MATCH(BZ$1,'Team forecast'!$R$2:$BH$2,0))*($BX241-(BY241+CH241)*0.01)</f>
        <v>-3479.21419354824</v>
      </c>
      <c r="CA241" s="5">
        <f>INDEX('Team forecast'!$R$3:$BH$26,MATCH($B241,'Team forecast'!$B$3:$B$26,0),MATCH(CA$1,'Team forecast'!$R$2:$BH$2,0))*($BX241-(BY241+BX241+CH241)*0.01)</f>
        <v>-1811.0093346058732</v>
      </c>
      <c r="CB241" s="5">
        <f>INDEX('Team forecast'!$R$3:$BH$26,MATCH($B241,'Team forecast'!$B$3:$B$26,0),MATCH(CB$1,'Team forecast'!$R$2:$BH$2,0))*($BX241-(BY241+BX241*2+CH241)*0.01)</f>
        <v>-927.83108430421953</v>
      </c>
      <c r="CC241" s="5">
        <f>INDEX('Team forecast'!$R$3:$BH$26,MATCH($B241,'Team forecast'!$B$3:$B$26,0),MATCH(CC$1,'Team forecast'!$R$2:$BH$2,0))*($BX241-(BY241+BX241*3+CH241)*0.01)</f>
        <v>-452.55293690185846</v>
      </c>
      <c r="CD241" s="5">
        <f>+AK241+BD241*Cockpit!$C$3+BW241*Cockpit!$C$3^2+BZ241*Cockpit!$C$3^3+CA241*Cockpit!$C$3^4+CB241*Cockpit!$C$3^5+CC241*Cockpit!$C$3^6</f>
        <v>63590.371887292698</v>
      </c>
      <c r="CE241" s="5"/>
      <c r="CF241" s="5"/>
      <c r="CG241" s="5">
        <v>0</v>
      </c>
      <c r="CH241" s="5">
        <f t="shared" si="130"/>
        <v>3500000</v>
      </c>
      <c r="CI241" s="5">
        <f t="shared" si="131"/>
        <v>3500000</v>
      </c>
      <c r="CJ241" s="1">
        <f t="shared" si="132"/>
        <v>2.6112316758409623E-2</v>
      </c>
      <c r="CK241" s="5">
        <f>RANK(BY241,$BY$2:$BY$623)+COUNTIF($BY$2:$BY241,$BY241)-1</f>
        <v>187</v>
      </c>
      <c r="CL241" s="5">
        <f>RANK(CJ241,$CJ$2:$CJ$623)+COUNTIF($CJ$2:$CJ241,$CJ241)-1</f>
        <v>191</v>
      </c>
    </row>
    <row r="242" spans="1:90">
      <c r="A242" t="str">
        <f>Players!P243</f>
        <v>Marcel Sabitzer</v>
      </c>
      <c r="B242" t="str">
        <f>Players!G243</f>
        <v>Austria</v>
      </c>
      <c r="C242" t="str">
        <f>Players!AB243</f>
        <v>Striker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4000000</v>
      </c>
      <c r="H242" s="16">
        <f>INDEX('Team forecast'!$B$2:$AO$26,MATCH('Master data'!$B242,'Team forecast'!$B$2:$B$26,0),MATCH('Master data'!H$1,'Team forecast'!$B$2:$AO$2,0))</f>
        <v>1.5562991347612565</v>
      </c>
      <c r="I242" s="16">
        <f>INDEX('Team forecast'!$B$2:$AO$26,MATCH('Master data'!$B242,'Team forecast'!$B$2:$B$26,0),MATCH('Master data'!I$1,'Team forecast'!$B$2:$AO$2,0))</f>
        <v>0.65653770483831209</v>
      </c>
      <c r="J242" s="16">
        <f>INDEX('Team forecast'!$B$2:$AO$26,MATCH('Master data'!$B242,'Team forecast'!$B$2:$B$26,0),MATCH('Master data'!J$1,'Team forecast'!$B$2:$AO$2,0))</f>
        <v>0.51864392781930047</v>
      </c>
      <c r="K242" s="16">
        <f>INDEX('Team forecast'!$B$2:$AO$26,MATCH('Master data'!$B242,'Team forecast'!$B$2:$B$26,0),MATCH('Master data'!K$1,'Team forecast'!$B$2:$AO$2,0))</f>
        <v>4.6996138345751106</v>
      </c>
      <c r="L242" s="16">
        <f>INDEX('Team forecast'!$B$2:$AO$26,MATCH('Master data'!$B242,'Team forecast'!$B$2:$B$26,0),MATCH('Master data'!L$1,'Team forecast'!$B$2:$AO$2,0))</f>
        <v>1.9825710955314819</v>
      </c>
      <c r="M242">
        <f>IF(Players!BC243=1,95,0)</f>
        <v>0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0.29242730409068507</v>
      </c>
      <c r="R242" s="2">
        <f>Players!BR243</f>
        <v>0</v>
      </c>
      <c r="S242" s="2">
        <f t="shared" si="91"/>
        <v>1.5562991347612565</v>
      </c>
      <c r="T242" s="2">
        <f t="shared" si="92"/>
        <v>0.65653770483831209</v>
      </c>
      <c r="U242" s="16">
        <f>INDEX('Team forecast'!$B$2:$AO$26,MATCH('Master data'!$B242,'Team forecast'!$B$2:$B$26,0),MATCH('Master data'!U$1,'Team forecast'!$B$2:$AO$2,0))</f>
        <v>0.60453400503778332</v>
      </c>
      <c r="V242" s="16">
        <f>INDEX('Team forecast'!$B$2:$AO$26,MATCH('Master data'!$B242,'Team forecast'!$B$2:$B$26,0),MATCH('Master data'!V$1,'Team forecast'!$B$2:$AO$2,0))</f>
        <v>0.23727959697733</v>
      </c>
      <c r="W242" s="16">
        <f>INDEX('Team forecast'!$B$2:$AO$26,MATCH('Master data'!$B242,'Team forecast'!$B$2:$B$26,0),MATCH('Master data'!W$1,'Team forecast'!$B$2:$AO$2,0))</f>
        <v>0.15818639798488671</v>
      </c>
      <c r="X242" s="5">
        <f t="shared" si="93"/>
        <v>-5000</v>
      </c>
      <c r="Y242" s="5">
        <f t="shared" si="94"/>
        <v>0</v>
      </c>
      <c r="Z242" s="5">
        <f t="shared" si="95"/>
        <v>0</v>
      </c>
      <c r="AA242" s="5">
        <f t="shared" si="96"/>
        <v>0</v>
      </c>
      <c r="AB242" s="5">
        <f t="shared" si="97"/>
        <v>0</v>
      </c>
      <c r="AC242" s="5">
        <f t="shared" si="98"/>
        <v>0</v>
      </c>
      <c r="AD242" s="5">
        <f t="shared" si="99"/>
        <v>0</v>
      </c>
      <c r="AE242" s="5">
        <f t="shared" si="100"/>
        <v>0</v>
      </c>
      <c r="AF242" s="5">
        <f t="shared" si="101"/>
        <v>0</v>
      </c>
      <c r="AG242" s="5">
        <f t="shared" si="102"/>
        <v>0</v>
      </c>
      <c r="AH242" s="5">
        <f t="shared" si="103"/>
        <v>0</v>
      </c>
      <c r="AI242" s="5">
        <f t="shared" si="104"/>
        <v>0</v>
      </c>
      <c r="AJ242" s="5">
        <f t="shared" si="105"/>
        <v>0</v>
      </c>
      <c r="AK242" s="5">
        <f>IFERROR(SUM(X242:AJ242),-5000)*((Cockpit!$C$3)^0)</f>
        <v>-5000</v>
      </c>
      <c r="AL242" s="16">
        <f>INDEX('Team forecast'!$B$2:$AO$26,MATCH('Master data'!$B242,'Team forecast'!$B$2:$B$26,0),MATCH('Master data'!AL$1,'Team forecast'!$B$2:$AO$2,0))</f>
        <v>0.7977891123063281</v>
      </c>
      <c r="AM242" s="16">
        <f>INDEX('Team forecast'!$B$2:$AO$26,MATCH('Master data'!$B242,'Team forecast'!$B$2:$B$26,0),MATCH('Master data'!AM$1,'Team forecast'!$B$2:$AO$2,0))</f>
        <v>1.8476112368050062</v>
      </c>
      <c r="AN242" s="16">
        <f>INDEX('Team forecast'!$B$2:$AO$26,MATCH('Master data'!$B242,'Team forecast'!$B$2:$B$26,0),MATCH('Master data'!AN$1,'Team forecast'!$B$2:$AO$2,0))</f>
        <v>0.15761321763936759</v>
      </c>
      <c r="AO242" s="16">
        <f>INDEX('Team forecast'!$B$2:$AO$26,MATCH('Master data'!$B242,'Team forecast'!$B$2:$B$26,0),MATCH('Master data'!AO$1,'Team forecast'!$B$2:$AO$2,0))</f>
        <v>2.4091131746618726</v>
      </c>
      <c r="AP242" s="16">
        <f>INDEX('Team forecast'!$B$2:$AO$26,MATCH('Master data'!$B242,'Team forecast'!$B$2:$B$26,0),MATCH('Master data'!AP$1,'Team forecast'!$B$2:$AO$2,0))</f>
        <v>5.5792997216677493</v>
      </c>
      <c r="AQ242" s="5">
        <f t="shared" si="106"/>
        <v>-5000</v>
      </c>
      <c r="AR242" s="5">
        <f>INDEX('Team forecast'!$B$2:$AO$26,MATCH('Master data'!$B242,'Team forecast'!$B$2:$B$26,0),MATCH('Master data'!AR$1,'Team forecast'!$B$2:$AO$2,0))*IF(X242&gt;0,25000,0)</f>
        <v>0</v>
      </c>
      <c r="AS242" s="16">
        <f>INDEX('Team forecast'!$B$2:$AO$26,MATCH('Master data'!$B242,'Team forecast'!$B$2:$B$26,0),MATCH('Master data'!AS$1,'Team forecast'!$B$2:$AO$2,0))*IF(X242&gt;0,5000,0)</f>
        <v>0</v>
      </c>
      <c r="AT242" s="16">
        <f>INDEX('Team forecast'!$B$2:$AO$26,MATCH('Master data'!$B242,'Team forecast'!$B$2:$B$26,0),MATCH('Master data'!AT$1,'Team forecast'!$B$2:$AO$2,0))*IF(X242&gt;0,-15000,0)</f>
        <v>0</v>
      </c>
      <c r="AU242" s="5">
        <f t="shared" si="107"/>
        <v>0</v>
      </c>
      <c r="AV242" s="5">
        <f t="shared" si="108"/>
        <v>0</v>
      </c>
      <c r="AW242" s="5">
        <f t="shared" si="109"/>
        <v>0</v>
      </c>
      <c r="AX242" s="5">
        <f t="shared" si="110"/>
        <v>0</v>
      </c>
      <c r="AY242" s="5">
        <f t="shared" si="111"/>
        <v>0</v>
      </c>
      <c r="AZ242" s="5">
        <f t="shared" si="112"/>
        <v>0</v>
      </c>
      <c r="BA242" s="5">
        <f t="shared" si="113"/>
        <v>0</v>
      </c>
      <c r="BB242" s="5">
        <f t="shared" si="114"/>
        <v>0</v>
      </c>
      <c r="BC242" s="5">
        <f t="shared" si="115"/>
        <v>0</v>
      </c>
      <c r="BD242" s="5">
        <f t="shared" si="116"/>
        <v>-5000</v>
      </c>
      <c r="BE242" s="16">
        <f>INDEX('Team forecast'!$B$2:$AO$26,MATCH('Master data'!$B242,'Team forecast'!$B$2:$B$26,0),MATCH('Master data'!BE$1,'Team forecast'!$B$2:$AO$2,0))</f>
        <v>1.1461513485277883</v>
      </c>
      <c r="BF242" s="16">
        <f>INDEX('Team forecast'!$B$2:$AO$26,MATCH('Master data'!$B242,'Team forecast'!$B$2:$B$26,0),MATCH('Master data'!BF$1,'Team forecast'!$B$2:$AO$2,0))</f>
        <v>1.1461513485277883</v>
      </c>
      <c r="BG242" s="16">
        <f>INDEX('Team forecast'!$B$2:$AO$26,MATCH('Master data'!$B242,'Team forecast'!$B$2:$B$26,0),MATCH('Master data'!BG$1,'Team forecast'!$B$2:$AO$2,0))</f>
        <v>0.31785774198959899</v>
      </c>
      <c r="BH242" s="16">
        <f>INDEX('Team forecast'!$B$2:$AO$26,MATCH('Master data'!$B242,'Team forecast'!$B$2:$B$26,0),MATCH('Master data'!BH$1,'Team forecast'!$B$2:$AO$2,0))</f>
        <v>3.4610754537779926</v>
      </c>
      <c r="BI242" s="16">
        <f>INDEX('Team forecast'!$B$2:$AO$26,MATCH('Master data'!$B242,'Team forecast'!$B$2:$B$26,0),MATCH('Master data'!BI$1,'Team forecast'!$B$2:$AO$2,0))</f>
        <v>3.4610754537779926</v>
      </c>
      <c r="BJ242" s="5">
        <f t="shared" si="117"/>
        <v>-5000</v>
      </c>
      <c r="BK242" s="5">
        <f>INDEX('Team forecast'!$R$3:$BH$26,MATCH($B242,'Team forecast'!$B$3:$B$26,0),MATCH(BK$1,'Team forecast'!$R$2:$BH$2,0))*IF($X242&gt;0,25000,0)</f>
        <v>0</v>
      </c>
      <c r="BL242" s="5">
        <f>INDEX('Team forecast'!$R$3:$BH$26,MATCH($B242,'Team forecast'!$B$3:$B$26,0),MATCH(BL$1,'Team forecast'!$R$2:$BH$2,0))*IF($X242&gt;0,5000,0)</f>
        <v>0</v>
      </c>
      <c r="BM242" s="5">
        <f>INDEX('Team forecast'!$R$3:$BH$26,MATCH($B242,'Team forecast'!$B$3:$B$26,0),MATCH(BM$1,'Team forecast'!$R$2:$BH$2,0))*IF($X242&gt;0,-15000,0)</f>
        <v>0</v>
      </c>
      <c r="BN242" s="5">
        <f t="shared" si="118"/>
        <v>0</v>
      </c>
      <c r="BO242" s="5">
        <f t="shared" si="119"/>
        <v>0</v>
      </c>
      <c r="BP242" s="5">
        <f t="shared" si="120"/>
        <v>0</v>
      </c>
      <c r="BQ242" s="5">
        <f t="shared" si="121"/>
        <v>0</v>
      </c>
      <c r="BR242" s="5">
        <f t="shared" si="122"/>
        <v>0</v>
      </c>
      <c r="BS242" s="5">
        <f t="shared" si="123"/>
        <v>0</v>
      </c>
      <c r="BT242" s="5">
        <f t="shared" si="124"/>
        <v>0</v>
      </c>
      <c r="BU242" s="5">
        <f t="shared" si="125"/>
        <v>0</v>
      </c>
      <c r="BV242" s="5">
        <f t="shared" si="126"/>
        <v>0</v>
      </c>
      <c r="BW242" s="5">
        <f t="shared" si="127"/>
        <v>-5000</v>
      </c>
      <c r="BX242" s="5">
        <f t="shared" si="128"/>
        <v>-5000</v>
      </c>
      <c r="BY242" s="5">
        <f t="shared" si="129"/>
        <v>-15000</v>
      </c>
      <c r="BZ242" s="5">
        <f>INDEX('Team forecast'!$R$3:$BH$26,MATCH($B242,'Team forecast'!$B$3:$B$26,0),MATCH(BZ$1,'Team forecast'!$R$2:$BH$2,0))*($BX242-(BY242+CH242)*0.01)</f>
        <v>-32062.016464982593</v>
      </c>
      <c r="CA242" s="5">
        <f>INDEX('Team forecast'!$R$3:$BH$26,MATCH($B242,'Team forecast'!$B$3:$B$26,0),MATCH(CA$1,'Team forecast'!$R$2:$BH$2,0))*($BX242-(BY242+BX242+CH242)*0.01)</f>
        <v>-15721.29538287136</v>
      </c>
      <c r="CB242" s="5">
        <f>INDEX('Team forecast'!$R$3:$BH$26,MATCH($B242,'Team forecast'!$B$3:$B$26,0),MATCH(CB$1,'Team forecast'!$R$2:$BH$2,0))*($BX242-(BY242+BX242*2+CH242)*0.01)</f>
        <v>-7577.5072776146772</v>
      </c>
      <c r="CC242" s="5">
        <f>INDEX('Team forecast'!$R$3:$BH$26,MATCH($B242,'Team forecast'!$B$3:$B$26,0),MATCH(CC$1,'Team forecast'!$R$2:$BH$2,0))*($BX242-(BY242+BX242*3+CH242)*0.01)</f>
        <v>-3431.1261872466644</v>
      </c>
      <c r="CD242" s="5">
        <f>+AK242+BD242*Cockpit!$C$3+BW242*Cockpit!$C$3^2+BZ242*Cockpit!$C$3^3+CA242*Cockpit!$C$3^4+CB242*Cockpit!$C$3^5+CC242*Cockpit!$C$3^6</f>
        <v>-24459.938088072035</v>
      </c>
      <c r="CE242" s="5"/>
      <c r="CF242" s="5"/>
      <c r="CG242" s="5">
        <v>0</v>
      </c>
      <c r="CH242" s="5">
        <f t="shared" si="130"/>
        <v>4000000</v>
      </c>
      <c r="CI242" s="5">
        <f t="shared" si="131"/>
        <v>4000000</v>
      </c>
      <c r="CJ242" s="1">
        <f t="shared" si="132"/>
        <v>-3.7499999999999999E-3</v>
      </c>
      <c r="CK242" s="5">
        <f>RANK(BY242,$BY$2:$BY$623)+COUNTIF($BY$2:$BY242,$BY242)-1</f>
        <v>494</v>
      </c>
      <c r="CL242" s="5">
        <f>RANK(CJ242,$CJ$2:$CJ$623)+COUNTIF($CJ$2:$CJ242,$CJ242)-1</f>
        <v>450</v>
      </c>
    </row>
    <row r="243" spans="1:90">
      <c r="A243" t="str">
        <f>Players!P244</f>
        <v>Marko Arnautovic</v>
      </c>
      <c r="B243" t="str">
        <f>Players!G244</f>
        <v>Austria</v>
      </c>
      <c r="C243" t="str">
        <f>Players!AB244</f>
        <v>Striker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4500000</v>
      </c>
      <c r="H243" s="16">
        <f>INDEX('Team forecast'!$B$2:$AO$26,MATCH('Master data'!$B243,'Team forecast'!$B$2:$B$26,0),MATCH('Master data'!H$1,'Team forecast'!$B$2:$AO$2,0))</f>
        <v>1.5562991347612565</v>
      </c>
      <c r="I243" s="16">
        <f>INDEX('Team forecast'!$B$2:$AO$26,MATCH('Master data'!$B243,'Team forecast'!$B$2:$B$26,0),MATCH('Master data'!I$1,'Team forecast'!$B$2:$AO$2,0))</f>
        <v>0.65653770483831209</v>
      </c>
      <c r="J243" s="16">
        <f>INDEX('Team forecast'!$B$2:$AO$26,MATCH('Master data'!$B243,'Team forecast'!$B$2:$B$26,0),MATCH('Master data'!J$1,'Team forecast'!$B$2:$AO$2,0))</f>
        <v>0.51864392781930047</v>
      </c>
      <c r="K243" s="16">
        <f>INDEX('Team forecast'!$B$2:$AO$26,MATCH('Master data'!$B243,'Team forecast'!$B$2:$B$26,0),MATCH('Master data'!K$1,'Team forecast'!$B$2:$AO$2,0))</f>
        <v>4.6996138345751106</v>
      </c>
      <c r="L243" s="16">
        <f>INDEX('Team forecast'!$B$2:$AO$26,MATCH('Master data'!$B243,'Team forecast'!$B$2:$B$26,0),MATCH('Master data'!L$1,'Team forecast'!$B$2:$AO$2,0))</f>
        <v>1.9825710955314819</v>
      </c>
      <c r="M243">
        <f>IF(Players!BC244=1,95,0)</f>
        <v>95</v>
      </c>
      <c r="N243" s="2">
        <f>Players!BN244</f>
        <v>0.14153538195763807</v>
      </c>
      <c r="O243" s="2">
        <f>Players!BO244</f>
        <v>8.3561655859967499E-2</v>
      </c>
      <c r="P243" s="2">
        <f>Players!BP244</f>
        <v>1.618463726880924E-2</v>
      </c>
      <c r="Q243" s="2">
        <f>Players!BQ244</f>
        <v>0.125</v>
      </c>
      <c r="R243" s="2">
        <f>Players!BR244</f>
        <v>0</v>
      </c>
      <c r="S243" s="2">
        <f t="shared" si="91"/>
        <v>1.5562991347612565</v>
      </c>
      <c r="T243" s="2">
        <f t="shared" si="92"/>
        <v>0.65653770483831209</v>
      </c>
      <c r="U243" s="16">
        <f>INDEX('Team forecast'!$B$2:$AO$26,MATCH('Master data'!$B243,'Team forecast'!$B$2:$B$26,0),MATCH('Master data'!U$1,'Team forecast'!$B$2:$AO$2,0))</f>
        <v>0.60453400503778332</v>
      </c>
      <c r="V243" s="16">
        <f>INDEX('Team forecast'!$B$2:$AO$26,MATCH('Master data'!$B243,'Team forecast'!$B$2:$B$26,0),MATCH('Master data'!V$1,'Team forecast'!$B$2:$AO$2,0))</f>
        <v>0.23727959697733</v>
      </c>
      <c r="W243" s="16">
        <f>INDEX('Team forecast'!$B$2:$AO$26,MATCH('Master data'!$B243,'Team forecast'!$B$2:$B$26,0),MATCH('Master data'!W$1,'Team forecast'!$B$2:$AO$2,0))</f>
        <v>0.15818639798488671</v>
      </c>
      <c r="X243" s="5">
        <f t="shared" si="93"/>
        <v>7000</v>
      </c>
      <c r="Y243" s="5">
        <f t="shared" si="94"/>
        <v>15113.350125944582</v>
      </c>
      <c r="Z243" s="5">
        <f t="shared" si="95"/>
        <v>1186.39798488665</v>
      </c>
      <c r="AA243" s="5">
        <f t="shared" si="96"/>
        <v>-2372.7959697733004</v>
      </c>
      <c r="AB243" s="5">
        <f t="shared" si="97"/>
        <v>22027.139247877607</v>
      </c>
      <c r="AC243" s="5">
        <f t="shared" si="98"/>
        <v>6502.3466357042653</v>
      </c>
      <c r="AD243" s="5">
        <f t="shared" si="99"/>
        <v>760.61545216075842</v>
      </c>
      <c r="AE243" s="5">
        <f t="shared" si="100"/>
        <v>0</v>
      </c>
      <c r="AF243" s="5">
        <f t="shared" si="101"/>
        <v>0</v>
      </c>
      <c r="AG243" s="5">
        <f t="shared" si="102"/>
        <v>-2500</v>
      </c>
      <c r="AH243" s="5">
        <f t="shared" si="103"/>
        <v>0</v>
      </c>
      <c r="AI243" s="5">
        <f t="shared" si="104"/>
        <v>15562.991347612564</v>
      </c>
      <c r="AJ243" s="5">
        <f t="shared" si="105"/>
        <v>-5252.3016387064963</v>
      </c>
      <c r="AK243" s="5">
        <f>IFERROR(SUM(X243:AJ243),-5000)*((Cockpit!$C$3)^0)</f>
        <v>58027.74318570664</v>
      </c>
      <c r="AL243" s="16">
        <f>INDEX('Team forecast'!$B$2:$AO$26,MATCH('Master data'!$B243,'Team forecast'!$B$2:$B$26,0),MATCH('Master data'!AL$1,'Team forecast'!$B$2:$AO$2,0))</f>
        <v>0.7977891123063281</v>
      </c>
      <c r="AM243" s="16">
        <f>INDEX('Team forecast'!$B$2:$AO$26,MATCH('Master data'!$B243,'Team forecast'!$B$2:$B$26,0),MATCH('Master data'!AM$1,'Team forecast'!$B$2:$AO$2,0))</f>
        <v>1.8476112368050062</v>
      </c>
      <c r="AN243" s="16">
        <f>INDEX('Team forecast'!$B$2:$AO$26,MATCH('Master data'!$B243,'Team forecast'!$B$2:$B$26,0),MATCH('Master data'!AN$1,'Team forecast'!$B$2:$AO$2,0))</f>
        <v>0.15761321763936759</v>
      </c>
      <c r="AO243" s="16">
        <f>INDEX('Team forecast'!$B$2:$AO$26,MATCH('Master data'!$B243,'Team forecast'!$B$2:$B$26,0),MATCH('Master data'!AO$1,'Team forecast'!$B$2:$AO$2,0))</f>
        <v>2.4091131746618726</v>
      </c>
      <c r="AP243" s="16">
        <f>INDEX('Team forecast'!$B$2:$AO$26,MATCH('Master data'!$B243,'Team forecast'!$B$2:$B$26,0),MATCH('Master data'!AP$1,'Team forecast'!$B$2:$AO$2,0))</f>
        <v>5.5792997216677493</v>
      </c>
      <c r="AQ243" s="5">
        <f t="shared" si="106"/>
        <v>7000</v>
      </c>
      <c r="AR243" s="5">
        <f>INDEX('Team forecast'!$B$2:$AO$26,MATCH('Master data'!$B243,'Team forecast'!$B$2:$B$26,0),MATCH('Master data'!AR$1,'Team forecast'!$B$2:$AO$2,0))*IF(X243&gt;0,25000,0)</f>
        <v>3637.2280993700224</v>
      </c>
      <c r="AS243" s="16">
        <f>INDEX('Team forecast'!$B$2:$AO$26,MATCH('Master data'!$B243,'Team forecast'!$B$2:$B$26,0),MATCH('Master data'!AS$1,'Team forecast'!$B$2:$AO$2,0))*IF(X243&gt;0,5000,0)</f>
        <v>1182.0991322952575</v>
      </c>
      <c r="AT243" s="16">
        <f>INDEX('Team forecast'!$B$2:$AO$26,MATCH('Master data'!$B243,'Team forecast'!$B$2:$B$26,0),MATCH('Master data'!AT$1,'Team forecast'!$B$2:$AO$2,0))*IF(X243&gt;0,-15000,0)</f>
        <v>-9271.3657434922134</v>
      </c>
      <c r="AU243" s="5">
        <f t="shared" si="107"/>
        <v>11291.538673192117</v>
      </c>
      <c r="AV243" s="5">
        <f t="shared" si="108"/>
        <v>3333.2289625685175</v>
      </c>
      <c r="AW243" s="5">
        <f t="shared" si="109"/>
        <v>389.90622871411892</v>
      </c>
      <c r="AX243" s="5">
        <f t="shared" si="110"/>
        <v>0</v>
      </c>
      <c r="AY243" s="5">
        <f t="shared" si="111"/>
        <v>0</v>
      </c>
      <c r="AZ243" s="5">
        <f t="shared" si="112"/>
        <v>-2500</v>
      </c>
      <c r="BA243" s="5">
        <f t="shared" si="113"/>
        <v>0</v>
      </c>
      <c r="BB243" s="5">
        <f t="shared" si="114"/>
        <v>7977.8911230632812</v>
      </c>
      <c r="BC243" s="5">
        <f t="shared" si="115"/>
        <v>-14780.88989444005</v>
      </c>
      <c r="BD243" s="5">
        <f t="shared" si="116"/>
        <v>8259.6365812710537</v>
      </c>
      <c r="BE243" s="16">
        <f>INDEX('Team forecast'!$B$2:$AO$26,MATCH('Master data'!$B243,'Team forecast'!$B$2:$B$26,0),MATCH('Master data'!BE$1,'Team forecast'!$B$2:$AO$2,0))</f>
        <v>1.1461513485277883</v>
      </c>
      <c r="BF243" s="16">
        <f>INDEX('Team forecast'!$B$2:$AO$26,MATCH('Master data'!$B243,'Team forecast'!$B$2:$B$26,0),MATCH('Master data'!BF$1,'Team forecast'!$B$2:$AO$2,0))</f>
        <v>1.1461513485277883</v>
      </c>
      <c r="BG243" s="16">
        <f>INDEX('Team forecast'!$B$2:$AO$26,MATCH('Master data'!$B243,'Team forecast'!$B$2:$B$26,0),MATCH('Master data'!BG$1,'Team forecast'!$B$2:$AO$2,0))</f>
        <v>0.31785774198959899</v>
      </c>
      <c r="BH243" s="16">
        <f>INDEX('Team forecast'!$B$2:$AO$26,MATCH('Master data'!$B243,'Team forecast'!$B$2:$B$26,0),MATCH('Master data'!BH$1,'Team forecast'!$B$2:$AO$2,0))</f>
        <v>3.4610754537779926</v>
      </c>
      <c r="BI243" s="16">
        <f>INDEX('Team forecast'!$B$2:$AO$26,MATCH('Master data'!$B243,'Team forecast'!$B$2:$B$26,0),MATCH('Master data'!BI$1,'Team forecast'!$B$2:$AO$2,0))</f>
        <v>3.4610754537779926</v>
      </c>
      <c r="BJ243" s="5">
        <f t="shared" si="117"/>
        <v>7000</v>
      </c>
      <c r="BK243" s="5">
        <f>INDEX('Team forecast'!$R$3:$BH$26,MATCH($B243,'Team forecast'!$B$3:$B$26,0),MATCH(BK$1,'Team forecast'!$R$2:$BH$2,0))*IF($X243&gt;0,25000,0)</f>
        <v>8995.9738298943139</v>
      </c>
      <c r="BL243" s="5">
        <f>INDEX('Team forecast'!$R$3:$BH$26,MATCH($B243,'Team forecast'!$B$3:$B$26,0),MATCH(BL$1,'Team forecast'!$R$2:$BH$2,0))*IF($X243&gt;0,5000,0)</f>
        <v>1467.0357322596881</v>
      </c>
      <c r="BM243" s="5">
        <f>INDEX('Team forecast'!$R$3:$BH$26,MATCH($B243,'Team forecast'!$B$3:$B$26,0),MATCH(BM$1,'Team forecast'!$R$2:$BH$2,0))*IF($X243&gt;0,-15000,0)</f>
        <v>-5201.3085052843489</v>
      </c>
      <c r="BN243" s="5">
        <f t="shared" si="118"/>
        <v>16222.096889514249</v>
      </c>
      <c r="BO243" s="5">
        <f t="shared" si="119"/>
        <v>4788.7152274558357</v>
      </c>
      <c r="BP243" s="5">
        <f t="shared" si="120"/>
        <v>560.16250779376151</v>
      </c>
      <c r="BQ243" s="5">
        <f t="shared" si="121"/>
        <v>0</v>
      </c>
      <c r="BR243" s="5">
        <f t="shared" si="122"/>
        <v>0</v>
      </c>
      <c r="BS243" s="5">
        <f t="shared" si="123"/>
        <v>-2500</v>
      </c>
      <c r="BT243" s="5">
        <f t="shared" si="124"/>
        <v>0</v>
      </c>
      <c r="BU243" s="5">
        <f t="shared" si="125"/>
        <v>11461.513485277883</v>
      </c>
      <c r="BV243" s="5">
        <f t="shared" si="126"/>
        <v>-9169.2107882223063</v>
      </c>
      <c r="BW243" s="5">
        <f t="shared" si="127"/>
        <v>33624.978378689077</v>
      </c>
      <c r="BX243" s="5">
        <f t="shared" si="128"/>
        <v>33304.119381888922</v>
      </c>
      <c r="BY243" s="5">
        <f t="shared" si="129"/>
        <v>99912.358145666774</v>
      </c>
      <c r="BZ243" s="5">
        <f>INDEX('Team forecast'!$R$3:$BH$26,MATCH($B243,'Team forecast'!$B$3:$B$26,0),MATCH(BZ$1,'Team forecast'!$R$2:$BH$2,0))*($BX243-(BY243+CH243)*0.01)</f>
        <v>-9075.3050985410136</v>
      </c>
      <c r="CA243" s="5">
        <f>INDEX('Team forecast'!$R$3:$BH$26,MATCH($B243,'Team forecast'!$B$3:$B$26,0),MATCH(CA$1,'Team forecast'!$R$2:$BH$2,0))*($BX243-(BY243+BX243+CH243)*0.01)</f>
        <v>-4571.8247743501752</v>
      </c>
      <c r="CB243" s="5">
        <f>INDEX('Team forecast'!$R$3:$BH$26,MATCH($B243,'Team forecast'!$B$3:$B$26,0),MATCH(CB$1,'Team forecast'!$R$2:$BH$2,0))*($BX243-(BY243+BX243*2+CH243)*0.01)</f>
        <v>-2262.42973969586</v>
      </c>
      <c r="CC243" s="5">
        <f>INDEX('Team forecast'!$R$3:$BH$26,MATCH($B243,'Team forecast'!$B$3:$B$26,0),MATCH(CC$1,'Team forecast'!$R$2:$BH$2,0))*($BX243-(BY243+BX243*3+CH243)*0.01)</f>
        <v>-1051.147213444629</v>
      </c>
      <c r="CD243" s="5">
        <f>+AK243+BD243*Cockpit!$C$3+BW243*Cockpit!$C$3^2+BZ243*Cockpit!$C$3^3+CA243*Cockpit!$C$3^4+CB243*Cockpit!$C$3^5+CC243*Cockpit!$C$3^6</f>
        <v>74496.331701111922</v>
      </c>
      <c r="CE243" s="5"/>
      <c r="CF243" s="5"/>
      <c r="CG243" s="5">
        <v>0</v>
      </c>
      <c r="CH243" s="5">
        <f t="shared" si="130"/>
        <v>4500000</v>
      </c>
      <c r="CI243" s="5">
        <f t="shared" si="131"/>
        <v>4500000</v>
      </c>
      <c r="CJ243" s="1">
        <f t="shared" si="132"/>
        <v>2.2202746254592617E-2</v>
      </c>
      <c r="CK243" s="5">
        <f>RANK(BY243,$BY$2:$BY$623)+COUNTIF($BY$2:$BY243,$BY243)-1</f>
        <v>168</v>
      </c>
      <c r="CL243" s="5">
        <f>RANK(CJ243,$CJ$2:$CJ$623)+COUNTIF($CJ$2:$CJ243,$CJ243)-1</f>
        <v>240</v>
      </c>
    </row>
    <row r="244" spans="1:90">
      <c r="A244" t="str">
        <f>Players!P245</f>
        <v>Kasper Schmeichel</v>
      </c>
      <c r="B244" t="str">
        <f>Players!G245</f>
        <v>Denmark</v>
      </c>
      <c r="C244" t="str">
        <f>Players!AB245</f>
        <v>Goalkeeper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5000000</v>
      </c>
      <c r="H244" s="16">
        <f>INDEX('Team forecast'!$B$2:$AO$26,MATCH('Master data'!$B244,'Team forecast'!$B$2:$B$26,0),MATCH('Master data'!H$1,'Team forecast'!$B$2:$AO$2,0))</f>
        <v>1.6608440904336361</v>
      </c>
      <c r="I244" s="16">
        <f>INDEX('Team forecast'!$B$2:$AO$26,MATCH('Master data'!$B244,'Team forecast'!$B$2:$B$26,0),MATCH('Master data'!I$1,'Team forecast'!$B$2:$AO$2,0))</f>
        <v>0.59952758650922311</v>
      </c>
      <c r="J244" s="16">
        <f>INDEX('Team forecast'!$B$2:$AO$26,MATCH('Master data'!$B244,'Team forecast'!$B$2:$B$26,0),MATCH('Master data'!J$1,'Team forecast'!$B$2:$AO$2,0))</f>
        <v>0.54907096336484029</v>
      </c>
      <c r="K244" s="16">
        <f>INDEX('Team forecast'!$B$2:$AO$26,MATCH('Master data'!$B244,'Team forecast'!$B$2:$B$26,0),MATCH('Master data'!K$1,'Team forecast'!$B$2:$AO$2,0))</f>
        <v>4.1898566826848551</v>
      </c>
      <c r="L244" s="16">
        <f>INDEX('Team forecast'!$B$2:$AO$26,MATCH('Master data'!$B244,'Team forecast'!$B$2:$B$26,0),MATCH('Master data'!L$1,'Team forecast'!$B$2:$AO$2,0))</f>
        <v>1.7709122555349361</v>
      </c>
      <c r="M244">
        <f>IF(Players!BC245=1,95,0)</f>
        <v>95</v>
      </c>
      <c r="N244" s="2">
        <f>Players!BN245</f>
        <v>0</v>
      </c>
      <c r="O244" s="2">
        <f>Players!BO245</f>
        <v>0</v>
      </c>
      <c r="P244" s="2">
        <f>Players!BP245</f>
        <v>0</v>
      </c>
      <c r="Q244" s="2">
        <f>Players!BQ245</f>
        <v>6.5000000000000002E-2</v>
      </c>
      <c r="R244" s="2">
        <f>Players!BR245</f>
        <v>0</v>
      </c>
      <c r="S244" s="2">
        <f t="shared" si="91"/>
        <v>1.6608440904336361</v>
      </c>
      <c r="T244" s="2">
        <f t="shared" si="92"/>
        <v>0.59952758650922311</v>
      </c>
      <c r="U244" s="16">
        <f>INDEX('Team forecast'!$B$2:$AO$26,MATCH('Master data'!$B244,'Team forecast'!$B$2:$B$26,0),MATCH('Master data'!U$1,'Team forecast'!$B$2:$AO$2,0))</f>
        <v>0.65509845973874048</v>
      </c>
      <c r="V244" s="16">
        <f>INDEX('Team forecast'!$B$2:$AO$26,MATCH('Master data'!$B244,'Team forecast'!$B$2:$B$26,0),MATCH('Master data'!V$1,'Team forecast'!$B$2:$AO$2,0))</f>
        <v>0.22616494443361279</v>
      </c>
      <c r="W244" s="16">
        <f>INDEX('Team forecast'!$B$2:$AO$26,MATCH('Master data'!$B244,'Team forecast'!$B$2:$B$26,0),MATCH('Master data'!W$1,'Team forecast'!$B$2:$AO$2,0))</f>
        <v>0.1187365958276467</v>
      </c>
      <c r="X244" s="5">
        <f t="shared" si="93"/>
        <v>7000</v>
      </c>
      <c r="Y244" s="5">
        <f t="shared" si="94"/>
        <v>16377.461493468512</v>
      </c>
      <c r="Z244" s="5">
        <f t="shared" si="95"/>
        <v>1130.824722168064</v>
      </c>
      <c r="AA244" s="5">
        <f t="shared" si="96"/>
        <v>-1781.0489374147005</v>
      </c>
      <c r="AB244" s="5">
        <f t="shared" si="97"/>
        <v>0</v>
      </c>
      <c r="AC244" s="5">
        <f t="shared" si="98"/>
        <v>0</v>
      </c>
      <c r="AD244" s="5">
        <f t="shared" si="99"/>
        <v>0</v>
      </c>
      <c r="AE244" s="5">
        <f t="shared" si="100"/>
        <v>41180.322252363025</v>
      </c>
      <c r="AF244" s="5">
        <f t="shared" si="101"/>
        <v>5856.9233451285654</v>
      </c>
      <c r="AG244" s="5">
        <f t="shared" si="102"/>
        <v>-1300</v>
      </c>
      <c r="AH244" s="5">
        <f t="shared" si="103"/>
        <v>0</v>
      </c>
      <c r="AI244" s="5">
        <f t="shared" si="104"/>
        <v>16608.440904336363</v>
      </c>
      <c r="AJ244" s="5">
        <f t="shared" si="105"/>
        <v>-4796.2206920737844</v>
      </c>
      <c r="AK244" s="5">
        <f>IFERROR(SUM(X244:AJ244),-5000)*((Cockpit!$C$3)^0)</f>
        <v>80276.703087976057</v>
      </c>
      <c r="AL244" s="16">
        <f>INDEX('Team forecast'!$B$2:$AO$26,MATCH('Master data'!$B244,'Team forecast'!$B$2:$B$26,0),MATCH('Master data'!AL$1,'Team forecast'!$B$2:$AO$2,0))</f>
        <v>1.1610121970988967</v>
      </c>
      <c r="AM244" s="16">
        <f>INDEX('Team forecast'!$B$2:$AO$26,MATCH('Master data'!$B244,'Team forecast'!$B$2:$B$26,0),MATCH('Master data'!AM$1,'Team forecast'!$B$2:$AO$2,0))</f>
        <v>1.5279674504451852</v>
      </c>
      <c r="AN244" s="16">
        <f>INDEX('Team forecast'!$B$2:$AO$26,MATCH('Master data'!$B244,'Team forecast'!$B$2:$B$26,0),MATCH('Master data'!AN$1,'Team forecast'!$B$2:$AO$2,0))</f>
        <v>0.21697623437572761</v>
      </c>
      <c r="AO244" s="16">
        <f>INDEX('Team forecast'!$B$2:$AO$26,MATCH('Master data'!$B244,'Team forecast'!$B$2:$B$26,0),MATCH('Master data'!AO$1,'Team forecast'!$B$2:$AO$2,0))</f>
        <v>2.9289171335903985</v>
      </c>
      <c r="AP244" s="16">
        <f>INDEX('Team forecast'!$B$2:$AO$26,MATCH('Master data'!$B244,'Team forecast'!$B$2:$B$26,0),MATCH('Master data'!AP$1,'Team forecast'!$B$2:$AO$2,0))</f>
        <v>4.5133807766996243</v>
      </c>
      <c r="AQ244" s="5">
        <f t="shared" si="106"/>
        <v>7000</v>
      </c>
      <c r="AR244" s="5">
        <f>INDEX('Team forecast'!$B$2:$AO$26,MATCH('Master data'!$B244,'Team forecast'!$B$2:$B$26,0),MATCH('Master data'!AR$1,'Team forecast'!$B$2:$AO$2,0))*IF(X244&gt;0,25000,0)</f>
        <v>6348.0209111277081</v>
      </c>
      <c r="AS244" s="16">
        <f>INDEX('Team forecast'!$B$2:$AO$26,MATCH('Master data'!$B244,'Team forecast'!$B$2:$B$26,0),MATCH('Master data'!AS$1,'Team forecast'!$B$2:$AO$2,0))*IF(X244&gt;0,5000,0)</f>
        <v>1381.628080657207</v>
      </c>
      <c r="AT244" s="16">
        <f>INDEX('Team forecast'!$B$2:$AO$26,MATCH('Master data'!$B244,'Team forecast'!$B$2:$B$26,0),MATCH('Master data'!AT$1,'Team forecast'!$B$2:$AO$2,0))*IF(X244&gt;0,-15000,0)</f>
        <v>-7046.3032113517547</v>
      </c>
      <c r="AU244" s="5">
        <f t="shared" si="107"/>
        <v>0</v>
      </c>
      <c r="AV244" s="5">
        <f t="shared" si="108"/>
        <v>0</v>
      </c>
      <c r="AW244" s="5">
        <f t="shared" si="109"/>
        <v>0</v>
      </c>
      <c r="AX244" s="5">
        <f t="shared" si="110"/>
        <v>16273.21757817957</v>
      </c>
      <c r="AY244" s="5">
        <f t="shared" si="111"/>
        <v>14927.066631272195</v>
      </c>
      <c r="AZ244" s="5">
        <f t="shared" si="112"/>
        <v>-1300</v>
      </c>
      <c r="BA244" s="5">
        <f t="shared" si="113"/>
        <v>0</v>
      </c>
      <c r="BB244" s="5">
        <f t="shared" si="114"/>
        <v>11610.121970988966</v>
      </c>
      <c r="BC244" s="5">
        <f t="shared" si="115"/>
        <v>-12223.739603561482</v>
      </c>
      <c r="BD244" s="5">
        <f t="shared" si="116"/>
        <v>36970.012357312415</v>
      </c>
      <c r="BE244" s="16">
        <f>INDEX('Team forecast'!$B$2:$AO$26,MATCH('Master data'!$B244,'Team forecast'!$B$2:$B$26,0),MATCH('Master data'!BE$1,'Team forecast'!$B$2:$AO$2,0))</f>
        <v>1.5053002864585165</v>
      </c>
      <c r="BF244" s="16">
        <f>INDEX('Team forecast'!$B$2:$AO$26,MATCH('Master data'!$B244,'Team forecast'!$B$2:$B$26,0),MATCH('Master data'!BF$1,'Team forecast'!$B$2:$AO$2,0))</f>
        <v>0.95602347631827322</v>
      </c>
      <c r="BG244" s="16">
        <f>INDEX('Team forecast'!$B$2:$AO$26,MATCH('Master data'!$B244,'Team forecast'!$B$2:$B$26,0),MATCH('Master data'!BG$1,'Team forecast'!$B$2:$AO$2,0))</f>
        <v>0.38441849991338989</v>
      </c>
      <c r="BH244" s="16">
        <f>INDEX('Team forecast'!$B$2:$AO$26,MATCH('Master data'!$B244,'Team forecast'!$B$2:$B$26,0),MATCH('Master data'!BH$1,'Team forecast'!$B$2:$AO$2,0))</f>
        <v>3.7974620862930761</v>
      </c>
      <c r="BI244" s="16">
        <f>INDEX('Team forecast'!$B$2:$AO$26,MATCH('Master data'!$B244,'Team forecast'!$B$2:$B$26,0),MATCH('Master data'!BI$1,'Team forecast'!$B$2:$AO$2,0))</f>
        <v>2.8239462685093613</v>
      </c>
      <c r="BJ244" s="5">
        <f t="shared" si="117"/>
        <v>7000</v>
      </c>
      <c r="BK244" s="5">
        <f>INDEX('Team forecast'!$R$3:$BH$26,MATCH($B244,'Team forecast'!$B$3:$B$26,0),MATCH(BK$1,'Team forecast'!$R$2:$BH$2,0))*IF($X244&gt;0,25000,0)</f>
        <v>12073.445349038628</v>
      </c>
      <c r="BL244" s="5">
        <f>INDEX('Team forecast'!$R$3:$BH$26,MATCH($B244,'Team forecast'!$B$3:$B$26,0),MATCH(BL$1,'Team forecast'!$R$2:$BH$2,0))*IF($X244&gt;0,5000,0)</f>
        <v>1413.30330850511</v>
      </c>
      <c r="BM244" s="5">
        <f>INDEX('Team forecast'!$R$3:$BH$26,MATCH($B244,'Team forecast'!$B$3:$B$26,0),MATCH(BM$1,'Team forecast'!$R$2:$BH$2,0))*IF($X244&gt;0,-15000,0)</f>
        <v>-3516.0228650614931</v>
      </c>
      <c r="BN244" s="5">
        <f t="shared" si="118"/>
        <v>0</v>
      </c>
      <c r="BO244" s="5">
        <f t="shared" si="119"/>
        <v>0</v>
      </c>
      <c r="BP244" s="5">
        <f t="shared" si="120"/>
        <v>0</v>
      </c>
      <c r="BQ244" s="5">
        <f t="shared" si="121"/>
        <v>28831.38749350424</v>
      </c>
      <c r="BR244" s="5">
        <f t="shared" si="122"/>
        <v>9339.6139609554393</v>
      </c>
      <c r="BS244" s="5">
        <f t="shared" si="123"/>
        <v>-1300</v>
      </c>
      <c r="BT244" s="5">
        <f t="shared" si="124"/>
        <v>0</v>
      </c>
      <c r="BU244" s="5">
        <f t="shared" si="125"/>
        <v>15053.002864585165</v>
      </c>
      <c r="BV244" s="5">
        <f t="shared" si="126"/>
        <v>-7648.1878105461856</v>
      </c>
      <c r="BW244" s="5">
        <f t="shared" si="127"/>
        <v>61246.542300980909</v>
      </c>
      <c r="BX244" s="5">
        <f t="shared" si="128"/>
        <v>59497.752582089794</v>
      </c>
      <c r="BY244" s="5">
        <f t="shared" si="129"/>
        <v>178493.25774626937</v>
      </c>
      <c r="BZ244" s="5">
        <f>INDEX('Team forecast'!$R$3:$BH$26,MATCH($B244,'Team forecast'!$B$3:$B$26,0),MATCH(BZ$1,'Team forecast'!$R$2:$BH$2,0))*($BX244-(BY244+CH244)*0.01)</f>
        <v>6263.5408340926242</v>
      </c>
      <c r="CA244" s="5">
        <f>INDEX('Team forecast'!$R$3:$BH$26,MATCH($B244,'Team forecast'!$B$3:$B$26,0),MATCH(CA$1,'Team forecast'!$R$2:$BH$2,0))*($BX244-(BY244+BX244+CH244)*0.01)</f>
        <v>2868.8225141013422</v>
      </c>
      <c r="CB244" s="5">
        <f>INDEX('Team forecast'!$R$3:$BH$26,MATCH($B244,'Team forecast'!$B$3:$B$26,0),MATCH(CB$1,'Team forecast'!$R$2:$BH$2,0))*($BX244-(BY244+BX244*2+CH244)*0.01)</f>
        <v>1296.0873331069809</v>
      </c>
      <c r="CC244" s="5">
        <f>INDEX('Team forecast'!$R$3:$BH$26,MATCH($B244,'Team forecast'!$B$3:$B$26,0),MATCH(CC$1,'Team forecast'!$R$2:$BH$2,0))*($BX244-(BY244+BX244*3+CH244)*0.01)</f>
        <v>567.34490884066565</v>
      </c>
      <c r="CD244" s="5">
        <f>+AK244+BD244*Cockpit!$C$3+BW244*Cockpit!$C$3^2+BZ244*Cockpit!$C$3^3+CA244*Cockpit!$C$3^4+CB244*Cockpit!$C$3^5+CC244*Cockpit!$C$3^6</f>
        <v>134787.09462639899</v>
      </c>
      <c r="CE244" s="5"/>
      <c r="CF244" s="5"/>
      <c r="CG244" s="5">
        <v>0</v>
      </c>
      <c r="CH244" s="5">
        <f t="shared" si="130"/>
        <v>5000000</v>
      </c>
      <c r="CI244" s="5">
        <f t="shared" si="131"/>
        <v>5000000</v>
      </c>
      <c r="CJ244" s="1">
        <f t="shared" si="132"/>
        <v>3.5698651549253876E-2</v>
      </c>
      <c r="CK244" s="5">
        <f>RANK(BY244,$BY$2:$BY$623)+COUNTIF($BY$2:$BY244,$BY244)-1</f>
        <v>69</v>
      </c>
      <c r="CL244" s="5">
        <f>RANK(CJ244,$CJ$2:$CJ$623)+COUNTIF($CJ$2:$CJ244,$CJ244)-1</f>
        <v>97</v>
      </c>
    </row>
    <row r="245" spans="1:90">
      <c r="A245" t="str">
        <f>Players!P246</f>
        <v>Joachim Andersen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2500000</v>
      </c>
      <c r="H245" s="16">
        <f>INDEX('Team forecast'!$B$2:$AO$26,MATCH('Master data'!$B245,'Team forecast'!$B$2:$B$26,0),MATCH('Master data'!H$1,'Team forecast'!$B$2:$AO$2,0))</f>
        <v>1.6608440904336361</v>
      </c>
      <c r="I245" s="16">
        <f>INDEX('Team forecast'!$B$2:$AO$26,MATCH('Master data'!$B245,'Team forecast'!$B$2:$B$26,0),MATCH('Master data'!I$1,'Team forecast'!$B$2:$AO$2,0))</f>
        <v>0.59952758650922311</v>
      </c>
      <c r="J245" s="16">
        <f>INDEX('Team forecast'!$B$2:$AO$26,MATCH('Master data'!$B245,'Team forecast'!$B$2:$B$26,0),MATCH('Master data'!J$1,'Team forecast'!$B$2:$AO$2,0))</f>
        <v>0.54907096336484029</v>
      </c>
      <c r="K245" s="16">
        <f>INDEX('Team forecast'!$B$2:$AO$26,MATCH('Master data'!$B245,'Team forecast'!$B$2:$B$26,0),MATCH('Master data'!K$1,'Team forecast'!$B$2:$AO$2,0))</f>
        <v>4.1898566826848551</v>
      </c>
      <c r="L245" s="16">
        <f>INDEX('Team forecast'!$B$2:$AO$26,MATCH('Master data'!$B245,'Team forecast'!$B$2:$B$26,0),MATCH('Master data'!L$1,'Team forecast'!$B$2:$AO$2,0))</f>
        <v>1.7709122555349361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0.12324546388223211</v>
      </c>
      <c r="R245" s="2">
        <f>Players!BR246</f>
        <v>3.0811365970558027E-2</v>
      </c>
      <c r="S245" s="2">
        <f t="shared" si="91"/>
        <v>1.6608440904336361</v>
      </c>
      <c r="T245" s="2">
        <f t="shared" si="92"/>
        <v>0.59952758650922311</v>
      </c>
      <c r="U245" s="16">
        <f>INDEX('Team forecast'!$B$2:$AO$26,MATCH('Master data'!$B245,'Team forecast'!$B$2:$B$26,0),MATCH('Master data'!U$1,'Team forecast'!$B$2:$AO$2,0))</f>
        <v>0.65509845973874048</v>
      </c>
      <c r="V245" s="16">
        <f>INDEX('Team forecast'!$B$2:$AO$26,MATCH('Master data'!$B245,'Team forecast'!$B$2:$B$26,0),MATCH('Master data'!V$1,'Team forecast'!$B$2:$AO$2,0))</f>
        <v>0.22616494443361279</v>
      </c>
      <c r="W245" s="16">
        <f>INDEX('Team forecast'!$B$2:$AO$26,MATCH('Master data'!$B245,'Team forecast'!$B$2:$B$26,0),MATCH('Master data'!W$1,'Team forecast'!$B$2:$AO$2,0))</f>
        <v>0.1187365958276467</v>
      </c>
      <c r="X245" s="5">
        <f t="shared" si="93"/>
        <v>-5000</v>
      </c>
      <c r="Y245" s="5">
        <f t="shared" si="94"/>
        <v>0</v>
      </c>
      <c r="Z245" s="5">
        <f t="shared" si="95"/>
        <v>0</v>
      </c>
      <c r="AA245" s="5">
        <f t="shared" si="96"/>
        <v>0</v>
      </c>
      <c r="AB245" s="5">
        <f t="shared" si="97"/>
        <v>0</v>
      </c>
      <c r="AC245" s="5">
        <f t="shared" si="98"/>
        <v>0</v>
      </c>
      <c r="AD245" s="5">
        <f t="shared" si="99"/>
        <v>0</v>
      </c>
      <c r="AE245" s="5">
        <f t="shared" si="100"/>
        <v>27453.548168242014</v>
      </c>
      <c r="AF245" s="5">
        <f t="shared" si="101"/>
        <v>0</v>
      </c>
      <c r="AG245" s="5">
        <f t="shared" si="102"/>
        <v>0</v>
      </c>
      <c r="AH245" s="5">
        <f t="shared" si="103"/>
        <v>0</v>
      </c>
      <c r="AI245" s="5">
        <f t="shared" si="104"/>
        <v>0</v>
      </c>
      <c r="AJ245" s="5">
        <f t="shared" si="105"/>
        <v>0</v>
      </c>
      <c r="AK245" s="5">
        <f>IFERROR(SUM(X245:AJ245),-5000)*((Cockpit!$C$3)^0)</f>
        <v>22453.548168242014</v>
      </c>
      <c r="AL245" s="16">
        <f>INDEX('Team forecast'!$B$2:$AO$26,MATCH('Master data'!$B245,'Team forecast'!$B$2:$B$26,0),MATCH('Master data'!AL$1,'Team forecast'!$B$2:$AO$2,0))</f>
        <v>1.1610121970988967</v>
      </c>
      <c r="AM245" s="16">
        <f>INDEX('Team forecast'!$B$2:$AO$26,MATCH('Master data'!$B245,'Team forecast'!$B$2:$B$26,0),MATCH('Master data'!AM$1,'Team forecast'!$B$2:$AO$2,0))</f>
        <v>1.5279674504451852</v>
      </c>
      <c r="AN245" s="16">
        <f>INDEX('Team forecast'!$B$2:$AO$26,MATCH('Master data'!$B245,'Team forecast'!$B$2:$B$26,0),MATCH('Master data'!AN$1,'Team forecast'!$B$2:$AO$2,0))</f>
        <v>0.21697623437572761</v>
      </c>
      <c r="AO245" s="16">
        <f>INDEX('Team forecast'!$B$2:$AO$26,MATCH('Master data'!$B245,'Team forecast'!$B$2:$B$26,0),MATCH('Master data'!AO$1,'Team forecast'!$B$2:$AO$2,0))</f>
        <v>2.9289171335903985</v>
      </c>
      <c r="AP245" s="16">
        <f>INDEX('Team forecast'!$B$2:$AO$26,MATCH('Master data'!$B245,'Team forecast'!$B$2:$B$26,0),MATCH('Master data'!AP$1,'Team forecast'!$B$2:$AO$2,0))</f>
        <v>4.5133807766996243</v>
      </c>
      <c r="AQ245" s="5">
        <f t="shared" si="106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107"/>
        <v>0</v>
      </c>
      <c r="AV245" s="5">
        <f t="shared" si="108"/>
        <v>0</v>
      </c>
      <c r="AW245" s="5">
        <f t="shared" si="109"/>
        <v>0</v>
      </c>
      <c r="AX245" s="5">
        <f t="shared" si="110"/>
        <v>10848.811718786381</v>
      </c>
      <c r="AY245" s="5">
        <f t="shared" si="111"/>
        <v>0</v>
      </c>
      <c r="AZ245" s="5">
        <f t="shared" si="112"/>
        <v>0</v>
      </c>
      <c r="BA245" s="5">
        <f t="shared" si="113"/>
        <v>0</v>
      </c>
      <c r="BB245" s="5">
        <f t="shared" si="114"/>
        <v>0</v>
      </c>
      <c r="BC245" s="5">
        <f t="shared" si="115"/>
        <v>0</v>
      </c>
      <c r="BD245" s="5">
        <f t="shared" si="116"/>
        <v>5848.8117187863809</v>
      </c>
      <c r="BE245" s="16">
        <f>INDEX('Team forecast'!$B$2:$AO$26,MATCH('Master data'!$B245,'Team forecast'!$B$2:$B$26,0),MATCH('Master data'!BE$1,'Team forecast'!$B$2:$AO$2,0))</f>
        <v>1.5053002864585165</v>
      </c>
      <c r="BF245" s="16">
        <f>INDEX('Team forecast'!$B$2:$AO$26,MATCH('Master data'!$B245,'Team forecast'!$B$2:$B$26,0),MATCH('Master data'!BF$1,'Team forecast'!$B$2:$AO$2,0))</f>
        <v>0.95602347631827322</v>
      </c>
      <c r="BG245" s="16">
        <f>INDEX('Team forecast'!$B$2:$AO$26,MATCH('Master data'!$B245,'Team forecast'!$B$2:$B$26,0),MATCH('Master data'!BG$1,'Team forecast'!$B$2:$AO$2,0))</f>
        <v>0.38441849991338989</v>
      </c>
      <c r="BH245" s="16">
        <f>INDEX('Team forecast'!$B$2:$AO$26,MATCH('Master data'!$B245,'Team forecast'!$B$2:$B$26,0),MATCH('Master data'!BH$1,'Team forecast'!$B$2:$AO$2,0))</f>
        <v>3.7974620862930761</v>
      </c>
      <c r="BI245" s="16">
        <f>INDEX('Team forecast'!$B$2:$AO$26,MATCH('Master data'!$B245,'Team forecast'!$B$2:$B$26,0),MATCH('Master data'!BI$1,'Team forecast'!$B$2:$AO$2,0))</f>
        <v>2.8239462685093613</v>
      </c>
      <c r="BJ245" s="5">
        <f t="shared" si="117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118"/>
        <v>0</v>
      </c>
      <c r="BO245" s="5">
        <f t="shared" si="119"/>
        <v>0</v>
      </c>
      <c r="BP245" s="5">
        <f t="shared" si="120"/>
        <v>0</v>
      </c>
      <c r="BQ245" s="5">
        <f t="shared" si="121"/>
        <v>19220.924995669495</v>
      </c>
      <c r="BR245" s="5">
        <f t="shared" si="122"/>
        <v>0</v>
      </c>
      <c r="BS245" s="5">
        <f t="shared" si="123"/>
        <v>0</v>
      </c>
      <c r="BT245" s="5">
        <f t="shared" si="124"/>
        <v>0</v>
      </c>
      <c r="BU245" s="5">
        <f t="shared" si="125"/>
        <v>0</v>
      </c>
      <c r="BV245" s="5">
        <f t="shared" si="126"/>
        <v>0</v>
      </c>
      <c r="BW245" s="5">
        <f t="shared" si="127"/>
        <v>14220.924995669495</v>
      </c>
      <c r="BX245" s="5">
        <f t="shared" si="128"/>
        <v>14174.42829423263</v>
      </c>
      <c r="BY245" s="5">
        <f t="shared" si="129"/>
        <v>42523.284882697888</v>
      </c>
      <c r="BZ245" s="5">
        <f>INDEX('Team forecast'!$R$3:$BH$26,MATCH($B245,'Team forecast'!$B$3:$B$26,0),MATCH(BZ$1,'Team forecast'!$R$2:$BH$2,0))*($BX245-(BY245+CH245)*0.01)</f>
        <v>-9136.7196047386624</v>
      </c>
      <c r="CA245" s="5">
        <f>INDEX('Team forecast'!$R$3:$BH$26,MATCH($B245,'Team forecast'!$B$3:$B$26,0),MATCH(CA$1,'Team forecast'!$R$2:$BH$2,0))*($BX245-(BY245+BX245+CH245)*0.01)</f>
        <v>-4591.7285603664941</v>
      </c>
      <c r="CB245" s="5">
        <f>INDEX('Team forecast'!$R$3:$BH$26,MATCH($B245,'Team forecast'!$B$3:$B$26,0),MATCH(CB$1,'Team forecast'!$R$2:$BH$2,0))*($BX245-(BY245+BX245*2+CH245)*0.01)</f>
        <v>-2291.853551705673</v>
      </c>
      <c r="CC245" s="5">
        <f>INDEX('Team forecast'!$R$3:$BH$26,MATCH($B245,'Team forecast'!$B$3:$B$26,0),MATCH(CC$1,'Team forecast'!$R$2:$BH$2,0))*($BX245-(BY245+BX245*3+CH245)*0.01)</f>
        <v>-1117.4875463910457</v>
      </c>
      <c r="CD245" s="5">
        <f>+AK245+BD245*Cockpit!$C$3+BW245*Cockpit!$C$3^2+BZ245*Cockpit!$C$3^3+CA245*Cockpit!$C$3^4+CB245*Cockpit!$C$3^5+CC245*Cockpit!$C$3^6</f>
        <v>28659.069022395644</v>
      </c>
      <c r="CE245" s="5"/>
      <c r="CF245" s="5"/>
      <c r="CG245" s="5">
        <v>0</v>
      </c>
      <c r="CH245" s="5">
        <f t="shared" si="130"/>
        <v>2500000</v>
      </c>
      <c r="CI245" s="5">
        <f t="shared" si="131"/>
        <v>2500000</v>
      </c>
      <c r="CJ245" s="1">
        <f t="shared" si="132"/>
        <v>1.7009313953079155E-2</v>
      </c>
      <c r="CK245" s="5">
        <f>RANK(BY245,$BY$2:$BY$623)+COUNTIF($BY$2:$BY245,$BY245)-1</f>
        <v>298</v>
      </c>
      <c r="CL245" s="5">
        <f>RANK(CJ245,$CJ$2:$CJ$623)+COUNTIF($CJ$2:$CJ245,$CJ245)-1</f>
        <v>290</v>
      </c>
    </row>
    <row r="246" spans="1:90">
      <c r="A246" t="str">
        <f>Players!P247</f>
        <v>Andreas Christensen</v>
      </c>
      <c r="B246" t="str">
        <f>Players!G247</f>
        <v>Denmark</v>
      </c>
      <c r="C246" t="str">
        <f>Players!AB247</f>
        <v>Defense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1.6608440904336361</v>
      </c>
      <c r="I246" s="16">
        <f>INDEX('Team forecast'!$B$2:$AO$26,MATCH('Master data'!$B246,'Team forecast'!$B$2:$B$26,0),MATCH('Master data'!I$1,'Team forecast'!$B$2:$AO$2,0))</f>
        <v>0.59952758650922311</v>
      </c>
      <c r="J246" s="16">
        <f>INDEX('Team forecast'!$B$2:$AO$26,MATCH('Master data'!$B246,'Team forecast'!$B$2:$B$26,0),MATCH('Master data'!J$1,'Team forecast'!$B$2:$AO$2,0))</f>
        <v>0.54907096336484029</v>
      </c>
      <c r="K246" s="16">
        <f>INDEX('Team forecast'!$B$2:$AO$26,MATCH('Master data'!$B246,'Team forecast'!$B$2:$B$26,0),MATCH('Master data'!K$1,'Team forecast'!$B$2:$AO$2,0))</f>
        <v>4.1898566826848551</v>
      </c>
      <c r="L246" s="16">
        <f>INDEX('Team forecast'!$B$2:$AO$26,MATCH('Master data'!$B246,'Team forecast'!$B$2:$B$26,0),MATCH('Master data'!L$1,'Team forecast'!$B$2:$AO$2,0))</f>
        <v>1.7709122555349361</v>
      </c>
      <c r="M246">
        <f>IF(Players!BC247=1,95,0)</f>
        <v>95</v>
      </c>
      <c r="N246" s="2">
        <f>Players!BN247</f>
        <v>2.5887172825999477E-2</v>
      </c>
      <c r="O246" s="2">
        <f>Players!BO247</f>
        <v>1.5111602155832932E-2</v>
      </c>
      <c r="P246" s="2">
        <f>Players!BP247</f>
        <v>0</v>
      </c>
      <c r="Q246" s="2">
        <f>Players!BQ247</f>
        <v>6.5645514223194742E-2</v>
      </c>
      <c r="R246" s="2">
        <f>Players!BR247</f>
        <v>0.06</v>
      </c>
      <c r="S246" s="2">
        <f t="shared" si="91"/>
        <v>1.6608440904336361</v>
      </c>
      <c r="T246" s="2">
        <f t="shared" si="92"/>
        <v>0.59952758650922311</v>
      </c>
      <c r="U246" s="16">
        <f>INDEX('Team forecast'!$B$2:$AO$26,MATCH('Master data'!$B246,'Team forecast'!$B$2:$B$26,0),MATCH('Master data'!U$1,'Team forecast'!$B$2:$AO$2,0))</f>
        <v>0.65509845973874048</v>
      </c>
      <c r="V246" s="16">
        <f>INDEX('Team forecast'!$B$2:$AO$26,MATCH('Master data'!$B246,'Team forecast'!$B$2:$B$26,0),MATCH('Master data'!V$1,'Team forecast'!$B$2:$AO$2,0))</f>
        <v>0.22616494443361279</v>
      </c>
      <c r="W246" s="16">
        <f>INDEX('Team forecast'!$B$2:$AO$26,MATCH('Master data'!$B246,'Team forecast'!$B$2:$B$26,0),MATCH('Master data'!W$1,'Team forecast'!$B$2:$AO$2,0))</f>
        <v>0.1187365958276467</v>
      </c>
      <c r="X246" s="5">
        <f t="shared" si="93"/>
        <v>7000</v>
      </c>
      <c r="Y246" s="5">
        <f t="shared" si="94"/>
        <v>16377.461493468512</v>
      </c>
      <c r="Z246" s="5">
        <f t="shared" si="95"/>
        <v>1130.824722168064</v>
      </c>
      <c r="AA246" s="5">
        <f t="shared" si="96"/>
        <v>-1781.0489374147005</v>
      </c>
      <c r="AB246" s="5">
        <f t="shared" si="97"/>
        <v>6449.1837009143164</v>
      </c>
      <c r="AC246" s="5">
        <f t="shared" si="98"/>
        <v>1254.900756874966</v>
      </c>
      <c r="AD246" s="5">
        <f t="shared" si="99"/>
        <v>0</v>
      </c>
      <c r="AE246" s="5">
        <f t="shared" si="100"/>
        <v>27453.548168242014</v>
      </c>
      <c r="AF246" s="5">
        <f t="shared" si="101"/>
        <v>0</v>
      </c>
      <c r="AG246" s="5">
        <f t="shared" si="102"/>
        <v>-1312.9102844638949</v>
      </c>
      <c r="AH246" s="5">
        <f t="shared" si="103"/>
        <v>-3000</v>
      </c>
      <c r="AI246" s="5">
        <f t="shared" si="104"/>
        <v>16608.440904336363</v>
      </c>
      <c r="AJ246" s="5">
        <f t="shared" si="105"/>
        <v>-4796.2206920737844</v>
      </c>
      <c r="AK246" s="5">
        <f>IFERROR(SUM(X246:AJ246),-5000)*((Cockpit!$C$3)^0)</f>
        <v>65384.179832051857</v>
      </c>
      <c r="AL246" s="16">
        <f>INDEX('Team forecast'!$B$2:$AO$26,MATCH('Master data'!$B246,'Team forecast'!$B$2:$B$26,0),MATCH('Master data'!AL$1,'Team forecast'!$B$2:$AO$2,0))</f>
        <v>1.1610121970988967</v>
      </c>
      <c r="AM246" s="16">
        <f>INDEX('Team forecast'!$B$2:$AO$26,MATCH('Master data'!$B246,'Team forecast'!$B$2:$B$26,0),MATCH('Master data'!AM$1,'Team forecast'!$B$2:$AO$2,0))</f>
        <v>1.5279674504451852</v>
      </c>
      <c r="AN246" s="16">
        <f>INDEX('Team forecast'!$B$2:$AO$26,MATCH('Master data'!$B246,'Team forecast'!$B$2:$B$26,0),MATCH('Master data'!AN$1,'Team forecast'!$B$2:$AO$2,0))</f>
        <v>0.21697623437572761</v>
      </c>
      <c r="AO246" s="16">
        <f>INDEX('Team forecast'!$B$2:$AO$26,MATCH('Master data'!$B246,'Team forecast'!$B$2:$B$26,0),MATCH('Master data'!AO$1,'Team forecast'!$B$2:$AO$2,0))</f>
        <v>2.9289171335903985</v>
      </c>
      <c r="AP246" s="16">
        <f>INDEX('Team forecast'!$B$2:$AO$26,MATCH('Master data'!$B246,'Team forecast'!$B$2:$B$26,0),MATCH('Master data'!AP$1,'Team forecast'!$B$2:$AO$2,0))</f>
        <v>4.5133807766996243</v>
      </c>
      <c r="AQ246" s="5">
        <f t="shared" si="106"/>
        <v>7000</v>
      </c>
      <c r="AR246" s="5">
        <f>INDEX('Team forecast'!$B$2:$AO$26,MATCH('Master data'!$B246,'Team forecast'!$B$2:$B$26,0),MATCH('Master data'!AR$1,'Team forecast'!$B$2:$AO$2,0))*IF(X246&gt;0,25000,0)</f>
        <v>6348.0209111277081</v>
      </c>
      <c r="AS246" s="16">
        <f>INDEX('Team forecast'!$B$2:$AO$26,MATCH('Master data'!$B246,'Team forecast'!$B$2:$B$26,0),MATCH('Master data'!AS$1,'Team forecast'!$B$2:$AO$2,0))*IF(X246&gt;0,5000,0)</f>
        <v>1381.628080657207</v>
      </c>
      <c r="AT246" s="16">
        <f>INDEX('Team forecast'!$B$2:$AO$26,MATCH('Master data'!$B246,'Team forecast'!$B$2:$B$26,0),MATCH('Master data'!AT$1,'Team forecast'!$B$2:$AO$2,0))*IF(X246&gt;0,-15000,0)</f>
        <v>-7046.3032113517547</v>
      </c>
      <c r="AU246" s="5">
        <f t="shared" si="107"/>
        <v>4508.2985099088764</v>
      </c>
      <c r="AV246" s="5">
        <f t="shared" si="108"/>
        <v>877.23772103140084</v>
      </c>
      <c r="AW246" s="5">
        <f t="shared" si="109"/>
        <v>0</v>
      </c>
      <c r="AX246" s="5">
        <f t="shared" si="110"/>
        <v>10848.811718786381</v>
      </c>
      <c r="AY246" s="5">
        <f t="shared" si="111"/>
        <v>0</v>
      </c>
      <c r="AZ246" s="5">
        <f t="shared" si="112"/>
        <v>-1312.9102844638949</v>
      </c>
      <c r="BA246" s="5">
        <f t="shared" si="113"/>
        <v>-3000</v>
      </c>
      <c r="BB246" s="5">
        <f t="shared" si="114"/>
        <v>11610.121970988966</v>
      </c>
      <c r="BC246" s="5">
        <f t="shared" si="115"/>
        <v>-12223.739603561482</v>
      </c>
      <c r="BD246" s="5">
        <f t="shared" si="116"/>
        <v>18991.165813123407</v>
      </c>
      <c r="BE246" s="16">
        <f>INDEX('Team forecast'!$B$2:$AO$26,MATCH('Master data'!$B246,'Team forecast'!$B$2:$B$26,0),MATCH('Master data'!BE$1,'Team forecast'!$B$2:$AO$2,0))</f>
        <v>1.5053002864585165</v>
      </c>
      <c r="BF246" s="16">
        <f>INDEX('Team forecast'!$B$2:$AO$26,MATCH('Master data'!$B246,'Team forecast'!$B$2:$B$26,0),MATCH('Master data'!BF$1,'Team forecast'!$B$2:$AO$2,0))</f>
        <v>0.95602347631827322</v>
      </c>
      <c r="BG246" s="16">
        <f>INDEX('Team forecast'!$B$2:$AO$26,MATCH('Master data'!$B246,'Team forecast'!$B$2:$B$26,0),MATCH('Master data'!BG$1,'Team forecast'!$B$2:$AO$2,0))</f>
        <v>0.38441849991338989</v>
      </c>
      <c r="BH246" s="16">
        <f>INDEX('Team forecast'!$B$2:$AO$26,MATCH('Master data'!$B246,'Team forecast'!$B$2:$B$26,0),MATCH('Master data'!BH$1,'Team forecast'!$B$2:$AO$2,0))</f>
        <v>3.7974620862930761</v>
      </c>
      <c r="BI246" s="16">
        <f>INDEX('Team forecast'!$B$2:$AO$26,MATCH('Master data'!$B246,'Team forecast'!$B$2:$B$26,0),MATCH('Master data'!BI$1,'Team forecast'!$B$2:$AO$2,0))</f>
        <v>2.8239462685093613</v>
      </c>
      <c r="BJ246" s="5">
        <f t="shared" si="117"/>
        <v>7000</v>
      </c>
      <c r="BK246" s="5">
        <f>INDEX('Team forecast'!$R$3:$BH$26,MATCH($B246,'Team forecast'!$B$3:$B$26,0),MATCH(BK$1,'Team forecast'!$R$2:$BH$2,0))*IF($X246&gt;0,25000,0)</f>
        <v>12073.445349038628</v>
      </c>
      <c r="BL246" s="5">
        <f>INDEX('Team forecast'!$R$3:$BH$26,MATCH($B246,'Team forecast'!$B$3:$B$26,0),MATCH(BL$1,'Team forecast'!$R$2:$BH$2,0))*IF($X246&gt;0,5000,0)</f>
        <v>1413.30330850511</v>
      </c>
      <c r="BM246" s="5">
        <f>INDEX('Team forecast'!$R$3:$BH$26,MATCH($B246,'Team forecast'!$B$3:$B$26,0),MATCH(BM$1,'Team forecast'!$R$2:$BH$2,0))*IF($X246&gt;0,-15000,0)</f>
        <v>-3516.0228650614931</v>
      </c>
      <c r="BN246" s="5">
        <f t="shared" si="118"/>
        <v>5845.1953005867208</v>
      </c>
      <c r="BO246" s="5">
        <f t="shared" si="119"/>
        <v>1137.3749527011223</v>
      </c>
      <c r="BP246" s="5">
        <f t="shared" si="120"/>
        <v>0</v>
      </c>
      <c r="BQ246" s="5">
        <f t="shared" si="121"/>
        <v>19220.924995669495</v>
      </c>
      <c r="BR246" s="5">
        <f t="shared" si="122"/>
        <v>0</v>
      </c>
      <c r="BS246" s="5">
        <f t="shared" si="123"/>
        <v>-1312.9102844638949</v>
      </c>
      <c r="BT246" s="5">
        <f t="shared" si="124"/>
        <v>-3000</v>
      </c>
      <c r="BU246" s="5">
        <f t="shared" si="125"/>
        <v>15053.002864585165</v>
      </c>
      <c r="BV246" s="5">
        <f t="shared" si="126"/>
        <v>-7648.1878105461856</v>
      </c>
      <c r="BW246" s="5">
        <f t="shared" si="127"/>
        <v>46266.125811014659</v>
      </c>
      <c r="BX246" s="5">
        <f t="shared" si="128"/>
        <v>43547.157152063308</v>
      </c>
      <c r="BY246" s="5">
        <f t="shared" si="129"/>
        <v>130641.47145618993</v>
      </c>
      <c r="BZ246" s="5">
        <f>INDEX('Team forecast'!$R$3:$BH$26,MATCH($B246,'Team forecast'!$B$3:$B$26,0),MATCH(BZ$1,'Team forecast'!$R$2:$BH$2,0))*($BX246-(BY246+CH246)*0.01)</f>
        <v>5880.1691079565317</v>
      </c>
      <c r="CA246" s="5">
        <f>INDEX('Team forecast'!$R$3:$BH$26,MATCH($B246,'Team forecast'!$B$3:$B$26,0),MATCH(CA$1,'Team forecast'!$R$2:$BH$2,0))*($BX246-(BY246+BX246+CH246)*0.01)</f>
        <v>2742.8415749596611</v>
      </c>
      <c r="CB246" s="5">
        <f>INDEX('Team forecast'!$R$3:$BH$26,MATCH($B246,'Team forecast'!$B$3:$B$26,0),MATCH(CB$1,'Team forecast'!$R$2:$BH$2,0))*($BX246-(BY246+BX246*2+CH246)*0.01)</f>
        <v>1265.6733259831101</v>
      </c>
      <c r="CC246" s="5">
        <f>INDEX('Team forecast'!$R$3:$BH$26,MATCH($B246,'Team forecast'!$B$3:$B$26,0),MATCH(CC$1,'Team forecast'!$R$2:$BH$2,0))*($BX246-(BY246+BX246*3+CH246)*0.01)</f>
        <v>567.96129521175158</v>
      </c>
      <c r="CD246" s="5">
        <f>+AK246+BD246*Cockpit!$C$3+BW246*Cockpit!$C$3^2+BZ246*Cockpit!$C$3^3+CA246*Cockpit!$C$3^4+CB246*Cockpit!$C$3^5+CC246*Cockpit!$C$3^6</f>
        <v>101108.28302031998</v>
      </c>
      <c r="CE246" s="5"/>
      <c r="CF246" s="5"/>
      <c r="CG246" s="5">
        <v>0</v>
      </c>
      <c r="CH246" s="5">
        <f t="shared" si="130"/>
        <v>3500000</v>
      </c>
      <c r="CI246" s="5">
        <f t="shared" si="131"/>
        <v>3500000</v>
      </c>
      <c r="CJ246" s="1">
        <f t="shared" si="132"/>
        <v>3.732613470176855E-2</v>
      </c>
      <c r="CK246" s="5">
        <f>RANK(BY246,$BY$2:$BY$623)+COUNTIF($BY$2:$BY246,$BY246)-1</f>
        <v>117</v>
      </c>
      <c r="CL246" s="5">
        <f>RANK(CJ246,$CJ$2:$CJ$623)+COUNTIF($CJ$2:$CJ246,$CJ246)-1</f>
        <v>88</v>
      </c>
    </row>
    <row r="247" spans="1:90">
      <c r="A247" t="str">
        <f>Players!P248</f>
        <v>Jannik Vestergaard</v>
      </c>
      <c r="B247" t="str">
        <f>Players!G248</f>
        <v>Denmark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3000000</v>
      </c>
      <c r="H247" s="16">
        <f>INDEX('Team forecast'!$B$2:$AO$26,MATCH('Master data'!$B247,'Team forecast'!$B$2:$B$26,0),MATCH('Master data'!H$1,'Team forecast'!$B$2:$AO$2,0))</f>
        <v>1.6608440904336361</v>
      </c>
      <c r="I247" s="16">
        <f>INDEX('Team forecast'!$B$2:$AO$26,MATCH('Master data'!$B247,'Team forecast'!$B$2:$B$26,0),MATCH('Master data'!I$1,'Team forecast'!$B$2:$AO$2,0))</f>
        <v>0.59952758650922311</v>
      </c>
      <c r="J247" s="16">
        <f>INDEX('Team forecast'!$B$2:$AO$26,MATCH('Master data'!$B247,'Team forecast'!$B$2:$B$26,0),MATCH('Master data'!J$1,'Team forecast'!$B$2:$AO$2,0))</f>
        <v>0.54907096336484029</v>
      </c>
      <c r="K247" s="16">
        <f>INDEX('Team forecast'!$B$2:$AO$26,MATCH('Master data'!$B247,'Team forecast'!$B$2:$B$26,0),MATCH('Master data'!K$1,'Team forecast'!$B$2:$AO$2,0))</f>
        <v>4.1898566826848551</v>
      </c>
      <c r="L247" s="16">
        <f>INDEX('Team forecast'!$B$2:$AO$26,MATCH('Master data'!$B247,'Team forecast'!$B$2:$B$26,0),MATCH('Master data'!L$1,'Team forecast'!$B$2:$AO$2,0))</f>
        <v>1.7709122555349361</v>
      </c>
      <c r="M247">
        <f>IF(Players!BC248=1,95,0)</f>
        <v>0</v>
      </c>
      <c r="N247" s="2">
        <f>Players!BN248</f>
        <v>0</v>
      </c>
      <c r="O247" s="2">
        <f>Players!BO248</f>
        <v>0</v>
      </c>
      <c r="P247" s="2">
        <f>Players!BP248</f>
        <v>0</v>
      </c>
      <c r="Q247" s="2">
        <f>Players!BQ248</f>
        <v>5.2427184466019419E-2</v>
      </c>
      <c r="R247" s="2">
        <f>Players!BR248</f>
        <v>3.4951456310679613E-2</v>
      </c>
      <c r="S247" s="2">
        <f t="shared" si="91"/>
        <v>1.6608440904336361</v>
      </c>
      <c r="T247" s="2">
        <f t="shared" si="92"/>
        <v>0.59952758650922311</v>
      </c>
      <c r="U247" s="16">
        <f>INDEX('Team forecast'!$B$2:$AO$26,MATCH('Master data'!$B247,'Team forecast'!$B$2:$B$26,0),MATCH('Master data'!U$1,'Team forecast'!$B$2:$AO$2,0))</f>
        <v>0.65509845973874048</v>
      </c>
      <c r="V247" s="16">
        <f>INDEX('Team forecast'!$B$2:$AO$26,MATCH('Master data'!$B247,'Team forecast'!$B$2:$B$26,0),MATCH('Master data'!V$1,'Team forecast'!$B$2:$AO$2,0))</f>
        <v>0.22616494443361279</v>
      </c>
      <c r="W247" s="16">
        <f>INDEX('Team forecast'!$B$2:$AO$26,MATCH('Master data'!$B247,'Team forecast'!$B$2:$B$26,0),MATCH('Master data'!W$1,'Team forecast'!$B$2:$AO$2,0))</f>
        <v>0.1187365958276467</v>
      </c>
      <c r="X247" s="5">
        <f t="shared" si="93"/>
        <v>-5000</v>
      </c>
      <c r="Y247" s="5">
        <f t="shared" si="94"/>
        <v>0</v>
      </c>
      <c r="Z247" s="5">
        <f t="shared" si="95"/>
        <v>0</v>
      </c>
      <c r="AA247" s="5">
        <f t="shared" si="96"/>
        <v>0</v>
      </c>
      <c r="AB247" s="5">
        <f t="shared" si="97"/>
        <v>0</v>
      </c>
      <c r="AC247" s="5">
        <f t="shared" si="98"/>
        <v>0</v>
      </c>
      <c r="AD247" s="5">
        <f t="shared" si="99"/>
        <v>0</v>
      </c>
      <c r="AE247" s="5">
        <f t="shared" si="100"/>
        <v>27453.548168242014</v>
      </c>
      <c r="AF247" s="5">
        <f t="shared" si="101"/>
        <v>0</v>
      </c>
      <c r="AG247" s="5">
        <f t="shared" si="102"/>
        <v>0</v>
      </c>
      <c r="AH247" s="5">
        <f t="shared" si="103"/>
        <v>0</v>
      </c>
      <c r="AI247" s="5">
        <f t="shared" si="104"/>
        <v>0</v>
      </c>
      <c r="AJ247" s="5">
        <f t="shared" si="105"/>
        <v>0</v>
      </c>
      <c r="AK247" s="5">
        <f>IFERROR(SUM(X247:AJ247),-5000)*((Cockpit!$C$3)^0)</f>
        <v>22453.548168242014</v>
      </c>
      <c r="AL247" s="16">
        <f>INDEX('Team forecast'!$B$2:$AO$26,MATCH('Master data'!$B247,'Team forecast'!$B$2:$B$26,0),MATCH('Master data'!AL$1,'Team forecast'!$B$2:$AO$2,0))</f>
        <v>1.1610121970988967</v>
      </c>
      <c r="AM247" s="16">
        <f>INDEX('Team forecast'!$B$2:$AO$26,MATCH('Master data'!$B247,'Team forecast'!$B$2:$B$26,0),MATCH('Master data'!AM$1,'Team forecast'!$B$2:$AO$2,0))</f>
        <v>1.5279674504451852</v>
      </c>
      <c r="AN247" s="16">
        <f>INDEX('Team forecast'!$B$2:$AO$26,MATCH('Master data'!$B247,'Team forecast'!$B$2:$B$26,0),MATCH('Master data'!AN$1,'Team forecast'!$B$2:$AO$2,0))</f>
        <v>0.21697623437572761</v>
      </c>
      <c r="AO247" s="16">
        <f>INDEX('Team forecast'!$B$2:$AO$26,MATCH('Master data'!$B247,'Team forecast'!$B$2:$B$26,0),MATCH('Master data'!AO$1,'Team forecast'!$B$2:$AO$2,0))</f>
        <v>2.9289171335903985</v>
      </c>
      <c r="AP247" s="16">
        <f>INDEX('Team forecast'!$B$2:$AO$26,MATCH('Master data'!$B247,'Team forecast'!$B$2:$B$26,0),MATCH('Master data'!AP$1,'Team forecast'!$B$2:$AO$2,0))</f>
        <v>4.5133807766996243</v>
      </c>
      <c r="AQ247" s="5">
        <f t="shared" si="106"/>
        <v>-5000</v>
      </c>
      <c r="AR247" s="5">
        <f>INDEX('Team forecast'!$B$2:$AO$26,MATCH('Master data'!$B247,'Team forecast'!$B$2:$B$26,0),MATCH('Master data'!AR$1,'Team forecast'!$B$2:$AO$2,0))*IF(X247&gt;0,25000,0)</f>
        <v>0</v>
      </c>
      <c r="AS247" s="16">
        <f>INDEX('Team forecast'!$B$2:$AO$26,MATCH('Master data'!$B247,'Team forecast'!$B$2:$B$26,0),MATCH('Master data'!AS$1,'Team forecast'!$B$2:$AO$2,0))*IF(X247&gt;0,5000,0)</f>
        <v>0</v>
      </c>
      <c r="AT247" s="16">
        <f>INDEX('Team forecast'!$B$2:$AO$26,MATCH('Master data'!$B247,'Team forecast'!$B$2:$B$26,0),MATCH('Master data'!AT$1,'Team forecast'!$B$2:$AO$2,0))*IF(X247&gt;0,-15000,0)</f>
        <v>0</v>
      </c>
      <c r="AU247" s="5">
        <f t="shared" si="107"/>
        <v>0</v>
      </c>
      <c r="AV247" s="5">
        <f t="shared" si="108"/>
        <v>0</v>
      </c>
      <c r="AW247" s="5">
        <f t="shared" si="109"/>
        <v>0</v>
      </c>
      <c r="AX247" s="5">
        <f t="shared" si="110"/>
        <v>10848.811718786381</v>
      </c>
      <c r="AY247" s="5">
        <f t="shared" si="111"/>
        <v>0</v>
      </c>
      <c r="AZ247" s="5">
        <f t="shared" si="112"/>
        <v>0</v>
      </c>
      <c r="BA247" s="5">
        <f t="shared" si="113"/>
        <v>0</v>
      </c>
      <c r="BB247" s="5">
        <f t="shared" si="114"/>
        <v>0</v>
      </c>
      <c r="BC247" s="5">
        <f t="shared" si="115"/>
        <v>0</v>
      </c>
      <c r="BD247" s="5">
        <f t="shared" si="116"/>
        <v>5848.8117187863809</v>
      </c>
      <c r="BE247" s="16">
        <f>INDEX('Team forecast'!$B$2:$AO$26,MATCH('Master data'!$B247,'Team forecast'!$B$2:$B$26,0),MATCH('Master data'!BE$1,'Team forecast'!$B$2:$AO$2,0))</f>
        <v>1.5053002864585165</v>
      </c>
      <c r="BF247" s="16">
        <f>INDEX('Team forecast'!$B$2:$AO$26,MATCH('Master data'!$B247,'Team forecast'!$B$2:$B$26,0),MATCH('Master data'!BF$1,'Team forecast'!$B$2:$AO$2,0))</f>
        <v>0.95602347631827322</v>
      </c>
      <c r="BG247" s="16">
        <f>INDEX('Team forecast'!$B$2:$AO$26,MATCH('Master data'!$B247,'Team forecast'!$B$2:$B$26,0),MATCH('Master data'!BG$1,'Team forecast'!$B$2:$AO$2,0))</f>
        <v>0.38441849991338989</v>
      </c>
      <c r="BH247" s="16">
        <f>INDEX('Team forecast'!$B$2:$AO$26,MATCH('Master data'!$B247,'Team forecast'!$B$2:$B$26,0),MATCH('Master data'!BH$1,'Team forecast'!$B$2:$AO$2,0))</f>
        <v>3.7974620862930761</v>
      </c>
      <c r="BI247" s="16">
        <f>INDEX('Team forecast'!$B$2:$AO$26,MATCH('Master data'!$B247,'Team forecast'!$B$2:$B$26,0),MATCH('Master data'!BI$1,'Team forecast'!$B$2:$AO$2,0))</f>
        <v>2.8239462685093613</v>
      </c>
      <c r="BJ247" s="5">
        <f t="shared" si="117"/>
        <v>-5000</v>
      </c>
      <c r="BK247" s="5">
        <f>INDEX('Team forecast'!$R$3:$BH$26,MATCH($B247,'Team forecast'!$B$3:$B$26,0),MATCH(BK$1,'Team forecast'!$R$2:$BH$2,0))*IF($X247&gt;0,25000,0)</f>
        <v>0</v>
      </c>
      <c r="BL247" s="5">
        <f>INDEX('Team forecast'!$R$3:$BH$26,MATCH($B247,'Team forecast'!$B$3:$B$26,0),MATCH(BL$1,'Team forecast'!$R$2:$BH$2,0))*IF($X247&gt;0,5000,0)</f>
        <v>0</v>
      </c>
      <c r="BM247" s="5">
        <f>INDEX('Team forecast'!$R$3:$BH$26,MATCH($B247,'Team forecast'!$B$3:$B$26,0),MATCH(BM$1,'Team forecast'!$R$2:$BH$2,0))*IF($X247&gt;0,-15000,0)</f>
        <v>0</v>
      </c>
      <c r="BN247" s="5">
        <f t="shared" si="118"/>
        <v>0</v>
      </c>
      <c r="BO247" s="5">
        <f t="shared" si="119"/>
        <v>0</v>
      </c>
      <c r="BP247" s="5">
        <f t="shared" si="120"/>
        <v>0</v>
      </c>
      <c r="BQ247" s="5">
        <f t="shared" si="121"/>
        <v>19220.924995669495</v>
      </c>
      <c r="BR247" s="5">
        <f t="shared" si="122"/>
        <v>0</v>
      </c>
      <c r="BS247" s="5">
        <f t="shared" si="123"/>
        <v>0</v>
      </c>
      <c r="BT247" s="5">
        <f t="shared" si="124"/>
        <v>0</v>
      </c>
      <c r="BU247" s="5">
        <f t="shared" si="125"/>
        <v>0</v>
      </c>
      <c r="BV247" s="5">
        <f t="shared" si="126"/>
        <v>0</v>
      </c>
      <c r="BW247" s="5">
        <f t="shared" si="127"/>
        <v>14220.924995669495</v>
      </c>
      <c r="BX247" s="5">
        <f t="shared" si="128"/>
        <v>14174.42829423263</v>
      </c>
      <c r="BY247" s="5">
        <f t="shared" si="129"/>
        <v>42523.284882697888</v>
      </c>
      <c r="BZ247" s="5">
        <f>INDEX('Team forecast'!$R$3:$BH$26,MATCH($B247,'Team forecast'!$B$3:$B$26,0),MATCH(BZ$1,'Team forecast'!$R$2:$BH$2,0))*($BX247-(BY247+CH247)*0.01)</f>
        <v>-13197.193484807807</v>
      </c>
      <c r="CA247" s="5">
        <f>INDEX('Team forecast'!$R$3:$BH$26,MATCH($B247,'Team forecast'!$B$3:$B$26,0),MATCH(CA$1,'Team forecast'!$R$2:$BH$2,0))*($BX247-(BY247+BX247+CH247)*0.01)</f>
        <v>-6606.9617736916216</v>
      </c>
      <c r="CB247" s="5">
        <f>INDEX('Team forecast'!$R$3:$BH$26,MATCH($B247,'Team forecast'!$B$3:$B$26,0),MATCH(CB$1,'Team forecast'!$R$2:$BH$2,0))*($BX247-(BY247+BX247*2+CH247)*0.01)</f>
        <v>-3285.3490038181712</v>
      </c>
      <c r="CC247" s="5">
        <f>INDEX('Team forecast'!$R$3:$BH$26,MATCH($B247,'Team forecast'!$B$3:$B$26,0),MATCH(CC$1,'Team forecast'!$R$2:$BH$2,0))*($BX247-(BY247+BX247*3+CH247)*0.01)</f>
        <v>-1596.0264152643153</v>
      </c>
      <c r="CD247" s="5">
        <f>+AK247+BD247*Cockpit!$C$3+BW247*Cockpit!$C$3^2+BZ247*Cockpit!$C$3^3+CA247*Cockpit!$C$3^4+CB247*Cockpit!$C$3^5+CC247*Cockpit!$C$3^6</f>
        <v>26885.052572705052</v>
      </c>
      <c r="CE247" s="5"/>
      <c r="CF247" s="5"/>
      <c r="CG247" s="5">
        <v>0</v>
      </c>
      <c r="CH247" s="5">
        <f t="shared" si="130"/>
        <v>3000000</v>
      </c>
      <c r="CI247" s="5">
        <f t="shared" si="131"/>
        <v>3000000</v>
      </c>
      <c r="CJ247" s="1">
        <f t="shared" si="132"/>
        <v>1.4174428294232629E-2</v>
      </c>
      <c r="CK247" s="5">
        <f>RANK(BY247,$BY$2:$BY$623)+COUNTIF($BY$2:$BY247,$BY247)-1</f>
        <v>299</v>
      </c>
      <c r="CL247" s="5">
        <f>RANK(CJ247,$CJ$2:$CJ$623)+COUNTIF($CJ$2:$CJ247,$CJ247)-1</f>
        <v>314</v>
      </c>
    </row>
    <row r="248" spans="1:90">
      <c r="A248" t="str">
        <f>Players!P249</f>
        <v>Mikkel Damsgaard</v>
      </c>
      <c r="B248" t="str">
        <f>Players!G249</f>
        <v>Denmark</v>
      </c>
      <c r="C248" t="str">
        <f>Players!AB249</f>
        <v>Midfield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3500000</v>
      </c>
      <c r="H248" s="16">
        <f>INDEX('Team forecast'!$B$2:$AO$26,MATCH('Master data'!$B248,'Team forecast'!$B$2:$B$26,0),MATCH('Master data'!H$1,'Team forecast'!$B$2:$AO$2,0))</f>
        <v>1.6608440904336361</v>
      </c>
      <c r="I248" s="16">
        <f>INDEX('Team forecast'!$B$2:$AO$26,MATCH('Master data'!$B248,'Team forecast'!$B$2:$B$26,0),MATCH('Master data'!I$1,'Team forecast'!$B$2:$AO$2,0))</f>
        <v>0.59952758650922311</v>
      </c>
      <c r="J248" s="16">
        <f>INDEX('Team forecast'!$B$2:$AO$26,MATCH('Master data'!$B248,'Team forecast'!$B$2:$B$26,0),MATCH('Master data'!J$1,'Team forecast'!$B$2:$AO$2,0))</f>
        <v>0.54907096336484029</v>
      </c>
      <c r="K248" s="16">
        <f>INDEX('Team forecast'!$B$2:$AO$26,MATCH('Master data'!$B248,'Team forecast'!$B$2:$B$26,0),MATCH('Master data'!K$1,'Team forecast'!$B$2:$AO$2,0))</f>
        <v>4.1898566826848551</v>
      </c>
      <c r="L248" s="16">
        <f>INDEX('Team forecast'!$B$2:$AO$26,MATCH('Master data'!$B248,'Team forecast'!$B$2:$B$26,0),MATCH('Master data'!L$1,'Team forecast'!$B$2:$AO$2,0))</f>
        <v>1.7709122555349361</v>
      </c>
      <c r="M248">
        <f>IF(Players!BC249=1,95,0)</f>
        <v>0</v>
      </c>
      <c r="N248" s="2">
        <f>Players!BN249</f>
        <v>0</v>
      </c>
      <c r="O248" s="2">
        <f>Players!BO249</f>
        <v>0</v>
      </c>
      <c r="P248" s="2">
        <f>Players!BP249</f>
        <v>0</v>
      </c>
      <c r="Q248" s="2">
        <f>Players!BQ249</f>
        <v>0.17622811970638058</v>
      </c>
      <c r="R248" s="2">
        <f>Players!BR249</f>
        <v>0</v>
      </c>
      <c r="S248" s="2">
        <f t="shared" si="91"/>
        <v>1.6608440904336361</v>
      </c>
      <c r="T248" s="2">
        <f t="shared" si="92"/>
        <v>0.59952758650922311</v>
      </c>
      <c r="U248" s="16">
        <f>INDEX('Team forecast'!$B$2:$AO$26,MATCH('Master data'!$B248,'Team forecast'!$B$2:$B$26,0),MATCH('Master data'!U$1,'Team forecast'!$B$2:$AO$2,0))</f>
        <v>0.65509845973874048</v>
      </c>
      <c r="V248" s="16">
        <f>INDEX('Team forecast'!$B$2:$AO$26,MATCH('Master data'!$B248,'Team forecast'!$B$2:$B$26,0),MATCH('Master data'!V$1,'Team forecast'!$B$2:$AO$2,0))</f>
        <v>0.22616494443361279</v>
      </c>
      <c r="W248" s="16">
        <f>INDEX('Team forecast'!$B$2:$AO$26,MATCH('Master data'!$B248,'Team forecast'!$B$2:$B$26,0),MATCH('Master data'!W$1,'Team forecast'!$B$2:$AO$2,0))</f>
        <v>0.1187365958276467</v>
      </c>
      <c r="X248" s="5">
        <f t="shared" si="93"/>
        <v>-5000</v>
      </c>
      <c r="Y248" s="5">
        <f t="shared" si="94"/>
        <v>0</v>
      </c>
      <c r="Z248" s="5">
        <f t="shared" si="95"/>
        <v>0</v>
      </c>
      <c r="AA248" s="5">
        <f t="shared" si="96"/>
        <v>0</v>
      </c>
      <c r="AB248" s="5">
        <f t="shared" si="97"/>
        <v>0</v>
      </c>
      <c r="AC248" s="5">
        <f t="shared" si="98"/>
        <v>0</v>
      </c>
      <c r="AD248" s="5">
        <f t="shared" si="99"/>
        <v>0</v>
      </c>
      <c r="AE248" s="5">
        <f t="shared" si="100"/>
        <v>0</v>
      </c>
      <c r="AF248" s="5">
        <f t="shared" si="101"/>
        <v>0</v>
      </c>
      <c r="AG248" s="5">
        <f t="shared" si="102"/>
        <v>0</v>
      </c>
      <c r="AH248" s="5">
        <f t="shared" si="103"/>
        <v>0</v>
      </c>
      <c r="AI248" s="5">
        <f t="shared" si="104"/>
        <v>0</v>
      </c>
      <c r="AJ248" s="5">
        <f t="shared" si="105"/>
        <v>0</v>
      </c>
      <c r="AK248" s="5">
        <f>IFERROR(SUM(X248:AJ248),-5000)*((Cockpit!$C$3)^0)</f>
        <v>-5000</v>
      </c>
      <c r="AL248" s="16">
        <f>INDEX('Team forecast'!$B$2:$AO$26,MATCH('Master data'!$B248,'Team forecast'!$B$2:$B$26,0),MATCH('Master data'!AL$1,'Team forecast'!$B$2:$AO$2,0))</f>
        <v>1.1610121970988967</v>
      </c>
      <c r="AM248" s="16">
        <f>INDEX('Team forecast'!$B$2:$AO$26,MATCH('Master data'!$B248,'Team forecast'!$B$2:$B$26,0),MATCH('Master data'!AM$1,'Team forecast'!$B$2:$AO$2,0))</f>
        <v>1.5279674504451852</v>
      </c>
      <c r="AN248" s="16">
        <f>INDEX('Team forecast'!$B$2:$AO$26,MATCH('Master data'!$B248,'Team forecast'!$B$2:$B$26,0),MATCH('Master data'!AN$1,'Team forecast'!$B$2:$AO$2,0))</f>
        <v>0.21697623437572761</v>
      </c>
      <c r="AO248" s="16">
        <f>INDEX('Team forecast'!$B$2:$AO$26,MATCH('Master data'!$B248,'Team forecast'!$B$2:$B$26,0),MATCH('Master data'!AO$1,'Team forecast'!$B$2:$AO$2,0))</f>
        <v>2.9289171335903985</v>
      </c>
      <c r="AP248" s="16">
        <f>INDEX('Team forecast'!$B$2:$AO$26,MATCH('Master data'!$B248,'Team forecast'!$B$2:$B$26,0),MATCH('Master data'!AP$1,'Team forecast'!$B$2:$AO$2,0))</f>
        <v>4.5133807766996243</v>
      </c>
      <c r="AQ248" s="5">
        <f t="shared" si="106"/>
        <v>-5000</v>
      </c>
      <c r="AR248" s="5">
        <f>INDEX('Team forecast'!$B$2:$AO$26,MATCH('Master data'!$B248,'Team forecast'!$B$2:$B$26,0),MATCH('Master data'!AR$1,'Team forecast'!$B$2:$AO$2,0))*IF(X248&gt;0,25000,0)</f>
        <v>0</v>
      </c>
      <c r="AS248" s="16">
        <f>INDEX('Team forecast'!$B$2:$AO$26,MATCH('Master data'!$B248,'Team forecast'!$B$2:$B$26,0),MATCH('Master data'!AS$1,'Team forecast'!$B$2:$AO$2,0))*IF(X248&gt;0,5000,0)</f>
        <v>0</v>
      </c>
      <c r="AT248" s="16">
        <f>INDEX('Team forecast'!$B$2:$AO$26,MATCH('Master data'!$B248,'Team forecast'!$B$2:$B$26,0),MATCH('Master data'!AT$1,'Team forecast'!$B$2:$AO$2,0))*IF(X248&gt;0,-15000,0)</f>
        <v>0</v>
      </c>
      <c r="AU248" s="5">
        <f t="shared" si="107"/>
        <v>0</v>
      </c>
      <c r="AV248" s="5">
        <f t="shared" si="108"/>
        <v>0</v>
      </c>
      <c r="AW248" s="5">
        <f t="shared" si="109"/>
        <v>0</v>
      </c>
      <c r="AX248" s="5">
        <f t="shared" si="110"/>
        <v>0</v>
      </c>
      <c r="AY248" s="5">
        <f t="shared" si="111"/>
        <v>0</v>
      </c>
      <c r="AZ248" s="5">
        <f t="shared" si="112"/>
        <v>0</v>
      </c>
      <c r="BA248" s="5">
        <f t="shared" si="113"/>
        <v>0</v>
      </c>
      <c r="BB248" s="5">
        <f t="shared" si="114"/>
        <v>0</v>
      </c>
      <c r="BC248" s="5">
        <f t="shared" si="115"/>
        <v>0</v>
      </c>
      <c r="BD248" s="5">
        <f t="shared" si="116"/>
        <v>-5000</v>
      </c>
      <c r="BE248" s="16">
        <f>INDEX('Team forecast'!$B$2:$AO$26,MATCH('Master data'!$B248,'Team forecast'!$B$2:$B$26,0),MATCH('Master data'!BE$1,'Team forecast'!$B$2:$AO$2,0))</f>
        <v>1.5053002864585165</v>
      </c>
      <c r="BF248" s="16">
        <f>INDEX('Team forecast'!$B$2:$AO$26,MATCH('Master data'!$B248,'Team forecast'!$B$2:$B$26,0),MATCH('Master data'!BF$1,'Team forecast'!$B$2:$AO$2,0))</f>
        <v>0.95602347631827322</v>
      </c>
      <c r="BG248" s="16">
        <f>INDEX('Team forecast'!$B$2:$AO$26,MATCH('Master data'!$B248,'Team forecast'!$B$2:$B$26,0),MATCH('Master data'!BG$1,'Team forecast'!$B$2:$AO$2,0))</f>
        <v>0.38441849991338989</v>
      </c>
      <c r="BH248" s="16">
        <f>INDEX('Team forecast'!$B$2:$AO$26,MATCH('Master data'!$B248,'Team forecast'!$B$2:$B$26,0),MATCH('Master data'!BH$1,'Team forecast'!$B$2:$AO$2,0))</f>
        <v>3.7974620862930761</v>
      </c>
      <c r="BI248" s="16">
        <f>INDEX('Team forecast'!$B$2:$AO$26,MATCH('Master data'!$B248,'Team forecast'!$B$2:$B$26,0),MATCH('Master data'!BI$1,'Team forecast'!$B$2:$AO$2,0))</f>
        <v>2.8239462685093613</v>
      </c>
      <c r="BJ248" s="5">
        <f t="shared" si="117"/>
        <v>-5000</v>
      </c>
      <c r="BK248" s="5">
        <f>INDEX('Team forecast'!$R$3:$BH$26,MATCH($B248,'Team forecast'!$B$3:$B$26,0),MATCH(BK$1,'Team forecast'!$R$2:$BH$2,0))*IF($X248&gt;0,25000,0)</f>
        <v>0</v>
      </c>
      <c r="BL248" s="5">
        <f>INDEX('Team forecast'!$R$3:$BH$26,MATCH($B248,'Team forecast'!$B$3:$B$26,0),MATCH(BL$1,'Team forecast'!$R$2:$BH$2,0))*IF($X248&gt;0,5000,0)</f>
        <v>0</v>
      </c>
      <c r="BM248" s="5">
        <f>INDEX('Team forecast'!$R$3:$BH$26,MATCH($B248,'Team forecast'!$B$3:$B$26,0),MATCH(BM$1,'Team forecast'!$R$2:$BH$2,0))*IF($X248&gt;0,-15000,0)</f>
        <v>0</v>
      </c>
      <c r="BN248" s="5">
        <f t="shared" si="118"/>
        <v>0</v>
      </c>
      <c r="BO248" s="5">
        <f t="shared" si="119"/>
        <v>0</v>
      </c>
      <c r="BP248" s="5">
        <f t="shared" si="120"/>
        <v>0</v>
      </c>
      <c r="BQ248" s="5">
        <f t="shared" si="121"/>
        <v>0</v>
      </c>
      <c r="BR248" s="5">
        <f t="shared" si="122"/>
        <v>0</v>
      </c>
      <c r="BS248" s="5">
        <f t="shared" si="123"/>
        <v>0</v>
      </c>
      <c r="BT248" s="5">
        <f t="shared" si="124"/>
        <v>0</v>
      </c>
      <c r="BU248" s="5">
        <f t="shared" si="125"/>
        <v>0</v>
      </c>
      <c r="BV248" s="5">
        <f t="shared" si="126"/>
        <v>0</v>
      </c>
      <c r="BW248" s="5">
        <f t="shared" si="127"/>
        <v>-5000</v>
      </c>
      <c r="BX248" s="5">
        <f t="shared" si="128"/>
        <v>-5000</v>
      </c>
      <c r="BY248" s="5">
        <f t="shared" si="129"/>
        <v>-15000</v>
      </c>
      <c r="BZ248" s="5">
        <f>INDEX('Team forecast'!$R$3:$BH$26,MATCH($B248,'Team forecast'!$B$3:$B$26,0),MATCH(BZ$1,'Team forecast'!$R$2:$BH$2,0))*($BX248-(BY248+CH248)*0.01)</f>
        <v>-32361.976824151079</v>
      </c>
      <c r="CA248" s="5">
        <f>INDEX('Team forecast'!$R$3:$BH$26,MATCH($B248,'Team forecast'!$B$3:$B$26,0),MATCH(CA$1,'Team forecast'!$R$2:$BH$2,0))*($BX248-(BY248+BX248+CH248)*0.01)</f>
        <v>-16041.256378068008</v>
      </c>
      <c r="CB248" s="5">
        <f>INDEX('Team forecast'!$R$3:$BH$26,MATCH($B248,'Team forecast'!$B$3:$B$26,0),MATCH(CB$1,'Team forecast'!$R$2:$BH$2,0))*($BX248-(BY248+BX248*2+CH248)*0.01)</f>
        <v>-7898.2888442943586</v>
      </c>
      <c r="CC248" s="5">
        <f>INDEX('Team forecast'!$R$3:$BH$26,MATCH($B248,'Team forecast'!$B$3:$B$26,0),MATCH(CC$1,'Team forecast'!$R$2:$BH$2,0))*($BX248-(BY248+BX248*3+CH248)*0.01)</f>
        <v>-3799.5986188537595</v>
      </c>
      <c r="CD248" s="5">
        <f>+AK248+BD248*Cockpit!$C$3+BW248*Cockpit!$C$3^2+BZ248*Cockpit!$C$3^3+CA248*Cockpit!$C$3^4+CB248*Cockpit!$C$3^5+CC248*Cockpit!$C$3^6</f>
        <v>-24686.608989187</v>
      </c>
      <c r="CE248" s="5"/>
      <c r="CF248" s="5"/>
      <c r="CG248" s="5">
        <v>0</v>
      </c>
      <c r="CH248" s="5">
        <f t="shared" si="130"/>
        <v>3500000</v>
      </c>
      <c r="CI248" s="5">
        <f t="shared" si="131"/>
        <v>3500000</v>
      </c>
      <c r="CJ248" s="1">
        <f t="shared" si="132"/>
        <v>-4.2857142857142859E-3</v>
      </c>
      <c r="CK248" s="5">
        <f>RANK(BY248,$BY$2:$BY$623)+COUNTIF($BY$2:$BY248,$BY248)-1</f>
        <v>495</v>
      </c>
      <c r="CL248" s="5">
        <f>RANK(CJ248,$CJ$2:$CJ$623)+COUNTIF($CJ$2:$CJ248,$CJ248)-1</f>
        <v>473</v>
      </c>
    </row>
    <row r="249" spans="1:90">
      <c r="A249" t="str">
        <f>Players!P250</f>
        <v>Domagoj Vida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2500000</v>
      </c>
      <c r="H249" s="16">
        <f>INDEX('Team forecast'!$B$2:$AO$26,MATCH('Master data'!$B249,'Team forecast'!$B$2:$B$26,0),MATCH('Master data'!H$1,'Team forecast'!$B$2:$AO$2,0))</f>
        <v>0.74990395996081205</v>
      </c>
      <c r="I249" s="16">
        <f>INDEX('Team forecast'!$B$2:$AO$26,MATCH('Master data'!$B249,'Team forecast'!$B$2:$B$26,0),MATCH('Master data'!I$1,'Team forecast'!$B$2:$AO$2,0))</f>
        <v>1.5223243214152651</v>
      </c>
      <c r="J249" s="16">
        <f>INDEX('Team forecast'!$B$2:$AO$26,MATCH('Master data'!$B249,'Team forecast'!$B$2:$B$26,0),MATCH('Master data'!J$1,'Team forecast'!$B$2:$AO$2,0))</f>
        <v>0.21820412056434271</v>
      </c>
      <c r="K249" s="16">
        <f>INDEX('Team forecast'!$B$2:$AO$26,MATCH('Master data'!$B249,'Team forecast'!$B$2:$B$26,0),MATCH('Master data'!K$1,'Team forecast'!$B$2:$AO$2,0))</f>
        <v>2.1270003227979397</v>
      </c>
      <c r="L249" s="16">
        <f>INDEX('Team forecast'!$B$2:$AO$26,MATCH('Master data'!$B249,'Team forecast'!$B$2:$B$26,0),MATCH('Master data'!L$1,'Team forecast'!$B$2:$AO$2,0))</f>
        <v>4.9475540445996113</v>
      </c>
      <c r="M249">
        <f>IF(Players!BC250=1,95,0)</f>
        <v>95</v>
      </c>
      <c r="N249" s="2">
        <f>Players!BN250</f>
        <v>3.7372352173557152E-2</v>
      </c>
      <c r="O249" s="2">
        <f>Players!BO250</f>
        <v>6.5865542016798603E-2</v>
      </c>
      <c r="P249" s="2">
        <f>Players!BP250</f>
        <v>4.5131478810561974E-2</v>
      </c>
      <c r="Q249" s="2">
        <f>Players!BQ250</f>
        <v>0.3581980906921241</v>
      </c>
      <c r="R249" s="2">
        <f>Players!BR250</f>
        <v>0</v>
      </c>
      <c r="S249" s="2">
        <f t="shared" si="91"/>
        <v>0.74990395996081205</v>
      </c>
      <c r="T249" s="2">
        <f t="shared" si="92"/>
        <v>1.5223243214152651</v>
      </c>
      <c r="U249" s="16">
        <f>INDEX('Team forecast'!$B$2:$AO$26,MATCH('Master data'!$B249,'Team forecast'!$B$2:$B$26,0),MATCH('Master data'!U$1,'Team forecast'!$B$2:$AO$2,0))</f>
        <v>0.17178615309883699</v>
      </c>
      <c r="V249" s="16">
        <f>INDEX('Team forecast'!$B$2:$AO$26,MATCH('Master data'!$B249,'Team forecast'!$B$2:$B$26,0),MATCH('Master data'!V$1,'Team forecast'!$B$2:$AO$2,0))</f>
        <v>0.26245106723433442</v>
      </c>
      <c r="W249" s="16">
        <f>INDEX('Team forecast'!$B$2:$AO$26,MATCH('Master data'!$B249,'Team forecast'!$B$2:$B$26,0),MATCH('Master data'!W$1,'Team forecast'!$B$2:$AO$2,0))</f>
        <v>0.56576277966682864</v>
      </c>
      <c r="X249" s="5">
        <f t="shared" si="93"/>
        <v>7000</v>
      </c>
      <c r="Y249" s="5">
        <f t="shared" si="94"/>
        <v>4294.6538274709246</v>
      </c>
      <c r="Z249" s="5">
        <f t="shared" si="95"/>
        <v>1312.2553361716721</v>
      </c>
      <c r="AA249" s="5">
        <f t="shared" si="96"/>
        <v>-8486.4416950024297</v>
      </c>
      <c r="AB249" s="5">
        <f t="shared" si="97"/>
        <v>4203.8512332000855</v>
      </c>
      <c r="AC249" s="5">
        <f t="shared" si="98"/>
        <v>2469.6415391681262</v>
      </c>
      <c r="AD249" s="5">
        <f t="shared" si="99"/>
        <v>959.9466999841369</v>
      </c>
      <c r="AE249" s="5">
        <f t="shared" si="100"/>
        <v>10910.206028217135</v>
      </c>
      <c r="AF249" s="5">
        <f t="shared" si="101"/>
        <v>0</v>
      </c>
      <c r="AG249" s="5">
        <f t="shared" si="102"/>
        <v>-7163.9618138424821</v>
      </c>
      <c r="AH249" s="5">
        <f t="shared" si="103"/>
        <v>0</v>
      </c>
      <c r="AI249" s="5">
        <f t="shared" si="104"/>
        <v>7499.0395996081206</v>
      </c>
      <c r="AJ249" s="5">
        <f t="shared" si="105"/>
        <v>-12178.594571322121</v>
      </c>
      <c r="AK249" s="5">
        <f>IFERROR(SUM(X249:AJ249),-5000)*((Cockpit!$C$3)^0)</f>
        <v>10820.59618365317</v>
      </c>
      <c r="AL249" s="16">
        <f>INDEX('Team forecast'!$B$2:$AO$26,MATCH('Master data'!$B249,'Team forecast'!$B$2:$B$26,0),MATCH('Master data'!AL$1,'Team forecast'!$B$2:$AO$2,0))</f>
        <v>1.3846696653928885</v>
      </c>
      <c r="AM249" s="16">
        <f>INDEX('Team forecast'!$B$2:$AO$26,MATCH('Master data'!$B249,'Team forecast'!$B$2:$B$26,0),MATCH('Master data'!AM$1,'Team forecast'!$B$2:$AO$2,0))</f>
        <v>0.97920455728472433</v>
      </c>
      <c r="AN249" s="16">
        <f>INDEX('Team forecast'!$B$2:$AO$26,MATCH('Master data'!$B249,'Team forecast'!$B$2:$B$26,0),MATCH('Master data'!AN$1,'Team forecast'!$B$2:$AO$2,0))</f>
        <v>0.37560975609756098</v>
      </c>
      <c r="AO249" s="16">
        <f>INDEX('Team forecast'!$B$2:$AO$26,MATCH('Master data'!$B249,'Team forecast'!$B$2:$B$26,0),MATCH('Master data'!AO$1,'Team forecast'!$B$2:$AO$2,0))</f>
        <v>3.9274266872961929</v>
      </c>
      <c r="AP249" s="16">
        <f>INDEX('Team forecast'!$B$2:$AO$26,MATCH('Master data'!$B249,'Team forecast'!$B$2:$B$26,0),MATCH('Master data'!AP$1,'Team forecast'!$B$2:$AO$2,0))</f>
        <v>3.1824148111753541</v>
      </c>
      <c r="AQ249" s="5">
        <f t="shared" si="106"/>
        <v>7000</v>
      </c>
      <c r="AR249" s="5">
        <f>INDEX('Team forecast'!$B$2:$AO$26,MATCH('Master data'!$B249,'Team forecast'!$B$2:$B$26,0),MATCH('Master data'!AR$1,'Team forecast'!$B$2:$AO$2,0))*IF(X249&gt;0,25000,0)</f>
        <v>11178.861788617885</v>
      </c>
      <c r="AS249" s="16">
        <f>INDEX('Team forecast'!$B$2:$AO$26,MATCH('Master data'!$B249,'Team forecast'!$B$2:$B$26,0),MATCH('Master data'!AS$1,'Team forecast'!$B$2:$AO$2,0))*IF(X249&gt;0,5000,0)</f>
        <v>1422.7642276422764</v>
      </c>
      <c r="AT249" s="16">
        <f>INDEX('Team forecast'!$B$2:$AO$26,MATCH('Master data'!$B249,'Team forecast'!$B$2:$B$26,0),MATCH('Master data'!AT$1,'Team forecast'!$B$2:$AO$2,0))*IF(X249&gt;0,-15000,0)</f>
        <v>-4024.3902439024391</v>
      </c>
      <c r="AU249" s="5">
        <f t="shared" si="107"/>
        <v>7762.2543568656847</v>
      </c>
      <c r="AV249" s="5">
        <f t="shared" si="108"/>
        <v>4560.1009012660879</v>
      </c>
      <c r="AW249" s="5">
        <f t="shared" si="109"/>
        <v>1772.5057431774374</v>
      </c>
      <c r="AX249" s="5">
        <f t="shared" si="110"/>
        <v>18780.487804878048</v>
      </c>
      <c r="AY249" s="5">
        <f t="shared" si="111"/>
        <v>0</v>
      </c>
      <c r="AZ249" s="5">
        <f t="shared" si="112"/>
        <v>-7163.9618138424821</v>
      </c>
      <c r="BA249" s="5">
        <f t="shared" si="113"/>
        <v>0</v>
      </c>
      <c r="BB249" s="5">
        <f t="shared" si="114"/>
        <v>13846.696653928884</v>
      </c>
      <c r="BC249" s="5">
        <f t="shared" si="115"/>
        <v>-7833.6364582777951</v>
      </c>
      <c r="BD249" s="5">
        <f t="shared" si="116"/>
        <v>47301.682960353581</v>
      </c>
      <c r="BE249" s="16">
        <f>INDEX('Team forecast'!$B$2:$AO$26,MATCH('Master data'!$B249,'Team forecast'!$B$2:$B$26,0),MATCH('Master data'!BE$1,'Team forecast'!$B$2:$AO$2,0))</f>
        <v>1.5039270856478595</v>
      </c>
      <c r="BF249" s="16">
        <f>INDEX('Team forecast'!$B$2:$AO$26,MATCH('Master data'!$B249,'Team forecast'!$B$2:$B$26,0),MATCH('Master data'!BF$1,'Team forecast'!$B$2:$AO$2,0))</f>
        <v>0.82681690399773144</v>
      </c>
      <c r="BG249" s="16">
        <f>INDEX('Team forecast'!$B$2:$AO$26,MATCH('Master data'!$B249,'Team forecast'!$B$2:$B$26,0),MATCH('Master data'!BG$1,'Team forecast'!$B$2:$AO$2,0))</f>
        <v>0.43743948445487602</v>
      </c>
      <c r="BH249" s="16">
        <f>INDEX('Team forecast'!$B$2:$AO$26,MATCH('Master data'!$B249,'Team forecast'!$B$2:$B$26,0),MATCH('Master data'!BH$1,'Team forecast'!$B$2:$AO$2,0))</f>
        <v>4.2656840974739287</v>
      </c>
      <c r="BI249" s="16">
        <f>INDEX('Team forecast'!$B$2:$AO$26,MATCH('Master data'!$B249,'Team forecast'!$B$2:$B$26,0),MATCH('Master data'!BI$1,'Team forecast'!$B$2:$AO$2,0))</f>
        <v>2.6871549379926272</v>
      </c>
      <c r="BJ249" s="5">
        <f t="shared" si="117"/>
        <v>7000</v>
      </c>
      <c r="BK249" s="5">
        <f>INDEX('Team forecast'!$R$3:$BH$26,MATCH($B249,'Team forecast'!$B$3:$B$26,0),MATCH(BK$1,'Team forecast'!$R$2:$BH$2,0))*IF($X249&gt;0,25000,0)</f>
        <v>12935.038518826977</v>
      </c>
      <c r="BL249" s="5">
        <f>INDEX('Team forecast'!$R$3:$BH$26,MATCH($B249,'Team forecast'!$B$3:$B$26,0),MATCH(BL$1,'Team forecast'!$R$2:$BH$2,0))*IF($X249&gt;0,5000,0)</f>
        <v>1355.4462898601791</v>
      </c>
      <c r="BM249" s="5">
        <f>INDEX('Team forecast'!$R$3:$BH$26,MATCH($B249,'Team forecast'!$B$3:$B$26,0),MATCH(BM$1,'Team forecast'!$R$2:$BH$2,0))*IF($X249&gt;0,-15000,0)</f>
        <v>-3172.6380191232765</v>
      </c>
      <c r="BN249" s="5">
        <f t="shared" si="118"/>
        <v>8430.793903227488</v>
      </c>
      <c r="BO249" s="5">
        <f t="shared" si="119"/>
        <v>4952.8486324970281</v>
      </c>
      <c r="BP249" s="5">
        <f t="shared" si="120"/>
        <v>1925.1663145769578</v>
      </c>
      <c r="BQ249" s="5">
        <f t="shared" si="121"/>
        <v>21871.9742227438</v>
      </c>
      <c r="BR249" s="5">
        <f t="shared" si="122"/>
        <v>0</v>
      </c>
      <c r="BS249" s="5">
        <f t="shared" si="123"/>
        <v>-7163.9618138424821</v>
      </c>
      <c r="BT249" s="5">
        <f t="shared" si="124"/>
        <v>0</v>
      </c>
      <c r="BU249" s="5">
        <f t="shared" si="125"/>
        <v>15039.270856478595</v>
      </c>
      <c r="BV249" s="5">
        <f t="shared" si="126"/>
        <v>-6614.5352319818512</v>
      </c>
      <c r="BW249" s="5">
        <f t="shared" si="127"/>
        <v>56559.403673263419</v>
      </c>
      <c r="BX249" s="5">
        <f t="shared" si="128"/>
        <v>38227.227605756721</v>
      </c>
      <c r="BY249" s="5">
        <f t="shared" si="129"/>
        <v>114681.68281727016</v>
      </c>
      <c r="BZ249" s="5">
        <f>INDEX('Team forecast'!$R$3:$BH$26,MATCH($B249,'Team forecast'!$B$3:$B$26,0),MATCH(BZ$1,'Team forecast'!$R$2:$BH$2,0))*($BX249-(BY249+CH249)*0.01)</f>
        <v>9016.9471365598693</v>
      </c>
      <c r="CA249" s="5">
        <f>INDEX('Team forecast'!$R$3:$BH$26,MATCH($B249,'Team forecast'!$B$3:$B$26,0),MATCH(CA$1,'Team forecast'!$R$2:$BH$2,0))*($BX249-(BY249+BX249+CH249)*0.01)</f>
        <v>4315.0474879679277</v>
      </c>
      <c r="CB249" s="5">
        <f>INDEX('Team forecast'!$R$3:$BH$26,MATCH($B249,'Team forecast'!$B$3:$B$26,0),MATCH(CB$1,'Team forecast'!$R$2:$BH$2,0))*($BX249-(BY249+BX249*2+CH249)*0.01)</f>
        <v>2040.8071064980513</v>
      </c>
      <c r="CC249" s="5">
        <f>INDEX('Team forecast'!$R$3:$BH$26,MATCH($B249,'Team forecast'!$B$3:$B$26,0),MATCH(CC$1,'Team forecast'!$R$2:$BH$2,0))*($BX249-(BY249+BX249*3+CH249)*0.01)</f>
        <v>928.35496531885292</v>
      </c>
      <c r="CD249" s="5">
        <f>+AK249+BD249*Cockpit!$C$3+BW249*Cockpit!$C$3^2+BZ249*Cockpit!$C$3^3+CA249*Cockpit!$C$3^4+CB249*Cockpit!$C$3^5+CC249*Cockpit!$C$3^6</f>
        <v>71366.857265460712</v>
      </c>
      <c r="CE249" s="5"/>
      <c r="CF249" s="5"/>
      <c r="CG249" s="5">
        <v>0</v>
      </c>
      <c r="CH249" s="5">
        <f t="shared" si="130"/>
        <v>2500000</v>
      </c>
      <c r="CI249" s="5">
        <f t="shared" si="131"/>
        <v>2500000</v>
      </c>
      <c r="CJ249" s="1">
        <f t="shared" si="132"/>
        <v>4.5872673126908063E-2</v>
      </c>
      <c r="CK249" s="5">
        <f>RANK(BY249,$BY$2:$BY$623)+COUNTIF($BY$2:$BY249,$BY249)-1</f>
        <v>144</v>
      </c>
      <c r="CL249" s="5">
        <f>RANK(CJ249,$CJ$2:$CJ$623)+COUNTIF($CJ$2:$CJ249,$CJ249)-1</f>
        <v>47</v>
      </c>
    </row>
    <row r="250" spans="1:90">
      <c r="A250" t="str">
        <f>Players!P251</f>
        <v>Duje Ćaleta-Car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2500000</v>
      </c>
      <c r="H250" s="16">
        <f>INDEX('Team forecast'!$B$2:$AO$26,MATCH('Master data'!$B250,'Team forecast'!$B$2:$B$26,0),MATCH('Master data'!H$1,'Team forecast'!$B$2:$AO$2,0))</f>
        <v>0.74990395996081205</v>
      </c>
      <c r="I250" s="16">
        <f>INDEX('Team forecast'!$B$2:$AO$26,MATCH('Master data'!$B250,'Team forecast'!$B$2:$B$26,0),MATCH('Master data'!I$1,'Team forecast'!$B$2:$AO$2,0))</f>
        <v>1.5223243214152651</v>
      </c>
      <c r="J250" s="16">
        <f>INDEX('Team forecast'!$B$2:$AO$26,MATCH('Master data'!$B250,'Team forecast'!$B$2:$B$26,0),MATCH('Master data'!J$1,'Team forecast'!$B$2:$AO$2,0))</f>
        <v>0.21820412056434271</v>
      </c>
      <c r="K250" s="16">
        <f>INDEX('Team forecast'!$B$2:$AO$26,MATCH('Master data'!$B250,'Team forecast'!$B$2:$B$26,0),MATCH('Master data'!K$1,'Team forecast'!$B$2:$AO$2,0))</f>
        <v>2.1270003227979397</v>
      </c>
      <c r="L250" s="16">
        <f>INDEX('Team forecast'!$B$2:$AO$26,MATCH('Master data'!$B250,'Team forecast'!$B$2:$B$26,0),MATCH('Master data'!L$1,'Team forecast'!$B$2:$AO$2,0))</f>
        <v>4.9475540445996113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0.37784090909090906</v>
      </c>
      <c r="R250" s="2">
        <f>Players!BR251</f>
        <v>3.1960227272727272E-2</v>
      </c>
      <c r="S250" s="2">
        <f t="shared" si="91"/>
        <v>0.74990395996081205</v>
      </c>
      <c r="T250" s="2">
        <f t="shared" si="92"/>
        <v>1.5223243214152651</v>
      </c>
      <c r="U250" s="16">
        <f>INDEX('Team forecast'!$B$2:$AO$26,MATCH('Master data'!$B250,'Team forecast'!$B$2:$B$26,0),MATCH('Master data'!U$1,'Team forecast'!$B$2:$AO$2,0))</f>
        <v>0.17178615309883699</v>
      </c>
      <c r="V250" s="16">
        <f>INDEX('Team forecast'!$B$2:$AO$26,MATCH('Master data'!$B250,'Team forecast'!$B$2:$B$26,0),MATCH('Master data'!V$1,'Team forecast'!$B$2:$AO$2,0))</f>
        <v>0.26245106723433442</v>
      </c>
      <c r="W250" s="16">
        <f>INDEX('Team forecast'!$B$2:$AO$26,MATCH('Master data'!$B250,'Team forecast'!$B$2:$B$26,0),MATCH('Master data'!W$1,'Team forecast'!$B$2:$AO$2,0))</f>
        <v>0.56576277966682864</v>
      </c>
      <c r="X250" s="5">
        <f t="shared" si="93"/>
        <v>-5000</v>
      </c>
      <c r="Y250" s="5">
        <f t="shared" si="94"/>
        <v>0</v>
      </c>
      <c r="Z250" s="5">
        <f t="shared" si="95"/>
        <v>0</v>
      </c>
      <c r="AA250" s="5">
        <f t="shared" si="96"/>
        <v>0</v>
      </c>
      <c r="AB250" s="5">
        <f t="shared" si="97"/>
        <v>0</v>
      </c>
      <c r="AC250" s="5">
        <f t="shared" si="98"/>
        <v>0</v>
      </c>
      <c r="AD250" s="5">
        <f t="shared" si="99"/>
        <v>0</v>
      </c>
      <c r="AE250" s="5">
        <f t="shared" si="100"/>
        <v>10910.206028217135</v>
      </c>
      <c r="AF250" s="5">
        <f t="shared" si="101"/>
        <v>0</v>
      </c>
      <c r="AG250" s="5">
        <f t="shared" si="102"/>
        <v>0</v>
      </c>
      <c r="AH250" s="5">
        <f t="shared" si="103"/>
        <v>0</v>
      </c>
      <c r="AI250" s="5">
        <f t="shared" si="104"/>
        <v>0</v>
      </c>
      <c r="AJ250" s="5">
        <f t="shared" si="105"/>
        <v>0</v>
      </c>
      <c r="AK250" s="5">
        <f>IFERROR(SUM(X250:AJ250),-5000)*((Cockpit!$C$3)^0)</f>
        <v>5910.2060282171351</v>
      </c>
      <c r="AL250" s="16">
        <f>INDEX('Team forecast'!$B$2:$AO$26,MATCH('Master data'!$B250,'Team forecast'!$B$2:$B$26,0),MATCH('Master data'!AL$1,'Team forecast'!$B$2:$AO$2,0))</f>
        <v>1.3846696653928885</v>
      </c>
      <c r="AM250" s="16">
        <f>INDEX('Team forecast'!$B$2:$AO$26,MATCH('Master data'!$B250,'Team forecast'!$B$2:$B$26,0),MATCH('Master data'!AM$1,'Team forecast'!$B$2:$AO$2,0))</f>
        <v>0.97920455728472433</v>
      </c>
      <c r="AN250" s="16">
        <f>INDEX('Team forecast'!$B$2:$AO$26,MATCH('Master data'!$B250,'Team forecast'!$B$2:$B$26,0),MATCH('Master data'!AN$1,'Team forecast'!$B$2:$AO$2,0))</f>
        <v>0.37560975609756098</v>
      </c>
      <c r="AO250" s="16">
        <f>INDEX('Team forecast'!$B$2:$AO$26,MATCH('Master data'!$B250,'Team forecast'!$B$2:$B$26,0),MATCH('Master data'!AO$1,'Team forecast'!$B$2:$AO$2,0))</f>
        <v>3.9274266872961929</v>
      </c>
      <c r="AP250" s="16">
        <f>INDEX('Team forecast'!$B$2:$AO$26,MATCH('Master data'!$B250,'Team forecast'!$B$2:$B$26,0),MATCH('Master data'!AP$1,'Team forecast'!$B$2:$AO$2,0))</f>
        <v>3.1824148111753541</v>
      </c>
      <c r="AQ250" s="5">
        <f t="shared" si="106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107"/>
        <v>0</v>
      </c>
      <c r="AV250" s="5">
        <f t="shared" si="108"/>
        <v>0</v>
      </c>
      <c r="AW250" s="5">
        <f t="shared" si="109"/>
        <v>0</v>
      </c>
      <c r="AX250" s="5">
        <f t="shared" si="110"/>
        <v>18780.487804878048</v>
      </c>
      <c r="AY250" s="5">
        <f t="shared" si="111"/>
        <v>0</v>
      </c>
      <c r="AZ250" s="5">
        <f t="shared" si="112"/>
        <v>0</v>
      </c>
      <c r="BA250" s="5">
        <f t="shared" si="113"/>
        <v>0</v>
      </c>
      <c r="BB250" s="5">
        <f t="shared" si="114"/>
        <v>0</v>
      </c>
      <c r="BC250" s="5">
        <f t="shared" si="115"/>
        <v>0</v>
      </c>
      <c r="BD250" s="5">
        <f t="shared" si="116"/>
        <v>13780.487804878048</v>
      </c>
      <c r="BE250" s="16">
        <f>INDEX('Team forecast'!$B$2:$AO$26,MATCH('Master data'!$B250,'Team forecast'!$B$2:$B$26,0),MATCH('Master data'!BE$1,'Team forecast'!$B$2:$AO$2,0))</f>
        <v>1.5039270856478595</v>
      </c>
      <c r="BF250" s="16">
        <f>INDEX('Team forecast'!$B$2:$AO$26,MATCH('Master data'!$B250,'Team forecast'!$B$2:$B$26,0),MATCH('Master data'!BF$1,'Team forecast'!$B$2:$AO$2,0))</f>
        <v>0.82681690399773144</v>
      </c>
      <c r="BG250" s="16">
        <f>INDEX('Team forecast'!$B$2:$AO$26,MATCH('Master data'!$B250,'Team forecast'!$B$2:$B$26,0),MATCH('Master data'!BG$1,'Team forecast'!$B$2:$AO$2,0))</f>
        <v>0.43743948445487602</v>
      </c>
      <c r="BH250" s="16">
        <f>INDEX('Team forecast'!$B$2:$AO$26,MATCH('Master data'!$B250,'Team forecast'!$B$2:$B$26,0),MATCH('Master data'!BH$1,'Team forecast'!$B$2:$AO$2,0))</f>
        <v>4.2656840974739287</v>
      </c>
      <c r="BI250" s="16">
        <f>INDEX('Team forecast'!$B$2:$AO$26,MATCH('Master data'!$B250,'Team forecast'!$B$2:$B$26,0),MATCH('Master data'!BI$1,'Team forecast'!$B$2:$AO$2,0))</f>
        <v>2.6871549379926272</v>
      </c>
      <c r="BJ250" s="5">
        <f t="shared" si="117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118"/>
        <v>0</v>
      </c>
      <c r="BO250" s="5">
        <f t="shared" si="119"/>
        <v>0</v>
      </c>
      <c r="BP250" s="5">
        <f t="shared" si="120"/>
        <v>0</v>
      </c>
      <c r="BQ250" s="5">
        <f t="shared" si="121"/>
        <v>21871.9742227438</v>
      </c>
      <c r="BR250" s="5">
        <f t="shared" si="122"/>
        <v>0</v>
      </c>
      <c r="BS250" s="5">
        <f t="shared" si="123"/>
        <v>0</v>
      </c>
      <c r="BT250" s="5">
        <f t="shared" si="124"/>
        <v>0</v>
      </c>
      <c r="BU250" s="5">
        <f t="shared" si="125"/>
        <v>0</v>
      </c>
      <c r="BV250" s="5">
        <f t="shared" si="126"/>
        <v>0</v>
      </c>
      <c r="BW250" s="5">
        <f t="shared" si="127"/>
        <v>16871.9742227438</v>
      </c>
      <c r="BX250" s="5">
        <f t="shared" si="128"/>
        <v>12187.556018612993</v>
      </c>
      <c r="BY250" s="5">
        <f t="shared" si="129"/>
        <v>36562.668055838978</v>
      </c>
      <c r="BZ250" s="5">
        <f>INDEX('Team forecast'!$R$3:$BH$26,MATCH($B250,'Team forecast'!$B$3:$B$26,0),MATCH(BZ$1,'Team forecast'!$R$2:$BH$2,0))*($BX250-(BY250+CH250)*0.01)</f>
        <v>-9836.2521530394806</v>
      </c>
      <c r="CA250" s="5">
        <f>INDEX('Team forecast'!$R$3:$BH$26,MATCH($B250,'Team forecast'!$B$3:$B$26,0),MATCH(CA$1,'Team forecast'!$R$2:$BH$2,0))*($BX250-(BY250+BX250+CH250)*0.01)</f>
        <v>-4905.9001591089518</v>
      </c>
      <c r="CB250" s="5">
        <f>INDEX('Team forecast'!$R$3:$BH$26,MATCH($B250,'Team forecast'!$B$3:$B$26,0),MATCH(CB$1,'Team forecast'!$R$2:$BH$2,0))*($BX250-(BY250+BX250*2+CH250)*0.01)</f>
        <v>-2420.6144478673559</v>
      </c>
      <c r="CC250" s="5">
        <f>INDEX('Team forecast'!$R$3:$BH$26,MATCH($B250,'Team forecast'!$B$3:$B$26,0),MATCH(CC$1,'Team forecast'!$R$2:$BH$2,0))*($BX250-(BY250+BX250*3+CH250)*0.01)</f>
        <v>-1149.9749062261553</v>
      </c>
      <c r="CD250" s="5">
        <f>+AK250+BD250*Cockpit!$C$3+BW250*Cockpit!$C$3^2+BZ250*Cockpit!$C$3^3+CA250*Cockpit!$C$3^4+CB250*Cockpit!$C$3^5+CC250*Cockpit!$C$3^6</f>
        <v>18292.6192687902</v>
      </c>
      <c r="CE250" s="5"/>
      <c r="CF250" s="5"/>
      <c r="CG250" s="5">
        <v>0</v>
      </c>
      <c r="CH250" s="5">
        <f t="shared" si="130"/>
        <v>2500000</v>
      </c>
      <c r="CI250" s="5">
        <f t="shared" si="131"/>
        <v>2500000</v>
      </c>
      <c r="CJ250" s="1">
        <f t="shared" si="132"/>
        <v>1.4625067222335591E-2</v>
      </c>
      <c r="CK250" s="5">
        <f>RANK(BY250,$BY$2:$BY$623)+COUNTIF($BY$2:$BY250,$BY250)-1</f>
        <v>319</v>
      </c>
      <c r="CL250" s="5">
        <f>RANK(CJ250,$CJ$2:$CJ$623)+COUNTIF($CJ$2:$CJ250,$CJ250)-1</f>
        <v>308</v>
      </c>
    </row>
    <row r="251" spans="1:90">
      <c r="A251" t="str">
        <f>Players!P252</f>
        <v>Šime Vrsaljko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3000000</v>
      </c>
      <c r="H251" s="16">
        <f>INDEX('Team forecast'!$B$2:$AO$26,MATCH('Master data'!$B251,'Team forecast'!$B$2:$B$26,0),MATCH('Master data'!H$1,'Team forecast'!$B$2:$AO$2,0))</f>
        <v>0.74990395996081205</v>
      </c>
      <c r="I251" s="16">
        <f>INDEX('Team forecast'!$B$2:$AO$26,MATCH('Master data'!$B251,'Team forecast'!$B$2:$B$26,0),MATCH('Master data'!I$1,'Team forecast'!$B$2:$AO$2,0))</f>
        <v>1.5223243214152651</v>
      </c>
      <c r="J251" s="16">
        <f>INDEX('Team forecast'!$B$2:$AO$26,MATCH('Master data'!$B251,'Team forecast'!$B$2:$B$26,0),MATCH('Master data'!J$1,'Team forecast'!$B$2:$AO$2,0))</f>
        <v>0.21820412056434271</v>
      </c>
      <c r="K251" s="16">
        <f>INDEX('Team forecast'!$B$2:$AO$26,MATCH('Master data'!$B251,'Team forecast'!$B$2:$B$26,0),MATCH('Master data'!K$1,'Team forecast'!$B$2:$AO$2,0))</f>
        <v>2.1270003227979397</v>
      </c>
      <c r="L251" s="16">
        <f>INDEX('Team forecast'!$B$2:$AO$26,MATCH('Master data'!$B251,'Team forecast'!$B$2:$B$26,0),MATCH('Master data'!L$1,'Team forecast'!$B$2:$AO$2,0))</f>
        <v>4.9475540445996113</v>
      </c>
      <c r="M251">
        <f>IF(Players!BC252=1,95,0)</f>
        <v>95</v>
      </c>
      <c r="N251" s="2">
        <f>Players!BN252</f>
        <v>2.2096805569602109E-2</v>
      </c>
      <c r="O251" s="2">
        <f>Players!BO252</f>
        <v>3.2567016617768896E-2</v>
      </c>
      <c r="P251" s="2">
        <f>Players!BP252</f>
        <v>0</v>
      </c>
      <c r="Q251" s="2">
        <f>Players!BQ252</f>
        <v>0.17341040462427745</v>
      </c>
      <c r="R251" s="2">
        <f>Players!BR252</f>
        <v>0</v>
      </c>
      <c r="S251" s="2">
        <f t="shared" si="91"/>
        <v>0.74990395996081205</v>
      </c>
      <c r="T251" s="2">
        <f t="shared" si="92"/>
        <v>1.5223243214152651</v>
      </c>
      <c r="U251" s="16">
        <f>INDEX('Team forecast'!$B$2:$AO$26,MATCH('Master data'!$B251,'Team forecast'!$B$2:$B$26,0),MATCH('Master data'!U$1,'Team forecast'!$B$2:$AO$2,0))</f>
        <v>0.17178615309883699</v>
      </c>
      <c r="V251" s="16">
        <f>INDEX('Team forecast'!$B$2:$AO$26,MATCH('Master data'!$B251,'Team forecast'!$B$2:$B$26,0),MATCH('Master data'!V$1,'Team forecast'!$B$2:$AO$2,0))</f>
        <v>0.26245106723433442</v>
      </c>
      <c r="W251" s="16">
        <f>INDEX('Team forecast'!$B$2:$AO$26,MATCH('Master data'!$B251,'Team forecast'!$B$2:$B$26,0),MATCH('Master data'!W$1,'Team forecast'!$B$2:$AO$2,0))</f>
        <v>0.56576277966682864</v>
      </c>
      <c r="X251" s="5">
        <f t="shared" si="93"/>
        <v>7000</v>
      </c>
      <c r="Y251" s="5">
        <f t="shared" si="94"/>
        <v>4294.6538274709246</v>
      </c>
      <c r="Z251" s="5">
        <f t="shared" si="95"/>
        <v>1312.2553361716721</v>
      </c>
      <c r="AA251" s="5">
        <f t="shared" si="96"/>
        <v>-8486.4416950024297</v>
      </c>
      <c r="AB251" s="5">
        <f t="shared" si="97"/>
        <v>2485.5722998693122</v>
      </c>
      <c r="AC251" s="5">
        <f t="shared" si="98"/>
        <v>1221.1067362887234</v>
      </c>
      <c r="AD251" s="5">
        <f t="shared" si="99"/>
        <v>0</v>
      </c>
      <c r="AE251" s="5">
        <f t="shared" si="100"/>
        <v>10910.206028217135</v>
      </c>
      <c r="AF251" s="5">
        <f t="shared" si="101"/>
        <v>0</v>
      </c>
      <c r="AG251" s="5">
        <f t="shared" si="102"/>
        <v>-3468.2080924855491</v>
      </c>
      <c r="AH251" s="5">
        <f t="shared" si="103"/>
        <v>0</v>
      </c>
      <c r="AI251" s="5">
        <f t="shared" si="104"/>
        <v>7499.0395996081206</v>
      </c>
      <c r="AJ251" s="5">
        <f t="shared" si="105"/>
        <v>-12178.594571322121</v>
      </c>
      <c r="AK251" s="5">
        <f>IFERROR(SUM(X251:AJ251),-5000)*((Cockpit!$C$3)^0)</f>
        <v>10589.589468815788</v>
      </c>
      <c r="AL251" s="16">
        <f>INDEX('Team forecast'!$B$2:$AO$26,MATCH('Master data'!$B251,'Team forecast'!$B$2:$B$26,0),MATCH('Master data'!AL$1,'Team forecast'!$B$2:$AO$2,0))</f>
        <v>1.3846696653928885</v>
      </c>
      <c r="AM251" s="16">
        <f>INDEX('Team forecast'!$B$2:$AO$26,MATCH('Master data'!$B251,'Team forecast'!$B$2:$B$26,0),MATCH('Master data'!AM$1,'Team forecast'!$B$2:$AO$2,0))</f>
        <v>0.97920455728472433</v>
      </c>
      <c r="AN251" s="16">
        <f>INDEX('Team forecast'!$B$2:$AO$26,MATCH('Master data'!$B251,'Team forecast'!$B$2:$B$26,0),MATCH('Master data'!AN$1,'Team forecast'!$B$2:$AO$2,0))</f>
        <v>0.37560975609756098</v>
      </c>
      <c r="AO251" s="16">
        <f>INDEX('Team forecast'!$B$2:$AO$26,MATCH('Master data'!$B251,'Team forecast'!$B$2:$B$26,0),MATCH('Master data'!AO$1,'Team forecast'!$B$2:$AO$2,0))</f>
        <v>3.9274266872961929</v>
      </c>
      <c r="AP251" s="16">
        <f>INDEX('Team forecast'!$B$2:$AO$26,MATCH('Master data'!$B251,'Team forecast'!$B$2:$B$26,0),MATCH('Master data'!AP$1,'Team forecast'!$B$2:$AO$2,0))</f>
        <v>3.1824148111753541</v>
      </c>
      <c r="AQ251" s="5">
        <f t="shared" si="106"/>
        <v>7000</v>
      </c>
      <c r="AR251" s="5">
        <f>INDEX('Team forecast'!$B$2:$AO$26,MATCH('Master data'!$B251,'Team forecast'!$B$2:$B$26,0),MATCH('Master data'!AR$1,'Team forecast'!$B$2:$AO$2,0))*IF(X251&gt;0,25000,0)</f>
        <v>11178.861788617885</v>
      </c>
      <c r="AS251" s="16">
        <f>INDEX('Team forecast'!$B$2:$AO$26,MATCH('Master data'!$B251,'Team forecast'!$B$2:$B$26,0),MATCH('Master data'!AS$1,'Team forecast'!$B$2:$AO$2,0))*IF(X251&gt;0,5000,0)</f>
        <v>1422.7642276422764</v>
      </c>
      <c r="AT251" s="16">
        <f>INDEX('Team forecast'!$B$2:$AO$26,MATCH('Master data'!$B251,'Team forecast'!$B$2:$B$26,0),MATCH('Master data'!AT$1,'Team forecast'!$B$2:$AO$2,0))*IF(X251&gt;0,-15000,0)</f>
        <v>-4024.3902439024391</v>
      </c>
      <c r="AU251" s="5">
        <f t="shared" si="107"/>
        <v>4589.5164561469001</v>
      </c>
      <c r="AV251" s="5">
        <f t="shared" si="108"/>
        <v>2254.7280001485346</v>
      </c>
      <c r="AW251" s="5">
        <f t="shared" si="109"/>
        <v>0</v>
      </c>
      <c r="AX251" s="5">
        <f t="shared" si="110"/>
        <v>18780.487804878048</v>
      </c>
      <c r="AY251" s="5">
        <f t="shared" si="111"/>
        <v>0</v>
      </c>
      <c r="AZ251" s="5">
        <f t="shared" si="112"/>
        <v>-3468.2080924855491</v>
      </c>
      <c r="BA251" s="5">
        <f t="shared" si="113"/>
        <v>0</v>
      </c>
      <c r="BB251" s="5">
        <f t="shared" si="114"/>
        <v>13846.696653928884</v>
      </c>
      <c r="BC251" s="5">
        <f t="shared" si="115"/>
        <v>-7833.6364582777951</v>
      </c>
      <c r="BD251" s="5">
        <f t="shared" si="116"/>
        <v>43746.820136696741</v>
      </c>
      <c r="BE251" s="16">
        <f>INDEX('Team forecast'!$B$2:$AO$26,MATCH('Master data'!$B251,'Team forecast'!$B$2:$B$26,0),MATCH('Master data'!BE$1,'Team forecast'!$B$2:$AO$2,0))</f>
        <v>1.5039270856478595</v>
      </c>
      <c r="BF251" s="16">
        <f>INDEX('Team forecast'!$B$2:$AO$26,MATCH('Master data'!$B251,'Team forecast'!$B$2:$B$26,0),MATCH('Master data'!BF$1,'Team forecast'!$B$2:$AO$2,0))</f>
        <v>0.82681690399773144</v>
      </c>
      <c r="BG251" s="16">
        <f>INDEX('Team forecast'!$B$2:$AO$26,MATCH('Master data'!$B251,'Team forecast'!$B$2:$B$26,0),MATCH('Master data'!BG$1,'Team forecast'!$B$2:$AO$2,0))</f>
        <v>0.43743948445487602</v>
      </c>
      <c r="BH251" s="16">
        <f>INDEX('Team forecast'!$B$2:$AO$26,MATCH('Master data'!$B251,'Team forecast'!$B$2:$B$26,0),MATCH('Master data'!BH$1,'Team forecast'!$B$2:$AO$2,0))</f>
        <v>4.2656840974739287</v>
      </c>
      <c r="BI251" s="16">
        <f>INDEX('Team forecast'!$B$2:$AO$26,MATCH('Master data'!$B251,'Team forecast'!$B$2:$B$26,0),MATCH('Master data'!BI$1,'Team forecast'!$B$2:$AO$2,0))</f>
        <v>2.6871549379926272</v>
      </c>
      <c r="BJ251" s="5">
        <f t="shared" si="117"/>
        <v>7000</v>
      </c>
      <c r="BK251" s="5">
        <f>INDEX('Team forecast'!$R$3:$BH$26,MATCH($B251,'Team forecast'!$B$3:$B$26,0),MATCH(BK$1,'Team forecast'!$R$2:$BH$2,0))*IF($X251&gt;0,25000,0)</f>
        <v>12935.038518826977</v>
      </c>
      <c r="BL251" s="5">
        <f>INDEX('Team forecast'!$R$3:$BH$26,MATCH($B251,'Team forecast'!$B$3:$B$26,0),MATCH(BL$1,'Team forecast'!$R$2:$BH$2,0))*IF($X251&gt;0,5000,0)</f>
        <v>1355.4462898601791</v>
      </c>
      <c r="BM251" s="5">
        <f>INDEX('Team forecast'!$R$3:$BH$26,MATCH($B251,'Team forecast'!$B$3:$B$26,0),MATCH(BM$1,'Team forecast'!$R$2:$BH$2,0))*IF($X251&gt;0,-15000,0)</f>
        <v>-3172.6380191232765</v>
      </c>
      <c r="BN251" s="5">
        <f t="shared" si="118"/>
        <v>4984.7976603628631</v>
      </c>
      <c r="BO251" s="5">
        <f t="shared" si="119"/>
        <v>2448.9209195103294</v>
      </c>
      <c r="BP251" s="5">
        <f t="shared" si="120"/>
        <v>0</v>
      </c>
      <c r="BQ251" s="5">
        <f t="shared" si="121"/>
        <v>21871.9742227438</v>
      </c>
      <c r="BR251" s="5">
        <f t="shared" si="122"/>
        <v>0</v>
      </c>
      <c r="BS251" s="5">
        <f t="shared" si="123"/>
        <v>-3468.2080924855491</v>
      </c>
      <c r="BT251" s="5">
        <f t="shared" si="124"/>
        <v>0</v>
      </c>
      <c r="BU251" s="5">
        <f t="shared" si="125"/>
        <v>15039.270856478595</v>
      </c>
      <c r="BV251" s="5">
        <f t="shared" si="126"/>
        <v>-6614.5352319818512</v>
      </c>
      <c r="BW251" s="5">
        <f t="shared" si="127"/>
        <v>52380.067124192072</v>
      </c>
      <c r="BX251" s="5">
        <f t="shared" si="128"/>
        <v>35572.158909901533</v>
      </c>
      <c r="BY251" s="5">
        <f t="shared" si="129"/>
        <v>106716.47672970459</v>
      </c>
      <c r="BZ251" s="5">
        <f>INDEX('Team forecast'!$R$3:$BH$26,MATCH($B251,'Team forecast'!$B$3:$B$26,0),MATCH(BZ$1,'Team forecast'!$R$2:$BH$2,0))*($BX251-(BY251+CH251)*0.01)</f>
        <v>3362.5755599099271</v>
      </c>
      <c r="CA251" s="5">
        <f>INDEX('Team forecast'!$R$3:$BH$26,MATCH($B251,'Team forecast'!$B$3:$B$26,0),MATCH(CA$1,'Team forecast'!$R$2:$BH$2,0))*($BX251-(BY251+BX251+CH251)*0.01)</f>
        <v>1530.5262548021442</v>
      </c>
      <c r="CB251" s="5">
        <f>INDEX('Team forecast'!$R$3:$BH$26,MATCH($B251,'Team forecast'!$B$3:$B$26,0),MATCH(CB$1,'Team forecast'!$R$2:$BH$2,0))*($BX251-(BY251+BX251*2+CH251)*0.01)</f>
        <v>684.16377613216582</v>
      </c>
      <c r="CC251" s="5">
        <f>INDEX('Team forecast'!$R$3:$BH$26,MATCH($B251,'Team forecast'!$B$3:$B$26,0),MATCH(CC$1,'Team forecast'!$R$2:$BH$2,0))*($BX251-(BY251+BX251*3+CH251)*0.01)</f>
        <v>291.90090516005597</v>
      </c>
      <c r="CD251" s="5">
        <f>+AK251+BD251*Cockpit!$C$3+BW251*Cockpit!$C$3^2+BZ251*Cockpit!$C$3^3+CA251*Cockpit!$C$3^4+CB251*Cockpit!$C$3^5+CC251*Cockpit!$C$3^6</f>
        <v>64448.532976008966</v>
      </c>
      <c r="CE251" s="5"/>
      <c r="CF251" s="5"/>
      <c r="CG251" s="5">
        <v>0</v>
      </c>
      <c r="CH251" s="5">
        <f t="shared" si="130"/>
        <v>3000000</v>
      </c>
      <c r="CI251" s="5">
        <f t="shared" si="131"/>
        <v>3000000</v>
      </c>
      <c r="CJ251" s="1">
        <f t="shared" si="132"/>
        <v>3.5572158909901529E-2</v>
      </c>
      <c r="CK251" s="5">
        <f>RANK(BY251,$BY$2:$BY$623)+COUNTIF($BY$2:$BY251,$BY251)-1</f>
        <v>156</v>
      </c>
      <c r="CL251" s="5">
        <f>RANK(CJ251,$CJ$2:$CJ$623)+COUNTIF($CJ$2:$CJ251,$CJ251)-1</f>
        <v>98</v>
      </c>
    </row>
    <row r="252" spans="1:90">
      <c r="A252" t="str">
        <f>Players!P253</f>
        <v>Dejan Lovren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3000000</v>
      </c>
      <c r="H252" s="16">
        <f>INDEX('Team forecast'!$B$2:$AO$26,MATCH('Master data'!$B252,'Team forecast'!$B$2:$B$26,0),MATCH('Master data'!H$1,'Team forecast'!$B$2:$AO$2,0))</f>
        <v>0.74990395996081205</v>
      </c>
      <c r="I252" s="16">
        <f>INDEX('Team forecast'!$B$2:$AO$26,MATCH('Master data'!$B252,'Team forecast'!$B$2:$B$26,0),MATCH('Master data'!I$1,'Team forecast'!$B$2:$AO$2,0))</f>
        <v>1.5223243214152651</v>
      </c>
      <c r="J252" s="16">
        <f>INDEX('Team forecast'!$B$2:$AO$26,MATCH('Master data'!$B252,'Team forecast'!$B$2:$B$26,0),MATCH('Master data'!J$1,'Team forecast'!$B$2:$AO$2,0))</f>
        <v>0.21820412056434271</v>
      </c>
      <c r="K252" s="16">
        <f>INDEX('Team forecast'!$B$2:$AO$26,MATCH('Master data'!$B252,'Team forecast'!$B$2:$B$26,0),MATCH('Master data'!K$1,'Team forecast'!$B$2:$AO$2,0))</f>
        <v>2.1270003227979397</v>
      </c>
      <c r="L252" s="16">
        <f>INDEX('Team forecast'!$B$2:$AO$26,MATCH('Master data'!$B252,'Team forecast'!$B$2:$B$26,0),MATCH('Master data'!L$1,'Team forecast'!$B$2:$AO$2,0))</f>
        <v>4.9475540445996113</v>
      </c>
      <c r="M252">
        <f>IF(Players!BC253=1,95,0)</f>
        <v>95</v>
      </c>
      <c r="N252" s="2">
        <f>Players!BN253</f>
        <v>3.7396695674121225E-2</v>
      </c>
      <c r="O252" s="2">
        <f>Players!BO253</f>
        <v>1.6283508308884448E-2</v>
      </c>
      <c r="P252" s="2">
        <f>Players!BP253</f>
        <v>1.5067800495319097E-2</v>
      </c>
      <c r="Q252" s="2">
        <f>Players!BQ253</f>
        <v>0.32171314741035856</v>
      </c>
      <c r="R252" s="2">
        <f>Players!BR253</f>
        <v>0</v>
      </c>
      <c r="S252" s="2">
        <f t="shared" si="91"/>
        <v>0.74990395996081205</v>
      </c>
      <c r="T252" s="2">
        <f t="shared" si="92"/>
        <v>1.5223243214152651</v>
      </c>
      <c r="U252" s="16">
        <f>INDEX('Team forecast'!$B$2:$AO$26,MATCH('Master data'!$B252,'Team forecast'!$B$2:$B$26,0),MATCH('Master data'!U$1,'Team forecast'!$B$2:$AO$2,0))</f>
        <v>0.17178615309883699</v>
      </c>
      <c r="V252" s="16">
        <f>INDEX('Team forecast'!$B$2:$AO$26,MATCH('Master data'!$B252,'Team forecast'!$B$2:$B$26,0),MATCH('Master data'!V$1,'Team forecast'!$B$2:$AO$2,0))</f>
        <v>0.26245106723433442</v>
      </c>
      <c r="W252" s="16">
        <f>INDEX('Team forecast'!$B$2:$AO$26,MATCH('Master data'!$B252,'Team forecast'!$B$2:$B$26,0),MATCH('Master data'!W$1,'Team forecast'!$B$2:$AO$2,0))</f>
        <v>0.56576277966682864</v>
      </c>
      <c r="X252" s="5">
        <f t="shared" si="93"/>
        <v>7000</v>
      </c>
      <c r="Y252" s="5">
        <f t="shared" si="94"/>
        <v>4294.6538274709246</v>
      </c>
      <c r="Z252" s="5">
        <f t="shared" si="95"/>
        <v>1312.2553361716721</v>
      </c>
      <c r="AA252" s="5">
        <f t="shared" si="96"/>
        <v>-8486.4416950024297</v>
      </c>
      <c r="AB252" s="5">
        <f t="shared" si="97"/>
        <v>4206.5895263209313</v>
      </c>
      <c r="AC252" s="5">
        <f t="shared" si="98"/>
        <v>610.55336814436168</v>
      </c>
      <c r="AD252" s="5">
        <f t="shared" si="99"/>
        <v>320.49216517398679</v>
      </c>
      <c r="AE252" s="5">
        <f t="shared" si="100"/>
        <v>10910.206028217135</v>
      </c>
      <c r="AF252" s="5">
        <f t="shared" si="101"/>
        <v>0</v>
      </c>
      <c r="AG252" s="5">
        <f t="shared" si="102"/>
        <v>-6434.2629482071716</v>
      </c>
      <c r="AH252" s="5">
        <f t="shared" si="103"/>
        <v>0</v>
      </c>
      <c r="AI252" s="5">
        <f t="shared" si="104"/>
        <v>7499.0395996081206</v>
      </c>
      <c r="AJ252" s="5">
        <f t="shared" si="105"/>
        <v>-12178.594571322121</v>
      </c>
      <c r="AK252" s="5">
        <f>IFERROR(SUM(X252:AJ252),-5000)*((Cockpit!$C$3)^0)</f>
        <v>9054.4906365754086</v>
      </c>
      <c r="AL252" s="16">
        <f>INDEX('Team forecast'!$B$2:$AO$26,MATCH('Master data'!$B252,'Team forecast'!$B$2:$B$26,0),MATCH('Master data'!AL$1,'Team forecast'!$B$2:$AO$2,0))</f>
        <v>1.3846696653928885</v>
      </c>
      <c r="AM252" s="16">
        <f>INDEX('Team forecast'!$B$2:$AO$26,MATCH('Master data'!$B252,'Team forecast'!$B$2:$B$26,0),MATCH('Master data'!AM$1,'Team forecast'!$B$2:$AO$2,0))</f>
        <v>0.97920455728472433</v>
      </c>
      <c r="AN252" s="16">
        <f>INDEX('Team forecast'!$B$2:$AO$26,MATCH('Master data'!$B252,'Team forecast'!$B$2:$B$26,0),MATCH('Master data'!AN$1,'Team forecast'!$B$2:$AO$2,0))</f>
        <v>0.37560975609756098</v>
      </c>
      <c r="AO252" s="16">
        <f>INDEX('Team forecast'!$B$2:$AO$26,MATCH('Master data'!$B252,'Team forecast'!$B$2:$B$26,0),MATCH('Master data'!AO$1,'Team forecast'!$B$2:$AO$2,0))</f>
        <v>3.9274266872961929</v>
      </c>
      <c r="AP252" s="16">
        <f>INDEX('Team forecast'!$B$2:$AO$26,MATCH('Master data'!$B252,'Team forecast'!$B$2:$B$26,0),MATCH('Master data'!AP$1,'Team forecast'!$B$2:$AO$2,0))</f>
        <v>3.1824148111753541</v>
      </c>
      <c r="AQ252" s="5">
        <f t="shared" si="106"/>
        <v>7000</v>
      </c>
      <c r="AR252" s="5">
        <f>INDEX('Team forecast'!$B$2:$AO$26,MATCH('Master data'!$B252,'Team forecast'!$B$2:$B$26,0),MATCH('Master data'!AR$1,'Team forecast'!$B$2:$AO$2,0))*IF(X252&gt;0,25000,0)</f>
        <v>11178.861788617885</v>
      </c>
      <c r="AS252" s="16">
        <f>INDEX('Team forecast'!$B$2:$AO$26,MATCH('Master data'!$B252,'Team forecast'!$B$2:$B$26,0),MATCH('Master data'!AS$1,'Team forecast'!$B$2:$AO$2,0))*IF(X252&gt;0,5000,0)</f>
        <v>1422.7642276422764</v>
      </c>
      <c r="AT252" s="16">
        <f>INDEX('Team forecast'!$B$2:$AO$26,MATCH('Master data'!$B252,'Team forecast'!$B$2:$B$26,0),MATCH('Master data'!AT$1,'Team forecast'!$B$2:$AO$2,0))*IF(X252&gt;0,-15000,0)</f>
        <v>-4024.3902439024391</v>
      </c>
      <c r="AU252" s="5">
        <f t="shared" si="107"/>
        <v>7767.3105128827674</v>
      </c>
      <c r="AV252" s="5">
        <f t="shared" si="108"/>
        <v>1127.3640000742673</v>
      </c>
      <c r="AW252" s="5">
        <f t="shared" si="109"/>
        <v>591.77681784171011</v>
      </c>
      <c r="AX252" s="5">
        <f t="shared" si="110"/>
        <v>18780.487804878048</v>
      </c>
      <c r="AY252" s="5">
        <f t="shared" si="111"/>
        <v>0</v>
      </c>
      <c r="AZ252" s="5">
        <f t="shared" si="112"/>
        <v>-6434.2629482071716</v>
      </c>
      <c r="BA252" s="5">
        <f t="shared" si="113"/>
        <v>0</v>
      </c>
      <c r="BB252" s="5">
        <f t="shared" si="114"/>
        <v>13846.696653928884</v>
      </c>
      <c r="BC252" s="5">
        <f t="shared" si="115"/>
        <v>-7833.6364582777951</v>
      </c>
      <c r="BD252" s="5">
        <f t="shared" si="116"/>
        <v>43422.972155478434</v>
      </c>
      <c r="BE252" s="16">
        <f>INDEX('Team forecast'!$B$2:$AO$26,MATCH('Master data'!$B252,'Team forecast'!$B$2:$B$26,0),MATCH('Master data'!BE$1,'Team forecast'!$B$2:$AO$2,0))</f>
        <v>1.5039270856478595</v>
      </c>
      <c r="BF252" s="16">
        <f>INDEX('Team forecast'!$B$2:$AO$26,MATCH('Master data'!$B252,'Team forecast'!$B$2:$B$26,0),MATCH('Master data'!BF$1,'Team forecast'!$B$2:$AO$2,0))</f>
        <v>0.82681690399773144</v>
      </c>
      <c r="BG252" s="16">
        <f>INDEX('Team forecast'!$B$2:$AO$26,MATCH('Master data'!$B252,'Team forecast'!$B$2:$B$26,0),MATCH('Master data'!BG$1,'Team forecast'!$B$2:$AO$2,0))</f>
        <v>0.43743948445487602</v>
      </c>
      <c r="BH252" s="16">
        <f>INDEX('Team forecast'!$B$2:$AO$26,MATCH('Master data'!$B252,'Team forecast'!$B$2:$B$26,0),MATCH('Master data'!BH$1,'Team forecast'!$B$2:$AO$2,0))</f>
        <v>4.2656840974739287</v>
      </c>
      <c r="BI252" s="16">
        <f>INDEX('Team forecast'!$B$2:$AO$26,MATCH('Master data'!$B252,'Team forecast'!$B$2:$B$26,0),MATCH('Master data'!BI$1,'Team forecast'!$B$2:$AO$2,0))</f>
        <v>2.6871549379926272</v>
      </c>
      <c r="BJ252" s="5">
        <f t="shared" si="117"/>
        <v>7000</v>
      </c>
      <c r="BK252" s="5">
        <f>INDEX('Team forecast'!$R$3:$BH$26,MATCH($B252,'Team forecast'!$B$3:$B$26,0),MATCH(BK$1,'Team forecast'!$R$2:$BH$2,0))*IF($X252&gt;0,25000,0)</f>
        <v>12935.038518826977</v>
      </c>
      <c r="BL252" s="5">
        <f>INDEX('Team forecast'!$R$3:$BH$26,MATCH($B252,'Team forecast'!$B$3:$B$26,0),MATCH(BL$1,'Team forecast'!$R$2:$BH$2,0))*IF($X252&gt;0,5000,0)</f>
        <v>1355.4462898601791</v>
      </c>
      <c r="BM252" s="5">
        <f>INDEX('Team forecast'!$R$3:$BH$26,MATCH($B252,'Team forecast'!$B$3:$B$26,0),MATCH(BM$1,'Team forecast'!$R$2:$BH$2,0))*IF($X252&gt;0,-15000,0)</f>
        <v>-3172.6380191232765</v>
      </c>
      <c r="BN252" s="5">
        <f t="shared" si="118"/>
        <v>8436.2855307061582</v>
      </c>
      <c r="BO252" s="5">
        <f t="shared" si="119"/>
        <v>1224.4604597551647</v>
      </c>
      <c r="BP252" s="5">
        <f t="shared" si="120"/>
        <v>642.74476956792466</v>
      </c>
      <c r="BQ252" s="5">
        <f t="shared" si="121"/>
        <v>21871.9742227438</v>
      </c>
      <c r="BR252" s="5">
        <f t="shared" si="122"/>
        <v>0</v>
      </c>
      <c r="BS252" s="5">
        <f t="shared" si="123"/>
        <v>-6434.2629482071716</v>
      </c>
      <c r="BT252" s="5">
        <f t="shared" si="124"/>
        <v>0</v>
      </c>
      <c r="BU252" s="5">
        <f t="shared" si="125"/>
        <v>15039.270856478595</v>
      </c>
      <c r="BV252" s="5">
        <f t="shared" si="126"/>
        <v>-6614.5352319818512</v>
      </c>
      <c r="BW252" s="5">
        <f t="shared" si="127"/>
        <v>52283.784448626509</v>
      </c>
      <c r="BX252" s="5">
        <f t="shared" si="128"/>
        <v>34920.41574689345</v>
      </c>
      <c r="BY252" s="5">
        <f t="shared" si="129"/>
        <v>104761.24724068036</v>
      </c>
      <c r="BZ252" s="5">
        <f>INDEX('Team forecast'!$R$3:$BH$26,MATCH($B252,'Team forecast'!$B$3:$B$26,0),MATCH(BZ$1,'Team forecast'!$R$2:$BH$2,0))*($BX252-(BY252+CH252)*0.01)</f>
        <v>2890.7015696138383</v>
      </c>
      <c r="CA252" s="5">
        <f>INDEX('Team forecast'!$R$3:$BH$26,MATCH($B252,'Team forecast'!$B$3:$B$26,0),MATCH(CA$1,'Team forecast'!$R$2:$BH$2,0))*($BX252-(BY252+BX252+CH252)*0.01)</f>
        <v>1299.7364936745519</v>
      </c>
      <c r="CB252" s="5">
        <f>INDEX('Team forecast'!$R$3:$BH$26,MATCH($B252,'Team forecast'!$B$3:$B$26,0),MATCH(CB$1,'Team forecast'!$R$2:$BH$2,0))*($BX252-(BY252+BX252*2+CH252)*0.01)</f>
        <v>572.49950319294271</v>
      </c>
      <c r="CC252" s="5">
        <f>INDEX('Team forecast'!$R$3:$BH$26,MATCH($B252,'Team forecast'!$B$3:$B$26,0),MATCH(CC$1,'Team forecast'!$R$2:$BH$2,0))*($BX252-(BY252+BX252*3+CH252)*0.01)</f>
        <v>239.88268827426043</v>
      </c>
      <c r="CD252" s="5">
        <f>+AK252+BD252*Cockpit!$C$3+BW252*Cockpit!$C$3^2+BZ252*Cockpit!$C$3^3+CA252*Cockpit!$C$3^4+CB252*Cockpit!$C$3^5+CC252*Cockpit!$C$3^6</f>
        <v>62450.069055504493</v>
      </c>
      <c r="CE252" s="5"/>
      <c r="CF252" s="5"/>
      <c r="CG252" s="5">
        <v>0</v>
      </c>
      <c r="CH252" s="5">
        <f t="shared" si="130"/>
        <v>3000000</v>
      </c>
      <c r="CI252" s="5">
        <f t="shared" si="131"/>
        <v>3000000</v>
      </c>
      <c r="CJ252" s="1">
        <f t="shared" si="132"/>
        <v>3.4920415746893453E-2</v>
      </c>
      <c r="CK252" s="5">
        <f>RANK(BY252,$BY$2:$BY$623)+COUNTIF($BY$2:$BY252,$BY252)-1</f>
        <v>158</v>
      </c>
      <c r="CL252" s="5">
        <f>RANK(CJ252,$CJ$2:$CJ$623)+COUNTIF($CJ$2:$CJ252,$CJ252)-1</f>
        <v>104</v>
      </c>
    </row>
    <row r="253" spans="1:90">
      <c r="A253" t="str">
        <f>Players!P254</f>
        <v>Mile Škorić</v>
      </c>
      <c r="B253" t="str">
        <f>Players!G254</f>
        <v>Croatia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2000000</v>
      </c>
      <c r="H253" s="16">
        <f>INDEX('Team forecast'!$B$2:$AO$26,MATCH('Master data'!$B253,'Team forecast'!$B$2:$B$26,0),MATCH('Master data'!H$1,'Team forecast'!$B$2:$AO$2,0))</f>
        <v>0.74990395996081205</v>
      </c>
      <c r="I253" s="16">
        <f>INDEX('Team forecast'!$B$2:$AO$26,MATCH('Master data'!$B253,'Team forecast'!$B$2:$B$26,0),MATCH('Master data'!I$1,'Team forecast'!$B$2:$AO$2,0))</f>
        <v>1.5223243214152651</v>
      </c>
      <c r="J253" s="16">
        <f>INDEX('Team forecast'!$B$2:$AO$26,MATCH('Master data'!$B253,'Team forecast'!$B$2:$B$26,0),MATCH('Master data'!J$1,'Team forecast'!$B$2:$AO$2,0))</f>
        <v>0.21820412056434271</v>
      </c>
      <c r="K253" s="16">
        <f>INDEX('Team forecast'!$B$2:$AO$26,MATCH('Master data'!$B253,'Team forecast'!$B$2:$B$26,0),MATCH('Master data'!K$1,'Team forecast'!$B$2:$AO$2,0))</f>
        <v>2.1270003227979397</v>
      </c>
      <c r="L253" s="16">
        <f>INDEX('Team forecast'!$B$2:$AO$26,MATCH('Master data'!$B253,'Team forecast'!$B$2:$B$26,0),MATCH('Master data'!L$1,'Team forecast'!$B$2:$AO$2,0))</f>
        <v>4.9475540445996113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6.32688927943761E-2</v>
      </c>
      <c r="R253" s="2">
        <f>Players!BR254</f>
        <v>0</v>
      </c>
      <c r="S253" s="2">
        <f t="shared" si="91"/>
        <v>0.74990395996081205</v>
      </c>
      <c r="T253" s="2">
        <f t="shared" si="92"/>
        <v>1.5223243214152651</v>
      </c>
      <c r="U253" s="16">
        <f>INDEX('Team forecast'!$B$2:$AO$26,MATCH('Master data'!$B253,'Team forecast'!$B$2:$B$26,0),MATCH('Master data'!U$1,'Team forecast'!$B$2:$AO$2,0))</f>
        <v>0.17178615309883699</v>
      </c>
      <c r="V253" s="16">
        <f>INDEX('Team forecast'!$B$2:$AO$26,MATCH('Master data'!$B253,'Team forecast'!$B$2:$B$26,0),MATCH('Master data'!V$1,'Team forecast'!$B$2:$AO$2,0))</f>
        <v>0.26245106723433442</v>
      </c>
      <c r="W253" s="16">
        <f>INDEX('Team forecast'!$B$2:$AO$26,MATCH('Master data'!$B253,'Team forecast'!$B$2:$B$26,0),MATCH('Master data'!W$1,'Team forecast'!$B$2:$AO$2,0))</f>
        <v>0.56576277966682864</v>
      </c>
      <c r="X253" s="5">
        <f t="shared" si="93"/>
        <v>-5000</v>
      </c>
      <c r="Y253" s="5">
        <f t="shared" si="94"/>
        <v>0</v>
      </c>
      <c r="Z253" s="5">
        <f t="shared" si="95"/>
        <v>0</v>
      </c>
      <c r="AA253" s="5">
        <f t="shared" si="96"/>
        <v>0</v>
      </c>
      <c r="AB253" s="5">
        <f t="shared" si="97"/>
        <v>0</v>
      </c>
      <c r="AC253" s="5">
        <f t="shared" si="98"/>
        <v>0</v>
      </c>
      <c r="AD253" s="5">
        <f t="shared" si="99"/>
        <v>0</v>
      </c>
      <c r="AE253" s="5">
        <f t="shared" si="100"/>
        <v>10910.206028217135</v>
      </c>
      <c r="AF253" s="5">
        <f t="shared" si="101"/>
        <v>0</v>
      </c>
      <c r="AG253" s="5">
        <f t="shared" si="102"/>
        <v>0</v>
      </c>
      <c r="AH253" s="5">
        <f t="shared" si="103"/>
        <v>0</v>
      </c>
      <c r="AI253" s="5">
        <f t="shared" si="104"/>
        <v>0</v>
      </c>
      <c r="AJ253" s="5">
        <f t="shared" si="105"/>
        <v>0</v>
      </c>
      <c r="AK253" s="5">
        <f>IFERROR(SUM(X253:AJ253),-5000)*((Cockpit!$C$3)^0)</f>
        <v>5910.2060282171351</v>
      </c>
      <c r="AL253" s="16">
        <f>INDEX('Team forecast'!$B$2:$AO$26,MATCH('Master data'!$B253,'Team forecast'!$B$2:$B$26,0),MATCH('Master data'!AL$1,'Team forecast'!$B$2:$AO$2,0))</f>
        <v>1.3846696653928885</v>
      </c>
      <c r="AM253" s="16">
        <f>INDEX('Team forecast'!$B$2:$AO$26,MATCH('Master data'!$B253,'Team forecast'!$B$2:$B$26,0),MATCH('Master data'!AM$1,'Team forecast'!$B$2:$AO$2,0))</f>
        <v>0.97920455728472433</v>
      </c>
      <c r="AN253" s="16">
        <f>INDEX('Team forecast'!$B$2:$AO$26,MATCH('Master data'!$B253,'Team forecast'!$B$2:$B$26,0),MATCH('Master data'!AN$1,'Team forecast'!$B$2:$AO$2,0))</f>
        <v>0.37560975609756098</v>
      </c>
      <c r="AO253" s="16">
        <f>INDEX('Team forecast'!$B$2:$AO$26,MATCH('Master data'!$B253,'Team forecast'!$B$2:$B$26,0),MATCH('Master data'!AO$1,'Team forecast'!$B$2:$AO$2,0))</f>
        <v>3.9274266872961929</v>
      </c>
      <c r="AP253" s="16">
        <f>INDEX('Team forecast'!$B$2:$AO$26,MATCH('Master data'!$B253,'Team forecast'!$B$2:$B$26,0),MATCH('Master data'!AP$1,'Team forecast'!$B$2:$AO$2,0))</f>
        <v>3.1824148111753541</v>
      </c>
      <c r="AQ253" s="5">
        <f t="shared" si="106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107"/>
        <v>0</v>
      </c>
      <c r="AV253" s="5">
        <f t="shared" si="108"/>
        <v>0</v>
      </c>
      <c r="AW253" s="5">
        <f t="shared" si="109"/>
        <v>0</v>
      </c>
      <c r="AX253" s="5">
        <f t="shared" si="110"/>
        <v>18780.487804878048</v>
      </c>
      <c r="AY253" s="5">
        <f t="shared" si="111"/>
        <v>0</v>
      </c>
      <c r="AZ253" s="5">
        <f t="shared" si="112"/>
        <v>0</v>
      </c>
      <c r="BA253" s="5">
        <f t="shared" si="113"/>
        <v>0</v>
      </c>
      <c r="BB253" s="5">
        <f t="shared" si="114"/>
        <v>0</v>
      </c>
      <c r="BC253" s="5">
        <f t="shared" si="115"/>
        <v>0</v>
      </c>
      <c r="BD253" s="5">
        <f t="shared" si="116"/>
        <v>13780.487804878048</v>
      </c>
      <c r="BE253" s="16">
        <f>INDEX('Team forecast'!$B$2:$AO$26,MATCH('Master data'!$B253,'Team forecast'!$B$2:$B$26,0),MATCH('Master data'!BE$1,'Team forecast'!$B$2:$AO$2,0))</f>
        <v>1.5039270856478595</v>
      </c>
      <c r="BF253" s="16">
        <f>INDEX('Team forecast'!$B$2:$AO$26,MATCH('Master data'!$B253,'Team forecast'!$B$2:$B$26,0),MATCH('Master data'!BF$1,'Team forecast'!$B$2:$AO$2,0))</f>
        <v>0.82681690399773144</v>
      </c>
      <c r="BG253" s="16">
        <f>INDEX('Team forecast'!$B$2:$AO$26,MATCH('Master data'!$B253,'Team forecast'!$B$2:$B$26,0),MATCH('Master data'!BG$1,'Team forecast'!$B$2:$AO$2,0))</f>
        <v>0.43743948445487602</v>
      </c>
      <c r="BH253" s="16">
        <f>INDEX('Team forecast'!$B$2:$AO$26,MATCH('Master data'!$B253,'Team forecast'!$B$2:$B$26,0),MATCH('Master data'!BH$1,'Team forecast'!$B$2:$AO$2,0))</f>
        <v>4.2656840974739287</v>
      </c>
      <c r="BI253" s="16">
        <f>INDEX('Team forecast'!$B$2:$AO$26,MATCH('Master data'!$B253,'Team forecast'!$B$2:$B$26,0),MATCH('Master data'!BI$1,'Team forecast'!$B$2:$AO$2,0))</f>
        <v>2.6871549379926272</v>
      </c>
      <c r="BJ253" s="5">
        <f t="shared" si="117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118"/>
        <v>0</v>
      </c>
      <c r="BO253" s="5">
        <f t="shared" si="119"/>
        <v>0</v>
      </c>
      <c r="BP253" s="5">
        <f t="shared" si="120"/>
        <v>0</v>
      </c>
      <c r="BQ253" s="5">
        <f t="shared" si="121"/>
        <v>21871.9742227438</v>
      </c>
      <c r="BR253" s="5">
        <f t="shared" si="122"/>
        <v>0</v>
      </c>
      <c r="BS253" s="5">
        <f t="shared" si="123"/>
        <v>0</v>
      </c>
      <c r="BT253" s="5">
        <f t="shared" si="124"/>
        <v>0</v>
      </c>
      <c r="BU253" s="5">
        <f t="shared" si="125"/>
        <v>0</v>
      </c>
      <c r="BV253" s="5">
        <f t="shared" si="126"/>
        <v>0</v>
      </c>
      <c r="BW253" s="5">
        <f t="shared" si="127"/>
        <v>16871.9742227438</v>
      </c>
      <c r="BX253" s="5">
        <f t="shared" si="128"/>
        <v>12187.556018612993</v>
      </c>
      <c r="BY253" s="5">
        <f t="shared" si="129"/>
        <v>36562.668055838978</v>
      </c>
      <c r="BZ253" s="5">
        <f>INDEX('Team forecast'!$R$3:$BH$26,MATCH($B253,'Team forecast'!$B$3:$B$26,0),MATCH(BZ$1,'Team forecast'!$R$2:$BH$2,0))*($BX253-(BY253+CH253)*0.01)</f>
        <v>-6104.1989544465177</v>
      </c>
      <c r="CA253" s="5">
        <f>INDEX('Team forecast'!$R$3:$BH$26,MATCH($B253,'Team forecast'!$B$3:$B$26,0),MATCH(CA$1,'Team forecast'!$R$2:$BH$2,0))*($BX253-(BY253+BX253+CH253)*0.01)</f>
        <v>-3061.5693335656952</v>
      </c>
      <c r="CB253" s="5">
        <f>INDEX('Team forecast'!$R$3:$BH$26,MATCH($B253,'Team forecast'!$B$3:$B$26,0),MATCH(CB$1,'Team forecast'!$R$2:$BH$2,0))*($BX253-(BY253+BX253*2+CH253)*0.01)</f>
        <v>-1518.8685868634675</v>
      </c>
      <c r="CC253" s="5">
        <f>INDEX('Team forecast'!$R$3:$BH$26,MATCH($B253,'Team forecast'!$B$3:$B$26,0),MATCH(CC$1,'Team forecast'!$R$2:$BH$2,0))*($BX253-(BY253+BX253*3+CH253)*0.01)</f>
        <v>-725.43245037208726</v>
      </c>
      <c r="CD253" s="5">
        <f>+AK253+BD253*Cockpit!$C$3+BW253*Cockpit!$C$3^2+BZ253*Cockpit!$C$3^3+CA253*Cockpit!$C$3^4+CB253*Cockpit!$C$3^5+CC253*Cockpit!$C$3^6</f>
        <v>19918.744714065022</v>
      </c>
      <c r="CE253" s="5"/>
      <c r="CF253" s="5"/>
      <c r="CG253" s="5">
        <v>0</v>
      </c>
      <c r="CH253" s="5">
        <f t="shared" si="130"/>
        <v>2000000</v>
      </c>
      <c r="CI253" s="5">
        <f t="shared" si="131"/>
        <v>2000000</v>
      </c>
      <c r="CJ253" s="1">
        <f t="shared" si="132"/>
        <v>1.8281334027919489E-2</v>
      </c>
      <c r="CK253" s="5">
        <f>RANK(BY253,$BY$2:$BY$623)+COUNTIF($BY$2:$BY253,$BY253)-1</f>
        <v>320</v>
      </c>
      <c r="CL253" s="5">
        <f>RANK(CJ253,$CJ$2:$CJ$623)+COUNTIF($CJ$2:$CJ253,$CJ253)-1</f>
        <v>277</v>
      </c>
    </row>
    <row r="254" spans="1:90">
      <c r="A254" t="str">
        <f>Players!P255</f>
        <v>Josip Juranović</v>
      </c>
      <c r="B254" t="str">
        <f>Players!G255</f>
        <v>Croatia</v>
      </c>
      <c r="C254" t="str">
        <f>Players!AB255</f>
        <v>Defense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2500000</v>
      </c>
      <c r="H254" s="16">
        <f>INDEX('Team forecast'!$B$2:$AO$26,MATCH('Master data'!$B254,'Team forecast'!$B$2:$B$26,0),MATCH('Master data'!H$1,'Team forecast'!$B$2:$AO$2,0))</f>
        <v>0.74990395996081205</v>
      </c>
      <c r="I254" s="16">
        <f>INDEX('Team forecast'!$B$2:$AO$26,MATCH('Master data'!$B254,'Team forecast'!$B$2:$B$26,0),MATCH('Master data'!I$1,'Team forecast'!$B$2:$AO$2,0))</f>
        <v>1.5223243214152651</v>
      </c>
      <c r="J254" s="16">
        <f>INDEX('Team forecast'!$B$2:$AO$26,MATCH('Master data'!$B254,'Team forecast'!$B$2:$B$26,0),MATCH('Master data'!J$1,'Team forecast'!$B$2:$AO$2,0))</f>
        <v>0.21820412056434271</v>
      </c>
      <c r="K254" s="16">
        <f>INDEX('Team forecast'!$B$2:$AO$26,MATCH('Master data'!$B254,'Team forecast'!$B$2:$B$26,0),MATCH('Master data'!K$1,'Team forecast'!$B$2:$AO$2,0))</f>
        <v>2.1270003227979397</v>
      </c>
      <c r="L254" s="16">
        <f>INDEX('Team forecast'!$B$2:$AO$26,MATCH('Master data'!$B254,'Team forecast'!$B$2:$B$26,0),MATCH('Master data'!L$1,'Team forecast'!$B$2:$AO$2,0))</f>
        <v>4.9475540445996113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2.4684585847504114E-2</v>
      </c>
      <c r="R254" s="2">
        <f>Players!BR255</f>
        <v>0</v>
      </c>
      <c r="S254" s="2">
        <f t="shared" si="91"/>
        <v>0.74990395996081205</v>
      </c>
      <c r="T254" s="2">
        <f t="shared" si="92"/>
        <v>1.5223243214152651</v>
      </c>
      <c r="U254" s="16">
        <f>INDEX('Team forecast'!$B$2:$AO$26,MATCH('Master data'!$B254,'Team forecast'!$B$2:$B$26,0),MATCH('Master data'!U$1,'Team forecast'!$B$2:$AO$2,0))</f>
        <v>0.17178615309883699</v>
      </c>
      <c r="V254" s="16">
        <f>INDEX('Team forecast'!$B$2:$AO$26,MATCH('Master data'!$B254,'Team forecast'!$B$2:$B$26,0),MATCH('Master data'!V$1,'Team forecast'!$B$2:$AO$2,0))</f>
        <v>0.26245106723433442</v>
      </c>
      <c r="W254" s="16">
        <f>INDEX('Team forecast'!$B$2:$AO$26,MATCH('Master data'!$B254,'Team forecast'!$B$2:$B$26,0),MATCH('Master data'!W$1,'Team forecast'!$B$2:$AO$2,0))</f>
        <v>0.56576277966682864</v>
      </c>
      <c r="X254" s="5">
        <f t="shared" si="93"/>
        <v>-5000</v>
      </c>
      <c r="Y254" s="5">
        <f t="shared" si="94"/>
        <v>0</v>
      </c>
      <c r="Z254" s="5">
        <f t="shared" si="95"/>
        <v>0</v>
      </c>
      <c r="AA254" s="5">
        <f t="shared" si="96"/>
        <v>0</v>
      </c>
      <c r="AB254" s="5">
        <f t="shared" si="97"/>
        <v>0</v>
      </c>
      <c r="AC254" s="5">
        <f t="shared" si="98"/>
        <v>0</v>
      </c>
      <c r="AD254" s="5">
        <f t="shared" si="99"/>
        <v>0</v>
      </c>
      <c r="AE254" s="5">
        <f t="shared" si="100"/>
        <v>10910.206028217135</v>
      </c>
      <c r="AF254" s="5">
        <f t="shared" si="101"/>
        <v>0</v>
      </c>
      <c r="AG254" s="5">
        <f t="shared" si="102"/>
        <v>0</v>
      </c>
      <c r="AH254" s="5">
        <f t="shared" si="103"/>
        <v>0</v>
      </c>
      <c r="AI254" s="5">
        <f t="shared" si="104"/>
        <v>0</v>
      </c>
      <c r="AJ254" s="5">
        <f t="shared" si="105"/>
        <v>0</v>
      </c>
      <c r="AK254" s="5">
        <f>IFERROR(SUM(X254:AJ254),-5000)*((Cockpit!$C$3)^0)</f>
        <v>5910.2060282171351</v>
      </c>
      <c r="AL254" s="16">
        <f>INDEX('Team forecast'!$B$2:$AO$26,MATCH('Master data'!$B254,'Team forecast'!$B$2:$B$26,0),MATCH('Master data'!AL$1,'Team forecast'!$B$2:$AO$2,0))</f>
        <v>1.3846696653928885</v>
      </c>
      <c r="AM254" s="16">
        <f>INDEX('Team forecast'!$B$2:$AO$26,MATCH('Master data'!$B254,'Team forecast'!$B$2:$B$26,0),MATCH('Master data'!AM$1,'Team forecast'!$B$2:$AO$2,0))</f>
        <v>0.97920455728472433</v>
      </c>
      <c r="AN254" s="16">
        <f>INDEX('Team forecast'!$B$2:$AO$26,MATCH('Master data'!$B254,'Team forecast'!$B$2:$B$26,0),MATCH('Master data'!AN$1,'Team forecast'!$B$2:$AO$2,0))</f>
        <v>0.37560975609756098</v>
      </c>
      <c r="AO254" s="16">
        <f>INDEX('Team forecast'!$B$2:$AO$26,MATCH('Master data'!$B254,'Team forecast'!$B$2:$B$26,0),MATCH('Master data'!AO$1,'Team forecast'!$B$2:$AO$2,0))</f>
        <v>3.9274266872961929</v>
      </c>
      <c r="AP254" s="16">
        <f>INDEX('Team forecast'!$B$2:$AO$26,MATCH('Master data'!$B254,'Team forecast'!$B$2:$B$26,0),MATCH('Master data'!AP$1,'Team forecast'!$B$2:$AO$2,0))</f>
        <v>3.1824148111753541</v>
      </c>
      <c r="AQ254" s="5">
        <f t="shared" si="106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107"/>
        <v>0</v>
      </c>
      <c r="AV254" s="5">
        <f t="shared" si="108"/>
        <v>0</v>
      </c>
      <c r="AW254" s="5">
        <f t="shared" si="109"/>
        <v>0</v>
      </c>
      <c r="AX254" s="5">
        <f t="shared" si="110"/>
        <v>18780.487804878048</v>
      </c>
      <c r="AY254" s="5">
        <f t="shared" si="111"/>
        <v>0</v>
      </c>
      <c r="AZ254" s="5">
        <f t="shared" si="112"/>
        <v>0</v>
      </c>
      <c r="BA254" s="5">
        <f t="shared" si="113"/>
        <v>0</v>
      </c>
      <c r="BB254" s="5">
        <f t="shared" si="114"/>
        <v>0</v>
      </c>
      <c r="BC254" s="5">
        <f t="shared" si="115"/>
        <v>0</v>
      </c>
      <c r="BD254" s="5">
        <f t="shared" si="116"/>
        <v>13780.487804878048</v>
      </c>
      <c r="BE254" s="16">
        <f>INDEX('Team forecast'!$B$2:$AO$26,MATCH('Master data'!$B254,'Team forecast'!$B$2:$B$26,0),MATCH('Master data'!BE$1,'Team forecast'!$B$2:$AO$2,0))</f>
        <v>1.5039270856478595</v>
      </c>
      <c r="BF254" s="16">
        <f>INDEX('Team forecast'!$B$2:$AO$26,MATCH('Master data'!$B254,'Team forecast'!$B$2:$B$26,0),MATCH('Master data'!BF$1,'Team forecast'!$B$2:$AO$2,0))</f>
        <v>0.82681690399773144</v>
      </c>
      <c r="BG254" s="16">
        <f>INDEX('Team forecast'!$B$2:$AO$26,MATCH('Master data'!$B254,'Team forecast'!$B$2:$B$26,0),MATCH('Master data'!BG$1,'Team forecast'!$B$2:$AO$2,0))</f>
        <v>0.43743948445487602</v>
      </c>
      <c r="BH254" s="16">
        <f>INDEX('Team forecast'!$B$2:$AO$26,MATCH('Master data'!$B254,'Team forecast'!$B$2:$B$26,0),MATCH('Master data'!BH$1,'Team forecast'!$B$2:$AO$2,0))</f>
        <v>4.2656840974739287</v>
      </c>
      <c r="BI254" s="16">
        <f>INDEX('Team forecast'!$B$2:$AO$26,MATCH('Master data'!$B254,'Team forecast'!$B$2:$B$26,0),MATCH('Master data'!BI$1,'Team forecast'!$B$2:$AO$2,0))</f>
        <v>2.6871549379926272</v>
      </c>
      <c r="BJ254" s="5">
        <f t="shared" si="117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118"/>
        <v>0</v>
      </c>
      <c r="BO254" s="5">
        <f t="shared" si="119"/>
        <v>0</v>
      </c>
      <c r="BP254" s="5">
        <f t="shared" si="120"/>
        <v>0</v>
      </c>
      <c r="BQ254" s="5">
        <f t="shared" si="121"/>
        <v>21871.9742227438</v>
      </c>
      <c r="BR254" s="5">
        <f t="shared" si="122"/>
        <v>0</v>
      </c>
      <c r="BS254" s="5">
        <f t="shared" si="123"/>
        <v>0</v>
      </c>
      <c r="BT254" s="5">
        <f t="shared" si="124"/>
        <v>0</v>
      </c>
      <c r="BU254" s="5">
        <f t="shared" si="125"/>
        <v>0</v>
      </c>
      <c r="BV254" s="5">
        <f t="shared" si="126"/>
        <v>0</v>
      </c>
      <c r="BW254" s="5">
        <f t="shared" si="127"/>
        <v>16871.9742227438</v>
      </c>
      <c r="BX254" s="5">
        <f t="shared" si="128"/>
        <v>12187.556018612993</v>
      </c>
      <c r="BY254" s="5">
        <f t="shared" si="129"/>
        <v>36562.668055838978</v>
      </c>
      <c r="BZ254" s="5">
        <f>INDEX('Team forecast'!$R$3:$BH$26,MATCH($B254,'Team forecast'!$B$3:$B$26,0),MATCH(BZ$1,'Team forecast'!$R$2:$BH$2,0))*($BX254-(BY254+CH254)*0.01)</f>
        <v>-9836.2521530394806</v>
      </c>
      <c r="CA254" s="5">
        <f>INDEX('Team forecast'!$R$3:$BH$26,MATCH($B254,'Team forecast'!$B$3:$B$26,0),MATCH(CA$1,'Team forecast'!$R$2:$BH$2,0))*($BX254-(BY254+BX254+CH254)*0.01)</f>
        <v>-4905.9001591089518</v>
      </c>
      <c r="CB254" s="5">
        <f>INDEX('Team forecast'!$R$3:$BH$26,MATCH($B254,'Team forecast'!$B$3:$B$26,0),MATCH(CB$1,'Team forecast'!$R$2:$BH$2,0))*($BX254-(BY254+BX254*2+CH254)*0.01)</f>
        <v>-2420.6144478673559</v>
      </c>
      <c r="CC254" s="5">
        <f>INDEX('Team forecast'!$R$3:$BH$26,MATCH($B254,'Team forecast'!$B$3:$B$26,0),MATCH(CC$1,'Team forecast'!$R$2:$BH$2,0))*($BX254-(BY254+BX254*3+CH254)*0.01)</f>
        <v>-1149.9749062261553</v>
      </c>
      <c r="CD254" s="5">
        <f>+AK254+BD254*Cockpit!$C$3+BW254*Cockpit!$C$3^2+BZ254*Cockpit!$C$3^3+CA254*Cockpit!$C$3^4+CB254*Cockpit!$C$3^5+CC254*Cockpit!$C$3^6</f>
        <v>18292.6192687902</v>
      </c>
      <c r="CE254" s="5"/>
      <c r="CF254" s="5"/>
      <c r="CG254" s="5">
        <v>0</v>
      </c>
      <c r="CH254" s="5">
        <f t="shared" si="130"/>
        <v>2500000</v>
      </c>
      <c r="CI254" s="5">
        <f t="shared" si="131"/>
        <v>2500000</v>
      </c>
      <c r="CJ254" s="1">
        <f t="shared" si="132"/>
        <v>1.4625067222335591E-2</v>
      </c>
      <c r="CK254" s="5">
        <f>RANK(BY254,$BY$2:$BY$623)+COUNTIF($BY$2:$BY254,$BY254)-1</f>
        <v>321</v>
      </c>
      <c r="CL254" s="5">
        <f>RANK(CJ254,$CJ$2:$CJ$623)+COUNTIF($CJ$2:$CJ254,$CJ254)-1</f>
        <v>309</v>
      </c>
    </row>
    <row r="255" spans="1:90">
      <c r="A255" t="str">
        <f>Players!P256</f>
        <v>Rafael Toloi</v>
      </c>
      <c r="B255" t="str">
        <f>Players!G256</f>
        <v>Italy</v>
      </c>
      <c r="C255" t="str">
        <f>Players!AB256</f>
        <v>Defense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2500000</v>
      </c>
      <c r="H255" s="16">
        <f>INDEX('Team forecast'!$B$2:$AO$26,MATCH('Master data'!$B255,'Team forecast'!$B$2:$B$26,0),MATCH('Master data'!H$1,'Team forecast'!$B$2:$AO$2,0))</f>
        <v>1.6593477618235051</v>
      </c>
      <c r="I255" s="16">
        <f>INDEX('Team forecast'!$B$2:$AO$26,MATCH('Master data'!$B255,'Team forecast'!$B$2:$B$26,0),MATCH('Master data'!I$1,'Team forecast'!$B$2:$AO$2,0))</f>
        <v>0.65422581624273402</v>
      </c>
      <c r="J255" s="16">
        <f>INDEX('Team forecast'!$B$2:$AO$26,MATCH('Master data'!$B255,'Team forecast'!$B$2:$B$26,0),MATCH('Master data'!J$1,'Team forecast'!$B$2:$AO$2,0))</f>
        <v>0.51984436190144767</v>
      </c>
      <c r="K255" s="16">
        <f>INDEX('Team forecast'!$B$2:$AO$26,MATCH('Master data'!$B255,'Team forecast'!$B$2:$B$26,0),MATCH('Master data'!K$1,'Team forecast'!$B$2:$AO$2,0))</f>
        <v>4.5343674133251923</v>
      </c>
      <c r="L255" s="16">
        <f>INDEX('Team forecast'!$B$2:$AO$26,MATCH('Master data'!$B255,'Team forecast'!$B$2:$B$26,0),MATCH('Master data'!L$1,'Team forecast'!$B$2:$AO$2,0))</f>
        <v>2.1477110129180663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0.17709563164108619</v>
      </c>
      <c r="R255" s="2">
        <f>Players!BR256</f>
        <v>0</v>
      </c>
      <c r="S255" s="2">
        <f t="shared" si="91"/>
        <v>1.6593477618235051</v>
      </c>
      <c r="T255" s="2">
        <f t="shared" si="92"/>
        <v>0.65422581624273402</v>
      </c>
      <c r="U255" s="16">
        <f>INDEX('Team forecast'!$B$2:$AO$26,MATCH('Master data'!$B255,'Team forecast'!$B$2:$B$26,0),MATCH('Master data'!U$1,'Team forecast'!$B$2:$AO$2,0))</f>
        <v>0.61375173050299947</v>
      </c>
      <c r="V255" s="16">
        <f>INDEX('Team forecast'!$B$2:$AO$26,MATCH('Master data'!$B255,'Team forecast'!$B$2:$B$26,0),MATCH('Master data'!V$1,'Team forecast'!$B$2:$AO$2,0))</f>
        <v>0.25034610059990769</v>
      </c>
      <c r="W255" s="16">
        <f>INDEX('Team forecast'!$B$2:$AO$26,MATCH('Master data'!$B255,'Team forecast'!$B$2:$B$26,0),MATCH('Master data'!W$1,'Team forecast'!$B$2:$AO$2,0))</f>
        <v>0.13590216889709281</v>
      </c>
      <c r="X255" s="5">
        <f t="shared" si="93"/>
        <v>-5000</v>
      </c>
      <c r="Y255" s="5">
        <f t="shared" si="94"/>
        <v>0</v>
      </c>
      <c r="Z255" s="5">
        <f t="shared" si="95"/>
        <v>0</v>
      </c>
      <c r="AA255" s="5">
        <f t="shared" si="96"/>
        <v>0</v>
      </c>
      <c r="AB255" s="5">
        <f t="shared" si="97"/>
        <v>0</v>
      </c>
      <c r="AC255" s="5">
        <f t="shared" si="98"/>
        <v>0</v>
      </c>
      <c r="AD255" s="5">
        <f t="shared" si="99"/>
        <v>0</v>
      </c>
      <c r="AE255" s="5">
        <f t="shared" si="100"/>
        <v>25992.218095072385</v>
      </c>
      <c r="AF255" s="5">
        <f t="shared" si="101"/>
        <v>0</v>
      </c>
      <c r="AG255" s="5">
        <f t="shared" si="102"/>
        <v>0</v>
      </c>
      <c r="AH255" s="5">
        <f t="shared" si="103"/>
        <v>0</v>
      </c>
      <c r="AI255" s="5">
        <f t="shared" si="104"/>
        <v>0</v>
      </c>
      <c r="AJ255" s="5">
        <f t="shared" si="105"/>
        <v>0</v>
      </c>
      <c r="AK255" s="5">
        <f>IFERROR(SUM(X255:AJ255),-5000)*((Cockpit!$C$3)^0)</f>
        <v>20992.218095072385</v>
      </c>
      <c r="AL255" s="16">
        <f>INDEX('Team forecast'!$B$2:$AO$26,MATCH('Master data'!$B255,'Team forecast'!$B$2:$B$26,0),MATCH('Master data'!AL$1,'Team forecast'!$B$2:$AO$2,0))</f>
        <v>1.5198357804321134</v>
      </c>
      <c r="AM255" s="16">
        <f>INDEX('Team forecast'!$B$2:$AO$26,MATCH('Master data'!$B255,'Team forecast'!$B$2:$B$26,0),MATCH('Master data'!AM$1,'Team forecast'!$B$2:$AO$2,0))</f>
        <v>0.79620558314709244</v>
      </c>
      <c r="AN255" s="16">
        <f>INDEX('Team forecast'!$B$2:$AO$26,MATCH('Master data'!$B255,'Team forecast'!$B$2:$B$26,0),MATCH('Master data'!AN$1,'Team forecast'!$B$2:$AO$2,0))</f>
        <v>0.45103714423540769</v>
      </c>
      <c r="AO255" s="16">
        <f>INDEX('Team forecast'!$B$2:$AO$26,MATCH('Master data'!$B255,'Team forecast'!$B$2:$B$26,0),MATCH('Master data'!AO$1,'Team forecast'!$B$2:$AO$2,0))</f>
        <v>4.1531341379722457</v>
      </c>
      <c r="AP255" s="16">
        <f>INDEX('Team forecast'!$B$2:$AO$26,MATCH('Master data'!$B255,'Team forecast'!$B$2:$B$26,0),MATCH('Master data'!AP$1,'Team forecast'!$B$2:$AO$2,0))</f>
        <v>2.6138062073010611</v>
      </c>
      <c r="AQ255" s="5">
        <f t="shared" si="106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107"/>
        <v>0</v>
      </c>
      <c r="AV255" s="5">
        <f t="shared" si="108"/>
        <v>0</v>
      </c>
      <c r="AW255" s="5">
        <f t="shared" si="109"/>
        <v>0</v>
      </c>
      <c r="AX255" s="5">
        <f t="shared" si="110"/>
        <v>22551.857211770384</v>
      </c>
      <c r="AY255" s="5">
        <f t="shared" si="111"/>
        <v>0</v>
      </c>
      <c r="AZ255" s="5">
        <f t="shared" si="112"/>
        <v>0</v>
      </c>
      <c r="BA255" s="5">
        <f t="shared" si="113"/>
        <v>0</v>
      </c>
      <c r="BB255" s="5">
        <f t="shared" si="114"/>
        <v>0</v>
      </c>
      <c r="BC255" s="5">
        <f t="shared" si="115"/>
        <v>0</v>
      </c>
      <c r="BD255" s="5">
        <f t="shared" si="116"/>
        <v>17551.857211770384</v>
      </c>
      <c r="BE255" s="16">
        <f>INDEX('Team forecast'!$B$2:$AO$26,MATCH('Master data'!$B255,'Team forecast'!$B$2:$B$26,0),MATCH('Master data'!BE$1,'Team forecast'!$B$2:$AO$2,0))</f>
        <v>1.8402581758343768</v>
      </c>
      <c r="BF255" s="16">
        <f>INDEX('Team forecast'!$B$2:$AO$26,MATCH('Master data'!$B255,'Team forecast'!$B$2:$B$26,0),MATCH('Master data'!BF$1,'Team forecast'!$B$2:$AO$2,0))</f>
        <v>0.65281467345965161</v>
      </c>
      <c r="BG255" s="16">
        <f>INDEX('Team forecast'!$B$2:$AO$26,MATCH('Master data'!$B255,'Team forecast'!$B$2:$B$26,0),MATCH('Master data'!BG$1,'Team forecast'!$B$2:$AO$2,0))</f>
        <v>0.52057845435388617</v>
      </c>
      <c r="BH255" s="16">
        <f>INDEX('Team forecast'!$B$2:$AO$26,MATCH('Master data'!$B255,'Team forecast'!$B$2:$B$26,0),MATCH('Master data'!BH$1,'Team forecast'!$B$2:$AO$2,0))</f>
        <v>5.0287268869057034</v>
      </c>
      <c r="BI255" s="16">
        <f>INDEX('Team forecast'!$B$2:$AO$26,MATCH('Master data'!$B255,'Team forecast'!$B$2:$B$26,0),MATCH('Master data'!BI$1,'Team forecast'!$B$2:$AO$2,0))</f>
        <v>2.1430784734786541</v>
      </c>
      <c r="BJ255" s="5">
        <f t="shared" si="117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118"/>
        <v>0</v>
      </c>
      <c r="BO255" s="5">
        <f t="shared" si="119"/>
        <v>0</v>
      </c>
      <c r="BP255" s="5">
        <f t="shared" si="120"/>
        <v>0</v>
      </c>
      <c r="BQ255" s="5">
        <f t="shared" si="121"/>
        <v>26028.92271769431</v>
      </c>
      <c r="BR255" s="5">
        <f t="shared" si="122"/>
        <v>0</v>
      </c>
      <c r="BS255" s="5">
        <f t="shared" si="123"/>
        <v>0</v>
      </c>
      <c r="BT255" s="5">
        <f t="shared" si="124"/>
        <v>0</v>
      </c>
      <c r="BU255" s="5">
        <f t="shared" si="125"/>
        <v>0</v>
      </c>
      <c r="BV255" s="5">
        <f t="shared" si="126"/>
        <v>0</v>
      </c>
      <c r="BW255" s="5">
        <f t="shared" si="127"/>
        <v>21028.92271769431</v>
      </c>
      <c r="BX255" s="5">
        <f t="shared" si="128"/>
        <v>19857.666008179029</v>
      </c>
      <c r="BY255" s="5">
        <f t="shared" si="129"/>
        <v>59572.998024537083</v>
      </c>
      <c r="BZ255" s="5">
        <f>INDEX('Team forecast'!$R$3:$BH$26,MATCH($B255,'Team forecast'!$B$3:$B$26,0),MATCH(BZ$1,'Team forecast'!$R$2:$BH$2,0))*($BX255-(BY255+CH255)*0.01)</f>
        <v>-5495.1082265899049</v>
      </c>
      <c r="CA255" s="5">
        <f>INDEX('Team forecast'!$R$3:$BH$26,MATCH($B255,'Team forecast'!$B$3:$B$26,0),MATCH(CA$1,'Team forecast'!$R$2:$BH$2,0))*($BX255-(BY255+BX255+CH255)*0.01)</f>
        <v>-2865.6922549399183</v>
      </c>
      <c r="CB255" s="5">
        <f>INDEX('Team forecast'!$R$3:$BH$26,MATCH($B255,'Team forecast'!$B$3:$B$26,0),MATCH(CB$1,'Team forecast'!$R$2:$BH$2,0))*($BX255-(BY255+BX255*2+CH255)*0.01)</f>
        <v>-1503.1973256967158</v>
      </c>
      <c r="CC255" s="5">
        <f>INDEX('Team forecast'!$R$3:$BH$26,MATCH($B255,'Team forecast'!$B$3:$B$26,0),MATCH(CC$1,'Team forecast'!$R$2:$BH$2,0))*($BX255-(BY255+BX255*3+CH255)*0.01)</f>
        <v>-805.77573969524576</v>
      </c>
      <c r="CD255" s="5">
        <f>+AK255+BD255*Cockpit!$C$3+BW255*Cockpit!$C$3^2+BZ255*Cockpit!$C$3^3+CA255*Cockpit!$C$3^4+CB255*Cockpit!$C$3^5+CC255*Cockpit!$C$3^6</f>
        <v>39576.709059669396</v>
      </c>
      <c r="CE255" s="5"/>
      <c r="CF255" s="5"/>
      <c r="CG255" s="5">
        <v>0</v>
      </c>
      <c r="CH255" s="5">
        <f t="shared" si="130"/>
        <v>2500000</v>
      </c>
      <c r="CI255" s="5">
        <f t="shared" si="131"/>
        <v>2500000</v>
      </c>
      <c r="CJ255" s="1">
        <f t="shared" si="132"/>
        <v>2.3829199209814834E-2</v>
      </c>
      <c r="CK255" s="5">
        <f>RANK(BY255,$BY$2:$BY$623)+COUNTIF($BY$2:$BY255,$BY255)-1</f>
        <v>275</v>
      </c>
      <c r="CL255" s="5">
        <f>RANK(CJ255,$CJ$2:$CJ$623)+COUNTIF($CJ$2:$CJ255,$CJ255)-1</f>
        <v>221</v>
      </c>
    </row>
    <row r="256" spans="1:90">
      <c r="A256" t="str">
        <f>Players!P257</f>
        <v>Matz Sels</v>
      </c>
      <c r="B256" t="str">
        <f>Players!G257</f>
        <v>Belgium</v>
      </c>
      <c r="C256" t="str">
        <f>Players!AB257</f>
        <v>Goalkeeper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5000000</v>
      </c>
      <c r="H256" s="16">
        <f>INDEX('Team forecast'!$B$2:$AO$26,MATCH('Master data'!$B256,'Team forecast'!$B$2:$B$26,0),MATCH('Master data'!H$1,'Team forecast'!$B$2:$AO$2,0))</f>
        <v>1.5602309947683257</v>
      </c>
      <c r="I256" s="16">
        <f>INDEX('Team forecast'!$B$2:$AO$26,MATCH('Master data'!$B256,'Team forecast'!$B$2:$B$26,0),MATCH('Master data'!I$1,'Team forecast'!$B$2:$AO$2,0))</f>
        <v>0.84461095835632183</v>
      </c>
      <c r="J256" s="16">
        <f>INDEX('Team forecast'!$B$2:$AO$26,MATCH('Master data'!$B256,'Team forecast'!$B$2:$B$26,0),MATCH('Master data'!J$1,'Team forecast'!$B$2:$AO$2,0))</f>
        <v>0.42972450642313093</v>
      </c>
      <c r="K256" s="16">
        <f>INDEX('Team forecast'!$B$2:$AO$26,MATCH('Master data'!$B256,'Team forecast'!$B$2:$B$26,0),MATCH('Master data'!K$1,'Team forecast'!$B$2:$AO$2,0))</f>
        <v>4.1655927994293096</v>
      </c>
      <c r="L256" s="16">
        <f>INDEX('Team forecast'!$B$2:$AO$26,MATCH('Master data'!$B256,'Team forecast'!$B$2:$B$26,0),MATCH('Master data'!L$1,'Team forecast'!$B$2:$AO$2,0))</f>
        <v>2.7727127420788342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</v>
      </c>
      <c r="R256" s="2">
        <f>Players!BR257</f>
        <v>0</v>
      </c>
      <c r="S256" s="2">
        <f t="shared" si="91"/>
        <v>1.5602309947683257</v>
      </c>
      <c r="T256" s="2">
        <f t="shared" si="92"/>
        <v>0.84461095835632183</v>
      </c>
      <c r="U256" s="16">
        <f>INDEX('Team forecast'!$B$2:$AO$26,MATCH('Master data'!$B256,'Team forecast'!$B$2:$B$26,0),MATCH('Master data'!U$1,'Team forecast'!$B$2:$AO$2,0))</f>
        <v>0.58357649020425184</v>
      </c>
      <c r="V256" s="16">
        <f>INDEX('Team forecast'!$B$2:$AO$26,MATCH('Master data'!$B256,'Team forecast'!$B$2:$B$26,0),MATCH('Master data'!V$1,'Team forecast'!$B$2:$AO$2,0))</f>
        <v>0.23634847853272201</v>
      </c>
      <c r="W256" s="16">
        <f>INDEX('Team forecast'!$B$2:$AO$26,MATCH('Master data'!$B256,'Team forecast'!$B$2:$B$26,0),MATCH('Master data'!W$1,'Team forecast'!$B$2:$AO$2,0))</f>
        <v>0.18007503126302629</v>
      </c>
      <c r="X256" s="5">
        <f t="shared" si="93"/>
        <v>-5000</v>
      </c>
      <c r="Y256" s="5">
        <f t="shared" si="94"/>
        <v>0</v>
      </c>
      <c r="Z256" s="5">
        <f t="shared" si="95"/>
        <v>0</v>
      </c>
      <c r="AA256" s="5">
        <f t="shared" si="96"/>
        <v>0</v>
      </c>
      <c r="AB256" s="5">
        <f t="shared" si="97"/>
        <v>0</v>
      </c>
      <c r="AC256" s="5">
        <f t="shared" si="98"/>
        <v>0</v>
      </c>
      <c r="AD256" s="5">
        <f t="shared" si="99"/>
        <v>0</v>
      </c>
      <c r="AE256" s="5">
        <f t="shared" si="100"/>
        <v>32229.337981734818</v>
      </c>
      <c r="AF256" s="5">
        <f t="shared" si="101"/>
        <v>9640.5089186125624</v>
      </c>
      <c r="AG256" s="5">
        <f t="shared" si="102"/>
        <v>0</v>
      </c>
      <c r="AH256" s="5">
        <f t="shared" si="103"/>
        <v>0</v>
      </c>
      <c r="AI256" s="5">
        <f t="shared" si="104"/>
        <v>0</v>
      </c>
      <c r="AJ256" s="5">
        <f t="shared" si="105"/>
        <v>0</v>
      </c>
      <c r="AK256" s="5">
        <f>IFERROR(SUM(X256:AJ256),-5000)*((Cockpit!$C$3)^0)</f>
        <v>36869.84690034738</v>
      </c>
      <c r="AL256" s="16">
        <f>INDEX('Team forecast'!$B$2:$AO$26,MATCH('Master data'!$B256,'Team forecast'!$B$2:$B$26,0),MATCH('Master data'!AL$1,'Team forecast'!$B$2:$AO$2,0))</f>
        <v>1.5279674504451852</v>
      </c>
      <c r="AM256" s="16">
        <f>INDEX('Team forecast'!$B$2:$AO$26,MATCH('Master data'!$B256,'Team forecast'!$B$2:$B$26,0),MATCH('Master data'!AM$1,'Team forecast'!$B$2:$AO$2,0))</f>
        <v>1.1610121970988967</v>
      </c>
      <c r="AN256" s="16">
        <f>INDEX('Team forecast'!$B$2:$AO$26,MATCH('Master data'!$B256,'Team forecast'!$B$2:$B$26,0),MATCH('Master data'!AN$1,'Team forecast'!$B$2:$AO$2,0))</f>
        <v>0.31316903161563348</v>
      </c>
      <c r="AO256" s="16">
        <f>INDEX('Team forecast'!$B$2:$AO$26,MATCH('Master data'!$B256,'Team forecast'!$B$2:$B$26,0),MATCH('Master data'!AO$1,'Team forecast'!$B$2:$AO$2,0))</f>
        <v>4.0794537672172888</v>
      </c>
      <c r="AP256" s="16">
        <f>INDEX('Team forecast'!$B$2:$AO$26,MATCH('Master data'!$B256,'Team forecast'!$B$2:$B$26,0),MATCH('Master data'!AP$1,'Team forecast'!$B$2:$AO$2,0))</f>
        <v>3.8114036773448627</v>
      </c>
      <c r="AQ256" s="5">
        <f t="shared" si="106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107"/>
        <v>0</v>
      </c>
      <c r="AV256" s="5">
        <f t="shared" si="108"/>
        <v>0</v>
      </c>
      <c r="AW256" s="5">
        <f t="shared" si="109"/>
        <v>0</v>
      </c>
      <c r="AX256" s="5">
        <f t="shared" si="110"/>
        <v>23487.677371172511</v>
      </c>
      <c r="AY256" s="5">
        <f t="shared" si="111"/>
        <v>13251.957401229831</v>
      </c>
      <c r="AZ256" s="5">
        <f t="shared" si="112"/>
        <v>0</v>
      </c>
      <c r="BA256" s="5">
        <f t="shared" si="113"/>
        <v>0</v>
      </c>
      <c r="BB256" s="5">
        <f t="shared" si="114"/>
        <v>0</v>
      </c>
      <c r="BC256" s="5">
        <f t="shared" si="115"/>
        <v>0</v>
      </c>
      <c r="BD256" s="5">
        <f t="shared" si="116"/>
        <v>31739.634772402344</v>
      </c>
      <c r="BE256" s="16">
        <f>INDEX('Team forecast'!$B$2:$AO$26,MATCH('Master data'!$B256,'Team forecast'!$B$2:$B$26,0),MATCH('Master data'!BE$1,'Team forecast'!$B$2:$AO$2,0))</f>
        <v>2.3394224481215296</v>
      </c>
      <c r="BF256" s="16">
        <f>INDEX('Team forecast'!$B$2:$AO$26,MATCH('Master data'!$B256,'Team forecast'!$B$2:$B$26,0),MATCH('Master data'!BF$1,'Team forecast'!$B$2:$AO$2,0))</f>
        <v>0.62462402002960304</v>
      </c>
      <c r="BG256" s="16">
        <f>INDEX('Team forecast'!$B$2:$AO$26,MATCH('Master data'!$B256,'Team forecast'!$B$2:$B$26,0),MATCH('Master data'!BG$1,'Team forecast'!$B$2:$AO$2,0))</f>
        <v>0.53546271393231015</v>
      </c>
      <c r="BH256" s="16">
        <f>INDEX('Team forecast'!$B$2:$AO$26,MATCH('Master data'!$B256,'Team forecast'!$B$2:$B$26,0),MATCH('Master data'!BH$1,'Team forecast'!$B$2:$AO$2,0))</f>
        <v>6.2459221342192031</v>
      </c>
      <c r="BI256" s="16">
        <f>INDEX('Team forecast'!$B$2:$AO$26,MATCH('Master data'!$B256,'Team forecast'!$B$2:$B$26,0),MATCH('Master data'!BI$1,'Team forecast'!$B$2:$AO$2,0))</f>
        <v>2.0505333990870809</v>
      </c>
      <c r="BJ256" s="5">
        <f t="shared" si="117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118"/>
        <v>0</v>
      </c>
      <c r="BO256" s="5">
        <f t="shared" si="119"/>
        <v>0</v>
      </c>
      <c r="BP256" s="5">
        <f t="shared" si="120"/>
        <v>0</v>
      </c>
      <c r="BQ256" s="5">
        <f t="shared" si="121"/>
        <v>40159.703544923264</v>
      </c>
      <c r="BR256" s="5">
        <f t="shared" si="122"/>
        <v>7129.5468952873889</v>
      </c>
      <c r="BS256" s="5">
        <f t="shared" si="123"/>
        <v>0</v>
      </c>
      <c r="BT256" s="5">
        <f t="shared" si="124"/>
        <v>0</v>
      </c>
      <c r="BU256" s="5">
        <f t="shared" si="125"/>
        <v>0</v>
      </c>
      <c r="BV256" s="5">
        <f t="shared" si="126"/>
        <v>0</v>
      </c>
      <c r="BW256" s="5">
        <f t="shared" si="127"/>
        <v>42289.250440210657</v>
      </c>
      <c r="BX256" s="5">
        <f t="shared" si="128"/>
        <v>36966.244037653458</v>
      </c>
      <c r="BY256" s="5">
        <f t="shared" si="129"/>
        <v>110898.73211296037</v>
      </c>
      <c r="BZ256" s="5">
        <f>INDEX('Team forecast'!$R$3:$BH$26,MATCH($B256,'Team forecast'!$B$3:$B$26,0),MATCH(BZ$1,'Team forecast'!$R$2:$BH$2,0))*($BX256-(BY256+CH256)*0.01)</f>
        <v>-13543.924456386365</v>
      </c>
      <c r="CA256" s="5">
        <f>INDEX('Team forecast'!$R$3:$BH$26,MATCH($B256,'Team forecast'!$B$3:$B$26,0),MATCH(CA$1,'Team forecast'!$R$2:$BH$2,0))*($BX256-(BY256+BX256+CH256)*0.01)</f>
        <v>-7090.2543467027917</v>
      </c>
      <c r="CB256" s="5">
        <f>INDEX('Team forecast'!$R$3:$BH$26,MATCH($B256,'Team forecast'!$B$3:$B$26,0),MATCH(CB$1,'Team forecast'!$R$2:$BH$2,0))*($BX256-(BY256+BX256*2+CH256)*0.01)</f>
        <v>-3771.7922907135207</v>
      </c>
      <c r="CC256" s="5">
        <f>INDEX('Team forecast'!$R$3:$BH$26,MATCH($B256,'Team forecast'!$B$3:$B$26,0),MATCH(CC$1,'Team forecast'!$R$2:$BH$2,0))*($BX256-(BY256+BX256*3+CH256)*0.01)</f>
        <v>-2112.945012429102</v>
      </c>
      <c r="CD256" s="5">
        <f>+AK256+BD256*Cockpit!$C$3+BW256*Cockpit!$C$3^2+BZ256*Cockpit!$C$3^3+CA256*Cockpit!$C$3^4+CB256*Cockpit!$C$3^5+CC256*Cockpit!$C$3^6</f>
        <v>70729.071581838711</v>
      </c>
      <c r="CE256" s="5"/>
      <c r="CF256" s="5"/>
      <c r="CG256" s="5">
        <v>0</v>
      </c>
      <c r="CH256" s="5">
        <f t="shared" si="130"/>
        <v>5000000</v>
      </c>
      <c r="CI256" s="5">
        <f t="shared" si="131"/>
        <v>5000000</v>
      </c>
      <c r="CJ256" s="1">
        <f t="shared" si="132"/>
        <v>2.2179746422592073E-2</v>
      </c>
      <c r="CK256" s="5">
        <f>RANK(BY256,$BY$2:$BY$623)+COUNTIF($BY$2:$BY256,$BY256)-1</f>
        <v>152</v>
      </c>
      <c r="CL256" s="5">
        <f>RANK(CJ256,$CJ$2:$CJ$623)+COUNTIF($CJ$2:$CJ256,$CJ256)-1</f>
        <v>242</v>
      </c>
    </row>
    <row r="257" spans="1:90">
      <c r="A257" t="str">
        <f>Players!P258</f>
        <v>Thomas Vermaelen</v>
      </c>
      <c r="B257" t="str">
        <f>Players!G258</f>
        <v>Belgium</v>
      </c>
      <c r="C257" t="str">
        <f>Players!AB258</f>
        <v>Defense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4000000</v>
      </c>
      <c r="H257" s="16">
        <f>INDEX('Team forecast'!$B$2:$AO$26,MATCH('Master data'!$B257,'Team forecast'!$B$2:$B$26,0),MATCH('Master data'!H$1,'Team forecast'!$B$2:$AO$2,0))</f>
        <v>1.5602309947683257</v>
      </c>
      <c r="I257" s="16">
        <f>INDEX('Team forecast'!$B$2:$AO$26,MATCH('Master data'!$B257,'Team forecast'!$B$2:$B$26,0),MATCH('Master data'!I$1,'Team forecast'!$B$2:$AO$2,0))</f>
        <v>0.84461095835632183</v>
      </c>
      <c r="J257" s="16">
        <f>INDEX('Team forecast'!$B$2:$AO$26,MATCH('Master data'!$B257,'Team forecast'!$B$2:$B$26,0),MATCH('Master data'!J$1,'Team forecast'!$B$2:$AO$2,0))</f>
        <v>0.42972450642313093</v>
      </c>
      <c r="K257" s="16">
        <f>INDEX('Team forecast'!$B$2:$AO$26,MATCH('Master data'!$B257,'Team forecast'!$B$2:$B$26,0),MATCH('Master data'!K$1,'Team forecast'!$B$2:$AO$2,0))</f>
        <v>4.1655927994293096</v>
      </c>
      <c r="L257" s="16">
        <f>INDEX('Team forecast'!$B$2:$AO$26,MATCH('Master data'!$B257,'Team forecast'!$B$2:$B$26,0),MATCH('Master data'!L$1,'Team forecast'!$B$2:$AO$2,0))</f>
        <v>2.7727127420788342</v>
      </c>
      <c r="M257">
        <f>IF(Players!BC258=1,95,0)</f>
        <v>95</v>
      </c>
      <c r="N257" s="2">
        <f>Players!BN258</f>
        <v>3.4119864480853912E-2</v>
      </c>
      <c r="O257" s="2">
        <f>Players!BO258</f>
        <v>5.3257447316704683E-2</v>
      </c>
      <c r="P257" s="2">
        <f>Players!BP258</f>
        <v>0.10693765581074199</v>
      </c>
      <c r="Q257" s="2">
        <f>Players!BQ258</f>
        <v>0.23609978150036415</v>
      </c>
      <c r="R257" s="2">
        <f>Players!BR258</f>
        <v>0</v>
      </c>
      <c r="S257" s="2">
        <f t="shared" si="91"/>
        <v>1.5602309947683257</v>
      </c>
      <c r="T257" s="2">
        <f t="shared" si="92"/>
        <v>0.84461095835632183</v>
      </c>
      <c r="U257" s="16">
        <f>INDEX('Team forecast'!$B$2:$AO$26,MATCH('Master data'!$B257,'Team forecast'!$B$2:$B$26,0),MATCH('Master data'!U$1,'Team forecast'!$B$2:$AO$2,0))</f>
        <v>0.58357649020425184</v>
      </c>
      <c r="V257" s="16">
        <f>INDEX('Team forecast'!$B$2:$AO$26,MATCH('Master data'!$B257,'Team forecast'!$B$2:$B$26,0),MATCH('Master data'!V$1,'Team forecast'!$B$2:$AO$2,0))</f>
        <v>0.23634847853272201</v>
      </c>
      <c r="W257" s="16">
        <f>INDEX('Team forecast'!$B$2:$AO$26,MATCH('Master data'!$B257,'Team forecast'!$B$2:$B$26,0),MATCH('Master data'!W$1,'Team forecast'!$B$2:$AO$2,0))</f>
        <v>0.18007503126302629</v>
      </c>
      <c r="X257" s="5">
        <f t="shared" si="93"/>
        <v>7000</v>
      </c>
      <c r="Y257" s="5">
        <f t="shared" si="94"/>
        <v>14589.412255106296</v>
      </c>
      <c r="Z257" s="5">
        <f t="shared" si="95"/>
        <v>1181.74239266361</v>
      </c>
      <c r="AA257" s="5">
        <f t="shared" si="96"/>
        <v>-2701.1254689453945</v>
      </c>
      <c r="AB257" s="5">
        <f t="shared" si="97"/>
        <v>7985.2305150484735</v>
      </c>
      <c r="AC257" s="5">
        <f t="shared" si="98"/>
        <v>4154.6960002881924</v>
      </c>
      <c r="AD257" s="5">
        <f t="shared" si="99"/>
        <v>4454.5872903307672</v>
      </c>
      <c r="AE257" s="5">
        <f t="shared" si="100"/>
        <v>21486.225321156548</v>
      </c>
      <c r="AF257" s="5">
        <f t="shared" si="101"/>
        <v>0</v>
      </c>
      <c r="AG257" s="5">
        <f t="shared" si="102"/>
        <v>-4721.9956300072827</v>
      </c>
      <c r="AH257" s="5">
        <f t="shared" si="103"/>
        <v>0</v>
      </c>
      <c r="AI257" s="5">
        <f t="shared" si="104"/>
        <v>15602.309947683258</v>
      </c>
      <c r="AJ257" s="5">
        <f t="shared" si="105"/>
        <v>-6756.8876668505745</v>
      </c>
      <c r="AK257" s="5">
        <f>IFERROR(SUM(X257:AJ257),-5000)*((Cockpit!$C$3)^0)</f>
        <v>62274.194956473897</v>
      </c>
      <c r="AL257" s="16">
        <f>INDEX('Team forecast'!$B$2:$AO$26,MATCH('Master data'!$B257,'Team forecast'!$B$2:$B$26,0),MATCH('Master data'!AL$1,'Team forecast'!$B$2:$AO$2,0))</f>
        <v>1.5279674504451852</v>
      </c>
      <c r="AM257" s="16">
        <f>INDEX('Team forecast'!$B$2:$AO$26,MATCH('Master data'!$B257,'Team forecast'!$B$2:$B$26,0),MATCH('Master data'!AM$1,'Team forecast'!$B$2:$AO$2,0))</f>
        <v>1.1610121970988967</v>
      </c>
      <c r="AN257" s="16">
        <f>INDEX('Team forecast'!$B$2:$AO$26,MATCH('Master data'!$B257,'Team forecast'!$B$2:$B$26,0),MATCH('Master data'!AN$1,'Team forecast'!$B$2:$AO$2,0))</f>
        <v>0.31316903161563348</v>
      </c>
      <c r="AO257" s="16">
        <f>INDEX('Team forecast'!$B$2:$AO$26,MATCH('Master data'!$B257,'Team forecast'!$B$2:$B$26,0),MATCH('Master data'!AO$1,'Team forecast'!$B$2:$AO$2,0))</f>
        <v>4.0794537672172888</v>
      </c>
      <c r="AP257" s="16">
        <f>INDEX('Team forecast'!$B$2:$AO$26,MATCH('Master data'!$B257,'Team forecast'!$B$2:$B$26,0),MATCH('Master data'!AP$1,'Team forecast'!$B$2:$AO$2,0))</f>
        <v>3.8114036773448627</v>
      </c>
      <c r="AQ257" s="5">
        <f t="shared" si="106"/>
        <v>7000</v>
      </c>
      <c r="AR257" s="5">
        <f>INDEX('Team forecast'!$B$2:$AO$26,MATCH('Master data'!$B257,'Team forecast'!$B$2:$B$26,0),MATCH('Master data'!AR$1,'Team forecast'!$B$2:$AO$2,0))*IF(X257&gt;0,25000,0)</f>
        <v>11743.838685586257</v>
      </c>
      <c r="AS257" s="16">
        <f>INDEX('Team forecast'!$B$2:$AO$26,MATCH('Master data'!$B257,'Team forecast'!$B$2:$B$26,0),MATCH('Master data'!AS$1,'Team forecast'!$B$2:$AO$2,0))*IF(X257&gt;0,5000,0)</f>
        <v>1381.628080657207</v>
      </c>
      <c r="AT257" s="16">
        <f>INDEX('Team forecast'!$B$2:$AO$26,MATCH('Master data'!$B257,'Team forecast'!$B$2:$B$26,0),MATCH('Master data'!AT$1,'Team forecast'!$B$2:$AO$2,0))*IF(X257&gt;0,-15000,0)</f>
        <v>-3808.8125466766246</v>
      </c>
      <c r="AU257" s="5">
        <f t="shared" si="107"/>
        <v>7820.106351051837</v>
      </c>
      <c r="AV257" s="5">
        <f t="shared" si="108"/>
        <v>4068.7822996862014</v>
      </c>
      <c r="AW257" s="5">
        <f t="shared" si="109"/>
        <v>4362.4722285451726</v>
      </c>
      <c r="AX257" s="5">
        <f t="shared" si="110"/>
        <v>15658.451580781673</v>
      </c>
      <c r="AY257" s="5">
        <f t="shared" si="111"/>
        <v>0</v>
      </c>
      <c r="AZ257" s="5">
        <f t="shared" si="112"/>
        <v>-4721.9956300072827</v>
      </c>
      <c r="BA257" s="5">
        <f t="shared" si="113"/>
        <v>0</v>
      </c>
      <c r="BB257" s="5">
        <f t="shared" si="114"/>
        <v>15279.674504451852</v>
      </c>
      <c r="BC257" s="5">
        <f t="shared" si="115"/>
        <v>-9288.0975767911732</v>
      </c>
      <c r="BD257" s="5">
        <f t="shared" si="116"/>
        <v>49496.047977285118</v>
      </c>
      <c r="BE257" s="16">
        <f>INDEX('Team forecast'!$B$2:$AO$26,MATCH('Master data'!$B257,'Team forecast'!$B$2:$B$26,0),MATCH('Master data'!BE$1,'Team forecast'!$B$2:$AO$2,0))</f>
        <v>2.3394224481215296</v>
      </c>
      <c r="BF257" s="16">
        <f>INDEX('Team forecast'!$B$2:$AO$26,MATCH('Master data'!$B257,'Team forecast'!$B$2:$B$26,0),MATCH('Master data'!BF$1,'Team forecast'!$B$2:$AO$2,0))</f>
        <v>0.62462402002960304</v>
      </c>
      <c r="BG257" s="16">
        <f>INDEX('Team forecast'!$B$2:$AO$26,MATCH('Master data'!$B257,'Team forecast'!$B$2:$B$26,0),MATCH('Master data'!BG$1,'Team forecast'!$B$2:$AO$2,0))</f>
        <v>0.53546271393231015</v>
      </c>
      <c r="BH257" s="16">
        <f>INDEX('Team forecast'!$B$2:$AO$26,MATCH('Master data'!$B257,'Team forecast'!$B$2:$B$26,0),MATCH('Master data'!BH$1,'Team forecast'!$B$2:$AO$2,0))</f>
        <v>6.2459221342192031</v>
      </c>
      <c r="BI257" s="16">
        <f>INDEX('Team forecast'!$B$2:$AO$26,MATCH('Master data'!$B257,'Team forecast'!$B$2:$B$26,0),MATCH('Master data'!BI$1,'Team forecast'!$B$2:$AO$2,0))</f>
        <v>2.0505333990870809</v>
      </c>
      <c r="BJ257" s="5">
        <f t="shared" si="117"/>
        <v>7000</v>
      </c>
      <c r="BK257" s="5">
        <f>INDEX('Team forecast'!$R$3:$BH$26,MATCH($B257,'Team forecast'!$B$3:$B$26,0),MATCH(BK$1,'Team forecast'!$R$2:$BH$2,0))*IF($X257&gt;0,25000,0)</f>
        <v>19590.099290206468</v>
      </c>
      <c r="BL257" s="5">
        <f>INDEX('Team forecast'!$R$3:$BH$26,MATCH($B257,'Team forecast'!$B$3:$B$26,0),MATCH(BL$1,'Team forecast'!$R$2:$BH$2,0))*IF($X257&gt;0,5000,0)</f>
        <v>771.06630806252645</v>
      </c>
      <c r="BM257" s="5">
        <f>INDEX('Team forecast'!$R$3:$BH$26,MATCH($B257,'Team forecast'!$B$3:$B$26,0),MATCH(BM$1,'Team forecast'!$R$2:$BH$2,0))*IF($X257&gt;0,-15000,0)</f>
        <v>-932.74150168854032</v>
      </c>
      <c r="BN257" s="5">
        <f t="shared" si="118"/>
        <v>11973.116534006111</v>
      </c>
      <c r="BO257" s="5">
        <f t="shared" si="119"/>
        <v>6229.5833891174325</v>
      </c>
      <c r="BP257" s="5">
        <f t="shared" si="120"/>
        <v>6679.2427140982827</v>
      </c>
      <c r="BQ257" s="5">
        <f t="shared" si="121"/>
        <v>26773.135696615507</v>
      </c>
      <c r="BR257" s="5">
        <f t="shared" si="122"/>
        <v>0</v>
      </c>
      <c r="BS257" s="5">
        <f t="shared" si="123"/>
        <v>-4721.9956300072827</v>
      </c>
      <c r="BT257" s="5">
        <f t="shared" si="124"/>
        <v>0</v>
      </c>
      <c r="BU257" s="5">
        <f t="shared" si="125"/>
        <v>23394.224481215297</v>
      </c>
      <c r="BV257" s="5">
        <f t="shared" si="126"/>
        <v>-4996.992160236824</v>
      </c>
      <c r="BW257" s="5">
        <f t="shared" si="127"/>
        <v>91758.739121388979</v>
      </c>
      <c r="BX257" s="5">
        <f t="shared" si="128"/>
        <v>67842.994018382669</v>
      </c>
      <c r="BY257" s="5">
        <f t="shared" si="129"/>
        <v>203528.98205514799</v>
      </c>
      <c r="BZ257" s="5">
        <f>INDEX('Team forecast'!$R$3:$BH$26,MATCH($B257,'Team forecast'!$B$3:$B$26,0),MATCH(BZ$1,'Team forecast'!$R$2:$BH$2,0))*($BX257-(BY257+CH257)*0.01)</f>
        <v>24714.978490529324</v>
      </c>
      <c r="CA257" s="5">
        <f>INDEX('Team forecast'!$R$3:$BH$26,MATCH($B257,'Team forecast'!$B$3:$B$26,0),MATCH(CA$1,'Team forecast'!$R$2:$BH$2,0))*($BX257-(BY257+BX257+CH257)*0.01)</f>
        <v>12277.285339530201</v>
      </c>
      <c r="CB257" s="5">
        <f>INDEX('Team forecast'!$R$3:$BH$26,MATCH($B257,'Team forecast'!$B$3:$B$26,0),MATCH(CB$1,'Team forecast'!$R$2:$BH$2,0))*($BX257-(BY257+BX257*2+CH257)*0.01)</f>
        <v>6196.9549581633682</v>
      </c>
      <c r="CC257" s="5">
        <f>INDEX('Team forecast'!$R$3:$BH$26,MATCH($B257,'Team forecast'!$B$3:$B$26,0),MATCH(CC$1,'Team forecast'!$R$2:$BH$2,0))*($BX257-(BY257+BX257*3+CH257)*0.01)</f>
        <v>3293.383924359543</v>
      </c>
      <c r="CD257" s="5">
        <f>+AK257+BD257*Cockpit!$C$3+BW257*Cockpit!$C$3^2+BZ257*Cockpit!$C$3^3+CA257*Cockpit!$C$3^4+CB257*Cockpit!$C$3^5+CC257*Cockpit!$C$3^6</f>
        <v>146906.51249046557</v>
      </c>
      <c r="CE257" s="5"/>
      <c r="CF257" s="5"/>
      <c r="CG257" s="5">
        <v>0</v>
      </c>
      <c r="CH257" s="5">
        <f t="shared" si="130"/>
        <v>4000000</v>
      </c>
      <c r="CI257" s="5">
        <f t="shared" si="131"/>
        <v>4000000</v>
      </c>
      <c r="CJ257" s="1">
        <f t="shared" si="132"/>
        <v>5.0882245513786999E-2</v>
      </c>
      <c r="CK257" s="5">
        <f>RANK(BY257,$BY$2:$BY$623)+COUNTIF($BY$2:$BY257,$BY257)-1</f>
        <v>48</v>
      </c>
      <c r="CL257" s="5">
        <f>RANK(CJ257,$CJ$2:$CJ$623)+COUNTIF($CJ$2:$CJ257,$CJ257)-1</f>
        <v>29</v>
      </c>
    </row>
    <row r="258" spans="1:90">
      <c r="A258" t="str">
        <f>Players!P259</f>
        <v>Marco Bizot</v>
      </c>
      <c r="B258" t="str">
        <f>Players!G259</f>
        <v>Netherlands</v>
      </c>
      <c r="C258" t="str">
        <f>Players!AB259</f>
        <v>Goalkeeper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4500000</v>
      </c>
      <c r="H258" s="16">
        <f>INDEX('Team forecast'!$B$2:$AO$26,MATCH('Master data'!$B258,'Team forecast'!$B$2:$B$26,0),MATCH('Master data'!H$1,'Team forecast'!$B$2:$AO$2,0))</f>
        <v>1.5712166996139025</v>
      </c>
      <c r="I258" s="16">
        <f>INDEX('Team forecast'!$B$2:$AO$26,MATCH('Master data'!$B258,'Team forecast'!$B$2:$B$26,0),MATCH('Master data'!I$1,'Team forecast'!$B$2:$AO$2,0))</f>
        <v>0.76028648339757388</v>
      </c>
      <c r="J258" s="16">
        <f>INDEX('Team forecast'!$B$2:$AO$26,MATCH('Master data'!$B258,'Team forecast'!$B$2:$B$26,0),MATCH('Master data'!J$1,'Team forecast'!$B$2:$AO$2,0))</f>
        <v>0.46753246753246752</v>
      </c>
      <c r="K258" s="16">
        <f>INDEX('Team forecast'!$B$2:$AO$26,MATCH('Master data'!$B258,'Team forecast'!$B$2:$B$26,0),MATCH('Master data'!K$1,'Team forecast'!$B$2:$AO$2,0))</f>
        <v>4.4640175390899657</v>
      </c>
      <c r="L258" s="16">
        <f>INDEX('Team forecast'!$B$2:$AO$26,MATCH('Master data'!$B258,'Team forecast'!$B$2:$B$26,0),MATCH('Master data'!L$1,'Team forecast'!$B$2:$AO$2,0))</f>
        <v>2.4958899707496114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0</v>
      </c>
      <c r="R258" s="2">
        <f>Players!BR259</f>
        <v>0</v>
      </c>
      <c r="S258" s="2">
        <f t="shared" si="91"/>
        <v>1.5712166996139025</v>
      </c>
      <c r="T258" s="2">
        <f t="shared" si="92"/>
        <v>0.76028648339757388</v>
      </c>
      <c r="U258" s="16">
        <f>INDEX('Team forecast'!$B$2:$AO$26,MATCH('Master data'!$B258,'Team forecast'!$B$2:$B$26,0),MATCH('Master data'!U$1,'Team forecast'!$B$2:$AO$2,0))</f>
        <v>0.58441558441558439</v>
      </c>
      <c r="V258" s="16">
        <f>INDEX('Team forecast'!$B$2:$AO$26,MATCH('Master data'!$B258,'Team forecast'!$B$2:$B$26,0),MATCH('Master data'!V$1,'Team forecast'!$B$2:$AO$2,0))</f>
        <v>0.25974025974025972</v>
      </c>
      <c r="W258" s="16">
        <f>INDEX('Team forecast'!$B$2:$AO$26,MATCH('Master data'!$B258,'Team forecast'!$B$2:$B$26,0),MATCH('Master data'!W$1,'Team forecast'!$B$2:$AO$2,0))</f>
        <v>0.15584415584415581</v>
      </c>
      <c r="X258" s="5">
        <f t="shared" si="93"/>
        <v>-5000</v>
      </c>
      <c r="Y258" s="5">
        <f t="shared" si="94"/>
        <v>0</v>
      </c>
      <c r="Z258" s="5">
        <f t="shared" si="95"/>
        <v>0</v>
      </c>
      <c r="AA258" s="5">
        <f t="shared" si="96"/>
        <v>0</v>
      </c>
      <c r="AB258" s="5">
        <f t="shared" si="97"/>
        <v>0</v>
      </c>
      <c r="AC258" s="5">
        <f t="shared" si="98"/>
        <v>0</v>
      </c>
      <c r="AD258" s="5">
        <f t="shared" si="99"/>
        <v>0</v>
      </c>
      <c r="AE258" s="5">
        <f t="shared" si="100"/>
        <v>35064.935064935067</v>
      </c>
      <c r="AF258" s="5">
        <f t="shared" si="101"/>
        <v>8678.0174367601885</v>
      </c>
      <c r="AG258" s="5">
        <f t="shared" si="102"/>
        <v>0</v>
      </c>
      <c r="AH258" s="5">
        <f t="shared" si="103"/>
        <v>0</v>
      </c>
      <c r="AI258" s="5">
        <f t="shared" si="104"/>
        <v>0</v>
      </c>
      <c r="AJ258" s="5">
        <f t="shared" si="105"/>
        <v>0</v>
      </c>
      <c r="AK258" s="5">
        <f>IFERROR(SUM(X258:AJ258),-5000)*((Cockpit!$C$3)^0)</f>
        <v>38742.952501695254</v>
      </c>
      <c r="AL258" s="16">
        <f>INDEX('Team forecast'!$B$2:$AO$26,MATCH('Master data'!$B258,'Team forecast'!$B$2:$B$26,0),MATCH('Master data'!AL$1,'Team forecast'!$B$2:$AO$2,0))</f>
        <v>1.8476112368050062</v>
      </c>
      <c r="AM258" s="16">
        <f>INDEX('Team forecast'!$B$2:$AO$26,MATCH('Master data'!$B258,'Team forecast'!$B$2:$B$26,0),MATCH('Master data'!AM$1,'Team forecast'!$B$2:$AO$2,0))</f>
        <v>0.7977891123063281</v>
      </c>
      <c r="AN258" s="16">
        <f>INDEX('Team forecast'!$B$2:$AO$26,MATCH('Master data'!$B258,'Team forecast'!$B$2:$B$26,0),MATCH('Master data'!AN$1,'Team forecast'!$B$2:$AO$2,0))</f>
        <v>0.45032347896962183</v>
      </c>
      <c r="AO258" s="16">
        <f>INDEX('Team forecast'!$B$2:$AO$26,MATCH('Master data'!$B258,'Team forecast'!$B$2:$B$26,0),MATCH('Master data'!AO$1,'Team forecast'!$B$2:$AO$2,0))</f>
        <v>5.2492879998945963</v>
      </c>
      <c r="AP258" s="16">
        <f>INDEX('Team forecast'!$B$2:$AO$26,MATCH('Master data'!$B258,'Team forecast'!$B$2:$B$26,0),MATCH('Master data'!AP$1,'Team forecast'!$B$2:$AO$2,0))</f>
        <v>2.6190046616116831</v>
      </c>
      <c r="AQ258" s="5">
        <f t="shared" si="106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107"/>
        <v>0</v>
      </c>
      <c r="AV258" s="5">
        <f t="shared" si="108"/>
        <v>0</v>
      </c>
      <c r="AW258" s="5">
        <f t="shared" si="109"/>
        <v>0</v>
      </c>
      <c r="AX258" s="5">
        <f t="shared" si="110"/>
        <v>33774.260922721638</v>
      </c>
      <c r="AY258" s="5">
        <f t="shared" si="111"/>
        <v>9106.0777465267747</v>
      </c>
      <c r="AZ258" s="5">
        <f t="shared" si="112"/>
        <v>0</v>
      </c>
      <c r="BA258" s="5">
        <f t="shared" si="113"/>
        <v>0</v>
      </c>
      <c r="BB258" s="5">
        <f t="shared" si="114"/>
        <v>0</v>
      </c>
      <c r="BC258" s="5">
        <f t="shared" si="115"/>
        <v>0</v>
      </c>
      <c r="BD258" s="5">
        <f t="shared" si="116"/>
        <v>37880.338669248413</v>
      </c>
      <c r="BE258" s="16">
        <f>INDEX('Team forecast'!$B$2:$AO$26,MATCH('Master data'!$B258,'Team forecast'!$B$2:$B$26,0),MATCH('Master data'!BE$1,'Team forecast'!$B$2:$AO$2,0))</f>
        <v>2.3683451623921505</v>
      </c>
      <c r="BF258" s="16">
        <f>INDEX('Team forecast'!$B$2:$AO$26,MATCH('Master data'!$B258,'Team forecast'!$B$2:$B$26,0),MATCH('Master data'!BF$1,'Team forecast'!$B$2:$AO$2,0))</f>
        <v>0.49102780480244929</v>
      </c>
      <c r="BG258" s="16">
        <f>INDEX('Team forecast'!$B$2:$AO$26,MATCH('Master data'!$B258,'Team forecast'!$B$2:$B$26,0),MATCH('Master data'!BG$1,'Team forecast'!$B$2:$AO$2,0))</f>
        <v>0.61199705730750009</v>
      </c>
      <c r="BH258" s="16">
        <f>INDEX('Team forecast'!$B$2:$AO$26,MATCH('Master data'!$B258,'Team forecast'!$B$2:$B$26,0),MATCH('Master data'!BH$1,'Team forecast'!$B$2:$AO$2,0))</f>
        <v>6.7287563492262965</v>
      </c>
      <c r="BI258" s="16">
        <f>INDEX('Team forecast'!$B$2:$AO$26,MATCH('Master data'!$B258,'Team forecast'!$B$2:$B$26,0),MATCH('Master data'!BI$1,'Team forecast'!$B$2:$AO$2,0))</f>
        <v>1.6119599652605658</v>
      </c>
      <c r="BJ258" s="5">
        <f t="shared" si="117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118"/>
        <v>0</v>
      </c>
      <c r="BO258" s="5">
        <f t="shared" si="119"/>
        <v>0</v>
      </c>
      <c r="BP258" s="5">
        <f t="shared" si="120"/>
        <v>0</v>
      </c>
      <c r="BQ258" s="5">
        <f t="shared" si="121"/>
        <v>45899.779298062509</v>
      </c>
      <c r="BR258" s="5">
        <f t="shared" si="122"/>
        <v>5604.660802290583</v>
      </c>
      <c r="BS258" s="5">
        <f t="shared" si="123"/>
        <v>0</v>
      </c>
      <c r="BT258" s="5">
        <f t="shared" si="124"/>
        <v>0</v>
      </c>
      <c r="BU258" s="5">
        <f t="shared" si="125"/>
        <v>0</v>
      </c>
      <c r="BV258" s="5">
        <f t="shared" si="126"/>
        <v>0</v>
      </c>
      <c r="BW258" s="5">
        <f t="shared" si="127"/>
        <v>46504.440100353095</v>
      </c>
      <c r="BX258" s="5">
        <f t="shared" si="128"/>
        <v>41042.577090432256</v>
      </c>
      <c r="BY258" s="5">
        <f t="shared" si="129"/>
        <v>123127.73127129677</v>
      </c>
      <c r="BZ258" s="5">
        <f>INDEX('Team forecast'!$R$3:$BH$26,MATCH($B258,'Team forecast'!$B$3:$B$26,0),MATCH(BZ$1,'Team forecast'!$R$2:$BH$2,0))*($BX258-(BY258+CH258)*0.01)</f>
        <v>-5016.3289819237607</v>
      </c>
      <c r="CA258" s="5">
        <f>INDEX('Team forecast'!$R$3:$BH$26,MATCH($B258,'Team forecast'!$B$3:$B$26,0),MATCH(CA$1,'Team forecast'!$R$2:$BH$2,0))*($BX258-(BY258+BX258+CH258)*0.01)</f>
        <v>-2705.2944909031567</v>
      </c>
      <c r="CB258" s="5">
        <f>INDEX('Team forecast'!$R$3:$BH$26,MATCH($B258,'Team forecast'!$B$3:$B$26,0),MATCH(CB$1,'Team forecast'!$R$2:$BH$2,0))*($BX258-(BY258+BX258*2+CH258)*0.01)</f>
        <v>-1450.5201881261339</v>
      </c>
      <c r="CC258" s="5">
        <f>INDEX('Team forecast'!$R$3:$BH$26,MATCH($B258,'Team forecast'!$B$3:$B$26,0),MATCH(CC$1,'Team forecast'!$R$2:$BH$2,0))*($BX258-(BY258+BX258*3+CH258)*0.01)</f>
        <v>-773.03099521746105</v>
      </c>
      <c r="CD258" s="5">
        <f>+AK258+BD258*Cockpit!$C$3+BW258*Cockpit!$C$3^2+BZ258*Cockpit!$C$3^3+CA258*Cockpit!$C$3^4+CB258*Cockpit!$C$3^5+CC258*Cockpit!$C$3^6</f>
        <v>82385.572250981291</v>
      </c>
      <c r="CE258" s="5"/>
      <c r="CF258" s="5"/>
      <c r="CG258" s="5">
        <v>0</v>
      </c>
      <c r="CH258" s="5">
        <f t="shared" si="130"/>
        <v>4500000</v>
      </c>
      <c r="CI258" s="5">
        <f t="shared" si="131"/>
        <v>4500000</v>
      </c>
      <c r="CJ258" s="1">
        <f t="shared" si="132"/>
        <v>2.736171806028817E-2</v>
      </c>
      <c r="CK258" s="5">
        <f>RANK(BY258,$BY$2:$BY$623)+COUNTIF($BY$2:$BY258,$BY258)-1</f>
        <v>126</v>
      </c>
      <c r="CL258" s="5">
        <f>RANK(CJ258,$CJ$2:$CJ$623)+COUNTIF($CJ$2:$CJ258,$CJ258)-1</f>
        <v>177</v>
      </c>
    </row>
    <row r="259" spans="1:90">
      <c r="A259" t="str">
        <f>Players!P260</f>
        <v>Jurriën Timber</v>
      </c>
      <c r="B259" t="str">
        <f>Players!G260</f>
        <v>Netherlands</v>
      </c>
      <c r="C259" t="str">
        <f>Players!AB260</f>
        <v>Defense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2500000</v>
      </c>
      <c r="H259" s="16">
        <f>INDEX('Team forecast'!$B$2:$AO$26,MATCH('Master data'!$B259,'Team forecast'!$B$2:$B$26,0),MATCH('Master data'!H$1,'Team forecast'!$B$2:$AO$2,0))</f>
        <v>1.5712166996139025</v>
      </c>
      <c r="I259" s="16">
        <f>INDEX('Team forecast'!$B$2:$AO$26,MATCH('Master data'!$B259,'Team forecast'!$B$2:$B$26,0),MATCH('Master data'!I$1,'Team forecast'!$B$2:$AO$2,0))</f>
        <v>0.76028648339757388</v>
      </c>
      <c r="J259" s="16">
        <f>INDEX('Team forecast'!$B$2:$AO$26,MATCH('Master data'!$B259,'Team forecast'!$B$2:$B$26,0),MATCH('Master data'!J$1,'Team forecast'!$B$2:$AO$2,0))</f>
        <v>0.46753246753246752</v>
      </c>
      <c r="K259" s="16">
        <f>INDEX('Team forecast'!$B$2:$AO$26,MATCH('Master data'!$B259,'Team forecast'!$B$2:$B$26,0),MATCH('Master data'!K$1,'Team forecast'!$B$2:$AO$2,0))</f>
        <v>4.4640175390899657</v>
      </c>
      <c r="L259" s="16">
        <f>INDEX('Team forecast'!$B$2:$AO$26,MATCH('Master data'!$B259,'Team forecast'!$B$2:$B$26,0),MATCH('Master data'!L$1,'Team forecast'!$B$2:$AO$2,0))</f>
        <v>2.4958899707496114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6.32688927943761E-2</v>
      </c>
      <c r="R259" s="2">
        <f>Players!BR260</f>
        <v>0</v>
      </c>
      <c r="S259" s="2">
        <f t="shared" ref="S259:S322" si="133">H259</f>
        <v>1.5712166996139025</v>
      </c>
      <c r="T259" s="2">
        <f t="shared" ref="T259:T322" si="134">I259</f>
        <v>0.76028648339757388</v>
      </c>
      <c r="U259" s="16">
        <f>INDEX('Team forecast'!$B$2:$AO$26,MATCH('Master data'!$B259,'Team forecast'!$B$2:$B$26,0),MATCH('Master data'!U$1,'Team forecast'!$B$2:$AO$2,0))</f>
        <v>0.58441558441558439</v>
      </c>
      <c r="V259" s="16">
        <f>INDEX('Team forecast'!$B$2:$AO$26,MATCH('Master data'!$B259,'Team forecast'!$B$2:$B$26,0),MATCH('Master data'!V$1,'Team forecast'!$B$2:$AO$2,0))</f>
        <v>0.25974025974025972</v>
      </c>
      <c r="W259" s="16">
        <f>INDEX('Team forecast'!$B$2:$AO$26,MATCH('Master data'!$B259,'Team forecast'!$B$2:$B$26,0),MATCH('Master data'!W$1,'Team forecast'!$B$2:$AO$2,0))</f>
        <v>0.15584415584415581</v>
      </c>
      <c r="X259" s="5">
        <f t="shared" ref="X259:X322" si="135">IF(M259&gt;95,7000*2,IF(M259&gt;0,7000,-5000))</f>
        <v>-5000</v>
      </c>
      <c r="Y259" s="5">
        <f t="shared" ref="Y259:Y322" si="136">IF($X259&gt;0,U259*25000,0)</f>
        <v>0</v>
      </c>
      <c r="Z259" s="5">
        <f t="shared" ref="Z259:Z322" si="137">IF($X259&gt;0,V259*5000,0)</f>
        <v>0</v>
      </c>
      <c r="AA259" s="5">
        <f t="shared" ref="AA259:AA322" si="138">IF($X259&gt;0,W259*(-15000),0)</f>
        <v>0</v>
      </c>
      <c r="AB259" s="5">
        <f t="shared" ref="AB259:AB322" si="139">IF($C259="Defense",$N259*150000,IF($C259="Midfield",$N259*125000,IF($C259="Striker",$N259*100000,0)))*$H259</f>
        <v>0</v>
      </c>
      <c r="AC259" s="5">
        <f t="shared" ref="AC259:AC322" si="140">$O259*50000*H259</f>
        <v>0</v>
      </c>
      <c r="AD259" s="5">
        <f t="shared" ref="AD259:AD322" si="141">$P259*K259*10000</f>
        <v>0</v>
      </c>
      <c r="AE259" s="5">
        <f t="shared" ref="AE259:AE322" si="142">IF($C259="Goalkeeper",J259*75000,IF($C259="Defense",J259*50000,0))</f>
        <v>23376.623376623374</v>
      </c>
      <c r="AF259" s="5">
        <f t="shared" ref="AF259:AF322" si="143">IF($C259="Goalkeeper",(L259-I259)*5000,0)</f>
        <v>0</v>
      </c>
      <c r="AG259" s="5">
        <f t="shared" ref="AG259:AG322" si="144">IF(M259&gt;0,Q259*(-20000),0)</f>
        <v>0</v>
      </c>
      <c r="AH259" s="5">
        <f t="shared" ref="AH259:AH322" si="145">IF(M259&gt;0,R259*(-50000),0)</f>
        <v>0</v>
      </c>
      <c r="AI259" s="5">
        <f t="shared" ref="AI259:AI322" si="146">IF(M259&gt;0,S259*10000,0)</f>
        <v>0</v>
      </c>
      <c r="AJ259" s="5">
        <f t="shared" ref="AJ259:AJ322" si="147">IF(M259&gt;0,T259*(-8000),0)</f>
        <v>0</v>
      </c>
      <c r="AK259" s="5">
        <f>IFERROR(SUM(X259:AJ259),-5000)*((Cockpit!$C$3)^0)</f>
        <v>18376.623376623374</v>
      </c>
      <c r="AL259" s="16">
        <f>INDEX('Team forecast'!$B$2:$AO$26,MATCH('Master data'!$B259,'Team forecast'!$B$2:$B$26,0),MATCH('Master data'!AL$1,'Team forecast'!$B$2:$AO$2,0))</f>
        <v>1.8476112368050062</v>
      </c>
      <c r="AM259" s="16">
        <f>INDEX('Team forecast'!$B$2:$AO$26,MATCH('Master data'!$B259,'Team forecast'!$B$2:$B$26,0),MATCH('Master data'!AM$1,'Team forecast'!$B$2:$AO$2,0))</f>
        <v>0.7977891123063281</v>
      </c>
      <c r="AN259" s="16">
        <f>INDEX('Team forecast'!$B$2:$AO$26,MATCH('Master data'!$B259,'Team forecast'!$B$2:$B$26,0),MATCH('Master data'!AN$1,'Team forecast'!$B$2:$AO$2,0))</f>
        <v>0.45032347896962183</v>
      </c>
      <c r="AO259" s="16">
        <f>INDEX('Team forecast'!$B$2:$AO$26,MATCH('Master data'!$B259,'Team forecast'!$B$2:$B$26,0),MATCH('Master data'!AO$1,'Team forecast'!$B$2:$AO$2,0))</f>
        <v>5.2492879998945963</v>
      </c>
      <c r="AP259" s="16">
        <f>INDEX('Team forecast'!$B$2:$AO$26,MATCH('Master data'!$B259,'Team forecast'!$B$2:$B$26,0),MATCH('Master data'!AP$1,'Team forecast'!$B$2:$AO$2,0))</f>
        <v>2.6190046616116831</v>
      </c>
      <c r="AQ259" s="5">
        <f t="shared" ref="AQ259:AQ322" si="148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149">IF($C259="Defense",$N259*150000,IF($C259="Midfield",$N259*125000,IF($C259="Striker",$N259*100000,0)))*$AL259</f>
        <v>0</v>
      </c>
      <c r="AV259" s="5">
        <f t="shared" ref="AV259:AV322" si="150">$O259*50000*AL259</f>
        <v>0</v>
      </c>
      <c r="AW259" s="5">
        <f t="shared" ref="AW259:AW322" si="151">$P259*AO259*10000</f>
        <v>0</v>
      </c>
      <c r="AX259" s="5">
        <f t="shared" ref="AX259:AX322" si="152">IF($C259="Goalkeeper",AN259*75000,IF($C259="Defense",AN259*50000,0))</f>
        <v>22516.17394848109</v>
      </c>
      <c r="AY259" s="5">
        <f t="shared" ref="AY259:AY322" si="153">IF($C259="Goalkeeper",(AP259-AM259)*5000,0)</f>
        <v>0</v>
      </c>
      <c r="AZ259" s="5">
        <f t="shared" ref="AZ259:AZ322" si="154">$AG259</f>
        <v>0</v>
      </c>
      <c r="BA259" s="5">
        <f t="shared" ref="BA259:BA322" si="155">$AH259</f>
        <v>0</v>
      </c>
      <c r="BB259" s="5">
        <f t="shared" ref="BB259:BB322" si="156">IF(X259&gt;0,AL259*10000,0)</f>
        <v>0</v>
      </c>
      <c r="BC259" s="5">
        <f t="shared" ref="BC259:BC322" si="157">IF(X259&gt;0,AM259*(-8000),0)</f>
        <v>0</v>
      </c>
      <c r="BD259" s="5">
        <f t="shared" ref="BD259:BD322" si="158">IFERROR(SUM(AQ259:BC259),0)</f>
        <v>17516.17394848109</v>
      </c>
      <c r="BE259" s="16">
        <f>INDEX('Team forecast'!$B$2:$AO$26,MATCH('Master data'!$B259,'Team forecast'!$B$2:$B$26,0),MATCH('Master data'!BE$1,'Team forecast'!$B$2:$AO$2,0))</f>
        <v>2.3683451623921505</v>
      </c>
      <c r="BF259" s="16">
        <f>INDEX('Team forecast'!$B$2:$AO$26,MATCH('Master data'!$B259,'Team forecast'!$B$2:$B$26,0),MATCH('Master data'!BF$1,'Team forecast'!$B$2:$AO$2,0))</f>
        <v>0.49102780480244929</v>
      </c>
      <c r="BG259" s="16">
        <f>INDEX('Team forecast'!$B$2:$AO$26,MATCH('Master data'!$B259,'Team forecast'!$B$2:$B$26,0),MATCH('Master data'!BG$1,'Team forecast'!$B$2:$AO$2,0))</f>
        <v>0.61199705730750009</v>
      </c>
      <c r="BH259" s="16">
        <f>INDEX('Team forecast'!$B$2:$AO$26,MATCH('Master data'!$B259,'Team forecast'!$B$2:$B$26,0),MATCH('Master data'!BH$1,'Team forecast'!$B$2:$AO$2,0))</f>
        <v>6.7287563492262965</v>
      </c>
      <c r="BI259" s="16">
        <f>INDEX('Team forecast'!$B$2:$AO$26,MATCH('Master data'!$B259,'Team forecast'!$B$2:$B$26,0),MATCH('Master data'!BI$1,'Team forecast'!$B$2:$AO$2,0))</f>
        <v>1.6119599652605658</v>
      </c>
      <c r="BJ259" s="5">
        <f t="shared" ref="BJ259:BJ322" si="159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160">IF($C259="Defense",$N259*150000,IF($C259="Midfield",$N259*125000,IF($C259="Striker",$N259*100000,0)))*$BE259</f>
        <v>0</v>
      </c>
      <c r="BO259" s="5">
        <f t="shared" ref="BO259:BO322" si="161">$O259*50000*$BE259</f>
        <v>0</v>
      </c>
      <c r="BP259" s="5">
        <f t="shared" ref="BP259:BP322" si="162">$P259*BH259*10000</f>
        <v>0</v>
      </c>
      <c r="BQ259" s="5">
        <f t="shared" ref="BQ259:BQ322" si="163">IF($C259="Goalkeeper",BG259*75000,IF($C259="Defense",BG259*50000,0))</f>
        <v>30599.852865375004</v>
      </c>
      <c r="BR259" s="5">
        <f t="shared" ref="BR259:BR322" si="164">IF($C259="Goalkeeper",(BI259-BF259)*5000,0)</f>
        <v>0</v>
      </c>
      <c r="BS259" s="5">
        <f t="shared" ref="BS259:BS322" si="165">$AG259</f>
        <v>0</v>
      </c>
      <c r="BT259" s="5">
        <f t="shared" ref="BT259:BT322" si="166">$AH259</f>
        <v>0</v>
      </c>
      <c r="BU259" s="5">
        <f t="shared" ref="BU259:BU322" si="167">IF(AQ259&gt;0,BE259*10000,0)</f>
        <v>0</v>
      </c>
      <c r="BV259" s="5">
        <f t="shared" ref="BV259:BV322" si="168">IF(AQ259&gt;0,BF259*(-8000),0)</f>
        <v>0</v>
      </c>
      <c r="BW259" s="5">
        <f t="shared" ref="BW259:BW322" si="169">IFERROR(SUM(BJ259:BV259),0)</f>
        <v>25599.852865375004</v>
      </c>
      <c r="BX259" s="5">
        <f t="shared" ref="BX259:BX322" si="170">AVERAGE(AK259,BD259,BW259)</f>
        <v>20497.550063493156</v>
      </c>
      <c r="BY259" s="5">
        <f t="shared" ref="BY259:BY322" si="171">BX259*3</f>
        <v>61492.650190479471</v>
      </c>
      <c r="BZ259" s="5">
        <f>INDEX('Team forecast'!$R$3:$BH$26,MATCH($B259,'Team forecast'!$B$3:$B$26,0),MATCH(BZ$1,'Team forecast'!$R$2:$BH$2,0))*($BX259-(BY259+CH259)*0.01)</f>
        <v>-4947.3746101551733</v>
      </c>
      <c r="CA259" s="5">
        <f>INDEX('Team forecast'!$R$3:$BH$26,MATCH($B259,'Team forecast'!$B$3:$B$26,0),MATCH(CA$1,'Team forecast'!$R$2:$BH$2,0))*($BX259-(BY259+BX259+CH259)*0.01)</f>
        <v>-2571.5673119118205</v>
      </c>
      <c r="CB259" s="5">
        <f>INDEX('Team forecast'!$R$3:$BH$26,MATCH($B259,'Team forecast'!$B$3:$B$26,0),MATCH(CB$1,'Team forecast'!$R$2:$BH$2,0))*($BX259-(BY259+BX259*2+CH259)*0.01)</f>
        <v>-1334.1261299305017</v>
      </c>
      <c r="CC259" s="5">
        <f>INDEX('Team forecast'!$R$3:$BH$26,MATCH($B259,'Team forecast'!$B$3:$B$26,0),MATCH(CC$1,'Team forecast'!$R$2:$BH$2,0))*($BX259-(BY259+BX259*3+CH259)*0.01)</f>
        <v>-690.22793657566183</v>
      </c>
      <c r="CD259" s="5">
        <f>+AK259+BD259*Cockpit!$C$3+BW259*Cockpit!$C$3^2+BZ259*Cockpit!$C$3^3+CA259*Cockpit!$C$3^4+CB259*Cockpit!$C$3^5+CC259*Cockpit!$C$3^6</f>
        <v>39221.648839202695</v>
      </c>
      <c r="CE259" s="5"/>
      <c r="CF259" s="5"/>
      <c r="CG259" s="5">
        <v>0</v>
      </c>
      <c r="CH259" s="5">
        <f t="shared" ref="CH259:CH322" si="172">+G259+CG259</f>
        <v>2500000</v>
      </c>
      <c r="CI259" s="5">
        <f t="shared" ref="CI259:CI322" si="173">CH259</f>
        <v>2500000</v>
      </c>
      <c r="CJ259" s="1">
        <f t="shared" ref="CJ259:CJ322" si="174">IFERROR(BY259/CI259,-100%)</f>
        <v>2.4597060076191789E-2</v>
      </c>
      <c r="CK259" s="5">
        <f>RANK(BY259,$BY$2:$BY$623)+COUNTIF($BY$2:$BY259,$BY259)-1</f>
        <v>266</v>
      </c>
      <c r="CL259" s="5">
        <f>RANK(CJ259,$CJ$2:$CJ$623)+COUNTIF($CJ$2:$CJ259,$CJ259)-1</f>
        <v>213</v>
      </c>
    </row>
    <row r="260" spans="1:90">
      <c r="A260" t="str">
        <f>Players!P261</f>
        <v>Cody Gakpo</v>
      </c>
      <c r="B260" t="str">
        <f>Players!G261</f>
        <v>Netherlands</v>
      </c>
      <c r="C260" t="str">
        <f>Players!AB261</f>
        <v>Striker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3000000</v>
      </c>
      <c r="H260" s="16">
        <f>INDEX('Team forecast'!$B$2:$AO$26,MATCH('Master data'!$B260,'Team forecast'!$B$2:$B$26,0),MATCH('Master data'!H$1,'Team forecast'!$B$2:$AO$2,0))</f>
        <v>1.5712166996139025</v>
      </c>
      <c r="I260" s="16">
        <f>INDEX('Team forecast'!$B$2:$AO$26,MATCH('Master data'!$B260,'Team forecast'!$B$2:$B$26,0),MATCH('Master data'!I$1,'Team forecast'!$B$2:$AO$2,0))</f>
        <v>0.76028648339757388</v>
      </c>
      <c r="J260" s="16">
        <f>INDEX('Team forecast'!$B$2:$AO$26,MATCH('Master data'!$B260,'Team forecast'!$B$2:$B$26,0),MATCH('Master data'!J$1,'Team forecast'!$B$2:$AO$2,0))</f>
        <v>0.46753246753246752</v>
      </c>
      <c r="K260" s="16">
        <f>INDEX('Team forecast'!$B$2:$AO$26,MATCH('Master data'!$B260,'Team forecast'!$B$2:$B$26,0),MATCH('Master data'!K$1,'Team forecast'!$B$2:$AO$2,0))</f>
        <v>4.4640175390899657</v>
      </c>
      <c r="L260" s="16">
        <f>INDEX('Team forecast'!$B$2:$AO$26,MATCH('Master data'!$B260,'Team forecast'!$B$2:$B$26,0),MATCH('Master data'!L$1,'Team forecast'!$B$2:$AO$2,0))</f>
        <v>2.4958899707496114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8.0405002977963075E-2</v>
      </c>
      <c r="R260" s="2">
        <f>Players!BR261</f>
        <v>0</v>
      </c>
      <c r="S260" s="2">
        <f t="shared" si="133"/>
        <v>1.5712166996139025</v>
      </c>
      <c r="T260" s="2">
        <f t="shared" si="134"/>
        <v>0.76028648339757388</v>
      </c>
      <c r="U260" s="16">
        <f>INDEX('Team forecast'!$B$2:$AO$26,MATCH('Master data'!$B260,'Team forecast'!$B$2:$B$26,0),MATCH('Master data'!U$1,'Team forecast'!$B$2:$AO$2,0))</f>
        <v>0.58441558441558439</v>
      </c>
      <c r="V260" s="16">
        <f>INDEX('Team forecast'!$B$2:$AO$26,MATCH('Master data'!$B260,'Team forecast'!$B$2:$B$26,0),MATCH('Master data'!V$1,'Team forecast'!$B$2:$AO$2,0))</f>
        <v>0.25974025974025972</v>
      </c>
      <c r="W260" s="16">
        <f>INDEX('Team forecast'!$B$2:$AO$26,MATCH('Master data'!$B260,'Team forecast'!$B$2:$B$26,0),MATCH('Master data'!W$1,'Team forecast'!$B$2:$AO$2,0))</f>
        <v>0.15584415584415581</v>
      </c>
      <c r="X260" s="5">
        <f t="shared" si="135"/>
        <v>-5000</v>
      </c>
      <c r="Y260" s="5">
        <f t="shared" si="136"/>
        <v>0</v>
      </c>
      <c r="Z260" s="5">
        <f t="shared" si="137"/>
        <v>0</v>
      </c>
      <c r="AA260" s="5">
        <f t="shared" si="138"/>
        <v>0</v>
      </c>
      <c r="AB260" s="5">
        <f t="shared" si="139"/>
        <v>0</v>
      </c>
      <c r="AC260" s="5">
        <f t="shared" si="140"/>
        <v>0</v>
      </c>
      <c r="AD260" s="5">
        <f t="shared" si="141"/>
        <v>0</v>
      </c>
      <c r="AE260" s="5">
        <f t="shared" si="142"/>
        <v>0</v>
      </c>
      <c r="AF260" s="5">
        <f t="shared" si="143"/>
        <v>0</v>
      </c>
      <c r="AG260" s="5">
        <f t="shared" si="144"/>
        <v>0</v>
      </c>
      <c r="AH260" s="5">
        <f t="shared" si="145"/>
        <v>0</v>
      </c>
      <c r="AI260" s="5">
        <f t="shared" si="146"/>
        <v>0</v>
      </c>
      <c r="AJ260" s="5">
        <f t="shared" si="147"/>
        <v>0</v>
      </c>
      <c r="AK260" s="5">
        <f>IFERROR(SUM(X260:AJ260),-5000)*((Cockpit!$C$3)^0)</f>
        <v>-5000</v>
      </c>
      <c r="AL260" s="16">
        <f>INDEX('Team forecast'!$B$2:$AO$26,MATCH('Master data'!$B260,'Team forecast'!$B$2:$B$26,0),MATCH('Master data'!AL$1,'Team forecast'!$B$2:$AO$2,0))</f>
        <v>1.8476112368050062</v>
      </c>
      <c r="AM260" s="16">
        <f>INDEX('Team forecast'!$B$2:$AO$26,MATCH('Master data'!$B260,'Team forecast'!$B$2:$B$26,0),MATCH('Master data'!AM$1,'Team forecast'!$B$2:$AO$2,0))</f>
        <v>0.7977891123063281</v>
      </c>
      <c r="AN260" s="16">
        <f>INDEX('Team forecast'!$B$2:$AO$26,MATCH('Master data'!$B260,'Team forecast'!$B$2:$B$26,0),MATCH('Master data'!AN$1,'Team forecast'!$B$2:$AO$2,0))</f>
        <v>0.45032347896962183</v>
      </c>
      <c r="AO260" s="16">
        <f>INDEX('Team forecast'!$B$2:$AO$26,MATCH('Master data'!$B260,'Team forecast'!$B$2:$B$26,0),MATCH('Master data'!AO$1,'Team forecast'!$B$2:$AO$2,0))</f>
        <v>5.2492879998945963</v>
      </c>
      <c r="AP260" s="16">
        <f>INDEX('Team forecast'!$B$2:$AO$26,MATCH('Master data'!$B260,'Team forecast'!$B$2:$B$26,0),MATCH('Master data'!AP$1,'Team forecast'!$B$2:$AO$2,0))</f>
        <v>2.6190046616116831</v>
      </c>
      <c r="AQ260" s="5">
        <f t="shared" si="148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149"/>
        <v>0</v>
      </c>
      <c r="AV260" s="5">
        <f t="shared" si="150"/>
        <v>0</v>
      </c>
      <c r="AW260" s="5">
        <f t="shared" si="151"/>
        <v>0</v>
      </c>
      <c r="AX260" s="5">
        <f t="shared" si="152"/>
        <v>0</v>
      </c>
      <c r="AY260" s="5">
        <f t="shared" si="153"/>
        <v>0</v>
      </c>
      <c r="AZ260" s="5">
        <f t="shared" si="154"/>
        <v>0</v>
      </c>
      <c r="BA260" s="5">
        <f t="shared" si="155"/>
        <v>0</v>
      </c>
      <c r="BB260" s="5">
        <f t="shared" si="156"/>
        <v>0</v>
      </c>
      <c r="BC260" s="5">
        <f t="shared" si="157"/>
        <v>0</v>
      </c>
      <c r="BD260" s="5">
        <f t="shared" si="158"/>
        <v>-5000</v>
      </c>
      <c r="BE260" s="16">
        <f>INDEX('Team forecast'!$B$2:$AO$26,MATCH('Master data'!$B260,'Team forecast'!$B$2:$B$26,0),MATCH('Master data'!BE$1,'Team forecast'!$B$2:$AO$2,0))</f>
        <v>2.3683451623921505</v>
      </c>
      <c r="BF260" s="16">
        <f>INDEX('Team forecast'!$B$2:$AO$26,MATCH('Master data'!$B260,'Team forecast'!$B$2:$B$26,0),MATCH('Master data'!BF$1,'Team forecast'!$B$2:$AO$2,0))</f>
        <v>0.49102780480244929</v>
      </c>
      <c r="BG260" s="16">
        <f>INDEX('Team forecast'!$B$2:$AO$26,MATCH('Master data'!$B260,'Team forecast'!$B$2:$B$26,0),MATCH('Master data'!BG$1,'Team forecast'!$B$2:$AO$2,0))</f>
        <v>0.61199705730750009</v>
      </c>
      <c r="BH260" s="16">
        <f>INDEX('Team forecast'!$B$2:$AO$26,MATCH('Master data'!$B260,'Team forecast'!$B$2:$B$26,0),MATCH('Master data'!BH$1,'Team forecast'!$B$2:$AO$2,0))</f>
        <v>6.7287563492262965</v>
      </c>
      <c r="BI260" s="16">
        <f>INDEX('Team forecast'!$B$2:$AO$26,MATCH('Master data'!$B260,'Team forecast'!$B$2:$B$26,0),MATCH('Master data'!BI$1,'Team forecast'!$B$2:$AO$2,0))</f>
        <v>1.6119599652605658</v>
      </c>
      <c r="BJ260" s="5">
        <f t="shared" si="159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160"/>
        <v>0</v>
      </c>
      <c r="BO260" s="5">
        <f t="shared" si="161"/>
        <v>0</v>
      </c>
      <c r="BP260" s="5">
        <f t="shared" si="162"/>
        <v>0</v>
      </c>
      <c r="BQ260" s="5">
        <f t="shared" si="163"/>
        <v>0</v>
      </c>
      <c r="BR260" s="5">
        <f t="shared" si="164"/>
        <v>0</v>
      </c>
      <c r="BS260" s="5">
        <f t="shared" si="165"/>
        <v>0</v>
      </c>
      <c r="BT260" s="5">
        <f t="shared" si="166"/>
        <v>0</v>
      </c>
      <c r="BU260" s="5">
        <f t="shared" si="167"/>
        <v>0</v>
      </c>
      <c r="BV260" s="5">
        <f t="shared" si="168"/>
        <v>0</v>
      </c>
      <c r="BW260" s="5">
        <f t="shared" si="169"/>
        <v>-5000</v>
      </c>
      <c r="BX260" s="5">
        <f t="shared" si="170"/>
        <v>-5000</v>
      </c>
      <c r="BY260" s="5">
        <f t="shared" si="171"/>
        <v>-15000</v>
      </c>
      <c r="BZ260" s="5">
        <f>INDEX('Team forecast'!$R$3:$BH$26,MATCH($B260,'Team forecast'!$B$3:$B$26,0),MATCH(BZ$1,'Team forecast'!$R$2:$BH$2,0))*($BX260-(BY260+CH260)*0.01)</f>
        <v>-33692.265409621345</v>
      </c>
      <c r="CA260" s="5">
        <f>INDEX('Team forecast'!$R$3:$BH$26,MATCH($B260,'Team forecast'!$B$3:$B$26,0),MATCH(CA$1,'Team forecast'!$R$2:$BH$2,0))*($BX260-(BY260+BX260+CH260)*0.01)</f>
        <v>-16814.097128376361</v>
      </c>
      <c r="CB260" s="5">
        <f>INDEX('Team forecast'!$R$3:$BH$26,MATCH($B260,'Team forecast'!$B$3:$B$26,0),MATCH(CB$1,'Team forecast'!$R$2:$BH$2,0))*($BX260-(BY260+BX260*2+CH260)*0.01)</f>
        <v>-8387.5767305286245</v>
      </c>
      <c r="CC260" s="5">
        <f>INDEX('Team forecast'!$R$3:$BH$26,MATCH($B260,'Team forecast'!$B$3:$B$26,0),MATCH(CC$1,'Team forecast'!$R$2:$BH$2,0))*($BX260-(BY260+BX260*3+CH260)*0.01)</f>
        <v>-4178.2351087420584</v>
      </c>
      <c r="CD260" s="5">
        <f>+AK260+BD260*Cockpit!$C$3+BW260*Cockpit!$C$3^2+BZ260*Cockpit!$C$3^3+CA260*Cockpit!$C$3^4+CB260*Cockpit!$C$3^5+CC260*Cockpit!$C$3^6</f>
        <v>-25331.102507619544</v>
      </c>
      <c r="CE260" s="5"/>
      <c r="CF260" s="5"/>
      <c r="CG260" s="5">
        <v>0</v>
      </c>
      <c r="CH260" s="5">
        <f t="shared" si="172"/>
        <v>3000000</v>
      </c>
      <c r="CI260" s="5">
        <f t="shared" si="173"/>
        <v>3000000</v>
      </c>
      <c r="CJ260" s="1">
        <f t="shared" si="174"/>
        <v>-5.0000000000000001E-3</v>
      </c>
      <c r="CK260" s="5">
        <f>RANK(BY260,$BY$2:$BY$623)+COUNTIF($BY$2:$BY260,$BY260)-1</f>
        <v>496</v>
      </c>
      <c r="CL260" s="5">
        <f>RANK(CJ260,$CJ$2:$CJ$623)+COUNTIF($CJ$2:$CJ260,$CJ260)-1</f>
        <v>499</v>
      </c>
    </row>
    <row r="261" spans="1:90">
      <c r="A261" t="str">
        <f>Players!P262</f>
        <v>Kevin Trapp</v>
      </c>
      <c r="B261" t="str">
        <f>Players!G262</f>
        <v>Germany</v>
      </c>
      <c r="C261" t="str">
        <f>Players!AB262</f>
        <v>Goalkeeper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4500000</v>
      </c>
      <c r="H261" s="16">
        <f>INDEX('Team forecast'!$B$2:$AO$26,MATCH('Master data'!$B261,'Team forecast'!$B$2:$B$26,0),MATCH('Master data'!H$1,'Team forecast'!$B$2:$AO$2,0))</f>
        <v>1.2386203137003762</v>
      </c>
      <c r="I261" s="16">
        <f>INDEX('Team forecast'!$B$2:$AO$26,MATCH('Master data'!$B261,'Team forecast'!$B$2:$B$26,0),MATCH('Master data'!I$1,'Team forecast'!$B$2:$AO$2,0))</f>
        <v>1.2386203137003762</v>
      </c>
      <c r="J261" s="16">
        <f>INDEX('Team forecast'!$B$2:$AO$26,MATCH('Master data'!$B261,'Team forecast'!$B$2:$B$26,0),MATCH('Master data'!J$1,'Team forecast'!$B$2:$AO$2,0))</f>
        <v>0.28978375293296982</v>
      </c>
      <c r="K261" s="16">
        <f>INDEX('Team forecast'!$B$2:$AO$26,MATCH('Master data'!$B261,'Team forecast'!$B$2:$B$26,0),MATCH('Master data'!K$1,'Team forecast'!$B$2:$AO$2,0))</f>
        <v>3.2490442399577706</v>
      </c>
      <c r="L261" s="16">
        <f>INDEX('Team forecast'!$B$2:$AO$26,MATCH('Master data'!$B261,'Team forecast'!$B$2:$B$26,0),MATCH('Master data'!L$1,'Team forecast'!$B$2:$AO$2,0))</f>
        <v>3.2998357975681776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</v>
      </c>
      <c r="R261" s="2">
        <f>Players!BR262</f>
        <v>0</v>
      </c>
      <c r="S261" s="2">
        <f t="shared" si="133"/>
        <v>1.2386203137003762</v>
      </c>
      <c r="T261" s="2">
        <f t="shared" si="134"/>
        <v>1.2386203137003762</v>
      </c>
      <c r="U261" s="16">
        <f>INDEX('Team forecast'!$B$2:$AO$26,MATCH('Master data'!$B261,'Team forecast'!$B$2:$B$26,0),MATCH('Master data'!U$1,'Team forecast'!$B$2:$AO$2,0))</f>
        <v>0.33635614179719708</v>
      </c>
      <c r="V261" s="16">
        <f>INDEX('Team forecast'!$B$2:$AO$26,MATCH('Master data'!$B261,'Team forecast'!$B$2:$B$26,0),MATCH('Master data'!V$1,'Team forecast'!$B$2:$AO$2,0))</f>
        <v>0.29431162407254741</v>
      </c>
      <c r="W261" s="16">
        <f>INDEX('Team forecast'!$B$2:$AO$26,MATCH('Master data'!$B261,'Team forecast'!$B$2:$B$26,0),MATCH('Master data'!W$1,'Team forecast'!$B$2:$AO$2,0))</f>
        <v>0.36933223413025562</v>
      </c>
      <c r="X261" s="5">
        <f t="shared" si="135"/>
        <v>-5000</v>
      </c>
      <c r="Y261" s="5">
        <f t="shared" si="136"/>
        <v>0</v>
      </c>
      <c r="Z261" s="5">
        <f t="shared" si="137"/>
        <v>0</v>
      </c>
      <c r="AA261" s="5">
        <f t="shared" si="138"/>
        <v>0</v>
      </c>
      <c r="AB261" s="5">
        <f t="shared" si="139"/>
        <v>0</v>
      </c>
      <c r="AC261" s="5">
        <f t="shared" si="140"/>
        <v>0</v>
      </c>
      <c r="AD261" s="5">
        <f t="shared" si="141"/>
        <v>0</v>
      </c>
      <c r="AE261" s="5">
        <f t="shared" si="142"/>
        <v>21733.781469972735</v>
      </c>
      <c r="AF261" s="5">
        <f t="shared" si="143"/>
        <v>10306.077419339008</v>
      </c>
      <c r="AG261" s="5">
        <f t="shared" si="144"/>
        <v>0</v>
      </c>
      <c r="AH261" s="5">
        <f t="shared" si="145"/>
        <v>0</v>
      </c>
      <c r="AI261" s="5">
        <f t="shared" si="146"/>
        <v>0</v>
      </c>
      <c r="AJ261" s="5">
        <f t="shared" si="147"/>
        <v>0</v>
      </c>
      <c r="AK261" s="5">
        <f>IFERROR(SUM(X261:AJ261),-5000)*((Cockpit!$C$3)^0)</f>
        <v>27039.858889311741</v>
      </c>
      <c r="AL261" s="16">
        <f>INDEX('Team forecast'!$B$2:$AO$26,MATCH('Master data'!$B261,'Team forecast'!$B$2:$B$26,0),MATCH('Master data'!AL$1,'Team forecast'!$B$2:$AO$2,0))</f>
        <v>1.384389503157577</v>
      </c>
      <c r="AM261" s="16">
        <f>INDEX('Team forecast'!$B$2:$AO$26,MATCH('Master data'!$B261,'Team forecast'!$B$2:$B$26,0),MATCH('Master data'!AM$1,'Team forecast'!$B$2:$AO$2,0))</f>
        <v>1.1612459518433673</v>
      </c>
      <c r="AN261" s="16">
        <f>INDEX('Team forecast'!$B$2:$AO$26,MATCH('Master data'!$B261,'Team forecast'!$B$2:$B$26,0),MATCH('Master data'!AN$1,'Team forecast'!$B$2:$AO$2,0))</f>
        <v>0.31309583542398389</v>
      </c>
      <c r="AO261" s="16">
        <f>INDEX('Team forecast'!$B$2:$AO$26,MATCH('Master data'!$B261,'Team forecast'!$B$2:$B$26,0),MATCH('Master data'!AO$1,'Team forecast'!$B$2:$AO$2,0))</f>
        <v>3.6314136715992724</v>
      </c>
      <c r="AP261" s="16">
        <f>INDEX('Team forecast'!$B$2:$AO$26,MATCH('Master data'!$B261,'Team forecast'!$B$2:$B$26,0),MATCH('Master data'!AP$1,'Team forecast'!$B$2:$AO$2,0))</f>
        <v>3.0937010472773676</v>
      </c>
      <c r="AQ261" s="5">
        <f t="shared" si="148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149"/>
        <v>0</v>
      </c>
      <c r="AV261" s="5">
        <f t="shared" si="150"/>
        <v>0</v>
      </c>
      <c r="AW261" s="5">
        <f t="shared" si="151"/>
        <v>0</v>
      </c>
      <c r="AX261" s="5">
        <f t="shared" si="152"/>
        <v>23482.187656798793</v>
      </c>
      <c r="AY261" s="5">
        <f t="shared" si="153"/>
        <v>9662.275477170002</v>
      </c>
      <c r="AZ261" s="5">
        <f t="shared" si="154"/>
        <v>0</v>
      </c>
      <c r="BA261" s="5">
        <f t="shared" si="155"/>
        <v>0</v>
      </c>
      <c r="BB261" s="5">
        <f t="shared" si="156"/>
        <v>0</v>
      </c>
      <c r="BC261" s="5">
        <f t="shared" si="157"/>
        <v>0</v>
      </c>
      <c r="BD261" s="5">
        <f t="shared" si="158"/>
        <v>28144.463133968795</v>
      </c>
      <c r="BE261" s="16">
        <f>INDEX('Team forecast'!$B$2:$AO$26,MATCH('Master data'!$B261,'Team forecast'!$B$2:$B$26,0),MATCH('Master data'!BE$1,'Team forecast'!$B$2:$AO$2,0))</f>
        <v>2.4374022591536644</v>
      </c>
      <c r="BF261" s="16">
        <f>INDEX('Team forecast'!$B$2:$AO$26,MATCH('Master data'!$B261,'Team forecast'!$B$2:$B$26,0),MATCH('Master data'!BF$1,'Team forecast'!$B$2:$AO$2,0))</f>
        <v>0.68661022841383224</v>
      </c>
      <c r="BG261" s="16">
        <f>INDEX('Team forecast'!$B$2:$AO$26,MATCH('Master data'!$B261,'Team forecast'!$B$2:$B$26,0),MATCH('Master data'!BG$1,'Team forecast'!$B$2:$AO$2,0))</f>
        <v>0.50327918232493496</v>
      </c>
      <c r="BH261" s="16">
        <f>INDEX('Team forecast'!$B$2:$AO$26,MATCH('Master data'!$B261,'Team forecast'!$B$2:$B$26,0),MATCH('Master data'!BH$1,'Team forecast'!$B$2:$AO$2,0))</f>
        <v>6.3935878355689084</v>
      </c>
      <c r="BI261" s="16">
        <f>INDEX('Team forecast'!$B$2:$AO$26,MATCH('Master data'!$B261,'Team forecast'!$B$2:$B$26,0),MATCH('Master data'!BI$1,'Team forecast'!$B$2:$AO$2,0))</f>
        <v>1.8292135092857056</v>
      </c>
      <c r="BJ261" s="5">
        <f t="shared" si="159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160"/>
        <v>0</v>
      </c>
      <c r="BO261" s="5">
        <f t="shared" si="161"/>
        <v>0</v>
      </c>
      <c r="BP261" s="5">
        <f t="shared" si="162"/>
        <v>0</v>
      </c>
      <c r="BQ261" s="5">
        <f t="shared" si="163"/>
        <v>37745.938674370125</v>
      </c>
      <c r="BR261" s="5">
        <f t="shared" si="164"/>
        <v>5713.0164043593668</v>
      </c>
      <c r="BS261" s="5">
        <f t="shared" si="165"/>
        <v>0</v>
      </c>
      <c r="BT261" s="5">
        <f t="shared" si="166"/>
        <v>0</v>
      </c>
      <c r="BU261" s="5">
        <f t="shared" si="167"/>
        <v>0</v>
      </c>
      <c r="BV261" s="5">
        <f t="shared" si="168"/>
        <v>0</v>
      </c>
      <c r="BW261" s="5">
        <f t="shared" si="169"/>
        <v>38458.955078729494</v>
      </c>
      <c r="BX261" s="5">
        <f t="shared" si="170"/>
        <v>31214.42570067001</v>
      </c>
      <c r="BY261" s="5">
        <f t="shared" si="171"/>
        <v>93643.277102010034</v>
      </c>
      <c r="BZ261" s="5">
        <f>INDEX('Team forecast'!$R$3:$BH$26,MATCH($B261,'Team forecast'!$B$3:$B$26,0),MATCH(BZ$1,'Team forecast'!$R$2:$BH$2,0))*($BX261-(BY261+CH261)*0.01)</f>
        <v>-13109.281835822329</v>
      </c>
      <c r="CA261" s="5">
        <f>INDEX('Team forecast'!$R$3:$BH$26,MATCH($B261,'Team forecast'!$B$3:$B$26,0),MATCH(CA$1,'Team forecast'!$R$2:$BH$2,0))*($BX261-(BY261+BX261+CH261)*0.01)</f>
        <v>-6803.3673270474837</v>
      </c>
      <c r="CB261" s="5">
        <f>INDEX('Team forecast'!$R$3:$BH$26,MATCH($B261,'Team forecast'!$B$3:$B$26,0),MATCH(CB$1,'Team forecast'!$R$2:$BH$2,0))*($BX261-(BY261+BX261*2+CH261)*0.01)</f>
        <v>-3577.7505288121006</v>
      </c>
      <c r="CC261" s="5">
        <f>INDEX('Team forecast'!$R$3:$BH$26,MATCH($B261,'Team forecast'!$B$3:$B$26,0),MATCH(CC$1,'Team forecast'!$R$2:$BH$2,0))*($BX261-(BY261+BX261*3+CH261)*0.01)</f>
        <v>-1963.9885466842493</v>
      </c>
      <c r="CD261" s="5">
        <f>+AK261+BD261*Cockpit!$C$3+BW261*Cockpit!$C$3^2+BZ261*Cockpit!$C$3^3+CA261*Cockpit!$C$3^4+CB261*Cockpit!$C$3^5+CC261*Cockpit!$C$3^6</f>
        <v>57024.030959587421</v>
      </c>
      <c r="CE261" s="5"/>
      <c r="CF261" s="5"/>
      <c r="CG261" s="5">
        <v>0</v>
      </c>
      <c r="CH261" s="5">
        <f t="shared" si="172"/>
        <v>4500000</v>
      </c>
      <c r="CI261" s="5">
        <f t="shared" si="173"/>
        <v>4500000</v>
      </c>
      <c r="CJ261" s="1">
        <f t="shared" si="174"/>
        <v>2.0809617133780007E-2</v>
      </c>
      <c r="CK261" s="5">
        <f>RANK(BY261,$BY$2:$BY$623)+COUNTIF($BY$2:$BY261,$BY261)-1</f>
        <v>183</v>
      </c>
      <c r="CL261" s="5">
        <f>RANK(CJ261,$CJ$2:$CJ$623)+COUNTIF($CJ$2:$CJ261,$CJ261)-1</f>
        <v>255</v>
      </c>
    </row>
    <row r="262" spans="1:90">
      <c r="A262" t="str">
        <f>Players!P263</f>
        <v>Robin  Koch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1.2386203137003762</v>
      </c>
      <c r="I262" s="16">
        <f>INDEX('Team forecast'!$B$2:$AO$26,MATCH('Master data'!$B262,'Team forecast'!$B$2:$B$26,0),MATCH('Master data'!I$1,'Team forecast'!$B$2:$AO$2,0))</f>
        <v>1.2386203137003762</v>
      </c>
      <c r="J262" s="16">
        <f>INDEX('Team forecast'!$B$2:$AO$26,MATCH('Master data'!$B262,'Team forecast'!$B$2:$B$26,0),MATCH('Master data'!J$1,'Team forecast'!$B$2:$AO$2,0))</f>
        <v>0.28978375293296982</v>
      </c>
      <c r="K262" s="16">
        <f>INDEX('Team forecast'!$B$2:$AO$26,MATCH('Master data'!$B262,'Team forecast'!$B$2:$B$26,0),MATCH('Master data'!K$1,'Team forecast'!$B$2:$AO$2,0))</f>
        <v>3.2490442399577706</v>
      </c>
      <c r="L262" s="16">
        <f>INDEX('Team forecast'!$B$2:$AO$26,MATCH('Master data'!$B262,'Team forecast'!$B$2:$B$26,0),MATCH('Master data'!L$1,'Team forecast'!$B$2:$AO$2,0))</f>
        <v>3.2998357975681776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0.53978779840848801</v>
      </c>
      <c r="R262" s="2">
        <f>Players!BR263</f>
        <v>0</v>
      </c>
      <c r="S262" s="2">
        <f t="shared" si="133"/>
        <v>1.2386203137003762</v>
      </c>
      <c r="T262" s="2">
        <f t="shared" si="134"/>
        <v>1.2386203137003762</v>
      </c>
      <c r="U262" s="16">
        <f>INDEX('Team forecast'!$B$2:$AO$26,MATCH('Master data'!$B262,'Team forecast'!$B$2:$B$26,0),MATCH('Master data'!U$1,'Team forecast'!$B$2:$AO$2,0))</f>
        <v>0.33635614179719708</v>
      </c>
      <c r="V262" s="16">
        <f>INDEX('Team forecast'!$B$2:$AO$26,MATCH('Master data'!$B262,'Team forecast'!$B$2:$B$26,0),MATCH('Master data'!V$1,'Team forecast'!$B$2:$AO$2,0))</f>
        <v>0.29431162407254741</v>
      </c>
      <c r="W262" s="16">
        <f>INDEX('Team forecast'!$B$2:$AO$26,MATCH('Master data'!$B262,'Team forecast'!$B$2:$B$26,0),MATCH('Master data'!W$1,'Team forecast'!$B$2:$AO$2,0))</f>
        <v>0.36933223413025562</v>
      </c>
      <c r="X262" s="5">
        <f t="shared" si="135"/>
        <v>-5000</v>
      </c>
      <c r="Y262" s="5">
        <f t="shared" si="136"/>
        <v>0</v>
      </c>
      <c r="Z262" s="5">
        <f t="shared" si="137"/>
        <v>0</v>
      </c>
      <c r="AA262" s="5">
        <f t="shared" si="138"/>
        <v>0</v>
      </c>
      <c r="AB262" s="5">
        <f t="shared" si="139"/>
        <v>0</v>
      </c>
      <c r="AC262" s="5">
        <f t="shared" si="140"/>
        <v>0</v>
      </c>
      <c r="AD262" s="5">
        <f t="shared" si="141"/>
        <v>0</v>
      </c>
      <c r="AE262" s="5">
        <f t="shared" si="142"/>
        <v>14489.18764664849</v>
      </c>
      <c r="AF262" s="5">
        <f t="shared" si="143"/>
        <v>0</v>
      </c>
      <c r="AG262" s="5">
        <f t="shared" si="144"/>
        <v>0</v>
      </c>
      <c r="AH262" s="5">
        <f t="shared" si="145"/>
        <v>0</v>
      </c>
      <c r="AI262" s="5">
        <f t="shared" si="146"/>
        <v>0</v>
      </c>
      <c r="AJ262" s="5">
        <f t="shared" si="147"/>
        <v>0</v>
      </c>
      <c r="AK262" s="5">
        <f>IFERROR(SUM(X262:AJ262),-5000)*((Cockpit!$C$3)^0)</f>
        <v>9489.18764664849</v>
      </c>
      <c r="AL262" s="16">
        <f>INDEX('Team forecast'!$B$2:$AO$26,MATCH('Master data'!$B262,'Team forecast'!$B$2:$B$26,0),MATCH('Master data'!AL$1,'Team forecast'!$B$2:$AO$2,0))</f>
        <v>1.384389503157577</v>
      </c>
      <c r="AM262" s="16">
        <f>INDEX('Team forecast'!$B$2:$AO$26,MATCH('Master data'!$B262,'Team forecast'!$B$2:$B$26,0),MATCH('Master data'!AM$1,'Team forecast'!$B$2:$AO$2,0))</f>
        <v>1.1612459518433673</v>
      </c>
      <c r="AN262" s="16">
        <f>INDEX('Team forecast'!$B$2:$AO$26,MATCH('Master data'!$B262,'Team forecast'!$B$2:$B$26,0),MATCH('Master data'!AN$1,'Team forecast'!$B$2:$AO$2,0))</f>
        <v>0.31309583542398389</v>
      </c>
      <c r="AO262" s="16">
        <f>INDEX('Team forecast'!$B$2:$AO$26,MATCH('Master data'!$B262,'Team forecast'!$B$2:$B$26,0),MATCH('Master data'!AO$1,'Team forecast'!$B$2:$AO$2,0))</f>
        <v>3.6314136715992724</v>
      </c>
      <c r="AP262" s="16">
        <f>INDEX('Team forecast'!$B$2:$AO$26,MATCH('Master data'!$B262,'Team forecast'!$B$2:$B$26,0),MATCH('Master data'!AP$1,'Team forecast'!$B$2:$AO$2,0))</f>
        <v>3.0937010472773676</v>
      </c>
      <c r="AQ262" s="5">
        <f t="shared" si="148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149"/>
        <v>0</v>
      </c>
      <c r="AV262" s="5">
        <f t="shared" si="150"/>
        <v>0</v>
      </c>
      <c r="AW262" s="5">
        <f t="shared" si="151"/>
        <v>0</v>
      </c>
      <c r="AX262" s="5">
        <f t="shared" si="152"/>
        <v>15654.791771199194</v>
      </c>
      <c r="AY262" s="5">
        <f t="shared" si="153"/>
        <v>0</v>
      </c>
      <c r="AZ262" s="5">
        <f t="shared" si="154"/>
        <v>0</v>
      </c>
      <c r="BA262" s="5">
        <f t="shared" si="155"/>
        <v>0</v>
      </c>
      <c r="BB262" s="5">
        <f t="shared" si="156"/>
        <v>0</v>
      </c>
      <c r="BC262" s="5">
        <f t="shared" si="157"/>
        <v>0</v>
      </c>
      <c r="BD262" s="5">
        <f t="shared" si="158"/>
        <v>10654.791771199194</v>
      </c>
      <c r="BE262" s="16">
        <f>INDEX('Team forecast'!$B$2:$AO$26,MATCH('Master data'!$B262,'Team forecast'!$B$2:$B$26,0),MATCH('Master data'!BE$1,'Team forecast'!$B$2:$AO$2,0))</f>
        <v>2.4374022591536644</v>
      </c>
      <c r="BF262" s="16">
        <f>INDEX('Team forecast'!$B$2:$AO$26,MATCH('Master data'!$B262,'Team forecast'!$B$2:$B$26,0),MATCH('Master data'!BF$1,'Team forecast'!$B$2:$AO$2,0))</f>
        <v>0.68661022841383224</v>
      </c>
      <c r="BG262" s="16">
        <f>INDEX('Team forecast'!$B$2:$AO$26,MATCH('Master data'!$B262,'Team forecast'!$B$2:$B$26,0),MATCH('Master data'!BG$1,'Team forecast'!$B$2:$AO$2,0))</f>
        <v>0.50327918232493496</v>
      </c>
      <c r="BH262" s="16">
        <f>INDEX('Team forecast'!$B$2:$AO$26,MATCH('Master data'!$B262,'Team forecast'!$B$2:$B$26,0),MATCH('Master data'!BH$1,'Team forecast'!$B$2:$AO$2,0))</f>
        <v>6.3935878355689084</v>
      </c>
      <c r="BI262" s="16">
        <f>INDEX('Team forecast'!$B$2:$AO$26,MATCH('Master data'!$B262,'Team forecast'!$B$2:$B$26,0),MATCH('Master data'!BI$1,'Team forecast'!$B$2:$AO$2,0))</f>
        <v>1.8292135092857056</v>
      </c>
      <c r="BJ262" s="5">
        <f t="shared" si="159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160"/>
        <v>0</v>
      </c>
      <c r="BO262" s="5">
        <f t="shared" si="161"/>
        <v>0</v>
      </c>
      <c r="BP262" s="5">
        <f t="shared" si="162"/>
        <v>0</v>
      </c>
      <c r="BQ262" s="5">
        <f t="shared" si="163"/>
        <v>25163.959116246748</v>
      </c>
      <c r="BR262" s="5">
        <f t="shared" si="164"/>
        <v>0</v>
      </c>
      <c r="BS262" s="5">
        <f t="shared" si="165"/>
        <v>0</v>
      </c>
      <c r="BT262" s="5">
        <f t="shared" si="166"/>
        <v>0</v>
      </c>
      <c r="BU262" s="5">
        <f t="shared" si="167"/>
        <v>0</v>
      </c>
      <c r="BV262" s="5">
        <f t="shared" si="168"/>
        <v>0</v>
      </c>
      <c r="BW262" s="5">
        <f t="shared" si="169"/>
        <v>20163.959116246748</v>
      </c>
      <c r="BX262" s="5">
        <f t="shared" si="170"/>
        <v>13435.979511364809</v>
      </c>
      <c r="BY262" s="5">
        <f t="shared" si="171"/>
        <v>40307.938534094428</v>
      </c>
      <c r="BZ262" s="5">
        <f>INDEX('Team forecast'!$R$3:$BH$26,MATCH($B262,'Team forecast'!$B$3:$B$26,0),MATCH(BZ$1,'Team forecast'!$R$2:$BH$2,0))*($BX262-(BY262+CH262)*0.01)</f>
        <v>-15108.435495351878</v>
      </c>
      <c r="CA262" s="5">
        <f>INDEX('Team forecast'!$R$3:$BH$26,MATCH($B262,'Team forecast'!$B$3:$B$26,0),MATCH(CA$1,'Team forecast'!$R$2:$BH$2,0))*($BX262-(BY262+BX262+CH262)*0.01)</f>
        <v>-7738.8812593494858</v>
      </c>
      <c r="CB262" s="5">
        <f>INDEX('Team forecast'!$R$3:$BH$26,MATCH($B262,'Team forecast'!$B$3:$B$26,0),MATCH(CB$1,'Team forecast'!$R$2:$BH$2,0))*($BX262-(BY262+BX262*2+CH262)*0.01)</f>
        <v>-4018.2636821745677</v>
      </c>
      <c r="CC262" s="5">
        <f>INDEX('Team forecast'!$R$3:$BH$26,MATCH($B262,'Team forecast'!$B$3:$B$26,0),MATCH(CC$1,'Team forecast'!$R$2:$BH$2,0))*($BX262-(BY262+BX262*3+CH262)*0.01)</f>
        <v>-2178.6866038223279</v>
      </c>
      <c r="CD262" s="5">
        <f>+AK262+BD262*Cockpit!$C$3+BW262*Cockpit!$C$3^2+BZ262*Cockpit!$C$3^3+CA262*Cockpit!$C$3^4+CB262*Cockpit!$C$3^5+CC262*Cockpit!$C$3^6</f>
        <v>18828.476165154709</v>
      </c>
      <c r="CE262" s="5"/>
      <c r="CF262" s="5"/>
      <c r="CG262" s="5">
        <v>0</v>
      </c>
      <c r="CH262" s="5">
        <f t="shared" si="172"/>
        <v>3000000</v>
      </c>
      <c r="CI262" s="5">
        <f t="shared" si="173"/>
        <v>3000000</v>
      </c>
      <c r="CJ262" s="1">
        <f t="shared" si="174"/>
        <v>1.3435979511364809E-2</v>
      </c>
      <c r="CK262" s="5">
        <f>RANK(BY262,$BY$2:$BY$623)+COUNTIF($BY$2:$BY262,$BY262)-1</f>
        <v>307</v>
      </c>
      <c r="CL262" s="5">
        <f>RANK(CJ262,$CJ$2:$CJ$623)+COUNTIF($CJ$2:$CJ262,$CJ262)-1</f>
        <v>323</v>
      </c>
    </row>
    <row r="263" spans="1:90">
      <c r="A263" t="str">
        <f>Players!P264</f>
        <v>Marcel Halstenberg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1.2386203137003762</v>
      </c>
      <c r="I263" s="16">
        <f>INDEX('Team forecast'!$B$2:$AO$26,MATCH('Master data'!$B263,'Team forecast'!$B$2:$B$26,0),MATCH('Master data'!I$1,'Team forecast'!$B$2:$AO$2,0))</f>
        <v>1.2386203137003762</v>
      </c>
      <c r="J263" s="16">
        <f>INDEX('Team forecast'!$B$2:$AO$26,MATCH('Master data'!$B263,'Team forecast'!$B$2:$B$26,0),MATCH('Master data'!J$1,'Team forecast'!$B$2:$AO$2,0))</f>
        <v>0.28978375293296982</v>
      </c>
      <c r="K263" s="16">
        <f>INDEX('Team forecast'!$B$2:$AO$26,MATCH('Master data'!$B263,'Team forecast'!$B$2:$B$26,0),MATCH('Master data'!K$1,'Team forecast'!$B$2:$AO$2,0))</f>
        <v>3.2490442399577706</v>
      </c>
      <c r="L263" s="16">
        <f>INDEX('Team forecast'!$B$2:$AO$26,MATCH('Master data'!$B263,'Team forecast'!$B$2:$B$26,0),MATCH('Master data'!L$1,'Team forecast'!$B$2:$AO$2,0))</f>
        <v>3.2998357975681776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5.4479418886198547E-2</v>
      </c>
      <c r="R263" s="2">
        <f>Players!BR264</f>
        <v>0</v>
      </c>
      <c r="S263" s="2">
        <f t="shared" si="133"/>
        <v>1.2386203137003762</v>
      </c>
      <c r="T263" s="2">
        <f t="shared" si="134"/>
        <v>1.2386203137003762</v>
      </c>
      <c r="U263" s="16">
        <f>INDEX('Team forecast'!$B$2:$AO$26,MATCH('Master data'!$B263,'Team forecast'!$B$2:$B$26,0),MATCH('Master data'!U$1,'Team forecast'!$B$2:$AO$2,0))</f>
        <v>0.33635614179719708</v>
      </c>
      <c r="V263" s="16">
        <f>INDEX('Team forecast'!$B$2:$AO$26,MATCH('Master data'!$B263,'Team forecast'!$B$2:$B$26,0),MATCH('Master data'!V$1,'Team forecast'!$B$2:$AO$2,0))</f>
        <v>0.29431162407254741</v>
      </c>
      <c r="W263" s="16">
        <f>INDEX('Team forecast'!$B$2:$AO$26,MATCH('Master data'!$B263,'Team forecast'!$B$2:$B$26,0),MATCH('Master data'!W$1,'Team forecast'!$B$2:$AO$2,0))</f>
        <v>0.36933223413025562</v>
      </c>
      <c r="X263" s="5">
        <f t="shared" si="135"/>
        <v>-5000</v>
      </c>
      <c r="Y263" s="5">
        <f t="shared" si="136"/>
        <v>0</v>
      </c>
      <c r="Z263" s="5">
        <f t="shared" si="137"/>
        <v>0</v>
      </c>
      <c r="AA263" s="5">
        <f t="shared" si="138"/>
        <v>0</v>
      </c>
      <c r="AB263" s="5">
        <f t="shared" si="139"/>
        <v>0</v>
      </c>
      <c r="AC263" s="5">
        <f t="shared" si="140"/>
        <v>0</v>
      </c>
      <c r="AD263" s="5">
        <f t="shared" si="141"/>
        <v>0</v>
      </c>
      <c r="AE263" s="5">
        <f t="shared" si="142"/>
        <v>14489.18764664849</v>
      </c>
      <c r="AF263" s="5">
        <f t="shared" si="143"/>
        <v>0</v>
      </c>
      <c r="AG263" s="5">
        <f t="shared" si="144"/>
        <v>0</v>
      </c>
      <c r="AH263" s="5">
        <f t="shared" si="145"/>
        <v>0</v>
      </c>
      <c r="AI263" s="5">
        <f t="shared" si="146"/>
        <v>0</v>
      </c>
      <c r="AJ263" s="5">
        <f t="shared" si="147"/>
        <v>0</v>
      </c>
      <c r="AK263" s="5">
        <f>IFERROR(SUM(X263:AJ263),-5000)*((Cockpit!$C$3)^0)</f>
        <v>9489.18764664849</v>
      </c>
      <c r="AL263" s="16">
        <f>INDEX('Team forecast'!$B$2:$AO$26,MATCH('Master data'!$B263,'Team forecast'!$B$2:$B$26,0),MATCH('Master data'!AL$1,'Team forecast'!$B$2:$AO$2,0))</f>
        <v>1.384389503157577</v>
      </c>
      <c r="AM263" s="16">
        <f>INDEX('Team forecast'!$B$2:$AO$26,MATCH('Master data'!$B263,'Team forecast'!$B$2:$B$26,0),MATCH('Master data'!AM$1,'Team forecast'!$B$2:$AO$2,0))</f>
        <v>1.1612459518433673</v>
      </c>
      <c r="AN263" s="16">
        <f>INDEX('Team forecast'!$B$2:$AO$26,MATCH('Master data'!$B263,'Team forecast'!$B$2:$B$26,0),MATCH('Master data'!AN$1,'Team forecast'!$B$2:$AO$2,0))</f>
        <v>0.31309583542398389</v>
      </c>
      <c r="AO263" s="16">
        <f>INDEX('Team forecast'!$B$2:$AO$26,MATCH('Master data'!$B263,'Team forecast'!$B$2:$B$26,0),MATCH('Master data'!AO$1,'Team forecast'!$B$2:$AO$2,0))</f>
        <v>3.6314136715992724</v>
      </c>
      <c r="AP263" s="16">
        <f>INDEX('Team forecast'!$B$2:$AO$26,MATCH('Master data'!$B263,'Team forecast'!$B$2:$B$26,0),MATCH('Master data'!AP$1,'Team forecast'!$B$2:$AO$2,0))</f>
        <v>3.0937010472773676</v>
      </c>
      <c r="AQ263" s="5">
        <f t="shared" si="148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149"/>
        <v>0</v>
      </c>
      <c r="AV263" s="5">
        <f t="shared" si="150"/>
        <v>0</v>
      </c>
      <c r="AW263" s="5">
        <f t="shared" si="151"/>
        <v>0</v>
      </c>
      <c r="AX263" s="5">
        <f t="shared" si="152"/>
        <v>15654.791771199194</v>
      </c>
      <c r="AY263" s="5">
        <f t="shared" si="153"/>
        <v>0</v>
      </c>
      <c r="AZ263" s="5">
        <f t="shared" si="154"/>
        <v>0</v>
      </c>
      <c r="BA263" s="5">
        <f t="shared" si="155"/>
        <v>0</v>
      </c>
      <c r="BB263" s="5">
        <f t="shared" si="156"/>
        <v>0</v>
      </c>
      <c r="BC263" s="5">
        <f t="shared" si="157"/>
        <v>0</v>
      </c>
      <c r="BD263" s="5">
        <f t="shared" si="158"/>
        <v>10654.791771199194</v>
      </c>
      <c r="BE263" s="16">
        <f>INDEX('Team forecast'!$B$2:$AO$26,MATCH('Master data'!$B263,'Team forecast'!$B$2:$B$26,0),MATCH('Master data'!BE$1,'Team forecast'!$B$2:$AO$2,0))</f>
        <v>2.4374022591536644</v>
      </c>
      <c r="BF263" s="16">
        <f>INDEX('Team forecast'!$B$2:$AO$26,MATCH('Master data'!$B263,'Team forecast'!$B$2:$B$26,0),MATCH('Master data'!BF$1,'Team forecast'!$B$2:$AO$2,0))</f>
        <v>0.68661022841383224</v>
      </c>
      <c r="BG263" s="16">
        <f>INDEX('Team forecast'!$B$2:$AO$26,MATCH('Master data'!$B263,'Team forecast'!$B$2:$B$26,0),MATCH('Master data'!BG$1,'Team forecast'!$B$2:$AO$2,0))</f>
        <v>0.50327918232493496</v>
      </c>
      <c r="BH263" s="16">
        <f>INDEX('Team forecast'!$B$2:$AO$26,MATCH('Master data'!$B263,'Team forecast'!$B$2:$B$26,0),MATCH('Master data'!BH$1,'Team forecast'!$B$2:$AO$2,0))</f>
        <v>6.3935878355689084</v>
      </c>
      <c r="BI263" s="16">
        <f>INDEX('Team forecast'!$B$2:$AO$26,MATCH('Master data'!$B263,'Team forecast'!$B$2:$B$26,0),MATCH('Master data'!BI$1,'Team forecast'!$B$2:$AO$2,0))</f>
        <v>1.8292135092857056</v>
      </c>
      <c r="BJ263" s="5">
        <f t="shared" si="159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160"/>
        <v>0</v>
      </c>
      <c r="BO263" s="5">
        <f t="shared" si="161"/>
        <v>0</v>
      </c>
      <c r="BP263" s="5">
        <f t="shared" si="162"/>
        <v>0</v>
      </c>
      <c r="BQ263" s="5">
        <f t="shared" si="163"/>
        <v>25163.959116246748</v>
      </c>
      <c r="BR263" s="5">
        <f t="shared" si="164"/>
        <v>0</v>
      </c>
      <c r="BS263" s="5">
        <f t="shared" si="165"/>
        <v>0</v>
      </c>
      <c r="BT263" s="5">
        <f t="shared" si="166"/>
        <v>0</v>
      </c>
      <c r="BU263" s="5">
        <f t="shared" si="167"/>
        <v>0</v>
      </c>
      <c r="BV263" s="5">
        <f t="shared" si="168"/>
        <v>0</v>
      </c>
      <c r="BW263" s="5">
        <f t="shared" si="169"/>
        <v>20163.959116246748</v>
      </c>
      <c r="BX263" s="5">
        <f t="shared" si="170"/>
        <v>13435.979511364809</v>
      </c>
      <c r="BY263" s="5">
        <f t="shared" si="171"/>
        <v>40307.938534094428</v>
      </c>
      <c r="BZ263" s="5">
        <f>INDEX('Team forecast'!$R$3:$BH$26,MATCH($B263,'Team forecast'!$B$3:$B$26,0),MATCH(BZ$1,'Team forecast'!$R$2:$BH$2,0))*($BX263-(BY263+CH263)*0.01)</f>
        <v>-15108.435495351878</v>
      </c>
      <c r="CA263" s="5">
        <f>INDEX('Team forecast'!$R$3:$BH$26,MATCH($B263,'Team forecast'!$B$3:$B$26,0),MATCH(CA$1,'Team forecast'!$R$2:$BH$2,0))*($BX263-(BY263+BX263+CH263)*0.01)</f>
        <v>-7738.8812593494858</v>
      </c>
      <c r="CB263" s="5">
        <f>INDEX('Team forecast'!$R$3:$BH$26,MATCH($B263,'Team forecast'!$B$3:$B$26,0),MATCH(CB$1,'Team forecast'!$R$2:$BH$2,0))*($BX263-(BY263+BX263*2+CH263)*0.01)</f>
        <v>-4018.2636821745677</v>
      </c>
      <c r="CC263" s="5">
        <f>INDEX('Team forecast'!$R$3:$BH$26,MATCH($B263,'Team forecast'!$B$3:$B$26,0),MATCH(CC$1,'Team forecast'!$R$2:$BH$2,0))*($BX263-(BY263+BX263*3+CH263)*0.01)</f>
        <v>-2178.6866038223279</v>
      </c>
      <c r="CD263" s="5">
        <f>+AK263+BD263*Cockpit!$C$3+BW263*Cockpit!$C$3^2+BZ263*Cockpit!$C$3^3+CA263*Cockpit!$C$3^4+CB263*Cockpit!$C$3^5+CC263*Cockpit!$C$3^6</f>
        <v>18828.476165154709</v>
      </c>
      <c r="CE263" s="5"/>
      <c r="CF263" s="5"/>
      <c r="CG263" s="5">
        <v>0</v>
      </c>
      <c r="CH263" s="5">
        <f t="shared" si="172"/>
        <v>3000000</v>
      </c>
      <c r="CI263" s="5">
        <f t="shared" si="173"/>
        <v>3000000</v>
      </c>
      <c r="CJ263" s="1">
        <f t="shared" si="174"/>
        <v>1.3435979511364809E-2</v>
      </c>
      <c r="CK263" s="5">
        <f>RANK(BY263,$BY$2:$BY$623)+COUNTIF($BY$2:$BY263,$BY263)-1</f>
        <v>308</v>
      </c>
      <c r="CL263" s="5">
        <f>RANK(CJ263,$CJ$2:$CJ$623)+COUNTIF($CJ$2:$CJ263,$CJ263)-1</f>
        <v>324</v>
      </c>
    </row>
    <row r="264" spans="1:90">
      <c r="A264" t="str">
        <f>Players!P265</f>
        <v>Christian  Gunter</v>
      </c>
      <c r="B264" t="str">
        <f>Players!G265</f>
        <v>Germany</v>
      </c>
      <c r="C264" t="str">
        <f>Players!AB265</f>
        <v>Defense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3000000</v>
      </c>
      <c r="H264" s="16">
        <f>INDEX('Team forecast'!$B$2:$AO$26,MATCH('Master data'!$B264,'Team forecast'!$B$2:$B$26,0),MATCH('Master data'!H$1,'Team forecast'!$B$2:$AO$2,0))</f>
        <v>1.2386203137003762</v>
      </c>
      <c r="I264" s="16">
        <f>INDEX('Team forecast'!$B$2:$AO$26,MATCH('Master data'!$B264,'Team forecast'!$B$2:$B$26,0),MATCH('Master data'!I$1,'Team forecast'!$B$2:$AO$2,0))</f>
        <v>1.2386203137003762</v>
      </c>
      <c r="J264" s="16">
        <f>INDEX('Team forecast'!$B$2:$AO$26,MATCH('Master data'!$B264,'Team forecast'!$B$2:$B$26,0),MATCH('Master data'!J$1,'Team forecast'!$B$2:$AO$2,0))</f>
        <v>0.28978375293296982</v>
      </c>
      <c r="K264" s="16">
        <f>INDEX('Team forecast'!$B$2:$AO$26,MATCH('Master data'!$B264,'Team forecast'!$B$2:$B$26,0),MATCH('Master data'!K$1,'Team forecast'!$B$2:$AO$2,0))</f>
        <v>3.2490442399577706</v>
      </c>
      <c r="L264" s="16">
        <f>INDEX('Team forecast'!$B$2:$AO$26,MATCH('Master data'!$B264,'Team forecast'!$B$2:$B$26,0),MATCH('Master data'!L$1,'Team forecast'!$B$2:$AO$2,0))</f>
        <v>3.2998357975681776</v>
      </c>
      <c r="M264">
        <f>IF(Players!BC265=1,95,0)</f>
        <v>95</v>
      </c>
      <c r="N264" s="2">
        <f>Players!BN265</f>
        <v>3.904092471354971E-2</v>
      </c>
      <c r="O264" s="2">
        <f>Players!BO265</f>
        <v>4.4251825872475892E-2</v>
      </c>
      <c r="P264" s="2">
        <f>Players!BP265</f>
        <v>2.8669831566436394E-2</v>
      </c>
      <c r="Q264" s="2">
        <f>Players!BQ265</f>
        <v>0.52941176470588236</v>
      </c>
      <c r="R264" s="2">
        <f>Players!BR265</f>
        <v>0</v>
      </c>
      <c r="S264" s="2">
        <f t="shared" si="133"/>
        <v>1.2386203137003762</v>
      </c>
      <c r="T264" s="2">
        <f t="shared" si="134"/>
        <v>1.2386203137003762</v>
      </c>
      <c r="U264" s="16">
        <f>INDEX('Team forecast'!$B$2:$AO$26,MATCH('Master data'!$B264,'Team forecast'!$B$2:$B$26,0),MATCH('Master data'!U$1,'Team forecast'!$B$2:$AO$2,0))</f>
        <v>0.33635614179719708</v>
      </c>
      <c r="V264" s="16">
        <f>INDEX('Team forecast'!$B$2:$AO$26,MATCH('Master data'!$B264,'Team forecast'!$B$2:$B$26,0),MATCH('Master data'!V$1,'Team forecast'!$B$2:$AO$2,0))</f>
        <v>0.29431162407254741</v>
      </c>
      <c r="W264" s="16">
        <f>INDEX('Team forecast'!$B$2:$AO$26,MATCH('Master data'!$B264,'Team forecast'!$B$2:$B$26,0),MATCH('Master data'!W$1,'Team forecast'!$B$2:$AO$2,0))</f>
        <v>0.36933223413025562</v>
      </c>
      <c r="X264" s="5">
        <f t="shared" si="135"/>
        <v>7000</v>
      </c>
      <c r="Y264" s="5">
        <f t="shared" si="136"/>
        <v>8408.9035449299263</v>
      </c>
      <c r="Z264" s="5">
        <f t="shared" si="137"/>
        <v>1471.5581203627371</v>
      </c>
      <c r="AA264" s="5">
        <f t="shared" si="138"/>
        <v>-5539.9835119538347</v>
      </c>
      <c r="AB264" s="5">
        <f t="shared" si="139"/>
        <v>7253.5323623774566</v>
      </c>
      <c r="AC264" s="5">
        <f t="shared" si="140"/>
        <v>2740.5605221990259</v>
      </c>
      <c r="AD264" s="5">
        <f t="shared" si="141"/>
        <v>931.49551111489632</v>
      </c>
      <c r="AE264" s="5">
        <f t="shared" si="142"/>
        <v>14489.18764664849</v>
      </c>
      <c r="AF264" s="5">
        <f t="shared" si="143"/>
        <v>0</v>
      </c>
      <c r="AG264" s="5">
        <f t="shared" si="144"/>
        <v>-10588.235294117647</v>
      </c>
      <c r="AH264" s="5">
        <f t="shared" si="145"/>
        <v>0</v>
      </c>
      <c r="AI264" s="5">
        <f t="shared" si="146"/>
        <v>12386.203137003762</v>
      </c>
      <c r="AJ264" s="5">
        <f t="shared" si="147"/>
        <v>-9908.9625096030086</v>
      </c>
      <c r="AK264" s="5">
        <f>IFERROR(SUM(X264:AJ264),-5000)*((Cockpit!$C$3)^0)</f>
        <v>28644.259528961804</v>
      </c>
      <c r="AL264" s="16">
        <f>INDEX('Team forecast'!$B$2:$AO$26,MATCH('Master data'!$B264,'Team forecast'!$B$2:$B$26,0),MATCH('Master data'!AL$1,'Team forecast'!$B$2:$AO$2,0))</f>
        <v>1.384389503157577</v>
      </c>
      <c r="AM264" s="16">
        <f>INDEX('Team forecast'!$B$2:$AO$26,MATCH('Master data'!$B264,'Team forecast'!$B$2:$B$26,0),MATCH('Master data'!AM$1,'Team forecast'!$B$2:$AO$2,0))</f>
        <v>1.1612459518433673</v>
      </c>
      <c r="AN264" s="16">
        <f>INDEX('Team forecast'!$B$2:$AO$26,MATCH('Master data'!$B264,'Team forecast'!$B$2:$B$26,0),MATCH('Master data'!AN$1,'Team forecast'!$B$2:$AO$2,0))</f>
        <v>0.31309583542398389</v>
      </c>
      <c r="AO264" s="16">
        <f>INDEX('Team forecast'!$B$2:$AO$26,MATCH('Master data'!$B264,'Team forecast'!$B$2:$B$26,0),MATCH('Master data'!AO$1,'Team forecast'!$B$2:$AO$2,0))</f>
        <v>3.6314136715992724</v>
      </c>
      <c r="AP264" s="16">
        <f>INDEX('Team forecast'!$B$2:$AO$26,MATCH('Master data'!$B264,'Team forecast'!$B$2:$B$26,0),MATCH('Master data'!AP$1,'Team forecast'!$B$2:$AO$2,0))</f>
        <v>3.0937010472773676</v>
      </c>
      <c r="AQ264" s="5">
        <f t="shared" si="148"/>
        <v>7000</v>
      </c>
      <c r="AR264" s="5">
        <f>INDEX('Team forecast'!$B$2:$AO$26,MATCH('Master data'!$B264,'Team forecast'!$B$2:$B$26,0),MATCH('Master data'!AR$1,'Team forecast'!$B$2:$AO$2,0))*IF(X264&gt;0,25000,0)</f>
        <v>10436.527847466134</v>
      </c>
      <c r="AS264" s="16">
        <f>INDEX('Team forecast'!$B$2:$AO$26,MATCH('Master data'!$B264,'Team forecast'!$B$2:$B$26,0),MATCH('Master data'!AS$1,'Team forecast'!$B$2:$AO$2,0))*IF(X264&gt;0,5000,0)</f>
        <v>1467.6367285499246</v>
      </c>
      <c r="AT264" s="16">
        <f>INDEX('Team forecast'!$B$2:$AO$26,MATCH('Master data'!$B264,'Team forecast'!$B$2:$B$26,0),MATCH('Master data'!AT$1,'Team forecast'!$B$2:$AO$2,0))*IF(X264&gt;0,-15000,0)</f>
        <v>-4335.1731058705464</v>
      </c>
      <c r="AU264" s="5">
        <f t="shared" si="149"/>
        <v>8107.1769550505178</v>
      </c>
      <c r="AV264" s="5">
        <f t="shared" si="150"/>
        <v>3063.0881616706256</v>
      </c>
      <c r="AW264" s="5">
        <f t="shared" si="151"/>
        <v>1041.120183128055</v>
      </c>
      <c r="AX264" s="5">
        <f t="shared" si="152"/>
        <v>15654.791771199194</v>
      </c>
      <c r="AY264" s="5">
        <f t="shared" si="153"/>
        <v>0</v>
      </c>
      <c r="AZ264" s="5">
        <f t="shared" si="154"/>
        <v>-10588.235294117647</v>
      </c>
      <c r="BA264" s="5">
        <f t="shared" si="155"/>
        <v>0</v>
      </c>
      <c r="BB264" s="5">
        <f t="shared" si="156"/>
        <v>13843.89503157577</v>
      </c>
      <c r="BC264" s="5">
        <f t="shared" si="157"/>
        <v>-9289.9676147469381</v>
      </c>
      <c r="BD264" s="5">
        <f t="shared" si="158"/>
        <v>36400.860663905092</v>
      </c>
      <c r="BE264" s="16">
        <f>INDEX('Team forecast'!$B$2:$AO$26,MATCH('Master data'!$B264,'Team forecast'!$B$2:$B$26,0),MATCH('Master data'!BE$1,'Team forecast'!$B$2:$AO$2,0))</f>
        <v>2.4374022591536644</v>
      </c>
      <c r="BF264" s="16">
        <f>INDEX('Team forecast'!$B$2:$AO$26,MATCH('Master data'!$B264,'Team forecast'!$B$2:$B$26,0),MATCH('Master data'!BF$1,'Team forecast'!$B$2:$AO$2,0))</f>
        <v>0.68661022841383224</v>
      </c>
      <c r="BG264" s="16">
        <f>INDEX('Team forecast'!$B$2:$AO$26,MATCH('Master data'!$B264,'Team forecast'!$B$2:$B$26,0),MATCH('Master data'!BG$1,'Team forecast'!$B$2:$AO$2,0))</f>
        <v>0.50327918232493496</v>
      </c>
      <c r="BH264" s="16">
        <f>INDEX('Team forecast'!$B$2:$AO$26,MATCH('Master data'!$B264,'Team forecast'!$B$2:$B$26,0),MATCH('Master data'!BH$1,'Team forecast'!$B$2:$AO$2,0))</f>
        <v>6.3935878355689084</v>
      </c>
      <c r="BI264" s="16">
        <f>INDEX('Team forecast'!$B$2:$AO$26,MATCH('Master data'!$B264,'Team forecast'!$B$2:$B$26,0),MATCH('Master data'!BI$1,'Team forecast'!$B$2:$AO$2,0))</f>
        <v>1.8292135092857056</v>
      </c>
      <c r="BJ264" s="5">
        <f t="shared" si="159"/>
        <v>7000</v>
      </c>
      <c r="BK264" s="5">
        <f>INDEX('Team forecast'!$R$3:$BH$26,MATCH($B264,'Team forecast'!$B$3:$B$26,0),MATCH(BK$1,'Team forecast'!$R$2:$BH$2,0))*IF($X264&gt;0,25000,0)</f>
        <v>19380.307222593263</v>
      </c>
      <c r="BL264" s="5">
        <f>INDEX('Team forecast'!$R$3:$BH$26,MATCH($B264,'Team forecast'!$B$3:$B$26,0),MATCH(BL$1,'Team forecast'!$R$2:$BH$2,0))*IF($X264&gt;0,5000,0)</f>
        <v>739.43326018509651</v>
      </c>
      <c r="BM264" s="5">
        <f>INDEX('Team forecast'!$R$3:$BH$26,MATCH($B264,'Team forecast'!$B$3:$B$26,0),MATCH(BM$1,'Team forecast'!$R$2:$BH$2,0))*IF($X264&gt;0,-15000,0)</f>
        <v>-1153.5158858887507</v>
      </c>
      <c r="BN264" s="5">
        <f t="shared" si="160"/>
        <v>14273.765714438128</v>
      </c>
      <c r="BO264" s="5">
        <f t="shared" si="161"/>
        <v>5392.9750176623656</v>
      </c>
      <c r="BP264" s="5">
        <f t="shared" si="162"/>
        <v>1833.0308635097722</v>
      </c>
      <c r="BQ264" s="5">
        <f t="shared" si="163"/>
        <v>25163.959116246748</v>
      </c>
      <c r="BR264" s="5">
        <f t="shared" si="164"/>
        <v>0</v>
      </c>
      <c r="BS264" s="5">
        <f t="shared" si="165"/>
        <v>-10588.235294117647</v>
      </c>
      <c r="BT264" s="5">
        <f t="shared" si="166"/>
        <v>0</v>
      </c>
      <c r="BU264" s="5">
        <f t="shared" si="167"/>
        <v>24374.022591536643</v>
      </c>
      <c r="BV264" s="5">
        <f t="shared" si="168"/>
        <v>-5492.8818273106581</v>
      </c>
      <c r="BW264" s="5">
        <f t="shared" si="169"/>
        <v>80922.860778854971</v>
      </c>
      <c r="BX264" s="5">
        <f t="shared" si="170"/>
        <v>48655.993657240622</v>
      </c>
      <c r="BY264" s="5">
        <f t="shared" si="171"/>
        <v>145967.98097172187</v>
      </c>
      <c r="BZ264" s="5">
        <f>INDEX('Team forecast'!$R$3:$BH$26,MATCH($B264,'Team forecast'!$B$3:$B$26,0),MATCH(BZ$1,'Team forecast'!$R$2:$BH$2,0))*($BX264-(BY264+CH264)*0.01)</f>
        <v>15312.540177925459</v>
      </c>
      <c r="CA264" s="5">
        <f>INDEX('Team forecast'!$R$3:$BH$26,MATCH($B264,'Team forecast'!$B$3:$B$26,0),MATCH(CA$1,'Team forecast'!$R$2:$BH$2,0))*($BX264-(BY264+BX264+CH264)*0.01)</f>
        <v>7561.6236211422274</v>
      </c>
      <c r="CB264" s="5">
        <f>INDEX('Team forecast'!$R$3:$BH$26,MATCH($B264,'Team forecast'!$B$3:$B$26,0),MATCH(CB$1,'Team forecast'!$R$2:$BH$2,0))*($BX264-(BY264+BX264*2+CH264)*0.01)</f>
        <v>3782.1857725713603</v>
      </c>
      <c r="CC264" s="5">
        <f>INDEX('Team forecast'!$R$3:$BH$26,MATCH($B264,'Team forecast'!$B$3:$B$26,0),MATCH(CC$1,'Team forecast'!$R$2:$BH$2,0))*($BX264-(BY264+BX264*3+CH264)*0.01)</f>
        <v>1973.7961972403232</v>
      </c>
      <c r="CD264" s="5">
        <f>+AK264+BD264*Cockpit!$C$3+BW264*Cockpit!$C$3^2+BZ264*Cockpit!$C$3^3+CA264*Cockpit!$C$3^4+CB264*Cockpit!$C$3^5+CC264*Cockpit!$C$3^6</f>
        <v>95579.266999021449</v>
      </c>
      <c r="CE264" s="5"/>
      <c r="CF264" s="5"/>
      <c r="CG264" s="5">
        <v>0</v>
      </c>
      <c r="CH264" s="5">
        <f t="shared" si="172"/>
        <v>3000000</v>
      </c>
      <c r="CI264" s="5">
        <f t="shared" si="173"/>
        <v>3000000</v>
      </c>
      <c r="CJ264" s="1">
        <f t="shared" si="174"/>
        <v>4.8655993657240625E-2</v>
      </c>
      <c r="CK264" s="5">
        <f>RANK(BY264,$BY$2:$BY$623)+COUNTIF($BY$2:$BY264,$BY264)-1</f>
        <v>98</v>
      </c>
      <c r="CL264" s="5">
        <f>RANK(CJ264,$CJ$2:$CJ$623)+COUNTIF($CJ$2:$CJ264,$CJ264)-1</f>
        <v>36</v>
      </c>
    </row>
    <row r="265" spans="1:90">
      <c r="A265" t="str">
        <f>Players!P266</f>
        <v>Robert Sánchez</v>
      </c>
      <c r="B265" t="str">
        <f>Players!G266</f>
        <v>Spain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4500000</v>
      </c>
      <c r="H265" s="16">
        <f>INDEX('Team forecast'!$B$2:$AO$26,MATCH('Master data'!$B265,'Team forecast'!$B$2:$B$26,0),MATCH('Master data'!H$1,'Team forecast'!$B$2:$AO$2,0))</f>
        <v>1.7533592214060363</v>
      </c>
      <c r="I265" s="16">
        <f>INDEX('Team forecast'!$B$2:$AO$26,MATCH('Master data'!$B265,'Team forecast'!$B$2:$B$26,0),MATCH('Master data'!I$1,'Team forecast'!$B$2:$AO$2,0))</f>
        <v>0.63639779406972985</v>
      </c>
      <c r="J265" s="16">
        <f>INDEX('Team forecast'!$B$2:$AO$26,MATCH('Master data'!$B265,'Team forecast'!$B$2:$B$26,0),MATCH('Master data'!J$1,'Team forecast'!$B$2:$AO$2,0))</f>
        <v>0.52919526509499659</v>
      </c>
      <c r="K265" s="16">
        <f>INDEX('Team forecast'!$B$2:$AO$26,MATCH('Master data'!$B265,'Team forecast'!$B$2:$B$26,0),MATCH('Master data'!K$1,'Team forecast'!$B$2:$AO$2,0))</f>
        <v>4.835748720224867</v>
      </c>
      <c r="L265" s="16">
        <f>INDEX('Team forecast'!$B$2:$AO$26,MATCH('Master data'!$B265,'Team forecast'!$B$2:$B$26,0),MATCH('Master data'!L$1,'Team forecast'!$B$2:$AO$2,0))</f>
        <v>2.0891846775016383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3.7037037037037035E-2</v>
      </c>
      <c r="R265" s="2">
        <f>Players!BR266</f>
        <v>0</v>
      </c>
      <c r="S265" s="2">
        <f t="shared" si="133"/>
        <v>1.7533592214060363</v>
      </c>
      <c r="T265" s="2">
        <f t="shared" si="134"/>
        <v>0.63639779406972985</v>
      </c>
      <c r="U265" s="16">
        <f>INDEX('Team forecast'!$B$2:$AO$26,MATCH('Master data'!$B265,'Team forecast'!$B$2:$B$26,0),MATCH('Master data'!U$1,'Team forecast'!$B$2:$AO$2,0))</f>
        <v>0.68039391226499568</v>
      </c>
      <c r="V265" s="16">
        <f>INDEX('Team forecast'!$B$2:$AO$26,MATCH('Master data'!$B265,'Team forecast'!$B$2:$B$26,0),MATCH('Master data'!V$1,'Team forecast'!$B$2:$AO$2,0))</f>
        <v>0.20053715308863029</v>
      </c>
      <c r="W265" s="16">
        <f>INDEX('Team forecast'!$B$2:$AO$26,MATCH('Master data'!$B265,'Team forecast'!$B$2:$B$26,0),MATCH('Master data'!W$1,'Team forecast'!$B$2:$AO$2,0))</f>
        <v>0.11906893464637421</v>
      </c>
      <c r="X265" s="5">
        <f t="shared" si="135"/>
        <v>-5000</v>
      </c>
      <c r="Y265" s="5">
        <f t="shared" si="136"/>
        <v>0</v>
      </c>
      <c r="Z265" s="5">
        <f t="shared" si="137"/>
        <v>0</v>
      </c>
      <c r="AA265" s="5">
        <f t="shared" si="138"/>
        <v>0</v>
      </c>
      <c r="AB265" s="5">
        <f t="shared" si="139"/>
        <v>0</v>
      </c>
      <c r="AC265" s="5">
        <f t="shared" si="140"/>
        <v>0</v>
      </c>
      <c r="AD265" s="5">
        <f t="shared" si="141"/>
        <v>0</v>
      </c>
      <c r="AE265" s="5">
        <f t="shared" si="142"/>
        <v>39689.644882124747</v>
      </c>
      <c r="AF265" s="5">
        <f t="shared" si="143"/>
        <v>7263.9344171595421</v>
      </c>
      <c r="AG265" s="5">
        <f t="shared" si="144"/>
        <v>0</v>
      </c>
      <c r="AH265" s="5">
        <f t="shared" si="145"/>
        <v>0</v>
      </c>
      <c r="AI265" s="5">
        <f t="shared" si="146"/>
        <v>0</v>
      </c>
      <c r="AJ265" s="5">
        <f t="shared" si="147"/>
        <v>0</v>
      </c>
      <c r="AK265" s="5">
        <f>IFERROR(SUM(X265:AJ265),-5000)*((Cockpit!$C$3)^0)</f>
        <v>41953.579299284291</v>
      </c>
      <c r="AL265" s="16">
        <f>INDEX('Team forecast'!$B$2:$AO$26,MATCH('Master data'!$B265,'Team forecast'!$B$2:$B$26,0),MATCH('Master data'!AL$1,'Team forecast'!$B$2:$AO$2,0))</f>
        <v>1.9080439968215523</v>
      </c>
      <c r="AM265" s="16">
        <f>INDEX('Team forecast'!$B$2:$AO$26,MATCH('Master data'!$B265,'Team forecast'!$B$2:$B$26,0),MATCH('Master data'!AM$1,'Team forecast'!$B$2:$AO$2,0))</f>
        <v>0.77817916464933856</v>
      </c>
      <c r="AN265" s="16">
        <f>INDEX('Team forecast'!$B$2:$AO$26,MATCH('Master data'!$B265,'Team forecast'!$B$2:$B$26,0),MATCH('Master data'!AN$1,'Team forecast'!$B$2:$AO$2,0))</f>
        <v>0.459241453546125</v>
      </c>
      <c r="AO265" s="16">
        <f>INDEX('Team forecast'!$B$2:$AO$26,MATCH('Master data'!$B265,'Team forecast'!$B$2:$B$26,0),MATCH('Master data'!AO$1,'Team forecast'!$B$2:$AO$2,0))</f>
        <v>5.26236791817451</v>
      </c>
      <c r="AP265" s="16">
        <f>INDEX('Team forecast'!$B$2:$AO$26,MATCH('Master data'!$B265,'Team forecast'!$B$2:$B$26,0),MATCH('Master data'!AP$1,'Team forecast'!$B$2:$AO$2,0))</f>
        <v>2.5546285708185357</v>
      </c>
      <c r="AQ265" s="5">
        <f t="shared" si="148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149"/>
        <v>0</v>
      </c>
      <c r="AV265" s="5">
        <f t="shared" si="150"/>
        <v>0</v>
      </c>
      <c r="AW265" s="5">
        <f t="shared" si="151"/>
        <v>0</v>
      </c>
      <c r="AX265" s="5">
        <f t="shared" si="152"/>
        <v>34443.109015959373</v>
      </c>
      <c r="AY265" s="5">
        <f t="shared" si="153"/>
        <v>8882.2470308459851</v>
      </c>
      <c r="AZ265" s="5">
        <f t="shared" si="154"/>
        <v>0</v>
      </c>
      <c r="BA265" s="5">
        <f t="shared" si="155"/>
        <v>0</v>
      </c>
      <c r="BB265" s="5">
        <f t="shared" si="156"/>
        <v>0</v>
      </c>
      <c r="BC265" s="5">
        <f t="shared" si="157"/>
        <v>0</v>
      </c>
      <c r="BD265" s="5">
        <f t="shared" si="158"/>
        <v>38325.356046805362</v>
      </c>
      <c r="BE265" s="16">
        <f>INDEX('Team forecast'!$B$2:$AO$26,MATCH('Master data'!$B265,'Team forecast'!$B$2:$B$26,0),MATCH('Master data'!BE$1,'Team forecast'!$B$2:$AO$2,0))</f>
        <v>2.3513752571634776</v>
      </c>
      <c r="BF265" s="16">
        <f>INDEX('Team forecast'!$B$2:$AO$26,MATCH('Master data'!$B265,'Team forecast'!$B$2:$B$26,0),MATCH('Master data'!BF$1,'Team forecast'!$B$2:$AO$2,0))</f>
        <v>0.56161379059809569</v>
      </c>
      <c r="BG265" s="16">
        <f>INDEX('Team forecast'!$B$2:$AO$26,MATCH('Master data'!$B265,'Team forecast'!$B$2:$B$26,0),MATCH('Master data'!BG$1,'Team forecast'!$B$2:$AO$2,0))</f>
        <v>0.57028799543769604</v>
      </c>
      <c r="BH265" s="16">
        <f>INDEX('Team forecast'!$B$2:$AO$26,MATCH('Master data'!$B265,'Team forecast'!$B$2:$B$26,0),MATCH('Master data'!BH$1,'Team forecast'!$B$2:$AO$2,0))</f>
        <v>6.4850714855102307</v>
      </c>
      <c r="BI265" s="16">
        <f>INDEX('Team forecast'!$B$2:$AO$26,MATCH('Master data'!$B265,'Team forecast'!$B$2:$B$26,0),MATCH('Master data'!BI$1,'Team forecast'!$B$2:$AO$2,0))</f>
        <v>1.8436816358018293</v>
      </c>
      <c r="BJ265" s="5">
        <f t="shared" si="159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160"/>
        <v>0</v>
      </c>
      <c r="BO265" s="5">
        <f t="shared" si="161"/>
        <v>0</v>
      </c>
      <c r="BP265" s="5">
        <f t="shared" si="162"/>
        <v>0</v>
      </c>
      <c r="BQ265" s="5">
        <f t="shared" si="163"/>
        <v>42771.599657827202</v>
      </c>
      <c r="BR265" s="5">
        <f t="shared" si="164"/>
        <v>6410.3392260186683</v>
      </c>
      <c r="BS265" s="5">
        <f t="shared" si="165"/>
        <v>0</v>
      </c>
      <c r="BT265" s="5">
        <f t="shared" si="166"/>
        <v>0</v>
      </c>
      <c r="BU265" s="5">
        <f t="shared" si="167"/>
        <v>0</v>
      </c>
      <c r="BV265" s="5">
        <f t="shared" si="168"/>
        <v>0</v>
      </c>
      <c r="BW265" s="5">
        <f t="shared" si="169"/>
        <v>44181.938883845869</v>
      </c>
      <c r="BX265" s="5">
        <f t="shared" si="170"/>
        <v>41486.958076645176</v>
      </c>
      <c r="BY265" s="5">
        <f t="shared" si="171"/>
        <v>124460.87422993552</v>
      </c>
      <c r="BZ265" s="5">
        <f>INDEX('Team forecast'!$R$3:$BH$26,MATCH($B265,'Team forecast'!$B$3:$B$26,0),MATCH(BZ$1,'Team forecast'!$R$2:$BH$2,0))*($BX265-(BY265+CH265)*0.01)</f>
        <v>-4599.5991091386622</v>
      </c>
      <c r="CA265" s="5">
        <f>INDEX('Team forecast'!$R$3:$BH$26,MATCH($B265,'Team forecast'!$B$3:$B$26,0),MATCH(CA$1,'Team forecast'!$R$2:$BH$2,0))*($BX265-(BY265+BX265+CH265)*0.01)</f>
        <v>-2534.0748378957055</v>
      </c>
      <c r="CB265" s="5">
        <f>INDEX('Team forecast'!$R$3:$BH$26,MATCH($B265,'Team forecast'!$B$3:$B$26,0),MATCH(CB$1,'Team forecast'!$R$2:$BH$2,0))*($BX265-(BY265+BX265*2+CH265)*0.01)</f>
        <v>-1402.9557306174293</v>
      </c>
      <c r="CC265" s="5">
        <f>INDEX('Team forecast'!$R$3:$BH$26,MATCH($B265,'Team forecast'!$B$3:$B$26,0),MATCH(CC$1,'Team forecast'!$R$2:$BH$2,0))*($BX265-(BY265+BX265*3+CH265)*0.01)</f>
        <v>-801.06762325952241</v>
      </c>
      <c r="CD265" s="5">
        <f>+AK265+BD265*Cockpit!$C$3+BW265*Cockpit!$C$3^2+BZ265*Cockpit!$C$3^3+CA265*Cockpit!$C$3^4+CB265*Cockpit!$C$3^5+CC265*Cockpit!$C$3^6</f>
        <v>85021.753476039652</v>
      </c>
      <c r="CE265" s="5"/>
      <c r="CF265" s="5"/>
      <c r="CG265" s="5">
        <v>0</v>
      </c>
      <c r="CH265" s="5">
        <f t="shared" si="172"/>
        <v>4500000</v>
      </c>
      <c r="CI265" s="5">
        <f t="shared" si="173"/>
        <v>4500000</v>
      </c>
      <c r="CJ265" s="1">
        <f t="shared" si="174"/>
        <v>2.7657972051096782E-2</v>
      </c>
      <c r="CK265" s="5">
        <f>RANK(BY265,$BY$2:$BY$623)+COUNTIF($BY$2:$BY265,$BY265)-1</f>
        <v>124</v>
      </c>
      <c r="CL265" s="5">
        <f>RANK(CJ265,$CJ$2:$CJ$623)+COUNTIF($CJ$2:$CJ265,$CJ265)-1</f>
        <v>173</v>
      </c>
    </row>
    <row r="266" spans="1:90">
      <c r="A266" t="str">
        <f>Players!P267</f>
        <v>Andriy Pyatov</v>
      </c>
      <c r="B266" t="str">
        <f>Players!G267</f>
        <v>Ukraine</v>
      </c>
      <c r="C266" t="str">
        <f>Players!AB267</f>
        <v>Goalkeeper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3500000</v>
      </c>
      <c r="H266" s="16">
        <f>INDEX('Team forecast'!$B$2:$AO$26,MATCH('Master data'!$B266,'Team forecast'!$B$2:$B$26,0),MATCH('Master data'!H$1,'Team forecast'!$B$2:$AO$2,0))</f>
        <v>0.76028648339757388</v>
      </c>
      <c r="I266" s="16">
        <f>INDEX('Team forecast'!$B$2:$AO$26,MATCH('Master data'!$B266,'Team forecast'!$B$2:$B$26,0),MATCH('Master data'!I$1,'Team forecast'!$B$2:$AO$2,0))</f>
        <v>1.5712166996139025</v>
      </c>
      <c r="J266" s="16">
        <f>INDEX('Team forecast'!$B$2:$AO$26,MATCH('Master data'!$B266,'Team forecast'!$B$2:$B$26,0),MATCH('Master data'!J$1,'Team forecast'!$B$2:$AO$2,0))</f>
        <v>0.20779220779220781</v>
      </c>
      <c r="K266" s="16">
        <f>INDEX('Team forecast'!$B$2:$AO$26,MATCH('Master data'!$B266,'Team forecast'!$B$2:$B$26,0),MATCH('Master data'!K$1,'Team forecast'!$B$2:$AO$2,0))</f>
        <v>2.0548283335069564</v>
      </c>
      <c r="L266" s="16">
        <f>INDEX('Team forecast'!$B$2:$AO$26,MATCH('Master data'!$B266,'Team forecast'!$B$2:$B$26,0),MATCH('Master data'!L$1,'Team forecast'!$B$2:$AO$2,0))</f>
        <v>5.3509268021816121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133"/>
        <v>0.76028648339757388</v>
      </c>
      <c r="T266" s="2">
        <f t="shared" si="134"/>
        <v>1.5712166996139025</v>
      </c>
      <c r="U266" s="16">
        <f>INDEX('Team forecast'!$B$2:$AO$26,MATCH('Master data'!$B266,'Team forecast'!$B$2:$B$26,0),MATCH('Master data'!U$1,'Team forecast'!$B$2:$AO$2,0))</f>
        <v>0.15584415584415581</v>
      </c>
      <c r="V266" s="16">
        <f>INDEX('Team forecast'!$B$2:$AO$26,MATCH('Master data'!$B266,'Team forecast'!$B$2:$B$26,0),MATCH('Master data'!V$1,'Team forecast'!$B$2:$AO$2,0))</f>
        <v>0.25974025974025972</v>
      </c>
      <c r="W266" s="16">
        <f>INDEX('Team forecast'!$B$2:$AO$26,MATCH('Master data'!$B266,'Team forecast'!$B$2:$B$26,0),MATCH('Master data'!W$1,'Team forecast'!$B$2:$AO$2,0))</f>
        <v>0.58441558441558439</v>
      </c>
      <c r="X266" s="5">
        <f t="shared" si="135"/>
        <v>-5000</v>
      </c>
      <c r="Y266" s="5">
        <f t="shared" si="136"/>
        <v>0</v>
      </c>
      <c r="Z266" s="5">
        <f t="shared" si="137"/>
        <v>0</v>
      </c>
      <c r="AA266" s="5">
        <f t="shared" si="138"/>
        <v>0</v>
      </c>
      <c r="AB266" s="5">
        <f t="shared" si="139"/>
        <v>0</v>
      </c>
      <c r="AC266" s="5">
        <f t="shared" si="140"/>
        <v>0</v>
      </c>
      <c r="AD266" s="5">
        <f t="shared" si="141"/>
        <v>0</v>
      </c>
      <c r="AE266" s="5">
        <f t="shared" si="142"/>
        <v>15584.415584415585</v>
      </c>
      <c r="AF266" s="5">
        <f t="shared" si="143"/>
        <v>18898.550512838548</v>
      </c>
      <c r="AG266" s="5">
        <f t="shared" si="144"/>
        <v>0</v>
      </c>
      <c r="AH266" s="5">
        <f t="shared" si="145"/>
        <v>0</v>
      </c>
      <c r="AI266" s="5">
        <f t="shared" si="146"/>
        <v>0</v>
      </c>
      <c r="AJ266" s="5">
        <f t="shared" si="147"/>
        <v>0</v>
      </c>
      <c r="AK266" s="5">
        <f>IFERROR(SUM(X266:AJ266),-5000)*((Cockpit!$C$3)^0)</f>
        <v>29482.966097254131</v>
      </c>
      <c r="AL266" s="16">
        <f>INDEX('Team forecast'!$B$2:$AO$26,MATCH('Master data'!$B266,'Team forecast'!$B$2:$B$26,0),MATCH('Master data'!AL$1,'Team forecast'!$B$2:$AO$2,0))</f>
        <v>1.5712166996139025</v>
      </c>
      <c r="AM266" s="16">
        <f>INDEX('Team forecast'!$B$2:$AO$26,MATCH('Master data'!$B266,'Team forecast'!$B$2:$B$26,0),MATCH('Master data'!AM$1,'Team forecast'!$B$2:$AO$2,0))</f>
        <v>0.76028648339757388</v>
      </c>
      <c r="AN266" s="16">
        <f>INDEX('Team forecast'!$B$2:$AO$26,MATCH('Master data'!$B266,'Team forecast'!$B$2:$B$26,0),MATCH('Master data'!AN$1,'Team forecast'!$B$2:$AO$2,0))</f>
        <v>0.46753246753246752</v>
      </c>
      <c r="AO266" s="16">
        <f>INDEX('Team forecast'!$B$2:$AO$26,MATCH('Master data'!$B266,'Team forecast'!$B$2:$B$26,0),MATCH('Master data'!AO$1,'Team forecast'!$B$2:$AO$2,0))</f>
        <v>4.2465316205781152</v>
      </c>
      <c r="AP266" s="16">
        <f>INDEX('Team forecast'!$B$2:$AO$26,MATCH('Master data'!$B266,'Team forecast'!$B$2:$B$26,0),MATCH('Master data'!AP$1,'Team forecast'!$B$2:$AO$2,0))</f>
        <v>2.5892273945078212</v>
      </c>
      <c r="AQ266" s="5">
        <f t="shared" si="148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149"/>
        <v>0</v>
      </c>
      <c r="AV266" s="5">
        <f t="shared" si="150"/>
        <v>0</v>
      </c>
      <c r="AW266" s="5">
        <f t="shared" si="151"/>
        <v>0</v>
      </c>
      <c r="AX266" s="5">
        <f t="shared" si="152"/>
        <v>35064.935064935067</v>
      </c>
      <c r="AY266" s="5">
        <f t="shared" si="153"/>
        <v>9144.7045555512377</v>
      </c>
      <c r="AZ266" s="5">
        <f t="shared" si="154"/>
        <v>0</v>
      </c>
      <c r="BA266" s="5">
        <f t="shared" si="155"/>
        <v>0</v>
      </c>
      <c r="BB266" s="5">
        <f t="shared" si="156"/>
        <v>0</v>
      </c>
      <c r="BC266" s="5">
        <f t="shared" si="157"/>
        <v>0</v>
      </c>
      <c r="BD266" s="5">
        <f t="shared" si="158"/>
        <v>39209.639620486305</v>
      </c>
      <c r="BE266" s="16">
        <f>INDEX('Team forecast'!$B$2:$AO$26,MATCH('Master data'!$B266,'Team forecast'!$B$2:$B$26,0),MATCH('Master data'!BE$1,'Team forecast'!$B$2:$AO$2,0))</f>
        <v>1.1461513485277883</v>
      </c>
      <c r="BF266" s="16">
        <f>INDEX('Team forecast'!$B$2:$AO$26,MATCH('Master data'!$B266,'Team forecast'!$B$2:$B$26,0),MATCH('Master data'!BF$1,'Team forecast'!$B$2:$AO$2,0))</f>
        <v>1.1461513485277883</v>
      </c>
      <c r="BG266" s="16">
        <f>INDEX('Team forecast'!$B$2:$AO$26,MATCH('Master data'!$B266,'Team forecast'!$B$2:$B$26,0),MATCH('Master data'!BG$1,'Team forecast'!$B$2:$AO$2,0))</f>
        <v>0.31785774198959899</v>
      </c>
      <c r="BH266" s="16">
        <f>INDEX('Team forecast'!$B$2:$AO$26,MATCH('Master data'!$B266,'Team forecast'!$B$2:$B$26,0),MATCH('Master data'!BH$1,'Team forecast'!$B$2:$AO$2,0))</f>
        <v>3.0977063473724007</v>
      </c>
      <c r="BI266" s="16">
        <f>INDEX('Team forecast'!$B$2:$AO$26,MATCH('Master data'!$B266,'Team forecast'!$B$2:$B$26,0),MATCH('Master data'!BI$1,'Team forecast'!$B$2:$AO$2,0))</f>
        <v>3.9033266205107195</v>
      </c>
      <c r="BJ266" s="5">
        <f t="shared" si="159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160"/>
        <v>0</v>
      </c>
      <c r="BO266" s="5">
        <f t="shared" si="161"/>
        <v>0</v>
      </c>
      <c r="BP266" s="5">
        <f t="shared" si="162"/>
        <v>0</v>
      </c>
      <c r="BQ266" s="5">
        <f t="shared" si="163"/>
        <v>23839.330649219923</v>
      </c>
      <c r="BR266" s="5">
        <f t="shared" si="164"/>
        <v>13785.876359914657</v>
      </c>
      <c r="BS266" s="5">
        <f t="shared" si="165"/>
        <v>0</v>
      </c>
      <c r="BT266" s="5">
        <f t="shared" si="166"/>
        <v>0</v>
      </c>
      <c r="BU266" s="5">
        <f t="shared" si="167"/>
        <v>0</v>
      </c>
      <c r="BV266" s="5">
        <f t="shared" si="168"/>
        <v>0</v>
      </c>
      <c r="BW266" s="5">
        <f t="shared" si="169"/>
        <v>32625.207009134581</v>
      </c>
      <c r="BX266" s="5">
        <f t="shared" si="170"/>
        <v>33772.604242291673</v>
      </c>
      <c r="BY266" s="5">
        <f t="shared" si="171"/>
        <v>101317.81272687501</v>
      </c>
      <c r="BZ266" s="5">
        <f>INDEX('Team forecast'!$R$3:$BH$26,MATCH($B266,'Team forecast'!$B$3:$B$26,0),MATCH(BZ$1,'Team forecast'!$R$2:$BH$2,0))*($BX266-(BY266+CH266)*0.01)</f>
        <v>-1672.3881868225135</v>
      </c>
      <c r="CA266" s="5">
        <f>INDEX('Team forecast'!$R$3:$BH$26,MATCH($B266,'Team forecast'!$B$3:$B$26,0),MATCH(CA$1,'Team forecast'!$R$2:$BH$2,0))*($BX266-(BY266+BX266+CH266)*0.01)</f>
        <v>-945.59418215750395</v>
      </c>
      <c r="CB266" s="5">
        <f>INDEX('Team forecast'!$R$3:$BH$26,MATCH($B266,'Team forecast'!$B$3:$B$26,0),MATCH(CB$1,'Team forecast'!$R$2:$BH$2,0))*($BX266-(BY266+BX266*2+CH266)*0.01)</f>
        <v>-517.01404338404109</v>
      </c>
      <c r="CC266" s="5">
        <f>INDEX('Team forecast'!$R$3:$BH$26,MATCH($B266,'Team forecast'!$B$3:$B$26,0),MATCH(CC$1,'Team forecast'!$R$2:$BH$2,0))*($BX266-(BY266+BX266*3+CH266)*0.01)</f>
        <v>-262.95976383568012</v>
      </c>
      <c r="CD266" s="5">
        <f>+AK266+BD266*Cockpit!$C$3+BW266*Cockpit!$C$3^2+BZ266*Cockpit!$C$3^3+CA266*Cockpit!$C$3^4+CB266*Cockpit!$C$3^5+CC266*Cockpit!$C$3^6</f>
        <v>69349.341601892331</v>
      </c>
      <c r="CE266" s="5"/>
      <c r="CF266" s="5"/>
      <c r="CG266" s="5">
        <v>0</v>
      </c>
      <c r="CH266" s="5">
        <f t="shared" si="172"/>
        <v>3500000</v>
      </c>
      <c r="CI266" s="5">
        <f t="shared" si="173"/>
        <v>3500000</v>
      </c>
      <c r="CJ266" s="1">
        <f t="shared" si="174"/>
        <v>2.894794649339286E-2</v>
      </c>
      <c r="CK266" s="5">
        <f>RANK(BY266,$BY$2:$BY$623)+COUNTIF($BY$2:$BY266,$BY266)-1</f>
        <v>165</v>
      </c>
      <c r="CL266" s="5">
        <f>RANK(CJ266,$CJ$2:$CJ$623)+COUNTIF($CJ$2:$CJ266,$CJ266)-1</f>
        <v>155</v>
      </c>
    </row>
    <row r="267" spans="1:90">
      <c r="A267" t="str">
        <f>Players!P268</f>
        <v>Roman Bezus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2000000</v>
      </c>
      <c r="H267" s="16">
        <f>INDEX('Team forecast'!$B$2:$AO$26,MATCH('Master data'!$B267,'Team forecast'!$B$2:$B$26,0),MATCH('Master data'!H$1,'Team forecast'!$B$2:$AO$2,0))</f>
        <v>0.76028648339757388</v>
      </c>
      <c r="I267" s="16">
        <f>INDEX('Team forecast'!$B$2:$AO$26,MATCH('Master data'!$B267,'Team forecast'!$B$2:$B$26,0),MATCH('Master data'!I$1,'Team forecast'!$B$2:$AO$2,0))</f>
        <v>1.5712166996139025</v>
      </c>
      <c r="J267" s="16">
        <f>INDEX('Team forecast'!$B$2:$AO$26,MATCH('Master data'!$B267,'Team forecast'!$B$2:$B$26,0),MATCH('Master data'!J$1,'Team forecast'!$B$2:$AO$2,0))</f>
        <v>0.20779220779220781</v>
      </c>
      <c r="K267" s="16">
        <f>INDEX('Team forecast'!$B$2:$AO$26,MATCH('Master data'!$B267,'Team forecast'!$B$2:$B$26,0),MATCH('Master data'!K$1,'Team forecast'!$B$2:$AO$2,0))</f>
        <v>2.0548283335069564</v>
      </c>
      <c r="L267" s="16">
        <f>INDEX('Team forecast'!$B$2:$AO$26,MATCH('Master data'!$B267,'Team forecast'!$B$2:$B$26,0),MATCH('Master data'!L$1,'Team forecast'!$B$2:$AO$2,0))</f>
        <v>5.3509268021816121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0</v>
      </c>
      <c r="R267" s="2">
        <f>Players!BR268</f>
        <v>0</v>
      </c>
      <c r="S267" s="2">
        <f t="shared" si="133"/>
        <v>0.76028648339757388</v>
      </c>
      <c r="T267" s="2">
        <f t="shared" si="134"/>
        <v>1.5712166996139025</v>
      </c>
      <c r="U267" s="16">
        <f>INDEX('Team forecast'!$B$2:$AO$26,MATCH('Master data'!$B267,'Team forecast'!$B$2:$B$26,0),MATCH('Master data'!U$1,'Team forecast'!$B$2:$AO$2,0))</f>
        <v>0.15584415584415581</v>
      </c>
      <c r="V267" s="16">
        <f>INDEX('Team forecast'!$B$2:$AO$26,MATCH('Master data'!$B267,'Team forecast'!$B$2:$B$26,0),MATCH('Master data'!V$1,'Team forecast'!$B$2:$AO$2,0))</f>
        <v>0.25974025974025972</v>
      </c>
      <c r="W267" s="16">
        <f>INDEX('Team forecast'!$B$2:$AO$26,MATCH('Master data'!$B267,'Team forecast'!$B$2:$B$26,0),MATCH('Master data'!W$1,'Team forecast'!$B$2:$AO$2,0))</f>
        <v>0.58441558441558439</v>
      </c>
      <c r="X267" s="5">
        <f t="shared" si="135"/>
        <v>-5000</v>
      </c>
      <c r="Y267" s="5">
        <f t="shared" si="136"/>
        <v>0</v>
      </c>
      <c r="Z267" s="5">
        <f t="shared" si="137"/>
        <v>0</v>
      </c>
      <c r="AA267" s="5">
        <f t="shared" si="138"/>
        <v>0</v>
      </c>
      <c r="AB267" s="5">
        <f t="shared" si="139"/>
        <v>0</v>
      </c>
      <c r="AC267" s="5">
        <f t="shared" si="140"/>
        <v>0</v>
      </c>
      <c r="AD267" s="5">
        <f t="shared" si="141"/>
        <v>0</v>
      </c>
      <c r="AE267" s="5">
        <f t="shared" si="142"/>
        <v>0</v>
      </c>
      <c r="AF267" s="5">
        <f t="shared" si="143"/>
        <v>0</v>
      </c>
      <c r="AG267" s="5">
        <f t="shared" si="144"/>
        <v>0</v>
      </c>
      <c r="AH267" s="5">
        <f t="shared" si="145"/>
        <v>0</v>
      </c>
      <c r="AI267" s="5">
        <f t="shared" si="146"/>
        <v>0</v>
      </c>
      <c r="AJ267" s="5">
        <f t="shared" si="147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1.5712166996139025</v>
      </c>
      <c r="AM267" s="16">
        <f>INDEX('Team forecast'!$B$2:$AO$26,MATCH('Master data'!$B267,'Team forecast'!$B$2:$B$26,0),MATCH('Master data'!AM$1,'Team forecast'!$B$2:$AO$2,0))</f>
        <v>0.76028648339757388</v>
      </c>
      <c r="AN267" s="16">
        <f>INDEX('Team forecast'!$B$2:$AO$26,MATCH('Master data'!$B267,'Team forecast'!$B$2:$B$26,0),MATCH('Master data'!AN$1,'Team forecast'!$B$2:$AO$2,0))</f>
        <v>0.46753246753246752</v>
      </c>
      <c r="AO267" s="16">
        <f>INDEX('Team forecast'!$B$2:$AO$26,MATCH('Master data'!$B267,'Team forecast'!$B$2:$B$26,0),MATCH('Master data'!AO$1,'Team forecast'!$B$2:$AO$2,0))</f>
        <v>4.2465316205781152</v>
      </c>
      <c r="AP267" s="16">
        <f>INDEX('Team forecast'!$B$2:$AO$26,MATCH('Master data'!$B267,'Team forecast'!$B$2:$B$26,0),MATCH('Master data'!AP$1,'Team forecast'!$B$2:$AO$2,0))</f>
        <v>2.5892273945078212</v>
      </c>
      <c r="AQ267" s="5">
        <f t="shared" si="148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149"/>
        <v>0</v>
      </c>
      <c r="AV267" s="5">
        <f t="shared" si="150"/>
        <v>0</v>
      </c>
      <c r="AW267" s="5">
        <f t="shared" si="151"/>
        <v>0</v>
      </c>
      <c r="AX267" s="5">
        <f t="shared" si="152"/>
        <v>0</v>
      </c>
      <c r="AY267" s="5">
        <f t="shared" si="153"/>
        <v>0</v>
      </c>
      <c r="AZ267" s="5">
        <f t="shared" si="154"/>
        <v>0</v>
      </c>
      <c r="BA267" s="5">
        <f t="shared" si="155"/>
        <v>0</v>
      </c>
      <c r="BB267" s="5">
        <f t="shared" si="156"/>
        <v>0</v>
      </c>
      <c r="BC267" s="5">
        <f t="shared" si="157"/>
        <v>0</v>
      </c>
      <c r="BD267" s="5">
        <f t="shared" si="158"/>
        <v>-5000</v>
      </c>
      <c r="BE267" s="16">
        <f>INDEX('Team forecast'!$B$2:$AO$26,MATCH('Master data'!$B267,'Team forecast'!$B$2:$B$26,0),MATCH('Master data'!BE$1,'Team forecast'!$B$2:$AO$2,0))</f>
        <v>1.1461513485277883</v>
      </c>
      <c r="BF267" s="16">
        <f>INDEX('Team forecast'!$B$2:$AO$26,MATCH('Master data'!$B267,'Team forecast'!$B$2:$B$26,0),MATCH('Master data'!BF$1,'Team forecast'!$B$2:$AO$2,0))</f>
        <v>1.1461513485277883</v>
      </c>
      <c r="BG267" s="16">
        <f>INDEX('Team forecast'!$B$2:$AO$26,MATCH('Master data'!$B267,'Team forecast'!$B$2:$B$26,0),MATCH('Master data'!BG$1,'Team forecast'!$B$2:$AO$2,0))</f>
        <v>0.31785774198959899</v>
      </c>
      <c r="BH267" s="16">
        <f>INDEX('Team forecast'!$B$2:$AO$26,MATCH('Master data'!$B267,'Team forecast'!$B$2:$B$26,0),MATCH('Master data'!BH$1,'Team forecast'!$B$2:$AO$2,0))</f>
        <v>3.0977063473724007</v>
      </c>
      <c r="BI267" s="16">
        <f>INDEX('Team forecast'!$B$2:$AO$26,MATCH('Master data'!$B267,'Team forecast'!$B$2:$B$26,0),MATCH('Master data'!BI$1,'Team forecast'!$B$2:$AO$2,0))</f>
        <v>3.9033266205107195</v>
      </c>
      <c r="BJ267" s="5">
        <f t="shared" si="159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160"/>
        <v>0</v>
      </c>
      <c r="BO267" s="5">
        <f t="shared" si="161"/>
        <v>0</v>
      </c>
      <c r="BP267" s="5">
        <f t="shared" si="162"/>
        <v>0</v>
      </c>
      <c r="BQ267" s="5">
        <f t="shared" si="163"/>
        <v>0</v>
      </c>
      <c r="BR267" s="5">
        <f t="shared" si="164"/>
        <v>0</v>
      </c>
      <c r="BS267" s="5">
        <f t="shared" si="165"/>
        <v>0</v>
      </c>
      <c r="BT267" s="5">
        <f t="shared" si="166"/>
        <v>0</v>
      </c>
      <c r="BU267" s="5">
        <f t="shared" si="167"/>
        <v>0</v>
      </c>
      <c r="BV267" s="5">
        <f t="shared" si="168"/>
        <v>0</v>
      </c>
      <c r="BW267" s="5">
        <f t="shared" si="169"/>
        <v>-5000</v>
      </c>
      <c r="BX267" s="5">
        <f t="shared" si="170"/>
        <v>-5000</v>
      </c>
      <c r="BY267" s="5">
        <f t="shared" si="171"/>
        <v>-15000</v>
      </c>
      <c r="BZ267" s="5">
        <f>INDEX('Team forecast'!$R$3:$BH$26,MATCH($B267,'Team forecast'!$B$3:$B$26,0),MATCH(BZ$1,'Team forecast'!$R$2:$BH$2,0))*($BX267-(BY267+CH267)*0.01)</f>
        <v>-18548.304397007025</v>
      </c>
      <c r="CA267" s="5">
        <f>INDEX('Team forecast'!$R$3:$BH$26,MATCH($B267,'Team forecast'!$B$3:$B$26,0),MATCH(CA$1,'Team forecast'!$R$2:$BH$2,0))*($BX267-(BY267+BX267+CH267)*0.01)</f>
        <v>-9095.4258146197299</v>
      </c>
      <c r="CB267" s="5">
        <f>INDEX('Team forecast'!$R$3:$BH$26,MATCH($B267,'Team forecast'!$B$3:$B$26,0),MATCH(CB$1,'Team forecast'!$R$2:$BH$2,0))*($BX267-(BY267+BX267*2+CH267)*0.01)</f>
        <v>-4388.197398163813</v>
      </c>
      <c r="CC267" s="5">
        <f>INDEX('Team forecast'!$R$3:$BH$26,MATCH($B267,'Team forecast'!$B$3:$B$26,0),MATCH(CC$1,'Team forecast'!$R$2:$BH$2,0))*($BX267-(BY267+BX267*3+CH267)*0.01)</f>
        <v>-1996.1896734281838</v>
      </c>
      <c r="CD267" s="5">
        <f>+AK267+BD267*Cockpit!$C$3+BW267*Cockpit!$C$3^2+BZ267*Cockpit!$C$3^3+CA267*Cockpit!$C$3^4+CB267*Cockpit!$C$3^5+CC267*Cockpit!$C$3^6</f>
        <v>-18601.094864721385</v>
      </c>
      <c r="CE267" s="5"/>
      <c r="CF267" s="5"/>
      <c r="CG267" s="5">
        <v>0</v>
      </c>
      <c r="CH267" s="5">
        <f t="shared" si="172"/>
        <v>2000000</v>
      </c>
      <c r="CI267" s="5">
        <f t="shared" si="173"/>
        <v>2000000</v>
      </c>
      <c r="CJ267" s="1">
        <f t="shared" si="174"/>
        <v>-7.4999999999999997E-3</v>
      </c>
      <c r="CK267" s="5">
        <f>RANK(BY267,$BY$2:$BY$623)+COUNTIF($BY$2:$BY267,$BY267)-1</f>
        <v>497</v>
      </c>
      <c r="CL267" s="5">
        <f>RANK(CJ267,$CJ$2:$CJ$623)+COUNTIF($CJ$2:$CJ267,$CJ267)-1</f>
        <v>580</v>
      </c>
    </row>
    <row r="268" spans="1:90">
      <c r="A268" t="str">
        <f>Players!P269</f>
        <v>Yevhen Makarenko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2500000</v>
      </c>
      <c r="H268" s="16">
        <f>INDEX('Team forecast'!$B$2:$AO$26,MATCH('Master data'!$B268,'Team forecast'!$B$2:$B$26,0),MATCH('Master data'!H$1,'Team forecast'!$B$2:$AO$2,0))</f>
        <v>0.76028648339757388</v>
      </c>
      <c r="I268" s="16">
        <f>INDEX('Team forecast'!$B$2:$AO$26,MATCH('Master data'!$B268,'Team forecast'!$B$2:$B$26,0),MATCH('Master data'!I$1,'Team forecast'!$B$2:$AO$2,0))</f>
        <v>1.5712166996139025</v>
      </c>
      <c r="J268" s="16">
        <f>INDEX('Team forecast'!$B$2:$AO$26,MATCH('Master data'!$B268,'Team forecast'!$B$2:$B$26,0),MATCH('Master data'!J$1,'Team forecast'!$B$2:$AO$2,0))</f>
        <v>0.20779220779220781</v>
      </c>
      <c r="K268" s="16">
        <f>INDEX('Team forecast'!$B$2:$AO$26,MATCH('Master data'!$B268,'Team forecast'!$B$2:$B$26,0),MATCH('Master data'!K$1,'Team forecast'!$B$2:$AO$2,0))</f>
        <v>2.0548283335069564</v>
      </c>
      <c r="L268" s="16">
        <f>INDEX('Team forecast'!$B$2:$AO$26,MATCH('Master data'!$B268,'Team forecast'!$B$2:$B$26,0),MATCH('Master data'!L$1,'Team forecast'!$B$2:$AO$2,0))</f>
        <v>5.3509268021816121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8.0405002977963075E-2</v>
      </c>
      <c r="R268" s="2">
        <f>Players!BR269</f>
        <v>0</v>
      </c>
      <c r="S268" s="2">
        <f t="shared" si="133"/>
        <v>0.76028648339757388</v>
      </c>
      <c r="T268" s="2">
        <f t="shared" si="134"/>
        <v>1.5712166996139025</v>
      </c>
      <c r="U268" s="16">
        <f>INDEX('Team forecast'!$B$2:$AO$26,MATCH('Master data'!$B268,'Team forecast'!$B$2:$B$26,0),MATCH('Master data'!U$1,'Team forecast'!$B$2:$AO$2,0))</f>
        <v>0.15584415584415581</v>
      </c>
      <c r="V268" s="16">
        <f>INDEX('Team forecast'!$B$2:$AO$26,MATCH('Master data'!$B268,'Team forecast'!$B$2:$B$26,0),MATCH('Master data'!V$1,'Team forecast'!$B$2:$AO$2,0))</f>
        <v>0.25974025974025972</v>
      </c>
      <c r="W268" s="16">
        <f>INDEX('Team forecast'!$B$2:$AO$26,MATCH('Master data'!$B268,'Team forecast'!$B$2:$B$26,0),MATCH('Master data'!W$1,'Team forecast'!$B$2:$AO$2,0))</f>
        <v>0.58441558441558439</v>
      </c>
      <c r="X268" s="5">
        <f t="shared" si="135"/>
        <v>-5000</v>
      </c>
      <c r="Y268" s="5">
        <f t="shared" si="136"/>
        <v>0</v>
      </c>
      <c r="Z268" s="5">
        <f t="shared" si="137"/>
        <v>0</v>
      </c>
      <c r="AA268" s="5">
        <f t="shared" si="138"/>
        <v>0</v>
      </c>
      <c r="AB268" s="5">
        <f t="shared" si="139"/>
        <v>0</v>
      </c>
      <c r="AC268" s="5">
        <f t="shared" si="140"/>
        <v>0</v>
      </c>
      <c r="AD268" s="5">
        <f t="shared" si="141"/>
        <v>0</v>
      </c>
      <c r="AE268" s="5">
        <f t="shared" si="142"/>
        <v>0</v>
      </c>
      <c r="AF268" s="5">
        <f t="shared" si="143"/>
        <v>0</v>
      </c>
      <c r="AG268" s="5">
        <f t="shared" si="144"/>
        <v>0</v>
      </c>
      <c r="AH268" s="5">
        <f t="shared" si="145"/>
        <v>0</v>
      </c>
      <c r="AI268" s="5">
        <f t="shared" si="146"/>
        <v>0</v>
      </c>
      <c r="AJ268" s="5">
        <f t="shared" si="147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1.5712166996139025</v>
      </c>
      <c r="AM268" s="16">
        <f>INDEX('Team forecast'!$B$2:$AO$26,MATCH('Master data'!$B268,'Team forecast'!$B$2:$B$26,0),MATCH('Master data'!AM$1,'Team forecast'!$B$2:$AO$2,0))</f>
        <v>0.76028648339757388</v>
      </c>
      <c r="AN268" s="16">
        <f>INDEX('Team forecast'!$B$2:$AO$26,MATCH('Master data'!$B268,'Team forecast'!$B$2:$B$26,0),MATCH('Master data'!AN$1,'Team forecast'!$B$2:$AO$2,0))</f>
        <v>0.46753246753246752</v>
      </c>
      <c r="AO268" s="16">
        <f>INDEX('Team forecast'!$B$2:$AO$26,MATCH('Master data'!$B268,'Team forecast'!$B$2:$B$26,0),MATCH('Master data'!AO$1,'Team forecast'!$B$2:$AO$2,0))</f>
        <v>4.2465316205781152</v>
      </c>
      <c r="AP268" s="16">
        <f>INDEX('Team forecast'!$B$2:$AO$26,MATCH('Master data'!$B268,'Team forecast'!$B$2:$B$26,0),MATCH('Master data'!AP$1,'Team forecast'!$B$2:$AO$2,0))</f>
        <v>2.5892273945078212</v>
      </c>
      <c r="AQ268" s="5">
        <f t="shared" si="148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149"/>
        <v>0</v>
      </c>
      <c r="AV268" s="5">
        <f t="shared" si="150"/>
        <v>0</v>
      </c>
      <c r="AW268" s="5">
        <f t="shared" si="151"/>
        <v>0</v>
      </c>
      <c r="AX268" s="5">
        <f t="shared" si="152"/>
        <v>0</v>
      </c>
      <c r="AY268" s="5">
        <f t="shared" si="153"/>
        <v>0</v>
      </c>
      <c r="AZ268" s="5">
        <f t="shared" si="154"/>
        <v>0</v>
      </c>
      <c r="BA268" s="5">
        <f t="shared" si="155"/>
        <v>0</v>
      </c>
      <c r="BB268" s="5">
        <f t="shared" si="156"/>
        <v>0</v>
      </c>
      <c r="BC268" s="5">
        <f t="shared" si="157"/>
        <v>0</v>
      </c>
      <c r="BD268" s="5">
        <f t="shared" si="158"/>
        <v>-5000</v>
      </c>
      <c r="BE268" s="16">
        <f>INDEX('Team forecast'!$B$2:$AO$26,MATCH('Master data'!$B268,'Team forecast'!$B$2:$B$26,0),MATCH('Master data'!BE$1,'Team forecast'!$B$2:$AO$2,0))</f>
        <v>1.1461513485277883</v>
      </c>
      <c r="BF268" s="16">
        <f>INDEX('Team forecast'!$B$2:$AO$26,MATCH('Master data'!$B268,'Team forecast'!$B$2:$B$26,0),MATCH('Master data'!BF$1,'Team forecast'!$B$2:$AO$2,0))</f>
        <v>1.1461513485277883</v>
      </c>
      <c r="BG268" s="16">
        <f>INDEX('Team forecast'!$B$2:$AO$26,MATCH('Master data'!$B268,'Team forecast'!$B$2:$B$26,0),MATCH('Master data'!BG$1,'Team forecast'!$B$2:$AO$2,0))</f>
        <v>0.31785774198959899</v>
      </c>
      <c r="BH268" s="16">
        <f>INDEX('Team forecast'!$B$2:$AO$26,MATCH('Master data'!$B268,'Team forecast'!$B$2:$B$26,0),MATCH('Master data'!BH$1,'Team forecast'!$B$2:$AO$2,0))</f>
        <v>3.0977063473724007</v>
      </c>
      <c r="BI268" s="16">
        <f>INDEX('Team forecast'!$B$2:$AO$26,MATCH('Master data'!$B268,'Team forecast'!$B$2:$B$26,0),MATCH('Master data'!BI$1,'Team forecast'!$B$2:$AO$2,0))</f>
        <v>3.9033266205107195</v>
      </c>
      <c r="BJ268" s="5">
        <f t="shared" si="159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160"/>
        <v>0</v>
      </c>
      <c r="BO268" s="5">
        <f t="shared" si="161"/>
        <v>0</v>
      </c>
      <c r="BP268" s="5">
        <f t="shared" si="162"/>
        <v>0</v>
      </c>
      <c r="BQ268" s="5">
        <f t="shared" si="163"/>
        <v>0</v>
      </c>
      <c r="BR268" s="5">
        <f t="shared" si="164"/>
        <v>0</v>
      </c>
      <c r="BS268" s="5">
        <f t="shared" si="165"/>
        <v>0</v>
      </c>
      <c r="BT268" s="5">
        <f t="shared" si="166"/>
        <v>0</v>
      </c>
      <c r="BU268" s="5">
        <f t="shared" si="167"/>
        <v>0</v>
      </c>
      <c r="BV268" s="5">
        <f t="shared" si="168"/>
        <v>0</v>
      </c>
      <c r="BW268" s="5">
        <f t="shared" si="169"/>
        <v>-5000</v>
      </c>
      <c r="BX268" s="5">
        <f t="shared" si="170"/>
        <v>-5000</v>
      </c>
      <c r="BY268" s="5">
        <f t="shared" si="171"/>
        <v>-15000</v>
      </c>
      <c r="BZ268" s="5">
        <f>INDEX('Team forecast'!$R$3:$BH$26,MATCH($B268,'Team forecast'!$B$3:$B$26,0),MATCH(BZ$1,'Team forecast'!$R$2:$BH$2,0))*($BX268-(BY268+CH268)*0.01)</f>
        <v>-22280.357595599988</v>
      </c>
      <c r="CA268" s="5">
        <f>INDEX('Team forecast'!$R$3:$BH$26,MATCH($B268,'Team forecast'!$B$3:$B$26,0),MATCH(CA$1,'Team forecast'!$R$2:$BH$2,0))*($BX268-(BY268+BX268+CH268)*0.01)</f>
        <v>-10929.18101918016</v>
      </c>
      <c r="CB268" s="5">
        <f>INDEX('Team forecast'!$R$3:$BH$26,MATCH($B268,'Team forecast'!$B$3:$B$26,0),MATCH(CB$1,'Team forecast'!$R$2:$BH$2,0))*($BX268-(BY268+BX268*2+CH268)*0.01)</f>
        <v>-5274.7019230453916</v>
      </c>
      <c r="CC268" s="5">
        <f>INDEX('Team forecast'!$R$3:$BH$26,MATCH($B268,'Team forecast'!$B$3:$B$26,0),MATCH(CC$1,'Team forecast'!$R$2:$BH$2,0))*($BX268-(BY268+BX268*3+CH268)*0.01)</f>
        <v>-2400.2766518549415</v>
      </c>
      <c r="CD268" s="5">
        <f>+AK268+BD268*Cockpit!$C$3+BW268*Cockpit!$C$3^2+BZ268*Cockpit!$C$3^3+CA268*Cockpit!$C$3^4+CB268*Cockpit!$C$3^5+CC268*Cockpit!$C$3^6</f>
        <v>-20221.328391965177</v>
      </c>
      <c r="CE268" s="5"/>
      <c r="CF268" s="5"/>
      <c r="CG268" s="5">
        <v>0</v>
      </c>
      <c r="CH268" s="5">
        <f t="shared" si="172"/>
        <v>2500000</v>
      </c>
      <c r="CI268" s="5">
        <f t="shared" si="173"/>
        <v>2500000</v>
      </c>
      <c r="CJ268" s="1">
        <f t="shared" si="174"/>
        <v>-6.0000000000000001E-3</v>
      </c>
      <c r="CK268" s="5">
        <f>RANK(BY268,$BY$2:$BY$623)+COUNTIF($BY$2:$BY268,$BY268)-1</f>
        <v>498</v>
      </c>
      <c r="CL268" s="5">
        <f>RANK(CJ268,$CJ$2:$CJ$623)+COUNTIF($CJ$2:$CJ268,$CJ268)-1</f>
        <v>533</v>
      </c>
    </row>
    <row r="269" spans="1:90">
      <c r="A269" t="str">
        <f>Players!P270</f>
        <v>Viktor Tsygankov</v>
      </c>
      <c r="B269" t="str">
        <f>Players!G270</f>
        <v>Ukraine</v>
      </c>
      <c r="C269" t="str">
        <f>Players!AB270</f>
        <v>Midfield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3000000</v>
      </c>
      <c r="H269" s="16">
        <f>INDEX('Team forecast'!$B$2:$AO$26,MATCH('Master data'!$B269,'Team forecast'!$B$2:$B$26,0),MATCH('Master data'!H$1,'Team forecast'!$B$2:$AO$2,0))</f>
        <v>0.76028648339757388</v>
      </c>
      <c r="I269" s="16">
        <f>INDEX('Team forecast'!$B$2:$AO$26,MATCH('Master data'!$B269,'Team forecast'!$B$2:$B$26,0),MATCH('Master data'!I$1,'Team forecast'!$B$2:$AO$2,0))</f>
        <v>1.5712166996139025</v>
      </c>
      <c r="J269" s="16">
        <f>INDEX('Team forecast'!$B$2:$AO$26,MATCH('Master data'!$B269,'Team forecast'!$B$2:$B$26,0),MATCH('Master data'!J$1,'Team forecast'!$B$2:$AO$2,0))</f>
        <v>0.20779220779220781</v>
      </c>
      <c r="K269" s="16">
        <f>INDEX('Team forecast'!$B$2:$AO$26,MATCH('Master data'!$B269,'Team forecast'!$B$2:$B$26,0),MATCH('Master data'!K$1,'Team forecast'!$B$2:$AO$2,0))</f>
        <v>2.0548283335069564</v>
      </c>
      <c r="L269" s="16">
        <f>INDEX('Team forecast'!$B$2:$AO$26,MATCH('Master data'!$B269,'Team forecast'!$B$2:$B$26,0),MATCH('Master data'!L$1,'Team forecast'!$B$2:$AO$2,0))</f>
        <v>5.3509268021816121</v>
      </c>
      <c r="M269">
        <f>IF(Players!BC270=1,95,0)</f>
        <v>95</v>
      </c>
      <c r="N269" s="2">
        <f>Players!BN270</f>
        <v>8.3225303075014898E-2</v>
      </c>
      <c r="O269" s="2">
        <f>Players!BO270</f>
        <v>7.5862880601908572E-2</v>
      </c>
      <c r="P269" s="2">
        <f>Players!BP270</f>
        <v>0</v>
      </c>
      <c r="Q269" s="2">
        <f>Players!BQ270</f>
        <v>0</v>
      </c>
      <c r="R269" s="2">
        <f>Players!BR270</f>
        <v>0</v>
      </c>
      <c r="S269" s="2">
        <f t="shared" si="133"/>
        <v>0.76028648339757388</v>
      </c>
      <c r="T269" s="2">
        <f t="shared" si="134"/>
        <v>1.5712166996139025</v>
      </c>
      <c r="U269" s="16">
        <f>INDEX('Team forecast'!$B$2:$AO$26,MATCH('Master data'!$B269,'Team forecast'!$B$2:$B$26,0),MATCH('Master data'!U$1,'Team forecast'!$B$2:$AO$2,0))</f>
        <v>0.15584415584415581</v>
      </c>
      <c r="V269" s="16">
        <f>INDEX('Team forecast'!$B$2:$AO$26,MATCH('Master data'!$B269,'Team forecast'!$B$2:$B$26,0),MATCH('Master data'!V$1,'Team forecast'!$B$2:$AO$2,0))</f>
        <v>0.25974025974025972</v>
      </c>
      <c r="W269" s="16">
        <f>INDEX('Team forecast'!$B$2:$AO$26,MATCH('Master data'!$B269,'Team forecast'!$B$2:$B$26,0),MATCH('Master data'!W$1,'Team forecast'!$B$2:$AO$2,0))</f>
        <v>0.58441558441558439</v>
      </c>
      <c r="X269" s="5">
        <f t="shared" si="135"/>
        <v>7000</v>
      </c>
      <c r="Y269" s="5">
        <f t="shared" si="136"/>
        <v>3896.1038961038953</v>
      </c>
      <c r="Z269" s="5">
        <f t="shared" si="137"/>
        <v>1298.7012987012986</v>
      </c>
      <c r="AA269" s="5">
        <f t="shared" si="138"/>
        <v>-8766.233766233765</v>
      </c>
      <c r="AB269" s="5">
        <f t="shared" si="139"/>
        <v>7909.3841255750467</v>
      </c>
      <c r="AC269" s="5">
        <f t="shared" si="140"/>
        <v>2883.8761356617547</v>
      </c>
      <c r="AD269" s="5">
        <f t="shared" si="141"/>
        <v>0</v>
      </c>
      <c r="AE269" s="5">
        <f t="shared" si="142"/>
        <v>0</v>
      </c>
      <c r="AF269" s="5">
        <f t="shared" si="143"/>
        <v>0</v>
      </c>
      <c r="AG269" s="5">
        <f t="shared" si="144"/>
        <v>0</v>
      </c>
      <c r="AH269" s="5">
        <f t="shared" si="145"/>
        <v>0</v>
      </c>
      <c r="AI269" s="5">
        <f t="shared" si="146"/>
        <v>7602.8648339757392</v>
      </c>
      <c r="AJ269" s="5">
        <f t="shared" si="147"/>
        <v>-12569.733596911221</v>
      </c>
      <c r="AK269" s="5">
        <f>IFERROR(SUM(X269:AJ269),-5000)*((Cockpit!$C$3)^0)</f>
        <v>9254.9629268727476</v>
      </c>
      <c r="AL269" s="16">
        <f>INDEX('Team forecast'!$B$2:$AO$26,MATCH('Master data'!$B269,'Team forecast'!$B$2:$B$26,0),MATCH('Master data'!AL$1,'Team forecast'!$B$2:$AO$2,0))</f>
        <v>1.5712166996139025</v>
      </c>
      <c r="AM269" s="16">
        <f>INDEX('Team forecast'!$B$2:$AO$26,MATCH('Master data'!$B269,'Team forecast'!$B$2:$B$26,0),MATCH('Master data'!AM$1,'Team forecast'!$B$2:$AO$2,0))</f>
        <v>0.76028648339757388</v>
      </c>
      <c r="AN269" s="16">
        <f>INDEX('Team forecast'!$B$2:$AO$26,MATCH('Master data'!$B269,'Team forecast'!$B$2:$B$26,0),MATCH('Master data'!AN$1,'Team forecast'!$B$2:$AO$2,0))</f>
        <v>0.46753246753246752</v>
      </c>
      <c r="AO269" s="16">
        <f>INDEX('Team forecast'!$B$2:$AO$26,MATCH('Master data'!$B269,'Team forecast'!$B$2:$B$26,0),MATCH('Master data'!AO$1,'Team forecast'!$B$2:$AO$2,0))</f>
        <v>4.2465316205781152</v>
      </c>
      <c r="AP269" s="16">
        <f>INDEX('Team forecast'!$B$2:$AO$26,MATCH('Master data'!$B269,'Team forecast'!$B$2:$B$26,0),MATCH('Master data'!AP$1,'Team forecast'!$B$2:$AO$2,0))</f>
        <v>2.5892273945078212</v>
      </c>
      <c r="AQ269" s="5">
        <f t="shared" si="148"/>
        <v>7000</v>
      </c>
      <c r="AR269" s="5">
        <f>INDEX('Team forecast'!$B$2:$AO$26,MATCH('Master data'!$B269,'Team forecast'!$B$2:$B$26,0),MATCH('Master data'!AR$1,'Team forecast'!$B$2:$AO$2,0))*IF(X269&gt;0,25000,0)</f>
        <v>14610.38961038961</v>
      </c>
      <c r="AS269" s="16">
        <f>INDEX('Team forecast'!$B$2:$AO$26,MATCH('Master data'!$B269,'Team forecast'!$B$2:$B$26,0),MATCH('Master data'!AS$1,'Team forecast'!$B$2:$AO$2,0))*IF(X269&gt;0,5000,0)</f>
        <v>1298.7012987012986</v>
      </c>
      <c r="AT269" s="16">
        <f>INDEX('Team forecast'!$B$2:$AO$26,MATCH('Master data'!$B269,'Team forecast'!$B$2:$B$26,0),MATCH('Master data'!AT$1,'Team forecast'!$B$2:$AO$2,0))*IF(X269&gt;0,-15000,0)</f>
        <v>-2337.662337662337</v>
      </c>
      <c r="AU269" s="5">
        <f t="shared" si="149"/>
        <v>16345.623252736461</v>
      </c>
      <c r="AV269" s="5">
        <f t="shared" si="150"/>
        <v>5959.8512441267167</v>
      </c>
      <c r="AW269" s="5">
        <f t="shared" si="151"/>
        <v>0</v>
      </c>
      <c r="AX269" s="5">
        <f t="shared" si="152"/>
        <v>0</v>
      </c>
      <c r="AY269" s="5">
        <f t="shared" si="153"/>
        <v>0</v>
      </c>
      <c r="AZ269" s="5">
        <f t="shared" si="154"/>
        <v>0</v>
      </c>
      <c r="BA269" s="5">
        <f t="shared" si="155"/>
        <v>0</v>
      </c>
      <c r="BB269" s="5">
        <f t="shared" si="156"/>
        <v>15712.166996139025</v>
      </c>
      <c r="BC269" s="5">
        <f t="shared" si="157"/>
        <v>-6082.291867180591</v>
      </c>
      <c r="BD269" s="5">
        <f t="shared" si="158"/>
        <v>52506.778197250191</v>
      </c>
      <c r="BE269" s="16">
        <f>INDEX('Team forecast'!$B$2:$AO$26,MATCH('Master data'!$B269,'Team forecast'!$B$2:$B$26,0),MATCH('Master data'!BE$1,'Team forecast'!$B$2:$AO$2,0))</f>
        <v>1.1461513485277883</v>
      </c>
      <c r="BF269" s="16">
        <f>INDEX('Team forecast'!$B$2:$AO$26,MATCH('Master data'!$B269,'Team forecast'!$B$2:$B$26,0),MATCH('Master data'!BF$1,'Team forecast'!$B$2:$AO$2,0))</f>
        <v>1.1461513485277883</v>
      </c>
      <c r="BG269" s="16">
        <f>INDEX('Team forecast'!$B$2:$AO$26,MATCH('Master data'!$B269,'Team forecast'!$B$2:$B$26,0),MATCH('Master data'!BG$1,'Team forecast'!$B$2:$AO$2,0))</f>
        <v>0.31785774198959899</v>
      </c>
      <c r="BH269" s="16">
        <f>INDEX('Team forecast'!$B$2:$AO$26,MATCH('Master data'!$B269,'Team forecast'!$B$2:$B$26,0),MATCH('Master data'!BH$1,'Team forecast'!$B$2:$AO$2,0))</f>
        <v>3.0977063473724007</v>
      </c>
      <c r="BI269" s="16">
        <f>INDEX('Team forecast'!$B$2:$AO$26,MATCH('Master data'!$B269,'Team forecast'!$B$2:$B$26,0),MATCH('Master data'!BI$1,'Team forecast'!$B$2:$AO$2,0))</f>
        <v>3.9033266205107195</v>
      </c>
      <c r="BJ269" s="5">
        <f t="shared" si="159"/>
        <v>7000</v>
      </c>
      <c r="BK269" s="5">
        <f>INDEX('Team forecast'!$R$3:$BH$26,MATCH($B269,'Team forecast'!$B$3:$B$26,0),MATCH(BK$1,'Team forecast'!$R$2:$BH$2,0))*IF($X269&gt;0,25000,0)</f>
        <v>8668.8475088072482</v>
      </c>
      <c r="BL269" s="5">
        <f>INDEX('Team forecast'!$R$3:$BH$26,MATCH($B269,'Team forecast'!$B$3:$B$26,0),MATCH(BL$1,'Team forecast'!$R$2:$BH$2,0))*IF($X269&gt;0,5000,0)</f>
        <v>1467.0357322596881</v>
      </c>
      <c r="BM269" s="5">
        <f>INDEX('Team forecast'!$R$3:$BH$26,MATCH($B269,'Team forecast'!$B$3:$B$26,0),MATCH(BM$1,'Team forecast'!$R$2:$BH$2,0))*IF($X269&gt;0,-15000,0)</f>
        <v>-5397.584297936588</v>
      </c>
      <c r="BN269" s="5">
        <f t="shared" si="160"/>
        <v>11923.599168882778</v>
      </c>
      <c r="BO269" s="5">
        <f t="shared" si="161"/>
        <v>4347.5171452540053</v>
      </c>
      <c r="BP269" s="5">
        <f t="shared" si="162"/>
        <v>0</v>
      </c>
      <c r="BQ269" s="5">
        <f t="shared" si="163"/>
        <v>0</v>
      </c>
      <c r="BR269" s="5">
        <f t="shared" si="164"/>
        <v>0</v>
      </c>
      <c r="BS269" s="5">
        <f t="shared" si="165"/>
        <v>0</v>
      </c>
      <c r="BT269" s="5">
        <f t="shared" si="166"/>
        <v>0</v>
      </c>
      <c r="BU269" s="5">
        <f t="shared" si="167"/>
        <v>11461.513485277883</v>
      </c>
      <c r="BV269" s="5">
        <f t="shared" si="168"/>
        <v>-9169.2107882223063</v>
      </c>
      <c r="BW269" s="5">
        <f t="shared" si="169"/>
        <v>30301.71795432271</v>
      </c>
      <c r="BX269" s="5">
        <f t="shared" si="170"/>
        <v>30687.819692815217</v>
      </c>
      <c r="BY269" s="5">
        <f t="shared" si="171"/>
        <v>92063.459078445652</v>
      </c>
      <c r="BZ269" s="5">
        <f>INDEX('Team forecast'!$R$3:$BH$26,MATCH($B269,'Team forecast'!$B$3:$B$26,0),MATCH(BZ$1,'Team forecast'!$R$2:$BH$2,0))*($BX269-(BY269+CH269)*0.01)</f>
        <v>-173.77551692923763</v>
      </c>
      <c r="CA269" s="5">
        <f>INDEX('Team forecast'!$R$3:$BH$26,MATCH($B269,'Team forecast'!$B$3:$B$26,0),MATCH(CA$1,'Team forecast'!$R$2:$BH$2,0))*($BX269-(BY269+BX269+CH269)*0.01)</f>
        <v>-197.93300432668275</v>
      </c>
      <c r="CB269" s="5">
        <f>INDEX('Team forecast'!$R$3:$BH$26,MATCH($B269,'Team forecast'!$B$3:$B$26,0),MATCH(CB$1,'Team forecast'!$R$2:$BH$2,0))*($BX269-(BY269+BX269*2+CH269)*0.01)</f>
        <v>-150.0978561676371</v>
      </c>
      <c r="CC269" s="5">
        <f>INDEX('Team forecast'!$R$3:$BH$26,MATCH($B269,'Team forecast'!$B$3:$B$26,0),MATCH(CC$1,'Team forecast'!$R$2:$BH$2,0))*($BX269-(BY269+BX269*3+CH269)*0.01)</f>
        <v>-93.218783735673682</v>
      </c>
      <c r="CD269" s="5">
        <f>+AK269+BD269*Cockpit!$C$3+BW269*Cockpit!$C$3^2+BZ269*Cockpit!$C$3^3+CA269*Cockpit!$C$3^4+CB269*Cockpit!$C$3^5+CC269*Cockpit!$C$3^6</f>
        <v>57608.375218276335</v>
      </c>
      <c r="CE269" s="5"/>
      <c r="CF269" s="5"/>
      <c r="CG269" s="5">
        <v>0</v>
      </c>
      <c r="CH269" s="5">
        <f t="shared" si="172"/>
        <v>3000000</v>
      </c>
      <c r="CI269" s="5">
        <f t="shared" si="173"/>
        <v>3000000</v>
      </c>
      <c r="CJ269" s="1">
        <f t="shared" si="174"/>
        <v>3.0687819692815217E-2</v>
      </c>
      <c r="CK269" s="5">
        <f>RANK(BY269,$BY$2:$BY$623)+COUNTIF($BY$2:$BY269,$BY269)-1</f>
        <v>185</v>
      </c>
      <c r="CL269" s="5">
        <f>RANK(CJ269,$CJ$2:$CJ$623)+COUNTIF($CJ$2:$CJ269,$CJ269)-1</f>
        <v>138</v>
      </c>
    </row>
    <row r="270" spans="1:90">
      <c r="A270" t="str">
        <f>Players!P271</f>
        <v>Artem Dovbyk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2500000</v>
      </c>
      <c r="H270" s="16">
        <f>INDEX('Team forecast'!$B$2:$AO$26,MATCH('Master data'!$B270,'Team forecast'!$B$2:$B$26,0),MATCH('Master data'!H$1,'Team forecast'!$B$2:$AO$2,0))</f>
        <v>0.76028648339757388</v>
      </c>
      <c r="I270" s="16">
        <f>INDEX('Team forecast'!$B$2:$AO$26,MATCH('Master data'!$B270,'Team forecast'!$B$2:$B$26,0),MATCH('Master data'!I$1,'Team forecast'!$B$2:$AO$2,0))</f>
        <v>1.5712166996139025</v>
      </c>
      <c r="J270" s="16">
        <f>INDEX('Team forecast'!$B$2:$AO$26,MATCH('Master data'!$B270,'Team forecast'!$B$2:$B$26,0),MATCH('Master data'!J$1,'Team forecast'!$B$2:$AO$2,0))</f>
        <v>0.20779220779220781</v>
      </c>
      <c r="K270" s="16">
        <f>INDEX('Team forecast'!$B$2:$AO$26,MATCH('Master data'!$B270,'Team forecast'!$B$2:$B$26,0),MATCH('Master data'!K$1,'Team forecast'!$B$2:$AO$2,0))</f>
        <v>2.0548283335069564</v>
      </c>
      <c r="L270" s="16">
        <f>INDEX('Team forecast'!$B$2:$AO$26,MATCH('Master data'!$B270,'Team forecast'!$B$2:$B$26,0),MATCH('Master data'!L$1,'Team forecast'!$B$2:$AO$2,0))</f>
        <v>5.3509268021816121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1.9413287316652289E-2</v>
      </c>
      <c r="R270" s="2">
        <f>Players!BR271</f>
        <v>3.8826574633304578E-2</v>
      </c>
      <c r="S270" s="2">
        <f t="shared" si="133"/>
        <v>0.76028648339757388</v>
      </c>
      <c r="T270" s="2">
        <f t="shared" si="134"/>
        <v>1.5712166996139025</v>
      </c>
      <c r="U270" s="16">
        <f>INDEX('Team forecast'!$B$2:$AO$26,MATCH('Master data'!$B270,'Team forecast'!$B$2:$B$26,0),MATCH('Master data'!U$1,'Team forecast'!$B$2:$AO$2,0))</f>
        <v>0.15584415584415581</v>
      </c>
      <c r="V270" s="16">
        <f>INDEX('Team forecast'!$B$2:$AO$26,MATCH('Master data'!$B270,'Team forecast'!$B$2:$B$26,0),MATCH('Master data'!V$1,'Team forecast'!$B$2:$AO$2,0))</f>
        <v>0.25974025974025972</v>
      </c>
      <c r="W270" s="16">
        <f>INDEX('Team forecast'!$B$2:$AO$26,MATCH('Master data'!$B270,'Team forecast'!$B$2:$B$26,0),MATCH('Master data'!W$1,'Team forecast'!$B$2:$AO$2,0))</f>
        <v>0.58441558441558439</v>
      </c>
      <c r="X270" s="5">
        <f t="shared" si="135"/>
        <v>-5000</v>
      </c>
      <c r="Y270" s="5">
        <f t="shared" si="136"/>
        <v>0</v>
      </c>
      <c r="Z270" s="5">
        <f t="shared" si="137"/>
        <v>0</v>
      </c>
      <c r="AA270" s="5">
        <f t="shared" si="138"/>
        <v>0</v>
      </c>
      <c r="AB270" s="5">
        <f t="shared" si="139"/>
        <v>0</v>
      </c>
      <c r="AC270" s="5">
        <f t="shared" si="140"/>
        <v>0</v>
      </c>
      <c r="AD270" s="5">
        <f t="shared" si="141"/>
        <v>0</v>
      </c>
      <c r="AE270" s="5">
        <f t="shared" si="142"/>
        <v>0</v>
      </c>
      <c r="AF270" s="5">
        <f t="shared" si="143"/>
        <v>0</v>
      </c>
      <c r="AG270" s="5">
        <f t="shared" si="144"/>
        <v>0</v>
      </c>
      <c r="AH270" s="5">
        <f t="shared" si="145"/>
        <v>0</v>
      </c>
      <c r="AI270" s="5">
        <f t="shared" si="146"/>
        <v>0</v>
      </c>
      <c r="AJ270" s="5">
        <f t="shared" si="147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1.5712166996139025</v>
      </c>
      <c r="AM270" s="16">
        <f>INDEX('Team forecast'!$B$2:$AO$26,MATCH('Master data'!$B270,'Team forecast'!$B$2:$B$26,0),MATCH('Master data'!AM$1,'Team forecast'!$B$2:$AO$2,0))</f>
        <v>0.76028648339757388</v>
      </c>
      <c r="AN270" s="16">
        <f>INDEX('Team forecast'!$B$2:$AO$26,MATCH('Master data'!$B270,'Team forecast'!$B$2:$B$26,0),MATCH('Master data'!AN$1,'Team forecast'!$B$2:$AO$2,0))</f>
        <v>0.46753246753246752</v>
      </c>
      <c r="AO270" s="16">
        <f>INDEX('Team forecast'!$B$2:$AO$26,MATCH('Master data'!$B270,'Team forecast'!$B$2:$B$26,0),MATCH('Master data'!AO$1,'Team forecast'!$B$2:$AO$2,0))</f>
        <v>4.2465316205781152</v>
      </c>
      <c r="AP270" s="16">
        <f>INDEX('Team forecast'!$B$2:$AO$26,MATCH('Master data'!$B270,'Team forecast'!$B$2:$B$26,0),MATCH('Master data'!AP$1,'Team forecast'!$B$2:$AO$2,0))</f>
        <v>2.5892273945078212</v>
      </c>
      <c r="AQ270" s="5">
        <f t="shared" si="148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149"/>
        <v>0</v>
      </c>
      <c r="AV270" s="5">
        <f t="shared" si="150"/>
        <v>0</v>
      </c>
      <c r="AW270" s="5">
        <f t="shared" si="151"/>
        <v>0</v>
      </c>
      <c r="AX270" s="5">
        <f t="shared" si="152"/>
        <v>0</v>
      </c>
      <c r="AY270" s="5">
        <f t="shared" si="153"/>
        <v>0</v>
      </c>
      <c r="AZ270" s="5">
        <f t="shared" si="154"/>
        <v>0</v>
      </c>
      <c r="BA270" s="5">
        <f t="shared" si="155"/>
        <v>0</v>
      </c>
      <c r="BB270" s="5">
        <f t="shared" si="156"/>
        <v>0</v>
      </c>
      <c r="BC270" s="5">
        <f t="shared" si="157"/>
        <v>0</v>
      </c>
      <c r="BD270" s="5">
        <f t="shared" si="158"/>
        <v>-5000</v>
      </c>
      <c r="BE270" s="16">
        <f>INDEX('Team forecast'!$B$2:$AO$26,MATCH('Master data'!$B270,'Team forecast'!$B$2:$B$26,0),MATCH('Master data'!BE$1,'Team forecast'!$B$2:$AO$2,0))</f>
        <v>1.1461513485277883</v>
      </c>
      <c r="BF270" s="16">
        <f>INDEX('Team forecast'!$B$2:$AO$26,MATCH('Master data'!$B270,'Team forecast'!$B$2:$B$26,0),MATCH('Master data'!BF$1,'Team forecast'!$B$2:$AO$2,0))</f>
        <v>1.1461513485277883</v>
      </c>
      <c r="BG270" s="16">
        <f>INDEX('Team forecast'!$B$2:$AO$26,MATCH('Master data'!$B270,'Team forecast'!$B$2:$B$26,0),MATCH('Master data'!BG$1,'Team forecast'!$B$2:$AO$2,0))</f>
        <v>0.31785774198959899</v>
      </c>
      <c r="BH270" s="16">
        <f>INDEX('Team forecast'!$B$2:$AO$26,MATCH('Master data'!$B270,'Team forecast'!$B$2:$B$26,0),MATCH('Master data'!BH$1,'Team forecast'!$B$2:$AO$2,0))</f>
        <v>3.0977063473724007</v>
      </c>
      <c r="BI270" s="16">
        <f>INDEX('Team forecast'!$B$2:$AO$26,MATCH('Master data'!$B270,'Team forecast'!$B$2:$B$26,0),MATCH('Master data'!BI$1,'Team forecast'!$B$2:$AO$2,0))</f>
        <v>3.9033266205107195</v>
      </c>
      <c r="BJ270" s="5">
        <f t="shared" si="159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160"/>
        <v>0</v>
      </c>
      <c r="BO270" s="5">
        <f t="shared" si="161"/>
        <v>0</v>
      </c>
      <c r="BP270" s="5">
        <f t="shared" si="162"/>
        <v>0</v>
      </c>
      <c r="BQ270" s="5">
        <f t="shared" si="163"/>
        <v>0</v>
      </c>
      <c r="BR270" s="5">
        <f t="shared" si="164"/>
        <v>0</v>
      </c>
      <c r="BS270" s="5">
        <f t="shared" si="165"/>
        <v>0</v>
      </c>
      <c r="BT270" s="5">
        <f t="shared" si="166"/>
        <v>0</v>
      </c>
      <c r="BU270" s="5">
        <f t="shared" si="167"/>
        <v>0</v>
      </c>
      <c r="BV270" s="5">
        <f t="shared" si="168"/>
        <v>0</v>
      </c>
      <c r="BW270" s="5">
        <f t="shared" si="169"/>
        <v>-5000</v>
      </c>
      <c r="BX270" s="5">
        <f t="shared" si="170"/>
        <v>-5000</v>
      </c>
      <c r="BY270" s="5">
        <f t="shared" si="171"/>
        <v>-15000</v>
      </c>
      <c r="BZ270" s="5">
        <f>INDEX('Team forecast'!$R$3:$BH$26,MATCH($B270,'Team forecast'!$B$3:$B$26,0),MATCH(BZ$1,'Team forecast'!$R$2:$BH$2,0))*($BX270-(BY270+CH270)*0.01)</f>
        <v>-22280.357595599988</v>
      </c>
      <c r="CA270" s="5">
        <f>INDEX('Team forecast'!$R$3:$BH$26,MATCH($B270,'Team forecast'!$B$3:$B$26,0),MATCH(CA$1,'Team forecast'!$R$2:$BH$2,0))*($BX270-(BY270+BX270+CH270)*0.01)</f>
        <v>-10929.18101918016</v>
      </c>
      <c r="CB270" s="5">
        <f>INDEX('Team forecast'!$R$3:$BH$26,MATCH($B270,'Team forecast'!$B$3:$B$26,0),MATCH(CB$1,'Team forecast'!$R$2:$BH$2,0))*($BX270-(BY270+BX270*2+CH270)*0.01)</f>
        <v>-5274.7019230453916</v>
      </c>
      <c r="CC270" s="5">
        <f>INDEX('Team forecast'!$R$3:$BH$26,MATCH($B270,'Team forecast'!$B$3:$B$26,0),MATCH(CC$1,'Team forecast'!$R$2:$BH$2,0))*($BX270-(BY270+BX270*3+CH270)*0.01)</f>
        <v>-2400.2766518549415</v>
      </c>
      <c r="CD270" s="5">
        <f>+AK270+BD270*Cockpit!$C$3+BW270*Cockpit!$C$3^2+BZ270*Cockpit!$C$3^3+CA270*Cockpit!$C$3^4+CB270*Cockpit!$C$3^5+CC270*Cockpit!$C$3^6</f>
        <v>-20221.328391965177</v>
      </c>
      <c r="CE270" s="5"/>
      <c r="CF270" s="5"/>
      <c r="CG270" s="5">
        <v>0</v>
      </c>
      <c r="CH270" s="5">
        <f t="shared" si="172"/>
        <v>2500000</v>
      </c>
      <c r="CI270" s="5">
        <f t="shared" si="173"/>
        <v>2500000</v>
      </c>
      <c r="CJ270" s="1">
        <f t="shared" si="174"/>
        <v>-6.0000000000000001E-3</v>
      </c>
      <c r="CK270" s="5">
        <f>RANK(BY270,$BY$2:$BY$623)+COUNTIF($BY$2:$BY270,$BY270)-1</f>
        <v>499</v>
      </c>
      <c r="CL270" s="5">
        <f>RANK(CJ270,$CJ$2:$CJ$623)+COUNTIF($CJ$2:$CJ270,$CJ270)-1</f>
        <v>534</v>
      </c>
    </row>
    <row r="271" spans="1:90">
      <c r="A271" t="str">
        <f>Players!P272</f>
        <v>Artem Besedin</v>
      </c>
      <c r="B271" t="str">
        <f>Players!G272</f>
        <v>Ukraine</v>
      </c>
      <c r="C271" t="str">
        <f>Players!AB272</f>
        <v>Striker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2000000</v>
      </c>
      <c r="H271" s="16">
        <f>INDEX('Team forecast'!$B$2:$AO$26,MATCH('Master data'!$B271,'Team forecast'!$B$2:$B$26,0),MATCH('Master data'!H$1,'Team forecast'!$B$2:$AO$2,0))</f>
        <v>0.76028648339757388</v>
      </c>
      <c r="I271" s="16">
        <f>INDEX('Team forecast'!$B$2:$AO$26,MATCH('Master data'!$B271,'Team forecast'!$B$2:$B$26,0),MATCH('Master data'!I$1,'Team forecast'!$B$2:$AO$2,0))</f>
        <v>1.5712166996139025</v>
      </c>
      <c r="J271" s="16">
        <f>INDEX('Team forecast'!$B$2:$AO$26,MATCH('Master data'!$B271,'Team forecast'!$B$2:$B$26,0),MATCH('Master data'!J$1,'Team forecast'!$B$2:$AO$2,0))</f>
        <v>0.20779220779220781</v>
      </c>
      <c r="K271" s="16">
        <f>INDEX('Team forecast'!$B$2:$AO$26,MATCH('Master data'!$B271,'Team forecast'!$B$2:$B$26,0),MATCH('Master data'!K$1,'Team forecast'!$B$2:$AO$2,0))</f>
        <v>2.0548283335069564</v>
      </c>
      <c r="L271" s="16">
        <f>INDEX('Team forecast'!$B$2:$AO$26,MATCH('Master data'!$B271,'Team forecast'!$B$2:$B$26,0),MATCH('Master data'!L$1,'Team forecast'!$B$2:$AO$2,0))</f>
        <v>5.3509268021816121</v>
      </c>
      <c r="M271">
        <f>IF(Players!BC272=1,95,0)</f>
        <v>0</v>
      </c>
      <c r="N271" s="2">
        <f>Players!BN272</f>
        <v>0</v>
      </c>
      <c r="O271" s="2">
        <f>Players!BO272</f>
        <v>0</v>
      </c>
      <c r="P271" s="2">
        <f>Players!BP272</f>
        <v>0</v>
      </c>
      <c r="Q271" s="2">
        <f>Players!BQ272</f>
        <v>6.1475409836065573E-2</v>
      </c>
      <c r="R271" s="2">
        <f>Players!BR272</f>
        <v>0</v>
      </c>
      <c r="S271" s="2">
        <f t="shared" si="133"/>
        <v>0.76028648339757388</v>
      </c>
      <c r="T271" s="2">
        <f t="shared" si="134"/>
        <v>1.5712166996139025</v>
      </c>
      <c r="U271" s="16">
        <f>INDEX('Team forecast'!$B$2:$AO$26,MATCH('Master data'!$B271,'Team forecast'!$B$2:$B$26,0),MATCH('Master data'!U$1,'Team forecast'!$B$2:$AO$2,0))</f>
        <v>0.15584415584415581</v>
      </c>
      <c r="V271" s="16">
        <f>INDEX('Team forecast'!$B$2:$AO$26,MATCH('Master data'!$B271,'Team forecast'!$B$2:$B$26,0),MATCH('Master data'!V$1,'Team forecast'!$B$2:$AO$2,0))</f>
        <v>0.25974025974025972</v>
      </c>
      <c r="W271" s="16">
        <f>INDEX('Team forecast'!$B$2:$AO$26,MATCH('Master data'!$B271,'Team forecast'!$B$2:$B$26,0),MATCH('Master data'!W$1,'Team forecast'!$B$2:$AO$2,0))</f>
        <v>0.58441558441558439</v>
      </c>
      <c r="X271" s="5">
        <f t="shared" si="135"/>
        <v>-5000</v>
      </c>
      <c r="Y271" s="5">
        <f t="shared" si="136"/>
        <v>0</v>
      </c>
      <c r="Z271" s="5">
        <f t="shared" si="137"/>
        <v>0</v>
      </c>
      <c r="AA271" s="5">
        <f t="shared" si="138"/>
        <v>0</v>
      </c>
      <c r="AB271" s="5">
        <f t="shared" si="139"/>
        <v>0</v>
      </c>
      <c r="AC271" s="5">
        <f t="shared" si="140"/>
        <v>0</v>
      </c>
      <c r="AD271" s="5">
        <f t="shared" si="141"/>
        <v>0</v>
      </c>
      <c r="AE271" s="5">
        <f t="shared" si="142"/>
        <v>0</v>
      </c>
      <c r="AF271" s="5">
        <f t="shared" si="143"/>
        <v>0</v>
      </c>
      <c r="AG271" s="5">
        <f t="shared" si="144"/>
        <v>0</v>
      </c>
      <c r="AH271" s="5">
        <f t="shared" si="145"/>
        <v>0</v>
      </c>
      <c r="AI271" s="5">
        <f t="shared" si="146"/>
        <v>0</v>
      </c>
      <c r="AJ271" s="5">
        <f t="shared" si="147"/>
        <v>0</v>
      </c>
      <c r="AK271" s="5">
        <f>IFERROR(SUM(X271:AJ271),-5000)*((Cockpit!$C$3)^0)</f>
        <v>-5000</v>
      </c>
      <c r="AL271" s="16">
        <f>INDEX('Team forecast'!$B$2:$AO$26,MATCH('Master data'!$B271,'Team forecast'!$B$2:$B$26,0),MATCH('Master data'!AL$1,'Team forecast'!$B$2:$AO$2,0))</f>
        <v>1.5712166996139025</v>
      </c>
      <c r="AM271" s="16">
        <f>INDEX('Team forecast'!$B$2:$AO$26,MATCH('Master data'!$B271,'Team forecast'!$B$2:$B$26,0),MATCH('Master data'!AM$1,'Team forecast'!$B$2:$AO$2,0))</f>
        <v>0.76028648339757388</v>
      </c>
      <c r="AN271" s="16">
        <f>INDEX('Team forecast'!$B$2:$AO$26,MATCH('Master data'!$B271,'Team forecast'!$B$2:$B$26,0),MATCH('Master data'!AN$1,'Team forecast'!$B$2:$AO$2,0))</f>
        <v>0.46753246753246752</v>
      </c>
      <c r="AO271" s="16">
        <f>INDEX('Team forecast'!$B$2:$AO$26,MATCH('Master data'!$B271,'Team forecast'!$B$2:$B$26,0),MATCH('Master data'!AO$1,'Team forecast'!$B$2:$AO$2,0))</f>
        <v>4.2465316205781152</v>
      </c>
      <c r="AP271" s="16">
        <f>INDEX('Team forecast'!$B$2:$AO$26,MATCH('Master data'!$B271,'Team forecast'!$B$2:$B$26,0),MATCH('Master data'!AP$1,'Team forecast'!$B$2:$AO$2,0))</f>
        <v>2.5892273945078212</v>
      </c>
      <c r="AQ271" s="5">
        <f t="shared" si="148"/>
        <v>-5000</v>
      </c>
      <c r="AR271" s="5">
        <f>INDEX('Team forecast'!$B$2:$AO$26,MATCH('Master data'!$B271,'Team forecast'!$B$2:$B$26,0),MATCH('Master data'!AR$1,'Team forecast'!$B$2:$AO$2,0))*IF(X271&gt;0,25000,0)</f>
        <v>0</v>
      </c>
      <c r="AS271" s="16">
        <f>INDEX('Team forecast'!$B$2:$AO$26,MATCH('Master data'!$B271,'Team forecast'!$B$2:$B$26,0),MATCH('Master data'!AS$1,'Team forecast'!$B$2:$AO$2,0))*IF(X271&gt;0,5000,0)</f>
        <v>0</v>
      </c>
      <c r="AT271" s="16">
        <f>INDEX('Team forecast'!$B$2:$AO$26,MATCH('Master data'!$B271,'Team forecast'!$B$2:$B$26,0),MATCH('Master data'!AT$1,'Team forecast'!$B$2:$AO$2,0))*IF(X271&gt;0,-15000,0)</f>
        <v>0</v>
      </c>
      <c r="AU271" s="5">
        <f t="shared" si="149"/>
        <v>0</v>
      </c>
      <c r="AV271" s="5">
        <f t="shared" si="150"/>
        <v>0</v>
      </c>
      <c r="AW271" s="5">
        <f t="shared" si="151"/>
        <v>0</v>
      </c>
      <c r="AX271" s="5">
        <f t="shared" si="152"/>
        <v>0</v>
      </c>
      <c r="AY271" s="5">
        <f t="shared" si="153"/>
        <v>0</v>
      </c>
      <c r="AZ271" s="5">
        <f t="shared" si="154"/>
        <v>0</v>
      </c>
      <c r="BA271" s="5">
        <f t="shared" si="155"/>
        <v>0</v>
      </c>
      <c r="BB271" s="5">
        <f t="shared" si="156"/>
        <v>0</v>
      </c>
      <c r="BC271" s="5">
        <f t="shared" si="157"/>
        <v>0</v>
      </c>
      <c r="BD271" s="5">
        <f t="shared" si="158"/>
        <v>-5000</v>
      </c>
      <c r="BE271" s="16">
        <f>INDEX('Team forecast'!$B$2:$AO$26,MATCH('Master data'!$B271,'Team forecast'!$B$2:$B$26,0),MATCH('Master data'!BE$1,'Team forecast'!$B$2:$AO$2,0))</f>
        <v>1.1461513485277883</v>
      </c>
      <c r="BF271" s="16">
        <f>INDEX('Team forecast'!$B$2:$AO$26,MATCH('Master data'!$B271,'Team forecast'!$B$2:$B$26,0),MATCH('Master data'!BF$1,'Team forecast'!$B$2:$AO$2,0))</f>
        <v>1.1461513485277883</v>
      </c>
      <c r="BG271" s="16">
        <f>INDEX('Team forecast'!$B$2:$AO$26,MATCH('Master data'!$B271,'Team forecast'!$B$2:$B$26,0),MATCH('Master data'!BG$1,'Team forecast'!$B$2:$AO$2,0))</f>
        <v>0.31785774198959899</v>
      </c>
      <c r="BH271" s="16">
        <f>INDEX('Team forecast'!$B$2:$AO$26,MATCH('Master data'!$B271,'Team forecast'!$B$2:$B$26,0),MATCH('Master data'!BH$1,'Team forecast'!$B$2:$AO$2,0))</f>
        <v>3.0977063473724007</v>
      </c>
      <c r="BI271" s="16">
        <f>INDEX('Team forecast'!$B$2:$AO$26,MATCH('Master data'!$B271,'Team forecast'!$B$2:$B$26,0),MATCH('Master data'!BI$1,'Team forecast'!$B$2:$AO$2,0))</f>
        <v>3.9033266205107195</v>
      </c>
      <c r="BJ271" s="5">
        <f t="shared" si="159"/>
        <v>-5000</v>
      </c>
      <c r="BK271" s="5">
        <f>INDEX('Team forecast'!$R$3:$BH$26,MATCH($B271,'Team forecast'!$B$3:$B$26,0),MATCH(BK$1,'Team forecast'!$R$2:$BH$2,0))*IF($X271&gt;0,25000,0)</f>
        <v>0</v>
      </c>
      <c r="BL271" s="5">
        <f>INDEX('Team forecast'!$R$3:$BH$26,MATCH($B271,'Team forecast'!$B$3:$B$26,0),MATCH(BL$1,'Team forecast'!$R$2:$BH$2,0))*IF($X271&gt;0,5000,0)</f>
        <v>0</v>
      </c>
      <c r="BM271" s="5">
        <f>INDEX('Team forecast'!$R$3:$BH$26,MATCH($B271,'Team forecast'!$B$3:$B$26,0),MATCH(BM$1,'Team forecast'!$R$2:$BH$2,0))*IF($X271&gt;0,-15000,0)</f>
        <v>0</v>
      </c>
      <c r="BN271" s="5">
        <f t="shared" si="160"/>
        <v>0</v>
      </c>
      <c r="BO271" s="5">
        <f t="shared" si="161"/>
        <v>0</v>
      </c>
      <c r="BP271" s="5">
        <f t="shared" si="162"/>
        <v>0</v>
      </c>
      <c r="BQ271" s="5">
        <f t="shared" si="163"/>
        <v>0</v>
      </c>
      <c r="BR271" s="5">
        <f t="shared" si="164"/>
        <v>0</v>
      </c>
      <c r="BS271" s="5">
        <f t="shared" si="165"/>
        <v>0</v>
      </c>
      <c r="BT271" s="5">
        <f t="shared" si="166"/>
        <v>0</v>
      </c>
      <c r="BU271" s="5">
        <f t="shared" si="167"/>
        <v>0</v>
      </c>
      <c r="BV271" s="5">
        <f t="shared" si="168"/>
        <v>0</v>
      </c>
      <c r="BW271" s="5">
        <f t="shared" si="169"/>
        <v>-5000</v>
      </c>
      <c r="BX271" s="5">
        <f t="shared" si="170"/>
        <v>-5000</v>
      </c>
      <c r="BY271" s="5">
        <f t="shared" si="171"/>
        <v>-15000</v>
      </c>
      <c r="BZ271" s="5">
        <f>INDEX('Team forecast'!$R$3:$BH$26,MATCH($B271,'Team forecast'!$B$3:$B$26,0),MATCH(BZ$1,'Team forecast'!$R$2:$BH$2,0))*($BX271-(BY271+CH271)*0.01)</f>
        <v>-18548.304397007025</v>
      </c>
      <c r="CA271" s="5">
        <f>INDEX('Team forecast'!$R$3:$BH$26,MATCH($B271,'Team forecast'!$B$3:$B$26,0),MATCH(CA$1,'Team forecast'!$R$2:$BH$2,0))*($BX271-(BY271+BX271+CH271)*0.01)</f>
        <v>-9095.4258146197299</v>
      </c>
      <c r="CB271" s="5">
        <f>INDEX('Team forecast'!$R$3:$BH$26,MATCH($B271,'Team forecast'!$B$3:$B$26,0),MATCH(CB$1,'Team forecast'!$R$2:$BH$2,0))*($BX271-(BY271+BX271*2+CH271)*0.01)</f>
        <v>-4388.197398163813</v>
      </c>
      <c r="CC271" s="5">
        <f>INDEX('Team forecast'!$R$3:$BH$26,MATCH($B271,'Team forecast'!$B$3:$B$26,0),MATCH(CC$1,'Team forecast'!$R$2:$BH$2,0))*($BX271-(BY271+BX271*3+CH271)*0.01)</f>
        <v>-1996.1896734281838</v>
      </c>
      <c r="CD271" s="5">
        <f>+AK271+BD271*Cockpit!$C$3+BW271*Cockpit!$C$3^2+BZ271*Cockpit!$C$3^3+CA271*Cockpit!$C$3^4+CB271*Cockpit!$C$3^5+CC271*Cockpit!$C$3^6</f>
        <v>-18601.094864721385</v>
      </c>
      <c r="CE271" s="5"/>
      <c r="CF271" s="5"/>
      <c r="CG271" s="5">
        <v>0</v>
      </c>
      <c r="CH271" s="5">
        <f t="shared" si="172"/>
        <v>2000000</v>
      </c>
      <c r="CI271" s="5">
        <f t="shared" si="173"/>
        <v>2000000</v>
      </c>
      <c r="CJ271" s="1">
        <f t="shared" si="174"/>
        <v>-7.4999999999999997E-3</v>
      </c>
      <c r="CK271" s="5">
        <f>RANK(BY271,$BY$2:$BY$623)+COUNTIF($BY$2:$BY271,$BY271)-1</f>
        <v>500</v>
      </c>
      <c r="CL271" s="5">
        <f>RANK(CJ271,$CJ$2:$CJ$623)+COUNTIF($CJ$2:$CJ271,$CJ271)-1</f>
        <v>581</v>
      </c>
    </row>
    <row r="272" spans="1:90">
      <c r="A272" t="str">
        <f>Players!P273</f>
        <v>Kieran Tierney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3000000</v>
      </c>
      <c r="H272" s="16">
        <f>INDEX('Team forecast'!$B$2:$AO$26,MATCH('Master data'!$B272,'Team forecast'!$B$2:$B$26,0),MATCH('Master data'!H$1,'Team forecast'!$B$2:$AO$2,0))</f>
        <v>1.0237318402178264</v>
      </c>
      <c r="I272" s="16">
        <f>INDEX('Team forecast'!$B$2:$AO$26,MATCH('Master data'!$B272,'Team forecast'!$B$2:$B$26,0),MATCH('Master data'!I$1,'Team forecast'!$B$2:$AO$2,0))</f>
        <v>1.0683489057066333</v>
      </c>
      <c r="J272" s="16">
        <f>INDEX('Team forecast'!$B$2:$AO$26,MATCH('Master data'!$B272,'Team forecast'!$B$2:$B$26,0),MATCH('Master data'!J$1,'Team forecast'!$B$2:$AO$2,0))</f>
        <v>0.34357532462169699</v>
      </c>
      <c r="K272" s="16">
        <f>INDEX('Team forecast'!$B$2:$AO$26,MATCH('Master data'!$B272,'Team forecast'!$B$2:$B$26,0),MATCH('Master data'!K$1,'Team forecast'!$B$2:$AO$2,0))</f>
        <v>3.360735839098925</v>
      </c>
      <c r="L272" s="16">
        <f>INDEX('Team forecast'!$B$2:$AO$26,MATCH('Master data'!$B272,'Team forecast'!$B$2:$B$26,0),MATCH('Master data'!L$1,'Team forecast'!$B$2:$AO$2,0))</f>
        <v>2.9193919294978055</v>
      </c>
      <c r="M272">
        <f>IF(Players!BC273=1,95,0)</f>
        <v>95</v>
      </c>
      <c r="N272" s="2">
        <f>Players!BN273</f>
        <v>5.7044095665204075E-2</v>
      </c>
      <c r="O272" s="2">
        <f>Players!BO273</f>
        <v>0.10804853194024711</v>
      </c>
      <c r="P272" s="2">
        <f>Players!BP273</f>
        <v>6.9880976317613155E-2</v>
      </c>
      <c r="Q272" s="2">
        <f>Players!BQ273</f>
        <v>7.822685788787484E-2</v>
      </c>
      <c r="R272" s="2">
        <f>Players!BR273</f>
        <v>0</v>
      </c>
      <c r="S272" s="2">
        <f t="shared" si="133"/>
        <v>1.0237318402178264</v>
      </c>
      <c r="T272" s="2">
        <f t="shared" si="134"/>
        <v>1.0683489057066333</v>
      </c>
      <c r="U272" s="16">
        <f>INDEX('Team forecast'!$B$2:$AO$26,MATCH('Master data'!$B272,'Team forecast'!$B$2:$B$26,0),MATCH('Master data'!U$1,'Team forecast'!$B$2:$AO$2,0))</f>
        <v>0.32580418714126441</v>
      </c>
      <c r="V272" s="16">
        <f>INDEX('Team forecast'!$B$2:$AO$26,MATCH('Master data'!$B272,'Team forecast'!$B$2:$B$26,0),MATCH('Master data'!V$1,'Team forecast'!$B$2:$AO$2,0))</f>
        <v>0.31494404756988892</v>
      </c>
      <c r="W272" s="16">
        <f>INDEX('Team forecast'!$B$2:$AO$26,MATCH('Master data'!$B272,'Team forecast'!$B$2:$B$26,0),MATCH('Master data'!W$1,'Team forecast'!$B$2:$AO$2,0))</f>
        <v>0.35925176528884672</v>
      </c>
      <c r="X272" s="5">
        <f t="shared" si="135"/>
        <v>7000</v>
      </c>
      <c r="Y272" s="5">
        <f t="shared" si="136"/>
        <v>8145.1046785316103</v>
      </c>
      <c r="Z272" s="5">
        <f t="shared" si="137"/>
        <v>1574.7202378494446</v>
      </c>
      <c r="AA272" s="5">
        <f t="shared" si="138"/>
        <v>-5388.7764793327005</v>
      </c>
      <c r="AB272" s="5">
        <f t="shared" si="139"/>
        <v>8759.6785543351652</v>
      </c>
      <c r="AC272" s="5">
        <f t="shared" si="140"/>
        <v>5530.636121801188</v>
      </c>
      <c r="AD272" s="5">
        <f t="shared" si="141"/>
        <v>2348.5150158182573</v>
      </c>
      <c r="AE272" s="5">
        <f t="shared" si="142"/>
        <v>17178.76623108485</v>
      </c>
      <c r="AF272" s="5">
        <f t="shared" si="143"/>
        <v>0</v>
      </c>
      <c r="AG272" s="5">
        <f t="shared" si="144"/>
        <v>-1564.5371577574967</v>
      </c>
      <c r="AH272" s="5">
        <f t="shared" si="145"/>
        <v>0</v>
      </c>
      <c r="AI272" s="5">
        <f t="shared" si="146"/>
        <v>10237.318402178264</v>
      </c>
      <c r="AJ272" s="5">
        <f t="shared" si="147"/>
        <v>-8546.7912456530667</v>
      </c>
      <c r="AK272" s="5">
        <f>IFERROR(SUM(X272:AJ272),-5000)*((Cockpit!$C$3)^0)</f>
        <v>45274.63435885551</v>
      </c>
      <c r="AL272" s="16">
        <f>INDEX('Team forecast'!$B$2:$AO$26,MATCH('Master data'!$B272,'Team forecast'!$B$2:$B$26,0),MATCH('Master data'!AL$1,'Team forecast'!$B$2:$AO$2,0))</f>
        <v>0.66520361079548807</v>
      </c>
      <c r="AM272" s="16">
        <f>INDEX('Team forecast'!$B$2:$AO$26,MATCH('Master data'!$B272,'Team forecast'!$B$2:$B$26,0),MATCH('Master data'!AM$1,'Team forecast'!$B$2:$AO$2,0))</f>
        <v>2.0067977929974719</v>
      </c>
      <c r="AN272" s="16">
        <f>INDEX('Team forecast'!$B$2:$AO$26,MATCH('Master data'!$B272,'Team forecast'!$B$2:$B$26,0),MATCH('Master data'!AN$1,'Team forecast'!$B$2:$AO$2,0))</f>
        <v>0.1344184218435715</v>
      </c>
      <c r="AO272" s="16">
        <f>INDEX('Team forecast'!$B$2:$AO$26,MATCH('Master data'!$B272,'Team forecast'!$B$2:$B$26,0),MATCH('Master data'!AO$1,'Team forecast'!$B$2:$AO$2,0))</f>
        <v>2.1837492273589256</v>
      </c>
      <c r="AP272" s="16">
        <f>INDEX('Team forecast'!$B$2:$AO$26,MATCH('Master data'!$B272,'Team forecast'!$B$2:$B$26,0),MATCH('Master data'!AP$1,'Team forecast'!$B$2:$AO$2,0))</f>
        <v>5.4838164289930909</v>
      </c>
      <c r="AQ272" s="5">
        <f t="shared" si="148"/>
        <v>7000</v>
      </c>
      <c r="AR272" s="5">
        <f>INDEX('Team forecast'!$B$2:$AO$26,MATCH('Master data'!$B272,'Team forecast'!$B$2:$B$26,0),MATCH('Master data'!AR$1,'Team forecast'!$B$2:$AO$2,0))*IF(X272&gt;0,25000,0)</f>
        <v>2476.1288234342123</v>
      </c>
      <c r="AS272" s="16">
        <f>INDEX('Team forecast'!$B$2:$AO$26,MATCH('Master data'!$B272,'Team forecast'!$B$2:$B$26,0),MATCH('Master data'!AS$1,'Team forecast'!$B$2:$AO$2,0))*IF(X272&gt;0,5000,0)</f>
        <v>1045.4766143388899</v>
      </c>
      <c r="AT272" s="16">
        <f>INDEX('Team forecast'!$B$2:$AO$26,MATCH('Master data'!$B272,'Team forecast'!$B$2:$B$26,0),MATCH('Master data'!AT$1,'Team forecast'!$B$2:$AO$2,0))*IF(X272&gt;0,-15000,0)</f>
        <v>-10377.892862922801</v>
      </c>
      <c r="AU272" s="5">
        <f t="shared" si="149"/>
        <v>5691.8907616585502</v>
      </c>
      <c r="AV272" s="5">
        <f t="shared" si="150"/>
        <v>3593.7136793901996</v>
      </c>
      <c r="AW272" s="5">
        <f t="shared" si="151"/>
        <v>1526.0252804067511</v>
      </c>
      <c r="AX272" s="5">
        <f t="shared" si="152"/>
        <v>6720.9210921785752</v>
      </c>
      <c r="AY272" s="5">
        <f t="shared" si="153"/>
        <v>0</v>
      </c>
      <c r="AZ272" s="5">
        <f t="shared" si="154"/>
        <v>-1564.5371577574967</v>
      </c>
      <c r="BA272" s="5">
        <f t="shared" si="155"/>
        <v>0</v>
      </c>
      <c r="BB272" s="5">
        <f t="shared" si="156"/>
        <v>6652.0361079548802</v>
      </c>
      <c r="BC272" s="5">
        <f t="shared" si="157"/>
        <v>-16054.382343979774</v>
      </c>
      <c r="BD272" s="5">
        <f t="shared" si="158"/>
        <v>6709.379994701987</v>
      </c>
      <c r="BE272" s="16">
        <f>INDEX('Team forecast'!$B$2:$AO$26,MATCH('Master data'!$B272,'Team forecast'!$B$2:$B$26,0),MATCH('Master data'!BE$1,'Team forecast'!$B$2:$AO$2,0))</f>
        <v>0.82681690399773144</v>
      </c>
      <c r="BF272" s="16">
        <f>INDEX('Team forecast'!$B$2:$AO$26,MATCH('Master data'!$B272,'Team forecast'!$B$2:$B$26,0),MATCH('Master data'!BF$1,'Team forecast'!$B$2:$AO$2,0))</f>
        <v>1.5039270856478595</v>
      </c>
      <c r="BG272" s="16">
        <f>INDEX('Team forecast'!$B$2:$AO$26,MATCH('Master data'!$B272,'Team forecast'!$B$2:$B$26,0),MATCH('Master data'!BG$1,'Team forecast'!$B$2:$AO$2,0))</f>
        <v>0.22225562720571071</v>
      </c>
      <c r="BH272" s="16">
        <f>INDEX('Team forecast'!$B$2:$AO$26,MATCH('Master data'!$B272,'Team forecast'!$B$2:$B$26,0),MATCH('Master data'!BH$1,'Team forecast'!$B$2:$AO$2,0))</f>
        <v>2.71429791716427</v>
      </c>
      <c r="BI272" s="16">
        <f>INDEX('Team forecast'!$B$2:$AO$26,MATCH('Master data'!$B272,'Team forecast'!$B$2:$B$26,0),MATCH('Master data'!BI$1,'Team forecast'!$B$2:$AO$2,0))</f>
        <v>4.1096617153265038</v>
      </c>
      <c r="BJ272" s="5">
        <f t="shared" si="159"/>
        <v>7000</v>
      </c>
      <c r="BK272" s="5">
        <f>INDEX('Team forecast'!$R$3:$BH$26,MATCH($B272,'Team forecast'!$B$3:$B$26,0),MATCH(BK$1,'Team forecast'!$R$2:$BH$2,0))*IF($X272&gt;0,25000,0)</f>
        <v>5287.7300318721273</v>
      </c>
      <c r="BL272" s="5">
        <f>INDEX('Team forecast'!$R$3:$BH$26,MATCH($B272,'Team forecast'!$B$3:$B$26,0),MATCH(BL$1,'Team forecast'!$R$2:$BH$2,0))*IF($X272&gt;0,5000,0)</f>
        <v>1355.4462898601791</v>
      </c>
      <c r="BM272" s="5">
        <f>INDEX('Team forecast'!$R$3:$BH$26,MATCH($B272,'Team forecast'!$B$3:$B$26,0),MATCH(BM$1,'Team forecast'!$R$2:$BH$2,0))*IF($X272&gt;0,-15000,0)</f>
        <v>-7761.0231112961865</v>
      </c>
      <c r="BN272" s="5">
        <f t="shared" si="160"/>
        <v>7074.7533853881669</v>
      </c>
      <c r="BO272" s="5">
        <f t="shared" si="161"/>
        <v>4466.8176330167553</v>
      </c>
      <c r="BP272" s="5">
        <f t="shared" si="162"/>
        <v>1896.7778846830308</v>
      </c>
      <c r="BQ272" s="5">
        <f t="shared" si="163"/>
        <v>11112.781360285535</v>
      </c>
      <c r="BR272" s="5">
        <f t="shared" si="164"/>
        <v>0</v>
      </c>
      <c r="BS272" s="5">
        <f t="shared" si="165"/>
        <v>-1564.5371577574967</v>
      </c>
      <c r="BT272" s="5">
        <f t="shared" si="166"/>
        <v>0</v>
      </c>
      <c r="BU272" s="5">
        <f t="shared" si="167"/>
        <v>8268.1690399773142</v>
      </c>
      <c r="BV272" s="5">
        <f t="shared" si="168"/>
        <v>-12031.416685182876</v>
      </c>
      <c r="BW272" s="5">
        <f t="shared" si="169"/>
        <v>25105.498670846544</v>
      </c>
      <c r="BX272" s="5">
        <f t="shared" si="170"/>
        <v>25696.504341468011</v>
      </c>
      <c r="BY272" s="5">
        <f t="shared" si="171"/>
        <v>77089.513024404034</v>
      </c>
      <c r="BZ272" s="5">
        <f>INDEX('Team forecast'!$R$3:$BH$26,MATCH($B272,'Team forecast'!$B$3:$B$26,0),MATCH(BZ$1,'Team forecast'!$R$2:$BH$2,0))*($BX272-(BY272+CH272)*0.01)</f>
        <v>-2093.9462657610306</v>
      </c>
      <c r="CA272" s="5">
        <f>INDEX('Team forecast'!$R$3:$BH$26,MATCH($B272,'Team forecast'!$B$3:$B$26,0),MATCH(CA$1,'Team forecast'!$R$2:$BH$2,0))*($BX272-(BY272+BX272+CH272)*0.01)</f>
        <v>-1080.6515720036609</v>
      </c>
      <c r="CB272" s="5">
        <f>INDEX('Team forecast'!$R$3:$BH$26,MATCH($B272,'Team forecast'!$B$3:$B$26,0),MATCH(CB$1,'Team forecast'!$R$2:$BH$2,0))*($BX272-(BY272+BX272*2+CH272)*0.01)</f>
        <v>-547.28931693841275</v>
      </c>
      <c r="CC272" s="5">
        <f>INDEX('Team forecast'!$R$3:$BH$26,MATCH($B272,'Team forecast'!$B$3:$B$26,0),MATCH(CC$1,'Team forecast'!$R$2:$BH$2,0))*($BX272-(BY272+BX272*3+CH272)*0.01)</f>
        <v>-260.49368520066935</v>
      </c>
      <c r="CD272" s="5">
        <f>+AK272+BD272*Cockpit!$C$3+BW272*Cockpit!$C$3^2+BZ272*Cockpit!$C$3^3+CA272*Cockpit!$C$3^4+CB272*Cockpit!$C$3^5+CC272*Cockpit!$C$3^6</f>
        <v>59976.723051211622</v>
      </c>
      <c r="CE272" s="5"/>
      <c r="CF272" s="5"/>
      <c r="CG272" s="5">
        <v>0</v>
      </c>
      <c r="CH272" s="5">
        <f t="shared" si="172"/>
        <v>3000000</v>
      </c>
      <c r="CI272" s="5">
        <f t="shared" si="173"/>
        <v>3000000</v>
      </c>
      <c r="CJ272" s="1">
        <f t="shared" si="174"/>
        <v>2.5696504341468012E-2</v>
      </c>
      <c r="CK272" s="5">
        <f>RANK(BY272,$BY$2:$BY$623)+COUNTIF($BY$2:$BY272,$BY272)-1</f>
        <v>222</v>
      </c>
      <c r="CL272" s="5">
        <f>RANK(CJ272,$CJ$2:$CJ$623)+COUNTIF($CJ$2:$CJ272,$CJ272)-1</f>
        <v>196</v>
      </c>
    </row>
    <row r="273" spans="1:90">
      <c r="A273" t="str">
        <f>Players!P274</f>
        <v>Andrew Robertson</v>
      </c>
      <c r="B273" t="str">
        <f>Players!G274</f>
        <v>Scotland</v>
      </c>
      <c r="C273" t="str">
        <f>Players!AB274</f>
        <v>Defense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3500000</v>
      </c>
      <c r="H273" s="16">
        <f>INDEX('Team forecast'!$B$2:$AO$26,MATCH('Master data'!$B273,'Team forecast'!$B$2:$B$26,0),MATCH('Master data'!H$1,'Team forecast'!$B$2:$AO$2,0))</f>
        <v>1.0237318402178264</v>
      </c>
      <c r="I273" s="16">
        <f>INDEX('Team forecast'!$B$2:$AO$26,MATCH('Master data'!$B273,'Team forecast'!$B$2:$B$26,0),MATCH('Master data'!I$1,'Team forecast'!$B$2:$AO$2,0))</f>
        <v>1.0683489057066333</v>
      </c>
      <c r="J273" s="16">
        <f>INDEX('Team forecast'!$B$2:$AO$26,MATCH('Master data'!$B273,'Team forecast'!$B$2:$B$26,0),MATCH('Master data'!J$1,'Team forecast'!$B$2:$AO$2,0))</f>
        <v>0.34357532462169699</v>
      </c>
      <c r="K273" s="16">
        <f>INDEX('Team forecast'!$B$2:$AO$26,MATCH('Master data'!$B273,'Team forecast'!$B$2:$B$26,0),MATCH('Master data'!K$1,'Team forecast'!$B$2:$AO$2,0))</f>
        <v>3.360735839098925</v>
      </c>
      <c r="L273" s="16">
        <f>INDEX('Team forecast'!$B$2:$AO$26,MATCH('Master data'!$B273,'Team forecast'!$B$2:$B$26,0),MATCH('Master data'!L$1,'Team forecast'!$B$2:$AO$2,0))</f>
        <v>2.9193919294978055</v>
      </c>
      <c r="M273">
        <f>IF(Players!BC274=1,95,0)</f>
        <v>95</v>
      </c>
      <c r="N273" s="2">
        <f>Players!BN274</f>
        <v>5.2036499322212812E-2</v>
      </c>
      <c r="O273" s="2">
        <f>Players!BO274</f>
        <v>0.1171422873992146</v>
      </c>
      <c r="P273" s="2">
        <f>Players!BP274</f>
        <v>7.9170914085094968E-2</v>
      </c>
      <c r="Q273" s="2">
        <f>Players!BQ274</f>
        <v>2.6587887740029539E-2</v>
      </c>
      <c r="R273" s="2">
        <f>Players!BR274</f>
        <v>0</v>
      </c>
      <c r="S273" s="2">
        <f t="shared" si="133"/>
        <v>1.0237318402178264</v>
      </c>
      <c r="T273" s="2">
        <f t="shared" si="134"/>
        <v>1.0683489057066333</v>
      </c>
      <c r="U273" s="16">
        <f>INDEX('Team forecast'!$B$2:$AO$26,MATCH('Master data'!$B273,'Team forecast'!$B$2:$B$26,0),MATCH('Master data'!U$1,'Team forecast'!$B$2:$AO$2,0))</f>
        <v>0.32580418714126441</v>
      </c>
      <c r="V273" s="16">
        <f>INDEX('Team forecast'!$B$2:$AO$26,MATCH('Master data'!$B273,'Team forecast'!$B$2:$B$26,0),MATCH('Master data'!V$1,'Team forecast'!$B$2:$AO$2,0))</f>
        <v>0.31494404756988892</v>
      </c>
      <c r="W273" s="16">
        <f>INDEX('Team forecast'!$B$2:$AO$26,MATCH('Master data'!$B273,'Team forecast'!$B$2:$B$26,0),MATCH('Master data'!W$1,'Team forecast'!$B$2:$AO$2,0))</f>
        <v>0.35925176528884672</v>
      </c>
      <c r="X273" s="5">
        <f t="shared" si="135"/>
        <v>7000</v>
      </c>
      <c r="Y273" s="5">
        <f t="shared" si="136"/>
        <v>8145.1046785316103</v>
      </c>
      <c r="Z273" s="5">
        <f t="shared" si="137"/>
        <v>1574.7202378494446</v>
      </c>
      <c r="AA273" s="5">
        <f t="shared" si="138"/>
        <v>-5388.7764793327005</v>
      </c>
      <c r="AB273" s="5">
        <f t="shared" si="139"/>
        <v>7990.7131814433887</v>
      </c>
      <c r="AC273" s="5">
        <f t="shared" si="140"/>
        <v>5996.1144723261732</v>
      </c>
      <c r="AD273" s="5">
        <f t="shared" si="141"/>
        <v>2660.7252838000054</v>
      </c>
      <c r="AE273" s="5">
        <f t="shared" si="142"/>
        <v>17178.76623108485</v>
      </c>
      <c r="AF273" s="5">
        <f t="shared" si="143"/>
        <v>0</v>
      </c>
      <c r="AG273" s="5">
        <f t="shared" si="144"/>
        <v>-531.75775480059076</v>
      </c>
      <c r="AH273" s="5">
        <f t="shared" si="145"/>
        <v>0</v>
      </c>
      <c r="AI273" s="5">
        <f t="shared" si="146"/>
        <v>10237.318402178264</v>
      </c>
      <c r="AJ273" s="5">
        <f t="shared" si="147"/>
        <v>-8546.7912456530667</v>
      </c>
      <c r="AK273" s="5">
        <f>IFERROR(SUM(X273:AJ273),-5000)*((Cockpit!$C$3)^0)</f>
        <v>46316.13700742738</v>
      </c>
      <c r="AL273" s="16">
        <f>INDEX('Team forecast'!$B$2:$AO$26,MATCH('Master data'!$B273,'Team forecast'!$B$2:$B$26,0),MATCH('Master data'!AL$1,'Team forecast'!$B$2:$AO$2,0))</f>
        <v>0.66520361079548807</v>
      </c>
      <c r="AM273" s="16">
        <f>INDEX('Team forecast'!$B$2:$AO$26,MATCH('Master data'!$B273,'Team forecast'!$B$2:$B$26,0),MATCH('Master data'!AM$1,'Team forecast'!$B$2:$AO$2,0))</f>
        <v>2.0067977929974719</v>
      </c>
      <c r="AN273" s="16">
        <f>INDEX('Team forecast'!$B$2:$AO$26,MATCH('Master data'!$B273,'Team forecast'!$B$2:$B$26,0),MATCH('Master data'!AN$1,'Team forecast'!$B$2:$AO$2,0))</f>
        <v>0.1344184218435715</v>
      </c>
      <c r="AO273" s="16">
        <f>INDEX('Team forecast'!$B$2:$AO$26,MATCH('Master data'!$B273,'Team forecast'!$B$2:$B$26,0),MATCH('Master data'!AO$1,'Team forecast'!$B$2:$AO$2,0))</f>
        <v>2.1837492273589256</v>
      </c>
      <c r="AP273" s="16">
        <f>INDEX('Team forecast'!$B$2:$AO$26,MATCH('Master data'!$B273,'Team forecast'!$B$2:$B$26,0),MATCH('Master data'!AP$1,'Team forecast'!$B$2:$AO$2,0))</f>
        <v>5.4838164289930909</v>
      </c>
      <c r="AQ273" s="5">
        <f t="shared" si="148"/>
        <v>7000</v>
      </c>
      <c r="AR273" s="5">
        <f>INDEX('Team forecast'!$B$2:$AO$26,MATCH('Master data'!$B273,'Team forecast'!$B$2:$B$26,0),MATCH('Master data'!AR$1,'Team forecast'!$B$2:$AO$2,0))*IF(X273&gt;0,25000,0)</f>
        <v>2476.1288234342123</v>
      </c>
      <c r="AS273" s="16">
        <f>INDEX('Team forecast'!$B$2:$AO$26,MATCH('Master data'!$B273,'Team forecast'!$B$2:$B$26,0),MATCH('Master data'!AS$1,'Team forecast'!$B$2:$AO$2,0))*IF(X273&gt;0,5000,0)</f>
        <v>1045.4766143388899</v>
      </c>
      <c r="AT273" s="16">
        <f>INDEX('Team forecast'!$B$2:$AO$26,MATCH('Master data'!$B273,'Team forecast'!$B$2:$B$26,0),MATCH('Master data'!AT$1,'Team forecast'!$B$2:$AO$2,0))*IF(X273&gt;0,-15000,0)</f>
        <v>-10377.892862922801</v>
      </c>
      <c r="AU273" s="5">
        <f t="shared" si="149"/>
        <v>5192.2300863439395</v>
      </c>
      <c r="AV273" s="5">
        <f t="shared" si="150"/>
        <v>3896.1736277400178</v>
      </c>
      <c r="AW273" s="5">
        <f t="shared" si="151"/>
        <v>1728.89422462626</v>
      </c>
      <c r="AX273" s="5">
        <f t="shared" si="152"/>
        <v>6720.9210921785752</v>
      </c>
      <c r="AY273" s="5">
        <f t="shared" si="153"/>
        <v>0</v>
      </c>
      <c r="AZ273" s="5">
        <f t="shared" si="154"/>
        <v>-531.75775480059076</v>
      </c>
      <c r="BA273" s="5">
        <f t="shared" si="155"/>
        <v>0</v>
      </c>
      <c r="BB273" s="5">
        <f t="shared" si="156"/>
        <v>6652.0361079548802</v>
      </c>
      <c r="BC273" s="5">
        <f t="shared" si="157"/>
        <v>-16054.382343979774</v>
      </c>
      <c r="BD273" s="5">
        <f t="shared" si="158"/>
        <v>7747.8276149136109</v>
      </c>
      <c r="BE273" s="16">
        <f>INDEX('Team forecast'!$B$2:$AO$26,MATCH('Master data'!$B273,'Team forecast'!$B$2:$B$26,0),MATCH('Master data'!BE$1,'Team forecast'!$B$2:$AO$2,0))</f>
        <v>0.82681690399773144</v>
      </c>
      <c r="BF273" s="16">
        <f>INDEX('Team forecast'!$B$2:$AO$26,MATCH('Master data'!$B273,'Team forecast'!$B$2:$B$26,0),MATCH('Master data'!BF$1,'Team forecast'!$B$2:$AO$2,0))</f>
        <v>1.5039270856478595</v>
      </c>
      <c r="BG273" s="16">
        <f>INDEX('Team forecast'!$B$2:$AO$26,MATCH('Master data'!$B273,'Team forecast'!$B$2:$B$26,0),MATCH('Master data'!BG$1,'Team forecast'!$B$2:$AO$2,0))</f>
        <v>0.22225562720571071</v>
      </c>
      <c r="BH273" s="16">
        <f>INDEX('Team forecast'!$B$2:$AO$26,MATCH('Master data'!$B273,'Team forecast'!$B$2:$B$26,0),MATCH('Master data'!BH$1,'Team forecast'!$B$2:$AO$2,0))</f>
        <v>2.71429791716427</v>
      </c>
      <c r="BI273" s="16">
        <f>INDEX('Team forecast'!$B$2:$AO$26,MATCH('Master data'!$B273,'Team forecast'!$B$2:$B$26,0),MATCH('Master data'!BI$1,'Team forecast'!$B$2:$AO$2,0))</f>
        <v>4.1096617153265038</v>
      </c>
      <c r="BJ273" s="5">
        <f t="shared" si="159"/>
        <v>7000</v>
      </c>
      <c r="BK273" s="5">
        <f>INDEX('Team forecast'!$R$3:$BH$26,MATCH($B273,'Team forecast'!$B$3:$B$26,0),MATCH(BK$1,'Team forecast'!$R$2:$BH$2,0))*IF($X273&gt;0,25000,0)</f>
        <v>5287.7300318721273</v>
      </c>
      <c r="BL273" s="5">
        <f>INDEX('Team forecast'!$R$3:$BH$26,MATCH($B273,'Team forecast'!$B$3:$B$26,0),MATCH(BL$1,'Team forecast'!$R$2:$BH$2,0))*IF($X273&gt;0,5000,0)</f>
        <v>1355.4462898601791</v>
      </c>
      <c r="BM273" s="5">
        <f>INDEX('Team forecast'!$R$3:$BH$26,MATCH($B273,'Team forecast'!$B$3:$B$26,0),MATCH(BM$1,'Team forecast'!$R$2:$BH$2,0))*IF($X273&gt;0,-15000,0)</f>
        <v>-7761.0231112961865</v>
      </c>
      <c r="BN273" s="5">
        <f t="shared" si="160"/>
        <v>6453.6985896708065</v>
      </c>
      <c r="BO273" s="5">
        <f t="shared" si="161"/>
        <v>4842.7611697315542</v>
      </c>
      <c r="BP273" s="5">
        <f t="shared" si="162"/>
        <v>2148.9344720116464</v>
      </c>
      <c r="BQ273" s="5">
        <f t="shared" si="163"/>
        <v>11112.781360285535</v>
      </c>
      <c r="BR273" s="5">
        <f t="shared" si="164"/>
        <v>0</v>
      </c>
      <c r="BS273" s="5">
        <f t="shared" si="165"/>
        <v>-531.75775480059076</v>
      </c>
      <c r="BT273" s="5">
        <f t="shared" si="166"/>
        <v>0</v>
      </c>
      <c r="BU273" s="5">
        <f t="shared" si="167"/>
        <v>8268.1690399773142</v>
      </c>
      <c r="BV273" s="5">
        <f t="shared" si="168"/>
        <v>-12031.416685182876</v>
      </c>
      <c r="BW273" s="5">
        <f t="shared" si="169"/>
        <v>26145.323402129507</v>
      </c>
      <c r="BX273" s="5">
        <f t="shared" si="170"/>
        <v>26736.429341490166</v>
      </c>
      <c r="BY273" s="5">
        <f t="shared" si="171"/>
        <v>80209.288024470501</v>
      </c>
      <c r="BZ273" s="5">
        <f>INDEX('Team forecast'!$R$3:$BH$26,MATCH($B273,'Team forecast'!$B$3:$B$26,0),MATCH(BZ$1,'Team forecast'!$R$2:$BH$2,0))*($BX273-(BY273+CH273)*0.01)</f>
        <v>-3740.944106159352</v>
      </c>
      <c r="CA273" s="5">
        <f>INDEX('Team forecast'!$R$3:$BH$26,MATCH($B273,'Team forecast'!$B$3:$B$26,0),MATCH(CA$1,'Team forecast'!$R$2:$BH$2,0))*($BX273-(BY273+BX273+CH273)*0.01)</f>
        <v>-1891.7797865770081</v>
      </c>
      <c r="CB273" s="5">
        <f>INDEX('Team forecast'!$R$3:$BH$26,MATCH($B273,'Team forecast'!$B$3:$B$26,0),MATCH(CB$1,'Team forecast'!$R$2:$BH$2,0))*($BX273-(BY273+BX273*2+CH273)*0.01)</f>
        <v>-940.20944138838092</v>
      </c>
      <c r="CC273" s="5">
        <f>INDEX('Team forecast'!$R$3:$BH$26,MATCH($B273,'Team forecast'!$B$3:$B$26,0),MATCH(CC$1,'Team forecast'!$R$2:$BH$2,0))*($BX273-(BY273+BX273*3+CH273)*0.01)</f>
        <v>-439.75406333563961</v>
      </c>
      <c r="CD273" s="5">
        <f>+AK273+BD273*Cockpit!$C$3+BW273*Cockpit!$C$3^2+BZ273*Cockpit!$C$3^3+CA273*Cockpit!$C$3^4+CB273*Cockpit!$C$3^5+CC273*Cockpit!$C$3^6</f>
        <v>61456.966116499665</v>
      </c>
      <c r="CE273" s="5"/>
      <c r="CF273" s="5"/>
      <c r="CG273" s="5">
        <v>0</v>
      </c>
      <c r="CH273" s="5">
        <f t="shared" si="172"/>
        <v>3500000</v>
      </c>
      <c r="CI273" s="5">
        <f t="shared" si="173"/>
        <v>3500000</v>
      </c>
      <c r="CJ273" s="1">
        <f t="shared" si="174"/>
        <v>2.2916939435563E-2</v>
      </c>
      <c r="CK273" s="5">
        <f>RANK(BY273,$BY$2:$BY$623)+COUNTIF($BY$2:$BY273,$BY273)-1</f>
        <v>213</v>
      </c>
      <c r="CL273" s="5">
        <f>RANK(CJ273,$CJ$2:$CJ$623)+COUNTIF($CJ$2:$CJ273,$CJ273)-1</f>
        <v>234</v>
      </c>
    </row>
    <row r="274" spans="1:90">
      <c r="A274" t="str">
        <f>Players!P275</f>
        <v>Ché Adams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3000000</v>
      </c>
      <c r="H274" s="16">
        <f>INDEX('Team forecast'!$B$2:$AO$26,MATCH('Master data'!$B274,'Team forecast'!$B$2:$B$26,0),MATCH('Master data'!H$1,'Team forecast'!$B$2:$AO$2,0))</f>
        <v>1.0237318402178264</v>
      </c>
      <c r="I274" s="16">
        <f>INDEX('Team forecast'!$B$2:$AO$26,MATCH('Master data'!$B274,'Team forecast'!$B$2:$B$26,0),MATCH('Master data'!I$1,'Team forecast'!$B$2:$AO$2,0))</f>
        <v>1.0683489057066333</v>
      </c>
      <c r="J274" s="16">
        <f>INDEX('Team forecast'!$B$2:$AO$26,MATCH('Master data'!$B274,'Team forecast'!$B$2:$B$26,0),MATCH('Master data'!J$1,'Team forecast'!$B$2:$AO$2,0))</f>
        <v>0.34357532462169699</v>
      </c>
      <c r="K274" s="16">
        <f>INDEX('Team forecast'!$B$2:$AO$26,MATCH('Master data'!$B274,'Team forecast'!$B$2:$B$26,0),MATCH('Master data'!K$1,'Team forecast'!$B$2:$AO$2,0))</f>
        <v>3.360735839098925</v>
      </c>
      <c r="L274" s="16">
        <f>INDEX('Team forecast'!$B$2:$AO$26,MATCH('Master data'!$B274,'Team forecast'!$B$2:$B$26,0),MATCH('Master data'!L$1,'Team forecast'!$B$2:$AO$2,0))</f>
        <v>2.9193919294978055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1.6835016835016835E-2</v>
      </c>
      <c r="R274" s="2">
        <f>Players!BR275</f>
        <v>0</v>
      </c>
      <c r="S274" s="2">
        <f t="shared" si="133"/>
        <v>1.0237318402178264</v>
      </c>
      <c r="T274" s="2">
        <f t="shared" si="134"/>
        <v>1.0683489057066333</v>
      </c>
      <c r="U274" s="16">
        <f>INDEX('Team forecast'!$B$2:$AO$26,MATCH('Master data'!$B274,'Team forecast'!$B$2:$B$26,0),MATCH('Master data'!U$1,'Team forecast'!$B$2:$AO$2,0))</f>
        <v>0.32580418714126441</v>
      </c>
      <c r="V274" s="16">
        <f>INDEX('Team forecast'!$B$2:$AO$26,MATCH('Master data'!$B274,'Team forecast'!$B$2:$B$26,0),MATCH('Master data'!V$1,'Team forecast'!$B$2:$AO$2,0))</f>
        <v>0.31494404756988892</v>
      </c>
      <c r="W274" s="16">
        <f>INDEX('Team forecast'!$B$2:$AO$26,MATCH('Master data'!$B274,'Team forecast'!$B$2:$B$26,0),MATCH('Master data'!W$1,'Team forecast'!$B$2:$AO$2,0))</f>
        <v>0.35925176528884672</v>
      </c>
      <c r="X274" s="5">
        <f t="shared" si="135"/>
        <v>-5000</v>
      </c>
      <c r="Y274" s="5">
        <f t="shared" si="136"/>
        <v>0</v>
      </c>
      <c r="Z274" s="5">
        <f t="shared" si="137"/>
        <v>0</v>
      </c>
      <c r="AA274" s="5">
        <f t="shared" si="138"/>
        <v>0</v>
      </c>
      <c r="AB274" s="5">
        <f t="shared" si="139"/>
        <v>0</v>
      </c>
      <c r="AC274" s="5">
        <f t="shared" si="140"/>
        <v>0</v>
      </c>
      <c r="AD274" s="5">
        <f t="shared" si="141"/>
        <v>0</v>
      </c>
      <c r="AE274" s="5">
        <f t="shared" si="142"/>
        <v>0</v>
      </c>
      <c r="AF274" s="5">
        <f t="shared" si="143"/>
        <v>0</v>
      </c>
      <c r="AG274" s="5">
        <f t="shared" si="144"/>
        <v>0</v>
      </c>
      <c r="AH274" s="5">
        <f t="shared" si="145"/>
        <v>0</v>
      </c>
      <c r="AI274" s="5">
        <f t="shared" si="146"/>
        <v>0</v>
      </c>
      <c r="AJ274" s="5">
        <f t="shared" si="147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0.66520361079548807</v>
      </c>
      <c r="AM274" s="16">
        <f>INDEX('Team forecast'!$B$2:$AO$26,MATCH('Master data'!$B274,'Team forecast'!$B$2:$B$26,0),MATCH('Master data'!AM$1,'Team forecast'!$B$2:$AO$2,0))</f>
        <v>2.0067977929974719</v>
      </c>
      <c r="AN274" s="16">
        <f>INDEX('Team forecast'!$B$2:$AO$26,MATCH('Master data'!$B274,'Team forecast'!$B$2:$B$26,0),MATCH('Master data'!AN$1,'Team forecast'!$B$2:$AO$2,0))</f>
        <v>0.1344184218435715</v>
      </c>
      <c r="AO274" s="16">
        <f>INDEX('Team forecast'!$B$2:$AO$26,MATCH('Master data'!$B274,'Team forecast'!$B$2:$B$26,0),MATCH('Master data'!AO$1,'Team forecast'!$B$2:$AO$2,0))</f>
        <v>2.1837492273589256</v>
      </c>
      <c r="AP274" s="16">
        <f>INDEX('Team forecast'!$B$2:$AO$26,MATCH('Master data'!$B274,'Team forecast'!$B$2:$B$26,0),MATCH('Master data'!AP$1,'Team forecast'!$B$2:$AO$2,0))</f>
        <v>5.4838164289930909</v>
      </c>
      <c r="AQ274" s="5">
        <f t="shared" si="148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149"/>
        <v>0</v>
      </c>
      <c r="AV274" s="5">
        <f t="shared" si="150"/>
        <v>0</v>
      </c>
      <c r="AW274" s="5">
        <f t="shared" si="151"/>
        <v>0</v>
      </c>
      <c r="AX274" s="5">
        <f t="shared" si="152"/>
        <v>0</v>
      </c>
      <c r="AY274" s="5">
        <f t="shared" si="153"/>
        <v>0</v>
      </c>
      <c r="AZ274" s="5">
        <f t="shared" si="154"/>
        <v>0</v>
      </c>
      <c r="BA274" s="5">
        <f t="shared" si="155"/>
        <v>0</v>
      </c>
      <c r="BB274" s="5">
        <f t="shared" si="156"/>
        <v>0</v>
      </c>
      <c r="BC274" s="5">
        <f t="shared" si="157"/>
        <v>0</v>
      </c>
      <c r="BD274" s="5">
        <f t="shared" si="158"/>
        <v>-5000</v>
      </c>
      <c r="BE274" s="16">
        <f>INDEX('Team forecast'!$B$2:$AO$26,MATCH('Master data'!$B274,'Team forecast'!$B$2:$B$26,0),MATCH('Master data'!BE$1,'Team forecast'!$B$2:$AO$2,0))</f>
        <v>0.82681690399773144</v>
      </c>
      <c r="BF274" s="16">
        <f>INDEX('Team forecast'!$B$2:$AO$26,MATCH('Master data'!$B274,'Team forecast'!$B$2:$B$26,0),MATCH('Master data'!BF$1,'Team forecast'!$B$2:$AO$2,0))</f>
        <v>1.5039270856478595</v>
      </c>
      <c r="BG274" s="16">
        <f>INDEX('Team forecast'!$B$2:$AO$26,MATCH('Master data'!$B274,'Team forecast'!$B$2:$B$26,0),MATCH('Master data'!BG$1,'Team forecast'!$B$2:$AO$2,0))</f>
        <v>0.22225562720571071</v>
      </c>
      <c r="BH274" s="16">
        <f>INDEX('Team forecast'!$B$2:$AO$26,MATCH('Master data'!$B274,'Team forecast'!$B$2:$B$26,0),MATCH('Master data'!BH$1,'Team forecast'!$B$2:$AO$2,0))</f>
        <v>2.71429791716427</v>
      </c>
      <c r="BI274" s="16">
        <f>INDEX('Team forecast'!$B$2:$AO$26,MATCH('Master data'!$B274,'Team forecast'!$B$2:$B$26,0),MATCH('Master data'!BI$1,'Team forecast'!$B$2:$AO$2,0))</f>
        <v>4.1096617153265038</v>
      </c>
      <c r="BJ274" s="5">
        <f t="shared" si="159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160"/>
        <v>0</v>
      </c>
      <c r="BO274" s="5">
        <f t="shared" si="161"/>
        <v>0</v>
      </c>
      <c r="BP274" s="5">
        <f t="shared" si="162"/>
        <v>0</v>
      </c>
      <c r="BQ274" s="5">
        <f t="shared" si="163"/>
        <v>0</v>
      </c>
      <c r="BR274" s="5">
        <f t="shared" si="164"/>
        <v>0</v>
      </c>
      <c r="BS274" s="5">
        <f t="shared" si="165"/>
        <v>0</v>
      </c>
      <c r="BT274" s="5">
        <f t="shared" si="166"/>
        <v>0</v>
      </c>
      <c r="BU274" s="5">
        <f t="shared" si="167"/>
        <v>0</v>
      </c>
      <c r="BV274" s="5">
        <f t="shared" si="168"/>
        <v>0</v>
      </c>
      <c r="BW274" s="5">
        <f t="shared" si="169"/>
        <v>-5000</v>
      </c>
      <c r="BX274" s="5">
        <f t="shared" si="170"/>
        <v>-5000</v>
      </c>
      <c r="BY274" s="5">
        <f t="shared" si="171"/>
        <v>-15000</v>
      </c>
      <c r="BZ274" s="5">
        <f>INDEX('Team forecast'!$R$3:$BH$26,MATCH($B274,'Team forecast'!$B$3:$B$26,0),MATCH(BZ$1,'Team forecast'!$R$2:$BH$2,0))*($BX274-(BY274+CH274)*0.01)</f>
        <v>-14380.84499191155</v>
      </c>
      <c r="CA274" s="5">
        <f>INDEX('Team forecast'!$R$3:$BH$26,MATCH($B274,'Team forecast'!$B$3:$B$26,0),MATCH(CA$1,'Team forecast'!$R$2:$BH$2,0))*($BX274-(BY274+BX274+CH274)*0.01)</f>
        <v>-7053.8669504403424</v>
      </c>
      <c r="CB274" s="5">
        <f>INDEX('Team forecast'!$R$3:$BH$26,MATCH($B274,'Team forecast'!$B$3:$B$26,0),MATCH(CB$1,'Team forecast'!$R$2:$BH$2,0))*($BX274-(BY274+BX274*2+CH274)*0.01)</f>
        <v>-3403.2232913879643</v>
      </c>
      <c r="CC274" s="5">
        <f>INDEX('Team forecast'!$R$3:$BH$26,MATCH($B274,'Team forecast'!$B$3:$B$26,0),MATCH(CC$1,'Team forecast'!$R$2:$BH$2,0))*($BX274-(BY274+BX274*3+CH274)*0.01)</f>
        <v>-1546.3967035471533</v>
      </c>
      <c r="CD274" s="5">
        <f>+AK274+BD274*Cockpit!$C$3+BW274*Cockpit!$C$3^2+BZ274*Cockpit!$C$3^3+CA274*Cockpit!$C$3^4+CB274*Cockpit!$C$3^5+CC274*Cockpit!$C$3^6</f>
        <v>-16793.824669570047</v>
      </c>
      <c r="CE274" s="5"/>
      <c r="CF274" s="5"/>
      <c r="CG274" s="5">
        <v>0</v>
      </c>
      <c r="CH274" s="5">
        <f t="shared" si="172"/>
        <v>3000000</v>
      </c>
      <c r="CI274" s="5">
        <f t="shared" si="173"/>
        <v>3000000</v>
      </c>
      <c r="CJ274" s="1">
        <f t="shared" si="174"/>
        <v>-5.0000000000000001E-3</v>
      </c>
      <c r="CK274" s="5">
        <f>RANK(BY274,$BY$2:$BY$623)+COUNTIF($BY$2:$BY274,$BY274)-1</f>
        <v>501</v>
      </c>
      <c r="CL274" s="5">
        <f>RANK(CJ274,$CJ$2:$CJ$623)+COUNTIF($CJ$2:$CJ274,$CJ274)-1</f>
        <v>500</v>
      </c>
    </row>
    <row r="275" spans="1:90">
      <c r="A275" t="str">
        <f>Players!P276</f>
        <v>Lyndon Dykes</v>
      </c>
      <c r="B275" t="str">
        <f>Players!G276</f>
        <v>Scotland</v>
      </c>
      <c r="C275" t="str">
        <f>Players!AB276</f>
        <v>Striker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2500000</v>
      </c>
      <c r="H275" s="16">
        <f>INDEX('Team forecast'!$B$2:$AO$26,MATCH('Master data'!$B275,'Team forecast'!$B$2:$B$26,0),MATCH('Master data'!H$1,'Team forecast'!$B$2:$AO$2,0))</f>
        <v>1.0237318402178264</v>
      </c>
      <c r="I275" s="16">
        <f>INDEX('Team forecast'!$B$2:$AO$26,MATCH('Master data'!$B275,'Team forecast'!$B$2:$B$26,0),MATCH('Master data'!I$1,'Team forecast'!$B$2:$AO$2,0))</f>
        <v>1.0683489057066333</v>
      </c>
      <c r="J275" s="16">
        <f>INDEX('Team forecast'!$B$2:$AO$26,MATCH('Master data'!$B275,'Team forecast'!$B$2:$B$26,0),MATCH('Master data'!J$1,'Team forecast'!$B$2:$AO$2,0))</f>
        <v>0.34357532462169699</v>
      </c>
      <c r="K275" s="16">
        <f>INDEX('Team forecast'!$B$2:$AO$26,MATCH('Master data'!$B275,'Team forecast'!$B$2:$B$26,0),MATCH('Master data'!K$1,'Team forecast'!$B$2:$AO$2,0))</f>
        <v>3.360735839098925</v>
      </c>
      <c r="L275" s="16">
        <f>INDEX('Team forecast'!$B$2:$AO$26,MATCH('Master data'!$B275,'Team forecast'!$B$2:$B$26,0),MATCH('Master data'!L$1,'Team forecast'!$B$2:$AO$2,0))</f>
        <v>2.9193919294978055</v>
      </c>
      <c r="M275">
        <f>IF(Players!BC276=1,95,0)</f>
        <v>95</v>
      </c>
      <c r="N275" s="2">
        <f>Players!BN276</f>
        <v>0.21344004530896904</v>
      </c>
      <c r="O275" s="2">
        <f>Players!BO276</f>
        <v>0.12014881577220356</v>
      </c>
      <c r="P275" s="2">
        <f>Players!BP276</f>
        <v>6.0291011063677492E-2</v>
      </c>
      <c r="Q275" s="2">
        <f>Players!BQ276</f>
        <v>5.0618672665916763E-2</v>
      </c>
      <c r="R275" s="2">
        <f>Players!BR276</f>
        <v>0</v>
      </c>
      <c r="S275" s="2">
        <f t="shared" si="133"/>
        <v>1.0237318402178264</v>
      </c>
      <c r="T275" s="2">
        <f t="shared" si="134"/>
        <v>1.0683489057066333</v>
      </c>
      <c r="U275" s="16">
        <f>INDEX('Team forecast'!$B$2:$AO$26,MATCH('Master data'!$B275,'Team forecast'!$B$2:$B$26,0),MATCH('Master data'!U$1,'Team forecast'!$B$2:$AO$2,0))</f>
        <v>0.32580418714126441</v>
      </c>
      <c r="V275" s="16">
        <f>INDEX('Team forecast'!$B$2:$AO$26,MATCH('Master data'!$B275,'Team forecast'!$B$2:$B$26,0),MATCH('Master data'!V$1,'Team forecast'!$B$2:$AO$2,0))</f>
        <v>0.31494404756988892</v>
      </c>
      <c r="W275" s="16">
        <f>INDEX('Team forecast'!$B$2:$AO$26,MATCH('Master data'!$B275,'Team forecast'!$B$2:$B$26,0),MATCH('Master data'!W$1,'Team forecast'!$B$2:$AO$2,0))</f>
        <v>0.35925176528884672</v>
      </c>
      <c r="X275" s="5">
        <f t="shared" si="135"/>
        <v>7000</v>
      </c>
      <c r="Y275" s="5">
        <f t="shared" si="136"/>
        <v>8145.1046785316103</v>
      </c>
      <c r="Z275" s="5">
        <f t="shared" si="137"/>
        <v>1574.7202378494446</v>
      </c>
      <c r="AA275" s="5">
        <f t="shared" si="138"/>
        <v>-5388.7764793327005</v>
      </c>
      <c r="AB275" s="5">
        <f t="shared" si="139"/>
        <v>21850.537036032714</v>
      </c>
      <c r="AC275" s="5">
        <f t="shared" si="140"/>
        <v>6150.0084135235275</v>
      </c>
      <c r="AD275" s="5">
        <f t="shared" si="141"/>
        <v>2026.2216165721075</v>
      </c>
      <c r="AE275" s="5">
        <f t="shared" si="142"/>
        <v>0</v>
      </c>
      <c r="AF275" s="5">
        <f t="shared" si="143"/>
        <v>0</v>
      </c>
      <c r="AG275" s="5">
        <f t="shared" si="144"/>
        <v>-1012.3734533183352</v>
      </c>
      <c r="AH275" s="5">
        <f t="shared" si="145"/>
        <v>0</v>
      </c>
      <c r="AI275" s="5">
        <f t="shared" si="146"/>
        <v>10237.318402178264</v>
      </c>
      <c r="AJ275" s="5">
        <f t="shared" si="147"/>
        <v>-8546.7912456530667</v>
      </c>
      <c r="AK275" s="5">
        <f>IFERROR(SUM(X275:AJ275),-5000)*((Cockpit!$C$3)^0)</f>
        <v>42035.969206383568</v>
      </c>
      <c r="AL275" s="16">
        <f>INDEX('Team forecast'!$B$2:$AO$26,MATCH('Master data'!$B275,'Team forecast'!$B$2:$B$26,0),MATCH('Master data'!AL$1,'Team forecast'!$B$2:$AO$2,0))</f>
        <v>0.66520361079548807</v>
      </c>
      <c r="AM275" s="16">
        <f>INDEX('Team forecast'!$B$2:$AO$26,MATCH('Master data'!$B275,'Team forecast'!$B$2:$B$26,0),MATCH('Master data'!AM$1,'Team forecast'!$B$2:$AO$2,0))</f>
        <v>2.0067977929974719</v>
      </c>
      <c r="AN275" s="16">
        <f>INDEX('Team forecast'!$B$2:$AO$26,MATCH('Master data'!$B275,'Team forecast'!$B$2:$B$26,0),MATCH('Master data'!AN$1,'Team forecast'!$B$2:$AO$2,0))</f>
        <v>0.1344184218435715</v>
      </c>
      <c r="AO275" s="16">
        <f>INDEX('Team forecast'!$B$2:$AO$26,MATCH('Master data'!$B275,'Team forecast'!$B$2:$B$26,0),MATCH('Master data'!AO$1,'Team forecast'!$B$2:$AO$2,0))</f>
        <v>2.1837492273589256</v>
      </c>
      <c r="AP275" s="16">
        <f>INDEX('Team forecast'!$B$2:$AO$26,MATCH('Master data'!$B275,'Team forecast'!$B$2:$B$26,0),MATCH('Master data'!AP$1,'Team forecast'!$B$2:$AO$2,0))</f>
        <v>5.4838164289930909</v>
      </c>
      <c r="AQ275" s="5">
        <f t="shared" si="148"/>
        <v>7000</v>
      </c>
      <c r="AR275" s="5">
        <f>INDEX('Team forecast'!$B$2:$AO$26,MATCH('Master data'!$B275,'Team forecast'!$B$2:$B$26,0),MATCH('Master data'!AR$1,'Team forecast'!$B$2:$AO$2,0))*IF(X275&gt;0,25000,0)</f>
        <v>2476.1288234342123</v>
      </c>
      <c r="AS275" s="16">
        <f>INDEX('Team forecast'!$B$2:$AO$26,MATCH('Master data'!$B275,'Team forecast'!$B$2:$B$26,0),MATCH('Master data'!AS$1,'Team forecast'!$B$2:$AO$2,0))*IF(X275&gt;0,5000,0)</f>
        <v>1045.4766143388899</v>
      </c>
      <c r="AT275" s="16">
        <f>INDEX('Team forecast'!$B$2:$AO$26,MATCH('Master data'!$B275,'Team forecast'!$B$2:$B$26,0),MATCH('Master data'!AT$1,'Team forecast'!$B$2:$AO$2,0))*IF(X275&gt;0,-15000,0)</f>
        <v>-10377.892862922801</v>
      </c>
      <c r="AU275" s="5">
        <f t="shared" si="149"/>
        <v>14198.108882787879</v>
      </c>
      <c r="AV275" s="5">
        <f t="shared" si="150"/>
        <v>3996.1713042235847</v>
      </c>
      <c r="AW275" s="5">
        <f t="shared" si="151"/>
        <v>1316.6044882699416</v>
      </c>
      <c r="AX275" s="5">
        <f t="shared" si="152"/>
        <v>0</v>
      </c>
      <c r="AY275" s="5">
        <f t="shared" si="153"/>
        <v>0</v>
      </c>
      <c r="AZ275" s="5">
        <f t="shared" si="154"/>
        <v>-1012.3734533183352</v>
      </c>
      <c r="BA275" s="5">
        <f t="shared" si="155"/>
        <v>0</v>
      </c>
      <c r="BB275" s="5">
        <f t="shared" si="156"/>
        <v>6652.0361079548802</v>
      </c>
      <c r="BC275" s="5">
        <f t="shared" si="157"/>
        <v>-16054.382343979774</v>
      </c>
      <c r="BD275" s="5">
        <f t="shared" si="158"/>
        <v>9239.8775607884781</v>
      </c>
      <c r="BE275" s="16">
        <f>INDEX('Team forecast'!$B$2:$AO$26,MATCH('Master data'!$B275,'Team forecast'!$B$2:$B$26,0),MATCH('Master data'!BE$1,'Team forecast'!$B$2:$AO$2,0))</f>
        <v>0.82681690399773144</v>
      </c>
      <c r="BF275" s="16">
        <f>INDEX('Team forecast'!$B$2:$AO$26,MATCH('Master data'!$B275,'Team forecast'!$B$2:$B$26,0),MATCH('Master data'!BF$1,'Team forecast'!$B$2:$AO$2,0))</f>
        <v>1.5039270856478595</v>
      </c>
      <c r="BG275" s="16">
        <f>INDEX('Team forecast'!$B$2:$AO$26,MATCH('Master data'!$B275,'Team forecast'!$B$2:$B$26,0),MATCH('Master data'!BG$1,'Team forecast'!$B$2:$AO$2,0))</f>
        <v>0.22225562720571071</v>
      </c>
      <c r="BH275" s="16">
        <f>INDEX('Team forecast'!$B$2:$AO$26,MATCH('Master data'!$B275,'Team forecast'!$B$2:$B$26,0),MATCH('Master data'!BH$1,'Team forecast'!$B$2:$AO$2,0))</f>
        <v>2.71429791716427</v>
      </c>
      <c r="BI275" s="16">
        <f>INDEX('Team forecast'!$B$2:$AO$26,MATCH('Master data'!$B275,'Team forecast'!$B$2:$B$26,0),MATCH('Master data'!BI$1,'Team forecast'!$B$2:$AO$2,0))</f>
        <v>4.1096617153265038</v>
      </c>
      <c r="BJ275" s="5">
        <f t="shared" si="159"/>
        <v>7000</v>
      </c>
      <c r="BK275" s="5">
        <f>INDEX('Team forecast'!$R$3:$BH$26,MATCH($B275,'Team forecast'!$B$3:$B$26,0),MATCH(BK$1,'Team forecast'!$R$2:$BH$2,0))*IF($X275&gt;0,25000,0)</f>
        <v>5287.7300318721273</v>
      </c>
      <c r="BL275" s="5">
        <f>INDEX('Team forecast'!$R$3:$BH$26,MATCH($B275,'Team forecast'!$B$3:$B$26,0),MATCH(BL$1,'Team forecast'!$R$2:$BH$2,0))*IF($X275&gt;0,5000,0)</f>
        <v>1355.4462898601791</v>
      </c>
      <c r="BM275" s="5">
        <f>INDEX('Team forecast'!$R$3:$BH$26,MATCH($B275,'Team forecast'!$B$3:$B$26,0),MATCH(BM$1,'Team forecast'!$R$2:$BH$2,0))*IF($X275&gt;0,-15000,0)</f>
        <v>-7761.0231112961865</v>
      </c>
      <c r="BN275" s="5">
        <f t="shared" si="160"/>
        <v>17647.583745149732</v>
      </c>
      <c r="BO275" s="5">
        <f t="shared" si="161"/>
        <v>4967.0535937883578</v>
      </c>
      <c r="BP275" s="5">
        <f t="shared" si="162"/>
        <v>1636.4776575386777</v>
      </c>
      <c r="BQ275" s="5">
        <f t="shared" si="163"/>
        <v>0</v>
      </c>
      <c r="BR275" s="5">
        <f t="shared" si="164"/>
        <v>0</v>
      </c>
      <c r="BS275" s="5">
        <f t="shared" si="165"/>
        <v>-1012.3734533183352</v>
      </c>
      <c r="BT275" s="5">
        <f t="shared" si="166"/>
        <v>0</v>
      </c>
      <c r="BU275" s="5">
        <f t="shared" si="167"/>
        <v>8268.1690399773142</v>
      </c>
      <c r="BV275" s="5">
        <f t="shared" si="168"/>
        <v>-12031.416685182876</v>
      </c>
      <c r="BW275" s="5">
        <f t="shared" si="169"/>
        <v>25357.647108388992</v>
      </c>
      <c r="BX275" s="5">
        <f t="shared" si="170"/>
        <v>25544.497958520344</v>
      </c>
      <c r="BY275" s="5">
        <f t="shared" si="171"/>
        <v>76633.493875561035</v>
      </c>
      <c r="BZ275" s="5">
        <f>INDEX('Team forecast'!$R$3:$BH$26,MATCH($B275,'Team forecast'!$B$3:$B$26,0),MATCH(BZ$1,'Team forecast'!$R$2:$BH$2,0))*($BX275-(BY275+CH275)*0.01)</f>
        <v>-91.540982101494549</v>
      </c>
      <c r="CA275" s="5">
        <f>INDEX('Team forecast'!$R$3:$BH$26,MATCH($B275,'Team forecast'!$B$3:$B$26,0),MATCH(CA$1,'Team forecast'!$R$2:$BH$2,0))*($BX275-(BY275+BX275+CH275)*0.01)</f>
        <v>-96.743777081005931</v>
      </c>
      <c r="CB275" s="5">
        <f>INDEX('Team forecast'!$R$3:$BH$26,MATCH($B275,'Team forecast'!$B$3:$B$26,0),MATCH(CB$1,'Team forecast'!$R$2:$BH$2,0))*($BX275-(BY275+BX275*2+CH275)*0.01)</f>
        <v>-71.759234141375828</v>
      </c>
      <c r="CC275" s="5">
        <f>INDEX('Team forecast'!$R$3:$BH$26,MATCH($B275,'Team forecast'!$B$3:$B$26,0),MATCH(CC$1,'Team forecast'!$R$2:$BH$2,0))*($BX275-(BY275+BX275*3+CH275)*0.01)</f>
        <v>-44.037631068165872</v>
      </c>
      <c r="CD275" s="5">
        <f>+AK275+BD275*Cockpit!$C$3+BW275*Cockpit!$C$3^2+BZ275*Cockpit!$C$3^3+CA275*Cockpit!$C$3^4+CB275*Cockpit!$C$3^5+CC275*Cockpit!$C$3^6</f>
        <v>59406.403920734338</v>
      </c>
      <c r="CE275" s="5"/>
      <c r="CF275" s="5"/>
      <c r="CG275" s="5">
        <v>0</v>
      </c>
      <c r="CH275" s="5">
        <f t="shared" si="172"/>
        <v>2500000</v>
      </c>
      <c r="CI275" s="5">
        <f t="shared" si="173"/>
        <v>2500000</v>
      </c>
      <c r="CJ275" s="1">
        <f t="shared" si="174"/>
        <v>3.0653397550224414E-2</v>
      </c>
      <c r="CK275" s="5">
        <f>RANK(BY275,$BY$2:$BY$623)+COUNTIF($BY$2:$BY275,$BY275)-1</f>
        <v>224</v>
      </c>
      <c r="CL275" s="5">
        <f>RANK(CJ275,$CJ$2:$CJ$623)+COUNTIF($CJ$2:$CJ275,$CJ275)-1</f>
        <v>139</v>
      </c>
    </row>
    <row r="276" spans="1:90">
      <c r="A276" t="str">
        <f>Players!P277</f>
        <v>Vladimir Coufal</v>
      </c>
      <c r="B276" t="str">
        <f>Players!G277</f>
        <v>Czech Republic</v>
      </c>
      <c r="C276" t="str">
        <f>Players!AB277</f>
        <v>Defense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3000000</v>
      </c>
      <c r="H276" s="16">
        <f>INDEX('Team forecast'!$B$2:$AO$26,MATCH('Master data'!$B276,'Team forecast'!$B$2:$B$26,0),MATCH('Master data'!H$1,'Team forecast'!$B$2:$AO$2,0))</f>
        <v>1.0683489057066333</v>
      </c>
      <c r="I276" s="16">
        <f>INDEX('Team forecast'!$B$2:$AO$26,MATCH('Master data'!$B276,'Team forecast'!$B$2:$B$26,0),MATCH('Master data'!I$1,'Team forecast'!$B$2:$AO$2,0))</f>
        <v>1.0237318402178264</v>
      </c>
      <c r="J276" s="16">
        <f>INDEX('Team forecast'!$B$2:$AO$26,MATCH('Master data'!$B276,'Team forecast'!$B$2:$B$26,0),MATCH('Master data'!J$1,'Team forecast'!$B$2:$AO$2,0))</f>
        <v>0.35925176528884672</v>
      </c>
      <c r="K276" s="16">
        <f>INDEX('Team forecast'!$B$2:$AO$26,MATCH('Master data'!$B276,'Team forecast'!$B$2:$B$26,0),MATCH('Master data'!K$1,'Team forecast'!$B$2:$AO$2,0))</f>
        <v>3.1557383060872861</v>
      </c>
      <c r="L276" s="16">
        <f>INDEX('Team forecast'!$B$2:$AO$26,MATCH('Master data'!$B276,'Team forecast'!$B$2:$B$26,0),MATCH('Master data'!L$1,'Team forecast'!$B$2:$AO$2,0))</f>
        <v>2.685366937656811</v>
      </c>
      <c r="M276">
        <f>IF(Players!BC277=1,95,0)</f>
        <v>95</v>
      </c>
      <c r="N276" s="2">
        <f>Players!BN277</f>
        <v>3.3730365695539506E-2</v>
      </c>
      <c r="O276" s="2">
        <f>Players!BO277</f>
        <v>0.1238532139143896</v>
      </c>
      <c r="P276" s="2">
        <f>Players!BP277</f>
        <v>4.9470265380328414E-2</v>
      </c>
      <c r="Q276" s="2">
        <f>Players!BQ277</f>
        <v>4.4189852700490993E-2</v>
      </c>
      <c r="R276" s="2">
        <f>Players!BR277</f>
        <v>0</v>
      </c>
      <c r="S276" s="2">
        <f t="shared" si="133"/>
        <v>1.0683489057066333</v>
      </c>
      <c r="T276" s="2">
        <f t="shared" si="134"/>
        <v>1.0237318402178264</v>
      </c>
      <c r="U276" s="16">
        <f>INDEX('Team forecast'!$B$2:$AO$26,MATCH('Master data'!$B276,'Team forecast'!$B$2:$B$26,0),MATCH('Master data'!U$1,'Team forecast'!$B$2:$AO$2,0))</f>
        <v>0.35925176528884672</v>
      </c>
      <c r="V276" s="16">
        <f>INDEX('Team forecast'!$B$2:$AO$26,MATCH('Master data'!$B276,'Team forecast'!$B$2:$B$26,0),MATCH('Master data'!V$1,'Team forecast'!$B$2:$AO$2,0))</f>
        <v>0.31494404756988892</v>
      </c>
      <c r="W276" s="16">
        <f>INDEX('Team forecast'!$B$2:$AO$26,MATCH('Master data'!$B276,'Team forecast'!$B$2:$B$26,0),MATCH('Master data'!W$1,'Team forecast'!$B$2:$AO$2,0))</f>
        <v>0.32580418714126441</v>
      </c>
      <c r="X276" s="5">
        <f t="shared" si="135"/>
        <v>7000</v>
      </c>
      <c r="Y276" s="5">
        <f t="shared" si="136"/>
        <v>8981.2941322211682</v>
      </c>
      <c r="Z276" s="5">
        <f t="shared" si="137"/>
        <v>1574.7202378494446</v>
      </c>
      <c r="AA276" s="5">
        <f t="shared" si="138"/>
        <v>-4887.0628071189658</v>
      </c>
      <c r="AB276" s="5">
        <f t="shared" si="139"/>
        <v>5405.3698919871294</v>
      </c>
      <c r="AC276" s="5">
        <f t="shared" si="140"/>
        <v>6615.9222776843853</v>
      </c>
      <c r="AD276" s="5">
        <f t="shared" si="141"/>
        <v>1561.1521147300612</v>
      </c>
      <c r="AE276" s="5">
        <f t="shared" si="142"/>
        <v>17962.588264442336</v>
      </c>
      <c r="AF276" s="5">
        <f t="shared" si="143"/>
        <v>0</v>
      </c>
      <c r="AG276" s="5">
        <f t="shared" si="144"/>
        <v>-883.79705400981982</v>
      </c>
      <c r="AH276" s="5">
        <f t="shared" si="145"/>
        <v>0</v>
      </c>
      <c r="AI276" s="5">
        <f t="shared" si="146"/>
        <v>10683.489057066334</v>
      </c>
      <c r="AJ276" s="5">
        <f t="shared" si="147"/>
        <v>-8189.8547217426112</v>
      </c>
      <c r="AK276" s="5">
        <f>IFERROR(SUM(X276:AJ276),-5000)*((Cockpit!$C$3)^0)</f>
        <v>45823.821393109472</v>
      </c>
      <c r="AL276" s="16">
        <f>INDEX('Team forecast'!$B$2:$AO$26,MATCH('Master data'!$B276,'Team forecast'!$B$2:$B$26,0),MATCH('Master data'!AL$1,'Team forecast'!$B$2:$AO$2,0))</f>
        <v>0.97920455728472433</v>
      </c>
      <c r="AM276" s="16">
        <f>INDEX('Team forecast'!$B$2:$AO$26,MATCH('Master data'!$B276,'Team forecast'!$B$2:$B$26,0),MATCH('Master data'!AM$1,'Team forecast'!$B$2:$AO$2,0))</f>
        <v>1.3846696653928885</v>
      </c>
      <c r="AN276" s="16">
        <f>INDEX('Team forecast'!$B$2:$AO$26,MATCH('Master data'!$B276,'Team forecast'!$B$2:$B$26,0),MATCH('Master data'!AN$1,'Team forecast'!$B$2:$AO$2,0))</f>
        <v>0.25040650406504072</v>
      </c>
      <c r="AO276" s="16">
        <f>INDEX('Team forecast'!$B$2:$AO$26,MATCH('Master data'!$B276,'Team forecast'!$B$2:$B$26,0),MATCH('Master data'!AO$1,'Team forecast'!$B$2:$AO$2,0))</f>
        <v>2.8924196153641089</v>
      </c>
      <c r="AP276" s="16">
        <f>INDEX('Team forecast'!$B$2:$AO$26,MATCH('Master data'!$B276,'Team forecast'!$B$2:$B$26,0),MATCH('Master data'!AP$1,'Team forecast'!$B$2:$AO$2,0))</f>
        <v>3.6321485695230544</v>
      </c>
      <c r="AQ276" s="5">
        <f t="shared" si="148"/>
        <v>7000</v>
      </c>
      <c r="AR276" s="5">
        <f>INDEX('Team forecast'!$B$2:$AO$26,MATCH('Master data'!$B276,'Team forecast'!$B$2:$B$26,0),MATCH('Master data'!AR$1,'Team forecast'!$B$2:$AO$2,0))*IF(X276&gt;0,25000,0)</f>
        <v>6707.3170731707323</v>
      </c>
      <c r="AS276" s="16">
        <f>INDEX('Team forecast'!$B$2:$AO$26,MATCH('Master data'!$B276,'Team forecast'!$B$2:$B$26,0),MATCH('Master data'!AS$1,'Team forecast'!$B$2:$AO$2,0))*IF(X276&gt;0,5000,0)</f>
        <v>1422.7642276422764</v>
      </c>
      <c r="AT276" s="16">
        <f>INDEX('Team forecast'!$B$2:$AO$26,MATCH('Master data'!$B276,'Team forecast'!$B$2:$B$26,0),MATCH('Master data'!AT$1,'Team forecast'!$B$2:$AO$2,0))*IF(X276&gt;0,-15000,0)</f>
        <v>-6707.3170731707305</v>
      </c>
      <c r="AU276" s="5">
        <f t="shared" si="149"/>
        <v>4954.3391711928925</v>
      </c>
      <c r="AV276" s="5">
        <f t="shared" si="150"/>
        <v>6063.8815749665064</v>
      </c>
      <c r="AW276" s="5">
        <f t="shared" si="151"/>
        <v>1430.8876596332989</v>
      </c>
      <c r="AX276" s="5">
        <f t="shared" si="152"/>
        <v>12520.325203252036</v>
      </c>
      <c r="AY276" s="5">
        <f t="shared" si="153"/>
        <v>0</v>
      </c>
      <c r="AZ276" s="5">
        <f t="shared" si="154"/>
        <v>-883.79705400981982</v>
      </c>
      <c r="BA276" s="5">
        <f t="shared" si="155"/>
        <v>0</v>
      </c>
      <c r="BB276" s="5">
        <f t="shared" si="156"/>
        <v>9792.0455728472425</v>
      </c>
      <c r="BC276" s="5">
        <f t="shared" si="157"/>
        <v>-11077.357323143107</v>
      </c>
      <c r="BD276" s="5">
        <f t="shared" si="158"/>
        <v>31223.089032381329</v>
      </c>
      <c r="BE276" s="16">
        <f>INDEX('Team forecast'!$B$2:$AO$26,MATCH('Master data'!$B276,'Team forecast'!$B$2:$B$26,0),MATCH('Master data'!BE$1,'Team forecast'!$B$2:$AO$2,0))</f>
        <v>0.82586154259115363</v>
      </c>
      <c r="BF276" s="16">
        <f>INDEX('Team forecast'!$B$2:$AO$26,MATCH('Master data'!$B276,'Team forecast'!$B$2:$B$26,0),MATCH('Master data'!BF$1,'Team forecast'!$B$2:$AO$2,0))</f>
        <v>2.2346287595631029</v>
      </c>
      <c r="BG276" s="16">
        <f>INDEX('Team forecast'!$B$2:$AO$26,MATCH('Master data'!$B276,'Team forecast'!$B$2:$B$26,0),MATCH('Master data'!BG$1,'Team forecast'!$B$2:$AO$2,0))</f>
        <v>0.107031857031857</v>
      </c>
      <c r="BH276" s="16">
        <f>INDEX('Team forecast'!$B$2:$AO$26,MATCH('Master data'!$B276,'Team forecast'!$B$2:$B$26,0),MATCH('Master data'!BH$1,'Team forecast'!$B$2:$AO$2,0))</f>
        <v>2.4394679411923308</v>
      </c>
      <c r="BI276" s="16">
        <f>INDEX('Team forecast'!$B$2:$AO$26,MATCH('Master data'!$B276,'Team forecast'!$B$2:$B$26,0),MATCH('Master data'!BI$1,'Team forecast'!$B$2:$AO$2,0))</f>
        <v>5.8616895100097475</v>
      </c>
      <c r="BJ276" s="5">
        <f t="shared" si="159"/>
        <v>7000</v>
      </c>
      <c r="BK276" s="5">
        <f>INDEX('Team forecast'!$R$3:$BH$26,MATCH($B276,'Team forecast'!$B$3:$B$26,0),MATCH(BK$1,'Team forecast'!$R$2:$BH$2,0))*IF($X276&gt;0,25000,0)</f>
        <v>3321.6783216783224</v>
      </c>
      <c r="BL276" s="5">
        <f>INDEX('Team forecast'!$R$3:$BH$26,MATCH($B276,'Team forecast'!$B$3:$B$26,0),MATCH(BL$1,'Team forecast'!$R$2:$BH$2,0))*IF($X276&gt;0,5000,0)</f>
        <v>1013.9860139860141</v>
      </c>
      <c r="BM276" s="5">
        <f>INDEX('Team forecast'!$R$3:$BH$26,MATCH($B276,'Team forecast'!$B$3:$B$26,0),MATCH(BM$1,'Team forecast'!$R$2:$BH$2,0))*IF($X276&gt;0,-15000,0)</f>
        <v>-9965.0349650349635</v>
      </c>
      <c r="BN276" s="5">
        <f t="shared" si="160"/>
        <v>4178.4917768222986</v>
      </c>
      <c r="BO276" s="5">
        <f t="shared" si="161"/>
        <v>5114.2803149104966</v>
      </c>
      <c r="BP276" s="5">
        <f t="shared" si="162"/>
        <v>1206.81126437588</v>
      </c>
      <c r="BQ276" s="5">
        <f t="shared" si="163"/>
        <v>5351.5928515928499</v>
      </c>
      <c r="BR276" s="5">
        <f t="shared" si="164"/>
        <v>0</v>
      </c>
      <c r="BS276" s="5">
        <f t="shared" si="165"/>
        <v>-883.79705400981982</v>
      </c>
      <c r="BT276" s="5">
        <f t="shared" si="166"/>
        <v>0</v>
      </c>
      <c r="BU276" s="5">
        <f t="shared" si="167"/>
        <v>8258.6154259115356</v>
      </c>
      <c r="BV276" s="5">
        <f t="shared" si="168"/>
        <v>-17877.030076504823</v>
      </c>
      <c r="BW276" s="5">
        <f t="shared" si="169"/>
        <v>6719.5938737277902</v>
      </c>
      <c r="BX276" s="5">
        <f t="shared" si="170"/>
        <v>27922.168099739531</v>
      </c>
      <c r="BY276" s="5">
        <f t="shared" si="171"/>
        <v>83766.504299218592</v>
      </c>
      <c r="BZ276" s="5">
        <f>INDEX('Team forecast'!$R$3:$BH$26,MATCH($B276,'Team forecast'!$B$3:$B$26,0),MATCH(BZ$1,'Team forecast'!$R$2:$BH$2,0))*($BX276-(BY276+CH276)*0.01)</f>
        <v>-1479.7873981873549</v>
      </c>
      <c r="CA276" s="5">
        <f>INDEX('Team forecast'!$R$3:$BH$26,MATCH($B276,'Team forecast'!$B$3:$B$26,0),MATCH(CA$1,'Team forecast'!$R$2:$BH$2,0))*($BX276-(BY276+BX276+CH276)*0.01)</f>
        <v>-797.11679105146038</v>
      </c>
      <c r="CB276" s="5">
        <f>INDEX('Team forecast'!$R$3:$BH$26,MATCH($B276,'Team forecast'!$B$3:$B$26,0),MATCH(CB$1,'Team forecast'!$R$2:$BH$2,0))*($BX276-(BY276+BX276*2+CH276)*0.01)</f>
        <v>-419.4355120243336</v>
      </c>
      <c r="CC276" s="5">
        <f>INDEX('Team forecast'!$R$3:$BH$26,MATCH($B276,'Team forecast'!$B$3:$B$26,0),MATCH(CC$1,'Team forecast'!$R$2:$BH$2,0))*($BX276-(BY276+BX276*3+CH276)*0.01)</f>
        <v>-207.12990671572206</v>
      </c>
      <c r="CD276" s="5">
        <f>+AK276+BD276*Cockpit!$C$3+BW276*Cockpit!$C$3^2+BZ276*Cockpit!$C$3^3+CA276*Cockpit!$C$3^4+CB276*Cockpit!$C$3^5+CC276*Cockpit!$C$3^6</f>
        <v>68956.371003152162</v>
      </c>
      <c r="CE276" s="5"/>
      <c r="CF276" s="5"/>
      <c r="CG276" s="5">
        <v>0</v>
      </c>
      <c r="CH276" s="5">
        <f t="shared" si="172"/>
        <v>3000000</v>
      </c>
      <c r="CI276" s="5">
        <f t="shared" si="173"/>
        <v>3000000</v>
      </c>
      <c r="CJ276" s="1">
        <f t="shared" si="174"/>
        <v>2.792216809973953E-2</v>
      </c>
      <c r="CK276" s="5">
        <f>RANK(BY276,$BY$2:$BY$623)+COUNTIF($BY$2:$BY276,$BY276)-1</f>
        <v>203</v>
      </c>
      <c r="CL276" s="5">
        <f>RANK(CJ276,$CJ$2:$CJ$623)+COUNTIF($CJ$2:$CJ276,$CJ276)-1</f>
        <v>169</v>
      </c>
    </row>
    <row r="277" spans="1:90">
      <c r="A277" t="str">
        <f>Players!P278</f>
        <v>Antonín Barák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3500000</v>
      </c>
      <c r="H277" s="16">
        <f>INDEX('Team forecast'!$B$2:$AO$26,MATCH('Master data'!$B277,'Team forecast'!$B$2:$B$26,0),MATCH('Master data'!H$1,'Team forecast'!$B$2:$AO$2,0))</f>
        <v>1.0683489057066333</v>
      </c>
      <c r="I277" s="16">
        <f>INDEX('Team forecast'!$B$2:$AO$26,MATCH('Master data'!$B277,'Team forecast'!$B$2:$B$26,0),MATCH('Master data'!I$1,'Team forecast'!$B$2:$AO$2,0))</f>
        <v>1.0237318402178264</v>
      </c>
      <c r="J277" s="16">
        <f>INDEX('Team forecast'!$B$2:$AO$26,MATCH('Master data'!$B277,'Team forecast'!$B$2:$B$26,0),MATCH('Master data'!J$1,'Team forecast'!$B$2:$AO$2,0))</f>
        <v>0.35925176528884672</v>
      </c>
      <c r="K277" s="16">
        <f>INDEX('Team forecast'!$B$2:$AO$26,MATCH('Master data'!$B277,'Team forecast'!$B$2:$B$26,0),MATCH('Master data'!K$1,'Team forecast'!$B$2:$AO$2,0))</f>
        <v>3.1557383060872861</v>
      </c>
      <c r="L277" s="16">
        <f>INDEX('Team forecast'!$B$2:$AO$26,MATCH('Master data'!$B277,'Team forecast'!$B$2:$B$26,0),MATCH('Master data'!L$1,'Team forecast'!$B$2:$AO$2,0))</f>
        <v>2.685366937656811</v>
      </c>
      <c r="M277">
        <f>IF(Players!BC278=1,95,0)</f>
        <v>0</v>
      </c>
      <c r="N277" s="2">
        <f>Players!BN278</f>
        <v>0</v>
      </c>
      <c r="O277" s="2">
        <f>Players!BO278</f>
        <v>0</v>
      </c>
      <c r="P277" s="2">
        <f>Players!BP278</f>
        <v>0</v>
      </c>
      <c r="Q277" s="2">
        <f>Players!BQ278</f>
        <v>0.15122743682310469</v>
      </c>
      <c r="R277" s="2">
        <f>Players!BR278</f>
        <v>3.2490974729241874E-2</v>
      </c>
      <c r="S277" s="2">
        <f t="shared" si="133"/>
        <v>1.0683489057066333</v>
      </c>
      <c r="T277" s="2">
        <f t="shared" si="134"/>
        <v>1.0237318402178264</v>
      </c>
      <c r="U277" s="16">
        <f>INDEX('Team forecast'!$B$2:$AO$26,MATCH('Master data'!$B277,'Team forecast'!$B$2:$B$26,0),MATCH('Master data'!U$1,'Team forecast'!$B$2:$AO$2,0))</f>
        <v>0.35925176528884672</v>
      </c>
      <c r="V277" s="16">
        <f>INDEX('Team forecast'!$B$2:$AO$26,MATCH('Master data'!$B277,'Team forecast'!$B$2:$B$26,0),MATCH('Master data'!V$1,'Team forecast'!$B$2:$AO$2,0))</f>
        <v>0.31494404756988892</v>
      </c>
      <c r="W277" s="16">
        <f>INDEX('Team forecast'!$B$2:$AO$26,MATCH('Master data'!$B277,'Team forecast'!$B$2:$B$26,0),MATCH('Master data'!W$1,'Team forecast'!$B$2:$AO$2,0))</f>
        <v>0.32580418714126441</v>
      </c>
      <c r="X277" s="5">
        <f t="shared" si="135"/>
        <v>-5000</v>
      </c>
      <c r="Y277" s="5">
        <f t="shared" si="136"/>
        <v>0</v>
      </c>
      <c r="Z277" s="5">
        <f t="shared" si="137"/>
        <v>0</v>
      </c>
      <c r="AA277" s="5">
        <f t="shared" si="138"/>
        <v>0</v>
      </c>
      <c r="AB277" s="5">
        <f t="shared" si="139"/>
        <v>0</v>
      </c>
      <c r="AC277" s="5">
        <f t="shared" si="140"/>
        <v>0</v>
      </c>
      <c r="AD277" s="5">
        <f t="shared" si="141"/>
        <v>0</v>
      </c>
      <c r="AE277" s="5">
        <f t="shared" si="142"/>
        <v>0</v>
      </c>
      <c r="AF277" s="5">
        <f t="shared" si="143"/>
        <v>0</v>
      </c>
      <c r="AG277" s="5">
        <f t="shared" si="144"/>
        <v>0</v>
      </c>
      <c r="AH277" s="5">
        <f t="shared" si="145"/>
        <v>0</v>
      </c>
      <c r="AI277" s="5">
        <f t="shared" si="146"/>
        <v>0</v>
      </c>
      <c r="AJ277" s="5">
        <f t="shared" si="147"/>
        <v>0</v>
      </c>
      <c r="AK277" s="5">
        <f>IFERROR(SUM(X277:AJ277),-5000)*((Cockpit!$C$3)^0)</f>
        <v>-5000</v>
      </c>
      <c r="AL277" s="16">
        <f>INDEX('Team forecast'!$B$2:$AO$26,MATCH('Master data'!$B277,'Team forecast'!$B$2:$B$26,0),MATCH('Master data'!AL$1,'Team forecast'!$B$2:$AO$2,0))</f>
        <v>0.97920455728472433</v>
      </c>
      <c r="AM277" s="16">
        <f>INDEX('Team forecast'!$B$2:$AO$26,MATCH('Master data'!$B277,'Team forecast'!$B$2:$B$26,0),MATCH('Master data'!AM$1,'Team forecast'!$B$2:$AO$2,0))</f>
        <v>1.3846696653928885</v>
      </c>
      <c r="AN277" s="16">
        <f>INDEX('Team forecast'!$B$2:$AO$26,MATCH('Master data'!$B277,'Team forecast'!$B$2:$B$26,0),MATCH('Master data'!AN$1,'Team forecast'!$B$2:$AO$2,0))</f>
        <v>0.25040650406504072</v>
      </c>
      <c r="AO277" s="16">
        <f>INDEX('Team forecast'!$B$2:$AO$26,MATCH('Master data'!$B277,'Team forecast'!$B$2:$B$26,0),MATCH('Master data'!AO$1,'Team forecast'!$B$2:$AO$2,0))</f>
        <v>2.8924196153641089</v>
      </c>
      <c r="AP277" s="16">
        <f>INDEX('Team forecast'!$B$2:$AO$26,MATCH('Master data'!$B277,'Team forecast'!$B$2:$B$26,0),MATCH('Master data'!AP$1,'Team forecast'!$B$2:$AO$2,0))</f>
        <v>3.6321485695230544</v>
      </c>
      <c r="AQ277" s="5">
        <f t="shared" si="148"/>
        <v>-5000</v>
      </c>
      <c r="AR277" s="5">
        <f>INDEX('Team forecast'!$B$2:$AO$26,MATCH('Master data'!$B277,'Team forecast'!$B$2:$B$26,0),MATCH('Master data'!AR$1,'Team forecast'!$B$2:$AO$2,0))*IF(X277&gt;0,25000,0)</f>
        <v>0</v>
      </c>
      <c r="AS277" s="16">
        <f>INDEX('Team forecast'!$B$2:$AO$26,MATCH('Master data'!$B277,'Team forecast'!$B$2:$B$26,0),MATCH('Master data'!AS$1,'Team forecast'!$B$2:$AO$2,0))*IF(X277&gt;0,5000,0)</f>
        <v>0</v>
      </c>
      <c r="AT277" s="16">
        <f>INDEX('Team forecast'!$B$2:$AO$26,MATCH('Master data'!$B277,'Team forecast'!$B$2:$B$26,0),MATCH('Master data'!AT$1,'Team forecast'!$B$2:$AO$2,0))*IF(X277&gt;0,-15000,0)</f>
        <v>0</v>
      </c>
      <c r="AU277" s="5">
        <f t="shared" si="149"/>
        <v>0</v>
      </c>
      <c r="AV277" s="5">
        <f t="shared" si="150"/>
        <v>0</v>
      </c>
      <c r="AW277" s="5">
        <f t="shared" si="151"/>
        <v>0</v>
      </c>
      <c r="AX277" s="5">
        <f t="shared" si="152"/>
        <v>0</v>
      </c>
      <c r="AY277" s="5">
        <f t="shared" si="153"/>
        <v>0</v>
      </c>
      <c r="AZ277" s="5">
        <f t="shared" si="154"/>
        <v>0</v>
      </c>
      <c r="BA277" s="5">
        <f t="shared" si="155"/>
        <v>0</v>
      </c>
      <c r="BB277" s="5">
        <f t="shared" si="156"/>
        <v>0</v>
      </c>
      <c r="BC277" s="5">
        <f t="shared" si="157"/>
        <v>0</v>
      </c>
      <c r="BD277" s="5">
        <f t="shared" si="158"/>
        <v>-5000</v>
      </c>
      <c r="BE277" s="16">
        <f>INDEX('Team forecast'!$B$2:$AO$26,MATCH('Master data'!$B277,'Team forecast'!$B$2:$B$26,0),MATCH('Master data'!BE$1,'Team forecast'!$B$2:$AO$2,0))</f>
        <v>0.82586154259115363</v>
      </c>
      <c r="BF277" s="16">
        <f>INDEX('Team forecast'!$B$2:$AO$26,MATCH('Master data'!$B277,'Team forecast'!$B$2:$B$26,0),MATCH('Master data'!BF$1,'Team forecast'!$B$2:$AO$2,0))</f>
        <v>2.2346287595631029</v>
      </c>
      <c r="BG277" s="16">
        <f>INDEX('Team forecast'!$B$2:$AO$26,MATCH('Master data'!$B277,'Team forecast'!$B$2:$B$26,0),MATCH('Master data'!BG$1,'Team forecast'!$B$2:$AO$2,0))</f>
        <v>0.107031857031857</v>
      </c>
      <c r="BH277" s="16">
        <f>INDEX('Team forecast'!$B$2:$AO$26,MATCH('Master data'!$B277,'Team forecast'!$B$2:$B$26,0),MATCH('Master data'!BH$1,'Team forecast'!$B$2:$AO$2,0))</f>
        <v>2.4394679411923308</v>
      </c>
      <c r="BI277" s="16">
        <f>INDEX('Team forecast'!$B$2:$AO$26,MATCH('Master data'!$B277,'Team forecast'!$B$2:$B$26,0),MATCH('Master data'!BI$1,'Team forecast'!$B$2:$AO$2,0))</f>
        <v>5.8616895100097475</v>
      </c>
      <c r="BJ277" s="5">
        <f t="shared" si="159"/>
        <v>-5000</v>
      </c>
      <c r="BK277" s="5">
        <f>INDEX('Team forecast'!$R$3:$BH$26,MATCH($B277,'Team forecast'!$B$3:$B$26,0),MATCH(BK$1,'Team forecast'!$R$2:$BH$2,0))*IF($X277&gt;0,25000,0)</f>
        <v>0</v>
      </c>
      <c r="BL277" s="5">
        <f>INDEX('Team forecast'!$R$3:$BH$26,MATCH($B277,'Team forecast'!$B$3:$B$26,0),MATCH(BL$1,'Team forecast'!$R$2:$BH$2,0))*IF($X277&gt;0,5000,0)</f>
        <v>0</v>
      </c>
      <c r="BM277" s="5">
        <f>INDEX('Team forecast'!$R$3:$BH$26,MATCH($B277,'Team forecast'!$B$3:$B$26,0),MATCH(BM$1,'Team forecast'!$R$2:$BH$2,0))*IF($X277&gt;0,-15000,0)</f>
        <v>0</v>
      </c>
      <c r="BN277" s="5">
        <f t="shared" si="160"/>
        <v>0</v>
      </c>
      <c r="BO277" s="5">
        <f t="shared" si="161"/>
        <v>0</v>
      </c>
      <c r="BP277" s="5">
        <f t="shared" si="162"/>
        <v>0</v>
      </c>
      <c r="BQ277" s="5">
        <f t="shared" si="163"/>
        <v>0</v>
      </c>
      <c r="BR277" s="5">
        <f t="shared" si="164"/>
        <v>0</v>
      </c>
      <c r="BS277" s="5">
        <f t="shared" si="165"/>
        <v>0</v>
      </c>
      <c r="BT277" s="5">
        <f t="shared" si="166"/>
        <v>0</v>
      </c>
      <c r="BU277" s="5">
        <f t="shared" si="167"/>
        <v>0</v>
      </c>
      <c r="BV277" s="5">
        <f t="shared" si="168"/>
        <v>0</v>
      </c>
      <c r="BW277" s="5">
        <f t="shared" si="169"/>
        <v>-5000</v>
      </c>
      <c r="BX277" s="5">
        <f t="shared" si="170"/>
        <v>-5000</v>
      </c>
      <c r="BY277" s="5">
        <f t="shared" si="171"/>
        <v>-15000</v>
      </c>
      <c r="BZ277" s="5">
        <f>INDEX('Team forecast'!$R$3:$BH$26,MATCH($B277,'Team forecast'!$B$3:$B$26,0),MATCH(BZ$1,'Team forecast'!$R$2:$BH$2,0))*($BX277-(BY277+CH277)*0.01)</f>
        <v>-20226.235515094424</v>
      </c>
      <c r="CA277" s="5">
        <f>INDEX('Team forecast'!$R$3:$BH$26,MATCH($B277,'Team forecast'!$B$3:$B$26,0),MATCH(CA$1,'Team forecast'!$R$2:$BH$2,0))*($BX277-(BY277+BX277+CH277)*0.01)</f>
        <v>-9930.529732112318</v>
      </c>
      <c r="CB277" s="5">
        <f>INDEX('Team forecast'!$R$3:$BH$26,MATCH($B277,'Team forecast'!$B$3:$B$26,0),MATCH(CB$1,'Team forecast'!$R$2:$BH$2,0))*($BX277-(BY277+BX277*2+CH277)*0.01)</f>
        <v>-4799.3229986661199</v>
      </c>
      <c r="CC277" s="5">
        <f>INDEX('Team forecast'!$R$3:$BH$26,MATCH($B277,'Team forecast'!$B$3:$B$26,0),MATCH(CC$1,'Team forecast'!$R$2:$BH$2,0))*($BX277-(BY277+BX277*3+CH277)*0.01)</f>
        <v>-2190.9678630315648</v>
      </c>
      <c r="CD277" s="5">
        <f>+AK277+BD277*Cockpit!$C$3+BW277*Cockpit!$C$3^2+BZ277*Cockpit!$C$3^3+CA277*Cockpit!$C$3^4+CB277*Cockpit!$C$3^5+CC277*Cockpit!$C$3^6</f>
        <v>-19334.458304239415</v>
      </c>
      <c r="CE277" s="5"/>
      <c r="CF277" s="5"/>
      <c r="CG277" s="5">
        <v>0</v>
      </c>
      <c r="CH277" s="5">
        <f t="shared" si="172"/>
        <v>3500000</v>
      </c>
      <c r="CI277" s="5">
        <f t="shared" si="173"/>
        <v>3500000</v>
      </c>
      <c r="CJ277" s="1">
        <f t="shared" si="174"/>
        <v>-4.2857142857142859E-3</v>
      </c>
      <c r="CK277" s="5">
        <f>RANK(BY277,$BY$2:$BY$623)+COUNTIF($BY$2:$BY277,$BY277)-1</f>
        <v>502</v>
      </c>
      <c r="CL277" s="5">
        <f>RANK(CJ277,$CJ$2:$CJ$623)+COUNTIF($CJ$2:$CJ277,$CJ277)-1</f>
        <v>474</v>
      </c>
    </row>
    <row r="278" spans="1:90">
      <c r="A278" t="str">
        <f>Players!P279</f>
        <v>Tomas Soucek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5000000</v>
      </c>
      <c r="H278" s="16">
        <f>INDEX('Team forecast'!$B$2:$AO$26,MATCH('Master data'!$B278,'Team forecast'!$B$2:$B$26,0),MATCH('Master data'!H$1,'Team forecast'!$B$2:$AO$2,0))</f>
        <v>1.0683489057066333</v>
      </c>
      <c r="I278" s="16">
        <f>INDEX('Team forecast'!$B$2:$AO$26,MATCH('Master data'!$B278,'Team forecast'!$B$2:$B$26,0),MATCH('Master data'!I$1,'Team forecast'!$B$2:$AO$2,0))</f>
        <v>1.0237318402178264</v>
      </c>
      <c r="J278" s="16">
        <f>INDEX('Team forecast'!$B$2:$AO$26,MATCH('Master data'!$B278,'Team forecast'!$B$2:$B$26,0),MATCH('Master data'!J$1,'Team forecast'!$B$2:$AO$2,0))</f>
        <v>0.35925176528884672</v>
      </c>
      <c r="K278" s="16">
        <f>INDEX('Team forecast'!$B$2:$AO$26,MATCH('Master data'!$B278,'Team forecast'!$B$2:$B$26,0),MATCH('Master data'!K$1,'Team forecast'!$B$2:$AO$2,0))</f>
        <v>3.1557383060872861</v>
      </c>
      <c r="L278" s="16">
        <f>INDEX('Team forecast'!$B$2:$AO$26,MATCH('Master data'!$B278,'Team forecast'!$B$2:$B$26,0),MATCH('Master data'!L$1,'Team forecast'!$B$2:$AO$2,0))</f>
        <v>2.685366937656811</v>
      </c>
      <c r="M278">
        <f>IF(Players!BC279=1,95,0)</f>
        <v>95</v>
      </c>
      <c r="N278" s="2">
        <f>Players!BN279</f>
        <v>0.15848461403334721</v>
      </c>
      <c r="O278" s="2">
        <f>Players!BO279</f>
        <v>8.8440420345285459E-2</v>
      </c>
      <c r="P278" s="2">
        <f>Players!BP279</f>
        <v>0.20333595770393539</v>
      </c>
      <c r="Q278" s="2">
        <f>Players!BQ279</f>
        <v>9.2132202398362104E-2</v>
      </c>
      <c r="R278" s="2">
        <f>Players!BR279</f>
        <v>2.6323486399532026E-2</v>
      </c>
      <c r="S278" s="2">
        <f t="shared" si="133"/>
        <v>1.0683489057066333</v>
      </c>
      <c r="T278" s="2">
        <f t="shared" si="134"/>
        <v>1.0237318402178264</v>
      </c>
      <c r="U278" s="16">
        <f>INDEX('Team forecast'!$B$2:$AO$26,MATCH('Master data'!$B278,'Team forecast'!$B$2:$B$26,0),MATCH('Master data'!U$1,'Team forecast'!$B$2:$AO$2,0))</f>
        <v>0.35925176528884672</v>
      </c>
      <c r="V278" s="16">
        <f>INDEX('Team forecast'!$B$2:$AO$26,MATCH('Master data'!$B278,'Team forecast'!$B$2:$B$26,0),MATCH('Master data'!V$1,'Team forecast'!$B$2:$AO$2,0))</f>
        <v>0.31494404756988892</v>
      </c>
      <c r="W278" s="16">
        <f>INDEX('Team forecast'!$B$2:$AO$26,MATCH('Master data'!$B278,'Team forecast'!$B$2:$B$26,0),MATCH('Master data'!W$1,'Team forecast'!$B$2:$AO$2,0))</f>
        <v>0.32580418714126441</v>
      </c>
      <c r="X278" s="5">
        <f t="shared" si="135"/>
        <v>7000</v>
      </c>
      <c r="Y278" s="5">
        <f t="shared" si="136"/>
        <v>8981.2941322211682</v>
      </c>
      <c r="Z278" s="5">
        <f t="shared" si="137"/>
        <v>1574.7202378494446</v>
      </c>
      <c r="AA278" s="5">
        <f t="shared" si="138"/>
        <v>-4887.0628071189658</v>
      </c>
      <c r="AB278" s="5">
        <f t="shared" si="139"/>
        <v>21164.607996733077</v>
      </c>
      <c r="AC278" s="5">
        <f t="shared" si="140"/>
        <v>4724.2613148060191</v>
      </c>
      <c r="AD278" s="5">
        <f t="shared" si="141"/>
        <v>6416.7507073125316</v>
      </c>
      <c r="AE278" s="5">
        <f t="shared" si="142"/>
        <v>0</v>
      </c>
      <c r="AF278" s="5">
        <f t="shared" si="143"/>
        <v>0</v>
      </c>
      <c r="AG278" s="5">
        <f t="shared" si="144"/>
        <v>-1842.6440479672422</v>
      </c>
      <c r="AH278" s="5">
        <f t="shared" si="145"/>
        <v>-1316.1743199766013</v>
      </c>
      <c r="AI278" s="5">
        <f t="shared" si="146"/>
        <v>10683.489057066334</v>
      </c>
      <c r="AJ278" s="5">
        <f t="shared" si="147"/>
        <v>-8189.8547217426112</v>
      </c>
      <c r="AK278" s="5">
        <f>IFERROR(SUM(X278:AJ278),-5000)*((Cockpit!$C$3)^0)</f>
        <v>44309.387549183157</v>
      </c>
      <c r="AL278" s="16">
        <f>INDEX('Team forecast'!$B$2:$AO$26,MATCH('Master data'!$B278,'Team forecast'!$B$2:$B$26,0),MATCH('Master data'!AL$1,'Team forecast'!$B$2:$AO$2,0))</f>
        <v>0.97920455728472433</v>
      </c>
      <c r="AM278" s="16">
        <f>INDEX('Team forecast'!$B$2:$AO$26,MATCH('Master data'!$B278,'Team forecast'!$B$2:$B$26,0),MATCH('Master data'!AM$1,'Team forecast'!$B$2:$AO$2,0))</f>
        <v>1.3846696653928885</v>
      </c>
      <c r="AN278" s="16">
        <f>INDEX('Team forecast'!$B$2:$AO$26,MATCH('Master data'!$B278,'Team forecast'!$B$2:$B$26,0),MATCH('Master data'!AN$1,'Team forecast'!$B$2:$AO$2,0))</f>
        <v>0.25040650406504072</v>
      </c>
      <c r="AO278" s="16">
        <f>INDEX('Team forecast'!$B$2:$AO$26,MATCH('Master data'!$B278,'Team forecast'!$B$2:$B$26,0),MATCH('Master data'!AO$1,'Team forecast'!$B$2:$AO$2,0))</f>
        <v>2.8924196153641089</v>
      </c>
      <c r="AP278" s="16">
        <f>INDEX('Team forecast'!$B$2:$AO$26,MATCH('Master data'!$B278,'Team forecast'!$B$2:$B$26,0),MATCH('Master data'!AP$1,'Team forecast'!$B$2:$AO$2,0))</f>
        <v>3.6321485695230544</v>
      </c>
      <c r="AQ278" s="5">
        <f t="shared" si="148"/>
        <v>7000</v>
      </c>
      <c r="AR278" s="5">
        <f>INDEX('Team forecast'!$B$2:$AO$26,MATCH('Master data'!$B278,'Team forecast'!$B$2:$B$26,0),MATCH('Master data'!AR$1,'Team forecast'!$B$2:$AO$2,0))*IF(X278&gt;0,25000,0)</f>
        <v>6707.3170731707323</v>
      </c>
      <c r="AS278" s="16">
        <f>INDEX('Team forecast'!$B$2:$AO$26,MATCH('Master data'!$B278,'Team forecast'!$B$2:$B$26,0),MATCH('Master data'!AS$1,'Team forecast'!$B$2:$AO$2,0))*IF(X278&gt;0,5000,0)</f>
        <v>1422.7642276422764</v>
      </c>
      <c r="AT278" s="16">
        <f>INDEX('Team forecast'!$B$2:$AO$26,MATCH('Master data'!$B278,'Team forecast'!$B$2:$B$26,0),MATCH('Master data'!AT$1,'Team forecast'!$B$2:$AO$2,0))*IF(X278&gt;0,-15000,0)</f>
        <v>-6707.3170731707305</v>
      </c>
      <c r="AU278" s="5">
        <f t="shared" si="149"/>
        <v>19398.607040120518</v>
      </c>
      <c r="AV278" s="5">
        <f t="shared" si="150"/>
        <v>4330.0631325140084</v>
      </c>
      <c r="AW278" s="5">
        <f t="shared" si="151"/>
        <v>5881.3291257170949</v>
      </c>
      <c r="AX278" s="5">
        <f t="shared" si="152"/>
        <v>0</v>
      </c>
      <c r="AY278" s="5">
        <f t="shared" si="153"/>
        <v>0</v>
      </c>
      <c r="AZ278" s="5">
        <f t="shared" si="154"/>
        <v>-1842.6440479672422</v>
      </c>
      <c r="BA278" s="5">
        <f t="shared" si="155"/>
        <v>-1316.1743199766013</v>
      </c>
      <c r="BB278" s="5">
        <f t="shared" si="156"/>
        <v>9792.0455728472425</v>
      </c>
      <c r="BC278" s="5">
        <f t="shared" si="157"/>
        <v>-11077.357323143107</v>
      </c>
      <c r="BD278" s="5">
        <f t="shared" si="158"/>
        <v>33588.633407754191</v>
      </c>
      <c r="BE278" s="16">
        <f>INDEX('Team forecast'!$B$2:$AO$26,MATCH('Master data'!$B278,'Team forecast'!$B$2:$B$26,0),MATCH('Master data'!BE$1,'Team forecast'!$B$2:$AO$2,0))</f>
        <v>0.82586154259115363</v>
      </c>
      <c r="BF278" s="16">
        <f>INDEX('Team forecast'!$B$2:$AO$26,MATCH('Master data'!$B278,'Team forecast'!$B$2:$B$26,0),MATCH('Master data'!BF$1,'Team forecast'!$B$2:$AO$2,0))</f>
        <v>2.2346287595631029</v>
      </c>
      <c r="BG278" s="16">
        <f>INDEX('Team forecast'!$B$2:$AO$26,MATCH('Master data'!$B278,'Team forecast'!$B$2:$B$26,0),MATCH('Master data'!BG$1,'Team forecast'!$B$2:$AO$2,0))</f>
        <v>0.107031857031857</v>
      </c>
      <c r="BH278" s="16">
        <f>INDEX('Team forecast'!$B$2:$AO$26,MATCH('Master data'!$B278,'Team forecast'!$B$2:$B$26,0),MATCH('Master data'!BH$1,'Team forecast'!$B$2:$AO$2,0))</f>
        <v>2.4394679411923308</v>
      </c>
      <c r="BI278" s="16">
        <f>INDEX('Team forecast'!$B$2:$AO$26,MATCH('Master data'!$B278,'Team forecast'!$B$2:$B$26,0),MATCH('Master data'!BI$1,'Team forecast'!$B$2:$AO$2,0))</f>
        <v>5.8616895100097475</v>
      </c>
      <c r="BJ278" s="5">
        <f t="shared" si="159"/>
        <v>7000</v>
      </c>
      <c r="BK278" s="5">
        <f>INDEX('Team forecast'!$R$3:$BH$26,MATCH($B278,'Team forecast'!$B$3:$B$26,0),MATCH(BK$1,'Team forecast'!$R$2:$BH$2,0))*IF($X278&gt;0,25000,0)</f>
        <v>3321.6783216783224</v>
      </c>
      <c r="BL278" s="5">
        <f>INDEX('Team forecast'!$R$3:$BH$26,MATCH($B278,'Team forecast'!$B$3:$B$26,0),MATCH(BL$1,'Team forecast'!$R$2:$BH$2,0))*IF($X278&gt;0,5000,0)</f>
        <v>1013.9860139860141</v>
      </c>
      <c r="BM278" s="5">
        <f>INDEX('Team forecast'!$R$3:$BH$26,MATCH($B278,'Team forecast'!$B$3:$B$26,0),MATCH(BM$1,'Team forecast'!$R$2:$BH$2,0))*IF($X278&gt;0,-15000,0)</f>
        <v>-9965.0349650349635</v>
      </c>
      <c r="BN278" s="5">
        <f t="shared" si="160"/>
        <v>16360.793477817964</v>
      </c>
      <c r="BO278" s="5">
        <f t="shared" si="161"/>
        <v>3651.9770986883746</v>
      </c>
      <c r="BP278" s="5">
        <f t="shared" si="162"/>
        <v>4960.3155011039016</v>
      </c>
      <c r="BQ278" s="5">
        <f t="shared" si="163"/>
        <v>0</v>
      </c>
      <c r="BR278" s="5">
        <f t="shared" si="164"/>
        <v>0</v>
      </c>
      <c r="BS278" s="5">
        <f t="shared" si="165"/>
        <v>-1842.6440479672422</v>
      </c>
      <c r="BT278" s="5">
        <f t="shared" si="166"/>
        <v>-1316.1743199766013</v>
      </c>
      <c r="BU278" s="5">
        <f t="shared" si="167"/>
        <v>8258.6154259115356</v>
      </c>
      <c r="BV278" s="5">
        <f t="shared" si="168"/>
        <v>-17877.030076504823</v>
      </c>
      <c r="BW278" s="5">
        <f t="shared" si="169"/>
        <v>13566.482429702479</v>
      </c>
      <c r="BX278" s="5">
        <f t="shared" si="170"/>
        <v>30488.167795546604</v>
      </c>
      <c r="BY278" s="5">
        <f t="shared" si="171"/>
        <v>91464.503386639815</v>
      </c>
      <c r="BZ278" s="5">
        <f>INDEX('Team forecast'!$R$3:$BH$26,MATCH($B278,'Team forecast'!$B$3:$B$26,0),MATCH(BZ$1,'Team forecast'!$R$2:$BH$2,0))*($BX278-(BY278+CH278)*0.01)</f>
        <v>-10367.647161003053</v>
      </c>
      <c r="CA278" s="5">
        <f>INDEX('Team forecast'!$R$3:$BH$26,MATCH($B278,'Team forecast'!$B$3:$B$26,0),MATCH(CA$1,'Team forecast'!$R$2:$BH$2,0))*($BX278-(BY278+BX278+CH278)*0.01)</f>
        <v>-5172.697892089529</v>
      </c>
      <c r="CB278" s="5">
        <f>INDEX('Team forecast'!$R$3:$BH$26,MATCH($B278,'Team forecast'!$B$3:$B$26,0),MATCH(CB$1,'Team forecast'!$R$2:$BH$2,0))*($BX278-(BY278+BX278*2+CH278)*0.01)</f>
        <v>-2539.867000990324</v>
      </c>
      <c r="CC278" s="5">
        <f>INDEX('Team forecast'!$R$3:$BH$26,MATCH($B278,'Team forecast'!$B$3:$B$26,0),MATCH(CC$1,'Team forecast'!$R$2:$BH$2,0))*($BX278-(BY278+BX278*3+CH278)*0.01)</f>
        <v>-1177.7761475916152</v>
      </c>
      <c r="CD278" s="5">
        <f>+AK278+BD278*Cockpit!$C$3+BW278*Cockpit!$C$3^2+BZ278*Cockpit!$C$3^3+CA278*Cockpit!$C$3^4+CB278*Cockpit!$C$3^5+CC278*Cockpit!$C$3^6</f>
        <v>68199.827816142904</v>
      </c>
      <c r="CE278" s="5"/>
      <c r="CF278" s="5"/>
      <c r="CG278" s="5">
        <v>0</v>
      </c>
      <c r="CH278" s="5">
        <f t="shared" si="172"/>
        <v>5000000</v>
      </c>
      <c r="CI278" s="5">
        <f t="shared" si="173"/>
        <v>5000000</v>
      </c>
      <c r="CJ278" s="1">
        <f t="shared" si="174"/>
        <v>1.8292900677327962E-2</v>
      </c>
      <c r="CK278" s="5">
        <f>RANK(BY278,$BY$2:$BY$623)+COUNTIF($BY$2:$BY278,$BY278)-1</f>
        <v>186</v>
      </c>
      <c r="CL278" s="5">
        <f>RANK(CJ278,$CJ$2:$CJ$623)+COUNTIF($CJ$2:$CJ278,$CJ278)-1</f>
        <v>275</v>
      </c>
    </row>
    <row r="279" spans="1:90">
      <c r="A279" t="str">
        <f>Players!P280</f>
        <v>Vladimir Darida</v>
      </c>
      <c r="B279" t="str">
        <f>Players!G280</f>
        <v>Czech Republic</v>
      </c>
      <c r="C279" t="str">
        <f>Players!AB280</f>
        <v>Midfield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4000000</v>
      </c>
      <c r="H279" s="16">
        <f>INDEX('Team forecast'!$B$2:$AO$26,MATCH('Master data'!$B279,'Team forecast'!$B$2:$B$26,0),MATCH('Master data'!H$1,'Team forecast'!$B$2:$AO$2,0))</f>
        <v>1.0683489057066333</v>
      </c>
      <c r="I279" s="16">
        <f>INDEX('Team forecast'!$B$2:$AO$26,MATCH('Master data'!$B279,'Team forecast'!$B$2:$B$26,0),MATCH('Master data'!I$1,'Team forecast'!$B$2:$AO$2,0))</f>
        <v>1.0237318402178264</v>
      </c>
      <c r="J279" s="16">
        <f>INDEX('Team forecast'!$B$2:$AO$26,MATCH('Master data'!$B279,'Team forecast'!$B$2:$B$26,0),MATCH('Master data'!J$1,'Team forecast'!$B$2:$AO$2,0))</f>
        <v>0.35925176528884672</v>
      </c>
      <c r="K279" s="16">
        <f>INDEX('Team forecast'!$B$2:$AO$26,MATCH('Master data'!$B279,'Team forecast'!$B$2:$B$26,0),MATCH('Master data'!K$1,'Team forecast'!$B$2:$AO$2,0))</f>
        <v>3.1557383060872861</v>
      </c>
      <c r="L279" s="16">
        <f>INDEX('Team forecast'!$B$2:$AO$26,MATCH('Master data'!$B279,'Team forecast'!$B$2:$B$26,0),MATCH('Master data'!L$1,'Team forecast'!$B$2:$AO$2,0))</f>
        <v>2.685366937656811</v>
      </c>
      <c r="M279">
        <f>IF(Players!BC280=1,95,0)</f>
        <v>95</v>
      </c>
      <c r="N279" s="2">
        <f>Players!BN280</f>
        <v>8.8078017590688326E-2</v>
      </c>
      <c r="O279" s="2">
        <f>Players!BO280</f>
        <v>0.16626675262899451</v>
      </c>
      <c r="P279" s="2">
        <f>Players!BP280</f>
        <v>0.11060341088952673</v>
      </c>
      <c r="Q279" s="2">
        <f>Players!BQ280</f>
        <v>0.11761630946157867</v>
      </c>
      <c r="R279" s="2">
        <f>Players!BR280</f>
        <v>4.7046523784631464E-2</v>
      </c>
      <c r="S279" s="2">
        <f t="shared" si="133"/>
        <v>1.0683489057066333</v>
      </c>
      <c r="T279" s="2">
        <f t="shared" si="134"/>
        <v>1.0237318402178264</v>
      </c>
      <c r="U279" s="16">
        <f>INDEX('Team forecast'!$B$2:$AO$26,MATCH('Master data'!$B279,'Team forecast'!$B$2:$B$26,0),MATCH('Master data'!U$1,'Team forecast'!$B$2:$AO$2,0))</f>
        <v>0.35925176528884672</v>
      </c>
      <c r="V279" s="16">
        <f>INDEX('Team forecast'!$B$2:$AO$26,MATCH('Master data'!$B279,'Team forecast'!$B$2:$B$26,0),MATCH('Master data'!V$1,'Team forecast'!$B$2:$AO$2,0))</f>
        <v>0.31494404756988892</v>
      </c>
      <c r="W279" s="16">
        <f>INDEX('Team forecast'!$B$2:$AO$26,MATCH('Master data'!$B279,'Team forecast'!$B$2:$B$26,0),MATCH('Master data'!W$1,'Team forecast'!$B$2:$AO$2,0))</f>
        <v>0.32580418714126441</v>
      </c>
      <c r="X279" s="5">
        <f t="shared" si="135"/>
        <v>7000</v>
      </c>
      <c r="Y279" s="5">
        <f t="shared" si="136"/>
        <v>8981.2941322211682</v>
      </c>
      <c r="Z279" s="5">
        <f t="shared" si="137"/>
        <v>1574.7202378494446</v>
      </c>
      <c r="AA279" s="5">
        <f t="shared" si="138"/>
        <v>-4887.0628071189658</v>
      </c>
      <c r="AB279" s="5">
        <f t="shared" si="139"/>
        <v>11762.256713727684</v>
      </c>
      <c r="AC279" s="5">
        <f t="shared" si="140"/>
        <v>8881.5451613290898</v>
      </c>
      <c r="AD279" s="5">
        <f t="shared" si="141"/>
        <v>3490.3542052799121</v>
      </c>
      <c r="AE279" s="5">
        <f t="shared" si="142"/>
        <v>0</v>
      </c>
      <c r="AF279" s="5">
        <f t="shared" si="143"/>
        <v>0</v>
      </c>
      <c r="AG279" s="5">
        <f t="shared" si="144"/>
        <v>-2352.3261892315732</v>
      </c>
      <c r="AH279" s="5">
        <f t="shared" si="145"/>
        <v>-2352.3261892315732</v>
      </c>
      <c r="AI279" s="5">
        <f t="shared" si="146"/>
        <v>10683.489057066334</v>
      </c>
      <c r="AJ279" s="5">
        <f t="shared" si="147"/>
        <v>-8189.8547217426112</v>
      </c>
      <c r="AK279" s="5">
        <f>IFERROR(SUM(X279:AJ279),-5000)*((Cockpit!$C$3)^0)</f>
        <v>34592.089600148916</v>
      </c>
      <c r="AL279" s="16">
        <f>INDEX('Team forecast'!$B$2:$AO$26,MATCH('Master data'!$B279,'Team forecast'!$B$2:$B$26,0),MATCH('Master data'!AL$1,'Team forecast'!$B$2:$AO$2,0))</f>
        <v>0.97920455728472433</v>
      </c>
      <c r="AM279" s="16">
        <f>INDEX('Team forecast'!$B$2:$AO$26,MATCH('Master data'!$B279,'Team forecast'!$B$2:$B$26,0),MATCH('Master data'!AM$1,'Team forecast'!$B$2:$AO$2,0))</f>
        <v>1.3846696653928885</v>
      </c>
      <c r="AN279" s="16">
        <f>INDEX('Team forecast'!$B$2:$AO$26,MATCH('Master data'!$B279,'Team forecast'!$B$2:$B$26,0),MATCH('Master data'!AN$1,'Team forecast'!$B$2:$AO$2,0))</f>
        <v>0.25040650406504072</v>
      </c>
      <c r="AO279" s="16">
        <f>INDEX('Team forecast'!$B$2:$AO$26,MATCH('Master data'!$B279,'Team forecast'!$B$2:$B$26,0),MATCH('Master data'!AO$1,'Team forecast'!$B$2:$AO$2,0))</f>
        <v>2.8924196153641089</v>
      </c>
      <c r="AP279" s="16">
        <f>INDEX('Team forecast'!$B$2:$AO$26,MATCH('Master data'!$B279,'Team forecast'!$B$2:$B$26,0),MATCH('Master data'!AP$1,'Team forecast'!$B$2:$AO$2,0))</f>
        <v>3.6321485695230544</v>
      </c>
      <c r="AQ279" s="5">
        <f t="shared" si="148"/>
        <v>7000</v>
      </c>
      <c r="AR279" s="5">
        <f>INDEX('Team forecast'!$B$2:$AO$26,MATCH('Master data'!$B279,'Team forecast'!$B$2:$B$26,0),MATCH('Master data'!AR$1,'Team forecast'!$B$2:$AO$2,0))*IF(X279&gt;0,25000,0)</f>
        <v>6707.3170731707323</v>
      </c>
      <c r="AS279" s="16">
        <f>INDEX('Team forecast'!$B$2:$AO$26,MATCH('Master data'!$B279,'Team forecast'!$B$2:$B$26,0),MATCH('Master data'!AS$1,'Team forecast'!$B$2:$AO$2,0))*IF(X279&gt;0,5000,0)</f>
        <v>1422.7642276422764</v>
      </c>
      <c r="AT279" s="16">
        <f>INDEX('Team forecast'!$B$2:$AO$26,MATCH('Master data'!$B279,'Team forecast'!$B$2:$B$26,0),MATCH('Master data'!AT$1,'Team forecast'!$B$2:$AO$2,0))*IF(X279&gt;0,-15000,0)</f>
        <v>-6707.3170731707305</v>
      </c>
      <c r="AU279" s="5">
        <f t="shared" si="149"/>
        <v>10780.799527675765</v>
      </c>
      <c r="AV279" s="5">
        <f t="shared" si="150"/>
        <v>8140.4580949621668</v>
      </c>
      <c r="AW279" s="5">
        <f t="shared" si="151"/>
        <v>3199.1147518304342</v>
      </c>
      <c r="AX279" s="5">
        <f t="shared" si="152"/>
        <v>0</v>
      </c>
      <c r="AY279" s="5">
        <f t="shared" si="153"/>
        <v>0</v>
      </c>
      <c r="AZ279" s="5">
        <f t="shared" si="154"/>
        <v>-2352.3261892315732</v>
      </c>
      <c r="BA279" s="5">
        <f t="shared" si="155"/>
        <v>-2352.3261892315732</v>
      </c>
      <c r="BB279" s="5">
        <f t="shared" si="156"/>
        <v>9792.0455728472425</v>
      </c>
      <c r="BC279" s="5">
        <f t="shared" si="157"/>
        <v>-11077.357323143107</v>
      </c>
      <c r="BD279" s="5">
        <f t="shared" si="158"/>
        <v>24553.172473351638</v>
      </c>
      <c r="BE279" s="16">
        <f>INDEX('Team forecast'!$B$2:$AO$26,MATCH('Master data'!$B279,'Team forecast'!$B$2:$B$26,0),MATCH('Master data'!BE$1,'Team forecast'!$B$2:$AO$2,0))</f>
        <v>0.82586154259115363</v>
      </c>
      <c r="BF279" s="16">
        <f>INDEX('Team forecast'!$B$2:$AO$26,MATCH('Master data'!$B279,'Team forecast'!$B$2:$B$26,0),MATCH('Master data'!BF$1,'Team forecast'!$B$2:$AO$2,0))</f>
        <v>2.2346287595631029</v>
      </c>
      <c r="BG279" s="16">
        <f>INDEX('Team forecast'!$B$2:$AO$26,MATCH('Master data'!$B279,'Team forecast'!$B$2:$B$26,0),MATCH('Master data'!BG$1,'Team forecast'!$B$2:$AO$2,0))</f>
        <v>0.107031857031857</v>
      </c>
      <c r="BH279" s="16">
        <f>INDEX('Team forecast'!$B$2:$AO$26,MATCH('Master data'!$B279,'Team forecast'!$B$2:$B$26,0),MATCH('Master data'!BH$1,'Team forecast'!$B$2:$AO$2,0))</f>
        <v>2.4394679411923308</v>
      </c>
      <c r="BI279" s="16">
        <f>INDEX('Team forecast'!$B$2:$AO$26,MATCH('Master data'!$B279,'Team forecast'!$B$2:$B$26,0),MATCH('Master data'!BI$1,'Team forecast'!$B$2:$AO$2,0))</f>
        <v>5.8616895100097475</v>
      </c>
      <c r="BJ279" s="5">
        <f t="shared" si="159"/>
        <v>7000</v>
      </c>
      <c r="BK279" s="5">
        <f>INDEX('Team forecast'!$R$3:$BH$26,MATCH($B279,'Team forecast'!$B$3:$B$26,0),MATCH(BK$1,'Team forecast'!$R$2:$BH$2,0))*IF($X279&gt;0,25000,0)</f>
        <v>3321.6783216783224</v>
      </c>
      <c r="BL279" s="5">
        <f>INDEX('Team forecast'!$R$3:$BH$26,MATCH($B279,'Team forecast'!$B$3:$B$26,0),MATCH(BL$1,'Team forecast'!$R$2:$BH$2,0))*IF($X279&gt;0,5000,0)</f>
        <v>1013.9860139860141</v>
      </c>
      <c r="BM279" s="5">
        <f>INDEX('Team forecast'!$R$3:$BH$26,MATCH($B279,'Team forecast'!$B$3:$B$26,0),MATCH(BM$1,'Team forecast'!$R$2:$BH$2,0))*IF($X279&gt;0,-15000,0)</f>
        <v>-9965.0349650349635</v>
      </c>
      <c r="BN279" s="5">
        <f t="shared" si="160"/>
        <v>9092.5309344770776</v>
      </c>
      <c r="BO279" s="5">
        <f t="shared" si="161"/>
        <v>6865.6658403901574</v>
      </c>
      <c r="BP279" s="5">
        <f t="shared" si="162"/>
        <v>2698.1347505152321</v>
      </c>
      <c r="BQ279" s="5">
        <f t="shared" si="163"/>
        <v>0</v>
      </c>
      <c r="BR279" s="5">
        <f t="shared" si="164"/>
        <v>0</v>
      </c>
      <c r="BS279" s="5">
        <f t="shared" si="165"/>
        <v>-2352.3261892315732</v>
      </c>
      <c r="BT279" s="5">
        <f t="shared" si="166"/>
        <v>-2352.3261892315732</v>
      </c>
      <c r="BU279" s="5">
        <f t="shared" si="167"/>
        <v>8258.6154259115356</v>
      </c>
      <c r="BV279" s="5">
        <f t="shared" si="168"/>
        <v>-17877.030076504823</v>
      </c>
      <c r="BW279" s="5">
        <f t="shared" si="169"/>
        <v>5703.8938669554118</v>
      </c>
      <c r="BX279" s="5">
        <f t="shared" si="170"/>
        <v>21616.385313485323</v>
      </c>
      <c r="BY279" s="5">
        <f t="shared" si="171"/>
        <v>64849.155940455967</v>
      </c>
      <c r="BZ279" s="5">
        <f>INDEX('Team forecast'!$R$3:$BH$26,MATCH($B279,'Team forecast'!$B$3:$B$26,0),MATCH(BZ$1,'Team forecast'!$R$2:$BH$2,0))*($BX279-(BY279+CH279)*0.01)</f>
        <v>-9659.9212867819842</v>
      </c>
      <c r="CA279" s="5">
        <f>INDEX('Team forecast'!$R$3:$BH$26,MATCH($B279,'Team forecast'!$B$3:$B$26,0),MATCH(CA$1,'Team forecast'!$R$2:$BH$2,0))*($BX279-(BY279+BX279+CH279)*0.01)</f>
        <v>-4802.6512188538982</v>
      </c>
      <c r="CB279" s="5">
        <f>INDEX('Team forecast'!$R$3:$BH$26,MATCH($B279,'Team forecast'!$B$3:$B$26,0),MATCH(CB$1,'Team forecast'!$R$2:$BH$2,0))*($BX279-(BY279+BX279*2+CH279)*0.01)</f>
        <v>-2350.0907049750463</v>
      </c>
      <c r="CC279" s="5">
        <f>INDEX('Team forecast'!$R$3:$BH$26,MATCH($B279,'Team forecast'!$B$3:$B$26,0),MATCH(CC$1,'Team forecast'!$R$2:$BH$2,0))*($BX279-(BY279+BX279*3+CH279)*0.01)</f>
        <v>-1086.1349450053901</v>
      </c>
      <c r="CD279" s="5">
        <f>+AK279+BD279*Cockpit!$C$3+BW279*Cockpit!$C$3^2+BZ279*Cockpit!$C$3^3+CA279*Cockpit!$C$3^4+CB279*Cockpit!$C$3^5+CC279*Cockpit!$C$3^6</f>
        <v>49280.234068358273</v>
      </c>
      <c r="CE279" s="5"/>
      <c r="CF279" s="5"/>
      <c r="CG279" s="5">
        <v>0</v>
      </c>
      <c r="CH279" s="5">
        <f t="shared" si="172"/>
        <v>4000000</v>
      </c>
      <c r="CI279" s="5">
        <f t="shared" si="173"/>
        <v>4000000</v>
      </c>
      <c r="CJ279" s="1">
        <f t="shared" si="174"/>
        <v>1.6212288985113992E-2</v>
      </c>
      <c r="CK279" s="5">
        <f>RANK(BY279,$BY$2:$BY$623)+COUNTIF($BY$2:$BY279,$BY279)-1</f>
        <v>254</v>
      </c>
      <c r="CL279" s="5">
        <f>RANK(CJ279,$CJ$2:$CJ$623)+COUNTIF($CJ$2:$CJ279,$CJ279)-1</f>
        <v>295</v>
      </c>
    </row>
    <row r="280" spans="1:90">
      <c r="A280" t="str">
        <f>Players!P281</f>
        <v>Patrik Schick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4500000</v>
      </c>
      <c r="H280" s="16">
        <f>INDEX('Team forecast'!$B$2:$AO$26,MATCH('Master data'!$B280,'Team forecast'!$B$2:$B$26,0),MATCH('Master data'!H$1,'Team forecast'!$B$2:$AO$2,0))</f>
        <v>1.0683489057066333</v>
      </c>
      <c r="I280" s="16">
        <f>INDEX('Team forecast'!$B$2:$AO$26,MATCH('Master data'!$B280,'Team forecast'!$B$2:$B$26,0),MATCH('Master data'!I$1,'Team forecast'!$B$2:$AO$2,0))</f>
        <v>1.0237318402178264</v>
      </c>
      <c r="J280" s="16">
        <f>INDEX('Team forecast'!$B$2:$AO$26,MATCH('Master data'!$B280,'Team forecast'!$B$2:$B$26,0),MATCH('Master data'!J$1,'Team forecast'!$B$2:$AO$2,0))</f>
        <v>0.35925176528884672</v>
      </c>
      <c r="K280" s="16">
        <f>INDEX('Team forecast'!$B$2:$AO$26,MATCH('Master data'!$B280,'Team forecast'!$B$2:$B$26,0),MATCH('Master data'!K$1,'Team forecast'!$B$2:$AO$2,0))</f>
        <v>3.1557383060872861</v>
      </c>
      <c r="L280" s="16">
        <f>INDEX('Team forecast'!$B$2:$AO$26,MATCH('Master data'!$B280,'Team forecast'!$B$2:$B$26,0),MATCH('Master data'!L$1,'Team forecast'!$B$2:$AO$2,0))</f>
        <v>2.685366937656811</v>
      </c>
      <c r="M280">
        <f>IF(Players!BC281=1,95,0)</f>
        <v>95</v>
      </c>
      <c r="N280" s="2">
        <f>Players!BN281</f>
        <v>0.31531469894582281</v>
      </c>
      <c r="O280" s="2">
        <f>Players!BO281</f>
        <v>6.8349930138445272E-2</v>
      </c>
      <c r="P280" s="2">
        <f>Players!BP281</f>
        <v>0.30931156631408463</v>
      </c>
      <c r="Q280" s="2">
        <f>Players!BQ281</f>
        <v>0.29151474530831101</v>
      </c>
      <c r="R280" s="2">
        <f>Players!BR281</f>
        <v>0</v>
      </c>
      <c r="S280" s="2">
        <f t="shared" si="133"/>
        <v>1.0683489057066333</v>
      </c>
      <c r="T280" s="2">
        <f t="shared" si="134"/>
        <v>1.0237318402178264</v>
      </c>
      <c r="U280" s="16">
        <f>INDEX('Team forecast'!$B$2:$AO$26,MATCH('Master data'!$B280,'Team forecast'!$B$2:$B$26,0),MATCH('Master data'!U$1,'Team forecast'!$B$2:$AO$2,0))</f>
        <v>0.35925176528884672</v>
      </c>
      <c r="V280" s="16">
        <f>INDEX('Team forecast'!$B$2:$AO$26,MATCH('Master data'!$B280,'Team forecast'!$B$2:$B$26,0),MATCH('Master data'!V$1,'Team forecast'!$B$2:$AO$2,0))</f>
        <v>0.31494404756988892</v>
      </c>
      <c r="W280" s="16">
        <f>INDEX('Team forecast'!$B$2:$AO$26,MATCH('Master data'!$B280,'Team forecast'!$B$2:$B$26,0),MATCH('Master data'!W$1,'Team forecast'!$B$2:$AO$2,0))</f>
        <v>0.32580418714126441</v>
      </c>
      <c r="X280" s="5">
        <f t="shared" si="135"/>
        <v>7000</v>
      </c>
      <c r="Y280" s="5">
        <f t="shared" si="136"/>
        <v>8981.2941322211682</v>
      </c>
      <c r="Z280" s="5">
        <f t="shared" si="137"/>
        <v>1574.7202378494446</v>
      </c>
      <c r="AA280" s="5">
        <f t="shared" si="138"/>
        <v>-4887.0628071189658</v>
      </c>
      <c r="AB280" s="5">
        <f t="shared" si="139"/>
        <v>33686.611357198635</v>
      </c>
      <c r="AC280" s="5">
        <f t="shared" si="140"/>
        <v>3651.0786534266422</v>
      </c>
      <c r="AD280" s="5">
        <f t="shared" si="141"/>
        <v>9761.0635833321467</v>
      </c>
      <c r="AE280" s="5">
        <f t="shared" si="142"/>
        <v>0</v>
      </c>
      <c r="AF280" s="5">
        <f t="shared" si="143"/>
        <v>0</v>
      </c>
      <c r="AG280" s="5">
        <f t="shared" si="144"/>
        <v>-5830.2949061662202</v>
      </c>
      <c r="AH280" s="5">
        <f t="shared" si="145"/>
        <v>0</v>
      </c>
      <c r="AI280" s="5">
        <f t="shared" si="146"/>
        <v>10683.489057066334</v>
      </c>
      <c r="AJ280" s="5">
        <f t="shared" si="147"/>
        <v>-8189.8547217426112</v>
      </c>
      <c r="AK280" s="5">
        <f>IFERROR(SUM(X280:AJ280),-5000)*((Cockpit!$C$3)^0)</f>
        <v>56431.044586066571</v>
      </c>
      <c r="AL280" s="16">
        <f>INDEX('Team forecast'!$B$2:$AO$26,MATCH('Master data'!$B280,'Team forecast'!$B$2:$B$26,0),MATCH('Master data'!AL$1,'Team forecast'!$B$2:$AO$2,0))</f>
        <v>0.97920455728472433</v>
      </c>
      <c r="AM280" s="16">
        <f>INDEX('Team forecast'!$B$2:$AO$26,MATCH('Master data'!$B280,'Team forecast'!$B$2:$B$26,0),MATCH('Master data'!AM$1,'Team forecast'!$B$2:$AO$2,0))</f>
        <v>1.3846696653928885</v>
      </c>
      <c r="AN280" s="16">
        <f>INDEX('Team forecast'!$B$2:$AO$26,MATCH('Master data'!$B280,'Team forecast'!$B$2:$B$26,0),MATCH('Master data'!AN$1,'Team forecast'!$B$2:$AO$2,0))</f>
        <v>0.25040650406504072</v>
      </c>
      <c r="AO280" s="16">
        <f>INDEX('Team forecast'!$B$2:$AO$26,MATCH('Master data'!$B280,'Team forecast'!$B$2:$B$26,0),MATCH('Master data'!AO$1,'Team forecast'!$B$2:$AO$2,0))</f>
        <v>2.8924196153641089</v>
      </c>
      <c r="AP280" s="16">
        <f>INDEX('Team forecast'!$B$2:$AO$26,MATCH('Master data'!$B280,'Team forecast'!$B$2:$B$26,0),MATCH('Master data'!AP$1,'Team forecast'!$B$2:$AO$2,0))</f>
        <v>3.6321485695230544</v>
      </c>
      <c r="AQ280" s="5">
        <f t="shared" si="148"/>
        <v>7000</v>
      </c>
      <c r="AR280" s="5">
        <f>INDEX('Team forecast'!$B$2:$AO$26,MATCH('Master data'!$B280,'Team forecast'!$B$2:$B$26,0),MATCH('Master data'!AR$1,'Team forecast'!$B$2:$AO$2,0))*IF(X280&gt;0,25000,0)</f>
        <v>6707.3170731707323</v>
      </c>
      <c r="AS280" s="16">
        <f>INDEX('Team forecast'!$B$2:$AO$26,MATCH('Master data'!$B280,'Team forecast'!$B$2:$B$26,0),MATCH('Master data'!AS$1,'Team forecast'!$B$2:$AO$2,0))*IF(X280&gt;0,5000,0)</f>
        <v>1422.7642276422764</v>
      </c>
      <c r="AT280" s="16">
        <f>INDEX('Team forecast'!$B$2:$AO$26,MATCH('Master data'!$B280,'Team forecast'!$B$2:$B$26,0),MATCH('Master data'!AT$1,'Team forecast'!$B$2:$AO$2,0))*IF(X280&gt;0,-15000,0)</f>
        <v>-6707.3170731707305</v>
      </c>
      <c r="AU280" s="5">
        <f t="shared" si="149"/>
        <v>30875.759018661058</v>
      </c>
      <c r="AV280" s="5">
        <f t="shared" si="150"/>
        <v>3346.428154082907</v>
      </c>
      <c r="AW280" s="5">
        <f t="shared" si="151"/>
        <v>8946.5884166585474</v>
      </c>
      <c r="AX280" s="5">
        <f t="shared" si="152"/>
        <v>0</v>
      </c>
      <c r="AY280" s="5">
        <f t="shared" si="153"/>
        <v>0</v>
      </c>
      <c r="AZ280" s="5">
        <f t="shared" si="154"/>
        <v>-5830.2949061662202</v>
      </c>
      <c r="BA280" s="5">
        <f t="shared" si="155"/>
        <v>0</v>
      </c>
      <c r="BB280" s="5">
        <f t="shared" si="156"/>
        <v>9792.0455728472425</v>
      </c>
      <c r="BC280" s="5">
        <f t="shared" si="157"/>
        <v>-11077.357323143107</v>
      </c>
      <c r="BD280" s="5">
        <f t="shared" si="158"/>
        <v>44475.933160582703</v>
      </c>
      <c r="BE280" s="16">
        <f>INDEX('Team forecast'!$B$2:$AO$26,MATCH('Master data'!$B280,'Team forecast'!$B$2:$B$26,0),MATCH('Master data'!BE$1,'Team forecast'!$B$2:$AO$2,0))</f>
        <v>0.82586154259115363</v>
      </c>
      <c r="BF280" s="16">
        <f>INDEX('Team forecast'!$B$2:$AO$26,MATCH('Master data'!$B280,'Team forecast'!$B$2:$B$26,0),MATCH('Master data'!BF$1,'Team forecast'!$B$2:$AO$2,0))</f>
        <v>2.2346287595631029</v>
      </c>
      <c r="BG280" s="16">
        <f>INDEX('Team forecast'!$B$2:$AO$26,MATCH('Master data'!$B280,'Team forecast'!$B$2:$B$26,0),MATCH('Master data'!BG$1,'Team forecast'!$B$2:$AO$2,0))</f>
        <v>0.107031857031857</v>
      </c>
      <c r="BH280" s="16">
        <f>INDEX('Team forecast'!$B$2:$AO$26,MATCH('Master data'!$B280,'Team forecast'!$B$2:$B$26,0),MATCH('Master data'!BH$1,'Team forecast'!$B$2:$AO$2,0))</f>
        <v>2.4394679411923308</v>
      </c>
      <c r="BI280" s="16">
        <f>INDEX('Team forecast'!$B$2:$AO$26,MATCH('Master data'!$B280,'Team forecast'!$B$2:$B$26,0),MATCH('Master data'!BI$1,'Team forecast'!$B$2:$AO$2,0))</f>
        <v>5.8616895100097475</v>
      </c>
      <c r="BJ280" s="5">
        <f t="shared" si="159"/>
        <v>7000</v>
      </c>
      <c r="BK280" s="5">
        <f>INDEX('Team forecast'!$R$3:$BH$26,MATCH($B280,'Team forecast'!$B$3:$B$26,0),MATCH(BK$1,'Team forecast'!$R$2:$BH$2,0))*IF($X280&gt;0,25000,0)</f>
        <v>3321.6783216783224</v>
      </c>
      <c r="BL280" s="5">
        <f>INDEX('Team forecast'!$R$3:$BH$26,MATCH($B280,'Team forecast'!$B$3:$B$26,0),MATCH(BL$1,'Team forecast'!$R$2:$BH$2,0))*IF($X280&gt;0,5000,0)</f>
        <v>1013.9860139860141</v>
      </c>
      <c r="BM280" s="5">
        <f>INDEX('Team forecast'!$R$3:$BH$26,MATCH($B280,'Team forecast'!$B$3:$B$26,0),MATCH(BM$1,'Team forecast'!$R$2:$BH$2,0))*IF($X280&gt;0,-15000,0)</f>
        <v>-9965.0349650349635</v>
      </c>
      <c r="BN280" s="5">
        <f t="shared" si="160"/>
        <v>26040.628367306243</v>
      </c>
      <c r="BO280" s="5">
        <f t="shared" si="161"/>
        <v>2822.3789370066997</v>
      </c>
      <c r="BP280" s="5">
        <f t="shared" si="162"/>
        <v>7545.5564986319514</v>
      </c>
      <c r="BQ280" s="5">
        <f t="shared" si="163"/>
        <v>0</v>
      </c>
      <c r="BR280" s="5">
        <f t="shared" si="164"/>
        <v>0</v>
      </c>
      <c r="BS280" s="5">
        <f t="shared" si="165"/>
        <v>-5830.2949061662202</v>
      </c>
      <c r="BT280" s="5">
        <f t="shared" si="166"/>
        <v>0</v>
      </c>
      <c r="BU280" s="5">
        <f t="shared" si="167"/>
        <v>8258.6154259115356</v>
      </c>
      <c r="BV280" s="5">
        <f t="shared" si="168"/>
        <v>-17877.030076504823</v>
      </c>
      <c r="BW280" s="5">
        <f t="shared" si="169"/>
        <v>22330.483616814759</v>
      </c>
      <c r="BX280" s="5">
        <f t="shared" si="170"/>
        <v>41079.153787821342</v>
      </c>
      <c r="BY280" s="5">
        <f t="shared" si="171"/>
        <v>123237.46136346403</v>
      </c>
      <c r="BZ280" s="5">
        <f>INDEX('Team forecast'!$R$3:$BH$26,MATCH($B280,'Team forecast'!$B$3:$B$26,0),MATCH(BZ$1,'Team forecast'!$R$2:$BH$2,0))*($BX280-(BY280+CH280)*0.01)</f>
        <v>-2615.5648201804038</v>
      </c>
      <c r="CA280" s="5">
        <f>INDEX('Team forecast'!$R$3:$BH$26,MATCH($B280,'Team forecast'!$B$3:$B$26,0),MATCH(CA$1,'Team forecast'!$R$2:$BH$2,0))*($BX280-(BY280+BX280+CH280)*0.01)</f>
        <v>-1388.2811609919363</v>
      </c>
      <c r="CB280" s="5">
        <f>INDEX('Team forecast'!$R$3:$BH$26,MATCH($B280,'Team forecast'!$B$3:$B$26,0),MATCH(CB$1,'Team forecast'!$R$2:$BH$2,0))*($BX280-(BY280+BX280*2+CH280)*0.01)</f>
        <v>-721.38399439807961</v>
      </c>
      <c r="CC280" s="5">
        <f>INDEX('Team forecast'!$R$3:$BH$26,MATCH($B280,'Team forecast'!$B$3:$B$26,0),MATCH(CC$1,'Team forecast'!$R$2:$BH$2,0))*($BX280-(BY280+BX280*3+CH280)*0.01)</f>
        <v>-352.40892680482023</v>
      </c>
      <c r="CD280" s="5">
        <f>+AK280+BD280*Cockpit!$C$3+BW280*Cockpit!$C$3^2+BZ280*Cockpit!$C$3^3+CA280*Cockpit!$C$3^4+CB280*Cockpit!$C$3^5+CC280*Cockpit!$C$3^6</f>
        <v>94831.179956123684</v>
      </c>
      <c r="CE280" s="5"/>
      <c r="CF280" s="5"/>
      <c r="CG280" s="5">
        <v>0</v>
      </c>
      <c r="CH280" s="5">
        <f t="shared" si="172"/>
        <v>4500000</v>
      </c>
      <c r="CI280" s="5">
        <f t="shared" si="173"/>
        <v>4500000</v>
      </c>
      <c r="CJ280" s="1">
        <f t="shared" si="174"/>
        <v>2.7386102525214229E-2</v>
      </c>
      <c r="CK280" s="5">
        <f>RANK(BY280,$BY$2:$BY$623)+COUNTIF($BY$2:$BY280,$BY280)-1</f>
        <v>125</v>
      </c>
      <c r="CL280" s="5">
        <f>RANK(CJ280,$CJ$2:$CJ$623)+COUNTIF($CJ$2:$CJ280,$CJ280)-1</f>
        <v>176</v>
      </c>
    </row>
    <row r="281" spans="1:90">
      <c r="A281" t="str">
        <f>Players!P282</f>
        <v>Matěj Vydra</v>
      </c>
      <c r="B281" t="str">
        <f>Players!G282</f>
        <v>Czech Republic</v>
      </c>
      <c r="C281" t="str">
        <f>Players!AB282</f>
        <v>Striker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2500000</v>
      </c>
      <c r="H281" s="16">
        <f>INDEX('Team forecast'!$B$2:$AO$26,MATCH('Master data'!$B281,'Team forecast'!$B$2:$B$26,0),MATCH('Master data'!H$1,'Team forecast'!$B$2:$AO$2,0))</f>
        <v>1.0683489057066333</v>
      </c>
      <c r="I281" s="16">
        <f>INDEX('Team forecast'!$B$2:$AO$26,MATCH('Master data'!$B281,'Team forecast'!$B$2:$B$26,0),MATCH('Master data'!I$1,'Team forecast'!$B$2:$AO$2,0))</f>
        <v>1.0237318402178264</v>
      </c>
      <c r="J281" s="16">
        <f>INDEX('Team forecast'!$B$2:$AO$26,MATCH('Master data'!$B281,'Team forecast'!$B$2:$B$26,0),MATCH('Master data'!J$1,'Team forecast'!$B$2:$AO$2,0))</f>
        <v>0.35925176528884672</v>
      </c>
      <c r="K281" s="16">
        <f>INDEX('Team forecast'!$B$2:$AO$26,MATCH('Master data'!$B281,'Team forecast'!$B$2:$B$26,0),MATCH('Master data'!K$1,'Team forecast'!$B$2:$AO$2,0))</f>
        <v>3.1557383060872861</v>
      </c>
      <c r="L281" s="16">
        <f>INDEX('Team forecast'!$B$2:$AO$26,MATCH('Master data'!$B281,'Team forecast'!$B$2:$B$26,0),MATCH('Master data'!L$1,'Team forecast'!$B$2:$AO$2,0))</f>
        <v>2.685366937656811</v>
      </c>
      <c r="M281">
        <f>IF(Players!BC282=1,95,0)</f>
        <v>0</v>
      </c>
      <c r="N281" s="2">
        <f>Players!BN282</f>
        <v>0</v>
      </c>
      <c r="O281" s="2">
        <f>Players!BO282</f>
        <v>0</v>
      </c>
      <c r="P281" s="2">
        <f>Players!BP282</f>
        <v>0</v>
      </c>
      <c r="Q281" s="2">
        <f>Players!BQ282</f>
        <v>0</v>
      </c>
      <c r="R281" s="2">
        <f>Players!BR282</f>
        <v>0</v>
      </c>
      <c r="S281" s="2">
        <f t="shared" si="133"/>
        <v>1.0683489057066333</v>
      </c>
      <c r="T281" s="2">
        <f t="shared" si="134"/>
        <v>1.0237318402178264</v>
      </c>
      <c r="U281" s="16">
        <f>INDEX('Team forecast'!$B$2:$AO$26,MATCH('Master data'!$B281,'Team forecast'!$B$2:$B$26,0),MATCH('Master data'!U$1,'Team forecast'!$B$2:$AO$2,0))</f>
        <v>0.35925176528884672</v>
      </c>
      <c r="V281" s="16">
        <f>INDEX('Team forecast'!$B$2:$AO$26,MATCH('Master data'!$B281,'Team forecast'!$B$2:$B$26,0),MATCH('Master data'!V$1,'Team forecast'!$B$2:$AO$2,0))</f>
        <v>0.31494404756988892</v>
      </c>
      <c r="W281" s="16">
        <f>INDEX('Team forecast'!$B$2:$AO$26,MATCH('Master data'!$B281,'Team forecast'!$B$2:$B$26,0),MATCH('Master data'!W$1,'Team forecast'!$B$2:$AO$2,0))</f>
        <v>0.32580418714126441</v>
      </c>
      <c r="X281" s="5">
        <f t="shared" si="135"/>
        <v>-5000</v>
      </c>
      <c r="Y281" s="5">
        <f t="shared" si="136"/>
        <v>0</v>
      </c>
      <c r="Z281" s="5">
        <f t="shared" si="137"/>
        <v>0</v>
      </c>
      <c r="AA281" s="5">
        <f t="shared" si="138"/>
        <v>0</v>
      </c>
      <c r="AB281" s="5">
        <f t="shared" si="139"/>
        <v>0</v>
      </c>
      <c r="AC281" s="5">
        <f t="shared" si="140"/>
        <v>0</v>
      </c>
      <c r="AD281" s="5">
        <f t="shared" si="141"/>
        <v>0</v>
      </c>
      <c r="AE281" s="5">
        <f t="shared" si="142"/>
        <v>0</v>
      </c>
      <c r="AF281" s="5">
        <f t="shared" si="143"/>
        <v>0</v>
      </c>
      <c r="AG281" s="5">
        <f t="shared" si="144"/>
        <v>0</v>
      </c>
      <c r="AH281" s="5">
        <f t="shared" si="145"/>
        <v>0</v>
      </c>
      <c r="AI281" s="5">
        <f t="shared" si="146"/>
        <v>0</v>
      </c>
      <c r="AJ281" s="5">
        <f t="shared" si="147"/>
        <v>0</v>
      </c>
      <c r="AK281" s="5">
        <f>IFERROR(SUM(X281:AJ281),-5000)*((Cockpit!$C$3)^0)</f>
        <v>-5000</v>
      </c>
      <c r="AL281" s="16">
        <f>INDEX('Team forecast'!$B$2:$AO$26,MATCH('Master data'!$B281,'Team forecast'!$B$2:$B$26,0),MATCH('Master data'!AL$1,'Team forecast'!$B$2:$AO$2,0))</f>
        <v>0.97920455728472433</v>
      </c>
      <c r="AM281" s="16">
        <f>INDEX('Team forecast'!$B$2:$AO$26,MATCH('Master data'!$B281,'Team forecast'!$B$2:$B$26,0),MATCH('Master data'!AM$1,'Team forecast'!$B$2:$AO$2,0))</f>
        <v>1.3846696653928885</v>
      </c>
      <c r="AN281" s="16">
        <f>INDEX('Team forecast'!$B$2:$AO$26,MATCH('Master data'!$B281,'Team forecast'!$B$2:$B$26,0),MATCH('Master data'!AN$1,'Team forecast'!$B$2:$AO$2,0))</f>
        <v>0.25040650406504072</v>
      </c>
      <c r="AO281" s="16">
        <f>INDEX('Team forecast'!$B$2:$AO$26,MATCH('Master data'!$B281,'Team forecast'!$B$2:$B$26,0),MATCH('Master data'!AO$1,'Team forecast'!$B$2:$AO$2,0))</f>
        <v>2.8924196153641089</v>
      </c>
      <c r="AP281" s="16">
        <f>INDEX('Team forecast'!$B$2:$AO$26,MATCH('Master data'!$B281,'Team forecast'!$B$2:$B$26,0),MATCH('Master data'!AP$1,'Team forecast'!$B$2:$AO$2,0))</f>
        <v>3.6321485695230544</v>
      </c>
      <c r="AQ281" s="5">
        <f t="shared" si="148"/>
        <v>-5000</v>
      </c>
      <c r="AR281" s="5">
        <f>INDEX('Team forecast'!$B$2:$AO$26,MATCH('Master data'!$B281,'Team forecast'!$B$2:$B$26,0),MATCH('Master data'!AR$1,'Team forecast'!$B$2:$AO$2,0))*IF(X281&gt;0,25000,0)</f>
        <v>0</v>
      </c>
      <c r="AS281" s="16">
        <f>INDEX('Team forecast'!$B$2:$AO$26,MATCH('Master data'!$B281,'Team forecast'!$B$2:$B$26,0),MATCH('Master data'!AS$1,'Team forecast'!$B$2:$AO$2,0))*IF(X281&gt;0,5000,0)</f>
        <v>0</v>
      </c>
      <c r="AT281" s="16">
        <f>INDEX('Team forecast'!$B$2:$AO$26,MATCH('Master data'!$B281,'Team forecast'!$B$2:$B$26,0),MATCH('Master data'!AT$1,'Team forecast'!$B$2:$AO$2,0))*IF(X281&gt;0,-15000,0)</f>
        <v>0</v>
      </c>
      <c r="AU281" s="5">
        <f t="shared" si="149"/>
        <v>0</v>
      </c>
      <c r="AV281" s="5">
        <f t="shared" si="150"/>
        <v>0</v>
      </c>
      <c r="AW281" s="5">
        <f t="shared" si="151"/>
        <v>0</v>
      </c>
      <c r="AX281" s="5">
        <f t="shared" si="152"/>
        <v>0</v>
      </c>
      <c r="AY281" s="5">
        <f t="shared" si="153"/>
        <v>0</v>
      </c>
      <c r="AZ281" s="5">
        <f t="shared" si="154"/>
        <v>0</v>
      </c>
      <c r="BA281" s="5">
        <f t="shared" si="155"/>
        <v>0</v>
      </c>
      <c r="BB281" s="5">
        <f t="shared" si="156"/>
        <v>0</v>
      </c>
      <c r="BC281" s="5">
        <f t="shared" si="157"/>
        <v>0</v>
      </c>
      <c r="BD281" s="5">
        <f t="shared" si="158"/>
        <v>-5000</v>
      </c>
      <c r="BE281" s="16">
        <f>INDEX('Team forecast'!$B$2:$AO$26,MATCH('Master data'!$B281,'Team forecast'!$B$2:$B$26,0),MATCH('Master data'!BE$1,'Team forecast'!$B$2:$AO$2,0))</f>
        <v>0.82586154259115363</v>
      </c>
      <c r="BF281" s="16">
        <f>INDEX('Team forecast'!$B$2:$AO$26,MATCH('Master data'!$B281,'Team forecast'!$B$2:$B$26,0),MATCH('Master data'!BF$1,'Team forecast'!$B$2:$AO$2,0))</f>
        <v>2.2346287595631029</v>
      </c>
      <c r="BG281" s="16">
        <f>INDEX('Team forecast'!$B$2:$AO$26,MATCH('Master data'!$B281,'Team forecast'!$B$2:$B$26,0),MATCH('Master data'!BG$1,'Team forecast'!$B$2:$AO$2,0))</f>
        <v>0.107031857031857</v>
      </c>
      <c r="BH281" s="16">
        <f>INDEX('Team forecast'!$B$2:$AO$26,MATCH('Master data'!$B281,'Team forecast'!$B$2:$B$26,0),MATCH('Master data'!BH$1,'Team forecast'!$B$2:$AO$2,0))</f>
        <v>2.4394679411923308</v>
      </c>
      <c r="BI281" s="16">
        <f>INDEX('Team forecast'!$B$2:$AO$26,MATCH('Master data'!$B281,'Team forecast'!$B$2:$B$26,0),MATCH('Master data'!BI$1,'Team forecast'!$B$2:$AO$2,0))</f>
        <v>5.8616895100097475</v>
      </c>
      <c r="BJ281" s="5">
        <f t="shared" si="159"/>
        <v>-5000</v>
      </c>
      <c r="BK281" s="5">
        <f>INDEX('Team forecast'!$R$3:$BH$26,MATCH($B281,'Team forecast'!$B$3:$B$26,0),MATCH(BK$1,'Team forecast'!$R$2:$BH$2,0))*IF($X281&gt;0,25000,0)</f>
        <v>0</v>
      </c>
      <c r="BL281" s="5">
        <f>INDEX('Team forecast'!$R$3:$BH$26,MATCH($B281,'Team forecast'!$B$3:$B$26,0),MATCH(BL$1,'Team forecast'!$R$2:$BH$2,0))*IF($X281&gt;0,5000,0)</f>
        <v>0</v>
      </c>
      <c r="BM281" s="5">
        <f>INDEX('Team forecast'!$R$3:$BH$26,MATCH($B281,'Team forecast'!$B$3:$B$26,0),MATCH(BM$1,'Team forecast'!$R$2:$BH$2,0))*IF($X281&gt;0,-15000,0)</f>
        <v>0</v>
      </c>
      <c r="BN281" s="5">
        <f t="shared" si="160"/>
        <v>0</v>
      </c>
      <c r="BO281" s="5">
        <f t="shared" si="161"/>
        <v>0</v>
      </c>
      <c r="BP281" s="5">
        <f t="shared" si="162"/>
        <v>0</v>
      </c>
      <c r="BQ281" s="5">
        <f t="shared" si="163"/>
        <v>0</v>
      </c>
      <c r="BR281" s="5">
        <f t="shared" si="164"/>
        <v>0</v>
      </c>
      <c r="BS281" s="5">
        <f t="shared" si="165"/>
        <v>0</v>
      </c>
      <c r="BT281" s="5">
        <f t="shared" si="166"/>
        <v>0</v>
      </c>
      <c r="BU281" s="5">
        <f t="shared" si="167"/>
        <v>0</v>
      </c>
      <c r="BV281" s="5">
        <f t="shared" si="168"/>
        <v>0</v>
      </c>
      <c r="BW281" s="5">
        <f t="shared" si="169"/>
        <v>-5000</v>
      </c>
      <c r="BX281" s="5">
        <f t="shared" si="170"/>
        <v>-5000</v>
      </c>
      <c r="BY281" s="5">
        <f t="shared" si="171"/>
        <v>-15000</v>
      </c>
      <c r="BZ281" s="5">
        <f>INDEX('Team forecast'!$R$3:$BH$26,MATCH($B281,'Team forecast'!$B$3:$B$26,0),MATCH(BZ$1,'Team forecast'!$R$2:$BH$2,0))*($BX281-(BY281+CH281)*0.01)</f>
        <v>-15150.643165007992</v>
      </c>
      <c r="CA281" s="5">
        <f>INDEX('Team forecast'!$R$3:$BH$26,MATCH($B281,'Team forecast'!$B$3:$B$26,0),MATCH(CA$1,'Team forecast'!$R$2:$BH$2,0))*($BX281-(BY281+BX281+CH281)*0.01)</f>
        <v>-7435.4217592197765</v>
      </c>
      <c r="CB281" s="5">
        <f>INDEX('Team forecast'!$R$3:$BH$26,MATCH($B281,'Team forecast'!$B$3:$B$26,0),MATCH(CB$1,'Team forecast'!$R$2:$BH$2,0))*($BX281-(BY281+BX281*2+CH281)*0.01)</f>
        <v>-3591.9461436557754</v>
      </c>
      <c r="CC281" s="5">
        <f>INDEX('Team forecast'!$R$3:$BH$26,MATCH($B281,'Team forecast'!$B$3:$B$26,0),MATCH(CC$1,'Team forecast'!$R$2:$BH$2,0))*($BX281-(BY281+BX281*3+CH281)*0.01)</f>
        <v>-1639.0867892200877</v>
      </c>
      <c r="CD281" s="5">
        <f>+AK281+BD281*Cockpit!$C$3+BW281*Cockpit!$C$3^2+BZ281*Cockpit!$C$3^3+CA281*Cockpit!$C$3^4+CB281*Cockpit!$C$3^5+CC281*Cockpit!$C$3^6</f>
        <v>-17130.271661550636</v>
      </c>
      <c r="CE281" s="5"/>
      <c r="CF281" s="5"/>
      <c r="CG281" s="5">
        <v>0</v>
      </c>
      <c r="CH281" s="5">
        <f t="shared" si="172"/>
        <v>2500000</v>
      </c>
      <c r="CI281" s="5">
        <f t="shared" si="173"/>
        <v>2500000</v>
      </c>
      <c r="CJ281" s="1">
        <f t="shared" si="174"/>
        <v>-6.0000000000000001E-3</v>
      </c>
      <c r="CK281" s="5">
        <f>RANK(BY281,$BY$2:$BY$623)+COUNTIF($BY$2:$BY281,$BY281)-1</f>
        <v>503</v>
      </c>
      <c r="CL281" s="5">
        <f>RANK(CJ281,$CJ$2:$CJ$623)+COUNTIF($CJ$2:$CJ281,$CJ281)-1</f>
        <v>535</v>
      </c>
    </row>
    <row r="282" spans="1:90">
      <c r="A282" t="str">
        <f>Players!P283</f>
        <v>Çağlar Söyüncü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0.65422581624273402</v>
      </c>
      <c r="I282" s="16">
        <f>INDEX('Team forecast'!$B$2:$AO$26,MATCH('Master data'!$B282,'Team forecast'!$B$2:$B$26,0),MATCH('Master data'!I$1,'Team forecast'!$B$2:$AO$2,0))</f>
        <v>1.6593477618235051</v>
      </c>
      <c r="J282" s="16">
        <f>INDEX('Team forecast'!$B$2:$AO$26,MATCH('Master data'!$B282,'Team forecast'!$B$2:$B$26,0),MATCH('Master data'!J$1,'Team forecast'!$B$2:$AO$2,0))</f>
        <v>0.19026303645592979</v>
      </c>
      <c r="K282" s="16">
        <f>INDEX('Team forecast'!$B$2:$AO$26,MATCH('Master data'!$B282,'Team forecast'!$B$2:$B$26,0),MATCH('Master data'!K$1,'Team forecast'!$B$2:$AO$2,0))</f>
        <v>1.7429374799138486</v>
      </c>
      <c r="L282" s="16">
        <f>INDEX('Team forecast'!$B$2:$AO$26,MATCH('Master data'!$B282,'Team forecast'!$B$2:$B$26,0),MATCH('Master data'!L$1,'Team forecast'!$B$2:$AO$2,0))</f>
        <v>4.1860818536911157</v>
      </c>
      <c r="M282">
        <f>IF(Players!BC283=1,95,0)</f>
        <v>95</v>
      </c>
      <c r="N282" s="2">
        <f>Players!BN283</f>
        <v>3.3722712881870398E-2</v>
      </c>
      <c r="O282" s="2">
        <f>Players!BO283</f>
        <v>2.4931092065731211E-2</v>
      </c>
      <c r="P282" s="2">
        <f>Players!BP283</f>
        <v>2.8962258945668777E-2</v>
      </c>
      <c r="Q282" s="2">
        <f>Players!BQ283</f>
        <v>0.19455947136563875</v>
      </c>
      <c r="R282" s="2">
        <f>Players!BR283</f>
        <v>0</v>
      </c>
      <c r="S282" s="2">
        <f t="shared" si="133"/>
        <v>0.65422581624273402</v>
      </c>
      <c r="T282" s="2">
        <f t="shared" si="134"/>
        <v>1.6593477618235051</v>
      </c>
      <c r="U282" s="16">
        <f>INDEX('Team forecast'!$B$2:$AO$26,MATCH('Master data'!$B282,'Team forecast'!$B$2:$B$26,0),MATCH('Master data'!U$1,'Team forecast'!$B$2:$AO$2,0))</f>
        <v>0.13590216889709281</v>
      </c>
      <c r="V282" s="16">
        <f>INDEX('Team forecast'!$B$2:$AO$26,MATCH('Master data'!$B282,'Team forecast'!$B$2:$B$26,0),MATCH('Master data'!V$1,'Team forecast'!$B$2:$AO$2,0))</f>
        <v>0.25034610059990769</v>
      </c>
      <c r="W282" s="16">
        <f>INDEX('Team forecast'!$B$2:$AO$26,MATCH('Master data'!$B282,'Team forecast'!$B$2:$B$26,0),MATCH('Master data'!W$1,'Team forecast'!$B$2:$AO$2,0))</f>
        <v>0.61375173050299947</v>
      </c>
      <c r="X282" s="5">
        <f t="shared" si="135"/>
        <v>7000</v>
      </c>
      <c r="Y282" s="5">
        <f t="shared" si="136"/>
        <v>3397.5542224273204</v>
      </c>
      <c r="Z282" s="5">
        <f t="shared" si="137"/>
        <v>1251.7305029995384</v>
      </c>
      <c r="AA282" s="5">
        <f t="shared" si="138"/>
        <v>-9206.2759575449927</v>
      </c>
      <c r="AB282" s="5">
        <f t="shared" si="139"/>
        <v>3309.3404041591534</v>
      </c>
      <c r="AC282" s="5">
        <f t="shared" si="140"/>
        <v>815.5282028262875</v>
      </c>
      <c r="AD282" s="5">
        <f t="shared" si="141"/>
        <v>504.79406619376255</v>
      </c>
      <c r="AE282" s="5">
        <f t="shared" si="142"/>
        <v>9513.1518227964898</v>
      </c>
      <c r="AF282" s="5">
        <f t="shared" si="143"/>
        <v>0</v>
      </c>
      <c r="AG282" s="5">
        <f t="shared" si="144"/>
        <v>-3891.189427312775</v>
      </c>
      <c r="AH282" s="5">
        <f t="shared" si="145"/>
        <v>0</v>
      </c>
      <c r="AI282" s="5">
        <f t="shared" si="146"/>
        <v>6542.2581624273398</v>
      </c>
      <c r="AJ282" s="5">
        <f t="shared" si="147"/>
        <v>-13274.782094588041</v>
      </c>
      <c r="AK282" s="5">
        <f>IFERROR(SUM(X282:AJ282),-5000)*((Cockpit!$C$3)^0)</f>
        <v>5962.1099043840804</v>
      </c>
      <c r="AL282" s="16">
        <f>INDEX('Team forecast'!$B$2:$AO$26,MATCH('Master data'!$B282,'Team forecast'!$B$2:$B$26,0),MATCH('Master data'!AL$1,'Team forecast'!$B$2:$AO$2,0))</f>
        <v>1.2847203648825669</v>
      </c>
      <c r="AM282" s="16">
        <f>INDEX('Team forecast'!$B$2:$AO$26,MATCH('Master data'!$B282,'Team forecast'!$B$2:$B$26,0),MATCH('Master data'!AM$1,'Team forecast'!$B$2:$AO$2,0))</f>
        <v>1.0279287794501248</v>
      </c>
      <c r="AN282" s="16">
        <f>INDEX('Team forecast'!$B$2:$AO$26,MATCH('Master data'!$B282,'Team forecast'!$B$2:$B$26,0),MATCH('Master data'!AN$1,'Team forecast'!$B$2:$AO$2,0))</f>
        <v>0.35774716702311499</v>
      </c>
      <c r="AO282" s="16">
        <f>INDEX('Team forecast'!$B$2:$AO$26,MATCH('Master data'!$B282,'Team forecast'!$B$2:$B$26,0),MATCH('Master data'!AO$1,'Team forecast'!$B$2:$AO$2,0))</f>
        <v>3.4226519644581361</v>
      </c>
      <c r="AP282" s="16">
        <f>INDEX('Team forecast'!$B$2:$AO$26,MATCH('Master data'!$B282,'Team forecast'!$B$2:$B$26,0),MATCH('Master data'!AP$1,'Team forecast'!$B$2:$AO$2,0))</f>
        <v>2.5931839663400877</v>
      </c>
      <c r="AQ282" s="5">
        <f t="shared" si="148"/>
        <v>7000</v>
      </c>
      <c r="AR282" s="5">
        <f>INDEX('Team forecast'!$B$2:$AO$26,MATCH('Master data'!$B282,'Team forecast'!$B$2:$B$26,0),MATCH('Master data'!AR$1,'Team forecast'!$B$2:$AO$2,0))*IF(X282&gt;0,25000,0)</f>
        <v>10691.761923531732</v>
      </c>
      <c r="AS282" s="16">
        <f>INDEX('Team forecast'!$B$2:$AO$26,MATCH('Master data'!$B282,'Team forecast'!$B$2:$B$26,0),MATCH('Master data'!AS$1,'Team forecast'!$B$2:$AO$2,0))*IF(X282&gt;0,5000,0)</f>
        <v>1517.5404020496649</v>
      </c>
      <c r="AT282" s="16">
        <f>INDEX('Team forecast'!$B$2:$AO$26,MATCH('Master data'!$B282,'Team forecast'!$B$2:$B$26,0),MATCH('Master data'!AT$1,'Team forecast'!$B$2:$AO$2,0))*IF(X282&gt;0,-15000,0)</f>
        <v>-4032.3216397319688</v>
      </c>
      <c r="AU282" s="5">
        <f t="shared" si="149"/>
        <v>6498.6383997639869</v>
      </c>
      <c r="AV282" s="5">
        <f t="shared" si="150"/>
        <v>1601.4740847803535</v>
      </c>
      <c r="AW282" s="5">
        <f t="shared" si="151"/>
        <v>991.27732475538471</v>
      </c>
      <c r="AX282" s="5">
        <f t="shared" si="152"/>
        <v>17887.358351155748</v>
      </c>
      <c r="AY282" s="5">
        <f t="shared" si="153"/>
        <v>0</v>
      </c>
      <c r="AZ282" s="5">
        <f t="shared" si="154"/>
        <v>-3891.189427312775</v>
      </c>
      <c r="BA282" s="5">
        <f t="shared" si="155"/>
        <v>0</v>
      </c>
      <c r="BB282" s="5">
        <f t="shared" si="156"/>
        <v>12847.203648825669</v>
      </c>
      <c r="BC282" s="5">
        <f t="shared" si="157"/>
        <v>-8223.4302356009994</v>
      </c>
      <c r="BD282" s="5">
        <f t="shared" si="158"/>
        <v>42888.312832216798</v>
      </c>
      <c r="BE282" s="16">
        <f>INDEX('Team forecast'!$B$2:$AO$26,MATCH('Master data'!$B282,'Team forecast'!$B$2:$B$26,0),MATCH('Master data'!BE$1,'Team forecast'!$B$2:$AO$2,0))</f>
        <v>1.2246875509143662</v>
      </c>
      <c r="BF282" s="16">
        <f>INDEX('Team forecast'!$B$2:$AO$26,MATCH('Master data'!$B282,'Team forecast'!$B$2:$B$26,0),MATCH('Master data'!BF$1,'Team forecast'!$B$2:$AO$2,0))</f>
        <v>1.3677883945550393</v>
      </c>
      <c r="BG282" s="16">
        <f>INDEX('Team forecast'!$B$2:$AO$26,MATCH('Master data'!$B282,'Team forecast'!$B$2:$B$26,0),MATCH('Master data'!BG$1,'Team forecast'!$B$2:$AO$2,0))</f>
        <v>0.25466956579034061</v>
      </c>
      <c r="BH282" s="16">
        <f>INDEX('Team forecast'!$B$2:$AO$26,MATCH('Master data'!$B282,'Team forecast'!$B$2:$B$26,0),MATCH('Master data'!BH$1,'Team forecast'!$B$2:$AO$2,0))</f>
        <v>3.2627172157947619</v>
      </c>
      <c r="BI282" s="16">
        <f>INDEX('Team forecast'!$B$2:$AO$26,MATCH('Master data'!$B282,'Team forecast'!$B$2:$B$26,0),MATCH('Master data'!BI$1,'Team forecast'!$B$2:$AO$2,0))</f>
        <v>3.4505570862638493</v>
      </c>
      <c r="BJ282" s="5">
        <f t="shared" si="159"/>
        <v>7000</v>
      </c>
      <c r="BK282" s="5">
        <f>INDEX('Team forecast'!$R$3:$BH$26,MATCH($B282,'Team forecast'!$B$3:$B$26,0),MATCH(BK$1,'Team forecast'!$R$2:$BH$2,0))*IF($X282&gt;0,25000,0)</f>
        <v>8232.8523423601509</v>
      </c>
      <c r="BL282" s="5">
        <f>INDEX('Team forecast'!$R$3:$BH$26,MATCH($B282,'Team forecast'!$B$3:$B$26,0),MATCH(BL$1,'Team forecast'!$R$2:$BH$2,0))*IF($X282&gt;0,5000,0)</f>
        <v>1404.4277525202608</v>
      </c>
      <c r="BM282" s="5">
        <f>INDEX('Team forecast'!$R$3:$BH$26,MATCH($B282,'Team forecast'!$B$3:$B$26,0),MATCH(BM$1,'Team forecast'!$R$2:$BH$2,0))*IF($X282&gt;0,-15000,0)</f>
        <v>-5847.0053370231253</v>
      </c>
      <c r="BN282" s="5">
        <f t="shared" si="160"/>
        <v>6194.9679974229311</v>
      </c>
      <c r="BO282" s="5">
        <f t="shared" si="161"/>
        <v>1526.6399041800471</v>
      </c>
      <c r="BP282" s="5">
        <f t="shared" si="162"/>
        <v>944.95660870339361</v>
      </c>
      <c r="BQ282" s="5">
        <f t="shared" si="163"/>
        <v>12733.47828951703</v>
      </c>
      <c r="BR282" s="5">
        <f t="shared" si="164"/>
        <v>0</v>
      </c>
      <c r="BS282" s="5">
        <f t="shared" si="165"/>
        <v>-3891.189427312775</v>
      </c>
      <c r="BT282" s="5">
        <f t="shared" si="166"/>
        <v>0</v>
      </c>
      <c r="BU282" s="5">
        <f t="shared" si="167"/>
        <v>12246.875509143661</v>
      </c>
      <c r="BV282" s="5">
        <f t="shared" si="168"/>
        <v>-10942.307156440314</v>
      </c>
      <c r="BW282" s="5">
        <f t="shared" si="169"/>
        <v>29603.69648307126</v>
      </c>
      <c r="BX282" s="5">
        <f t="shared" si="170"/>
        <v>26151.373073224047</v>
      </c>
      <c r="BY282" s="5">
        <f t="shared" si="171"/>
        <v>78454.119219672139</v>
      </c>
      <c r="BZ282" s="5">
        <f>INDEX('Team forecast'!$R$3:$BH$26,MATCH($B282,'Team forecast'!$B$3:$B$26,0),MATCH(BZ$1,'Team forecast'!$R$2:$BH$2,0))*($BX282-(BY282+CH282)*0.01)</f>
        <v>-2799.5324596811947</v>
      </c>
      <c r="CA282" s="5">
        <f>INDEX('Team forecast'!$R$3:$BH$26,MATCH($B282,'Team forecast'!$B$3:$B$26,0),MATCH(CA$1,'Team forecast'!$R$2:$BH$2,0))*($BX282-(BY282+BX282+CH282)*0.01)</f>
        <v>-1458.031347101517</v>
      </c>
      <c r="CB282" s="5">
        <f>INDEX('Team forecast'!$R$3:$BH$26,MATCH($B282,'Team forecast'!$B$3:$B$26,0),MATCH(CB$1,'Team forecast'!$R$2:$BH$2,0))*($BX282-(BY282+BX282*2+CH282)*0.01)</f>
        <v>-747.39968840574068</v>
      </c>
      <c r="CC282" s="5">
        <f>INDEX('Team forecast'!$R$3:$BH$26,MATCH($B282,'Team forecast'!$B$3:$B$26,0),MATCH(CC$1,'Team forecast'!$R$2:$BH$2,0))*($BX282-(BY282+BX282*3+CH282)*0.01)</f>
        <v>-364.78904106113623</v>
      </c>
      <c r="CD282" s="5">
        <f>+AK282+BD282*Cockpit!$C$3+BW282*Cockpit!$C$3^2+BZ282*Cockpit!$C$3^3+CA282*Cockpit!$C$3^4+CB282*Cockpit!$C$3^5+CC282*Cockpit!$C$3^6</f>
        <v>46463.571225349551</v>
      </c>
      <c r="CE282" s="5"/>
      <c r="CF282" s="5"/>
      <c r="CG282" s="5">
        <v>0</v>
      </c>
      <c r="CH282" s="5">
        <f t="shared" si="172"/>
        <v>3000000</v>
      </c>
      <c r="CI282" s="5">
        <f t="shared" si="173"/>
        <v>3000000</v>
      </c>
      <c r="CJ282" s="1">
        <f t="shared" si="174"/>
        <v>2.6151373073224047E-2</v>
      </c>
      <c r="CK282" s="5">
        <f>RANK(BY282,$BY$2:$BY$623)+COUNTIF($BY$2:$BY282,$BY282)-1</f>
        <v>217</v>
      </c>
      <c r="CL282" s="5">
        <f>RANK(CJ282,$CJ$2:$CJ$623)+COUNTIF($CJ$2:$CJ282,$CJ282)-1</f>
        <v>190</v>
      </c>
    </row>
    <row r="283" spans="1:90">
      <c r="A283" t="str">
        <f>Players!P284</f>
        <v>Ozan Kabak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0.65422581624273402</v>
      </c>
      <c r="I283" s="16">
        <f>INDEX('Team forecast'!$B$2:$AO$26,MATCH('Master data'!$B283,'Team forecast'!$B$2:$B$26,0),MATCH('Master data'!I$1,'Team forecast'!$B$2:$AO$2,0))</f>
        <v>1.6593477618235051</v>
      </c>
      <c r="J283" s="16">
        <f>INDEX('Team forecast'!$B$2:$AO$26,MATCH('Master data'!$B283,'Team forecast'!$B$2:$B$26,0),MATCH('Master data'!J$1,'Team forecast'!$B$2:$AO$2,0))</f>
        <v>0.19026303645592979</v>
      </c>
      <c r="K283" s="16">
        <f>INDEX('Team forecast'!$B$2:$AO$26,MATCH('Master data'!$B283,'Team forecast'!$B$2:$B$26,0),MATCH('Master data'!K$1,'Team forecast'!$B$2:$AO$2,0))</f>
        <v>1.7429374799138486</v>
      </c>
      <c r="L283" s="16">
        <f>INDEX('Team forecast'!$B$2:$AO$26,MATCH('Master data'!$B283,'Team forecast'!$B$2:$B$26,0),MATCH('Master data'!L$1,'Team forecast'!$B$2:$AO$2,0))</f>
        <v>4.1860818536911157</v>
      </c>
      <c r="M283">
        <f>IF(Players!BC284=1,95,0)</f>
        <v>0</v>
      </c>
      <c r="N283" s="2">
        <f>Players!BN284</f>
        <v>0</v>
      </c>
      <c r="O283" s="2">
        <f>Players!BO284</f>
        <v>0</v>
      </c>
      <c r="P283" s="2">
        <f>Players!BP284</f>
        <v>0</v>
      </c>
      <c r="Q283" s="2">
        <f>Players!BQ284</f>
        <v>0.15380859375</v>
      </c>
      <c r="R283" s="2">
        <f>Players!BR284</f>
        <v>4.39453125E-2</v>
      </c>
      <c r="S283" s="2">
        <f t="shared" si="133"/>
        <v>0.65422581624273402</v>
      </c>
      <c r="T283" s="2">
        <f t="shared" si="134"/>
        <v>1.6593477618235051</v>
      </c>
      <c r="U283" s="16">
        <f>INDEX('Team forecast'!$B$2:$AO$26,MATCH('Master data'!$B283,'Team forecast'!$B$2:$B$26,0),MATCH('Master data'!U$1,'Team forecast'!$B$2:$AO$2,0))</f>
        <v>0.13590216889709281</v>
      </c>
      <c r="V283" s="16">
        <f>INDEX('Team forecast'!$B$2:$AO$26,MATCH('Master data'!$B283,'Team forecast'!$B$2:$B$26,0),MATCH('Master data'!V$1,'Team forecast'!$B$2:$AO$2,0))</f>
        <v>0.25034610059990769</v>
      </c>
      <c r="W283" s="16">
        <f>INDEX('Team forecast'!$B$2:$AO$26,MATCH('Master data'!$B283,'Team forecast'!$B$2:$B$26,0),MATCH('Master data'!W$1,'Team forecast'!$B$2:$AO$2,0))</f>
        <v>0.61375173050299947</v>
      </c>
      <c r="X283" s="5">
        <f t="shared" si="135"/>
        <v>-5000</v>
      </c>
      <c r="Y283" s="5">
        <f t="shared" si="136"/>
        <v>0</v>
      </c>
      <c r="Z283" s="5">
        <f t="shared" si="137"/>
        <v>0</v>
      </c>
      <c r="AA283" s="5">
        <f t="shared" si="138"/>
        <v>0</v>
      </c>
      <c r="AB283" s="5">
        <f t="shared" si="139"/>
        <v>0</v>
      </c>
      <c r="AC283" s="5">
        <f t="shared" si="140"/>
        <v>0</v>
      </c>
      <c r="AD283" s="5">
        <f t="shared" si="141"/>
        <v>0</v>
      </c>
      <c r="AE283" s="5">
        <f t="shared" si="142"/>
        <v>9513.1518227964898</v>
      </c>
      <c r="AF283" s="5">
        <f t="shared" si="143"/>
        <v>0</v>
      </c>
      <c r="AG283" s="5">
        <f t="shared" si="144"/>
        <v>0</v>
      </c>
      <c r="AH283" s="5">
        <f t="shared" si="145"/>
        <v>0</v>
      </c>
      <c r="AI283" s="5">
        <f t="shared" si="146"/>
        <v>0</v>
      </c>
      <c r="AJ283" s="5">
        <f t="shared" si="147"/>
        <v>0</v>
      </c>
      <c r="AK283" s="5">
        <f>IFERROR(SUM(X283:AJ283),-5000)*((Cockpit!$C$3)^0)</f>
        <v>4513.1518227964898</v>
      </c>
      <c r="AL283" s="16">
        <f>INDEX('Team forecast'!$B$2:$AO$26,MATCH('Master data'!$B283,'Team forecast'!$B$2:$B$26,0),MATCH('Master data'!AL$1,'Team forecast'!$B$2:$AO$2,0))</f>
        <v>1.2847203648825669</v>
      </c>
      <c r="AM283" s="16">
        <f>INDEX('Team forecast'!$B$2:$AO$26,MATCH('Master data'!$B283,'Team forecast'!$B$2:$B$26,0),MATCH('Master data'!AM$1,'Team forecast'!$B$2:$AO$2,0))</f>
        <v>1.0279287794501248</v>
      </c>
      <c r="AN283" s="16">
        <f>INDEX('Team forecast'!$B$2:$AO$26,MATCH('Master data'!$B283,'Team forecast'!$B$2:$B$26,0),MATCH('Master data'!AN$1,'Team forecast'!$B$2:$AO$2,0))</f>
        <v>0.35774716702311499</v>
      </c>
      <c r="AO283" s="16">
        <f>INDEX('Team forecast'!$B$2:$AO$26,MATCH('Master data'!$B283,'Team forecast'!$B$2:$B$26,0),MATCH('Master data'!AO$1,'Team forecast'!$B$2:$AO$2,0))</f>
        <v>3.4226519644581361</v>
      </c>
      <c r="AP283" s="16">
        <f>INDEX('Team forecast'!$B$2:$AO$26,MATCH('Master data'!$B283,'Team forecast'!$B$2:$B$26,0),MATCH('Master data'!AP$1,'Team forecast'!$B$2:$AO$2,0))</f>
        <v>2.5931839663400877</v>
      </c>
      <c r="AQ283" s="5">
        <f t="shared" si="148"/>
        <v>-5000</v>
      </c>
      <c r="AR283" s="5">
        <f>INDEX('Team forecast'!$B$2:$AO$26,MATCH('Master data'!$B283,'Team forecast'!$B$2:$B$26,0),MATCH('Master data'!AR$1,'Team forecast'!$B$2:$AO$2,0))*IF(X283&gt;0,25000,0)</f>
        <v>0</v>
      </c>
      <c r="AS283" s="16">
        <f>INDEX('Team forecast'!$B$2:$AO$26,MATCH('Master data'!$B283,'Team forecast'!$B$2:$B$26,0),MATCH('Master data'!AS$1,'Team forecast'!$B$2:$AO$2,0))*IF(X283&gt;0,5000,0)</f>
        <v>0</v>
      </c>
      <c r="AT283" s="16">
        <f>INDEX('Team forecast'!$B$2:$AO$26,MATCH('Master data'!$B283,'Team forecast'!$B$2:$B$26,0),MATCH('Master data'!AT$1,'Team forecast'!$B$2:$AO$2,0))*IF(X283&gt;0,-15000,0)</f>
        <v>0</v>
      </c>
      <c r="AU283" s="5">
        <f t="shared" si="149"/>
        <v>0</v>
      </c>
      <c r="AV283" s="5">
        <f t="shared" si="150"/>
        <v>0</v>
      </c>
      <c r="AW283" s="5">
        <f t="shared" si="151"/>
        <v>0</v>
      </c>
      <c r="AX283" s="5">
        <f t="shared" si="152"/>
        <v>17887.358351155748</v>
      </c>
      <c r="AY283" s="5">
        <f t="shared" si="153"/>
        <v>0</v>
      </c>
      <c r="AZ283" s="5">
        <f t="shared" si="154"/>
        <v>0</v>
      </c>
      <c r="BA283" s="5">
        <f t="shared" si="155"/>
        <v>0</v>
      </c>
      <c r="BB283" s="5">
        <f t="shared" si="156"/>
        <v>0</v>
      </c>
      <c r="BC283" s="5">
        <f t="shared" si="157"/>
        <v>0</v>
      </c>
      <c r="BD283" s="5">
        <f t="shared" si="158"/>
        <v>12887.358351155748</v>
      </c>
      <c r="BE283" s="16">
        <f>INDEX('Team forecast'!$B$2:$AO$26,MATCH('Master data'!$B283,'Team forecast'!$B$2:$B$26,0),MATCH('Master data'!BE$1,'Team forecast'!$B$2:$AO$2,0))</f>
        <v>1.2246875509143662</v>
      </c>
      <c r="BF283" s="16">
        <f>INDEX('Team forecast'!$B$2:$AO$26,MATCH('Master data'!$B283,'Team forecast'!$B$2:$B$26,0),MATCH('Master data'!BF$1,'Team forecast'!$B$2:$AO$2,0))</f>
        <v>1.3677883945550393</v>
      </c>
      <c r="BG283" s="16">
        <f>INDEX('Team forecast'!$B$2:$AO$26,MATCH('Master data'!$B283,'Team forecast'!$B$2:$B$26,0),MATCH('Master data'!BG$1,'Team forecast'!$B$2:$AO$2,0))</f>
        <v>0.25466956579034061</v>
      </c>
      <c r="BH283" s="16">
        <f>INDEX('Team forecast'!$B$2:$AO$26,MATCH('Master data'!$B283,'Team forecast'!$B$2:$B$26,0),MATCH('Master data'!BH$1,'Team forecast'!$B$2:$AO$2,0))</f>
        <v>3.2627172157947619</v>
      </c>
      <c r="BI283" s="16">
        <f>INDEX('Team forecast'!$B$2:$AO$26,MATCH('Master data'!$B283,'Team forecast'!$B$2:$B$26,0),MATCH('Master data'!BI$1,'Team forecast'!$B$2:$AO$2,0))</f>
        <v>3.4505570862638493</v>
      </c>
      <c r="BJ283" s="5">
        <f t="shared" si="159"/>
        <v>-5000</v>
      </c>
      <c r="BK283" s="5">
        <f>INDEX('Team forecast'!$R$3:$BH$26,MATCH($B283,'Team forecast'!$B$3:$B$26,0),MATCH(BK$1,'Team forecast'!$R$2:$BH$2,0))*IF($X283&gt;0,25000,0)</f>
        <v>0</v>
      </c>
      <c r="BL283" s="5">
        <f>INDEX('Team forecast'!$R$3:$BH$26,MATCH($B283,'Team forecast'!$B$3:$B$26,0),MATCH(BL$1,'Team forecast'!$R$2:$BH$2,0))*IF($X283&gt;0,5000,0)</f>
        <v>0</v>
      </c>
      <c r="BM283" s="5">
        <f>INDEX('Team forecast'!$R$3:$BH$26,MATCH($B283,'Team forecast'!$B$3:$B$26,0),MATCH(BM$1,'Team forecast'!$R$2:$BH$2,0))*IF($X283&gt;0,-15000,0)</f>
        <v>0</v>
      </c>
      <c r="BN283" s="5">
        <f t="shared" si="160"/>
        <v>0</v>
      </c>
      <c r="BO283" s="5">
        <f t="shared" si="161"/>
        <v>0</v>
      </c>
      <c r="BP283" s="5">
        <f t="shared" si="162"/>
        <v>0</v>
      </c>
      <c r="BQ283" s="5">
        <f t="shared" si="163"/>
        <v>12733.47828951703</v>
      </c>
      <c r="BR283" s="5">
        <f t="shared" si="164"/>
        <v>0</v>
      </c>
      <c r="BS283" s="5">
        <f t="shared" si="165"/>
        <v>0</v>
      </c>
      <c r="BT283" s="5">
        <f t="shared" si="166"/>
        <v>0</v>
      </c>
      <c r="BU283" s="5">
        <f t="shared" si="167"/>
        <v>0</v>
      </c>
      <c r="BV283" s="5">
        <f t="shared" si="168"/>
        <v>0</v>
      </c>
      <c r="BW283" s="5">
        <f t="shared" si="169"/>
        <v>7733.4782895170301</v>
      </c>
      <c r="BX283" s="5">
        <f t="shared" si="170"/>
        <v>8377.9961544897542</v>
      </c>
      <c r="BY283" s="5">
        <f t="shared" si="171"/>
        <v>25133.988463469264</v>
      </c>
      <c r="BZ283" s="5">
        <f>INDEX('Team forecast'!$R$3:$BH$26,MATCH($B283,'Team forecast'!$B$3:$B$26,0),MATCH(BZ$1,'Team forecast'!$R$2:$BH$2,0))*($BX283-(BY283+CH283)*0.01)</f>
        <v>-13216.68763184936</v>
      </c>
      <c r="CA283" s="5">
        <f>INDEX('Team forecast'!$R$3:$BH$26,MATCH($B283,'Team forecast'!$B$3:$B$26,0),MATCH(CA$1,'Team forecast'!$R$2:$BH$2,0))*($BX283-(BY283+BX283+CH283)*0.01)</f>
        <v>-6540.6037854327942</v>
      </c>
      <c r="CB283" s="5">
        <f>INDEX('Team forecast'!$R$3:$BH$26,MATCH($B283,'Team forecast'!$B$3:$B$26,0),MATCH(CB$1,'Team forecast'!$R$2:$BH$2,0))*($BX283-(BY283+BX283*2+CH283)*0.01)</f>
        <v>-3194.8680506048472</v>
      </c>
      <c r="CC283" s="5">
        <f>INDEX('Team forecast'!$R$3:$BH$26,MATCH($B283,'Team forecast'!$B$3:$B$26,0),MATCH(CC$1,'Team forecast'!$R$2:$BH$2,0))*($BX283-(BY283+BX283*3+CH283)*0.01)</f>
        <v>-1489.7148695256274</v>
      </c>
      <c r="CD283" s="5">
        <f>+AK283+BD283*Cockpit!$C$3+BW283*Cockpit!$C$3^2+BZ283*Cockpit!$C$3^3+CA283*Cockpit!$C$3^4+CB283*Cockpit!$C$3^5+CC283*Cockpit!$C$3^6</f>
        <v>10782.291145671279</v>
      </c>
      <c r="CE283" s="5"/>
      <c r="CF283" s="5"/>
      <c r="CG283" s="5">
        <v>0</v>
      </c>
      <c r="CH283" s="5">
        <f t="shared" si="172"/>
        <v>3000000</v>
      </c>
      <c r="CI283" s="5">
        <f t="shared" si="173"/>
        <v>3000000</v>
      </c>
      <c r="CJ283" s="1">
        <f t="shared" si="174"/>
        <v>8.3779961544897547E-3</v>
      </c>
      <c r="CK283" s="5">
        <f>RANK(BY283,$BY$2:$BY$623)+COUNTIF($BY$2:$BY283,$BY283)-1</f>
        <v>363</v>
      </c>
      <c r="CL283" s="5">
        <f>RANK(CJ283,$CJ$2:$CJ$623)+COUNTIF($CJ$2:$CJ283,$CJ283)-1</f>
        <v>374</v>
      </c>
    </row>
    <row r="284" spans="1:90">
      <c r="A284" t="str">
        <f>Players!P285</f>
        <v>Merih Demiral</v>
      </c>
      <c r="B284" t="str">
        <f>Players!G285</f>
        <v>Turkey</v>
      </c>
      <c r="C284" t="str">
        <f>Players!AB285</f>
        <v>Defense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3000000</v>
      </c>
      <c r="H284" s="16">
        <f>INDEX('Team forecast'!$B$2:$AO$26,MATCH('Master data'!$B284,'Team forecast'!$B$2:$B$26,0),MATCH('Master data'!H$1,'Team forecast'!$B$2:$AO$2,0))</f>
        <v>0.65422581624273402</v>
      </c>
      <c r="I284" s="16">
        <f>INDEX('Team forecast'!$B$2:$AO$26,MATCH('Master data'!$B284,'Team forecast'!$B$2:$B$26,0),MATCH('Master data'!I$1,'Team forecast'!$B$2:$AO$2,0))</f>
        <v>1.6593477618235051</v>
      </c>
      <c r="J284" s="16">
        <f>INDEX('Team forecast'!$B$2:$AO$26,MATCH('Master data'!$B284,'Team forecast'!$B$2:$B$26,0),MATCH('Master data'!J$1,'Team forecast'!$B$2:$AO$2,0))</f>
        <v>0.19026303645592979</v>
      </c>
      <c r="K284" s="16">
        <f>INDEX('Team forecast'!$B$2:$AO$26,MATCH('Master data'!$B284,'Team forecast'!$B$2:$B$26,0),MATCH('Master data'!K$1,'Team forecast'!$B$2:$AO$2,0))</f>
        <v>1.7429374799138486</v>
      </c>
      <c r="L284" s="16">
        <f>INDEX('Team forecast'!$B$2:$AO$26,MATCH('Master data'!$B284,'Team forecast'!$B$2:$B$26,0),MATCH('Master data'!L$1,'Team forecast'!$B$2:$AO$2,0))</f>
        <v>4.1860818536911157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0.148025613660619</v>
      </c>
      <c r="R284" s="2">
        <f>Players!BR285</f>
        <v>0</v>
      </c>
      <c r="S284" s="2">
        <f t="shared" si="133"/>
        <v>0.65422581624273402</v>
      </c>
      <c r="T284" s="2">
        <f t="shared" si="134"/>
        <v>1.6593477618235051</v>
      </c>
      <c r="U284" s="16">
        <f>INDEX('Team forecast'!$B$2:$AO$26,MATCH('Master data'!$B284,'Team forecast'!$B$2:$B$26,0),MATCH('Master data'!U$1,'Team forecast'!$B$2:$AO$2,0))</f>
        <v>0.13590216889709281</v>
      </c>
      <c r="V284" s="16">
        <f>INDEX('Team forecast'!$B$2:$AO$26,MATCH('Master data'!$B284,'Team forecast'!$B$2:$B$26,0),MATCH('Master data'!V$1,'Team forecast'!$B$2:$AO$2,0))</f>
        <v>0.25034610059990769</v>
      </c>
      <c r="W284" s="16">
        <f>INDEX('Team forecast'!$B$2:$AO$26,MATCH('Master data'!$B284,'Team forecast'!$B$2:$B$26,0),MATCH('Master data'!W$1,'Team forecast'!$B$2:$AO$2,0))</f>
        <v>0.61375173050299947</v>
      </c>
      <c r="X284" s="5">
        <f t="shared" si="135"/>
        <v>-5000</v>
      </c>
      <c r="Y284" s="5">
        <f t="shared" si="136"/>
        <v>0</v>
      </c>
      <c r="Z284" s="5">
        <f t="shared" si="137"/>
        <v>0</v>
      </c>
      <c r="AA284" s="5">
        <f t="shared" si="138"/>
        <v>0</v>
      </c>
      <c r="AB284" s="5">
        <f t="shared" si="139"/>
        <v>0</v>
      </c>
      <c r="AC284" s="5">
        <f t="shared" si="140"/>
        <v>0</v>
      </c>
      <c r="AD284" s="5">
        <f t="shared" si="141"/>
        <v>0</v>
      </c>
      <c r="AE284" s="5">
        <f t="shared" si="142"/>
        <v>9513.1518227964898</v>
      </c>
      <c r="AF284" s="5">
        <f t="shared" si="143"/>
        <v>0</v>
      </c>
      <c r="AG284" s="5">
        <f t="shared" si="144"/>
        <v>0</v>
      </c>
      <c r="AH284" s="5">
        <f t="shared" si="145"/>
        <v>0</v>
      </c>
      <c r="AI284" s="5">
        <f t="shared" si="146"/>
        <v>0</v>
      </c>
      <c r="AJ284" s="5">
        <f t="shared" si="147"/>
        <v>0</v>
      </c>
      <c r="AK284" s="5">
        <f>IFERROR(SUM(X284:AJ284),-5000)*((Cockpit!$C$3)^0)</f>
        <v>4513.1518227964898</v>
      </c>
      <c r="AL284" s="16">
        <f>INDEX('Team forecast'!$B$2:$AO$26,MATCH('Master data'!$B284,'Team forecast'!$B$2:$B$26,0),MATCH('Master data'!AL$1,'Team forecast'!$B$2:$AO$2,0))</f>
        <v>1.2847203648825669</v>
      </c>
      <c r="AM284" s="16">
        <f>INDEX('Team forecast'!$B$2:$AO$26,MATCH('Master data'!$B284,'Team forecast'!$B$2:$B$26,0),MATCH('Master data'!AM$1,'Team forecast'!$B$2:$AO$2,0))</f>
        <v>1.0279287794501248</v>
      </c>
      <c r="AN284" s="16">
        <f>INDEX('Team forecast'!$B$2:$AO$26,MATCH('Master data'!$B284,'Team forecast'!$B$2:$B$26,0),MATCH('Master data'!AN$1,'Team forecast'!$B$2:$AO$2,0))</f>
        <v>0.35774716702311499</v>
      </c>
      <c r="AO284" s="16">
        <f>INDEX('Team forecast'!$B$2:$AO$26,MATCH('Master data'!$B284,'Team forecast'!$B$2:$B$26,0),MATCH('Master data'!AO$1,'Team forecast'!$B$2:$AO$2,0))</f>
        <v>3.4226519644581361</v>
      </c>
      <c r="AP284" s="16">
        <f>INDEX('Team forecast'!$B$2:$AO$26,MATCH('Master data'!$B284,'Team forecast'!$B$2:$B$26,0),MATCH('Master data'!AP$1,'Team forecast'!$B$2:$AO$2,0))</f>
        <v>2.5931839663400877</v>
      </c>
      <c r="AQ284" s="5">
        <f t="shared" si="148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149"/>
        <v>0</v>
      </c>
      <c r="AV284" s="5">
        <f t="shared" si="150"/>
        <v>0</v>
      </c>
      <c r="AW284" s="5">
        <f t="shared" si="151"/>
        <v>0</v>
      </c>
      <c r="AX284" s="5">
        <f t="shared" si="152"/>
        <v>17887.358351155748</v>
      </c>
      <c r="AY284" s="5">
        <f t="shared" si="153"/>
        <v>0</v>
      </c>
      <c r="AZ284" s="5">
        <f t="shared" si="154"/>
        <v>0</v>
      </c>
      <c r="BA284" s="5">
        <f t="shared" si="155"/>
        <v>0</v>
      </c>
      <c r="BB284" s="5">
        <f t="shared" si="156"/>
        <v>0</v>
      </c>
      <c r="BC284" s="5">
        <f t="shared" si="157"/>
        <v>0</v>
      </c>
      <c r="BD284" s="5">
        <f t="shared" si="158"/>
        <v>12887.358351155748</v>
      </c>
      <c r="BE284" s="16">
        <f>INDEX('Team forecast'!$B$2:$AO$26,MATCH('Master data'!$B284,'Team forecast'!$B$2:$B$26,0),MATCH('Master data'!BE$1,'Team forecast'!$B$2:$AO$2,0))</f>
        <v>1.2246875509143662</v>
      </c>
      <c r="BF284" s="16">
        <f>INDEX('Team forecast'!$B$2:$AO$26,MATCH('Master data'!$B284,'Team forecast'!$B$2:$B$26,0),MATCH('Master data'!BF$1,'Team forecast'!$B$2:$AO$2,0))</f>
        <v>1.3677883945550393</v>
      </c>
      <c r="BG284" s="16">
        <f>INDEX('Team forecast'!$B$2:$AO$26,MATCH('Master data'!$B284,'Team forecast'!$B$2:$B$26,0),MATCH('Master data'!BG$1,'Team forecast'!$B$2:$AO$2,0))</f>
        <v>0.25466956579034061</v>
      </c>
      <c r="BH284" s="16">
        <f>INDEX('Team forecast'!$B$2:$AO$26,MATCH('Master data'!$B284,'Team forecast'!$B$2:$B$26,0),MATCH('Master data'!BH$1,'Team forecast'!$B$2:$AO$2,0))</f>
        <v>3.2627172157947619</v>
      </c>
      <c r="BI284" s="16">
        <f>INDEX('Team forecast'!$B$2:$AO$26,MATCH('Master data'!$B284,'Team forecast'!$B$2:$B$26,0),MATCH('Master data'!BI$1,'Team forecast'!$B$2:$AO$2,0))</f>
        <v>3.4505570862638493</v>
      </c>
      <c r="BJ284" s="5">
        <f t="shared" si="159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160"/>
        <v>0</v>
      </c>
      <c r="BO284" s="5">
        <f t="shared" si="161"/>
        <v>0</v>
      </c>
      <c r="BP284" s="5">
        <f t="shared" si="162"/>
        <v>0</v>
      </c>
      <c r="BQ284" s="5">
        <f t="shared" si="163"/>
        <v>12733.47828951703</v>
      </c>
      <c r="BR284" s="5">
        <f t="shared" si="164"/>
        <v>0</v>
      </c>
      <c r="BS284" s="5">
        <f t="shared" si="165"/>
        <v>0</v>
      </c>
      <c r="BT284" s="5">
        <f t="shared" si="166"/>
        <v>0</v>
      </c>
      <c r="BU284" s="5">
        <f t="shared" si="167"/>
        <v>0</v>
      </c>
      <c r="BV284" s="5">
        <f t="shared" si="168"/>
        <v>0</v>
      </c>
      <c r="BW284" s="5">
        <f t="shared" si="169"/>
        <v>7733.4782895170301</v>
      </c>
      <c r="BX284" s="5">
        <f t="shared" si="170"/>
        <v>8377.9961544897542</v>
      </c>
      <c r="BY284" s="5">
        <f t="shared" si="171"/>
        <v>25133.988463469264</v>
      </c>
      <c r="BZ284" s="5">
        <f>INDEX('Team forecast'!$R$3:$BH$26,MATCH($B284,'Team forecast'!$B$3:$B$26,0),MATCH(BZ$1,'Team forecast'!$R$2:$BH$2,0))*($BX284-(BY284+CH284)*0.01)</f>
        <v>-13216.68763184936</v>
      </c>
      <c r="CA284" s="5">
        <f>INDEX('Team forecast'!$R$3:$BH$26,MATCH($B284,'Team forecast'!$B$3:$B$26,0),MATCH(CA$1,'Team forecast'!$R$2:$BH$2,0))*($BX284-(BY284+BX284+CH284)*0.01)</f>
        <v>-6540.6037854327942</v>
      </c>
      <c r="CB284" s="5">
        <f>INDEX('Team forecast'!$R$3:$BH$26,MATCH($B284,'Team forecast'!$B$3:$B$26,0),MATCH(CB$1,'Team forecast'!$R$2:$BH$2,0))*($BX284-(BY284+BX284*2+CH284)*0.01)</f>
        <v>-3194.8680506048472</v>
      </c>
      <c r="CC284" s="5">
        <f>INDEX('Team forecast'!$R$3:$BH$26,MATCH($B284,'Team forecast'!$B$3:$B$26,0),MATCH(CC$1,'Team forecast'!$R$2:$BH$2,0))*($BX284-(BY284+BX284*3+CH284)*0.01)</f>
        <v>-1489.7148695256274</v>
      </c>
      <c r="CD284" s="5">
        <f>+AK284+BD284*Cockpit!$C$3+BW284*Cockpit!$C$3^2+BZ284*Cockpit!$C$3^3+CA284*Cockpit!$C$3^4+CB284*Cockpit!$C$3^5+CC284*Cockpit!$C$3^6</f>
        <v>10782.291145671279</v>
      </c>
      <c r="CE284" s="5"/>
      <c r="CF284" s="5"/>
      <c r="CG284" s="5">
        <v>0</v>
      </c>
      <c r="CH284" s="5">
        <f t="shared" si="172"/>
        <v>3000000</v>
      </c>
      <c r="CI284" s="5">
        <f t="shared" si="173"/>
        <v>3000000</v>
      </c>
      <c r="CJ284" s="1">
        <f t="shared" si="174"/>
        <v>8.3779961544897547E-3</v>
      </c>
      <c r="CK284" s="5">
        <f>RANK(BY284,$BY$2:$BY$623)+COUNTIF($BY$2:$BY284,$BY284)-1</f>
        <v>364</v>
      </c>
      <c r="CL284" s="5">
        <f>RANK(CJ284,$CJ$2:$CJ$623)+COUNTIF($CJ$2:$CJ284,$CJ284)-1</f>
        <v>375</v>
      </c>
    </row>
    <row r="285" spans="1:90">
      <c r="A285" t="str">
        <f>Players!P286</f>
        <v>Cengiz Ünder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3500000</v>
      </c>
      <c r="H285" s="16">
        <f>INDEX('Team forecast'!$B$2:$AO$26,MATCH('Master data'!$B285,'Team forecast'!$B$2:$B$26,0),MATCH('Master data'!H$1,'Team forecast'!$B$2:$AO$2,0))</f>
        <v>0.65422581624273402</v>
      </c>
      <c r="I285" s="16">
        <f>INDEX('Team forecast'!$B$2:$AO$26,MATCH('Master data'!$B285,'Team forecast'!$B$2:$B$26,0),MATCH('Master data'!I$1,'Team forecast'!$B$2:$AO$2,0))</f>
        <v>1.6593477618235051</v>
      </c>
      <c r="J285" s="16">
        <f>INDEX('Team forecast'!$B$2:$AO$26,MATCH('Master data'!$B285,'Team forecast'!$B$2:$B$26,0),MATCH('Master data'!J$1,'Team forecast'!$B$2:$AO$2,0))</f>
        <v>0.19026303645592979</v>
      </c>
      <c r="K285" s="16">
        <f>INDEX('Team forecast'!$B$2:$AO$26,MATCH('Master data'!$B285,'Team forecast'!$B$2:$B$26,0),MATCH('Master data'!K$1,'Team forecast'!$B$2:$AO$2,0))</f>
        <v>1.7429374799138486</v>
      </c>
      <c r="L285" s="16">
        <f>INDEX('Team forecast'!$B$2:$AO$26,MATCH('Master data'!$B285,'Team forecast'!$B$2:$B$26,0),MATCH('Master data'!L$1,'Team forecast'!$B$2:$AO$2,0))</f>
        <v>4.1860818536911157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0.27</v>
      </c>
      <c r="R285" s="2">
        <f>Players!BR286</f>
        <v>0</v>
      </c>
      <c r="S285" s="2">
        <f t="shared" si="133"/>
        <v>0.65422581624273402</v>
      </c>
      <c r="T285" s="2">
        <f t="shared" si="134"/>
        <v>1.6593477618235051</v>
      </c>
      <c r="U285" s="16">
        <f>INDEX('Team forecast'!$B$2:$AO$26,MATCH('Master data'!$B285,'Team forecast'!$B$2:$B$26,0),MATCH('Master data'!U$1,'Team forecast'!$B$2:$AO$2,0))</f>
        <v>0.13590216889709281</v>
      </c>
      <c r="V285" s="16">
        <f>INDEX('Team forecast'!$B$2:$AO$26,MATCH('Master data'!$B285,'Team forecast'!$B$2:$B$26,0),MATCH('Master data'!V$1,'Team forecast'!$B$2:$AO$2,0))</f>
        <v>0.25034610059990769</v>
      </c>
      <c r="W285" s="16">
        <f>INDEX('Team forecast'!$B$2:$AO$26,MATCH('Master data'!$B285,'Team forecast'!$B$2:$B$26,0),MATCH('Master data'!W$1,'Team forecast'!$B$2:$AO$2,0))</f>
        <v>0.61375173050299947</v>
      </c>
      <c r="X285" s="5">
        <f t="shared" si="135"/>
        <v>-5000</v>
      </c>
      <c r="Y285" s="5">
        <f t="shared" si="136"/>
        <v>0</v>
      </c>
      <c r="Z285" s="5">
        <f t="shared" si="137"/>
        <v>0</v>
      </c>
      <c r="AA285" s="5">
        <f t="shared" si="138"/>
        <v>0</v>
      </c>
      <c r="AB285" s="5">
        <f t="shared" si="139"/>
        <v>0</v>
      </c>
      <c r="AC285" s="5">
        <f t="shared" si="140"/>
        <v>0</v>
      </c>
      <c r="AD285" s="5">
        <f t="shared" si="141"/>
        <v>0</v>
      </c>
      <c r="AE285" s="5">
        <f t="shared" si="142"/>
        <v>0</v>
      </c>
      <c r="AF285" s="5">
        <f t="shared" si="143"/>
        <v>0</v>
      </c>
      <c r="AG285" s="5">
        <f t="shared" si="144"/>
        <v>0</v>
      </c>
      <c r="AH285" s="5">
        <f t="shared" si="145"/>
        <v>0</v>
      </c>
      <c r="AI285" s="5">
        <f t="shared" si="146"/>
        <v>0</v>
      </c>
      <c r="AJ285" s="5">
        <f t="shared" si="147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1.2847203648825669</v>
      </c>
      <c r="AM285" s="16">
        <f>INDEX('Team forecast'!$B$2:$AO$26,MATCH('Master data'!$B285,'Team forecast'!$B$2:$B$26,0),MATCH('Master data'!AM$1,'Team forecast'!$B$2:$AO$2,0))</f>
        <v>1.0279287794501248</v>
      </c>
      <c r="AN285" s="16">
        <f>INDEX('Team forecast'!$B$2:$AO$26,MATCH('Master data'!$B285,'Team forecast'!$B$2:$B$26,0),MATCH('Master data'!AN$1,'Team forecast'!$B$2:$AO$2,0))</f>
        <v>0.35774716702311499</v>
      </c>
      <c r="AO285" s="16">
        <f>INDEX('Team forecast'!$B$2:$AO$26,MATCH('Master data'!$B285,'Team forecast'!$B$2:$B$26,0),MATCH('Master data'!AO$1,'Team forecast'!$B$2:$AO$2,0))</f>
        <v>3.4226519644581361</v>
      </c>
      <c r="AP285" s="16">
        <f>INDEX('Team forecast'!$B$2:$AO$26,MATCH('Master data'!$B285,'Team forecast'!$B$2:$B$26,0),MATCH('Master data'!AP$1,'Team forecast'!$B$2:$AO$2,0))</f>
        <v>2.5931839663400877</v>
      </c>
      <c r="AQ285" s="5">
        <f t="shared" si="148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149"/>
        <v>0</v>
      </c>
      <c r="AV285" s="5">
        <f t="shared" si="150"/>
        <v>0</v>
      </c>
      <c r="AW285" s="5">
        <f t="shared" si="151"/>
        <v>0</v>
      </c>
      <c r="AX285" s="5">
        <f t="shared" si="152"/>
        <v>0</v>
      </c>
      <c r="AY285" s="5">
        <f t="shared" si="153"/>
        <v>0</v>
      </c>
      <c r="AZ285" s="5">
        <f t="shared" si="154"/>
        <v>0</v>
      </c>
      <c r="BA285" s="5">
        <f t="shared" si="155"/>
        <v>0</v>
      </c>
      <c r="BB285" s="5">
        <f t="shared" si="156"/>
        <v>0</v>
      </c>
      <c r="BC285" s="5">
        <f t="shared" si="157"/>
        <v>0</v>
      </c>
      <c r="BD285" s="5">
        <f t="shared" si="158"/>
        <v>-5000</v>
      </c>
      <c r="BE285" s="16">
        <f>INDEX('Team forecast'!$B$2:$AO$26,MATCH('Master data'!$B285,'Team forecast'!$B$2:$B$26,0),MATCH('Master data'!BE$1,'Team forecast'!$B$2:$AO$2,0))</f>
        <v>1.2246875509143662</v>
      </c>
      <c r="BF285" s="16">
        <f>INDEX('Team forecast'!$B$2:$AO$26,MATCH('Master data'!$B285,'Team forecast'!$B$2:$B$26,0),MATCH('Master data'!BF$1,'Team forecast'!$B$2:$AO$2,0))</f>
        <v>1.3677883945550393</v>
      </c>
      <c r="BG285" s="16">
        <f>INDEX('Team forecast'!$B$2:$AO$26,MATCH('Master data'!$B285,'Team forecast'!$B$2:$B$26,0),MATCH('Master data'!BG$1,'Team forecast'!$B$2:$AO$2,0))</f>
        <v>0.25466956579034061</v>
      </c>
      <c r="BH285" s="16">
        <f>INDEX('Team forecast'!$B$2:$AO$26,MATCH('Master data'!$B285,'Team forecast'!$B$2:$B$26,0),MATCH('Master data'!BH$1,'Team forecast'!$B$2:$AO$2,0))</f>
        <v>3.2627172157947619</v>
      </c>
      <c r="BI285" s="16">
        <f>INDEX('Team forecast'!$B$2:$AO$26,MATCH('Master data'!$B285,'Team forecast'!$B$2:$B$26,0),MATCH('Master data'!BI$1,'Team forecast'!$B$2:$AO$2,0))</f>
        <v>3.4505570862638493</v>
      </c>
      <c r="BJ285" s="5">
        <f t="shared" si="159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160"/>
        <v>0</v>
      </c>
      <c r="BO285" s="5">
        <f t="shared" si="161"/>
        <v>0</v>
      </c>
      <c r="BP285" s="5">
        <f t="shared" si="162"/>
        <v>0</v>
      </c>
      <c r="BQ285" s="5">
        <f t="shared" si="163"/>
        <v>0</v>
      </c>
      <c r="BR285" s="5">
        <f t="shared" si="164"/>
        <v>0</v>
      </c>
      <c r="BS285" s="5">
        <f t="shared" si="165"/>
        <v>0</v>
      </c>
      <c r="BT285" s="5">
        <f t="shared" si="166"/>
        <v>0</v>
      </c>
      <c r="BU285" s="5">
        <f t="shared" si="167"/>
        <v>0</v>
      </c>
      <c r="BV285" s="5">
        <f t="shared" si="168"/>
        <v>0</v>
      </c>
      <c r="BW285" s="5">
        <f t="shared" si="169"/>
        <v>-5000</v>
      </c>
      <c r="BX285" s="5">
        <f t="shared" si="170"/>
        <v>-5000</v>
      </c>
      <c r="BY285" s="5">
        <f t="shared" si="171"/>
        <v>-15000</v>
      </c>
      <c r="BZ285" s="5">
        <f>INDEX('Team forecast'!$R$3:$BH$26,MATCH($B285,'Team forecast'!$B$3:$B$26,0),MATCH(BZ$1,'Team forecast'!$R$2:$BH$2,0))*($BX285-(BY285+CH285)*0.01)</f>
        <v>-24078.851803683836</v>
      </c>
      <c r="CA285" s="5">
        <f>INDEX('Team forecast'!$R$3:$BH$26,MATCH($B285,'Team forecast'!$B$3:$B$26,0),MATCH(CA$1,'Team forecast'!$R$2:$BH$2,0))*($BX285-(BY285+BX285+CH285)*0.01)</f>
        <v>-11855.652603475908</v>
      </c>
      <c r="CB285" s="5">
        <f>INDEX('Team forecast'!$R$3:$BH$26,MATCH($B285,'Team forecast'!$B$3:$B$26,0),MATCH(CB$1,'Team forecast'!$R$2:$BH$2,0))*($BX285-(BY285+BX285*2+CH285)*0.01)</f>
        <v>-5761.8329542901793</v>
      </c>
      <c r="CC285" s="5">
        <f>INDEX('Team forecast'!$R$3:$BH$26,MATCH($B285,'Team forecast'!$B$3:$B$26,0),MATCH(CC$1,'Team forecast'!$R$2:$BH$2,0))*($BX285-(BY285+BX285*3+CH285)*0.01)</f>
        <v>-2673.1085221331637</v>
      </c>
      <c r="CD285" s="5">
        <f>+AK285+BD285*Cockpit!$C$3+BW285*Cockpit!$C$3^2+BZ285*Cockpit!$C$3^3+CA285*Cockpit!$C$3^4+CB285*Cockpit!$C$3^5+CC285*Cockpit!$C$3^6</f>
        <v>-21025.323557646934</v>
      </c>
      <c r="CE285" s="5"/>
      <c r="CF285" s="5"/>
      <c r="CG285" s="5">
        <v>0</v>
      </c>
      <c r="CH285" s="5">
        <f t="shared" si="172"/>
        <v>3500000</v>
      </c>
      <c r="CI285" s="5">
        <f t="shared" si="173"/>
        <v>3500000</v>
      </c>
      <c r="CJ285" s="1">
        <f t="shared" si="174"/>
        <v>-4.2857142857142859E-3</v>
      </c>
      <c r="CK285" s="5">
        <f>RANK(BY285,$BY$2:$BY$623)+COUNTIF($BY$2:$BY285,$BY285)-1</f>
        <v>504</v>
      </c>
      <c r="CL285" s="5">
        <f>RANK(CJ285,$CJ$2:$CJ$623)+COUNTIF($CJ$2:$CJ285,$CJ285)-1</f>
        <v>475</v>
      </c>
    </row>
    <row r="286" spans="1:90">
      <c r="A286" t="str">
        <f>Players!P287</f>
        <v>Enes Ünal</v>
      </c>
      <c r="B286" t="str">
        <f>Players!G287</f>
        <v>Turkey</v>
      </c>
      <c r="C286" t="str">
        <f>Players!AB287</f>
        <v>Striker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0.65422581624273402</v>
      </c>
      <c r="I286" s="16">
        <f>INDEX('Team forecast'!$B$2:$AO$26,MATCH('Master data'!$B286,'Team forecast'!$B$2:$B$26,0),MATCH('Master data'!I$1,'Team forecast'!$B$2:$AO$2,0))</f>
        <v>1.6593477618235051</v>
      </c>
      <c r="J286" s="16">
        <f>INDEX('Team forecast'!$B$2:$AO$26,MATCH('Master data'!$B286,'Team forecast'!$B$2:$B$26,0),MATCH('Master data'!J$1,'Team forecast'!$B$2:$AO$2,0))</f>
        <v>0.19026303645592979</v>
      </c>
      <c r="K286" s="16">
        <f>INDEX('Team forecast'!$B$2:$AO$26,MATCH('Master data'!$B286,'Team forecast'!$B$2:$B$26,0),MATCH('Master data'!K$1,'Team forecast'!$B$2:$AO$2,0))</f>
        <v>1.7429374799138486</v>
      </c>
      <c r="L286" s="16">
        <f>INDEX('Team forecast'!$B$2:$AO$26,MATCH('Master data'!$B286,'Team forecast'!$B$2:$B$26,0),MATCH('Master data'!L$1,'Team forecast'!$B$2:$AO$2,0))</f>
        <v>4.1860818536911157</v>
      </c>
      <c r="M286">
        <f>IF(Players!BC287=1,95,0)</f>
        <v>0</v>
      </c>
      <c r="N286" s="2">
        <f>Players!BN287</f>
        <v>0</v>
      </c>
      <c r="O286" s="2">
        <f>Players!BO287</f>
        <v>0</v>
      </c>
      <c r="P286" s="2">
        <f>Players!BP287</f>
        <v>0</v>
      </c>
      <c r="Q286" s="2">
        <f>Players!BQ287</f>
        <v>0.13646702047005307</v>
      </c>
      <c r="R286" s="2">
        <f>Players!BR287</f>
        <v>0</v>
      </c>
      <c r="S286" s="2">
        <f t="shared" si="133"/>
        <v>0.65422581624273402</v>
      </c>
      <c r="T286" s="2">
        <f t="shared" si="134"/>
        <v>1.6593477618235051</v>
      </c>
      <c r="U286" s="16">
        <f>INDEX('Team forecast'!$B$2:$AO$26,MATCH('Master data'!$B286,'Team forecast'!$B$2:$B$26,0),MATCH('Master data'!U$1,'Team forecast'!$B$2:$AO$2,0))</f>
        <v>0.13590216889709281</v>
      </c>
      <c r="V286" s="16">
        <f>INDEX('Team forecast'!$B$2:$AO$26,MATCH('Master data'!$B286,'Team forecast'!$B$2:$B$26,0),MATCH('Master data'!V$1,'Team forecast'!$B$2:$AO$2,0))</f>
        <v>0.25034610059990769</v>
      </c>
      <c r="W286" s="16">
        <f>INDEX('Team forecast'!$B$2:$AO$26,MATCH('Master data'!$B286,'Team forecast'!$B$2:$B$26,0),MATCH('Master data'!W$1,'Team forecast'!$B$2:$AO$2,0))</f>
        <v>0.61375173050299947</v>
      </c>
      <c r="X286" s="5">
        <f t="shared" si="135"/>
        <v>-5000</v>
      </c>
      <c r="Y286" s="5">
        <f t="shared" si="136"/>
        <v>0</v>
      </c>
      <c r="Z286" s="5">
        <f t="shared" si="137"/>
        <v>0</v>
      </c>
      <c r="AA286" s="5">
        <f t="shared" si="138"/>
        <v>0</v>
      </c>
      <c r="AB286" s="5">
        <f t="shared" si="139"/>
        <v>0</v>
      </c>
      <c r="AC286" s="5">
        <f t="shared" si="140"/>
        <v>0</v>
      </c>
      <c r="AD286" s="5">
        <f t="shared" si="141"/>
        <v>0</v>
      </c>
      <c r="AE286" s="5">
        <f t="shared" si="142"/>
        <v>0</v>
      </c>
      <c r="AF286" s="5">
        <f t="shared" si="143"/>
        <v>0</v>
      </c>
      <c r="AG286" s="5">
        <f t="shared" si="144"/>
        <v>0</v>
      </c>
      <c r="AH286" s="5">
        <f t="shared" si="145"/>
        <v>0</v>
      </c>
      <c r="AI286" s="5">
        <f t="shared" si="146"/>
        <v>0</v>
      </c>
      <c r="AJ286" s="5">
        <f t="shared" si="147"/>
        <v>0</v>
      </c>
      <c r="AK286" s="5">
        <f>IFERROR(SUM(X286:AJ286),-5000)*((Cockpit!$C$3)^0)</f>
        <v>-5000</v>
      </c>
      <c r="AL286" s="16">
        <f>INDEX('Team forecast'!$B$2:$AO$26,MATCH('Master data'!$B286,'Team forecast'!$B$2:$B$26,0),MATCH('Master data'!AL$1,'Team forecast'!$B$2:$AO$2,0))</f>
        <v>1.2847203648825669</v>
      </c>
      <c r="AM286" s="16">
        <f>INDEX('Team forecast'!$B$2:$AO$26,MATCH('Master data'!$B286,'Team forecast'!$B$2:$B$26,0),MATCH('Master data'!AM$1,'Team forecast'!$B$2:$AO$2,0))</f>
        <v>1.0279287794501248</v>
      </c>
      <c r="AN286" s="16">
        <f>INDEX('Team forecast'!$B$2:$AO$26,MATCH('Master data'!$B286,'Team forecast'!$B$2:$B$26,0),MATCH('Master data'!AN$1,'Team forecast'!$B$2:$AO$2,0))</f>
        <v>0.35774716702311499</v>
      </c>
      <c r="AO286" s="16">
        <f>INDEX('Team forecast'!$B$2:$AO$26,MATCH('Master data'!$B286,'Team forecast'!$B$2:$B$26,0),MATCH('Master data'!AO$1,'Team forecast'!$B$2:$AO$2,0))</f>
        <v>3.4226519644581361</v>
      </c>
      <c r="AP286" s="16">
        <f>INDEX('Team forecast'!$B$2:$AO$26,MATCH('Master data'!$B286,'Team forecast'!$B$2:$B$26,0),MATCH('Master data'!AP$1,'Team forecast'!$B$2:$AO$2,0))</f>
        <v>2.5931839663400877</v>
      </c>
      <c r="AQ286" s="5">
        <f t="shared" si="148"/>
        <v>-5000</v>
      </c>
      <c r="AR286" s="5">
        <f>INDEX('Team forecast'!$B$2:$AO$26,MATCH('Master data'!$B286,'Team forecast'!$B$2:$B$26,0),MATCH('Master data'!AR$1,'Team forecast'!$B$2:$AO$2,0))*IF(X286&gt;0,25000,0)</f>
        <v>0</v>
      </c>
      <c r="AS286" s="16">
        <f>INDEX('Team forecast'!$B$2:$AO$26,MATCH('Master data'!$B286,'Team forecast'!$B$2:$B$26,0),MATCH('Master data'!AS$1,'Team forecast'!$B$2:$AO$2,0))*IF(X286&gt;0,5000,0)</f>
        <v>0</v>
      </c>
      <c r="AT286" s="16">
        <f>INDEX('Team forecast'!$B$2:$AO$26,MATCH('Master data'!$B286,'Team forecast'!$B$2:$B$26,0),MATCH('Master data'!AT$1,'Team forecast'!$B$2:$AO$2,0))*IF(X286&gt;0,-15000,0)</f>
        <v>0</v>
      </c>
      <c r="AU286" s="5">
        <f t="shared" si="149"/>
        <v>0</v>
      </c>
      <c r="AV286" s="5">
        <f t="shared" si="150"/>
        <v>0</v>
      </c>
      <c r="AW286" s="5">
        <f t="shared" si="151"/>
        <v>0</v>
      </c>
      <c r="AX286" s="5">
        <f t="shared" si="152"/>
        <v>0</v>
      </c>
      <c r="AY286" s="5">
        <f t="shared" si="153"/>
        <v>0</v>
      </c>
      <c r="AZ286" s="5">
        <f t="shared" si="154"/>
        <v>0</v>
      </c>
      <c r="BA286" s="5">
        <f t="shared" si="155"/>
        <v>0</v>
      </c>
      <c r="BB286" s="5">
        <f t="shared" si="156"/>
        <v>0</v>
      </c>
      <c r="BC286" s="5">
        <f t="shared" si="157"/>
        <v>0</v>
      </c>
      <c r="BD286" s="5">
        <f t="shared" si="158"/>
        <v>-5000</v>
      </c>
      <c r="BE286" s="16">
        <f>INDEX('Team forecast'!$B$2:$AO$26,MATCH('Master data'!$B286,'Team forecast'!$B$2:$B$26,0),MATCH('Master data'!BE$1,'Team forecast'!$B$2:$AO$2,0))</f>
        <v>1.2246875509143662</v>
      </c>
      <c r="BF286" s="16">
        <f>INDEX('Team forecast'!$B$2:$AO$26,MATCH('Master data'!$B286,'Team forecast'!$B$2:$B$26,0),MATCH('Master data'!BF$1,'Team forecast'!$B$2:$AO$2,0))</f>
        <v>1.3677883945550393</v>
      </c>
      <c r="BG286" s="16">
        <f>INDEX('Team forecast'!$B$2:$AO$26,MATCH('Master data'!$B286,'Team forecast'!$B$2:$B$26,0),MATCH('Master data'!BG$1,'Team forecast'!$B$2:$AO$2,0))</f>
        <v>0.25466956579034061</v>
      </c>
      <c r="BH286" s="16">
        <f>INDEX('Team forecast'!$B$2:$AO$26,MATCH('Master data'!$B286,'Team forecast'!$B$2:$B$26,0),MATCH('Master data'!BH$1,'Team forecast'!$B$2:$AO$2,0))</f>
        <v>3.2627172157947619</v>
      </c>
      <c r="BI286" s="16">
        <f>INDEX('Team forecast'!$B$2:$AO$26,MATCH('Master data'!$B286,'Team forecast'!$B$2:$B$26,0),MATCH('Master data'!BI$1,'Team forecast'!$B$2:$AO$2,0))</f>
        <v>3.4505570862638493</v>
      </c>
      <c r="BJ286" s="5">
        <f t="shared" si="159"/>
        <v>-5000</v>
      </c>
      <c r="BK286" s="5">
        <f>INDEX('Team forecast'!$R$3:$BH$26,MATCH($B286,'Team forecast'!$B$3:$B$26,0),MATCH(BK$1,'Team forecast'!$R$2:$BH$2,0))*IF($X286&gt;0,25000,0)</f>
        <v>0</v>
      </c>
      <c r="BL286" s="5">
        <f>INDEX('Team forecast'!$R$3:$BH$26,MATCH($B286,'Team forecast'!$B$3:$B$26,0),MATCH(BL$1,'Team forecast'!$R$2:$BH$2,0))*IF($X286&gt;0,5000,0)</f>
        <v>0</v>
      </c>
      <c r="BM286" s="5">
        <f>INDEX('Team forecast'!$R$3:$BH$26,MATCH($B286,'Team forecast'!$B$3:$B$26,0),MATCH(BM$1,'Team forecast'!$R$2:$BH$2,0))*IF($X286&gt;0,-15000,0)</f>
        <v>0</v>
      </c>
      <c r="BN286" s="5">
        <f t="shared" si="160"/>
        <v>0</v>
      </c>
      <c r="BO286" s="5">
        <f t="shared" si="161"/>
        <v>0</v>
      </c>
      <c r="BP286" s="5">
        <f t="shared" si="162"/>
        <v>0</v>
      </c>
      <c r="BQ286" s="5">
        <f t="shared" si="163"/>
        <v>0</v>
      </c>
      <c r="BR286" s="5">
        <f t="shared" si="164"/>
        <v>0</v>
      </c>
      <c r="BS286" s="5">
        <f t="shared" si="165"/>
        <v>0</v>
      </c>
      <c r="BT286" s="5">
        <f t="shared" si="166"/>
        <v>0</v>
      </c>
      <c r="BU286" s="5">
        <f t="shared" si="167"/>
        <v>0</v>
      </c>
      <c r="BV286" s="5">
        <f t="shared" si="168"/>
        <v>0</v>
      </c>
      <c r="BW286" s="5">
        <f t="shared" si="169"/>
        <v>-5000</v>
      </c>
      <c r="BX286" s="5">
        <f t="shared" si="170"/>
        <v>-5000</v>
      </c>
      <c r="BY286" s="5">
        <f t="shared" si="171"/>
        <v>-15000</v>
      </c>
      <c r="BZ286" s="5">
        <f>INDEX('Team forecast'!$R$3:$BH$26,MATCH($B286,'Team forecast'!$B$3:$B$26,0),MATCH(BZ$1,'Team forecast'!$R$2:$BH$2,0))*($BX286-(BY286+CH286)*0.01)</f>
        <v>-18036.47995834285</v>
      </c>
      <c r="CA286" s="5">
        <f>INDEX('Team forecast'!$R$3:$BH$26,MATCH($B286,'Team forecast'!$B$3:$B$26,0),MATCH(CA$1,'Team forecast'!$R$2:$BH$2,0))*($BX286-(BY286+BX286+CH286)*0.01)</f>
        <v>-8876.8454166729152</v>
      </c>
      <c r="CB286" s="5">
        <f>INDEX('Team forecast'!$R$3:$BH$26,MATCH($B286,'Team forecast'!$B$3:$B$26,0),MATCH(CB$1,'Team forecast'!$R$2:$BH$2,0))*($BX286-(BY286+BX286*2+CH286)*0.01)</f>
        <v>-4312.3152299404483</v>
      </c>
      <c r="CC286" s="5">
        <f>INDEX('Team forecast'!$R$3:$BH$26,MATCH($B286,'Team forecast'!$B$3:$B$26,0),MATCH(CC$1,'Team forecast'!$R$2:$BH$2,0))*($BX286-(BY286+BX286*3+CH286)*0.01)</f>
        <v>-1999.781438472417</v>
      </c>
      <c r="CD286" s="5">
        <f>+AK286+BD286*Cockpit!$C$3+BW286*Cockpit!$C$3^2+BZ286*Cockpit!$C$3^3+CA286*Cockpit!$C$3^4+CB286*Cockpit!$C$3^5+CC286*Cockpit!$C$3^6</f>
        <v>-18396.589417200921</v>
      </c>
      <c r="CE286" s="5"/>
      <c r="CF286" s="5"/>
      <c r="CG286" s="5">
        <v>0</v>
      </c>
      <c r="CH286" s="5">
        <f t="shared" si="172"/>
        <v>2500000</v>
      </c>
      <c r="CI286" s="5">
        <f t="shared" si="173"/>
        <v>2500000</v>
      </c>
      <c r="CJ286" s="1">
        <f t="shared" si="174"/>
        <v>-6.0000000000000001E-3</v>
      </c>
      <c r="CK286" s="5">
        <f>RANK(BY286,$BY$2:$BY$623)+COUNTIF($BY$2:$BY286,$BY286)-1</f>
        <v>505</v>
      </c>
      <c r="CL286" s="5">
        <f>RANK(CJ286,$CJ$2:$CJ$623)+COUNTIF($CJ$2:$CJ286,$CJ286)-1</f>
        <v>536</v>
      </c>
    </row>
    <row r="287" spans="1:90">
      <c r="A287" t="str">
        <f>Players!P288</f>
        <v>Vyacheslav Karavayev</v>
      </c>
      <c r="B287" t="str">
        <f>Players!G288</f>
        <v>Russia</v>
      </c>
      <c r="C287" t="str">
        <f>Players!AB288</f>
        <v>Defense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2500000</v>
      </c>
      <c r="H287" s="16">
        <f>INDEX('Team forecast'!$B$2:$AO$26,MATCH('Master data'!$B287,'Team forecast'!$B$2:$B$26,0),MATCH('Master data'!H$1,'Team forecast'!$B$2:$AO$2,0))</f>
        <v>0.84461095835632183</v>
      </c>
      <c r="I287" s="16">
        <f>INDEX('Team forecast'!$B$2:$AO$26,MATCH('Master data'!$B287,'Team forecast'!$B$2:$B$26,0),MATCH('Master data'!I$1,'Team forecast'!$B$2:$AO$2,0))</f>
        <v>1.5602309947683257</v>
      </c>
      <c r="J287" s="16">
        <f>INDEX('Team forecast'!$B$2:$AO$26,MATCH('Master data'!$B287,'Team forecast'!$B$2:$B$26,0),MATCH('Master data'!J$1,'Team forecast'!$B$2:$AO$2,0))</f>
        <v>0.21008753647353071</v>
      </c>
      <c r="K287" s="16">
        <f>INDEX('Team forecast'!$B$2:$AO$26,MATCH('Master data'!$B287,'Team forecast'!$B$2:$B$26,0),MATCH('Master data'!K$1,'Team forecast'!$B$2:$AO$2,0))</f>
        <v>2.876402354682019</v>
      </c>
      <c r="L287" s="16">
        <f>INDEX('Team forecast'!$B$2:$AO$26,MATCH('Master data'!$B287,'Team forecast'!$B$2:$B$26,0),MATCH('Master data'!L$1,'Team forecast'!$B$2:$AO$2,0))</f>
        <v>4.4253824578883423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0.92826889279437608</v>
      </c>
      <c r="R287" s="2">
        <f>Players!BR288</f>
        <v>0</v>
      </c>
      <c r="S287" s="2">
        <f t="shared" si="133"/>
        <v>0.84461095835632183</v>
      </c>
      <c r="T287" s="2">
        <f t="shared" si="134"/>
        <v>1.5602309947683257</v>
      </c>
      <c r="U287" s="16">
        <f>INDEX('Team forecast'!$B$2:$AO$26,MATCH('Master data'!$B287,'Team forecast'!$B$2:$B$26,0),MATCH('Master data'!U$1,'Team forecast'!$B$2:$AO$2,0))</f>
        <v>0.18007503126302629</v>
      </c>
      <c r="V287" s="16">
        <f>INDEX('Team forecast'!$B$2:$AO$26,MATCH('Master data'!$B287,'Team forecast'!$B$2:$B$26,0),MATCH('Master data'!V$1,'Team forecast'!$B$2:$AO$2,0))</f>
        <v>0.23634847853272201</v>
      </c>
      <c r="W287" s="16">
        <f>INDEX('Team forecast'!$B$2:$AO$26,MATCH('Master data'!$B287,'Team forecast'!$B$2:$B$26,0),MATCH('Master data'!W$1,'Team forecast'!$B$2:$AO$2,0))</f>
        <v>0.58357649020425184</v>
      </c>
      <c r="X287" s="5">
        <f t="shared" si="135"/>
        <v>-5000</v>
      </c>
      <c r="Y287" s="5">
        <f t="shared" si="136"/>
        <v>0</v>
      </c>
      <c r="Z287" s="5">
        <f t="shared" si="137"/>
        <v>0</v>
      </c>
      <c r="AA287" s="5">
        <f t="shared" si="138"/>
        <v>0</v>
      </c>
      <c r="AB287" s="5">
        <f t="shared" si="139"/>
        <v>0</v>
      </c>
      <c r="AC287" s="5">
        <f t="shared" si="140"/>
        <v>0</v>
      </c>
      <c r="AD287" s="5">
        <f t="shared" si="141"/>
        <v>0</v>
      </c>
      <c r="AE287" s="5">
        <f t="shared" si="142"/>
        <v>10504.376823676535</v>
      </c>
      <c r="AF287" s="5">
        <f t="shared" si="143"/>
        <v>0</v>
      </c>
      <c r="AG287" s="5">
        <f t="shared" si="144"/>
        <v>0</v>
      </c>
      <c r="AH287" s="5">
        <f t="shared" si="145"/>
        <v>0</v>
      </c>
      <c r="AI287" s="5">
        <f t="shared" si="146"/>
        <v>0</v>
      </c>
      <c r="AJ287" s="5">
        <f t="shared" si="147"/>
        <v>0</v>
      </c>
      <c r="AK287" s="5">
        <f>IFERROR(SUM(X287:AJ287),-5000)*((Cockpit!$C$3)^0)</f>
        <v>5504.3768236765354</v>
      </c>
      <c r="AL287" s="16">
        <f>INDEX('Team forecast'!$B$2:$AO$26,MATCH('Master data'!$B287,'Team forecast'!$B$2:$B$26,0),MATCH('Master data'!AL$1,'Team forecast'!$B$2:$AO$2,0))</f>
        <v>1.5687475343836428</v>
      </c>
      <c r="AM287" s="16">
        <f>INDEX('Team forecast'!$B$2:$AO$26,MATCH('Master data'!$B287,'Team forecast'!$B$2:$B$26,0),MATCH('Master data'!AM$1,'Team forecast'!$B$2:$AO$2,0))</f>
        <v>0.75781731816731412</v>
      </c>
      <c r="AN287" s="16">
        <f>INDEX('Team forecast'!$B$2:$AO$26,MATCH('Master data'!$B287,'Team forecast'!$B$2:$B$26,0),MATCH('Master data'!AN$1,'Team forecast'!$B$2:$AO$2,0))</f>
        <v>0.46868830883965779</v>
      </c>
      <c r="AO287" s="16">
        <f>INDEX('Team forecast'!$B$2:$AO$26,MATCH('Master data'!$B287,'Team forecast'!$B$2:$B$26,0),MATCH('Master data'!AO$1,'Team forecast'!$B$2:$AO$2,0))</f>
        <v>5.3425178268869509</v>
      </c>
      <c r="AP287" s="16">
        <f>INDEX('Team forecast'!$B$2:$AO$26,MATCH('Master data'!$B287,'Team forecast'!$B$2:$B$26,0),MATCH('Master data'!AP$1,'Team forecast'!$B$2:$AO$2,0))</f>
        <v>2.1494454842563817</v>
      </c>
      <c r="AQ287" s="5">
        <f t="shared" si="148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149"/>
        <v>0</v>
      </c>
      <c r="AV287" s="5">
        <f t="shared" si="150"/>
        <v>0</v>
      </c>
      <c r="AW287" s="5">
        <f t="shared" si="151"/>
        <v>0</v>
      </c>
      <c r="AX287" s="5">
        <f t="shared" si="152"/>
        <v>23434.415441982888</v>
      </c>
      <c r="AY287" s="5">
        <f t="shared" si="153"/>
        <v>0</v>
      </c>
      <c r="AZ287" s="5">
        <f t="shared" si="154"/>
        <v>0</v>
      </c>
      <c r="BA287" s="5">
        <f t="shared" si="155"/>
        <v>0</v>
      </c>
      <c r="BB287" s="5">
        <f t="shared" si="156"/>
        <v>0</v>
      </c>
      <c r="BC287" s="5">
        <f t="shared" si="157"/>
        <v>0</v>
      </c>
      <c r="BD287" s="5">
        <f t="shared" si="158"/>
        <v>18434.415441982888</v>
      </c>
      <c r="BE287" s="16">
        <f>INDEX('Team forecast'!$B$2:$AO$26,MATCH('Master data'!$B287,'Team forecast'!$B$2:$B$26,0),MATCH('Master data'!BE$1,'Team forecast'!$B$2:$AO$2,0))</f>
        <v>0.95602347631827322</v>
      </c>
      <c r="BF287" s="16">
        <f>INDEX('Team forecast'!$B$2:$AO$26,MATCH('Master data'!$B287,'Team forecast'!$B$2:$B$26,0),MATCH('Master data'!BF$1,'Team forecast'!$B$2:$AO$2,0))</f>
        <v>1.5053002864585165</v>
      </c>
      <c r="BG287" s="16">
        <f>INDEX('Team forecast'!$B$2:$AO$26,MATCH('Master data'!$B287,'Team forecast'!$B$2:$B$26,0),MATCH('Master data'!BG$1,'Team forecast'!$B$2:$AO$2,0))</f>
        <v>0.22195063505392029</v>
      </c>
      <c r="BH287" s="16">
        <f>INDEX('Team forecast'!$B$2:$AO$26,MATCH('Master data'!$B287,'Team forecast'!$B$2:$B$26,0),MATCH('Master data'!BH$1,'Team forecast'!$B$2:$AO$2,0))</f>
        <v>3.2558282025664269</v>
      </c>
      <c r="BI287" s="16">
        <f>INDEX('Team forecast'!$B$2:$AO$26,MATCH('Master data'!$B287,'Team forecast'!$B$2:$B$26,0),MATCH('Master data'!BI$1,'Team forecast'!$B$2:$AO$2,0))</f>
        <v>4.2695789943187012</v>
      </c>
      <c r="BJ287" s="5">
        <f t="shared" si="159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160"/>
        <v>0</v>
      </c>
      <c r="BO287" s="5">
        <f t="shared" si="161"/>
        <v>0</v>
      </c>
      <c r="BP287" s="5">
        <f t="shared" si="162"/>
        <v>0</v>
      </c>
      <c r="BQ287" s="5">
        <f t="shared" si="163"/>
        <v>11097.531752696015</v>
      </c>
      <c r="BR287" s="5">
        <f t="shared" si="164"/>
        <v>0</v>
      </c>
      <c r="BS287" s="5">
        <f t="shared" si="165"/>
        <v>0</v>
      </c>
      <c r="BT287" s="5">
        <f t="shared" si="166"/>
        <v>0</v>
      </c>
      <c r="BU287" s="5">
        <f t="shared" si="167"/>
        <v>0</v>
      </c>
      <c r="BV287" s="5">
        <f t="shared" si="168"/>
        <v>0</v>
      </c>
      <c r="BW287" s="5">
        <f t="shared" si="169"/>
        <v>6097.5317526960152</v>
      </c>
      <c r="BX287" s="5">
        <f t="shared" si="170"/>
        <v>10012.108006118478</v>
      </c>
      <c r="BY287" s="5">
        <f t="shared" si="171"/>
        <v>30036.324018355437</v>
      </c>
      <c r="BZ287" s="5">
        <f>INDEX('Team forecast'!$R$3:$BH$26,MATCH($B287,'Team forecast'!$B$3:$B$26,0),MATCH(BZ$1,'Team forecast'!$R$2:$BH$2,0))*($BX287-(BY287+CH287)*0.01)</f>
        <v>-9822.3989002771559</v>
      </c>
      <c r="CA287" s="5">
        <f>INDEX('Team forecast'!$R$3:$BH$26,MATCH($B287,'Team forecast'!$B$3:$B$26,0),MATCH(CA$1,'Team forecast'!$R$2:$BH$2,0))*($BX287-(BY287+BX287+CH287)*0.01)</f>
        <v>-4852.984073754682</v>
      </c>
      <c r="CB287" s="5">
        <f>INDEX('Team forecast'!$R$3:$BH$26,MATCH($B287,'Team forecast'!$B$3:$B$26,0),MATCH(CB$1,'Team forecast'!$R$2:$BH$2,0))*($BX287-(BY287+BX287*2+CH287)*0.01)</f>
        <v>-2356.664130874517</v>
      </c>
      <c r="CC287" s="5">
        <f>INDEX('Team forecast'!$R$3:$BH$26,MATCH($B287,'Team forecast'!$B$3:$B$26,0),MATCH(CC$1,'Team forecast'!$R$2:$BH$2,0))*($BX287-(BY287+BX287*3+CH287)*0.01)</f>
        <v>-1074.8366929648932</v>
      </c>
      <c r="CD287" s="5">
        <f>+AK287+BD287*Cockpit!$C$3+BW287*Cockpit!$C$3^2+BZ287*Cockpit!$C$3^3+CA287*Cockpit!$C$3^4+CB287*Cockpit!$C$3^5+CC287*Cockpit!$C$3^6</f>
        <v>16230.342555751911</v>
      </c>
      <c r="CE287" s="5"/>
      <c r="CF287" s="5"/>
      <c r="CG287" s="5">
        <v>0</v>
      </c>
      <c r="CH287" s="5">
        <f t="shared" si="172"/>
        <v>2500000</v>
      </c>
      <c r="CI287" s="5">
        <f t="shared" si="173"/>
        <v>2500000</v>
      </c>
      <c r="CJ287" s="1">
        <f t="shared" si="174"/>
        <v>1.2014529607342174E-2</v>
      </c>
      <c r="CK287" s="5">
        <f>RANK(BY287,$BY$2:$BY$623)+COUNTIF($BY$2:$BY287,$BY287)-1</f>
        <v>350</v>
      </c>
      <c r="CL287" s="5">
        <f>RANK(CJ287,$CJ$2:$CJ$623)+COUNTIF($CJ$2:$CJ287,$CJ287)-1</f>
        <v>337</v>
      </c>
    </row>
    <row r="288" spans="1:90">
      <c r="A288" t="str">
        <f>Players!P289</f>
        <v>Rifat Zhemaletdinov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3500000</v>
      </c>
      <c r="H288" s="16">
        <f>INDEX('Team forecast'!$B$2:$AO$26,MATCH('Master data'!$B288,'Team forecast'!$B$2:$B$26,0),MATCH('Master data'!H$1,'Team forecast'!$B$2:$AO$2,0))</f>
        <v>0.84461095835632183</v>
      </c>
      <c r="I288" s="16">
        <f>INDEX('Team forecast'!$B$2:$AO$26,MATCH('Master data'!$B288,'Team forecast'!$B$2:$B$26,0),MATCH('Master data'!I$1,'Team forecast'!$B$2:$AO$2,0))</f>
        <v>1.5602309947683257</v>
      </c>
      <c r="J288" s="16">
        <f>INDEX('Team forecast'!$B$2:$AO$26,MATCH('Master data'!$B288,'Team forecast'!$B$2:$B$26,0),MATCH('Master data'!J$1,'Team forecast'!$B$2:$AO$2,0))</f>
        <v>0.21008753647353071</v>
      </c>
      <c r="K288" s="16">
        <f>INDEX('Team forecast'!$B$2:$AO$26,MATCH('Master data'!$B288,'Team forecast'!$B$2:$B$26,0),MATCH('Master data'!K$1,'Team forecast'!$B$2:$AO$2,0))</f>
        <v>2.876402354682019</v>
      </c>
      <c r="L288" s="16">
        <f>INDEX('Team forecast'!$B$2:$AO$26,MATCH('Master data'!$B288,'Team forecast'!$B$2:$B$26,0),MATCH('Master data'!L$1,'Team forecast'!$B$2:$AO$2,0))</f>
        <v>4.4253824578883423</v>
      </c>
      <c r="M288">
        <f>IF(Players!BC289=1,95,0)</f>
        <v>95</v>
      </c>
      <c r="N288" s="2">
        <f>Players!BN289</f>
        <v>8.6549599182571033E-2</v>
      </c>
      <c r="O288" s="2">
        <f>Players!BO289</f>
        <v>6.0739717960801506E-2</v>
      </c>
      <c r="P288" s="2">
        <f>Players!BP289</f>
        <v>5.6922588944034631E-2</v>
      </c>
      <c r="Q288" s="2">
        <f>Players!BQ289</f>
        <v>8.0405002977963075E-2</v>
      </c>
      <c r="R288" s="2">
        <f>Players!BR289</f>
        <v>0</v>
      </c>
      <c r="S288" s="2">
        <f t="shared" si="133"/>
        <v>0.84461095835632183</v>
      </c>
      <c r="T288" s="2">
        <f t="shared" si="134"/>
        <v>1.5602309947683257</v>
      </c>
      <c r="U288" s="16">
        <f>INDEX('Team forecast'!$B$2:$AO$26,MATCH('Master data'!$B288,'Team forecast'!$B$2:$B$26,0),MATCH('Master data'!U$1,'Team forecast'!$B$2:$AO$2,0))</f>
        <v>0.18007503126302629</v>
      </c>
      <c r="V288" s="16">
        <f>INDEX('Team forecast'!$B$2:$AO$26,MATCH('Master data'!$B288,'Team forecast'!$B$2:$B$26,0),MATCH('Master data'!V$1,'Team forecast'!$B$2:$AO$2,0))</f>
        <v>0.23634847853272201</v>
      </c>
      <c r="W288" s="16">
        <f>INDEX('Team forecast'!$B$2:$AO$26,MATCH('Master data'!$B288,'Team forecast'!$B$2:$B$26,0),MATCH('Master data'!W$1,'Team forecast'!$B$2:$AO$2,0))</f>
        <v>0.58357649020425184</v>
      </c>
      <c r="X288" s="5">
        <f t="shared" si="135"/>
        <v>7000</v>
      </c>
      <c r="Y288" s="5">
        <f t="shared" si="136"/>
        <v>4501.8757815756571</v>
      </c>
      <c r="Z288" s="5">
        <f t="shared" si="137"/>
        <v>1181.74239266361</v>
      </c>
      <c r="AA288" s="5">
        <f t="shared" si="138"/>
        <v>-8753.6473530637777</v>
      </c>
      <c r="AB288" s="5">
        <f t="shared" si="139"/>
        <v>9137.5924888683567</v>
      </c>
      <c r="AC288" s="5">
        <f t="shared" si="140"/>
        <v>2565.0715698582626</v>
      </c>
      <c r="AD288" s="5">
        <f t="shared" si="141"/>
        <v>1637.3226887321787</v>
      </c>
      <c r="AE288" s="5">
        <f t="shared" si="142"/>
        <v>0</v>
      </c>
      <c r="AF288" s="5">
        <f t="shared" si="143"/>
        <v>0</v>
      </c>
      <c r="AG288" s="5">
        <f t="shared" si="144"/>
        <v>-1608.1000595592616</v>
      </c>
      <c r="AH288" s="5">
        <f t="shared" si="145"/>
        <v>0</v>
      </c>
      <c r="AI288" s="5">
        <f t="shared" si="146"/>
        <v>8446.1095835632186</v>
      </c>
      <c r="AJ288" s="5">
        <f t="shared" si="147"/>
        <v>-12481.847958146605</v>
      </c>
      <c r="AK288" s="5">
        <f>IFERROR(SUM(X288:AJ288),-5000)*((Cockpit!$C$3)^0)</f>
        <v>11626.119134491641</v>
      </c>
      <c r="AL288" s="16">
        <f>INDEX('Team forecast'!$B$2:$AO$26,MATCH('Master data'!$B288,'Team forecast'!$B$2:$B$26,0),MATCH('Master data'!AL$1,'Team forecast'!$B$2:$AO$2,0))</f>
        <v>1.5687475343836428</v>
      </c>
      <c r="AM288" s="16">
        <f>INDEX('Team forecast'!$B$2:$AO$26,MATCH('Master data'!$B288,'Team forecast'!$B$2:$B$26,0),MATCH('Master data'!AM$1,'Team forecast'!$B$2:$AO$2,0))</f>
        <v>0.75781731816731412</v>
      </c>
      <c r="AN288" s="16">
        <f>INDEX('Team forecast'!$B$2:$AO$26,MATCH('Master data'!$B288,'Team forecast'!$B$2:$B$26,0),MATCH('Master data'!AN$1,'Team forecast'!$B$2:$AO$2,0))</f>
        <v>0.46868830883965779</v>
      </c>
      <c r="AO288" s="16">
        <f>INDEX('Team forecast'!$B$2:$AO$26,MATCH('Master data'!$B288,'Team forecast'!$B$2:$B$26,0),MATCH('Master data'!AO$1,'Team forecast'!$B$2:$AO$2,0))</f>
        <v>5.3425178268869509</v>
      </c>
      <c r="AP288" s="16">
        <f>INDEX('Team forecast'!$B$2:$AO$26,MATCH('Master data'!$B288,'Team forecast'!$B$2:$B$26,0),MATCH('Master data'!AP$1,'Team forecast'!$B$2:$AO$2,0))</f>
        <v>2.1494454842563817</v>
      </c>
      <c r="AQ288" s="5">
        <f t="shared" si="148"/>
        <v>7000</v>
      </c>
      <c r="AR288" s="5">
        <f>INDEX('Team forecast'!$B$2:$AO$26,MATCH('Master data'!$B288,'Team forecast'!$B$2:$B$26,0),MATCH('Master data'!AR$1,'Team forecast'!$B$2:$AO$2,0))*IF(X288&gt;0,25000,0)</f>
        <v>14202.676025444174</v>
      </c>
      <c r="AS288" s="16">
        <f>INDEX('Team forecast'!$B$2:$AO$26,MATCH('Master data'!$B288,'Team forecast'!$B$2:$B$26,0),MATCH('Master data'!AS$1,'Team forecast'!$B$2:$AO$2,0))*IF(X288&gt;0,5000,0)</f>
        <v>1266.7251590261019</v>
      </c>
      <c r="AT288" s="16">
        <f>INDEX('Team forecast'!$B$2:$AO$26,MATCH('Master data'!$B288,'Team forecast'!$B$2:$B$26,0),MATCH('Master data'!AT$1,'Team forecast'!$B$2:$AO$2,0))*IF(X288&gt;0,-15000,0)</f>
        <v>-2678.2189076551876</v>
      </c>
      <c r="AU288" s="5">
        <f t="shared" si="149"/>
        <v>16971.808789943858</v>
      </c>
      <c r="AV288" s="5">
        <f t="shared" si="150"/>
        <v>4764.2641395082619</v>
      </c>
      <c r="AW288" s="5">
        <f t="shared" si="151"/>
        <v>3041.0994618606305</v>
      </c>
      <c r="AX288" s="5">
        <f t="shared" si="152"/>
        <v>0</v>
      </c>
      <c r="AY288" s="5">
        <f t="shared" si="153"/>
        <v>0</v>
      </c>
      <c r="AZ288" s="5">
        <f t="shared" si="154"/>
        <v>-1608.1000595592616</v>
      </c>
      <c r="BA288" s="5">
        <f t="shared" si="155"/>
        <v>0</v>
      </c>
      <c r="BB288" s="5">
        <f t="shared" si="156"/>
        <v>15687.475343836428</v>
      </c>
      <c r="BC288" s="5">
        <f t="shared" si="157"/>
        <v>-6062.5385453385134</v>
      </c>
      <c r="BD288" s="5">
        <f t="shared" si="158"/>
        <v>52585.191407066479</v>
      </c>
      <c r="BE288" s="16">
        <f>INDEX('Team forecast'!$B$2:$AO$26,MATCH('Master data'!$B288,'Team forecast'!$B$2:$B$26,0),MATCH('Master data'!BE$1,'Team forecast'!$B$2:$AO$2,0))</f>
        <v>0.95602347631827322</v>
      </c>
      <c r="BF288" s="16">
        <f>INDEX('Team forecast'!$B$2:$AO$26,MATCH('Master data'!$B288,'Team forecast'!$B$2:$B$26,0),MATCH('Master data'!BF$1,'Team forecast'!$B$2:$AO$2,0))</f>
        <v>1.5053002864585165</v>
      </c>
      <c r="BG288" s="16">
        <f>INDEX('Team forecast'!$B$2:$AO$26,MATCH('Master data'!$B288,'Team forecast'!$B$2:$B$26,0),MATCH('Master data'!BG$1,'Team forecast'!$B$2:$AO$2,0))</f>
        <v>0.22195063505392029</v>
      </c>
      <c r="BH288" s="16">
        <f>INDEX('Team forecast'!$B$2:$AO$26,MATCH('Master data'!$B288,'Team forecast'!$B$2:$B$26,0),MATCH('Master data'!BH$1,'Team forecast'!$B$2:$AO$2,0))</f>
        <v>3.2558282025664269</v>
      </c>
      <c r="BI288" s="16">
        <f>INDEX('Team forecast'!$B$2:$AO$26,MATCH('Master data'!$B288,'Team forecast'!$B$2:$B$26,0),MATCH('Master data'!BI$1,'Team forecast'!$B$2:$AO$2,0))</f>
        <v>4.2695789943187012</v>
      </c>
      <c r="BJ288" s="5">
        <f t="shared" si="159"/>
        <v>7000</v>
      </c>
      <c r="BK288" s="5">
        <f>INDEX('Team forecast'!$R$3:$BH$26,MATCH($B288,'Team forecast'!$B$3:$B$26,0),MATCH(BK$1,'Team forecast'!$R$2:$BH$2,0))*IF($X288&gt;0,25000,0)</f>
        <v>5860.0381084358223</v>
      </c>
      <c r="BL288" s="5">
        <f>INDEX('Team forecast'!$R$3:$BH$26,MATCH($B288,'Team forecast'!$B$3:$B$26,0),MATCH(BL$1,'Team forecast'!$R$2:$BH$2,0))*IF($X288&gt;0,5000,0)</f>
        <v>1413.30330850511</v>
      </c>
      <c r="BM288" s="5">
        <f>INDEX('Team forecast'!$R$3:$BH$26,MATCH($B288,'Team forecast'!$B$3:$B$26,0),MATCH(BM$1,'Team forecast'!$R$2:$BH$2,0))*IF($X288&gt;0,-15000,0)</f>
        <v>-7244.0672094231768</v>
      </c>
      <c r="BN288" s="5">
        <f t="shared" si="160"/>
        <v>10342.931085559343</v>
      </c>
      <c r="BO288" s="5">
        <f t="shared" si="161"/>
        <v>2903.4298157738458</v>
      </c>
      <c r="BP288" s="5">
        <f t="shared" si="162"/>
        <v>1853.3017044708383</v>
      </c>
      <c r="BQ288" s="5">
        <f t="shared" si="163"/>
        <v>0</v>
      </c>
      <c r="BR288" s="5">
        <f t="shared" si="164"/>
        <v>0</v>
      </c>
      <c r="BS288" s="5">
        <f t="shared" si="165"/>
        <v>-1608.1000595592616</v>
      </c>
      <c r="BT288" s="5">
        <f t="shared" si="166"/>
        <v>0</v>
      </c>
      <c r="BU288" s="5">
        <f t="shared" si="167"/>
        <v>9560.2347631827324</v>
      </c>
      <c r="BV288" s="5">
        <f t="shared" si="168"/>
        <v>-12042.402291668132</v>
      </c>
      <c r="BW288" s="5">
        <f t="shared" si="169"/>
        <v>18038.669225277121</v>
      </c>
      <c r="BX288" s="5">
        <f t="shared" si="170"/>
        <v>27416.659922278413</v>
      </c>
      <c r="BY288" s="5">
        <f t="shared" si="171"/>
        <v>82249.97976683524</v>
      </c>
      <c r="BZ288" s="5">
        <f>INDEX('Team forecast'!$R$3:$BH$26,MATCH($B288,'Team forecast'!$B$3:$B$26,0),MATCH(BZ$1,'Team forecast'!$R$2:$BH$2,0))*($BX288-(BY288+CH288)*0.01)</f>
        <v>-5400.5843756431232</v>
      </c>
      <c r="CA288" s="5">
        <f>INDEX('Team forecast'!$R$3:$BH$26,MATCH($B288,'Team forecast'!$B$3:$B$26,0),MATCH(CA$1,'Team forecast'!$R$2:$BH$2,0))*($BX288-(BY288+BX288+CH288)*0.01)</f>
        <v>-2737.3864741476359</v>
      </c>
      <c r="CB288" s="5">
        <f>INDEX('Team forecast'!$R$3:$BH$26,MATCH($B288,'Team forecast'!$B$3:$B$26,0),MATCH(CB$1,'Team forecast'!$R$2:$BH$2,0))*($BX288-(BY288+BX288*2+CH288)*0.01)</f>
        <v>-1362.4290315385751</v>
      </c>
      <c r="CC288" s="5">
        <f>INDEX('Team forecast'!$R$3:$BH$26,MATCH($B288,'Team forecast'!$B$3:$B$26,0),MATCH(CC$1,'Team forecast'!$R$2:$BH$2,0))*($BX288-(BY288+BX288*3+CH288)*0.01)</f>
        <v>-636.29487835193095</v>
      </c>
      <c r="CD288" s="5">
        <f>+AK288+BD288*Cockpit!$C$3+BW288*Cockpit!$C$3^2+BZ288*Cockpit!$C$3^3+CA288*Cockpit!$C$3^4+CB288*Cockpit!$C$3^5+CC288*Cockpit!$C$3^6</f>
        <v>52323.932462565288</v>
      </c>
      <c r="CE288" s="5"/>
      <c r="CF288" s="5"/>
      <c r="CG288" s="5">
        <v>0</v>
      </c>
      <c r="CH288" s="5">
        <f t="shared" si="172"/>
        <v>3500000</v>
      </c>
      <c r="CI288" s="5">
        <f t="shared" si="173"/>
        <v>3500000</v>
      </c>
      <c r="CJ288" s="1">
        <f t="shared" si="174"/>
        <v>2.3499994219095783E-2</v>
      </c>
      <c r="CK288" s="5">
        <f>RANK(BY288,$BY$2:$BY$623)+COUNTIF($BY$2:$BY288,$BY288)-1</f>
        <v>206</v>
      </c>
      <c r="CL288" s="5">
        <f>RANK(CJ288,$CJ$2:$CJ$623)+COUNTIF($CJ$2:$CJ288,$CJ288)-1</f>
        <v>227</v>
      </c>
    </row>
    <row r="289" spans="1:90">
      <c r="A289" t="str">
        <f>Players!P290</f>
        <v>Andrey Mostovoy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0.84461095835632183</v>
      </c>
      <c r="I289" s="16">
        <f>INDEX('Team forecast'!$B$2:$AO$26,MATCH('Master data'!$B289,'Team forecast'!$B$2:$B$26,0),MATCH('Master data'!I$1,'Team forecast'!$B$2:$AO$2,0))</f>
        <v>1.5602309947683257</v>
      </c>
      <c r="J289" s="16">
        <f>INDEX('Team forecast'!$B$2:$AO$26,MATCH('Master data'!$B289,'Team forecast'!$B$2:$B$26,0),MATCH('Master data'!J$1,'Team forecast'!$B$2:$AO$2,0))</f>
        <v>0.21008753647353071</v>
      </c>
      <c r="K289" s="16">
        <f>INDEX('Team forecast'!$B$2:$AO$26,MATCH('Master data'!$B289,'Team forecast'!$B$2:$B$26,0),MATCH('Master data'!K$1,'Team forecast'!$B$2:$AO$2,0))</f>
        <v>2.876402354682019</v>
      </c>
      <c r="L289" s="16">
        <f>INDEX('Team forecast'!$B$2:$AO$26,MATCH('Master data'!$B289,'Team forecast'!$B$2:$B$26,0),MATCH('Master data'!L$1,'Team forecast'!$B$2:$AO$2,0))</f>
        <v>4.4253824578883423</v>
      </c>
      <c r="M289">
        <f>IF(Players!BC290=1,95,0)</f>
        <v>0</v>
      </c>
      <c r="N289" s="2">
        <f>Players!BN290</f>
        <v>0</v>
      </c>
      <c r="O289" s="2">
        <f>Players!BO290</f>
        <v>0</v>
      </c>
      <c r="P289" s="2">
        <f>Players!BP290</f>
        <v>0</v>
      </c>
      <c r="Q289" s="2">
        <f>Players!BQ290</f>
        <v>0.23009495982468958</v>
      </c>
      <c r="R289" s="2">
        <f>Players!BR290</f>
        <v>0</v>
      </c>
      <c r="S289" s="2">
        <f t="shared" si="133"/>
        <v>0.84461095835632183</v>
      </c>
      <c r="T289" s="2">
        <f t="shared" si="134"/>
        <v>1.5602309947683257</v>
      </c>
      <c r="U289" s="16">
        <f>INDEX('Team forecast'!$B$2:$AO$26,MATCH('Master data'!$B289,'Team forecast'!$B$2:$B$26,0),MATCH('Master data'!U$1,'Team forecast'!$B$2:$AO$2,0))</f>
        <v>0.18007503126302629</v>
      </c>
      <c r="V289" s="16">
        <f>INDEX('Team forecast'!$B$2:$AO$26,MATCH('Master data'!$B289,'Team forecast'!$B$2:$B$26,0),MATCH('Master data'!V$1,'Team forecast'!$B$2:$AO$2,0))</f>
        <v>0.23634847853272201</v>
      </c>
      <c r="W289" s="16">
        <f>INDEX('Team forecast'!$B$2:$AO$26,MATCH('Master data'!$B289,'Team forecast'!$B$2:$B$26,0),MATCH('Master data'!W$1,'Team forecast'!$B$2:$AO$2,0))</f>
        <v>0.58357649020425184</v>
      </c>
      <c r="X289" s="5">
        <f t="shared" si="135"/>
        <v>-5000</v>
      </c>
      <c r="Y289" s="5">
        <f t="shared" si="136"/>
        <v>0</v>
      </c>
      <c r="Z289" s="5">
        <f t="shared" si="137"/>
        <v>0</v>
      </c>
      <c r="AA289" s="5">
        <f t="shared" si="138"/>
        <v>0</v>
      </c>
      <c r="AB289" s="5">
        <f t="shared" si="139"/>
        <v>0</v>
      </c>
      <c r="AC289" s="5">
        <f t="shared" si="140"/>
        <v>0</v>
      </c>
      <c r="AD289" s="5">
        <f t="shared" si="141"/>
        <v>0</v>
      </c>
      <c r="AE289" s="5">
        <f t="shared" si="142"/>
        <v>0</v>
      </c>
      <c r="AF289" s="5">
        <f t="shared" si="143"/>
        <v>0</v>
      </c>
      <c r="AG289" s="5">
        <f t="shared" si="144"/>
        <v>0</v>
      </c>
      <c r="AH289" s="5">
        <f t="shared" si="145"/>
        <v>0</v>
      </c>
      <c r="AI289" s="5">
        <f t="shared" si="146"/>
        <v>0</v>
      </c>
      <c r="AJ289" s="5">
        <f t="shared" si="147"/>
        <v>0</v>
      </c>
      <c r="AK289" s="5">
        <f>IFERROR(SUM(X289:AJ289),-5000)*((Cockpit!$C$3)^0)</f>
        <v>-5000</v>
      </c>
      <c r="AL289" s="16">
        <f>INDEX('Team forecast'!$B$2:$AO$26,MATCH('Master data'!$B289,'Team forecast'!$B$2:$B$26,0),MATCH('Master data'!AL$1,'Team forecast'!$B$2:$AO$2,0))</f>
        <v>1.5687475343836428</v>
      </c>
      <c r="AM289" s="16">
        <f>INDEX('Team forecast'!$B$2:$AO$26,MATCH('Master data'!$B289,'Team forecast'!$B$2:$B$26,0),MATCH('Master data'!AM$1,'Team forecast'!$B$2:$AO$2,0))</f>
        <v>0.75781731816731412</v>
      </c>
      <c r="AN289" s="16">
        <f>INDEX('Team forecast'!$B$2:$AO$26,MATCH('Master data'!$B289,'Team forecast'!$B$2:$B$26,0),MATCH('Master data'!AN$1,'Team forecast'!$B$2:$AO$2,0))</f>
        <v>0.46868830883965779</v>
      </c>
      <c r="AO289" s="16">
        <f>INDEX('Team forecast'!$B$2:$AO$26,MATCH('Master data'!$B289,'Team forecast'!$B$2:$B$26,0),MATCH('Master data'!AO$1,'Team forecast'!$B$2:$AO$2,0))</f>
        <v>5.3425178268869509</v>
      </c>
      <c r="AP289" s="16">
        <f>INDEX('Team forecast'!$B$2:$AO$26,MATCH('Master data'!$B289,'Team forecast'!$B$2:$B$26,0),MATCH('Master data'!AP$1,'Team forecast'!$B$2:$AO$2,0))</f>
        <v>2.1494454842563817</v>
      </c>
      <c r="AQ289" s="5">
        <f t="shared" si="148"/>
        <v>-5000</v>
      </c>
      <c r="AR289" s="5">
        <f>INDEX('Team forecast'!$B$2:$AO$26,MATCH('Master data'!$B289,'Team forecast'!$B$2:$B$26,0),MATCH('Master data'!AR$1,'Team forecast'!$B$2:$AO$2,0))*IF(X289&gt;0,25000,0)</f>
        <v>0</v>
      </c>
      <c r="AS289" s="16">
        <f>INDEX('Team forecast'!$B$2:$AO$26,MATCH('Master data'!$B289,'Team forecast'!$B$2:$B$26,0),MATCH('Master data'!AS$1,'Team forecast'!$B$2:$AO$2,0))*IF(X289&gt;0,5000,0)</f>
        <v>0</v>
      </c>
      <c r="AT289" s="16">
        <f>INDEX('Team forecast'!$B$2:$AO$26,MATCH('Master data'!$B289,'Team forecast'!$B$2:$B$26,0),MATCH('Master data'!AT$1,'Team forecast'!$B$2:$AO$2,0))*IF(X289&gt;0,-15000,0)</f>
        <v>0</v>
      </c>
      <c r="AU289" s="5">
        <f t="shared" si="149"/>
        <v>0</v>
      </c>
      <c r="AV289" s="5">
        <f t="shared" si="150"/>
        <v>0</v>
      </c>
      <c r="AW289" s="5">
        <f t="shared" si="151"/>
        <v>0</v>
      </c>
      <c r="AX289" s="5">
        <f t="shared" si="152"/>
        <v>0</v>
      </c>
      <c r="AY289" s="5">
        <f t="shared" si="153"/>
        <v>0</v>
      </c>
      <c r="AZ289" s="5">
        <f t="shared" si="154"/>
        <v>0</v>
      </c>
      <c r="BA289" s="5">
        <f t="shared" si="155"/>
        <v>0</v>
      </c>
      <c r="BB289" s="5">
        <f t="shared" si="156"/>
        <v>0</v>
      </c>
      <c r="BC289" s="5">
        <f t="shared" si="157"/>
        <v>0</v>
      </c>
      <c r="BD289" s="5">
        <f t="shared" si="158"/>
        <v>-5000</v>
      </c>
      <c r="BE289" s="16">
        <f>INDEX('Team forecast'!$B$2:$AO$26,MATCH('Master data'!$B289,'Team forecast'!$B$2:$B$26,0),MATCH('Master data'!BE$1,'Team forecast'!$B$2:$AO$2,0))</f>
        <v>0.95602347631827322</v>
      </c>
      <c r="BF289" s="16">
        <f>INDEX('Team forecast'!$B$2:$AO$26,MATCH('Master data'!$B289,'Team forecast'!$B$2:$B$26,0),MATCH('Master data'!BF$1,'Team forecast'!$B$2:$AO$2,0))</f>
        <v>1.5053002864585165</v>
      </c>
      <c r="BG289" s="16">
        <f>INDEX('Team forecast'!$B$2:$AO$26,MATCH('Master data'!$B289,'Team forecast'!$B$2:$B$26,0),MATCH('Master data'!BG$1,'Team forecast'!$B$2:$AO$2,0))</f>
        <v>0.22195063505392029</v>
      </c>
      <c r="BH289" s="16">
        <f>INDEX('Team forecast'!$B$2:$AO$26,MATCH('Master data'!$B289,'Team forecast'!$B$2:$B$26,0),MATCH('Master data'!BH$1,'Team forecast'!$B$2:$AO$2,0))</f>
        <v>3.2558282025664269</v>
      </c>
      <c r="BI289" s="16">
        <f>INDEX('Team forecast'!$B$2:$AO$26,MATCH('Master data'!$B289,'Team forecast'!$B$2:$B$26,0),MATCH('Master data'!BI$1,'Team forecast'!$B$2:$AO$2,0))</f>
        <v>4.2695789943187012</v>
      </c>
      <c r="BJ289" s="5">
        <f t="shared" si="159"/>
        <v>-5000</v>
      </c>
      <c r="BK289" s="5">
        <f>INDEX('Team forecast'!$R$3:$BH$26,MATCH($B289,'Team forecast'!$B$3:$B$26,0),MATCH(BK$1,'Team forecast'!$R$2:$BH$2,0))*IF($X289&gt;0,25000,0)</f>
        <v>0</v>
      </c>
      <c r="BL289" s="5">
        <f>INDEX('Team forecast'!$R$3:$BH$26,MATCH($B289,'Team forecast'!$B$3:$B$26,0),MATCH(BL$1,'Team forecast'!$R$2:$BH$2,0))*IF($X289&gt;0,5000,0)</f>
        <v>0</v>
      </c>
      <c r="BM289" s="5">
        <f>INDEX('Team forecast'!$R$3:$BH$26,MATCH($B289,'Team forecast'!$B$3:$B$26,0),MATCH(BM$1,'Team forecast'!$R$2:$BH$2,0))*IF($X289&gt;0,-15000,0)</f>
        <v>0</v>
      </c>
      <c r="BN289" s="5">
        <f t="shared" si="160"/>
        <v>0</v>
      </c>
      <c r="BO289" s="5">
        <f t="shared" si="161"/>
        <v>0</v>
      </c>
      <c r="BP289" s="5">
        <f t="shared" si="162"/>
        <v>0</v>
      </c>
      <c r="BQ289" s="5">
        <f t="shared" si="163"/>
        <v>0</v>
      </c>
      <c r="BR289" s="5">
        <f t="shared" si="164"/>
        <v>0</v>
      </c>
      <c r="BS289" s="5">
        <f t="shared" si="165"/>
        <v>0</v>
      </c>
      <c r="BT289" s="5">
        <f t="shared" si="166"/>
        <v>0</v>
      </c>
      <c r="BU289" s="5">
        <f t="shared" si="167"/>
        <v>0</v>
      </c>
      <c r="BV289" s="5">
        <f t="shared" si="168"/>
        <v>0</v>
      </c>
      <c r="BW289" s="5">
        <f t="shared" si="169"/>
        <v>-5000</v>
      </c>
      <c r="BX289" s="5">
        <f t="shared" si="170"/>
        <v>-5000</v>
      </c>
      <c r="BY289" s="5">
        <f t="shared" si="171"/>
        <v>-15000</v>
      </c>
      <c r="BZ289" s="5">
        <f>INDEX('Team forecast'!$R$3:$BH$26,MATCH($B289,'Team forecast'!$B$3:$B$26,0),MATCH(BZ$1,'Team forecast'!$R$2:$BH$2,0))*($BX289-(BY289+CH289)*0.01)</f>
        <v>-19178.029322794926</v>
      </c>
      <c r="CA289" s="5">
        <f>INDEX('Team forecast'!$R$3:$BH$26,MATCH($B289,'Team forecast'!$B$3:$B$26,0),MATCH(CA$1,'Team forecast'!$R$2:$BH$2,0))*($BX289-(BY289+BX289+CH289)*0.01)</f>
        <v>-9397.9327282977792</v>
      </c>
      <c r="CB289" s="5">
        <f>INDEX('Team forecast'!$R$3:$BH$26,MATCH($B289,'Team forecast'!$B$3:$B$26,0),MATCH(CB$1,'Team forecast'!$R$2:$BH$2,0))*($BX289-(BY289+BX289*2+CH289)*0.01)</f>
        <v>-4526.6339341496214</v>
      </c>
      <c r="CC289" s="5">
        <f>INDEX('Team forecast'!$R$3:$BH$26,MATCH($B289,'Team forecast'!$B$3:$B$26,0),MATCH(CC$1,'Team forecast'!$R$2:$BH$2,0))*($BX289-(BY289+BX289*3+CH289)*0.01)</f>
        <v>-2047.8177610024545</v>
      </c>
      <c r="CD289" s="5">
        <f>+AK289+BD289*Cockpit!$C$3+BW289*Cockpit!$C$3^2+BZ289*Cockpit!$C$3^3+CA289*Cockpit!$C$3^4+CB289*Cockpit!$C$3^5+CC289*Cockpit!$C$3^6</f>
        <v>-18870.197312731281</v>
      </c>
      <c r="CE289" s="5"/>
      <c r="CF289" s="5"/>
      <c r="CG289" s="5">
        <v>0</v>
      </c>
      <c r="CH289" s="5">
        <f t="shared" si="172"/>
        <v>2500000</v>
      </c>
      <c r="CI289" s="5">
        <f t="shared" si="173"/>
        <v>2500000</v>
      </c>
      <c r="CJ289" s="1">
        <f t="shared" si="174"/>
        <v>-6.0000000000000001E-3</v>
      </c>
      <c r="CK289" s="5">
        <f>RANK(BY289,$BY$2:$BY$623)+COUNTIF($BY$2:$BY289,$BY289)-1</f>
        <v>506</v>
      </c>
      <c r="CL289" s="5">
        <f>RANK(CJ289,$CJ$2:$CJ$623)+COUNTIF($CJ$2:$CJ289,$CJ289)-1</f>
        <v>537</v>
      </c>
    </row>
    <row r="290" spans="1:90">
      <c r="A290" t="str">
        <f>Players!P291</f>
        <v>Denis Cheryshev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2500000</v>
      </c>
      <c r="H290" s="16">
        <f>INDEX('Team forecast'!$B$2:$AO$26,MATCH('Master data'!$B290,'Team forecast'!$B$2:$B$26,0),MATCH('Master data'!H$1,'Team forecast'!$B$2:$AO$2,0))</f>
        <v>0.84461095835632183</v>
      </c>
      <c r="I290" s="16">
        <f>INDEX('Team forecast'!$B$2:$AO$26,MATCH('Master data'!$B290,'Team forecast'!$B$2:$B$26,0),MATCH('Master data'!I$1,'Team forecast'!$B$2:$AO$2,0))</f>
        <v>1.5602309947683257</v>
      </c>
      <c r="J290" s="16">
        <f>INDEX('Team forecast'!$B$2:$AO$26,MATCH('Master data'!$B290,'Team forecast'!$B$2:$B$26,0),MATCH('Master data'!J$1,'Team forecast'!$B$2:$AO$2,0))</f>
        <v>0.21008753647353071</v>
      </c>
      <c r="K290" s="16">
        <f>INDEX('Team forecast'!$B$2:$AO$26,MATCH('Master data'!$B290,'Team forecast'!$B$2:$B$26,0),MATCH('Master data'!K$1,'Team forecast'!$B$2:$AO$2,0))</f>
        <v>2.876402354682019</v>
      </c>
      <c r="L290" s="16">
        <f>INDEX('Team forecast'!$B$2:$AO$26,MATCH('Master data'!$B290,'Team forecast'!$B$2:$B$26,0),MATCH('Master data'!L$1,'Team forecast'!$B$2:$AO$2,0))</f>
        <v>4.4253824578883423</v>
      </c>
      <c r="M290">
        <f>IF(Players!BC291=1,95,0)</f>
        <v>95</v>
      </c>
      <c r="N290" s="2">
        <f>Players!BN291</f>
        <v>0.10125487164556991</v>
      </c>
      <c r="O290" s="2">
        <f>Players!BO291</f>
        <v>0.20815842234256252</v>
      </c>
      <c r="P290" s="2">
        <f>Players!BP291</f>
        <v>0.13937247961394197</v>
      </c>
      <c r="Q290" s="2">
        <f>Players!BQ291</f>
        <v>0.26250453720508171</v>
      </c>
      <c r="R290" s="2">
        <f>Players!BR291</f>
        <v>0</v>
      </c>
      <c r="S290" s="2">
        <f t="shared" si="133"/>
        <v>0.84461095835632183</v>
      </c>
      <c r="T290" s="2">
        <f t="shared" si="134"/>
        <v>1.5602309947683257</v>
      </c>
      <c r="U290" s="16">
        <f>INDEX('Team forecast'!$B$2:$AO$26,MATCH('Master data'!$B290,'Team forecast'!$B$2:$B$26,0),MATCH('Master data'!U$1,'Team forecast'!$B$2:$AO$2,0))</f>
        <v>0.18007503126302629</v>
      </c>
      <c r="V290" s="16">
        <f>INDEX('Team forecast'!$B$2:$AO$26,MATCH('Master data'!$B290,'Team forecast'!$B$2:$B$26,0),MATCH('Master data'!V$1,'Team forecast'!$B$2:$AO$2,0))</f>
        <v>0.23634847853272201</v>
      </c>
      <c r="W290" s="16">
        <f>INDEX('Team forecast'!$B$2:$AO$26,MATCH('Master data'!$B290,'Team forecast'!$B$2:$B$26,0),MATCH('Master data'!W$1,'Team forecast'!$B$2:$AO$2,0))</f>
        <v>0.58357649020425184</v>
      </c>
      <c r="X290" s="5">
        <f t="shared" si="135"/>
        <v>7000</v>
      </c>
      <c r="Y290" s="5">
        <f t="shared" si="136"/>
        <v>4501.8757815756571</v>
      </c>
      <c r="Z290" s="5">
        <f t="shared" si="137"/>
        <v>1181.74239266361</v>
      </c>
      <c r="AA290" s="5">
        <f t="shared" si="138"/>
        <v>-8753.6473530637777</v>
      </c>
      <c r="AB290" s="5">
        <f t="shared" si="139"/>
        <v>10690.121772351396</v>
      </c>
      <c r="AC290" s="5">
        <f t="shared" si="140"/>
        <v>8790.6442292345855</v>
      </c>
      <c r="AD290" s="5">
        <f t="shared" si="141"/>
        <v>4008.9132853941437</v>
      </c>
      <c r="AE290" s="5">
        <f t="shared" si="142"/>
        <v>0</v>
      </c>
      <c r="AF290" s="5">
        <f t="shared" si="143"/>
        <v>0</v>
      </c>
      <c r="AG290" s="5">
        <f t="shared" si="144"/>
        <v>-5250.0907441016343</v>
      </c>
      <c r="AH290" s="5">
        <f t="shared" si="145"/>
        <v>0</v>
      </c>
      <c r="AI290" s="5">
        <f t="shared" si="146"/>
        <v>8446.1095835632186</v>
      </c>
      <c r="AJ290" s="5">
        <f t="shared" si="147"/>
        <v>-12481.847958146605</v>
      </c>
      <c r="AK290" s="5">
        <f>IFERROR(SUM(X290:AJ290),-5000)*((Cockpit!$C$3)^0)</f>
        <v>18133.820989470594</v>
      </c>
      <c r="AL290" s="16">
        <f>INDEX('Team forecast'!$B$2:$AO$26,MATCH('Master data'!$B290,'Team forecast'!$B$2:$B$26,0),MATCH('Master data'!AL$1,'Team forecast'!$B$2:$AO$2,0))</f>
        <v>1.5687475343836428</v>
      </c>
      <c r="AM290" s="16">
        <f>INDEX('Team forecast'!$B$2:$AO$26,MATCH('Master data'!$B290,'Team forecast'!$B$2:$B$26,0),MATCH('Master data'!AM$1,'Team forecast'!$B$2:$AO$2,0))</f>
        <v>0.75781731816731412</v>
      </c>
      <c r="AN290" s="16">
        <f>INDEX('Team forecast'!$B$2:$AO$26,MATCH('Master data'!$B290,'Team forecast'!$B$2:$B$26,0),MATCH('Master data'!AN$1,'Team forecast'!$B$2:$AO$2,0))</f>
        <v>0.46868830883965779</v>
      </c>
      <c r="AO290" s="16">
        <f>INDEX('Team forecast'!$B$2:$AO$26,MATCH('Master data'!$B290,'Team forecast'!$B$2:$B$26,0),MATCH('Master data'!AO$1,'Team forecast'!$B$2:$AO$2,0))</f>
        <v>5.3425178268869509</v>
      </c>
      <c r="AP290" s="16">
        <f>INDEX('Team forecast'!$B$2:$AO$26,MATCH('Master data'!$B290,'Team forecast'!$B$2:$B$26,0),MATCH('Master data'!AP$1,'Team forecast'!$B$2:$AO$2,0))</f>
        <v>2.1494454842563817</v>
      </c>
      <c r="AQ290" s="5">
        <f t="shared" si="148"/>
        <v>7000</v>
      </c>
      <c r="AR290" s="5">
        <f>INDEX('Team forecast'!$B$2:$AO$26,MATCH('Master data'!$B290,'Team forecast'!$B$2:$B$26,0),MATCH('Master data'!AR$1,'Team forecast'!$B$2:$AO$2,0))*IF(X290&gt;0,25000,0)</f>
        <v>14202.676025444174</v>
      </c>
      <c r="AS290" s="16">
        <f>INDEX('Team forecast'!$B$2:$AO$26,MATCH('Master data'!$B290,'Team forecast'!$B$2:$B$26,0),MATCH('Master data'!AS$1,'Team forecast'!$B$2:$AO$2,0))*IF(X290&gt;0,5000,0)</f>
        <v>1266.7251590261019</v>
      </c>
      <c r="AT290" s="16">
        <f>INDEX('Team forecast'!$B$2:$AO$26,MATCH('Master data'!$B290,'Team forecast'!$B$2:$B$26,0),MATCH('Master data'!AT$1,'Team forecast'!$B$2:$AO$2,0))*IF(X290&gt;0,-15000,0)</f>
        <v>-2678.2189076551876</v>
      </c>
      <c r="AU290" s="5">
        <f t="shared" si="149"/>
        <v>19855.416279790003</v>
      </c>
      <c r="AV290" s="5">
        <f t="shared" si="150"/>
        <v>16327.400590554196</v>
      </c>
      <c r="AW290" s="5">
        <f t="shared" si="151"/>
        <v>7445.9995691492313</v>
      </c>
      <c r="AX290" s="5">
        <f t="shared" si="152"/>
        <v>0</v>
      </c>
      <c r="AY290" s="5">
        <f t="shared" si="153"/>
        <v>0</v>
      </c>
      <c r="AZ290" s="5">
        <f t="shared" si="154"/>
        <v>-5250.0907441016343</v>
      </c>
      <c r="BA290" s="5">
        <f t="shared" si="155"/>
        <v>0</v>
      </c>
      <c r="BB290" s="5">
        <f t="shared" si="156"/>
        <v>15687.475343836428</v>
      </c>
      <c r="BC290" s="5">
        <f t="shared" si="157"/>
        <v>-6062.5385453385134</v>
      </c>
      <c r="BD290" s="5">
        <f t="shared" si="158"/>
        <v>67794.844770704818</v>
      </c>
      <c r="BE290" s="16">
        <f>INDEX('Team forecast'!$B$2:$AO$26,MATCH('Master data'!$B290,'Team forecast'!$B$2:$B$26,0),MATCH('Master data'!BE$1,'Team forecast'!$B$2:$AO$2,0))</f>
        <v>0.95602347631827322</v>
      </c>
      <c r="BF290" s="16">
        <f>INDEX('Team forecast'!$B$2:$AO$26,MATCH('Master data'!$B290,'Team forecast'!$B$2:$B$26,0),MATCH('Master data'!BF$1,'Team forecast'!$B$2:$AO$2,0))</f>
        <v>1.5053002864585165</v>
      </c>
      <c r="BG290" s="16">
        <f>INDEX('Team forecast'!$B$2:$AO$26,MATCH('Master data'!$B290,'Team forecast'!$B$2:$B$26,0),MATCH('Master data'!BG$1,'Team forecast'!$B$2:$AO$2,0))</f>
        <v>0.22195063505392029</v>
      </c>
      <c r="BH290" s="16">
        <f>INDEX('Team forecast'!$B$2:$AO$26,MATCH('Master data'!$B290,'Team forecast'!$B$2:$B$26,0),MATCH('Master data'!BH$1,'Team forecast'!$B$2:$AO$2,0))</f>
        <v>3.2558282025664269</v>
      </c>
      <c r="BI290" s="16">
        <f>INDEX('Team forecast'!$B$2:$AO$26,MATCH('Master data'!$B290,'Team forecast'!$B$2:$B$26,0),MATCH('Master data'!BI$1,'Team forecast'!$B$2:$AO$2,0))</f>
        <v>4.2695789943187012</v>
      </c>
      <c r="BJ290" s="5">
        <f t="shared" si="159"/>
        <v>7000</v>
      </c>
      <c r="BK290" s="5">
        <f>INDEX('Team forecast'!$R$3:$BH$26,MATCH($B290,'Team forecast'!$B$3:$B$26,0),MATCH(BK$1,'Team forecast'!$R$2:$BH$2,0))*IF($X290&gt;0,25000,0)</f>
        <v>5860.0381084358223</v>
      </c>
      <c r="BL290" s="5">
        <f>INDEX('Team forecast'!$R$3:$BH$26,MATCH($B290,'Team forecast'!$B$3:$B$26,0),MATCH(BL$1,'Team forecast'!$R$2:$BH$2,0))*IF($X290&gt;0,5000,0)</f>
        <v>1413.30330850511</v>
      </c>
      <c r="BM290" s="5">
        <f>INDEX('Team forecast'!$R$3:$BH$26,MATCH($B290,'Team forecast'!$B$3:$B$26,0),MATCH(BM$1,'Team forecast'!$R$2:$BH$2,0))*IF($X290&gt;0,-15000,0)</f>
        <v>-7244.0672094231768</v>
      </c>
      <c r="BN290" s="5">
        <f t="shared" si="160"/>
        <v>12100.254298094789</v>
      </c>
      <c r="BO290" s="5">
        <f t="shared" si="161"/>
        <v>9950.216927643196</v>
      </c>
      <c r="BP290" s="5">
        <f t="shared" si="162"/>
        <v>4537.7284978868665</v>
      </c>
      <c r="BQ290" s="5">
        <f t="shared" si="163"/>
        <v>0</v>
      </c>
      <c r="BR290" s="5">
        <f t="shared" si="164"/>
        <v>0</v>
      </c>
      <c r="BS290" s="5">
        <f t="shared" si="165"/>
        <v>-5250.0907441016343</v>
      </c>
      <c r="BT290" s="5">
        <f t="shared" si="166"/>
        <v>0</v>
      </c>
      <c r="BU290" s="5">
        <f t="shared" si="167"/>
        <v>9560.2347631827324</v>
      </c>
      <c r="BV290" s="5">
        <f t="shared" si="168"/>
        <v>-12042.402291668132</v>
      </c>
      <c r="BW290" s="5">
        <f t="shared" si="169"/>
        <v>25885.215658555575</v>
      </c>
      <c r="BX290" s="5">
        <f t="shared" si="170"/>
        <v>37271.293806243666</v>
      </c>
      <c r="BY290" s="5">
        <f t="shared" si="171"/>
        <v>111813.88141873101</v>
      </c>
      <c r="BZ290" s="5">
        <f>INDEX('Team forecast'!$R$3:$BH$26,MATCH($B290,'Team forecast'!$B$3:$B$26,0),MATCH(BZ$1,'Team forecast'!$R$2:$BH$2,0))*($BX290-(BY290+CH290)*0.01)</f>
        <v>7165.6795135455077</v>
      </c>
      <c r="CA290" s="5">
        <f>INDEX('Team forecast'!$R$3:$BH$26,MATCH($B290,'Team forecast'!$B$3:$B$26,0),MATCH(CA$1,'Team forecast'!$R$2:$BH$2,0))*($BX290-(BY290+BX290+CH290)*0.01)</f>
        <v>3399.7942686156766</v>
      </c>
      <c r="CB290" s="5">
        <f>INDEX('Team forecast'!$R$3:$BH$26,MATCH($B290,'Team forecast'!$B$3:$B$26,0),MATCH(CB$1,'Team forecast'!$R$2:$BH$2,0))*($BX290-(BY290+BX290*2+CH290)*0.01)</f>
        <v>1583.595959449159</v>
      </c>
      <c r="CC290" s="5">
        <f>INDEX('Team forecast'!$R$3:$BH$26,MATCH($B290,'Team forecast'!$B$3:$B$26,0),MATCH(CC$1,'Team forecast'!$R$2:$BH$2,0))*($BX290-(BY290+BX290*3+CH290)*0.01)</f>
        <v>691.91529834973733</v>
      </c>
      <c r="CD290" s="5">
        <f>+AK290+BD290*Cockpit!$C$3+BW290*Cockpit!$C$3^2+BZ290*Cockpit!$C$3^3+CA290*Cockpit!$C$3^4+CB290*Cockpit!$C$3^5+CC290*Cockpit!$C$3^6</f>
        <v>77898.936727114691</v>
      </c>
      <c r="CE290" s="5"/>
      <c r="CF290" s="5"/>
      <c r="CG290" s="5">
        <v>0</v>
      </c>
      <c r="CH290" s="5">
        <f t="shared" si="172"/>
        <v>2500000</v>
      </c>
      <c r="CI290" s="5">
        <f t="shared" si="173"/>
        <v>2500000</v>
      </c>
      <c r="CJ290" s="1">
        <f t="shared" si="174"/>
        <v>4.4725552567492402E-2</v>
      </c>
      <c r="CK290" s="5">
        <f>RANK(BY290,$BY$2:$BY$623)+COUNTIF($BY$2:$BY290,$BY290)-1</f>
        <v>148</v>
      </c>
      <c r="CL290" s="5">
        <f>RANK(CJ290,$CJ$2:$CJ$623)+COUNTIF($CJ$2:$CJ290,$CJ290)-1</f>
        <v>54</v>
      </c>
    </row>
    <row r="291" spans="1:90">
      <c r="A291" t="str">
        <f>Players!P292</f>
        <v>Magomed Ozdoyev</v>
      </c>
      <c r="B291" t="str">
        <f>Players!G292</f>
        <v>Russia</v>
      </c>
      <c r="C291" t="str">
        <f>Players!AB292</f>
        <v>Midfield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3000000</v>
      </c>
      <c r="H291" s="16">
        <f>INDEX('Team forecast'!$B$2:$AO$26,MATCH('Master data'!$B291,'Team forecast'!$B$2:$B$26,0),MATCH('Master data'!H$1,'Team forecast'!$B$2:$AO$2,0))</f>
        <v>0.84461095835632183</v>
      </c>
      <c r="I291" s="16">
        <f>INDEX('Team forecast'!$B$2:$AO$26,MATCH('Master data'!$B291,'Team forecast'!$B$2:$B$26,0),MATCH('Master data'!I$1,'Team forecast'!$B$2:$AO$2,0))</f>
        <v>1.5602309947683257</v>
      </c>
      <c r="J291" s="16">
        <f>INDEX('Team forecast'!$B$2:$AO$26,MATCH('Master data'!$B291,'Team forecast'!$B$2:$B$26,0),MATCH('Master data'!J$1,'Team forecast'!$B$2:$AO$2,0))</f>
        <v>0.21008753647353071</v>
      </c>
      <c r="K291" s="16">
        <f>INDEX('Team forecast'!$B$2:$AO$26,MATCH('Master data'!$B291,'Team forecast'!$B$2:$B$26,0),MATCH('Master data'!K$1,'Team forecast'!$B$2:$AO$2,0))</f>
        <v>2.876402354682019</v>
      </c>
      <c r="L291" s="16">
        <f>INDEX('Team forecast'!$B$2:$AO$26,MATCH('Master data'!$B291,'Team forecast'!$B$2:$B$26,0),MATCH('Master data'!L$1,'Team forecast'!$B$2:$AO$2,0))</f>
        <v>4.4253824578883423</v>
      </c>
      <c r="M291">
        <f>IF(Players!BC292=1,95,0)</f>
        <v>95</v>
      </c>
      <c r="N291" s="2">
        <f>Players!BN292</f>
        <v>8.6571564982756602E-2</v>
      </c>
      <c r="O291" s="2">
        <f>Players!BO292</f>
        <v>4.9710851910481829E-2</v>
      </c>
      <c r="P291" s="2">
        <f>Players!BP292</f>
        <v>5.6922588944034631E-2</v>
      </c>
      <c r="Q291" s="2">
        <f>Players!BQ292</f>
        <v>0.14040500297796307</v>
      </c>
      <c r="R291" s="2">
        <f>Players!BR292</f>
        <v>0</v>
      </c>
      <c r="S291" s="2">
        <f t="shared" si="133"/>
        <v>0.84461095835632183</v>
      </c>
      <c r="T291" s="2">
        <f t="shared" si="134"/>
        <v>1.5602309947683257</v>
      </c>
      <c r="U291" s="16">
        <f>INDEX('Team forecast'!$B$2:$AO$26,MATCH('Master data'!$B291,'Team forecast'!$B$2:$B$26,0),MATCH('Master data'!U$1,'Team forecast'!$B$2:$AO$2,0))</f>
        <v>0.18007503126302629</v>
      </c>
      <c r="V291" s="16">
        <f>INDEX('Team forecast'!$B$2:$AO$26,MATCH('Master data'!$B291,'Team forecast'!$B$2:$B$26,0),MATCH('Master data'!V$1,'Team forecast'!$B$2:$AO$2,0))</f>
        <v>0.23634847853272201</v>
      </c>
      <c r="W291" s="16">
        <f>INDEX('Team forecast'!$B$2:$AO$26,MATCH('Master data'!$B291,'Team forecast'!$B$2:$B$26,0),MATCH('Master data'!W$1,'Team forecast'!$B$2:$AO$2,0))</f>
        <v>0.58357649020425184</v>
      </c>
      <c r="X291" s="5">
        <f t="shared" si="135"/>
        <v>7000</v>
      </c>
      <c r="Y291" s="5">
        <f t="shared" si="136"/>
        <v>4501.8757815756571</v>
      </c>
      <c r="Z291" s="5">
        <f t="shared" si="137"/>
        <v>1181.74239266361</v>
      </c>
      <c r="AA291" s="5">
        <f t="shared" si="138"/>
        <v>-8753.6473530637777</v>
      </c>
      <c r="AB291" s="5">
        <f t="shared" si="139"/>
        <v>9139.9115583115818</v>
      </c>
      <c r="AC291" s="5">
        <f t="shared" si="140"/>
        <v>2099.3165136410626</v>
      </c>
      <c r="AD291" s="5">
        <f t="shared" si="141"/>
        <v>1637.3226887321787</v>
      </c>
      <c r="AE291" s="5">
        <f t="shared" si="142"/>
        <v>0</v>
      </c>
      <c r="AF291" s="5">
        <f t="shared" si="143"/>
        <v>0</v>
      </c>
      <c r="AG291" s="5">
        <f t="shared" si="144"/>
        <v>-2808.1000595592614</v>
      </c>
      <c r="AH291" s="5">
        <f t="shared" si="145"/>
        <v>0</v>
      </c>
      <c r="AI291" s="5">
        <f t="shared" si="146"/>
        <v>8446.1095835632186</v>
      </c>
      <c r="AJ291" s="5">
        <f t="shared" si="147"/>
        <v>-12481.847958146605</v>
      </c>
      <c r="AK291" s="5">
        <f>IFERROR(SUM(X291:AJ291),-5000)*((Cockpit!$C$3)^0)</f>
        <v>9962.6831477176638</v>
      </c>
      <c r="AL291" s="16">
        <f>INDEX('Team forecast'!$B$2:$AO$26,MATCH('Master data'!$B291,'Team forecast'!$B$2:$B$26,0),MATCH('Master data'!AL$1,'Team forecast'!$B$2:$AO$2,0))</f>
        <v>1.5687475343836428</v>
      </c>
      <c r="AM291" s="16">
        <f>INDEX('Team forecast'!$B$2:$AO$26,MATCH('Master data'!$B291,'Team forecast'!$B$2:$B$26,0),MATCH('Master data'!AM$1,'Team forecast'!$B$2:$AO$2,0))</f>
        <v>0.75781731816731412</v>
      </c>
      <c r="AN291" s="16">
        <f>INDEX('Team forecast'!$B$2:$AO$26,MATCH('Master data'!$B291,'Team forecast'!$B$2:$B$26,0),MATCH('Master data'!AN$1,'Team forecast'!$B$2:$AO$2,0))</f>
        <v>0.46868830883965779</v>
      </c>
      <c r="AO291" s="16">
        <f>INDEX('Team forecast'!$B$2:$AO$26,MATCH('Master data'!$B291,'Team forecast'!$B$2:$B$26,0),MATCH('Master data'!AO$1,'Team forecast'!$B$2:$AO$2,0))</f>
        <v>5.3425178268869509</v>
      </c>
      <c r="AP291" s="16">
        <f>INDEX('Team forecast'!$B$2:$AO$26,MATCH('Master data'!$B291,'Team forecast'!$B$2:$B$26,0),MATCH('Master data'!AP$1,'Team forecast'!$B$2:$AO$2,0))</f>
        <v>2.1494454842563817</v>
      </c>
      <c r="AQ291" s="5">
        <f t="shared" si="148"/>
        <v>7000</v>
      </c>
      <c r="AR291" s="5">
        <f>INDEX('Team forecast'!$B$2:$AO$26,MATCH('Master data'!$B291,'Team forecast'!$B$2:$B$26,0),MATCH('Master data'!AR$1,'Team forecast'!$B$2:$AO$2,0))*IF(X291&gt;0,25000,0)</f>
        <v>14202.676025444174</v>
      </c>
      <c r="AS291" s="16">
        <f>INDEX('Team forecast'!$B$2:$AO$26,MATCH('Master data'!$B291,'Team forecast'!$B$2:$B$26,0),MATCH('Master data'!AS$1,'Team forecast'!$B$2:$AO$2,0))*IF(X291&gt;0,5000,0)</f>
        <v>1266.7251590261019</v>
      </c>
      <c r="AT291" s="16">
        <f>INDEX('Team forecast'!$B$2:$AO$26,MATCH('Master data'!$B291,'Team forecast'!$B$2:$B$26,0),MATCH('Master data'!AT$1,'Team forecast'!$B$2:$AO$2,0))*IF(X291&gt;0,-15000,0)</f>
        <v>-2678.2189076551876</v>
      </c>
      <c r="AU291" s="5">
        <f t="shared" si="149"/>
        <v>16976.116139304093</v>
      </c>
      <c r="AV291" s="5">
        <f t="shared" si="150"/>
        <v>3899.1888183339388</v>
      </c>
      <c r="AW291" s="5">
        <f t="shared" si="151"/>
        <v>3041.0994618606305</v>
      </c>
      <c r="AX291" s="5">
        <f t="shared" si="152"/>
        <v>0</v>
      </c>
      <c r="AY291" s="5">
        <f t="shared" si="153"/>
        <v>0</v>
      </c>
      <c r="AZ291" s="5">
        <f t="shared" si="154"/>
        <v>-2808.1000595592614</v>
      </c>
      <c r="BA291" s="5">
        <f t="shared" si="155"/>
        <v>0</v>
      </c>
      <c r="BB291" s="5">
        <f t="shared" si="156"/>
        <v>15687.475343836428</v>
      </c>
      <c r="BC291" s="5">
        <f t="shared" si="157"/>
        <v>-6062.5385453385134</v>
      </c>
      <c r="BD291" s="5">
        <f t="shared" si="158"/>
        <v>50524.423435252407</v>
      </c>
      <c r="BE291" s="16">
        <f>INDEX('Team forecast'!$B$2:$AO$26,MATCH('Master data'!$B291,'Team forecast'!$B$2:$B$26,0),MATCH('Master data'!BE$1,'Team forecast'!$B$2:$AO$2,0))</f>
        <v>0.95602347631827322</v>
      </c>
      <c r="BF291" s="16">
        <f>INDEX('Team forecast'!$B$2:$AO$26,MATCH('Master data'!$B291,'Team forecast'!$B$2:$B$26,0),MATCH('Master data'!BF$1,'Team forecast'!$B$2:$AO$2,0))</f>
        <v>1.5053002864585165</v>
      </c>
      <c r="BG291" s="16">
        <f>INDEX('Team forecast'!$B$2:$AO$26,MATCH('Master data'!$B291,'Team forecast'!$B$2:$B$26,0),MATCH('Master data'!BG$1,'Team forecast'!$B$2:$AO$2,0))</f>
        <v>0.22195063505392029</v>
      </c>
      <c r="BH291" s="16">
        <f>INDEX('Team forecast'!$B$2:$AO$26,MATCH('Master data'!$B291,'Team forecast'!$B$2:$B$26,0),MATCH('Master data'!BH$1,'Team forecast'!$B$2:$AO$2,0))</f>
        <v>3.2558282025664269</v>
      </c>
      <c r="BI291" s="16">
        <f>INDEX('Team forecast'!$B$2:$AO$26,MATCH('Master data'!$B291,'Team forecast'!$B$2:$B$26,0),MATCH('Master data'!BI$1,'Team forecast'!$B$2:$AO$2,0))</f>
        <v>4.2695789943187012</v>
      </c>
      <c r="BJ291" s="5">
        <f t="shared" si="159"/>
        <v>7000</v>
      </c>
      <c r="BK291" s="5">
        <f>INDEX('Team forecast'!$R$3:$BH$26,MATCH($B291,'Team forecast'!$B$3:$B$26,0),MATCH(BK$1,'Team forecast'!$R$2:$BH$2,0))*IF($X291&gt;0,25000,0)</f>
        <v>5860.0381084358223</v>
      </c>
      <c r="BL291" s="5">
        <f>INDEX('Team forecast'!$R$3:$BH$26,MATCH($B291,'Team forecast'!$B$3:$B$26,0),MATCH(BL$1,'Team forecast'!$R$2:$BH$2,0))*IF($X291&gt;0,5000,0)</f>
        <v>1413.30330850511</v>
      </c>
      <c r="BM291" s="5">
        <f>INDEX('Team forecast'!$R$3:$BH$26,MATCH($B291,'Team forecast'!$B$3:$B$26,0),MATCH(BM$1,'Team forecast'!$R$2:$BH$2,0))*IF($X291&gt;0,-15000,0)</f>
        <v>-7244.0672094231768</v>
      </c>
      <c r="BN291" s="5">
        <f t="shared" si="160"/>
        <v>10345.556063141034</v>
      </c>
      <c r="BO291" s="5">
        <f t="shared" si="161"/>
        <v>2376.2370727100856</v>
      </c>
      <c r="BP291" s="5">
        <f t="shared" si="162"/>
        <v>1853.3017044708383</v>
      </c>
      <c r="BQ291" s="5">
        <f t="shared" si="163"/>
        <v>0</v>
      </c>
      <c r="BR291" s="5">
        <f t="shared" si="164"/>
        <v>0</v>
      </c>
      <c r="BS291" s="5">
        <f t="shared" si="165"/>
        <v>-2808.1000595592614</v>
      </c>
      <c r="BT291" s="5">
        <f t="shared" si="166"/>
        <v>0</v>
      </c>
      <c r="BU291" s="5">
        <f t="shared" si="167"/>
        <v>9560.2347631827324</v>
      </c>
      <c r="BV291" s="5">
        <f t="shared" si="168"/>
        <v>-12042.402291668132</v>
      </c>
      <c r="BW291" s="5">
        <f t="shared" si="169"/>
        <v>16314.101459795056</v>
      </c>
      <c r="BX291" s="5">
        <f t="shared" si="170"/>
        <v>25600.402680921707</v>
      </c>
      <c r="BY291" s="5">
        <f t="shared" si="171"/>
        <v>76801.208042765124</v>
      </c>
      <c r="BZ291" s="5">
        <f>INDEX('Team forecast'!$R$3:$BH$26,MATCH($B291,'Team forecast'!$B$3:$B$26,0),MATCH(BZ$1,'Team forecast'!$R$2:$BH$2,0))*($BX291-(BY291+CH291)*0.01)</f>
        <v>-3320.0859159958363</v>
      </c>
      <c r="CA291" s="5">
        <f>INDEX('Team forecast'!$R$3:$BH$26,MATCH($B291,'Team forecast'!$B$3:$B$26,0),MATCH(CA$1,'Team forecast'!$R$2:$BH$2,0))*($BX291-(BY291+BX291+CH291)*0.01)</f>
        <v>-1710.4279907651849</v>
      </c>
      <c r="CB291" s="5">
        <f>INDEX('Team forecast'!$R$3:$BH$26,MATCH($B291,'Team forecast'!$B$3:$B$26,0),MATCH(CB$1,'Team forecast'!$R$2:$BH$2,0))*($BX291-(BY291+BX291*2+CH291)*0.01)</f>
        <v>-864.18652424542086</v>
      </c>
      <c r="CC291" s="5">
        <f>INDEX('Team forecast'!$R$3:$BH$26,MATCH($B291,'Team forecast'!$B$3:$B$26,0),MATCH(CC$1,'Team forecast'!$R$2:$BH$2,0))*($BX291-(BY291+BX291*3+CH291)*0.01)</f>
        <v>-409.26165283487165</v>
      </c>
      <c r="CD291" s="5">
        <f>+AK291+BD291*Cockpit!$C$3+BW291*Cockpit!$C$3^2+BZ291*Cockpit!$C$3^3+CA291*Cockpit!$C$3^4+CB291*Cockpit!$C$3^5+CC291*Cockpit!$C$3^6</f>
        <v>49425.020351931635</v>
      </c>
      <c r="CE291" s="5"/>
      <c r="CF291" s="5"/>
      <c r="CG291" s="5">
        <v>0</v>
      </c>
      <c r="CH291" s="5">
        <f t="shared" si="172"/>
        <v>3000000</v>
      </c>
      <c r="CI291" s="5">
        <f t="shared" si="173"/>
        <v>3000000</v>
      </c>
      <c r="CJ291" s="1">
        <f t="shared" si="174"/>
        <v>2.5600402680921709E-2</v>
      </c>
      <c r="CK291" s="5">
        <f>RANK(BY291,$BY$2:$BY$623)+COUNTIF($BY$2:$BY291,$BY291)-1</f>
        <v>223</v>
      </c>
      <c r="CL291" s="5">
        <f>RANK(CJ291,$CJ$2:$CJ$623)+COUNTIF($CJ$2:$CJ291,$CJ291)-1</f>
        <v>199</v>
      </c>
    </row>
    <row r="292" spans="1:90">
      <c r="A292" t="str">
        <f>Players!P293</f>
        <v>Mike Maignan</v>
      </c>
      <c r="B292" t="str">
        <f>Players!G293</f>
        <v>France</v>
      </c>
      <c r="C292" t="str">
        <f>Players!AB293</f>
        <v>Goalkeeper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5000000</v>
      </c>
      <c r="H292" s="16">
        <f>INDEX('Team forecast'!$B$2:$AO$26,MATCH('Master data'!$B292,'Team forecast'!$B$2:$B$26,0),MATCH('Master data'!H$1,'Team forecast'!$B$2:$AO$2,0))</f>
        <v>1.2386203137003762</v>
      </c>
      <c r="I292" s="16">
        <f>INDEX('Team forecast'!$B$2:$AO$26,MATCH('Master data'!$B292,'Team forecast'!$B$2:$B$26,0),MATCH('Master data'!I$1,'Team forecast'!$B$2:$AO$2,0))</f>
        <v>1.2386203137003762</v>
      </c>
      <c r="J292" s="16">
        <f>INDEX('Team forecast'!$B$2:$AO$26,MATCH('Master data'!$B292,'Team forecast'!$B$2:$B$26,0),MATCH('Master data'!J$1,'Team forecast'!$B$2:$AO$2,0))</f>
        <v>0.28978375293296982</v>
      </c>
      <c r="K292" s="16">
        <f>INDEX('Team forecast'!$B$2:$AO$26,MATCH('Master data'!$B292,'Team forecast'!$B$2:$B$26,0),MATCH('Master data'!K$1,'Team forecast'!$B$2:$AO$2,0))</f>
        <v>3.2404985504377408</v>
      </c>
      <c r="L292" s="16">
        <f>INDEX('Team forecast'!$B$2:$AO$26,MATCH('Master data'!$B292,'Team forecast'!$B$2:$B$26,0),MATCH('Master data'!L$1,'Team forecast'!$B$2:$AO$2,0))</f>
        <v>3.7600973808761418</v>
      </c>
      <c r="M292">
        <f>IF(Players!BC293=1,95,0)</f>
        <v>0</v>
      </c>
      <c r="N292" s="2">
        <f>Players!BN293</f>
        <v>0</v>
      </c>
      <c r="O292" s="2">
        <f>Players!BO293</f>
        <v>0</v>
      </c>
      <c r="P292" s="2">
        <f>Players!BP293</f>
        <v>0</v>
      </c>
      <c r="Q292" s="2">
        <f>Players!BQ293</f>
        <v>1.3157894736842106E-2</v>
      </c>
      <c r="R292" s="2">
        <f>Players!BR293</f>
        <v>0</v>
      </c>
      <c r="S292" s="2">
        <f t="shared" si="133"/>
        <v>1.2386203137003762</v>
      </c>
      <c r="T292" s="2">
        <f t="shared" si="134"/>
        <v>1.2386203137003762</v>
      </c>
      <c r="U292" s="16">
        <f>INDEX('Team forecast'!$B$2:$AO$26,MATCH('Master data'!$B292,'Team forecast'!$B$2:$B$26,0),MATCH('Master data'!U$1,'Team forecast'!$B$2:$AO$2,0))</f>
        <v>0.36933223413025562</v>
      </c>
      <c r="V292" s="16">
        <f>INDEX('Team forecast'!$B$2:$AO$26,MATCH('Master data'!$B292,'Team forecast'!$B$2:$B$26,0),MATCH('Master data'!V$1,'Team forecast'!$B$2:$AO$2,0))</f>
        <v>0.29431162407254741</v>
      </c>
      <c r="W292" s="16">
        <f>INDEX('Team forecast'!$B$2:$AO$26,MATCH('Master data'!$B292,'Team forecast'!$B$2:$B$26,0),MATCH('Master data'!W$1,'Team forecast'!$B$2:$AO$2,0))</f>
        <v>0.33635614179719708</v>
      </c>
      <c r="X292" s="5">
        <f t="shared" si="135"/>
        <v>-5000</v>
      </c>
      <c r="Y292" s="5">
        <f t="shared" si="136"/>
        <v>0</v>
      </c>
      <c r="Z292" s="5">
        <f t="shared" si="137"/>
        <v>0</v>
      </c>
      <c r="AA292" s="5">
        <f t="shared" si="138"/>
        <v>0</v>
      </c>
      <c r="AB292" s="5">
        <f t="shared" si="139"/>
        <v>0</v>
      </c>
      <c r="AC292" s="5">
        <f t="shared" si="140"/>
        <v>0</v>
      </c>
      <c r="AD292" s="5">
        <f t="shared" si="141"/>
        <v>0</v>
      </c>
      <c r="AE292" s="5">
        <f t="shared" si="142"/>
        <v>21733.781469972735</v>
      </c>
      <c r="AF292" s="5">
        <f t="shared" si="143"/>
        <v>12607.385335878827</v>
      </c>
      <c r="AG292" s="5">
        <f t="shared" si="144"/>
        <v>0</v>
      </c>
      <c r="AH292" s="5">
        <f t="shared" si="145"/>
        <v>0</v>
      </c>
      <c r="AI292" s="5">
        <f t="shared" si="146"/>
        <v>0</v>
      </c>
      <c r="AJ292" s="5">
        <f t="shared" si="147"/>
        <v>0</v>
      </c>
      <c r="AK292" s="5">
        <f>IFERROR(SUM(X292:AJ292),-5000)*((Cockpit!$C$3)^0)</f>
        <v>29341.166805851564</v>
      </c>
      <c r="AL292" s="16">
        <f>INDEX('Team forecast'!$B$2:$AO$26,MATCH('Master data'!$B292,'Team forecast'!$B$2:$B$26,0),MATCH('Master data'!AL$1,'Team forecast'!$B$2:$AO$2,0))</f>
        <v>2.140423422331811</v>
      </c>
      <c r="AM292" s="16">
        <f>INDEX('Team forecast'!$B$2:$AO$26,MATCH('Master data'!$B292,'Team forecast'!$B$2:$B$26,0),MATCH('Master data'!AM$1,'Team forecast'!$B$2:$AO$2,0))</f>
        <v>0.80291922538135296</v>
      </c>
      <c r="AN292" s="16">
        <f>INDEX('Team forecast'!$B$2:$AO$26,MATCH('Master data'!$B292,'Team forecast'!$B$2:$B$26,0),MATCH('Master data'!AN$1,'Team forecast'!$B$2:$AO$2,0))</f>
        <v>0.44801918430198229</v>
      </c>
      <c r="AO292" s="16">
        <f>INDEX('Team forecast'!$B$2:$AO$26,MATCH('Master data'!$B292,'Team forecast'!$B$2:$B$26,0),MATCH('Master data'!AO$1,'Team forecast'!$B$2:$AO$2,0))</f>
        <v>5.5998104670734943</v>
      </c>
      <c r="AP292" s="16">
        <f>INDEX('Team forecast'!$B$2:$AO$26,MATCH('Master data'!$B292,'Team forecast'!$B$2:$B$26,0),MATCH('Master data'!AP$1,'Team forecast'!$B$2:$AO$2,0))</f>
        <v>2.4374333627648213</v>
      </c>
      <c r="AQ292" s="5">
        <f t="shared" si="148"/>
        <v>-5000</v>
      </c>
      <c r="AR292" s="5">
        <f>INDEX('Team forecast'!$B$2:$AO$26,MATCH('Master data'!$B292,'Team forecast'!$B$2:$B$26,0),MATCH('Master data'!AR$1,'Team forecast'!$B$2:$AO$2,0))*IF(X292&gt;0,25000,0)</f>
        <v>0</v>
      </c>
      <c r="AS292" s="16">
        <f>INDEX('Team forecast'!$B$2:$AO$26,MATCH('Master data'!$B292,'Team forecast'!$B$2:$B$26,0),MATCH('Master data'!AS$1,'Team forecast'!$B$2:$AO$2,0))*IF(X292&gt;0,5000,0)</f>
        <v>0</v>
      </c>
      <c r="AT292" s="16">
        <f>INDEX('Team forecast'!$B$2:$AO$26,MATCH('Master data'!$B292,'Team forecast'!$B$2:$B$26,0),MATCH('Master data'!AT$1,'Team forecast'!$B$2:$AO$2,0))*IF(X292&gt;0,-15000,0)</f>
        <v>0</v>
      </c>
      <c r="AU292" s="5">
        <f t="shared" si="149"/>
        <v>0</v>
      </c>
      <c r="AV292" s="5">
        <f t="shared" si="150"/>
        <v>0</v>
      </c>
      <c r="AW292" s="5">
        <f t="shared" si="151"/>
        <v>0</v>
      </c>
      <c r="AX292" s="5">
        <f t="shared" si="152"/>
        <v>33601.43882264867</v>
      </c>
      <c r="AY292" s="5">
        <f t="shared" si="153"/>
        <v>8172.5706869173418</v>
      </c>
      <c r="AZ292" s="5">
        <f t="shared" si="154"/>
        <v>0</v>
      </c>
      <c r="BA292" s="5">
        <f t="shared" si="155"/>
        <v>0</v>
      </c>
      <c r="BB292" s="5">
        <f t="shared" si="156"/>
        <v>0</v>
      </c>
      <c r="BC292" s="5">
        <f t="shared" si="157"/>
        <v>0</v>
      </c>
      <c r="BD292" s="5">
        <f t="shared" si="158"/>
        <v>36774.009509566014</v>
      </c>
      <c r="BE292" s="16">
        <f>INDEX('Team forecast'!$B$2:$AO$26,MATCH('Master data'!$B292,'Team forecast'!$B$2:$B$26,0),MATCH('Master data'!BE$1,'Team forecast'!$B$2:$AO$2,0))</f>
        <v>1.2965069481471114</v>
      </c>
      <c r="BF292" s="16">
        <f>INDEX('Team forecast'!$B$2:$AO$26,MATCH('Master data'!$B292,'Team forecast'!$B$2:$B$26,0),MATCH('Master data'!BF$1,'Team forecast'!$B$2:$AO$2,0))</f>
        <v>1.0107278258414167</v>
      </c>
      <c r="BG292" s="16">
        <f>INDEX('Team forecast'!$B$2:$AO$26,MATCH('Master data'!$B292,'Team forecast'!$B$2:$B$26,0),MATCH('Master data'!BG$1,'Team forecast'!$B$2:$AO$2,0))</f>
        <v>0.36395398803179979</v>
      </c>
      <c r="BH292" s="16">
        <f>INDEX('Team forecast'!$B$2:$AO$26,MATCH('Master data'!$B292,'Team forecast'!$B$2:$B$26,0),MATCH('Master data'!BH$1,'Team forecast'!$B$2:$AO$2,0))</f>
        <v>3.3919425021794698</v>
      </c>
      <c r="BI292" s="16">
        <f>INDEX('Team forecast'!$B$2:$AO$26,MATCH('Master data'!$B292,'Team forecast'!$B$2:$B$26,0),MATCH('Master data'!BI$1,'Team forecast'!$B$2:$AO$2,0))</f>
        <v>3.0682808998757292</v>
      </c>
      <c r="BJ292" s="5">
        <f t="shared" si="159"/>
        <v>-5000</v>
      </c>
      <c r="BK292" s="5">
        <f>INDEX('Team forecast'!$R$3:$BH$26,MATCH($B292,'Team forecast'!$B$3:$B$26,0),MATCH(BK$1,'Team forecast'!$R$2:$BH$2,0))*IF($X292&gt;0,25000,0)</f>
        <v>0</v>
      </c>
      <c r="BL292" s="5">
        <f>INDEX('Team forecast'!$R$3:$BH$26,MATCH($B292,'Team forecast'!$B$3:$B$26,0),MATCH(BL$1,'Team forecast'!$R$2:$BH$2,0))*IF($X292&gt;0,5000,0)</f>
        <v>0</v>
      </c>
      <c r="BM292" s="5">
        <f>INDEX('Team forecast'!$R$3:$BH$26,MATCH($B292,'Team forecast'!$B$3:$B$26,0),MATCH(BM$1,'Team forecast'!$R$2:$BH$2,0))*IF($X292&gt;0,-15000,0)</f>
        <v>0</v>
      </c>
      <c r="BN292" s="5">
        <f t="shared" si="160"/>
        <v>0</v>
      </c>
      <c r="BO292" s="5">
        <f t="shared" si="161"/>
        <v>0</v>
      </c>
      <c r="BP292" s="5">
        <f t="shared" si="162"/>
        <v>0</v>
      </c>
      <c r="BQ292" s="5">
        <f t="shared" si="163"/>
        <v>27296.549102384983</v>
      </c>
      <c r="BR292" s="5">
        <f t="shared" si="164"/>
        <v>10287.765370171563</v>
      </c>
      <c r="BS292" s="5">
        <f t="shared" si="165"/>
        <v>0</v>
      </c>
      <c r="BT292" s="5">
        <f t="shared" si="166"/>
        <v>0</v>
      </c>
      <c r="BU292" s="5">
        <f t="shared" si="167"/>
        <v>0</v>
      </c>
      <c r="BV292" s="5">
        <f t="shared" si="168"/>
        <v>0</v>
      </c>
      <c r="BW292" s="5">
        <f t="shared" si="169"/>
        <v>32584.314472556543</v>
      </c>
      <c r="BX292" s="5">
        <f t="shared" si="170"/>
        <v>32899.830262658041</v>
      </c>
      <c r="BY292" s="5">
        <f t="shared" si="171"/>
        <v>98699.490787974122</v>
      </c>
      <c r="BZ292" s="5">
        <f>INDEX('Team forecast'!$R$3:$BH$26,MATCH($B292,'Team forecast'!$B$3:$B$26,0),MATCH(BZ$1,'Team forecast'!$R$2:$BH$2,0))*($BX292-(BY292+CH292)*0.01)</f>
        <v>-15965.752088354959</v>
      </c>
      <c r="CA292" s="5">
        <f>INDEX('Team forecast'!$R$3:$BH$26,MATCH($B292,'Team forecast'!$B$3:$B$26,0),MATCH(CA$1,'Team forecast'!$R$2:$BH$2,0))*($BX292-(BY292+BX292+CH292)*0.01)</f>
        <v>-8448.9354579357732</v>
      </c>
      <c r="CB292" s="5">
        <f>INDEX('Team forecast'!$R$3:$BH$26,MATCH($B292,'Team forecast'!$B$3:$B$26,0),MATCH(CB$1,'Team forecast'!$R$2:$BH$2,0))*($BX292-(BY292+BX292*2+CH292)*0.01)</f>
        <v>-4607.3114546921352</v>
      </c>
      <c r="CC292" s="5">
        <f>INDEX('Team forecast'!$R$3:$BH$26,MATCH($B292,'Team forecast'!$B$3:$B$26,0),MATCH(CC$1,'Team forecast'!$R$2:$BH$2,0))*($BX292-(BY292+BX292*3+CH292)*0.01)</f>
        <v>-2747.3959377367742</v>
      </c>
      <c r="CD292" s="5">
        <f>+AK292+BD292*Cockpit!$C$3+BW292*Cockpit!$C$3^2+BZ292*Cockpit!$C$3^3+CA292*Cockpit!$C$3^4+CB292*Cockpit!$C$3^5+CC292*Cockpit!$C$3^6</f>
        <v>61091.64981554207</v>
      </c>
      <c r="CE292" s="5"/>
      <c r="CF292" s="5"/>
      <c r="CG292" s="5">
        <v>0</v>
      </c>
      <c r="CH292" s="5">
        <f t="shared" si="172"/>
        <v>5000000</v>
      </c>
      <c r="CI292" s="5">
        <f t="shared" si="173"/>
        <v>5000000</v>
      </c>
      <c r="CJ292" s="1">
        <f t="shared" si="174"/>
        <v>1.9739898157594825E-2</v>
      </c>
      <c r="CK292" s="5">
        <f>RANK(BY292,$BY$2:$BY$623)+COUNTIF($BY$2:$BY292,$BY292)-1</f>
        <v>173</v>
      </c>
      <c r="CL292" s="5">
        <f>RANK(CJ292,$CJ$2:$CJ$623)+COUNTIF($CJ$2:$CJ292,$CJ292)-1</f>
        <v>264</v>
      </c>
    </row>
    <row r="293" spans="1:90">
      <c r="A293" t="str">
        <f>Players!P294</f>
        <v>Ben B. Davies</v>
      </c>
      <c r="B293" t="str">
        <f>Players!G294</f>
        <v>Wales</v>
      </c>
      <c r="C293" t="str">
        <f>Players!AB294</f>
        <v>Defense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3000000</v>
      </c>
      <c r="H293" s="16">
        <f>INDEX('Team forecast'!$B$2:$AO$26,MATCH('Master data'!$B293,'Team forecast'!$B$2:$B$26,0),MATCH('Master data'!H$1,'Team forecast'!$B$2:$AO$2,0))</f>
        <v>0.87435064565555498</v>
      </c>
      <c r="I293" s="16">
        <f>INDEX('Team forecast'!$B$2:$AO$26,MATCH('Master data'!$B293,'Team forecast'!$B$2:$B$26,0),MATCH('Master data'!I$1,'Team forecast'!$B$2:$AO$2,0))</f>
        <v>1.162032718107336</v>
      </c>
      <c r="J293" s="16">
        <f>INDEX('Team forecast'!$B$2:$AO$26,MATCH('Master data'!$B293,'Team forecast'!$B$2:$B$26,0),MATCH('Master data'!J$1,'Team forecast'!$B$2:$AO$2,0))</f>
        <v>0.31284959906121651</v>
      </c>
      <c r="K293" s="16">
        <f>INDEX('Team forecast'!$B$2:$AO$26,MATCH('Master data'!$B293,'Team forecast'!$B$2:$B$26,0),MATCH('Master data'!K$1,'Team forecast'!$B$2:$AO$2,0))</f>
        <v>2.6542787457400774</v>
      </c>
      <c r="L293" s="16">
        <f>INDEX('Team forecast'!$B$2:$AO$26,MATCH('Master data'!$B293,'Team forecast'!$B$2:$B$26,0),MATCH('Master data'!L$1,'Team forecast'!$B$2:$AO$2,0))</f>
        <v>3.0401288408862195</v>
      </c>
      <c r="M293">
        <f>IF(Players!BC294=1,95,0)</f>
        <v>95</v>
      </c>
      <c r="N293" s="2">
        <f>Players!BN294</f>
        <v>3.7903991342247305E-2</v>
      </c>
      <c r="O293" s="2">
        <f>Players!BO294</f>
        <v>0.13225371694056867</v>
      </c>
      <c r="P293" s="2">
        <f>Players!BP294</f>
        <v>0</v>
      </c>
      <c r="Q293" s="2">
        <f>Players!BQ294</f>
        <v>0.10358208955223881</v>
      </c>
      <c r="R293" s="2">
        <f>Players!BR294</f>
        <v>0</v>
      </c>
      <c r="S293" s="2">
        <f t="shared" si="133"/>
        <v>0.87435064565555498</v>
      </c>
      <c r="T293" s="2">
        <f t="shared" si="134"/>
        <v>1.162032718107336</v>
      </c>
      <c r="U293" s="16">
        <f>INDEX('Team forecast'!$B$2:$AO$26,MATCH('Master data'!$B293,'Team forecast'!$B$2:$B$26,0),MATCH('Master data'!U$1,'Team forecast'!$B$2:$AO$2,0))</f>
        <v>0.2607079992176804</v>
      </c>
      <c r="V293" s="16">
        <f>INDEX('Team forecast'!$B$2:$AO$26,MATCH('Master data'!$B293,'Team forecast'!$B$2:$B$26,0),MATCH('Master data'!V$1,'Team forecast'!$B$2:$AO$2,0))</f>
        <v>0.30275767651085472</v>
      </c>
      <c r="W293" s="16">
        <f>INDEX('Team forecast'!$B$2:$AO$26,MATCH('Master data'!$B293,'Team forecast'!$B$2:$B$26,0),MATCH('Master data'!W$1,'Team forecast'!$B$2:$AO$2,0))</f>
        <v>0.43653432427146488</v>
      </c>
      <c r="X293" s="5">
        <f t="shared" si="135"/>
        <v>7000</v>
      </c>
      <c r="Y293" s="5">
        <f t="shared" si="136"/>
        <v>6517.6999804420102</v>
      </c>
      <c r="Z293" s="5">
        <f t="shared" si="137"/>
        <v>1513.7883825542735</v>
      </c>
      <c r="AA293" s="5">
        <f t="shared" si="138"/>
        <v>-6548.0148640719735</v>
      </c>
      <c r="AB293" s="5">
        <f t="shared" si="139"/>
        <v>4971.2068954524748</v>
      </c>
      <c r="AC293" s="5">
        <f t="shared" si="140"/>
        <v>5781.8061398666614</v>
      </c>
      <c r="AD293" s="5">
        <f t="shared" si="141"/>
        <v>0</v>
      </c>
      <c r="AE293" s="5">
        <f t="shared" si="142"/>
        <v>15642.479953060825</v>
      </c>
      <c r="AF293" s="5">
        <f t="shared" si="143"/>
        <v>0</v>
      </c>
      <c r="AG293" s="5">
        <f t="shared" si="144"/>
        <v>-2071.6417910447763</v>
      </c>
      <c r="AH293" s="5">
        <f t="shared" si="145"/>
        <v>0</v>
      </c>
      <c r="AI293" s="5">
        <f t="shared" si="146"/>
        <v>8743.5064565555494</v>
      </c>
      <c r="AJ293" s="5">
        <f t="shared" si="147"/>
        <v>-9296.261744858688</v>
      </c>
      <c r="AK293" s="5">
        <f>IFERROR(SUM(X293:AJ293),-5000)*((Cockpit!$C$3)^0)</f>
        <v>32254.569407956362</v>
      </c>
      <c r="AL293" s="16">
        <f>INDEX('Team forecast'!$B$2:$AO$26,MATCH('Master data'!$B293,'Team forecast'!$B$2:$B$26,0),MATCH('Master data'!AL$1,'Team forecast'!$B$2:$AO$2,0))</f>
        <v>1.0279287794501248</v>
      </c>
      <c r="AM293" s="16">
        <f>INDEX('Team forecast'!$B$2:$AO$26,MATCH('Master data'!$B293,'Team forecast'!$B$2:$B$26,0),MATCH('Master data'!AM$1,'Team forecast'!$B$2:$AO$2,0))</f>
        <v>1.2847203648825669</v>
      </c>
      <c r="AN293" s="16">
        <f>INDEX('Team forecast'!$B$2:$AO$26,MATCH('Master data'!$B293,'Team forecast'!$B$2:$B$26,0),MATCH('Master data'!AN$1,'Team forecast'!$B$2:$AO$2,0))</f>
        <v>0.27672795566788022</v>
      </c>
      <c r="AO293" s="16">
        <f>INDEX('Team forecast'!$B$2:$AO$26,MATCH('Master data'!$B293,'Team forecast'!$B$2:$B$26,0),MATCH('Master data'!AO$1,'Team forecast'!$B$2:$AO$2,0))</f>
        <v>3.1204980804735931</v>
      </c>
      <c r="AP293" s="16">
        <f>INDEX('Team forecast'!$B$2:$AO$26,MATCH('Master data'!$B293,'Team forecast'!$B$2:$B$26,0),MATCH('Master data'!AP$1,'Team forecast'!$B$2:$AO$2,0))</f>
        <v>3.3611062519089856</v>
      </c>
      <c r="AQ293" s="5">
        <f t="shared" si="148"/>
        <v>7000</v>
      </c>
      <c r="AR293" s="5">
        <f>INDEX('Team forecast'!$B$2:$AO$26,MATCH('Master data'!$B293,'Team forecast'!$B$2:$B$26,0),MATCH('Master data'!AR$1,'Team forecast'!$B$2:$AO$2,0))*IF(X293&gt;0,25000,0)</f>
        <v>6720.5360662199482</v>
      </c>
      <c r="AS293" s="16">
        <f>INDEX('Team forecast'!$B$2:$AO$26,MATCH('Master data'!$B293,'Team forecast'!$B$2:$B$26,0),MATCH('Master data'!AS$1,'Team forecast'!$B$2:$AO$2,0))*IF(X293&gt;0,5000,0)</f>
        <v>1517.5404020496649</v>
      </c>
      <c r="AT293" s="16">
        <f>INDEX('Team forecast'!$B$2:$AO$26,MATCH('Master data'!$B293,'Team forecast'!$B$2:$B$26,0),MATCH('Master data'!AT$1,'Team forecast'!$B$2:$AO$2,0))*IF(X293&gt;0,-15000,0)</f>
        <v>-6415.0571541190393</v>
      </c>
      <c r="AU293" s="5">
        <f t="shared" si="149"/>
        <v>5844.3905335086556</v>
      </c>
      <c r="AV293" s="5">
        <f t="shared" si="150"/>
        <v>6797.3700916230528</v>
      </c>
      <c r="AW293" s="5">
        <f t="shared" si="151"/>
        <v>0</v>
      </c>
      <c r="AX293" s="5">
        <f t="shared" si="152"/>
        <v>13836.397783394012</v>
      </c>
      <c r="AY293" s="5">
        <f t="shared" si="153"/>
        <v>0</v>
      </c>
      <c r="AZ293" s="5">
        <f t="shared" si="154"/>
        <v>-2071.6417910447763</v>
      </c>
      <c r="BA293" s="5">
        <f t="shared" si="155"/>
        <v>0</v>
      </c>
      <c r="BB293" s="5">
        <f t="shared" si="156"/>
        <v>10279.287794501248</v>
      </c>
      <c r="BC293" s="5">
        <f t="shared" si="157"/>
        <v>-10277.762919060535</v>
      </c>
      <c r="BD293" s="5">
        <f t="shared" si="158"/>
        <v>33231.060807072223</v>
      </c>
      <c r="BE293" s="16">
        <f>INDEX('Team forecast'!$B$2:$AO$26,MATCH('Master data'!$B293,'Team forecast'!$B$2:$B$26,0),MATCH('Master data'!BE$1,'Team forecast'!$B$2:$AO$2,0))</f>
        <v>0.65281467345965161</v>
      </c>
      <c r="BF293" s="16">
        <f>INDEX('Team forecast'!$B$2:$AO$26,MATCH('Master data'!$B293,'Team forecast'!$B$2:$B$26,0),MATCH('Master data'!BF$1,'Team forecast'!$B$2:$AO$2,0))</f>
        <v>1.8402581758343768</v>
      </c>
      <c r="BG293" s="16">
        <f>INDEX('Team forecast'!$B$2:$AO$26,MATCH('Master data'!$B293,'Team forecast'!$B$2:$B$26,0),MATCH('Master data'!BG$1,'Team forecast'!$B$2:$AO$2,0))</f>
        <v>0.15877642857793531</v>
      </c>
      <c r="BH293" s="16">
        <f>INDEX('Team forecast'!$B$2:$AO$26,MATCH('Master data'!$B293,'Team forecast'!$B$2:$B$26,0),MATCH('Master data'!BH$1,'Team forecast'!$B$2:$AO$2,0))</f>
        <v>1.9817588301453708</v>
      </c>
      <c r="BI293" s="16">
        <f>INDEX('Team forecast'!$B$2:$AO$26,MATCH('Master data'!$B293,'Team forecast'!$B$2:$B$26,0),MATCH('Master data'!BI$1,'Team forecast'!$B$2:$AO$2,0))</f>
        <v>4.8145132816423697</v>
      </c>
      <c r="BJ293" s="5">
        <f t="shared" si="159"/>
        <v>7000</v>
      </c>
      <c r="BK293" s="5">
        <f>INDEX('Team forecast'!$R$3:$BH$26,MATCH($B293,'Team forecast'!$B$3:$B$26,0),MATCH(BK$1,'Team forecast'!$R$2:$BH$2,0))*IF($X293&gt;0,25000,0)</f>
        <v>2721.881632764605</v>
      </c>
      <c r="BL293" s="5">
        <f>INDEX('Team forecast'!$R$3:$BH$26,MATCH($B293,'Team forecast'!$B$3:$B$26,0),MATCH(BL$1,'Team forecast'!$R$2:$BH$2,0))*IF($X293&gt;0,5000,0)</f>
        <v>1147.781411406761</v>
      </c>
      <c r="BM293" s="5">
        <f>INDEX('Team forecast'!$R$3:$BH$26,MATCH($B293,'Team forecast'!$B$3:$B$26,0),MATCH(BM$1,'Team forecast'!$R$2:$BH$2,0))*IF($X293&gt;0,-15000,0)</f>
        <v>-9923.5267861209559</v>
      </c>
      <c r="BN293" s="5">
        <f t="shared" si="160"/>
        <v>3711.6422596359953</v>
      </c>
      <c r="BO293" s="5">
        <f t="shared" si="161"/>
        <v>4316.8583519191261</v>
      </c>
      <c r="BP293" s="5">
        <f t="shared" si="162"/>
        <v>0</v>
      </c>
      <c r="BQ293" s="5">
        <f t="shared" si="163"/>
        <v>7938.8214288967656</v>
      </c>
      <c r="BR293" s="5">
        <f t="shared" si="164"/>
        <v>0</v>
      </c>
      <c r="BS293" s="5">
        <f t="shared" si="165"/>
        <v>-2071.6417910447763</v>
      </c>
      <c r="BT293" s="5">
        <f t="shared" si="166"/>
        <v>0</v>
      </c>
      <c r="BU293" s="5">
        <f t="shared" si="167"/>
        <v>6528.1467345965157</v>
      </c>
      <c r="BV293" s="5">
        <f t="shared" si="168"/>
        <v>-14722.065406675014</v>
      </c>
      <c r="BW293" s="5">
        <f t="shared" si="169"/>
        <v>6647.8978353790226</v>
      </c>
      <c r="BX293" s="5">
        <f t="shared" si="170"/>
        <v>24044.509350135868</v>
      </c>
      <c r="BY293" s="5">
        <f t="shared" si="171"/>
        <v>72133.528050407607</v>
      </c>
      <c r="BZ293" s="5">
        <f>INDEX('Team forecast'!$R$3:$BH$26,MATCH($B293,'Team forecast'!$B$3:$B$26,0),MATCH(BZ$1,'Team forecast'!$R$2:$BH$2,0))*($BX293-(BY293+CH293)*0.01)</f>
        <v>-3290.1792830131644</v>
      </c>
      <c r="CA293" s="5">
        <f>INDEX('Team forecast'!$R$3:$BH$26,MATCH($B293,'Team forecast'!$B$3:$B$26,0),MATCH(CA$1,'Team forecast'!$R$2:$BH$2,0))*($BX293-(BY293+BX293+CH293)*0.01)</f>
        <v>-1674.2534131856905</v>
      </c>
      <c r="CB293" s="5">
        <f>INDEX('Team forecast'!$R$3:$BH$26,MATCH($B293,'Team forecast'!$B$3:$B$26,0),MATCH(CB$1,'Team forecast'!$R$2:$BH$2,0))*($BX293-(BY293+BX293*2+CH293)*0.01)</f>
        <v>-836.93161999770234</v>
      </c>
      <c r="CC293" s="5">
        <f>INDEX('Team forecast'!$R$3:$BH$26,MATCH($B293,'Team forecast'!$B$3:$B$26,0),MATCH(CC$1,'Team forecast'!$R$2:$BH$2,0))*($BX293-(BY293+BX293*3+CH293)*0.01)</f>
        <v>-393.48073417968493</v>
      </c>
      <c r="CD293" s="5">
        <f>+AK293+BD293*Cockpit!$C$3+BW293*Cockpit!$C$3^2+BZ293*Cockpit!$C$3^3+CA293*Cockpit!$C$3^4+CB293*Cockpit!$C$3^5+CC293*Cockpit!$C$3^6</f>
        <v>55912.889067439275</v>
      </c>
      <c r="CE293" s="5"/>
      <c r="CF293" s="5"/>
      <c r="CG293" s="5">
        <v>0</v>
      </c>
      <c r="CH293" s="5">
        <f t="shared" si="172"/>
        <v>3000000</v>
      </c>
      <c r="CI293" s="5">
        <f t="shared" si="173"/>
        <v>3000000</v>
      </c>
      <c r="CJ293" s="1">
        <f t="shared" si="174"/>
        <v>2.404450935013587E-2</v>
      </c>
      <c r="CK293" s="5">
        <f>RANK(BY293,$BY$2:$BY$623)+COUNTIF($BY$2:$BY293,$BY293)-1</f>
        <v>237</v>
      </c>
      <c r="CL293" s="5">
        <f>RANK(CJ293,$CJ$2:$CJ$623)+COUNTIF($CJ$2:$CJ293,$CJ293)-1</f>
        <v>219</v>
      </c>
    </row>
    <row r="294" spans="1:90">
      <c r="A294" t="str">
        <f>Players!P295</f>
        <v>Aaron Ramsey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4000000</v>
      </c>
      <c r="H294" s="16">
        <f>INDEX('Team forecast'!$B$2:$AO$26,MATCH('Master data'!$B294,'Team forecast'!$B$2:$B$26,0),MATCH('Master data'!H$1,'Team forecast'!$B$2:$AO$2,0))</f>
        <v>0.87435064565555498</v>
      </c>
      <c r="I294" s="16">
        <f>INDEX('Team forecast'!$B$2:$AO$26,MATCH('Master data'!$B294,'Team forecast'!$B$2:$B$26,0),MATCH('Master data'!I$1,'Team forecast'!$B$2:$AO$2,0))</f>
        <v>1.162032718107336</v>
      </c>
      <c r="J294" s="16">
        <f>INDEX('Team forecast'!$B$2:$AO$26,MATCH('Master data'!$B294,'Team forecast'!$B$2:$B$26,0),MATCH('Master data'!J$1,'Team forecast'!$B$2:$AO$2,0))</f>
        <v>0.31284959906121651</v>
      </c>
      <c r="K294" s="16">
        <f>INDEX('Team forecast'!$B$2:$AO$26,MATCH('Master data'!$B294,'Team forecast'!$B$2:$B$26,0),MATCH('Master data'!K$1,'Team forecast'!$B$2:$AO$2,0))</f>
        <v>2.6542787457400774</v>
      </c>
      <c r="L294" s="16">
        <f>INDEX('Team forecast'!$B$2:$AO$26,MATCH('Master data'!$B294,'Team forecast'!$B$2:$B$26,0),MATCH('Master data'!L$1,'Team forecast'!$B$2:$AO$2,0))</f>
        <v>3.0401288408862195</v>
      </c>
      <c r="M294">
        <f>IF(Players!BC295=1,95,0)</f>
        <v>0</v>
      </c>
      <c r="N294" s="2">
        <f>Players!BN295</f>
        <v>0</v>
      </c>
      <c r="O294" s="2">
        <f>Players!BO295</f>
        <v>0</v>
      </c>
      <c r="P294" s="2">
        <f>Players!BP295</f>
        <v>0</v>
      </c>
      <c r="Q294" s="2">
        <f>Players!BQ295</f>
        <v>8.2417582417582416E-2</v>
      </c>
      <c r="R294" s="2">
        <f>Players!BR295</f>
        <v>0</v>
      </c>
      <c r="S294" s="2">
        <f t="shared" si="133"/>
        <v>0.87435064565555498</v>
      </c>
      <c r="T294" s="2">
        <f t="shared" si="134"/>
        <v>1.162032718107336</v>
      </c>
      <c r="U294" s="16">
        <f>INDEX('Team forecast'!$B$2:$AO$26,MATCH('Master data'!$B294,'Team forecast'!$B$2:$B$26,0),MATCH('Master data'!U$1,'Team forecast'!$B$2:$AO$2,0))</f>
        <v>0.2607079992176804</v>
      </c>
      <c r="V294" s="16">
        <f>INDEX('Team forecast'!$B$2:$AO$26,MATCH('Master data'!$B294,'Team forecast'!$B$2:$B$26,0),MATCH('Master data'!V$1,'Team forecast'!$B$2:$AO$2,0))</f>
        <v>0.30275767651085472</v>
      </c>
      <c r="W294" s="16">
        <f>INDEX('Team forecast'!$B$2:$AO$26,MATCH('Master data'!$B294,'Team forecast'!$B$2:$B$26,0),MATCH('Master data'!W$1,'Team forecast'!$B$2:$AO$2,0))</f>
        <v>0.43653432427146488</v>
      </c>
      <c r="X294" s="5">
        <f t="shared" si="135"/>
        <v>-5000</v>
      </c>
      <c r="Y294" s="5">
        <f t="shared" si="136"/>
        <v>0</v>
      </c>
      <c r="Z294" s="5">
        <f t="shared" si="137"/>
        <v>0</v>
      </c>
      <c r="AA294" s="5">
        <f t="shared" si="138"/>
        <v>0</v>
      </c>
      <c r="AB294" s="5">
        <f t="shared" si="139"/>
        <v>0</v>
      </c>
      <c r="AC294" s="5">
        <f t="shared" si="140"/>
        <v>0</v>
      </c>
      <c r="AD294" s="5">
        <f t="shared" si="141"/>
        <v>0</v>
      </c>
      <c r="AE294" s="5">
        <f t="shared" si="142"/>
        <v>0</v>
      </c>
      <c r="AF294" s="5">
        <f t="shared" si="143"/>
        <v>0</v>
      </c>
      <c r="AG294" s="5">
        <f t="shared" si="144"/>
        <v>0</v>
      </c>
      <c r="AH294" s="5">
        <f t="shared" si="145"/>
        <v>0</v>
      </c>
      <c r="AI294" s="5">
        <f t="shared" si="146"/>
        <v>0</v>
      </c>
      <c r="AJ294" s="5">
        <f t="shared" si="147"/>
        <v>0</v>
      </c>
      <c r="AK294" s="5">
        <f>IFERROR(SUM(X294:AJ294),-5000)*((Cockpit!$C$3)^0)</f>
        <v>-5000</v>
      </c>
      <c r="AL294" s="16">
        <f>INDEX('Team forecast'!$B$2:$AO$26,MATCH('Master data'!$B294,'Team forecast'!$B$2:$B$26,0),MATCH('Master data'!AL$1,'Team forecast'!$B$2:$AO$2,0))</f>
        <v>1.0279287794501248</v>
      </c>
      <c r="AM294" s="16">
        <f>INDEX('Team forecast'!$B$2:$AO$26,MATCH('Master data'!$B294,'Team forecast'!$B$2:$B$26,0),MATCH('Master data'!AM$1,'Team forecast'!$B$2:$AO$2,0))</f>
        <v>1.2847203648825669</v>
      </c>
      <c r="AN294" s="16">
        <f>INDEX('Team forecast'!$B$2:$AO$26,MATCH('Master data'!$B294,'Team forecast'!$B$2:$B$26,0),MATCH('Master data'!AN$1,'Team forecast'!$B$2:$AO$2,0))</f>
        <v>0.27672795566788022</v>
      </c>
      <c r="AO294" s="16">
        <f>INDEX('Team forecast'!$B$2:$AO$26,MATCH('Master data'!$B294,'Team forecast'!$B$2:$B$26,0),MATCH('Master data'!AO$1,'Team forecast'!$B$2:$AO$2,0))</f>
        <v>3.1204980804735931</v>
      </c>
      <c r="AP294" s="16">
        <f>INDEX('Team forecast'!$B$2:$AO$26,MATCH('Master data'!$B294,'Team forecast'!$B$2:$B$26,0),MATCH('Master data'!AP$1,'Team forecast'!$B$2:$AO$2,0))</f>
        <v>3.3611062519089856</v>
      </c>
      <c r="AQ294" s="5">
        <f t="shared" si="148"/>
        <v>-5000</v>
      </c>
      <c r="AR294" s="5">
        <f>INDEX('Team forecast'!$B$2:$AO$26,MATCH('Master data'!$B294,'Team forecast'!$B$2:$B$26,0),MATCH('Master data'!AR$1,'Team forecast'!$B$2:$AO$2,0))*IF(X294&gt;0,25000,0)</f>
        <v>0</v>
      </c>
      <c r="AS294" s="16">
        <f>INDEX('Team forecast'!$B$2:$AO$26,MATCH('Master data'!$B294,'Team forecast'!$B$2:$B$26,0),MATCH('Master data'!AS$1,'Team forecast'!$B$2:$AO$2,0))*IF(X294&gt;0,5000,0)</f>
        <v>0</v>
      </c>
      <c r="AT294" s="16">
        <f>INDEX('Team forecast'!$B$2:$AO$26,MATCH('Master data'!$B294,'Team forecast'!$B$2:$B$26,0),MATCH('Master data'!AT$1,'Team forecast'!$B$2:$AO$2,0))*IF(X294&gt;0,-15000,0)</f>
        <v>0</v>
      </c>
      <c r="AU294" s="5">
        <f t="shared" si="149"/>
        <v>0</v>
      </c>
      <c r="AV294" s="5">
        <f t="shared" si="150"/>
        <v>0</v>
      </c>
      <c r="AW294" s="5">
        <f t="shared" si="151"/>
        <v>0</v>
      </c>
      <c r="AX294" s="5">
        <f t="shared" si="152"/>
        <v>0</v>
      </c>
      <c r="AY294" s="5">
        <f t="shared" si="153"/>
        <v>0</v>
      </c>
      <c r="AZ294" s="5">
        <f t="shared" si="154"/>
        <v>0</v>
      </c>
      <c r="BA294" s="5">
        <f t="shared" si="155"/>
        <v>0</v>
      </c>
      <c r="BB294" s="5">
        <f t="shared" si="156"/>
        <v>0</v>
      </c>
      <c r="BC294" s="5">
        <f t="shared" si="157"/>
        <v>0</v>
      </c>
      <c r="BD294" s="5">
        <f t="shared" si="158"/>
        <v>-5000</v>
      </c>
      <c r="BE294" s="16">
        <f>INDEX('Team forecast'!$B$2:$AO$26,MATCH('Master data'!$B294,'Team forecast'!$B$2:$B$26,0),MATCH('Master data'!BE$1,'Team forecast'!$B$2:$AO$2,0))</f>
        <v>0.65281467345965161</v>
      </c>
      <c r="BF294" s="16">
        <f>INDEX('Team forecast'!$B$2:$AO$26,MATCH('Master data'!$B294,'Team forecast'!$B$2:$B$26,0),MATCH('Master data'!BF$1,'Team forecast'!$B$2:$AO$2,0))</f>
        <v>1.8402581758343768</v>
      </c>
      <c r="BG294" s="16">
        <f>INDEX('Team forecast'!$B$2:$AO$26,MATCH('Master data'!$B294,'Team forecast'!$B$2:$B$26,0),MATCH('Master data'!BG$1,'Team forecast'!$B$2:$AO$2,0))</f>
        <v>0.15877642857793531</v>
      </c>
      <c r="BH294" s="16">
        <f>INDEX('Team forecast'!$B$2:$AO$26,MATCH('Master data'!$B294,'Team forecast'!$B$2:$B$26,0),MATCH('Master data'!BH$1,'Team forecast'!$B$2:$AO$2,0))</f>
        <v>1.9817588301453708</v>
      </c>
      <c r="BI294" s="16">
        <f>INDEX('Team forecast'!$B$2:$AO$26,MATCH('Master data'!$B294,'Team forecast'!$B$2:$B$26,0),MATCH('Master data'!BI$1,'Team forecast'!$B$2:$AO$2,0))</f>
        <v>4.8145132816423697</v>
      </c>
      <c r="BJ294" s="5">
        <f t="shared" si="159"/>
        <v>-5000</v>
      </c>
      <c r="BK294" s="5">
        <f>INDEX('Team forecast'!$R$3:$BH$26,MATCH($B294,'Team forecast'!$B$3:$B$26,0),MATCH(BK$1,'Team forecast'!$R$2:$BH$2,0))*IF($X294&gt;0,25000,0)</f>
        <v>0</v>
      </c>
      <c r="BL294" s="5">
        <f>INDEX('Team forecast'!$R$3:$BH$26,MATCH($B294,'Team forecast'!$B$3:$B$26,0),MATCH(BL$1,'Team forecast'!$R$2:$BH$2,0))*IF($X294&gt;0,5000,0)</f>
        <v>0</v>
      </c>
      <c r="BM294" s="5">
        <f>INDEX('Team forecast'!$R$3:$BH$26,MATCH($B294,'Team forecast'!$B$3:$B$26,0),MATCH(BM$1,'Team forecast'!$R$2:$BH$2,0))*IF($X294&gt;0,-15000,0)</f>
        <v>0</v>
      </c>
      <c r="BN294" s="5">
        <f t="shared" si="160"/>
        <v>0</v>
      </c>
      <c r="BO294" s="5">
        <f t="shared" si="161"/>
        <v>0</v>
      </c>
      <c r="BP294" s="5">
        <f t="shared" si="162"/>
        <v>0</v>
      </c>
      <c r="BQ294" s="5">
        <f t="shared" si="163"/>
        <v>0</v>
      </c>
      <c r="BR294" s="5">
        <f t="shared" si="164"/>
        <v>0</v>
      </c>
      <c r="BS294" s="5">
        <f t="shared" si="165"/>
        <v>0</v>
      </c>
      <c r="BT294" s="5">
        <f t="shared" si="166"/>
        <v>0</v>
      </c>
      <c r="BU294" s="5">
        <f t="shared" si="167"/>
        <v>0</v>
      </c>
      <c r="BV294" s="5">
        <f t="shared" si="168"/>
        <v>0</v>
      </c>
      <c r="BW294" s="5">
        <f t="shared" si="169"/>
        <v>-5000</v>
      </c>
      <c r="BX294" s="5">
        <f t="shared" si="170"/>
        <v>-5000</v>
      </c>
      <c r="BY294" s="5">
        <f t="shared" si="171"/>
        <v>-15000</v>
      </c>
      <c r="BZ294" s="5">
        <f>INDEX('Team forecast'!$R$3:$BH$26,MATCH($B294,'Team forecast'!$B$3:$B$26,0),MATCH(BZ$1,'Team forecast'!$R$2:$BH$2,0))*($BX294-(BY294+CH294)*0.01)</f>
        <v>-22101.001640910326</v>
      </c>
      <c r="CA294" s="5">
        <f>INDEX('Team forecast'!$R$3:$BH$26,MATCH($B294,'Team forecast'!$B$3:$B$26,0),MATCH(CA$1,'Team forecast'!$R$2:$BH$2,0))*($BX294-(BY294+BX294+CH294)*0.01)</f>
        <v>-10843.373441909718</v>
      </c>
      <c r="CB294" s="5">
        <f>INDEX('Team forecast'!$R$3:$BH$26,MATCH($B294,'Team forecast'!$B$3:$B$26,0),MATCH(CB$1,'Team forecast'!$R$2:$BH$2,0))*($BX294-(BY294+BX294*2+CH294)*0.01)</f>
        <v>-5232.4916748240357</v>
      </c>
      <c r="CC294" s="5">
        <f>INDEX('Team forecast'!$R$3:$BH$26,MATCH($B294,'Team forecast'!$B$3:$B$26,0),MATCH(CC$1,'Team forecast'!$R$2:$BH$2,0))*($BX294-(BY294+BX294*3+CH294)*0.01)</f>
        <v>-2377.4270817434817</v>
      </c>
      <c r="CD294" s="5">
        <f>+AK294+BD294*Cockpit!$C$3+BW294*Cockpit!$C$3^2+BZ294*Cockpit!$C$3^3+CA294*Cockpit!$C$3^4+CB294*Cockpit!$C$3^5+CC294*Cockpit!$C$3^6</f>
        <v>-20143.671692848173</v>
      </c>
      <c r="CE294" s="5"/>
      <c r="CF294" s="5"/>
      <c r="CG294" s="5">
        <v>0</v>
      </c>
      <c r="CH294" s="5">
        <f t="shared" si="172"/>
        <v>4000000</v>
      </c>
      <c r="CI294" s="5">
        <f t="shared" si="173"/>
        <v>4000000</v>
      </c>
      <c r="CJ294" s="1">
        <f t="shared" si="174"/>
        <v>-3.7499999999999999E-3</v>
      </c>
      <c r="CK294" s="5">
        <f>RANK(BY294,$BY$2:$BY$623)+COUNTIF($BY$2:$BY294,$BY294)-1</f>
        <v>507</v>
      </c>
      <c r="CL294" s="5">
        <f>RANK(CJ294,$CJ$2:$CJ$623)+COUNTIF($CJ$2:$CJ294,$CJ294)-1</f>
        <v>451</v>
      </c>
    </row>
    <row r="295" spans="1:90">
      <c r="A295" t="str">
        <f>Players!P296</f>
        <v>Joe Allen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3000000</v>
      </c>
      <c r="H295" s="16">
        <f>INDEX('Team forecast'!$B$2:$AO$26,MATCH('Master data'!$B295,'Team forecast'!$B$2:$B$26,0),MATCH('Master data'!H$1,'Team forecast'!$B$2:$AO$2,0))</f>
        <v>0.87435064565555498</v>
      </c>
      <c r="I295" s="16">
        <f>INDEX('Team forecast'!$B$2:$AO$26,MATCH('Master data'!$B295,'Team forecast'!$B$2:$B$26,0),MATCH('Master data'!I$1,'Team forecast'!$B$2:$AO$2,0))</f>
        <v>1.162032718107336</v>
      </c>
      <c r="J295" s="16">
        <f>INDEX('Team forecast'!$B$2:$AO$26,MATCH('Master data'!$B295,'Team forecast'!$B$2:$B$26,0),MATCH('Master data'!J$1,'Team forecast'!$B$2:$AO$2,0))</f>
        <v>0.31284959906121651</v>
      </c>
      <c r="K295" s="16">
        <f>INDEX('Team forecast'!$B$2:$AO$26,MATCH('Master data'!$B295,'Team forecast'!$B$2:$B$26,0),MATCH('Master data'!K$1,'Team forecast'!$B$2:$AO$2,0))</f>
        <v>2.6542787457400774</v>
      </c>
      <c r="L295" s="16">
        <f>INDEX('Team forecast'!$B$2:$AO$26,MATCH('Master data'!$B295,'Team forecast'!$B$2:$B$26,0),MATCH('Master data'!L$1,'Team forecast'!$B$2:$AO$2,0))</f>
        <v>3.0401288408862195</v>
      </c>
      <c r="M295">
        <f>IF(Players!BC296=1,95,0)</f>
        <v>95</v>
      </c>
      <c r="N295" s="2">
        <f>Players!BN296</f>
        <v>8.2723863676569767E-2</v>
      </c>
      <c r="O295" s="2">
        <f>Players!BO296</f>
        <v>4.8868192163151775E-2</v>
      </c>
      <c r="P295" s="2">
        <f>Players!BP296</f>
        <v>0</v>
      </c>
      <c r="Q295" s="2">
        <f>Players!BQ296</f>
        <v>0.23375000000000001</v>
      </c>
      <c r="R295" s="2">
        <f>Players!BR296</f>
        <v>0</v>
      </c>
      <c r="S295" s="2">
        <f t="shared" si="133"/>
        <v>0.87435064565555498</v>
      </c>
      <c r="T295" s="2">
        <f t="shared" si="134"/>
        <v>1.162032718107336</v>
      </c>
      <c r="U295" s="16">
        <f>INDEX('Team forecast'!$B$2:$AO$26,MATCH('Master data'!$B295,'Team forecast'!$B$2:$B$26,0),MATCH('Master data'!U$1,'Team forecast'!$B$2:$AO$2,0))</f>
        <v>0.2607079992176804</v>
      </c>
      <c r="V295" s="16">
        <f>INDEX('Team forecast'!$B$2:$AO$26,MATCH('Master data'!$B295,'Team forecast'!$B$2:$B$26,0),MATCH('Master data'!V$1,'Team forecast'!$B$2:$AO$2,0))</f>
        <v>0.30275767651085472</v>
      </c>
      <c r="W295" s="16">
        <f>INDEX('Team forecast'!$B$2:$AO$26,MATCH('Master data'!$B295,'Team forecast'!$B$2:$B$26,0),MATCH('Master data'!W$1,'Team forecast'!$B$2:$AO$2,0))</f>
        <v>0.43653432427146488</v>
      </c>
      <c r="X295" s="5">
        <f t="shared" si="135"/>
        <v>7000</v>
      </c>
      <c r="Y295" s="5">
        <f t="shared" si="136"/>
        <v>6517.6999804420102</v>
      </c>
      <c r="Z295" s="5">
        <f t="shared" si="137"/>
        <v>1513.7883825542735</v>
      </c>
      <c r="AA295" s="5">
        <f t="shared" si="138"/>
        <v>-6548.0148640719735</v>
      </c>
      <c r="AB295" s="5">
        <f t="shared" si="139"/>
        <v>9041.2079520913612</v>
      </c>
      <c r="AC295" s="5">
        <f t="shared" si="140"/>
        <v>2136.3967684935742</v>
      </c>
      <c r="AD295" s="5">
        <f t="shared" si="141"/>
        <v>0</v>
      </c>
      <c r="AE295" s="5">
        <f t="shared" si="142"/>
        <v>0</v>
      </c>
      <c r="AF295" s="5">
        <f t="shared" si="143"/>
        <v>0</v>
      </c>
      <c r="AG295" s="5">
        <f t="shared" si="144"/>
        <v>-4675</v>
      </c>
      <c r="AH295" s="5">
        <f t="shared" si="145"/>
        <v>0</v>
      </c>
      <c r="AI295" s="5">
        <f t="shared" si="146"/>
        <v>8743.5064565555494</v>
      </c>
      <c r="AJ295" s="5">
        <f t="shared" si="147"/>
        <v>-9296.261744858688</v>
      </c>
      <c r="AK295" s="5">
        <f>IFERROR(SUM(X295:AJ295),-5000)*((Cockpit!$C$3)^0)</f>
        <v>14433.32293120611</v>
      </c>
      <c r="AL295" s="16">
        <f>INDEX('Team forecast'!$B$2:$AO$26,MATCH('Master data'!$B295,'Team forecast'!$B$2:$B$26,0),MATCH('Master data'!AL$1,'Team forecast'!$B$2:$AO$2,0))</f>
        <v>1.0279287794501248</v>
      </c>
      <c r="AM295" s="16">
        <f>INDEX('Team forecast'!$B$2:$AO$26,MATCH('Master data'!$B295,'Team forecast'!$B$2:$B$26,0),MATCH('Master data'!AM$1,'Team forecast'!$B$2:$AO$2,0))</f>
        <v>1.2847203648825669</v>
      </c>
      <c r="AN295" s="16">
        <f>INDEX('Team forecast'!$B$2:$AO$26,MATCH('Master data'!$B295,'Team forecast'!$B$2:$B$26,0),MATCH('Master data'!AN$1,'Team forecast'!$B$2:$AO$2,0))</f>
        <v>0.27672795566788022</v>
      </c>
      <c r="AO295" s="16">
        <f>INDEX('Team forecast'!$B$2:$AO$26,MATCH('Master data'!$B295,'Team forecast'!$B$2:$B$26,0),MATCH('Master data'!AO$1,'Team forecast'!$B$2:$AO$2,0))</f>
        <v>3.1204980804735931</v>
      </c>
      <c r="AP295" s="16">
        <f>INDEX('Team forecast'!$B$2:$AO$26,MATCH('Master data'!$B295,'Team forecast'!$B$2:$B$26,0),MATCH('Master data'!AP$1,'Team forecast'!$B$2:$AO$2,0))</f>
        <v>3.3611062519089856</v>
      </c>
      <c r="AQ295" s="5">
        <f t="shared" si="148"/>
        <v>7000</v>
      </c>
      <c r="AR295" s="5">
        <f>INDEX('Team forecast'!$B$2:$AO$26,MATCH('Master data'!$B295,'Team forecast'!$B$2:$B$26,0),MATCH('Master data'!AR$1,'Team forecast'!$B$2:$AO$2,0))*IF(X295&gt;0,25000,0)</f>
        <v>6720.5360662199482</v>
      </c>
      <c r="AS295" s="16">
        <f>INDEX('Team forecast'!$B$2:$AO$26,MATCH('Master data'!$B295,'Team forecast'!$B$2:$B$26,0),MATCH('Master data'!AS$1,'Team forecast'!$B$2:$AO$2,0))*IF(X295&gt;0,5000,0)</f>
        <v>1517.5404020496649</v>
      </c>
      <c r="AT295" s="16">
        <f>INDEX('Team forecast'!$B$2:$AO$26,MATCH('Master data'!$B295,'Team forecast'!$B$2:$B$26,0),MATCH('Master data'!AT$1,'Team forecast'!$B$2:$AO$2,0))*IF(X295&gt;0,-15000,0)</f>
        <v>-6415.0571541190393</v>
      </c>
      <c r="AU295" s="5">
        <f t="shared" si="149"/>
        <v>10629.280027556861</v>
      </c>
      <c r="AV295" s="5">
        <f t="shared" si="150"/>
        <v>2511.651056210138</v>
      </c>
      <c r="AW295" s="5">
        <f t="shared" si="151"/>
        <v>0</v>
      </c>
      <c r="AX295" s="5">
        <f t="shared" si="152"/>
        <v>0</v>
      </c>
      <c r="AY295" s="5">
        <f t="shared" si="153"/>
        <v>0</v>
      </c>
      <c r="AZ295" s="5">
        <f t="shared" si="154"/>
        <v>-4675</v>
      </c>
      <c r="BA295" s="5">
        <f t="shared" si="155"/>
        <v>0</v>
      </c>
      <c r="BB295" s="5">
        <f t="shared" si="156"/>
        <v>10279.287794501248</v>
      </c>
      <c r="BC295" s="5">
        <f t="shared" si="157"/>
        <v>-10277.762919060535</v>
      </c>
      <c r="BD295" s="5">
        <f t="shared" si="158"/>
        <v>17290.475273358286</v>
      </c>
      <c r="BE295" s="16">
        <f>INDEX('Team forecast'!$B$2:$AO$26,MATCH('Master data'!$B295,'Team forecast'!$B$2:$B$26,0),MATCH('Master data'!BE$1,'Team forecast'!$B$2:$AO$2,0))</f>
        <v>0.65281467345965161</v>
      </c>
      <c r="BF295" s="16">
        <f>INDEX('Team forecast'!$B$2:$AO$26,MATCH('Master data'!$B295,'Team forecast'!$B$2:$B$26,0),MATCH('Master data'!BF$1,'Team forecast'!$B$2:$AO$2,0))</f>
        <v>1.8402581758343768</v>
      </c>
      <c r="BG295" s="16">
        <f>INDEX('Team forecast'!$B$2:$AO$26,MATCH('Master data'!$B295,'Team forecast'!$B$2:$B$26,0),MATCH('Master data'!BG$1,'Team forecast'!$B$2:$AO$2,0))</f>
        <v>0.15877642857793531</v>
      </c>
      <c r="BH295" s="16">
        <f>INDEX('Team forecast'!$B$2:$AO$26,MATCH('Master data'!$B295,'Team forecast'!$B$2:$B$26,0),MATCH('Master data'!BH$1,'Team forecast'!$B$2:$AO$2,0))</f>
        <v>1.9817588301453708</v>
      </c>
      <c r="BI295" s="16">
        <f>INDEX('Team forecast'!$B$2:$AO$26,MATCH('Master data'!$B295,'Team forecast'!$B$2:$B$26,0),MATCH('Master data'!BI$1,'Team forecast'!$B$2:$AO$2,0))</f>
        <v>4.8145132816423697</v>
      </c>
      <c r="BJ295" s="5">
        <f t="shared" si="159"/>
        <v>7000</v>
      </c>
      <c r="BK295" s="5">
        <f>INDEX('Team forecast'!$R$3:$BH$26,MATCH($B295,'Team forecast'!$B$3:$B$26,0),MATCH(BK$1,'Team forecast'!$R$2:$BH$2,0))*IF($X295&gt;0,25000,0)</f>
        <v>2721.881632764605</v>
      </c>
      <c r="BL295" s="5">
        <f>INDEX('Team forecast'!$R$3:$BH$26,MATCH($B295,'Team forecast'!$B$3:$B$26,0),MATCH(BL$1,'Team forecast'!$R$2:$BH$2,0))*IF($X295&gt;0,5000,0)</f>
        <v>1147.781411406761</v>
      </c>
      <c r="BM295" s="5">
        <f>INDEX('Team forecast'!$R$3:$BH$26,MATCH($B295,'Team forecast'!$B$3:$B$26,0),MATCH(BM$1,'Team forecast'!$R$2:$BH$2,0))*IF($X295&gt;0,-15000,0)</f>
        <v>-9923.5267861209559</v>
      </c>
      <c r="BN295" s="5">
        <f t="shared" si="160"/>
        <v>6750.4190066675792</v>
      </c>
      <c r="BO295" s="5">
        <f t="shared" si="161"/>
        <v>1595.0936454775715</v>
      </c>
      <c r="BP295" s="5">
        <f t="shared" si="162"/>
        <v>0</v>
      </c>
      <c r="BQ295" s="5">
        <f t="shared" si="163"/>
        <v>0</v>
      </c>
      <c r="BR295" s="5">
        <f t="shared" si="164"/>
        <v>0</v>
      </c>
      <c r="BS295" s="5">
        <f t="shared" si="165"/>
        <v>-4675</v>
      </c>
      <c r="BT295" s="5">
        <f t="shared" si="166"/>
        <v>0</v>
      </c>
      <c r="BU295" s="5">
        <f t="shared" si="167"/>
        <v>6528.1467345965157</v>
      </c>
      <c r="BV295" s="5">
        <f t="shared" si="168"/>
        <v>-14722.065406675014</v>
      </c>
      <c r="BW295" s="5">
        <f t="shared" si="169"/>
        <v>-3577.269761882937</v>
      </c>
      <c r="BX295" s="5">
        <f t="shared" si="170"/>
        <v>9382.1761475604853</v>
      </c>
      <c r="BY295" s="5">
        <f t="shared" si="171"/>
        <v>28146.528442681454</v>
      </c>
      <c r="BZ295" s="5">
        <f>INDEX('Team forecast'!$R$3:$BH$26,MATCH($B295,'Team forecast'!$B$3:$B$26,0),MATCH(BZ$1,'Team forecast'!$R$2:$BH$2,0))*($BX295-(BY295+CH295)*0.01)</f>
        <v>-10298.667190808072</v>
      </c>
      <c r="CA295" s="5">
        <f>INDEX('Team forecast'!$R$3:$BH$26,MATCH($B295,'Team forecast'!$B$3:$B$26,0),MATCH(CA$1,'Team forecast'!$R$2:$BH$2,0))*($BX295-(BY295+BX295+CH295)*0.01)</f>
        <v>-5081.163865583625</v>
      </c>
      <c r="CB295" s="5">
        <f>INDEX('Team forecast'!$R$3:$BH$26,MATCH($B295,'Team forecast'!$B$3:$B$26,0),MATCH(CB$1,'Team forecast'!$R$2:$BH$2,0))*($BX295-(BY295+BX295*2+CH295)*0.01)</f>
        <v>-2465.6357450295045</v>
      </c>
      <c r="CC295" s="5">
        <f>INDEX('Team forecast'!$R$3:$BH$26,MATCH($B295,'Team forecast'!$B$3:$B$26,0),MATCH(CC$1,'Team forecast'!$R$2:$BH$2,0))*($BX295-(BY295+BX295*3+CH295)*0.01)</f>
        <v>-1126.5257085668973</v>
      </c>
      <c r="CD295" s="5">
        <f>+AK295+BD295*Cockpit!$C$3+BW295*Cockpit!$C$3^2+BZ295*Cockpit!$C$3^3+CA295*Cockpit!$C$3^4+CB295*Cockpit!$C$3^5+CC295*Cockpit!$C$3^6</f>
        <v>19891.672990564624</v>
      </c>
      <c r="CE295" s="5"/>
      <c r="CF295" s="5"/>
      <c r="CG295" s="5">
        <v>0</v>
      </c>
      <c r="CH295" s="5">
        <f t="shared" si="172"/>
        <v>3000000</v>
      </c>
      <c r="CI295" s="5">
        <f t="shared" si="173"/>
        <v>3000000</v>
      </c>
      <c r="CJ295" s="1">
        <f t="shared" si="174"/>
        <v>9.3821761475604854E-3</v>
      </c>
      <c r="CK295" s="5">
        <f>RANK(BY295,$BY$2:$BY$623)+COUNTIF($BY$2:$BY295,$BY295)-1</f>
        <v>360</v>
      </c>
      <c r="CL295" s="5">
        <f>RANK(CJ295,$CJ$2:$CJ$623)+COUNTIF($CJ$2:$CJ295,$CJ295)-1</f>
        <v>367</v>
      </c>
    </row>
    <row r="296" spans="1:90">
      <c r="A296" t="str">
        <f>Players!P297</f>
        <v>Daniel James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3500000</v>
      </c>
      <c r="H296" s="16">
        <f>INDEX('Team forecast'!$B$2:$AO$26,MATCH('Master data'!$B296,'Team forecast'!$B$2:$B$26,0),MATCH('Master data'!H$1,'Team forecast'!$B$2:$AO$2,0))</f>
        <v>0.87435064565555498</v>
      </c>
      <c r="I296" s="16">
        <f>INDEX('Team forecast'!$B$2:$AO$26,MATCH('Master data'!$B296,'Team forecast'!$B$2:$B$26,0),MATCH('Master data'!I$1,'Team forecast'!$B$2:$AO$2,0))</f>
        <v>1.162032718107336</v>
      </c>
      <c r="J296" s="16">
        <f>INDEX('Team forecast'!$B$2:$AO$26,MATCH('Master data'!$B296,'Team forecast'!$B$2:$B$26,0),MATCH('Master data'!J$1,'Team forecast'!$B$2:$AO$2,0))</f>
        <v>0.31284959906121651</v>
      </c>
      <c r="K296" s="16">
        <f>INDEX('Team forecast'!$B$2:$AO$26,MATCH('Master data'!$B296,'Team forecast'!$B$2:$B$26,0),MATCH('Master data'!K$1,'Team forecast'!$B$2:$AO$2,0))</f>
        <v>2.6542787457400774</v>
      </c>
      <c r="L296" s="16">
        <f>INDEX('Team forecast'!$B$2:$AO$26,MATCH('Master data'!$B296,'Team forecast'!$B$2:$B$26,0),MATCH('Master data'!L$1,'Team forecast'!$B$2:$AO$2,0))</f>
        <v>3.0401288408862195</v>
      </c>
      <c r="M296">
        <f>IF(Players!BC297=1,95,0)</f>
        <v>95</v>
      </c>
      <c r="N296" s="2">
        <f>Players!BN297</f>
        <v>0.19209473032384514</v>
      </c>
      <c r="O296" s="2">
        <f>Players!BO297</f>
        <v>0.16803635516412549</v>
      </c>
      <c r="P296" s="2">
        <f>Players!BP297</f>
        <v>0.3437688631185758</v>
      </c>
      <c r="Q296" s="2">
        <f>Players!BQ297</f>
        <v>0.34318880351262349</v>
      </c>
      <c r="R296" s="2">
        <f>Players!BR297</f>
        <v>0</v>
      </c>
      <c r="S296" s="2">
        <f t="shared" si="133"/>
        <v>0.87435064565555498</v>
      </c>
      <c r="T296" s="2">
        <f t="shared" si="134"/>
        <v>1.162032718107336</v>
      </c>
      <c r="U296" s="16">
        <f>INDEX('Team forecast'!$B$2:$AO$26,MATCH('Master data'!$B296,'Team forecast'!$B$2:$B$26,0),MATCH('Master data'!U$1,'Team forecast'!$B$2:$AO$2,0))</f>
        <v>0.2607079992176804</v>
      </c>
      <c r="V296" s="16">
        <f>INDEX('Team forecast'!$B$2:$AO$26,MATCH('Master data'!$B296,'Team forecast'!$B$2:$B$26,0),MATCH('Master data'!V$1,'Team forecast'!$B$2:$AO$2,0))</f>
        <v>0.30275767651085472</v>
      </c>
      <c r="W296" s="16">
        <f>INDEX('Team forecast'!$B$2:$AO$26,MATCH('Master data'!$B296,'Team forecast'!$B$2:$B$26,0),MATCH('Master data'!W$1,'Team forecast'!$B$2:$AO$2,0))</f>
        <v>0.43653432427146488</v>
      </c>
      <c r="X296" s="5">
        <f t="shared" si="135"/>
        <v>7000</v>
      </c>
      <c r="Y296" s="5">
        <f t="shared" si="136"/>
        <v>6517.6999804420102</v>
      </c>
      <c r="Z296" s="5">
        <f t="shared" si="137"/>
        <v>1513.7883825542735</v>
      </c>
      <c r="AA296" s="5">
        <f t="shared" si="138"/>
        <v>-6548.0148640719735</v>
      </c>
      <c r="AB296" s="5">
        <f t="shared" si="139"/>
        <v>20994.768935710465</v>
      </c>
      <c r="AC296" s="5">
        <f t="shared" si="140"/>
        <v>7346.1347815679637</v>
      </c>
      <c r="AD296" s="5">
        <f t="shared" si="141"/>
        <v>9124.5838682286576</v>
      </c>
      <c r="AE296" s="5">
        <f t="shared" si="142"/>
        <v>0</v>
      </c>
      <c r="AF296" s="5">
        <f t="shared" si="143"/>
        <v>0</v>
      </c>
      <c r="AG296" s="5">
        <f t="shared" si="144"/>
        <v>-6863.7760702524702</v>
      </c>
      <c r="AH296" s="5">
        <f t="shared" si="145"/>
        <v>0</v>
      </c>
      <c r="AI296" s="5">
        <f t="shared" si="146"/>
        <v>8743.5064565555494</v>
      </c>
      <c r="AJ296" s="5">
        <f t="shared" si="147"/>
        <v>-9296.261744858688</v>
      </c>
      <c r="AK296" s="5">
        <f>IFERROR(SUM(X296:AJ296),-5000)*((Cockpit!$C$3)^0)</f>
        <v>38532.429725875787</v>
      </c>
      <c r="AL296" s="16">
        <f>INDEX('Team forecast'!$B$2:$AO$26,MATCH('Master data'!$B296,'Team forecast'!$B$2:$B$26,0),MATCH('Master data'!AL$1,'Team forecast'!$B$2:$AO$2,0))</f>
        <v>1.0279287794501248</v>
      </c>
      <c r="AM296" s="16">
        <f>INDEX('Team forecast'!$B$2:$AO$26,MATCH('Master data'!$B296,'Team forecast'!$B$2:$B$26,0),MATCH('Master data'!AM$1,'Team forecast'!$B$2:$AO$2,0))</f>
        <v>1.2847203648825669</v>
      </c>
      <c r="AN296" s="16">
        <f>INDEX('Team forecast'!$B$2:$AO$26,MATCH('Master data'!$B296,'Team forecast'!$B$2:$B$26,0),MATCH('Master data'!AN$1,'Team forecast'!$B$2:$AO$2,0))</f>
        <v>0.27672795566788022</v>
      </c>
      <c r="AO296" s="16">
        <f>INDEX('Team forecast'!$B$2:$AO$26,MATCH('Master data'!$B296,'Team forecast'!$B$2:$B$26,0),MATCH('Master data'!AO$1,'Team forecast'!$B$2:$AO$2,0))</f>
        <v>3.1204980804735931</v>
      </c>
      <c r="AP296" s="16">
        <f>INDEX('Team forecast'!$B$2:$AO$26,MATCH('Master data'!$B296,'Team forecast'!$B$2:$B$26,0),MATCH('Master data'!AP$1,'Team forecast'!$B$2:$AO$2,0))</f>
        <v>3.3611062519089856</v>
      </c>
      <c r="AQ296" s="5">
        <f t="shared" si="148"/>
        <v>7000</v>
      </c>
      <c r="AR296" s="5">
        <f>INDEX('Team forecast'!$B$2:$AO$26,MATCH('Master data'!$B296,'Team forecast'!$B$2:$B$26,0),MATCH('Master data'!AR$1,'Team forecast'!$B$2:$AO$2,0))*IF(X296&gt;0,25000,0)</f>
        <v>6720.5360662199482</v>
      </c>
      <c r="AS296" s="16">
        <f>INDEX('Team forecast'!$B$2:$AO$26,MATCH('Master data'!$B296,'Team forecast'!$B$2:$B$26,0),MATCH('Master data'!AS$1,'Team forecast'!$B$2:$AO$2,0))*IF(X296&gt;0,5000,0)</f>
        <v>1517.5404020496649</v>
      </c>
      <c r="AT296" s="16">
        <f>INDEX('Team forecast'!$B$2:$AO$26,MATCH('Master data'!$B296,'Team forecast'!$B$2:$B$26,0),MATCH('Master data'!AT$1,'Team forecast'!$B$2:$AO$2,0))*IF(X296&gt;0,-15000,0)</f>
        <v>-6415.0571541190393</v>
      </c>
      <c r="AU296" s="5">
        <f t="shared" si="149"/>
        <v>24682.462710073876</v>
      </c>
      <c r="AV296" s="5">
        <f t="shared" si="150"/>
        <v>8636.4702733553604</v>
      </c>
      <c r="AW296" s="5">
        <f t="shared" si="151"/>
        <v>10727.300774881052</v>
      </c>
      <c r="AX296" s="5">
        <f t="shared" si="152"/>
        <v>0</v>
      </c>
      <c r="AY296" s="5">
        <f t="shared" si="153"/>
        <v>0</v>
      </c>
      <c r="AZ296" s="5">
        <f t="shared" si="154"/>
        <v>-6863.7760702524702</v>
      </c>
      <c r="BA296" s="5">
        <f t="shared" si="155"/>
        <v>0</v>
      </c>
      <c r="BB296" s="5">
        <f t="shared" si="156"/>
        <v>10279.287794501248</v>
      </c>
      <c r="BC296" s="5">
        <f t="shared" si="157"/>
        <v>-10277.762919060535</v>
      </c>
      <c r="BD296" s="5">
        <f t="shared" si="158"/>
        <v>46007.001877649091</v>
      </c>
      <c r="BE296" s="16">
        <f>INDEX('Team forecast'!$B$2:$AO$26,MATCH('Master data'!$B296,'Team forecast'!$B$2:$B$26,0),MATCH('Master data'!BE$1,'Team forecast'!$B$2:$AO$2,0))</f>
        <v>0.65281467345965161</v>
      </c>
      <c r="BF296" s="16">
        <f>INDEX('Team forecast'!$B$2:$AO$26,MATCH('Master data'!$B296,'Team forecast'!$B$2:$B$26,0),MATCH('Master data'!BF$1,'Team forecast'!$B$2:$AO$2,0))</f>
        <v>1.8402581758343768</v>
      </c>
      <c r="BG296" s="16">
        <f>INDEX('Team forecast'!$B$2:$AO$26,MATCH('Master data'!$B296,'Team forecast'!$B$2:$B$26,0),MATCH('Master data'!BG$1,'Team forecast'!$B$2:$AO$2,0))</f>
        <v>0.15877642857793531</v>
      </c>
      <c r="BH296" s="16">
        <f>INDEX('Team forecast'!$B$2:$AO$26,MATCH('Master data'!$B296,'Team forecast'!$B$2:$B$26,0),MATCH('Master data'!BH$1,'Team forecast'!$B$2:$AO$2,0))</f>
        <v>1.9817588301453708</v>
      </c>
      <c r="BI296" s="16">
        <f>INDEX('Team forecast'!$B$2:$AO$26,MATCH('Master data'!$B296,'Team forecast'!$B$2:$B$26,0),MATCH('Master data'!BI$1,'Team forecast'!$B$2:$AO$2,0))</f>
        <v>4.8145132816423697</v>
      </c>
      <c r="BJ296" s="5">
        <f t="shared" si="159"/>
        <v>7000</v>
      </c>
      <c r="BK296" s="5">
        <f>INDEX('Team forecast'!$R$3:$BH$26,MATCH($B296,'Team forecast'!$B$3:$B$26,0),MATCH(BK$1,'Team forecast'!$R$2:$BH$2,0))*IF($X296&gt;0,25000,0)</f>
        <v>2721.881632764605</v>
      </c>
      <c r="BL296" s="5">
        <f>INDEX('Team forecast'!$R$3:$BH$26,MATCH($B296,'Team forecast'!$B$3:$B$26,0),MATCH(BL$1,'Team forecast'!$R$2:$BH$2,0))*IF($X296&gt;0,5000,0)</f>
        <v>1147.781411406761</v>
      </c>
      <c r="BM296" s="5">
        <f>INDEX('Team forecast'!$R$3:$BH$26,MATCH($B296,'Team forecast'!$B$3:$B$26,0),MATCH(BM$1,'Team forecast'!$R$2:$BH$2,0))*IF($X296&gt;0,-15000,0)</f>
        <v>-9923.5267861209559</v>
      </c>
      <c r="BN296" s="5">
        <f t="shared" si="160"/>
        <v>15675.282331210101</v>
      </c>
      <c r="BO296" s="5">
        <f t="shared" si="161"/>
        <v>5484.8299162909316</v>
      </c>
      <c r="BP296" s="5">
        <f t="shared" si="162"/>
        <v>6812.6698001427285</v>
      </c>
      <c r="BQ296" s="5">
        <f t="shared" si="163"/>
        <v>0</v>
      </c>
      <c r="BR296" s="5">
        <f t="shared" si="164"/>
        <v>0</v>
      </c>
      <c r="BS296" s="5">
        <f t="shared" si="165"/>
        <v>-6863.7760702524702</v>
      </c>
      <c r="BT296" s="5">
        <f t="shared" si="166"/>
        <v>0</v>
      </c>
      <c r="BU296" s="5">
        <f t="shared" si="167"/>
        <v>6528.1467345965157</v>
      </c>
      <c r="BV296" s="5">
        <f t="shared" si="168"/>
        <v>-14722.065406675014</v>
      </c>
      <c r="BW296" s="5">
        <f t="shared" si="169"/>
        <v>13861.223563363201</v>
      </c>
      <c r="BX296" s="5">
        <f t="shared" si="170"/>
        <v>32800.218388962698</v>
      </c>
      <c r="BY296" s="5">
        <f t="shared" si="171"/>
        <v>98400.655166888086</v>
      </c>
      <c r="BZ296" s="5">
        <f>INDEX('Team forecast'!$R$3:$BH$26,MATCH($B296,'Team forecast'!$B$3:$B$26,0),MATCH(BZ$1,'Team forecast'!$R$2:$BH$2,0))*($BX296-(BY296+CH296)*0.01)</f>
        <v>-1568.8942565948787</v>
      </c>
      <c r="CA296" s="5">
        <f>INDEX('Team forecast'!$R$3:$BH$26,MATCH($B296,'Team forecast'!$B$3:$B$26,0),MATCH(CA$1,'Team forecast'!$R$2:$BH$2,0))*($BX296-(BY296+BX296+CH296)*0.01)</f>
        <v>-849.99228075517658</v>
      </c>
      <c r="CB296" s="5">
        <f>INDEX('Team forecast'!$R$3:$BH$26,MATCH($B296,'Team forecast'!$B$3:$B$26,0),MATCH(CB$1,'Team forecast'!$R$2:$BH$2,0))*($BX296-(BY296+BX296*2+CH296)*0.01)</f>
        <v>-448.9761441076335</v>
      </c>
      <c r="CC296" s="5">
        <f>INDEX('Team forecast'!$R$3:$BH$26,MATCH($B296,'Team forecast'!$B$3:$B$26,0),MATCH(CC$1,'Team forecast'!$R$2:$BH$2,0))*($BX296-(BY296+BX296*3+CH296)*0.01)</f>
        <v>-221.66953076292208</v>
      </c>
      <c r="CD296" s="5">
        <f>+AK296+BD296*Cockpit!$C$3+BW296*Cockpit!$C$3^2+BZ296*Cockpit!$C$3^3+CA296*Cockpit!$C$3^4+CB296*Cockpit!$C$3^5+CC296*Cockpit!$C$3^6</f>
        <v>74652.965719580519</v>
      </c>
      <c r="CE296" s="5"/>
      <c r="CF296" s="5"/>
      <c r="CG296" s="5">
        <v>0</v>
      </c>
      <c r="CH296" s="5">
        <f t="shared" si="172"/>
        <v>3500000</v>
      </c>
      <c r="CI296" s="5">
        <f t="shared" si="173"/>
        <v>3500000</v>
      </c>
      <c r="CJ296" s="1">
        <f t="shared" si="174"/>
        <v>2.8114472904825168E-2</v>
      </c>
      <c r="CK296" s="5">
        <f>RANK(BY296,$BY$2:$BY$623)+COUNTIF($BY$2:$BY296,$BY296)-1</f>
        <v>174</v>
      </c>
      <c r="CL296" s="5">
        <f>RANK(CJ296,$CJ$2:$CJ$623)+COUNTIF($CJ$2:$CJ296,$CJ296)-1</f>
        <v>165</v>
      </c>
    </row>
    <row r="297" spans="1:90">
      <c r="A297" t="str">
        <f>Players!P298</f>
        <v>David Brooks</v>
      </c>
      <c r="B297" t="str">
        <f>Players!G298</f>
        <v>Wales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3000000</v>
      </c>
      <c r="H297" s="16">
        <f>INDEX('Team forecast'!$B$2:$AO$26,MATCH('Master data'!$B297,'Team forecast'!$B$2:$B$26,0),MATCH('Master data'!H$1,'Team forecast'!$B$2:$AO$2,0))</f>
        <v>0.87435064565555498</v>
      </c>
      <c r="I297" s="16">
        <f>INDEX('Team forecast'!$B$2:$AO$26,MATCH('Master data'!$B297,'Team forecast'!$B$2:$B$26,0),MATCH('Master data'!I$1,'Team forecast'!$B$2:$AO$2,0))</f>
        <v>1.162032718107336</v>
      </c>
      <c r="J297" s="16">
        <f>INDEX('Team forecast'!$B$2:$AO$26,MATCH('Master data'!$B297,'Team forecast'!$B$2:$B$26,0),MATCH('Master data'!J$1,'Team forecast'!$B$2:$AO$2,0))</f>
        <v>0.31284959906121651</v>
      </c>
      <c r="K297" s="16">
        <f>INDEX('Team forecast'!$B$2:$AO$26,MATCH('Master data'!$B297,'Team forecast'!$B$2:$B$26,0),MATCH('Master data'!K$1,'Team forecast'!$B$2:$AO$2,0))</f>
        <v>2.6542787457400774</v>
      </c>
      <c r="L297" s="16">
        <f>INDEX('Team forecast'!$B$2:$AO$26,MATCH('Master data'!$B297,'Team forecast'!$B$2:$B$26,0),MATCH('Master data'!L$1,'Team forecast'!$B$2:$AO$2,0))</f>
        <v>3.0401288408862195</v>
      </c>
      <c r="M297">
        <f>IF(Players!BC298=1,95,0)</f>
        <v>0</v>
      </c>
      <c r="N297" s="2">
        <f>Players!BN298</f>
        <v>0</v>
      </c>
      <c r="O297" s="2">
        <f>Players!BO298</f>
        <v>0</v>
      </c>
      <c r="P297" s="2">
        <f>Players!BP298</f>
        <v>0</v>
      </c>
      <c r="Q297" s="2">
        <f>Players!BQ298</f>
        <v>0.28499999999999998</v>
      </c>
      <c r="R297" s="2">
        <f>Players!BR298</f>
        <v>0</v>
      </c>
      <c r="S297" s="2">
        <f t="shared" si="133"/>
        <v>0.87435064565555498</v>
      </c>
      <c r="T297" s="2">
        <f t="shared" si="134"/>
        <v>1.162032718107336</v>
      </c>
      <c r="U297" s="16">
        <f>INDEX('Team forecast'!$B$2:$AO$26,MATCH('Master data'!$B297,'Team forecast'!$B$2:$B$26,0),MATCH('Master data'!U$1,'Team forecast'!$B$2:$AO$2,0))</f>
        <v>0.2607079992176804</v>
      </c>
      <c r="V297" s="16">
        <f>INDEX('Team forecast'!$B$2:$AO$26,MATCH('Master data'!$B297,'Team forecast'!$B$2:$B$26,0),MATCH('Master data'!V$1,'Team forecast'!$B$2:$AO$2,0))</f>
        <v>0.30275767651085472</v>
      </c>
      <c r="W297" s="16">
        <f>INDEX('Team forecast'!$B$2:$AO$26,MATCH('Master data'!$B297,'Team forecast'!$B$2:$B$26,0),MATCH('Master data'!W$1,'Team forecast'!$B$2:$AO$2,0))</f>
        <v>0.43653432427146488</v>
      </c>
      <c r="X297" s="5">
        <f t="shared" si="135"/>
        <v>-5000</v>
      </c>
      <c r="Y297" s="5">
        <f t="shared" si="136"/>
        <v>0</v>
      </c>
      <c r="Z297" s="5">
        <f t="shared" si="137"/>
        <v>0</v>
      </c>
      <c r="AA297" s="5">
        <f t="shared" si="138"/>
        <v>0</v>
      </c>
      <c r="AB297" s="5">
        <f t="shared" si="139"/>
        <v>0</v>
      </c>
      <c r="AC297" s="5">
        <f t="shared" si="140"/>
        <v>0</v>
      </c>
      <c r="AD297" s="5">
        <f t="shared" si="141"/>
        <v>0</v>
      </c>
      <c r="AE297" s="5">
        <f t="shared" si="142"/>
        <v>0</v>
      </c>
      <c r="AF297" s="5">
        <f t="shared" si="143"/>
        <v>0</v>
      </c>
      <c r="AG297" s="5">
        <f t="shared" si="144"/>
        <v>0</v>
      </c>
      <c r="AH297" s="5">
        <f t="shared" si="145"/>
        <v>0</v>
      </c>
      <c r="AI297" s="5">
        <f t="shared" si="146"/>
        <v>0</v>
      </c>
      <c r="AJ297" s="5">
        <f t="shared" si="147"/>
        <v>0</v>
      </c>
      <c r="AK297" s="5">
        <f>IFERROR(SUM(X297:AJ297),-5000)*((Cockpit!$C$3)^0)</f>
        <v>-5000</v>
      </c>
      <c r="AL297" s="16">
        <f>INDEX('Team forecast'!$B$2:$AO$26,MATCH('Master data'!$B297,'Team forecast'!$B$2:$B$26,0),MATCH('Master data'!AL$1,'Team forecast'!$B$2:$AO$2,0))</f>
        <v>1.0279287794501248</v>
      </c>
      <c r="AM297" s="16">
        <f>INDEX('Team forecast'!$B$2:$AO$26,MATCH('Master data'!$B297,'Team forecast'!$B$2:$B$26,0),MATCH('Master data'!AM$1,'Team forecast'!$B$2:$AO$2,0))</f>
        <v>1.2847203648825669</v>
      </c>
      <c r="AN297" s="16">
        <f>INDEX('Team forecast'!$B$2:$AO$26,MATCH('Master data'!$B297,'Team forecast'!$B$2:$B$26,0),MATCH('Master data'!AN$1,'Team forecast'!$B$2:$AO$2,0))</f>
        <v>0.27672795566788022</v>
      </c>
      <c r="AO297" s="16">
        <f>INDEX('Team forecast'!$B$2:$AO$26,MATCH('Master data'!$B297,'Team forecast'!$B$2:$B$26,0),MATCH('Master data'!AO$1,'Team forecast'!$B$2:$AO$2,0))</f>
        <v>3.1204980804735931</v>
      </c>
      <c r="AP297" s="16">
        <f>INDEX('Team forecast'!$B$2:$AO$26,MATCH('Master data'!$B297,'Team forecast'!$B$2:$B$26,0),MATCH('Master data'!AP$1,'Team forecast'!$B$2:$AO$2,0))</f>
        <v>3.3611062519089856</v>
      </c>
      <c r="AQ297" s="5">
        <f t="shared" si="148"/>
        <v>-5000</v>
      </c>
      <c r="AR297" s="5">
        <f>INDEX('Team forecast'!$B$2:$AO$26,MATCH('Master data'!$B297,'Team forecast'!$B$2:$B$26,0),MATCH('Master data'!AR$1,'Team forecast'!$B$2:$AO$2,0))*IF(X297&gt;0,25000,0)</f>
        <v>0</v>
      </c>
      <c r="AS297" s="16">
        <f>INDEX('Team forecast'!$B$2:$AO$26,MATCH('Master data'!$B297,'Team forecast'!$B$2:$B$26,0),MATCH('Master data'!AS$1,'Team forecast'!$B$2:$AO$2,0))*IF(X297&gt;0,5000,0)</f>
        <v>0</v>
      </c>
      <c r="AT297" s="16">
        <f>INDEX('Team forecast'!$B$2:$AO$26,MATCH('Master data'!$B297,'Team forecast'!$B$2:$B$26,0),MATCH('Master data'!AT$1,'Team forecast'!$B$2:$AO$2,0))*IF(X297&gt;0,-15000,0)</f>
        <v>0</v>
      </c>
      <c r="AU297" s="5">
        <f t="shared" si="149"/>
        <v>0</v>
      </c>
      <c r="AV297" s="5">
        <f t="shared" si="150"/>
        <v>0</v>
      </c>
      <c r="AW297" s="5">
        <f t="shared" si="151"/>
        <v>0</v>
      </c>
      <c r="AX297" s="5">
        <f t="shared" si="152"/>
        <v>0</v>
      </c>
      <c r="AY297" s="5">
        <f t="shared" si="153"/>
        <v>0</v>
      </c>
      <c r="AZ297" s="5">
        <f t="shared" si="154"/>
        <v>0</v>
      </c>
      <c r="BA297" s="5">
        <f t="shared" si="155"/>
        <v>0</v>
      </c>
      <c r="BB297" s="5">
        <f t="shared" si="156"/>
        <v>0</v>
      </c>
      <c r="BC297" s="5">
        <f t="shared" si="157"/>
        <v>0</v>
      </c>
      <c r="BD297" s="5">
        <f t="shared" si="158"/>
        <v>-5000</v>
      </c>
      <c r="BE297" s="16">
        <f>INDEX('Team forecast'!$B$2:$AO$26,MATCH('Master data'!$B297,'Team forecast'!$B$2:$B$26,0),MATCH('Master data'!BE$1,'Team forecast'!$B$2:$AO$2,0))</f>
        <v>0.65281467345965161</v>
      </c>
      <c r="BF297" s="16">
        <f>INDEX('Team forecast'!$B$2:$AO$26,MATCH('Master data'!$B297,'Team forecast'!$B$2:$B$26,0),MATCH('Master data'!BF$1,'Team forecast'!$B$2:$AO$2,0))</f>
        <v>1.8402581758343768</v>
      </c>
      <c r="BG297" s="16">
        <f>INDEX('Team forecast'!$B$2:$AO$26,MATCH('Master data'!$B297,'Team forecast'!$B$2:$B$26,0),MATCH('Master data'!BG$1,'Team forecast'!$B$2:$AO$2,0))</f>
        <v>0.15877642857793531</v>
      </c>
      <c r="BH297" s="16">
        <f>INDEX('Team forecast'!$B$2:$AO$26,MATCH('Master data'!$B297,'Team forecast'!$B$2:$B$26,0),MATCH('Master data'!BH$1,'Team forecast'!$B$2:$AO$2,0))</f>
        <v>1.9817588301453708</v>
      </c>
      <c r="BI297" s="16">
        <f>INDEX('Team forecast'!$B$2:$AO$26,MATCH('Master data'!$B297,'Team forecast'!$B$2:$B$26,0),MATCH('Master data'!BI$1,'Team forecast'!$B$2:$AO$2,0))</f>
        <v>4.8145132816423697</v>
      </c>
      <c r="BJ297" s="5">
        <f t="shared" si="159"/>
        <v>-5000</v>
      </c>
      <c r="BK297" s="5">
        <f>INDEX('Team forecast'!$R$3:$BH$26,MATCH($B297,'Team forecast'!$B$3:$B$26,0),MATCH(BK$1,'Team forecast'!$R$2:$BH$2,0))*IF($X297&gt;0,25000,0)</f>
        <v>0</v>
      </c>
      <c r="BL297" s="5">
        <f>INDEX('Team forecast'!$R$3:$BH$26,MATCH($B297,'Team forecast'!$B$3:$B$26,0),MATCH(BL$1,'Team forecast'!$R$2:$BH$2,0))*IF($X297&gt;0,5000,0)</f>
        <v>0</v>
      </c>
      <c r="BM297" s="5">
        <f>INDEX('Team forecast'!$R$3:$BH$26,MATCH($B297,'Team forecast'!$B$3:$B$26,0),MATCH(BM$1,'Team forecast'!$R$2:$BH$2,0))*IF($X297&gt;0,-15000,0)</f>
        <v>0</v>
      </c>
      <c r="BN297" s="5">
        <f t="shared" si="160"/>
        <v>0</v>
      </c>
      <c r="BO297" s="5">
        <f t="shared" si="161"/>
        <v>0</v>
      </c>
      <c r="BP297" s="5">
        <f t="shared" si="162"/>
        <v>0</v>
      </c>
      <c r="BQ297" s="5">
        <f t="shared" si="163"/>
        <v>0</v>
      </c>
      <c r="BR297" s="5">
        <f t="shared" si="164"/>
        <v>0</v>
      </c>
      <c r="BS297" s="5">
        <f t="shared" si="165"/>
        <v>0</v>
      </c>
      <c r="BT297" s="5">
        <f t="shared" si="166"/>
        <v>0</v>
      </c>
      <c r="BU297" s="5">
        <f t="shared" si="167"/>
        <v>0</v>
      </c>
      <c r="BV297" s="5">
        <f t="shared" si="168"/>
        <v>0</v>
      </c>
      <c r="BW297" s="5">
        <f t="shared" si="169"/>
        <v>-5000</v>
      </c>
      <c r="BX297" s="5">
        <f t="shared" si="170"/>
        <v>-5000</v>
      </c>
      <c r="BY297" s="5">
        <f t="shared" si="171"/>
        <v>-15000</v>
      </c>
      <c r="BZ297" s="5">
        <f>INDEX('Team forecast'!$R$3:$BH$26,MATCH($B297,'Team forecast'!$B$3:$B$26,0),MATCH(BZ$1,'Team forecast'!$R$2:$BH$2,0))*($BX297-(BY297+CH297)*0.01)</f>
        <v>-17173.24207771962</v>
      </c>
      <c r="CA297" s="5">
        <f>INDEX('Team forecast'!$R$3:$BH$26,MATCH($B297,'Team forecast'!$B$3:$B$26,0),MATCH(CA$1,'Team forecast'!$R$2:$BH$2,0))*($BX297-(BY297+BX297+CH297)*0.01)</f>
        <v>-8422.977584340586</v>
      </c>
      <c r="CB297" s="5">
        <f>INDEX('Team forecast'!$R$3:$BH$26,MATCH($B297,'Team forecast'!$B$3:$B$26,0),MATCH(CB$1,'Team forecast'!$R$2:$BH$2,0))*($BX297-(BY297+BX297*2+CH297)*0.01)</f>
        <v>-4063.2197921817929</v>
      </c>
      <c r="CC297" s="5">
        <f>INDEX('Team forecast'!$R$3:$BH$26,MATCH($B297,'Team forecast'!$B$3:$B$26,0),MATCH(CC$1,'Team forecast'!$R$2:$BH$2,0))*($BX297-(BY297+BX297*3+CH297)*0.01)</f>
        <v>-1845.5641999216737</v>
      </c>
      <c r="CD297" s="5">
        <f>+AK297+BD297*Cockpit!$C$3+BW297*Cockpit!$C$3^2+BZ297*Cockpit!$C$3^3+CA297*Cockpit!$C$3^4+CB297*Cockpit!$C$3^5+CC297*Cockpit!$C$3^6</f>
        <v>-18004.820671847629</v>
      </c>
      <c r="CE297" s="5"/>
      <c r="CF297" s="5"/>
      <c r="CG297" s="5">
        <v>0</v>
      </c>
      <c r="CH297" s="5">
        <f t="shared" si="172"/>
        <v>3000000</v>
      </c>
      <c r="CI297" s="5">
        <f t="shared" si="173"/>
        <v>3000000</v>
      </c>
      <c r="CJ297" s="1">
        <f t="shared" si="174"/>
        <v>-5.0000000000000001E-3</v>
      </c>
      <c r="CK297" s="5">
        <f>RANK(BY297,$BY$2:$BY$623)+COUNTIF($BY$2:$BY297,$BY297)-1</f>
        <v>508</v>
      </c>
      <c r="CL297" s="5">
        <f>RANK(CJ297,$CJ$2:$CJ$623)+COUNTIF($CJ$2:$CJ297,$CJ297)-1</f>
        <v>501</v>
      </c>
    </row>
    <row r="298" spans="1:90">
      <c r="A298" t="str">
        <f>Players!P299</f>
        <v>Viktor Claesson</v>
      </c>
      <c r="B298" t="str">
        <f>Players!G299</f>
        <v>Sweden</v>
      </c>
      <c r="C298" t="str">
        <f>Players!AB299</f>
        <v>Midfield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4000000</v>
      </c>
      <c r="H298" s="16">
        <f>INDEX('Team forecast'!$B$2:$AO$26,MATCH('Master data'!$B298,'Team forecast'!$B$2:$B$26,0),MATCH('Master data'!H$1,'Team forecast'!$B$2:$AO$2,0))</f>
        <v>0.63639779406972985</v>
      </c>
      <c r="I298" s="16">
        <f>INDEX('Team forecast'!$B$2:$AO$26,MATCH('Master data'!$B298,'Team forecast'!$B$2:$B$26,0),MATCH('Master data'!I$1,'Team forecast'!$B$2:$AO$2,0))</f>
        <v>1.7533592214060363</v>
      </c>
      <c r="J298" s="16">
        <f>INDEX('Team forecast'!$B$2:$AO$26,MATCH('Master data'!$B298,'Team forecast'!$B$2:$B$26,0),MATCH('Master data'!J$1,'Team forecast'!$B$2:$AO$2,0))</f>
        <v>0.1731911776674534</v>
      </c>
      <c r="K298" s="16">
        <f>INDEX('Team forecast'!$B$2:$AO$26,MATCH('Master data'!$B298,'Team forecast'!$B$2:$B$26,0),MATCH('Master data'!K$1,'Team forecast'!$B$2:$AO$2,0))</f>
        <v>2.0682928307266222</v>
      </c>
      <c r="L298" s="16">
        <f>INDEX('Team forecast'!$B$2:$AO$26,MATCH('Master data'!$B298,'Team forecast'!$B$2:$B$26,0),MATCH('Master data'!L$1,'Team forecast'!$B$2:$AO$2,0))</f>
        <v>5.2600776642181089</v>
      </c>
      <c r="M298">
        <f>IF(Players!BC299=1,95,0)</f>
        <v>95</v>
      </c>
      <c r="N298" s="2">
        <f>Players!BN299</f>
        <v>8.9772565552473788E-2</v>
      </c>
      <c r="O298" s="2">
        <f>Players!BO299</f>
        <v>0.1363194099415494</v>
      </c>
      <c r="P298" s="2">
        <f>Players!BP299</f>
        <v>7.7618344357708396E-2</v>
      </c>
      <c r="Q298" s="2">
        <f>Players!BQ299</f>
        <v>0.23040500297796307</v>
      </c>
      <c r="R298" s="2">
        <f>Players!BR299</f>
        <v>0</v>
      </c>
      <c r="S298" s="2">
        <f t="shared" si="133"/>
        <v>0.63639779406972985</v>
      </c>
      <c r="T298" s="2">
        <f t="shared" si="134"/>
        <v>1.7533592214060363</v>
      </c>
      <c r="U298" s="16">
        <f>INDEX('Team forecast'!$B$2:$AO$26,MATCH('Master data'!$B298,'Team forecast'!$B$2:$B$26,0),MATCH('Master data'!U$1,'Team forecast'!$B$2:$AO$2,0))</f>
        <v>0.11906893464637421</v>
      </c>
      <c r="V298" s="16">
        <f>INDEX('Team forecast'!$B$2:$AO$26,MATCH('Master data'!$B298,'Team forecast'!$B$2:$B$26,0),MATCH('Master data'!V$1,'Team forecast'!$B$2:$AO$2,0))</f>
        <v>0.20053715308863029</v>
      </c>
      <c r="W298" s="16">
        <f>INDEX('Team forecast'!$B$2:$AO$26,MATCH('Master data'!$B298,'Team forecast'!$B$2:$B$26,0),MATCH('Master data'!W$1,'Team forecast'!$B$2:$AO$2,0))</f>
        <v>0.68039391226499568</v>
      </c>
      <c r="X298" s="5">
        <f t="shared" si="135"/>
        <v>7000</v>
      </c>
      <c r="Y298" s="5">
        <f t="shared" si="136"/>
        <v>2976.723366159355</v>
      </c>
      <c r="Z298" s="5">
        <f t="shared" si="137"/>
        <v>1002.6857654431515</v>
      </c>
      <c r="AA298" s="5">
        <f t="shared" si="138"/>
        <v>-10205.908683974934</v>
      </c>
      <c r="AB298" s="5">
        <f t="shared" si="139"/>
        <v>7141.382835696817</v>
      </c>
      <c r="AC298" s="5">
        <f t="shared" si="140"/>
        <v>4337.6685887844624</v>
      </c>
      <c r="AD298" s="5">
        <f t="shared" si="141"/>
        <v>1605.3746516791846</v>
      </c>
      <c r="AE298" s="5">
        <f t="shared" si="142"/>
        <v>0</v>
      </c>
      <c r="AF298" s="5">
        <f t="shared" si="143"/>
        <v>0</v>
      </c>
      <c r="AG298" s="5">
        <f t="shared" si="144"/>
        <v>-4608.1000595592614</v>
      </c>
      <c r="AH298" s="5">
        <f t="shared" si="145"/>
        <v>0</v>
      </c>
      <c r="AI298" s="5">
        <f t="shared" si="146"/>
        <v>6363.9779406972984</v>
      </c>
      <c r="AJ298" s="5">
        <f t="shared" si="147"/>
        <v>-14026.873771248291</v>
      </c>
      <c r="AK298" s="5">
        <f>IFERROR(SUM(X298:AJ298),-5000)*((Cockpit!$C$3)^0)</f>
        <v>1586.9306336777845</v>
      </c>
      <c r="AL298" s="16">
        <f>INDEX('Team forecast'!$B$2:$AO$26,MATCH('Master data'!$B298,'Team forecast'!$B$2:$B$26,0),MATCH('Master data'!AL$1,'Team forecast'!$B$2:$AO$2,0))</f>
        <v>1.3852986184856255</v>
      </c>
      <c r="AM298" s="16">
        <f>INDEX('Team forecast'!$B$2:$AO$26,MATCH('Master data'!$B298,'Team forecast'!$B$2:$B$26,0),MATCH('Master data'!AM$1,'Team forecast'!$B$2:$AO$2,0))</f>
        <v>0.80548012323268336</v>
      </c>
      <c r="AN298" s="16">
        <f>INDEX('Team forecast'!$B$2:$AO$26,MATCH('Master data'!$B298,'Team forecast'!$B$2:$B$26,0),MATCH('Master data'!AN$1,'Team forecast'!$B$2:$AO$2,0))</f>
        <v>0.4468733207814955</v>
      </c>
      <c r="AO298" s="16">
        <f>INDEX('Team forecast'!$B$2:$AO$26,MATCH('Master data'!$B298,'Team forecast'!$B$2:$B$26,0),MATCH('Master data'!AO$1,'Team forecast'!$B$2:$AO$2,0))</f>
        <v>4.5022205100782831</v>
      </c>
      <c r="AP298" s="16">
        <f>INDEX('Team forecast'!$B$2:$AO$26,MATCH('Master data'!$B298,'Team forecast'!$B$2:$B$26,0),MATCH('Master data'!AP$1,'Team forecast'!$B$2:$AO$2,0))</f>
        <v>2.4164403696980501</v>
      </c>
      <c r="AQ298" s="5">
        <f t="shared" si="148"/>
        <v>7000</v>
      </c>
      <c r="AR298" s="5">
        <f>INDEX('Team forecast'!$B$2:$AO$26,MATCH('Master data'!$B298,'Team forecast'!$B$2:$B$26,0),MATCH('Master data'!AR$1,'Team forecast'!$B$2:$AO$2,0))*IF(X298&gt;0,25000,0)</f>
        <v>12681.540184339738</v>
      </c>
      <c r="AS298" s="16">
        <f>INDEX('Team forecast'!$B$2:$AO$26,MATCH('Master data'!$B298,'Team forecast'!$B$2:$B$26,0),MATCH('Master data'!AS$1,'Team forecast'!$B$2:$AO$2,0))*IF(X298&gt;0,5000,0)</f>
        <v>1380.0499612369715</v>
      </c>
      <c r="AT298" s="16">
        <f>INDEX('Team forecast'!$B$2:$AO$26,MATCH('Master data'!$B298,'Team forecast'!$B$2:$B$26,0),MATCH('Master data'!AT$1,'Team forecast'!$B$2:$AO$2,0))*IF(X298&gt;0,-15000,0)</f>
        <v>-3250.9260056852445</v>
      </c>
      <c r="AU298" s="5">
        <f t="shared" si="149"/>
        <v>15545.226379719023</v>
      </c>
      <c r="AV298" s="5">
        <f t="shared" si="150"/>
        <v>9442.1545132402007</v>
      </c>
      <c r="AW298" s="5">
        <f t="shared" si="151"/>
        <v>3494.5490192559369</v>
      </c>
      <c r="AX298" s="5">
        <f t="shared" si="152"/>
        <v>0</v>
      </c>
      <c r="AY298" s="5">
        <f t="shared" si="153"/>
        <v>0</v>
      </c>
      <c r="AZ298" s="5">
        <f t="shared" si="154"/>
        <v>-4608.1000595592614</v>
      </c>
      <c r="BA298" s="5">
        <f t="shared" si="155"/>
        <v>0</v>
      </c>
      <c r="BB298" s="5">
        <f t="shared" si="156"/>
        <v>13852.986184856256</v>
      </c>
      <c r="BC298" s="5">
        <f t="shared" si="157"/>
        <v>-6443.8409858614668</v>
      </c>
      <c r="BD298" s="5">
        <f t="shared" si="158"/>
        <v>49093.639191542155</v>
      </c>
      <c r="BE298" s="16">
        <f>INDEX('Team forecast'!$B$2:$AO$26,MATCH('Master data'!$B298,'Team forecast'!$B$2:$B$26,0),MATCH('Master data'!BE$1,'Team forecast'!$B$2:$AO$2,0))</f>
        <v>1.2688103238212438</v>
      </c>
      <c r="BF298" s="16">
        <f>INDEX('Team forecast'!$B$2:$AO$26,MATCH('Master data'!$B298,'Team forecast'!$B$2:$B$26,0),MATCH('Master data'!BF$1,'Team forecast'!$B$2:$AO$2,0))</f>
        <v>1.2236898885407743</v>
      </c>
      <c r="BG298" s="16">
        <f>INDEX('Team forecast'!$B$2:$AO$26,MATCH('Master data'!$B298,'Team forecast'!$B$2:$B$26,0),MATCH('Master data'!BG$1,'Team forecast'!$B$2:$AO$2,0))</f>
        <v>0.29414280786478092</v>
      </c>
      <c r="BH298" s="16">
        <f>INDEX('Team forecast'!$B$2:$AO$26,MATCH('Master data'!$B298,'Team forecast'!$B$2:$B$26,0),MATCH('Master data'!BH$1,'Team forecast'!$B$2:$AO$2,0))</f>
        <v>4.1236335524190419</v>
      </c>
      <c r="BI298" s="16">
        <f>INDEX('Team forecast'!$B$2:$AO$26,MATCH('Master data'!$B298,'Team forecast'!$B$2:$B$26,0),MATCH('Master data'!BI$1,'Team forecast'!$B$2:$AO$2,0))</f>
        <v>3.6710696656223227</v>
      </c>
      <c r="BJ298" s="5">
        <f t="shared" si="159"/>
        <v>7000</v>
      </c>
      <c r="BK298" s="5">
        <f>INDEX('Team forecast'!$R$3:$BH$26,MATCH($B298,'Team forecast'!$B$3:$B$26,0),MATCH(BK$1,'Team forecast'!$R$2:$BH$2,0))*IF($X298&gt;0,25000,0)</f>
        <v>9372.1973094170389</v>
      </c>
      <c r="BL298" s="5">
        <f>INDEX('Team forecast'!$R$3:$BH$26,MATCH($B298,'Team forecast'!$B$3:$B$26,0),MATCH(BL$1,'Team forecast'!$R$2:$BH$2,0))*IF($X298&gt;0,5000,0)</f>
        <v>1448.4304932735427</v>
      </c>
      <c r="BM298" s="5">
        <f>INDEX('Team forecast'!$R$3:$BH$26,MATCH($B298,'Team forecast'!$B$3:$B$26,0),MATCH(BM$1,'Team forecast'!$R$2:$BH$2,0))*IF($X298&gt;0,-15000,0)</f>
        <v>-5031.390134529147</v>
      </c>
      <c r="BN298" s="5">
        <f t="shared" si="160"/>
        <v>14238.044746112262</v>
      </c>
      <c r="BO298" s="5">
        <f t="shared" si="161"/>
        <v>8648.1737335529087</v>
      </c>
      <c r="BP298" s="5">
        <f t="shared" si="162"/>
        <v>3200.6960907666162</v>
      </c>
      <c r="BQ298" s="5">
        <f t="shared" si="163"/>
        <v>0</v>
      </c>
      <c r="BR298" s="5">
        <f t="shared" si="164"/>
        <v>0</v>
      </c>
      <c r="BS298" s="5">
        <f t="shared" si="165"/>
        <v>-4608.1000595592614</v>
      </c>
      <c r="BT298" s="5">
        <f t="shared" si="166"/>
        <v>0</v>
      </c>
      <c r="BU298" s="5">
        <f t="shared" si="167"/>
        <v>12688.103238212438</v>
      </c>
      <c r="BV298" s="5">
        <f t="shared" si="168"/>
        <v>-9789.5191083261943</v>
      </c>
      <c r="BW298" s="5">
        <f t="shared" si="169"/>
        <v>37166.636308920199</v>
      </c>
      <c r="BX298" s="5">
        <f t="shared" si="170"/>
        <v>29282.402044713381</v>
      </c>
      <c r="BY298" s="5">
        <f t="shared" si="171"/>
        <v>87847.206134140142</v>
      </c>
      <c r="BZ298" s="5">
        <f>INDEX('Team forecast'!$R$3:$BH$26,MATCH($B298,'Team forecast'!$B$3:$B$26,0),MATCH(BZ$1,'Team forecast'!$R$2:$BH$2,0))*($BX298-(BY298+CH298)*0.01)</f>
        <v>-7594.4418409630707</v>
      </c>
      <c r="CA298" s="5">
        <f>INDEX('Team forecast'!$R$3:$BH$26,MATCH($B298,'Team forecast'!$B$3:$B$26,0),MATCH(CA$1,'Team forecast'!$R$2:$BH$2,0))*($BX298-(BY298+BX298+CH298)*0.01)</f>
        <v>-3829.8918546899727</v>
      </c>
      <c r="CB298" s="5">
        <f>INDEX('Team forecast'!$R$3:$BH$26,MATCH($B298,'Team forecast'!$B$3:$B$26,0),MATCH(CB$1,'Team forecast'!$R$2:$BH$2,0))*($BX298-(BY298+BX298*2+CH298)*0.01)</f>
        <v>-1901.1478098301873</v>
      </c>
      <c r="CC298" s="5">
        <f>INDEX('Team forecast'!$R$3:$BH$26,MATCH($B298,'Team forecast'!$B$3:$B$26,0),MATCH(CC$1,'Team forecast'!$R$2:$BH$2,0))*($BX298-(BY298+BX298*3+CH298)*0.01)</f>
        <v>-892.92354574671674</v>
      </c>
      <c r="CD298" s="5">
        <f>+AK298+BD298*Cockpit!$C$3+BW298*Cockpit!$C$3^2+BZ298*Cockpit!$C$3^3+CA298*Cockpit!$C$3^4+CB298*Cockpit!$C$3^5+CC298*Cockpit!$C$3^6</f>
        <v>47499.053610062925</v>
      </c>
      <c r="CE298" s="5"/>
      <c r="CF298" s="5"/>
      <c r="CG298" s="5">
        <v>0</v>
      </c>
      <c r="CH298" s="5">
        <f t="shared" si="172"/>
        <v>4000000</v>
      </c>
      <c r="CI298" s="5">
        <f t="shared" si="173"/>
        <v>4000000</v>
      </c>
      <c r="CJ298" s="1">
        <f t="shared" si="174"/>
        <v>2.1961801533535035E-2</v>
      </c>
      <c r="CK298" s="5">
        <f>RANK(BY298,$BY$2:$BY$623)+COUNTIF($BY$2:$BY298,$BY298)-1</f>
        <v>195</v>
      </c>
      <c r="CL298" s="5">
        <f>RANK(CJ298,$CJ$2:$CJ$623)+COUNTIF($CJ$2:$CJ298,$CJ298)-1</f>
        <v>245</v>
      </c>
    </row>
    <row r="299" spans="1:90">
      <c r="A299" t="str">
        <f>Players!P300</f>
        <v>Marcus Berg</v>
      </c>
      <c r="B299" t="str">
        <f>Players!G300</f>
        <v>Sweden</v>
      </c>
      <c r="C299" t="str">
        <f>Players!AB300</f>
        <v>Striker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3500000</v>
      </c>
      <c r="H299" s="16">
        <f>INDEX('Team forecast'!$B$2:$AO$26,MATCH('Master data'!$B299,'Team forecast'!$B$2:$B$26,0),MATCH('Master data'!H$1,'Team forecast'!$B$2:$AO$2,0))</f>
        <v>0.63639779406972985</v>
      </c>
      <c r="I299" s="16">
        <f>INDEX('Team forecast'!$B$2:$AO$26,MATCH('Master data'!$B299,'Team forecast'!$B$2:$B$26,0),MATCH('Master data'!I$1,'Team forecast'!$B$2:$AO$2,0))</f>
        <v>1.7533592214060363</v>
      </c>
      <c r="J299" s="16">
        <f>INDEX('Team forecast'!$B$2:$AO$26,MATCH('Master data'!$B299,'Team forecast'!$B$2:$B$26,0),MATCH('Master data'!J$1,'Team forecast'!$B$2:$AO$2,0))</f>
        <v>0.1731911776674534</v>
      </c>
      <c r="K299" s="16">
        <f>INDEX('Team forecast'!$B$2:$AO$26,MATCH('Master data'!$B299,'Team forecast'!$B$2:$B$26,0),MATCH('Master data'!K$1,'Team forecast'!$B$2:$AO$2,0))</f>
        <v>2.0682928307266222</v>
      </c>
      <c r="L299" s="16">
        <f>INDEX('Team forecast'!$B$2:$AO$26,MATCH('Master data'!$B299,'Team forecast'!$B$2:$B$26,0),MATCH('Master data'!L$1,'Team forecast'!$B$2:$AO$2,0))</f>
        <v>5.2600776642181089</v>
      </c>
      <c r="M299">
        <f>IF(Players!BC300=1,95,0)</f>
        <v>95</v>
      </c>
      <c r="N299" s="2">
        <f>Players!BN300</f>
        <v>0.20122724654481688</v>
      </c>
      <c r="O299" s="2">
        <f>Players!BO300</f>
        <v>0.13706531964169838</v>
      </c>
      <c r="P299" s="2">
        <f>Players!BP300</f>
        <v>0.21680097213714197</v>
      </c>
      <c r="Q299" s="2">
        <f>Players!BQ300</f>
        <v>0.11158385093167703</v>
      </c>
      <c r="R299" s="2">
        <f>Players!BR300</f>
        <v>0</v>
      </c>
      <c r="S299" s="2">
        <f t="shared" si="133"/>
        <v>0.63639779406972985</v>
      </c>
      <c r="T299" s="2">
        <f t="shared" si="134"/>
        <v>1.7533592214060363</v>
      </c>
      <c r="U299" s="16">
        <f>INDEX('Team forecast'!$B$2:$AO$26,MATCH('Master data'!$B299,'Team forecast'!$B$2:$B$26,0),MATCH('Master data'!U$1,'Team forecast'!$B$2:$AO$2,0))</f>
        <v>0.11906893464637421</v>
      </c>
      <c r="V299" s="16">
        <f>INDEX('Team forecast'!$B$2:$AO$26,MATCH('Master data'!$B299,'Team forecast'!$B$2:$B$26,0),MATCH('Master data'!V$1,'Team forecast'!$B$2:$AO$2,0))</f>
        <v>0.20053715308863029</v>
      </c>
      <c r="W299" s="16">
        <f>INDEX('Team forecast'!$B$2:$AO$26,MATCH('Master data'!$B299,'Team forecast'!$B$2:$B$26,0),MATCH('Master data'!W$1,'Team forecast'!$B$2:$AO$2,0))</f>
        <v>0.68039391226499568</v>
      </c>
      <c r="X299" s="5">
        <f t="shared" si="135"/>
        <v>7000</v>
      </c>
      <c r="Y299" s="5">
        <f t="shared" si="136"/>
        <v>2976.723366159355</v>
      </c>
      <c r="Z299" s="5">
        <f t="shared" si="137"/>
        <v>1002.6857654431515</v>
      </c>
      <c r="AA299" s="5">
        <f t="shared" si="138"/>
        <v>-10205.908683974934</v>
      </c>
      <c r="AB299" s="5">
        <f t="shared" si="139"/>
        <v>12806.057580784713</v>
      </c>
      <c r="AC299" s="5">
        <f t="shared" si="140"/>
        <v>4361.4033531719633</v>
      </c>
      <c r="AD299" s="5">
        <f t="shared" si="141"/>
        <v>4484.0789636581294</v>
      </c>
      <c r="AE299" s="5">
        <f t="shared" si="142"/>
        <v>0</v>
      </c>
      <c r="AF299" s="5">
        <f t="shared" si="143"/>
        <v>0</v>
      </c>
      <c r="AG299" s="5">
        <f t="shared" si="144"/>
        <v>-2231.6770186335407</v>
      </c>
      <c r="AH299" s="5">
        <f t="shared" si="145"/>
        <v>0</v>
      </c>
      <c r="AI299" s="5">
        <f t="shared" si="146"/>
        <v>6363.9779406972984</v>
      </c>
      <c r="AJ299" s="5">
        <f t="shared" si="147"/>
        <v>-14026.873771248291</v>
      </c>
      <c r="AK299" s="5">
        <f>IFERROR(SUM(X299:AJ299),-5000)*((Cockpit!$C$3)^0)</f>
        <v>12530.467496057841</v>
      </c>
      <c r="AL299" s="16">
        <f>INDEX('Team forecast'!$B$2:$AO$26,MATCH('Master data'!$B299,'Team forecast'!$B$2:$B$26,0),MATCH('Master data'!AL$1,'Team forecast'!$B$2:$AO$2,0))</f>
        <v>1.3852986184856255</v>
      </c>
      <c r="AM299" s="16">
        <f>INDEX('Team forecast'!$B$2:$AO$26,MATCH('Master data'!$B299,'Team forecast'!$B$2:$B$26,0),MATCH('Master data'!AM$1,'Team forecast'!$B$2:$AO$2,0))</f>
        <v>0.80548012323268336</v>
      </c>
      <c r="AN299" s="16">
        <f>INDEX('Team forecast'!$B$2:$AO$26,MATCH('Master data'!$B299,'Team forecast'!$B$2:$B$26,0),MATCH('Master data'!AN$1,'Team forecast'!$B$2:$AO$2,0))</f>
        <v>0.4468733207814955</v>
      </c>
      <c r="AO299" s="16">
        <f>INDEX('Team forecast'!$B$2:$AO$26,MATCH('Master data'!$B299,'Team forecast'!$B$2:$B$26,0),MATCH('Master data'!AO$1,'Team forecast'!$B$2:$AO$2,0))</f>
        <v>4.5022205100782831</v>
      </c>
      <c r="AP299" s="16">
        <f>INDEX('Team forecast'!$B$2:$AO$26,MATCH('Master data'!$B299,'Team forecast'!$B$2:$B$26,0),MATCH('Master data'!AP$1,'Team forecast'!$B$2:$AO$2,0))</f>
        <v>2.4164403696980501</v>
      </c>
      <c r="AQ299" s="5">
        <f t="shared" si="148"/>
        <v>7000</v>
      </c>
      <c r="AR299" s="5">
        <f>INDEX('Team forecast'!$B$2:$AO$26,MATCH('Master data'!$B299,'Team forecast'!$B$2:$B$26,0),MATCH('Master data'!AR$1,'Team forecast'!$B$2:$AO$2,0))*IF(X299&gt;0,25000,0)</f>
        <v>12681.540184339738</v>
      </c>
      <c r="AS299" s="16">
        <f>INDEX('Team forecast'!$B$2:$AO$26,MATCH('Master data'!$B299,'Team forecast'!$B$2:$B$26,0),MATCH('Master data'!AS$1,'Team forecast'!$B$2:$AO$2,0))*IF(X299&gt;0,5000,0)</f>
        <v>1380.0499612369715</v>
      </c>
      <c r="AT299" s="16">
        <f>INDEX('Team forecast'!$B$2:$AO$26,MATCH('Master data'!$B299,'Team forecast'!$B$2:$B$26,0),MATCH('Master data'!AT$1,'Team forecast'!$B$2:$AO$2,0))*IF(X299&gt;0,-15000,0)</f>
        <v>-3250.9260056852445</v>
      </c>
      <c r="AU299" s="5">
        <f t="shared" si="149"/>
        <v>27875.982664020117</v>
      </c>
      <c r="AV299" s="5">
        <f t="shared" si="150"/>
        <v>9493.8198970967733</v>
      </c>
      <c r="AW299" s="5">
        <f t="shared" si="151"/>
        <v>9760.8578336075097</v>
      </c>
      <c r="AX299" s="5">
        <f t="shared" si="152"/>
        <v>0</v>
      </c>
      <c r="AY299" s="5">
        <f t="shared" si="153"/>
        <v>0</v>
      </c>
      <c r="AZ299" s="5">
        <f t="shared" si="154"/>
        <v>-2231.6770186335407</v>
      </c>
      <c r="BA299" s="5">
        <f t="shared" si="155"/>
        <v>0</v>
      </c>
      <c r="BB299" s="5">
        <f t="shared" si="156"/>
        <v>13852.986184856256</v>
      </c>
      <c r="BC299" s="5">
        <f t="shared" si="157"/>
        <v>-6443.8409858614668</v>
      </c>
      <c r="BD299" s="5">
        <f t="shared" si="158"/>
        <v>70118.792714977113</v>
      </c>
      <c r="BE299" s="16">
        <f>INDEX('Team forecast'!$B$2:$AO$26,MATCH('Master data'!$B299,'Team forecast'!$B$2:$B$26,0),MATCH('Master data'!BE$1,'Team forecast'!$B$2:$AO$2,0))</f>
        <v>1.2688103238212438</v>
      </c>
      <c r="BF299" s="16">
        <f>INDEX('Team forecast'!$B$2:$AO$26,MATCH('Master data'!$B299,'Team forecast'!$B$2:$B$26,0),MATCH('Master data'!BF$1,'Team forecast'!$B$2:$AO$2,0))</f>
        <v>1.2236898885407743</v>
      </c>
      <c r="BG299" s="16">
        <f>INDEX('Team forecast'!$B$2:$AO$26,MATCH('Master data'!$B299,'Team forecast'!$B$2:$B$26,0),MATCH('Master data'!BG$1,'Team forecast'!$B$2:$AO$2,0))</f>
        <v>0.29414280786478092</v>
      </c>
      <c r="BH299" s="16">
        <f>INDEX('Team forecast'!$B$2:$AO$26,MATCH('Master data'!$B299,'Team forecast'!$B$2:$B$26,0),MATCH('Master data'!BH$1,'Team forecast'!$B$2:$AO$2,0))</f>
        <v>4.1236335524190419</v>
      </c>
      <c r="BI299" s="16">
        <f>INDEX('Team forecast'!$B$2:$AO$26,MATCH('Master data'!$B299,'Team forecast'!$B$2:$B$26,0),MATCH('Master data'!BI$1,'Team forecast'!$B$2:$AO$2,0))</f>
        <v>3.6710696656223227</v>
      </c>
      <c r="BJ299" s="5">
        <f t="shared" si="159"/>
        <v>7000</v>
      </c>
      <c r="BK299" s="5">
        <f>INDEX('Team forecast'!$R$3:$BH$26,MATCH($B299,'Team forecast'!$B$3:$B$26,0),MATCH(BK$1,'Team forecast'!$R$2:$BH$2,0))*IF($X299&gt;0,25000,0)</f>
        <v>9372.1973094170389</v>
      </c>
      <c r="BL299" s="5">
        <f>INDEX('Team forecast'!$R$3:$BH$26,MATCH($B299,'Team forecast'!$B$3:$B$26,0),MATCH(BL$1,'Team forecast'!$R$2:$BH$2,0))*IF($X299&gt;0,5000,0)</f>
        <v>1448.4304932735427</v>
      </c>
      <c r="BM299" s="5">
        <f>INDEX('Team forecast'!$R$3:$BH$26,MATCH($B299,'Team forecast'!$B$3:$B$26,0),MATCH(BM$1,'Team forecast'!$R$2:$BH$2,0))*IF($X299&gt;0,-15000,0)</f>
        <v>-5031.390134529147</v>
      </c>
      <c r="BN299" s="5">
        <f t="shared" si="160"/>
        <v>25531.920785018636</v>
      </c>
      <c r="BO299" s="5">
        <f t="shared" si="161"/>
        <v>8695.4946299622807</v>
      </c>
      <c r="BP299" s="5">
        <f t="shared" si="162"/>
        <v>8940.0776290178455</v>
      </c>
      <c r="BQ299" s="5">
        <f t="shared" si="163"/>
        <v>0</v>
      </c>
      <c r="BR299" s="5">
        <f t="shared" si="164"/>
        <v>0</v>
      </c>
      <c r="BS299" s="5">
        <f t="shared" si="165"/>
        <v>-2231.6770186335407</v>
      </c>
      <c r="BT299" s="5">
        <f t="shared" si="166"/>
        <v>0</v>
      </c>
      <c r="BU299" s="5">
        <f t="shared" si="167"/>
        <v>12688.103238212438</v>
      </c>
      <c r="BV299" s="5">
        <f t="shared" si="168"/>
        <v>-9789.5191083261943</v>
      </c>
      <c r="BW299" s="5">
        <f t="shared" si="169"/>
        <v>56623.637823412901</v>
      </c>
      <c r="BX299" s="5">
        <f t="shared" si="170"/>
        <v>46424.299344815954</v>
      </c>
      <c r="BY299" s="5">
        <f t="shared" si="171"/>
        <v>139272.89803444786</v>
      </c>
      <c r="BZ299" s="5">
        <f>INDEX('Team forecast'!$R$3:$BH$26,MATCH($B299,'Team forecast'!$B$3:$B$26,0),MATCH(BZ$1,'Team forecast'!$R$2:$BH$2,0))*($BX299-(BY299+CH299)*0.01)</f>
        <v>6569.8273291955029</v>
      </c>
      <c r="CA299" s="5">
        <f>INDEX('Team forecast'!$R$3:$BH$26,MATCH($B299,'Team forecast'!$B$3:$B$26,0),MATCH(CA$1,'Team forecast'!$R$2:$BH$2,0))*($BX299-(BY299+BX299+CH299)*0.01)</f>
        <v>3082.0216796590303</v>
      </c>
      <c r="CB299" s="5">
        <f>INDEX('Team forecast'!$R$3:$BH$26,MATCH($B299,'Team forecast'!$B$3:$B$26,0),MATCH(CB$1,'Team forecast'!$R$2:$BH$2,0))*($BX299-(BY299+BX299*2+CH299)*0.01)</f>
        <v>1420.6788275188856</v>
      </c>
      <c r="CC299" s="5">
        <f>INDEX('Team forecast'!$R$3:$BH$26,MATCH($B299,'Team forecast'!$B$3:$B$26,0),MATCH(CC$1,'Team forecast'!$R$2:$BH$2,0))*($BX299-(BY299+BX299*3+CH299)*0.01)</f>
        <v>618.3653741872497</v>
      </c>
      <c r="CD299" s="5">
        <f>+AK299+BD299*Cockpit!$C$3+BW299*Cockpit!$C$3^2+BZ299*Cockpit!$C$3^3+CA299*Cockpit!$C$3^4+CB299*Cockpit!$C$3^5+CC299*Cockpit!$C$3^6</f>
        <v>87239.172970175234</v>
      </c>
      <c r="CE299" s="5"/>
      <c r="CF299" s="5"/>
      <c r="CG299" s="5">
        <v>0</v>
      </c>
      <c r="CH299" s="5">
        <f t="shared" si="172"/>
        <v>3500000</v>
      </c>
      <c r="CI299" s="5">
        <f t="shared" si="173"/>
        <v>3500000</v>
      </c>
      <c r="CJ299" s="1">
        <f t="shared" si="174"/>
        <v>3.9792256581270821E-2</v>
      </c>
      <c r="CK299" s="5">
        <f>RANK(BY299,$BY$2:$BY$623)+COUNTIF($BY$2:$BY299,$BY299)-1</f>
        <v>106</v>
      </c>
      <c r="CL299" s="5">
        <f>RANK(CJ299,$CJ$2:$CJ$623)+COUNTIF($CJ$2:$CJ299,$CJ299)-1</f>
        <v>75</v>
      </c>
    </row>
    <row r="300" spans="1:90">
      <c r="A300" t="str">
        <f>Players!P301</f>
        <v>Wojciech Szczesny</v>
      </c>
      <c r="B300" t="str">
        <f>Players!G301</f>
        <v>Poland</v>
      </c>
      <c r="C300" t="str">
        <f>Players!AB301</f>
        <v>Goalkeeper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1.5369105908463034</v>
      </c>
      <c r="I300" s="16">
        <f>INDEX('Team forecast'!$B$2:$AO$26,MATCH('Master data'!$B300,'Team forecast'!$B$2:$B$26,0),MATCH('Master data'!I$1,'Team forecast'!$B$2:$AO$2,0))</f>
        <v>0.81328039356128246</v>
      </c>
      <c r="J300" s="16">
        <f>INDEX('Team forecast'!$B$2:$AO$26,MATCH('Master data'!$B300,'Team forecast'!$B$2:$B$26,0),MATCH('Master data'!J$1,'Team forecast'!$B$2:$AO$2,0))</f>
        <v>0.44340114762649968</v>
      </c>
      <c r="K300" s="16">
        <f>INDEX('Team forecast'!$B$2:$AO$26,MATCH('Master data'!$B300,'Team forecast'!$B$2:$B$26,0),MATCH('Master data'!K$1,'Team forecast'!$B$2:$AO$2,0))</f>
        <v>4.6107317725389105</v>
      </c>
      <c r="L300" s="16">
        <f>INDEX('Team forecast'!$B$2:$AO$26,MATCH('Master data'!$B300,'Team forecast'!$B$2:$B$26,0),MATCH('Master data'!L$1,'Team forecast'!$B$2:$AO$2,0))</f>
        <v>2.0723952197374849</v>
      </c>
      <c r="M300">
        <f>IF(Players!BC301=1,95,0)</f>
        <v>95</v>
      </c>
      <c r="N300" s="2">
        <f>Players!BN301</f>
        <v>0</v>
      </c>
      <c r="O300" s="2">
        <f>Players!BO301</f>
        <v>1.4164914925524E-2</v>
      </c>
      <c r="P300" s="2">
        <f>Players!BP301</f>
        <v>0</v>
      </c>
      <c r="Q300" s="2">
        <f>Players!BQ301</f>
        <v>0</v>
      </c>
      <c r="R300" s="2">
        <f>Players!BR301</f>
        <v>0</v>
      </c>
      <c r="S300" s="2">
        <f t="shared" si="133"/>
        <v>1.5369105908463034</v>
      </c>
      <c r="T300" s="2">
        <f t="shared" si="134"/>
        <v>0.81328039356128246</v>
      </c>
      <c r="U300" s="16">
        <f>INDEX('Team forecast'!$B$2:$AO$26,MATCH('Master data'!$B300,'Team forecast'!$B$2:$B$26,0),MATCH('Master data'!U$1,'Team forecast'!$B$2:$AO$2,0))</f>
        <v>0.54773082942097018</v>
      </c>
      <c r="V300" s="16">
        <f>INDEX('Team forecast'!$B$2:$AO$26,MATCH('Master data'!$B300,'Team forecast'!$B$2:$B$26,0),MATCH('Master data'!V$1,'Team forecast'!$B$2:$AO$2,0))</f>
        <v>0.2660406885758998</v>
      </c>
      <c r="W300" s="16">
        <f>INDEX('Team forecast'!$B$2:$AO$26,MATCH('Master data'!$B300,'Team forecast'!$B$2:$B$26,0),MATCH('Master data'!W$1,'Team forecast'!$B$2:$AO$2,0))</f>
        <v>0.18622848200312991</v>
      </c>
      <c r="X300" s="5">
        <f t="shared" si="135"/>
        <v>7000</v>
      </c>
      <c r="Y300" s="5">
        <f t="shared" si="136"/>
        <v>13693.270735524255</v>
      </c>
      <c r="Z300" s="5">
        <f t="shared" si="137"/>
        <v>1330.2034428794989</v>
      </c>
      <c r="AA300" s="5">
        <f t="shared" si="138"/>
        <v>-2793.4272300469488</v>
      </c>
      <c r="AB300" s="5">
        <f t="shared" si="139"/>
        <v>0</v>
      </c>
      <c r="AC300" s="5">
        <f t="shared" si="140"/>
        <v>1088.5103883737356</v>
      </c>
      <c r="AD300" s="5">
        <f t="shared" si="141"/>
        <v>0</v>
      </c>
      <c r="AE300" s="5">
        <f t="shared" si="142"/>
        <v>33255.086071987476</v>
      </c>
      <c r="AF300" s="5">
        <f t="shared" si="143"/>
        <v>6295.574130881012</v>
      </c>
      <c r="AG300" s="5">
        <f t="shared" si="144"/>
        <v>0</v>
      </c>
      <c r="AH300" s="5">
        <f t="shared" si="145"/>
        <v>0</v>
      </c>
      <c r="AI300" s="5">
        <f t="shared" si="146"/>
        <v>15369.105908463034</v>
      </c>
      <c r="AJ300" s="5">
        <f t="shared" si="147"/>
        <v>-6506.24314849026</v>
      </c>
      <c r="AK300" s="5">
        <f>IFERROR(SUM(X300:AJ300),-5000)*((Cockpit!$C$3)^0)</f>
        <v>68732.080299571797</v>
      </c>
      <c r="AL300" s="16">
        <f>INDEX('Team forecast'!$B$2:$AO$26,MATCH('Master data'!$B300,'Team forecast'!$B$2:$B$26,0),MATCH('Master data'!AL$1,'Team forecast'!$B$2:$AO$2,0))</f>
        <v>0.77817916464933856</v>
      </c>
      <c r="AM300" s="16">
        <f>INDEX('Team forecast'!$B$2:$AO$26,MATCH('Master data'!$B300,'Team forecast'!$B$2:$B$26,0),MATCH('Master data'!AM$1,'Team forecast'!$B$2:$AO$2,0))</f>
        <v>1.9080439968215523</v>
      </c>
      <c r="AN300" s="16">
        <f>INDEX('Team forecast'!$B$2:$AO$26,MATCH('Master data'!$B300,'Team forecast'!$B$2:$B$26,0),MATCH('Master data'!AN$1,'Team forecast'!$B$2:$AO$2,0))</f>
        <v>0.1483703157610558</v>
      </c>
      <c r="AO300" s="16">
        <f>INDEX('Team forecast'!$B$2:$AO$26,MATCH('Master data'!$B300,'Team forecast'!$B$2:$B$26,0),MATCH('Master data'!AO$1,'Team forecast'!$B$2:$AO$2,0))</f>
        <v>2.3345374939480159</v>
      </c>
      <c r="AP300" s="16">
        <f>INDEX('Team forecast'!$B$2:$AO$26,MATCH('Master data'!$B300,'Team forecast'!$B$2:$B$26,0),MATCH('Master data'!AP$1,'Team forecast'!$B$2:$AO$2,0))</f>
        <v>4.862063919611546</v>
      </c>
      <c r="AQ300" s="5">
        <f t="shared" si="148"/>
        <v>7000</v>
      </c>
      <c r="AR300" s="5">
        <f>INDEX('Team forecast'!$B$2:$AO$26,MATCH('Master data'!$B300,'Team forecast'!$B$2:$B$26,0),MATCH('Master data'!AR$1,'Team forecast'!$B$2:$AO$2,0))*IF(X300&gt;0,25000,0)</f>
        <v>3519.7337680542423</v>
      </c>
      <c r="AS300" s="16">
        <f>INDEX('Team forecast'!$B$2:$AO$26,MATCH('Master data'!$B300,'Team forecast'!$B$2:$B$26,0),MATCH('Master data'!AS$1,'Team forecast'!$B$2:$AO$2,0))*IF(X300&gt;0,5000,0)</f>
        <v>1059.787969721827</v>
      </c>
      <c r="AT300" s="16">
        <f>INDEX('Team forecast'!$B$2:$AO$26,MATCH('Master data'!$B300,'Team forecast'!$B$2:$B$26,0),MATCH('Master data'!AT$1,'Team forecast'!$B$2:$AO$2,0))*IF(X300&gt;0,-15000,0)</f>
        <v>-9708.7958300019709</v>
      </c>
      <c r="AU300" s="5">
        <f t="shared" si="149"/>
        <v>0</v>
      </c>
      <c r="AV300" s="5">
        <f t="shared" si="150"/>
        <v>551.14208320366072</v>
      </c>
      <c r="AW300" s="5">
        <f t="shared" si="151"/>
        <v>0</v>
      </c>
      <c r="AX300" s="5">
        <f t="shared" si="152"/>
        <v>11127.773682079185</v>
      </c>
      <c r="AY300" s="5">
        <f t="shared" si="153"/>
        <v>14770.099613949968</v>
      </c>
      <c r="AZ300" s="5">
        <f t="shared" si="154"/>
        <v>0</v>
      </c>
      <c r="BA300" s="5">
        <f t="shared" si="155"/>
        <v>0</v>
      </c>
      <c r="BB300" s="5">
        <f t="shared" si="156"/>
        <v>7781.791646493386</v>
      </c>
      <c r="BC300" s="5">
        <f t="shared" si="157"/>
        <v>-15264.351974572419</v>
      </c>
      <c r="BD300" s="5">
        <f t="shared" si="158"/>
        <v>20837.180958927878</v>
      </c>
      <c r="BE300" s="16">
        <f>INDEX('Team forecast'!$B$2:$AO$26,MATCH('Master data'!$B300,'Team forecast'!$B$2:$B$26,0),MATCH('Master data'!BE$1,'Team forecast'!$B$2:$AO$2,0))</f>
        <v>1.2236898885407743</v>
      </c>
      <c r="BF300" s="16">
        <f>INDEX('Team forecast'!$B$2:$AO$26,MATCH('Master data'!$B300,'Team forecast'!$B$2:$B$26,0),MATCH('Master data'!BF$1,'Team forecast'!$B$2:$AO$2,0))</f>
        <v>1.2688103238212438</v>
      </c>
      <c r="BG300" s="16">
        <f>INDEX('Team forecast'!$B$2:$AO$26,MATCH('Master data'!$B300,'Team forecast'!$B$2:$B$26,0),MATCH('Master data'!BG$1,'Team forecast'!$B$2:$AO$2,0))</f>
        <v>0.28116591928251122</v>
      </c>
      <c r="BH300" s="16">
        <f>INDEX('Team forecast'!$B$2:$AO$26,MATCH('Master data'!$B300,'Team forecast'!$B$2:$B$26,0),MATCH('Master data'!BH$1,'Team forecast'!$B$2:$AO$2,0))</f>
        <v>3.6710696656223227</v>
      </c>
      <c r="BI300" s="16">
        <f>INDEX('Team forecast'!$B$2:$AO$26,MATCH('Master data'!$B300,'Team forecast'!$B$2:$B$26,0),MATCH('Master data'!BI$1,'Team forecast'!$B$2:$AO$2,0))</f>
        <v>3.2331732950384708</v>
      </c>
      <c r="BJ300" s="5">
        <f t="shared" si="159"/>
        <v>7000</v>
      </c>
      <c r="BK300" s="5">
        <f>INDEX('Team forecast'!$R$3:$BH$26,MATCH($B300,'Team forecast'!$B$3:$B$26,0),MATCH(BK$1,'Team forecast'!$R$2:$BH$2,0))*IF($X300&gt;0,25000,0)</f>
        <v>8385.6502242152455</v>
      </c>
      <c r="BL300" s="5">
        <f>INDEX('Team forecast'!$R$3:$BH$26,MATCH($B300,'Team forecast'!$B$3:$B$26,0),MATCH(BL$1,'Team forecast'!$R$2:$BH$2,0))*IF($X300&gt;0,5000,0)</f>
        <v>1448.4304932735427</v>
      </c>
      <c r="BM300" s="5">
        <f>INDEX('Team forecast'!$R$3:$BH$26,MATCH($B300,'Team forecast'!$B$3:$B$26,0),MATCH(BM$1,'Team forecast'!$R$2:$BH$2,0))*IF($X300&gt;0,-15000,0)</f>
        <v>-5623.3183856502237</v>
      </c>
      <c r="BN300" s="5">
        <f t="shared" si="160"/>
        <v>0</v>
      </c>
      <c r="BO300" s="5">
        <f t="shared" si="161"/>
        <v>866.67315832020063</v>
      </c>
      <c r="BP300" s="5">
        <f t="shared" si="162"/>
        <v>0</v>
      </c>
      <c r="BQ300" s="5">
        <f t="shared" si="163"/>
        <v>21087.443946188341</v>
      </c>
      <c r="BR300" s="5">
        <f t="shared" si="164"/>
        <v>9821.8148560861355</v>
      </c>
      <c r="BS300" s="5">
        <f t="shared" si="165"/>
        <v>0</v>
      </c>
      <c r="BT300" s="5">
        <f t="shared" si="166"/>
        <v>0</v>
      </c>
      <c r="BU300" s="5">
        <f t="shared" si="167"/>
        <v>12236.898885407743</v>
      </c>
      <c r="BV300" s="5">
        <f t="shared" si="168"/>
        <v>-10150.482590569951</v>
      </c>
      <c r="BW300" s="5">
        <f t="shared" si="169"/>
        <v>45073.110587271032</v>
      </c>
      <c r="BX300" s="5">
        <f t="shared" si="170"/>
        <v>44880.790615256898</v>
      </c>
      <c r="BY300" s="5">
        <f t="shared" si="171"/>
        <v>134642.37184577069</v>
      </c>
      <c r="BZ300" s="5">
        <f>INDEX('Team forecast'!$R$3:$BH$26,MATCH($B300,'Team forecast'!$B$3:$B$26,0),MATCH(BZ$1,'Team forecast'!$R$2:$BH$2,0))*($BX300-(BY300+CH300)*0.01)</f>
        <v>2344.9680501689786</v>
      </c>
      <c r="CA300" s="5">
        <f>INDEX('Team forecast'!$R$3:$BH$26,MATCH($B300,'Team forecast'!$B$3:$B$26,0),MATCH(CA$1,'Team forecast'!$R$2:$BH$2,0))*($BX300-(BY300+BX300+CH300)*0.01)</f>
        <v>1007.763738923979</v>
      </c>
      <c r="CB300" s="5">
        <f>INDEX('Team forecast'!$R$3:$BH$26,MATCH($B300,'Team forecast'!$B$3:$B$26,0),MATCH(CB$1,'Team forecast'!$R$2:$BH$2,0))*($BX300-(BY300+BX300*2+CH300)*0.01)</f>
        <v>417.8554337239546</v>
      </c>
      <c r="CC300" s="5">
        <f>INDEX('Team forecast'!$R$3:$BH$26,MATCH($B300,'Team forecast'!$B$3:$B$26,0),MATCH(CC$1,'Team forecast'!$R$2:$BH$2,0))*($BX300-(BY300+BX300*3+CH300)*0.01)</f>
        <v>159.73969030616988</v>
      </c>
      <c r="CD300" s="5">
        <f>+AK300+BD300*Cockpit!$C$3+BW300*Cockpit!$C$3^2+BZ300*Cockpit!$C$3^3+CA300*Cockpit!$C$3^4+CB300*Cockpit!$C$3^5+CC300*Cockpit!$C$3^6</f>
        <v>103618.94767319788</v>
      </c>
      <c r="CE300" s="5"/>
      <c r="CF300" s="5"/>
      <c r="CG300" s="5">
        <v>0</v>
      </c>
      <c r="CH300" s="5">
        <f t="shared" si="172"/>
        <v>4000000</v>
      </c>
      <c r="CI300" s="5">
        <f t="shared" si="173"/>
        <v>4000000</v>
      </c>
      <c r="CJ300" s="1">
        <f t="shared" si="174"/>
        <v>3.3660592961442672E-2</v>
      </c>
      <c r="CK300" s="5">
        <f>RANK(BY300,$BY$2:$BY$623)+COUNTIF($BY$2:$BY300,$BY300)-1</f>
        <v>111</v>
      </c>
      <c r="CL300" s="5">
        <f>RANK(CJ300,$CJ$2:$CJ$623)+COUNTIF($CJ$2:$CJ300,$CJ300)-1</f>
        <v>116</v>
      </c>
    </row>
    <row r="301" spans="1:90">
      <c r="A301" t="str">
        <f>Players!P302</f>
        <v>Piotr Zielinski</v>
      </c>
      <c r="B301" t="str">
        <f>Players!G302</f>
        <v>Poland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4000000</v>
      </c>
      <c r="H301" s="16">
        <f>INDEX('Team forecast'!$B$2:$AO$26,MATCH('Master data'!$B301,'Team forecast'!$B$2:$B$26,0),MATCH('Master data'!H$1,'Team forecast'!$B$2:$AO$2,0))</f>
        <v>1.5369105908463034</v>
      </c>
      <c r="I301" s="16">
        <f>INDEX('Team forecast'!$B$2:$AO$26,MATCH('Master data'!$B301,'Team forecast'!$B$2:$B$26,0),MATCH('Master data'!I$1,'Team forecast'!$B$2:$AO$2,0))</f>
        <v>0.81328039356128246</v>
      </c>
      <c r="J301" s="16">
        <f>INDEX('Team forecast'!$B$2:$AO$26,MATCH('Master data'!$B301,'Team forecast'!$B$2:$B$26,0),MATCH('Master data'!J$1,'Team forecast'!$B$2:$AO$2,0))</f>
        <v>0.44340114762649968</v>
      </c>
      <c r="K301" s="16">
        <f>INDEX('Team forecast'!$B$2:$AO$26,MATCH('Master data'!$B301,'Team forecast'!$B$2:$B$26,0),MATCH('Master data'!K$1,'Team forecast'!$B$2:$AO$2,0))</f>
        <v>4.6107317725389105</v>
      </c>
      <c r="L301" s="16">
        <f>INDEX('Team forecast'!$B$2:$AO$26,MATCH('Master data'!$B301,'Team forecast'!$B$2:$B$26,0),MATCH('Master data'!L$1,'Team forecast'!$B$2:$AO$2,0))</f>
        <v>2.0723952197374849</v>
      </c>
      <c r="M301">
        <f>IF(Players!BC302=1,95,0)</f>
        <v>95</v>
      </c>
      <c r="N301" s="2">
        <f>Players!BN302</f>
        <v>9.3219918091984641E-2</v>
      </c>
      <c r="O301" s="2">
        <f>Players!BO302</f>
        <v>0.19596696403608302</v>
      </c>
      <c r="P301" s="2">
        <f>Players!BP302</f>
        <v>0.12512256807190014</v>
      </c>
      <c r="Q301" s="2">
        <f>Players!BQ302</f>
        <v>3.5349567949725061E-2</v>
      </c>
      <c r="R301" s="2">
        <f>Players!BR302</f>
        <v>0</v>
      </c>
      <c r="S301" s="2">
        <f t="shared" si="133"/>
        <v>1.5369105908463034</v>
      </c>
      <c r="T301" s="2">
        <f t="shared" si="134"/>
        <v>0.81328039356128246</v>
      </c>
      <c r="U301" s="16">
        <f>INDEX('Team forecast'!$B$2:$AO$26,MATCH('Master data'!$B301,'Team forecast'!$B$2:$B$26,0),MATCH('Master data'!U$1,'Team forecast'!$B$2:$AO$2,0))</f>
        <v>0.54773082942097018</v>
      </c>
      <c r="V301" s="16">
        <f>INDEX('Team forecast'!$B$2:$AO$26,MATCH('Master data'!$B301,'Team forecast'!$B$2:$B$26,0),MATCH('Master data'!V$1,'Team forecast'!$B$2:$AO$2,0))</f>
        <v>0.2660406885758998</v>
      </c>
      <c r="W301" s="16">
        <f>INDEX('Team forecast'!$B$2:$AO$26,MATCH('Master data'!$B301,'Team forecast'!$B$2:$B$26,0),MATCH('Master data'!W$1,'Team forecast'!$B$2:$AO$2,0))</f>
        <v>0.18622848200312991</v>
      </c>
      <c r="X301" s="5">
        <f t="shared" si="135"/>
        <v>7000</v>
      </c>
      <c r="Y301" s="5">
        <f t="shared" si="136"/>
        <v>13693.270735524255</v>
      </c>
      <c r="Z301" s="5">
        <f t="shared" si="137"/>
        <v>1330.2034428794989</v>
      </c>
      <c r="AA301" s="5">
        <f t="shared" si="138"/>
        <v>-2793.4272300469488</v>
      </c>
      <c r="AB301" s="5">
        <f t="shared" si="139"/>
        <v>17908.834924174516</v>
      </c>
      <c r="AC301" s="5">
        <f t="shared" si="140"/>
        <v>15059.185124152631</v>
      </c>
      <c r="AD301" s="5">
        <f t="shared" si="141"/>
        <v>5769.0660007077267</v>
      </c>
      <c r="AE301" s="5">
        <f t="shared" si="142"/>
        <v>0</v>
      </c>
      <c r="AF301" s="5">
        <f t="shared" si="143"/>
        <v>0</v>
      </c>
      <c r="AG301" s="5">
        <f t="shared" si="144"/>
        <v>-706.99135899450118</v>
      </c>
      <c r="AH301" s="5">
        <f t="shared" si="145"/>
        <v>0</v>
      </c>
      <c r="AI301" s="5">
        <f t="shared" si="146"/>
        <v>15369.105908463034</v>
      </c>
      <c r="AJ301" s="5">
        <f t="shared" si="147"/>
        <v>-6506.24314849026</v>
      </c>
      <c r="AK301" s="5">
        <f>IFERROR(SUM(X301:AJ301),-5000)*((Cockpit!$C$3)^0)</f>
        <v>66123.004398369943</v>
      </c>
      <c r="AL301" s="16">
        <f>INDEX('Team forecast'!$B$2:$AO$26,MATCH('Master data'!$B301,'Team forecast'!$B$2:$B$26,0),MATCH('Master data'!AL$1,'Team forecast'!$B$2:$AO$2,0))</f>
        <v>0.77817916464933856</v>
      </c>
      <c r="AM301" s="16">
        <f>INDEX('Team forecast'!$B$2:$AO$26,MATCH('Master data'!$B301,'Team forecast'!$B$2:$B$26,0),MATCH('Master data'!AM$1,'Team forecast'!$B$2:$AO$2,0))</f>
        <v>1.9080439968215523</v>
      </c>
      <c r="AN301" s="16">
        <f>INDEX('Team forecast'!$B$2:$AO$26,MATCH('Master data'!$B301,'Team forecast'!$B$2:$B$26,0),MATCH('Master data'!AN$1,'Team forecast'!$B$2:$AO$2,0))</f>
        <v>0.1483703157610558</v>
      </c>
      <c r="AO301" s="16">
        <f>INDEX('Team forecast'!$B$2:$AO$26,MATCH('Master data'!$B301,'Team forecast'!$B$2:$B$26,0),MATCH('Master data'!AO$1,'Team forecast'!$B$2:$AO$2,0))</f>
        <v>2.3345374939480159</v>
      </c>
      <c r="AP301" s="16">
        <f>INDEX('Team forecast'!$B$2:$AO$26,MATCH('Master data'!$B301,'Team forecast'!$B$2:$B$26,0),MATCH('Master data'!AP$1,'Team forecast'!$B$2:$AO$2,0))</f>
        <v>4.862063919611546</v>
      </c>
      <c r="AQ301" s="5">
        <f t="shared" si="148"/>
        <v>7000</v>
      </c>
      <c r="AR301" s="5">
        <f>INDEX('Team forecast'!$B$2:$AO$26,MATCH('Master data'!$B301,'Team forecast'!$B$2:$B$26,0),MATCH('Master data'!AR$1,'Team forecast'!$B$2:$AO$2,0))*IF(X301&gt;0,25000,0)</f>
        <v>3519.7337680542423</v>
      </c>
      <c r="AS301" s="16">
        <f>INDEX('Team forecast'!$B$2:$AO$26,MATCH('Master data'!$B301,'Team forecast'!$B$2:$B$26,0),MATCH('Master data'!AS$1,'Team forecast'!$B$2:$AO$2,0))*IF(X301&gt;0,5000,0)</f>
        <v>1059.787969721827</v>
      </c>
      <c r="AT301" s="16">
        <f>INDEX('Team forecast'!$B$2:$AO$26,MATCH('Master data'!$B301,'Team forecast'!$B$2:$B$26,0),MATCH('Master data'!AT$1,'Team forecast'!$B$2:$AO$2,0))*IF(X301&gt;0,-15000,0)</f>
        <v>-9708.7958300019709</v>
      </c>
      <c r="AU301" s="5">
        <f t="shared" si="149"/>
        <v>9067.7247486875458</v>
      </c>
      <c r="AV301" s="5">
        <f t="shared" si="150"/>
        <v>7624.8704186233026</v>
      </c>
      <c r="AW301" s="5">
        <f t="shared" si="151"/>
        <v>2921.0332650291375</v>
      </c>
      <c r="AX301" s="5">
        <f t="shared" si="152"/>
        <v>0</v>
      </c>
      <c r="AY301" s="5">
        <f t="shared" si="153"/>
        <v>0</v>
      </c>
      <c r="AZ301" s="5">
        <f t="shared" si="154"/>
        <v>-706.99135899450118</v>
      </c>
      <c r="BA301" s="5">
        <f t="shared" si="155"/>
        <v>0</v>
      </c>
      <c r="BB301" s="5">
        <f t="shared" si="156"/>
        <v>7781.791646493386</v>
      </c>
      <c r="BC301" s="5">
        <f t="shared" si="157"/>
        <v>-15264.351974572419</v>
      </c>
      <c r="BD301" s="5">
        <f t="shared" si="158"/>
        <v>13294.802653040548</v>
      </c>
      <c r="BE301" s="16">
        <f>INDEX('Team forecast'!$B$2:$AO$26,MATCH('Master data'!$B301,'Team forecast'!$B$2:$B$26,0),MATCH('Master data'!BE$1,'Team forecast'!$B$2:$AO$2,0))</f>
        <v>1.2236898885407743</v>
      </c>
      <c r="BF301" s="16">
        <f>INDEX('Team forecast'!$B$2:$AO$26,MATCH('Master data'!$B301,'Team forecast'!$B$2:$B$26,0),MATCH('Master data'!BF$1,'Team forecast'!$B$2:$AO$2,0))</f>
        <v>1.2688103238212438</v>
      </c>
      <c r="BG301" s="16">
        <f>INDEX('Team forecast'!$B$2:$AO$26,MATCH('Master data'!$B301,'Team forecast'!$B$2:$B$26,0),MATCH('Master data'!BG$1,'Team forecast'!$B$2:$AO$2,0))</f>
        <v>0.28116591928251122</v>
      </c>
      <c r="BH301" s="16">
        <f>INDEX('Team forecast'!$B$2:$AO$26,MATCH('Master data'!$B301,'Team forecast'!$B$2:$B$26,0),MATCH('Master data'!BH$1,'Team forecast'!$B$2:$AO$2,0))</f>
        <v>3.6710696656223227</v>
      </c>
      <c r="BI301" s="16">
        <f>INDEX('Team forecast'!$B$2:$AO$26,MATCH('Master data'!$B301,'Team forecast'!$B$2:$B$26,0),MATCH('Master data'!BI$1,'Team forecast'!$B$2:$AO$2,0))</f>
        <v>3.2331732950384708</v>
      </c>
      <c r="BJ301" s="5">
        <f t="shared" si="159"/>
        <v>7000</v>
      </c>
      <c r="BK301" s="5">
        <f>INDEX('Team forecast'!$R$3:$BH$26,MATCH($B301,'Team forecast'!$B$3:$B$26,0),MATCH(BK$1,'Team forecast'!$R$2:$BH$2,0))*IF($X301&gt;0,25000,0)</f>
        <v>8385.6502242152455</v>
      </c>
      <c r="BL301" s="5">
        <f>INDEX('Team forecast'!$R$3:$BH$26,MATCH($B301,'Team forecast'!$B$3:$B$26,0),MATCH(BL$1,'Team forecast'!$R$2:$BH$2,0))*IF($X301&gt;0,5000,0)</f>
        <v>1448.4304932735427</v>
      </c>
      <c r="BM301" s="5">
        <f>INDEX('Team forecast'!$R$3:$BH$26,MATCH($B301,'Team forecast'!$B$3:$B$26,0),MATCH(BM$1,'Team forecast'!$R$2:$BH$2,0))*IF($X301&gt;0,-15000,0)</f>
        <v>-5623.3183856502237</v>
      </c>
      <c r="BN301" s="5">
        <f t="shared" si="160"/>
        <v>14259.033897470099</v>
      </c>
      <c r="BO301" s="5">
        <f t="shared" si="161"/>
        <v>11990.139618949417</v>
      </c>
      <c r="BP301" s="5">
        <f t="shared" si="162"/>
        <v>4593.3366413351678</v>
      </c>
      <c r="BQ301" s="5">
        <f t="shared" si="163"/>
        <v>0</v>
      </c>
      <c r="BR301" s="5">
        <f t="shared" si="164"/>
        <v>0</v>
      </c>
      <c r="BS301" s="5">
        <f t="shared" si="165"/>
        <v>-706.99135899450118</v>
      </c>
      <c r="BT301" s="5">
        <f t="shared" si="166"/>
        <v>0</v>
      </c>
      <c r="BU301" s="5">
        <f t="shared" si="167"/>
        <v>12236.898885407743</v>
      </c>
      <c r="BV301" s="5">
        <f t="shared" si="168"/>
        <v>-10150.482590569951</v>
      </c>
      <c r="BW301" s="5">
        <f t="shared" si="169"/>
        <v>43432.697425436534</v>
      </c>
      <c r="BX301" s="5">
        <f t="shared" si="170"/>
        <v>40950.168158949011</v>
      </c>
      <c r="BY301" s="5">
        <f t="shared" si="171"/>
        <v>122850.50447684704</v>
      </c>
      <c r="BZ301" s="5">
        <f>INDEX('Team forecast'!$R$3:$BH$26,MATCH($B301,'Team forecast'!$B$3:$B$26,0),MATCH(BZ$1,'Team forecast'!$R$2:$BH$2,0))*($BX301-(BY301+CH301)*0.01)</f>
        <v>-184.66987822380733</v>
      </c>
      <c r="CA301" s="5">
        <f>INDEX('Team forecast'!$R$3:$BH$26,MATCH($B301,'Team forecast'!$B$3:$B$26,0),MATCH(CA$1,'Team forecast'!$R$2:$BH$2,0))*($BX301-(BY301+BX301+CH301)*0.01)</f>
        <v>-224.65257302466722</v>
      </c>
      <c r="CB301" s="5">
        <f>INDEX('Team forecast'!$R$3:$BH$26,MATCH($B301,'Team forecast'!$B$3:$B$26,0),MATCH(CB$1,'Team forecast'!$R$2:$BH$2,0))*($BX301-(BY301+BX301*2+CH301)*0.01)</f>
        <v>-173.89945846025034</v>
      </c>
      <c r="CC301" s="5">
        <f>INDEX('Team forecast'!$R$3:$BH$26,MATCH($B301,'Team forecast'!$B$3:$B$26,0),MATCH(CC$1,'Team forecast'!$R$2:$BH$2,0))*($BX301-(BY301+BX301*3+CH301)*0.01)</f>
        <v>-110.01312361088216</v>
      </c>
      <c r="CD301" s="5">
        <f>+AK301+BD301*Cockpit!$C$3+BW301*Cockpit!$C$3^2+BZ301*Cockpit!$C$3^3+CA301*Cockpit!$C$3^4+CB301*Cockpit!$C$3^5+CC301*Cockpit!$C$3^6</f>
        <v>94157.975870364404</v>
      </c>
      <c r="CE301" s="5"/>
      <c r="CF301" s="5"/>
      <c r="CG301" s="5">
        <v>0</v>
      </c>
      <c r="CH301" s="5">
        <f t="shared" si="172"/>
        <v>4000000</v>
      </c>
      <c r="CI301" s="5">
        <f t="shared" si="173"/>
        <v>4000000</v>
      </c>
      <c r="CJ301" s="1">
        <f t="shared" si="174"/>
        <v>3.0712626119211758E-2</v>
      </c>
      <c r="CK301" s="5">
        <f>RANK(BY301,$BY$2:$BY$623)+COUNTIF($BY$2:$BY301,$BY301)-1</f>
        <v>129</v>
      </c>
      <c r="CL301" s="5">
        <f>RANK(CJ301,$CJ$2:$CJ$623)+COUNTIF($CJ$2:$CJ301,$CJ301)-1</f>
        <v>137</v>
      </c>
    </row>
    <row r="302" spans="1:90">
      <c r="A302" t="str">
        <f>Players!P303</f>
        <v>Enis Bardhi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0.65653770483831209</v>
      </c>
      <c r="I302" s="16">
        <f>INDEX('Team forecast'!$B$2:$AO$26,MATCH('Master data'!$B302,'Team forecast'!$B$2:$B$26,0),MATCH('Master data'!I$1,'Team forecast'!$B$2:$AO$2,0))</f>
        <v>1.5562991347612565</v>
      </c>
      <c r="J302" s="16">
        <f>INDEX('Team forecast'!$B$2:$AO$26,MATCH('Master data'!$B302,'Team forecast'!$B$2:$B$26,0),MATCH('Master data'!J$1,'Team forecast'!$B$2:$AO$2,0))</f>
        <v>0.2109151973131822</v>
      </c>
      <c r="K302" s="16">
        <f>INDEX('Team forecast'!$B$2:$AO$26,MATCH('Master data'!$B302,'Team forecast'!$B$2:$B$26,0),MATCH('Master data'!K$1,'Team forecast'!$B$2:$AO$2,0))</f>
        <v>2.1553005461863779</v>
      </c>
      <c r="L302" s="16">
        <f>INDEX('Team forecast'!$B$2:$AO$26,MATCH('Master data'!$B302,'Team forecast'!$B$2:$B$26,0),MATCH('Master data'!L$1,'Team forecast'!$B$2:$AO$2,0))</f>
        <v>3.8246785340123335</v>
      </c>
      <c r="M302">
        <f>IF(Players!BC303=1,95,0)</f>
        <v>95</v>
      </c>
      <c r="N302" s="2">
        <f>Players!BN303</f>
        <v>8.5820088901515865E-2</v>
      </c>
      <c r="O302" s="2">
        <f>Players!BO303</f>
        <v>0.19389638766727482</v>
      </c>
      <c r="P302" s="2">
        <f>Players!BP303</f>
        <v>0.21090795112208011</v>
      </c>
      <c r="Q302" s="2">
        <f>Players!BQ303</f>
        <v>0.27682492581602375</v>
      </c>
      <c r="R302" s="2">
        <f>Players!BR303</f>
        <v>0</v>
      </c>
      <c r="S302" s="2">
        <f t="shared" si="133"/>
        <v>0.65653770483831209</v>
      </c>
      <c r="T302" s="2">
        <f t="shared" si="134"/>
        <v>1.5562991347612565</v>
      </c>
      <c r="U302" s="16">
        <f>INDEX('Team forecast'!$B$2:$AO$26,MATCH('Master data'!$B302,'Team forecast'!$B$2:$B$26,0),MATCH('Master data'!U$1,'Team forecast'!$B$2:$AO$2,0))</f>
        <v>0.15818639798488671</v>
      </c>
      <c r="V302" s="16">
        <f>INDEX('Team forecast'!$B$2:$AO$26,MATCH('Master data'!$B302,'Team forecast'!$B$2:$B$26,0),MATCH('Master data'!V$1,'Team forecast'!$B$2:$AO$2,0))</f>
        <v>0.23727959697733</v>
      </c>
      <c r="W302" s="16">
        <f>INDEX('Team forecast'!$B$2:$AO$26,MATCH('Master data'!$B302,'Team forecast'!$B$2:$B$26,0),MATCH('Master data'!W$1,'Team forecast'!$B$2:$AO$2,0))</f>
        <v>0.60453400503778332</v>
      </c>
      <c r="X302" s="5">
        <f t="shared" si="135"/>
        <v>7000</v>
      </c>
      <c r="Y302" s="5">
        <f t="shared" si="136"/>
        <v>3954.6599496221675</v>
      </c>
      <c r="Z302" s="5">
        <f t="shared" si="137"/>
        <v>1186.39798488665</v>
      </c>
      <c r="AA302" s="5">
        <f t="shared" si="138"/>
        <v>-9068.0100755667499</v>
      </c>
      <c r="AB302" s="5">
        <f t="shared" si="139"/>
        <v>7043.0155245526403</v>
      </c>
      <c r="AC302" s="5">
        <f t="shared" si="140"/>
        <v>6365.0144667756113</v>
      </c>
      <c r="AD302" s="5">
        <f t="shared" si="141"/>
        <v>4545.7002224846919</v>
      </c>
      <c r="AE302" s="5">
        <f t="shared" si="142"/>
        <v>0</v>
      </c>
      <c r="AF302" s="5">
        <f t="shared" si="143"/>
        <v>0</v>
      </c>
      <c r="AG302" s="5">
        <f t="shared" si="144"/>
        <v>-5536.4985163204747</v>
      </c>
      <c r="AH302" s="5">
        <f t="shared" si="145"/>
        <v>0</v>
      </c>
      <c r="AI302" s="5">
        <f t="shared" si="146"/>
        <v>6565.3770483831213</v>
      </c>
      <c r="AJ302" s="5">
        <f t="shared" si="147"/>
        <v>-12450.393078090052</v>
      </c>
      <c r="AK302" s="5">
        <f>IFERROR(SUM(X302:AJ302),-5000)*((Cockpit!$C$3)^0)</f>
        <v>9605.2635267276019</v>
      </c>
      <c r="AL302" s="16">
        <f>INDEX('Team forecast'!$B$2:$AO$26,MATCH('Master data'!$B302,'Team forecast'!$B$2:$B$26,0),MATCH('Master data'!AL$1,'Team forecast'!$B$2:$AO$2,0))</f>
        <v>0.76028648339757388</v>
      </c>
      <c r="AM302" s="16">
        <f>INDEX('Team forecast'!$B$2:$AO$26,MATCH('Master data'!$B302,'Team forecast'!$B$2:$B$26,0),MATCH('Master data'!AM$1,'Team forecast'!$B$2:$AO$2,0))</f>
        <v>1.5712166996139025</v>
      </c>
      <c r="AN302" s="16">
        <f>INDEX('Team forecast'!$B$2:$AO$26,MATCH('Master data'!$B302,'Team forecast'!$B$2:$B$26,0),MATCH('Master data'!AN$1,'Team forecast'!$B$2:$AO$2,0))</f>
        <v>0.20779220779220781</v>
      </c>
      <c r="AO302" s="16">
        <f>INDEX('Team forecast'!$B$2:$AO$26,MATCH('Master data'!$B302,'Team forecast'!$B$2:$B$26,0),MATCH('Master data'!AO$1,'Team forecast'!$B$2:$AO$2,0))</f>
        <v>2.4958899707496114</v>
      </c>
      <c r="AP302" s="16">
        <f>INDEX('Team forecast'!$B$2:$AO$26,MATCH('Master data'!$B302,'Team forecast'!$B$2:$B$26,0),MATCH('Master data'!AP$1,'Team forecast'!$B$2:$AO$2,0))</f>
        <v>3.8613391532964307</v>
      </c>
      <c r="AQ302" s="5">
        <f t="shared" si="148"/>
        <v>7000</v>
      </c>
      <c r="AR302" s="5">
        <f>INDEX('Team forecast'!$B$2:$AO$26,MATCH('Master data'!$B302,'Team forecast'!$B$2:$B$26,0),MATCH('Master data'!AR$1,'Team forecast'!$B$2:$AO$2,0))*IF(X302&gt;0,25000,0)</f>
        <v>3896.1038961038953</v>
      </c>
      <c r="AS302" s="16">
        <f>INDEX('Team forecast'!$B$2:$AO$26,MATCH('Master data'!$B302,'Team forecast'!$B$2:$B$26,0),MATCH('Master data'!AS$1,'Team forecast'!$B$2:$AO$2,0))*IF(X302&gt;0,5000,0)</f>
        <v>1298.7012987012986</v>
      </c>
      <c r="AT302" s="16">
        <f>INDEX('Team forecast'!$B$2:$AO$26,MATCH('Master data'!$B302,'Team forecast'!$B$2:$B$26,0),MATCH('Master data'!AT$1,'Team forecast'!$B$2:$AO$2,0))*IF(X302&gt;0,-15000,0)</f>
        <v>-8766.233766233765</v>
      </c>
      <c r="AU302" s="5">
        <f t="shared" si="149"/>
        <v>8155.9816994750818</v>
      </c>
      <c r="AV302" s="5">
        <f t="shared" si="150"/>
        <v>7370.8401361522547</v>
      </c>
      <c r="AW302" s="5">
        <f t="shared" si="151"/>
        <v>5264.0303995694903</v>
      </c>
      <c r="AX302" s="5">
        <f t="shared" si="152"/>
        <v>0</v>
      </c>
      <c r="AY302" s="5">
        <f t="shared" si="153"/>
        <v>0</v>
      </c>
      <c r="AZ302" s="5">
        <f t="shared" si="154"/>
        <v>-5536.4985163204747</v>
      </c>
      <c r="BA302" s="5">
        <f t="shared" si="155"/>
        <v>0</v>
      </c>
      <c r="BB302" s="5">
        <f t="shared" si="156"/>
        <v>7602.8648339757392</v>
      </c>
      <c r="BC302" s="5">
        <f t="shared" si="157"/>
        <v>-12569.733596911221</v>
      </c>
      <c r="BD302" s="5">
        <f t="shared" si="158"/>
        <v>13716.056384512296</v>
      </c>
      <c r="BE302" s="16">
        <f>INDEX('Team forecast'!$B$2:$AO$26,MATCH('Master data'!$B302,'Team forecast'!$B$2:$B$26,0),MATCH('Master data'!BE$1,'Team forecast'!$B$2:$AO$2,0))</f>
        <v>0.49102780480244929</v>
      </c>
      <c r="BF302" s="16">
        <f>INDEX('Team forecast'!$B$2:$AO$26,MATCH('Master data'!$B302,'Team forecast'!$B$2:$B$26,0),MATCH('Master data'!BF$1,'Team forecast'!$B$2:$AO$2,0))</f>
        <v>2.3683451623921505</v>
      </c>
      <c r="BG302" s="16">
        <f>INDEX('Team forecast'!$B$2:$AO$26,MATCH('Master data'!$B302,'Team forecast'!$B$2:$B$26,0),MATCH('Master data'!BG$1,'Team forecast'!$B$2:$AO$2,0))</f>
        <v>9.3635549768047527E-2</v>
      </c>
      <c r="BH302" s="16">
        <f>INDEX('Team forecast'!$B$2:$AO$26,MATCH('Master data'!$B302,'Team forecast'!$B$2:$B$26,0),MATCH('Master data'!BH$1,'Team forecast'!$B$2:$AO$2,0))</f>
        <v>1.6119599652605658</v>
      </c>
      <c r="BI302" s="16">
        <f>INDEX('Team forecast'!$B$2:$AO$26,MATCH('Master data'!$B302,'Team forecast'!$B$2:$B$26,0),MATCH('Master data'!BI$1,'Team forecast'!$B$2:$AO$2,0))</f>
        <v>5.8203199509731629</v>
      </c>
      <c r="BJ302" s="5">
        <f t="shared" si="159"/>
        <v>7000</v>
      </c>
      <c r="BK302" s="5">
        <f>INDEX('Team forecast'!$R$3:$BH$26,MATCH($B302,'Team forecast'!$B$3:$B$26,0),MATCH(BK$1,'Team forecast'!$R$2:$BH$2,0))*IF($X302&gt;0,25000,0)</f>
        <v>1560.5924961341254</v>
      </c>
      <c r="BL302" s="5">
        <f>INDEX('Team forecast'!$R$3:$BH$26,MATCH($B302,'Team forecast'!$B$3:$B$26,0),MATCH(BL$1,'Team forecast'!$R$2:$BH$2,0))*IF($X302&gt;0,5000,0)</f>
        <v>720.27345975421156</v>
      </c>
      <c r="BM302" s="5">
        <f>INDEX('Team forecast'!$R$3:$BH$26,MATCH($B302,'Team forecast'!$B$3:$B$26,0),MATCH(BM$1,'Team forecast'!$R$2:$BH$2,0))*IF($X302&gt;0,-15000,0)</f>
        <v>-11902.824123056889</v>
      </c>
      <c r="BN302" s="5">
        <f t="shared" si="160"/>
        <v>5267.5062326577972</v>
      </c>
      <c r="BO302" s="5">
        <f t="shared" si="161"/>
        <v>4760.4258797693328</v>
      </c>
      <c r="BP302" s="5">
        <f t="shared" si="162"/>
        <v>3399.7517356392536</v>
      </c>
      <c r="BQ302" s="5">
        <f t="shared" si="163"/>
        <v>0</v>
      </c>
      <c r="BR302" s="5">
        <f t="shared" si="164"/>
        <v>0</v>
      </c>
      <c r="BS302" s="5">
        <f t="shared" si="165"/>
        <v>-5536.4985163204747</v>
      </c>
      <c r="BT302" s="5">
        <f t="shared" si="166"/>
        <v>0</v>
      </c>
      <c r="BU302" s="5">
        <f t="shared" si="167"/>
        <v>4910.2780480244928</v>
      </c>
      <c r="BV302" s="5">
        <f t="shared" si="168"/>
        <v>-18946.761299137204</v>
      </c>
      <c r="BW302" s="5">
        <f t="shared" si="169"/>
        <v>-8767.2560865353553</v>
      </c>
      <c r="BX302" s="5">
        <f t="shared" si="170"/>
        <v>4851.3546082348475</v>
      </c>
      <c r="BY302" s="5">
        <f t="shared" si="171"/>
        <v>14554.063824704543</v>
      </c>
      <c r="BZ302" s="5">
        <f>INDEX('Team forecast'!$R$3:$BH$26,MATCH($B302,'Team forecast'!$B$3:$B$26,0),MATCH(BZ$1,'Team forecast'!$R$2:$BH$2,0))*($BX302-(BY302+CH302)*0.01)</f>
        <v>-5150.2507682580399</v>
      </c>
      <c r="CA302" s="5">
        <f>INDEX('Team forecast'!$R$3:$BH$26,MATCH($B302,'Team forecast'!$B$3:$B$26,0),MATCH(CA$1,'Team forecast'!$R$2:$BH$2,0))*($BX302-(BY302+BX302+CH302)*0.01)</f>
        <v>-2533.3573082360158</v>
      </c>
      <c r="CB302" s="5">
        <f>INDEX('Team forecast'!$R$3:$BH$26,MATCH($B302,'Team forecast'!$B$3:$B$26,0),MATCH(CB$1,'Team forecast'!$R$2:$BH$2,0))*($BX302-(BY302+BX302*2+CH302)*0.01)</f>
        <v>-1224.4869852346621</v>
      </c>
      <c r="CC302" s="5">
        <f>INDEX('Team forecast'!$R$3:$BH$26,MATCH($B302,'Team forecast'!$B$3:$B$26,0),MATCH(CC$1,'Team forecast'!$R$2:$BH$2,0))*($BX302-(BY302+BX302*3+CH302)*0.01)</f>
        <v>-555.26112186097419</v>
      </c>
      <c r="CD302" s="5">
        <f>+AK302+BD302*Cockpit!$C$3+BW302*Cockpit!$C$3^2+BZ302*Cockpit!$C$3^3+CA302*Cockpit!$C$3^4+CB302*Cockpit!$C$3^5+CC302*Cockpit!$C$3^6</f>
        <v>12616.329850629065</v>
      </c>
      <c r="CE302" s="5"/>
      <c r="CF302" s="5"/>
      <c r="CG302" s="5">
        <v>0</v>
      </c>
      <c r="CH302" s="5">
        <f t="shared" si="172"/>
        <v>2500000</v>
      </c>
      <c r="CI302" s="5">
        <f t="shared" si="173"/>
        <v>2500000</v>
      </c>
      <c r="CJ302" s="1">
        <f t="shared" si="174"/>
        <v>5.8216255298818168E-3</v>
      </c>
      <c r="CK302" s="5">
        <f>RANK(BY302,$BY$2:$BY$623)+COUNTIF($BY$2:$BY302,$BY302)-1</f>
        <v>386</v>
      </c>
      <c r="CL302" s="5">
        <f>RANK(CJ302,$CJ$2:$CJ$623)+COUNTIF($CJ$2:$CJ302,$CJ302)-1</f>
        <v>388</v>
      </c>
    </row>
    <row r="303" spans="1:90">
      <c r="A303" t="str">
        <f>Players!P304</f>
        <v>Elif Elmas</v>
      </c>
      <c r="B303" t="str">
        <f>Players!G304</f>
        <v>North Macedonia</v>
      </c>
      <c r="C303" t="str">
        <f>Players!AB304</f>
        <v>Midfield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2500000</v>
      </c>
      <c r="H303" s="16">
        <f>INDEX('Team forecast'!$B$2:$AO$26,MATCH('Master data'!$B303,'Team forecast'!$B$2:$B$26,0),MATCH('Master data'!H$1,'Team forecast'!$B$2:$AO$2,0))</f>
        <v>0.65653770483831209</v>
      </c>
      <c r="I303" s="16">
        <f>INDEX('Team forecast'!$B$2:$AO$26,MATCH('Master data'!$B303,'Team forecast'!$B$2:$B$26,0),MATCH('Master data'!I$1,'Team forecast'!$B$2:$AO$2,0))</f>
        <v>1.5562991347612565</v>
      </c>
      <c r="J303" s="16">
        <f>INDEX('Team forecast'!$B$2:$AO$26,MATCH('Master data'!$B303,'Team forecast'!$B$2:$B$26,0),MATCH('Master data'!J$1,'Team forecast'!$B$2:$AO$2,0))</f>
        <v>0.2109151973131822</v>
      </c>
      <c r="K303" s="16">
        <f>INDEX('Team forecast'!$B$2:$AO$26,MATCH('Master data'!$B303,'Team forecast'!$B$2:$B$26,0),MATCH('Master data'!K$1,'Team forecast'!$B$2:$AO$2,0))</f>
        <v>2.1553005461863779</v>
      </c>
      <c r="L303" s="16">
        <f>INDEX('Team forecast'!$B$2:$AO$26,MATCH('Master data'!$B303,'Team forecast'!$B$2:$B$26,0),MATCH('Master data'!L$1,'Team forecast'!$B$2:$AO$2,0))</f>
        <v>3.8246785340123335</v>
      </c>
      <c r="M303">
        <f>IF(Players!BC304=1,95,0)</f>
        <v>95</v>
      </c>
      <c r="N303" s="2">
        <f>Players!BN304</f>
        <v>0.14777309700447627</v>
      </c>
      <c r="O303" s="2">
        <f>Players!BO304</f>
        <v>0.1430140729723833</v>
      </c>
      <c r="P303" s="2">
        <f>Players!BP304</f>
        <v>0.22940068701928237</v>
      </c>
      <c r="Q303" s="2">
        <f>Players!BQ304</f>
        <v>0.17587412587412588</v>
      </c>
      <c r="R303" s="2">
        <f>Players!BR304</f>
        <v>0</v>
      </c>
      <c r="S303" s="2">
        <f t="shared" si="133"/>
        <v>0.65653770483831209</v>
      </c>
      <c r="T303" s="2">
        <f t="shared" si="134"/>
        <v>1.5562991347612565</v>
      </c>
      <c r="U303" s="16">
        <f>INDEX('Team forecast'!$B$2:$AO$26,MATCH('Master data'!$B303,'Team forecast'!$B$2:$B$26,0),MATCH('Master data'!U$1,'Team forecast'!$B$2:$AO$2,0))</f>
        <v>0.15818639798488671</v>
      </c>
      <c r="V303" s="16">
        <f>INDEX('Team forecast'!$B$2:$AO$26,MATCH('Master data'!$B303,'Team forecast'!$B$2:$B$26,0),MATCH('Master data'!V$1,'Team forecast'!$B$2:$AO$2,0))</f>
        <v>0.23727959697733</v>
      </c>
      <c r="W303" s="16">
        <f>INDEX('Team forecast'!$B$2:$AO$26,MATCH('Master data'!$B303,'Team forecast'!$B$2:$B$26,0),MATCH('Master data'!W$1,'Team forecast'!$B$2:$AO$2,0))</f>
        <v>0.60453400503778332</v>
      </c>
      <c r="X303" s="5">
        <f t="shared" si="135"/>
        <v>7000</v>
      </c>
      <c r="Y303" s="5">
        <f t="shared" si="136"/>
        <v>3954.6599496221675</v>
      </c>
      <c r="Z303" s="5">
        <f t="shared" si="137"/>
        <v>1186.39798488665</v>
      </c>
      <c r="AA303" s="5">
        <f t="shared" si="138"/>
        <v>-9068.0100755667499</v>
      </c>
      <c r="AB303" s="5">
        <f t="shared" si="139"/>
        <v>12127.326243021012</v>
      </c>
      <c r="AC303" s="5">
        <f t="shared" si="140"/>
        <v>4694.7065614433714</v>
      </c>
      <c r="AD303" s="5">
        <f t="shared" si="141"/>
        <v>4944.2742602818962</v>
      </c>
      <c r="AE303" s="5">
        <f t="shared" si="142"/>
        <v>0</v>
      </c>
      <c r="AF303" s="5">
        <f t="shared" si="143"/>
        <v>0</v>
      </c>
      <c r="AG303" s="5">
        <f t="shared" si="144"/>
        <v>-3517.4825174825173</v>
      </c>
      <c r="AH303" s="5">
        <f t="shared" si="145"/>
        <v>0</v>
      </c>
      <c r="AI303" s="5">
        <f t="shared" si="146"/>
        <v>6565.3770483831213</v>
      </c>
      <c r="AJ303" s="5">
        <f t="shared" si="147"/>
        <v>-12450.393078090052</v>
      </c>
      <c r="AK303" s="5">
        <f>IFERROR(SUM(X303:AJ303),-5000)*((Cockpit!$C$3)^0)</f>
        <v>15436.856376498901</v>
      </c>
      <c r="AL303" s="16">
        <f>INDEX('Team forecast'!$B$2:$AO$26,MATCH('Master data'!$B303,'Team forecast'!$B$2:$B$26,0),MATCH('Master data'!AL$1,'Team forecast'!$B$2:$AO$2,0))</f>
        <v>0.76028648339757388</v>
      </c>
      <c r="AM303" s="16">
        <f>INDEX('Team forecast'!$B$2:$AO$26,MATCH('Master data'!$B303,'Team forecast'!$B$2:$B$26,0),MATCH('Master data'!AM$1,'Team forecast'!$B$2:$AO$2,0))</f>
        <v>1.5712166996139025</v>
      </c>
      <c r="AN303" s="16">
        <f>INDEX('Team forecast'!$B$2:$AO$26,MATCH('Master data'!$B303,'Team forecast'!$B$2:$B$26,0),MATCH('Master data'!AN$1,'Team forecast'!$B$2:$AO$2,0))</f>
        <v>0.20779220779220781</v>
      </c>
      <c r="AO303" s="16">
        <f>INDEX('Team forecast'!$B$2:$AO$26,MATCH('Master data'!$B303,'Team forecast'!$B$2:$B$26,0),MATCH('Master data'!AO$1,'Team forecast'!$B$2:$AO$2,0))</f>
        <v>2.4958899707496114</v>
      </c>
      <c r="AP303" s="16">
        <f>INDEX('Team forecast'!$B$2:$AO$26,MATCH('Master data'!$B303,'Team forecast'!$B$2:$B$26,0),MATCH('Master data'!AP$1,'Team forecast'!$B$2:$AO$2,0))</f>
        <v>3.8613391532964307</v>
      </c>
      <c r="AQ303" s="5">
        <f t="shared" si="148"/>
        <v>7000</v>
      </c>
      <c r="AR303" s="5">
        <f>INDEX('Team forecast'!$B$2:$AO$26,MATCH('Master data'!$B303,'Team forecast'!$B$2:$B$26,0),MATCH('Master data'!AR$1,'Team forecast'!$B$2:$AO$2,0))*IF(X303&gt;0,25000,0)</f>
        <v>3896.1038961038953</v>
      </c>
      <c r="AS303" s="16">
        <f>INDEX('Team forecast'!$B$2:$AO$26,MATCH('Master data'!$B303,'Team forecast'!$B$2:$B$26,0),MATCH('Master data'!AS$1,'Team forecast'!$B$2:$AO$2,0))*IF(X303&gt;0,5000,0)</f>
        <v>1298.7012987012986</v>
      </c>
      <c r="AT303" s="16">
        <f>INDEX('Team forecast'!$B$2:$AO$26,MATCH('Master data'!$B303,'Team forecast'!$B$2:$B$26,0),MATCH('Master data'!AT$1,'Team forecast'!$B$2:$AO$2,0))*IF(X303&gt;0,-15000,0)</f>
        <v>-8766.233766233765</v>
      </c>
      <c r="AU303" s="5">
        <f t="shared" si="149"/>
        <v>14043.736032787727</v>
      </c>
      <c r="AV303" s="5">
        <f t="shared" si="150"/>
        <v>5436.5833308268657</v>
      </c>
      <c r="AW303" s="5">
        <f t="shared" si="151"/>
        <v>5725.5887401449745</v>
      </c>
      <c r="AX303" s="5">
        <f t="shared" si="152"/>
        <v>0</v>
      </c>
      <c r="AY303" s="5">
        <f t="shared" si="153"/>
        <v>0</v>
      </c>
      <c r="AZ303" s="5">
        <f t="shared" si="154"/>
        <v>-3517.4825174825173</v>
      </c>
      <c r="BA303" s="5">
        <f t="shared" si="155"/>
        <v>0</v>
      </c>
      <c r="BB303" s="5">
        <f t="shared" si="156"/>
        <v>7602.8648339757392</v>
      </c>
      <c r="BC303" s="5">
        <f t="shared" si="157"/>
        <v>-12569.733596911221</v>
      </c>
      <c r="BD303" s="5">
        <f t="shared" si="158"/>
        <v>20150.128251912996</v>
      </c>
      <c r="BE303" s="16">
        <f>INDEX('Team forecast'!$B$2:$AO$26,MATCH('Master data'!$B303,'Team forecast'!$B$2:$B$26,0),MATCH('Master data'!BE$1,'Team forecast'!$B$2:$AO$2,0))</f>
        <v>0.49102780480244929</v>
      </c>
      <c r="BF303" s="16">
        <f>INDEX('Team forecast'!$B$2:$AO$26,MATCH('Master data'!$B303,'Team forecast'!$B$2:$B$26,0),MATCH('Master data'!BF$1,'Team forecast'!$B$2:$AO$2,0))</f>
        <v>2.3683451623921505</v>
      </c>
      <c r="BG303" s="16">
        <f>INDEX('Team forecast'!$B$2:$AO$26,MATCH('Master data'!$B303,'Team forecast'!$B$2:$B$26,0),MATCH('Master data'!BG$1,'Team forecast'!$B$2:$AO$2,0))</f>
        <v>9.3635549768047527E-2</v>
      </c>
      <c r="BH303" s="16">
        <f>INDEX('Team forecast'!$B$2:$AO$26,MATCH('Master data'!$B303,'Team forecast'!$B$2:$B$26,0),MATCH('Master data'!BH$1,'Team forecast'!$B$2:$AO$2,0))</f>
        <v>1.6119599652605658</v>
      </c>
      <c r="BI303" s="16">
        <f>INDEX('Team forecast'!$B$2:$AO$26,MATCH('Master data'!$B303,'Team forecast'!$B$2:$B$26,0),MATCH('Master data'!BI$1,'Team forecast'!$B$2:$AO$2,0))</f>
        <v>5.8203199509731629</v>
      </c>
      <c r="BJ303" s="5">
        <f t="shared" si="159"/>
        <v>7000</v>
      </c>
      <c r="BK303" s="5">
        <f>INDEX('Team forecast'!$R$3:$BH$26,MATCH($B303,'Team forecast'!$B$3:$B$26,0),MATCH(BK$1,'Team forecast'!$R$2:$BH$2,0))*IF($X303&gt;0,25000,0)</f>
        <v>1560.5924961341254</v>
      </c>
      <c r="BL303" s="5">
        <f>INDEX('Team forecast'!$R$3:$BH$26,MATCH($B303,'Team forecast'!$B$3:$B$26,0),MATCH(BL$1,'Team forecast'!$R$2:$BH$2,0))*IF($X303&gt;0,5000,0)</f>
        <v>720.27345975421156</v>
      </c>
      <c r="BM303" s="5">
        <f>INDEX('Team forecast'!$R$3:$BH$26,MATCH($B303,'Team forecast'!$B$3:$B$26,0),MATCH(BM$1,'Team forecast'!$R$2:$BH$2,0))*IF($X303&gt;0,-15000,0)</f>
        <v>-11902.824123056889</v>
      </c>
      <c r="BN303" s="5">
        <f t="shared" si="160"/>
        <v>9070.0874288709219</v>
      </c>
      <c r="BO303" s="5">
        <f t="shared" si="161"/>
        <v>3511.1943153743337</v>
      </c>
      <c r="BP303" s="5">
        <f t="shared" si="162"/>
        <v>3697.8472347835236</v>
      </c>
      <c r="BQ303" s="5">
        <f t="shared" si="163"/>
        <v>0</v>
      </c>
      <c r="BR303" s="5">
        <f t="shared" si="164"/>
        <v>0</v>
      </c>
      <c r="BS303" s="5">
        <f t="shared" si="165"/>
        <v>-3517.4825174825173</v>
      </c>
      <c r="BT303" s="5">
        <f t="shared" si="166"/>
        <v>0</v>
      </c>
      <c r="BU303" s="5">
        <f t="shared" si="167"/>
        <v>4910.2780480244928</v>
      </c>
      <c r="BV303" s="5">
        <f t="shared" si="168"/>
        <v>-18946.761299137204</v>
      </c>
      <c r="BW303" s="5">
        <f t="shared" si="169"/>
        <v>-3896.7949567350024</v>
      </c>
      <c r="BX303" s="5">
        <f t="shared" si="170"/>
        <v>10563.396557225633</v>
      </c>
      <c r="BY303" s="5">
        <f t="shared" si="171"/>
        <v>31690.189671676897</v>
      </c>
      <c r="BZ303" s="5">
        <f>INDEX('Team forecast'!$R$3:$BH$26,MATCH($B303,'Team forecast'!$B$3:$B$26,0),MATCH(BZ$1,'Team forecast'!$R$2:$BH$2,0))*($BX303-(BY303+CH303)*0.01)</f>
        <v>-3744.1389419040261</v>
      </c>
      <c r="CA303" s="5">
        <f>INDEX('Team forecast'!$R$3:$BH$26,MATCH($B303,'Team forecast'!$B$3:$B$26,0),MATCH(CA$1,'Team forecast'!$R$2:$BH$2,0))*($BX303-(BY303+BX303+CH303)*0.01)</f>
        <v>-1850.4677322578978</v>
      </c>
      <c r="CB303" s="5">
        <f>INDEX('Team forecast'!$R$3:$BH$26,MATCH($B303,'Team forecast'!$B$3:$B$26,0),MATCH(CB$1,'Team forecast'!$R$2:$BH$2,0))*($BX303-(BY303+BX303*2+CH303)*0.01)</f>
        <v>-898.6306992668359</v>
      </c>
      <c r="CC303" s="5">
        <f>INDEX('Team forecast'!$R$3:$BH$26,MATCH($B303,'Team forecast'!$B$3:$B$26,0),MATCH(CC$1,'Team forecast'!$R$2:$BH$2,0))*($BX303-(BY303+BX303*3+CH303)*0.01)</f>
        <v>-409.39937038753015</v>
      </c>
      <c r="CD303" s="5">
        <f>+AK303+BD303*Cockpit!$C$3+BW303*Cockpit!$C$3^2+BZ303*Cockpit!$C$3^3+CA303*Cockpit!$C$3^4+CB303*Cockpit!$C$3^5+CC303*Cockpit!$C$3^6</f>
        <v>25509.187367879906</v>
      </c>
      <c r="CE303" s="5"/>
      <c r="CF303" s="5"/>
      <c r="CG303" s="5">
        <v>0</v>
      </c>
      <c r="CH303" s="5">
        <f t="shared" si="172"/>
        <v>2500000</v>
      </c>
      <c r="CI303" s="5">
        <f t="shared" si="173"/>
        <v>2500000</v>
      </c>
      <c r="CJ303" s="1">
        <f t="shared" si="174"/>
        <v>1.2676075868670759E-2</v>
      </c>
      <c r="CK303" s="5">
        <f>RANK(BY303,$BY$2:$BY$623)+COUNTIF($BY$2:$BY303,$BY303)-1</f>
        <v>337</v>
      </c>
      <c r="CL303" s="5">
        <f>RANK(CJ303,$CJ$2:$CJ$623)+COUNTIF($CJ$2:$CJ303,$CJ303)-1</f>
        <v>329</v>
      </c>
    </row>
    <row r="304" spans="1:90">
      <c r="A304" t="str">
        <f>Players!P305</f>
        <v>Ivan Trichkovski</v>
      </c>
      <c r="B304" t="str">
        <f>Players!G305</f>
        <v>North Macedonia</v>
      </c>
      <c r="C304" t="str">
        <f>Players!AB305</f>
        <v>Striker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2000000</v>
      </c>
      <c r="H304" s="16">
        <f>INDEX('Team forecast'!$B$2:$AO$26,MATCH('Master data'!$B304,'Team forecast'!$B$2:$B$26,0),MATCH('Master data'!H$1,'Team forecast'!$B$2:$AO$2,0))</f>
        <v>0.65653770483831209</v>
      </c>
      <c r="I304" s="16">
        <f>INDEX('Team forecast'!$B$2:$AO$26,MATCH('Master data'!$B304,'Team forecast'!$B$2:$B$26,0),MATCH('Master data'!I$1,'Team forecast'!$B$2:$AO$2,0))</f>
        <v>1.5562991347612565</v>
      </c>
      <c r="J304" s="16">
        <f>INDEX('Team forecast'!$B$2:$AO$26,MATCH('Master data'!$B304,'Team forecast'!$B$2:$B$26,0),MATCH('Master data'!J$1,'Team forecast'!$B$2:$AO$2,0))</f>
        <v>0.2109151973131822</v>
      </c>
      <c r="K304" s="16">
        <f>INDEX('Team forecast'!$B$2:$AO$26,MATCH('Master data'!$B304,'Team forecast'!$B$2:$B$26,0),MATCH('Master data'!K$1,'Team forecast'!$B$2:$AO$2,0))</f>
        <v>2.1553005461863779</v>
      </c>
      <c r="L304" s="16">
        <f>INDEX('Team forecast'!$B$2:$AO$26,MATCH('Master data'!$B304,'Team forecast'!$B$2:$B$26,0),MATCH('Master data'!L$1,'Team forecast'!$B$2:$AO$2,0))</f>
        <v>3.8246785340123335</v>
      </c>
      <c r="M304">
        <f>IF(Players!BC305=1,95,0)</f>
        <v>0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7.5000000000000011E-2</v>
      </c>
      <c r="R304" s="2">
        <f>Players!BR305</f>
        <v>0</v>
      </c>
      <c r="S304" s="2">
        <f t="shared" si="133"/>
        <v>0.65653770483831209</v>
      </c>
      <c r="T304" s="2">
        <f t="shared" si="134"/>
        <v>1.5562991347612565</v>
      </c>
      <c r="U304" s="16">
        <f>INDEX('Team forecast'!$B$2:$AO$26,MATCH('Master data'!$B304,'Team forecast'!$B$2:$B$26,0),MATCH('Master data'!U$1,'Team forecast'!$B$2:$AO$2,0))</f>
        <v>0.15818639798488671</v>
      </c>
      <c r="V304" s="16">
        <f>INDEX('Team forecast'!$B$2:$AO$26,MATCH('Master data'!$B304,'Team forecast'!$B$2:$B$26,0),MATCH('Master data'!V$1,'Team forecast'!$B$2:$AO$2,0))</f>
        <v>0.23727959697733</v>
      </c>
      <c r="W304" s="16">
        <f>INDEX('Team forecast'!$B$2:$AO$26,MATCH('Master data'!$B304,'Team forecast'!$B$2:$B$26,0),MATCH('Master data'!W$1,'Team forecast'!$B$2:$AO$2,0))</f>
        <v>0.60453400503778332</v>
      </c>
      <c r="X304" s="5">
        <f t="shared" si="135"/>
        <v>-5000</v>
      </c>
      <c r="Y304" s="5">
        <f t="shared" si="136"/>
        <v>0</v>
      </c>
      <c r="Z304" s="5">
        <f t="shared" si="137"/>
        <v>0</v>
      </c>
      <c r="AA304" s="5">
        <f t="shared" si="138"/>
        <v>0</v>
      </c>
      <c r="AB304" s="5">
        <f t="shared" si="139"/>
        <v>0</v>
      </c>
      <c r="AC304" s="5">
        <f t="shared" si="140"/>
        <v>0</v>
      </c>
      <c r="AD304" s="5">
        <f t="shared" si="141"/>
        <v>0</v>
      </c>
      <c r="AE304" s="5">
        <f t="shared" si="142"/>
        <v>0</v>
      </c>
      <c r="AF304" s="5">
        <f t="shared" si="143"/>
        <v>0</v>
      </c>
      <c r="AG304" s="5">
        <f t="shared" si="144"/>
        <v>0</v>
      </c>
      <c r="AH304" s="5">
        <f t="shared" si="145"/>
        <v>0</v>
      </c>
      <c r="AI304" s="5">
        <f t="shared" si="146"/>
        <v>0</v>
      </c>
      <c r="AJ304" s="5">
        <f t="shared" si="147"/>
        <v>0</v>
      </c>
      <c r="AK304" s="5">
        <f>IFERROR(SUM(X304:AJ304),-5000)*((Cockpit!$C$3)^0)</f>
        <v>-5000</v>
      </c>
      <c r="AL304" s="16">
        <f>INDEX('Team forecast'!$B$2:$AO$26,MATCH('Master data'!$B304,'Team forecast'!$B$2:$B$26,0),MATCH('Master data'!AL$1,'Team forecast'!$B$2:$AO$2,0))</f>
        <v>0.76028648339757388</v>
      </c>
      <c r="AM304" s="16">
        <f>INDEX('Team forecast'!$B$2:$AO$26,MATCH('Master data'!$B304,'Team forecast'!$B$2:$B$26,0),MATCH('Master data'!AM$1,'Team forecast'!$B$2:$AO$2,0))</f>
        <v>1.5712166996139025</v>
      </c>
      <c r="AN304" s="16">
        <f>INDEX('Team forecast'!$B$2:$AO$26,MATCH('Master data'!$B304,'Team forecast'!$B$2:$B$26,0),MATCH('Master data'!AN$1,'Team forecast'!$B$2:$AO$2,0))</f>
        <v>0.20779220779220781</v>
      </c>
      <c r="AO304" s="16">
        <f>INDEX('Team forecast'!$B$2:$AO$26,MATCH('Master data'!$B304,'Team forecast'!$B$2:$B$26,0),MATCH('Master data'!AO$1,'Team forecast'!$B$2:$AO$2,0))</f>
        <v>2.4958899707496114</v>
      </c>
      <c r="AP304" s="16">
        <f>INDEX('Team forecast'!$B$2:$AO$26,MATCH('Master data'!$B304,'Team forecast'!$B$2:$B$26,0),MATCH('Master data'!AP$1,'Team forecast'!$B$2:$AO$2,0))</f>
        <v>3.8613391532964307</v>
      </c>
      <c r="AQ304" s="5">
        <f t="shared" si="148"/>
        <v>-5000</v>
      </c>
      <c r="AR304" s="5">
        <f>INDEX('Team forecast'!$B$2:$AO$26,MATCH('Master data'!$B304,'Team forecast'!$B$2:$B$26,0),MATCH('Master data'!AR$1,'Team forecast'!$B$2:$AO$2,0))*IF(X304&gt;0,25000,0)</f>
        <v>0</v>
      </c>
      <c r="AS304" s="16">
        <f>INDEX('Team forecast'!$B$2:$AO$26,MATCH('Master data'!$B304,'Team forecast'!$B$2:$B$26,0),MATCH('Master data'!AS$1,'Team forecast'!$B$2:$AO$2,0))*IF(X304&gt;0,5000,0)</f>
        <v>0</v>
      </c>
      <c r="AT304" s="16">
        <f>INDEX('Team forecast'!$B$2:$AO$26,MATCH('Master data'!$B304,'Team forecast'!$B$2:$B$26,0),MATCH('Master data'!AT$1,'Team forecast'!$B$2:$AO$2,0))*IF(X304&gt;0,-15000,0)</f>
        <v>0</v>
      </c>
      <c r="AU304" s="5">
        <f t="shared" si="149"/>
        <v>0</v>
      </c>
      <c r="AV304" s="5">
        <f t="shared" si="150"/>
        <v>0</v>
      </c>
      <c r="AW304" s="5">
        <f t="shared" si="151"/>
        <v>0</v>
      </c>
      <c r="AX304" s="5">
        <f t="shared" si="152"/>
        <v>0</v>
      </c>
      <c r="AY304" s="5">
        <f t="shared" si="153"/>
        <v>0</v>
      </c>
      <c r="AZ304" s="5">
        <f t="shared" si="154"/>
        <v>0</v>
      </c>
      <c r="BA304" s="5">
        <f t="shared" si="155"/>
        <v>0</v>
      </c>
      <c r="BB304" s="5">
        <f t="shared" si="156"/>
        <v>0</v>
      </c>
      <c r="BC304" s="5">
        <f t="shared" si="157"/>
        <v>0</v>
      </c>
      <c r="BD304" s="5">
        <f t="shared" si="158"/>
        <v>-5000</v>
      </c>
      <c r="BE304" s="16">
        <f>INDEX('Team forecast'!$B$2:$AO$26,MATCH('Master data'!$B304,'Team forecast'!$B$2:$B$26,0),MATCH('Master data'!BE$1,'Team forecast'!$B$2:$AO$2,0))</f>
        <v>0.49102780480244929</v>
      </c>
      <c r="BF304" s="16">
        <f>INDEX('Team forecast'!$B$2:$AO$26,MATCH('Master data'!$B304,'Team forecast'!$B$2:$B$26,0),MATCH('Master data'!BF$1,'Team forecast'!$B$2:$AO$2,0))</f>
        <v>2.3683451623921505</v>
      </c>
      <c r="BG304" s="16">
        <f>INDEX('Team forecast'!$B$2:$AO$26,MATCH('Master data'!$B304,'Team forecast'!$B$2:$B$26,0),MATCH('Master data'!BG$1,'Team forecast'!$B$2:$AO$2,0))</f>
        <v>9.3635549768047527E-2</v>
      </c>
      <c r="BH304" s="16">
        <f>INDEX('Team forecast'!$B$2:$AO$26,MATCH('Master data'!$B304,'Team forecast'!$B$2:$B$26,0),MATCH('Master data'!BH$1,'Team forecast'!$B$2:$AO$2,0))</f>
        <v>1.6119599652605658</v>
      </c>
      <c r="BI304" s="16">
        <f>INDEX('Team forecast'!$B$2:$AO$26,MATCH('Master data'!$B304,'Team forecast'!$B$2:$B$26,0),MATCH('Master data'!BI$1,'Team forecast'!$B$2:$AO$2,0))</f>
        <v>5.8203199509731629</v>
      </c>
      <c r="BJ304" s="5">
        <f t="shared" si="159"/>
        <v>-5000</v>
      </c>
      <c r="BK304" s="5">
        <f>INDEX('Team forecast'!$R$3:$BH$26,MATCH($B304,'Team forecast'!$B$3:$B$26,0),MATCH(BK$1,'Team forecast'!$R$2:$BH$2,0))*IF($X304&gt;0,25000,0)</f>
        <v>0</v>
      </c>
      <c r="BL304" s="5">
        <f>INDEX('Team forecast'!$R$3:$BH$26,MATCH($B304,'Team forecast'!$B$3:$B$26,0),MATCH(BL$1,'Team forecast'!$R$2:$BH$2,0))*IF($X304&gt;0,5000,0)</f>
        <v>0</v>
      </c>
      <c r="BM304" s="5">
        <f>INDEX('Team forecast'!$R$3:$BH$26,MATCH($B304,'Team forecast'!$B$3:$B$26,0),MATCH(BM$1,'Team forecast'!$R$2:$BH$2,0))*IF($X304&gt;0,-15000,0)</f>
        <v>0</v>
      </c>
      <c r="BN304" s="5">
        <f t="shared" si="160"/>
        <v>0</v>
      </c>
      <c r="BO304" s="5">
        <f t="shared" si="161"/>
        <v>0</v>
      </c>
      <c r="BP304" s="5">
        <f t="shared" si="162"/>
        <v>0</v>
      </c>
      <c r="BQ304" s="5">
        <f t="shared" si="163"/>
        <v>0</v>
      </c>
      <c r="BR304" s="5">
        <f t="shared" si="164"/>
        <v>0</v>
      </c>
      <c r="BS304" s="5">
        <f t="shared" si="165"/>
        <v>0</v>
      </c>
      <c r="BT304" s="5">
        <f t="shared" si="166"/>
        <v>0</v>
      </c>
      <c r="BU304" s="5">
        <f t="shared" si="167"/>
        <v>0</v>
      </c>
      <c r="BV304" s="5">
        <f t="shared" si="168"/>
        <v>0</v>
      </c>
      <c r="BW304" s="5">
        <f t="shared" si="169"/>
        <v>-5000</v>
      </c>
      <c r="BX304" s="5">
        <f t="shared" si="170"/>
        <v>-5000</v>
      </c>
      <c r="BY304" s="5">
        <f t="shared" si="171"/>
        <v>-15000</v>
      </c>
      <c r="BZ304" s="5">
        <f>INDEX('Team forecast'!$R$3:$BH$26,MATCH($B304,'Team forecast'!$B$3:$B$26,0),MATCH(BZ$1,'Team forecast'!$R$2:$BH$2,0))*($BX304-(BY304+CH304)*0.01)</f>
        <v>-6306.4234949823885</v>
      </c>
      <c r="CA304" s="5">
        <f>INDEX('Team forecast'!$R$3:$BH$26,MATCH($B304,'Team forecast'!$B$3:$B$26,0),MATCH(CA$1,'Team forecast'!$R$2:$BH$2,0))*($BX304-(BY304+BX304+CH304)*0.01)</f>
        <v>-3088.4426626485606</v>
      </c>
      <c r="CB304" s="5">
        <f>INDEX('Team forecast'!$R$3:$BH$26,MATCH($B304,'Team forecast'!$B$3:$B$26,0),MATCH(CB$1,'Team forecast'!$R$2:$BH$2,0))*($BX304-(BY304+BX304*2+CH304)*0.01)</f>
        <v>-1486.2309909162739</v>
      </c>
      <c r="CC304" s="5">
        <f>INDEX('Team forecast'!$R$3:$BH$26,MATCH($B304,'Team forecast'!$B$3:$B$26,0),MATCH(CC$1,'Team forecast'!$R$2:$BH$2,0))*($BX304-(BY304+BX304*3+CH304)*0.01)</f>
        <v>-670.99477075023424</v>
      </c>
      <c r="CD304" s="5">
        <f>+AK304+BD304*Cockpit!$C$3+BW304*Cockpit!$C$3^2+BZ304*Cockpit!$C$3^3+CA304*Cockpit!$C$3^4+CB304*Cockpit!$C$3^5+CC304*Cockpit!$C$3^6</f>
        <v>-13288.81352372231</v>
      </c>
      <c r="CE304" s="5"/>
      <c r="CF304" s="5"/>
      <c r="CG304" s="5">
        <v>0</v>
      </c>
      <c r="CH304" s="5">
        <f t="shared" si="172"/>
        <v>2000000</v>
      </c>
      <c r="CI304" s="5">
        <f t="shared" si="173"/>
        <v>2000000</v>
      </c>
      <c r="CJ304" s="1">
        <f t="shared" si="174"/>
        <v>-7.4999999999999997E-3</v>
      </c>
      <c r="CK304" s="5">
        <f>RANK(BY304,$BY$2:$BY$623)+COUNTIF($BY$2:$BY304,$BY304)-1</f>
        <v>509</v>
      </c>
      <c r="CL304" s="5">
        <f>RANK(CJ304,$CJ$2:$CJ$623)+COUNTIF($CJ$2:$CJ304,$CJ304)-1</f>
        <v>582</v>
      </c>
    </row>
    <row r="305" spans="1:90">
      <c r="A305" t="str">
        <f>Players!P306</f>
        <v>Yann Sommer</v>
      </c>
      <c r="B305" t="str">
        <f>Players!G306</f>
        <v>Switzerland</v>
      </c>
      <c r="C305" t="str">
        <f>Players!AB306</f>
        <v>Goalkeeper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4000000</v>
      </c>
      <c r="H305" s="16">
        <f>INDEX('Team forecast'!$B$2:$AO$26,MATCH('Master data'!$B305,'Team forecast'!$B$2:$B$26,0),MATCH('Master data'!H$1,'Team forecast'!$B$2:$AO$2,0))</f>
        <v>1.162032718107336</v>
      </c>
      <c r="I305" s="16">
        <f>INDEX('Team forecast'!$B$2:$AO$26,MATCH('Master data'!$B305,'Team forecast'!$B$2:$B$26,0),MATCH('Master data'!I$1,'Team forecast'!$B$2:$AO$2,0))</f>
        <v>0.87435064565555498</v>
      </c>
      <c r="J305" s="16">
        <f>INDEX('Team forecast'!$B$2:$AO$26,MATCH('Master data'!$B305,'Team forecast'!$B$2:$B$26,0),MATCH('Master data'!J$1,'Team forecast'!$B$2:$AO$2,0))</f>
        <v>0.41713279874828868</v>
      </c>
      <c r="K305" s="16">
        <f>INDEX('Team forecast'!$B$2:$AO$26,MATCH('Master data'!$B305,'Team forecast'!$B$2:$B$26,0),MATCH('Master data'!K$1,'Team forecast'!$B$2:$AO$2,0))</f>
        <v>3.2487816133000873</v>
      </c>
      <c r="L305" s="16">
        <f>INDEX('Team forecast'!$B$2:$AO$26,MATCH('Master data'!$B305,'Team forecast'!$B$2:$B$26,0),MATCH('Master data'!L$1,'Team forecast'!$B$2:$AO$2,0))</f>
        <v>2.3631098531231216</v>
      </c>
      <c r="M305">
        <f>IF(Players!BC306=1,95,0)</f>
        <v>95</v>
      </c>
      <c r="N305" s="2">
        <f>Players!BN306</f>
        <v>0</v>
      </c>
      <c r="O305" s="2">
        <f>Players!BO306</f>
        <v>0</v>
      </c>
      <c r="P305" s="2">
        <f>Players!BP306</f>
        <v>0</v>
      </c>
      <c r="Q305" s="2">
        <f>Players!BQ306</f>
        <v>1.6586804275709546E-2</v>
      </c>
      <c r="R305" s="2">
        <f>Players!BR306</f>
        <v>3.3173608551419091E-2</v>
      </c>
      <c r="S305" s="2">
        <f t="shared" si="133"/>
        <v>1.162032718107336</v>
      </c>
      <c r="T305" s="2">
        <f t="shared" si="134"/>
        <v>0.87435064565555498</v>
      </c>
      <c r="U305" s="16">
        <f>INDEX('Team forecast'!$B$2:$AO$26,MATCH('Master data'!$B305,'Team forecast'!$B$2:$B$26,0),MATCH('Master data'!U$1,'Team forecast'!$B$2:$AO$2,0))</f>
        <v>0.43653432427146488</v>
      </c>
      <c r="V305" s="16">
        <f>INDEX('Team forecast'!$B$2:$AO$26,MATCH('Master data'!$B305,'Team forecast'!$B$2:$B$26,0),MATCH('Master data'!V$1,'Team forecast'!$B$2:$AO$2,0))</f>
        <v>0.30275767651085472</v>
      </c>
      <c r="W305" s="16">
        <f>INDEX('Team forecast'!$B$2:$AO$26,MATCH('Master data'!$B305,'Team forecast'!$B$2:$B$26,0),MATCH('Master data'!W$1,'Team forecast'!$B$2:$AO$2,0))</f>
        <v>0.2607079992176804</v>
      </c>
      <c r="X305" s="5">
        <f t="shared" si="135"/>
        <v>7000</v>
      </c>
      <c r="Y305" s="5">
        <f t="shared" si="136"/>
        <v>10913.358106786622</v>
      </c>
      <c r="Z305" s="5">
        <f t="shared" si="137"/>
        <v>1513.7883825542735</v>
      </c>
      <c r="AA305" s="5">
        <f t="shared" si="138"/>
        <v>-3910.6199882652058</v>
      </c>
      <c r="AB305" s="5">
        <f t="shared" si="139"/>
        <v>0</v>
      </c>
      <c r="AC305" s="5">
        <f t="shared" si="140"/>
        <v>0</v>
      </c>
      <c r="AD305" s="5">
        <f t="shared" si="141"/>
        <v>0</v>
      </c>
      <c r="AE305" s="5">
        <f t="shared" si="142"/>
        <v>31284.95990612165</v>
      </c>
      <c r="AF305" s="5">
        <f t="shared" si="143"/>
        <v>7443.7960373378328</v>
      </c>
      <c r="AG305" s="5">
        <f t="shared" si="144"/>
        <v>-331.7360855141909</v>
      </c>
      <c r="AH305" s="5">
        <f t="shared" si="145"/>
        <v>-1658.6804275709546</v>
      </c>
      <c r="AI305" s="5">
        <f t="shared" si="146"/>
        <v>11620.32718107336</v>
      </c>
      <c r="AJ305" s="5">
        <f t="shared" si="147"/>
        <v>-6994.8051652444401</v>
      </c>
      <c r="AK305" s="5">
        <f>IFERROR(SUM(X305:AJ305),-5000)*((Cockpit!$C$3)^0)</f>
        <v>56880.387947278941</v>
      </c>
      <c r="AL305" s="16">
        <f>INDEX('Team forecast'!$B$2:$AO$26,MATCH('Master data'!$B305,'Team forecast'!$B$2:$B$26,0),MATCH('Master data'!AL$1,'Team forecast'!$B$2:$AO$2,0))</f>
        <v>0.79620558314709244</v>
      </c>
      <c r="AM305" s="16">
        <f>INDEX('Team forecast'!$B$2:$AO$26,MATCH('Master data'!$B305,'Team forecast'!$B$2:$B$26,0),MATCH('Master data'!AM$1,'Team forecast'!$B$2:$AO$2,0))</f>
        <v>1.5198357804321134</v>
      </c>
      <c r="AN305" s="16">
        <f>INDEX('Team forecast'!$B$2:$AO$26,MATCH('Master data'!$B305,'Team forecast'!$B$2:$B$26,0),MATCH('Master data'!AN$1,'Team forecast'!$B$2:$AO$2,0))</f>
        <v>0.21874780667306151</v>
      </c>
      <c r="AO305" s="16">
        <f>INDEX('Team forecast'!$B$2:$AO$26,MATCH('Master data'!$B305,'Team forecast'!$B$2:$B$26,0),MATCH('Master data'!AO$1,'Team forecast'!$B$2:$AO$2,0))</f>
        <v>2.2260113838689839</v>
      </c>
      <c r="AP305" s="16">
        <f>INDEX('Team forecast'!$B$2:$AO$26,MATCH('Master data'!$B305,'Team forecast'!$B$2:$B$26,0),MATCH('Master data'!AP$1,'Team forecast'!$B$2:$AO$2,0))</f>
        <v>4.1076642714381446</v>
      </c>
      <c r="AQ305" s="5">
        <f t="shared" si="148"/>
        <v>7000</v>
      </c>
      <c r="AR305" s="5">
        <f>INDEX('Team forecast'!$B$2:$AO$26,MATCH('Master data'!$B305,'Team forecast'!$B$2:$B$26,0),MATCH('Master data'!AR$1,'Team forecast'!$B$2:$AO$2,0))*IF(X305&gt;0,25000,0)</f>
        <v>4305.3545586107102</v>
      </c>
      <c r="AS305" s="16">
        <f>INDEX('Team forecast'!$B$2:$AO$26,MATCH('Master data'!$B305,'Team forecast'!$B$2:$B$26,0),MATCH('Master data'!AS$1,'Team forecast'!$B$2:$AO$2,0))*IF(X305&gt;0,5000,0)</f>
        <v>1353.111432706223</v>
      </c>
      <c r="AT305" s="16">
        <f>INDEX('Team forecast'!$B$2:$AO$26,MATCH('Master data'!$B305,'Team forecast'!$B$2:$B$26,0),MATCH('Master data'!AT$1,'Team forecast'!$B$2:$AO$2,0))*IF(X305&gt;0,-15000,0)</f>
        <v>-8357.4529667149072</v>
      </c>
      <c r="AU305" s="5">
        <f t="shared" si="149"/>
        <v>0</v>
      </c>
      <c r="AV305" s="5">
        <f t="shared" si="150"/>
        <v>0</v>
      </c>
      <c r="AW305" s="5">
        <f t="shared" si="151"/>
        <v>0</v>
      </c>
      <c r="AX305" s="5">
        <f t="shared" si="152"/>
        <v>16406.085500479614</v>
      </c>
      <c r="AY305" s="5">
        <f t="shared" si="153"/>
        <v>12939.142455030156</v>
      </c>
      <c r="AZ305" s="5">
        <f t="shared" si="154"/>
        <v>-331.7360855141909</v>
      </c>
      <c r="BA305" s="5">
        <f t="shared" si="155"/>
        <v>-1658.6804275709546</v>
      </c>
      <c r="BB305" s="5">
        <f t="shared" si="156"/>
        <v>7962.0558314709242</v>
      </c>
      <c r="BC305" s="5">
        <f t="shared" si="157"/>
        <v>-12158.686243456907</v>
      </c>
      <c r="BD305" s="5">
        <f t="shared" si="158"/>
        <v>27459.194055040665</v>
      </c>
      <c r="BE305" s="16">
        <f>INDEX('Team forecast'!$B$2:$AO$26,MATCH('Master data'!$B305,'Team forecast'!$B$2:$B$26,0),MATCH('Master data'!BE$1,'Team forecast'!$B$2:$AO$2,0))</f>
        <v>1.3677883945550393</v>
      </c>
      <c r="BF305" s="16">
        <f>INDEX('Team forecast'!$B$2:$AO$26,MATCH('Master data'!$B305,'Team forecast'!$B$2:$B$26,0),MATCH('Master data'!BF$1,'Team forecast'!$B$2:$AO$2,0))</f>
        <v>1.2246875509143662</v>
      </c>
      <c r="BG305" s="16">
        <f>INDEX('Team forecast'!$B$2:$AO$26,MATCH('Master data'!$B305,'Team forecast'!$B$2:$B$26,0),MATCH('Master data'!BG$1,'Team forecast'!$B$2:$AO$2,0))</f>
        <v>0.29384949898885449</v>
      </c>
      <c r="BH305" s="16">
        <f>INDEX('Team forecast'!$B$2:$AO$26,MATCH('Master data'!$B305,'Team forecast'!$B$2:$B$26,0),MATCH('Master data'!BH$1,'Team forecast'!$B$2:$AO$2,0))</f>
        <v>3.8240281171714834</v>
      </c>
      <c r="BI305" s="16">
        <f>INDEX('Team forecast'!$B$2:$AO$26,MATCH('Master data'!$B305,'Team forecast'!$B$2:$B$26,0),MATCH('Master data'!BI$1,'Team forecast'!$B$2:$AO$2,0))</f>
        <v>3.3099663538226114</v>
      </c>
      <c r="BJ305" s="5">
        <f t="shared" si="159"/>
        <v>7000</v>
      </c>
      <c r="BK305" s="5">
        <f>INDEX('Team forecast'!$R$3:$BH$26,MATCH($B305,'Team forecast'!$B$3:$B$26,0),MATCH(BK$1,'Team forecast'!$R$2:$BH$2,0))*IF($X305&gt;0,25000,0)</f>
        <v>9745.0088950385434</v>
      </c>
      <c r="BL305" s="5">
        <f>INDEX('Team forecast'!$R$3:$BH$26,MATCH($B305,'Team forecast'!$B$3:$B$26,0),MATCH(BL$1,'Team forecast'!$R$2:$BH$2,0))*IF($X305&gt;0,5000,0)</f>
        <v>1404.4277525202608</v>
      </c>
      <c r="BM305" s="5">
        <f>INDEX('Team forecast'!$R$3:$BH$26,MATCH($B305,'Team forecast'!$B$3:$B$26,0),MATCH(BM$1,'Team forecast'!$R$2:$BH$2,0))*IF($X305&gt;0,-15000,0)</f>
        <v>-4939.7114054160902</v>
      </c>
      <c r="BN305" s="5">
        <f t="shared" si="160"/>
        <v>0</v>
      </c>
      <c r="BO305" s="5">
        <f t="shared" si="161"/>
        <v>0</v>
      </c>
      <c r="BP305" s="5">
        <f t="shared" si="162"/>
        <v>0</v>
      </c>
      <c r="BQ305" s="5">
        <f t="shared" si="163"/>
        <v>22038.712424164085</v>
      </c>
      <c r="BR305" s="5">
        <f t="shared" si="164"/>
        <v>10426.394014541227</v>
      </c>
      <c r="BS305" s="5">
        <f t="shared" si="165"/>
        <v>-331.7360855141909</v>
      </c>
      <c r="BT305" s="5">
        <f t="shared" si="166"/>
        <v>-1658.6804275709546</v>
      </c>
      <c r="BU305" s="5">
        <f t="shared" si="167"/>
        <v>13677.883945550393</v>
      </c>
      <c r="BV305" s="5">
        <f t="shared" si="168"/>
        <v>-9797.5004073149303</v>
      </c>
      <c r="BW305" s="5">
        <f t="shared" si="169"/>
        <v>47564.798705998342</v>
      </c>
      <c r="BX305" s="5">
        <f t="shared" si="170"/>
        <v>43968.126902772645</v>
      </c>
      <c r="BY305" s="5">
        <f t="shared" si="171"/>
        <v>131904.38070831794</v>
      </c>
      <c r="BZ305" s="5">
        <f>INDEX('Team forecast'!$R$3:$BH$26,MATCH($B305,'Team forecast'!$B$3:$B$26,0),MATCH(BZ$1,'Team forecast'!$R$2:$BH$2,0))*($BX305-(BY305+CH305)*0.01)</f>
        <v>1691.2787289590847</v>
      </c>
      <c r="CA305" s="5">
        <f>INDEX('Team forecast'!$R$3:$BH$26,MATCH($B305,'Team forecast'!$B$3:$B$26,0),MATCH(CA$1,'Team forecast'!$R$2:$BH$2,0))*($BX305-(BY305+BX305+CH305)*0.01)</f>
        <v>695.36055313333134</v>
      </c>
      <c r="CB305" s="5">
        <f>INDEX('Team forecast'!$R$3:$BH$26,MATCH($B305,'Team forecast'!$B$3:$B$26,0),MATCH(CB$1,'Team forecast'!$R$2:$BH$2,0))*($BX305-(BY305+BX305*2+CH305)*0.01)</f>
        <v>271.00886058287205</v>
      </c>
      <c r="CC305" s="5">
        <f>INDEX('Team forecast'!$R$3:$BH$26,MATCH($B305,'Team forecast'!$B$3:$B$26,0),MATCH(CC$1,'Team forecast'!$R$2:$BH$2,0))*($BX305-(BY305+BX305*3+CH305)*0.01)</f>
        <v>94.588494407851528</v>
      </c>
      <c r="CD305" s="5">
        <f>+AK305+BD305*Cockpit!$C$3+BW305*Cockpit!$C$3^2+BZ305*Cockpit!$C$3^3+CA305*Cockpit!$C$3^4+CB305*Cockpit!$C$3^5+CC305*Cockpit!$C$3^6</f>
        <v>97008.895122666654</v>
      </c>
      <c r="CE305" s="5"/>
      <c r="CF305" s="5"/>
      <c r="CG305" s="5">
        <v>0</v>
      </c>
      <c r="CH305" s="5">
        <f t="shared" si="172"/>
        <v>4000000</v>
      </c>
      <c r="CI305" s="5">
        <f t="shared" si="173"/>
        <v>4000000</v>
      </c>
      <c r="CJ305" s="1">
        <f t="shared" si="174"/>
        <v>3.2976095177079487E-2</v>
      </c>
      <c r="CK305" s="5">
        <f>RANK(BY305,$BY$2:$BY$623)+COUNTIF($BY$2:$BY305,$BY305)-1</f>
        <v>114</v>
      </c>
      <c r="CL305" s="5">
        <f>RANK(CJ305,$CJ$2:$CJ$623)+COUNTIF($CJ$2:$CJ305,$CJ305)-1</f>
        <v>120</v>
      </c>
    </row>
    <row r="306" spans="1:90">
      <c r="A306" t="str">
        <f>Players!P307</f>
        <v>Ricardo Rodríguez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3500000</v>
      </c>
      <c r="H306" s="16">
        <f>INDEX('Team forecast'!$B$2:$AO$26,MATCH('Master data'!$B306,'Team forecast'!$B$2:$B$26,0),MATCH('Master data'!H$1,'Team forecast'!$B$2:$AO$2,0))</f>
        <v>1.162032718107336</v>
      </c>
      <c r="I306" s="16">
        <f>INDEX('Team forecast'!$B$2:$AO$26,MATCH('Master data'!$B306,'Team forecast'!$B$2:$B$26,0),MATCH('Master data'!I$1,'Team forecast'!$B$2:$AO$2,0))</f>
        <v>0.87435064565555498</v>
      </c>
      <c r="J306" s="16">
        <f>INDEX('Team forecast'!$B$2:$AO$26,MATCH('Master data'!$B306,'Team forecast'!$B$2:$B$26,0),MATCH('Master data'!J$1,'Team forecast'!$B$2:$AO$2,0))</f>
        <v>0.41713279874828868</v>
      </c>
      <c r="K306" s="16">
        <f>INDEX('Team forecast'!$B$2:$AO$26,MATCH('Master data'!$B306,'Team forecast'!$B$2:$B$26,0),MATCH('Master data'!K$1,'Team forecast'!$B$2:$AO$2,0))</f>
        <v>3.2487816133000873</v>
      </c>
      <c r="L306" s="16">
        <f>INDEX('Team forecast'!$B$2:$AO$26,MATCH('Master data'!$B306,'Team forecast'!$B$2:$B$26,0),MATCH('Master data'!L$1,'Team forecast'!$B$2:$AO$2,0))</f>
        <v>2.3631098531231216</v>
      </c>
      <c r="M306">
        <f>IF(Players!BC307=1,95,0)</f>
        <v>95</v>
      </c>
      <c r="N306" s="2">
        <f>Players!BN307</f>
        <v>3.487149825650418E-2</v>
      </c>
      <c r="O306" s="2">
        <f>Players!BO307</f>
        <v>2.6838070374083759E-2</v>
      </c>
      <c r="P306" s="2">
        <f>Players!BP307</f>
        <v>4.438902986976568E-2</v>
      </c>
      <c r="Q306" s="2">
        <f>Players!BQ307</f>
        <v>3.614457831325301E-2</v>
      </c>
      <c r="R306" s="2">
        <f>Players!BR307</f>
        <v>0</v>
      </c>
      <c r="S306" s="2">
        <f t="shared" si="133"/>
        <v>1.162032718107336</v>
      </c>
      <c r="T306" s="2">
        <f t="shared" si="134"/>
        <v>0.87435064565555498</v>
      </c>
      <c r="U306" s="16">
        <f>INDEX('Team forecast'!$B$2:$AO$26,MATCH('Master data'!$B306,'Team forecast'!$B$2:$B$26,0),MATCH('Master data'!U$1,'Team forecast'!$B$2:$AO$2,0))</f>
        <v>0.43653432427146488</v>
      </c>
      <c r="V306" s="16">
        <f>INDEX('Team forecast'!$B$2:$AO$26,MATCH('Master data'!$B306,'Team forecast'!$B$2:$B$26,0),MATCH('Master data'!V$1,'Team forecast'!$B$2:$AO$2,0))</f>
        <v>0.30275767651085472</v>
      </c>
      <c r="W306" s="16">
        <f>INDEX('Team forecast'!$B$2:$AO$26,MATCH('Master data'!$B306,'Team forecast'!$B$2:$B$26,0),MATCH('Master data'!W$1,'Team forecast'!$B$2:$AO$2,0))</f>
        <v>0.2607079992176804</v>
      </c>
      <c r="X306" s="5">
        <f t="shared" si="135"/>
        <v>7000</v>
      </c>
      <c r="Y306" s="5">
        <f t="shared" si="136"/>
        <v>10913.358106786622</v>
      </c>
      <c r="Z306" s="5">
        <f t="shared" si="137"/>
        <v>1513.7883825542735</v>
      </c>
      <c r="AA306" s="5">
        <f t="shared" si="138"/>
        <v>-3910.6199882652058</v>
      </c>
      <c r="AB306" s="5">
        <f t="shared" si="139"/>
        <v>6078.2732855221175</v>
      </c>
      <c r="AC306" s="5">
        <f t="shared" si="140"/>
        <v>1559.335793277626</v>
      </c>
      <c r="AD306" s="5">
        <f t="shared" si="141"/>
        <v>1442.1026407312308</v>
      </c>
      <c r="AE306" s="5">
        <f t="shared" si="142"/>
        <v>20856.639937414435</v>
      </c>
      <c r="AF306" s="5">
        <f t="shared" si="143"/>
        <v>0</v>
      </c>
      <c r="AG306" s="5">
        <f t="shared" si="144"/>
        <v>-722.89156626506019</v>
      </c>
      <c r="AH306" s="5">
        <f t="shared" si="145"/>
        <v>0</v>
      </c>
      <c r="AI306" s="5">
        <f t="shared" si="146"/>
        <v>11620.32718107336</v>
      </c>
      <c r="AJ306" s="5">
        <f t="shared" si="147"/>
        <v>-6994.8051652444401</v>
      </c>
      <c r="AK306" s="5">
        <f>IFERROR(SUM(X306:AJ306),-5000)*((Cockpit!$C$3)^0)</f>
        <v>49355.508607584954</v>
      </c>
      <c r="AL306" s="16">
        <f>INDEX('Team forecast'!$B$2:$AO$26,MATCH('Master data'!$B306,'Team forecast'!$B$2:$B$26,0),MATCH('Master data'!AL$1,'Team forecast'!$B$2:$AO$2,0))</f>
        <v>0.79620558314709244</v>
      </c>
      <c r="AM306" s="16">
        <f>INDEX('Team forecast'!$B$2:$AO$26,MATCH('Master data'!$B306,'Team forecast'!$B$2:$B$26,0),MATCH('Master data'!AM$1,'Team forecast'!$B$2:$AO$2,0))</f>
        <v>1.5198357804321134</v>
      </c>
      <c r="AN306" s="16">
        <f>INDEX('Team forecast'!$B$2:$AO$26,MATCH('Master data'!$B306,'Team forecast'!$B$2:$B$26,0),MATCH('Master data'!AN$1,'Team forecast'!$B$2:$AO$2,0))</f>
        <v>0.21874780667306151</v>
      </c>
      <c r="AO306" s="16">
        <f>INDEX('Team forecast'!$B$2:$AO$26,MATCH('Master data'!$B306,'Team forecast'!$B$2:$B$26,0),MATCH('Master data'!AO$1,'Team forecast'!$B$2:$AO$2,0))</f>
        <v>2.2260113838689839</v>
      </c>
      <c r="AP306" s="16">
        <f>INDEX('Team forecast'!$B$2:$AO$26,MATCH('Master data'!$B306,'Team forecast'!$B$2:$B$26,0),MATCH('Master data'!AP$1,'Team forecast'!$B$2:$AO$2,0))</f>
        <v>4.1076642714381446</v>
      </c>
      <c r="AQ306" s="5">
        <f t="shared" si="148"/>
        <v>7000</v>
      </c>
      <c r="AR306" s="5">
        <f>INDEX('Team forecast'!$B$2:$AO$26,MATCH('Master data'!$B306,'Team forecast'!$B$2:$B$26,0),MATCH('Master data'!AR$1,'Team forecast'!$B$2:$AO$2,0))*IF(X306&gt;0,25000,0)</f>
        <v>4305.3545586107102</v>
      </c>
      <c r="AS306" s="16">
        <f>INDEX('Team forecast'!$B$2:$AO$26,MATCH('Master data'!$B306,'Team forecast'!$B$2:$B$26,0),MATCH('Master data'!AS$1,'Team forecast'!$B$2:$AO$2,0))*IF(X306&gt;0,5000,0)</f>
        <v>1353.111432706223</v>
      </c>
      <c r="AT306" s="16">
        <f>INDEX('Team forecast'!$B$2:$AO$26,MATCH('Master data'!$B306,'Team forecast'!$B$2:$B$26,0),MATCH('Master data'!AT$1,'Team forecast'!$B$2:$AO$2,0))*IF(X306&gt;0,-15000,0)</f>
        <v>-8357.4529667149072</v>
      </c>
      <c r="AU306" s="5">
        <f t="shared" si="149"/>
        <v>4164.7322406799094</v>
      </c>
      <c r="AV306" s="5">
        <f t="shared" si="150"/>
        <v>1068.4310736370032</v>
      </c>
      <c r="AW306" s="5">
        <f t="shared" si="151"/>
        <v>988.1048580899876</v>
      </c>
      <c r="AX306" s="5">
        <f t="shared" si="152"/>
        <v>10937.390333653075</v>
      </c>
      <c r="AY306" s="5">
        <f t="shared" si="153"/>
        <v>0</v>
      </c>
      <c r="AZ306" s="5">
        <f t="shared" si="154"/>
        <v>-722.89156626506019</v>
      </c>
      <c r="BA306" s="5">
        <f t="shared" si="155"/>
        <v>0</v>
      </c>
      <c r="BB306" s="5">
        <f t="shared" si="156"/>
        <v>7962.0558314709242</v>
      </c>
      <c r="BC306" s="5">
        <f t="shared" si="157"/>
        <v>-12158.686243456907</v>
      </c>
      <c r="BD306" s="5">
        <f t="shared" si="158"/>
        <v>16540.149552410956</v>
      </c>
      <c r="BE306" s="16">
        <f>INDEX('Team forecast'!$B$2:$AO$26,MATCH('Master data'!$B306,'Team forecast'!$B$2:$B$26,0),MATCH('Master data'!BE$1,'Team forecast'!$B$2:$AO$2,0))</f>
        <v>1.3677883945550393</v>
      </c>
      <c r="BF306" s="16">
        <f>INDEX('Team forecast'!$B$2:$AO$26,MATCH('Master data'!$B306,'Team forecast'!$B$2:$B$26,0),MATCH('Master data'!BF$1,'Team forecast'!$B$2:$AO$2,0))</f>
        <v>1.2246875509143662</v>
      </c>
      <c r="BG306" s="16">
        <f>INDEX('Team forecast'!$B$2:$AO$26,MATCH('Master data'!$B306,'Team forecast'!$B$2:$B$26,0),MATCH('Master data'!BG$1,'Team forecast'!$B$2:$AO$2,0))</f>
        <v>0.29384949898885449</v>
      </c>
      <c r="BH306" s="16">
        <f>INDEX('Team forecast'!$B$2:$AO$26,MATCH('Master data'!$B306,'Team forecast'!$B$2:$B$26,0),MATCH('Master data'!BH$1,'Team forecast'!$B$2:$AO$2,0))</f>
        <v>3.8240281171714834</v>
      </c>
      <c r="BI306" s="16">
        <f>INDEX('Team forecast'!$B$2:$AO$26,MATCH('Master data'!$B306,'Team forecast'!$B$2:$B$26,0),MATCH('Master data'!BI$1,'Team forecast'!$B$2:$AO$2,0))</f>
        <v>3.3099663538226114</v>
      </c>
      <c r="BJ306" s="5">
        <f t="shared" si="159"/>
        <v>7000</v>
      </c>
      <c r="BK306" s="5">
        <f>INDEX('Team forecast'!$R$3:$BH$26,MATCH($B306,'Team forecast'!$B$3:$B$26,0),MATCH(BK$1,'Team forecast'!$R$2:$BH$2,0))*IF($X306&gt;0,25000,0)</f>
        <v>9745.0088950385434</v>
      </c>
      <c r="BL306" s="5">
        <f>INDEX('Team forecast'!$R$3:$BH$26,MATCH($B306,'Team forecast'!$B$3:$B$26,0),MATCH(BL$1,'Team forecast'!$R$2:$BH$2,0))*IF($X306&gt;0,5000,0)</f>
        <v>1404.4277525202608</v>
      </c>
      <c r="BM306" s="5">
        <f>INDEX('Team forecast'!$R$3:$BH$26,MATCH($B306,'Team forecast'!$B$3:$B$26,0),MATCH(BM$1,'Team forecast'!$R$2:$BH$2,0))*IF($X306&gt;0,-15000,0)</f>
        <v>-4939.7114054160902</v>
      </c>
      <c r="BN306" s="5">
        <f t="shared" si="160"/>
        <v>7154.524592398906</v>
      </c>
      <c r="BO306" s="5">
        <f t="shared" si="161"/>
        <v>1835.4400594961594</v>
      </c>
      <c r="BP306" s="5">
        <f t="shared" si="162"/>
        <v>1697.4489831594881</v>
      </c>
      <c r="BQ306" s="5">
        <f t="shared" si="163"/>
        <v>14692.474949442725</v>
      </c>
      <c r="BR306" s="5">
        <f t="shared" si="164"/>
        <v>0</v>
      </c>
      <c r="BS306" s="5">
        <f t="shared" si="165"/>
        <v>-722.89156626506019</v>
      </c>
      <c r="BT306" s="5">
        <f t="shared" si="166"/>
        <v>0</v>
      </c>
      <c r="BU306" s="5">
        <f t="shared" si="167"/>
        <v>13677.883945550393</v>
      </c>
      <c r="BV306" s="5">
        <f t="shared" si="168"/>
        <v>-9797.5004073149303</v>
      </c>
      <c r="BW306" s="5">
        <f t="shared" si="169"/>
        <v>41747.105798610384</v>
      </c>
      <c r="BX306" s="5">
        <f t="shared" si="170"/>
        <v>35880.921319535431</v>
      </c>
      <c r="BY306" s="5">
        <f t="shared" si="171"/>
        <v>107642.76395860629</v>
      </c>
      <c r="BZ306" s="5">
        <f>INDEX('Team forecast'!$R$3:$BH$26,MATCH($B306,'Team forecast'!$B$3:$B$26,0),MATCH(BZ$1,'Team forecast'!$R$2:$BH$2,0))*($BX306-(BY306+CH306)*0.01)</f>
        <v>-124.81891603050896</v>
      </c>
      <c r="CA306" s="5">
        <f>INDEX('Team forecast'!$R$3:$BH$26,MATCH($B306,'Team forecast'!$B$3:$B$26,0),MATCH(CA$1,'Team forecast'!$R$2:$BH$2,0))*($BX306-(BY306+BX306+CH306)*0.01)</f>
        <v>-174.45860284759326</v>
      </c>
      <c r="CB306" s="5">
        <f>INDEX('Team forecast'!$R$3:$BH$26,MATCH($B306,'Team forecast'!$B$3:$B$26,0),MATCH(CB$1,'Team forecast'!$R$2:$BH$2,0))*($BX306-(BY306+BX306*2+CH306)*0.01)</f>
        <v>-139.83275271093405</v>
      </c>
      <c r="CC306" s="5">
        <f>INDEX('Team forecast'!$R$3:$BH$26,MATCH($B306,'Team forecast'!$B$3:$B$26,0),MATCH(CC$1,'Team forecast'!$R$2:$BH$2,0))*($BX306-(BY306+BX306*3+CH306)*0.01)</f>
        <v>-90.456213781716173</v>
      </c>
      <c r="CD306" s="5">
        <f>+AK306+BD306*Cockpit!$C$3+BW306*Cockpit!$C$3^2+BZ306*Cockpit!$C$3^3+CA306*Cockpit!$C$3^4+CB306*Cockpit!$C$3^5+CC306*Cockpit!$C$3^6</f>
        <v>78838.744402655677</v>
      </c>
      <c r="CE306" s="5"/>
      <c r="CF306" s="5"/>
      <c r="CG306" s="5">
        <v>0</v>
      </c>
      <c r="CH306" s="5">
        <f t="shared" si="172"/>
        <v>3500000</v>
      </c>
      <c r="CI306" s="5">
        <f t="shared" si="173"/>
        <v>3500000</v>
      </c>
      <c r="CJ306" s="1">
        <f t="shared" si="174"/>
        <v>3.0755075416744652E-2</v>
      </c>
      <c r="CK306" s="5">
        <f>RANK(BY306,$BY$2:$BY$623)+COUNTIF($BY$2:$BY306,$BY306)-1</f>
        <v>155</v>
      </c>
      <c r="CL306" s="5">
        <f>RANK(CJ306,$CJ$2:$CJ$623)+COUNTIF($CJ$2:$CJ306,$CJ306)-1</f>
        <v>136</v>
      </c>
    </row>
    <row r="307" spans="1:90">
      <c r="A307" t="str">
        <f>Players!P308</f>
        <v>Fabian Schär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2500000</v>
      </c>
      <c r="H307" s="16">
        <f>INDEX('Team forecast'!$B$2:$AO$26,MATCH('Master data'!$B307,'Team forecast'!$B$2:$B$26,0),MATCH('Master data'!H$1,'Team forecast'!$B$2:$AO$2,0))</f>
        <v>1.162032718107336</v>
      </c>
      <c r="I307" s="16">
        <f>INDEX('Team forecast'!$B$2:$AO$26,MATCH('Master data'!$B307,'Team forecast'!$B$2:$B$26,0),MATCH('Master data'!I$1,'Team forecast'!$B$2:$AO$2,0))</f>
        <v>0.87435064565555498</v>
      </c>
      <c r="J307" s="16">
        <f>INDEX('Team forecast'!$B$2:$AO$26,MATCH('Master data'!$B307,'Team forecast'!$B$2:$B$26,0),MATCH('Master data'!J$1,'Team forecast'!$B$2:$AO$2,0))</f>
        <v>0.41713279874828868</v>
      </c>
      <c r="K307" s="16">
        <f>INDEX('Team forecast'!$B$2:$AO$26,MATCH('Master data'!$B307,'Team forecast'!$B$2:$B$26,0),MATCH('Master data'!K$1,'Team forecast'!$B$2:$AO$2,0))</f>
        <v>3.2487816133000873</v>
      </c>
      <c r="L307" s="16">
        <f>INDEX('Team forecast'!$B$2:$AO$26,MATCH('Master data'!$B307,'Team forecast'!$B$2:$B$26,0),MATCH('Master data'!L$1,'Team forecast'!$B$2:$AO$2,0))</f>
        <v>2.3631098531231216</v>
      </c>
      <c r="M307">
        <f>IF(Players!BC308=1,95,0)</f>
        <v>0</v>
      </c>
      <c r="N307" s="2">
        <f>Players!BN308</f>
        <v>0</v>
      </c>
      <c r="O307" s="2">
        <f>Players!BO308</f>
        <v>0</v>
      </c>
      <c r="P307" s="2">
        <f>Players!BP308</f>
        <v>0</v>
      </c>
      <c r="Q307" s="2">
        <f>Players!BQ308</f>
        <v>0.24457831325301205</v>
      </c>
      <c r="R307" s="2">
        <f>Players!BR308</f>
        <v>0.06</v>
      </c>
      <c r="S307" s="2">
        <f t="shared" si="133"/>
        <v>1.162032718107336</v>
      </c>
      <c r="T307" s="2">
        <f t="shared" si="134"/>
        <v>0.87435064565555498</v>
      </c>
      <c r="U307" s="16">
        <f>INDEX('Team forecast'!$B$2:$AO$26,MATCH('Master data'!$B307,'Team forecast'!$B$2:$B$26,0),MATCH('Master data'!U$1,'Team forecast'!$B$2:$AO$2,0))</f>
        <v>0.43653432427146488</v>
      </c>
      <c r="V307" s="16">
        <f>INDEX('Team forecast'!$B$2:$AO$26,MATCH('Master data'!$B307,'Team forecast'!$B$2:$B$26,0),MATCH('Master data'!V$1,'Team forecast'!$B$2:$AO$2,0))</f>
        <v>0.30275767651085472</v>
      </c>
      <c r="W307" s="16">
        <f>INDEX('Team forecast'!$B$2:$AO$26,MATCH('Master data'!$B307,'Team forecast'!$B$2:$B$26,0),MATCH('Master data'!W$1,'Team forecast'!$B$2:$AO$2,0))</f>
        <v>0.2607079992176804</v>
      </c>
      <c r="X307" s="5">
        <f t="shared" si="135"/>
        <v>-5000</v>
      </c>
      <c r="Y307" s="5">
        <f t="shared" si="136"/>
        <v>0</v>
      </c>
      <c r="Z307" s="5">
        <f t="shared" si="137"/>
        <v>0</v>
      </c>
      <c r="AA307" s="5">
        <f t="shared" si="138"/>
        <v>0</v>
      </c>
      <c r="AB307" s="5">
        <f t="shared" si="139"/>
        <v>0</v>
      </c>
      <c r="AC307" s="5">
        <f t="shared" si="140"/>
        <v>0</v>
      </c>
      <c r="AD307" s="5">
        <f t="shared" si="141"/>
        <v>0</v>
      </c>
      <c r="AE307" s="5">
        <f t="shared" si="142"/>
        <v>20856.639937414435</v>
      </c>
      <c r="AF307" s="5">
        <f t="shared" si="143"/>
        <v>0</v>
      </c>
      <c r="AG307" s="5">
        <f t="shared" si="144"/>
        <v>0</v>
      </c>
      <c r="AH307" s="5">
        <f t="shared" si="145"/>
        <v>0</v>
      </c>
      <c r="AI307" s="5">
        <f t="shared" si="146"/>
        <v>0</v>
      </c>
      <c r="AJ307" s="5">
        <f t="shared" si="147"/>
        <v>0</v>
      </c>
      <c r="AK307" s="5">
        <f>IFERROR(SUM(X307:AJ307),-5000)*((Cockpit!$C$3)^0)</f>
        <v>15856.639937414435</v>
      </c>
      <c r="AL307" s="16">
        <f>INDEX('Team forecast'!$B$2:$AO$26,MATCH('Master data'!$B307,'Team forecast'!$B$2:$B$26,0),MATCH('Master data'!AL$1,'Team forecast'!$B$2:$AO$2,0))</f>
        <v>0.79620558314709244</v>
      </c>
      <c r="AM307" s="16">
        <f>INDEX('Team forecast'!$B$2:$AO$26,MATCH('Master data'!$B307,'Team forecast'!$B$2:$B$26,0),MATCH('Master data'!AM$1,'Team forecast'!$B$2:$AO$2,0))</f>
        <v>1.5198357804321134</v>
      </c>
      <c r="AN307" s="16">
        <f>INDEX('Team forecast'!$B$2:$AO$26,MATCH('Master data'!$B307,'Team forecast'!$B$2:$B$26,0),MATCH('Master data'!AN$1,'Team forecast'!$B$2:$AO$2,0))</f>
        <v>0.21874780667306151</v>
      </c>
      <c r="AO307" s="16">
        <f>INDEX('Team forecast'!$B$2:$AO$26,MATCH('Master data'!$B307,'Team forecast'!$B$2:$B$26,0),MATCH('Master data'!AO$1,'Team forecast'!$B$2:$AO$2,0))</f>
        <v>2.2260113838689839</v>
      </c>
      <c r="AP307" s="16">
        <f>INDEX('Team forecast'!$B$2:$AO$26,MATCH('Master data'!$B307,'Team forecast'!$B$2:$B$26,0),MATCH('Master data'!AP$1,'Team forecast'!$B$2:$AO$2,0))</f>
        <v>4.1076642714381446</v>
      </c>
      <c r="AQ307" s="5">
        <f t="shared" si="148"/>
        <v>-5000</v>
      </c>
      <c r="AR307" s="5">
        <f>INDEX('Team forecast'!$B$2:$AO$26,MATCH('Master data'!$B307,'Team forecast'!$B$2:$B$26,0),MATCH('Master data'!AR$1,'Team forecast'!$B$2:$AO$2,0))*IF(X307&gt;0,25000,0)</f>
        <v>0</v>
      </c>
      <c r="AS307" s="16">
        <f>INDEX('Team forecast'!$B$2:$AO$26,MATCH('Master data'!$B307,'Team forecast'!$B$2:$B$26,0),MATCH('Master data'!AS$1,'Team forecast'!$B$2:$AO$2,0))*IF(X307&gt;0,5000,0)</f>
        <v>0</v>
      </c>
      <c r="AT307" s="16">
        <f>INDEX('Team forecast'!$B$2:$AO$26,MATCH('Master data'!$B307,'Team forecast'!$B$2:$B$26,0),MATCH('Master data'!AT$1,'Team forecast'!$B$2:$AO$2,0))*IF(X307&gt;0,-15000,0)</f>
        <v>0</v>
      </c>
      <c r="AU307" s="5">
        <f t="shared" si="149"/>
        <v>0</v>
      </c>
      <c r="AV307" s="5">
        <f t="shared" si="150"/>
        <v>0</v>
      </c>
      <c r="AW307" s="5">
        <f t="shared" si="151"/>
        <v>0</v>
      </c>
      <c r="AX307" s="5">
        <f t="shared" si="152"/>
        <v>10937.390333653075</v>
      </c>
      <c r="AY307" s="5">
        <f t="shared" si="153"/>
        <v>0</v>
      </c>
      <c r="AZ307" s="5">
        <f t="shared" si="154"/>
        <v>0</v>
      </c>
      <c r="BA307" s="5">
        <f t="shared" si="155"/>
        <v>0</v>
      </c>
      <c r="BB307" s="5">
        <f t="shared" si="156"/>
        <v>0</v>
      </c>
      <c r="BC307" s="5">
        <f t="shared" si="157"/>
        <v>0</v>
      </c>
      <c r="BD307" s="5">
        <f t="shared" si="158"/>
        <v>5937.3903336530748</v>
      </c>
      <c r="BE307" s="16">
        <f>INDEX('Team forecast'!$B$2:$AO$26,MATCH('Master data'!$B307,'Team forecast'!$B$2:$B$26,0),MATCH('Master data'!BE$1,'Team forecast'!$B$2:$AO$2,0))</f>
        <v>1.3677883945550393</v>
      </c>
      <c r="BF307" s="16">
        <f>INDEX('Team forecast'!$B$2:$AO$26,MATCH('Master data'!$B307,'Team forecast'!$B$2:$B$26,0),MATCH('Master data'!BF$1,'Team forecast'!$B$2:$AO$2,0))</f>
        <v>1.2246875509143662</v>
      </c>
      <c r="BG307" s="16">
        <f>INDEX('Team forecast'!$B$2:$AO$26,MATCH('Master data'!$B307,'Team forecast'!$B$2:$B$26,0),MATCH('Master data'!BG$1,'Team forecast'!$B$2:$AO$2,0))</f>
        <v>0.29384949898885449</v>
      </c>
      <c r="BH307" s="16">
        <f>INDEX('Team forecast'!$B$2:$AO$26,MATCH('Master data'!$B307,'Team forecast'!$B$2:$B$26,0),MATCH('Master data'!BH$1,'Team forecast'!$B$2:$AO$2,0))</f>
        <v>3.8240281171714834</v>
      </c>
      <c r="BI307" s="16">
        <f>INDEX('Team forecast'!$B$2:$AO$26,MATCH('Master data'!$B307,'Team forecast'!$B$2:$B$26,0),MATCH('Master data'!BI$1,'Team forecast'!$B$2:$AO$2,0))</f>
        <v>3.3099663538226114</v>
      </c>
      <c r="BJ307" s="5">
        <f t="shared" si="159"/>
        <v>-5000</v>
      </c>
      <c r="BK307" s="5">
        <f>INDEX('Team forecast'!$R$3:$BH$26,MATCH($B307,'Team forecast'!$B$3:$B$26,0),MATCH(BK$1,'Team forecast'!$R$2:$BH$2,0))*IF($X307&gt;0,25000,0)</f>
        <v>0</v>
      </c>
      <c r="BL307" s="5">
        <f>INDEX('Team forecast'!$R$3:$BH$26,MATCH($B307,'Team forecast'!$B$3:$B$26,0),MATCH(BL$1,'Team forecast'!$R$2:$BH$2,0))*IF($X307&gt;0,5000,0)</f>
        <v>0</v>
      </c>
      <c r="BM307" s="5">
        <f>INDEX('Team forecast'!$R$3:$BH$26,MATCH($B307,'Team forecast'!$B$3:$B$26,0),MATCH(BM$1,'Team forecast'!$R$2:$BH$2,0))*IF($X307&gt;0,-15000,0)</f>
        <v>0</v>
      </c>
      <c r="BN307" s="5">
        <f t="shared" si="160"/>
        <v>0</v>
      </c>
      <c r="BO307" s="5">
        <f t="shared" si="161"/>
        <v>0</v>
      </c>
      <c r="BP307" s="5">
        <f t="shared" si="162"/>
        <v>0</v>
      </c>
      <c r="BQ307" s="5">
        <f t="shared" si="163"/>
        <v>14692.474949442725</v>
      </c>
      <c r="BR307" s="5">
        <f t="shared" si="164"/>
        <v>0</v>
      </c>
      <c r="BS307" s="5">
        <f t="shared" si="165"/>
        <v>0</v>
      </c>
      <c r="BT307" s="5">
        <f t="shared" si="166"/>
        <v>0</v>
      </c>
      <c r="BU307" s="5">
        <f t="shared" si="167"/>
        <v>0</v>
      </c>
      <c r="BV307" s="5">
        <f t="shared" si="168"/>
        <v>0</v>
      </c>
      <c r="BW307" s="5">
        <f t="shared" si="169"/>
        <v>9692.4749494427251</v>
      </c>
      <c r="BX307" s="5">
        <f t="shared" si="170"/>
        <v>10495.501740170077</v>
      </c>
      <c r="BY307" s="5">
        <f t="shared" si="171"/>
        <v>31486.505220510233</v>
      </c>
      <c r="BZ307" s="5">
        <f>INDEX('Team forecast'!$R$3:$BH$26,MATCH($B307,'Team forecast'!$B$3:$B$26,0),MATCH(BZ$1,'Team forecast'!$R$2:$BH$2,0))*($BX307-(BY307+CH307)*0.01)</f>
        <v>-9461.2637810964134</v>
      </c>
      <c r="CA307" s="5">
        <f>INDEX('Team forecast'!$R$3:$BH$26,MATCH($B307,'Team forecast'!$B$3:$B$26,0),MATCH(CA$1,'Team forecast'!$R$2:$BH$2,0))*($BX307-(BY307+BX307+CH307)*0.01)</f>
        <v>-4697.1004203319608</v>
      </c>
      <c r="CB307" s="5">
        <f>INDEX('Team forecast'!$R$3:$BH$26,MATCH($B307,'Team forecast'!$B$3:$B$26,0),MATCH(CB$1,'Team forecast'!$R$2:$BH$2,0))*($BX307-(BY307+BX307*2+CH307)*0.01)</f>
        <v>-2301.530728987294</v>
      </c>
      <c r="CC307" s="5">
        <f>INDEX('Team forecast'!$R$3:$BH$26,MATCH($B307,'Team forecast'!$B$3:$B$26,0),MATCH(CC$1,'Team forecast'!$R$2:$BH$2,0))*($BX307-(BY307+BX307*3+CH307)*0.01)</f>
        <v>-1076.3019463117719</v>
      </c>
      <c r="CD307" s="5">
        <f>+AK307+BD307*Cockpit!$C$3+BW307*Cockpit!$C$3^2+BZ307*Cockpit!$C$3^3+CA307*Cockpit!$C$3^4+CB307*Cockpit!$C$3^5+CC307*Cockpit!$C$3^6</f>
        <v>19993.934689106449</v>
      </c>
      <c r="CE307" s="5"/>
      <c r="CF307" s="5"/>
      <c r="CG307" s="5">
        <v>0</v>
      </c>
      <c r="CH307" s="5">
        <f t="shared" si="172"/>
        <v>2500000</v>
      </c>
      <c r="CI307" s="5">
        <f t="shared" si="173"/>
        <v>2500000</v>
      </c>
      <c r="CJ307" s="1">
        <f t="shared" si="174"/>
        <v>1.2594602088204093E-2</v>
      </c>
      <c r="CK307" s="5">
        <f>RANK(BY307,$BY$2:$BY$623)+COUNTIF($BY$2:$BY307,$BY307)-1</f>
        <v>338</v>
      </c>
      <c r="CL307" s="5">
        <f>RANK(CJ307,$CJ$2:$CJ$623)+COUNTIF($CJ$2:$CJ307,$CJ307)-1</f>
        <v>330</v>
      </c>
    </row>
    <row r="308" spans="1:90">
      <c r="A308" t="str">
        <f>Players!P309</f>
        <v>Manuel Akanji</v>
      </c>
      <c r="B308" t="str">
        <f>Players!G309</f>
        <v>Switzerland</v>
      </c>
      <c r="C308" t="str">
        <f>Players!AB309</f>
        <v>Defense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3500000</v>
      </c>
      <c r="H308" s="16">
        <f>INDEX('Team forecast'!$B$2:$AO$26,MATCH('Master data'!$B308,'Team forecast'!$B$2:$B$26,0),MATCH('Master data'!H$1,'Team forecast'!$B$2:$AO$2,0))</f>
        <v>1.162032718107336</v>
      </c>
      <c r="I308" s="16">
        <f>INDEX('Team forecast'!$B$2:$AO$26,MATCH('Master data'!$B308,'Team forecast'!$B$2:$B$26,0),MATCH('Master data'!I$1,'Team forecast'!$B$2:$AO$2,0))</f>
        <v>0.87435064565555498</v>
      </c>
      <c r="J308" s="16">
        <f>INDEX('Team forecast'!$B$2:$AO$26,MATCH('Master data'!$B308,'Team forecast'!$B$2:$B$26,0),MATCH('Master data'!J$1,'Team forecast'!$B$2:$AO$2,0))</f>
        <v>0.41713279874828868</v>
      </c>
      <c r="K308" s="16">
        <f>INDEX('Team forecast'!$B$2:$AO$26,MATCH('Master data'!$B308,'Team forecast'!$B$2:$B$26,0),MATCH('Master data'!K$1,'Team forecast'!$B$2:$AO$2,0))</f>
        <v>3.2487816133000873</v>
      </c>
      <c r="L308" s="16">
        <f>INDEX('Team forecast'!$B$2:$AO$26,MATCH('Master data'!$B308,'Team forecast'!$B$2:$B$26,0),MATCH('Master data'!L$1,'Team forecast'!$B$2:$AO$2,0))</f>
        <v>2.3631098531231216</v>
      </c>
      <c r="M308">
        <f>IF(Players!BC309=1,95,0)</f>
        <v>95</v>
      </c>
      <c r="N308" s="2">
        <f>Players!BN309</f>
        <v>6.0213681533355302E-2</v>
      </c>
      <c r="O308" s="2">
        <f>Players!BO309</f>
        <v>4.501949882528837E-2</v>
      </c>
      <c r="P308" s="2">
        <f>Players!BP309</f>
        <v>5.876684622273317E-2</v>
      </c>
      <c r="Q308" s="2">
        <f>Players!BQ309</f>
        <v>0.22656316461080389</v>
      </c>
      <c r="R308" s="2">
        <f>Players!BR309</f>
        <v>0</v>
      </c>
      <c r="S308" s="2">
        <f t="shared" si="133"/>
        <v>1.162032718107336</v>
      </c>
      <c r="T308" s="2">
        <f t="shared" si="134"/>
        <v>0.87435064565555498</v>
      </c>
      <c r="U308" s="16">
        <f>INDEX('Team forecast'!$B$2:$AO$26,MATCH('Master data'!$B308,'Team forecast'!$B$2:$B$26,0),MATCH('Master data'!U$1,'Team forecast'!$B$2:$AO$2,0))</f>
        <v>0.43653432427146488</v>
      </c>
      <c r="V308" s="16">
        <f>INDEX('Team forecast'!$B$2:$AO$26,MATCH('Master data'!$B308,'Team forecast'!$B$2:$B$26,0),MATCH('Master data'!V$1,'Team forecast'!$B$2:$AO$2,0))</f>
        <v>0.30275767651085472</v>
      </c>
      <c r="W308" s="16">
        <f>INDEX('Team forecast'!$B$2:$AO$26,MATCH('Master data'!$B308,'Team forecast'!$B$2:$B$26,0),MATCH('Master data'!W$1,'Team forecast'!$B$2:$AO$2,0))</f>
        <v>0.2607079992176804</v>
      </c>
      <c r="X308" s="5">
        <f t="shared" si="135"/>
        <v>7000</v>
      </c>
      <c r="Y308" s="5">
        <f t="shared" si="136"/>
        <v>10913.358106786622</v>
      </c>
      <c r="Z308" s="5">
        <f t="shared" si="137"/>
        <v>1513.7883825542735</v>
      </c>
      <c r="AA308" s="5">
        <f t="shared" si="138"/>
        <v>-3910.6199882652058</v>
      </c>
      <c r="AB308" s="5">
        <f t="shared" si="139"/>
        <v>10495.540202918155</v>
      </c>
      <c r="AC308" s="5">
        <f t="shared" si="140"/>
        <v>2615.7065293889937</v>
      </c>
      <c r="AD308" s="5">
        <f t="shared" si="141"/>
        <v>1909.2064948004922</v>
      </c>
      <c r="AE308" s="5">
        <f t="shared" si="142"/>
        <v>20856.639937414435</v>
      </c>
      <c r="AF308" s="5">
        <f t="shared" si="143"/>
        <v>0</v>
      </c>
      <c r="AG308" s="5">
        <f t="shared" si="144"/>
        <v>-4531.2632922160774</v>
      </c>
      <c r="AH308" s="5">
        <f t="shared" si="145"/>
        <v>0</v>
      </c>
      <c r="AI308" s="5">
        <f t="shared" si="146"/>
        <v>11620.32718107336</v>
      </c>
      <c r="AJ308" s="5">
        <f t="shared" si="147"/>
        <v>-6994.8051652444401</v>
      </c>
      <c r="AK308" s="5">
        <f>IFERROR(SUM(X308:AJ308),-5000)*((Cockpit!$C$3)^0)</f>
        <v>51487.878389210615</v>
      </c>
      <c r="AL308" s="16">
        <f>INDEX('Team forecast'!$B$2:$AO$26,MATCH('Master data'!$B308,'Team forecast'!$B$2:$B$26,0),MATCH('Master data'!AL$1,'Team forecast'!$B$2:$AO$2,0))</f>
        <v>0.79620558314709244</v>
      </c>
      <c r="AM308" s="16">
        <f>INDEX('Team forecast'!$B$2:$AO$26,MATCH('Master data'!$B308,'Team forecast'!$B$2:$B$26,0),MATCH('Master data'!AM$1,'Team forecast'!$B$2:$AO$2,0))</f>
        <v>1.5198357804321134</v>
      </c>
      <c r="AN308" s="16">
        <f>INDEX('Team forecast'!$B$2:$AO$26,MATCH('Master data'!$B308,'Team forecast'!$B$2:$B$26,0),MATCH('Master data'!AN$1,'Team forecast'!$B$2:$AO$2,0))</f>
        <v>0.21874780667306151</v>
      </c>
      <c r="AO308" s="16">
        <f>INDEX('Team forecast'!$B$2:$AO$26,MATCH('Master data'!$B308,'Team forecast'!$B$2:$B$26,0),MATCH('Master data'!AO$1,'Team forecast'!$B$2:$AO$2,0))</f>
        <v>2.2260113838689839</v>
      </c>
      <c r="AP308" s="16">
        <f>INDEX('Team forecast'!$B$2:$AO$26,MATCH('Master data'!$B308,'Team forecast'!$B$2:$B$26,0),MATCH('Master data'!AP$1,'Team forecast'!$B$2:$AO$2,0))</f>
        <v>4.1076642714381446</v>
      </c>
      <c r="AQ308" s="5">
        <f t="shared" si="148"/>
        <v>7000</v>
      </c>
      <c r="AR308" s="5">
        <f>INDEX('Team forecast'!$B$2:$AO$26,MATCH('Master data'!$B308,'Team forecast'!$B$2:$B$26,0),MATCH('Master data'!AR$1,'Team forecast'!$B$2:$AO$2,0))*IF(X308&gt;0,25000,0)</f>
        <v>4305.3545586107102</v>
      </c>
      <c r="AS308" s="16">
        <f>INDEX('Team forecast'!$B$2:$AO$26,MATCH('Master data'!$B308,'Team forecast'!$B$2:$B$26,0),MATCH('Master data'!AS$1,'Team forecast'!$B$2:$AO$2,0))*IF(X308&gt;0,5000,0)</f>
        <v>1353.111432706223</v>
      </c>
      <c r="AT308" s="16">
        <f>INDEX('Team forecast'!$B$2:$AO$26,MATCH('Master data'!$B308,'Team forecast'!$B$2:$B$26,0),MATCH('Master data'!AT$1,'Team forecast'!$B$2:$AO$2,0))*IF(X308&gt;0,-15000,0)</f>
        <v>-8357.4529667149072</v>
      </c>
      <c r="AU308" s="5">
        <f t="shared" si="149"/>
        <v>7191.3704128047702</v>
      </c>
      <c r="AV308" s="5">
        <f t="shared" si="150"/>
        <v>1792.2388157589287</v>
      </c>
      <c r="AW308" s="5">
        <f t="shared" si="151"/>
        <v>1308.1566868588204</v>
      </c>
      <c r="AX308" s="5">
        <f t="shared" si="152"/>
        <v>10937.390333653075</v>
      </c>
      <c r="AY308" s="5">
        <f t="shared" si="153"/>
        <v>0</v>
      </c>
      <c r="AZ308" s="5">
        <f t="shared" si="154"/>
        <v>-4531.2632922160774</v>
      </c>
      <c r="BA308" s="5">
        <f t="shared" si="155"/>
        <v>0</v>
      </c>
      <c r="BB308" s="5">
        <f t="shared" si="156"/>
        <v>7962.0558314709242</v>
      </c>
      <c r="BC308" s="5">
        <f t="shared" si="157"/>
        <v>-12158.686243456907</v>
      </c>
      <c r="BD308" s="5">
        <f t="shared" si="158"/>
        <v>16802.275569475554</v>
      </c>
      <c r="BE308" s="16">
        <f>INDEX('Team forecast'!$B$2:$AO$26,MATCH('Master data'!$B308,'Team forecast'!$B$2:$B$26,0),MATCH('Master data'!BE$1,'Team forecast'!$B$2:$AO$2,0))</f>
        <v>1.3677883945550393</v>
      </c>
      <c r="BF308" s="16">
        <f>INDEX('Team forecast'!$B$2:$AO$26,MATCH('Master data'!$B308,'Team forecast'!$B$2:$B$26,0),MATCH('Master data'!BF$1,'Team forecast'!$B$2:$AO$2,0))</f>
        <v>1.2246875509143662</v>
      </c>
      <c r="BG308" s="16">
        <f>INDEX('Team forecast'!$B$2:$AO$26,MATCH('Master data'!$B308,'Team forecast'!$B$2:$B$26,0),MATCH('Master data'!BG$1,'Team forecast'!$B$2:$AO$2,0))</f>
        <v>0.29384949898885449</v>
      </c>
      <c r="BH308" s="16">
        <f>INDEX('Team forecast'!$B$2:$AO$26,MATCH('Master data'!$B308,'Team forecast'!$B$2:$B$26,0),MATCH('Master data'!BH$1,'Team forecast'!$B$2:$AO$2,0))</f>
        <v>3.8240281171714834</v>
      </c>
      <c r="BI308" s="16">
        <f>INDEX('Team forecast'!$B$2:$AO$26,MATCH('Master data'!$B308,'Team forecast'!$B$2:$B$26,0),MATCH('Master data'!BI$1,'Team forecast'!$B$2:$AO$2,0))</f>
        <v>3.3099663538226114</v>
      </c>
      <c r="BJ308" s="5">
        <f t="shared" si="159"/>
        <v>7000</v>
      </c>
      <c r="BK308" s="5">
        <f>INDEX('Team forecast'!$R$3:$BH$26,MATCH($B308,'Team forecast'!$B$3:$B$26,0),MATCH(BK$1,'Team forecast'!$R$2:$BH$2,0))*IF($X308&gt;0,25000,0)</f>
        <v>9745.0088950385434</v>
      </c>
      <c r="BL308" s="5">
        <f>INDEX('Team forecast'!$R$3:$BH$26,MATCH($B308,'Team forecast'!$B$3:$B$26,0),MATCH(BL$1,'Team forecast'!$R$2:$BH$2,0))*IF($X308&gt;0,5000,0)</f>
        <v>1404.4277525202608</v>
      </c>
      <c r="BM308" s="5">
        <f>INDEX('Team forecast'!$R$3:$BH$26,MATCH($B308,'Team forecast'!$B$3:$B$26,0),MATCH(BM$1,'Team forecast'!$R$2:$BH$2,0))*IF($X308&gt;0,-15000,0)</f>
        <v>-4939.7114054160902</v>
      </c>
      <c r="BN308" s="5">
        <f t="shared" si="160"/>
        <v>12353.93621921347</v>
      </c>
      <c r="BO308" s="5">
        <f t="shared" si="161"/>
        <v>3078.8574010956831</v>
      </c>
      <c r="BP308" s="5">
        <f t="shared" si="162"/>
        <v>2247.260723132244</v>
      </c>
      <c r="BQ308" s="5">
        <f t="shared" si="163"/>
        <v>14692.474949442725</v>
      </c>
      <c r="BR308" s="5">
        <f t="shared" si="164"/>
        <v>0</v>
      </c>
      <c r="BS308" s="5">
        <f t="shared" si="165"/>
        <v>-4531.2632922160774</v>
      </c>
      <c r="BT308" s="5">
        <f t="shared" si="166"/>
        <v>0</v>
      </c>
      <c r="BU308" s="5">
        <f t="shared" si="167"/>
        <v>13677.883945550393</v>
      </c>
      <c r="BV308" s="5">
        <f t="shared" si="168"/>
        <v>-9797.5004073149303</v>
      </c>
      <c r="BW308" s="5">
        <f t="shared" si="169"/>
        <v>44931.374781046216</v>
      </c>
      <c r="BX308" s="5">
        <f t="shared" si="170"/>
        <v>37740.509579910788</v>
      </c>
      <c r="BY308" s="5">
        <f t="shared" si="171"/>
        <v>113221.52873973237</v>
      </c>
      <c r="BZ308" s="5">
        <f>INDEX('Team forecast'!$R$3:$BH$26,MATCH($B308,'Team forecast'!$B$3:$B$26,0),MATCH(BZ$1,'Team forecast'!$R$2:$BH$2,0))*($BX308-(BY308+CH308)*0.01)</f>
        <v>1026.7982651281761</v>
      </c>
      <c r="CA308" s="5">
        <f>INDEX('Team forecast'!$R$3:$BH$26,MATCH($B308,'Team forecast'!$B$3:$B$26,0),MATCH(CA$1,'Team forecast'!$R$2:$BH$2,0))*($BX308-(BY308+BX308+CH308)*0.01)</f>
        <v>387.39525890877235</v>
      </c>
      <c r="CB308" s="5">
        <f>INDEX('Team forecast'!$R$3:$BH$26,MATCH($B308,'Team forecast'!$B$3:$B$26,0),MATCH(CB$1,'Team forecast'!$R$2:$BH$2,0))*($BX308-(BY308+BX308*2+CH308)*0.01)</f>
        <v>130.69959136592212</v>
      </c>
      <c r="CC308" s="5">
        <f>INDEX('Team forecast'!$R$3:$BH$26,MATCH($B308,'Team forecast'!$B$3:$B$26,0),MATCH(CC$1,'Team forecast'!$R$2:$BH$2,0))*($BX308-(BY308+BX308*3+CH308)*0.01)</f>
        <v>33.857342936320826</v>
      </c>
      <c r="CD308" s="5">
        <f>+AK308+BD308*Cockpit!$C$3+BW308*Cockpit!$C$3^2+BZ308*Cockpit!$C$3^3+CA308*Cockpit!$C$3^4+CB308*Cockpit!$C$3^5+CC308*Cockpit!$C$3^6</f>
        <v>83059.838237075761</v>
      </c>
      <c r="CE308" s="5"/>
      <c r="CF308" s="5"/>
      <c r="CG308" s="5">
        <v>0</v>
      </c>
      <c r="CH308" s="5">
        <f t="shared" si="172"/>
        <v>3500000</v>
      </c>
      <c r="CI308" s="5">
        <f t="shared" si="173"/>
        <v>3500000</v>
      </c>
      <c r="CJ308" s="1">
        <f t="shared" si="174"/>
        <v>3.2349008211352108E-2</v>
      </c>
      <c r="CK308" s="5">
        <f>RANK(BY308,$BY$2:$BY$623)+COUNTIF($BY$2:$BY308,$BY308)-1</f>
        <v>146</v>
      </c>
      <c r="CL308" s="5">
        <f>RANK(CJ308,$CJ$2:$CJ$623)+COUNTIF($CJ$2:$CJ308,$CJ308)-1</f>
        <v>125</v>
      </c>
    </row>
    <row r="309" spans="1:90">
      <c r="A309" t="str">
        <f>Players!P310</f>
        <v>Djibril Sow</v>
      </c>
      <c r="B309" t="str">
        <f>Players!G310</f>
        <v>Switzerland</v>
      </c>
      <c r="C309" t="str">
        <f>Players!AB310</f>
        <v>Midfield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1.162032718107336</v>
      </c>
      <c r="I309" s="16">
        <f>INDEX('Team forecast'!$B$2:$AO$26,MATCH('Master data'!$B309,'Team forecast'!$B$2:$B$26,0),MATCH('Master data'!I$1,'Team forecast'!$B$2:$AO$2,0))</f>
        <v>0.87435064565555498</v>
      </c>
      <c r="J309" s="16">
        <f>INDEX('Team forecast'!$B$2:$AO$26,MATCH('Master data'!$B309,'Team forecast'!$B$2:$B$26,0),MATCH('Master data'!J$1,'Team forecast'!$B$2:$AO$2,0))</f>
        <v>0.41713279874828868</v>
      </c>
      <c r="K309" s="16">
        <f>INDEX('Team forecast'!$B$2:$AO$26,MATCH('Master data'!$B309,'Team forecast'!$B$2:$B$26,0),MATCH('Master data'!K$1,'Team forecast'!$B$2:$AO$2,0))</f>
        <v>3.2487816133000873</v>
      </c>
      <c r="L309" s="16">
        <f>INDEX('Team forecast'!$B$2:$AO$26,MATCH('Master data'!$B309,'Team forecast'!$B$2:$B$26,0),MATCH('Master data'!L$1,'Team forecast'!$B$2:$AO$2,0))</f>
        <v>2.3631098531231216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0.12385321100917432</v>
      </c>
      <c r="R309" s="2">
        <f>Players!BR310</f>
        <v>0</v>
      </c>
      <c r="S309" s="2">
        <f t="shared" si="133"/>
        <v>1.162032718107336</v>
      </c>
      <c r="T309" s="2">
        <f t="shared" si="134"/>
        <v>0.87435064565555498</v>
      </c>
      <c r="U309" s="16">
        <f>INDEX('Team forecast'!$B$2:$AO$26,MATCH('Master data'!$B309,'Team forecast'!$B$2:$B$26,0),MATCH('Master data'!U$1,'Team forecast'!$B$2:$AO$2,0))</f>
        <v>0.43653432427146488</v>
      </c>
      <c r="V309" s="16">
        <f>INDEX('Team forecast'!$B$2:$AO$26,MATCH('Master data'!$B309,'Team forecast'!$B$2:$B$26,0),MATCH('Master data'!V$1,'Team forecast'!$B$2:$AO$2,0))</f>
        <v>0.30275767651085472</v>
      </c>
      <c r="W309" s="16">
        <f>INDEX('Team forecast'!$B$2:$AO$26,MATCH('Master data'!$B309,'Team forecast'!$B$2:$B$26,0),MATCH('Master data'!W$1,'Team forecast'!$B$2:$AO$2,0))</f>
        <v>0.2607079992176804</v>
      </c>
      <c r="X309" s="5">
        <f t="shared" si="135"/>
        <v>-5000</v>
      </c>
      <c r="Y309" s="5">
        <f t="shared" si="136"/>
        <v>0</v>
      </c>
      <c r="Z309" s="5">
        <f t="shared" si="137"/>
        <v>0</v>
      </c>
      <c r="AA309" s="5">
        <f t="shared" si="138"/>
        <v>0</v>
      </c>
      <c r="AB309" s="5">
        <f t="shared" si="139"/>
        <v>0</v>
      </c>
      <c r="AC309" s="5">
        <f t="shared" si="140"/>
        <v>0</v>
      </c>
      <c r="AD309" s="5">
        <f t="shared" si="141"/>
        <v>0</v>
      </c>
      <c r="AE309" s="5">
        <f t="shared" si="142"/>
        <v>0</v>
      </c>
      <c r="AF309" s="5">
        <f t="shared" si="143"/>
        <v>0</v>
      </c>
      <c r="AG309" s="5">
        <f t="shared" si="144"/>
        <v>0</v>
      </c>
      <c r="AH309" s="5">
        <f t="shared" si="145"/>
        <v>0</v>
      </c>
      <c r="AI309" s="5">
        <f t="shared" si="146"/>
        <v>0</v>
      </c>
      <c r="AJ309" s="5">
        <f t="shared" si="147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0.79620558314709244</v>
      </c>
      <c r="AM309" s="16">
        <f>INDEX('Team forecast'!$B$2:$AO$26,MATCH('Master data'!$B309,'Team forecast'!$B$2:$B$26,0),MATCH('Master data'!AM$1,'Team forecast'!$B$2:$AO$2,0))</f>
        <v>1.5198357804321134</v>
      </c>
      <c r="AN309" s="16">
        <f>INDEX('Team forecast'!$B$2:$AO$26,MATCH('Master data'!$B309,'Team forecast'!$B$2:$B$26,0),MATCH('Master data'!AN$1,'Team forecast'!$B$2:$AO$2,0))</f>
        <v>0.21874780667306151</v>
      </c>
      <c r="AO309" s="16">
        <f>INDEX('Team forecast'!$B$2:$AO$26,MATCH('Master data'!$B309,'Team forecast'!$B$2:$B$26,0),MATCH('Master data'!AO$1,'Team forecast'!$B$2:$AO$2,0))</f>
        <v>2.2260113838689839</v>
      </c>
      <c r="AP309" s="16">
        <f>INDEX('Team forecast'!$B$2:$AO$26,MATCH('Master data'!$B309,'Team forecast'!$B$2:$B$26,0),MATCH('Master data'!AP$1,'Team forecast'!$B$2:$AO$2,0))</f>
        <v>4.1076642714381446</v>
      </c>
      <c r="AQ309" s="5">
        <f t="shared" si="148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149"/>
        <v>0</v>
      </c>
      <c r="AV309" s="5">
        <f t="shared" si="150"/>
        <v>0</v>
      </c>
      <c r="AW309" s="5">
        <f t="shared" si="151"/>
        <v>0</v>
      </c>
      <c r="AX309" s="5">
        <f t="shared" si="152"/>
        <v>0</v>
      </c>
      <c r="AY309" s="5">
        <f t="shared" si="153"/>
        <v>0</v>
      </c>
      <c r="AZ309" s="5">
        <f t="shared" si="154"/>
        <v>0</v>
      </c>
      <c r="BA309" s="5">
        <f t="shared" si="155"/>
        <v>0</v>
      </c>
      <c r="BB309" s="5">
        <f t="shared" si="156"/>
        <v>0</v>
      </c>
      <c r="BC309" s="5">
        <f t="shared" si="157"/>
        <v>0</v>
      </c>
      <c r="BD309" s="5">
        <f t="shared" si="158"/>
        <v>-5000</v>
      </c>
      <c r="BE309" s="16">
        <f>INDEX('Team forecast'!$B$2:$AO$26,MATCH('Master data'!$B309,'Team forecast'!$B$2:$B$26,0),MATCH('Master data'!BE$1,'Team forecast'!$B$2:$AO$2,0))</f>
        <v>1.3677883945550393</v>
      </c>
      <c r="BF309" s="16">
        <f>INDEX('Team forecast'!$B$2:$AO$26,MATCH('Master data'!$B309,'Team forecast'!$B$2:$B$26,0),MATCH('Master data'!BF$1,'Team forecast'!$B$2:$AO$2,0))</f>
        <v>1.2246875509143662</v>
      </c>
      <c r="BG309" s="16">
        <f>INDEX('Team forecast'!$B$2:$AO$26,MATCH('Master data'!$B309,'Team forecast'!$B$2:$B$26,0),MATCH('Master data'!BG$1,'Team forecast'!$B$2:$AO$2,0))</f>
        <v>0.29384949898885449</v>
      </c>
      <c r="BH309" s="16">
        <f>INDEX('Team forecast'!$B$2:$AO$26,MATCH('Master data'!$B309,'Team forecast'!$B$2:$B$26,0),MATCH('Master data'!BH$1,'Team forecast'!$B$2:$AO$2,0))</f>
        <v>3.8240281171714834</v>
      </c>
      <c r="BI309" s="16">
        <f>INDEX('Team forecast'!$B$2:$AO$26,MATCH('Master data'!$B309,'Team forecast'!$B$2:$B$26,0),MATCH('Master data'!BI$1,'Team forecast'!$B$2:$AO$2,0))</f>
        <v>3.3099663538226114</v>
      </c>
      <c r="BJ309" s="5">
        <f t="shared" si="159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160"/>
        <v>0</v>
      </c>
      <c r="BO309" s="5">
        <f t="shared" si="161"/>
        <v>0</v>
      </c>
      <c r="BP309" s="5">
        <f t="shared" si="162"/>
        <v>0</v>
      </c>
      <c r="BQ309" s="5">
        <f t="shared" si="163"/>
        <v>0</v>
      </c>
      <c r="BR309" s="5">
        <f t="shared" si="164"/>
        <v>0</v>
      </c>
      <c r="BS309" s="5">
        <f t="shared" si="165"/>
        <v>0</v>
      </c>
      <c r="BT309" s="5">
        <f t="shared" si="166"/>
        <v>0</v>
      </c>
      <c r="BU309" s="5">
        <f t="shared" si="167"/>
        <v>0</v>
      </c>
      <c r="BV309" s="5">
        <f t="shared" si="168"/>
        <v>0</v>
      </c>
      <c r="BW309" s="5">
        <f t="shared" si="169"/>
        <v>-5000</v>
      </c>
      <c r="BX309" s="5">
        <f t="shared" si="170"/>
        <v>-5000</v>
      </c>
      <c r="BY309" s="5">
        <f t="shared" si="171"/>
        <v>-15000</v>
      </c>
      <c r="BZ309" s="5">
        <f>INDEX('Team forecast'!$R$3:$BH$26,MATCH($B309,'Team forecast'!$B$3:$B$26,0),MATCH(BZ$1,'Team forecast'!$R$2:$BH$2,0))*($BX309-(BY309+CH309)*0.01)</f>
        <v>-22249.609232768817</v>
      </c>
      <c r="CA309" s="5">
        <f>INDEX('Team forecast'!$R$3:$BH$26,MATCH($B309,'Team forecast'!$B$3:$B$26,0),MATCH(CA$1,'Team forecast'!$R$2:$BH$2,0))*($BX309-(BY309+BX309+CH309)*0.01)</f>
        <v>-10952.533376693362</v>
      </c>
      <c r="CB309" s="5">
        <f>INDEX('Team forecast'!$R$3:$BH$26,MATCH($B309,'Team forecast'!$B$3:$B$26,0),MATCH(CB$1,'Team forecast'!$R$2:$BH$2,0))*($BX309-(BY309+BX309*2+CH309)*0.01)</f>
        <v>-5321.4943255478656</v>
      </c>
      <c r="CC309" s="5">
        <f>INDEX('Team forecast'!$R$3:$BH$26,MATCH($B309,'Team forecast'!$B$3:$B$26,0),MATCH(CC$1,'Team forecast'!$R$2:$BH$2,0))*($BX309-(BY309+BX309*3+CH309)*0.01)</f>
        <v>-2467.7622564005537</v>
      </c>
      <c r="CD309" s="5">
        <f>+AK309+BD309*Cockpit!$C$3+BW309*Cockpit!$C$3^2+BZ309*Cockpit!$C$3^3+CA309*Cockpit!$C$3^4+CB309*Cockpit!$C$3^5+CC309*Cockpit!$C$3^6</f>
        <v>-20228.917201898679</v>
      </c>
      <c r="CE309" s="5"/>
      <c r="CF309" s="5"/>
      <c r="CG309" s="5">
        <v>0</v>
      </c>
      <c r="CH309" s="5">
        <f t="shared" si="172"/>
        <v>3000000</v>
      </c>
      <c r="CI309" s="5">
        <f t="shared" si="173"/>
        <v>3000000</v>
      </c>
      <c r="CJ309" s="1">
        <f t="shared" si="174"/>
        <v>-5.0000000000000001E-3</v>
      </c>
      <c r="CK309" s="5">
        <f>RANK(BY309,$BY$2:$BY$623)+COUNTIF($BY$2:$BY309,$BY309)-1</f>
        <v>510</v>
      </c>
      <c r="CL309" s="5">
        <f>RANK(CJ309,$CJ$2:$CJ$623)+COUNTIF($CJ$2:$CJ309,$CJ309)-1</f>
        <v>502</v>
      </c>
    </row>
    <row r="310" spans="1:90">
      <c r="A310" t="str">
        <f>Players!P311</f>
        <v>Admir Mehmedi</v>
      </c>
      <c r="B310" t="str">
        <f>Players!G311</f>
        <v>Switzerland</v>
      </c>
      <c r="C310" t="str">
        <f>Players!AB311</f>
        <v>Striker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3000000</v>
      </c>
      <c r="H310" s="16">
        <f>INDEX('Team forecast'!$B$2:$AO$26,MATCH('Master data'!$B310,'Team forecast'!$B$2:$B$26,0),MATCH('Master data'!H$1,'Team forecast'!$B$2:$AO$2,0))</f>
        <v>1.162032718107336</v>
      </c>
      <c r="I310" s="16">
        <f>INDEX('Team forecast'!$B$2:$AO$26,MATCH('Master data'!$B310,'Team forecast'!$B$2:$B$26,0),MATCH('Master data'!I$1,'Team forecast'!$B$2:$AO$2,0))</f>
        <v>0.87435064565555498</v>
      </c>
      <c r="J310" s="16">
        <f>INDEX('Team forecast'!$B$2:$AO$26,MATCH('Master data'!$B310,'Team forecast'!$B$2:$B$26,0),MATCH('Master data'!J$1,'Team forecast'!$B$2:$AO$2,0))</f>
        <v>0.41713279874828868</v>
      </c>
      <c r="K310" s="16">
        <f>INDEX('Team forecast'!$B$2:$AO$26,MATCH('Master data'!$B310,'Team forecast'!$B$2:$B$26,0),MATCH('Master data'!K$1,'Team forecast'!$B$2:$AO$2,0))</f>
        <v>3.2487816133000873</v>
      </c>
      <c r="L310" s="16">
        <f>INDEX('Team forecast'!$B$2:$AO$26,MATCH('Master data'!$B310,'Team forecast'!$B$2:$B$26,0),MATCH('Master data'!L$1,'Team forecast'!$B$2:$AO$2,0))</f>
        <v>2.3631098531231216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133"/>
        <v>1.162032718107336</v>
      </c>
      <c r="T310" s="2">
        <f t="shared" si="134"/>
        <v>0.87435064565555498</v>
      </c>
      <c r="U310" s="16">
        <f>INDEX('Team forecast'!$B$2:$AO$26,MATCH('Master data'!$B310,'Team forecast'!$B$2:$B$26,0),MATCH('Master data'!U$1,'Team forecast'!$B$2:$AO$2,0))</f>
        <v>0.43653432427146488</v>
      </c>
      <c r="V310" s="16">
        <f>INDEX('Team forecast'!$B$2:$AO$26,MATCH('Master data'!$B310,'Team forecast'!$B$2:$B$26,0),MATCH('Master data'!V$1,'Team forecast'!$B$2:$AO$2,0))</f>
        <v>0.30275767651085472</v>
      </c>
      <c r="W310" s="16">
        <f>INDEX('Team forecast'!$B$2:$AO$26,MATCH('Master data'!$B310,'Team forecast'!$B$2:$B$26,0),MATCH('Master data'!W$1,'Team forecast'!$B$2:$AO$2,0))</f>
        <v>0.2607079992176804</v>
      </c>
      <c r="X310" s="5">
        <f t="shared" si="135"/>
        <v>-5000</v>
      </c>
      <c r="Y310" s="5">
        <f t="shared" si="136"/>
        <v>0</v>
      </c>
      <c r="Z310" s="5">
        <f t="shared" si="137"/>
        <v>0</v>
      </c>
      <c r="AA310" s="5">
        <f t="shared" si="138"/>
        <v>0</v>
      </c>
      <c r="AB310" s="5">
        <f t="shared" si="139"/>
        <v>0</v>
      </c>
      <c r="AC310" s="5">
        <f t="shared" si="140"/>
        <v>0</v>
      </c>
      <c r="AD310" s="5">
        <f t="shared" si="141"/>
        <v>0</v>
      </c>
      <c r="AE310" s="5">
        <f t="shared" si="142"/>
        <v>0</v>
      </c>
      <c r="AF310" s="5">
        <f t="shared" si="143"/>
        <v>0</v>
      </c>
      <c r="AG310" s="5">
        <f t="shared" si="144"/>
        <v>0</v>
      </c>
      <c r="AH310" s="5">
        <f t="shared" si="145"/>
        <v>0</v>
      </c>
      <c r="AI310" s="5">
        <f t="shared" si="146"/>
        <v>0</v>
      </c>
      <c r="AJ310" s="5">
        <f t="shared" si="147"/>
        <v>0</v>
      </c>
      <c r="AK310" s="5">
        <f>IFERROR(SUM(X310:AJ310),-5000)*((Cockpit!$C$3)^0)</f>
        <v>-5000</v>
      </c>
      <c r="AL310" s="16">
        <f>INDEX('Team forecast'!$B$2:$AO$26,MATCH('Master data'!$B310,'Team forecast'!$B$2:$B$26,0),MATCH('Master data'!AL$1,'Team forecast'!$B$2:$AO$2,0))</f>
        <v>0.79620558314709244</v>
      </c>
      <c r="AM310" s="16">
        <f>INDEX('Team forecast'!$B$2:$AO$26,MATCH('Master data'!$B310,'Team forecast'!$B$2:$B$26,0),MATCH('Master data'!AM$1,'Team forecast'!$B$2:$AO$2,0))</f>
        <v>1.5198357804321134</v>
      </c>
      <c r="AN310" s="16">
        <f>INDEX('Team forecast'!$B$2:$AO$26,MATCH('Master data'!$B310,'Team forecast'!$B$2:$B$26,0),MATCH('Master data'!AN$1,'Team forecast'!$B$2:$AO$2,0))</f>
        <v>0.21874780667306151</v>
      </c>
      <c r="AO310" s="16">
        <f>INDEX('Team forecast'!$B$2:$AO$26,MATCH('Master data'!$B310,'Team forecast'!$B$2:$B$26,0),MATCH('Master data'!AO$1,'Team forecast'!$B$2:$AO$2,0))</f>
        <v>2.2260113838689839</v>
      </c>
      <c r="AP310" s="16">
        <f>INDEX('Team forecast'!$B$2:$AO$26,MATCH('Master data'!$B310,'Team forecast'!$B$2:$B$26,0),MATCH('Master data'!AP$1,'Team forecast'!$B$2:$AO$2,0))</f>
        <v>4.1076642714381446</v>
      </c>
      <c r="AQ310" s="5">
        <f t="shared" si="148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149"/>
        <v>0</v>
      </c>
      <c r="AV310" s="5">
        <f t="shared" si="150"/>
        <v>0</v>
      </c>
      <c r="AW310" s="5">
        <f t="shared" si="151"/>
        <v>0</v>
      </c>
      <c r="AX310" s="5">
        <f t="shared" si="152"/>
        <v>0</v>
      </c>
      <c r="AY310" s="5">
        <f t="shared" si="153"/>
        <v>0</v>
      </c>
      <c r="AZ310" s="5">
        <f t="shared" si="154"/>
        <v>0</v>
      </c>
      <c r="BA310" s="5">
        <f t="shared" si="155"/>
        <v>0</v>
      </c>
      <c r="BB310" s="5">
        <f t="shared" si="156"/>
        <v>0</v>
      </c>
      <c r="BC310" s="5">
        <f t="shared" si="157"/>
        <v>0</v>
      </c>
      <c r="BD310" s="5">
        <f t="shared" si="158"/>
        <v>-5000</v>
      </c>
      <c r="BE310" s="16">
        <f>INDEX('Team forecast'!$B$2:$AO$26,MATCH('Master data'!$B310,'Team forecast'!$B$2:$B$26,0),MATCH('Master data'!BE$1,'Team forecast'!$B$2:$AO$2,0))</f>
        <v>1.3677883945550393</v>
      </c>
      <c r="BF310" s="16">
        <f>INDEX('Team forecast'!$B$2:$AO$26,MATCH('Master data'!$B310,'Team forecast'!$B$2:$B$26,0),MATCH('Master data'!BF$1,'Team forecast'!$B$2:$AO$2,0))</f>
        <v>1.2246875509143662</v>
      </c>
      <c r="BG310" s="16">
        <f>INDEX('Team forecast'!$B$2:$AO$26,MATCH('Master data'!$B310,'Team forecast'!$B$2:$B$26,0),MATCH('Master data'!BG$1,'Team forecast'!$B$2:$AO$2,0))</f>
        <v>0.29384949898885449</v>
      </c>
      <c r="BH310" s="16">
        <f>INDEX('Team forecast'!$B$2:$AO$26,MATCH('Master data'!$B310,'Team forecast'!$B$2:$B$26,0),MATCH('Master data'!BH$1,'Team forecast'!$B$2:$AO$2,0))</f>
        <v>3.8240281171714834</v>
      </c>
      <c r="BI310" s="16">
        <f>INDEX('Team forecast'!$B$2:$AO$26,MATCH('Master data'!$B310,'Team forecast'!$B$2:$B$26,0),MATCH('Master data'!BI$1,'Team forecast'!$B$2:$AO$2,0))</f>
        <v>3.3099663538226114</v>
      </c>
      <c r="BJ310" s="5">
        <f t="shared" si="159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160"/>
        <v>0</v>
      </c>
      <c r="BO310" s="5">
        <f t="shared" si="161"/>
        <v>0</v>
      </c>
      <c r="BP310" s="5">
        <f t="shared" si="162"/>
        <v>0</v>
      </c>
      <c r="BQ310" s="5">
        <f t="shared" si="163"/>
        <v>0</v>
      </c>
      <c r="BR310" s="5">
        <f t="shared" si="164"/>
        <v>0</v>
      </c>
      <c r="BS310" s="5">
        <f t="shared" si="165"/>
        <v>0</v>
      </c>
      <c r="BT310" s="5">
        <f t="shared" si="166"/>
        <v>0</v>
      </c>
      <c r="BU310" s="5">
        <f t="shared" si="167"/>
        <v>0</v>
      </c>
      <c r="BV310" s="5">
        <f t="shared" si="168"/>
        <v>0</v>
      </c>
      <c r="BW310" s="5">
        <f t="shared" si="169"/>
        <v>-5000</v>
      </c>
      <c r="BX310" s="5">
        <f t="shared" si="170"/>
        <v>-5000</v>
      </c>
      <c r="BY310" s="5">
        <f t="shared" si="171"/>
        <v>-15000</v>
      </c>
      <c r="BZ310" s="5">
        <f>INDEX('Team forecast'!$R$3:$BH$26,MATCH($B310,'Team forecast'!$B$3:$B$26,0),MATCH(BZ$1,'Team forecast'!$R$2:$BH$2,0))*($BX310-(BY310+CH310)*0.01)</f>
        <v>-22249.609232768817</v>
      </c>
      <c r="CA310" s="5">
        <f>INDEX('Team forecast'!$R$3:$BH$26,MATCH($B310,'Team forecast'!$B$3:$B$26,0),MATCH(CA$1,'Team forecast'!$R$2:$BH$2,0))*($BX310-(BY310+BX310+CH310)*0.01)</f>
        <v>-10952.533376693362</v>
      </c>
      <c r="CB310" s="5">
        <f>INDEX('Team forecast'!$R$3:$BH$26,MATCH($B310,'Team forecast'!$B$3:$B$26,0),MATCH(CB$1,'Team forecast'!$R$2:$BH$2,0))*($BX310-(BY310+BX310*2+CH310)*0.01)</f>
        <v>-5321.4943255478656</v>
      </c>
      <c r="CC310" s="5">
        <f>INDEX('Team forecast'!$R$3:$BH$26,MATCH($B310,'Team forecast'!$B$3:$B$26,0),MATCH(CC$1,'Team forecast'!$R$2:$BH$2,0))*($BX310-(BY310+BX310*3+CH310)*0.01)</f>
        <v>-2467.7622564005537</v>
      </c>
      <c r="CD310" s="5">
        <f>+AK310+BD310*Cockpit!$C$3+BW310*Cockpit!$C$3^2+BZ310*Cockpit!$C$3^3+CA310*Cockpit!$C$3^4+CB310*Cockpit!$C$3^5+CC310*Cockpit!$C$3^6</f>
        <v>-20228.917201898679</v>
      </c>
      <c r="CE310" s="5"/>
      <c r="CF310" s="5"/>
      <c r="CG310" s="5">
        <v>0</v>
      </c>
      <c r="CH310" s="5">
        <f t="shared" si="172"/>
        <v>3000000</v>
      </c>
      <c r="CI310" s="5">
        <f t="shared" si="173"/>
        <v>3000000</v>
      </c>
      <c r="CJ310" s="1">
        <f t="shared" si="174"/>
        <v>-5.0000000000000001E-3</v>
      </c>
      <c r="CK310" s="5">
        <f>RANK(BY310,$BY$2:$BY$623)+COUNTIF($BY$2:$BY310,$BY310)-1</f>
        <v>511</v>
      </c>
      <c r="CL310" s="5">
        <f>RANK(CJ310,$CJ$2:$CJ$623)+COUNTIF($CJ$2:$CJ310,$CJ310)-1</f>
        <v>503</v>
      </c>
    </row>
    <row r="311" spans="1:90">
      <c r="A311" t="str">
        <f>Players!P312</f>
        <v>Pavao Pervan</v>
      </c>
      <c r="B311" t="str">
        <f>Players!G312</f>
        <v>Austria</v>
      </c>
      <c r="C311" t="str">
        <f>Players!AB312</f>
        <v>Goalkeeper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1.5562991347612565</v>
      </c>
      <c r="I311" s="16">
        <f>INDEX('Team forecast'!$B$2:$AO$26,MATCH('Master data'!$B311,'Team forecast'!$B$2:$B$26,0),MATCH('Master data'!I$1,'Team forecast'!$B$2:$AO$2,0))</f>
        <v>0.65653770483831209</v>
      </c>
      <c r="J311" s="16">
        <f>INDEX('Team forecast'!$B$2:$AO$26,MATCH('Master data'!$B311,'Team forecast'!$B$2:$B$26,0),MATCH('Master data'!J$1,'Team forecast'!$B$2:$AO$2,0))</f>
        <v>0.51864392781930047</v>
      </c>
      <c r="K311" s="16">
        <f>INDEX('Team forecast'!$B$2:$AO$26,MATCH('Master data'!$B311,'Team forecast'!$B$2:$B$26,0),MATCH('Master data'!K$1,'Team forecast'!$B$2:$AO$2,0))</f>
        <v>4.6996138345751106</v>
      </c>
      <c r="L311" s="16">
        <f>INDEX('Team forecast'!$B$2:$AO$26,MATCH('Master data'!$B311,'Team forecast'!$B$2:$B$26,0),MATCH('Master data'!L$1,'Team forecast'!$B$2:$AO$2,0))</f>
        <v>1.9825710955314819</v>
      </c>
      <c r="M311">
        <f>IF(Players!BC312=1,95,0)</f>
        <v>0</v>
      </c>
      <c r="N311" s="2">
        <f>Players!BN312</f>
        <v>0</v>
      </c>
      <c r="O311" s="2">
        <f>Players!BO312</f>
        <v>0</v>
      </c>
      <c r="P311" s="2">
        <f>Players!BP312</f>
        <v>0</v>
      </c>
      <c r="Q311" s="2">
        <f>Players!BQ312</f>
        <v>0</v>
      </c>
      <c r="R311" s="2">
        <f>Players!BR312</f>
        <v>0</v>
      </c>
      <c r="S311" s="2">
        <f t="shared" si="133"/>
        <v>1.5562991347612565</v>
      </c>
      <c r="T311" s="2">
        <f t="shared" si="134"/>
        <v>0.65653770483831209</v>
      </c>
      <c r="U311" s="16">
        <f>INDEX('Team forecast'!$B$2:$AO$26,MATCH('Master data'!$B311,'Team forecast'!$B$2:$B$26,0),MATCH('Master data'!U$1,'Team forecast'!$B$2:$AO$2,0))</f>
        <v>0.60453400503778332</v>
      </c>
      <c r="V311" s="16">
        <f>INDEX('Team forecast'!$B$2:$AO$26,MATCH('Master data'!$B311,'Team forecast'!$B$2:$B$26,0),MATCH('Master data'!V$1,'Team forecast'!$B$2:$AO$2,0))</f>
        <v>0.23727959697733</v>
      </c>
      <c r="W311" s="16">
        <f>INDEX('Team forecast'!$B$2:$AO$26,MATCH('Master data'!$B311,'Team forecast'!$B$2:$B$26,0),MATCH('Master data'!W$1,'Team forecast'!$B$2:$AO$2,0))</f>
        <v>0.15818639798488671</v>
      </c>
      <c r="X311" s="5">
        <f t="shared" si="135"/>
        <v>-5000</v>
      </c>
      <c r="Y311" s="5">
        <f t="shared" si="136"/>
        <v>0</v>
      </c>
      <c r="Z311" s="5">
        <f t="shared" si="137"/>
        <v>0</v>
      </c>
      <c r="AA311" s="5">
        <f t="shared" si="138"/>
        <v>0</v>
      </c>
      <c r="AB311" s="5">
        <f t="shared" si="139"/>
        <v>0</v>
      </c>
      <c r="AC311" s="5">
        <f t="shared" si="140"/>
        <v>0</v>
      </c>
      <c r="AD311" s="5">
        <f t="shared" si="141"/>
        <v>0</v>
      </c>
      <c r="AE311" s="5">
        <f t="shared" si="142"/>
        <v>38898.294586447533</v>
      </c>
      <c r="AF311" s="5">
        <f t="shared" si="143"/>
        <v>6630.1669534658495</v>
      </c>
      <c r="AG311" s="5">
        <f t="shared" si="144"/>
        <v>0</v>
      </c>
      <c r="AH311" s="5">
        <f t="shared" si="145"/>
        <v>0</v>
      </c>
      <c r="AI311" s="5">
        <f t="shared" si="146"/>
        <v>0</v>
      </c>
      <c r="AJ311" s="5">
        <f t="shared" si="147"/>
        <v>0</v>
      </c>
      <c r="AK311" s="5">
        <f>IFERROR(SUM(X311:AJ311),-5000)*((Cockpit!$C$3)^0)</f>
        <v>40528.461539913384</v>
      </c>
      <c r="AL311" s="16">
        <f>INDEX('Team forecast'!$B$2:$AO$26,MATCH('Master data'!$B311,'Team forecast'!$B$2:$B$26,0),MATCH('Master data'!AL$1,'Team forecast'!$B$2:$AO$2,0))</f>
        <v>0.7977891123063281</v>
      </c>
      <c r="AM311" s="16">
        <f>INDEX('Team forecast'!$B$2:$AO$26,MATCH('Master data'!$B311,'Team forecast'!$B$2:$B$26,0),MATCH('Master data'!AM$1,'Team forecast'!$B$2:$AO$2,0))</f>
        <v>1.8476112368050062</v>
      </c>
      <c r="AN311" s="16">
        <f>INDEX('Team forecast'!$B$2:$AO$26,MATCH('Master data'!$B311,'Team forecast'!$B$2:$B$26,0),MATCH('Master data'!AN$1,'Team forecast'!$B$2:$AO$2,0))</f>
        <v>0.15761321763936759</v>
      </c>
      <c r="AO311" s="16">
        <f>INDEX('Team forecast'!$B$2:$AO$26,MATCH('Master data'!$B311,'Team forecast'!$B$2:$B$26,0),MATCH('Master data'!AO$1,'Team forecast'!$B$2:$AO$2,0))</f>
        <v>2.4091131746618726</v>
      </c>
      <c r="AP311" s="16">
        <f>INDEX('Team forecast'!$B$2:$AO$26,MATCH('Master data'!$B311,'Team forecast'!$B$2:$B$26,0),MATCH('Master data'!AP$1,'Team forecast'!$B$2:$AO$2,0))</f>
        <v>5.5792997216677493</v>
      </c>
      <c r="AQ311" s="5">
        <f t="shared" si="148"/>
        <v>-5000</v>
      </c>
      <c r="AR311" s="5">
        <f>INDEX('Team forecast'!$B$2:$AO$26,MATCH('Master data'!$B311,'Team forecast'!$B$2:$B$26,0),MATCH('Master data'!AR$1,'Team forecast'!$B$2:$AO$2,0))*IF(X311&gt;0,25000,0)</f>
        <v>0</v>
      </c>
      <c r="AS311" s="16">
        <f>INDEX('Team forecast'!$B$2:$AO$26,MATCH('Master data'!$B311,'Team forecast'!$B$2:$B$26,0),MATCH('Master data'!AS$1,'Team forecast'!$B$2:$AO$2,0))*IF(X311&gt;0,5000,0)</f>
        <v>0</v>
      </c>
      <c r="AT311" s="16">
        <f>INDEX('Team forecast'!$B$2:$AO$26,MATCH('Master data'!$B311,'Team forecast'!$B$2:$B$26,0),MATCH('Master data'!AT$1,'Team forecast'!$B$2:$AO$2,0))*IF(X311&gt;0,-15000,0)</f>
        <v>0</v>
      </c>
      <c r="AU311" s="5">
        <f t="shared" si="149"/>
        <v>0</v>
      </c>
      <c r="AV311" s="5">
        <f t="shared" si="150"/>
        <v>0</v>
      </c>
      <c r="AW311" s="5">
        <f t="shared" si="151"/>
        <v>0</v>
      </c>
      <c r="AX311" s="5">
        <f t="shared" si="152"/>
        <v>11820.991322952568</v>
      </c>
      <c r="AY311" s="5">
        <f t="shared" si="153"/>
        <v>18658.442424313715</v>
      </c>
      <c r="AZ311" s="5">
        <f t="shared" si="154"/>
        <v>0</v>
      </c>
      <c r="BA311" s="5">
        <f t="shared" si="155"/>
        <v>0</v>
      </c>
      <c r="BB311" s="5">
        <f t="shared" si="156"/>
        <v>0</v>
      </c>
      <c r="BC311" s="5">
        <f t="shared" si="157"/>
        <v>0</v>
      </c>
      <c r="BD311" s="5">
        <f t="shared" si="158"/>
        <v>25479.433747266281</v>
      </c>
      <c r="BE311" s="16">
        <f>INDEX('Team forecast'!$B$2:$AO$26,MATCH('Master data'!$B311,'Team forecast'!$B$2:$B$26,0),MATCH('Master data'!BE$1,'Team forecast'!$B$2:$AO$2,0))</f>
        <v>1.1461513485277883</v>
      </c>
      <c r="BF311" s="16">
        <f>INDEX('Team forecast'!$B$2:$AO$26,MATCH('Master data'!$B311,'Team forecast'!$B$2:$B$26,0),MATCH('Master data'!BF$1,'Team forecast'!$B$2:$AO$2,0))</f>
        <v>1.1461513485277883</v>
      </c>
      <c r="BG311" s="16">
        <f>INDEX('Team forecast'!$B$2:$AO$26,MATCH('Master data'!$B311,'Team forecast'!$B$2:$B$26,0),MATCH('Master data'!BG$1,'Team forecast'!$B$2:$AO$2,0))</f>
        <v>0.31785774198959899</v>
      </c>
      <c r="BH311" s="16">
        <f>INDEX('Team forecast'!$B$2:$AO$26,MATCH('Master data'!$B311,'Team forecast'!$B$2:$B$26,0),MATCH('Master data'!BH$1,'Team forecast'!$B$2:$AO$2,0))</f>
        <v>3.4610754537779926</v>
      </c>
      <c r="BI311" s="16">
        <f>INDEX('Team forecast'!$B$2:$AO$26,MATCH('Master data'!$B311,'Team forecast'!$B$2:$B$26,0),MATCH('Master data'!BI$1,'Team forecast'!$B$2:$AO$2,0))</f>
        <v>3.4610754537779926</v>
      </c>
      <c r="BJ311" s="5">
        <f t="shared" si="159"/>
        <v>-5000</v>
      </c>
      <c r="BK311" s="5">
        <f>INDEX('Team forecast'!$R$3:$BH$26,MATCH($B311,'Team forecast'!$B$3:$B$26,0),MATCH(BK$1,'Team forecast'!$R$2:$BH$2,0))*IF($X311&gt;0,25000,0)</f>
        <v>0</v>
      </c>
      <c r="BL311" s="5">
        <f>INDEX('Team forecast'!$R$3:$BH$26,MATCH($B311,'Team forecast'!$B$3:$B$26,0),MATCH(BL$1,'Team forecast'!$R$2:$BH$2,0))*IF($X311&gt;0,5000,0)</f>
        <v>0</v>
      </c>
      <c r="BM311" s="5">
        <f>INDEX('Team forecast'!$R$3:$BH$26,MATCH($B311,'Team forecast'!$B$3:$B$26,0),MATCH(BM$1,'Team forecast'!$R$2:$BH$2,0))*IF($X311&gt;0,-15000,0)</f>
        <v>0</v>
      </c>
      <c r="BN311" s="5">
        <f t="shared" si="160"/>
        <v>0</v>
      </c>
      <c r="BO311" s="5">
        <f t="shared" si="161"/>
        <v>0</v>
      </c>
      <c r="BP311" s="5">
        <f t="shared" si="162"/>
        <v>0</v>
      </c>
      <c r="BQ311" s="5">
        <f t="shared" si="163"/>
        <v>23839.330649219923</v>
      </c>
      <c r="BR311" s="5">
        <f t="shared" si="164"/>
        <v>11574.620526251023</v>
      </c>
      <c r="BS311" s="5">
        <f t="shared" si="165"/>
        <v>0</v>
      </c>
      <c r="BT311" s="5">
        <f t="shared" si="166"/>
        <v>0</v>
      </c>
      <c r="BU311" s="5">
        <f t="shared" si="167"/>
        <v>0</v>
      </c>
      <c r="BV311" s="5">
        <f t="shared" si="168"/>
        <v>0</v>
      </c>
      <c r="BW311" s="5">
        <f t="shared" si="169"/>
        <v>30413.951175470946</v>
      </c>
      <c r="BX311" s="5">
        <f t="shared" si="170"/>
        <v>32140.6154875502</v>
      </c>
      <c r="BY311" s="5">
        <f t="shared" si="171"/>
        <v>96421.846462650603</v>
      </c>
      <c r="BZ311" s="5">
        <f>INDEX('Team forecast'!$R$3:$BH$26,MATCH($B311,'Team forecast'!$B$3:$B$26,0),MATCH(BZ$1,'Team forecast'!$R$2:$BH$2,0))*($BX311-(BY311+CH311)*0.01)</f>
        <v>-2733.3873267910162</v>
      </c>
      <c r="CA311" s="5">
        <f>INDEX('Team forecast'!$R$3:$BH$26,MATCH($B311,'Team forecast'!$B$3:$B$26,0),MATCH(CA$1,'Team forecast'!$R$2:$BH$2,0))*($BX311-(BY311+BX311+CH311)*0.01)</f>
        <v>-1454.5739492882492</v>
      </c>
      <c r="CB311" s="5">
        <f>INDEX('Team forecast'!$R$3:$BH$26,MATCH($B311,'Team forecast'!$B$3:$B$26,0),MATCH(CB$1,'Team forecast'!$R$2:$BH$2,0))*($BX311-(BY311+BX311*2+CH311)*0.01)</f>
        <v>-756.29708024096988</v>
      </c>
      <c r="CC311" s="5">
        <f>INDEX('Team forecast'!$R$3:$BH$26,MATCH($B311,'Team forecast'!$B$3:$B$26,0),MATCH(CC$1,'Team forecast'!$R$2:$BH$2,0))*($BX311-(BY311+BX311*3+CH311)*0.01)</f>
        <v>-367.50826685654619</v>
      </c>
      <c r="CD311" s="5">
        <f>+AK311+BD311*Cockpit!$C$3+BW311*Cockpit!$C$3^2+BZ311*Cockpit!$C$3^3+CA311*Cockpit!$C$3^4+CB311*Cockpit!$C$3^5+CC311*Cockpit!$C$3^6</f>
        <v>69802.987770307998</v>
      </c>
      <c r="CE311" s="5"/>
      <c r="CF311" s="5"/>
      <c r="CG311" s="5">
        <v>0</v>
      </c>
      <c r="CH311" s="5">
        <f t="shared" si="172"/>
        <v>3500000</v>
      </c>
      <c r="CI311" s="5">
        <f t="shared" si="173"/>
        <v>3500000</v>
      </c>
      <c r="CJ311" s="1">
        <f t="shared" si="174"/>
        <v>2.7549098989328745E-2</v>
      </c>
      <c r="CK311" s="5">
        <f>RANK(BY311,$BY$2:$BY$623)+COUNTIF($BY$2:$BY311,$BY311)-1</f>
        <v>178</v>
      </c>
      <c r="CL311" s="5">
        <f>RANK(CJ311,$CJ$2:$CJ$623)+COUNTIF($CJ$2:$CJ311,$CJ311)-1</f>
        <v>175</v>
      </c>
    </row>
    <row r="312" spans="1:90">
      <c r="A312" t="str">
        <f>Players!P313</f>
        <v>Stefan Lainer</v>
      </c>
      <c r="B312" t="str">
        <f>Players!G313</f>
        <v>Austria</v>
      </c>
      <c r="C312" t="str">
        <f>Players!AB313</f>
        <v>Defense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3500000</v>
      </c>
      <c r="H312" s="16">
        <f>INDEX('Team forecast'!$B$2:$AO$26,MATCH('Master data'!$B312,'Team forecast'!$B$2:$B$26,0),MATCH('Master data'!H$1,'Team forecast'!$B$2:$AO$2,0))</f>
        <v>1.5562991347612565</v>
      </c>
      <c r="I312" s="16">
        <f>INDEX('Team forecast'!$B$2:$AO$26,MATCH('Master data'!$B312,'Team forecast'!$B$2:$B$26,0),MATCH('Master data'!I$1,'Team forecast'!$B$2:$AO$2,0))</f>
        <v>0.65653770483831209</v>
      </c>
      <c r="J312" s="16">
        <f>INDEX('Team forecast'!$B$2:$AO$26,MATCH('Master data'!$B312,'Team forecast'!$B$2:$B$26,0),MATCH('Master data'!J$1,'Team forecast'!$B$2:$AO$2,0))</f>
        <v>0.51864392781930047</v>
      </c>
      <c r="K312" s="16">
        <f>INDEX('Team forecast'!$B$2:$AO$26,MATCH('Master data'!$B312,'Team forecast'!$B$2:$B$26,0),MATCH('Master data'!K$1,'Team forecast'!$B$2:$AO$2,0))</f>
        <v>4.6996138345751106</v>
      </c>
      <c r="L312" s="16">
        <f>INDEX('Team forecast'!$B$2:$AO$26,MATCH('Master data'!$B312,'Team forecast'!$B$2:$B$26,0),MATCH('Master data'!L$1,'Team forecast'!$B$2:$AO$2,0))</f>
        <v>1.9825710955314819</v>
      </c>
      <c r="M312">
        <f>IF(Players!BC313=1,95,0)</f>
        <v>95</v>
      </c>
      <c r="N312" s="2">
        <f>Players!BN313</f>
        <v>4.2429157704739366E-2</v>
      </c>
      <c r="O312" s="2">
        <f>Players!BO313</f>
        <v>0.10487560628852526</v>
      </c>
      <c r="P312" s="2">
        <f>Players!BP313</f>
        <v>8.1970839567901688E-2</v>
      </c>
      <c r="Q312" s="2">
        <f>Players!BQ313</f>
        <v>3.2455824017309773E-2</v>
      </c>
      <c r="R312" s="2">
        <f>Players!BR313</f>
        <v>0</v>
      </c>
      <c r="S312" s="2">
        <f t="shared" si="133"/>
        <v>1.5562991347612565</v>
      </c>
      <c r="T312" s="2">
        <f t="shared" si="134"/>
        <v>0.65653770483831209</v>
      </c>
      <c r="U312" s="16">
        <f>INDEX('Team forecast'!$B$2:$AO$26,MATCH('Master data'!$B312,'Team forecast'!$B$2:$B$26,0),MATCH('Master data'!U$1,'Team forecast'!$B$2:$AO$2,0))</f>
        <v>0.60453400503778332</v>
      </c>
      <c r="V312" s="16">
        <f>INDEX('Team forecast'!$B$2:$AO$26,MATCH('Master data'!$B312,'Team forecast'!$B$2:$B$26,0),MATCH('Master data'!V$1,'Team forecast'!$B$2:$AO$2,0))</f>
        <v>0.23727959697733</v>
      </c>
      <c r="W312" s="16">
        <f>INDEX('Team forecast'!$B$2:$AO$26,MATCH('Master data'!$B312,'Team forecast'!$B$2:$B$26,0),MATCH('Master data'!W$1,'Team forecast'!$B$2:$AO$2,0))</f>
        <v>0.15818639798488671</v>
      </c>
      <c r="X312" s="5">
        <f t="shared" si="135"/>
        <v>7000</v>
      </c>
      <c r="Y312" s="5">
        <f t="shared" si="136"/>
        <v>15113.350125944582</v>
      </c>
      <c r="Z312" s="5">
        <f t="shared" si="137"/>
        <v>1186.39798488665</v>
      </c>
      <c r="AA312" s="5">
        <f t="shared" si="138"/>
        <v>-2372.7959697733004</v>
      </c>
      <c r="AB312" s="5">
        <f t="shared" si="139"/>
        <v>9904.8692136802165</v>
      </c>
      <c r="AC312" s="5">
        <f t="shared" si="140"/>
        <v>8160.8907662197016</v>
      </c>
      <c r="AD312" s="5">
        <f t="shared" si="141"/>
        <v>3852.3129166504764</v>
      </c>
      <c r="AE312" s="5">
        <f t="shared" si="142"/>
        <v>25932.196390965022</v>
      </c>
      <c r="AF312" s="5">
        <f t="shared" si="143"/>
        <v>0</v>
      </c>
      <c r="AG312" s="5">
        <f t="shared" si="144"/>
        <v>-649.11648034619543</v>
      </c>
      <c r="AH312" s="5">
        <f t="shared" si="145"/>
        <v>0</v>
      </c>
      <c r="AI312" s="5">
        <f t="shared" si="146"/>
        <v>15562.991347612564</v>
      </c>
      <c r="AJ312" s="5">
        <f t="shared" si="147"/>
        <v>-5252.3016387064963</v>
      </c>
      <c r="AK312" s="5">
        <f>IFERROR(SUM(X312:AJ312),-5000)*((Cockpit!$C$3)^0)</f>
        <v>78438.7946571332</v>
      </c>
      <c r="AL312" s="16">
        <f>INDEX('Team forecast'!$B$2:$AO$26,MATCH('Master data'!$B312,'Team forecast'!$B$2:$B$26,0),MATCH('Master data'!AL$1,'Team forecast'!$B$2:$AO$2,0))</f>
        <v>0.7977891123063281</v>
      </c>
      <c r="AM312" s="16">
        <f>INDEX('Team forecast'!$B$2:$AO$26,MATCH('Master data'!$B312,'Team forecast'!$B$2:$B$26,0),MATCH('Master data'!AM$1,'Team forecast'!$B$2:$AO$2,0))</f>
        <v>1.8476112368050062</v>
      </c>
      <c r="AN312" s="16">
        <f>INDEX('Team forecast'!$B$2:$AO$26,MATCH('Master data'!$B312,'Team forecast'!$B$2:$B$26,0),MATCH('Master data'!AN$1,'Team forecast'!$B$2:$AO$2,0))</f>
        <v>0.15761321763936759</v>
      </c>
      <c r="AO312" s="16">
        <f>INDEX('Team forecast'!$B$2:$AO$26,MATCH('Master data'!$B312,'Team forecast'!$B$2:$B$26,0),MATCH('Master data'!AO$1,'Team forecast'!$B$2:$AO$2,0))</f>
        <v>2.4091131746618726</v>
      </c>
      <c r="AP312" s="16">
        <f>INDEX('Team forecast'!$B$2:$AO$26,MATCH('Master data'!$B312,'Team forecast'!$B$2:$B$26,0),MATCH('Master data'!AP$1,'Team forecast'!$B$2:$AO$2,0))</f>
        <v>5.5792997216677493</v>
      </c>
      <c r="AQ312" s="5">
        <f t="shared" si="148"/>
        <v>7000</v>
      </c>
      <c r="AR312" s="5">
        <f>INDEX('Team forecast'!$B$2:$AO$26,MATCH('Master data'!$B312,'Team forecast'!$B$2:$B$26,0),MATCH('Master data'!AR$1,'Team forecast'!$B$2:$AO$2,0))*IF(X312&gt;0,25000,0)</f>
        <v>3637.2280993700224</v>
      </c>
      <c r="AS312" s="16">
        <f>INDEX('Team forecast'!$B$2:$AO$26,MATCH('Master data'!$B312,'Team forecast'!$B$2:$B$26,0),MATCH('Master data'!AS$1,'Team forecast'!$B$2:$AO$2,0))*IF(X312&gt;0,5000,0)</f>
        <v>1182.0991322952575</v>
      </c>
      <c r="AT312" s="16">
        <f>INDEX('Team forecast'!$B$2:$AO$26,MATCH('Master data'!$B312,'Team forecast'!$B$2:$B$26,0),MATCH('Master data'!AT$1,'Team forecast'!$B$2:$AO$2,0))*IF(X312&gt;0,-15000,0)</f>
        <v>-9271.3657434922134</v>
      </c>
      <c r="AU312" s="5">
        <f t="shared" si="149"/>
        <v>5077.4280091753835</v>
      </c>
      <c r="AV312" s="5">
        <f t="shared" si="150"/>
        <v>4183.4308421755259</v>
      </c>
      <c r="AW312" s="5">
        <f t="shared" si="151"/>
        <v>1974.7702954112667</v>
      </c>
      <c r="AX312" s="5">
        <f t="shared" si="152"/>
        <v>7880.6608819683797</v>
      </c>
      <c r="AY312" s="5">
        <f t="shared" si="153"/>
        <v>0</v>
      </c>
      <c r="AZ312" s="5">
        <f t="shared" si="154"/>
        <v>-649.11648034619543</v>
      </c>
      <c r="BA312" s="5">
        <f t="shared" si="155"/>
        <v>0</v>
      </c>
      <c r="BB312" s="5">
        <f t="shared" si="156"/>
        <v>7977.8911230632812</v>
      </c>
      <c r="BC312" s="5">
        <f t="shared" si="157"/>
        <v>-14780.88989444005</v>
      </c>
      <c r="BD312" s="5">
        <f t="shared" si="158"/>
        <v>14212.136265180659</v>
      </c>
      <c r="BE312" s="16">
        <f>INDEX('Team forecast'!$B$2:$AO$26,MATCH('Master data'!$B312,'Team forecast'!$B$2:$B$26,0),MATCH('Master data'!BE$1,'Team forecast'!$B$2:$AO$2,0))</f>
        <v>1.1461513485277883</v>
      </c>
      <c r="BF312" s="16">
        <f>INDEX('Team forecast'!$B$2:$AO$26,MATCH('Master data'!$B312,'Team forecast'!$B$2:$B$26,0),MATCH('Master data'!BF$1,'Team forecast'!$B$2:$AO$2,0))</f>
        <v>1.1461513485277883</v>
      </c>
      <c r="BG312" s="16">
        <f>INDEX('Team forecast'!$B$2:$AO$26,MATCH('Master data'!$B312,'Team forecast'!$B$2:$B$26,0),MATCH('Master data'!BG$1,'Team forecast'!$B$2:$AO$2,0))</f>
        <v>0.31785774198959899</v>
      </c>
      <c r="BH312" s="16">
        <f>INDEX('Team forecast'!$B$2:$AO$26,MATCH('Master data'!$B312,'Team forecast'!$B$2:$B$26,0),MATCH('Master data'!BH$1,'Team forecast'!$B$2:$AO$2,0))</f>
        <v>3.4610754537779926</v>
      </c>
      <c r="BI312" s="16">
        <f>INDEX('Team forecast'!$B$2:$AO$26,MATCH('Master data'!$B312,'Team forecast'!$B$2:$B$26,0),MATCH('Master data'!BI$1,'Team forecast'!$B$2:$AO$2,0))</f>
        <v>3.4610754537779926</v>
      </c>
      <c r="BJ312" s="5">
        <f t="shared" si="159"/>
        <v>7000</v>
      </c>
      <c r="BK312" s="5">
        <f>INDEX('Team forecast'!$R$3:$BH$26,MATCH($B312,'Team forecast'!$B$3:$B$26,0),MATCH(BK$1,'Team forecast'!$R$2:$BH$2,0))*IF($X312&gt;0,25000,0)</f>
        <v>8995.9738298943139</v>
      </c>
      <c r="BL312" s="5">
        <f>INDEX('Team forecast'!$R$3:$BH$26,MATCH($B312,'Team forecast'!$B$3:$B$26,0),MATCH(BL$1,'Team forecast'!$R$2:$BH$2,0))*IF($X312&gt;0,5000,0)</f>
        <v>1467.0357322596881</v>
      </c>
      <c r="BM312" s="5">
        <f>INDEX('Team forecast'!$R$3:$BH$26,MATCH($B312,'Team forecast'!$B$3:$B$26,0),MATCH(BM$1,'Team forecast'!$R$2:$BH$2,0))*IF($X312&gt;0,-15000,0)</f>
        <v>-5201.3085052843489</v>
      </c>
      <c r="BN312" s="5">
        <f t="shared" si="160"/>
        <v>7294.5354480277838</v>
      </c>
      <c r="BO312" s="5">
        <f t="shared" si="161"/>
        <v>6010.1658787631304</v>
      </c>
      <c r="BP312" s="5">
        <f t="shared" si="162"/>
        <v>2837.0726075403836</v>
      </c>
      <c r="BQ312" s="5">
        <f t="shared" si="163"/>
        <v>15892.887099479949</v>
      </c>
      <c r="BR312" s="5">
        <f t="shared" si="164"/>
        <v>0</v>
      </c>
      <c r="BS312" s="5">
        <f t="shared" si="165"/>
        <v>-649.11648034619543</v>
      </c>
      <c r="BT312" s="5">
        <f t="shared" si="166"/>
        <v>0</v>
      </c>
      <c r="BU312" s="5">
        <f t="shared" si="167"/>
        <v>11461.513485277883</v>
      </c>
      <c r="BV312" s="5">
        <f t="shared" si="168"/>
        <v>-9169.2107882223063</v>
      </c>
      <c r="BW312" s="5">
        <f t="shared" si="169"/>
        <v>45939.548307390287</v>
      </c>
      <c r="BX312" s="5">
        <f t="shared" si="170"/>
        <v>46196.826409901376</v>
      </c>
      <c r="BY312" s="5">
        <f t="shared" si="171"/>
        <v>138590.47922970413</v>
      </c>
      <c r="BZ312" s="5">
        <f>INDEX('Team forecast'!$R$3:$BH$26,MATCH($B312,'Team forecast'!$B$3:$B$26,0),MATCH(BZ$1,'Team forecast'!$R$2:$BH$2,0))*($BX312-(BY312+CH312)*0.01)</f>
        <v>7013.5547478324143</v>
      </c>
      <c r="CA312" s="5">
        <f>INDEX('Team forecast'!$R$3:$BH$26,MATCH($B312,'Team forecast'!$B$3:$B$26,0),MATCH(CA$1,'Team forecast'!$R$2:$BH$2,0))*($BX312-(BY312+BX312+CH312)*0.01)</f>
        <v>3280.751276588011</v>
      </c>
      <c r="CB312" s="5">
        <f>INDEX('Team forecast'!$R$3:$BH$26,MATCH($B312,'Team forecast'!$B$3:$B$26,0),MATCH(CB$1,'Team forecast'!$R$2:$BH$2,0))*($BX312-(BY312+BX312*2+CH312)*0.01)</f>
        <v>1504.8311551068023</v>
      </c>
      <c r="CC312" s="5">
        <f>INDEX('Team forecast'!$R$3:$BH$26,MATCH($B312,'Team forecast'!$B$3:$B$26,0),MATCH(CC$1,'Team forecast'!$R$2:$BH$2,0))*($BX312-(BY312+BX312*3+CH312)*0.01)</f>
        <v>646.69565676298885</v>
      </c>
      <c r="CD312" s="5">
        <f>+AK312+BD312*Cockpit!$C$3+BW312*Cockpit!$C$3^2+BZ312*Cockpit!$C$3^3+CA312*Cockpit!$C$3^4+CB312*Cockpit!$C$3^5+CC312*Cockpit!$C$3^6</f>
        <v>111312.210567635</v>
      </c>
      <c r="CE312" s="5"/>
      <c r="CF312" s="5"/>
      <c r="CG312" s="5">
        <v>0</v>
      </c>
      <c r="CH312" s="5">
        <f t="shared" si="172"/>
        <v>3500000</v>
      </c>
      <c r="CI312" s="5">
        <f t="shared" si="173"/>
        <v>3500000</v>
      </c>
      <c r="CJ312" s="1">
        <f t="shared" si="174"/>
        <v>3.9597279779915465E-2</v>
      </c>
      <c r="CK312" s="5">
        <f>RANK(BY312,$BY$2:$BY$623)+COUNTIF($BY$2:$BY312,$BY312)-1</f>
        <v>107</v>
      </c>
      <c r="CL312" s="5">
        <f>RANK(CJ312,$CJ$2:$CJ$623)+COUNTIF($CJ$2:$CJ312,$CJ312)-1</f>
        <v>78</v>
      </c>
    </row>
    <row r="313" spans="1:90">
      <c r="A313" t="str">
        <f>Players!P314</f>
        <v>David Alaba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4000000</v>
      </c>
      <c r="H313" s="16">
        <f>INDEX('Team forecast'!$B$2:$AO$26,MATCH('Master data'!$B313,'Team forecast'!$B$2:$B$26,0),MATCH('Master data'!H$1,'Team forecast'!$B$2:$AO$2,0))</f>
        <v>1.5562991347612565</v>
      </c>
      <c r="I313" s="16">
        <f>INDEX('Team forecast'!$B$2:$AO$26,MATCH('Master data'!$B313,'Team forecast'!$B$2:$B$26,0),MATCH('Master data'!I$1,'Team forecast'!$B$2:$AO$2,0))</f>
        <v>0.65653770483831209</v>
      </c>
      <c r="J313" s="16">
        <f>INDEX('Team forecast'!$B$2:$AO$26,MATCH('Master data'!$B313,'Team forecast'!$B$2:$B$26,0),MATCH('Master data'!J$1,'Team forecast'!$B$2:$AO$2,0))</f>
        <v>0.51864392781930047</v>
      </c>
      <c r="K313" s="16">
        <f>INDEX('Team forecast'!$B$2:$AO$26,MATCH('Master data'!$B313,'Team forecast'!$B$2:$B$26,0),MATCH('Master data'!K$1,'Team forecast'!$B$2:$AO$2,0))</f>
        <v>4.6996138345751106</v>
      </c>
      <c r="L313" s="16">
        <f>INDEX('Team forecast'!$B$2:$AO$26,MATCH('Master data'!$B313,'Team forecast'!$B$2:$B$26,0),MATCH('Master data'!L$1,'Team forecast'!$B$2:$AO$2,0))</f>
        <v>1.9825710955314819</v>
      </c>
      <c r="M313">
        <f>IF(Players!BC314=1,95,0)</f>
        <v>95</v>
      </c>
      <c r="N313" s="2">
        <f>Players!BN314</f>
        <v>7.2792376278253301E-2</v>
      </c>
      <c r="O313" s="2">
        <f>Players!BO314</f>
        <v>0.10746404036267573</v>
      </c>
      <c r="P313" s="2">
        <f>Players!BP314</f>
        <v>5.6628086228647581E-2</v>
      </c>
      <c r="Q313" s="2">
        <f>Players!BQ314</f>
        <v>0.1672645739910314</v>
      </c>
      <c r="R313" s="2">
        <f>Players!BR314</f>
        <v>0</v>
      </c>
      <c r="S313" s="2">
        <f t="shared" si="133"/>
        <v>1.5562991347612565</v>
      </c>
      <c r="T313" s="2">
        <f t="shared" si="134"/>
        <v>0.65653770483831209</v>
      </c>
      <c r="U313" s="16">
        <f>INDEX('Team forecast'!$B$2:$AO$26,MATCH('Master data'!$B313,'Team forecast'!$B$2:$B$26,0),MATCH('Master data'!U$1,'Team forecast'!$B$2:$AO$2,0))</f>
        <v>0.60453400503778332</v>
      </c>
      <c r="V313" s="16">
        <f>INDEX('Team forecast'!$B$2:$AO$26,MATCH('Master data'!$B313,'Team forecast'!$B$2:$B$26,0),MATCH('Master data'!V$1,'Team forecast'!$B$2:$AO$2,0))</f>
        <v>0.23727959697733</v>
      </c>
      <c r="W313" s="16">
        <f>INDEX('Team forecast'!$B$2:$AO$26,MATCH('Master data'!$B313,'Team forecast'!$B$2:$B$26,0),MATCH('Master data'!W$1,'Team forecast'!$B$2:$AO$2,0))</f>
        <v>0.15818639798488671</v>
      </c>
      <c r="X313" s="5">
        <f t="shared" si="135"/>
        <v>7000</v>
      </c>
      <c r="Y313" s="5">
        <f t="shared" si="136"/>
        <v>15113.350125944582</v>
      </c>
      <c r="Z313" s="5">
        <f t="shared" si="137"/>
        <v>1186.39798488665</v>
      </c>
      <c r="AA313" s="5">
        <f t="shared" si="138"/>
        <v>-2372.7959697733004</v>
      </c>
      <c r="AB313" s="5">
        <f t="shared" si="139"/>
        <v>14160.839027382677</v>
      </c>
      <c r="AC313" s="5">
        <f t="shared" si="140"/>
        <v>8362.3096517190497</v>
      </c>
      <c r="AD313" s="5">
        <f t="shared" si="141"/>
        <v>2661.3013746566448</v>
      </c>
      <c r="AE313" s="5">
        <f t="shared" si="142"/>
        <v>0</v>
      </c>
      <c r="AF313" s="5">
        <f t="shared" si="143"/>
        <v>0</v>
      </c>
      <c r="AG313" s="5">
        <f t="shared" si="144"/>
        <v>-3345.291479820628</v>
      </c>
      <c r="AH313" s="5">
        <f t="shared" si="145"/>
        <v>0</v>
      </c>
      <c r="AI313" s="5">
        <f t="shared" si="146"/>
        <v>15562.991347612564</v>
      </c>
      <c r="AJ313" s="5">
        <f t="shared" si="147"/>
        <v>-5252.3016387064963</v>
      </c>
      <c r="AK313" s="5">
        <f>IFERROR(SUM(X313:AJ313),-5000)*((Cockpit!$C$3)^0)</f>
        <v>53076.800423901746</v>
      </c>
      <c r="AL313" s="16">
        <f>INDEX('Team forecast'!$B$2:$AO$26,MATCH('Master data'!$B313,'Team forecast'!$B$2:$B$26,0),MATCH('Master data'!AL$1,'Team forecast'!$B$2:$AO$2,0))</f>
        <v>0.7977891123063281</v>
      </c>
      <c r="AM313" s="16">
        <f>INDEX('Team forecast'!$B$2:$AO$26,MATCH('Master data'!$B313,'Team forecast'!$B$2:$B$26,0),MATCH('Master data'!AM$1,'Team forecast'!$B$2:$AO$2,0))</f>
        <v>1.8476112368050062</v>
      </c>
      <c r="AN313" s="16">
        <f>INDEX('Team forecast'!$B$2:$AO$26,MATCH('Master data'!$B313,'Team forecast'!$B$2:$B$26,0),MATCH('Master data'!AN$1,'Team forecast'!$B$2:$AO$2,0))</f>
        <v>0.15761321763936759</v>
      </c>
      <c r="AO313" s="16">
        <f>INDEX('Team forecast'!$B$2:$AO$26,MATCH('Master data'!$B313,'Team forecast'!$B$2:$B$26,0),MATCH('Master data'!AO$1,'Team forecast'!$B$2:$AO$2,0))</f>
        <v>2.4091131746618726</v>
      </c>
      <c r="AP313" s="16">
        <f>INDEX('Team forecast'!$B$2:$AO$26,MATCH('Master data'!$B313,'Team forecast'!$B$2:$B$26,0),MATCH('Master data'!AP$1,'Team forecast'!$B$2:$AO$2,0))</f>
        <v>5.5792997216677493</v>
      </c>
      <c r="AQ313" s="5">
        <f t="shared" si="148"/>
        <v>7000</v>
      </c>
      <c r="AR313" s="5">
        <f>INDEX('Team forecast'!$B$2:$AO$26,MATCH('Master data'!$B313,'Team forecast'!$B$2:$B$26,0),MATCH('Master data'!AR$1,'Team forecast'!$B$2:$AO$2,0))*IF(X313&gt;0,25000,0)</f>
        <v>3637.2280993700224</v>
      </c>
      <c r="AS313" s="16">
        <f>INDEX('Team forecast'!$B$2:$AO$26,MATCH('Master data'!$B313,'Team forecast'!$B$2:$B$26,0),MATCH('Master data'!AS$1,'Team forecast'!$B$2:$AO$2,0))*IF(X313&gt;0,5000,0)</f>
        <v>1182.0991322952575</v>
      </c>
      <c r="AT313" s="16">
        <f>INDEX('Team forecast'!$B$2:$AO$26,MATCH('Master data'!$B313,'Team forecast'!$B$2:$B$26,0),MATCH('Master data'!AT$1,'Team forecast'!$B$2:$AO$2,0))*IF(X313&gt;0,-15000,0)</f>
        <v>-9271.3657434922134</v>
      </c>
      <c r="AU313" s="5">
        <f t="shared" si="149"/>
        <v>7259.1206567119898</v>
      </c>
      <c r="AV313" s="5">
        <f t="shared" si="150"/>
        <v>4286.6820682895241</v>
      </c>
      <c r="AW313" s="5">
        <f t="shared" si="151"/>
        <v>1364.2346858932344</v>
      </c>
      <c r="AX313" s="5">
        <f t="shared" si="152"/>
        <v>0</v>
      </c>
      <c r="AY313" s="5">
        <f t="shared" si="153"/>
        <v>0</v>
      </c>
      <c r="AZ313" s="5">
        <f t="shared" si="154"/>
        <v>-3345.291479820628</v>
      </c>
      <c r="BA313" s="5">
        <f t="shared" si="155"/>
        <v>0</v>
      </c>
      <c r="BB313" s="5">
        <f t="shared" si="156"/>
        <v>7977.8911230632812</v>
      </c>
      <c r="BC313" s="5">
        <f t="shared" si="157"/>
        <v>-14780.88989444005</v>
      </c>
      <c r="BD313" s="5">
        <f t="shared" si="158"/>
        <v>5309.7086478704186</v>
      </c>
      <c r="BE313" s="16">
        <f>INDEX('Team forecast'!$B$2:$AO$26,MATCH('Master data'!$B313,'Team forecast'!$B$2:$B$26,0),MATCH('Master data'!BE$1,'Team forecast'!$B$2:$AO$2,0))</f>
        <v>1.1461513485277883</v>
      </c>
      <c r="BF313" s="16">
        <f>INDEX('Team forecast'!$B$2:$AO$26,MATCH('Master data'!$B313,'Team forecast'!$B$2:$B$26,0),MATCH('Master data'!BF$1,'Team forecast'!$B$2:$AO$2,0))</f>
        <v>1.1461513485277883</v>
      </c>
      <c r="BG313" s="16">
        <f>INDEX('Team forecast'!$B$2:$AO$26,MATCH('Master data'!$B313,'Team forecast'!$B$2:$B$26,0),MATCH('Master data'!BG$1,'Team forecast'!$B$2:$AO$2,0))</f>
        <v>0.31785774198959899</v>
      </c>
      <c r="BH313" s="16">
        <f>INDEX('Team forecast'!$B$2:$AO$26,MATCH('Master data'!$B313,'Team forecast'!$B$2:$B$26,0),MATCH('Master data'!BH$1,'Team forecast'!$B$2:$AO$2,0))</f>
        <v>3.4610754537779926</v>
      </c>
      <c r="BI313" s="16">
        <f>INDEX('Team forecast'!$B$2:$AO$26,MATCH('Master data'!$B313,'Team forecast'!$B$2:$B$26,0),MATCH('Master data'!BI$1,'Team forecast'!$B$2:$AO$2,0))</f>
        <v>3.4610754537779926</v>
      </c>
      <c r="BJ313" s="5">
        <f t="shared" si="159"/>
        <v>7000</v>
      </c>
      <c r="BK313" s="5">
        <f>INDEX('Team forecast'!$R$3:$BH$26,MATCH($B313,'Team forecast'!$B$3:$B$26,0),MATCH(BK$1,'Team forecast'!$R$2:$BH$2,0))*IF($X313&gt;0,25000,0)</f>
        <v>8995.9738298943139</v>
      </c>
      <c r="BL313" s="5">
        <f>INDEX('Team forecast'!$R$3:$BH$26,MATCH($B313,'Team forecast'!$B$3:$B$26,0),MATCH(BL$1,'Team forecast'!$R$2:$BH$2,0))*IF($X313&gt;0,5000,0)</f>
        <v>1467.0357322596881</v>
      </c>
      <c r="BM313" s="5">
        <f>INDEX('Team forecast'!$R$3:$BH$26,MATCH($B313,'Team forecast'!$B$3:$B$26,0),MATCH(BM$1,'Team forecast'!$R$2:$BH$2,0))*IF($X313&gt;0,-15000,0)</f>
        <v>-5201.3085052843489</v>
      </c>
      <c r="BN313" s="5">
        <f t="shared" si="160"/>
        <v>10428.885029232777</v>
      </c>
      <c r="BO313" s="5">
        <f t="shared" si="161"/>
        <v>6158.5027389962734</v>
      </c>
      <c r="BP313" s="5">
        <f t="shared" si="162"/>
        <v>1959.9407924039572</v>
      </c>
      <c r="BQ313" s="5">
        <f t="shared" si="163"/>
        <v>0</v>
      </c>
      <c r="BR313" s="5">
        <f t="shared" si="164"/>
        <v>0</v>
      </c>
      <c r="BS313" s="5">
        <f t="shared" si="165"/>
        <v>-3345.291479820628</v>
      </c>
      <c r="BT313" s="5">
        <f t="shared" si="166"/>
        <v>0</v>
      </c>
      <c r="BU313" s="5">
        <f t="shared" si="167"/>
        <v>11461.513485277883</v>
      </c>
      <c r="BV313" s="5">
        <f t="shared" si="168"/>
        <v>-9169.2107882223063</v>
      </c>
      <c r="BW313" s="5">
        <f t="shared" si="169"/>
        <v>29756.040834737607</v>
      </c>
      <c r="BX313" s="5">
        <f t="shared" si="170"/>
        <v>29380.849968836588</v>
      </c>
      <c r="BY313" s="5">
        <f t="shared" si="171"/>
        <v>88142.549906509768</v>
      </c>
      <c r="BZ313" s="5">
        <f>INDEX('Team forecast'!$R$3:$BH$26,MATCH($B313,'Team forecast'!$B$3:$B$26,0),MATCH(BZ$1,'Team forecast'!$R$2:$BH$2,0))*($BX313-(BY313+CH313)*0.01)</f>
        <v>-8221.4412933547937</v>
      </c>
      <c r="CA313" s="5">
        <f>INDEX('Team forecast'!$R$3:$BH$26,MATCH($B313,'Team forecast'!$B$3:$B$26,0),MATCH(CA$1,'Team forecast'!$R$2:$BH$2,0))*($BX313-(BY313+BX313+CH313)*0.01)</f>
        <v>-4138.906142708569</v>
      </c>
      <c r="CB313" s="5">
        <f>INDEX('Team forecast'!$R$3:$BH$26,MATCH($B313,'Team forecast'!$B$3:$B$26,0),MATCH(CB$1,'Team forecast'!$R$2:$BH$2,0))*($BX313-(BY313+BX313*2+CH313)*0.01)</f>
        <v>-2046.8908796936553</v>
      </c>
      <c r="CC313" s="5">
        <f>INDEX('Team forecast'!$R$3:$BH$26,MATCH($B313,'Team forecast'!$B$3:$B$26,0),MATCH(CC$1,'Team forecast'!$R$2:$BH$2,0))*($BX313-(BY313+BX313*3+CH313)*0.01)</f>
        <v>-950.42970877235916</v>
      </c>
      <c r="CD313" s="5">
        <f>+AK313+BD313*Cockpit!$C$3+BW313*Cockpit!$C$3^2+BZ313*Cockpit!$C$3^3+CA313*Cockpit!$C$3^4+CB313*Cockpit!$C$3^5+CC313*Cockpit!$C$3^6</f>
        <v>66234.979852699165</v>
      </c>
      <c r="CE313" s="5"/>
      <c r="CF313" s="5"/>
      <c r="CG313" s="5">
        <v>0</v>
      </c>
      <c r="CH313" s="5">
        <f t="shared" si="172"/>
        <v>4000000</v>
      </c>
      <c r="CI313" s="5">
        <f t="shared" si="173"/>
        <v>4000000</v>
      </c>
      <c r="CJ313" s="1">
        <f t="shared" si="174"/>
        <v>2.2035637476627443E-2</v>
      </c>
      <c r="CK313" s="5">
        <f>RANK(BY313,$BY$2:$BY$623)+COUNTIF($BY$2:$BY313,$BY313)-1</f>
        <v>194</v>
      </c>
      <c r="CL313" s="5">
        <f>RANK(CJ313,$CJ$2:$CJ$623)+COUNTIF($CJ$2:$CJ313,$CJ313)-1</f>
        <v>243</v>
      </c>
    </row>
    <row r="314" spans="1:90">
      <c r="A314" t="str">
        <f>Players!P315</f>
        <v>Cristoph Baumgartner</v>
      </c>
      <c r="B314" t="str">
        <f>Players!G315</f>
        <v>Austria</v>
      </c>
      <c r="C314" t="str">
        <f>Players!AB315</f>
        <v>Midfield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3500000</v>
      </c>
      <c r="H314" s="16">
        <f>INDEX('Team forecast'!$B$2:$AO$26,MATCH('Master data'!$B314,'Team forecast'!$B$2:$B$26,0),MATCH('Master data'!H$1,'Team forecast'!$B$2:$AO$2,0))</f>
        <v>1.5562991347612565</v>
      </c>
      <c r="I314" s="16">
        <f>INDEX('Team forecast'!$B$2:$AO$26,MATCH('Master data'!$B314,'Team forecast'!$B$2:$B$26,0),MATCH('Master data'!I$1,'Team forecast'!$B$2:$AO$2,0))</f>
        <v>0.65653770483831209</v>
      </c>
      <c r="J314" s="16">
        <f>INDEX('Team forecast'!$B$2:$AO$26,MATCH('Master data'!$B314,'Team forecast'!$B$2:$B$26,0),MATCH('Master data'!J$1,'Team forecast'!$B$2:$AO$2,0))</f>
        <v>0.51864392781930047</v>
      </c>
      <c r="K314" s="16">
        <f>INDEX('Team forecast'!$B$2:$AO$26,MATCH('Master data'!$B314,'Team forecast'!$B$2:$B$26,0),MATCH('Master data'!K$1,'Team forecast'!$B$2:$AO$2,0))</f>
        <v>4.6996138345751106</v>
      </c>
      <c r="L314" s="16">
        <f>INDEX('Team forecast'!$B$2:$AO$26,MATCH('Master data'!$B314,'Team forecast'!$B$2:$B$26,0),MATCH('Master data'!L$1,'Team forecast'!$B$2:$AO$2,0))</f>
        <v>1.9825710955314819</v>
      </c>
      <c r="M314">
        <f>IF(Players!BC315=1,95,0)</f>
        <v>95</v>
      </c>
      <c r="N314" s="2">
        <f>Players!BN315</f>
        <v>0.11281560248159928</v>
      </c>
      <c r="O314" s="2">
        <f>Players!BO315</f>
        <v>9.1541867843107569E-2</v>
      </c>
      <c r="P314" s="2">
        <f>Players!BP315</f>
        <v>0.23365634233620267</v>
      </c>
      <c r="Q314" s="2">
        <f>Players!BQ315</f>
        <v>0.20246425567703955</v>
      </c>
      <c r="R314" s="2">
        <f>Players!BR315</f>
        <v>0</v>
      </c>
      <c r="S314" s="2">
        <f t="shared" si="133"/>
        <v>1.5562991347612565</v>
      </c>
      <c r="T314" s="2">
        <f t="shared" si="134"/>
        <v>0.65653770483831209</v>
      </c>
      <c r="U314" s="16">
        <f>INDEX('Team forecast'!$B$2:$AO$26,MATCH('Master data'!$B314,'Team forecast'!$B$2:$B$26,0),MATCH('Master data'!U$1,'Team forecast'!$B$2:$AO$2,0))</f>
        <v>0.60453400503778332</v>
      </c>
      <c r="V314" s="16">
        <f>INDEX('Team forecast'!$B$2:$AO$26,MATCH('Master data'!$B314,'Team forecast'!$B$2:$B$26,0),MATCH('Master data'!V$1,'Team forecast'!$B$2:$AO$2,0))</f>
        <v>0.23727959697733</v>
      </c>
      <c r="W314" s="16">
        <f>INDEX('Team forecast'!$B$2:$AO$26,MATCH('Master data'!$B314,'Team forecast'!$B$2:$B$26,0),MATCH('Master data'!W$1,'Team forecast'!$B$2:$AO$2,0))</f>
        <v>0.15818639798488671</v>
      </c>
      <c r="X314" s="5">
        <f t="shared" si="135"/>
        <v>7000</v>
      </c>
      <c r="Y314" s="5">
        <f t="shared" si="136"/>
        <v>15113.350125944582</v>
      </c>
      <c r="Z314" s="5">
        <f t="shared" si="137"/>
        <v>1186.39798488665</v>
      </c>
      <c r="AA314" s="5">
        <f t="shared" si="138"/>
        <v>-2372.7959697733004</v>
      </c>
      <c r="AB314" s="5">
        <f t="shared" si="139"/>
        <v>21946.853066210351</v>
      </c>
      <c r="AC314" s="5">
        <f t="shared" si="140"/>
        <v>7123.3264859328801</v>
      </c>
      <c r="AD314" s="5">
        <f t="shared" si="141"/>
        <v>10980.945789794361</v>
      </c>
      <c r="AE314" s="5">
        <f t="shared" si="142"/>
        <v>0</v>
      </c>
      <c r="AF314" s="5">
        <f t="shared" si="143"/>
        <v>0</v>
      </c>
      <c r="AG314" s="5">
        <f t="shared" si="144"/>
        <v>-4049.2851135407909</v>
      </c>
      <c r="AH314" s="5">
        <f t="shared" si="145"/>
        <v>0</v>
      </c>
      <c r="AI314" s="5">
        <f t="shared" si="146"/>
        <v>15562.991347612564</v>
      </c>
      <c r="AJ314" s="5">
        <f t="shared" si="147"/>
        <v>-5252.3016387064963</v>
      </c>
      <c r="AK314" s="5">
        <f>IFERROR(SUM(X314:AJ314),-5000)*((Cockpit!$C$3)^0)</f>
        <v>67239.482078360787</v>
      </c>
      <c r="AL314" s="16">
        <f>INDEX('Team forecast'!$B$2:$AO$26,MATCH('Master data'!$B314,'Team forecast'!$B$2:$B$26,0),MATCH('Master data'!AL$1,'Team forecast'!$B$2:$AO$2,0))</f>
        <v>0.7977891123063281</v>
      </c>
      <c r="AM314" s="16">
        <f>INDEX('Team forecast'!$B$2:$AO$26,MATCH('Master data'!$B314,'Team forecast'!$B$2:$B$26,0),MATCH('Master data'!AM$1,'Team forecast'!$B$2:$AO$2,0))</f>
        <v>1.8476112368050062</v>
      </c>
      <c r="AN314" s="16">
        <f>INDEX('Team forecast'!$B$2:$AO$26,MATCH('Master data'!$B314,'Team forecast'!$B$2:$B$26,0),MATCH('Master data'!AN$1,'Team forecast'!$B$2:$AO$2,0))</f>
        <v>0.15761321763936759</v>
      </c>
      <c r="AO314" s="16">
        <f>INDEX('Team forecast'!$B$2:$AO$26,MATCH('Master data'!$B314,'Team forecast'!$B$2:$B$26,0),MATCH('Master data'!AO$1,'Team forecast'!$B$2:$AO$2,0))</f>
        <v>2.4091131746618726</v>
      </c>
      <c r="AP314" s="16">
        <f>INDEX('Team forecast'!$B$2:$AO$26,MATCH('Master data'!$B314,'Team forecast'!$B$2:$B$26,0),MATCH('Master data'!AP$1,'Team forecast'!$B$2:$AO$2,0))</f>
        <v>5.5792997216677493</v>
      </c>
      <c r="AQ314" s="5">
        <f t="shared" si="148"/>
        <v>7000</v>
      </c>
      <c r="AR314" s="5">
        <f>INDEX('Team forecast'!$B$2:$AO$26,MATCH('Master data'!$B314,'Team forecast'!$B$2:$B$26,0),MATCH('Master data'!AR$1,'Team forecast'!$B$2:$AO$2,0))*IF(X314&gt;0,25000,0)</f>
        <v>3637.2280993700224</v>
      </c>
      <c r="AS314" s="16">
        <f>INDEX('Team forecast'!$B$2:$AO$26,MATCH('Master data'!$B314,'Team forecast'!$B$2:$B$26,0),MATCH('Master data'!AS$1,'Team forecast'!$B$2:$AO$2,0))*IF(X314&gt;0,5000,0)</f>
        <v>1182.0991322952575</v>
      </c>
      <c r="AT314" s="16">
        <f>INDEX('Team forecast'!$B$2:$AO$26,MATCH('Master data'!$B314,'Team forecast'!$B$2:$B$26,0),MATCH('Master data'!AT$1,'Team forecast'!$B$2:$AO$2,0))*IF(X314&gt;0,-15000,0)</f>
        <v>-9271.3657434922134</v>
      </c>
      <c r="AU314" s="5">
        <f t="shared" si="149"/>
        <v>11250.382419762333</v>
      </c>
      <c r="AV314" s="5">
        <f t="shared" si="150"/>
        <v>3651.5552742707996</v>
      </c>
      <c r="AW314" s="5">
        <f t="shared" si="151"/>
        <v>5629.0457266545045</v>
      </c>
      <c r="AX314" s="5">
        <f t="shared" si="152"/>
        <v>0</v>
      </c>
      <c r="AY314" s="5">
        <f t="shared" si="153"/>
        <v>0</v>
      </c>
      <c r="AZ314" s="5">
        <f t="shared" si="154"/>
        <v>-4049.2851135407909</v>
      </c>
      <c r="BA314" s="5">
        <f t="shared" si="155"/>
        <v>0</v>
      </c>
      <c r="BB314" s="5">
        <f t="shared" si="156"/>
        <v>7977.8911230632812</v>
      </c>
      <c r="BC314" s="5">
        <f t="shared" si="157"/>
        <v>-14780.88989444005</v>
      </c>
      <c r="BD314" s="5">
        <f t="shared" si="158"/>
        <v>12226.661023943143</v>
      </c>
      <c r="BE314" s="16">
        <f>INDEX('Team forecast'!$B$2:$AO$26,MATCH('Master data'!$B314,'Team forecast'!$B$2:$B$26,0),MATCH('Master data'!BE$1,'Team forecast'!$B$2:$AO$2,0))</f>
        <v>1.1461513485277883</v>
      </c>
      <c r="BF314" s="16">
        <f>INDEX('Team forecast'!$B$2:$AO$26,MATCH('Master data'!$B314,'Team forecast'!$B$2:$B$26,0),MATCH('Master data'!BF$1,'Team forecast'!$B$2:$AO$2,0))</f>
        <v>1.1461513485277883</v>
      </c>
      <c r="BG314" s="16">
        <f>INDEX('Team forecast'!$B$2:$AO$26,MATCH('Master data'!$B314,'Team forecast'!$B$2:$B$26,0),MATCH('Master data'!BG$1,'Team forecast'!$B$2:$AO$2,0))</f>
        <v>0.31785774198959899</v>
      </c>
      <c r="BH314" s="16">
        <f>INDEX('Team forecast'!$B$2:$AO$26,MATCH('Master data'!$B314,'Team forecast'!$B$2:$B$26,0),MATCH('Master data'!BH$1,'Team forecast'!$B$2:$AO$2,0))</f>
        <v>3.4610754537779926</v>
      </c>
      <c r="BI314" s="16">
        <f>INDEX('Team forecast'!$B$2:$AO$26,MATCH('Master data'!$B314,'Team forecast'!$B$2:$B$26,0),MATCH('Master data'!BI$1,'Team forecast'!$B$2:$AO$2,0))</f>
        <v>3.4610754537779926</v>
      </c>
      <c r="BJ314" s="5">
        <f t="shared" si="159"/>
        <v>7000</v>
      </c>
      <c r="BK314" s="5">
        <f>INDEX('Team forecast'!$R$3:$BH$26,MATCH($B314,'Team forecast'!$B$3:$B$26,0),MATCH(BK$1,'Team forecast'!$R$2:$BH$2,0))*IF($X314&gt;0,25000,0)</f>
        <v>8995.9738298943139</v>
      </c>
      <c r="BL314" s="5">
        <f>INDEX('Team forecast'!$R$3:$BH$26,MATCH($B314,'Team forecast'!$B$3:$B$26,0),MATCH(BL$1,'Team forecast'!$R$2:$BH$2,0))*IF($X314&gt;0,5000,0)</f>
        <v>1467.0357322596881</v>
      </c>
      <c r="BM314" s="5">
        <f>INDEX('Team forecast'!$R$3:$BH$26,MATCH($B314,'Team forecast'!$B$3:$B$26,0),MATCH(BM$1,'Team forecast'!$R$2:$BH$2,0))*IF($X314&gt;0,-15000,0)</f>
        <v>-5201.3085052843489</v>
      </c>
      <c r="BN314" s="5">
        <f t="shared" si="160"/>
        <v>16162.969364907489</v>
      </c>
      <c r="BO314" s="5">
        <f t="shared" si="161"/>
        <v>5246.041763756516</v>
      </c>
      <c r="BP314" s="5">
        <f t="shared" si="162"/>
        <v>8087.0223107937863</v>
      </c>
      <c r="BQ314" s="5">
        <f t="shared" si="163"/>
        <v>0</v>
      </c>
      <c r="BR314" s="5">
        <f t="shared" si="164"/>
        <v>0</v>
      </c>
      <c r="BS314" s="5">
        <f t="shared" si="165"/>
        <v>-4049.2851135407909</v>
      </c>
      <c r="BT314" s="5">
        <f t="shared" si="166"/>
        <v>0</v>
      </c>
      <c r="BU314" s="5">
        <f t="shared" si="167"/>
        <v>11461.513485277883</v>
      </c>
      <c r="BV314" s="5">
        <f t="shared" si="168"/>
        <v>-9169.2107882223063</v>
      </c>
      <c r="BW314" s="5">
        <f t="shared" si="169"/>
        <v>40000.752079842234</v>
      </c>
      <c r="BX314" s="5">
        <f t="shared" si="170"/>
        <v>39822.298394048725</v>
      </c>
      <c r="BY314" s="5">
        <f t="shared" si="171"/>
        <v>119466.89518214617</v>
      </c>
      <c r="BZ314" s="5">
        <f>INDEX('Team forecast'!$R$3:$BH$26,MATCH($B314,'Team forecast'!$B$3:$B$26,0),MATCH(BZ$1,'Team forecast'!$R$2:$BH$2,0))*($BX314-(BY314+CH314)*0.01)</f>
        <v>2593.2913022418306</v>
      </c>
      <c r="CA314" s="5">
        <f>INDEX('Team forecast'!$R$3:$BH$26,MATCH($B314,'Team forecast'!$B$3:$B$26,0),MATCH(CA$1,'Team forecast'!$R$2:$BH$2,0))*($BX314-(BY314+BX314+CH314)*0.01)</f>
        <v>1133.2690366535442</v>
      </c>
      <c r="CB314" s="5">
        <f>INDEX('Team forecast'!$R$3:$BH$26,MATCH($B314,'Team forecast'!$B$3:$B$26,0),MATCH(CB$1,'Team forecast'!$R$2:$BH$2,0))*($BX314-(BY314+BX314*2+CH314)*0.01)</f>
        <v>479.403650974779</v>
      </c>
      <c r="CC314" s="5">
        <f>INDEX('Team forecast'!$R$3:$BH$26,MATCH($B314,'Team forecast'!$B$3:$B$26,0),MATCH(CC$1,'Team forecast'!$R$2:$BH$2,0))*($BX314-(BY314+BX314*3+CH314)*0.01)</f>
        <v>186.75155371740101</v>
      </c>
      <c r="CD314" s="5">
        <f>+AK314+BD314*Cockpit!$C$3+BW314*Cockpit!$C$3^2+BZ314*Cockpit!$C$3^3+CA314*Cockpit!$C$3^4+CB314*Cockpit!$C$3^5+CC314*Cockpit!$C$3^6</f>
        <v>94240.466226507677</v>
      </c>
      <c r="CE314" s="5"/>
      <c r="CF314" s="5"/>
      <c r="CG314" s="5">
        <v>0</v>
      </c>
      <c r="CH314" s="5">
        <f t="shared" si="172"/>
        <v>3500000</v>
      </c>
      <c r="CI314" s="5">
        <f t="shared" si="173"/>
        <v>3500000</v>
      </c>
      <c r="CJ314" s="1">
        <f t="shared" si="174"/>
        <v>3.4133398623470333E-2</v>
      </c>
      <c r="CK314" s="5">
        <f>RANK(BY314,$BY$2:$BY$623)+COUNTIF($BY$2:$BY314,$BY314)-1</f>
        <v>136</v>
      </c>
      <c r="CL314" s="5">
        <f>RANK(CJ314,$CJ$2:$CJ$623)+COUNTIF($CJ$2:$CJ314,$CJ314)-1</f>
        <v>109</v>
      </c>
    </row>
    <row r="315" spans="1:90">
      <c r="A315" t="str">
        <f>Players!P316</f>
        <v>Jonas Lössl</v>
      </c>
      <c r="B315" t="str">
        <f>Players!G316</f>
        <v>Denmark</v>
      </c>
      <c r="C315" t="str">
        <f>Players!AB316</f>
        <v>Goalkeeper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4500000</v>
      </c>
      <c r="H315" s="16">
        <f>INDEX('Team forecast'!$B$2:$AO$26,MATCH('Master data'!$B315,'Team forecast'!$B$2:$B$26,0),MATCH('Master data'!H$1,'Team forecast'!$B$2:$AO$2,0))</f>
        <v>1.6608440904336361</v>
      </c>
      <c r="I315" s="16">
        <f>INDEX('Team forecast'!$B$2:$AO$26,MATCH('Master data'!$B315,'Team forecast'!$B$2:$B$26,0),MATCH('Master data'!I$1,'Team forecast'!$B$2:$AO$2,0))</f>
        <v>0.59952758650922311</v>
      </c>
      <c r="J315" s="16">
        <f>INDEX('Team forecast'!$B$2:$AO$26,MATCH('Master data'!$B315,'Team forecast'!$B$2:$B$26,0),MATCH('Master data'!J$1,'Team forecast'!$B$2:$AO$2,0))</f>
        <v>0.54907096336484029</v>
      </c>
      <c r="K315" s="16">
        <f>INDEX('Team forecast'!$B$2:$AO$26,MATCH('Master data'!$B315,'Team forecast'!$B$2:$B$26,0),MATCH('Master data'!K$1,'Team forecast'!$B$2:$AO$2,0))</f>
        <v>4.1898566826848551</v>
      </c>
      <c r="L315" s="16">
        <f>INDEX('Team forecast'!$B$2:$AO$26,MATCH('Master data'!$B315,'Team forecast'!$B$2:$B$26,0),MATCH('Master data'!L$1,'Team forecast'!$B$2:$AO$2,0))</f>
        <v>1.7709122555349361</v>
      </c>
      <c r="M315">
        <f>IF(Players!BC316=1,95,0)</f>
        <v>0</v>
      </c>
      <c r="N315" s="2">
        <f>Players!BN316</f>
        <v>0</v>
      </c>
      <c r="O315" s="2">
        <f>Players!BO316</f>
        <v>0</v>
      </c>
      <c r="P315" s="2">
        <f>Players!BP316</f>
        <v>0</v>
      </c>
      <c r="Q315" s="2">
        <f>Players!BQ316</f>
        <v>0</v>
      </c>
      <c r="R315" s="2">
        <f>Players!BR316</f>
        <v>0</v>
      </c>
      <c r="S315" s="2">
        <f t="shared" si="133"/>
        <v>1.6608440904336361</v>
      </c>
      <c r="T315" s="2">
        <f t="shared" si="134"/>
        <v>0.59952758650922311</v>
      </c>
      <c r="U315" s="16">
        <f>INDEX('Team forecast'!$B$2:$AO$26,MATCH('Master data'!$B315,'Team forecast'!$B$2:$B$26,0),MATCH('Master data'!U$1,'Team forecast'!$B$2:$AO$2,0))</f>
        <v>0.65509845973874048</v>
      </c>
      <c r="V315" s="16">
        <f>INDEX('Team forecast'!$B$2:$AO$26,MATCH('Master data'!$B315,'Team forecast'!$B$2:$B$26,0),MATCH('Master data'!V$1,'Team forecast'!$B$2:$AO$2,0))</f>
        <v>0.22616494443361279</v>
      </c>
      <c r="W315" s="16">
        <f>INDEX('Team forecast'!$B$2:$AO$26,MATCH('Master data'!$B315,'Team forecast'!$B$2:$B$26,0),MATCH('Master data'!W$1,'Team forecast'!$B$2:$AO$2,0))</f>
        <v>0.1187365958276467</v>
      </c>
      <c r="X315" s="5">
        <f t="shared" si="135"/>
        <v>-5000</v>
      </c>
      <c r="Y315" s="5">
        <f t="shared" si="136"/>
        <v>0</v>
      </c>
      <c r="Z315" s="5">
        <f t="shared" si="137"/>
        <v>0</v>
      </c>
      <c r="AA315" s="5">
        <f t="shared" si="138"/>
        <v>0</v>
      </c>
      <c r="AB315" s="5">
        <f t="shared" si="139"/>
        <v>0</v>
      </c>
      <c r="AC315" s="5">
        <f t="shared" si="140"/>
        <v>0</v>
      </c>
      <c r="AD315" s="5">
        <f t="shared" si="141"/>
        <v>0</v>
      </c>
      <c r="AE315" s="5">
        <f t="shared" si="142"/>
        <v>41180.322252363025</v>
      </c>
      <c r="AF315" s="5">
        <f t="shared" si="143"/>
        <v>5856.9233451285654</v>
      </c>
      <c r="AG315" s="5">
        <f t="shared" si="144"/>
        <v>0</v>
      </c>
      <c r="AH315" s="5">
        <f t="shared" si="145"/>
        <v>0</v>
      </c>
      <c r="AI315" s="5">
        <f t="shared" si="146"/>
        <v>0</v>
      </c>
      <c r="AJ315" s="5">
        <f t="shared" si="147"/>
        <v>0</v>
      </c>
      <c r="AK315" s="5">
        <f>IFERROR(SUM(X315:AJ315),-5000)*((Cockpit!$C$3)^0)</f>
        <v>42037.245597491594</v>
      </c>
      <c r="AL315" s="16">
        <f>INDEX('Team forecast'!$B$2:$AO$26,MATCH('Master data'!$B315,'Team forecast'!$B$2:$B$26,0),MATCH('Master data'!AL$1,'Team forecast'!$B$2:$AO$2,0))</f>
        <v>1.1610121970988967</v>
      </c>
      <c r="AM315" s="16">
        <f>INDEX('Team forecast'!$B$2:$AO$26,MATCH('Master data'!$B315,'Team forecast'!$B$2:$B$26,0),MATCH('Master data'!AM$1,'Team forecast'!$B$2:$AO$2,0))</f>
        <v>1.5279674504451852</v>
      </c>
      <c r="AN315" s="16">
        <f>INDEX('Team forecast'!$B$2:$AO$26,MATCH('Master data'!$B315,'Team forecast'!$B$2:$B$26,0),MATCH('Master data'!AN$1,'Team forecast'!$B$2:$AO$2,0))</f>
        <v>0.21697623437572761</v>
      </c>
      <c r="AO315" s="16">
        <f>INDEX('Team forecast'!$B$2:$AO$26,MATCH('Master data'!$B315,'Team forecast'!$B$2:$B$26,0),MATCH('Master data'!AO$1,'Team forecast'!$B$2:$AO$2,0))</f>
        <v>2.9289171335903985</v>
      </c>
      <c r="AP315" s="16">
        <f>INDEX('Team forecast'!$B$2:$AO$26,MATCH('Master data'!$B315,'Team forecast'!$B$2:$B$26,0),MATCH('Master data'!AP$1,'Team forecast'!$B$2:$AO$2,0))</f>
        <v>4.5133807766996243</v>
      </c>
      <c r="AQ315" s="5">
        <f t="shared" si="148"/>
        <v>-5000</v>
      </c>
      <c r="AR315" s="5">
        <f>INDEX('Team forecast'!$B$2:$AO$26,MATCH('Master data'!$B315,'Team forecast'!$B$2:$B$26,0),MATCH('Master data'!AR$1,'Team forecast'!$B$2:$AO$2,0))*IF(X315&gt;0,25000,0)</f>
        <v>0</v>
      </c>
      <c r="AS315" s="16">
        <f>INDEX('Team forecast'!$B$2:$AO$26,MATCH('Master data'!$B315,'Team forecast'!$B$2:$B$26,0),MATCH('Master data'!AS$1,'Team forecast'!$B$2:$AO$2,0))*IF(X315&gt;0,5000,0)</f>
        <v>0</v>
      </c>
      <c r="AT315" s="16">
        <f>INDEX('Team forecast'!$B$2:$AO$26,MATCH('Master data'!$B315,'Team forecast'!$B$2:$B$26,0),MATCH('Master data'!AT$1,'Team forecast'!$B$2:$AO$2,0))*IF(X315&gt;0,-15000,0)</f>
        <v>0</v>
      </c>
      <c r="AU315" s="5">
        <f t="shared" si="149"/>
        <v>0</v>
      </c>
      <c r="AV315" s="5">
        <f t="shared" si="150"/>
        <v>0</v>
      </c>
      <c r="AW315" s="5">
        <f t="shared" si="151"/>
        <v>0</v>
      </c>
      <c r="AX315" s="5">
        <f t="shared" si="152"/>
        <v>16273.21757817957</v>
      </c>
      <c r="AY315" s="5">
        <f t="shared" si="153"/>
        <v>14927.066631272195</v>
      </c>
      <c r="AZ315" s="5">
        <f t="shared" si="154"/>
        <v>0</v>
      </c>
      <c r="BA315" s="5">
        <f t="shared" si="155"/>
        <v>0</v>
      </c>
      <c r="BB315" s="5">
        <f t="shared" si="156"/>
        <v>0</v>
      </c>
      <c r="BC315" s="5">
        <f t="shared" si="157"/>
        <v>0</v>
      </c>
      <c r="BD315" s="5">
        <f t="shared" si="158"/>
        <v>26200.284209451765</v>
      </c>
      <c r="BE315" s="16">
        <f>INDEX('Team forecast'!$B$2:$AO$26,MATCH('Master data'!$B315,'Team forecast'!$B$2:$B$26,0),MATCH('Master data'!BE$1,'Team forecast'!$B$2:$AO$2,0))</f>
        <v>1.5053002864585165</v>
      </c>
      <c r="BF315" s="16">
        <f>INDEX('Team forecast'!$B$2:$AO$26,MATCH('Master data'!$B315,'Team forecast'!$B$2:$B$26,0),MATCH('Master data'!BF$1,'Team forecast'!$B$2:$AO$2,0))</f>
        <v>0.95602347631827322</v>
      </c>
      <c r="BG315" s="16">
        <f>INDEX('Team forecast'!$B$2:$AO$26,MATCH('Master data'!$B315,'Team forecast'!$B$2:$B$26,0),MATCH('Master data'!BG$1,'Team forecast'!$B$2:$AO$2,0))</f>
        <v>0.38441849991338989</v>
      </c>
      <c r="BH315" s="16">
        <f>INDEX('Team forecast'!$B$2:$AO$26,MATCH('Master data'!$B315,'Team forecast'!$B$2:$B$26,0),MATCH('Master data'!BH$1,'Team forecast'!$B$2:$AO$2,0))</f>
        <v>3.7974620862930761</v>
      </c>
      <c r="BI315" s="16">
        <f>INDEX('Team forecast'!$B$2:$AO$26,MATCH('Master data'!$B315,'Team forecast'!$B$2:$B$26,0),MATCH('Master data'!BI$1,'Team forecast'!$B$2:$AO$2,0))</f>
        <v>2.8239462685093613</v>
      </c>
      <c r="BJ315" s="5">
        <f t="shared" si="159"/>
        <v>-5000</v>
      </c>
      <c r="BK315" s="5">
        <f>INDEX('Team forecast'!$R$3:$BH$26,MATCH($B315,'Team forecast'!$B$3:$B$26,0),MATCH(BK$1,'Team forecast'!$R$2:$BH$2,0))*IF($X315&gt;0,25000,0)</f>
        <v>0</v>
      </c>
      <c r="BL315" s="5">
        <f>INDEX('Team forecast'!$R$3:$BH$26,MATCH($B315,'Team forecast'!$B$3:$B$26,0),MATCH(BL$1,'Team forecast'!$R$2:$BH$2,0))*IF($X315&gt;0,5000,0)</f>
        <v>0</v>
      </c>
      <c r="BM315" s="5">
        <f>INDEX('Team forecast'!$R$3:$BH$26,MATCH($B315,'Team forecast'!$B$3:$B$26,0),MATCH(BM$1,'Team forecast'!$R$2:$BH$2,0))*IF($X315&gt;0,-15000,0)</f>
        <v>0</v>
      </c>
      <c r="BN315" s="5">
        <f t="shared" si="160"/>
        <v>0</v>
      </c>
      <c r="BO315" s="5">
        <f t="shared" si="161"/>
        <v>0</v>
      </c>
      <c r="BP315" s="5">
        <f t="shared" si="162"/>
        <v>0</v>
      </c>
      <c r="BQ315" s="5">
        <f t="shared" si="163"/>
        <v>28831.38749350424</v>
      </c>
      <c r="BR315" s="5">
        <f t="shared" si="164"/>
        <v>9339.6139609554393</v>
      </c>
      <c r="BS315" s="5">
        <f t="shared" si="165"/>
        <v>0</v>
      </c>
      <c r="BT315" s="5">
        <f t="shared" si="166"/>
        <v>0</v>
      </c>
      <c r="BU315" s="5">
        <f t="shared" si="167"/>
        <v>0</v>
      </c>
      <c r="BV315" s="5">
        <f t="shared" si="168"/>
        <v>0</v>
      </c>
      <c r="BW315" s="5">
        <f t="shared" si="169"/>
        <v>33171.001454459678</v>
      </c>
      <c r="BX315" s="5">
        <f t="shared" si="170"/>
        <v>33802.843753801011</v>
      </c>
      <c r="BY315" s="5">
        <f t="shared" si="171"/>
        <v>101408.53126140303</v>
      </c>
      <c r="BZ315" s="5">
        <f>INDEX('Team forecast'!$R$3:$BH$26,MATCH($B315,'Team forecast'!$B$3:$B$26,0),MATCH(BZ$1,'Team forecast'!$R$2:$BH$2,0))*($BX315-(BY315+CH315)*0.01)</f>
        <v>-9916.6854785550204</v>
      </c>
      <c r="CA315" s="5">
        <f>INDEX('Team forecast'!$R$3:$BH$26,MATCH($B315,'Team forecast'!$B$3:$B$26,0),MATCH(CA$1,'Team forecast'!$R$2:$BH$2,0))*($BX315-(BY315+BX315+CH315)*0.01)</f>
        <v>-5057.9411399262181</v>
      </c>
      <c r="CB315" s="5">
        <f>INDEX('Team forecast'!$R$3:$BH$26,MATCH($B315,'Team forecast'!$B$3:$B$26,0),MATCH(CB$1,'Team forecast'!$R$2:$BH$2,0))*($BX315-(BY315+BX315*2+CH315)*0.01)</f>
        <v>-2560.6944768170551</v>
      </c>
      <c r="CC315" s="5">
        <f>INDEX('Team forecast'!$R$3:$BH$26,MATCH($B315,'Team forecast'!$B$3:$B$26,0),MATCH(CC$1,'Team forecast'!$R$2:$BH$2,0))*($BX315-(BY315+BX315*3+CH315)*0.01)</f>
        <v>-1265.7665923063914</v>
      </c>
      <c r="CD315" s="5">
        <f>+AK315+BD315*Cockpit!$C$3+BW315*Cockpit!$C$3^2+BZ315*Cockpit!$C$3^3+CA315*Cockpit!$C$3^4+CB315*Cockpit!$C$3^5+CC315*Cockpit!$C$3^6</f>
        <v>69861.058049945903</v>
      </c>
      <c r="CE315" s="5"/>
      <c r="CF315" s="5"/>
      <c r="CG315" s="5">
        <v>0</v>
      </c>
      <c r="CH315" s="5">
        <f t="shared" si="172"/>
        <v>4500000</v>
      </c>
      <c r="CI315" s="5">
        <f t="shared" si="173"/>
        <v>4500000</v>
      </c>
      <c r="CJ315" s="1">
        <f t="shared" si="174"/>
        <v>2.2535229169200671E-2</v>
      </c>
      <c r="CK315" s="5">
        <f>RANK(BY315,$BY$2:$BY$623)+COUNTIF($BY$2:$BY315,$BY315)-1</f>
        <v>163</v>
      </c>
      <c r="CL315" s="5">
        <f>RANK(CJ315,$CJ$2:$CJ$623)+COUNTIF($CJ$2:$CJ315,$CJ315)-1</f>
        <v>237</v>
      </c>
    </row>
    <row r="316" spans="1:90">
      <c r="A316" t="str">
        <f>Players!P317</f>
        <v>Simon Kjaer</v>
      </c>
      <c r="B316" t="str">
        <f>Players!G317</f>
        <v>Denmark</v>
      </c>
      <c r="C316" t="str">
        <f>Players!AB317</f>
        <v>Defense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4000000</v>
      </c>
      <c r="H316" s="16">
        <f>INDEX('Team forecast'!$B$2:$AO$26,MATCH('Master data'!$B316,'Team forecast'!$B$2:$B$26,0),MATCH('Master data'!H$1,'Team forecast'!$B$2:$AO$2,0))</f>
        <v>1.6608440904336361</v>
      </c>
      <c r="I316" s="16">
        <f>INDEX('Team forecast'!$B$2:$AO$26,MATCH('Master data'!$B316,'Team forecast'!$B$2:$B$26,0),MATCH('Master data'!I$1,'Team forecast'!$B$2:$AO$2,0))</f>
        <v>0.59952758650922311</v>
      </c>
      <c r="J316" s="16">
        <f>INDEX('Team forecast'!$B$2:$AO$26,MATCH('Master data'!$B316,'Team forecast'!$B$2:$B$26,0),MATCH('Master data'!J$1,'Team forecast'!$B$2:$AO$2,0))</f>
        <v>0.54907096336484029</v>
      </c>
      <c r="K316" s="16">
        <f>INDEX('Team forecast'!$B$2:$AO$26,MATCH('Master data'!$B316,'Team forecast'!$B$2:$B$26,0),MATCH('Master data'!K$1,'Team forecast'!$B$2:$AO$2,0))</f>
        <v>4.1898566826848551</v>
      </c>
      <c r="L316" s="16">
        <f>INDEX('Team forecast'!$B$2:$AO$26,MATCH('Master data'!$B316,'Team forecast'!$B$2:$B$26,0),MATCH('Master data'!L$1,'Team forecast'!$B$2:$AO$2,0))</f>
        <v>1.7709122555349361</v>
      </c>
      <c r="M316">
        <f>IF(Players!BC317=1,95,0)</f>
        <v>95</v>
      </c>
      <c r="N316" s="2">
        <f>Players!BN317</f>
        <v>2.5283138793392824E-2</v>
      </c>
      <c r="O316" s="2">
        <f>Players!BO317</f>
        <v>0.11856014746294963</v>
      </c>
      <c r="P316" s="2">
        <f>Players!BP317</f>
        <v>1.6942413049568526E-2</v>
      </c>
      <c r="Q316" s="2">
        <f>Players!BQ317</f>
        <v>0.12634390651085142</v>
      </c>
      <c r="R316" s="2">
        <f>Players!BR317</f>
        <v>0</v>
      </c>
      <c r="S316" s="2">
        <f t="shared" si="133"/>
        <v>1.6608440904336361</v>
      </c>
      <c r="T316" s="2">
        <f t="shared" si="134"/>
        <v>0.59952758650922311</v>
      </c>
      <c r="U316" s="16">
        <f>INDEX('Team forecast'!$B$2:$AO$26,MATCH('Master data'!$B316,'Team forecast'!$B$2:$B$26,0),MATCH('Master data'!U$1,'Team forecast'!$B$2:$AO$2,0))</f>
        <v>0.65509845973874048</v>
      </c>
      <c r="V316" s="16">
        <f>INDEX('Team forecast'!$B$2:$AO$26,MATCH('Master data'!$B316,'Team forecast'!$B$2:$B$26,0),MATCH('Master data'!V$1,'Team forecast'!$B$2:$AO$2,0))</f>
        <v>0.22616494443361279</v>
      </c>
      <c r="W316" s="16">
        <f>INDEX('Team forecast'!$B$2:$AO$26,MATCH('Master data'!$B316,'Team forecast'!$B$2:$B$26,0),MATCH('Master data'!W$1,'Team forecast'!$B$2:$AO$2,0))</f>
        <v>0.1187365958276467</v>
      </c>
      <c r="X316" s="5">
        <f t="shared" si="135"/>
        <v>7000</v>
      </c>
      <c r="Y316" s="5">
        <f t="shared" si="136"/>
        <v>16377.461493468512</v>
      </c>
      <c r="Z316" s="5">
        <f t="shared" si="137"/>
        <v>1130.824722168064</v>
      </c>
      <c r="AA316" s="5">
        <f t="shared" si="138"/>
        <v>-1781.0489374147005</v>
      </c>
      <c r="AB316" s="5">
        <f t="shared" si="139"/>
        <v>6298.7027478929831</v>
      </c>
      <c r="AC316" s="5">
        <f t="shared" si="140"/>
        <v>9845.4960137390171</v>
      </c>
      <c r="AD316" s="5">
        <f t="shared" si="141"/>
        <v>709.86282536541785</v>
      </c>
      <c r="AE316" s="5">
        <f t="shared" si="142"/>
        <v>27453.548168242014</v>
      </c>
      <c r="AF316" s="5">
        <f t="shared" si="143"/>
        <v>0</v>
      </c>
      <c r="AG316" s="5">
        <f t="shared" si="144"/>
        <v>-2526.8781302170282</v>
      </c>
      <c r="AH316" s="5">
        <f t="shared" si="145"/>
        <v>0</v>
      </c>
      <c r="AI316" s="5">
        <f t="shared" si="146"/>
        <v>16608.440904336363</v>
      </c>
      <c r="AJ316" s="5">
        <f t="shared" si="147"/>
        <v>-4796.2206920737844</v>
      </c>
      <c r="AK316" s="5">
        <f>IFERROR(SUM(X316:AJ316),-5000)*((Cockpit!$C$3)^0)</f>
        <v>76320.189115506859</v>
      </c>
      <c r="AL316" s="16">
        <f>INDEX('Team forecast'!$B$2:$AO$26,MATCH('Master data'!$B316,'Team forecast'!$B$2:$B$26,0),MATCH('Master data'!AL$1,'Team forecast'!$B$2:$AO$2,0))</f>
        <v>1.1610121970988967</v>
      </c>
      <c r="AM316" s="16">
        <f>INDEX('Team forecast'!$B$2:$AO$26,MATCH('Master data'!$B316,'Team forecast'!$B$2:$B$26,0),MATCH('Master data'!AM$1,'Team forecast'!$B$2:$AO$2,0))</f>
        <v>1.5279674504451852</v>
      </c>
      <c r="AN316" s="16">
        <f>INDEX('Team forecast'!$B$2:$AO$26,MATCH('Master data'!$B316,'Team forecast'!$B$2:$B$26,0),MATCH('Master data'!AN$1,'Team forecast'!$B$2:$AO$2,0))</f>
        <v>0.21697623437572761</v>
      </c>
      <c r="AO316" s="16">
        <f>INDEX('Team forecast'!$B$2:$AO$26,MATCH('Master data'!$B316,'Team forecast'!$B$2:$B$26,0),MATCH('Master data'!AO$1,'Team forecast'!$B$2:$AO$2,0))</f>
        <v>2.9289171335903985</v>
      </c>
      <c r="AP316" s="16">
        <f>INDEX('Team forecast'!$B$2:$AO$26,MATCH('Master data'!$B316,'Team forecast'!$B$2:$B$26,0),MATCH('Master data'!AP$1,'Team forecast'!$B$2:$AO$2,0))</f>
        <v>4.5133807766996243</v>
      </c>
      <c r="AQ316" s="5">
        <f t="shared" si="148"/>
        <v>7000</v>
      </c>
      <c r="AR316" s="5">
        <f>INDEX('Team forecast'!$B$2:$AO$26,MATCH('Master data'!$B316,'Team forecast'!$B$2:$B$26,0),MATCH('Master data'!AR$1,'Team forecast'!$B$2:$AO$2,0))*IF(X316&gt;0,25000,0)</f>
        <v>6348.0209111277081</v>
      </c>
      <c r="AS316" s="16">
        <f>INDEX('Team forecast'!$B$2:$AO$26,MATCH('Master data'!$B316,'Team forecast'!$B$2:$B$26,0),MATCH('Master data'!AS$1,'Team forecast'!$B$2:$AO$2,0))*IF(X316&gt;0,5000,0)</f>
        <v>1381.628080657207</v>
      </c>
      <c r="AT316" s="16">
        <f>INDEX('Team forecast'!$B$2:$AO$26,MATCH('Master data'!$B316,'Team forecast'!$B$2:$B$26,0),MATCH('Master data'!AT$1,'Team forecast'!$B$2:$AO$2,0))*IF(X316&gt;0,-15000,0)</f>
        <v>-7046.3032113517547</v>
      </c>
      <c r="AU316" s="5">
        <f t="shared" si="149"/>
        <v>4403.1048780110023</v>
      </c>
      <c r="AV316" s="5">
        <f t="shared" si="150"/>
        <v>6882.4888647164162</v>
      </c>
      <c r="AW316" s="5">
        <f t="shared" si="151"/>
        <v>496.2292386524681</v>
      </c>
      <c r="AX316" s="5">
        <f t="shared" si="152"/>
        <v>10848.811718786381</v>
      </c>
      <c r="AY316" s="5">
        <f t="shared" si="153"/>
        <v>0</v>
      </c>
      <c r="AZ316" s="5">
        <f t="shared" si="154"/>
        <v>-2526.8781302170282</v>
      </c>
      <c r="BA316" s="5">
        <f t="shared" si="155"/>
        <v>0</v>
      </c>
      <c r="BB316" s="5">
        <f t="shared" si="156"/>
        <v>11610.121970988966</v>
      </c>
      <c r="BC316" s="5">
        <f t="shared" si="157"/>
        <v>-12223.739603561482</v>
      </c>
      <c r="BD316" s="5">
        <f t="shared" si="158"/>
        <v>27173.484717809886</v>
      </c>
      <c r="BE316" s="16">
        <f>INDEX('Team forecast'!$B$2:$AO$26,MATCH('Master data'!$B316,'Team forecast'!$B$2:$B$26,0),MATCH('Master data'!BE$1,'Team forecast'!$B$2:$AO$2,0))</f>
        <v>1.5053002864585165</v>
      </c>
      <c r="BF316" s="16">
        <f>INDEX('Team forecast'!$B$2:$AO$26,MATCH('Master data'!$B316,'Team forecast'!$B$2:$B$26,0),MATCH('Master data'!BF$1,'Team forecast'!$B$2:$AO$2,0))</f>
        <v>0.95602347631827322</v>
      </c>
      <c r="BG316" s="16">
        <f>INDEX('Team forecast'!$B$2:$AO$26,MATCH('Master data'!$B316,'Team forecast'!$B$2:$B$26,0),MATCH('Master data'!BG$1,'Team forecast'!$B$2:$AO$2,0))</f>
        <v>0.38441849991338989</v>
      </c>
      <c r="BH316" s="16">
        <f>INDEX('Team forecast'!$B$2:$AO$26,MATCH('Master data'!$B316,'Team forecast'!$B$2:$B$26,0),MATCH('Master data'!BH$1,'Team forecast'!$B$2:$AO$2,0))</f>
        <v>3.7974620862930761</v>
      </c>
      <c r="BI316" s="16">
        <f>INDEX('Team forecast'!$B$2:$AO$26,MATCH('Master data'!$B316,'Team forecast'!$B$2:$B$26,0),MATCH('Master data'!BI$1,'Team forecast'!$B$2:$AO$2,0))</f>
        <v>2.8239462685093613</v>
      </c>
      <c r="BJ316" s="5">
        <f t="shared" si="159"/>
        <v>7000</v>
      </c>
      <c r="BK316" s="5">
        <f>INDEX('Team forecast'!$R$3:$BH$26,MATCH($B316,'Team forecast'!$B$3:$B$26,0),MATCH(BK$1,'Team forecast'!$R$2:$BH$2,0))*IF($X316&gt;0,25000,0)</f>
        <v>12073.445349038628</v>
      </c>
      <c r="BL316" s="5">
        <f>INDEX('Team forecast'!$R$3:$BH$26,MATCH($B316,'Team forecast'!$B$3:$B$26,0),MATCH(BL$1,'Team forecast'!$R$2:$BH$2,0))*IF($X316&gt;0,5000,0)</f>
        <v>1413.30330850511</v>
      </c>
      <c r="BM316" s="5">
        <f>INDEX('Team forecast'!$R$3:$BH$26,MATCH($B316,'Team forecast'!$B$3:$B$26,0),MATCH(BM$1,'Team forecast'!$R$2:$BH$2,0))*IF($X316&gt;0,-15000,0)</f>
        <v>-3516.0228650614931</v>
      </c>
      <c r="BN316" s="5">
        <f t="shared" si="160"/>
        <v>5708.8074102396977</v>
      </c>
      <c r="BO316" s="5">
        <f t="shared" si="161"/>
        <v>8923.4311969271021</v>
      </c>
      <c r="BP316" s="5">
        <f t="shared" si="162"/>
        <v>643.38171206053539</v>
      </c>
      <c r="BQ316" s="5">
        <f t="shared" si="163"/>
        <v>19220.924995669495</v>
      </c>
      <c r="BR316" s="5">
        <f t="shared" si="164"/>
        <v>0</v>
      </c>
      <c r="BS316" s="5">
        <f t="shared" si="165"/>
        <v>-2526.8781302170282</v>
      </c>
      <c r="BT316" s="5">
        <f t="shared" si="166"/>
        <v>0</v>
      </c>
      <c r="BU316" s="5">
        <f t="shared" si="167"/>
        <v>15053.002864585165</v>
      </c>
      <c r="BV316" s="5">
        <f t="shared" si="168"/>
        <v>-7648.1878105461856</v>
      </c>
      <c r="BW316" s="5">
        <f t="shared" si="169"/>
        <v>56345.208031201022</v>
      </c>
      <c r="BX316" s="5">
        <f t="shared" si="170"/>
        <v>53279.627288172582</v>
      </c>
      <c r="BY316" s="5">
        <f t="shared" si="171"/>
        <v>159838.88186451775</v>
      </c>
      <c r="BZ316" s="5">
        <f>INDEX('Team forecast'!$R$3:$BH$26,MATCH($B316,'Team forecast'!$B$3:$B$26,0),MATCH(BZ$1,'Team forecast'!$R$2:$BH$2,0))*($BX316-(BY316+CH316)*0.01)</f>
        <v>9486.272738474976</v>
      </c>
      <c r="CA316" s="5">
        <f>INDEX('Team forecast'!$R$3:$BH$26,MATCH($B316,'Team forecast'!$B$3:$B$26,0),MATCH(CA$1,'Team forecast'!$R$2:$BH$2,0))*($BX316-(BY316+BX316+CH316)*0.01)</f>
        <v>4493.3421983031412</v>
      </c>
      <c r="CB316" s="5">
        <f>INDEX('Team forecast'!$R$3:$BH$26,MATCH($B316,'Team forecast'!$B$3:$B$26,0),MATCH(CB$1,'Team forecast'!$R$2:$BH$2,0))*($BX316-(BY316+BX316*2+CH316)*0.01)</f>
        <v>2109.3191892992122</v>
      </c>
      <c r="CC316" s="5">
        <f>INDEX('Team forecast'!$R$3:$BH$26,MATCH($B316,'Team forecast'!$B$3:$B$26,0),MATCH(CC$1,'Team forecast'!$R$2:$BH$2,0))*($BX316-(BY316+BX316*3+CH316)*0.01)</f>
        <v>965.00709339048353</v>
      </c>
      <c r="CD316" s="5">
        <f>+AK316+BD316*Cockpit!$C$3+BW316*Cockpit!$C$3^2+BZ316*Cockpit!$C$3^3+CA316*Cockpit!$C$3^4+CB316*Cockpit!$C$3^5+CC316*Cockpit!$C$3^6</f>
        <v>123538.97136404004</v>
      </c>
      <c r="CE316" s="5"/>
      <c r="CF316" s="5"/>
      <c r="CG316" s="5">
        <v>0</v>
      </c>
      <c r="CH316" s="5">
        <f t="shared" si="172"/>
        <v>4000000</v>
      </c>
      <c r="CI316" s="5">
        <f t="shared" si="173"/>
        <v>4000000</v>
      </c>
      <c r="CJ316" s="1">
        <f t="shared" si="174"/>
        <v>3.9959720466129438E-2</v>
      </c>
      <c r="CK316" s="5">
        <f>RANK(BY316,$BY$2:$BY$623)+COUNTIF($BY$2:$BY316,$BY316)-1</f>
        <v>88</v>
      </c>
      <c r="CL316" s="5">
        <f>RANK(CJ316,$CJ$2:$CJ$623)+COUNTIF($CJ$2:$CJ316,$CJ316)-1</f>
        <v>74</v>
      </c>
    </row>
    <row r="317" spans="1:90">
      <c r="A317" t="str">
        <f>Players!P318</f>
        <v xml:space="preserve">Anders  Christiansen 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3000000</v>
      </c>
      <c r="H317" s="16">
        <f>INDEX('Team forecast'!$B$2:$AO$26,MATCH('Master data'!$B317,'Team forecast'!$B$2:$B$26,0),MATCH('Master data'!H$1,'Team forecast'!$B$2:$AO$2,0))</f>
        <v>1.6608440904336361</v>
      </c>
      <c r="I317" s="16">
        <f>INDEX('Team forecast'!$B$2:$AO$26,MATCH('Master data'!$B317,'Team forecast'!$B$2:$B$26,0),MATCH('Master data'!I$1,'Team forecast'!$B$2:$AO$2,0))</f>
        <v>0.59952758650922311</v>
      </c>
      <c r="J317" s="16">
        <f>INDEX('Team forecast'!$B$2:$AO$26,MATCH('Master data'!$B317,'Team forecast'!$B$2:$B$26,0),MATCH('Master data'!J$1,'Team forecast'!$B$2:$AO$2,0))</f>
        <v>0.54907096336484029</v>
      </c>
      <c r="K317" s="16">
        <f>INDEX('Team forecast'!$B$2:$AO$26,MATCH('Master data'!$B317,'Team forecast'!$B$2:$B$26,0),MATCH('Master data'!K$1,'Team forecast'!$B$2:$AO$2,0))</f>
        <v>4.1898566826848551</v>
      </c>
      <c r="L317" s="16">
        <f>INDEX('Team forecast'!$B$2:$AO$26,MATCH('Master data'!$B317,'Team forecast'!$B$2:$B$26,0),MATCH('Master data'!L$1,'Team forecast'!$B$2:$AO$2,0))</f>
        <v>1.7709122555349361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6.5645514223194742E-2</v>
      </c>
      <c r="R317" s="2">
        <f>Players!BR318</f>
        <v>0.06</v>
      </c>
      <c r="S317" s="2">
        <f t="shared" si="133"/>
        <v>1.6608440904336361</v>
      </c>
      <c r="T317" s="2">
        <f t="shared" si="134"/>
        <v>0.59952758650922311</v>
      </c>
      <c r="U317" s="16">
        <f>INDEX('Team forecast'!$B$2:$AO$26,MATCH('Master data'!$B317,'Team forecast'!$B$2:$B$26,0),MATCH('Master data'!U$1,'Team forecast'!$B$2:$AO$2,0))</f>
        <v>0.65509845973874048</v>
      </c>
      <c r="V317" s="16">
        <f>INDEX('Team forecast'!$B$2:$AO$26,MATCH('Master data'!$B317,'Team forecast'!$B$2:$B$26,0),MATCH('Master data'!V$1,'Team forecast'!$B$2:$AO$2,0))</f>
        <v>0.22616494443361279</v>
      </c>
      <c r="W317" s="16">
        <f>INDEX('Team forecast'!$B$2:$AO$26,MATCH('Master data'!$B317,'Team forecast'!$B$2:$B$26,0),MATCH('Master data'!W$1,'Team forecast'!$B$2:$AO$2,0))</f>
        <v>0.1187365958276467</v>
      </c>
      <c r="X317" s="5">
        <f t="shared" si="135"/>
        <v>-5000</v>
      </c>
      <c r="Y317" s="5">
        <f t="shared" si="136"/>
        <v>0</v>
      </c>
      <c r="Z317" s="5">
        <f t="shared" si="137"/>
        <v>0</v>
      </c>
      <c r="AA317" s="5">
        <f t="shared" si="138"/>
        <v>0</v>
      </c>
      <c r="AB317" s="5">
        <f t="shared" si="139"/>
        <v>0</v>
      </c>
      <c r="AC317" s="5">
        <f t="shared" si="140"/>
        <v>0</v>
      </c>
      <c r="AD317" s="5">
        <f t="shared" si="141"/>
        <v>0</v>
      </c>
      <c r="AE317" s="5">
        <f t="shared" si="142"/>
        <v>0</v>
      </c>
      <c r="AF317" s="5">
        <f t="shared" si="143"/>
        <v>0</v>
      </c>
      <c r="AG317" s="5">
        <f t="shared" si="144"/>
        <v>0</v>
      </c>
      <c r="AH317" s="5">
        <f t="shared" si="145"/>
        <v>0</v>
      </c>
      <c r="AI317" s="5">
        <f t="shared" si="146"/>
        <v>0</v>
      </c>
      <c r="AJ317" s="5">
        <f t="shared" si="147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1.1610121970988967</v>
      </c>
      <c r="AM317" s="16">
        <f>INDEX('Team forecast'!$B$2:$AO$26,MATCH('Master data'!$B317,'Team forecast'!$B$2:$B$26,0),MATCH('Master data'!AM$1,'Team forecast'!$B$2:$AO$2,0))</f>
        <v>1.5279674504451852</v>
      </c>
      <c r="AN317" s="16">
        <f>INDEX('Team forecast'!$B$2:$AO$26,MATCH('Master data'!$B317,'Team forecast'!$B$2:$B$26,0),MATCH('Master data'!AN$1,'Team forecast'!$B$2:$AO$2,0))</f>
        <v>0.21697623437572761</v>
      </c>
      <c r="AO317" s="16">
        <f>INDEX('Team forecast'!$B$2:$AO$26,MATCH('Master data'!$B317,'Team forecast'!$B$2:$B$26,0),MATCH('Master data'!AO$1,'Team forecast'!$B$2:$AO$2,0))</f>
        <v>2.9289171335903985</v>
      </c>
      <c r="AP317" s="16">
        <f>INDEX('Team forecast'!$B$2:$AO$26,MATCH('Master data'!$B317,'Team forecast'!$B$2:$B$26,0),MATCH('Master data'!AP$1,'Team forecast'!$B$2:$AO$2,0))</f>
        <v>4.5133807766996243</v>
      </c>
      <c r="AQ317" s="5">
        <f t="shared" si="148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149"/>
        <v>0</v>
      </c>
      <c r="AV317" s="5">
        <f t="shared" si="150"/>
        <v>0</v>
      </c>
      <c r="AW317" s="5">
        <f t="shared" si="151"/>
        <v>0</v>
      </c>
      <c r="AX317" s="5">
        <f t="shared" si="152"/>
        <v>0</v>
      </c>
      <c r="AY317" s="5">
        <f t="shared" si="153"/>
        <v>0</v>
      </c>
      <c r="AZ317" s="5">
        <f t="shared" si="154"/>
        <v>0</v>
      </c>
      <c r="BA317" s="5">
        <f t="shared" si="155"/>
        <v>0</v>
      </c>
      <c r="BB317" s="5">
        <f t="shared" si="156"/>
        <v>0</v>
      </c>
      <c r="BC317" s="5">
        <f t="shared" si="157"/>
        <v>0</v>
      </c>
      <c r="BD317" s="5">
        <f t="shared" si="158"/>
        <v>-5000</v>
      </c>
      <c r="BE317" s="16">
        <f>INDEX('Team forecast'!$B$2:$AO$26,MATCH('Master data'!$B317,'Team forecast'!$B$2:$B$26,0),MATCH('Master data'!BE$1,'Team forecast'!$B$2:$AO$2,0))</f>
        <v>1.5053002864585165</v>
      </c>
      <c r="BF317" s="16">
        <f>INDEX('Team forecast'!$B$2:$AO$26,MATCH('Master data'!$B317,'Team forecast'!$B$2:$B$26,0),MATCH('Master data'!BF$1,'Team forecast'!$B$2:$AO$2,0))</f>
        <v>0.95602347631827322</v>
      </c>
      <c r="BG317" s="16">
        <f>INDEX('Team forecast'!$B$2:$AO$26,MATCH('Master data'!$B317,'Team forecast'!$B$2:$B$26,0),MATCH('Master data'!BG$1,'Team forecast'!$B$2:$AO$2,0))</f>
        <v>0.38441849991338989</v>
      </c>
      <c r="BH317" s="16">
        <f>INDEX('Team forecast'!$B$2:$AO$26,MATCH('Master data'!$B317,'Team forecast'!$B$2:$B$26,0),MATCH('Master data'!BH$1,'Team forecast'!$B$2:$AO$2,0))</f>
        <v>3.7974620862930761</v>
      </c>
      <c r="BI317" s="16">
        <f>INDEX('Team forecast'!$B$2:$AO$26,MATCH('Master data'!$B317,'Team forecast'!$B$2:$B$26,0),MATCH('Master data'!BI$1,'Team forecast'!$B$2:$AO$2,0))</f>
        <v>2.8239462685093613</v>
      </c>
      <c r="BJ317" s="5">
        <f t="shared" si="159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160"/>
        <v>0</v>
      </c>
      <c r="BO317" s="5">
        <f t="shared" si="161"/>
        <v>0</v>
      </c>
      <c r="BP317" s="5">
        <f t="shared" si="162"/>
        <v>0</v>
      </c>
      <c r="BQ317" s="5">
        <f t="shared" si="163"/>
        <v>0</v>
      </c>
      <c r="BR317" s="5">
        <f t="shared" si="164"/>
        <v>0</v>
      </c>
      <c r="BS317" s="5">
        <f t="shared" si="165"/>
        <v>0</v>
      </c>
      <c r="BT317" s="5">
        <f t="shared" si="166"/>
        <v>0</v>
      </c>
      <c r="BU317" s="5">
        <f t="shared" si="167"/>
        <v>0</v>
      </c>
      <c r="BV317" s="5">
        <f t="shared" si="168"/>
        <v>0</v>
      </c>
      <c r="BW317" s="5">
        <f t="shared" si="169"/>
        <v>-5000</v>
      </c>
      <c r="BX317" s="5">
        <f t="shared" si="170"/>
        <v>-5000</v>
      </c>
      <c r="BY317" s="5">
        <f t="shared" si="171"/>
        <v>-15000</v>
      </c>
      <c r="BZ317" s="5">
        <f>INDEX('Team forecast'!$R$3:$BH$26,MATCH($B317,'Team forecast'!$B$3:$B$26,0),MATCH(BZ$1,'Team forecast'!$R$2:$BH$2,0))*($BX317-(BY317+CH317)*0.01)</f>
        <v>-28301.502944081934</v>
      </c>
      <c r="CA317" s="5">
        <f>INDEX('Team forecast'!$R$3:$BH$26,MATCH($B317,'Team forecast'!$B$3:$B$26,0),MATCH(CA$1,'Team forecast'!$R$2:$BH$2,0))*($BX317-(BY317+BX317+CH317)*0.01)</f>
        <v>-14026.023164742881</v>
      </c>
      <c r="CB317" s="5">
        <f>INDEX('Team forecast'!$R$3:$BH$26,MATCH($B317,'Team forecast'!$B$3:$B$26,0),MATCH(CB$1,'Team forecast'!$R$2:$BH$2,0))*($BX317-(BY317+BX317*2+CH317)*0.01)</f>
        <v>-6904.7933921818603</v>
      </c>
      <c r="CC317" s="5">
        <f>INDEX('Team forecast'!$R$3:$BH$26,MATCH($B317,'Team forecast'!$B$3:$B$26,0),MATCH(CC$1,'Team forecast'!$R$2:$BH$2,0))*($BX317-(BY317+BX317*3+CH317)*0.01)</f>
        <v>-3321.0597499804899</v>
      </c>
      <c r="CD317" s="5">
        <f>+AK317+BD317*Cockpit!$C$3+BW317*Cockpit!$C$3^2+BZ317*Cockpit!$C$3^3+CA317*Cockpit!$C$3^4+CB317*Cockpit!$C$3^5+CC317*Cockpit!$C$3^6</f>
        <v>-22912.592539496411</v>
      </c>
      <c r="CE317" s="5"/>
      <c r="CF317" s="5"/>
      <c r="CG317" s="5">
        <v>0</v>
      </c>
      <c r="CH317" s="5">
        <f t="shared" si="172"/>
        <v>3000000</v>
      </c>
      <c r="CI317" s="5">
        <f t="shared" si="173"/>
        <v>3000000</v>
      </c>
      <c r="CJ317" s="1">
        <f t="shared" si="174"/>
        <v>-5.0000000000000001E-3</v>
      </c>
      <c r="CK317" s="5">
        <f>RANK(BY317,$BY$2:$BY$623)+COUNTIF($BY$2:$BY317,$BY317)-1</f>
        <v>512</v>
      </c>
      <c r="CL317" s="5">
        <f>RANK(CJ317,$CJ$2:$CJ$623)+COUNTIF($CJ$2:$CJ317,$CJ317)-1</f>
        <v>504</v>
      </c>
    </row>
    <row r="318" spans="1:90">
      <c r="A318" t="str">
        <f>Players!P319</f>
        <v>Christian  Nørgaard</v>
      </c>
      <c r="B318" t="str">
        <f>Players!G319</f>
        <v>Denmark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1.6608440904336361</v>
      </c>
      <c r="I318" s="16">
        <f>INDEX('Team forecast'!$B$2:$AO$26,MATCH('Master data'!$B318,'Team forecast'!$B$2:$B$26,0),MATCH('Master data'!I$1,'Team forecast'!$B$2:$AO$2,0))</f>
        <v>0.59952758650922311</v>
      </c>
      <c r="J318" s="16">
        <f>INDEX('Team forecast'!$B$2:$AO$26,MATCH('Master data'!$B318,'Team forecast'!$B$2:$B$26,0),MATCH('Master data'!J$1,'Team forecast'!$B$2:$AO$2,0))</f>
        <v>0.54907096336484029</v>
      </c>
      <c r="K318" s="16">
        <f>INDEX('Team forecast'!$B$2:$AO$26,MATCH('Master data'!$B318,'Team forecast'!$B$2:$B$26,0),MATCH('Master data'!K$1,'Team forecast'!$B$2:$AO$2,0))</f>
        <v>4.1898566826848551</v>
      </c>
      <c r="L318" s="16">
        <f>INDEX('Team forecast'!$B$2:$AO$26,MATCH('Master data'!$B318,'Team forecast'!$B$2:$B$26,0),MATCH('Master data'!L$1,'Team forecast'!$B$2:$AO$2,0))</f>
        <v>1.7709122555349361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0.16853932584269662</v>
      </c>
      <c r="R318" s="2">
        <f>Players!BR319</f>
        <v>0</v>
      </c>
      <c r="S318" s="2">
        <f t="shared" si="133"/>
        <v>1.6608440904336361</v>
      </c>
      <c r="T318" s="2">
        <f t="shared" si="134"/>
        <v>0.59952758650922311</v>
      </c>
      <c r="U318" s="16">
        <f>INDEX('Team forecast'!$B$2:$AO$26,MATCH('Master data'!$B318,'Team forecast'!$B$2:$B$26,0),MATCH('Master data'!U$1,'Team forecast'!$B$2:$AO$2,0))</f>
        <v>0.65509845973874048</v>
      </c>
      <c r="V318" s="16">
        <f>INDEX('Team forecast'!$B$2:$AO$26,MATCH('Master data'!$B318,'Team forecast'!$B$2:$B$26,0),MATCH('Master data'!V$1,'Team forecast'!$B$2:$AO$2,0))</f>
        <v>0.22616494443361279</v>
      </c>
      <c r="W318" s="16">
        <f>INDEX('Team forecast'!$B$2:$AO$26,MATCH('Master data'!$B318,'Team forecast'!$B$2:$B$26,0),MATCH('Master data'!W$1,'Team forecast'!$B$2:$AO$2,0))</f>
        <v>0.1187365958276467</v>
      </c>
      <c r="X318" s="5">
        <f t="shared" si="135"/>
        <v>-5000</v>
      </c>
      <c r="Y318" s="5">
        <f t="shared" si="136"/>
        <v>0</v>
      </c>
      <c r="Z318" s="5">
        <f t="shared" si="137"/>
        <v>0</v>
      </c>
      <c r="AA318" s="5">
        <f t="shared" si="138"/>
        <v>0</v>
      </c>
      <c r="AB318" s="5">
        <f t="shared" si="139"/>
        <v>0</v>
      </c>
      <c r="AC318" s="5">
        <f t="shared" si="140"/>
        <v>0</v>
      </c>
      <c r="AD318" s="5">
        <f t="shared" si="141"/>
        <v>0</v>
      </c>
      <c r="AE318" s="5">
        <f t="shared" si="142"/>
        <v>0</v>
      </c>
      <c r="AF318" s="5">
        <f t="shared" si="143"/>
        <v>0</v>
      </c>
      <c r="AG318" s="5">
        <f t="shared" si="144"/>
        <v>0</v>
      </c>
      <c r="AH318" s="5">
        <f t="shared" si="145"/>
        <v>0</v>
      </c>
      <c r="AI318" s="5">
        <f t="shared" si="146"/>
        <v>0</v>
      </c>
      <c r="AJ318" s="5">
        <f t="shared" si="147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1.1610121970988967</v>
      </c>
      <c r="AM318" s="16">
        <f>INDEX('Team forecast'!$B$2:$AO$26,MATCH('Master data'!$B318,'Team forecast'!$B$2:$B$26,0),MATCH('Master data'!AM$1,'Team forecast'!$B$2:$AO$2,0))</f>
        <v>1.5279674504451852</v>
      </c>
      <c r="AN318" s="16">
        <f>INDEX('Team forecast'!$B$2:$AO$26,MATCH('Master data'!$B318,'Team forecast'!$B$2:$B$26,0),MATCH('Master data'!AN$1,'Team forecast'!$B$2:$AO$2,0))</f>
        <v>0.21697623437572761</v>
      </c>
      <c r="AO318" s="16">
        <f>INDEX('Team forecast'!$B$2:$AO$26,MATCH('Master data'!$B318,'Team forecast'!$B$2:$B$26,0),MATCH('Master data'!AO$1,'Team forecast'!$B$2:$AO$2,0))</f>
        <v>2.9289171335903985</v>
      </c>
      <c r="AP318" s="16">
        <f>INDEX('Team forecast'!$B$2:$AO$26,MATCH('Master data'!$B318,'Team forecast'!$B$2:$B$26,0),MATCH('Master data'!AP$1,'Team forecast'!$B$2:$AO$2,0))</f>
        <v>4.5133807766996243</v>
      </c>
      <c r="AQ318" s="5">
        <f t="shared" si="148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149"/>
        <v>0</v>
      </c>
      <c r="AV318" s="5">
        <f t="shared" si="150"/>
        <v>0</v>
      </c>
      <c r="AW318" s="5">
        <f t="shared" si="151"/>
        <v>0</v>
      </c>
      <c r="AX318" s="5">
        <f t="shared" si="152"/>
        <v>0</v>
      </c>
      <c r="AY318" s="5">
        <f t="shared" si="153"/>
        <v>0</v>
      </c>
      <c r="AZ318" s="5">
        <f t="shared" si="154"/>
        <v>0</v>
      </c>
      <c r="BA318" s="5">
        <f t="shared" si="155"/>
        <v>0</v>
      </c>
      <c r="BB318" s="5">
        <f t="shared" si="156"/>
        <v>0</v>
      </c>
      <c r="BC318" s="5">
        <f t="shared" si="157"/>
        <v>0</v>
      </c>
      <c r="BD318" s="5">
        <f t="shared" si="158"/>
        <v>-5000</v>
      </c>
      <c r="BE318" s="16">
        <f>INDEX('Team forecast'!$B$2:$AO$26,MATCH('Master data'!$B318,'Team forecast'!$B$2:$B$26,0),MATCH('Master data'!BE$1,'Team forecast'!$B$2:$AO$2,0))</f>
        <v>1.5053002864585165</v>
      </c>
      <c r="BF318" s="16">
        <f>INDEX('Team forecast'!$B$2:$AO$26,MATCH('Master data'!$B318,'Team forecast'!$B$2:$B$26,0),MATCH('Master data'!BF$1,'Team forecast'!$B$2:$AO$2,0))</f>
        <v>0.95602347631827322</v>
      </c>
      <c r="BG318" s="16">
        <f>INDEX('Team forecast'!$B$2:$AO$26,MATCH('Master data'!$B318,'Team forecast'!$B$2:$B$26,0),MATCH('Master data'!BG$1,'Team forecast'!$B$2:$AO$2,0))</f>
        <v>0.38441849991338989</v>
      </c>
      <c r="BH318" s="16">
        <f>INDEX('Team forecast'!$B$2:$AO$26,MATCH('Master data'!$B318,'Team forecast'!$B$2:$B$26,0),MATCH('Master data'!BH$1,'Team forecast'!$B$2:$AO$2,0))</f>
        <v>3.7974620862930761</v>
      </c>
      <c r="BI318" s="16">
        <f>INDEX('Team forecast'!$B$2:$AO$26,MATCH('Master data'!$B318,'Team forecast'!$B$2:$B$26,0),MATCH('Master data'!BI$1,'Team forecast'!$B$2:$AO$2,0))</f>
        <v>2.8239462685093613</v>
      </c>
      <c r="BJ318" s="5">
        <f t="shared" si="159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160"/>
        <v>0</v>
      </c>
      <c r="BO318" s="5">
        <f t="shared" si="161"/>
        <v>0</v>
      </c>
      <c r="BP318" s="5">
        <f t="shared" si="162"/>
        <v>0</v>
      </c>
      <c r="BQ318" s="5">
        <f t="shared" si="163"/>
        <v>0</v>
      </c>
      <c r="BR318" s="5">
        <f t="shared" si="164"/>
        <v>0</v>
      </c>
      <c r="BS318" s="5">
        <f t="shared" si="165"/>
        <v>0</v>
      </c>
      <c r="BT318" s="5">
        <f t="shared" si="166"/>
        <v>0</v>
      </c>
      <c r="BU318" s="5">
        <f t="shared" si="167"/>
        <v>0</v>
      </c>
      <c r="BV318" s="5">
        <f t="shared" si="168"/>
        <v>0</v>
      </c>
      <c r="BW318" s="5">
        <f t="shared" si="169"/>
        <v>-5000</v>
      </c>
      <c r="BX318" s="5">
        <f t="shared" si="170"/>
        <v>-5000</v>
      </c>
      <c r="BY318" s="5">
        <f t="shared" si="171"/>
        <v>-15000</v>
      </c>
      <c r="BZ318" s="5">
        <f>INDEX('Team forecast'!$R$3:$BH$26,MATCH($B318,'Team forecast'!$B$3:$B$26,0),MATCH(BZ$1,'Team forecast'!$R$2:$BH$2,0))*($BX318-(BY318+CH318)*0.01)</f>
        <v>-24241.02906401279</v>
      </c>
      <c r="CA318" s="5">
        <f>INDEX('Team forecast'!$R$3:$BH$26,MATCH($B318,'Team forecast'!$B$3:$B$26,0),MATCH(CA$1,'Team forecast'!$R$2:$BH$2,0))*($BX318-(BY318+BX318+CH318)*0.01)</f>
        <v>-12010.789951417755</v>
      </c>
      <c r="CB318" s="5">
        <f>INDEX('Team forecast'!$R$3:$BH$26,MATCH($B318,'Team forecast'!$B$3:$B$26,0),MATCH(CB$1,'Team forecast'!$R$2:$BH$2,0))*($BX318-(BY318+BX318*2+CH318)*0.01)</f>
        <v>-5911.297940069363</v>
      </c>
      <c r="CC318" s="5">
        <f>INDEX('Team forecast'!$R$3:$BH$26,MATCH($B318,'Team forecast'!$B$3:$B$26,0),MATCH(CC$1,'Team forecast'!$R$2:$BH$2,0))*($BX318-(BY318+BX318*3+CH318)*0.01)</f>
        <v>-2842.5208811072207</v>
      </c>
      <c r="CD318" s="5">
        <f>+AK318+BD318*Cockpit!$C$3+BW318*Cockpit!$C$3^2+BZ318*Cockpit!$C$3^3+CA318*Cockpit!$C$3^4+CB318*Cockpit!$C$3^5+CC318*Cockpit!$C$3^6</f>
        <v>-21138.576089805811</v>
      </c>
      <c r="CE318" s="5"/>
      <c r="CF318" s="5"/>
      <c r="CG318" s="5">
        <v>0</v>
      </c>
      <c r="CH318" s="5">
        <f t="shared" si="172"/>
        <v>2500000</v>
      </c>
      <c r="CI318" s="5">
        <f t="shared" si="173"/>
        <v>2500000</v>
      </c>
      <c r="CJ318" s="1">
        <f t="shared" si="174"/>
        <v>-6.0000000000000001E-3</v>
      </c>
      <c r="CK318" s="5">
        <f>RANK(BY318,$BY$2:$BY$623)+COUNTIF($BY$2:$BY318,$BY318)-1</f>
        <v>513</v>
      </c>
      <c r="CL318" s="5">
        <f>RANK(CJ318,$CJ$2:$CJ$623)+COUNTIF($CJ$2:$CJ318,$CJ318)-1</f>
        <v>538</v>
      </c>
    </row>
    <row r="319" spans="1:90">
      <c r="A319" t="str">
        <f>Players!P320</f>
        <v>Fredrik  Jensen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0.59952758650922311</v>
      </c>
      <c r="I319" s="16">
        <f>INDEX('Team forecast'!$B$2:$AO$26,MATCH('Master data'!$B319,'Team forecast'!$B$2:$B$26,0),MATCH('Master data'!I$1,'Team forecast'!$B$2:$AO$2,0))</f>
        <v>1.6608440904336361</v>
      </c>
      <c r="J319" s="16">
        <f>INDEX('Team forecast'!$B$2:$AO$26,MATCH('Master data'!$B319,'Team forecast'!$B$2:$B$26,0),MATCH('Master data'!J$1,'Team forecast'!$B$2:$AO$2,0))</f>
        <v>0.18997855332423469</v>
      </c>
      <c r="K319" s="16">
        <f>INDEX('Team forecast'!$B$2:$AO$26,MATCH('Master data'!$B319,'Team forecast'!$B$2:$B$26,0),MATCH('Master data'!K$1,'Team forecast'!$B$2:$AO$2,0))</f>
        <v>1.9681461173282577</v>
      </c>
      <c r="L319" s="16">
        <f>INDEX('Team forecast'!$B$2:$AO$26,MATCH('Master data'!$B319,'Team forecast'!$B$2:$B$26,0),MATCH('Master data'!L$1,'Team forecast'!$B$2:$AO$2,0))</f>
        <v>4.718659845717994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133"/>
        <v>0.59952758650922311</v>
      </c>
      <c r="T319" s="2">
        <f t="shared" si="134"/>
        <v>1.6608440904336361</v>
      </c>
      <c r="U319" s="16">
        <f>INDEX('Team forecast'!$B$2:$AO$26,MATCH('Master data'!$B319,'Team forecast'!$B$2:$B$26,0),MATCH('Master data'!U$1,'Team forecast'!$B$2:$AO$2,0))</f>
        <v>0.1187365958276467</v>
      </c>
      <c r="V319" s="16">
        <f>INDEX('Team forecast'!$B$2:$AO$26,MATCH('Master data'!$B319,'Team forecast'!$B$2:$B$26,0),MATCH('Master data'!V$1,'Team forecast'!$B$2:$AO$2,0))</f>
        <v>0.22616494443361279</v>
      </c>
      <c r="W319" s="16">
        <f>INDEX('Team forecast'!$B$2:$AO$26,MATCH('Master data'!$B319,'Team forecast'!$B$2:$B$26,0),MATCH('Master data'!W$1,'Team forecast'!$B$2:$AO$2,0))</f>
        <v>0.65509845973874048</v>
      </c>
      <c r="X319" s="5">
        <f t="shared" si="135"/>
        <v>-5000</v>
      </c>
      <c r="Y319" s="5">
        <f t="shared" si="136"/>
        <v>0</v>
      </c>
      <c r="Z319" s="5">
        <f t="shared" si="137"/>
        <v>0</v>
      </c>
      <c r="AA319" s="5">
        <f t="shared" si="138"/>
        <v>0</v>
      </c>
      <c r="AB319" s="5">
        <f t="shared" si="139"/>
        <v>0</v>
      </c>
      <c r="AC319" s="5">
        <f t="shared" si="140"/>
        <v>0</v>
      </c>
      <c r="AD319" s="5">
        <f t="shared" si="141"/>
        <v>0</v>
      </c>
      <c r="AE319" s="5">
        <f t="shared" si="142"/>
        <v>0</v>
      </c>
      <c r="AF319" s="5">
        <f t="shared" si="143"/>
        <v>0</v>
      </c>
      <c r="AG319" s="5">
        <f t="shared" si="144"/>
        <v>0</v>
      </c>
      <c r="AH319" s="5">
        <f t="shared" si="145"/>
        <v>0</v>
      </c>
      <c r="AI319" s="5">
        <f t="shared" si="146"/>
        <v>0</v>
      </c>
      <c r="AJ319" s="5">
        <f t="shared" si="147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0.75781731816731412</v>
      </c>
      <c r="AM319" s="16">
        <f>INDEX('Team forecast'!$B$2:$AO$26,MATCH('Master data'!$B319,'Team forecast'!$B$2:$B$26,0),MATCH('Master data'!AM$1,'Team forecast'!$B$2:$AO$2,0))</f>
        <v>1.5687475343836428</v>
      </c>
      <c r="AN319" s="16">
        <f>INDEX('Team forecast'!$B$2:$AO$26,MATCH('Master data'!$B319,'Team forecast'!$B$2:$B$26,0),MATCH('Master data'!AN$1,'Team forecast'!$B$2:$AO$2,0))</f>
        <v>0.20830591503984791</v>
      </c>
      <c r="AO319" s="16">
        <f>INDEX('Team forecast'!$B$2:$AO$26,MATCH('Master data'!$B319,'Team forecast'!$B$2:$B$26,0),MATCH('Master data'!AO$1,'Team forecast'!$B$2:$AO$2,0))</f>
        <v>2.4877841252967383</v>
      </c>
      <c r="AP319" s="16">
        <f>INDEX('Team forecast'!$B$2:$AO$26,MATCH('Master data'!$B319,'Team forecast'!$B$2:$B$26,0),MATCH('Master data'!AP$1,'Team forecast'!$B$2:$AO$2,0))</f>
        <v>4.4570023406787609</v>
      </c>
      <c r="AQ319" s="5">
        <f t="shared" si="148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149"/>
        <v>0</v>
      </c>
      <c r="AV319" s="5">
        <f t="shared" si="150"/>
        <v>0</v>
      </c>
      <c r="AW319" s="5">
        <f t="shared" si="151"/>
        <v>0</v>
      </c>
      <c r="AX319" s="5">
        <f t="shared" si="152"/>
        <v>0</v>
      </c>
      <c r="AY319" s="5">
        <f t="shared" si="153"/>
        <v>0</v>
      </c>
      <c r="AZ319" s="5">
        <f t="shared" si="154"/>
        <v>0</v>
      </c>
      <c r="BA319" s="5">
        <f t="shared" si="155"/>
        <v>0</v>
      </c>
      <c r="BB319" s="5">
        <f t="shared" si="156"/>
        <v>0</v>
      </c>
      <c r="BC319" s="5">
        <f t="shared" si="157"/>
        <v>0</v>
      </c>
      <c r="BD319" s="5">
        <f t="shared" si="158"/>
        <v>-5000</v>
      </c>
      <c r="BE319" s="16">
        <f>INDEX('Team forecast'!$B$2:$AO$26,MATCH('Master data'!$B319,'Team forecast'!$B$2:$B$26,0),MATCH('Master data'!BE$1,'Team forecast'!$B$2:$AO$2,0))</f>
        <v>0.62462402002960304</v>
      </c>
      <c r="BF319" s="16">
        <f>INDEX('Team forecast'!$B$2:$AO$26,MATCH('Master data'!$B319,'Team forecast'!$B$2:$B$26,0),MATCH('Master data'!BF$1,'Team forecast'!$B$2:$AO$2,0))</f>
        <v>2.3394224481215296</v>
      </c>
      <c r="BG319" s="16">
        <f>INDEX('Team forecast'!$B$2:$AO$26,MATCH('Master data'!$B319,'Team forecast'!$B$2:$B$26,0),MATCH('Master data'!BG$1,'Team forecast'!$B$2:$AO$2,0))</f>
        <v>9.6383288507815829E-2</v>
      </c>
      <c r="BH319" s="16">
        <f>INDEX('Team forecast'!$B$2:$AO$26,MATCH('Master data'!$B319,'Team forecast'!$B$2:$B$26,0),MATCH('Master data'!BH$1,'Team forecast'!$B$2:$AO$2,0))</f>
        <v>2.0505333990870809</v>
      </c>
      <c r="BI319" s="16">
        <f>INDEX('Team forecast'!$B$2:$AO$26,MATCH('Master data'!$B319,'Team forecast'!$B$2:$B$26,0),MATCH('Master data'!BI$1,'Team forecast'!$B$2:$AO$2,0))</f>
        <v>6.6465834040088314</v>
      </c>
      <c r="BJ319" s="5">
        <f t="shared" si="159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160"/>
        <v>0</v>
      </c>
      <c r="BO319" s="5">
        <f t="shared" si="161"/>
        <v>0</v>
      </c>
      <c r="BP319" s="5">
        <f t="shared" si="162"/>
        <v>0</v>
      </c>
      <c r="BQ319" s="5">
        <f t="shared" si="163"/>
        <v>0</v>
      </c>
      <c r="BR319" s="5">
        <f t="shared" si="164"/>
        <v>0</v>
      </c>
      <c r="BS319" s="5">
        <f t="shared" si="165"/>
        <v>0</v>
      </c>
      <c r="BT319" s="5">
        <f t="shared" si="166"/>
        <v>0</v>
      </c>
      <c r="BU319" s="5">
        <f t="shared" si="167"/>
        <v>0</v>
      </c>
      <c r="BV319" s="5">
        <f t="shared" si="168"/>
        <v>0</v>
      </c>
      <c r="BW319" s="5">
        <f t="shared" si="169"/>
        <v>-5000</v>
      </c>
      <c r="BX319" s="5">
        <f t="shared" si="170"/>
        <v>-5000</v>
      </c>
      <c r="BY319" s="5">
        <f t="shared" si="171"/>
        <v>-15000</v>
      </c>
      <c r="BZ319" s="5">
        <f>INDEX('Team forecast'!$R$3:$BH$26,MATCH($B319,'Team forecast'!$B$3:$B$26,0),MATCH(BZ$1,'Team forecast'!$R$2:$BH$2,0))*($BX319-(BY319+CH319)*0.01)</f>
        <v>-8080.343021337595</v>
      </c>
      <c r="CA319" s="5">
        <f>INDEX('Team forecast'!$R$3:$BH$26,MATCH($B319,'Team forecast'!$B$3:$B$26,0),MATCH(CA$1,'Team forecast'!$R$2:$BH$2,0))*($BX319-(BY319+BX319+CH319)*0.01)</f>
        <v>-3957.4314360337198</v>
      </c>
      <c r="CB319" s="5">
        <f>INDEX('Team forecast'!$R$3:$BH$26,MATCH($B319,'Team forecast'!$B$3:$B$26,0),MATCH(CB$1,'Team forecast'!$R$2:$BH$2,0))*($BX319-(BY319+BX319*2+CH319)*0.01)</f>
        <v>-1904.0120571238031</v>
      </c>
      <c r="CC319" s="5">
        <f>INDEX('Team forecast'!$R$3:$BH$26,MATCH($B319,'Team forecast'!$B$3:$B$26,0),MATCH(CC$1,'Team forecast'!$R$2:$BH$2,0))*($BX319-(BY319+BX319*3+CH319)*0.01)</f>
        <v>-858.51335840923593</v>
      </c>
      <c r="CD319" s="5">
        <f>+AK319+BD319*Cockpit!$C$3+BW319*Cockpit!$C$3^2+BZ319*Cockpit!$C$3^3+CA319*Cockpit!$C$3^4+CB319*Cockpit!$C$3^5+CC319*Cockpit!$C$3^6</f>
        <v>-14057.550386584157</v>
      </c>
      <c r="CE319" s="5"/>
      <c r="CF319" s="5"/>
      <c r="CG319" s="5">
        <v>0</v>
      </c>
      <c r="CH319" s="5">
        <f t="shared" si="172"/>
        <v>2500000</v>
      </c>
      <c r="CI319" s="5">
        <f t="shared" si="173"/>
        <v>2500000</v>
      </c>
      <c r="CJ319" s="1">
        <f t="shared" si="174"/>
        <v>-6.0000000000000001E-3</v>
      </c>
      <c r="CK319" s="5">
        <f>RANK(BY319,$BY$2:$BY$623)+COUNTIF($BY$2:$BY319,$BY319)-1</f>
        <v>514</v>
      </c>
      <c r="CL319" s="5">
        <f>RANK(CJ319,$CJ$2:$CJ$623)+COUNTIF($CJ$2:$CJ319,$CJ319)-1</f>
        <v>539</v>
      </c>
    </row>
    <row r="320" spans="1:90">
      <c r="A320" t="str">
        <f>Players!P321</f>
        <v>Robert Taylor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2500000</v>
      </c>
      <c r="H320" s="16">
        <f>INDEX('Team forecast'!$B$2:$AO$26,MATCH('Master data'!$B320,'Team forecast'!$B$2:$B$26,0),MATCH('Master data'!H$1,'Team forecast'!$B$2:$AO$2,0))</f>
        <v>0.59952758650922311</v>
      </c>
      <c r="I320" s="16">
        <f>INDEX('Team forecast'!$B$2:$AO$26,MATCH('Master data'!$B320,'Team forecast'!$B$2:$B$26,0),MATCH('Master data'!I$1,'Team forecast'!$B$2:$AO$2,0))</f>
        <v>1.6608440904336361</v>
      </c>
      <c r="J320" s="16">
        <f>INDEX('Team forecast'!$B$2:$AO$26,MATCH('Master data'!$B320,'Team forecast'!$B$2:$B$26,0),MATCH('Master data'!J$1,'Team forecast'!$B$2:$AO$2,0))</f>
        <v>0.18997855332423469</v>
      </c>
      <c r="K320" s="16">
        <f>INDEX('Team forecast'!$B$2:$AO$26,MATCH('Master data'!$B320,'Team forecast'!$B$2:$B$26,0),MATCH('Master data'!K$1,'Team forecast'!$B$2:$AO$2,0))</f>
        <v>1.9681461173282577</v>
      </c>
      <c r="L320" s="16">
        <f>INDEX('Team forecast'!$B$2:$AO$26,MATCH('Master data'!$B320,'Team forecast'!$B$2:$B$26,0),MATCH('Master data'!L$1,'Team forecast'!$B$2:$AO$2,0))</f>
        <v>4.718659845717994</v>
      </c>
      <c r="M320">
        <f>IF(Players!BC321=1,95,0)</f>
        <v>0</v>
      </c>
      <c r="N320" s="2">
        <f>Players!BN321</f>
        <v>0</v>
      </c>
      <c r="O320" s="2">
        <f>Players!BO321</f>
        <v>0</v>
      </c>
      <c r="P320" s="2">
        <f>Players!BP321</f>
        <v>0</v>
      </c>
      <c r="Q320" s="2">
        <f>Players!BQ321</f>
        <v>0</v>
      </c>
      <c r="R320" s="2">
        <f>Players!BR321</f>
        <v>0</v>
      </c>
      <c r="S320" s="2">
        <f t="shared" si="133"/>
        <v>0.59952758650922311</v>
      </c>
      <c r="T320" s="2">
        <f t="shared" si="134"/>
        <v>1.6608440904336361</v>
      </c>
      <c r="U320" s="16">
        <f>INDEX('Team forecast'!$B$2:$AO$26,MATCH('Master data'!$B320,'Team forecast'!$B$2:$B$26,0),MATCH('Master data'!U$1,'Team forecast'!$B$2:$AO$2,0))</f>
        <v>0.1187365958276467</v>
      </c>
      <c r="V320" s="16">
        <f>INDEX('Team forecast'!$B$2:$AO$26,MATCH('Master data'!$B320,'Team forecast'!$B$2:$B$26,0),MATCH('Master data'!V$1,'Team forecast'!$B$2:$AO$2,0))</f>
        <v>0.22616494443361279</v>
      </c>
      <c r="W320" s="16">
        <f>INDEX('Team forecast'!$B$2:$AO$26,MATCH('Master data'!$B320,'Team forecast'!$B$2:$B$26,0),MATCH('Master data'!W$1,'Team forecast'!$B$2:$AO$2,0))</f>
        <v>0.65509845973874048</v>
      </c>
      <c r="X320" s="5">
        <f t="shared" si="135"/>
        <v>-5000</v>
      </c>
      <c r="Y320" s="5">
        <f t="shared" si="136"/>
        <v>0</v>
      </c>
      <c r="Z320" s="5">
        <f t="shared" si="137"/>
        <v>0</v>
      </c>
      <c r="AA320" s="5">
        <f t="shared" si="138"/>
        <v>0</v>
      </c>
      <c r="AB320" s="5">
        <f t="shared" si="139"/>
        <v>0</v>
      </c>
      <c r="AC320" s="5">
        <f t="shared" si="140"/>
        <v>0</v>
      </c>
      <c r="AD320" s="5">
        <f t="shared" si="141"/>
        <v>0</v>
      </c>
      <c r="AE320" s="5">
        <f t="shared" si="142"/>
        <v>0</v>
      </c>
      <c r="AF320" s="5">
        <f t="shared" si="143"/>
        <v>0</v>
      </c>
      <c r="AG320" s="5">
        <f t="shared" si="144"/>
        <v>0</v>
      </c>
      <c r="AH320" s="5">
        <f t="shared" si="145"/>
        <v>0</v>
      </c>
      <c r="AI320" s="5">
        <f t="shared" si="146"/>
        <v>0</v>
      </c>
      <c r="AJ320" s="5">
        <f t="shared" si="147"/>
        <v>0</v>
      </c>
      <c r="AK320" s="5">
        <f>IFERROR(SUM(X320:AJ320),-5000)*((Cockpit!$C$3)^0)</f>
        <v>-5000</v>
      </c>
      <c r="AL320" s="16">
        <f>INDEX('Team forecast'!$B$2:$AO$26,MATCH('Master data'!$B320,'Team forecast'!$B$2:$B$26,0),MATCH('Master data'!AL$1,'Team forecast'!$B$2:$AO$2,0))</f>
        <v>0.75781731816731412</v>
      </c>
      <c r="AM320" s="16">
        <f>INDEX('Team forecast'!$B$2:$AO$26,MATCH('Master data'!$B320,'Team forecast'!$B$2:$B$26,0),MATCH('Master data'!AM$1,'Team forecast'!$B$2:$AO$2,0))</f>
        <v>1.5687475343836428</v>
      </c>
      <c r="AN320" s="16">
        <f>INDEX('Team forecast'!$B$2:$AO$26,MATCH('Master data'!$B320,'Team forecast'!$B$2:$B$26,0),MATCH('Master data'!AN$1,'Team forecast'!$B$2:$AO$2,0))</f>
        <v>0.20830591503984791</v>
      </c>
      <c r="AO320" s="16">
        <f>INDEX('Team forecast'!$B$2:$AO$26,MATCH('Master data'!$B320,'Team forecast'!$B$2:$B$26,0),MATCH('Master data'!AO$1,'Team forecast'!$B$2:$AO$2,0))</f>
        <v>2.4877841252967383</v>
      </c>
      <c r="AP320" s="16">
        <f>INDEX('Team forecast'!$B$2:$AO$26,MATCH('Master data'!$B320,'Team forecast'!$B$2:$B$26,0),MATCH('Master data'!AP$1,'Team forecast'!$B$2:$AO$2,0))</f>
        <v>4.4570023406787609</v>
      </c>
      <c r="AQ320" s="5">
        <f t="shared" si="148"/>
        <v>-5000</v>
      </c>
      <c r="AR320" s="5">
        <f>INDEX('Team forecast'!$B$2:$AO$26,MATCH('Master data'!$B320,'Team forecast'!$B$2:$B$26,0),MATCH('Master data'!AR$1,'Team forecast'!$B$2:$AO$2,0))*IF(X320&gt;0,25000,0)</f>
        <v>0</v>
      </c>
      <c r="AS320" s="16">
        <f>INDEX('Team forecast'!$B$2:$AO$26,MATCH('Master data'!$B320,'Team forecast'!$B$2:$B$26,0),MATCH('Master data'!AS$1,'Team forecast'!$B$2:$AO$2,0))*IF(X320&gt;0,5000,0)</f>
        <v>0</v>
      </c>
      <c r="AT320" s="16">
        <f>INDEX('Team forecast'!$B$2:$AO$26,MATCH('Master data'!$B320,'Team forecast'!$B$2:$B$26,0),MATCH('Master data'!AT$1,'Team forecast'!$B$2:$AO$2,0))*IF(X320&gt;0,-15000,0)</f>
        <v>0</v>
      </c>
      <c r="AU320" s="5">
        <f t="shared" si="149"/>
        <v>0</v>
      </c>
      <c r="AV320" s="5">
        <f t="shared" si="150"/>
        <v>0</v>
      </c>
      <c r="AW320" s="5">
        <f t="shared" si="151"/>
        <v>0</v>
      </c>
      <c r="AX320" s="5">
        <f t="shared" si="152"/>
        <v>0</v>
      </c>
      <c r="AY320" s="5">
        <f t="shared" si="153"/>
        <v>0</v>
      </c>
      <c r="AZ320" s="5">
        <f t="shared" si="154"/>
        <v>0</v>
      </c>
      <c r="BA320" s="5">
        <f t="shared" si="155"/>
        <v>0</v>
      </c>
      <c r="BB320" s="5">
        <f t="shared" si="156"/>
        <v>0</v>
      </c>
      <c r="BC320" s="5">
        <f t="shared" si="157"/>
        <v>0</v>
      </c>
      <c r="BD320" s="5">
        <f t="shared" si="158"/>
        <v>-5000</v>
      </c>
      <c r="BE320" s="16">
        <f>INDEX('Team forecast'!$B$2:$AO$26,MATCH('Master data'!$B320,'Team forecast'!$B$2:$B$26,0),MATCH('Master data'!BE$1,'Team forecast'!$B$2:$AO$2,0))</f>
        <v>0.62462402002960304</v>
      </c>
      <c r="BF320" s="16">
        <f>INDEX('Team forecast'!$B$2:$AO$26,MATCH('Master data'!$B320,'Team forecast'!$B$2:$B$26,0),MATCH('Master data'!BF$1,'Team forecast'!$B$2:$AO$2,0))</f>
        <v>2.3394224481215296</v>
      </c>
      <c r="BG320" s="16">
        <f>INDEX('Team forecast'!$B$2:$AO$26,MATCH('Master data'!$B320,'Team forecast'!$B$2:$B$26,0),MATCH('Master data'!BG$1,'Team forecast'!$B$2:$AO$2,0))</f>
        <v>9.6383288507815829E-2</v>
      </c>
      <c r="BH320" s="16">
        <f>INDEX('Team forecast'!$B$2:$AO$26,MATCH('Master data'!$B320,'Team forecast'!$B$2:$B$26,0),MATCH('Master data'!BH$1,'Team forecast'!$B$2:$AO$2,0))</f>
        <v>2.0505333990870809</v>
      </c>
      <c r="BI320" s="16">
        <f>INDEX('Team forecast'!$B$2:$AO$26,MATCH('Master data'!$B320,'Team forecast'!$B$2:$B$26,0),MATCH('Master data'!BI$1,'Team forecast'!$B$2:$AO$2,0))</f>
        <v>6.6465834040088314</v>
      </c>
      <c r="BJ320" s="5">
        <f t="shared" si="159"/>
        <v>-5000</v>
      </c>
      <c r="BK320" s="5">
        <f>INDEX('Team forecast'!$R$3:$BH$26,MATCH($B320,'Team forecast'!$B$3:$B$26,0),MATCH(BK$1,'Team forecast'!$R$2:$BH$2,0))*IF($X320&gt;0,25000,0)</f>
        <v>0</v>
      </c>
      <c r="BL320" s="5">
        <f>INDEX('Team forecast'!$R$3:$BH$26,MATCH($B320,'Team forecast'!$B$3:$B$26,0),MATCH(BL$1,'Team forecast'!$R$2:$BH$2,0))*IF($X320&gt;0,5000,0)</f>
        <v>0</v>
      </c>
      <c r="BM320" s="5">
        <f>INDEX('Team forecast'!$R$3:$BH$26,MATCH($B320,'Team forecast'!$B$3:$B$26,0),MATCH(BM$1,'Team forecast'!$R$2:$BH$2,0))*IF($X320&gt;0,-15000,0)</f>
        <v>0</v>
      </c>
      <c r="BN320" s="5">
        <f t="shared" si="160"/>
        <v>0</v>
      </c>
      <c r="BO320" s="5">
        <f t="shared" si="161"/>
        <v>0</v>
      </c>
      <c r="BP320" s="5">
        <f t="shared" si="162"/>
        <v>0</v>
      </c>
      <c r="BQ320" s="5">
        <f t="shared" si="163"/>
        <v>0</v>
      </c>
      <c r="BR320" s="5">
        <f t="shared" si="164"/>
        <v>0</v>
      </c>
      <c r="BS320" s="5">
        <f t="shared" si="165"/>
        <v>0</v>
      </c>
      <c r="BT320" s="5">
        <f t="shared" si="166"/>
        <v>0</v>
      </c>
      <c r="BU320" s="5">
        <f t="shared" si="167"/>
        <v>0</v>
      </c>
      <c r="BV320" s="5">
        <f t="shared" si="168"/>
        <v>0</v>
      </c>
      <c r="BW320" s="5">
        <f t="shared" si="169"/>
        <v>-5000</v>
      </c>
      <c r="BX320" s="5">
        <f t="shared" si="170"/>
        <v>-5000</v>
      </c>
      <c r="BY320" s="5">
        <f t="shared" si="171"/>
        <v>-15000</v>
      </c>
      <c r="BZ320" s="5">
        <f>INDEX('Team forecast'!$R$3:$BH$26,MATCH($B320,'Team forecast'!$B$3:$B$26,0),MATCH(BZ$1,'Team forecast'!$R$2:$BH$2,0))*($BX320-(BY320+CH320)*0.01)</f>
        <v>-8080.343021337595</v>
      </c>
      <c r="CA320" s="5">
        <f>INDEX('Team forecast'!$R$3:$BH$26,MATCH($B320,'Team forecast'!$B$3:$B$26,0),MATCH(CA$1,'Team forecast'!$R$2:$BH$2,0))*($BX320-(BY320+BX320+CH320)*0.01)</f>
        <v>-3957.4314360337198</v>
      </c>
      <c r="CB320" s="5">
        <f>INDEX('Team forecast'!$R$3:$BH$26,MATCH($B320,'Team forecast'!$B$3:$B$26,0),MATCH(CB$1,'Team forecast'!$R$2:$BH$2,0))*($BX320-(BY320+BX320*2+CH320)*0.01)</f>
        <v>-1904.0120571238031</v>
      </c>
      <c r="CC320" s="5">
        <f>INDEX('Team forecast'!$R$3:$BH$26,MATCH($B320,'Team forecast'!$B$3:$B$26,0),MATCH(CC$1,'Team forecast'!$R$2:$BH$2,0))*($BX320-(BY320+BX320*3+CH320)*0.01)</f>
        <v>-858.51335840923593</v>
      </c>
      <c r="CD320" s="5">
        <f>+AK320+BD320*Cockpit!$C$3+BW320*Cockpit!$C$3^2+BZ320*Cockpit!$C$3^3+CA320*Cockpit!$C$3^4+CB320*Cockpit!$C$3^5+CC320*Cockpit!$C$3^6</f>
        <v>-14057.550386584157</v>
      </c>
      <c r="CE320" s="5"/>
      <c r="CF320" s="5"/>
      <c r="CG320" s="5">
        <v>0</v>
      </c>
      <c r="CH320" s="5">
        <f t="shared" si="172"/>
        <v>2500000</v>
      </c>
      <c r="CI320" s="5">
        <f t="shared" si="173"/>
        <v>2500000</v>
      </c>
      <c r="CJ320" s="1">
        <f t="shared" si="174"/>
        <v>-6.0000000000000001E-3</v>
      </c>
      <c r="CK320" s="5">
        <f>RANK(BY320,$BY$2:$BY$623)+COUNTIF($BY$2:$BY320,$BY320)-1</f>
        <v>515</v>
      </c>
      <c r="CL320" s="5">
        <f>RANK(CJ320,$CJ$2:$CJ$623)+COUNTIF($CJ$2:$CJ320,$CJ320)-1</f>
        <v>540</v>
      </c>
    </row>
    <row r="321" spans="1:90">
      <c r="A321" t="str">
        <f>Players!P322</f>
        <v>Robin Lod</v>
      </c>
      <c r="B321" t="str">
        <f>Players!G322</f>
        <v>Finland</v>
      </c>
      <c r="C321" t="str">
        <f>Players!AB322</f>
        <v>Midfield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3000000</v>
      </c>
      <c r="H321" s="16">
        <f>INDEX('Team forecast'!$B$2:$AO$26,MATCH('Master data'!$B321,'Team forecast'!$B$2:$B$26,0),MATCH('Master data'!H$1,'Team forecast'!$B$2:$AO$2,0))</f>
        <v>0.59952758650922311</v>
      </c>
      <c r="I321" s="16">
        <f>INDEX('Team forecast'!$B$2:$AO$26,MATCH('Master data'!$B321,'Team forecast'!$B$2:$B$26,0),MATCH('Master data'!I$1,'Team forecast'!$B$2:$AO$2,0))</f>
        <v>1.6608440904336361</v>
      </c>
      <c r="J321" s="16">
        <f>INDEX('Team forecast'!$B$2:$AO$26,MATCH('Master data'!$B321,'Team forecast'!$B$2:$B$26,0),MATCH('Master data'!J$1,'Team forecast'!$B$2:$AO$2,0))</f>
        <v>0.18997855332423469</v>
      </c>
      <c r="K321" s="16">
        <f>INDEX('Team forecast'!$B$2:$AO$26,MATCH('Master data'!$B321,'Team forecast'!$B$2:$B$26,0),MATCH('Master data'!K$1,'Team forecast'!$B$2:$AO$2,0))</f>
        <v>1.9681461173282577</v>
      </c>
      <c r="L321" s="16">
        <f>INDEX('Team forecast'!$B$2:$AO$26,MATCH('Master data'!$B321,'Team forecast'!$B$2:$B$26,0),MATCH('Master data'!L$1,'Team forecast'!$B$2:$AO$2,0))</f>
        <v>4.718659845717994</v>
      </c>
      <c r="M321">
        <f>IF(Players!BC322=1,95,0)</f>
        <v>95</v>
      </c>
      <c r="N321" s="2">
        <f>Players!BN322</f>
        <v>0.15816760371179894</v>
      </c>
      <c r="O321" s="2">
        <f>Players!BO322</f>
        <v>0.28386160116339021</v>
      </c>
      <c r="P321" s="2">
        <f>Players!BP322</f>
        <v>0.22312006826696307</v>
      </c>
      <c r="Q321" s="2">
        <f>Players!BQ322</f>
        <v>6.5312046444121918E-2</v>
      </c>
      <c r="R321" s="2">
        <f>Players!BR322</f>
        <v>0</v>
      </c>
      <c r="S321" s="2">
        <f t="shared" si="133"/>
        <v>0.59952758650922311</v>
      </c>
      <c r="T321" s="2">
        <f t="shared" si="134"/>
        <v>1.6608440904336361</v>
      </c>
      <c r="U321" s="16">
        <f>INDEX('Team forecast'!$B$2:$AO$26,MATCH('Master data'!$B321,'Team forecast'!$B$2:$B$26,0),MATCH('Master data'!U$1,'Team forecast'!$B$2:$AO$2,0))</f>
        <v>0.1187365958276467</v>
      </c>
      <c r="V321" s="16">
        <f>INDEX('Team forecast'!$B$2:$AO$26,MATCH('Master data'!$B321,'Team forecast'!$B$2:$B$26,0),MATCH('Master data'!V$1,'Team forecast'!$B$2:$AO$2,0))</f>
        <v>0.22616494443361279</v>
      </c>
      <c r="W321" s="16">
        <f>INDEX('Team forecast'!$B$2:$AO$26,MATCH('Master data'!$B321,'Team forecast'!$B$2:$B$26,0),MATCH('Master data'!W$1,'Team forecast'!$B$2:$AO$2,0))</f>
        <v>0.65509845973874048</v>
      </c>
      <c r="X321" s="5">
        <f t="shared" si="135"/>
        <v>7000</v>
      </c>
      <c r="Y321" s="5">
        <f t="shared" si="136"/>
        <v>2968.4148956911677</v>
      </c>
      <c r="Z321" s="5">
        <f t="shared" si="137"/>
        <v>1130.824722168064</v>
      </c>
      <c r="AA321" s="5">
        <f t="shared" si="138"/>
        <v>-9826.476896081107</v>
      </c>
      <c r="AB321" s="5">
        <f t="shared" si="139"/>
        <v>11853.230214660256</v>
      </c>
      <c r="AC321" s="5">
        <f t="shared" si="140"/>
        <v>8509.1430324065514</v>
      </c>
      <c r="AD321" s="5">
        <f t="shared" si="141"/>
        <v>4391.3289605763921</v>
      </c>
      <c r="AE321" s="5">
        <f t="shared" si="142"/>
        <v>0</v>
      </c>
      <c r="AF321" s="5">
        <f t="shared" si="143"/>
        <v>0</v>
      </c>
      <c r="AG321" s="5">
        <f t="shared" si="144"/>
        <v>-1306.2409288824383</v>
      </c>
      <c r="AH321" s="5">
        <f t="shared" si="145"/>
        <v>0</v>
      </c>
      <c r="AI321" s="5">
        <f t="shared" si="146"/>
        <v>5995.2758650922315</v>
      </c>
      <c r="AJ321" s="5">
        <f t="shared" si="147"/>
        <v>-13286.75272346909</v>
      </c>
      <c r="AK321" s="5">
        <f>IFERROR(SUM(X321:AJ321),-5000)*((Cockpit!$C$3)^0)</f>
        <v>17428.747142162025</v>
      </c>
      <c r="AL321" s="16">
        <f>INDEX('Team forecast'!$B$2:$AO$26,MATCH('Master data'!$B321,'Team forecast'!$B$2:$B$26,0),MATCH('Master data'!AL$1,'Team forecast'!$B$2:$AO$2,0))</f>
        <v>0.75781731816731412</v>
      </c>
      <c r="AM321" s="16">
        <f>INDEX('Team forecast'!$B$2:$AO$26,MATCH('Master data'!$B321,'Team forecast'!$B$2:$B$26,0),MATCH('Master data'!AM$1,'Team forecast'!$B$2:$AO$2,0))</f>
        <v>1.5687475343836428</v>
      </c>
      <c r="AN321" s="16">
        <f>INDEX('Team forecast'!$B$2:$AO$26,MATCH('Master data'!$B321,'Team forecast'!$B$2:$B$26,0),MATCH('Master data'!AN$1,'Team forecast'!$B$2:$AO$2,0))</f>
        <v>0.20830591503984791</v>
      </c>
      <c r="AO321" s="16">
        <f>INDEX('Team forecast'!$B$2:$AO$26,MATCH('Master data'!$B321,'Team forecast'!$B$2:$B$26,0),MATCH('Master data'!AO$1,'Team forecast'!$B$2:$AO$2,0))</f>
        <v>2.4877841252967383</v>
      </c>
      <c r="AP321" s="16">
        <f>INDEX('Team forecast'!$B$2:$AO$26,MATCH('Master data'!$B321,'Team forecast'!$B$2:$B$26,0),MATCH('Master data'!AP$1,'Team forecast'!$B$2:$AO$2,0))</f>
        <v>4.4570023406787609</v>
      </c>
      <c r="AQ321" s="5">
        <f t="shared" si="148"/>
        <v>7000</v>
      </c>
      <c r="AR321" s="5">
        <f>INDEX('Team forecast'!$B$2:$AO$26,MATCH('Master data'!$B321,'Team forecast'!$B$2:$B$26,0),MATCH('Master data'!AR$1,'Team forecast'!$B$2:$AO$2,0))*IF(X321&gt;0,25000,0)</f>
        <v>4463.6981794253124</v>
      </c>
      <c r="AS321" s="16">
        <f>INDEX('Team forecast'!$B$2:$AO$26,MATCH('Master data'!$B321,'Team forecast'!$B$2:$B$26,0),MATCH('Master data'!AS$1,'Team forecast'!$B$2:$AO$2,0))*IF(X321&gt;0,5000,0)</f>
        <v>1266.7251590261019</v>
      </c>
      <c r="AT321" s="16">
        <f>INDEX('Team forecast'!$B$2:$AO$26,MATCH('Master data'!$B321,'Team forecast'!$B$2:$B$26,0),MATCH('Master data'!AT$1,'Team forecast'!$B$2:$AO$2,0))*IF(X321&gt;0,-15000,0)</f>
        <v>-8521.6056152665042</v>
      </c>
      <c r="AU321" s="5">
        <f t="shared" si="149"/>
        <v>14982.768658228248</v>
      </c>
      <c r="AV321" s="5">
        <f t="shared" si="150"/>
        <v>10755.761866216006</v>
      </c>
      <c r="AW321" s="5">
        <f t="shared" si="151"/>
        <v>5550.7456386967524</v>
      </c>
      <c r="AX321" s="5">
        <f t="shared" si="152"/>
        <v>0</v>
      </c>
      <c r="AY321" s="5">
        <f t="shared" si="153"/>
        <v>0</v>
      </c>
      <c r="AZ321" s="5">
        <f t="shared" si="154"/>
        <v>-1306.2409288824383</v>
      </c>
      <c r="BA321" s="5">
        <f t="shared" si="155"/>
        <v>0</v>
      </c>
      <c r="BB321" s="5">
        <f t="shared" si="156"/>
        <v>7578.1731816731417</v>
      </c>
      <c r="BC321" s="5">
        <f t="shared" si="157"/>
        <v>-12549.980275069141</v>
      </c>
      <c r="BD321" s="5">
        <f t="shared" si="158"/>
        <v>29220.045864047479</v>
      </c>
      <c r="BE321" s="16">
        <f>INDEX('Team forecast'!$B$2:$AO$26,MATCH('Master data'!$B321,'Team forecast'!$B$2:$B$26,0),MATCH('Master data'!BE$1,'Team forecast'!$B$2:$AO$2,0))</f>
        <v>0.62462402002960304</v>
      </c>
      <c r="BF321" s="16">
        <f>INDEX('Team forecast'!$B$2:$AO$26,MATCH('Master data'!$B321,'Team forecast'!$B$2:$B$26,0),MATCH('Master data'!BF$1,'Team forecast'!$B$2:$AO$2,0))</f>
        <v>2.3394224481215296</v>
      </c>
      <c r="BG321" s="16">
        <f>INDEX('Team forecast'!$B$2:$AO$26,MATCH('Master data'!$B321,'Team forecast'!$B$2:$B$26,0),MATCH('Master data'!BG$1,'Team forecast'!$B$2:$AO$2,0))</f>
        <v>9.6383288507815829E-2</v>
      </c>
      <c r="BH321" s="16">
        <f>INDEX('Team forecast'!$B$2:$AO$26,MATCH('Master data'!$B321,'Team forecast'!$B$2:$B$26,0),MATCH('Master data'!BH$1,'Team forecast'!$B$2:$AO$2,0))</f>
        <v>2.0505333990870809</v>
      </c>
      <c r="BI321" s="16">
        <f>INDEX('Team forecast'!$B$2:$AO$26,MATCH('Master data'!$B321,'Team forecast'!$B$2:$B$26,0),MATCH('Master data'!BI$1,'Team forecast'!$B$2:$AO$2,0))</f>
        <v>6.6465834040088314</v>
      </c>
      <c r="BJ321" s="5">
        <f t="shared" si="159"/>
        <v>7000</v>
      </c>
      <c r="BK321" s="5">
        <f>INDEX('Team forecast'!$R$3:$BH$26,MATCH($B321,'Team forecast'!$B$3:$B$26,0),MATCH(BK$1,'Team forecast'!$R$2:$BH$2,0))*IF($X321&gt;0,25000,0)</f>
        <v>1554.5691694809007</v>
      </c>
      <c r="BL321" s="5">
        <f>INDEX('Team forecast'!$R$3:$BH$26,MATCH($B321,'Team forecast'!$B$3:$B$26,0),MATCH(BL$1,'Team forecast'!$R$2:$BH$2,0))*IF($X321&gt;0,5000,0)</f>
        <v>771.06630806252645</v>
      </c>
      <c r="BM321" s="5">
        <f>INDEX('Team forecast'!$R$3:$BH$26,MATCH($B321,'Team forecast'!$B$3:$B$26,0),MATCH(BM$1,'Team forecast'!$R$2:$BH$2,0))*IF($X321&gt;0,-15000,0)</f>
        <v>-11754.059574123881</v>
      </c>
      <c r="BN321" s="5">
        <f t="shared" si="160"/>
        <v>12349.410558614127</v>
      </c>
      <c r="BO321" s="5">
        <f t="shared" si="161"/>
        <v>8865.3387225358329</v>
      </c>
      <c r="BP321" s="5">
        <f t="shared" si="162"/>
        <v>4575.1515198799734</v>
      </c>
      <c r="BQ321" s="5">
        <f t="shared" si="163"/>
        <v>0</v>
      </c>
      <c r="BR321" s="5">
        <f t="shared" si="164"/>
        <v>0</v>
      </c>
      <c r="BS321" s="5">
        <f t="shared" si="165"/>
        <v>-1306.2409288824383</v>
      </c>
      <c r="BT321" s="5">
        <f t="shared" si="166"/>
        <v>0</v>
      </c>
      <c r="BU321" s="5">
        <f t="shared" si="167"/>
        <v>6246.2402002960307</v>
      </c>
      <c r="BV321" s="5">
        <f t="shared" si="168"/>
        <v>-18715.379584972237</v>
      </c>
      <c r="BW321" s="5">
        <f t="shared" si="169"/>
        <v>9586.0963908908343</v>
      </c>
      <c r="BX321" s="5">
        <f t="shared" si="170"/>
        <v>18744.963132366782</v>
      </c>
      <c r="BY321" s="5">
        <f t="shared" si="171"/>
        <v>56234.889397100342</v>
      </c>
      <c r="BZ321" s="5">
        <f>INDEX('Team forecast'!$R$3:$BH$26,MATCH($B321,'Team forecast'!$B$3:$B$26,0),MATCH(BZ$1,'Team forecast'!$R$2:$BH$2,0))*($BX321-(BY321+CH321)*0.01)</f>
        <v>-3198.9457477129972</v>
      </c>
      <c r="CA321" s="5">
        <f>INDEX('Team forecast'!$R$3:$BH$26,MATCH($B321,'Team forecast'!$B$3:$B$26,0),MATCH(CA$1,'Team forecast'!$R$2:$BH$2,0))*($BX321-(BY321+BX321+CH321)*0.01)</f>
        <v>-1594.2386902141959</v>
      </c>
      <c r="CB321" s="5">
        <f>INDEX('Team forecast'!$R$3:$BH$26,MATCH($B321,'Team forecast'!$B$3:$B$26,0),MATCH(CB$1,'Team forecast'!$R$2:$BH$2,0))*($BX321-(BY321+BX321*2+CH321)*0.01)</f>
        <v>-780.31118285932598</v>
      </c>
      <c r="CC321" s="5">
        <f>INDEX('Team forecast'!$R$3:$BH$26,MATCH($B321,'Team forecast'!$B$3:$B$26,0),MATCH(CC$1,'Team forecast'!$R$2:$BH$2,0))*($BX321-(BY321+BX321*3+CH321)*0.01)</f>
        <v>-357.85076011357216</v>
      </c>
      <c r="CD321" s="5">
        <f>+AK321+BD321*Cockpit!$C$3+BW321*Cockpit!$C$3^2+BZ321*Cockpit!$C$3^3+CA321*Cockpit!$C$3^4+CB321*Cockpit!$C$3^5+CC321*Cockpit!$C$3^6</f>
        <v>39772.344598234842</v>
      </c>
      <c r="CE321" s="5"/>
      <c r="CF321" s="5"/>
      <c r="CG321" s="5">
        <v>0</v>
      </c>
      <c r="CH321" s="5">
        <f t="shared" si="172"/>
        <v>3000000</v>
      </c>
      <c r="CI321" s="5">
        <f t="shared" si="173"/>
        <v>3000000</v>
      </c>
      <c r="CJ321" s="1">
        <f t="shared" si="174"/>
        <v>1.8744963132366781E-2</v>
      </c>
      <c r="CK321" s="5">
        <f>RANK(BY321,$BY$2:$BY$623)+COUNTIF($BY$2:$BY321,$BY321)-1</f>
        <v>280</v>
      </c>
      <c r="CL321" s="5">
        <f>RANK(CJ321,$CJ$2:$CJ$623)+COUNTIF($CJ$2:$CJ321,$CJ321)-1</f>
        <v>271</v>
      </c>
    </row>
    <row r="322" spans="1:90">
      <c r="A322" t="str">
        <f>Players!P323</f>
        <v>Teemu Pukki</v>
      </c>
      <c r="B322" t="str">
        <f>Players!G323</f>
        <v>Finland</v>
      </c>
      <c r="C322" t="str">
        <f>Players!AB323</f>
        <v>Striker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4000000</v>
      </c>
      <c r="H322" s="16">
        <f>INDEX('Team forecast'!$B$2:$AO$26,MATCH('Master data'!$B322,'Team forecast'!$B$2:$B$26,0),MATCH('Master data'!H$1,'Team forecast'!$B$2:$AO$2,0))</f>
        <v>0.59952758650922311</v>
      </c>
      <c r="I322" s="16">
        <f>INDEX('Team forecast'!$B$2:$AO$26,MATCH('Master data'!$B322,'Team forecast'!$B$2:$B$26,0),MATCH('Master data'!I$1,'Team forecast'!$B$2:$AO$2,0))</f>
        <v>1.6608440904336361</v>
      </c>
      <c r="J322" s="16">
        <f>INDEX('Team forecast'!$B$2:$AO$26,MATCH('Master data'!$B322,'Team forecast'!$B$2:$B$26,0),MATCH('Master data'!J$1,'Team forecast'!$B$2:$AO$2,0))</f>
        <v>0.18997855332423469</v>
      </c>
      <c r="K322" s="16">
        <f>INDEX('Team forecast'!$B$2:$AO$26,MATCH('Master data'!$B322,'Team forecast'!$B$2:$B$26,0),MATCH('Master data'!K$1,'Team forecast'!$B$2:$AO$2,0))</f>
        <v>1.9681461173282577</v>
      </c>
      <c r="L322" s="16">
        <f>INDEX('Team forecast'!$B$2:$AO$26,MATCH('Master data'!$B322,'Team forecast'!$B$2:$B$26,0),MATCH('Master data'!L$1,'Team forecast'!$B$2:$AO$2,0))</f>
        <v>4.718659845717994</v>
      </c>
      <c r="M322">
        <f>IF(Players!BC323=1,95,0)</f>
        <v>95</v>
      </c>
      <c r="N322" s="2">
        <f>Players!BN323</f>
        <v>0.17471558743427085</v>
      </c>
      <c r="O322" s="2">
        <f>Players!BO323</f>
        <v>5.1722181348334048E-2</v>
      </c>
      <c r="P322" s="2">
        <f>Players!BP323</f>
        <v>0.17206216904714217</v>
      </c>
      <c r="Q322" s="2">
        <f>Players!BQ323</f>
        <v>0.11147540983606558</v>
      </c>
      <c r="R322" s="2">
        <f>Players!BR323</f>
        <v>0</v>
      </c>
      <c r="S322" s="2">
        <f t="shared" si="133"/>
        <v>0.59952758650922311</v>
      </c>
      <c r="T322" s="2">
        <f t="shared" si="134"/>
        <v>1.6608440904336361</v>
      </c>
      <c r="U322" s="16">
        <f>INDEX('Team forecast'!$B$2:$AO$26,MATCH('Master data'!$B322,'Team forecast'!$B$2:$B$26,0),MATCH('Master data'!U$1,'Team forecast'!$B$2:$AO$2,0))</f>
        <v>0.1187365958276467</v>
      </c>
      <c r="V322" s="16">
        <f>INDEX('Team forecast'!$B$2:$AO$26,MATCH('Master data'!$B322,'Team forecast'!$B$2:$B$26,0),MATCH('Master data'!V$1,'Team forecast'!$B$2:$AO$2,0))</f>
        <v>0.22616494443361279</v>
      </c>
      <c r="W322" s="16">
        <f>INDEX('Team forecast'!$B$2:$AO$26,MATCH('Master data'!$B322,'Team forecast'!$B$2:$B$26,0),MATCH('Master data'!W$1,'Team forecast'!$B$2:$AO$2,0))</f>
        <v>0.65509845973874048</v>
      </c>
      <c r="X322" s="5">
        <f t="shared" si="135"/>
        <v>7000</v>
      </c>
      <c r="Y322" s="5">
        <f t="shared" si="136"/>
        <v>2968.4148956911677</v>
      </c>
      <c r="Z322" s="5">
        <f t="shared" si="137"/>
        <v>1130.824722168064</v>
      </c>
      <c r="AA322" s="5">
        <f t="shared" si="138"/>
        <v>-9826.476896081107</v>
      </c>
      <c r="AB322" s="5">
        <f t="shared" si="139"/>
        <v>10474.681446000955</v>
      </c>
      <c r="AC322" s="5">
        <f t="shared" si="140"/>
        <v>1550.4437276379535</v>
      </c>
      <c r="AD322" s="5">
        <f t="shared" si="141"/>
        <v>3386.4348994921115</v>
      </c>
      <c r="AE322" s="5">
        <f t="shared" si="142"/>
        <v>0</v>
      </c>
      <c r="AF322" s="5">
        <f t="shared" si="143"/>
        <v>0</v>
      </c>
      <c r="AG322" s="5">
        <f t="shared" si="144"/>
        <v>-2229.5081967213114</v>
      </c>
      <c r="AH322" s="5">
        <f t="shared" si="145"/>
        <v>0</v>
      </c>
      <c r="AI322" s="5">
        <f t="shared" si="146"/>
        <v>5995.2758650922315</v>
      </c>
      <c r="AJ322" s="5">
        <f t="shared" si="147"/>
        <v>-13286.75272346909</v>
      </c>
      <c r="AK322" s="5">
        <f>IFERROR(SUM(X322:AJ322),-5000)*((Cockpit!$C$3)^0)</f>
        <v>7163.3377398109769</v>
      </c>
      <c r="AL322" s="16">
        <f>INDEX('Team forecast'!$B$2:$AO$26,MATCH('Master data'!$B322,'Team forecast'!$B$2:$B$26,0),MATCH('Master data'!AL$1,'Team forecast'!$B$2:$AO$2,0))</f>
        <v>0.75781731816731412</v>
      </c>
      <c r="AM322" s="16">
        <f>INDEX('Team forecast'!$B$2:$AO$26,MATCH('Master data'!$B322,'Team forecast'!$B$2:$B$26,0),MATCH('Master data'!AM$1,'Team forecast'!$B$2:$AO$2,0))</f>
        <v>1.5687475343836428</v>
      </c>
      <c r="AN322" s="16">
        <f>INDEX('Team forecast'!$B$2:$AO$26,MATCH('Master data'!$B322,'Team forecast'!$B$2:$B$26,0),MATCH('Master data'!AN$1,'Team forecast'!$B$2:$AO$2,0))</f>
        <v>0.20830591503984791</v>
      </c>
      <c r="AO322" s="16">
        <f>INDEX('Team forecast'!$B$2:$AO$26,MATCH('Master data'!$B322,'Team forecast'!$B$2:$B$26,0),MATCH('Master data'!AO$1,'Team forecast'!$B$2:$AO$2,0))</f>
        <v>2.4877841252967383</v>
      </c>
      <c r="AP322" s="16">
        <f>INDEX('Team forecast'!$B$2:$AO$26,MATCH('Master data'!$B322,'Team forecast'!$B$2:$B$26,0),MATCH('Master data'!AP$1,'Team forecast'!$B$2:$AO$2,0))</f>
        <v>4.4570023406787609</v>
      </c>
      <c r="AQ322" s="5">
        <f t="shared" si="148"/>
        <v>7000</v>
      </c>
      <c r="AR322" s="5">
        <f>INDEX('Team forecast'!$B$2:$AO$26,MATCH('Master data'!$B322,'Team forecast'!$B$2:$B$26,0),MATCH('Master data'!AR$1,'Team forecast'!$B$2:$AO$2,0))*IF(X322&gt;0,25000,0)</f>
        <v>4463.6981794253124</v>
      </c>
      <c r="AS322" s="16">
        <f>INDEX('Team forecast'!$B$2:$AO$26,MATCH('Master data'!$B322,'Team forecast'!$B$2:$B$26,0),MATCH('Master data'!AS$1,'Team forecast'!$B$2:$AO$2,0))*IF(X322&gt;0,5000,0)</f>
        <v>1266.7251590261019</v>
      </c>
      <c r="AT322" s="16">
        <f>INDEX('Team forecast'!$B$2:$AO$26,MATCH('Master data'!$B322,'Team forecast'!$B$2:$B$26,0),MATCH('Master data'!AT$1,'Team forecast'!$B$2:$AO$2,0))*IF(X322&gt;0,-15000,0)</f>
        <v>-8521.6056152665042</v>
      </c>
      <c r="AU322" s="5">
        <f t="shared" si="149"/>
        <v>13240.249791146603</v>
      </c>
      <c r="AV322" s="5">
        <f t="shared" si="150"/>
        <v>1959.7982379578993</v>
      </c>
      <c r="AW322" s="5">
        <f t="shared" si="151"/>
        <v>4280.5353271960412</v>
      </c>
      <c r="AX322" s="5">
        <f t="shared" si="152"/>
        <v>0</v>
      </c>
      <c r="AY322" s="5">
        <f t="shared" si="153"/>
        <v>0</v>
      </c>
      <c r="AZ322" s="5">
        <f t="shared" si="154"/>
        <v>-2229.5081967213114</v>
      </c>
      <c r="BA322" s="5">
        <f t="shared" si="155"/>
        <v>0</v>
      </c>
      <c r="BB322" s="5">
        <f t="shared" si="156"/>
        <v>7578.1731816731417</v>
      </c>
      <c r="BC322" s="5">
        <f t="shared" si="157"/>
        <v>-12549.980275069141</v>
      </c>
      <c r="BD322" s="5">
        <f t="shared" si="158"/>
        <v>16488.085789368142</v>
      </c>
      <c r="BE322" s="16">
        <f>INDEX('Team forecast'!$B$2:$AO$26,MATCH('Master data'!$B322,'Team forecast'!$B$2:$B$26,0),MATCH('Master data'!BE$1,'Team forecast'!$B$2:$AO$2,0))</f>
        <v>0.62462402002960304</v>
      </c>
      <c r="BF322" s="16">
        <f>INDEX('Team forecast'!$B$2:$AO$26,MATCH('Master data'!$B322,'Team forecast'!$B$2:$B$26,0),MATCH('Master data'!BF$1,'Team forecast'!$B$2:$AO$2,0))</f>
        <v>2.3394224481215296</v>
      </c>
      <c r="BG322" s="16">
        <f>INDEX('Team forecast'!$B$2:$AO$26,MATCH('Master data'!$B322,'Team forecast'!$B$2:$B$26,0),MATCH('Master data'!BG$1,'Team forecast'!$B$2:$AO$2,0))</f>
        <v>9.6383288507815829E-2</v>
      </c>
      <c r="BH322" s="16">
        <f>INDEX('Team forecast'!$B$2:$AO$26,MATCH('Master data'!$B322,'Team forecast'!$B$2:$B$26,0),MATCH('Master data'!BH$1,'Team forecast'!$B$2:$AO$2,0))</f>
        <v>2.0505333990870809</v>
      </c>
      <c r="BI322" s="16">
        <f>INDEX('Team forecast'!$B$2:$AO$26,MATCH('Master data'!$B322,'Team forecast'!$B$2:$B$26,0),MATCH('Master data'!BI$1,'Team forecast'!$B$2:$AO$2,0))</f>
        <v>6.6465834040088314</v>
      </c>
      <c r="BJ322" s="5">
        <f t="shared" si="159"/>
        <v>7000</v>
      </c>
      <c r="BK322" s="5">
        <f>INDEX('Team forecast'!$R$3:$BH$26,MATCH($B322,'Team forecast'!$B$3:$B$26,0),MATCH(BK$1,'Team forecast'!$R$2:$BH$2,0))*IF($X322&gt;0,25000,0)</f>
        <v>1554.5691694809007</v>
      </c>
      <c r="BL322" s="5">
        <f>INDEX('Team forecast'!$R$3:$BH$26,MATCH($B322,'Team forecast'!$B$3:$B$26,0),MATCH(BL$1,'Team forecast'!$R$2:$BH$2,0))*IF($X322&gt;0,5000,0)</f>
        <v>771.06630806252645</v>
      </c>
      <c r="BM322" s="5">
        <f>INDEX('Team forecast'!$R$3:$BH$26,MATCH($B322,'Team forecast'!$B$3:$B$26,0),MATCH(BM$1,'Team forecast'!$R$2:$BH$2,0))*IF($X322&gt;0,-15000,0)</f>
        <v>-11754.059574123881</v>
      </c>
      <c r="BN322" s="5">
        <f t="shared" si="160"/>
        <v>10913.155258502786</v>
      </c>
      <c r="BO322" s="5">
        <f t="shared" si="161"/>
        <v>1615.3458419248284</v>
      </c>
      <c r="BP322" s="5">
        <f t="shared" si="162"/>
        <v>3528.1922435053239</v>
      </c>
      <c r="BQ322" s="5">
        <f t="shared" si="163"/>
        <v>0</v>
      </c>
      <c r="BR322" s="5">
        <f t="shared" si="164"/>
        <v>0</v>
      </c>
      <c r="BS322" s="5">
        <f t="shared" si="165"/>
        <v>-2229.5081967213114</v>
      </c>
      <c r="BT322" s="5">
        <f t="shared" si="166"/>
        <v>0</v>
      </c>
      <c r="BU322" s="5">
        <f t="shared" si="167"/>
        <v>6246.2402002960307</v>
      </c>
      <c r="BV322" s="5">
        <f t="shared" si="168"/>
        <v>-18715.379584972237</v>
      </c>
      <c r="BW322" s="5">
        <f t="shared" si="169"/>
        <v>-1070.3783340450318</v>
      </c>
      <c r="BX322" s="5">
        <f t="shared" si="170"/>
        <v>7527.0150650446958</v>
      </c>
      <c r="BY322" s="5">
        <f t="shared" si="171"/>
        <v>22581.045195134087</v>
      </c>
      <c r="BZ322" s="5">
        <f>INDEX('Team forecast'!$R$3:$BH$26,MATCH($B322,'Team forecast'!$B$3:$B$26,0),MATCH(BZ$1,'Team forecast'!$R$2:$BH$2,0))*($BX322-(BY322+CH322)*0.01)</f>
        <v>-8851.5069718839877</v>
      </c>
      <c r="CA322" s="5">
        <f>INDEX('Team forecast'!$R$3:$BH$26,MATCH($B322,'Team forecast'!$B$3:$B$26,0),MATCH(CA$1,'Team forecast'!$R$2:$BH$2,0))*($BX322-(BY322+BX322+CH322)*0.01)</f>
        <v>-4352.3864847301284</v>
      </c>
      <c r="CB322" s="5">
        <f>INDEX('Team forecast'!$R$3:$BH$26,MATCH($B322,'Team forecast'!$B$3:$B$26,0),MATCH(CB$1,'Team forecast'!$R$2:$BH$2,0))*($BX322-(BY322+BX322*2+CH322)*0.01)</f>
        <v>-2102.3707972724164</v>
      </c>
      <c r="CC322" s="5">
        <f>INDEX('Team forecast'!$R$3:$BH$26,MATCH($B322,'Team forecast'!$B$3:$B$26,0),MATCH(CC$1,'Team forecast'!$R$2:$BH$2,0))*($BX322-(BY322+BX322*3+CH322)*0.01)</f>
        <v>-951.7243748491012</v>
      </c>
      <c r="CD322" s="5">
        <f>+AK322+BD322*Cockpit!$C$3+BW322*Cockpit!$C$3^2+BZ322*Cockpit!$C$3^3+CA322*Cockpit!$C$3^4+CB322*Cockpit!$C$3^5+CC322*Cockpit!$C$3^6</f>
        <v>13836.863113124768</v>
      </c>
      <c r="CE322" s="5"/>
      <c r="CF322" s="5"/>
      <c r="CG322" s="5">
        <v>0</v>
      </c>
      <c r="CH322" s="5">
        <f t="shared" si="172"/>
        <v>4000000</v>
      </c>
      <c r="CI322" s="5">
        <f t="shared" si="173"/>
        <v>4000000</v>
      </c>
      <c r="CJ322" s="1">
        <f t="shared" si="174"/>
        <v>5.6452612987835217E-3</v>
      </c>
      <c r="CK322" s="5">
        <f>RANK(BY322,$BY$2:$BY$623)+COUNTIF($BY$2:$BY322,$BY322)-1</f>
        <v>367</v>
      </c>
      <c r="CL322" s="5">
        <f>RANK(CJ322,$CJ$2:$CJ$623)+COUNTIF($CJ$2:$CJ322,$CJ322)-1</f>
        <v>389</v>
      </c>
    </row>
    <row r="323" spans="1:90">
      <c r="A323" t="str">
        <f>Players!P324</f>
        <v>Simon Sluga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3500000</v>
      </c>
      <c r="H323" s="16">
        <f>INDEX('Team forecast'!$B$2:$AO$26,MATCH('Master data'!$B323,'Team forecast'!$B$2:$B$26,0),MATCH('Master data'!H$1,'Team forecast'!$B$2:$AO$2,0))</f>
        <v>0.74990395996081205</v>
      </c>
      <c r="I323" s="16">
        <f>INDEX('Team forecast'!$B$2:$AO$26,MATCH('Master data'!$B323,'Team forecast'!$B$2:$B$26,0),MATCH('Master data'!I$1,'Team forecast'!$B$2:$AO$2,0))</f>
        <v>1.5223243214152651</v>
      </c>
      <c r="J323" s="16">
        <f>INDEX('Team forecast'!$B$2:$AO$26,MATCH('Master data'!$B323,'Team forecast'!$B$2:$B$26,0),MATCH('Master data'!J$1,'Team forecast'!$B$2:$AO$2,0))</f>
        <v>0.21820412056434271</v>
      </c>
      <c r="K323" s="16">
        <f>INDEX('Team forecast'!$B$2:$AO$26,MATCH('Master data'!$B323,'Team forecast'!$B$2:$B$26,0),MATCH('Master data'!K$1,'Team forecast'!$B$2:$AO$2,0))</f>
        <v>2.1270003227979397</v>
      </c>
      <c r="L323" s="16">
        <f>INDEX('Team forecast'!$B$2:$AO$26,MATCH('Master data'!$B323,'Team forecast'!$B$2:$B$26,0),MATCH('Master data'!L$1,'Team forecast'!$B$2:$AO$2,0))</f>
        <v>4.9475540445996113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5.0448430493273543E-2</v>
      </c>
      <c r="R323" s="2">
        <f>Players!BR324</f>
        <v>0</v>
      </c>
      <c r="S323" s="2">
        <f t="shared" ref="S323:S386" si="175">H323</f>
        <v>0.74990395996081205</v>
      </c>
      <c r="T323" s="2">
        <f t="shared" ref="T323:T386" si="176">I323</f>
        <v>1.5223243214152651</v>
      </c>
      <c r="U323" s="16">
        <f>INDEX('Team forecast'!$B$2:$AO$26,MATCH('Master data'!$B323,'Team forecast'!$B$2:$B$26,0),MATCH('Master data'!U$1,'Team forecast'!$B$2:$AO$2,0))</f>
        <v>0.17178615309883699</v>
      </c>
      <c r="V323" s="16">
        <f>INDEX('Team forecast'!$B$2:$AO$26,MATCH('Master data'!$B323,'Team forecast'!$B$2:$B$26,0),MATCH('Master data'!V$1,'Team forecast'!$B$2:$AO$2,0))</f>
        <v>0.26245106723433442</v>
      </c>
      <c r="W323" s="16">
        <f>INDEX('Team forecast'!$B$2:$AO$26,MATCH('Master data'!$B323,'Team forecast'!$B$2:$B$26,0),MATCH('Master data'!W$1,'Team forecast'!$B$2:$AO$2,0))</f>
        <v>0.56576277966682864</v>
      </c>
      <c r="X323" s="5">
        <f t="shared" ref="X323:X386" si="177">IF(M323&gt;95,7000*2,IF(M323&gt;0,7000,-5000))</f>
        <v>-5000</v>
      </c>
      <c r="Y323" s="5">
        <f t="shared" ref="Y323:Y386" si="178">IF($X323&gt;0,U323*25000,0)</f>
        <v>0</v>
      </c>
      <c r="Z323" s="5">
        <f t="shared" ref="Z323:Z386" si="179">IF($X323&gt;0,V323*5000,0)</f>
        <v>0</v>
      </c>
      <c r="AA323" s="5">
        <f t="shared" ref="AA323:AA386" si="180">IF($X323&gt;0,W323*(-15000),0)</f>
        <v>0</v>
      </c>
      <c r="AB323" s="5">
        <f t="shared" ref="AB323:AB386" si="181">IF($C323="Defense",$N323*150000,IF($C323="Midfield",$N323*125000,IF($C323="Striker",$N323*100000,0)))*$H323</f>
        <v>0</v>
      </c>
      <c r="AC323" s="5">
        <f t="shared" ref="AC323:AC386" si="182">$O323*50000*H323</f>
        <v>0</v>
      </c>
      <c r="AD323" s="5">
        <f t="shared" ref="AD323:AD386" si="183">$P323*K323*10000</f>
        <v>0</v>
      </c>
      <c r="AE323" s="5">
        <f t="shared" ref="AE323:AE386" si="184">IF($C323="Goalkeeper",J323*75000,IF($C323="Defense",J323*50000,0))</f>
        <v>16365.309042325704</v>
      </c>
      <c r="AF323" s="5">
        <f t="shared" ref="AF323:AF386" si="185">IF($C323="Goalkeeper",(L323-I323)*5000,0)</f>
        <v>17126.148615921731</v>
      </c>
      <c r="AG323" s="5">
        <f t="shared" ref="AG323:AG386" si="186">IF(M323&gt;0,Q323*(-20000),0)</f>
        <v>0</v>
      </c>
      <c r="AH323" s="5">
        <f t="shared" ref="AH323:AH386" si="187">IF(M323&gt;0,R323*(-50000),0)</f>
        <v>0</v>
      </c>
      <c r="AI323" s="5">
        <f t="shared" ref="AI323:AI386" si="188">IF(M323&gt;0,S323*10000,0)</f>
        <v>0</v>
      </c>
      <c r="AJ323" s="5">
        <f t="shared" ref="AJ323:AJ386" si="189">IF(M323&gt;0,T323*(-8000),0)</f>
        <v>0</v>
      </c>
      <c r="AK323" s="5">
        <f>IFERROR(SUM(X323:AJ323),-5000)*((Cockpit!$C$3)^0)</f>
        <v>28491.457658247433</v>
      </c>
      <c r="AL323" s="16">
        <f>INDEX('Team forecast'!$B$2:$AO$26,MATCH('Master data'!$B323,'Team forecast'!$B$2:$B$26,0),MATCH('Master data'!AL$1,'Team forecast'!$B$2:$AO$2,0))</f>
        <v>1.3846696653928885</v>
      </c>
      <c r="AM323" s="16">
        <f>INDEX('Team forecast'!$B$2:$AO$26,MATCH('Master data'!$B323,'Team forecast'!$B$2:$B$26,0),MATCH('Master data'!AM$1,'Team forecast'!$B$2:$AO$2,0))</f>
        <v>0.97920455728472433</v>
      </c>
      <c r="AN323" s="16">
        <f>INDEX('Team forecast'!$B$2:$AO$26,MATCH('Master data'!$B323,'Team forecast'!$B$2:$B$26,0),MATCH('Master data'!AN$1,'Team forecast'!$B$2:$AO$2,0))</f>
        <v>0.37560975609756098</v>
      </c>
      <c r="AO323" s="16">
        <f>INDEX('Team forecast'!$B$2:$AO$26,MATCH('Master data'!$B323,'Team forecast'!$B$2:$B$26,0),MATCH('Master data'!AO$1,'Team forecast'!$B$2:$AO$2,0))</f>
        <v>3.9274266872961929</v>
      </c>
      <c r="AP323" s="16">
        <f>INDEX('Team forecast'!$B$2:$AO$26,MATCH('Master data'!$B323,'Team forecast'!$B$2:$B$26,0),MATCH('Master data'!AP$1,'Team forecast'!$B$2:$AO$2,0))</f>
        <v>3.1824148111753541</v>
      </c>
      <c r="AQ323" s="5">
        <f t="shared" ref="AQ323:AQ386" si="190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191">IF($C323="Defense",$N323*150000,IF($C323="Midfield",$N323*125000,IF($C323="Striker",$N323*100000,0)))*$AL323</f>
        <v>0</v>
      </c>
      <c r="AV323" s="5">
        <f t="shared" ref="AV323:AV386" si="192">$O323*50000*AL323</f>
        <v>0</v>
      </c>
      <c r="AW323" s="5">
        <f t="shared" ref="AW323:AW386" si="193">$P323*AO323*10000</f>
        <v>0</v>
      </c>
      <c r="AX323" s="5">
        <f t="shared" ref="AX323:AX386" si="194">IF($C323="Goalkeeper",AN323*75000,IF($C323="Defense",AN323*50000,0))</f>
        <v>28170.731707317074</v>
      </c>
      <c r="AY323" s="5">
        <f t="shared" ref="AY323:AY386" si="195">IF($C323="Goalkeeper",(AP323-AM323)*5000,0)</f>
        <v>11016.051269453148</v>
      </c>
      <c r="AZ323" s="5">
        <f t="shared" ref="AZ323:AZ386" si="196">$AG323</f>
        <v>0</v>
      </c>
      <c r="BA323" s="5">
        <f t="shared" ref="BA323:BA386" si="197">$AH323</f>
        <v>0</v>
      </c>
      <c r="BB323" s="5">
        <f t="shared" ref="BB323:BB386" si="198">IF(X323&gt;0,AL323*10000,0)</f>
        <v>0</v>
      </c>
      <c r="BC323" s="5">
        <f t="shared" ref="BC323:BC386" si="199">IF(X323&gt;0,AM323*(-8000),0)</f>
        <v>0</v>
      </c>
      <c r="BD323" s="5">
        <f t="shared" ref="BD323:BD386" si="200">IFERROR(SUM(AQ323:BC323),0)</f>
        <v>34186.782976770221</v>
      </c>
      <c r="BE323" s="16">
        <f>INDEX('Team forecast'!$B$2:$AO$26,MATCH('Master data'!$B323,'Team forecast'!$B$2:$B$26,0),MATCH('Master data'!BE$1,'Team forecast'!$B$2:$AO$2,0))</f>
        <v>1.5039270856478595</v>
      </c>
      <c r="BF323" s="16">
        <f>INDEX('Team forecast'!$B$2:$AO$26,MATCH('Master data'!$B323,'Team forecast'!$B$2:$B$26,0),MATCH('Master data'!BF$1,'Team forecast'!$B$2:$AO$2,0))</f>
        <v>0.82681690399773144</v>
      </c>
      <c r="BG323" s="16">
        <f>INDEX('Team forecast'!$B$2:$AO$26,MATCH('Master data'!$B323,'Team forecast'!$B$2:$B$26,0),MATCH('Master data'!BG$1,'Team forecast'!$B$2:$AO$2,0))</f>
        <v>0.43743948445487602</v>
      </c>
      <c r="BH323" s="16">
        <f>INDEX('Team forecast'!$B$2:$AO$26,MATCH('Master data'!$B323,'Team forecast'!$B$2:$B$26,0),MATCH('Master data'!BH$1,'Team forecast'!$B$2:$AO$2,0))</f>
        <v>4.2656840974739287</v>
      </c>
      <c r="BI323" s="16">
        <f>INDEX('Team forecast'!$B$2:$AO$26,MATCH('Master data'!$B323,'Team forecast'!$B$2:$B$26,0),MATCH('Master data'!BI$1,'Team forecast'!$B$2:$AO$2,0))</f>
        <v>2.6871549379926272</v>
      </c>
      <c r="BJ323" s="5">
        <f t="shared" ref="BJ323:BJ386" si="201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202">IF($C323="Defense",$N323*150000,IF($C323="Midfield",$N323*125000,IF($C323="Striker",$N323*100000,0)))*$BE323</f>
        <v>0</v>
      </c>
      <c r="BO323" s="5">
        <f t="shared" ref="BO323:BO386" si="203">$O323*50000*$BE323</f>
        <v>0</v>
      </c>
      <c r="BP323" s="5">
        <f t="shared" ref="BP323:BP386" si="204">$P323*BH323*10000</f>
        <v>0</v>
      </c>
      <c r="BQ323" s="5">
        <f t="shared" ref="BQ323:BQ386" si="205">IF($C323="Goalkeeper",BG323*75000,IF($C323="Defense",BG323*50000,0))</f>
        <v>32807.961334115702</v>
      </c>
      <c r="BR323" s="5">
        <f t="shared" ref="BR323:BR386" si="206">IF($C323="Goalkeeper",(BI323-BF323)*5000,0)</f>
        <v>9301.6901699744794</v>
      </c>
      <c r="BS323" s="5">
        <f t="shared" ref="BS323:BS386" si="207">$AG323</f>
        <v>0</v>
      </c>
      <c r="BT323" s="5">
        <f t="shared" ref="BT323:BT386" si="208">$AH323</f>
        <v>0</v>
      </c>
      <c r="BU323" s="5">
        <f t="shared" ref="BU323:BU386" si="209">IF(AQ323&gt;0,BE323*10000,0)</f>
        <v>0</v>
      </c>
      <c r="BV323" s="5">
        <f t="shared" ref="BV323:BV386" si="210">IF(AQ323&gt;0,BF323*(-8000),0)</f>
        <v>0</v>
      </c>
      <c r="BW323" s="5">
        <f t="shared" ref="BW323:BW386" si="211">IFERROR(SUM(BJ323:BV323),0)</f>
        <v>37109.65150409018</v>
      </c>
      <c r="BX323" s="5">
        <f t="shared" ref="BX323:BX386" si="212">AVERAGE(AK323,BD323,BW323)</f>
        <v>33262.630713035942</v>
      </c>
      <c r="BY323" s="5">
        <f t="shared" ref="BY323:BY386" si="213">BX323*3</f>
        <v>99787.892139107833</v>
      </c>
      <c r="BZ323" s="5">
        <f>INDEX('Team forecast'!$R$3:$BH$26,MATCH($B323,'Team forecast'!$B$3:$B$26,0),MATCH(BZ$1,'Team forecast'!$R$2:$BH$2,0))*($BX323-(BY323+CH323)*0.01)</f>
        <v>-2041.6183649874918</v>
      </c>
      <c r="CA323" s="5">
        <f>INDEX('Team forecast'!$R$3:$BH$26,MATCH($B323,'Team forecast'!$B$3:$B$26,0),MATCH(CA$1,'Team forecast'!$R$2:$BH$2,0))*($BX323-(BY323+BX323+CH323)*0.01)</f>
        <v>-1131.6351075616976</v>
      </c>
      <c r="CB323" s="5">
        <f>INDEX('Team forecast'!$R$3:$BH$26,MATCH($B323,'Team forecast'!$B$3:$B$26,0),MATCH(CB$1,'Team forecast'!$R$2:$BH$2,0))*($BX323-(BY323+BX323*2+CH323)*0.01)</f>
        <v>-613.27750842683258</v>
      </c>
      <c r="CC323" s="5">
        <f>INDEX('Team forecast'!$R$3:$BH$26,MATCH($B323,'Team forecast'!$B$3:$B$26,0),MATCH(CC$1,'Team forecast'!$R$2:$BH$2,0))*($BX323-(BY323+BX323*3+CH323)*0.01)</f>
        <v>-316.97419193558159</v>
      </c>
      <c r="CD323" s="5">
        <f>+AK323+BD323*Cockpit!$C$3+BW323*Cockpit!$C$3^2+BZ323*Cockpit!$C$3^3+CA323*Cockpit!$C$3^4+CB323*Cockpit!$C$3^5+CC323*Cockpit!$C$3^6</f>
        <v>66838.779472536204</v>
      </c>
      <c r="CE323" s="5"/>
      <c r="CF323" s="5"/>
      <c r="CG323" s="5">
        <v>0</v>
      </c>
      <c r="CH323" s="5">
        <f t="shared" ref="CH323:CH386" si="214">+G323+CG323</f>
        <v>3500000</v>
      </c>
      <c r="CI323" s="5">
        <f t="shared" ref="CI323:CI386" si="215">CH323</f>
        <v>3500000</v>
      </c>
      <c r="CJ323" s="1">
        <f t="shared" ref="CJ323:CJ386" si="216">IFERROR(BY323/CI323,-100%)</f>
        <v>2.8510826325459381E-2</v>
      </c>
      <c r="CK323" s="5">
        <f>RANK(BY323,$BY$2:$BY$623)+COUNTIF($BY$2:$BY323,$BY323)-1</f>
        <v>169</v>
      </c>
      <c r="CL323" s="5">
        <f>RANK(CJ323,$CJ$2:$CJ$623)+COUNTIF($CJ$2:$CJ323,$CJ323)-1</f>
        <v>161</v>
      </c>
    </row>
    <row r="324" spans="1:90">
      <c r="A324" t="str">
        <f>Players!P325</f>
        <v>Lovre Kalinić</v>
      </c>
      <c r="B324" t="str">
        <f>Players!G325</f>
        <v>Croatia</v>
      </c>
      <c r="C324" t="str">
        <f>Players!AB325</f>
        <v>Goalkeeper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4000000</v>
      </c>
      <c r="H324" s="16">
        <f>INDEX('Team forecast'!$B$2:$AO$26,MATCH('Master data'!$B324,'Team forecast'!$B$2:$B$26,0),MATCH('Master data'!H$1,'Team forecast'!$B$2:$AO$2,0))</f>
        <v>0.74990395996081205</v>
      </c>
      <c r="I324" s="16">
        <f>INDEX('Team forecast'!$B$2:$AO$26,MATCH('Master data'!$B324,'Team forecast'!$B$2:$B$26,0),MATCH('Master data'!I$1,'Team forecast'!$B$2:$AO$2,0))</f>
        <v>1.5223243214152651</v>
      </c>
      <c r="J324" s="16">
        <f>INDEX('Team forecast'!$B$2:$AO$26,MATCH('Master data'!$B324,'Team forecast'!$B$2:$B$26,0),MATCH('Master data'!J$1,'Team forecast'!$B$2:$AO$2,0))</f>
        <v>0.21820412056434271</v>
      </c>
      <c r="K324" s="16">
        <f>INDEX('Team forecast'!$B$2:$AO$26,MATCH('Master data'!$B324,'Team forecast'!$B$2:$B$26,0),MATCH('Master data'!K$1,'Team forecast'!$B$2:$AO$2,0))</f>
        <v>2.1270003227979397</v>
      </c>
      <c r="L324" s="16">
        <f>INDEX('Team forecast'!$B$2:$AO$26,MATCH('Master data'!$B324,'Team forecast'!$B$2:$B$26,0),MATCH('Master data'!L$1,'Team forecast'!$B$2:$AO$2,0))</f>
        <v>4.9475540445996113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0</v>
      </c>
      <c r="R324" s="2">
        <f>Players!BR325</f>
        <v>0</v>
      </c>
      <c r="S324" s="2">
        <f t="shared" si="175"/>
        <v>0.74990395996081205</v>
      </c>
      <c r="T324" s="2">
        <f t="shared" si="176"/>
        <v>1.5223243214152651</v>
      </c>
      <c r="U324" s="16">
        <f>INDEX('Team forecast'!$B$2:$AO$26,MATCH('Master data'!$B324,'Team forecast'!$B$2:$B$26,0),MATCH('Master data'!U$1,'Team forecast'!$B$2:$AO$2,0))</f>
        <v>0.17178615309883699</v>
      </c>
      <c r="V324" s="16">
        <f>INDEX('Team forecast'!$B$2:$AO$26,MATCH('Master data'!$B324,'Team forecast'!$B$2:$B$26,0),MATCH('Master data'!V$1,'Team forecast'!$B$2:$AO$2,0))</f>
        <v>0.26245106723433442</v>
      </c>
      <c r="W324" s="16">
        <f>INDEX('Team forecast'!$B$2:$AO$26,MATCH('Master data'!$B324,'Team forecast'!$B$2:$B$26,0),MATCH('Master data'!W$1,'Team forecast'!$B$2:$AO$2,0))</f>
        <v>0.56576277966682864</v>
      </c>
      <c r="X324" s="5">
        <f t="shared" si="177"/>
        <v>-5000</v>
      </c>
      <c r="Y324" s="5">
        <f t="shared" si="178"/>
        <v>0</v>
      </c>
      <c r="Z324" s="5">
        <f t="shared" si="179"/>
        <v>0</v>
      </c>
      <c r="AA324" s="5">
        <f t="shared" si="180"/>
        <v>0</v>
      </c>
      <c r="AB324" s="5">
        <f t="shared" si="181"/>
        <v>0</v>
      </c>
      <c r="AC324" s="5">
        <f t="shared" si="182"/>
        <v>0</v>
      </c>
      <c r="AD324" s="5">
        <f t="shared" si="183"/>
        <v>0</v>
      </c>
      <c r="AE324" s="5">
        <f t="shared" si="184"/>
        <v>16365.309042325704</v>
      </c>
      <c r="AF324" s="5">
        <f t="shared" si="185"/>
        <v>17126.148615921731</v>
      </c>
      <c r="AG324" s="5">
        <f t="shared" si="186"/>
        <v>0</v>
      </c>
      <c r="AH324" s="5">
        <f t="shared" si="187"/>
        <v>0</v>
      </c>
      <c r="AI324" s="5">
        <f t="shared" si="188"/>
        <v>0</v>
      </c>
      <c r="AJ324" s="5">
        <f t="shared" si="189"/>
        <v>0</v>
      </c>
      <c r="AK324" s="5">
        <f>IFERROR(SUM(X324:AJ324),-5000)*((Cockpit!$C$3)^0)</f>
        <v>28491.457658247433</v>
      </c>
      <c r="AL324" s="16">
        <f>INDEX('Team forecast'!$B$2:$AO$26,MATCH('Master data'!$B324,'Team forecast'!$B$2:$B$26,0),MATCH('Master data'!AL$1,'Team forecast'!$B$2:$AO$2,0))</f>
        <v>1.3846696653928885</v>
      </c>
      <c r="AM324" s="16">
        <f>INDEX('Team forecast'!$B$2:$AO$26,MATCH('Master data'!$B324,'Team forecast'!$B$2:$B$26,0),MATCH('Master data'!AM$1,'Team forecast'!$B$2:$AO$2,0))</f>
        <v>0.97920455728472433</v>
      </c>
      <c r="AN324" s="16">
        <f>INDEX('Team forecast'!$B$2:$AO$26,MATCH('Master data'!$B324,'Team forecast'!$B$2:$B$26,0),MATCH('Master data'!AN$1,'Team forecast'!$B$2:$AO$2,0))</f>
        <v>0.37560975609756098</v>
      </c>
      <c r="AO324" s="16">
        <f>INDEX('Team forecast'!$B$2:$AO$26,MATCH('Master data'!$B324,'Team forecast'!$B$2:$B$26,0),MATCH('Master data'!AO$1,'Team forecast'!$B$2:$AO$2,0))</f>
        <v>3.9274266872961929</v>
      </c>
      <c r="AP324" s="16">
        <f>INDEX('Team forecast'!$B$2:$AO$26,MATCH('Master data'!$B324,'Team forecast'!$B$2:$B$26,0),MATCH('Master data'!AP$1,'Team forecast'!$B$2:$AO$2,0))</f>
        <v>3.1824148111753541</v>
      </c>
      <c r="AQ324" s="5">
        <f t="shared" si="190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191"/>
        <v>0</v>
      </c>
      <c r="AV324" s="5">
        <f t="shared" si="192"/>
        <v>0</v>
      </c>
      <c r="AW324" s="5">
        <f t="shared" si="193"/>
        <v>0</v>
      </c>
      <c r="AX324" s="5">
        <f t="shared" si="194"/>
        <v>28170.731707317074</v>
      </c>
      <c r="AY324" s="5">
        <f t="shared" si="195"/>
        <v>11016.051269453148</v>
      </c>
      <c r="AZ324" s="5">
        <f t="shared" si="196"/>
        <v>0</v>
      </c>
      <c r="BA324" s="5">
        <f t="shared" si="197"/>
        <v>0</v>
      </c>
      <c r="BB324" s="5">
        <f t="shared" si="198"/>
        <v>0</v>
      </c>
      <c r="BC324" s="5">
        <f t="shared" si="199"/>
        <v>0</v>
      </c>
      <c r="BD324" s="5">
        <f t="shared" si="200"/>
        <v>34186.782976770221</v>
      </c>
      <c r="BE324" s="16">
        <f>INDEX('Team forecast'!$B$2:$AO$26,MATCH('Master data'!$B324,'Team forecast'!$B$2:$B$26,0),MATCH('Master data'!BE$1,'Team forecast'!$B$2:$AO$2,0))</f>
        <v>1.5039270856478595</v>
      </c>
      <c r="BF324" s="16">
        <f>INDEX('Team forecast'!$B$2:$AO$26,MATCH('Master data'!$B324,'Team forecast'!$B$2:$B$26,0),MATCH('Master data'!BF$1,'Team forecast'!$B$2:$AO$2,0))</f>
        <v>0.82681690399773144</v>
      </c>
      <c r="BG324" s="16">
        <f>INDEX('Team forecast'!$B$2:$AO$26,MATCH('Master data'!$B324,'Team forecast'!$B$2:$B$26,0),MATCH('Master data'!BG$1,'Team forecast'!$B$2:$AO$2,0))</f>
        <v>0.43743948445487602</v>
      </c>
      <c r="BH324" s="16">
        <f>INDEX('Team forecast'!$B$2:$AO$26,MATCH('Master data'!$B324,'Team forecast'!$B$2:$B$26,0),MATCH('Master data'!BH$1,'Team forecast'!$B$2:$AO$2,0))</f>
        <v>4.2656840974739287</v>
      </c>
      <c r="BI324" s="16">
        <f>INDEX('Team forecast'!$B$2:$AO$26,MATCH('Master data'!$B324,'Team forecast'!$B$2:$B$26,0),MATCH('Master data'!BI$1,'Team forecast'!$B$2:$AO$2,0))</f>
        <v>2.6871549379926272</v>
      </c>
      <c r="BJ324" s="5">
        <f t="shared" si="201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202"/>
        <v>0</v>
      </c>
      <c r="BO324" s="5">
        <f t="shared" si="203"/>
        <v>0</v>
      </c>
      <c r="BP324" s="5">
        <f t="shared" si="204"/>
        <v>0</v>
      </c>
      <c r="BQ324" s="5">
        <f t="shared" si="205"/>
        <v>32807.961334115702</v>
      </c>
      <c r="BR324" s="5">
        <f t="shared" si="206"/>
        <v>9301.6901699744794</v>
      </c>
      <c r="BS324" s="5">
        <f t="shared" si="207"/>
        <v>0</v>
      </c>
      <c r="BT324" s="5">
        <f t="shared" si="208"/>
        <v>0</v>
      </c>
      <c r="BU324" s="5">
        <f t="shared" si="209"/>
        <v>0</v>
      </c>
      <c r="BV324" s="5">
        <f t="shared" si="210"/>
        <v>0</v>
      </c>
      <c r="BW324" s="5">
        <f t="shared" si="211"/>
        <v>37109.65150409018</v>
      </c>
      <c r="BX324" s="5">
        <f t="shared" si="212"/>
        <v>33262.630713035942</v>
      </c>
      <c r="BY324" s="5">
        <f t="shared" si="213"/>
        <v>99787.892139107833</v>
      </c>
      <c r="BZ324" s="5">
        <f>INDEX('Team forecast'!$R$3:$BH$26,MATCH($B324,'Team forecast'!$B$3:$B$26,0),MATCH(BZ$1,'Team forecast'!$R$2:$BH$2,0))*($BX324-(BY324+CH324)*0.01)</f>
        <v>-5773.6715635804549</v>
      </c>
      <c r="CA324" s="5">
        <f>INDEX('Team forecast'!$R$3:$BH$26,MATCH($B324,'Team forecast'!$B$3:$B$26,0),MATCH(CA$1,'Team forecast'!$R$2:$BH$2,0))*($BX324-(BY324+BX324+CH324)*0.01)</f>
        <v>-2975.9659331049543</v>
      </c>
      <c r="CB324" s="5">
        <f>INDEX('Team forecast'!$R$3:$BH$26,MATCH($B324,'Team forecast'!$B$3:$B$26,0),MATCH(CB$1,'Team forecast'!$R$2:$BH$2,0))*($BX324-(BY324+BX324*2+CH324)*0.01)</f>
        <v>-1515.0233694307208</v>
      </c>
      <c r="CC324" s="5">
        <f>INDEX('Team forecast'!$R$3:$BH$26,MATCH($B324,'Team forecast'!$B$3:$B$26,0),MATCH(CC$1,'Team forecast'!$R$2:$BH$2,0))*($BX324-(BY324+BX324*3+CH324)*0.01)</f>
        <v>-741.51664778964994</v>
      </c>
      <c r="CD324" s="5">
        <f>+AK324+BD324*Cockpit!$C$3+BW324*Cockpit!$C$3^2+BZ324*Cockpit!$C$3^3+CA324*Cockpit!$C$3^4+CB324*Cockpit!$C$3^5+CC324*Cockpit!$C$3^6</f>
        <v>65212.654027261378</v>
      </c>
      <c r="CE324" s="5"/>
      <c r="CF324" s="5"/>
      <c r="CG324" s="5">
        <v>0</v>
      </c>
      <c r="CH324" s="5">
        <f t="shared" si="214"/>
        <v>4000000</v>
      </c>
      <c r="CI324" s="5">
        <f t="shared" si="215"/>
        <v>4000000</v>
      </c>
      <c r="CJ324" s="1">
        <f t="shared" si="216"/>
        <v>2.494697303477696E-2</v>
      </c>
      <c r="CK324" s="5">
        <f>RANK(BY324,$BY$2:$BY$623)+COUNTIF($BY$2:$BY324,$BY324)-1</f>
        <v>170</v>
      </c>
      <c r="CL324" s="5">
        <f>RANK(CJ324,$CJ$2:$CJ$623)+COUNTIF($CJ$2:$CJ324,$CJ324)-1</f>
        <v>209</v>
      </c>
    </row>
    <row r="325" spans="1:90">
      <c r="A325" t="str">
        <f>Players!P326</f>
        <v>Josko Gvardiol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2000000</v>
      </c>
      <c r="H325" s="16">
        <f>INDEX('Team forecast'!$B$2:$AO$26,MATCH('Master data'!$B325,'Team forecast'!$B$2:$B$26,0),MATCH('Master data'!H$1,'Team forecast'!$B$2:$AO$2,0))</f>
        <v>0.74990395996081205</v>
      </c>
      <c r="I325" s="16">
        <f>INDEX('Team forecast'!$B$2:$AO$26,MATCH('Master data'!$B325,'Team forecast'!$B$2:$B$26,0),MATCH('Master data'!I$1,'Team forecast'!$B$2:$AO$2,0))</f>
        <v>1.5223243214152651</v>
      </c>
      <c r="J325" s="16">
        <f>INDEX('Team forecast'!$B$2:$AO$26,MATCH('Master data'!$B325,'Team forecast'!$B$2:$B$26,0),MATCH('Master data'!J$1,'Team forecast'!$B$2:$AO$2,0))</f>
        <v>0.21820412056434271</v>
      </c>
      <c r="K325" s="16">
        <f>INDEX('Team forecast'!$B$2:$AO$26,MATCH('Master data'!$B325,'Team forecast'!$B$2:$B$26,0),MATCH('Master data'!K$1,'Team forecast'!$B$2:$AO$2,0))</f>
        <v>2.1270003227979397</v>
      </c>
      <c r="L325" s="16">
        <f>INDEX('Team forecast'!$B$2:$AO$26,MATCH('Master data'!$B325,'Team forecast'!$B$2:$B$26,0),MATCH('Master data'!L$1,'Team forecast'!$B$2:$AO$2,0))</f>
        <v>4.9475540445996113</v>
      </c>
      <c r="M325">
        <f>IF(Players!BC326=1,95,0)</f>
        <v>0</v>
      </c>
      <c r="N325" s="2">
        <f>Players!BN326</f>
        <v>0</v>
      </c>
      <c r="O325" s="2">
        <f>Players!BO326</f>
        <v>0</v>
      </c>
      <c r="P325" s="2">
        <f>Players!BP326</f>
        <v>0</v>
      </c>
      <c r="Q325" s="2">
        <f>Players!BQ326</f>
        <v>5.6890012642225034E-2</v>
      </c>
      <c r="R325" s="2">
        <f>Players!BR326</f>
        <v>0</v>
      </c>
      <c r="S325" s="2">
        <f t="shared" si="175"/>
        <v>0.74990395996081205</v>
      </c>
      <c r="T325" s="2">
        <f t="shared" si="176"/>
        <v>1.5223243214152651</v>
      </c>
      <c r="U325" s="16">
        <f>INDEX('Team forecast'!$B$2:$AO$26,MATCH('Master data'!$B325,'Team forecast'!$B$2:$B$26,0),MATCH('Master data'!U$1,'Team forecast'!$B$2:$AO$2,0))</f>
        <v>0.17178615309883699</v>
      </c>
      <c r="V325" s="16">
        <f>INDEX('Team forecast'!$B$2:$AO$26,MATCH('Master data'!$B325,'Team forecast'!$B$2:$B$26,0),MATCH('Master data'!V$1,'Team forecast'!$B$2:$AO$2,0))</f>
        <v>0.26245106723433442</v>
      </c>
      <c r="W325" s="16">
        <f>INDEX('Team forecast'!$B$2:$AO$26,MATCH('Master data'!$B325,'Team forecast'!$B$2:$B$26,0),MATCH('Master data'!W$1,'Team forecast'!$B$2:$AO$2,0))</f>
        <v>0.56576277966682864</v>
      </c>
      <c r="X325" s="5">
        <f t="shared" si="177"/>
        <v>-5000</v>
      </c>
      <c r="Y325" s="5">
        <f t="shared" si="178"/>
        <v>0</v>
      </c>
      <c r="Z325" s="5">
        <f t="shared" si="179"/>
        <v>0</v>
      </c>
      <c r="AA325" s="5">
        <f t="shared" si="180"/>
        <v>0</v>
      </c>
      <c r="AB325" s="5">
        <f t="shared" si="181"/>
        <v>0</v>
      </c>
      <c r="AC325" s="5">
        <f t="shared" si="182"/>
        <v>0</v>
      </c>
      <c r="AD325" s="5">
        <f t="shared" si="183"/>
        <v>0</v>
      </c>
      <c r="AE325" s="5">
        <f t="shared" si="184"/>
        <v>10910.206028217135</v>
      </c>
      <c r="AF325" s="5">
        <f t="shared" si="185"/>
        <v>0</v>
      </c>
      <c r="AG325" s="5">
        <f t="shared" si="186"/>
        <v>0</v>
      </c>
      <c r="AH325" s="5">
        <f t="shared" si="187"/>
        <v>0</v>
      </c>
      <c r="AI325" s="5">
        <f t="shared" si="188"/>
        <v>0</v>
      </c>
      <c r="AJ325" s="5">
        <f t="shared" si="189"/>
        <v>0</v>
      </c>
      <c r="AK325" s="5">
        <f>IFERROR(SUM(X325:AJ325),-5000)*((Cockpit!$C$3)^0)</f>
        <v>5910.2060282171351</v>
      </c>
      <c r="AL325" s="16">
        <f>INDEX('Team forecast'!$B$2:$AO$26,MATCH('Master data'!$B325,'Team forecast'!$B$2:$B$26,0),MATCH('Master data'!AL$1,'Team forecast'!$B$2:$AO$2,0))</f>
        <v>1.3846696653928885</v>
      </c>
      <c r="AM325" s="16">
        <f>INDEX('Team forecast'!$B$2:$AO$26,MATCH('Master data'!$B325,'Team forecast'!$B$2:$B$26,0),MATCH('Master data'!AM$1,'Team forecast'!$B$2:$AO$2,0))</f>
        <v>0.97920455728472433</v>
      </c>
      <c r="AN325" s="16">
        <f>INDEX('Team forecast'!$B$2:$AO$26,MATCH('Master data'!$B325,'Team forecast'!$B$2:$B$26,0),MATCH('Master data'!AN$1,'Team forecast'!$B$2:$AO$2,0))</f>
        <v>0.37560975609756098</v>
      </c>
      <c r="AO325" s="16">
        <f>INDEX('Team forecast'!$B$2:$AO$26,MATCH('Master data'!$B325,'Team forecast'!$B$2:$B$26,0),MATCH('Master data'!AO$1,'Team forecast'!$B$2:$AO$2,0))</f>
        <v>3.9274266872961929</v>
      </c>
      <c r="AP325" s="16">
        <f>INDEX('Team forecast'!$B$2:$AO$26,MATCH('Master data'!$B325,'Team forecast'!$B$2:$B$26,0),MATCH('Master data'!AP$1,'Team forecast'!$B$2:$AO$2,0))</f>
        <v>3.1824148111753541</v>
      </c>
      <c r="AQ325" s="5">
        <f t="shared" si="190"/>
        <v>-5000</v>
      </c>
      <c r="AR325" s="5">
        <f>INDEX('Team forecast'!$B$2:$AO$26,MATCH('Master data'!$B325,'Team forecast'!$B$2:$B$26,0),MATCH('Master data'!AR$1,'Team forecast'!$B$2:$AO$2,0))*IF(X325&gt;0,25000,0)</f>
        <v>0</v>
      </c>
      <c r="AS325" s="16">
        <f>INDEX('Team forecast'!$B$2:$AO$26,MATCH('Master data'!$B325,'Team forecast'!$B$2:$B$26,0),MATCH('Master data'!AS$1,'Team forecast'!$B$2:$AO$2,0))*IF(X325&gt;0,5000,0)</f>
        <v>0</v>
      </c>
      <c r="AT325" s="16">
        <f>INDEX('Team forecast'!$B$2:$AO$26,MATCH('Master data'!$B325,'Team forecast'!$B$2:$B$26,0),MATCH('Master data'!AT$1,'Team forecast'!$B$2:$AO$2,0))*IF(X325&gt;0,-15000,0)</f>
        <v>0</v>
      </c>
      <c r="AU325" s="5">
        <f t="shared" si="191"/>
        <v>0</v>
      </c>
      <c r="AV325" s="5">
        <f t="shared" si="192"/>
        <v>0</v>
      </c>
      <c r="AW325" s="5">
        <f t="shared" si="193"/>
        <v>0</v>
      </c>
      <c r="AX325" s="5">
        <f t="shared" si="194"/>
        <v>18780.487804878048</v>
      </c>
      <c r="AY325" s="5">
        <f t="shared" si="195"/>
        <v>0</v>
      </c>
      <c r="AZ325" s="5">
        <f t="shared" si="196"/>
        <v>0</v>
      </c>
      <c r="BA325" s="5">
        <f t="shared" si="197"/>
        <v>0</v>
      </c>
      <c r="BB325" s="5">
        <f t="shared" si="198"/>
        <v>0</v>
      </c>
      <c r="BC325" s="5">
        <f t="shared" si="199"/>
        <v>0</v>
      </c>
      <c r="BD325" s="5">
        <f t="shared" si="200"/>
        <v>13780.487804878048</v>
      </c>
      <c r="BE325" s="16">
        <f>INDEX('Team forecast'!$B$2:$AO$26,MATCH('Master data'!$B325,'Team forecast'!$B$2:$B$26,0),MATCH('Master data'!BE$1,'Team forecast'!$B$2:$AO$2,0))</f>
        <v>1.5039270856478595</v>
      </c>
      <c r="BF325" s="16">
        <f>INDEX('Team forecast'!$B$2:$AO$26,MATCH('Master data'!$B325,'Team forecast'!$B$2:$B$26,0),MATCH('Master data'!BF$1,'Team forecast'!$B$2:$AO$2,0))</f>
        <v>0.82681690399773144</v>
      </c>
      <c r="BG325" s="16">
        <f>INDEX('Team forecast'!$B$2:$AO$26,MATCH('Master data'!$B325,'Team forecast'!$B$2:$B$26,0),MATCH('Master data'!BG$1,'Team forecast'!$B$2:$AO$2,0))</f>
        <v>0.43743948445487602</v>
      </c>
      <c r="BH325" s="16">
        <f>INDEX('Team forecast'!$B$2:$AO$26,MATCH('Master data'!$B325,'Team forecast'!$B$2:$B$26,0),MATCH('Master data'!BH$1,'Team forecast'!$B$2:$AO$2,0))</f>
        <v>4.2656840974739287</v>
      </c>
      <c r="BI325" s="16">
        <f>INDEX('Team forecast'!$B$2:$AO$26,MATCH('Master data'!$B325,'Team forecast'!$B$2:$B$26,0),MATCH('Master data'!BI$1,'Team forecast'!$B$2:$AO$2,0))</f>
        <v>2.6871549379926272</v>
      </c>
      <c r="BJ325" s="5">
        <f t="shared" si="201"/>
        <v>-5000</v>
      </c>
      <c r="BK325" s="5">
        <f>INDEX('Team forecast'!$R$3:$BH$26,MATCH($B325,'Team forecast'!$B$3:$B$26,0),MATCH(BK$1,'Team forecast'!$R$2:$BH$2,0))*IF($X325&gt;0,25000,0)</f>
        <v>0</v>
      </c>
      <c r="BL325" s="5">
        <f>INDEX('Team forecast'!$R$3:$BH$26,MATCH($B325,'Team forecast'!$B$3:$B$26,0),MATCH(BL$1,'Team forecast'!$R$2:$BH$2,0))*IF($X325&gt;0,5000,0)</f>
        <v>0</v>
      </c>
      <c r="BM325" s="5">
        <f>INDEX('Team forecast'!$R$3:$BH$26,MATCH($B325,'Team forecast'!$B$3:$B$26,0),MATCH(BM$1,'Team forecast'!$R$2:$BH$2,0))*IF($X325&gt;0,-15000,0)</f>
        <v>0</v>
      </c>
      <c r="BN325" s="5">
        <f t="shared" si="202"/>
        <v>0</v>
      </c>
      <c r="BO325" s="5">
        <f t="shared" si="203"/>
        <v>0</v>
      </c>
      <c r="BP325" s="5">
        <f t="shared" si="204"/>
        <v>0</v>
      </c>
      <c r="BQ325" s="5">
        <f t="shared" si="205"/>
        <v>21871.9742227438</v>
      </c>
      <c r="BR325" s="5">
        <f t="shared" si="206"/>
        <v>0</v>
      </c>
      <c r="BS325" s="5">
        <f t="shared" si="207"/>
        <v>0</v>
      </c>
      <c r="BT325" s="5">
        <f t="shared" si="208"/>
        <v>0</v>
      </c>
      <c r="BU325" s="5">
        <f t="shared" si="209"/>
        <v>0</v>
      </c>
      <c r="BV325" s="5">
        <f t="shared" si="210"/>
        <v>0</v>
      </c>
      <c r="BW325" s="5">
        <f t="shared" si="211"/>
        <v>16871.9742227438</v>
      </c>
      <c r="BX325" s="5">
        <f t="shared" si="212"/>
        <v>12187.556018612993</v>
      </c>
      <c r="BY325" s="5">
        <f t="shared" si="213"/>
        <v>36562.668055838978</v>
      </c>
      <c r="BZ325" s="5">
        <f>INDEX('Team forecast'!$R$3:$BH$26,MATCH($B325,'Team forecast'!$B$3:$B$26,0),MATCH(BZ$1,'Team forecast'!$R$2:$BH$2,0))*($BX325-(BY325+CH325)*0.01)</f>
        <v>-6104.1989544465177</v>
      </c>
      <c r="CA325" s="5">
        <f>INDEX('Team forecast'!$R$3:$BH$26,MATCH($B325,'Team forecast'!$B$3:$B$26,0),MATCH(CA$1,'Team forecast'!$R$2:$BH$2,0))*($BX325-(BY325+BX325+CH325)*0.01)</f>
        <v>-3061.5693335656952</v>
      </c>
      <c r="CB325" s="5">
        <f>INDEX('Team forecast'!$R$3:$BH$26,MATCH($B325,'Team forecast'!$B$3:$B$26,0),MATCH(CB$1,'Team forecast'!$R$2:$BH$2,0))*($BX325-(BY325+BX325*2+CH325)*0.01)</f>
        <v>-1518.8685868634675</v>
      </c>
      <c r="CC325" s="5">
        <f>INDEX('Team forecast'!$R$3:$BH$26,MATCH($B325,'Team forecast'!$B$3:$B$26,0),MATCH(CC$1,'Team forecast'!$R$2:$BH$2,0))*($BX325-(BY325+BX325*3+CH325)*0.01)</f>
        <v>-725.43245037208726</v>
      </c>
      <c r="CD325" s="5">
        <f>+AK325+BD325*Cockpit!$C$3+BW325*Cockpit!$C$3^2+BZ325*Cockpit!$C$3^3+CA325*Cockpit!$C$3^4+CB325*Cockpit!$C$3^5+CC325*Cockpit!$C$3^6</f>
        <v>19918.744714065022</v>
      </c>
      <c r="CE325" s="5"/>
      <c r="CF325" s="5"/>
      <c r="CG325" s="5">
        <v>0</v>
      </c>
      <c r="CH325" s="5">
        <f t="shared" si="214"/>
        <v>2000000</v>
      </c>
      <c r="CI325" s="5">
        <f t="shared" si="215"/>
        <v>2000000</v>
      </c>
      <c r="CJ325" s="1">
        <f t="shared" si="216"/>
        <v>1.8281334027919489E-2</v>
      </c>
      <c r="CK325" s="5">
        <f>RANK(BY325,$BY$2:$BY$623)+COUNTIF($BY$2:$BY325,$BY325)-1</f>
        <v>322</v>
      </c>
      <c r="CL325" s="5">
        <f>RANK(CJ325,$CJ$2:$CJ$623)+COUNTIF($CJ$2:$CJ325,$CJ325)-1</f>
        <v>278</v>
      </c>
    </row>
    <row r="326" spans="1:90">
      <c r="A326" t="str">
        <f>Players!P327</f>
        <v>Borna Barišić</v>
      </c>
      <c r="B326" t="str">
        <f>Players!G327</f>
        <v>Croatia</v>
      </c>
      <c r="C326" t="str">
        <f>Players!AB327</f>
        <v>Defense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3500000</v>
      </c>
      <c r="H326" s="16">
        <f>INDEX('Team forecast'!$B$2:$AO$26,MATCH('Master data'!$B326,'Team forecast'!$B$2:$B$26,0),MATCH('Master data'!H$1,'Team forecast'!$B$2:$AO$2,0))</f>
        <v>0.74990395996081205</v>
      </c>
      <c r="I326" s="16">
        <f>INDEX('Team forecast'!$B$2:$AO$26,MATCH('Master data'!$B326,'Team forecast'!$B$2:$B$26,0),MATCH('Master data'!I$1,'Team forecast'!$B$2:$AO$2,0))</f>
        <v>1.5223243214152651</v>
      </c>
      <c r="J326" s="16">
        <f>INDEX('Team forecast'!$B$2:$AO$26,MATCH('Master data'!$B326,'Team forecast'!$B$2:$B$26,0),MATCH('Master data'!J$1,'Team forecast'!$B$2:$AO$2,0))</f>
        <v>0.21820412056434271</v>
      </c>
      <c r="K326" s="16">
        <f>INDEX('Team forecast'!$B$2:$AO$26,MATCH('Master data'!$B326,'Team forecast'!$B$2:$B$26,0),MATCH('Master data'!K$1,'Team forecast'!$B$2:$AO$2,0))</f>
        <v>2.1270003227979397</v>
      </c>
      <c r="L326" s="16">
        <f>INDEX('Team forecast'!$B$2:$AO$26,MATCH('Master data'!$B326,'Team forecast'!$B$2:$B$26,0),MATCH('Master data'!L$1,'Team forecast'!$B$2:$AO$2,0))</f>
        <v>4.9475540445996113</v>
      </c>
      <c r="M326">
        <f>IF(Players!BC327=1,95,0)</f>
        <v>95</v>
      </c>
      <c r="N326" s="2">
        <f>Players!BN327</f>
        <v>3.9346872842734734E-2</v>
      </c>
      <c r="O326" s="2">
        <f>Players!BO327</f>
        <v>4.4941011430435239E-2</v>
      </c>
      <c r="P326" s="2">
        <f>Players!BP327</f>
        <v>3.3798194140528086E-2</v>
      </c>
      <c r="Q326" s="2">
        <f>Players!BQ327</f>
        <v>7.0000000000000007E-2</v>
      </c>
      <c r="R326" s="2">
        <f>Players!BR327</f>
        <v>0</v>
      </c>
      <c r="S326" s="2">
        <f t="shared" si="175"/>
        <v>0.74990395996081205</v>
      </c>
      <c r="T326" s="2">
        <f t="shared" si="176"/>
        <v>1.5223243214152651</v>
      </c>
      <c r="U326" s="16">
        <f>INDEX('Team forecast'!$B$2:$AO$26,MATCH('Master data'!$B326,'Team forecast'!$B$2:$B$26,0),MATCH('Master data'!U$1,'Team forecast'!$B$2:$AO$2,0))</f>
        <v>0.17178615309883699</v>
      </c>
      <c r="V326" s="16">
        <f>INDEX('Team forecast'!$B$2:$AO$26,MATCH('Master data'!$B326,'Team forecast'!$B$2:$B$26,0),MATCH('Master data'!V$1,'Team forecast'!$B$2:$AO$2,0))</f>
        <v>0.26245106723433442</v>
      </c>
      <c r="W326" s="16">
        <f>INDEX('Team forecast'!$B$2:$AO$26,MATCH('Master data'!$B326,'Team forecast'!$B$2:$B$26,0),MATCH('Master data'!W$1,'Team forecast'!$B$2:$AO$2,0))</f>
        <v>0.56576277966682864</v>
      </c>
      <c r="X326" s="5">
        <f t="shared" si="177"/>
        <v>7000</v>
      </c>
      <c r="Y326" s="5">
        <f t="shared" si="178"/>
        <v>4294.6538274709246</v>
      </c>
      <c r="Z326" s="5">
        <f t="shared" si="179"/>
        <v>1312.2553361716721</v>
      </c>
      <c r="AA326" s="5">
        <f t="shared" si="180"/>
        <v>-8486.4416950024297</v>
      </c>
      <c r="AB326" s="5">
        <f t="shared" si="181"/>
        <v>4425.9563635261966</v>
      </c>
      <c r="AC326" s="5">
        <f t="shared" si="182"/>
        <v>1685.0721218163751</v>
      </c>
      <c r="AD326" s="5">
        <f t="shared" si="183"/>
        <v>718.88769846890671</v>
      </c>
      <c r="AE326" s="5">
        <f t="shared" si="184"/>
        <v>10910.206028217135</v>
      </c>
      <c r="AF326" s="5">
        <f t="shared" si="185"/>
        <v>0</v>
      </c>
      <c r="AG326" s="5">
        <f t="shared" si="186"/>
        <v>-1400.0000000000002</v>
      </c>
      <c r="AH326" s="5">
        <f t="shared" si="187"/>
        <v>0</v>
      </c>
      <c r="AI326" s="5">
        <f t="shared" si="188"/>
        <v>7499.0395996081206</v>
      </c>
      <c r="AJ326" s="5">
        <f t="shared" si="189"/>
        <v>-12178.594571322121</v>
      </c>
      <c r="AK326" s="5">
        <f>IFERROR(SUM(X326:AJ326),-5000)*((Cockpit!$C$3)^0)</f>
        <v>15781.034708954781</v>
      </c>
      <c r="AL326" s="16">
        <f>INDEX('Team forecast'!$B$2:$AO$26,MATCH('Master data'!$B326,'Team forecast'!$B$2:$B$26,0),MATCH('Master data'!AL$1,'Team forecast'!$B$2:$AO$2,0))</f>
        <v>1.3846696653928885</v>
      </c>
      <c r="AM326" s="16">
        <f>INDEX('Team forecast'!$B$2:$AO$26,MATCH('Master data'!$B326,'Team forecast'!$B$2:$B$26,0),MATCH('Master data'!AM$1,'Team forecast'!$B$2:$AO$2,0))</f>
        <v>0.97920455728472433</v>
      </c>
      <c r="AN326" s="16">
        <f>INDEX('Team forecast'!$B$2:$AO$26,MATCH('Master data'!$B326,'Team forecast'!$B$2:$B$26,0),MATCH('Master data'!AN$1,'Team forecast'!$B$2:$AO$2,0))</f>
        <v>0.37560975609756098</v>
      </c>
      <c r="AO326" s="16">
        <f>INDEX('Team forecast'!$B$2:$AO$26,MATCH('Master data'!$B326,'Team forecast'!$B$2:$B$26,0),MATCH('Master data'!AO$1,'Team forecast'!$B$2:$AO$2,0))</f>
        <v>3.9274266872961929</v>
      </c>
      <c r="AP326" s="16">
        <f>INDEX('Team forecast'!$B$2:$AO$26,MATCH('Master data'!$B326,'Team forecast'!$B$2:$B$26,0),MATCH('Master data'!AP$1,'Team forecast'!$B$2:$AO$2,0))</f>
        <v>3.1824148111753541</v>
      </c>
      <c r="AQ326" s="5">
        <f t="shared" si="190"/>
        <v>7000</v>
      </c>
      <c r="AR326" s="5">
        <f>INDEX('Team forecast'!$B$2:$AO$26,MATCH('Master data'!$B326,'Team forecast'!$B$2:$B$26,0),MATCH('Master data'!AR$1,'Team forecast'!$B$2:$AO$2,0))*IF(X326&gt;0,25000,0)</f>
        <v>11178.861788617885</v>
      </c>
      <c r="AS326" s="16">
        <f>INDEX('Team forecast'!$B$2:$AO$26,MATCH('Master data'!$B326,'Team forecast'!$B$2:$B$26,0),MATCH('Master data'!AS$1,'Team forecast'!$B$2:$AO$2,0))*IF(X326&gt;0,5000,0)</f>
        <v>1422.7642276422764</v>
      </c>
      <c r="AT326" s="16">
        <f>INDEX('Team forecast'!$B$2:$AO$26,MATCH('Master data'!$B326,'Team forecast'!$B$2:$B$26,0),MATCH('Master data'!AT$1,'Team forecast'!$B$2:$AO$2,0))*IF(X326&gt;0,-15000,0)</f>
        <v>-4024.3902439024391</v>
      </c>
      <c r="AU326" s="5">
        <f t="shared" si="191"/>
        <v>8172.3631880109051</v>
      </c>
      <c r="AV326" s="5">
        <f t="shared" si="192"/>
        <v>3111.4227629899369</v>
      </c>
      <c r="AW326" s="5">
        <f t="shared" si="193"/>
        <v>1327.3992964992781</v>
      </c>
      <c r="AX326" s="5">
        <f t="shared" si="194"/>
        <v>18780.487804878048</v>
      </c>
      <c r="AY326" s="5">
        <f t="shared" si="195"/>
        <v>0</v>
      </c>
      <c r="AZ326" s="5">
        <f t="shared" si="196"/>
        <v>-1400.0000000000002</v>
      </c>
      <c r="BA326" s="5">
        <f t="shared" si="197"/>
        <v>0</v>
      </c>
      <c r="BB326" s="5">
        <f t="shared" si="198"/>
        <v>13846.696653928884</v>
      </c>
      <c r="BC326" s="5">
        <f t="shared" si="199"/>
        <v>-7833.6364582777951</v>
      </c>
      <c r="BD326" s="5">
        <f t="shared" si="200"/>
        <v>51581.969020386976</v>
      </c>
      <c r="BE326" s="16">
        <f>INDEX('Team forecast'!$B$2:$AO$26,MATCH('Master data'!$B326,'Team forecast'!$B$2:$B$26,0),MATCH('Master data'!BE$1,'Team forecast'!$B$2:$AO$2,0))</f>
        <v>1.5039270856478595</v>
      </c>
      <c r="BF326" s="16">
        <f>INDEX('Team forecast'!$B$2:$AO$26,MATCH('Master data'!$B326,'Team forecast'!$B$2:$B$26,0),MATCH('Master data'!BF$1,'Team forecast'!$B$2:$AO$2,0))</f>
        <v>0.82681690399773144</v>
      </c>
      <c r="BG326" s="16">
        <f>INDEX('Team forecast'!$B$2:$AO$26,MATCH('Master data'!$B326,'Team forecast'!$B$2:$B$26,0),MATCH('Master data'!BG$1,'Team forecast'!$B$2:$AO$2,0))</f>
        <v>0.43743948445487602</v>
      </c>
      <c r="BH326" s="16">
        <f>INDEX('Team forecast'!$B$2:$AO$26,MATCH('Master data'!$B326,'Team forecast'!$B$2:$B$26,0),MATCH('Master data'!BH$1,'Team forecast'!$B$2:$AO$2,0))</f>
        <v>4.2656840974739287</v>
      </c>
      <c r="BI326" s="16">
        <f>INDEX('Team forecast'!$B$2:$AO$26,MATCH('Master data'!$B326,'Team forecast'!$B$2:$B$26,0),MATCH('Master data'!BI$1,'Team forecast'!$B$2:$AO$2,0))</f>
        <v>2.6871549379926272</v>
      </c>
      <c r="BJ326" s="5">
        <f t="shared" si="201"/>
        <v>7000</v>
      </c>
      <c r="BK326" s="5">
        <f>INDEX('Team forecast'!$R$3:$BH$26,MATCH($B326,'Team forecast'!$B$3:$B$26,0),MATCH(BK$1,'Team forecast'!$R$2:$BH$2,0))*IF($X326&gt;0,25000,0)</f>
        <v>12935.038518826977</v>
      </c>
      <c r="BL326" s="5">
        <f>INDEX('Team forecast'!$R$3:$BH$26,MATCH($B326,'Team forecast'!$B$3:$B$26,0),MATCH(BL$1,'Team forecast'!$R$2:$BH$2,0))*IF($X326&gt;0,5000,0)</f>
        <v>1355.4462898601791</v>
      </c>
      <c r="BM326" s="5">
        <f>INDEX('Team forecast'!$R$3:$BH$26,MATCH($B326,'Team forecast'!$B$3:$B$26,0),MATCH(BM$1,'Team forecast'!$R$2:$BH$2,0))*IF($X326&gt;0,-15000,0)</f>
        <v>-3172.6380191232765</v>
      </c>
      <c r="BN326" s="5">
        <f t="shared" si="202"/>
        <v>8876.2241705596425</v>
      </c>
      <c r="BO326" s="5">
        <f t="shared" si="203"/>
        <v>3379.4002173320805</v>
      </c>
      <c r="BP326" s="5">
        <f t="shared" si="204"/>
        <v>1441.7241926858717</v>
      </c>
      <c r="BQ326" s="5">
        <f t="shared" si="205"/>
        <v>21871.9742227438</v>
      </c>
      <c r="BR326" s="5">
        <f t="shared" si="206"/>
        <v>0</v>
      </c>
      <c r="BS326" s="5">
        <f t="shared" si="207"/>
        <v>-1400.0000000000002</v>
      </c>
      <c r="BT326" s="5">
        <f t="shared" si="208"/>
        <v>0</v>
      </c>
      <c r="BU326" s="5">
        <f t="shared" si="209"/>
        <v>15039.270856478595</v>
      </c>
      <c r="BV326" s="5">
        <f t="shared" si="210"/>
        <v>-6614.5352319818512</v>
      </c>
      <c r="BW326" s="5">
        <f t="shared" si="211"/>
        <v>60711.905217382024</v>
      </c>
      <c r="BX326" s="5">
        <f t="shared" si="212"/>
        <v>42691.636315574593</v>
      </c>
      <c r="BY326" s="5">
        <f t="shared" si="213"/>
        <v>128074.90894672378</v>
      </c>
      <c r="BZ326" s="5">
        <f>INDEX('Team forecast'!$R$3:$BH$26,MATCH($B326,'Team forecast'!$B$3:$B$26,0),MATCH(BZ$1,'Team forecast'!$R$2:$BH$2,0))*($BX326-(BY326+CH326)*0.01)</f>
        <v>4785.1544356025443</v>
      </c>
      <c r="CA326" s="5">
        <f>INDEX('Team forecast'!$R$3:$BH$26,MATCH($B326,'Team forecast'!$B$3:$B$26,0),MATCH(CA$1,'Team forecast'!$R$2:$BH$2,0))*($BX326-(BY326+BX326+CH326)*0.01)</f>
        <v>2207.2843843388673</v>
      </c>
      <c r="CB326" s="5">
        <f>INDEX('Team forecast'!$R$3:$BH$26,MATCH($B326,'Team forecast'!$B$3:$B$26,0),MATCH(CB$1,'Team forecast'!$R$2:$BH$2,0))*($BX326-(BY326+BX326*2+CH326)*0.01)</f>
        <v>1002.2101789127906</v>
      </c>
      <c r="CC326" s="5">
        <f>INDEX('Team forecast'!$R$3:$BH$26,MATCH($B326,'Team forecast'!$B$3:$B$26,0),MATCH(CC$1,'Team forecast'!$R$2:$BH$2,0))*($BX326-(BY326+BX326*3+CH326)*0.01)</f>
        <v>435.59228867996205</v>
      </c>
      <c r="CD326" s="5">
        <f>+AK326+BD326*Cockpit!$C$3+BW326*Cockpit!$C$3^2+BZ326*Cockpit!$C$3^3+CA326*Cockpit!$C$3^4+CB326*Cockpit!$C$3^5+CC326*Cockpit!$C$3^6</f>
        <v>79176.132963311335</v>
      </c>
      <c r="CE326" s="5"/>
      <c r="CF326" s="5"/>
      <c r="CG326" s="5">
        <v>0</v>
      </c>
      <c r="CH326" s="5">
        <f t="shared" si="214"/>
        <v>3500000</v>
      </c>
      <c r="CI326" s="5">
        <f t="shared" si="215"/>
        <v>3500000</v>
      </c>
      <c r="CJ326" s="1">
        <f t="shared" si="216"/>
        <v>3.6592831127635367E-2</v>
      </c>
      <c r="CK326" s="5">
        <f>RANK(BY326,$BY$2:$BY$623)+COUNTIF($BY$2:$BY326,$BY326)-1</f>
        <v>121</v>
      </c>
      <c r="CL326" s="5">
        <f>RANK(CJ326,$CJ$2:$CJ$623)+COUNTIF($CJ$2:$CJ326,$CJ326)-1</f>
        <v>94</v>
      </c>
    </row>
    <row r="327" spans="1:90">
      <c r="A327" t="str">
        <f>Players!P328</f>
        <v>Luka Ivanušec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2000000</v>
      </c>
      <c r="H327" s="16">
        <f>INDEX('Team forecast'!$B$2:$AO$26,MATCH('Master data'!$B327,'Team forecast'!$B$2:$B$26,0),MATCH('Master data'!H$1,'Team forecast'!$B$2:$AO$2,0))</f>
        <v>0.74990395996081205</v>
      </c>
      <c r="I327" s="16">
        <f>INDEX('Team forecast'!$B$2:$AO$26,MATCH('Master data'!$B327,'Team forecast'!$B$2:$B$26,0),MATCH('Master data'!I$1,'Team forecast'!$B$2:$AO$2,0))</f>
        <v>1.5223243214152651</v>
      </c>
      <c r="J327" s="16">
        <f>INDEX('Team forecast'!$B$2:$AO$26,MATCH('Master data'!$B327,'Team forecast'!$B$2:$B$26,0),MATCH('Master data'!J$1,'Team forecast'!$B$2:$AO$2,0))</f>
        <v>0.21820412056434271</v>
      </c>
      <c r="K327" s="16">
        <f>INDEX('Team forecast'!$B$2:$AO$26,MATCH('Master data'!$B327,'Team forecast'!$B$2:$B$26,0),MATCH('Master data'!K$1,'Team forecast'!$B$2:$AO$2,0))</f>
        <v>2.1270003227979397</v>
      </c>
      <c r="L327" s="16">
        <f>INDEX('Team forecast'!$B$2:$AO$26,MATCH('Master data'!$B327,'Team forecast'!$B$2:$B$26,0),MATCH('Master data'!L$1,'Team forecast'!$B$2:$AO$2,0))</f>
        <v>4.9475540445996113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8.6788813886210223E-2</v>
      </c>
      <c r="R327" s="2">
        <f>Players!BR328</f>
        <v>0</v>
      </c>
      <c r="S327" s="2">
        <f t="shared" si="175"/>
        <v>0.74990395996081205</v>
      </c>
      <c r="T327" s="2">
        <f t="shared" si="176"/>
        <v>1.5223243214152651</v>
      </c>
      <c r="U327" s="16">
        <f>INDEX('Team forecast'!$B$2:$AO$26,MATCH('Master data'!$B327,'Team forecast'!$B$2:$B$26,0),MATCH('Master data'!U$1,'Team forecast'!$B$2:$AO$2,0))</f>
        <v>0.17178615309883699</v>
      </c>
      <c r="V327" s="16">
        <f>INDEX('Team forecast'!$B$2:$AO$26,MATCH('Master data'!$B327,'Team forecast'!$B$2:$B$26,0),MATCH('Master data'!V$1,'Team forecast'!$B$2:$AO$2,0))</f>
        <v>0.26245106723433442</v>
      </c>
      <c r="W327" s="16">
        <f>INDEX('Team forecast'!$B$2:$AO$26,MATCH('Master data'!$B327,'Team forecast'!$B$2:$B$26,0),MATCH('Master data'!W$1,'Team forecast'!$B$2:$AO$2,0))</f>
        <v>0.56576277966682864</v>
      </c>
      <c r="X327" s="5">
        <f t="shared" si="177"/>
        <v>-5000</v>
      </c>
      <c r="Y327" s="5">
        <f t="shared" si="178"/>
        <v>0</v>
      </c>
      <c r="Z327" s="5">
        <f t="shared" si="179"/>
        <v>0</v>
      </c>
      <c r="AA327" s="5">
        <f t="shared" si="180"/>
        <v>0</v>
      </c>
      <c r="AB327" s="5">
        <f t="shared" si="181"/>
        <v>0</v>
      </c>
      <c r="AC327" s="5">
        <f t="shared" si="182"/>
        <v>0</v>
      </c>
      <c r="AD327" s="5">
        <f t="shared" si="183"/>
        <v>0</v>
      </c>
      <c r="AE327" s="5">
        <f t="shared" si="184"/>
        <v>0</v>
      </c>
      <c r="AF327" s="5">
        <f t="shared" si="185"/>
        <v>0</v>
      </c>
      <c r="AG327" s="5">
        <f t="shared" si="186"/>
        <v>0</v>
      </c>
      <c r="AH327" s="5">
        <f t="shared" si="187"/>
        <v>0</v>
      </c>
      <c r="AI327" s="5">
        <f t="shared" si="188"/>
        <v>0</v>
      </c>
      <c r="AJ327" s="5">
        <f t="shared" si="189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1.3846696653928885</v>
      </c>
      <c r="AM327" s="16">
        <f>INDEX('Team forecast'!$B$2:$AO$26,MATCH('Master data'!$B327,'Team forecast'!$B$2:$B$26,0),MATCH('Master data'!AM$1,'Team forecast'!$B$2:$AO$2,0))</f>
        <v>0.97920455728472433</v>
      </c>
      <c r="AN327" s="16">
        <f>INDEX('Team forecast'!$B$2:$AO$26,MATCH('Master data'!$B327,'Team forecast'!$B$2:$B$26,0),MATCH('Master data'!AN$1,'Team forecast'!$B$2:$AO$2,0))</f>
        <v>0.37560975609756098</v>
      </c>
      <c r="AO327" s="16">
        <f>INDEX('Team forecast'!$B$2:$AO$26,MATCH('Master data'!$B327,'Team forecast'!$B$2:$B$26,0),MATCH('Master data'!AO$1,'Team forecast'!$B$2:$AO$2,0))</f>
        <v>3.9274266872961929</v>
      </c>
      <c r="AP327" s="16">
        <f>INDEX('Team forecast'!$B$2:$AO$26,MATCH('Master data'!$B327,'Team forecast'!$B$2:$B$26,0),MATCH('Master data'!AP$1,'Team forecast'!$B$2:$AO$2,0))</f>
        <v>3.1824148111753541</v>
      </c>
      <c r="AQ327" s="5">
        <f t="shared" si="190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191"/>
        <v>0</v>
      </c>
      <c r="AV327" s="5">
        <f t="shared" si="192"/>
        <v>0</v>
      </c>
      <c r="AW327" s="5">
        <f t="shared" si="193"/>
        <v>0</v>
      </c>
      <c r="AX327" s="5">
        <f t="shared" si="194"/>
        <v>0</v>
      </c>
      <c r="AY327" s="5">
        <f t="shared" si="195"/>
        <v>0</v>
      </c>
      <c r="AZ327" s="5">
        <f t="shared" si="196"/>
        <v>0</v>
      </c>
      <c r="BA327" s="5">
        <f t="shared" si="197"/>
        <v>0</v>
      </c>
      <c r="BB327" s="5">
        <f t="shared" si="198"/>
        <v>0</v>
      </c>
      <c r="BC327" s="5">
        <f t="shared" si="199"/>
        <v>0</v>
      </c>
      <c r="BD327" s="5">
        <f t="shared" si="200"/>
        <v>-5000</v>
      </c>
      <c r="BE327" s="16">
        <f>INDEX('Team forecast'!$B$2:$AO$26,MATCH('Master data'!$B327,'Team forecast'!$B$2:$B$26,0),MATCH('Master data'!BE$1,'Team forecast'!$B$2:$AO$2,0))</f>
        <v>1.5039270856478595</v>
      </c>
      <c r="BF327" s="16">
        <f>INDEX('Team forecast'!$B$2:$AO$26,MATCH('Master data'!$B327,'Team forecast'!$B$2:$B$26,0),MATCH('Master data'!BF$1,'Team forecast'!$B$2:$AO$2,0))</f>
        <v>0.82681690399773144</v>
      </c>
      <c r="BG327" s="16">
        <f>INDEX('Team forecast'!$B$2:$AO$26,MATCH('Master data'!$B327,'Team forecast'!$B$2:$B$26,0),MATCH('Master data'!BG$1,'Team forecast'!$B$2:$AO$2,0))</f>
        <v>0.43743948445487602</v>
      </c>
      <c r="BH327" s="16">
        <f>INDEX('Team forecast'!$B$2:$AO$26,MATCH('Master data'!$B327,'Team forecast'!$B$2:$B$26,0),MATCH('Master data'!BH$1,'Team forecast'!$B$2:$AO$2,0))</f>
        <v>4.2656840974739287</v>
      </c>
      <c r="BI327" s="16">
        <f>INDEX('Team forecast'!$B$2:$AO$26,MATCH('Master data'!$B327,'Team forecast'!$B$2:$B$26,0),MATCH('Master data'!BI$1,'Team forecast'!$B$2:$AO$2,0))</f>
        <v>2.6871549379926272</v>
      </c>
      <c r="BJ327" s="5">
        <f t="shared" si="201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202"/>
        <v>0</v>
      </c>
      <c r="BO327" s="5">
        <f t="shared" si="203"/>
        <v>0</v>
      </c>
      <c r="BP327" s="5">
        <f t="shared" si="204"/>
        <v>0</v>
      </c>
      <c r="BQ327" s="5">
        <f t="shared" si="205"/>
        <v>0</v>
      </c>
      <c r="BR327" s="5">
        <f t="shared" si="206"/>
        <v>0</v>
      </c>
      <c r="BS327" s="5">
        <f t="shared" si="207"/>
        <v>0</v>
      </c>
      <c r="BT327" s="5">
        <f t="shared" si="208"/>
        <v>0</v>
      </c>
      <c r="BU327" s="5">
        <f t="shared" si="209"/>
        <v>0</v>
      </c>
      <c r="BV327" s="5">
        <f t="shared" si="210"/>
        <v>0</v>
      </c>
      <c r="BW327" s="5">
        <f t="shared" si="211"/>
        <v>-5000</v>
      </c>
      <c r="BX327" s="5">
        <f t="shared" si="212"/>
        <v>-5000</v>
      </c>
      <c r="BY327" s="5">
        <f t="shared" si="213"/>
        <v>-15000</v>
      </c>
      <c r="BZ327" s="5">
        <f>INDEX('Team forecast'!$R$3:$BH$26,MATCH($B327,'Team forecast'!$B$3:$B$26,0),MATCH(BZ$1,'Team forecast'!$R$2:$BH$2,0))*($BX327-(BY327+CH327)*0.01)</f>
        <v>-18548.304397007025</v>
      </c>
      <c r="CA327" s="5">
        <f>INDEX('Team forecast'!$R$3:$BH$26,MATCH($B327,'Team forecast'!$B$3:$B$26,0),MATCH(CA$1,'Team forecast'!$R$2:$BH$2,0))*($BX327-(BY327+BX327+CH327)*0.01)</f>
        <v>-9147.8808946945537</v>
      </c>
      <c r="CB327" s="5">
        <f>INDEX('Team forecast'!$R$3:$BH$26,MATCH($B327,'Team forecast'!$B$3:$B$26,0),MATCH(CB$1,'Team forecast'!$R$2:$BH$2,0))*($BX327-(BY327+BX327*2+CH327)*0.01)</f>
        <v>-4463.6420119692466</v>
      </c>
      <c r="CC327" s="5">
        <f>INDEX('Team forecast'!$R$3:$BH$26,MATCH($B327,'Team forecast'!$B$3:$B$26,0),MATCH(CC$1,'Team forecast'!$R$2:$BH$2,0))*($BX327-(BY327+BX327*3+CH327)*0.01)</f>
        <v>-2097.2397319190982</v>
      </c>
      <c r="CD327" s="5">
        <f>+AK327+BD327*Cockpit!$C$3+BW327*Cockpit!$C$3^2+BZ327*Cockpit!$C$3^3+CA327*Cockpit!$C$3^4+CB327*Cockpit!$C$3^5+CC327*Cockpit!$C$3^6</f>
        <v>-18630.262790920991</v>
      </c>
      <c r="CE327" s="5"/>
      <c r="CF327" s="5"/>
      <c r="CG327" s="5">
        <v>0</v>
      </c>
      <c r="CH327" s="5">
        <f t="shared" si="214"/>
        <v>2000000</v>
      </c>
      <c r="CI327" s="5">
        <f t="shared" si="215"/>
        <v>2000000</v>
      </c>
      <c r="CJ327" s="1">
        <f t="shared" si="216"/>
        <v>-7.4999999999999997E-3</v>
      </c>
      <c r="CK327" s="5">
        <f>RANK(BY327,$BY$2:$BY$623)+COUNTIF($BY$2:$BY327,$BY327)-1</f>
        <v>516</v>
      </c>
      <c r="CL327" s="5">
        <f>RANK(CJ327,$CJ$2:$CJ$623)+COUNTIF($CJ$2:$CJ327,$CJ327)-1</f>
        <v>583</v>
      </c>
    </row>
    <row r="328" spans="1:90">
      <c r="A328" t="str">
        <f>Players!P329</f>
        <v>Milan Badelj</v>
      </c>
      <c r="B328" t="str">
        <f>Players!G329</f>
        <v>Croatia</v>
      </c>
      <c r="C328" t="str">
        <f>Players!AB329</f>
        <v>Midfield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2500000</v>
      </c>
      <c r="H328" s="16">
        <f>INDEX('Team forecast'!$B$2:$AO$26,MATCH('Master data'!$B328,'Team forecast'!$B$2:$B$26,0),MATCH('Master data'!H$1,'Team forecast'!$B$2:$AO$2,0))</f>
        <v>0.74990395996081205</v>
      </c>
      <c r="I328" s="16">
        <f>INDEX('Team forecast'!$B$2:$AO$26,MATCH('Master data'!$B328,'Team forecast'!$B$2:$B$26,0),MATCH('Master data'!I$1,'Team forecast'!$B$2:$AO$2,0))</f>
        <v>1.5223243214152651</v>
      </c>
      <c r="J328" s="16">
        <f>INDEX('Team forecast'!$B$2:$AO$26,MATCH('Master data'!$B328,'Team forecast'!$B$2:$B$26,0),MATCH('Master data'!J$1,'Team forecast'!$B$2:$AO$2,0))</f>
        <v>0.21820412056434271</v>
      </c>
      <c r="K328" s="16">
        <f>INDEX('Team forecast'!$B$2:$AO$26,MATCH('Master data'!$B328,'Team forecast'!$B$2:$B$26,0),MATCH('Master data'!K$1,'Team forecast'!$B$2:$AO$2,0))</f>
        <v>2.1270003227979397</v>
      </c>
      <c r="L328" s="16">
        <f>INDEX('Team forecast'!$B$2:$AO$26,MATCH('Master data'!$B328,'Team forecast'!$B$2:$B$26,0),MATCH('Master data'!L$1,'Team forecast'!$B$2:$AO$2,0))</f>
        <v>4.9475540445996113</v>
      </c>
      <c r="M328">
        <f>IF(Players!BC329=1,95,0)</f>
        <v>0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0.13043478260869565</v>
      </c>
      <c r="R328" s="2">
        <f>Players!BR329</f>
        <v>0</v>
      </c>
      <c r="S328" s="2">
        <f t="shared" si="175"/>
        <v>0.74990395996081205</v>
      </c>
      <c r="T328" s="2">
        <f t="shared" si="176"/>
        <v>1.5223243214152651</v>
      </c>
      <c r="U328" s="16">
        <f>INDEX('Team forecast'!$B$2:$AO$26,MATCH('Master data'!$B328,'Team forecast'!$B$2:$B$26,0),MATCH('Master data'!U$1,'Team forecast'!$B$2:$AO$2,0))</f>
        <v>0.17178615309883699</v>
      </c>
      <c r="V328" s="16">
        <f>INDEX('Team forecast'!$B$2:$AO$26,MATCH('Master data'!$B328,'Team forecast'!$B$2:$B$26,0),MATCH('Master data'!V$1,'Team forecast'!$B$2:$AO$2,0))</f>
        <v>0.26245106723433442</v>
      </c>
      <c r="W328" s="16">
        <f>INDEX('Team forecast'!$B$2:$AO$26,MATCH('Master data'!$B328,'Team forecast'!$B$2:$B$26,0),MATCH('Master data'!W$1,'Team forecast'!$B$2:$AO$2,0))</f>
        <v>0.56576277966682864</v>
      </c>
      <c r="X328" s="5">
        <f t="shared" si="177"/>
        <v>-5000</v>
      </c>
      <c r="Y328" s="5">
        <f t="shared" si="178"/>
        <v>0</v>
      </c>
      <c r="Z328" s="5">
        <f t="shared" si="179"/>
        <v>0</v>
      </c>
      <c r="AA328" s="5">
        <f t="shared" si="180"/>
        <v>0</v>
      </c>
      <c r="AB328" s="5">
        <f t="shared" si="181"/>
        <v>0</v>
      </c>
      <c r="AC328" s="5">
        <f t="shared" si="182"/>
        <v>0</v>
      </c>
      <c r="AD328" s="5">
        <f t="shared" si="183"/>
        <v>0</v>
      </c>
      <c r="AE328" s="5">
        <f t="shared" si="184"/>
        <v>0</v>
      </c>
      <c r="AF328" s="5">
        <f t="shared" si="185"/>
        <v>0</v>
      </c>
      <c r="AG328" s="5">
        <f t="shared" si="186"/>
        <v>0</v>
      </c>
      <c r="AH328" s="5">
        <f t="shared" si="187"/>
        <v>0</v>
      </c>
      <c r="AI328" s="5">
        <f t="shared" si="188"/>
        <v>0</v>
      </c>
      <c r="AJ328" s="5">
        <f t="shared" si="189"/>
        <v>0</v>
      </c>
      <c r="AK328" s="5">
        <f>IFERROR(SUM(X328:AJ328),-5000)*((Cockpit!$C$3)^0)</f>
        <v>-5000</v>
      </c>
      <c r="AL328" s="16">
        <f>INDEX('Team forecast'!$B$2:$AO$26,MATCH('Master data'!$B328,'Team forecast'!$B$2:$B$26,0),MATCH('Master data'!AL$1,'Team forecast'!$B$2:$AO$2,0))</f>
        <v>1.3846696653928885</v>
      </c>
      <c r="AM328" s="16">
        <f>INDEX('Team forecast'!$B$2:$AO$26,MATCH('Master data'!$B328,'Team forecast'!$B$2:$B$26,0),MATCH('Master data'!AM$1,'Team forecast'!$B$2:$AO$2,0))</f>
        <v>0.97920455728472433</v>
      </c>
      <c r="AN328" s="16">
        <f>INDEX('Team forecast'!$B$2:$AO$26,MATCH('Master data'!$B328,'Team forecast'!$B$2:$B$26,0),MATCH('Master data'!AN$1,'Team forecast'!$B$2:$AO$2,0))</f>
        <v>0.37560975609756098</v>
      </c>
      <c r="AO328" s="16">
        <f>INDEX('Team forecast'!$B$2:$AO$26,MATCH('Master data'!$B328,'Team forecast'!$B$2:$B$26,0),MATCH('Master data'!AO$1,'Team forecast'!$B$2:$AO$2,0))</f>
        <v>3.9274266872961929</v>
      </c>
      <c r="AP328" s="16">
        <f>INDEX('Team forecast'!$B$2:$AO$26,MATCH('Master data'!$B328,'Team forecast'!$B$2:$B$26,0),MATCH('Master data'!AP$1,'Team forecast'!$B$2:$AO$2,0))</f>
        <v>3.1824148111753541</v>
      </c>
      <c r="AQ328" s="5">
        <f t="shared" si="190"/>
        <v>-5000</v>
      </c>
      <c r="AR328" s="5">
        <f>INDEX('Team forecast'!$B$2:$AO$26,MATCH('Master data'!$B328,'Team forecast'!$B$2:$B$26,0),MATCH('Master data'!AR$1,'Team forecast'!$B$2:$AO$2,0))*IF(X328&gt;0,25000,0)</f>
        <v>0</v>
      </c>
      <c r="AS328" s="16">
        <f>INDEX('Team forecast'!$B$2:$AO$26,MATCH('Master data'!$B328,'Team forecast'!$B$2:$B$26,0),MATCH('Master data'!AS$1,'Team forecast'!$B$2:$AO$2,0))*IF(X328&gt;0,5000,0)</f>
        <v>0</v>
      </c>
      <c r="AT328" s="16">
        <f>INDEX('Team forecast'!$B$2:$AO$26,MATCH('Master data'!$B328,'Team forecast'!$B$2:$B$26,0),MATCH('Master data'!AT$1,'Team forecast'!$B$2:$AO$2,0))*IF(X328&gt;0,-15000,0)</f>
        <v>0</v>
      </c>
      <c r="AU328" s="5">
        <f t="shared" si="191"/>
        <v>0</v>
      </c>
      <c r="AV328" s="5">
        <f t="shared" si="192"/>
        <v>0</v>
      </c>
      <c r="AW328" s="5">
        <f t="shared" si="193"/>
        <v>0</v>
      </c>
      <c r="AX328" s="5">
        <f t="shared" si="194"/>
        <v>0</v>
      </c>
      <c r="AY328" s="5">
        <f t="shared" si="195"/>
        <v>0</v>
      </c>
      <c r="AZ328" s="5">
        <f t="shared" si="196"/>
        <v>0</v>
      </c>
      <c r="BA328" s="5">
        <f t="shared" si="197"/>
        <v>0</v>
      </c>
      <c r="BB328" s="5">
        <f t="shared" si="198"/>
        <v>0</v>
      </c>
      <c r="BC328" s="5">
        <f t="shared" si="199"/>
        <v>0</v>
      </c>
      <c r="BD328" s="5">
        <f t="shared" si="200"/>
        <v>-5000</v>
      </c>
      <c r="BE328" s="16">
        <f>INDEX('Team forecast'!$B$2:$AO$26,MATCH('Master data'!$B328,'Team forecast'!$B$2:$B$26,0),MATCH('Master data'!BE$1,'Team forecast'!$B$2:$AO$2,0))</f>
        <v>1.5039270856478595</v>
      </c>
      <c r="BF328" s="16">
        <f>INDEX('Team forecast'!$B$2:$AO$26,MATCH('Master data'!$B328,'Team forecast'!$B$2:$B$26,0),MATCH('Master data'!BF$1,'Team forecast'!$B$2:$AO$2,0))</f>
        <v>0.82681690399773144</v>
      </c>
      <c r="BG328" s="16">
        <f>INDEX('Team forecast'!$B$2:$AO$26,MATCH('Master data'!$B328,'Team forecast'!$B$2:$B$26,0),MATCH('Master data'!BG$1,'Team forecast'!$B$2:$AO$2,0))</f>
        <v>0.43743948445487602</v>
      </c>
      <c r="BH328" s="16">
        <f>INDEX('Team forecast'!$B$2:$AO$26,MATCH('Master data'!$B328,'Team forecast'!$B$2:$B$26,0),MATCH('Master data'!BH$1,'Team forecast'!$B$2:$AO$2,0))</f>
        <v>4.2656840974739287</v>
      </c>
      <c r="BI328" s="16">
        <f>INDEX('Team forecast'!$B$2:$AO$26,MATCH('Master data'!$B328,'Team forecast'!$B$2:$B$26,0),MATCH('Master data'!BI$1,'Team forecast'!$B$2:$AO$2,0))</f>
        <v>2.6871549379926272</v>
      </c>
      <c r="BJ328" s="5">
        <f t="shared" si="201"/>
        <v>-5000</v>
      </c>
      <c r="BK328" s="5">
        <f>INDEX('Team forecast'!$R$3:$BH$26,MATCH($B328,'Team forecast'!$B$3:$B$26,0),MATCH(BK$1,'Team forecast'!$R$2:$BH$2,0))*IF($X328&gt;0,25000,0)</f>
        <v>0</v>
      </c>
      <c r="BL328" s="5">
        <f>INDEX('Team forecast'!$R$3:$BH$26,MATCH($B328,'Team forecast'!$B$3:$B$26,0),MATCH(BL$1,'Team forecast'!$R$2:$BH$2,0))*IF($X328&gt;0,5000,0)</f>
        <v>0</v>
      </c>
      <c r="BM328" s="5">
        <f>INDEX('Team forecast'!$R$3:$BH$26,MATCH($B328,'Team forecast'!$B$3:$B$26,0),MATCH(BM$1,'Team forecast'!$R$2:$BH$2,0))*IF($X328&gt;0,-15000,0)</f>
        <v>0</v>
      </c>
      <c r="BN328" s="5">
        <f t="shared" si="202"/>
        <v>0</v>
      </c>
      <c r="BO328" s="5">
        <f t="shared" si="203"/>
        <v>0</v>
      </c>
      <c r="BP328" s="5">
        <f t="shared" si="204"/>
        <v>0</v>
      </c>
      <c r="BQ328" s="5">
        <f t="shared" si="205"/>
        <v>0</v>
      </c>
      <c r="BR328" s="5">
        <f t="shared" si="206"/>
        <v>0</v>
      </c>
      <c r="BS328" s="5">
        <f t="shared" si="207"/>
        <v>0</v>
      </c>
      <c r="BT328" s="5">
        <f t="shared" si="208"/>
        <v>0</v>
      </c>
      <c r="BU328" s="5">
        <f t="shared" si="209"/>
        <v>0</v>
      </c>
      <c r="BV328" s="5">
        <f t="shared" si="210"/>
        <v>0</v>
      </c>
      <c r="BW328" s="5">
        <f t="shared" si="211"/>
        <v>-5000</v>
      </c>
      <c r="BX328" s="5">
        <f t="shared" si="212"/>
        <v>-5000</v>
      </c>
      <c r="BY328" s="5">
        <f t="shared" si="213"/>
        <v>-15000</v>
      </c>
      <c r="BZ328" s="5">
        <f>INDEX('Team forecast'!$R$3:$BH$26,MATCH($B328,'Team forecast'!$B$3:$B$26,0),MATCH(BZ$1,'Team forecast'!$R$2:$BH$2,0))*($BX328-(BY328+CH328)*0.01)</f>
        <v>-22280.357595599988</v>
      </c>
      <c r="CA328" s="5">
        <f>INDEX('Team forecast'!$R$3:$BH$26,MATCH($B328,'Team forecast'!$B$3:$B$26,0),MATCH(CA$1,'Team forecast'!$R$2:$BH$2,0))*($BX328-(BY328+BX328+CH328)*0.01)</f>
        <v>-10992.21172023781</v>
      </c>
      <c r="CB328" s="5">
        <f>INDEX('Team forecast'!$R$3:$BH$26,MATCH($B328,'Team forecast'!$B$3:$B$26,0),MATCH(CB$1,'Team forecast'!$R$2:$BH$2,0))*($BX328-(BY328+BX328*2+CH328)*0.01)</f>
        <v>-5365.387872973135</v>
      </c>
      <c r="CC328" s="5">
        <f>INDEX('Team forecast'!$R$3:$BH$26,MATCH($B328,'Team forecast'!$B$3:$B$26,0),MATCH(CC$1,'Team forecast'!$R$2:$BH$2,0))*($BX328-(BY328+BX328*3+CH328)*0.01)</f>
        <v>-2521.7821877731662</v>
      </c>
      <c r="CD328" s="5">
        <f>+AK328+BD328*Cockpit!$C$3+BW328*Cockpit!$C$3^2+BZ328*Cockpit!$C$3^3+CA328*Cockpit!$C$3^4+CB328*Cockpit!$C$3^5+CC328*Cockpit!$C$3^6</f>
        <v>-20256.388236195809</v>
      </c>
      <c r="CE328" s="5"/>
      <c r="CF328" s="5"/>
      <c r="CG328" s="5">
        <v>0</v>
      </c>
      <c r="CH328" s="5">
        <f t="shared" si="214"/>
        <v>2500000</v>
      </c>
      <c r="CI328" s="5">
        <f t="shared" si="215"/>
        <v>2500000</v>
      </c>
      <c r="CJ328" s="1">
        <f t="shared" si="216"/>
        <v>-6.0000000000000001E-3</v>
      </c>
      <c r="CK328" s="5">
        <f>RANK(BY328,$BY$2:$BY$623)+COUNTIF($BY$2:$BY328,$BY328)-1</f>
        <v>517</v>
      </c>
      <c r="CL328" s="5">
        <f>RANK(CJ328,$CJ$2:$CJ$623)+COUNTIF($CJ$2:$CJ328,$CJ328)-1</f>
        <v>541</v>
      </c>
    </row>
    <row r="329" spans="1:90">
      <c r="A329" t="str">
        <f>Players!P330</f>
        <v>Maarten Stekelenburg</v>
      </c>
      <c r="B329" t="str">
        <f>Players!G330</f>
        <v>Netherlands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5000000</v>
      </c>
      <c r="H329" s="16">
        <f>INDEX('Team forecast'!$B$2:$AO$26,MATCH('Master data'!$B329,'Team forecast'!$B$2:$B$26,0),MATCH('Master data'!H$1,'Team forecast'!$B$2:$AO$2,0))</f>
        <v>1.5712166996139025</v>
      </c>
      <c r="I329" s="16">
        <f>INDEX('Team forecast'!$B$2:$AO$26,MATCH('Master data'!$B329,'Team forecast'!$B$2:$B$26,0),MATCH('Master data'!I$1,'Team forecast'!$B$2:$AO$2,0))</f>
        <v>0.76028648339757388</v>
      </c>
      <c r="J329" s="16">
        <f>INDEX('Team forecast'!$B$2:$AO$26,MATCH('Master data'!$B329,'Team forecast'!$B$2:$B$26,0),MATCH('Master data'!J$1,'Team forecast'!$B$2:$AO$2,0))</f>
        <v>0.46753246753246752</v>
      </c>
      <c r="K329" s="16">
        <f>INDEX('Team forecast'!$B$2:$AO$26,MATCH('Master data'!$B329,'Team forecast'!$B$2:$B$26,0),MATCH('Master data'!K$1,'Team forecast'!$B$2:$AO$2,0))</f>
        <v>4.4640175390899657</v>
      </c>
      <c r="L329" s="16">
        <f>INDEX('Team forecast'!$B$2:$AO$26,MATCH('Master data'!$B329,'Team forecast'!$B$2:$B$26,0),MATCH('Master data'!L$1,'Team forecast'!$B$2:$AO$2,0))</f>
        <v>2.4958899707496114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0</v>
      </c>
      <c r="R329" s="2">
        <f>Players!BR330</f>
        <v>0</v>
      </c>
      <c r="S329" s="2">
        <f t="shared" si="175"/>
        <v>1.5712166996139025</v>
      </c>
      <c r="T329" s="2">
        <f t="shared" si="176"/>
        <v>0.76028648339757388</v>
      </c>
      <c r="U329" s="16">
        <f>INDEX('Team forecast'!$B$2:$AO$26,MATCH('Master data'!$B329,'Team forecast'!$B$2:$B$26,0),MATCH('Master data'!U$1,'Team forecast'!$B$2:$AO$2,0))</f>
        <v>0.58441558441558439</v>
      </c>
      <c r="V329" s="16">
        <f>INDEX('Team forecast'!$B$2:$AO$26,MATCH('Master data'!$B329,'Team forecast'!$B$2:$B$26,0),MATCH('Master data'!V$1,'Team forecast'!$B$2:$AO$2,0))</f>
        <v>0.25974025974025972</v>
      </c>
      <c r="W329" s="16">
        <f>INDEX('Team forecast'!$B$2:$AO$26,MATCH('Master data'!$B329,'Team forecast'!$B$2:$B$26,0),MATCH('Master data'!W$1,'Team forecast'!$B$2:$AO$2,0))</f>
        <v>0.15584415584415581</v>
      </c>
      <c r="X329" s="5">
        <f t="shared" si="177"/>
        <v>-5000</v>
      </c>
      <c r="Y329" s="5">
        <f t="shared" si="178"/>
        <v>0</v>
      </c>
      <c r="Z329" s="5">
        <f t="shared" si="179"/>
        <v>0</v>
      </c>
      <c r="AA329" s="5">
        <f t="shared" si="180"/>
        <v>0</v>
      </c>
      <c r="AB329" s="5">
        <f t="shared" si="181"/>
        <v>0</v>
      </c>
      <c r="AC329" s="5">
        <f t="shared" si="182"/>
        <v>0</v>
      </c>
      <c r="AD329" s="5">
        <f t="shared" si="183"/>
        <v>0</v>
      </c>
      <c r="AE329" s="5">
        <f t="shared" si="184"/>
        <v>35064.935064935067</v>
      </c>
      <c r="AF329" s="5">
        <f t="shared" si="185"/>
        <v>8678.0174367601885</v>
      </c>
      <c r="AG329" s="5">
        <f t="shared" si="186"/>
        <v>0</v>
      </c>
      <c r="AH329" s="5">
        <f t="shared" si="187"/>
        <v>0</v>
      </c>
      <c r="AI329" s="5">
        <f t="shared" si="188"/>
        <v>0</v>
      </c>
      <c r="AJ329" s="5">
        <f t="shared" si="189"/>
        <v>0</v>
      </c>
      <c r="AK329" s="5">
        <f>IFERROR(SUM(X329:AJ329),-5000)*((Cockpit!$C$3)^0)</f>
        <v>38742.952501695254</v>
      </c>
      <c r="AL329" s="16">
        <f>INDEX('Team forecast'!$B$2:$AO$26,MATCH('Master data'!$B329,'Team forecast'!$B$2:$B$26,0),MATCH('Master data'!AL$1,'Team forecast'!$B$2:$AO$2,0))</f>
        <v>1.8476112368050062</v>
      </c>
      <c r="AM329" s="16">
        <f>INDEX('Team forecast'!$B$2:$AO$26,MATCH('Master data'!$B329,'Team forecast'!$B$2:$B$26,0),MATCH('Master data'!AM$1,'Team forecast'!$B$2:$AO$2,0))</f>
        <v>0.7977891123063281</v>
      </c>
      <c r="AN329" s="16">
        <f>INDEX('Team forecast'!$B$2:$AO$26,MATCH('Master data'!$B329,'Team forecast'!$B$2:$B$26,0),MATCH('Master data'!AN$1,'Team forecast'!$B$2:$AO$2,0))</f>
        <v>0.45032347896962183</v>
      </c>
      <c r="AO329" s="16">
        <f>INDEX('Team forecast'!$B$2:$AO$26,MATCH('Master data'!$B329,'Team forecast'!$B$2:$B$26,0),MATCH('Master data'!AO$1,'Team forecast'!$B$2:$AO$2,0))</f>
        <v>5.2492879998945963</v>
      </c>
      <c r="AP329" s="16">
        <f>INDEX('Team forecast'!$B$2:$AO$26,MATCH('Master data'!$B329,'Team forecast'!$B$2:$B$26,0),MATCH('Master data'!AP$1,'Team forecast'!$B$2:$AO$2,0))</f>
        <v>2.6190046616116831</v>
      </c>
      <c r="AQ329" s="5">
        <f t="shared" si="190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191"/>
        <v>0</v>
      </c>
      <c r="AV329" s="5">
        <f t="shared" si="192"/>
        <v>0</v>
      </c>
      <c r="AW329" s="5">
        <f t="shared" si="193"/>
        <v>0</v>
      </c>
      <c r="AX329" s="5">
        <f t="shared" si="194"/>
        <v>33774.260922721638</v>
      </c>
      <c r="AY329" s="5">
        <f t="shared" si="195"/>
        <v>9106.0777465267747</v>
      </c>
      <c r="AZ329" s="5">
        <f t="shared" si="196"/>
        <v>0</v>
      </c>
      <c r="BA329" s="5">
        <f t="shared" si="197"/>
        <v>0</v>
      </c>
      <c r="BB329" s="5">
        <f t="shared" si="198"/>
        <v>0</v>
      </c>
      <c r="BC329" s="5">
        <f t="shared" si="199"/>
        <v>0</v>
      </c>
      <c r="BD329" s="5">
        <f t="shared" si="200"/>
        <v>37880.338669248413</v>
      </c>
      <c r="BE329" s="16">
        <f>INDEX('Team forecast'!$B$2:$AO$26,MATCH('Master data'!$B329,'Team forecast'!$B$2:$B$26,0),MATCH('Master data'!BE$1,'Team forecast'!$B$2:$AO$2,0))</f>
        <v>2.3683451623921505</v>
      </c>
      <c r="BF329" s="16">
        <f>INDEX('Team forecast'!$B$2:$AO$26,MATCH('Master data'!$B329,'Team forecast'!$B$2:$B$26,0),MATCH('Master data'!BF$1,'Team forecast'!$B$2:$AO$2,0))</f>
        <v>0.49102780480244929</v>
      </c>
      <c r="BG329" s="16">
        <f>INDEX('Team forecast'!$B$2:$AO$26,MATCH('Master data'!$B329,'Team forecast'!$B$2:$B$26,0),MATCH('Master data'!BG$1,'Team forecast'!$B$2:$AO$2,0))</f>
        <v>0.61199705730750009</v>
      </c>
      <c r="BH329" s="16">
        <f>INDEX('Team forecast'!$B$2:$AO$26,MATCH('Master data'!$B329,'Team forecast'!$B$2:$B$26,0),MATCH('Master data'!BH$1,'Team forecast'!$B$2:$AO$2,0))</f>
        <v>6.7287563492262965</v>
      </c>
      <c r="BI329" s="16">
        <f>INDEX('Team forecast'!$B$2:$AO$26,MATCH('Master data'!$B329,'Team forecast'!$B$2:$B$26,0),MATCH('Master data'!BI$1,'Team forecast'!$B$2:$AO$2,0))</f>
        <v>1.6119599652605658</v>
      </c>
      <c r="BJ329" s="5">
        <f t="shared" si="201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202"/>
        <v>0</v>
      </c>
      <c r="BO329" s="5">
        <f t="shared" si="203"/>
        <v>0</v>
      </c>
      <c r="BP329" s="5">
        <f t="shared" si="204"/>
        <v>0</v>
      </c>
      <c r="BQ329" s="5">
        <f t="shared" si="205"/>
        <v>45899.779298062509</v>
      </c>
      <c r="BR329" s="5">
        <f t="shared" si="206"/>
        <v>5604.660802290583</v>
      </c>
      <c r="BS329" s="5">
        <f t="shared" si="207"/>
        <v>0</v>
      </c>
      <c r="BT329" s="5">
        <f t="shared" si="208"/>
        <v>0</v>
      </c>
      <c r="BU329" s="5">
        <f t="shared" si="209"/>
        <v>0</v>
      </c>
      <c r="BV329" s="5">
        <f t="shared" si="210"/>
        <v>0</v>
      </c>
      <c r="BW329" s="5">
        <f t="shared" si="211"/>
        <v>46504.440100353095</v>
      </c>
      <c r="BX329" s="5">
        <f t="shared" si="212"/>
        <v>41042.577090432256</v>
      </c>
      <c r="BY329" s="5">
        <f t="shared" si="213"/>
        <v>123127.73127129677</v>
      </c>
      <c r="BZ329" s="5">
        <f>INDEX('Team forecast'!$R$3:$BH$26,MATCH($B329,'Team forecast'!$B$3:$B$26,0),MATCH(BZ$1,'Team forecast'!$R$2:$BH$2,0))*($BX329-(BY329+CH329)*0.01)</f>
        <v>-9850.2264581965501</v>
      </c>
      <c r="CA329" s="5">
        <f>INDEX('Team forecast'!$R$3:$BH$26,MATCH($B329,'Team forecast'!$B$3:$B$26,0),MATCH(CA$1,'Team forecast'!$R$2:$BH$2,0))*($BX329-(BY329+BX329+CH329)*0.01)</f>
        <v>-5121.1130438307946</v>
      </c>
      <c r="CB329" s="5">
        <f>INDEX('Team forecast'!$R$3:$BH$26,MATCH($B329,'Team forecast'!$B$3:$B$26,0),MATCH(CB$1,'Team forecast'!$R$2:$BH$2,0))*($BX329-(BY329+BX329*2+CH329)*0.01)</f>
        <v>-2657.3657608640656</v>
      </c>
      <c r="CC329" s="5">
        <f>INDEX('Team forecast'!$R$3:$BH$26,MATCH($B329,'Team forecast'!$B$3:$B$26,0),MATCH(CC$1,'Team forecast'!$R$2:$BH$2,0))*($BX329-(BY329+BX329*3+CH329)*0.01)</f>
        <v>-1375.0821636240976</v>
      </c>
      <c r="CD329" s="5">
        <f>+AK329+BD329*Cockpit!$C$3+BW329*Cockpit!$C$3^2+BZ329*Cockpit!$C$3^3+CA329*Cockpit!$C$3^4+CB329*Cockpit!$C$3^5+CC329*Cockpit!$C$3^6</f>
        <v>80264.326467363484</v>
      </c>
      <c r="CE329" s="5"/>
      <c r="CF329" s="5"/>
      <c r="CG329" s="5">
        <v>0</v>
      </c>
      <c r="CH329" s="5">
        <f t="shared" si="214"/>
        <v>5000000</v>
      </c>
      <c r="CI329" s="5">
        <f t="shared" si="215"/>
        <v>5000000</v>
      </c>
      <c r="CJ329" s="1">
        <f t="shared" si="216"/>
        <v>2.4625546254259355E-2</v>
      </c>
      <c r="CK329" s="5">
        <f>RANK(BY329,$BY$2:$BY$623)+COUNTIF($BY$2:$BY329,$BY329)-1</f>
        <v>127</v>
      </c>
      <c r="CL329" s="5">
        <f>RANK(CJ329,$CJ$2:$CJ$623)+COUNTIF($CJ$2:$CJ329,$CJ329)-1</f>
        <v>212</v>
      </c>
    </row>
    <row r="330" spans="1:90">
      <c r="A330" t="str">
        <f>Players!P331</f>
        <v>Rui Ru. Silva</v>
      </c>
      <c r="B330" t="str">
        <f>Players!G331</f>
        <v>Portugal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4000000</v>
      </c>
      <c r="H330" s="16">
        <f>INDEX('Team forecast'!$B$2:$AO$26,MATCH('Master data'!$B330,'Team forecast'!$B$2:$B$26,0),MATCH('Master data'!H$1,'Team forecast'!$B$2:$AO$2,0))</f>
        <v>1.7625676631272518</v>
      </c>
      <c r="I330" s="16">
        <f>INDEX('Team forecast'!$B$2:$AO$26,MATCH('Master data'!$B330,'Team forecast'!$B$2:$B$26,0),MATCH('Master data'!I$1,'Team forecast'!$B$2:$AO$2,0))</f>
        <v>0.75096675144877167</v>
      </c>
      <c r="J330" s="16">
        <f>INDEX('Team forecast'!$B$2:$AO$26,MATCH('Master data'!$B330,'Team forecast'!$B$2:$B$26,0),MATCH('Master data'!J$1,'Team forecast'!$B$2:$AO$2,0))</f>
        <v>0.47191011235955049</v>
      </c>
      <c r="K330" s="16">
        <f>INDEX('Team forecast'!$B$2:$AO$26,MATCH('Master data'!$B330,'Team forecast'!$B$2:$B$26,0),MATCH('Master data'!K$1,'Team forecast'!$B$2:$AO$2,0))</f>
        <v>4.4913621777278765</v>
      </c>
      <c r="L330" s="16">
        <f>INDEX('Team forecast'!$B$2:$AO$26,MATCH('Master data'!$B330,'Team forecast'!$B$2:$B$26,0),MATCH('Master data'!L$1,'Team forecast'!$B$2:$AO$2,0))</f>
        <v>2.0995338051067773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1.5625E-2</v>
      </c>
      <c r="R330" s="2">
        <f>Players!BR331</f>
        <v>0</v>
      </c>
      <c r="S330" s="2">
        <f t="shared" si="175"/>
        <v>1.7625676631272518</v>
      </c>
      <c r="T330" s="2">
        <f t="shared" si="176"/>
        <v>0.75096675144877167</v>
      </c>
      <c r="U330" s="16">
        <f>INDEX('Team forecast'!$B$2:$AO$26,MATCH('Master data'!$B330,'Team forecast'!$B$2:$B$26,0),MATCH('Master data'!U$1,'Team forecast'!$B$2:$AO$2,0))</f>
        <v>0.6292134831460674</v>
      </c>
      <c r="V330" s="16">
        <f>INDEX('Team forecast'!$B$2:$AO$26,MATCH('Master data'!$B330,'Team forecast'!$B$2:$B$26,0),MATCH('Master data'!V$1,'Team forecast'!$B$2:$AO$2,0))</f>
        <v>0.2359550561797753</v>
      </c>
      <c r="W330" s="16">
        <f>INDEX('Team forecast'!$B$2:$AO$26,MATCH('Master data'!$B330,'Team forecast'!$B$2:$B$26,0),MATCH('Master data'!W$1,'Team forecast'!$B$2:$AO$2,0))</f>
        <v>0.1348314606741573</v>
      </c>
      <c r="X330" s="5">
        <f t="shared" si="177"/>
        <v>-5000</v>
      </c>
      <c r="Y330" s="5">
        <f t="shared" si="178"/>
        <v>0</v>
      </c>
      <c r="Z330" s="5">
        <f t="shared" si="179"/>
        <v>0</v>
      </c>
      <c r="AA330" s="5">
        <f t="shared" si="180"/>
        <v>0</v>
      </c>
      <c r="AB330" s="5">
        <f t="shared" si="181"/>
        <v>0</v>
      </c>
      <c r="AC330" s="5">
        <f t="shared" si="182"/>
        <v>0</v>
      </c>
      <c r="AD330" s="5">
        <f t="shared" si="183"/>
        <v>0</v>
      </c>
      <c r="AE330" s="5">
        <f t="shared" si="184"/>
        <v>35393.258426966284</v>
      </c>
      <c r="AF330" s="5">
        <f t="shared" si="185"/>
        <v>6742.8352682900286</v>
      </c>
      <c r="AG330" s="5">
        <f t="shared" si="186"/>
        <v>0</v>
      </c>
      <c r="AH330" s="5">
        <f t="shared" si="187"/>
        <v>0</v>
      </c>
      <c r="AI330" s="5">
        <f t="shared" si="188"/>
        <v>0</v>
      </c>
      <c r="AJ330" s="5">
        <f t="shared" si="189"/>
        <v>0</v>
      </c>
      <c r="AK330" s="5">
        <f>IFERROR(SUM(X330:AJ330),-5000)*((Cockpit!$C$3)^0)</f>
        <v>37136.093695256313</v>
      </c>
      <c r="AL330" s="16">
        <f>INDEX('Team forecast'!$B$2:$AO$26,MATCH('Master data'!$B330,'Team forecast'!$B$2:$B$26,0),MATCH('Master data'!AL$1,'Team forecast'!$B$2:$AO$2,0))</f>
        <v>1.1612459518433673</v>
      </c>
      <c r="AM330" s="16">
        <f>INDEX('Team forecast'!$B$2:$AO$26,MATCH('Master data'!$B330,'Team forecast'!$B$2:$B$26,0),MATCH('Master data'!AM$1,'Team forecast'!$B$2:$AO$2,0))</f>
        <v>1.384389503157577</v>
      </c>
      <c r="AN330" s="16">
        <f>INDEX('Team forecast'!$B$2:$AO$26,MATCH('Master data'!$B330,'Team forecast'!$B$2:$B$26,0),MATCH('Master data'!AN$1,'Team forecast'!$B$2:$AO$2,0))</f>
        <v>0.25047666833918708</v>
      </c>
      <c r="AO330" s="16">
        <f>INDEX('Team forecast'!$B$2:$AO$26,MATCH('Master data'!$B330,'Team forecast'!$B$2:$B$26,0),MATCH('Master data'!AO$1,'Team forecast'!$B$2:$AO$2,0))</f>
        <v>2.9590785399382193</v>
      </c>
      <c r="AP330" s="16">
        <f>INDEX('Team forecast'!$B$2:$AO$26,MATCH('Master data'!$B330,'Team forecast'!$B$2:$B$26,0),MATCH('Master data'!AP$1,'Team forecast'!$B$2:$AO$2,0))</f>
        <v>3.8704410757292824</v>
      </c>
      <c r="AQ330" s="5">
        <f t="shared" si="190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191"/>
        <v>0</v>
      </c>
      <c r="AV330" s="5">
        <f t="shared" si="192"/>
        <v>0</v>
      </c>
      <c r="AW330" s="5">
        <f t="shared" si="193"/>
        <v>0</v>
      </c>
      <c r="AX330" s="5">
        <f t="shared" si="194"/>
        <v>18785.75012543903</v>
      </c>
      <c r="AY330" s="5">
        <f t="shared" si="195"/>
        <v>12430.257862858527</v>
      </c>
      <c r="AZ330" s="5">
        <f t="shared" si="196"/>
        <v>0</v>
      </c>
      <c r="BA330" s="5">
        <f t="shared" si="197"/>
        <v>0</v>
      </c>
      <c r="BB330" s="5">
        <f t="shared" si="198"/>
        <v>0</v>
      </c>
      <c r="BC330" s="5">
        <f t="shared" si="199"/>
        <v>0</v>
      </c>
      <c r="BD330" s="5">
        <f t="shared" si="200"/>
        <v>26216.007988297555</v>
      </c>
      <c r="BE330" s="16">
        <f>INDEX('Team forecast'!$B$2:$AO$26,MATCH('Master data'!$B330,'Team forecast'!$B$2:$B$26,0),MATCH('Master data'!BE$1,'Team forecast'!$B$2:$AO$2,0))</f>
        <v>1.0107278258414167</v>
      </c>
      <c r="BF330" s="16">
        <f>INDEX('Team forecast'!$B$2:$AO$26,MATCH('Master data'!$B330,'Team forecast'!$B$2:$B$26,0),MATCH('Master data'!BF$1,'Team forecast'!$B$2:$AO$2,0))</f>
        <v>1.2965069481471114</v>
      </c>
      <c r="BG330" s="16">
        <f>INDEX('Team forecast'!$B$2:$AO$26,MATCH('Master data'!$B330,'Team forecast'!$B$2:$B$26,0),MATCH('Master data'!BG$1,'Team forecast'!$B$2:$AO$2,0))</f>
        <v>0.27348542529246672</v>
      </c>
      <c r="BH330" s="16">
        <f>INDEX('Team forecast'!$B$2:$AO$26,MATCH('Master data'!$B330,'Team forecast'!$B$2:$B$26,0),MATCH('Master data'!BH$1,'Team forecast'!$B$2:$AO$2,0))</f>
        <v>2.5755293393428875</v>
      </c>
      <c r="BI330" s="16">
        <f>INDEX('Team forecast'!$B$2:$AO$26,MATCH('Master data'!$B330,'Team forecast'!$B$2:$B$26,0),MATCH('Master data'!BI$1,'Team forecast'!$B$2:$AO$2,0))</f>
        <v>3.6247412564394597</v>
      </c>
      <c r="BJ330" s="5">
        <f t="shared" si="201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202"/>
        <v>0</v>
      </c>
      <c r="BO330" s="5">
        <f t="shared" si="203"/>
        <v>0</v>
      </c>
      <c r="BP330" s="5">
        <f t="shared" si="204"/>
        <v>0</v>
      </c>
      <c r="BQ330" s="5">
        <f t="shared" si="205"/>
        <v>20511.406896935005</v>
      </c>
      <c r="BR330" s="5">
        <f t="shared" si="206"/>
        <v>11641.171541461741</v>
      </c>
      <c r="BS330" s="5">
        <f t="shared" si="207"/>
        <v>0</v>
      </c>
      <c r="BT330" s="5">
        <f t="shared" si="208"/>
        <v>0</v>
      </c>
      <c r="BU330" s="5">
        <f t="shared" si="209"/>
        <v>0</v>
      </c>
      <c r="BV330" s="5">
        <f t="shared" si="210"/>
        <v>0</v>
      </c>
      <c r="BW330" s="5">
        <f t="shared" si="211"/>
        <v>27152.578438396748</v>
      </c>
      <c r="BX330" s="5">
        <f t="shared" si="212"/>
        <v>30168.226707316873</v>
      </c>
      <c r="BY330" s="5">
        <f t="shared" si="213"/>
        <v>90504.680121950616</v>
      </c>
      <c r="BZ330" s="5">
        <f>INDEX('Team forecast'!$R$3:$BH$26,MATCH($B330,'Team forecast'!$B$3:$B$26,0),MATCH(BZ$1,'Team forecast'!$R$2:$BH$2,0))*($BX330-(BY330+CH330)*0.01)</f>
        <v>-8073.4402863505911</v>
      </c>
      <c r="CA330" s="5">
        <f>INDEX('Team forecast'!$R$3:$BH$26,MATCH($B330,'Team forecast'!$B$3:$B$26,0),MATCH(CA$1,'Team forecast'!$R$2:$BH$2,0))*($BX330-(BY330+BX330+CH330)*0.01)</f>
        <v>-4229.8843351001005</v>
      </c>
      <c r="CB330" s="5">
        <f>INDEX('Team forecast'!$R$3:$BH$26,MATCH($B330,'Team forecast'!$B$3:$B$26,0),MATCH(CB$1,'Team forecast'!$R$2:$BH$2,0))*($BX330-(BY330+BX330*2+CH330)*0.01)</f>
        <v>-2249.8447924202819</v>
      </c>
      <c r="CC330" s="5">
        <f>INDEX('Team forecast'!$R$3:$BH$26,MATCH($B330,'Team forecast'!$B$3:$B$26,0),MATCH(CC$1,'Team forecast'!$R$2:$BH$2,0))*($BX330-(BY330+BX330*3+CH330)*0.01)</f>
        <v>-1256.9135468058084</v>
      </c>
      <c r="CD330" s="5">
        <f>+AK330+BD330*Cockpit!$C$3+BW330*Cockpit!$C$3^2+BZ330*Cockpit!$C$3^3+CA330*Cockpit!$C$3^4+CB330*Cockpit!$C$3^5+CC330*Cockpit!$C$3^6</f>
        <v>63046.959652977981</v>
      </c>
      <c r="CE330" s="5"/>
      <c r="CF330" s="5"/>
      <c r="CG330" s="5">
        <v>0</v>
      </c>
      <c r="CH330" s="5">
        <f t="shared" si="214"/>
        <v>4000000</v>
      </c>
      <c r="CI330" s="5">
        <f t="shared" si="215"/>
        <v>4000000</v>
      </c>
      <c r="CJ330" s="1">
        <f t="shared" si="216"/>
        <v>2.2626170030487655E-2</v>
      </c>
      <c r="CK330" s="5">
        <f>RANK(BY330,$BY$2:$BY$623)+COUNTIF($BY$2:$BY330,$BY330)-1</f>
        <v>192</v>
      </c>
      <c r="CL330" s="5">
        <f>RANK(CJ330,$CJ$2:$CJ$623)+COUNTIF($CJ$2:$CJ330,$CJ330)-1</f>
        <v>236</v>
      </c>
    </row>
    <row r="331" spans="1:90">
      <c r="A331" t="str">
        <f>Players!P332</f>
        <v>Anatolii Trubin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3500000</v>
      </c>
      <c r="H331" s="16">
        <f>INDEX('Team forecast'!$B$2:$AO$26,MATCH('Master data'!$B331,'Team forecast'!$B$2:$B$26,0),MATCH('Master data'!H$1,'Team forecast'!$B$2:$AO$2,0))</f>
        <v>0.76028648339757388</v>
      </c>
      <c r="I331" s="16">
        <f>INDEX('Team forecast'!$B$2:$AO$26,MATCH('Master data'!$B331,'Team forecast'!$B$2:$B$26,0),MATCH('Master data'!I$1,'Team forecast'!$B$2:$AO$2,0))</f>
        <v>1.5712166996139025</v>
      </c>
      <c r="J331" s="16">
        <f>INDEX('Team forecast'!$B$2:$AO$26,MATCH('Master data'!$B331,'Team forecast'!$B$2:$B$26,0),MATCH('Master data'!J$1,'Team forecast'!$B$2:$AO$2,0))</f>
        <v>0.20779220779220781</v>
      </c>
      <c r="K331" s="16">
        <f>INDEX('Team forecast'!$B$2:$AO$26,MATCH('Master data'!$B331,'Team forecast'!$B$2:$B$26,0),MATCH('Master data'!K$1,'Team forecast'!$B$2:$AO$2,0))</f>
        <v>2.0548283335069564</v>
      </c>
      <c r="L331" s="16">
        <f>INDEX('Team forecast'!$B$2:$AO$26,MATCH('Master data'!$B331,'Team forecast'!$B$2:$B$26,0),MATCH('Master data'!L$1,'Team forecast'!$B$2:$AO$2,0))</f>
        <v>5.3509268021816121</v>
      </c>
      <c r="M331">
        <f>IF(Players!BC332=1,95,0)</f>
        <v>0</v>
      </c>
      <c r="N331" s="2">
        <f>Players!BN332</f>
        <v>0</v>
      </c>
      <c r="O331" s="2">
        <f>Players!BO332</f>
        <v>0</v>
      </c>
      <c r="P331" s="2">
        <f>Players!BP332</f>
        <v>0</v>
      </c>
      <c r="Q331" s="2">
        <f>Players!BQ332</f>
        <v>0.25</v>
      </c>
      <c r="R331" s="2">
        <f>Players!BR332</f>
        <v>0</v>
      </c>
      <c r="S331" s="2">
        <f t="shared" si="175"/>
        <v>0.76028648339757388</v>
      </c>
      <c r="T331" s="2">
        <f t="shared" si="176"/>
        <v>1.5712166996139025</v>
      </c>
      <c r="U331" s="16">
        <f>INDEX('Team forecast'!$B$2:$AO$26,MATCH('Master data'!$B331,'Team forecast'!$B$2:$B$26,0),MATCH('Master data'!U$1,'Team forecast'!$B$2:$AO$2,0))</f>
        <v>0.15584415584415581</v>
      </c>
      <c r="V331" s="16">
        <f>INDEX('Team forecast'!$B$2:$AO$26,MATCH('Master data'!$B331,'Team forecast'!$B$2:$B$26,0),MATCH('Master data'!V$1,'Team forecast'!$B$2:$AO$2,0))</f>
        <v>0.25974025974025972</v>
      </c>
      <c r="W331" s="16">
        <f>INDEX('Team forecast'!$B$2:$AO$26,MATCH('Master data'!$B331,'Team forecast'!$B$2:$B$26,0),MATCH('Master data'!W$1,'Team forecast'!$B$2:$AO$2,0))</f>
        <v>0.58441558441558439</v>
      </c>
      <c r="X331" s="5">
        <f t="shared" si="177"/>
        <v>-5000</v>
      </c>
      <c r="Y331" s="5">
        <f t="shared" si="178"/>
        <v>0</v>
      </c>
      <c r="Z331" s="5">
        <f t="shared" si="179"/>
        <v>0</v>
      </c>
      <c r="AA331" s="5">
        <f t="shared" si="180"/>
        <v>0</v>
      </c>
      <c r="AB331" s="5">
        <f t="shared" si="181"/>
        <v>0</v>
      </c>
      <c r="AC331" s="5">
        <f t="shared" si="182"/>
        <v>0</v>
      </c>
      <c r="AD331" s="5">
        <f t="shared" si="183"/>
        <v>0</v>
      </c>
      <c r="AE331" s="5">
        <f t="shared" si="184"/>
        <v>15584.415584415585</v>
      </c>
      <c r="AF331" s="5">
        <f t="shared" si="185"/>
        <v>18898.550512838548</v>
      </c>
      <c r="AG331" s="5">
        <f t="shared" si="186"/>
        <v>0</v>
      </c>
      <c r="AH331" s="5">
        <f t="shared" si="187"/>
        <v>0</v>
      </c>
      <c r="AI331" s="5">
        <f t="shared" si="188"/>
        <v>0</v>
      </c>
      <c r="AJ331" s="5">
        <f t="shared" si="189"/>
        <v>0</v>
      </c>
      <c r="AK331" s="5">
        <f>IFERROR(SUM(X331:AJ331),-5000)*((Cockpit!$C$3)^0)</f>
        <v>29482.966097254131</v>
      </c>
      <c r="AL331" s="16">
        <f>INDEX('Team forecast'!$B$2:$AO$26,MATCH('Master data'!$B331,'Team forecast'!$B$2:$B$26,0),MATCH('Master data'!AL$1,'Team forecast'!$B$2:$AO$2,0))</f>
        <v>1.5712166996139025</v>
      </c>
      <c r="AM331" s="16">
        <f>INDEX('Team forecast'!$B$2:$AO$26,MATCH('Master data'!$B331,'Team forecast'!$B$2:$B$26,0),MATCH('Master data'!AM$1,'Team forecast'!$B$2:$AO$2,0))</f>
        <v>0.76028648339757388</v>
      </c>
      <c r="AN331" s="16">
        <f>INDEX('Team forecast'!$B$2:$AO$26,MATCH('Master data'!$B331,'Team forecast'!$B$2:$B$26,0),MATCH('Master data'!AN$1,'Team forecast'!$B$2:$AO$2,0))</f>
        <v>0.46753246753246752</v>
      </c>
      <c r="AO331" s="16">
        <f>INDEX('Team forecast'!$B$2:$AO$26,MATCH('Master data'!$B331,'Team forecast'!$B$2:$B$26,0),MATCH('Master data'!AO$1,'Team forecast'!$B$2:$AO$2,0))</f>
        <v>4.2465316205781152</v>
      </c>
      <c r="AP331" s="16">
        <f>INDEX('Team forecast'!$B$2:$AO$26,MATCH('Master data'!$B331,'Team forecast'!$B$2:$B$26,0),MATCH('Master data'!AP$1,'Team forecast'!$B$2:$AO$2,0))</f>
        <v>2.5892273945078212</v>
      </c>
      <c r="AQ331" s="5">
        <f t="shared" si="190"/>
        <v>-5000</v>
      </c>
      <c r="AR331" s="5">
        <f>INDEX('Team forecast'!$B$2:$AO$26,MATCH('Master data'!$B331,'Team forecast'!$B$2:$B$26,0),MATCH('Master data'!AR$1,'Team forecast'!$B$2:$AO$2,0))*IF(X331&gt;0,25000,0)</f>
        <v>0</v>
      </c>
      <c r="AS331" s="16">
        <f>INDEX('Team forecast'!$B$2:$AO$26,MATCH('Master data'!$B331,'Team forecast'!$B$2:$B$26,0),MATCH('Master data'!AS$1,'Team forecast'!$B$2:$AO$2,0))*IF(X331&gt;0,5000,0)</f>
        <v>0</v>
      </c>
      <c r="AT331" s="16">
        <f>INDEX('Team forecast'!$B$2:$AO$26,MATCH('Master data'!$B331,'Team forecast'!$B$2:$B$26,0),MATCH('Master data'!AT$1,'Team forecast'!$B$2:$AO$2,0))*IF(X331&gt;0,-15000,0)</f>
        <v>0</v>
      </c>
      <c r="AU331" s="5">
        <f t="shared" si="191"/>
        <v>0</v>
      </c>
      <c r="AV331" s="5">
        <f t="shared" si="192"/>
        <v>0</v>
      </c>
      <c r="AW331" s="5">
        <f t="shared" si="193"/>
        <v>0</v>
      </c>
      <c r="AX331" s="5">
        <f t="shared" si="194"/>
        <v>35064.935064935067</v>
      </c>
      <c r="AY331" s="5">
        <f t="shared" si="195"/>
        <v>9144.7045555512377</v>
      </c>
      <c r="AZ331" s="5">
        <f t="shared" si="196"/>
        <v>0</v>
      </c>
      <c r="BA331" s="5">
        <f t="shared" si="197"/>
        <v>0</v>
      </c>
      <c r="BB331" s="5">
        <f t="shared" si="198"/>
        <v>0</v>
      </c>
      <c r="BC331" s="5">
        <f t="shared" si="199"/>
        <v>0</v>
      </c>
      <c r="BD331" s="5">
        <f t="shared" si="200"/>
        <v>39209.639620486305</v>
      </c>
      <c r="BE331" s="16">
        <f>INDEX('Team forecast'!$B$2:$AO$26,MATCH('Master data'!$B331,'Team forecast'!$B$2:$B$26,0),MATCH('Master data'!BE$1,'Team forecast'!$B$2:$AO$2,0))</f>
        <v>1.1461513485277883</v>
      </c>
      <c r="BF331" s="16">
        <f>INDEX('Team forecast'!$B$2:$AO$26,MATCH('Master data'!$B331,'Team forecast'!$B$2:$B$26,0),MATCH('Master data'!BF$1,'Team forecast'!$B$2:$AO$2,0))</f>
        <v>1.1461513485277883</v>
      </c>
      <c r="BG331" s="16">
        <f>INDEX('Team forecast'!$B$2:$AO$26,MATCH('Master data'!$B331,'Team forecast'!$B$2:$B$26,0),MATCH('Master data'!BG$1,'Team forecast'!$B$2:$AO$2,0))</f>
        <v>0.31785774198959899</v>
      </c>
      <c r="BH331" s="16">
        <f>INDEX('Team forecast'!$B$2:$AO$26,MATCH('Master data'!$B331,'Team forecast'!$B$2:$B$26,0),MATCH('Master data'!BH$1,'Team forecast'!$B$2:$AO$2,0))</f>
        <v>3.0977063473724007</v>
      </c>
      <c r="BI331" s="16">
        <f>INDEX('Team forecast'!$B$2:$AO$26,MATCH('Master data'!$B331,'Team forecast'!$B$2:$B$26,0),MATCH('Master data'!BI$1,'Team forecast'!$B$2:$AO$2,0))</f>
        <v>3.9033266205107195</v>
      </c>
      <c r="BJ331" s="5">
        <f t="shared" si="201"/>
        <v>-5000</v>
      </c>
      <c r="BK331" s="5">
        <f>INDEX('Team forecast'!$R$3:$BH$26,MATCH($B331,'Team forecast'!$B$3:$B$26,0),MATCH(BK$1,'Team forecast'!$R$2:$BH$2,0))*IF($X331&gt;0,25000,0)</f>
        <v>0</v>
      </c>
      <c r="BL331" s="5">
        <f>INDEX('Team forecast'!$R$3:$BH$26,MATCH($B331,'Team forecast'!$B$3:$B$26,0),MATCH(BL$1,'Team forecast'!$R$2:$BH$2,0))*IF($X331&gt;0,5000,0)</f>
        <v>0</v>
      </c>
      <c r="BM331" s="5">
        <f>INDEX('Team forecast'!$R$3:$BH$26,MATCH($B331,'Team forecast'!$B$3:$B$26,0),MATCH(BM$1,'Team forecast'!$R$2:$BH$2,0))*IF($X331&gt;0,-15000,0)</f>
        <v>0</v>
      </c>
      <c r="BN331" s="5">
        <f t="shared" si="202"/>
        <v>0</v>
      </c>
      <c r="BO331" s="5">
        <f t="shared" si="203"/>
        <v>0</v>
      </c>
      <c r="BP331" s="5">
        <f t="shared" si="204"/>
        <v>0</v>
      </c>
      <c r="BQ331" s="5">
        <f t="shared" si="205"/>
        <v>23839.330649219923</v>
      </c>
      <c r="BR331" s="5">
        <f t="shared" si="206"/>
        <v>13785.876359914657</v>
      </c>
      <c r="BS331" s="5">
        <f t="shared" si="207"/>
        <v>0</v>
      </c>
      <c r="BT331" s="5">
        <f t="shared" si="208"/>
        <v>0</v>
      </c>
      <c r="BU331" s="5">
        <f t="shared" si="209"/>
        <v>0</v>
      </c>
      <c r="BV331" s="5">
        <f t="shared" si="210"/>
        <v>0</v>
      </c>
      <c r="BW331" s="5">
        <f t="shared" si="211"/>
        <v>32625.207009134581</v>
      </c>
      <c r="BX331" s="5">
        <f t="shared" si="212"/>
        <v>33772.604242291673</v>
      </c>
      <c r="BY331" s="5">
        <f t="shared" si="213"/>
        <v>101317.81272687501</v>
      </c>
      <c r="BZ331" s="5">
        <f>INDEX('Team forecast'!$R$3:$BH$26,MATCH($B331,'Team forecast'!$B$3:$B$26,0),MATCH(BZ$1,'Team forecast'!$R$2:$BH$2,0))*($BX331-(BY331+CH331)*0.01)</f>
        <v>-1672.3881868225135</v>
      </c>
      <c r="CA331" s="5">
        <f>INDEX('Team forecast'!$R$3:$BH$26,MATCH($B331,'Team forecast'!$B$3:$B$26,0),MATCH(CA$1,'Team forecast'!$R$2:$BH$2,0))*($BX331-(BY331+BX331+CH331)*0.01)</f>
        <v>-945.59418215750395</v>
      </c>
      <c r="CB331" s="5">
        <f>INDEX('Team forecast'!$R$3:$BH$26,MATCH($B331,'Team forecast'!$B$3:$B$26,0),MATCH(CB$1,'Team forecast'!$R$2:$BH$2,0))*($BX331-(BY331+BX331*2+CH331)*0.01)</f>
        <v>-517.01404338404109</v>
      </c>
      <c r="CC331" s="5">
        <f>INDEX('Team forecast'!$R$3:$BH$26,MATCH($B331,'Team forecast'!$B$3:$B$26,0),MATCH(CC$1,'Team forecast'!$R$2:$BH$2,0))*($BX331-(BY331+BX331*3+CH331)*0.01)</f>
        <v>-262.95976383568012</v>
      </c>
      <c r="CD331" s="5">
        <f>+AK331+BD331*Cockpit!$C$3+BW331*Cockpit!$C$3^2+BZ331*Cockpit!$C$3^3+CA331*Cockpit!$C$3^4+CB331*Cockpit!$C$3^5+CC331*Cockpit!$C$3^6</f>
        <v>69349.341601892331</v>
      </c>
      <c r="CE331" s="5"/>
      <c r="CF331" s="5"/>
      <c r="CG331" s="5">
        <v>0</v>
      </c>
      <c r="CH331" s="5">
        <f t="shared" si="214"/>
        <v>3500000</v>
      </c>
      <c r="CI331" s="5">
        <f t="shared" si="215"/>
        <v>3500000</v>
      </c>
      <c r="CJ331" s="1">
        <f t="shared" si="216"/>
        <v>2.894794649339286E-2</v>
      </c>
      <c r="CK331" s="5">
        <f>RANK(BY331,$BY$2:$BY$623)+COUNTIF($BY$2:$BY331,$BY331)-1</f>
        <v>166</v>
      </c>
      <c r="CL331" s="5">
        <f>RANK(CJ331,$CJ$2:$CJ$623)+COUNTIF($CJ$2:$CJ331,$CJ331)-1</f>
        <v>156</v>
      </c>
    </row>
    <row r="332" spans="1:90">
      <c r="A332" t="str">
        <f>Players!P333</f>
        <v>Georgiy Bushchan</v>
      </c>
      <c r="B332" t="str">
        <f>Players!G333</f>
        <v>Ukraine</v>
      </c>
      <c r="C332" t="str">
        <f>Players!AB333</f>
        <v>Goalkeeper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4000000</v>
      </c>
      <c r="H332" s="16">
        <f>INDEX('Team forecast'!$B$2:$AO$26,MATCH('Master data'!$B332,'Team forecast'!$B$2:$B$26,0),MATCH('Master data'!H$1,'Team forecast'!$B$2:$AO$2,0))</f>
        <v>0.76028648339757388</v>
      </c>
      <c r="I332" s="16">
        <f>INDEX('Team forecast'!$B$2:$AO$26,MATCH('Master data'!$B332,'Team forecast'!$B$2:$B$26,0),MATCH('Master data'!I$1,'Team forecast'!$B$2:$AO$2,0))</f>
        <v>1.5712166996139025</v>
      </c>
      <c r="J332" s="16">
        <f>INDEX('Team forecast'!$B$2:$AO$26,MATCH('Master data'!$B332,'Team forecast'!$B$2:$B$26,0),MATCH('Master data'!J$1,'Team forecast'!$B$2:$AO$2,0))</f>
        <v>0.20779220779220781</v>
      </c>
      <c r="K332" s="16">
        <f>INDEX('Team forecast'!$B$2:$AO$26,MATCH('Master data'!$B332,'Team forecast'!$B$2:$B$26,0),MATCH('Master data'!K$1,'Team forecast'!$B$2:$AO$2,0))</f>
        <v>2.0548283335069564</v>
      </c>
      <c r="L332" s="16">
        <f>INDEX('Team forecast'!$B$2:$AO$26,MATCH('Master data'!$B332,'Team forecast'!$B$2:$B$26,0),MATCH('Master data'!L$1,'Team forecast'!$B$2:$AO$2,0))</f>
        <v>5.3509268021816121</v>
      </c>
      <c r="M332">
        <f>IF(Players!BC333=1,95,0)</f>
        <v>95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0</v>
      </c>
      <c r="R332" s="2">
        <f>Players!BR333</f>
        <v>0</v>
      </c>
      <c r="S332" s="2">
        <f t="shared" si="175"/>
        <v>0.76028648339757388</v>
      </c>
      <c r="T332" s="2">
        <f t="shared" si="176"/>
        <v>1.5712166996139025</v>
      </c>
      <c r="U332" s="16">
        <f>INDEX('Team forecast'!$B$2:$AO$26,MATCH('Master data'!$B332,'Team forecast'!$B$2:$B$26,0),MATCH('Master data'!U$1,'Team forecast'!$B$2:$AO$2,0))</f>
        <v>0.15584415584415581</v>
      </c>
      <c r="V332" s="16">
        <f>INDEX('Team forecast'!$B$2:$AO$26,MATCH('Master data'!$B332,'Team forecast'!$B$2:$B$26,0),MATCH('Master data'!V$1,'Team forecast'!$B$2:$AO$2,0))</f>
        <v>0.25974025974025972</v>
      </c>
      <c r="W332" s="16">
        <f>INDEX('Team forecast'!$B$2:$AO$26,MATCH('Master data'!$B332,'Team forecast'!$B$2:$B$26,0),MATCH('Master data'!W$1,'Team forecast'!$B$2:$AO$2,0))</f>
        <v>0.58441558441558439</v>
      </c>
      <c r="X332" s="5">
        <f t="shared" si="177"/>
        <v>7000</v>
      </c>
      <c r="Y332" s="5">
        <f t="shared" si="178"/>
        <v>3896.1038961038953</v>
      </c>
      <c r="Z332" s="5">
        <f t="shared" si="179"/>
        <v>1298.7012987012986</v>
      </c>
      <c r="AA332" s="5">
        <f t="shared" si="180"/>
        <v>-8766.233766233765</v>
      </c>
      <c r="AB332" s="5">
        <f t="shared" si="181"/>
        <v>0</v>
      </c>
      <c r="AC332" s="5">
        <f t="shared" si="182"/>
        <v>0</v>
      </c>
      <c r="AD332" s="5">
        <f t="shared" si="183"/>
        <v>0</v>
      </c>
      <c r="AE332" s="5">
        <f t="shared" si="184"/>
        <v>15584.415584415585</v>
      </c>
      <c r="AF332" s="5">
        <f t="shared" si="185"/>
        <v>18898.550512838548</v>
      </c>
      <c r="AG332" s="5">
        <f t="shared" si="186"/>
        <v>0</v>
      </c>
      <c r="AH332" s="5">
        <f t="shared" si="187"/>
        <v>0</v>
      </c>
      <c r="AI332" s="5">
        <f t="shared" si="188"/>
        <v>7602.8648339757392</v>
      </c>
      <c r="AJ332" s="5">
        <f t="shared" si="189"/>
        <v>-12569.733596911221</v>
      </c>
      <c r="AK332" s="5">
        <f>IFERROR(SUM(X332:AJ332),-5000)*((Cockpit!$C$3)^0)</f>
        <v>32944.668762890084</v>
      </c>
      <c r="AL332" s="16">
        <f>INDEX('Team forecast'!$B$2:$AO$26,MATCH('Master data'!$B332,'Team forecast'!$B$2:$B$26,0),MATCH('Master data'!AL$1,'Team forecast'!$B$2:$AO$2,0))</f>
        <v>1.5712166996139025</v>
      </c>
      <c r="AM332" s="16">
        <f>INDEX('Team forecast'!$B$2:$AO$26,MATCH('Master data'!$B332,'Team forecast'!$B$2:$B$26,0),MATCH('Master data'!AM$1,'Team forecast'!$B$2:$AO$2,0))</f>
        <v>0.76028648339757388</v>
      </c>
      <c r="AN332" s="16">
        <f>INDEX('Team forecast'!$B$2:$AO$26,MATCH('Master data'!$B332,'Team forecast'!$B$2:$B$26,0),MATCH('Master data'!AN$1,'Team forecast'!$B$2:$AO$2,0))</f>
        <v>0.46753246753246752</v>
      </c>
      <c r="AO332" s="16">
        <f>INDEX('Team forecast'!$B$2:$AO$26,MATCH('Master data'!$B332,'Team forecast'!$B$2:$B$26,0),MATCH('Master data'!AO$1,'Team forecast'!$B$2:$AO$2,0))</f>
        <v>4.2465316205781152</v>
      </c>
      <c r="AP332" s="16">
        <f>INDEX('Team forecast'!$B$2:$AO$26,MATCH('Master data'!$B332,'Team forecast'!$B$2:$B$26,0),MATCH('Master data'!AP$1,'Team forecast'!$B$2:$AO$2,0))</f>
        <v>2.5892273945078212</v>
      </c>
      <c r="AQ332" s="5">
        <f t="shared" si="190"/>
        <v>7000</v>
      </c>
      <c r="AR332" s="5">
        <f>INDEX('Team forecast'!$B$2:$AO$26,MATCH('Master data'!$B332,'Team forecast'!$B$2:$B$26,0),MATCH('Master data'!AR$1,'Team forecast'!$B$2:$AO$2,0))*IF(X332&gt;0,25000,0)</f>
        <v>14610.38961038961</v>
      </c>
      <c r="AS332" s="16">
        <f>INDEX('Team forecast'!$B$2:$AO$26,MATCH('Master data'!$B332,'Team forecast'!$B$2:$B$26,0),MATCH('Master data'!AS$1,'Team forecast'!$B$2:$AO$2,0))*IF(X332&gt;0,5000,0)</f>
        <v>1298.7012987012986</v>
      </c>
      <c r="AT332" s="16">
        <f>INDEX('Team forecast'!$B$2:$AO$26,MATCH('Master data'!$B332,'Team forecast'!$B$2:$B$26,0),MATCH('Master data'!AT$1,'Team forecast'!$B$2:$AO$2,0))*IF(X332&gt;0,-15000,0)</f>
        <v>-2337.662337662337</v>
      </c>
      <c r="AU332" s="5">
        <f t="shared" si="191"/>
        <v>0</v>
      </c>
      <c r="AV332" s="5">
        <f t="shared" si="192"/>
        <v>0</v>
      </c>
      <c r="AW332" s="5">
        <f t="shared" si="193"/>
        <v>0</v>
      </c>
      <c r="AX332" s="5">
        <f t="shared" si="194"/>
        <v>35064.935064935067</v>
      </c>
      <c r="AY332" s="5">
        <f t="shared" si="195"/>
        <v>9144.7045555512377</v>
      </c>
      <c r="AZ332" s="5">
        <f t="shared" si="196"/>
        <v>0</v>
      </c>
      <c r="BA332" s="5">
        <f t="shared" si="197"/>
        <v>0</v>
      </c>
      <c r="BB332" s="5">
        <f t="shared" si="198"/>
        <v>15712.166996139025</v>
      </c>
      <c r="BC332" s="5">
        <f t="shared" si="199"/>
        <v>-6082.291867180591</v>
      </c>
      <c r="BD332" s="5">
        <f t="shared" si="200"/>
        <v>74410.94332087331</v>
      </c>
      <c r="BE332" s="16">
        <f>INDEX('Team forecast'!$B$2:$AO$26,MATCH('Master data'!$B332,'Team forecast'!$B$2:$B$26,0),MATCH('Master data'!BE$1,'Team forecast'!$B$2:$AO$2,0))</f>
        <v>1.1461513485277883</v>
      </c>
      <c r="BF332" s="16">
        <f>INDEX('Team forecast'!$B$2:$AO$26,MATCH('Master data'!$B332,'Team forecast'!$B$2:$B$26,0),MATCH('Master data'!BF$1,'Team forecast'!$B$2:$AO$2,0))</f>
        <v>1.1461513485277883</v>
      </c>
      <c r="BG332" s="16">
        <f>INDEX('Team forecast'!$B$2:$AO$26,MATCH('Master data'!$B332,'Team forecast'!$B$2:$B$26,0),MATCH('Master data'!BG$1,'Team forecast'!$B$2:$AO$2,0))</f>
        <v>0.31785774198959899</v>
      </c>
      <c r="BH332" s="16">
        <f>INDEX('Team forecast'!$B$2:$AO$26,MATCH('Master data'!$B332,'Team forecast'!$B$2:$B$26,0),MATCH('Master data'!BH$1,'Team forecast'!$B$2:$AO$2,0))</f>
        <v>3.0977063473724007</v>
      </c>
      <c r="BI332" s="16">
        <f>INDEX('Team forecast'!$B$2:$AO$26,MATCH('Master data'!$B332,'Team forecast'!$B$2:$B$26,0),MATCH('Master data'!BI$1,'Team forecast'!$B$2:$AO$2,0))</f>
        <v>3.9033266205107195</v>
      </c>
      <c r="BJ332" s="5">
        <f t="shared" si="201"/>
        <v>7000</v>
      </c>
      <c r="BK332" s="5">
        <f>INDEX('Team forecast'!$R$3:$BH$26,MATCH($B332,'Team forecast'!$B$3:$B$26,0),MATCH(BK$1,'Team forecast'!$R$2:$BH$2,0))*IF($X332&gt;0,25000,0)</f>
        <v>8668.8475088072482</v>
      </c>
      <c r="BL332" s="5">
        <f>INDEX('Team forecast'!$R$3:$BH$26,MATCH($B332,'Team forecast'!$B$3:$B$26,0),MATCH(BL$1,'Team forecast'!$R$2:$BH$2,0))*IF($X332&gt;0,5000,0)</f>
        <v>1467.0357322596881</v>
      </c>
      <c r="BM332" s="5">
        <f>INDEX('Team forecast'!$R$3:$BH$26,MATCH($B332,'Team forecast'!$B$3:$B$26,0),MATCH(BM$1,'Team forecast'!$R$2:$BH$2,0))*IF($X332&gt;0,-15000,0)</f>
        <v>-5397.584297936588</v>
      </c>
      <c r="BN332" s="5">
        <f t="shared" si="202"/>
        <v>0</v>
      </c>
      <c r="BO332" s="5">
        <f t="shared" si="203"/>
        <v>0</v>
      </c>
      <c r="BP332" s="5">
        <f t="shared" si="204"/>
        <v>0</v>
      </c>
      <c r="BQ332" s="5">
        <f t="shared" si="205"/>
        <v>23839.330649219923</v>
      </c>
      <c r="BR332" s="5">
        <f t="shared" si="206"/>
        <v>13785.876359914657</v>
      </c>
      <c r="BS332" s="5">
        <f t="shared" si="207"/>
        <v>0</v>
      </c>
      <c r="BT332" s="5">
        <f t="shared" si="208"/>
        <v>0</v>
      </c>
      <c r="BU332" s="5">
        <f t="shared" si="209"/>
        <v>11461.513485277883</v>
      </c>
      <c r="BV332" s="5">
        <f t="shared" si="210"/>
        <v>-9169.2107882223063</v>
      </c>
      <c r="BW332" s="5">
        <f t="shared" si="211"/>
        <v>51655.808649320505</v>
      </c>
      <c r="BX332" s="5">
        <f t="shared" si="212"/>
        <v>53003.806911027968</v>
      </c>
      <c r="BY332" s="5">
        <f t="shared" si="213"/>
        <v>159011.42073308391</v>
      </c>
      <c r="BZ332" s="5">
        <f>INDEX('Team forecast'!$R$3:$BH$26,MATCH($B332,'Team forecast'!$B$3:$B$26,0),MATCH(BZ$1,'Team forecast'!$R$2:$BH$2,0))*($BX332-(BY332+CH332)*0.01)</f>
        <v>8519.3016725180023</v>
      </c>
      <c r="CA332" s="5">
        <f>INDEX('Team forecast'!$R$3:$BH$26,MATCH($B332,'Team forecast'!$B$3:$B$26,0),MATCH(CA$1,'Team forecast'!$R$2:$BH$2,0))*($BX332-(BY332+BX332+CH332)*0.01)</f>
        <v>3991.5916661623742</v>
      </c>
      <c r="CB332" s="5">
        <f>INDEX('Team forecast'!$R$3:$BH$26,MATCH($B332,'Team forecast'!$B$3:$B$26,0),MATCH(CB$1,'Team forecast'!$R$2:$BH$2,0))*($BX332-(BY332+BX332*2+CH332)*0.01)</f>
        <v>1835.7055868367684</v>
      </c>
      <c r="CC332" s="5">
        <f>INDEX('Team forecast'!$R$3:$BH$26,MATCH($B332,'Team forecast'!$B$3:$B$26,0),MATCH(CC$1,'Team forecast'!$R$2:$BH$2,0))*($BX332-(BY332+BX332*3+CH332)*0.01)</f>
        <v>793.91603038694529</v>
      </c>
      <c r="CD332" s="5">
        <f>+AK332+BD332*Cockpit!$C$3+BW332*Cockpit!$C$3^2+BZ332*Cockpit!$C$3^3+CA332*Cockpit!$C$3^4+CB332*Cockpit!$C$3^5+CC332*Cockpit!$C$3^6</f>
        <v>109134.2396542435</v>
      </c>
      <c r="CE332" s="5"/>
      <c r="CF332" s="5"/>
      <c r="CG332" s="5">
        <v>0</v>
      </c>
      <c r="CH332" s="5">
        <f t="shared" si="214"/>
        <v>4000000</v>
      </c>
      <c r="CI332" s="5">
        <f t="shared" si="215"/>
        <v>4000000</v>
      </c>
      <c r="CJ332" s="1">
        <f t="shared" si="216"/>
        <v>3.9752855183270978E-2</v>
      </c>
      <c r="CK332" s="5">
        <f>RANK(BY332,$BY$2:$BY$623)+COUNTIF($BY$2:$BY332,$BY332)-1</f>
        <v>90</v>
      </c>
      <c r="CL332" s="5">
        <f>RANK(CJ332,$CJ$2:$CJ$623)+COUNTIF($CJ$2:$CJ332,$CJ332)-1</f>
        <v>76</v>
      </c>
    </row>
    <row r="333" spans="1:90">
      <c r="A333" t="str">
        <f>Players!P334</f>
        <v>Denys Popov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2000000</v>
      </c>
      <c r="H333" s="16">
        <f>INDEX('Team forecast'!$B$2:$AO$26,MATCH('Master data'!$B333,'Team forecast'!$B$2:$B$26,0),MATCH('Master data'!H$1,'Team forecast'!$B$2:$AO$2,0))</f>
        <v>0.76028648339757388</v>
      </c>
      <c r="I333" s="16">
        <f>INDEX('Team forecast'!$B$2:$AO$26,MATCH('Master data'!$B333,'Team forecast'!$B$2:$B$26,0),MATCH('Master data'!I$1,'Team forecast'!$B$2:$AO$2,0))</f>
        <v>1.5712166996139025</v>
      </c>
      <c r="J333" s="16">
        <f>INDEX('Team forecast'!$B$2:$AO$26,MATCH('Master data'!$B333,'Team forecast'!$B$2:$B$26,0),MATCH('Master data'!J$1,'Team forecast'!$B$2:$AO$2,0))</f>
        <v>0.20779220779220781</v>
      </c>
      <c r="K333" s="16">
        <f>INDEX('Team forecast'!$B$2:$AO$26,MATCH('Master data'!$B333,'Team forecast'!$B$2:$B$26,0),MATCH('Master data'!K$1,'Team forecast'!$B$2:$AO$2,0))</f>
        <v>2.0548283335069564</v>
      </c>
      <c r="L333" s="16">
        <f>INDEX('Team forecast'!$B$2:$AO$26,MATCH('Master data'!$B333,'Team forecast'!$B$2:$B$26,0),MATCH('Master data'!L$1,'Team forecast'!$B$2:$AO$2,0))</f>
        <v>5.3509268021816121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0.52500000000000002</v>
      </c>
      <c r="R333" s="2">
        <f>Players!BR334</f>
        <v>0</v>
      </c>
      <c r="S333" s="2">
        <f t="shared" si="175"/>
        <v>0.76028648339757388</v>
      </c>
      <c r="T333" s="2">
        <f t="shared" si="176"/>
        <v>1.5712166996139025</v>
      </c>
      <c r="U333" s="16">
        <f>INDEX('Team forecast'!$B$2:$AO$26,MATCH('Master data'!$B333,'Team forecast'!$B$2:$B$26,0),MATCH('Master data'!U$1,'Team forecast'!$B$2:$AO$2,0))</f>
        <v>0.15584415584415581</v>
      </c>
      <c r="V333" s="16">
        <f>INDEX('Team forecast'!$B$2:$AO$26,MATCH('Master data'!$B333,'Team forecast'!$B$2:$B$26,0),MATCH('Master data'!V$1,'Team forecast'!$B$2:$AO$2,0))</f>
        <v>0.25974025974025972</v>
      </c>
      <c r="W333" s="16">
        <f>INDEX('Team forecast'!$B$2:$AO$26,MATCH('Master data'!$B333,'Team forecast'!$B$2:$B$26,0),MATCH('Master data'!W$1,'Team forecast'!$B$2:$AO$2,0))</f>
        <v>0.58441558441558439</v>
      </c>
      <c r="X333" s="5">
        <f t="shared" si="177"/>
        <v>-5000</v>
      </c>
      <c r="Y333" s="5">
        <f t="shared" si="178"/>
        <v>0</v>
      </c>
      <c r="Z333" s="5">
        <f t="shared" si="179"/>
        <v>0</v>
      </c>
      <c r="AA333" s="5">
        <f t="shared" si="180"/>
        <v>0</v>
      </c>
      <c r="AB333" s="5">
        <f t="shared" si="181"/>
        <v>0</v>
      </c>
      <c r="AC333" s="5">
        <f t="shared" si="182"/>
        <v>0</v>
      </c>
      <c r="AD333" s="5">
        <f t="shared" si="183"/>
        <v>0</v>
      </c>
      <c r="AE333" s="5">
        <f t="shared" si="184"/>
        <v>10389.61038961039</v>
      </c>
      <c r="AF333" s="5">
        <f t="shared" si="185"/>
        <v>0</v>
      </c>
      <c r="AG333" s="5">
        <f t="shared" si="186"/>
        <v>0</v>
      </c>
      <c r="AH333" s="5">
        <f t="shared" si="187"/>
        <v>0</v>
      </c>
      <c r="AI333" s="5">
        <f t="shared" si="188"/>
        <v>0</v>
      </c>
      <c r="AJ333" s="5">
        <f t="shared" si="189"/>
        <v>0</v>
      </c>
      <c r="AK333" s="5">
        <f>IFERROR(SUM(X333:AJ333),-5000)*((Cockpit!$C$3)^0)</f>
        <v>5389.6103896103905</v>
      </c>
      <c r="AL333" s="16">
        <f>INDEX('Team forecast'!$B$2:$AO$26,MATCH('Master data'!$B333,'Team forecast'!$B$2:$B$26,0),MATCH('Master data'!AL$1,'Team forecast'!$B$2:$AO$2,0))</f>
        <v>1.5712166996139025</v>
      </c>
      <c r="AM333" s="16">
        <f>INDEX('Team forecast'!$B$2:$AO$26,MATCH('Master data'!$B333,'Team forecast'!$B$2:$B$26,0),MATCH('Master data'!AM$1,'Team forecast'!$B$2:$AO$2,0))</f>
        <v>0.76028648339757388</v>
      </c>
      <c r="AN333" s="16">
        <f>INDEX('Team forecast'!$B$2:$AO$26,MATCH('Master data'!$B333,'Team forecast'!$B$2:$B$26,0),MATCH('Master data'!AN$1,'Team forecast'!$B$2:$AO$2,0))</f>
        <v>0.46753246753246752</v>
      </c>
      <c r="AO333" s="16">
        <f>INDEX('Team forecast'!$B$2:$AO$26,MATCH('Master data'!$B333,'Team forecast'!$B$2:$B$26,0),MATCH('Master data'!AO$1,'Team forecast'!$B$2:$AO$2,0))</f>
        <v>4.2465316205781152</v>
      </c>
      <c r="AP333" s="16">
        <f>INDEX('Team forecast'!$B$2:$AO$26,MATCH('Master data'!$B333,'Team forecast'!$B$2:$B$26,0),MATCH('Master data'!AP$1,'Team forecast'!$B$2:$AO$2,0))</f>
        <v>2.5892273945078212</v>
      </c>
      <c r="AQ333" s="5">
        <f t="shared" si="190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191"/>
        <v>0</v>
      </c>
      <c r="AV333" s="5">
        <f t="shared" si="192"/>
        <v>0</v>
      </c>
      <c r="AW333" s="5">
        <f t="shared" si="193"/>
        <v>0</v>
      </c>
      <c r="AX333" s="5">
        <f t="shared" si="194"/>
        <v>23376.623376623374</v>
      </c>
      <c r="AY333" s="5">
        <f t="shared" si="195"/>
        <v>0</v>
      </c>
      <c r="AZ333" s="5">
        <f t="shared" si="196"/>
        <v>0</v>
      </c>
      <c r="BA333" s="5">
        <f t="shared" si="197"/>
        <v>0</v>
      </c>
      <c r="BB333" s="5">
        <f t="shared" si="198"/>
        <v>0</v>
      </c>
      <c r="BC333" s="5">
        <f t="shared" si="199"/>
        <v>0</v>
      </c>
      <c r="BD333" s="5">
        <f t="shared" si="200"/>
        <v>18376.623376623374</v>
      </c>
      <c r="BE333" s="16">
        <f>INDEX('Team forecast'!$B$2:$AO$26,MATCH('Master data'!$B333,'Team forecast'!$B$2:$B$26,0),MATCH('Master data'!BE$1,'Team forecast'!$B$2:$AO$2,0))</f>
        <v>1.1461513485277883</v>
      </c>
      <c r="BF333" s="16">
        <f>INDEX('Team forecast'!$B$2:$AO$26,MATCH('Master data'!$B333,'Team forecast'!$B$2:$B$26,0),MATCH('Master data'!BF$1,'Team forecast'!$B$2:$AO$2,0))</f>
        <v>1.1461513485277883</v>
      </c>
      <c r="BG333" s="16">
        <f>INDEX('Team forecast'!$B$2:$AO$26,MATCH('Master data'!$B333,'Team forecast'!$B$2:$B$26,0),MATCH('Master data'!BG$1,'Team forecast'!$B$2:$AO$2,0))</f>
        <v>0.31785774198959899</v>
      </c>
      <c r="BH333" s="16">
        <f>INDEX('Team forecast'!$B$2:$AO$26,MATCH('Master data'!$B333,'Team forecast'!$B$2:$B$26,0),MATCH('Master data'!BH$1,'Team forecast'!$B$2:$AO$2,0))</f>
        <v>3.0977063473724007</v>
      </c>
      <c r="BI333" s="16">
        <f>INDEX('Team forecast'!$B$2:$AO$26,MATCH('Master data'!$B333,'Team forecast'!$B$2:$B$26,0),MATCH('Master data'!BI$1,'Team forecast'!$B$2:$AO$2,0))</f>
        <v>3.9033266205107195</v>
      </c>
      <c r="BJ333" s="5">
        <f t="shared" si="201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202"/>
        <v>0</v>
      </c>
      <c r="BO333" s="5">
        <f t="shared" si="203"/>
        <v>0</v>
      </c>
      <c r="BP333" s="5">
        <f t="shared" si="204"/>
        <v>0</v>
      </c>
      <c r="BQ333" s="5">
        <f t="shared" si="205"/>
        <v>15892.887099479949</v>
      </c>
      <c r="BR333" s="5">
        <f t="shared" si="206"/>
        <v>0</v>
      </c>
      <c r="BS333" s="5">
        <f t="shared" si="207"/>
        <v>0</v>
      </c>
      <c r="BT333" s="5">
        <f t="shared" si="208"/>
        <v>0</v>
      </c>
      <c r="BU333" s="5">
        <f t="shared" si="209"/>
        <v>0</v>
      </c>
      <c r="BV333" s="5">
        <f t="shared" si="210"/>
        <v>0</v>
      </c>
      <c r="BW333" s="5">
        <f t="shared" si="211"/>
        <v>10892.887099479949</v>
      </c>
      <c r="BX333" s="5">
        <f t="shared" si="212"/>
        <v>11553.040288571239</v>
      </c>
      <c r="BY333" s="5">
        <f t="shared" si="213"/>
        <v>34659.120865713718</v>
      </c>
      <c r="BZ333" s="5">
        <f>INDEX('Team forecast'!$R$3:$BH$26,MATCH($B333,'Team forecast'!$B$3:$B$26,0),MATCH(BZ$1,'Team forecast'!$R$2:$BH$2,0))*($BX333-(BY333+CH333)*0.01)</f>
        <v>-6563.5999676593328</v>
      </c>
      <c r="CA333" s="5">
        <f>INDEX('Team forecast'!$R$3:$BH$26,MATCH($B333,'Team forecast'!$B$3:$B$26,0),MATCH(CA$1,'Team forecast'!$R$2:$BH$2,0))*($BX333-(BY333+BX333+CH333)*0.01)</f>
        <v>-3267.4148487702614</v>
      </c>
      <c r="CB333" s="5">
        <f>INDEX('Team forecast'!$R$3:$BH$26,MATCH($B333,'Team forecast'!$B$3:$B$26,0),MATCH(CB$1,'Team forecast'!$R$2:$BH$2,0))*($BX333-(BY333+BX333*2+CH333)*0.01)</f>
        <v>-1600.0718260543731</v>
      </c>
      <c r="CC333" s="5">
        <f>INDEX('Team forecast'!$R$3:$BH$26,MATCH($B333,'Team forecast'!$B$3:$B$26,0),MATCH(CC$1,'Team forecast'!$R$2:$BH$2,0))*($BX333-(BY333+BX333*3+CH333)*0.01)</f>
        <v>-738.68248303897747</v>
      </c>
      <c r="CD333" s="5">
        <f>+AK333+BD333*Cockpit!$C$3+BW333*Cockpit!$C$3^2+BZ333*Cockpit!$C$3^3+CA333*Cockpit!$C$3^4+CB333*Cockpit!$C$3^5+CC333*Cockpit!$C$3^6</f>
        <v>19616.231069744019</v>
      </c>
      <c r="CE333" s="5"/>
      <c r="CF333" s="5"/>
      <c r="CG333" s="5">
        <v>0</v>
      </c>
      <c r="CH333" s="5">
        <f t="shared" si="214"/>
        <v>2000000</v>
      </c>
      <c r="CI333" s="5">
        <f t="shared" si="215"/>
        <v>2000000</v>
      </c>
      <c r="CJ333" s="1">
        <f t="shared" si="216"/>
        <v>1.7329560432856859E-2</v>
      </c>
      <c r="CK333" s="5">
        <f>RANK(BY333,$BY$2:$BY$623)+COUNTIF($BY$2:$BY333,$BY333)-1</f>
        <v>333</v>
      </c>
      <c r="CL333" s="5">
        <f>RANK(CJ333,$CJ$2:$CJ$623)+COUNTIF($CJ$2:$CJ333,$CJ333)-1</f>
        <v>285</v>
      </c>
    </row>
    <row r="334" spans="1:90">
      <c r="A334" t="str">
        <f>Players!P335</f>
        <v>Eduard Sobol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2500000</v>
      </c>
      <c r="H334" s="16">
        <f>INDEX('Team forecast'!$B$2:$AO$26,MATCH('Master data'!$B334,'Team forecast'!$B$2:$B$26,0),MATCH('Master data'!H$1,'Team forecast'!$B$2:$AO$2,0))</f>
        <v>0.76028648339757388</v>
      </c>
      <c r="I334" s="16">
        <f>INDEX('Team forecast'!$B$2:$AO$26,MATCH('Master data'!$B334,'Team forecast'!$B$2:$B$26,0),MATCH('Master data'!I$1,'Team forecast'!$B$2:$AO$2,0))</f>
        <v>1.5712166996139025</v>
      </c>
      <c r="J334" s="16">
        <f>INDEX('Team forecast'!$B$2:$AO$26,MATCH('Master data'!$B334,'Team forecast'!$B$2:$B$26,0),MATCH('Master data'!J$1,'Team forecast'!$B$2:$AO$2,0))</f>
        <v>0.20779220779220781</v>
      </c>
      <c r="K334" s="16">
        <f>INDEX('Team forecast'!$B$2:$AO$26,MATCH('Master data'!$B334,'Team forecast'!$B$2:$B$26,0),MATCH('Master data'!K$1,'Team forecast'!$B$2:$AO$2,0))</f>
        <v>2.0548283335069564</v>
      </c>
      <c r="L334" s="16">
        <f>INDEX('Team forecast'!$B$2:$AO$26,MATCH('Master data'!$B334,'Team forecast'!$B$2:$B$26,0),MATCH('Master data'!L$1,'Team forecast'!$B$2:$AO$2,0))</f>
        <v>5.3509268021816121</v>
      </c>
      <c r="M334">
        <f>IF(Players!BC335=1,95,0)</f>
        <v>0</v>
      </c>
      <c r="N334" s="2">
        <f>Players!BN335</f>
        <v>0</v>
      </c>
      <c r="O334" s="2">
        <f>Players!BO335</f>
        <v>0</v>
      </c>
      <c r="P334" s="2">
        <f>Players!BP335</f>
        <v>0</v>
      </c>
      <c r="Q334" s="2">
        <f>Players!BQ335</f>
        <v>0</v>
      </c>
      <c r="R334" s="2">
        <f>Players!BR335</f>
        <v>0</v>
      </c>
      <c r="S334" s="2">
        <f t="shared" si="175"/>
        <v>0.76028648339757388</v>
      </c>
      <c r="T334" s="2">
        <f t="shared" si="176"/>
        <v>1.5712166996139025</v>
      </c>
      <c r="U334" s="16">
        <f>INDEX('Team forecast'!$B$2:$AO$26,MATCH('Master data'!$B334,'Team forecast'!$B$2:$B$26,0),MATCH('Master data'!U$1,'Team forecast'!$B$2:$AO$2,0))</f>
        <v>0.15584415584415581</v>
      </c>
      <c r="V334" s="16">
        <f>INDEX('Team forecast'!$B$2:$AO$26,MATCH('Master data'!$B334,'Team forecast'!$B$2:$B$26,0),MATCH('Master data'!V$1,'Team forecast'!$B$2:$AO$2,0))</f>
        <v>0.25974025974025972</v>
      </c>
      <c r="W334" s="16">
        <f>INDEX('Team forecast'!$B$2:$AO$26,MATCH('Master data'!$B334,'Team forecast'!$B$2:$B$26,0),MATCH('Master data'!W$1,'Team forecast'!$B$2:$AO$2,0))</f>
        <v>0.58441558441558439</v>
      </c>
      <c r="X334" s="5">
        <f t="shared" si="177"/>
        <v>-5000</v>
      </c>
      <c r="Y334" s="5">
        <f t="shared" si="178"/>
        <v>0</v>
      </c>
      <c r="Z334" s="5">
        <f t="shared" si="179"/>
        <v>0</v>
      </c>
      <c r="AA334" s="5">
        <f t="shared" si="180"/>
        <v>0</v>
      </c>
      <c r="AB334" s="5">
        <f t="shared" si="181"/>
        <v>0</v>
      </c>
      <c r="AC334" s="5">
        <f t="shared" si="182"/>
        <v>0</v>
      </c>
      <c r="AD334" s="5">
        <f t="shared" si="183"/>
        <v>0</v>
      </c>
      <c r="AE334" s="5">
        <f t="shared" si="184"/>
        <v>10389.61038961039</v>
      </c>
      <c r="AF334" s="5">
        <f t="shared" si="185"/>
        <v>0</v>
      </c>
      <c r="AG334" s="5">
        <f t="shared" si="186"/>
        <v>0</v>
      </c>
      <c r="AH334" s="5">
        <f t="shared" si="187"/>
        <v>0</v>
      </c>
      <c r="AI334" s="5">
        <f t="shared" si="188"/>
        <v>0</v>
      </c>
      <c r="AJ334" s="5">
        <f t="shared" si="189"/>
        <v>0</v>
      </c>
      <c r="AK334" s="5">
        <f>IFERROR(SUM(X334:AJ334),-5000)*((Cockpit!$C$3)^0)</f>
        <v>5389.6103896103905</v>
      </c>
      <c r="AL334" s="16">
        <f>INDEX('Team forecast'!$B$2:$AO$26,MATCH('Master data'!$B334,'Team forecast'!$B$2:$B$26,0),MATCH('Master data'!AL$1,'Team forecast'!$B$2:$AO$2,0))</f>
        <v>1.5712166996139025</v>
      </c>
      <c r="AM334" s="16">
        <f>INDEX('Team forecast'!$B$2:$AO$26,MATCH('Master data'!$B334,'Team forecast'!$B$2:$B$26,0),MATCH('Master data'!AM$1,'Team forecast'!$B$2:$AO$2,0))</f>
        <v>0.76028648339757388</v>
      </c>
      <c r="AN334" s="16">
        <f>INDEX('Team forecast'!$B$2:$AO$26,MATCH('Master data'!$B334,'Team forecast'!$B$2:$B$26,0),MATCH('Master data'!AN$1,'Team forecast'!$B$2:$AO$2,0))</f>
        <v>0.46753246753246752</v>
      </c>
      <c r="AO334" s="16">
        <f>INDEX('Team forecast'!$B$2:$AO$26,MATCH('Master data'!$B334,'Team forecast'!$B$2:$B$26,0),MATCH('Master data'!AO$1,'Team forecast'!$B$2:$AO$2,0))</f>
        <v>4.2465316205781152</v>
      </c>
      <c r="AP334" s="16">
        <f>INDEX('Team forecast'!$B$2:$AO$26,MATCH('Master data'!$B334,'Team forecast'!$B$2:$B$26,0),MATCH('Master data'!AP$1,'Team forecast'!$B$2:$AO$2,0))</f>
        <v>2.5892273945078212</v>
      </c>
      <c r="AQ334" s="5">
        <f t="shared" si="190"/>
        <v>-5000</v>
      </c>
      <c r="AR334" s="5">
        <f>INDEX('Team forecast'!$B$2:$AO$26,MATCH('Master data'!$B334,'Team forecast'!$B$2:$B$26,0),MATCH('Master data'!AR$1,'Team forecast'!$B$2:$AO$2,0))*IF(X334&gt;0,25000,0)</f>
        <v>0</v>
      </c>
      <c r="AS334" s="16">
        <f>INDEX('Team forecast'!$B$2:$AO$26,MATCH('Master data'!$B334,'Team forecast'!$B$2:$B$26,0),MATCH('Master data'!AS$1,'Team forecast'!$B$2:$AO$2,0))*IF(X334&gt;0,5000,0)</f>
        <v>0</v>
      </c>
      <c r="AT334" s="16">
        <f>INDEX('Team forecast'!$B$2:$AO$26,MATCH('Master data'!$B334,'Team forecast'!$B$2:$B$26,0),MATCH('Master data'!AT$1,'Team forecast'!$B$2:$AO$2,0))*IF(X334&gt;0,-15000,0)</f>
        <v>0</v>
      </c>
      <c r="AU334" s="5">
        <f t="shared" si="191"/>
        <v>0</v>
      </c>
      <c r="AV334" s="5">
        <f t="shared" si="192"/>
        <v>0</v>
      </c>
      <c r="AW334" s="5">
        <f t="shared" si="193"/>
        <v>0</v>
      </c>
      <c r="AX334" s="5">
        <f t="shared" si="194"/>
        <v>23376.623376623374</v>
      </c>
      <c r="AY334" s="5">
        <f t="shared" si="195"/>
        <v>0</v>
      </c>
      <c r="AZ334" s="5">
        <f t="shared" si="196"/>
        <v>0</v>
      </c>
      <c r="BA334" s="5">
        <f t="shared" si="197"/>
        <v>0</v>
      </c>
      <c r="BB334" s="5">
        <f t="shared" si="198"/>
        <v>0</v>
      </c>
      <c r="BC334" s="5">
        <f t="shared" si="199"/>
        <v>0</v>
      </c>
      <c r="BD334" s="5">
        <f t="shared" si="200"/>
        <v>18376.623376623374</v>
      </c>
      <c r="BE334" s="16">
        <f>INDEX('Team forecast'!$B$2:$AO$26,MATCH('Master data'!$B334,'Team forecast'!$B$2:$B$26,0),MATCH('Master data'!BE$1,'Team forecast'!$B$2:$AO$2,0))</f>
        <v>1.1461513485277883</v>
      </c>
      <c r="BF334" s="16">
        <f>INDEX('Team forecast'!$B$2:$AO$26,MATCH('Master data'!$B334,'Team forecast'!$B$2:$B$26,0),MATCH('Master data'!BF$1,'Team forecast'!$B$2:$AO$2,0))</f>
        <v>1.1461513485277883</v>
      </c>
      <c r="BG334" s="16">
        <f>INDEX('Team forecast'!$B$2:$AO$26,MATCH('Master data'!$B334,'Team forecast'!$B$2:$B$26,0),MATCH('Master data'!BG$1,'Team forecast'!$B$2:$AO$2,0))</f>
        <v>0.31785774198959899</v>
      </c>
      <c r="BH334" s="16">
        <f>INDEX('Team forecast'!$B$2:$AO$26,MATCH('Master data'!$B334,'Team forecast'!$B$2:$B$26,0),MATCH('Master data'!BH$1,'Team forecast'!$B$2:$AO$2,0))</f>
        <v>3.0977063473724007</v>
      </c>
      <c r="BI334" s="16">
        <f>INDEX('Team forecast'!$B$2:$AO$26,MATCH('Master data'!$B334,'Team forecast'!$B$2:$B$26,0),MATCH('Master data'!BI$1,'Team forecast'!$B$2:$AO$2,0))</f>
        <v>3.9033266205107195</v>
      </c>
      <c r="BJ334" s="5">
        <f t="shared" si="201"/>
        <v>-5000</v>
      </c>
      <c r="BK334" s="5">
        <f>INDEX('Team forecast'!$R$3:$BH$26,MATCH($B334,'Team forecast'!$B$3:$B$26,0),MATCH(BK$1,'Team forecast'!$R$2:$BH$2,0))*IF($X334&gt;0,25000,0)</f>
        <v>0</v>
      </c>
      <c r="BL334" s="5">
        <f>INDEX('Team forecast'!$R$3:$BH$26,MATCH($B334,'Team forecast'!$B$3:$B$26,0),MATCH(BL$1,'Team forecast'!$R$2:$BH$2,0))*IF($X334&gt;0,5000,0)</f>
        <v>0</v>
      </c>
      <c r="BM334" s="5">
        <f>INDEX('Team forecast'!$R$3:$BH$26,MATCH($B334,'Team forecast'!$B$3:$B$26,0),MATCH(BM$1,'Team forecast'!$R$2:$BH$2,0))*IF($X334&gt;0,-15000,0)</f>
        <v>0</v>
      </c>
      <c r="BN334" s="5">
        <f t="shared" si="202"/>
        <v>0</v>
      </c>
      <c r="BO334" s="5">
        <f t="shared" si="203"/>
        <v>0</v>
      </c>
      <c r="BP334" s="5">
        <f t="shared" si="204"/>
        <v>0</v>
      </c>
      <c r="BQ334" s="5">
        <f t="shared" si="205"/>
        <v>15892.887099479949</v>
      </c>
      <c r="BR334" s="5">
        <f t="shared" si="206"/>
        <v>0</v>
      </c>
      <c r="BS334" s="5">
        <f t="shared" si="207"/>
        <v>0</v>
      </c>
      <c r="BT334" s="5">
        <f t="shared" si="208"/>
        <v>0</v>
      </c>
      <c r="BU334" s="5">
        <f t="shared" si="209"/>
        <v>0</v>
      </c>
      <c r="BV334" s="5">
        <f t="shared" si="210"/>
        <v>0</v>
      </c>
      <c r="BW334" s="5">
        <f t="shared" si="211"/>
        <v>10892.887099479949</v>
      </c>
      <c r="BX334" s="5">
        <f t="shared" si="212"/>
        <v>11553.040288571239</v>
      </c>
      <c r="BY334" s="5">
        <f t="shared" si="213"/>
        <v>34659.120865713718</v>
      </c>
      <c r="BZ334" s="5">
        <f>INDEX('Team forecast'!$R$3:$BH$26,MATCH($B334,'Team forecast'!$B$3:$B$26,0),MATCH(BZ$1,'Team forecast'!$R$2:$BH$2,0))*($BX334-(BY334+CH334)*0.01)</f>
        <v>-10295.653166252296</v>
      </c>
      <c r="CA334" s="5">
        <f>INDEX('Team forecast'!$R$3:$BH$26,MATCH($B334,'Team forecast'!$B$3:$B$26,0),MATCH(CA$1,'Team forecast'!$R$2:$BH$2,0))*($BX334-(BY334+BX334+CH334)*0.01)</f>
        <v>-5101.1700533306912</v>
      </c>
      <c r="CB334" s="5">
        <f>INDEX('Team forecast'!$R$3:$BH$26,MATCH($B334,'Team forecast'!$B$3:$B$26,0),MATCH(CB$1,'Team forecast'!$R$2:$BH$2,0))*($BX334-(BY334+BX334*2+CH334)*0.01)</f>
        <v>-2486.5763509359522</v>
      </c>
      <c r="CC334" s="5">
        <f>INDEX('Team forecast'!$R$3:$BH$26,MATCH($B334,'Team forecast'!$B$3:$B$26,0),MATCH(CC$1,'Team forecast'!$R$2:$BH$2,0))*($BX334-(BY334+BX334*3+CH334)*0.01)</f>
        <v>-1142.7694614657355</v>
      </c>
      <c r="CD334" s="5">
        <f>+AK334+BD334*Cockpit!$C$3+BW334*Cockpit!$C$3^2+BZ334*Cockpit!$C$3^3+CA334*Cockpit!$C$3^4+CB334*Cockpit!$C$3^5+CC334*Cockpit!$C$3^6</f>
        <v>17995.997542500227</v>
      </c>
      <c r="CE334" s="5"/>
      <c r="CF334" s="5"/>
      <c r="CG334" s="5">
        <v>0</v>
      </c>
      <c r="CH334" s="5">
        <f t="shared" si="214"/>
        <v>2500000</v>
      </c>
      <c r="CI334" s="5">
        <f t="shared" si="215"/>
        <v>2500000</v>
      </c>
      <c r="CJ334" s="1">
        <f t="shared" si="216"/>
        <v>1.3863648346285487E-2</v>
      </c>
      <c r="CK334" s="5">
        <f>RANK(BY334,$BY$2:$BY$623)+COUNTIF($BY$2:$BY334,$BY334)-1</f>
        <v>334</v>
      </c>
      <c r="CL334" s="5">
        <f>RANK(CJ334,$CJ$2:$CJ$623)+COUNTIF($CJ$2:$CJ334,$CJ334)-1</f>
        <v>321</v>
      </c>
    </row>
    <row r="335" spans="1:90">
      <c r="A335" t="str">
        <f>Players!P336</f>
        <v>Oleksandr Karavayev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0.76028648339757388</v>
      </c>
      <c r="I335" s="16">
        <f>INDEX('Team forecast'!$B$2:$AO$26,MATCH('Master data'!$B335,'Team forecast'!$B$2:$B$26,0),MATCH('Master data'!I$1,'Team forecast'!$B$2:$AO$2,0))</f>
        <v>1.5712166996139025</v>
      </c>
      <c r="J335" s="16">
        <f>INDEX('Team forecast'!$B$2:$AO$26,MATCH('Master data'!$B335,'Team forecast'!$B$2:$B$26,0),MATCH('Master data'!J$1,'Team forecast'!$B$2:$AO$2,0))</f>
        <v>0.20779220779220781</v>
      </c>
      <c r="K335" s="16">
        <f>INDEX('Team forecast'!$B$2:$AO$26,MATCH('Master data'!$B335,'Team forecast'!$B$2:$B$26,0),MATCH('Master data'!K$1,'Team forecast'!$B$2:$AO$2,0))</f>
        <v>2.0548283335069564</v>
      </c>
      <c r="L335" s="16">
        <f>INDEX('Team forecast'!$B$2:$AO$26,MATCH('Master data'!$B335,'Team forecast'!$B$2:$B$26,0),MATCH('Master data'!L$1,'Team forecast'!$B$2:$AO$2,0))</f>
        <v>5.3509268021816121</v>
      </c>
      <c r="M335">
        <f>IF(Players!BC336=1,95,0)</f>
        <v>95</v>
      </c>
      <c r="N335" s="2">
        <f>Players!BN336</f>
        <v>3.6150208371846779E-2</v>
      </c>
      <c r="O335" s="2">
        <f>Players!BO336</f>
        <v>0.18579147728471018</v>
      </c>
      <c r="P335" s="2">
        <f>Players!BP336</f>
        <v>0.14804076089158849</v>
      </c>
      <c r="Q335" s="2">
        <f>Players!BQ336</f>
        <v>0.1</v>
      </c>
      <c r="R335" s="2">
        <f>Players!BR336</f>
        <v>0</v>
      </c>
      <c r="S335" s="2">
        <f t="shared" si="175"/>
        <v>0.76028648339757388</v>
      </c>
      <c r="T335" s="2">
        <f t="shared" si="176"/>
        <v>1.5712166996139025</v>
      </c>
      <c r="U335" s="16">
        <f>INDEX('Team forecast'!$B$2:$AO$26,MATCH('Master data'!$B335,'Team forecast'!$B$2:$B$26,0),MATCH('Master data'!U$1,'Team forecast'!$B$2:$AO$2,0))</f>
        <v>0.15584415584415581</v>
      </c>
      <c r="V335" s="16">
        <f>INDEX('Team forecast'!$B$2:$AO$26,MATCH('Master data'!$B335,'Team forecast'!$B$2:$B$26,0),MATCH('Master data'!V$1,'Team forecast'!$B$2:$AO$2,0))</f>
        <v>0.25974025974025972</v>
      </c>
      <c r="W335" s="16">
        <f>INDEX('Team forecast'!$B$2:$AO$26,MATCH('Master data'!$B335,'Team forecast'!$B$2:$B$26,0),MATCH('Master data'!W$1,'Team forecast'!$B$2:$AO$2,0))</f>
        <v>0.58441558441558439</v>
      </c>
      <c r="X335" s="5">
        <f t="shared" si="177"/>
        <v>7000</v>
      </c>
      <c r="Y335" s="5">
        <f t="shared" si="178"/>
        <v>3896.1038961038953</v>
      </c>
      <c r="Z335" s="5">
        <f t="shared" si="179"/>
        <v>1298.7012987012986</v>
      </c>
      <c r="AA335" s="5">
        <f t="shared" si="180"/>
        <v>-8766.233766233765</v>
      </c>
      <c r="AB335" s="5">
        <f t="shared" si="181"/>
        <v>4122.6772195681378</v>
      </c>
      <c r="AC335" s="5">
        <f t="shared" si="182"/>
        <v>7062.737445501627</v>
      </c>
      <c r="AD335" s="5">
        <f t="shared" si="183"/>
        <v>3041.9834999396458</v>
      </c>
      <c r="AE335" s="5">
        <f t="shared" si="184"/>
        <v>10389.61038961039</v>
      </c>
      <c r="AF335" s="5">
        <f t="shared" si="185"/>
        <v>0</v>
      </c>
      <c r="AG335" s="5">
        <f t="shared" si="186"/>
        <v>-2000</v>
      </c>
      <c r="AH335" s="5">
        <f t="shared" si="187"/>
        <v>0</v>
      </c>
      <c r="AI335" s="5">
        <f t="shared" si="188"/>
        <v>7602.8648339757392</v>
      </c>
      <c r="AJ335" s="5">
        <f t="shared" si="189"/>
        <v>-12569.733596911221</v>
      </c>
      <c r="AK335" s="5">
        <f>IFERROR(SUM(X335:AJ335),-5000)*((Cockpit!$C$3)^0)</f>
        <v>21078.711220255751</v>
      </c>
      <c r="AL335" s="16">
        <f>INDEX('Team forecast'!$B$2:$AO$26,MATCH('Master data'!$B335,'Team forecast'!$B$2:$B$26,0),MATCH('Master data'!AL$1,'Team forecast'!$B$2:$AO$2,0))</f>
        <v>1.5712166996139025</v>
      </c>
      <c r="AM335" s="16">
        <f>INDEX('Team forecast'!$B$2:$AO$26,MATCH('Master data'!$B335,'Team forecast'!$B$2:$B$26,0),MATCH('Master data'!AM$1,'Team forecast'!$B$2:$AO$2,0))</f>
        <v>0.76028648339757388</v>
      </c>
      <c r="AN335" s="16">
        <f>INDEX('Team forecast'!$B$2:$AO$26,MATCH('Master data'!$B335,'Team forecast'!$B$2:$B$26,0),MATCH('Master data'!AN$1,'Team forecast'!$B$2:$AO$2,0))</f>
        <v>0.46753246753246752</v>
      </c>
      <c r="AO335" s="16">
        <f>INDEX('Team forecast'!$B$2:$AO$26,MATCH('Master data'!$B335,'Team forecast'!$B$2:$B$26,0),MATCH('Master data'!AO$1,'Team forecast'!$B$2:$AO$2,0))</f>
        <v>4.2465316205781152</v>
      </c>
      <c r="AP335" s="16">
        <f>INDEX('Team forecast'!$B$2:$AO$26,MATCH('Master data'!$B335,'Team forecast'!$B$2:$B$26,0),MATCH('Master data'!AP$1,'Team forecast'!$B$2:$AO$2,0))</f>
        <v>2.5892273945078212</v>
      </c>
      <c r="AQ335" s="5">
        <f t="shared" si="190"/>
        <v>7000</v>
      </c>
      <c r="AR335" s="5">
        <f>INDEX('Team forecast'!$B$2:$AO$26,MATCH('Master data'!$B335,'Team forecast'!$B$2:$B$26,0),MATCH('Master data'!AR$1,'Team forecast'!$B$2:$AO$2,0))*IF(X335&gt;0,25000,0)</f>
        <v>14610.38961038961</v>
      </c>
      <c r="AS335" s="16">
        <f>INDEX('Team forecast'!$B$2:$AO$26,MATCH('Master data'!$B335,'Team forecast'!$B$2:$B$26,0),MATCH('Master data'!AS$1,'Team forecast'!$B$2:$AO$2,0))*IF(X335&gt;0,5000,0)</f>
        <v>1298.7012987012986</v>
      </c>
      <c r="AT335" s="16">
        <f>INDEX('Team forecast'!$B$2:$AO$26,MATCH('Master data'!$B335,'Team forecast'!$B$2:$B$26,0),MATCH('Master data'!AT$1,'Team forecast'!$B$2:$AO$2,0))*IF(X335&gt;0,-15000,0)</f>
        <v>-2337.662337662337</v>
      </c>
      <c r="AU335" s="5">
        <f t="shared" si="191"/>
        <v>8519.9716632551954</v>
      </c>
      <c r="AV335" s="5">
        <f t="shared" si="192"/>
        <v>14595.933587783686</v>
      </c>
      <c r="AW335" s="5">
        <f t="shared" si="193"/>
        <v>6286.5977226057457</v>
      </c>
      <c r="AX335" s="5">
        <f t="shared" si="194"/>
        <v>23376.623376623374</v>
      </c>
      <c r="AY335" s="5">
        <f t="shared" si="195"/>
        <v>0</v>
      </c>
      <c r="AZ335" s="5">
        <f t="shared" si="196"/>
        <v>-2000</v>
      </c>
      <c r="BA335" s="5">
        <f t="shared" si="197"/>
        <v>0</v>
      </c>
      <c r="BB335" s="5">
        <f t="shared" si="198"/>
        <v>15712.166996139025</v>
      </c>
      <c r="BC335" s="5">
        <f t="shared" si="199"/>
        <v>-6082.291867180591</v>
      </c>
      <c r="BD335" s="5">
        <f t="shared" si="200"/>
        <v>80980.430050655006</v>
      </c>
      <c r="BE335" s="16">
        <f>INDEX('Team forecast'!$B$2:$AO$26,MATCH('Master data'!$B335,'Team forecast'!$B$2:$B$26,0),MATCH('Master data'!BE$1,'Team forecast'!$B$2:$AO$2,0))</f>
        <v>1.1461513485277883</v>
      </c>
      <c r="BF335" s="16">
        <f>INDEX('Team forecast'!$B$2:$AO$26,MATCH('Master data'!$B335,'Team forecast'!$B$2:$B$26,0),MATCH('Master data'!BF$1,'Team forecast'!$B$2:$AO$2,0))</f>
        <v>1.1461513485277883</v>
      </c>
      <c r="BG335" s="16">
        <f>INDEX('Team forecast'!$B$2:$AO$26,MATCH('Master data'!$B335,'Team forecast'!$B$2:$B$26,0),MATCH('Master data'!BG$1,'Team forecast'!$B$2:$AO$2,0))</f>
        <v>0.31785774198959899</v>
      </c>
      <c r="BH335" s="16">
        <f>INDEX('Team forecast'!$B$2:$AO$26,MATCH('Master data'!$B335,'Team forecast'!$B$2:$B$26,0),MATCH('Master data'!BH$1,'Team forecast'!$B$2:$AO$2,0))</f>
        <v>3.0977063473724007</v>
      </c>
      <c r="BI335" s="16">
        <f>INDEX('Team forecast'!$B$2:$AO$26,MATCH('Master data'!$B335,'Team forecast'!$B$2:$B$26,0),MATCH('Master data'!BI$1,'Team forecast'!$B$2:$AO$2,0))</f>
        <v>3.9033266205107195</v>
      </c>
      <c r="BJ335" s="5">
        <f t="shared" si="201"/>
        <v>7000</v>
      </c>
      <c r="BK335" s="5">
        <f>INDEX('Team forecast'!$R$3:$BH$26,MATCH($B335,'Team forecast'!$B$3:$B$26,0),MATCH(BK$1,'Team forecast'!$R$2:$BH$2,0))*IF($X335&gt;0,25000,0)</f>
        <v>8668.8475088072482</v>
      </c>
      <c r="BL335" s="5">
        <f>INDEX('Team forecast'!$R$3:$BH$26,MATCH($B335,'Team forecast'!$B$3:$B$26,0),MATCH(BL$1,'Team forecast'!$R$2:$BH$2,0))*IF($X335&gt;0,5000,0)</f>
        <v>1467.0357322596881</v>
      </c>
      <c r="BM335" s="5">
        <f>INDEX('Team forecast'!$R$3:$BH$26,MATCH($B335,'Team forecast'!$B$3:$B$26,0),MATCH(BM$1,'Team forecast'!$R$2:$BH$2,0))*IF($X335&gt;0,-15000,0)</f>
        <v>-5397.584297936588</v>
      </c>
      <c r="BN335" s="5">
        <f t="shared" si="202"/>
        <v>6215.0415112429091</v>
      </c>
      <c r="BO335" s="5">
        <f t="shared" si="203"/>
        <v>10647.257611742027</v>
      </c>
      <c r="BP335" s="5">
        <f t="shared" si="204"/>
        <v>4585.8680468371358</v>
      </c>
      <c r="BQ335" s="5">
        <f t="shared" si="205"/>
        <v>15892.887099479949</v>
      </c>
      <c r="BR335" s="5">
        <f t="shared" si="206"/>
        <v>0</v>
      </c>
      <c r="BS335" s="5">
        <f t="shared" si="207"/>
        <v>-2000</v>
      </c>
      <c r="BT335" s="5">
        <f t="shared" si="208"/>
        <v>0</v>
      </c>
      <c r="BU335" s="5">
        <f t="shared" si="209"/>
        <v>11461.513485277883</v>
      </c>
      <c r="BV335" s="5">
        <f t="shared" si="210"/>
        <v>-9169.2107882223063</v>
      </c>
      <c r="BW335" s="5">
        <f t="shared" si="211"/>
        <v>49371.655909487949</v>
      </c>
      <c r="BX335" s="5">
        <f t="shared" si="212"/>
        <v>50476.932393466239</v>
      </c>
      <c r="BY335" s="5">
        <f t="shared" si="213"/>
        <v>151430.79718039872</v>
      </c>
      <c r="BZ335" s="5">
        <f>INDEX('Team forecast'!$R$3:$BH$26,MATCH($B335,'Team forecast'!$B$3:$B$26,0),MATCH(BZ$1,'Team forecast'!$R$2:$BH$2,0))*($BX335-(BY335+CH335)*0.01)</f>
        <v>14153.904625316327</v>
      </c>
      <c r="CA335" s="5">
        <f>INDEX('Team forecast'!$R$3:$BH$26,MATCH($B335,'Team forecast'!$B$3:$B$26,0),MATCH(CA$1,'Team forecast'!$R$2:$BH$2,0))*($BX335-(BY335+BX335+CH335)*0.01)</f>
        <v>6769.4375700960436</v>
      </c>
      <c r="CB335" s="5">
        <f>INDEX('Team forecast'!$R$3:$BH$26,MATCH($B335,'Team forecast'!$B$3:$B$26,0),MATCH(CB$1,'Team forecast'!$R$2:$BH$2,0))*($BX335-(BY335+BX335*2+CH335)*0.01)</f>
        <v>3183.0983548109048</v>
      </c>
      <c r="CC335" s="5">
        <f>INDEX('Team forecast'!$R$3:$BH$26,MATCH($B335,'Team forecast'!$B$3:$B$26,0),MATCH(CC$1,'Team forecast'!$R$2:$BH$2,0))*($BX335-(BY335+BX335*3+CH335)*0.01)</f>
        <v>1410.127494571424</v>
      </c>
      <c r="CD335" s="5">
        <f>+AK335+BD335*Cockpit!$C$3+BW335*Cockpit!$C$3^2+BZ335*Cockpit!$C$3^3+CA335*Cockpit!$C$3^4+CB335*Cockpit!$C$3^5+CC335*Cockpit!$C$3^6</f>
        <v>103082.5157883888</v>
      </c>
      <c r="CE335" s="5"/>
      <c r="CF335" s="5"/>
      <c r="CG335" s="5">
        <v>0</v>
      </c>
      <c r="CH335" s="5">
        <f t="shared" si="214"/>
        <v>3000000</v>
      </c>
      <c r="CI335" s="5">
        <f t="shared" si="215"/>
        <v>3000000</v>
      </c>
      <c r="CJ335" s="1">
        <f t="shared" si="216"/>
        <v>5.0476932393466241E-2</v>
      </c>
      <c r="CK335" s="5">
        <f>RANK(BY335,$BY$2:$BY$623)+COUNTIF($BY$2:$BY335,$BY335)-1</f>
        <v>96</v>
      </c>
      <c r="CL335" s="5">
        <f>RANK(CJ335,$CJ$2:$CJ$623)+COUNTIF($CJ$2:$CJ335,$CJ335)-1</f>
        <v>30</v>
      </c>
    </row>
    <row r="336" spans="1:90">
      <c r="A336" t="str">
        <f>Players!P337</f>
        <v>Sergiy Kryvtsov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3000000</v>
      </c>
      <c r="H336" s="16">
        <f>INDEX('Team forecast'!$B$2:$AO$26,MATCH('Master data'!$B336,'Team forecast'!$B$2:$B$26,0),MATCH('Master data'!H$1,'Team forecast'!$B$2:$AO$2,0))</f>
        <v>0.76028648339757388</v>
      </c>
      <c r="I336" s="16">
        <f>INDEX('Team forecast'!$B$2:$AO$26,MATCH('Master data'!$B336,'Team forecast'!$B$2:$B$26,0),MATCH('Master data'!I$1,'Team forecast'!$B$2:$AO$2,0))</f>
        <v>1.5712166996139025</v>
      </c>
      <c r="J336" s="16">
        <f>INDEX('Team forecast'!$B$2:$AO$26,MATCH('Master data'!$B336,'Team forecast'!$B$2:$B$26,0),MATCH('Master data'!J$1,'Team forecast'!$B$2:$AO$2,0))</f>
        <v>0.20779220779220781</v>
      </c>
      <c r="K336" s="16">
        <f>INDEX('Team forecast'!$B$2:$AO$26,MATCH('Master data'!$B336,'Team forecast'!$B$2:$B$26,0),MATCH('Master data'!K$1,'Team forecast'!$B$2:$AO$2,0))</f>
        <v>2.0548283335069564</v>
      </c>
      <c r="L336" s="16">
        <f>INDEX('Team forecast'!$B$2:$AO$26,MATCH('Master data'!$B336,'Team forecast'!$B$2:$B$26,0),MATCH('Master data'!L$1,'Team forecast'!$B$2:$AO$2,0))</f>
        <v>5.3509268021816121</v>
      </c>
      <c r="M336">
        <f>IF(Players!BC337=1,95,0)</f>
        <v>0</v>
      </c>
      <c r="N336" s="2">
        <f>Players!BN337</f>
        <v>0</v>
      </c>
      <c r="O336" s="2">
        <f>Players!BO337</f>
        <v>0</v>
      </c>
      <c r="P336" s="2">
        <f>Players!BP337</f>
        <v>0</v>
      </c>
      <c r="Q336" s="2">
        <f>Players!BQ337</f>
        <v>0</v>
      </c>
      <c r="R336" s="2">
        <f>Players!BR337</f>
        <v>0</v>
      </c>
      <c r="S336" s="2">
        <f t="shared" si="175"/>
        <v>0.76028648339757388</v>
      </c>
      <c r="T336" s="2">
        <f t="shared" si="176"/>
        <v>1.5712166996139025</v>
      </c>
      <c r="U336" s="16">
        <f>INDEX('Team forecast'!$B$2:$AO$26,MATCH('Master data'!$B336,'Team forecast'!$B$2:$B$26,0),MATCH('Master data'!U$1,'Team forecast'!$B$2:$AO$2,0))</f>
        <v>0.15584415584415581</v>
      </c>
      <c r="V336" s="16">
        <f>INDEX('Team forecast'!$B$2:$AO$26,MATCH('Master data'!$B336,'Team forecast'!$B$2:$B$26,0),MATCH('Master data'!V$1,'Team forecast'!$B$2:$AO$2,0))</f>
        <v>0.25974025974025972</v>
      </c>
      <c r="W336" s="16">
        <f>INDEX('Team forecast'!$B$2:$AO$26,MATCH('Master data'!$B336,'Team forecast'!$B$2:$B$26,0),MATCH('Master data'!W$1,'Team forecast'!$B$2:$AO$2,0))</f>
        <v>0.58441558441558439</v>
      </c>
      <c r="X336" s="5">
        <f t="shared" si="177"/>
        <v>-5000</v>
      </c>
      <c r="Y336" s="5">
        <f t="shared" si="178"/>
        <v>0</v>
      </c>
      <c r="Z336" s="5">
        <f t="shared" si="179"/>
        <v>0</v>
      </c>
      <c r="AA336" s="5">
        <f t="shared" si="180"/>
        <v>0</v>
      </c>
      <c r="AB336" s="5">
        <f t="shared" si="181"/>
        <v>0</v>
      </c>
      <c r="AC336" s="5">
        <f t="shared" si="182"/>
        <v>0</v>
      </c>
      <c r="AD336" s="5">
        <f t="shared" si="183"/>
        <v>0</v>
      </c>
      <c r="AE336" s="5">
        <f t="shared" si="184"/>
        <v>10389.61038961039</v>
      </c>
      <c r="AF336" s="5">
        <f t="shared" si="185"/>
        <v>0</v>
      </c>
      <c r="AG336" s="5">
        <f t="shared" si="186"/>
        <v>0</v>
      </c>
      <c r="AH336" s="5">
        <f t="shared" si="187"/>
        <v>0</v>
      </c>
      <c r="AI336" s="5">
        <f t="shared" si="188"/>
        <v>0</v>
      </c>
      <c r="AJ336" s="5">
        <f t="shared" si="189"/>
        <v>0</v>
      </c>
      <c r="AK336" s="5">
        <f>IFERROR(SUM(X336:AJ336),-5000)*((Cockpit!$C$3)^0)</f>
        <v>5389.6103896103905</v>
      </c>
      <c r="AL336" s="16">
        <f>INDEX('Team forecast'!$B$2:$AO$26,MATCH('Master data'!$B336,'Team forecast'!$B$2:$B$26,0),MATCH('Master data'!AL$1,'Team forecast'!$B$2:$AO$2,0))</f>
        <v>1.5712166996139025</v>
      </c>
      <c r="AM336" s="16">
        <f>INDEX('Team forecast'!$B$2:$AO$26,MATCH('Master data'!$B336,'Team forecast'!$B$2:$B$26,0),MATCH('Master data'!AM$1,'Team forecast'!$B$2:$AO$2,0))</f>
        <v>0.76028648339757388</v>
      </c>
      <c r="AN336" s="16">
        <f>INDEX('Team forecast'!$B$2:$AO$26,MATCH('Master data'!$B336,'Team forecast'!$B$2:$B$26,0),MATCH('Master data'!AN$1,'Team forecast'!$B$2:$AO$2,0))</f>
        <v>0.46753246753246752</v>
      </c>
      <c r="AO336" s="16">
        <f>INDEX('Team forecast'!$B$2:$AO$26,MATCH('Master data'!$B336,'Team forecast'!$B$2:$B$26,0),MATCH('Master data'!AO$1,'Team forecast'!$B$2:$AO$2,0))</f>
        <v>4.2465316205781152</v>
      </c>
      <c r="AP336" s="16">
        <f>INDEX('Team forecast'!$B$2:$AO$26,MATCH('Master data'!$B336,'Team forecast'!$B$2:$B$26,0),MATCH('Master data'!AP$1,'Team forecast'!$B$2:$AO$2,0))</f>
        <v>2.5892273945078212</v>
      </c>
      <c r="AQ336" s="5">
        <f t="shared" si="190"/>
        <v>-5000</v>
      </c>
      <c r="AR336" s="5">
        <f>INDEX('Team forecast'!$B$2:$AO$26,MATCH('Master data'!$B336,'Team forecast'!$B$2:$B$26,0),MATCH('Master data'!AR$1,'Team forecast'!$B$2:$AO$2,0))*IF(X336&gt;0,25000,0)</f>
        <v>0</v>
      </c>
      <c r="AS336" s="16">
        <f>INDEX('Team forecast'!$B$2:$AO$26,MATCH('Master data'!$B336,'Team forecast'!$B$2:$B$26,0),MATCH('Master data'!AS$1,'Team forecast'!$B$2:$AO$2,0))*IF(X336&gt;0,5000,0)</f>
        <v>0</v>
      </c>
      <c r="AT336" s="16">
        <f>INDEX('Team forecast'!$B$2:$AO$26,MATCH('Master data'!$B336,'Team forecast'!$B$2:$B$26,0),MATCH('Master data'!AT$1,'Team forecast'!$B$2:$AO$2,0))*IF(X336&gt;0,-15000,0)</f>
        <v>0</v>
      </c>
      <c r="AU336" s="5">
        <f t="shared" si="191"/>
        <v>0</v>
      </c>
      <c r="AV336" s="5">
        <f t="shared" si="192"/>
        <v>0</v>
      </c>
      <c r="AW336" s="5">
        <f t="shared" si="193"/>
        <v>0</v>
      </c>
      <c r="AX336" s="5">
        <f t="shared" si="194"/>
        <v>23376.623376623374</v>
      </c>
      <c r="AY336" s="5">
        <f t="shared" si="195"/>
        <v>0</v>
      </c>
      <c r="AZ336" s="5">
        <f t="shared" si="196"/>
        <v>0</v>
      </c>
      <c r="BA336" s="5">
        <f t="shared" si="197"/>
        <v>0</v>
      </c>
      <c r="BB336" s="5">
        <f t="shared" si="198"/>
        <v>0</v>
      </c>
      <c r="BC336" s="5">
        <f t="shared" si="199"/>
        <v>0</v>
      </c>
      <c r="BD336" s="5">
        <f t="shared" si="200"/>
        <v>18376.623376623374</v>
      </c>
      <c r="BE336" s="16">
        <f>INDEX('Team forecast'!$B$2:$AO$26,MATCH('Master data'!$B336,'Team forecast'!$B$2:$B$26,0),MATCH('Master data'!BE$1,'Team forecast'!$B$2:$AO$2,0))</f>
        <v>1.1461513485277883</v>
      </c>
      <c r="BF336" s="16">
        <f>INDEX('Team forecast'!$B$2:$AO$26,MATCH('Master data'!$B336,'Team forecast'!$B$2:$B$26,0),MATCH('Master data'!BF$1,'Team forecast'!$B$2:$AO$2,0))</f>
        <v>1.1461513485277883</v>
      </c>
      <c r="BG336" s="16">
        <f>INDEX('Team forecast'!$B$2:$AO$26,MATCH('Master data'!$B336,'Team forecast'!$B$2:$B$26,0),MATCH('Master data'!BG$1,'Team forecast'!$B$2:$AO$2,0))</f>
        <v>0.31785774198959899</v>
      </c>
      <c r="BH336" s="16">
        <f>INDEX('Team forecast'!$B$2:$AO$26,MATCH('Master data'!$B336,'Team forecast'!$B$2:$B$26,0),MATCH('Master data'!BH$1,'Team forecast'!$B$2:$AO$2,0))</f>
        <v>3.0977063473724007</v>
      </c>
      <c r="BI336" s="16">
        <f>INDEX('Team forecast'!$B$2:$AO$26,MATCH('Master data'!$B336,'Team forecast'!$B$2:$B$26,0),MATCH('Master data'!BI$1,'Team forecast'!$B$2:$AO$2,0))</f>
        <v>3.9033266205107195</v>
      </c>
      <c r="BJ336" s="5">
        <f t="shared" si="201"/>
        <v>-5000</v>
      </c>
      <c r="BK336" s="5">
        <f>INDEX('Team forecast'!$R$3:$BH$26,MATCH($B336,'Team forecast'!$B$3:$B$26,0),MATCH(BK$1,'Team forecast'!$R$2:$BH$2,0))*IF($X336&gt;0,25000,0)</f>
        <v>0</v>
      </c>
      <c r="BL336" s="5">
        <f>INDEX('Team forecast'!$R$3:$BH$26,MATCH($B336,'Team forecast'!$B$3:$B$26,0),MATCH(BL$1,'Team forecast'!$R$2:$BH$2,0))*IF($X336&gt;0,5000,0)</f>
        <v>0</v>
      </c>
      <c r="BM336" s="5">
        <f>INDEX('Team forecast'!$R$3:$BH$26,MATCH($B336,'Team forecast'!$B$3:$B$26,0),MATCH(BM$1,'Team forecast'!$R$2:$BH$2,0))*IF($X336&gt;0,-15000,0)</f>
        <v>0</v>
      </c>
      <c r="BN336" s="5">
        <f t="shared" si="202"/>
        <v>0</v>
      </c>
      <c r="BO336" s="5">
        <f t="shared" si="203"/>
        <v>0</v>
      </c>
      <c r="BP336" s="5">
        <f t="shared" si="204"/>
        <v>0</v>
      </c>
      <c r="BQ336" s="5">
        <f t="shared" si="205"/>
        <v>15892.887099479949</v>
      </c>
      <c r="BR336" s="5">
        <f t="shared" si="206"/>
        <v>0</v>
      </c>
      <c r="BS336" s="5">
        <f t="shared" si="207"/>
        <v>0</v>
      </c>
      <c r="BT336" s="5">
        <f t="shared" si="208"/>
        <v>0</v>
      </c>
      <c r="BU336" s="5">
        <f t="shared" si="209"/>
        <v>0</v>
      </c>
      <c r="BV336" s="5">
        <f t="shared" si="210"/>
        <v>0</v>
      </c>
      <c r="BW336" s="5">
        <f t="shared" si="211"/>
        <v>10892.887099479949</v>
      </c>
      <c r="BX336" s="5">
        <f t="shared" si="212"/>
        <v>11553.040288571239</v>
      </c>
      <c r="BY336" s="5">
        <f t="shared" si="213"/>
        <v>34659.120865713718</v>
      </c>
      <c r="BZ336" s="5">
        <f>INDEX('Team forecast'!$R$3:$BH$26,MATCH($B336,'Team forecast'!$B$3:$B$26,0),MATCH(BZ$1,'Team forecast'!$R$2:$BH$2,0))*($BX336-(BY336+CH336)*0.01)</f>
        <v>-14027.706364845259</v>
      </c>
      <c r="CA336" s="5">
        <f>INDEX('Team forecast'!$R$3:$BH$26,MATCH($B336,'Team forecast'!$B$3:$B$26,0),MATCH(CA$1,'Team forecast'!$R$2:$BH$2,0))*($BX336-(BY336+BX336+CH336)*0.01)</f>
        <v>-6934.9252578911201</v>
      </c>
      <c r="CB336" s="5">
        <f>INDEX('Team forecast'!$R$3:$BH$26,MATCH($B336,'Team forecast'!$B$3:$B$26,0),MATCH(CB$1,'Team forecast'!$R$2:$BH$2,0))*($BX336-(BY336+BX336*2+CH336)*0.01)</f>
        <v>-3373.0808758175303</v>
      </c>
      <c r="CC336" s="5">
        <f>INDEX('Team forecast'!$R$3:$BH$26,MATCH($B336,'Team forecast'!$B$3:$B$26,0),MATCH(CC$1,'Team forecast'!$R$2:$BH$2,0))*($BX336-(BY336+BX336*3+CH336)*0.01)</f>
        <v>-1546.8564398924934</v>
      </c>
      <c r="CD336" s="5">
        <f>+AK336+BD336*Cockpit!$C$3+BW336*Cockpit!$C$3^2+BZ336*Cockpit!$C$3^3+CA336*Cockpit!$C$3^4+CB336*Cockpit!$C$3^5+CC336*Cockpit!$C$3^6</f>
        <v>16375.764015256425</v>
      </c>
      <c r="CE336" s="5"/>
      <c r="CF336" s="5"/>
      <c r="CG336" s="5">
        <v>0</v>
      </c>
      <c r="CH336" s="5">
        <f t="shared" si="214"/>
        <v>3000000</v>
      </c>
      <c r="CI336" s="5">
        <f t="shared" si="215"/>
        <v>3000000</v>
      </c>
      <c r="CJ336" s="1">
        <f t="shared" si="216"/>
        <v>1.1553040288571239E-2</v>
      </c>
      <c r="CK336" s="5">
        <f>RANK(BY336,$BY$2:$BY$623)+COUNTIF($BY$2:$BY336,$BY336)-1</f>
        <v>335</v>
      </c>
      <c r="CL336" s="5">
        <f>RANK(CJ336,$CJ$2:$CJ$623)+COUNTIF($CJ$2:$CJ336,$CJ336)-1</f>
        <v>341</v>
      </c>
    </row>
    <row r="337" spans="1:90">
      <c r="A337" t="str">
        <f>Players!P338</f>
        <v>Vitaliy Mykolenko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2500000</v>
      </c>
      <c r="H337" s="16">
        <f>INDEX('Team forecast'!$B$2:$AO$26,MATCH('Master data'!$B337,'Team forecast'!$B$2:$B$26,0),MATCH('Master data'!H$1,'Team forecast'!$B$2:$AO$2,0))</f>
        <v>0.76028648339757388</v>
      </c>
      <c r="I337" s="16">
        <f>INDEX('Team forecast'!$B$2:$AO$26,MATCH('Master data'!$B337,'Team forecast'!$B$2:$B$26,0),MATCH('Master data'!I$1,'Team forecast'!$B$2:$AO$2,0))</f>
        <v>1.5712166996139025</v>
      </c>
      <c r="J337" s="16">
        <f>INDEX('Team forecast'!$B$2:$AO$26,MATCH('Master data'!$B337,'Team forecast'!$B$2:$B$26,0),MATCH('Master data'!J$1,'Team forecast'!$B$2:$AO$2,0))</f>
        <v>0.20779220779220781</v>
      </c>
      <c r="K337" s="16">
        <f>INDEX('Team forecast'!$B$2:$AO$26,MATCH('Master data'!$B337,'Team forecast'!$B$2:$B$26,0),MATCH('Master data'!K$1,'Team forecast'!$B$2:$AO$2,0))</f>
        <v>2.0548283335069564</v>
      </c>
      <c r="L337" s="16">
        <f>INDEX('Team forecast'!$B$2:$AO$26,MATCH('Master data'!$B337,'Team forecast'!$B$2:$B$26,0),MATCH('Master data'!L$1,'Team forecast'!$B$2:$AO$2,0))</f>
        <v>5.3509268021816121</v>
      </c>
      <c r="M337">
        <f>IF(Players!BC338=1,95,0)</f>
        <v>95</v>
      </c>
      <c r="N337" s="2">
        <f>Players!BN338</f>
        <v>3.6928636631361145E-2</v>
      </c>
      <c r="O337" s="2">
        <f>Players!BO338</f>
        <v>4.6757457674205909E-2</v>
      </c>
      <c r="P337" s="2">
        <f>Players!BP338</f>
        <v>2.5661878674404583E-2</v>
      </c>
      <c r="Q337" s="2">
        <f>Players!BQ338</f>
        <v>0.2082688927943761</v>
      </c>
      <c r="R337" s="2">
        <f>Players!BR338</f>
        <v>0</v>
      </c>
      <c r="S337" s="2">
        <f t="shared" si="175"/>
        <v>0.76028648339757388</v>
      </c>
      <c r="T337" s="2">
        <f t="shared" si="176"/>
        <v>1.5712166996139025</v>
      </c>
      <c r="U337" s="16">
        <f>INDEX('Team forecast'!$B$2:$AO$26,MATCH('Master data'!$B337,'Team forecast'!$B$2:$B$26,0),MATCH('Master data'!U$1,'Team forecast'!$B$2:$AO$2,0))</f>
        <v>0.15584415584415581</v>
      </c>
      <c r="V337" s="16">
        <f>INDEX('Team forecast'!$B$2:$AO$26,MATCH('Master data'!$B337,'Team forecast'!$B$2:$B$26,0),MATCH('Master data'!V$1,'Team forecast'!$B$2:$AO$2,0))</f>
        <v>0.25974025974025972</v>
      </c>
      <c r="W337" s="16">
        <f>INDEX('Team forecast'!$B$2:$AO$26,MATCH('Master data'!$B337,'Team forecast'!$B$2:$B$26,0),MATCH('Master data'!W$1,'Team forecast'!$B$2:$AO$2,0))</f>
        <v>0.58441558441558439</v>
      </c>
      <c r="X337" s="5">
        <f t="shared" si="177"/>
        <v>7000</v>
      </c>
      <c r="Y337" s="5">
        <f t="shared" si="178"/>
        <v>3896.1038961038953</v>
      </c>
      <c r="Z337" s="5">
        <f t="shared" si="179"/>
        <v>1298.7012987012986</v>
      </c>
      <c r="AA337" s="5">
        <f t="shared" si="180"/>
        <v>-8766.233766233765</v>
      </c>
      <c r="AB337" s="5">
        <f t="shared" si="181"/>
        <v>4211.4514921686587</v>
      </c>
      <c r="AC337" s="5">
        <f t="shared" si="182"/>
        <v>1777.4531533866457</v>
      </c>
      <c r="AD337" s="5">
        <f t="shared" si="183"/>
        <v>527.30755391184471</v>
      </c>
      <c r="AE337" s="5">
        <f t="shared" si="184"/>
        <v>10389.61038961039</v>
      </c>
      <c r="AF337" s="5">
        <f t="shared" si="185"/>
        <v>0</v>
      </c>
      <c r="AG337" s="5">
        <f t="shared" si="186"/>
        <v>-4165.3778558875219</v>
      </c>
      <c r="AH337" s="5">
        <f t="shared" si="187"/>
        <v>0</v>
      </c>
      <c r="AI337" s="5">
        <f t="shared" si="188"/>
        <v>7602.8648339757392</v>
      </c>
      <c r="AJ337" s="5">
        <f t="shared" si="189"/>
        <v>-12569.733596911221</v>
      </c>
      <c r="AK337" s="5">
        <f>IFERROR(SUM(X337:AJ337),-5000)*((Cockpit!$C$3)^0)</f>
        <v>11202.147398825968</v>
      </c>
      <c r="AL337" s="16">
        <f>INDEX('Team forecast'!$B$2:$AO$26,MATCH('Master data'!$B337,'Team forecast'!$B$2:$B$26,0),MATCH('Master data'!AL$1,'Team forecast'!$B$2:$AO$2,0))</f>
        <v>1.5712166996139025</v>
      </c>
      <c r="AM337" s="16">
        <f>INDEX('Team forecast'!$B$2:$AO$26,MATCH('Master data'!$B337,'Team forecast'!$B$2:$B$26,0),MATCH('Master data'!AM$1,'Team forecast'!$B$2:$AO$2,0))</f>
        <v>0.76028648339757388</v>
      </c>
      <c r="AN337" s="16">
        <f>INDEX('Team forecast'!$B$2:$AO$26,MATCH('Master data'!$B337,'Team forecast'!$B$2:$B$26,0),MATCH('Master data'!AN$1,'Team forecast'!$B$2:$AO$2,0))</f>
        <v>0.46753246753246752</v>
      </c>
      <c r="AO337" s="16">
        <f>INDEX('Team forecast'!$B$2:$AO$26,MATCH('Master data'!$B337,'Team forecast'!$B$2:$B$26,0),MATCH('Master data'!AO$1,'Team forecast'!$B$2:$AO$2,0))</f>
        <v>4.2465316205781152</v>
      </c>
      <c r="AP337" s="16">
        <f>INDEX('Team forecast'!$B$2:$AO$26,MATCH('Master data'!$B337,'Team forecast'!$B$2:$B$26,0),MATCH('Master data'!AP$1,'Team forecast'!$B$2:$AO$2,0))</f>
        <v>2.5892273945078212</v>
      </c>
      <c r="AQ337" s="5">
        <f t="shared" si="190"/>
        <v>7000</v>
      </c>
      <c r="AR337" s="5">
        <f>INDEX('Team forecast'!$B$2:$AO$26,MATCH('Master data'!$B337,'Team forecast'!$B$2:$B$26,0),MATCH('Master data'!AR$1,'Team forecast'!$B$2:$AO$2,0))*IF(X337&gt;0,25000,0)</f>
        <v>14610.38961038961</v>
      </c>
      <c r="AS337" s="16">
        <f>INDEX('Team forecast'!$B$2:$AO$26,MATCH('Master data'!$B337,'Team forecast'!$B$2:$B$26,0),MATCH('Master data'!AS$1,'Team forecast'!$B$2:$AO$2,0))*IF(X337&gt;0,5000,0)</f>
        <v>1298.7012987012986</v>
      </c>
      <c r="AT337" s="16">
        <f>INDEX('Team forecast'!$B$2:$AO$26,MATCH('Master data'!$B337,'Team forecast'!$B$2:$B$26,0),MATCH('Master data'!AT$1,'Team forecast'!$B$2:$AO$2,0))*IF(X337&gt;0,-15000,0)</f>
        <v>-2337.662337662337</v>
      </c>
      <c r="AU337" s="5">
        <f t="shared" si="191"/>
        <v>8703.4335853752473</v>
      </c>
      <c r="AV337" s="5">
        <f t="shared" si="192"/>
        <v>3673.3049164601271</v>
      </c>
      <c r="AW337" s="5">
        <f t="shared" si="193"/>
        <v>1089.7397923429828</v>
      </c>
      <c r="AX337" s="5">
        <f t="shared" si="194"/>
        <v>23376.623376623374</v>
      </c>
      <c r="AY337" s="5">
        <f t="shared" si="195"/>
        <v>0</v>
      </c>
      <c r="AZ337" s="5">
        <f t="shared" si="196"/>
        <v>-4165.3778558875219</v>
      </c>
      <c r="BA337" s="5">
        <f t="shared" si="197"/>
        <v>0</v>
      </c>
      <c r="BB337" s="5">
        <f t="shared" si="198"/>
        <v>15712.166996139025</v>
      </c>
      <c r="BC337" s="5">
        <f t="shared" si="199"/>
        <v>-6082.291867180591</v>
      </c>
      <c r="BD337" s="5">
        <f t="shared" si="200"/>
        <v>62879.027515301226</v>
      </c>
      <c r="BE337" s="16">
        <f>INDEX('Team forecast'!$B$2:$AO$26,MATCH('Master data'!$B337,'Team forecast'!$B$2:$B$26,0),MATCH('Master data'!BE$1,'Team forecast'!$B$2:$AO$2,0))</f>
        <v>1.1461513485277883</v>
      </c>
      <c r="BF337" s="16">
        <f>INDEX('Team forecast'!$B$2:$AO$26,MATCH('Master data'!$B337,'Team forecast'!$B$2:$B$26,0),MATCH('Master data'!BF$1,'Team forecast'!$B$2:$AO$2,0))</f>
        <v>1.1461513485277883</v>
      </c>
      <c r="BG337" s="16">
        <f>INDEX('Team forecast'!$B$2:$AO$26,MATCH('Master data'!$B337,'Team forecast'!$B$2:$B$26,0),MATCH('Master data'!BG$1,'Team forecast'!$B$2:$AO$2,0))</f>
        <v>0.31785774198959899</v>
      </c>
      <c r="BH337" s="16">
        <f>INDEX('Team forecast'!$B$2:$AO$26,MATCH('Master data'!$B337,'Team forecast'!$B$2:$B$26,0),MATCH('Master data'!BH$1,'Team forecast'!$B$2:$AO$2,0))</f>
        <v>3.0977063473724007</v>
      </c>
      <c r="BI337" s="16">
        <f>INDEX('Team forecast'!$B$2:$AO$26,MATCH('Master data'!$B337,'Team forecast'!$B$2:$B$26,0),MATCH('Master data'!BI$1,'Team forecast'!$B$2:$AO$2,0))</f>
        <v>3.9033266205107195</v>
      </c>
      <c r="BJ337" s="5">
        <f t="shared" si="201"/>
        <v>7000</v>
      </c>
      <c r="BK337" s="5">
        <f>INDEX('Team forecast'!$R$3:$BH$26,MATCH($B337,'Team forecast'!$B$3:$B$26,0),MATCH(BK$1,'Team forecast'!$R$2:$BH$2,0))*IF($X337&gt;0,25000,0)</f>
        <v>8668.8475088072482</v>
      </c>
      <c r="BL337" s="5">
        <f>INDEX('Team forecast'!$R$3:$BH$26,MATCH($B337,'Team forecast'!$B$3:$B$26,0),MATCH(BL$1,'Team forecast'!$R$2:$BH$2,0))*IF($X337&gt;0,5000,0)</f>
        <v>1467.0357322596881</v>
      </c>
      <c r="BM337" s="5">
        <f>INDEX('Team forecast'!$R$3:$BH$26,MATCH($B337,'Team forecast'!$B$3:$B$26,0),MATCH(BM$1,'Team forecast'!$R$2:$BH$2,0))*IF($X337&gt;0,-15000,0)</f>
        <v>-5397.584297936588</v>
      </c>
      <c r="BN337" s="5">
        <f t="shared" si="202"/>
        <v>6348.8710011490884</v>
      </c>
      <c r="BO337" s="5">
        <f t="shared" si="203"/>
        <v>2679.5561583511044</v>
      </c>
      <c r="BP337" s="5">
        <f t="shared" si="204"/>
        <v>794.92964455203526</v>
      </c>
      <c r="BQ337" s="5">
        <f t="shared" si="205"/>
        <v>15892.887099479949</v>
      </c>
      <c r="BR337" s="5">
        <f t="shared" si="206"/>
        <v>0</v>
      </c>
      <c r="BS337" s="5">
        <f t="shared" si="207"/>
        <v>-4165.3778558875219</v>
      </c>
      <c r="BT337" s="5">
        <f t="shared" si="208"/>
        <v>0</v>
      </c>
      <c r="BU337" s="5">
        <f t="shared" si="209"/>
        <v>11461.513485277883</v>
      </c>
      <c r="BV337" s="5">
        <f t="shared" si="210"/>
        <v>-9169.2107882223063</v>
      </c>
      <c r="BW337" s="5">
        <f t="shared" si="211"/>
        <v>35581.467687830576</v>
      </c>
      <c r="BX337" s="5">
        <f t="shared" si="212"/>
        <v>36554.21420065259</v>
      </c>
      <c r="BY337" s="5">
        <f t="shared" si="213"/>
        <v>109662.64260195778</v>
      </c>
      <c r="BZ337" s="5">
        <f>INDEX('Team forecast'!$R$3:$BH$26,MATCH($B337,'Team forecast'!$B$3:$B$26,0),MATCH(BZ$1,'Team forecast'!$R$2:$BH$2,0))*($BX337-(BY337+CH337)*0.01)</f>
        <v>7805.6547807771612</v>
      </c>
      <c r="CA337" s="5">
        <f>INDEX('Team forecast'!$R$3:$BH$26,MATCH($B337,'Team forecast'!$B$3:$B$26,0),MATCH(CA$1,'Team forecast'!$R$2:$BH$2,0))*($BX337-(BY337+BX337+CH337)*0.01)</f>
        <v>3701.2682406980343</v>
      </c>
      <c r="CB337" s="5">
        <f>INDEX('Team forecast'!$R$3:$BH$26,MATCH($B337,'Team forecast'!$B$3:$B$26,0),MATCH(CB$1,'Team forecast'!$R$2:$BH$2,0))*($BX337-(BY337+BX337*2+CH337)*0.01)</f>
        <v>1724.5178711422125</v>
      </c>
      <c r="CC337" s="5">
        <f>INDEX('Team forecast'!$R$3:$BH$26,MATCH($B337,'Team forecast'!$B$3:$B$26,0),MATCH(CC$1,'Team forecast'!$R$2:$BH$2,0))*($BX337-(BY337+BX337*3+CH337)*0.01)</f>
        <v>756.52851730617408</v>
      </c>
      <c r="CD337" s="5">
        <f>+AK337+BD337*Cockpit!$C$3+BW337*Cockpit!$C$3^2+BZ337*Cockpit!$C$3^3+CA337*Cockpit!$C$3^4+CB337*Cockpit!$C$3^5+CC337*Cockpit!$C$3^6</f>
        <v>72272.899803955093</v>
      </c>
      <c r="CE337" s="5"/>
      <c r="CF337" s="5"/>
      <c r="CG337" s="5">
        <v>0</v>
      </c>
      <c r="CH337" s="5">
        <f t="shared" si="214"/>
        <v>2500000</v>
      </c>
      <c r="CI337" s="5">
        <f t="shared" si="215"/>
        <v>2500000</v>
      </c>
      <c r="CJ337" s="1">
        <f t="shared" si="216"/>
        <v>4.3865057040783112E-2</v>
      </c>
      <c r="CK337" s="5">
        <f>RANK(BY337,$BY$2:$BY$623)+COUNTIF($BY$2:$BY337,$BY337)-1</f>
        <v>153</v>
      </c>
      <c r="CL337" s="5">
        <f>RANK(CJ337,$CJ$2:$CJ$623)+COUNTIF($CJ$2:$CJ337,$CJ337)-1</f>
        <v>58</v>
      </c>
    </row>
    <row r="338" spans="1:90">
      <c r="A338" t="str">
        <f>Players!P339</f>
        <v>Mykola Matvienko</v>
      </c>
      <c r="B338" t="str">
        <f>Players!G339</f>
        <v>Ukraine</v>
      </c>
      <c r="C338" t="str">
        <f>Players!AB339</f>
        <v>Defense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3000000</v>
      </c>
      <c r="H338" s="16">
        <f>INDEX('Team forecast'!$B$2:$AO$26,MATCH('Master data'!$B338,'Team forecast'!$B$2:$B$26,0),MATCH('Master data'!H$1,'Team forecast'!$B$2:$AO$2,0))</f>
        <v>0.76028648339757388</v>
      </c>
      <c r="I338" s="16">
        <f>INDEX('Team forecast'!$B$2:$AO$26,MATCH('Master data'!$B338,'Team forecast'!$B$2:$B$26,0),MATCH('Master data'!I$1,'Team forecast'!$B$2:$AO$2,0))</f>
        <v>1.5712166996139025</v>
      </c>
      <c r="J338" s="16">
        <f>INDEX('Team forecast'!$B$2:$AO$26,MATCH('Master data'!$B338,'Team forecast'!$B$2:$B$26,0),MATCH('Master data'!J$1,'Team forecast'!$B$2:$AO$2,0))</f>
        <v>0.20779220779220781</v>
      </c>
      <c r="K338" s="16">
        <f>INDEX('Team forecast'!$B$2:$AO$26,MATCH('Master data'!$B338,'Team forecast'!$B$2:$B$26,0),MATCH('Master data'!K$1,'Team forecast'!$B$2:$AO$2,0))</f>
        <v>2.0548283335069564</v>
      </c>
      <c r="L338" s="16">
        <f>INDEX('Team forecast'!$B$2:$AO$26,MATCH('Master data'!$B338,'Team forecast'!$B$2:$B$26,0),MATCH('Master data'!L$1,'Team forecast'!$B$2:$AO$2,0))</f>
        <v>5.3509268021816121</v>
      </c>
      <c r="M338">
        <f>IF(Players!BC339=1,95,0)</f>
        <v>95</v>
      </c>
      <c r="N338" s="2">
        <f>Players!BN339</f>
        <v>6.9448065476335072E-2</v>
      </c>
      <c r="O338" s="2">
        <f>Players!BO339</f>
        <v>2.3362167606120608E-2</v>
      </c>
      <c r="P338" s="2">
        <f>Players!BP339</f>
        <v>9.4354042267860247E-2</v>
      </c>
      <c r="Q338" s="2">
        <f>Players!BQ339</f>
        <v>0.16875494071146246</v>
      </c>
      <c r="R338" s="2">
        <f>Players!BR339</f>
        <v>2.964426877470356E-2</v>
      </c>
      <c r="S338" s="2">
        <f t="shared" si="175"/>
        <v>0.76028648339757388</v>
      </c>
      <c r="T338" s="2">
        <f t="shared" si="176"/>
        <v>1.5712166996139025</v>
      </c>
      <c r="U338" s="16">
        <f>INDEX('Team forecast'!$B$2:$AO$26,MATCH('Master data'!$B338,'Team forecast'!$B$2:$B$26,0),MATCH('Master data'!U$1,'Team forecast'!$B$2:$AO$2,0))</f>
        <v>0.15584415584415581</v>
      </c>
      <c r="V338" s="16">
        <f>INDEX('Team forecast'!$B$2:$AO$26,MATCH('Master data'!$B338,'Team forecast'!$B$2:$B$26,0),MATCH('Master data'!V$1,'Team forecast'!$B$2:$AO$2,0))</f>
        <v>0.25974025974025972</v>
      </c>
      <c r="W338" s="16">
        <f>INDEX('Team forecast'!$B$2:$AO$26,MATCH('Master data'!$B338,'Team forecast'!$B$2:$B$26,0),MATCH('Master data'!W$1,'Team forecast'!$B$2:$AO$2,0))</f>
        <v>0.58441558441558439</v>
      </c>
      <c r="X338" s="5">
        <f t="shared" si="177"/>
        <v>7000</v>
      </c>
      <c r="Y338" s="5">
        <f t="shared" si="178"/>
        <v>3896.1038961038953</v>
      </c>
      <c r="Z338" s="5">
        <f t="shared" si="179"/>
        <v>1298.7012987012986</v>
      </c>
      <c r="AA338" s="5">
        <f t="shared" si="180"/>
        <v>-8766.233766233765</v>
      </c>
      <c r="AB338" s="5">
        <f t="shared" si="181"/>
        <v>7920.0638219650864</v>
      </c>
      <c r="AC338" s="5">
        <f t="shared" si="182"/>
        <v>888.09701269010759</v>
      </c>
      <c r="AD338" s="5">
        <f t="shared" si="183"/>
        <v>1938.8135943291218</v>
      </c>
      <c r="AE338" s="5">
        <f t="shared" si="184"/>
        <v>10389.61038961039</v>
      </c>
      <c r="AF338" s="5">
        <f t="shared" si="185"/>
        <v>0</v>
      </c>
      <c r="AG338" s="5">
        <f t="shared" si="186"/>
        <v>-3375.0988142292495</v>
      </c>
      <c r="AH338" s="5">
        <f t="shared" si="187"/>
        <v>-1482.213438735178</v>
      </c>
      <c r="AI338" s="5">
        <f t="shared" si="188"/>
        <v>7602.8648339757392</v>
      </c>
      <c r="AJ338" s="5">
        <f t="shared" si="189"/>
        <v>-12569.733596911221</v>
      </c>
      <c r="AK338" s="5">
        <f>IFERROR(SUM(X338:AJ338),-5000)*((Cockpit!$C$3)^0)</f>
        <v>14740.975231266231</v>
      </c>
      <c r="AL338" s="16">
        <f>INDEX('Team forecast'!$B$2:$AO$26,MATCH('Master data'!$B338,'Team forecast'!$B$2:$B$26,0),MATCH('Master data'!AL$1,'Team forecast'!$B$2:$AO$2,0))</f>
        <v>1.5712166996139025</v>
      </c>
      <c r="AM338" s="16">
        <f>INDEX('Team forecast'!$B$2:$AO$26,MATCH('Master data'!$B338,'Team forecast'!$B$2:$B$26,0),MATCH('Master data'!AM$1,'Team forecast'!$B$2:$AO$2,0))</f>
        <v>0.76028648339757388</v>
      </c>
      <c r="AN338" s="16">
        <f>INDEX('Team forecast'!$B$2:$AO$26,MATCH('Master data'!$B338,'Team forecast'!$B$2:$B$26,0),MATCH('Master data'!AN$1,'Team forecast'!$B$2:$AO$2,0))</f>
        <v>0.46753246753246752</v>
      </c>
      <c r="AO338" s="16">
        <f>INDEX('Team forecast'!$B$2:$AO$26,MATCH('Master data'!$B338,'Team forecast'!$B$2:$B$26,0),MATCH('Master data'!AO$1,'Team forecast'!$B$2:$AO$2,0))</f>
        <v>4.2465316205781152</v>
      </c>
      <c r="AP338" s="16">
        <f>INDEX('Team forecast'!$B$2:$AO$26,MATCH('Master data'!$B338,'Team forecast'!$B$2:$B$26,0),MATCH('Master data'!AP$1,'Team forecast'!$B$2:$AO$2,0))</f>
        <v>2.5892273945078212</v>
      </c>
      <c r="AQ338" s="5">
        <f t="shared" si="190"/>
        <v>7000</v>
      </c>
      <c r="AR338" s="5">
        <f>INDEX('Team forecast'!$B$2:$AO$26,MATCH('Master data'!$B338,'Team forecast'!$B$2:$B$26,0),MATCH('Master data'!AR$1,'Team forecast'!$B$2:$AO$2,0))*IF(X338&gt;0,25000,0)</f>
        <v>14610.38961038961</v>
      </c>
      <c r="AS338" s="16">
        <f>INDEX('Team forecast'!$B$2:$AO$26,MATCH('Master data'!$B338,'Team forecast'!$B$2:$B$26,0),MATCH('Master data'!AS$1,'Team forecast'!$B$2:$AO$2,0))*IF(X338&gt;0,5000,0)</f>
        <v>1298.7012987012986</v>
      </c>
      <c r="AT338" s="16">
        <f>INDEX('Team forecast'!$B$2:$AO$26,MATCH('Master data'!$B338,'Team forecast'!$B$2:$B$26,0),MATCH('Master data'!AT$1,'Team forecast'!$B$2:$AO$2,0))*IF(X338&gt;0,-15000,0)</f>
        <v>-2337.662337662337</v>
      </c>
      <c r="AU338" s="5">
        <f t="shared" si="191"/>
        <v>16367.69403484461</v>
      </c>
      <c r="AV338" s="5">
        <f t="shared" si="192"/>
        <v>1835.3513940957823</v>
      </c>
      <c r="AW338" s="5">
        <f t="shared" si="193"/>
        <v>4006.7742401983251</v>
      </c>
      <c r="AX338" s="5">
        <f t="shared" si="194"/>
        <v>23376.623376623374</v>
      </c>
      <c r="AY338" s="5">
        <f t="shared" si="195"/>
        <v>0</v>
      </c>
      <c r="AZ338" s="5">
        <f t="shared" si="196"/>
        <v>-3375.0988142292495</v>
      </c>
      <c r="BA338" s="5">
        <f t="shared" si="197"/>
        <v>-1482.213438735178</v>
      </c>
      <c r="BB338" s="5">
        <f t="shared" si="198"/>
        <v>15712.166996139025</v>
      </c>
      <c r="BC338" s="5">
        <f t="shared" si="199"/>
        <v>-6082.291867180591</v>
      </c>
      <c r="BD338" s="5">
        <f t="shared" si="200"/>
        <v>70930.434493184672</v>
      </c>
      <c r="BE338" s="16">
        <f>INDEX('Team forecast'!$B$2:$AO$26,MATCH('Master data'!$B338,'Team forecast'!$B$2:$B$26,0),MATCH('Master data'!BE$1,'Team forecast'!$B$2:$AO$2,0))</f>
        <v>1.1461513485277883</v>
      </c>
      <c r="BF338" s="16">
        <f>INDEX('Team forecast'!$B$2:$AO$26,MATCH('Master data'!$B338,'Team forecast'!$B$2:$B$26,0),MATCH('Master data'!BF$1,'Team forecast'!$B$2:$AO$2,0))</f>
        <v>1.1461513485277883</v>
      </c>
      <c r="BG338" s="16">
        <f>INDEX('Team forecast'!$B$2:$AO$26,MATCH('Master data'!$B338,'Team forecast'!$B$2:$B$26,0),MATCH('Master data'!BG$1,'Team forecast'!$B$2:$AO$2,0))</f>
        <v>0.31785774198959899</v>
      </c>
      <c r="BH338" s="16">
        <f>INDEX('Team forecast'!$B$2:$AO$26,MATCH('Master data'!$B338,'Team forecast'!$B$2:$B$26,0),MATCH('Master data'!BH$1,'Team forecast'!$B$2:$AO$2,0))</f>
        <v>3.0977063473724007</v>
      </c>
      <c r="BI338" s="16">
        <f>INDEX('Team forecast'!$B$2:$AO$26,MATCH('Master data'!$B338,'Team forecast'!$B$2:$B$26,0),MATCH('Master data'!BI$1,'Team forecast'!$B$2:$AO$2,0))</f>
        <v>3.9033266205107195</v>
      </c>
      <c r="BJ338" s="5">
        <f t="shared" si="201"/>
        <v>7000</v>
      </c>
      <c r="BK338" s="5">
        <f>INDEX('Team forecast'!$R$3:$BH$26,MATCH($B338,'Team forecast'!$B$3:$B$26,0),MATCH(BK$1,'Team forecast'!$R$2:$BH$2,0))*IF($X338&gt;0,25000,0)</f>
        <v>8668.8475088072482</v>
      </c>
      <c r="BL338" s="5">
        <f>INDEX('Team forecast'!$R$3:$BH$26,MATCH($B338,'Team forecast'!$B$3:$B$26,0),MATCH(BL$1,'Team forecast'!$R$2:$BH$2,0))*IF($X338&gt;0,5000,0)</f>
        <v>1467.0357322596881</v>
      </c>
      <c r="BM338" s="5">
        <f>INDEX('Team forecast'!$R$3:$BH$26,MATCH($B338,'Team forecast'!$B$3:$B$26,0),MATCH(BM$1,'Team forecast'!$R$2:$BH$2,0))*IF($X338&gt;0,-15000,0)</f>
        <v>-5397.584297936588</v>
      </c>
      <c r="BN338" s="5">
        <f t="shared" si="202"/>
        <v>11939.699084752137</v>
      </c>
      <c r="BO338" s="5">
        <f t="shared" si="203"/>
        <v>1338.8289953143674</v>
      </c>
      <c r="BP338" s="5">
        <f t="shared" si="204"/>
        <v>2922.8111563339448</v>
      </c>
      <c r="BQ338" s="5">
        <f t="shared" si="205"/>
        <v>15892.887099479949</v>
      </c>
      <c r="BR338" s="5">
        <f t="shared" si="206"/>
        <v>0</v>
      </c>
      <c r="BS338" s="5">
        <f t="shared" si="207"/>
        <v>-3375.0988142292495</v>
      </c>
      <c r="BT338" s="5">
        <f t="shared" si="208"/>
        <v>-1482.213438735178</v>
      </c>
      <c r="BU338" s="5">
        <f t="shared" si="209"/>
        <v>11461.513485277883</v>
      </c>
      <c r="BV338" s="5">
        <f t="shared" si="210"/>
        <v>-9169.2107882223063</v>
      </c>
      <c r="BW338" s="5">
        <f t="shared" si="211"/>
        <v>41267.515723101897</v>
      </c>
      <c r="BX338" s="5">
        <f t="shared" si="212"/>
        <v>42312.975149184269</v>
      </c>
      <c r="BY338" s="5">
        <f t="shared" si="213"/>
        <v>126938.92544755281</v>
      </c>
      <c r="BZ338" s="5">
        <f>INDEX('Team forecast'!$R$3:$BH$26,MATCH($B338,'Team forecast'!$B$3:$B$26,0),MATCH(BZ$1,'Team forecast'!$R$2:$BH$2,0))*($BX338-(BY338+CH338)*0.01)</f>
        <v>8243.0500124567752</v>
      </c>
      <c r="CA338" s="5">
        <f>INDEX('Team forecast'!$R$3:$BH$26,MATCH($B338,'Team forecast'!$B$3:$B$26,0),MATCH(CA$1,'Team forecast'!$R$2:$BH$2,0))*($BX338-(BY338+BX338+CH338)*0.01)</f>
        <v>3895.0633454859549</v>
      </c>
      <c r="CB338" s="5">
        <f>INDEX('Team forecast'!$R$3:$BH$26,MATCH($B338,'Team forecast'!$B$3:$B$26,0),MATCH(CB$1,'Team forecast'!$R$2:$BH$2,0))*($BX338-(BY338+BX338*2+CH338)*0.01)</f>
        <v>1807.9951975917199</v>
      </c>
      <c r="CC338" s="5">
        <f>INDEX('Team forecast'!$R$3:$BH$26,MATCH($B338,'Team forecast'!$B$3:$B$26,0),MATCH(CC$1,'Team forecast'!$R$2:$BH$2,0))*($BX338-(BY338+BX338*3+CH338)*0.01)</f>
        <v>789.92511738016128</v>
      </c>
      <c r="CD338" s="5">
        <f>+AK338+BD338*Cockpit!$C$3+BW338*Cockpit!$C$3^2+BZ338*Cockpit!$C$3^3+CA338*Cockpit!$C$3^4+CB338*Cockpit!$C$3^5+CC338*Cockpit!$C$3^6</f>
        <v>83888.268686539945</v>
      </c>
      <c r="CE338" s="5"/>
      <c r="CF338" s="5"/>
      <c r="CG338" s="5">
        <v>0</v>
      </c>
      <c r="CH338" s="5">
        <f t="shared" si="214"/>
        <v>3000000</v>
      </c>
      <c r="CI338" s="5">
        <f t="shared" si="215"/>
        <v>3000000</v>
      </c>
      <c r="CJ338" s="1">
        <f t="shared" si="216"/>
        <v>4.2312975149184272E-2</v>
      </c>
      <c r="CK338" s="5">
        <f>RANK(BY338,$BY$2:$BY$623)+COUNTIF($BY$2:$BY338,$BY338)-1</f>
        <v>122</v>
      </c>
      <c r="CL338" s="5">
        <f>RANK(CJ338,$CJ$2:$CJ$623)+COUNTIF($CJ$2:$CJ338,$CJ338)-1</f>
        <v>64</v>
      </c>
    </row>
    <row r="339" spans="1:90">
      <c r="A339" t="str">
        <f>Players!P340</f>
        <v>Heorhii Sudakov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2000000</v>
      </c>
      <c r="H339" s="16">
        <f>INDEX('Team forecast'!$B$2:$AO$26,MATCH('Master data'!$B339,'Team forecast'!$B$2:$B$26,0),MATCH('Master data'!H$1,'Team forecast'!$B$2:$AO$2,0))</f>
        <v>0.76028648339757388</v>
      </c>
      <c r="I339" s="16">
        <f>INDEX('Team forecast'!$B$2:$AO$26,MATCH('Master data'!$B339,'Team forecast'!$B$2:$B$26,0),MATCH('Master data'!I$1,'Team forecast'!$B$2:$AO$2,0))</f>
        <v>1.5712166996139025</v>
      </c>
      <c r="J339" s="16">
        <f>INDEX('Team forecast'!$B$2:$AO$26,MATCH('Master data'!$B339,'Team forecast'!$B$2:$B$26,0),MATCH('Master data'!J$1,'Team forecast'!$B$2:$AO$2,0))</f>
        <v>0.20779220779220781</v>
      </c>
      <c r="K339" s="16">
        <f>INDEX('Team forecast'!$B$2:$AO$26,MATCH('Master data'!$B339,'Team forecast'!$B$2:$B$26,0),MATCH('Master data'!K$1,'Team forecast'!$B$2:$AO$2,0))</f>
        <v>2.0548283335069564</v>
      </c>
      <c r="L339" s="16">
        <f>INDEX('Team forecast'!$B$2:$AO$26,MATCH('Master data'!$B339,'Team forecast'!$B$2:$B$26,0),MATCH('Master data'!L$1,'Team forecast'!$B$2:$AO$2,0))</f>
        <v>5.3509268021816121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8.0405002977963075E-2</v>
      </c>
      <c r="R339" s="2">
        <f>Players!BR340</f>
        <v>0</v>
      </c>
      <c r="S339" s="2">
        <f t="shared" si="175"/>
        <v>0.76028648339757388</v>
      </c>
      <c r="T339" s="2">
        <f t="shared" si="176"/>
        <v>1.5712166996139025</v>
      </c>
      <c r="U339" s="16">
        <f>INDEX('Team forecast'!$B$2:$AO$26,MATCH('Master data'!$B339,'Team forecast'!$B$2:$B$26,0),MATCH('Master data'!U$1,'Team forecast'!$B$2:$AO$2,0))</f>
        <v>0.15584415584415581</v>
      </c>
      <c r="V339" s="16">
        <f>INDEX('Team forecast'!$B$2:$AO$26,MATCH('Master data'!$B339,'Team forecast'!$B$2:$B$26,0),MATCH('Master data'!V$1,'Team forecast'!$B$2:$AO$2,0))</f>
        <v>0.25974025974025972</v>
      </c>
      <c r="W339" s="16">
        <f>INDEX('Team forecast'!$B$2:$AO$26,MATCH('Master data'!$B339,'Team forecast'!$B$2:$B$26,0),MATCH('Master data'!W$1,'Team forecast'!$B$2:$AO$2,0))</f>
        <v>0.58441558441558439</v>
      </c>
      <c r="X339" s="5">
        <f t="shared" si="177"/>
        <v>-5000</v>
      </c>
      <c r="Y339" s="5">
        <f t="shared" si="178"/>
        <v>0</v>
      </c>
      <c r="Z339" s="5">
        <f t="shared" si="179"/>
        <v>0</v>
      </c>
      <c r="AA339" s="5">
        <f t="shared" si="180"/>
        <v>0</v>
      </c>
      <c r="AB339" s="5">
        <f t="shared" si="181"/>
        <v>0</v>
      </c>
      <c r="AC339" s="5">
        <f t="shared" si="182"/>
        <v>0</v>
      </c>
      <c r="AD339" s="5">
        <f t="shared" si="183"/>
        <v>0</v>
      </c>
      <c r="AE339" s="5">
        <f t="shared" si="184"/>
        <v>0</v>
      </c>
      <c r="AF339" s="5">
        <f t="shared" si="185"/>
        <v>0</v>
      </c>
      <c r="AG339" s="5">
        <f t="shared" si="186"/>
        <v>0</v>
      </c>
      <c r="AH339" s="5">
        <f t="shared" si="187"/>
        <v>0</v>
      </c>
      <c r="AI339" s="5">
        <f t="shared" si="188"/>
        <v>0</v>
      </c>
      <c r="AJ339" s="5">
        <f t="shared" si="189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1.5712166996139025</v>
      </c>
      <c r="AM339" s="16">
        <f>INDEX('Team forecast'!$B$2:$AO$26,MATCH('Master data'!$B339,'Team forecast'!$B$2:$B$26,0),MATCH('Master data'!AM$1,'Team forecast'!$B$2:$AO$2,0))</f>
        <v>0.76028648339757388</v>
      </c>
      <c r="AN339" s="16">
        <f>INDEX('Team forecast'!$B$2:$AO$26,MATCH('Master data'!$B339,'Team forecast'!$B$2:$B$26,0),MATCH('Master data'!AN$1,'Team forecast'!$B$2:$AO$2,0))</f>
        <v>0.46753246753246752</v>
      </c>
      <c r="AO339" s="16">
        <f>INDEX('Team forecast'!$B$2:$AO$26,MATCH('Master data'!$B339,'Team forecast'!$B$2:$B$26,0),MATCH('Master data'!AO$1,'Team forecast'!$B$2:$AO$2,0))</f>
        <v>4.2465316205781152</v>
      </c>
      <c r="AP339" s="16">
        <f>INDEX('Team forecast'!$B$2:$AO$26,MATCH('Master data'!$B339,'Team forecast'!$B$2:$B$26,0),MATCH('Master data'!AP$1,'Team forecast'!$B$2:$AO$2,0))</f>
        <v>2.5892273945078212</v>
      </c>
      <c r="AQ339" s="5">
        <f t="shared" si="190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191"/>
        <v>0</v>
      </c>
      <c r="AV339" s="5">
        <f t="shared" si="192"/>
        <v>0</v>
      </c>
      <c r="AW339" s="5">
        <f t="shared" si="193"/>
        <v>0</v>
      </c>
      <c r="AX339" s="5">
        <f t="shared" si="194"/>
        <v>0</v>
      </c>
      <c r="AY339" s="5">
        <f t="shared" si="195"/>
        <v>0</v>
      </c>
      <c r="AZ339" s="5">
        <f t="shared" si="196"/>
        <v>0</v>
      </c>
      <c r="BA339" s="5">
        <f t="shared" si="197"/>
        <v>0</v>
      </c>
      <c r="BB339" s="5">
        <f t="shared" si="198"/>
        <v>0</v>
      </c>
      <c r="BC339" s="5">
        <f t="shared" si="199"/>
        <v>0</v>
      </c>
      <c r="BD339" s="5">
        <f t="shared" si="200"/>
        <v>-5000</v>
      </c>
      <c r="BE339" s="16">
        <f>INDEX('Team forecast'!$B$2:$AO$26,MATCH('Master data'!$B339,'Team forecast'!$B$2:$B$26,0),MATCH('Master data'!BE$1,'Team forecast'!$B$2:$AO$2,0))</f>
        <v>1.1461513485277883</v>
      </c>
      <c r="BF339" s="16">
        <f>INDEX('Team forecast'!$B$2:$AO$26,MATCH('Master data'!$B339,'Team forecast'!$B$2:$B$26,0),MATCH('Master data'!BF$1,'Team forecast'!$B$2:$AO$2,0))</f>
        <v>1.1461513485277883</v>
      </c>
      <c r="BG339" s="16">
        <f>INDEX('Team forecast'!$B$2:$AO$26,MATCH('Master data'!$B339,'Team forecast'!$B$2:$B$26,0),MATCH('Master data'!BG$1,'Team forecast'!$B$2:$AO$2,0))</f>
        <v>0.31785774198959899</v>
      </c>
      <c r="BH339" s="16">
        <f>INDEX('Team forecast'!$B$2:$AO$26,MATCH('Master data'!$B339,'Team forecast'!$B$2:$B$26,0),MATCH('Master data'!BH$1,'Team forecast'!$B$2:$AO$2,0))</f>
        <v>3.0977063473724007</v>
      </c>
      <c r="BI339" s="16">
        <f>INDEX('Team forecast'!$B$2:$AO$26,MATCH('Master data'!$B339,'Team forecast'!$B$2:$B$26,0),MATCH('Master data'!BI$1,'Team forecast'!$B$2:$AO$2,0))</f>
        <v>3.9033266205107195</v>
      </c>
      <c r="BJ339" s="5">
        <f t="shared" si="201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202"/>
        <v>0</v>
      </c>
      <c r="BO339" s="5">
        <f t="shared" si="203"/>
        <v>0</v>
      </c>
      <c r="BP339" s="5">
        <f t="shared" si="204"/>
        <v>0</v>
      </c>
      <c r="BQ339" s="5">
        <f t="shared" si="205"/>
        <v>0</v>
      </c>
      <c r="BR339" s="5">
        <f t="shared" si="206"/>
        <v>0</v>
      </c>
      <c r="BS339" s="5">
        <f t="shared" si="207"/>
        <v>0</v>
      </c>
      <c r="BT339" s="5">
        <f t="shared" si="208"/>
        <v>0</v>
      </c>
      <c r="BU339" s="5">
        <f t="shared" si="209"/>
        <v>0</v>
      </c>
      <c r="BV339" s="5">
        <f t="shared" si="210"/>
        <v>0</v>
      </c>
      <c r="BW339" s="5">
        <f t="shared" si="211"/>
        <v>-5000</v>
      </c>
      <c r="BX339" s="5">
        <f t="shared" si="212"/>
        <v>-5000</v>
      </c>
      <c r="BY339" s="5">
        <f t="shared" si="213"/>
        <v>-15000</v>
      </c>
      <c r="BZ339" s="5">
        <f>INDEX('Team forecast'!$R$3:$BH$26,MATCH($B339,'Team forecast'!$B$3:$B$26,0),MATCH(BZ$1,'Team forecast'!$R$2:$BH$2,0))*($BX339-(BY339+CH339)*0.01)</f>
        <v>-18548.304397007025</v>
      </c>
      <c r="CA339" s="5">
        <f>INDEX('Team forecast'!$R$3:$BH$26,MATCH($B339,'Team forecast'!$B$3:$B$26,0),MATCH(CA$1,'Team forecast'!$R$2:$BH$2,0))*($BX339-(BY339+BX339+CH339)*0.01)</f>
        <v>-9095.4258146197299</v>
      </c>
      <c r="CB339" s="5">
        <f>INDEX('Team forecast'!$R$3:$BH$26,MATCH($B339,'Team forecast'!$B$3:$B$26,0),MATCH(CB$1,'Team forecast'!$R$2:$BH$2,0))*($BX339-(BY339+BX339*2+CH339)*0.01)</f>
        <v>-4388.197398163813</v>
      </c>
      <c r="CC339" s="5">
        <f>INDEX('Team forecast'!$R$3:$BH$26,MATCH($B339,'Team forecast'!$B$3:$B$26,0),MATCH(CC$1,'Team forecast'!$R$2:$BH$2,0))*($BX339-(BY339+BX339*3+CH339)*0.01)</f>
        <v>-1996.1896734281838</v>
      </c>
      <c r="CD339" s="5">
        <f>+AK339+BD339*Cockpit!$C$3+BW339*Cockpit!$C$3^2+BZ339*Cockpit!$C$3^3+CA339*Cockpit!$C$3^4+CB339*Cockpit!$C$3^5+CC339*Cockpit!$C$3^6</f>
        <v>-18601.094864721385</v>
      </c>
      <c r="CE339" s="5"/>
      <c r="CF339" s="5"/>
      <c r="CG339" s="5">
        <v>0</v>
      </c>
      <c r="CH339" s="5">
        <f t="shared" si="214"/>
        <v>2000000</v>
      </c>
      <c r="CI339" s="5">
        <f t="shared" si="215"/>
        <v>2000000</v>
      </c>
      <c r="CJ339" s="1">
        <f t="shared" si="216"/>
        <v>-7.4999999999999997E-3</v>
      </c>
      <c r="CK339" s="5">
        <f>RANK(BY339,$BY$2:$BY$623)+COUNTIF($BY$2:$BY339,$BY339)-1</f>
        <v>518</v>
      </c>
      <c r="CL339" s="5">
        <f>RANK(CJ339,$CJ$2:$CJ$623)+COUNTIF($CJ$2:$CJ339,$CJ339)-1</f>
        <v>584</v>
      </c>
    </row>
    <row r="340" spans="1:90">
      <c r="A340" t="str">
        <f>Players!P341</f>
        <v>Serhiy Sydorchuk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3000000</v>
      </c>
      <c r="H340" s="16">
        <f>INDEX('Team forecast'!$B$2:$AO$26,MATCH('Master data'!$B340,'Team forecast'!$B$2:$B$26,0),MATCH('Master data'!H$1,'Team forecast'!$B$2:$AO$2,0))</f>
        <v>0.76028648339757388</v>
      </c>
      <c r="I340" s="16">
        <f>INDEX('Team forecast'!$B$2:$AO$26,MATCH('Master data'!$B340,'Team forecast'!$B$2:$B$26,0),MATCH('Master data'!I$1,'Team forecast'!$B$2:$AO$2,0))</f>
        <v>1.5712166996139025</v>
      </c>
      <c r="J340" s="16">
        <f>INDEX('Team forecast'!$B$2:$AO$26,MATCH('Master data'!$B340,'Team forecast'!$B$2:$B$26,0),MATCH('Master data'!J$1,'Team forecast'!$B$2:$AO$2,0))</f>
        <v>0.20779220779220781</v>
      </c>
      <c r="K340" s="16">
        <f>INDEX('Team forecast'!$B$2:$AO$26,MATCH('Master data'!$B340,'Team forecast'!$B$2:$B$26,0),MATCH('Master data'!K$1,'Team forecast'!$B$2:$AO$2,0))</f>
        <v>2.0548283335069564</v>
      </c>
      <c r="L340" s="16">
        <f>INDEX('Team forecast'!$B$2:$AO$26,MATCH('Master data'!$B340,'Team forecast'!$B$2:$B$26,0),MATCH('Master data'!L$1,'Team forecast'!$B$2:$AO$2,0))</f>
        <v>5.3509268021816121</v>
      </c>
      <c r="M340">
        <f>IF(Players!BC341=1,95,0)</f>
        <v>0</v>
      </c>
      <c r="N340" s="2">
        <f>Players!BN341</f>
        <v>0</v>
      </c>
      <c r="O340" s="2">
        <f>Players!BO341</f>
        <v>0</v>
      </c>
      <c r="P340" s="2">
        <f>Players!BP341</f>
        <v>0</v>
      </c>
      <c r="Q340" s="2">
        <f>Players!BQ341</f>
        <v>8.0405002977963075E-2</v>
      </c>
      <c r="R340" s="2">
        <f>Players!BR341</f>
        <v>0</v>
      </c>
      <c r="S340" s="2">
        <f t="shared" si="175"/>
        <v>0.76028648339757388</v>
      </c>
      <c r="T340" s="2">
        <f t="shared" si="176"/>
        <v>1.5712166996139025</v>
      </c>
      <c r="U340" s="16">
        <f>INDEX('Team forecast'!$B$2:$AO$26,MATCH('Master data'!$B340,'Team forecast'!$B$2:$B$26,0),MATCH('Master data'!U$1,'Team forecast'!$B$2:$AO$2,0))</f>
        <v>0.15584415584415581</v>
      </c>
      <c r="V340" s="16">
        <f>INDEX('Team forecast'!$B$2:$AO$26,MATCH('Master data'!$B340,'Team forecast'!$B$2:$B$26,0),MATCH('Master data'!V$1,'Team forecast'!$B$2:$AO$2,0))</f>
        <v>0.25974025974025972</v>
      </c>
      <c r="W340" s="16">
        <f>INDEX('Team forecast'!$B$2:$AO$26,MATCH('Master data'!$B340,'Team forecast'!$B$2:$B$26,0),MATCH('Master data'!W$1,'Team forecast'!$B$2:$AO$2,0))</f>
        <v>0.58441558441558439</v>
      </c>
      <c r="X340" s="5">
        <f t="shared" si="177"/>
        <v>-5000</v>
      </c>
      <c r="Y340" s="5">
        <f t="shared" si="178"/>
        <v>0</v>
      </c>
      <c r="Z340" s="5">
        <f t="shared" si="179"/>
        <v>0</v>
      </c>
      <c r="AA340" s="5">
        <f t="shared" si="180"/>
        <v>0</v>
      </c>
      <c r="AB340" s="5">
        <f t="shared" si="181"/>
        <v>0</v>
      </c>
      <c r="AC340" s="5">
        <f t="shared" si="182"/>
        <v>0</v>
      </c>
      <c r="AD340" s="5">
        <f t="shared" si="183"/>
        <v>0</v>
      </c>
      <c r="AE340" s="5">
        <f t="shared" si="184"/>
        <v>0</v>
      </c>
      <c r="AF340" s="5">
        <f t="shared" si="185"/>
        <v>0</v>
      </c>
      <c r="AG340" s="5">
        <f t="shared" si="186"/>
        <v>0</v>
      </c>
      <c r="AH340" s="5">
        <f t="shared" si="187"/>
        <v>0</v>
      </c>
      <c r="AI340" s="5">
        <f t="shared" si="188"/>
        <v>0</v>
      </c>
      <c r="AJ340" s="5">
        <f t="shared" si="189"/>
        <v>0</v>
      </c>
      <c r="AK340" s="5">
        <f>IFERROR(SUM(X340:AJ340),-5000)*((Cockpit!$C$3)^0)</f>
        <v>-5000</v>
      </c>
      <c r="AL340" s="16">
        <f>INDEX('Team forecast'!$B$2:$AO$26,MATCH('Master data'!$B340,'Team forecast'!$B$2:$B$26,0),MATCH('Master data'!AL$1,'Team forecast'!$B$2:$AO$2,0))</f>
        <v>1.5712166996139025</v>
      </c>
      <c r="AM340" s="16">
        <f>INDEX('Team forecast'!$B$2:$AO$26,MATCH('Master data'!$B340,'Team forecast'!$B$2:$B$26,0),MATCH('Master data'!AM$1,'Team forecast'!$B$2:$AO$2,0))</f>
        <v>0.76028648339757388</v>
      </c>
      <c r="AN340" s="16">
        <f>INDEX('Team forecast'!$B$2:$AO$26,MATCH('Master data'!$B340,'Team forecast'!$B$2:$B$26,0),MATCH('Master data'!AN$1,'Team forecast'!$B$2:$AO$2,0))</f>
        <v>0.46753246753246752</v>
      </c>
      <c r="AO340" s="16">
        <f>INDEX('Team forecast'!$B$2:$AO$26,MATCH('Master data'!$B340,'Team forecast'!$B$2:$B$26,0),MATCH('Master data'!AO$1,'Team forecast'!$B$2:$AO$2,0))</f>
        <v>4.2465316205781152</v>
      </c>
      <c r="AP340" s="16">
        <f>INDEX('Team forecast'!$B$2:$AO$26,MATCH('Master data'!$B340,'Team forecast'!$B$2:$B$26,0),MATCH('Master data'!AP$1,'Team forecast'!$B$2:$AO$2,0))</f>
        <v>2.5892273945078212</v>
      </c>
      <c r="AQ340" s="5">
        <f t="shared" si="190"/>
        <v>-5000</v>
      </c>
      <c r="AR340" s="5">
        <f>INDEX('Team forecast'!$B$2:$AO$26,MATCH('Master data'!$B340,'Team forecast'!$B$2:$B$26,0),MATCH('Master data'!AR$1,'Team forecast'!$B$2:$AO$2,0))*IF(X340&gt;0,25000,0)</f>
        <v>0</v>
      </c>
      <c r="AS340" s="16">
        <f>INDEX('Team forecast'!$B$2:$AO$26,MATCH('Master data'!$B340,'Team forecast'!$B$2:$B$26,0),MATCH('Master data'!AS$1,'Team forecast'!$B$2:$AO$2,0))*IF(X340&gt;0,5000,0)</f>
        <v>0</v>
      </c>
      <c r="AT340" s="16">
        <f>INDEX('Team forecast'!$B$2:$AO$26,MATCH('Master data'!$B340,'Team forecast'!$B$2:$B$26,0),MATCH('Master data'!AT$1,'Team forecast'!$B$2:$AO$2,0))*IF(X340&gt;0,-15000,0)</f>
        <v>0</v>
      </c>
      <c r="AU340" s="5">
        <f t="shared" si="191"/>
        <v>0</v>
      </c>
      <c r="AV340" s="5">
        <f t="shared" si="192"/>
        <v>0</v>
      </c>
      <c r="AW340" s="5">
        <f t="shared" si="193"/>
        <v>0</v>
      </c>
      <c r="AX340" s="5">
        <f t="shared" si="194"/>
        <v>0</v>
      </c>
      <c r="AY340" s="5">
        <f t="shared" si="195"/>
        <v>0</v>
      </c>
      <c r="AZ340" s="5">
        <f t="shared" si="196"/>
        <v>0</v>
      </c>
      <c r="BA340" s="5">
        <f t="shared" si="197"/>
        <v>0</v>
      </c>
      <c r="BB340" s="5">
        <f t="shared" si="198"/>
        <v>0</v>
      </c>
      <c r="BC340" s="5">
        <f t="shared" si="199"/>
        <v>0</v>
      </c>
      <c r="BD340" s="5">
        <f t="shared" si="200"/>
        <v>-5000</v>
      </c>
      <c r="BE340" s="16">
        <f>INDEX('Team forecast'!$B$2:$AO$26,MATCH('Master data'!$B340,'Team forecast'!$B$2:$B$26,0),MATCH('Master data'!BE$1,'Team forecast'!$B$2:$AO$2,0))</f>
        <v>1.1461513485277883</v>
      </c>
      <c r="BF340" s="16">
        <f>INDEX('Team forecast'!$B$2:$AO$26,MATCH('Master data'!$B340,'Team forecast'!$B$2:$B$26,0),MATCH('Master data'!BF$1,'Team forecast'!$B$2:$AO$2,0))</f>
        <v>1.1461513485277883</v>
      </c>
      <c r="BG340" s="16">
        <f>INDEX('Team forecast'!$B$2:$AO$26,MATCH('Master data'!$B340,'Team forecast'!$B$2:$B$26,0),MATCH('Master data'!BG$1,'Team forecast'!$B$2:$AO$2,0))</f>
        <v>0.31785774198959899</v>
      </c>
      <c r="BH340" s="16">
        <f>INDEX('Team forecast'!$B$2:$AO$26,MATCH('Master data'!$B340,'Team forecast'!$B$2:$B$26,0),MATCH('Master data'!BH$1,'Team forecast'!$B$2:$AO$2,0))</f>
        <v>3.0977063473724007</v>
      </c>
      <c r="BI340" s="16">
        <f>INDEX('Team forecast'!$B$2:$AO$26,MATCH('Master data'!$B340,'Team forecast'!$B$2:$B$26,0),MATCH('Master data'!BI$1,'Team forecast'!$B$2:$AO$2,0))</f>
        <v>3.9033266205107195</v>
      </c>
      <c r="BJ340" s="5">
        <f t="shared" si="201"/>
        <v>-5000</v>
      </c>
      <c r="BK340" s="5">
        <f>INDEX('Team forecast'!$R$3:$BH$26,MATCH($B340,'Team forecast'!$B$3:$B$26,0),MATCH(BK$1,'Team forecast'!$R$2:$BH$2,0))*IF($X340&gt;0,25000,0)</f>
        <v>0</v>
      </c>
      <c r="BL340" s="5">
        <f>INDEX('Team forecast'!$R$3:$BH$26,MATCH($B340,'Team forecast'!$B$3:$B$26,0),MATCH(BL$1,'Team forecast'!$R$2:$BH$2,0))*IF($X340&gt;0,5000,0)</f>
        <v>0</v>
      </c>
      <c r="BM340" s="5">
        <f>INDEX('Team forecast'!$R$3:$BH$26,MATCH($B340,'Team forecast'!$B$3:$B$26,0),MATCH(BM$1,'Team forecast'!$R$2:$BH$2,0))*IF($X340&gt;0,-15000,0)</f>
        <v>0</v>
      </c>
      <c r="BN340" s="5">
        <f t="shared" si="202"/>
        <v>0</v>
      </c>
      <c r="BO340" s="5">
        <f t="shared" si="203"/>
        <v>0</v>
      </c>
      <c r="BP340" s="5">
        <f t="shared" si="204"/>
        <v>0</v>
      </c>
      <c r="BQ340" s="5">
        <f t="shared" si="205"/>
        <v>0</v>
      </c>
      <c r="BR340" s="5">
        <f t="shared" si="206"/>
        <v>0</v>
      </c>
      <c r="BS340" s="5">
        <f t="shared" si="207"/>
        <v>0</v>
      </c>
      <c r="BT340" s="5">
        <f t="shared" si="208"/>
        <v>0</v>
      </c>
      <c r="BU340" s="5">
        <f t="shared" si="209"/>
        <v>0</v>
      </c>
      <c r="BV340" s="5">
        <f t="shared" si="210"/>
        <v>0</v>
      </c>
      <c r="BW340" s="5">
        <f t="shared" si="211"/>
        <v>-5000</v>
      </c>
      <c r="BX340" s="5">
        <f t="shared" si="212"/>
        <v>-5000</v>
      </c>
      <c r="BY340" s="5">
        <f t="shared" si="213"/>
        <v>-15000</v>
      </c>
      <c r="BZ340" s="5">
        <f>INDEX('Team forecast'!$R$3:$BH$26,MATCH($B340,'Team forecast'!$B$3:$B$26,0),MATCH(BZ$1,'Team forecast'!$R$2:$BH$2,0))*($BX340-(BY340+CH340)*0.01)</f>
        <v>-26012.410794192951</v>
      </c>
      <c r="CA340" s="5">
        <f>INDEX('Team forecast'!$R$3:$BH$26,MATCH($B340,'Team forecast'!$B$3:$B$26,0),MATCH(CA$1,'Team forecast'!$R$2:$BH$2,0))*($BX340-(BY340+BX340+CH340)*0.01)</f>
        <v>-12762.936223740589</v>
      </c>
      <c r="CB340" s="5">
        <f>INDEX('Team forecast'!$R$3:$BH$26,MATCH($B340,'Team forecast'!$B$3:$B$26,0),MATCH(CB$1,'Team forecast'!$R$2:$BH$2,0))*($BX340-(BY340+BX340*2+CH340)*0.01)</f>
        <v>-6161.2064479269693</v>
      </c>
      <c r="CC340" s="5">
        <f>INDEX('Team forecast'!$R$3:$BH$26,MATCH($B340,'Team forecast'!$B$3:$B$26,0),MATCH(CC$1,'Team forecast'!$R$2:$BH$2,0))*($BX340-(BY340+BX340*3+CH340)*0.01)</f>
        <v>-2804.3636302816994</v>
      </c>
      <c r="CD340" s="5">
        <f>+AK340+BD340*Cockpit!$C$3+BW340*Cockpit!$C$3^2+BZ340*Cockpit!$C$3^3+CA340*Cockpit!$C$3^4+CB340*Cockpit!$C$3^5+CC340*Cockpit!$C$3^6</f>
        <v>-21841.561919208969</v>
      </c>
      <c r="CE340" s="5"/>
      <c r="CF340" s="5"/>
      <c r="CG340" s="5">
        <v>0</v>
      </c>
      <c r="CH340" s="5">
        <f t="shared" si="214"/>
        <v>3000000</v>
      </c>
      <c r="CI340" s="5">
        <f t="shared" si="215"/>
        <v>3000000</v>
      </c>
      <c r="CJ340" s="1">
        <f t="shared" si="216"/>
        <v>-5.0000000000000001E-3</v>
      </c>
      <c r="CK340" s="5">
        <f>RANK(BY340,$BY$2:$BY$623)+COUNTIF($BY$2:$BY340,$BY340)-1</f>
        <v>519</v>
      </c>
      <c r="CL340" s="5">
        <f>RANK(CJ340,$CJ$2:$CJ$623)+COUNTIF($CJ$2:$CJ340,$CJ340)-1</f>
        <v>505</v>
      </c>
    </row>
    <row r="341" spans="1:90">
      <c r="A341" t="str">
        <f>Players!P342</f>
        <v>Oleksandr Zubkov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2500000</v>
      </c>
      <c r="H341" s="16">
        <f>INDEX('Team forecast'!$B$2:$AO$26,MATCH('Master data'!$B341,'Team forecast'!$B$2:$B$26,0),MATCH('Master data'!H$1,'Team forecast'!$B$2:$AO$2,0))</f>
        <v>0.76028648339757388</v>
      </c>
      <c r="I341" s="16">
        <f>INDEX('Team forecast'!$B$2:$AO$26,MATCH('Master data'!$B341,'Team forecast'!$B$2:$B$26,0),MATCH('Master data'!I$1,'Team forecast'!$B$2:$AO$2,0))</f>
        <v>1.5712166996139025</v>
      </c>
      <c r="J341" s="16">
        <f>INDEX('Team forecast'!$B$2:$AO$26,MATCH('Master data'!$B341,'Team forecast'!$B$2:$B$26,0),MATCH('Master data'!J$1,'Team forecast'!$B$2:$AO$2,0))</f>
        <v>0.20779220779220781</v>
      </c>
      <c r="K341" s="16">
        <f>INDEX('Team forecast'!$B$2:$AO$26,MATCH('Master data'!$B341,'Team forecast'!$B$2:$B$26,0),MATCH('Master data'!K$1,'Team forecast'!$B$2:$AO$2,0))</f>
        <v>2.0548283335069564</v>
      </c>
      <c r="L341" s="16">
        <f>INDEX('Team forecast'!$B$2:$AO$26,MATCH('Master data'!$B341,'Team forecast'!$B$2:$B$26,0),MATCH('Master data'!L$1,'Team forecast'!$B$2:$AO$2,0))</f>
        <v>5.3509268021816121</v>
      </c>
      <c r="M341">
        <f>IF(Players!BC342=1,95,0)</f>
        <v>0</v>
      </c>
      <c r="N341" s="2">
        <f>Players!BN342</f>
        <v>0</v>
      </c>
      <c r="O341" s="2">
        <f>Players!BO342</f>
        <v>0</v>
      </c>
      <c r="P341" s="2">
        <f>Players!BP342</f>
        <v>0</v>
      </c>
      <c r="Q341" s="2">
        <f>Players!BQ342</f>
        <v>0.1</v>
      </c>
      <c r="R341" s="2">
        <f>Players!BR342</f>
        <v>0</v>
      </c>
      <c r="S341" s="2">
        <f t="shared" si="175"/>
        <v>0.76028648339757388</v>
      </c>
      <c r="T341" s="2">
        <f t="shared" si="176"/>
        <v>1.5712166996139025</v>
      </c>
      <c r="U341" s="16">
        <f>INDEX('Team forecast'!$B$2:$AO$26,MATCH('Master data'!$B341,'Team forecast'!$B$2:$B$26,0),MATCH('Master data'!U$1,'Team forecast'!$B$2:$AO$2,0))</f>
        <v>0.15584415584415581</v>
      </c>
      <c r="V341" s="16">
        <f>INDEX('Team forecast'!$B$2:$AO$26,MATCH('Master data'!$B341,'Team forecast'!$B$2:$B$26,0),MATCH('Master data'!V$1,'Team forecast'!$B$2:$AO$2,0))</f>
        <v>0.25974025974025972</v>
      </c>
      <c r="W341" s="16">
        <f>INDEX('Team forecast'!$B$2:$AO$26,MATCH('Master data'!$B341,'Team forecast'!$B$2:$B$26,0),MATCH('Master data'!W$1,'Team forecast'!$B$2:$AO$2,0))</f>
        <v>0.58441558441558439</v>
      </c>
      <c r="X341" s="5">
        <f t="shared" si="177"/>
        <v>-5000</v>
      </c>
      <c r="Y341" s="5">
        <f t="shared" si="178"/>
        <v>0</v>
      </c>
      <c r="Z341" s="5">
        <f t="shared" si="179"/>
        <v>0</v>
      </c>
      <c r="AA341" s="5">
        <f t="shared" si="180"/>
        <v>0</v>
      </c>
      <c r="AB341" s="5">
        <f t="shared" si="181"/>
        <v>0</v>
      </c>
      <c r="AC341" s="5">
        <f t="shared" si="182"/>
        <v>0</v>
      </c>
      <c r="AD341" s="5">
        <f t="shared" si="183"/>
        <v>0</v>
      </c>
      <c r="AE341" s="5">
        <f t="shared" si="184"/>
        <v>0</v>
      </c>
      <c r="AF341" s="5">
        <f t="shared" si="185"/>
        <v>0</v>
      </c>
      <c r="AG341" s="5">
        <f t="shared" si="186"/>
        <v>0</v>
      </c>
      <c r="AH341" s="5">
        <f t="shared" si="187"/>
        <v>0</v>
      </c>
      <c r="AI341" s="5">
        <f t="shared" si="188"/>
        <v>0</v>
      </c>
      <c r="AJ341" s="5">
        <f t="shared" si="189"/>
        <v>0</v>
      </c>
      <c r="AK341" s="5">
        <f>IFERROR(SUM(X341:AJ341),-5000)*((Cockpit!$C$3)^0)</f>
        <v>-5000</v>
      </c>
      <c r="AL341" s="16">
        <f>INDEX('Team forecast'!$B$2:$AO$26,MATCH('Master data'!$B341,'Team forecast'!$B$2:$B$26,0),MATCH('Master data'!AL$1,'Team forecast'!$B$2:$AO$2,0))</f>
        <v>1.5712166996139025</v>
      </c>
      <c r="AM341" s="16">
        <f>INDEX('Team forecast'!$B$2:$AO$26,MATCH('Master data'!$B341,'Team forecast'!$B$2:$B$26,0),MATCH('Master data'!AM$1,'Team forecast'!$B$2:$AO$2,0))</f>
        <v>0.76028648339757388</v>
      </c>
      <c r="AN341" s="16">
        <f>INDEX('Team forecast'!$B$2:$AO$26,MATCH('Master data'!$B341,'Team forecast'!$B$2:$B$26,0),MATCH('Master data'!AN$1,'Team forecast'!$B$2:$AO$2,0))</f>
        <v>0.46753246753246752</v>
      </c>
      <c r="AO341" s="16">
        <f>INDEX('Team forecast'!$B$2:$AO$26,MATCH('Master data'!$B341,'Team forecast'!$B$2:$B$26,0),MATCH('Master data'!AO$1,'Team forecast'!$B$2:$AO$2,0))</f>
        <v>4.2465316205781152</v>
      </c>
      <c r="AP341" s="16">
        <f>INDEX('Team forecast'!$B$2:$AO$26,MATCH('Master data'!$B341,'Team forecast'!$B$2:$B$26,0),MATCH('Master data'!AP$1,'Team forecast'!$B$2:$AO$2,0))</f>
        <v>2.5892273945078212</v>
      </c>
      <c r="AQ341" s="5">
        <f t="shared" si="190"/>
        <v>-5000</v>
      </c>
      <c r="AR341" s="5">
        <f>INDEX('Team forecast'!$B$2:$AO$26,MATCH('Master data'!$B341,'Team forecast'!$B$2:$B$26,0),MATCH('Master data'!AR$1,'Team forecast'!$B$2:$AO$2,0))*IF(X341&gt;0,25000,0)</f>
        <v>0</v>
      </c>
      <c r="AS341" s="16">
        <f>INDEX('Team forecast'!$B$2:$AO$26,MATCH('Master data'!$B341,'Team forecast'!$B$2:$B$26,0),MATCH('Master data'!AS$1,'Team forecast'!$B$2:$AO$2,0))*IF(X341&gt;0,5000,0)</f>
        <v>0</v>
      </c>
      <c r="AT341" s="16">
        <f>INDEX('Team forecast'!$B$2:$AO$26,MATCH('Master data'!$B341,'Team forecast'!$B$2:$B$26,0),MATCH('Master data'!AT$1,'Team forecast'!$B$2:$AO$2,0))*IF(X341&gt;0,-15000,0)</f>
        <v>0</v>
      </c>
      <c r="AU341" s="5">
        <f t="shared" si="191"/>
        <v>0</v>
      </c>
      <c r="AV341" s="5">
        <f t="shared" si="192"/>
        <v>0</v>
      </c>
      <c r="AW341" s="5">
        <f t="shared" si="193"/>
        <v>0</v>
      </c>
      <c r="AX341" s="5">
        <f t="shared" si="194"/>
        <v>0</v>
      </c>
      <c r="AY341" s="5">
        <f t="shared" si="195"/>
        <v>0</v>
      </c>
      <c r="AZ341" s="5">
        <f t="shared" si="196"/>
        <v>0</v>
      </c>
      <c r="BA341" s="5">
        <f t="shared" si="197"/>
        <v>0</v>
      </c>
      <c r="BB341" s="5">
        <f t="shared" si="198"/>
        <v>0</v>
      </c>
      <c r="BC341" s="5">
        <f t="shared" si="199"/>
        <v>0</v>
      </c>
      <c r="BD341" s="5">
        <f t="shared" si="200"/>
        <v>-5000</v>
      </c>
      <c r="BE341" s="16">
        <f>INDEX('Team forecast'!$B$2:$AO$26,MATCH('Master data'!$B341,'Team forecast'!$B$2:$B$26,0),MATCH('Master data'!BE$1,'Team forecast'!$B$2:$AO$2,0))</f>
        <v>1.1461513485277883</v>
      </c>
      <c r="BF341" s="16">
        <f>INDEX('Team forecast'!$B$2:$AO$26,MATCH('Master data'!$B341,'Team forecast'!$B$2:$B$26,0),MATCH('Master data'!BF$1,'Team forecast'!$B$2:$AO$2,0))</f>
        <v>1.1461513485277883</v>
      </c>
      <c r="BG341" s="16">
        <f>INDEX('Team forecast'!$B$2:$AO$26,MATCH('Master data'!$B341,'Team forecast'!$B$2:$B$26,0),MATCH('Master data'!BG$1,'Team forecast'!$B$2:$AO$2,0))</f>
        <v>0.31785774198959899</v>
      </c>
      <c r="BH341" s="16">
        <f>INDEX('Team forecast'!$B$2:$AO$26,MATCH('Master data'!$B341,'Team forecast'!$B$2:$B$26,0),MATCH('Master data'!BH$1,'Team forecast'!$B$2:$AO$2,0))</f>
        <v>3.0977063473724007</v>
      </c>
      <c r="BI341" s="16">
        <f>INDEX('Team forecast'!$B$2:$AO$26,MATCH('Master data'!$B341,'Team forecast'!$B$2:$B$26,0),MATCH('Master data'!BI$1,'Team forecast'!$B$2:$AO$2,0))</f>
        <v>3.9033266205107195</v>
      </c>
      <c r="BJ341" s="5">
        <f t="shared" si="201"/>
        <v>-5000</v>
      </c>
      <c r="BK341" s="5">
        <f>INDEX('Team forecast'!$R$3:$BH$26,MATCH($B341,'Team forecast'!$B$3:$B$26,0),MATCH(BK$1,'Team forecast'!$R$2:$BH$2,0))*IF($X341&gt;0,25000,0)</f>
        <v>0</v>
      </c>
      <c r="BL341" s="5">
        <f>INDEX('Team forecast'!$R$3:$BH$26,MATCH($B341,'Team forecast'!$B$3:$B$26,0),MATCH(BL$1,'Team forecast'!$R$2:$BH$2,0))*IF($X341&gt;0,5000,0)</f>
        <v>0</v>
      </c>
      <c r="BM341" s="5">
        <f>INDEX('Team forecast'!$R$3:$BH$26,MATCH($B341,'Team forecast'!$B$3:$B$26,0),MATCH(BM$1,'Team forecast'!$R$2:$BH$2,0))*IF($X341&gt;0,-15000,0)</f>
        <v>0</v>
      </c>
      <c r="BN341" s="5">
        <f t="shared" si="202"/>
        <v>0</v>
      </c>
      <c r="BO341" s="5">
        <f t="shared" si="203"/>
        <v>0</v>
      </c>
      <c r="BP341" s="5">
        <f t="shared" si="204"/>
        <v>0</v>
      </c>
      <c r="BQ341" s="5">
        <f t="shared" si="205"/>
        <v>0</v>
      </c>
      <c r="BR341" s="5">
        <f t="shared" si="206"/>
        <v>0</v>
      </c>
      <c r="BS341" s="5">
        <f t="shared" si="207"/>
        <v>0</v>
      </c>
      <c r="BT341" s="5">
        <f t="shared" si="208"/>
        <v>0</v>
      </c>
      <c r="BU341" s="5">
        <f t="shared" si="209"/>
        <v>0</v>
      </c>
      <c r="BV341" s="5">
        <f t="shared" si="210"/>
        <v>0</v>
      </c>
      <c r="BW341" s="5">
        <f t="shared" si="211"/>
        <v>-5000</v>
      </c>
      <c r="BX341" s="5">
        <f t="shared" si="212"/>
        <v>-5000</v>
      </c>
      <c r="BY341" s="5">
        <f t="shared" si="213"/>
        <v>-15000</v>
      </c>
      <c r="BZ341" s="5">
        <f>INDEX('Team forecast'!$R$3:$BH$26,MATCH($B341,'Team forecast'!$B$3:$B$26,0),MATCH(BZ$1,'Team forecast'!$R$2:$BH$2,0))*($BX341-(BY341+CH341)*0.01)</f>
        <v>-22280.357595599988</v>
      </c>
      <c r="CA341" s="5">
        <f>INDEX('Team forecast'!$R$3:$BH$26,MATCH($B341,'Team forecast'!$B$3:$B$26,0),MATCH(CA$1,'Team forecast'!$R$2:$BH$2,0))*($BX341-(BY341+BX341+CH341)*0.01)</f>
        <v>-10929.18101918016</v>
      </c>
      <c r="CB341" s="5">
        <f>INDEX('Team forecast'!$R$3:$BH$26,MATCH($B341,'Team forecast'!$B$3:$B$26,0),MATCH(CB$1,'Team forecast'!$R$2:$BH$2,0))*($BX341-(BY341+BX341*2+CH341)*0.01)</f>
        <v>-5274.7019230453916</v>
      </c>
      <c r="CC341" s="5">
        <f>INDEX('Team forecast'!$R$3:$BH$26,MATCH($B341,'Team forecast'!$B$3:$B$26,0),MATCH(CC$1,'Team forecast'!$R$2:$BH$2,0))*($BX341-(BY341+BX341*3+CH341)*0.01)</f>
        <v>-2400.2766518549415</v>
      </c>
      <c r="CD341" s="5">
        <f>+AK341+BD341*Cockpit!$C$3+BW341*Cockpit!$C$3^2+BZ341*Cockpit!$C$3^3+CA341*Cockpit!$C$3^4+CB341*Cockpit!$C$3^5+CC341*Cockpit!$C$3^6</f>
        <v>-20221.328391965177</v>
      </c>
      <c r="CE341" s="5"/>
      <c r="CF341" s="5"/>
      <c r="CG341" s="5">
        <v>0</v>
      </c>
      <c r="CH341" s="5">
        <f t="shared" si="214"/>
        <v>2500000</v>
      </c>
      <c r="CI341" s="5">
        <f t="shared" si="215"/>
        <v>2500000</v>
      </c>
      <c r="CJ341" s="1">
        <f t="shared" si="216"/>
        <v>-6.0000000000000001E-3</v>
      </c>
      <c r="CK341" s="5">
        <f>RANK(BY341,$BY$2:$BY$623)+COUNTIF($BY$2:$BY341,$BY341)-1</f>
        <v>520</v>
      </c>
      <c r="CL341" s="5">
        <f>RANK(CJ341,$CJ$2:$CJ$623)+COUNTIF($CJ$2:$CJ341,$CJ341)-1</f>
        <v>542</v>
      </c>
    </row>
    <row r="342" spans="1:90">
      <c r="A342" t="str">
        <f>Players!P343</f>
        <v>Taras Stepanenko</v>
      </c>
      <c r="B342" t="str">
        <f>Players!G343</f>
        <v>Ukraine</v>
      </c>
      <c r="C342" t="str">
        <f>Players!AB343</f>
        <v>Midfield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2000000</v>
      </c>
      <c r="H342" s="16">
        <f>INDEX('Team forecast'!$B$2:$AO$26,MATCH('Master data'!$B342,'Team forecast'!$B$2:$B$26,0),MATCH('Master data'!H$1,'Team forecast'!$B$2:$AO$2,0))</f>
        <v>0.76028648339757388</v>
      </c>
      <c r="I342" s="16">
        <f>INDEX('Team forecast'!$B$2:$AO$26,MATCH('Master data'!$B342,'Team forecast'!$B$2:$B$26,0),MATCH('Master data'!I$1,'Team forecast'!$B$2:$AO$2,0))</f>
        <v>1.5712166996139025</v>
      </c>
      <c r="J342" s="16">
        <f>INDEX('Team forecast'!$B$2:$AO$26,MATCH('Master data'!$B342,'Team forecast'!$B$2:$B$26,0),MATCH('Master data'!J$1,'Team forecast'!$B$2:$AO$2,0))</f>
        <v>0.20779220779220781</v>
      </c>
      <c r="K342" s="16">
        <f>INDEX('Team forecast'!$B$2:$AO$26,MATCH('Master data'!$B342,'Team forecast'!$B$2:$B$26,0),MATCH('Master data'!K$1,'Team forecast'!$B$2:$AO$2,0))</f>
        <v>2.0548283335069564</v>
      </c>
      <c r="L342" s="16">
        <f>INDEX('Team forecast'!$B$2:$AO$26,MATCH('Master data'!$B342,'Team forecast'!$B$2:$B$26,0),MATCH('Master data'!L$1,'Team forecast'!$B$2:$AO$2,0))</f>
        <v>5.3509268021816121</v>
      </c>
      <c r="M342">
        <f>IF(Players!BC343=1,95,0)</f>
        <v>95</v>
      </c>
      <c r="N342" s="2">
        <f>Players!BN343</f>
        <v>9.3772409374893118E-2</v>
      </c>
      <c r="O342" s="2">
        <f>Players!BO343</f>
        <v>4.5950785504687154E-2</v>
      </c>
      <c r="P342" s="2">
        <f>Players!BP343</f>
        <v>6.3700017467407999E-2</v>
      </c>
      <c r="Q342" s="2">
        <f>Players!BQ343</f>
        <v>0.45040500297796304</v>
      </c>
      <c r="R342" s="2">
        <f>Players!BR343</f>
        <v>0</v>
      </c>
      <c r="S342" s="2">
        <f t="shared" si="175"/>
        <v>0.76028648339757388</v>
      </c>
      <c r="T342" s="2">
        <f t="shared" si="176"/>
        <v>1.5712166996139025</v>
      </c>
      <c r="U342" s="16">
        <f>INDEX('Team forecast'!$B$2:$AO$26,MATCH('Master data'!$B342,'Team forecast'!$B$2:$B$26,0),MATCH('Master data'!U$1,'Team forecast'!$B$2:$AO$2,0))</f>
        <v>0.15584415584415581</v>
      </c>
      <c r="V342" s="16">
        <f>INDEX('Team forecast'!$B$2:$AO$26,MATCH('Master data'!$B342,'Team forecast'!$B$2:$B$26,0),MATCH('Master data'!V$1,'Team forecast'!$B$2:$AO$2,0))</f>
        <v>0.25974025974025972</v>
      </c>
      <c r="W342" s="16">
        <f>INDEX('Team forecast'!$B$2:$AO$26,MATCH('Master data'!$B342,'Team forecast'!$B$2:$B$26,0),MATCH('Master data'!W$1,'Team forecast'!$B$2:$AO$2,0))</f>
        <v>0.58441558441558439</v>
      </c>
      <c r="X342" s="5">
        <f t="shared" si="177"/>
        <v>7000</v>
      </c>
      <c r="Y342" s="5">
        <f t="shared" si="178"/>
        <v>3896.1038961038953</v>
      </c>
      <c r="Z342" s="5">
        <f t="shared" si="179"/>
        <v>1298.7012987012986</v>
      </c>
      <c r="AA342" s="5">
        <f t="shared" si="180"/>
        <v>-8766.233766233765</v>
      </c>
      <c r="AB342" s="5">
        <f t="shared" si="181"/>
        <v>8911.7369204193965</v>
      </c>
      <c r="AC342" s="5">
        <f t="shared" si="182"/>
        <v>1746.7880560357405</v>
      </c>
      <c r="AD342" s="5">
        <f t="shared" si="183"/>
        <v>1308.9260073691801</v>
      </c>
      <c r="AE342" s="5">
        <f t="shared" si="184"/>
        <v>0</v>
      </c>
      <c r="AF342" s="5">
        <f t="shared" si="185"/>
        <v>0</v>
      </c>
      <c r="AG342" s="5">
        <f t="shared" si="186"/>
        <v>-9008.1000595592614</v>
      </c>
      <c r="AH342" s="5">
        <f t="shared" si="187"/>
        <v>0</v>
      </c>
      <c r="AI342" s="5">
        <f t="shared" si="188"/>
        <v>7602.8648339757392</v>
      </c>
      <c r="AJ342" s="5">
        <f t="shared" si="189"/>
        <v>-12569.733596911221</v>
      </c>
      <c r="AK342" s="5">
        <f>IFERROR(SUM(X342:AJ342),-5000)*((Cockpit!$C$3)^0)</f>
        <v>1421.0535899010029</v>
      </c>
      <c r="AL342" s="16">
        <f>INDEX('Team forecast'!$B$2:$AO$26,MATCH('Master data'!$B342,'Team forecast'!$B$2:$B$26,0),MATCH('Master data'!AL$1,'Team forecast'!$B$2:$AO$2,0))</f>
        <v>1.5712166996139025</v>
      </c>
      <c r="AM342" s="16">
        <f>INDEX('Team forecast'!$B$2:$AO$26,MATCH('Master data'!$B342,'Team forecast'!$B$2:$B$26,0),MATCH('Master data'!AM$1,'Team forecast'!$B$2:$AO$2,0))</f>
        <v>0.76028648339757388</v>
      </c>
      <c r="AN342" s="16">
        <f>INDEX('Team forecast'!$B$2:$AO$26,MATCH('Master data'!$B342,'Team forecast'!$B$2:$B$26,0),MATCH('Master data'!AN$1,'Team forecast'!$B$2:$AO$2,0))</f>
        <v>0.46753246753246752</v>
      </c>
      <c r="AO342" s="16">
        <f>INDEX('Team forecast'!$B$2:$AO$26,MATCH('Master data'!$B342,'Team forecast'!$B$2:$B$26,0),MATCH('Master data'!AO$1,'Team forecast'!$B$2:$AO$2,0))</f>
        <v>4.2465316205781152</v>
      </c>
      <c r="AP342" s="16">
        <f>INDEX('Team forecast'!$B$2:$AO$26,MATCH('Master data'!$B342,'Team forecast'!$B$2:$B$26,0),MATCH('Master data'!AP$1,'Team forecast'!$B$2:$AO$2,0))</f>
        <v>2.5892273945078212</v>
      </c>
      <c r="AQ342" s="5">
        <f t="shared" si="190"/>
        <v>7000</v>
      </c>
      <c r="AR342" s="5">
        <f>INDEX('Team forecast'!$B$2:$AO$26,MATCH('Master data'!$B342,'Team forecast'!$B$2:$B$26,0),MATCH('Master data'!AR$1,'Team forecast'!$B$2:$AO$2,0))*IF(X342&gt;0,25000,0)</f>
        <v>14610.38961038961</v>
      </c>
      <c r="AS342" s="16">
        <f>INDEX('Team forecast'!$B$2:$AO$26,MATCH('Master data'!$B342,'Team forecast'!$B$2:$B$26,0),MATCH('Master data'!AS$1,'Team forecast'!$B$2:$AO$2,0))*IF(X342&gt;0,5000,0)</f>
        <v>1298.7012987012986</v>
      </c>
      <c r="AT342" s="16">
        <f>INDEX('Team forecast'!$B$2:$AO$26,MATCH('Master data'!$B342,'Team forecast'!$B$2:$B$26,0),MATCH('Master data'!AT$1,'Team forecast'!$B$2:$AO$2,0))*IF(X342&gt;0,-15000,0)</f>
        <v>-2337.662337662337</v>
      </c>
      <c r="AU342" s="5">
        <f t="shared" si="191"/>
        <v>18417.096946607919</v>
      </c>
      <c r="AV342" s="5">
        <f t="shared" si="192"/>
        <v>3609.9320772670453</v>
      </c>
      <c r="AW342" s="5">
        <f t="shared" si="193"/>
        <v>2705.0413840672632</v>
      </c>
      <c r="AX342" s="5">
        <f t="shared" si="194"/>
        <v>0</v>
      </c>
      <c r="AY342" s="5">
        <f t="shared" si="195"/>
        <v>0</v>
      </c>
      <c r="AZ342" s="5">
        <f t="shared" si="196"/>
        <v>-9008.1000595592614</v>
      </c>
      <c r="BA342" s="5">
        <f t="shared" si="197"/>
        <v>0</v>
      </c>
      <c r="BB342" s="5">
        <f t="shared" si="198"/>
        <v>15712.166996139025</v>
      </c>
      <c r="BC342" s="5">
        <f t="shared" si="199"/>
        <v>-6082.291867180591</v>
      </c>
      <c r="BD342" s="5">
        <f t="shared" si="200"/>
        <v>45925.27404876997</v>
      </c>
      <c r="BE342" s="16">
        <f>INDEX('Team forecast'!$B$2:$AO$26,MATCH('Master data'!$B342,'Team forecast'!$B$2:$B$26,0),MATCH('Master data'!BE$1,'Team forecast'!$B$2:$AO$2,0))</f>
        <v>1.1461513485277883</v>
      </c>
      <c r="BF342" s="16">
        <f>INDEX('Team forecast'!$B$2:$AO$26,MATCH('Master data'!$B342,'Team forecast'!$B$2:$B$26,0),MATCH('Master data'!BF$1,'Team forecast'!$B$2:$AO$2,0))</f>
        <v>1.1461513485277883</v>
      </c>
      <c r="BG342" s="16">
        <f>INDEX('Team forecast'!$B$2:$AO$26,MATCH('Master data'!$B342,'Team forecast'!$B$2:$B$26,0),MATCH('Master data'!BG$1,'Team forecast'!$B$2:$AO$2,0))</f>
        <v>0.31785774198959899</v>
      </c>
      <c r="BH342" s="16">
        <f>INDEX('Team forecast'!$B$2:$AO$26,MATCH('Master data'!$B342,'Team forecast'!$B$2:$B$26,0),MATCH('Master data'!BH$1,'Team forecast'!$B$2:$AO$2,0))</f>
        <v>3.0977063473724007</v>
      </c>
      <c r="BI342" s="16">
        <f>INDEX('Team forecast'!$B$2:$AO$26,MATCH('Master data'!$B342,'Team forecast'!$B$2:$B$26,0),MATCH('Master data'!BI$1,'Team forecast'!$B$2:$AO$2,0))</f>
        <v>3.9033266205107195</v>
      </c>
      <c r="BJ342" s="5">
        <f t="shared" si="201"/>
        <v>7000</v>
      </c>
      <c r="BK342" s="5">
        <f>INDEX('Team forecast'!$R$3:$BH$26,MATCH($B342,'Team forecast'!$B$3:$B$26,0),MATCH(BK$1,'Team forecast'!$R$2:$BH$2,0))*IF($X342&gt;0,25000,0)</f>
        <v>8668.8475088072482</v>
      </c>
      <c r="BL342" s="5">
        <f>INDEX('Team forecast'!$R$3:$BH$26,MATCH($B342,'Team forecast'!$B$3:$B$26,0),MATCH(BL$1,'Team forecast'!$R$2:$BH$2,0))*IF($X342&gt;0,5000,0)</f>
        <v>1467.0357322596881</v>
      </c>
      <c r="BM342" s="5">
        <f>INDEX('Team forecast'!$R$3:$BH$26,MATCH($B342,'Team forecast'!$B$3:$B$26,0),MATCH(BM$1,'Team forecast'!$R$2:$BH$2,0))*IF($X342&gt;0,-15000,0)</f>
        <v>-5397.584297936588</v>
      </c>
      <c r="BN342" s="5">
        <f t="shared" si="202"/>
        <v>13434.671682466696</v>
      </c>
      <c r="BO342" s="5">
        <f t="shared" si="203"/>
        <v>2633.3277386054165</v>
      </c>
      <c r="BP342" s="5">
        <f t="shared" si="204"/>
        <v>1973.2394843652257</v>
      </c>
      <c r="BQ342" s="5">
        <f t="shared" si="205"/>
        <v>0</v>
      </c>
      <c r="BR342" s="5">
        <f t="shared" si="206"/>
        <v>0</v>
      </c>
      <c r="BS342" s="5">
        <f t="shared" si="207"/>
        <v>-9008.1000595592614</v>
      </c>
      <c r="BT342" s="5">
        <f t="shared" si="208"/>
        <v>0</v>
      </c>
      <c r="BU342" s="5">
        <f t="shared" si="209"/>
        <v>11461.513485277883</v>
      </c>
      <c r="BV342" s="5">
        <f t="shared" si="210"/>
        <v>-9169.2107882223063</v>
      </c>
      <c r="BW342" s="5">
        <f t="shared" si="211"/>
        <v>23063.740486064005</v>
      </c>
      <c r="BX342" s="5">
        <f t="shared" si="212"/>
        <v>23470.022708244996</v>
      </c>
      <c r="BY342" s="5">
        <f t="shared" si="213"/>
        <v>70410.068124734986</v>
      </c>
      <c r="BZ342" s="5">
        <f>INDEX('Team forecast'!$R$3:$BH$26,MATCH($B342,'Team forecast'!$B$3:$B$26,0),MATCH(BZ$1,'Team forecast'!$R$2:$BH$2,0))*($BX342-(BY342+CH342)*0.01)</f>
        <v>2064.5136295830598</v>
      </c>
      <c r="CA342" s="5">
        <f>INDEX('Team forecast'!$R$3:$BH$26,MATCH($B342,'Team forecast'!$B$3:$B$26,0),MATCH(CA$1,'Team forecast'!$R$2:$BH$2,0))*($BX342-(BY342+BX342+CH342)*0.01)</f>
        <v>928.32822989826241</v>
      </c>
      <c r="CB342" s="5">
        <f>INDEX('Team forecast'!$R$3:$BH$26,MATCH($B342,'Team forecast'!$B$3:$B$26,0),MATCH(CB$1,'Team forecast'!$R$2:$BH$2,0))*($BX342-(BY342+BX342*2+CH342)*0.01)</f>
        <v>407.17535316087765</v>
      </c>
      <c r="CC342" s="5">
        <f>INDEX('Team forecast'!$R$3:$BH$26,MATCH($B342,'Team forecast'!$B$3:$B$26,0),MATCH(CC$1,'Team forecast'!$R$2:$BH$2,0))*($BX342-(BY342+BX342*3+CH342)*0.01)</f>
        <v>166.63103153200581</v>
      </c>
      <c r="CD342" s="5">
        <f>+AK342+BD342*Cockpit!$C$3+BW342*Cockpit!$C$3^2+BZ342*Cockpit!$C$3^3+CA342*Cockpit!$C$3^4+CB342*Cockpit!$C$3^5+CC342*Cockpit!$C$3^6</f>
        <v>43151.784089494591</v>
      </c>
      <c r="CE342" s="5"/>
      <c r="CF342" s="5"/>
      <c r="CG342" s="5">
        <v>0</v>
      </c>
      <c r="CH342" s="5">
        <f t="shared" si="214"/>
        <v>2000000</v>
      </c>
      <c r="CI342" s="5">
        <f t="shared" si="215"/>
        <v>2000000</v>
      </c>
      <c r="CJ342" s="1">
        <f t="shared" si="216"/>
        <v>3.5205034062367496E-2</v>
      </c>
      <c r="CK342" s="5">
        <f>RANK(BY342,$BY$2:$BY$623)+COUNTIF($BY$2:$BY342,$BY342)-1</f>
        <v>243</v>
      </c>
      <c r="CL342" s="5">
        <f>RANK(CJ342,$CJ$2:$CJ$623)+COUNTIF($CJ$2:$CJ342,$CJ342)-1</f>
        <v>101</v>
      </c>
    </row>
    <row r="343" spans="1:90">
      <c r="A343" t="str">
        <f>Players!P344</f>
        <v>David Marshall</v>
      </c>
      <c r="B343" t="str">
        <f>Players!G344</f>
        <v>Scotland</v>
      </c>
      <c r="C343" t="str">
        <f>Players!AB344</f>
        <v>Goalkeeper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3500000</v>
      </c>
      <c r="H343" s="16">
        <f>INDEX('Team forecast'!$B$2:$AO$26,MATCH('Master data'!$B343,'Team forecast'!$B$2:$B$26,0),MATCH('Master data'!H$1,'Team forecast'!$B$2:$AO$2,0))</f>
        <v>1.0237318402178264</v>
      </c>
      <c r="I343" s="16">
        <f>INDEX('Team forecast'!$B$2:$AO$26,MATCH('Master data'!$B343,'Team forecast'!$B$2:$B$26,0),MATCH('Master data'!I$1,'Team forecast'!$B$2:$AO$2,0))</f>
        <v>1.0683489057066333</v>
      </c>
      <c r="J343" s="16">
        <f>INDEX('Team forecast'!$B$2:$AO$26,MATCH('Master data'!$B343,'Team forecast'!$B$2:$B$26,0),MATCH('Master data'!J$1,'Team forecast'!$B$2:$AO$2,0))</f>
        <v>0.34357532462169699</v>
      </c>
      <c r="K343" s="16">
        <f>INDEX('Team forecast'!$B$2:$AO$26,MATCH('Master data'!$B343,'Team forecast'!$B$2:$B$26,0),MATCH('Master data'!K$1,'Team forecast'!$B$2:$AO$2,0))</f>
        <v>3.360735839098925</v>
      </c>
      <c r="L343" s="16">
        <f>INDEX('Team forecast'!$B$2:$AO$26,MATCH('Master data'!$B343,'Team forecast'!$B$2:$B$26,0),MATCH('Master data'!L$1,'Team forecast'!$B$2:$AO$2,0))</f>
        <v>2.9193919294978055</v>
      </c>
      <c r="M343">
        <f>IF(Players!BC344=1,95,0)</f>
        <v>95</v>
      </c>
      <c r="N343" s="2">
        <f>Players!BN344</f>
        <v>0</v>
      </c>
      <c r="O343" s="2">
        <f>Players!BO344</f>
        <v>0</v>
      </c>
      <c r="P343" s="2">
        <f>Players!BP344</f>
        <v>0</v>
      </c>
      <c r="Q343" s="2">
        <f>Players!BQ344</f>
        <v>0</v>
      </c>
      <c r="R343" s="2">
        <f>Players!BR344</f>
        <v>0</v>
      </c>
      <c r="S343" s="2">
        <f t="shared" si="175"/>
        <v>1.0237318402178264</v>
      </c>
      <c r="T343" s="2">
        <f t="shared" si="176"/>
        <v>1.0683489057066333</v>
      </c>
      <c r="U343" s="16">
        <f>INDEX('Team forecast'!$B$2:$AO$26,MATCH('Master data'!$B343,'Team forecast'!$B$2:$B$26,0),MATCH('Master data'!U$1,'Team forecast'!$B$2:$AO$2,0))</f>
        <v>0.32580418714126441</v>
      </c>
      <c r="V343" s="16">
        <f>INDEX('Team forecast'!$B$2:$AO$26,MATCH('Master data'!$B343,'Team forecast'!$B$2:$B$26,0),MATCH('Master data'!V$1,'Team forecast'!$B$2:$AO$2,0))</f>
        <v>0.31494404756988892</v>
      </c>
      <c r="W343" s="16">
        <f>INDEX('Team forecast'!$B$2:$AO$26,MATCH('Master data'!$B343,'Team forecast'!$B$2:$B$26,0),MATCH('Master data'!W$1,'Team forecast'!$B$2:$AO$2,0))</f>
        <v>0.35925176528884672</v>
      </c>
      <c r="X343" s="5">
        <f t="shared" si="177"/>
        <v>7000</v>
      </c>
      <c r="Y343" s="5">
        <f t="shared" si="178"/>
        <v>8145.1046785316103</v>
      </c>
      <c r="Z343" s="5">
        <f t="shared" si="179"/>
        <v>1574.7202378494446</v>
      </c>
      <c r="AA343" s="5">
        <f t="shared" si="180"/>
        <v>-5388.7764793327005</v>
      </c>
      <c r="AB343" s="5">
        <f t="shared" si="181"/>
        <v>0</v>
      </c>
      <c r="AC343" s="5">
        <f t="shared" si="182"/>
        <v>0</v>
      </c>
      <c r="AD343" s="5">
        <f t="shared" si="183"/>
        <v>0</v>
      </c>
      <c r="AE343" s="5">
        <f t="shared" si="184"/>
        <v>25768.149346627273</v>
      </c>
      <c r="AF343" s="5">
        <f t="shared" si="185"/>
        <v>9255.2151189558608</v>
      </c>
      <c r="AG343" s="5">
        <f t="shared" si="186"/>
        <v>0</v>
      </c>
      <c r="AH343" s="5">
        <f t="shared" si="187"/>
        <v>0</v>
      </c>
      <c r="AI343" s="5">
        <f t="shared" si="188"/>
        <v>10237.318402178264</v>
      </c>
      <c r="AJ343" s="5">
        <f t="shared" si="189"/>
        <v>-8546.7912456530667</v>
      </c>
      <c r="AK343" s="5">
        <f>IFERROR(SUM(X343:AJ343),-5000)*((Cockpit!$C$3)^0)</f>
        <v>48044.940059156688</v>
      </c>
      <c r="AL343" s="16">
        <f>INDEX('Team forecast'!$B$2:$AO$26,MATCH('Master data'!$B343,'Team forecast'!$B$2:$B$26,0),MATCH('Master data'!AL$1,'Team forecast'!$B$2:$AO$2,0))</f>
        <v>0.66520361079548807</v>
      </c>
      <c r="AM343" s="16">
        <f>INDEX('Team forecast'!$B$2:$AO$26,MATCH('Master data'!$B343,'Team forecast'!$B$2:$B$26,0),MATCH('Master data'!AM$1,'Team forecast'!$B$2:$AO$2,0))</f>
        <v>2.0067977929974719</v>
      </c>
      <c r="AN343" s="16">
        <f>INDEX('Team forecast'!$B$2:$AO$26,MATCH('Master data'!$B343,'Team forecast'!$B$2:$B$26,0),MATCH('Master data'!AN$1,'Team forecast'!$B$2:$AO$2,0))</f>
        <v>0.1344184218435715</v>
      </c>
      <c r="AO343" s="16">
        <f>INDEX('Team forecast'!$B$2:$AO$26,MATCH('Master data'!$B343,'Team forecast'!$B$2:$B$26,0),MATCH('Master data'!AO$1,'Team forecast'!$B$2:$AO$2,0))</f>
        <v>2.1837492273589256</v>
      </c>
      <c r="AP343" s="16">
        <f>INDEX('Team forecast'!$B$2:$AO$26,MATCH('Master data'!$B343,'Team forecast'!$B$2:$B$26,0),MATCH('Master data'!AP$1,'Team forecast'!$B$2:$AO$2,0))</f>
        <v>5.4838164289930909</v>
      </c>
      <c r="AQ343" s="5">
        <f t="shared" si="190"/>
        <v>7000</v>
      </c>
      <c r="AR343" s="5">
        <f>INDEX('Team forecast'!$B$2:$AO$26,MATCH('Master data'!$B343,'Team forecast'!$B$2:$B$26,0),MATCH('Master data'!AR$1,'Team forecast'!$B$2:$AO$2,0))*IF(X343&gt;0,25000,0)</f>
        <v>2476.1288234342123</v>
      </c>
      <c r="AS343" s="16">
        <f>INDEX('Team forecast'!$B$2:$AO$26,MATCH('Master data'!$B343,'Team forecast'!$B$2:$B$26,0),MATCH('Master data'!AS$1,'Team forecast'!$B$2:$AO$2,0))*IF(X343&gt;0,5000,0)</f>
        <v>1045.4766143388899</v>
      </c>
      <c r="AT343" s="16">
        <f>INDEX('Team forecast'!$B$2:$AO$26,MATCH('Master data'!$B343,'Team forecast'!$B$2:$B$26,0),MATCH('Master data'!AT$1,'Team forecast'!$B$2:$AO$2,0))*IF(X343&gt;0,-15000,0)</f>
        <v>-10377.892862922801</v>
      </c>
      <c r="AU343" s="5">
        <f t="shared" si="191"/>
        <v>0</v>
      </c>
      <c r="AV343" s="5">
        <f t="shared" si="192"/>
        <v>0</v>
      </c>
      <c r="AW343" s="5">
        <f t="shared" si="193"/>
        <v>0</v>
      </c>
      <c r="AX343" s="5">
        <f t="shared" si="194"/>
        <v>10081.381638267863</v>
      </c>
      <c r="AY343" s="5">
        <f t="shared" si="195"/>
        <v>17385.093179978096</v>
      </c>
      <c r="AZ343" s="5">
        <f t="shared" si="196"/>
        <v>0</v>
      </c>
      <c r="BA343" s="5">
        <f t="shared" si="197"/>
        <v>0</v>
      </c>
      <c r="BB343" s="5">
        <f t="shared" si="198"/>
        <v>6652.0361079548802</v>
      </c>
      <c r="BC343" s="5">
        <f t="shared" si="199"/>
        <v>-16054.382343979774</v>
      </c>
      <c r="BD343" s="5">
        <f t="shared" si="200"/>
        <v>18207.841157071369</v>
      </c>
      <c r="BE343" s="16">
        <f>INDEX('Team forecast'!$B$2:$AO$26,MATCH('Master data'!$B343,'Team forecast'!$B$2:$B$26,0),MATCH('Master data'!BE$1,'Team forecast'!$B$2:$AO$2,0))</f>
        <v>0.82681690399773144</v>
      </c>
      <c r="BF343" s="16">
        <f>INDEX('Team forecast'!$B$2:$AO$26,MATCH('Master data'!$B343,'Team forecast'!$B$2:$B$26,0),MATCH('Master data'!BF$1,'Team forecast'!$B$2:$AO$2,0))</f>
        <v>1.5039270856478595</v>
      </c>
      <c r="BG343" s="16">
        <f>INDEX('Team forecast'!$B$2:$AO$26,MATCH('Master data'!$B343,'Team forecast'!$B$2:$B$26,0),MATCH('Master data'!BG$1,'Team forecast'!$B$2:$AO$2,0))</f>
        <v>0.22225562720571071</v>
      </c>
      <c r="BH343" s="16">
        <f>INDEX('Team forecast'!$B$2:$AO$26,MATCH('Master data'!$B343,'Team forecast'!$B$2:$B$26,0),MATCH('Master data'!BH$1,'Team forecast'!$B$2:$AO$2,0))</f>
        <v>2.71429791716427</v>
      </c>
      <c r="BI343" s="16">
        <f>INDEX('Team forecast'!$B$2:$AO$26,MATCH('Master data'!$B343,'Team forecast'!$B$2:$B$26,0),MATCH('Master data'!BI$1,'Team forecast'!$B$2:$AO$2,0))</f>
        <v>4.1096617153265038</v>
      </c>
      <c r="BJ343" s="5">
        <f t="shared" si="201"/>
        <v>7000</v>
      </c>
      <c r="BK343" s="5">
        <f>INDEX('Team forecast'!$R$3:$BH$26,MATCH($B343,'Team forecast'!$B$3:$B$26,0),MATCH(BK$1,'Team forecast'!$R$2:$BH$2,0))*IF($X343&gt;0,25000,0)</f>
        <v>5287.7300318721273</v>
      </c>
      <c r="BL343" s="5">
        <f>INDEX('Team forecast'!$R$3:$BH$26,MATCH($B343,'Team forecast'!$B$3:$B$26,0),MATCH(BL$1,'Team forecast'!$R$2:$BH$2,0))*IF($X343&gt;0,5000,0)</f>
        <v>1355.4462898601791</v>
      </c>
      <c r="BM343" s="5">
        <f>INDEX('Team forecast'!$R$3:$BH$26,MATCH($B343,'Team forecast'!$B$3:$B$26,0),MATCH(BM$1,'Team forecast'!$R$2:$BH$2,0))*IF($X343&gt;0,-15000,0)</f>
        <v>-7761.0231112961865</v>
      </c>
      <c r="BN343" s="5">
        <f t="shared" si="202"/>
        <v>0</v>
      </c>
      <c r="BO343" s="5">
        <f t="shared" si="203"/>
        <v>0</v>
      </c>
      <c r="BP343" s="5">
        <f t="shared" si="204"/>
        <v>0</v>
      </c>
      <c r="BQ343" s="5">
        <f t="shared" si="205"/>
        <v>16669.172040428304</v>
      </c>
      <c r="BR343" s="5">
        <f t="shared" si="206"/>
        <v>13028.673148393222</v>
      </c>
      <c r="BS343" s="5">
        <f t="shared" si="207"/>
        <v>0</v>
      </c>
      <c r="BT343" s="5">
        <f t="shared" si="208"/>
        <v>0</v>
      </c>
      <c r="BU343" s="5">
        <f t="shared" si="209"/>
        <v>8268.1690399773142</v>
      </c>
      <c r="BV343" s="5">
        <f t="shared" si="210"/>
        <v>-12031.416685182876</v>
      </c>
      <c r="BW343" s="5">
        <f t="shared" si="211"/>
        <v>31816.750754052082</v>
      </c>
      <c r="BX343" s="5">
        <f t="shared" si="212"/>
        <v>32689.843990093377</v>
      </c>
      <c r="BY343" s="5">
        <f t="shared" si="213"/>
        <v>98069.531970280135</v>
      </c>
      <c r="BZ343" s="5">
        <f>INDEX('Team forecast'!$R$3:$BH$26,MATCH($B343,'Team forecast'!$B$3:$B$26,0),MATCH(BZ$1,'Team forecast'!$R$2:$BH$2,0))*($BX343-(BY343+CH343)*0.01)</f>
        <v>-1357.9690921818999</v>
      </c>
      <c r="CA343" s="5">
        <f>INDEX('Team forecast'!$R$3:$BH$26,MATCH($B343,'Team forecast'!$B$3:$B$26,0),MATCH(CA$1,'Team forecast'!$R$2:$BH$2,0))*($BX343-(BY343+BX343+CH343)*0.01)</f>
        <v>-733.30820500322602</v>
      </c>
      <c r="CB343" s="5">
        <f>INDEX('Team forecast'!$R$3:$BH$26,MATCH($B343,'Team forecast'!$B$3:$B$26,0),MATCH(CB$1,'Team forecast'!$R$2:$BH$2,0))*($BX343-(BY343+BX343*2+CH343)*0.01)</f>
        <v>-386.3170838158369</v>
      </c>
      <c r="CC343" s="5">
        <f>INDEX('Team forecast'!$R$3:$BH$26,MATCH($B343,'Team forecast'!$B$3:$B$26,0),MATCH(CC$1,'Team forecast'!$R$2:$BH$2,0))*($BX343-(BY343+BX343*3+CH343)*0.01)</f>
        <v>-190.36039358917333</v>
      </c>
      <c r="CD343" s="5">
        <f>+AK343+BD343*Cockpit!$C$3+BW343*Cockpit!$C$3^2+BZ343*Cockpit!$C$3^3+CA343*Cockpit!$C$3^4+CB343*Cockpit!$C$3^5+CC343*Cockpit!$C$3^6</f>
        <v>73709.481672300419</v>
      </c>
      <c r="CE343" s="5"/>
      <c r="CF343" s="5"/>
      <c r="CG343" s="5">
        <v>0</v>
      </c>
      <c r="CH343" s="5">
        <f t="shared" si="214"/>
        <v>3500000</v>
      </c>
      <c r="CI343" s="5">
        <f t="shared" si="215"/>
        <v>3500000</v>
      </c>
      <c r="CJ343" s="1">
        <f t="shared" si="216"/>
        <v>2.8019866277222895E-2</v>
      </c>
      <c r="CK343" s="5">
        <f>RANK(BY343,$BY$2:$BY$623)+COUNTIF($BY$2:$BY343,$BY343)-1</f>
        <v>175</v>
      </c>
      <c r="CL343" s="5">
        <f>RANK(CJ343,$CJ$2:$CJ$623)+COUNTIF($CJ$2:$CJ343,$CJ343)-1</f>
        <v>167</v>
      </c>
    </row>
    <row r="344" spans="1:90">
      <c r="A344" t="str">
        <f>Players!P345</f>
        <v>Stephen O'Donnell</v>
      </c>
      <c r="B344" t="str">
        <f>Players!G345</f>
        <v>Scotland</v>
      </c>
      <c r="C344" t="str">
        <f>Players!AB345</f>
        <v>Defense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2500000</v>
      </c>
      <c r="H344" s="16">
        <f>INDEX('Team forecast'!$B$2:$AO$26,MATCH('Master data'!$B344,'Team forecast'!$B$2:$B$26,0),MATCH('Master data'!H$1,'Team forecast'!$B$2:$AO$2,0))</f>
        <v>1.0237318402178264</v>
      </c>
      <c r="I344" s="16">
        <f>INDEX('Team forecast'!$B$2:$AO$26,MATCH('Master data'!$B344,'Team forecast'!$B$2:$B$26,0),MATCH('Master data'!I$1,'Team forecast'!$B$2:$AO$2,0))</f>
        <v>1.0683489057066333</v>
      </c>
      <c r="J344" s="16">
        <f>INDEX('Team forecast'!$B$2:$AO$26,MATCH('Master data'!$B344,'Team forecast'!$B$2:$B$26,0),MATCH('Master data'!J$1,'Team forecast'!$B$2:$AO$2,0))</f>
        <v>0.34357532462169699</v>
      </c>
      <c r="K344" s="16">
        <f>INDEX('Team forecast'!$B$2:$AO$26,MATCH('Master data'!$B344,'Team forecast'!$B$2:$B$26,0),MATCH('Master data'!K$1,'Team forecast'!$B$2:$AO$2,0))</f>
        <v>3.360735839098925</v>
      </c>
      <c r="L344" s="16">
        <f>INDEX('Team forecast'!$B$2:$AO$26,MATCH('Master data'!$B344,'Team forecast'!$B$2:$B$26,0),MATCH('Master data'!L$1,'Team forecast'!$B$2:$AO$2,0))</f>
        <v>2.9193919294978055</v>
      </c>
      <c r="M344">
        <f>IF(Players!BC345=1,95,0)</f>
        <v>95</v>
      </c>
      <c r="N344" s="2">
        <f>Players!BN345</f>
        <v>6.2913883545431148E-2</v>
      </c>
      <c r="O344" s="2">
        <f>Players!BO345</f>
        <v>2.016585658086132E-2</v>
      </c>
      <c r="P344" s="2">
        <f>Players!BP345</f>
        <v>3.2037482866472976E-2</v>
      </c>
      <c r="Q344" s="2">
        <f>Players!BQ345</f>
        <v>0.17259115361625821</v>
      </c>
      <c r="R344" s="2">
        <f>Players!BR345</f>
        <v>0</v>
      </c>
      <c r="S344" s="2">
        <f t="shared" si="175"/>
        <v>1.0237318402178264</v>
      </c>
      <c r="T344" s="2">
        <f t="shared" si="176"/>
        <v>1.0683489057066333</v>
      </c>
      <c r="U344" s="16">
        <f>INDEX('Team forecast'!$B$2:$AO$26,MATCH('Master data'!$B344,'Team forecast'!$B$2:$B$26,0),MATCH('Master data'!U$1,'Team forecast'!$B$2:$AO$2,0))</f>
        <v>0.32580418714126441</v>
      </c>
      <c r="V344" s="16">
        <f>INDEX('Team forecast'!$B$2:$AO$26,MATCH('Master data'!$B344,'Team forecast'!$B$2:$B$26,0),MATCH('Master data'!V$1,'Team forecast'!$B$2:$AO$2,0))</f>
        <v>0.31494404756988892</v>
      </c>
      <c r="W344" s="16">
        <f>INDEX('Team forecast'!$B$2:$AO$26,MATCH('Master data'!$B344,'Team forecast'!$B$2:$B$26,0),MATCH('Master data'!W$1,'Team forecast'!$B$2:$AO$2,0))</f>
        <v>0.35925176528884672</v>
      </c>
      <c r="X344" s="5">
        <f t="shared" si="177"/>
        <v>7000</v>
      </c>
      <c r="Y344" s="5">
        <f t="shared" si="178"/>
        <v>8145.1046785316103</v>
      </c>
      <c r="Z344" s="5">
        <f t="shared" si="179"/>
        <v>1574.7202378494446</v>
      </c>
      <c r="AA344" s="5">
        <f t="shared" si="180"/>
        <v>-5388.7764793327005</v>
      </c>
      <c r="AB344" s="5">
        <f t="shared" si="181"/>
        <v>9661.041866582138</v>
      </c>
      <c r="AC344" s="5">
        <f t="shared" si="182"/>
        <v>1032.2214733546962</v>
      </c>
      <c r="AD344" s="5">
        <f t="shared" si="183"/>
        <v>1076.6951686387349</v>
      </c>
      <c r="AE344" s="5">
        <f t="shared" si="184"/>
        <v>17178.76623108485</v>
      </c>
      <c r="AF344" s="5">
        <f t="shared" si="185"/>
        <v>0</v>
      </c>
      <c r="AG344" s="5">
        <f t="shared" si="186"/>
        <v>-3451.823072325164</v>
      </c>
      <c r="AH344" s="5">
        <f t="shared" si="187"/>
        <v>0</v>
      </c>
      <c r="AI344" s="5">
        <f t="shared" si="188"/>
        <v>10237.318402178264</v>
      </c>
      <c r="AJ344" s="5">
        <f t="shared" si="189"/>
        <v>-8546.7912456530667</v>
      </c>
      <c r="AK344" s="5">
        <f>IFERROR(SUM(X344:AJ344),-5000)*((Cockpit!$C$3)^0)</f>
        <v>38518.47726090881</v>
      </c>
      <c r="AL344" s="16">
        <f>INDEX('Team forecast'!$B$2:$AO$26,MATCH('Master data'!$B344,'Team forecast'!$B$2:$B$26,0),MATCH('Master data'!AL$1,'Team forecast'!$B$2:$AO$2,0))</f>
        <v>0.66520361079548807</v>
      </c>
      <c r="AM344" s="16">
        <f>INDEX('Team forecast'!$B$2:$AO$26,MATCH('Master data'!$B344,'Team forecast'!$B$2:$B$26,0),MATCH('Master data'!AM$1,'Team forecast'!$B$2:$AO$2,0))</f>
        <v>2.0067977929974719</v>
      </c>
      <c r="AN344" s="16">
        <f>INDEX('Team forecast'!$B$2:$AO$26,MATCH('Master data'!$B344,'Team forecast'!$B$2:$B$26,0),MATCH('Master data'!AN$1,'Team forecast'!$B$2:$AO$2,0))</f>
        <v>0.1344184218435715</v>
      </c>
      <c r="AO344" s="16">
        <f>INDEX('Team forecast'!$B$2:$AO$26,MATCH('Master data'!$B344,'Team forecast'!$B$2:$B$26,0),MATCH('Master data'!AO$1,'Team forecast'!$B$2:$AO$2,0))</f>
        <v>2.1837492273589256</v>
      </c>
      <c r="AP344" s="16">
        <f>INDEX('Team forecast'!$B$2:$AO$26,MATCH('Master data'!$B344,'Team forecast'!$B$2:$B$26,0),MATCH('Master data'!AP$1,'Team forecast'!$B$2:$AO$2,0))</f>
        <v>5.4838164289930909</v>
      </c>
      <c r="AQ344" s="5">
        <f t="shared" si="190"/>
        <v>7000</v>
      </c>
      <c r="AR344" s="5">
        <f>INDEX('Team forecast'!$B$2:$AO$26,MATCH('Master data'!$B344,'Team forecast'!$B$2:$B$26,0),MATCH('Master data'!AR$1,'Team forecast'!$B$2:$AO$2,0))*IF(X344&gt;0,25000,0)</f>
        <v>2476.1288234342123</v>
      </c>
      <c r="AS344" s="16">
        <f>INDEX('Team forecast'!$B$2:$AO$26,MATCH('Master data'!$B344,'Team forecast'!$B$2:$B$26,0),MATCH('Master data'!AS$1,'Team forecast'!$B$2:$AO$2,0))*IF(X344&gt;0,5000,0)</f>
        <v>1045.4766143388899</v>
      </c>
      <c r="AT344" s="16">
        <f>INDEX('Team forecast'!$B$2:$AO$26,MATCH('Master data'!$B344,'Team forecast'!$B$2:$B$26,0),MATCH('Master data'!AT$1,'Team forecast'!$B$2:$AO$2,0))*IF(X344&gt;0,-15000,0)</f>
        <v>-10377.892862922801</v>
      </c>
      <c r="AU344" s="5">
        <f t="shared" si="191"/>
        <v>6277.5813755381469</v>
      </c>
      <c r="AV344" s="5">
        <f t="shared" si="192"/>
        <v>670.7200306186453</v>
      </c>
      <c r="AW344" s="5">
        <f t="shared" si="193"/>
        <v>699.61828456185174</v>
      </c>
      <c r="AX344" s="5">
        <f t="shared" si="194"/>
        <v>6720.9210921785752</v>
      </c>
      <c r="AY344" s="5">
        <f t="shared" si="195"/>
        <v>0</v>
      </c>
      <c r="AZ344" s="5">
        <f t="shared" si="196"/>
        <v>-3451.823072325164</v>
      </c>
      <c r="BA344" s="5">
        <f t="shared" si="197"/>
        <v>0</v>
      </c>
      <c r="BB344" s="5">
        <f t="shared" si="198"/>
        <v>6652.0361079548802</v>
      </c>
      <c r="BC344" s="5">
        <f t="shared" si="199"/>
        <v>-16054.382343979774</v>
      </c>
      <c r="BD344" s="5">
        <f t="shared" si="200"/>
        <v>1658.3840493974603</v>
      </c>
      <c r="BE344" s="16">
        <f>INDEX('Team forecast'!$B$2:$AO$26,MATCH('Master data'!$B344,'Team forecast'!$B$2:$B$26,0),MATCH('Master data'!BE$1,'Team forecast'!$B$2:$AO$2,0))</f>
        <v>0.82681690399773144</v>
      </c>
      <c r="BF344" s="16">
        <f>INDEX('Team forecast'!$B$2:$AO$26,MATCH('Master data'!$B344,'Team forecast'!$B$2:$B$26,0),MATCH('Master data'!BF$1,'Team forecast'!$B$2:$AO$2,0))</f>
        <v>1.5039270856478595</v>
      </c>
      <c r="BG344" s="16">
        <f>INDEX('Team forecast'!$B$2:$AO$26,MATCH('Master data'!$B344,'Team forecast'!$B$2:$B$26,0),MATCH('Master data'!BG$1,'Team forecast'!$B$2:$AO$2,0))</f>
        <v>0.22225562720571071</v>
      </c>
      <c r="BH344" s="16">
        <f>INDEX('Team forecast'!$B$2:$AO$26,MATCH('Master data'!$B344,'Team forecast'!$B$2:$B$26,0),MATCH('Master data'!BH$1,'Team forecast'!$B$2:$AO$2,0))</f>
        <v>2.71429791716427</v>
      </c>
      <c r="BI344" s="16">
        <f>INDEX('Team forecast'!$B$2:$AO$26,MATCH('Master data'!$B344,'Team forecast'!$B$2:$B$26,0),MATCH('Master data'!BI$1,'Team forecast'!$B$2:$AO$2,0))</f>
        <v>4.1096617153265038</v>
      </c>
      <c r="BJ344" s="5">
        <f t="shared" si="201"/>
        <v>7000</v>
      </c>
      <c r="BK344" s="5">
        <f>INDEX('Team forecast'!$R$3:$BH$26,MATCH($B344,'Team forecast'!$B$3:$B$26,0),MATCH(BK$1,'Team forecast'!$R$2:$BH$2,0))*IF($X344&gt;0,25000,0)</f>
        <v>5287.7300318721273</v>
      </c>
      <c r="BL344" s="5">
        <f>INDEX('Team forecast'!$R$3:$BH$26,MATCH($B344,'Team forecast'!$B$3:$B$26,0),MATCH(BL$1,'Team forecast'!$R$2:$BH$2,0))*IF($X344&gt;0,5000,0)</f>
        <v>1355.4462898601791</v>
      </c>
      <c r="BM344" s="5">
        <f>INDEX('Team forecast'!$R$3:$BH$26,MATCH($B344,'Team forecast'!$B$3:$B$26,0),MATCH(BM$1,'Team forecast'!$R$2:$BH$2,0))*IF($X344&gt;0,-15000,0)</f>
        <v>-7761.0231112961865</v>
      </c>
      <c r="BN344" s="5">
        <f t="shared" si="202"/>
        <v>7802.7393617260805</v>
      </c>
      <c r="BO344" s="5">
        <f t="shared" si="203"/>
        <v>833.67355523250183</v>
      </c>
      <c r="BP344" s="5">
        <f t="shared" si="204"/>
        <v>869.59273015653582</v>
      </c>
      <c r="BQ344" s="5">
        <f t="shared" si="205"/>
        <v>11112.781360285535</v>
      </c>
      <c r="BR344" s="5">
        <f t="shared" si="206"/>
        <v>0</v>
      </c>
      <c r="BS344" s="5">
        <f t="shared" si="207"/>
        <v>-3451.823072325164</v>
      </c>
      <c r="BT344" s="5">
        <f t="shared" si="208"/>
        <v>0</v>
      </c>
      <c r="BU344" s="5">
        <f t="shared" si="209"/>
        <v>8268.1690399773142</v>
      </c>
      <c r="BV344" s="5">
        <f t="shared" si="210"/>
        <v>-12031.416685182876</v>
      </c>
      <c r="BW344" s="5">
        <f t="shared" si="211"/>
        <v>19285.869500306049</v>
      </c>
      <c r="BX344" s="5">
        <f t="shared" si="212"/>
        <v>19820.910270204105</v>
      </c>
      <c r="BY344" s="5">
        <f t="shared" si="213"/>
        <v>59462.730810612316</v>
      </c>
      <c r="BZ344" s="5">
        <f>INDEX('Team forecast'!$R$3:$BH$26,MATCH($B344,'Team forecast'!$B$3:$B$26,0),MATCH(BZ$1,'Team forecast'!$R$2:$BH$2,0))*($BX344-(BY344+CH344)*0.01)</f>
        <v>-2382.5230917999334</v>
      </c>
      <c r="CA344" s="5">
        <f>INDEX('Team forecast'!$R$3:$BH$26,MATCH($B344,'Team forecast'!$B$3:$B$26,0),MATCH(CA$1,'Team forecast'!$R$2:$BH$2,0))*($BX344-(BY344+BX344+CH344)*0.01)</f>
        <v>-1210.493460737865</v>
      </c>
      <c r="CB344" s="5">
        <f>INDEX('Team forecast'!$R$3:$BH$26,MATCH($B344,'Team forecast'!$B$3:$B$26,0),MATCH(CB$1,'Team forecast'!$R$2:$BH$2,0))*($BX344-(BY344+BX344*2+CH344)*0.01)</f>
        <v>-604.26900636066364</v>
      </c>
      <c r="CC344" s="5">
        <f>INDEX('Team forecast'!$R$3:$BH$26,MATCH($B344,'Team forecast'!$B$3:$B$26,0),MATCH(CC$1,'Team forecast'!$R$2:$BH$2,0))*($BX344-(BY344+BX344*3+CH344)*0.01)</f>
        <v>-283.80365140403859</v>
      </c>
      <c r="CD344" s="5">
        <f>+AK344+BD344*Cockpit!$C$3+BW344*Cockpit!$C$3^2+BZ344*Cockpit!$C$3^3+CA344*Cockpit!$C$3^4+CB344*Cockpit!$C$3^5+CC344*Cockpit!$C$3^6</f>
        <v>47146.031529263819</v>
      </c>
      <c r="CE344" s="5"/>
      <c r="CF344" s="5"/>
      <c r="CG344" s="5">
        <v>0</v>
      </c>
      <c r="CH344" s="5">
        <f t="shared" si="214"/>
        <v>2500000</v>
      </c>
      <c r="CI344" s="5">
        <f t="shared" si="215"/>
        <v>2500000</v>
      </c>
      <c r="CJ344" s="1">
        <f t="shared" si="216"/>
        <v>2.3785092324244927E-2</v>
      </c>
      <c r="CK344" s="5">
        <f>RANK(BY344,$BY$2:$BY$623)+COUNTIF($BY$2:$BY344,$BY344)-1</f>
        <v>276</v>
      </c>
      <c r="CL344" s="5">
        <f>RANK(CJ344,$CJ$2:$CJ$623)+COUNTIF($CJ$2:$CJ344,$CJ344)-1</f>
        <v>222</v>
      </c>
    </row>
    <row r="345" spans="1:90">
      <c r="A345" t="str">
        <f>Players!P346</f>
        <v>John Fleck</v>
      </c>
      <c r="B345" t="str">
        <f>Players!G346</f>
        <v>Scotland</v>
      </c>
      <c r="C345" t="str">
        <f>Players!AB346</f>
        <v>Midfield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2000000</v>
      </c>
      <c r="H345" s="16">
        <f>INDEX('Team forecast'!$B$2:$AO$26,MATCH('Master data'!$B345,'Team forecast'!$B$2:$B$26,0),MATCH('Master data'!H$1,'Team forecast'!$B$2:$AO$2,0))</f>
        <v>1.0237318402178264</v>
      </c>
      <c r="I345" s="16">
        <f>INDEX('Team forecast'!$B$2:$AO$26,MATCH('Master data'!$B345,'Team forecast'!$B$2:$B$26,0),MATCH('Master data'!I$1,'Team forecast'!$B$2:$AO$2,0))</f>
        <v>1.0683489057066333</v>
      </c>
      <c r="J345" s="16">
        <f>INDEX('Team forecast'!$B$2:$AO$26,MATCH('Master data'!$B345,'Team forecast'!$B$2:$B$26,0),MATCH('Master data'!J$1,'Team forecast'!$B$2:$AO$2,0))</f>
        <v>0.34357532462169699</v>
      </c>
      <c r="K345" s="16">
        <f>INDEX('Team forecast'!$B$2:$AO$26,MATCH('Master data'!$B345,'Team forecast'!$B$2:$B$26,0),MATCH('Master data'!K$1,'Team forecast'!$B$2:$AO$2,0))</f>
        <v>3.360735839098925</v>
      </c>
      <c r="L345" s="16">
        <f>INDEX('Team forecast'!$B$2:$AO$26,MATCH('Master data'!$B345,'Team forecast'!$B$2:$B$26,0),MATCH('Master data'!L$1,'Team forecast'!$B$2:$AO$2,0))</f>
        <v>2.9193919294978055</v>
      </c>
      <c r="M345">
        <f>IF(Players!BC346=1,95,0)</f>
        <v>0</v>
      </c>
      <c r="N345" s="2">
        <f>Players!BN346</f>
        <v>0</v>
      </c>
      <c r="O345" s="2">
        <f>Players!BO346</f>
        <v>0</v>
      </c>
      <c r="P345" s="2">
        <f>Players!BP346</f>
        <v>0</v>
      </c>
      <c r="Q345" s="2">
        <f>Players!BQ346</f>
        <v>0.57484866123399303</v>
      </c>
      <c r="R345" s="2">
        <f>Players!BR346</f>
        <v>0</v>
      </c>
      <c r="S345" s="2">
        <f t="shared" si="175"/>
        <v>1.0237318402178264</v>
      </c>
      <c r="T345" s="2">
        <f t="shared" si="176"/>
        <v>1.0683489057066333</v>
      </c>
      <c r="U345" s="16">
        <f>INDEX('Team forecast'!$B$2:$AO$26,MATCH('Master data'!$B345,'Team forecast'!$B$2:$B$26,0),MATCH('Master data'!U$1,'Team forecast'!$B$2:$AO$2,0))</f>
        <v>0.32580418714126441</v>
      </c>
      <c r="V345" s="16">
        <f>INDEX('Team forecast'!$B$2:$AO$26,MATCH('Master data'!$B345,'Team forecast'!$B$2:$B$26,0),MATCH('Master data'!V$1,'Team forecast'!$B$2:$AO$2,0))</f>
        <v>0.31494404756988892</v>
      </c>
      <c r="W345" s="16">
        <f>INDEX('Team forecast'!$B$2:$AO$26,MATCH('Master data'!$B345,'Team forecast'!$B$2:$B$26,0),MATCH('Master data'!W$1,'Team forecast'!$B$2:$AO$2,0))</f>
        <v>0.35925176528884672</v>
      </c>
      <c r="X345" s="5">
        <f t="shared" si="177"/>
        <v>-5000</v>
      </c>
      <c r="Y345" s="5">
        <f t="shared" si="178"/>
        <v>0</v>
      </c>
      <c r="Z345" s="5">
        <f t="shared" si="179"/>
        <v>0</v>
      </c>
      <c r="AA345" s="5">
        <f t="shared" si="180"/>
        <v>0</v>
      </c>
      <c r="AB345" s="5">
        <f t="shared" si="181"/>
        <v>0</v>
      </c>
      <c r="AC345" s="5">
        <f t="shared" si="182"/>
        <v>0</v>
      </c>
      <c r="AD345" s="5">
        <f t="shared" si="183"/>
        <v>0</v>
      </c>
      <c r="AE345" s="5">
        <f t="shared" si="184"/>
        <v>0</v>
      </c>
      <c r="AF345" s="5">
        <f t="shared" si="185"/>
        <v>0</v>
      </c>
      <c r="AG345" s="5">
        <f t="shared" si="186"/>
        <v>0</v>
      </c>
      <c r="AH345" s="5">
        <f t="shared" si="187"/>
        <v>0</v>
      </c>
      <c r="AI345" s="5">
        <f t="shared" si="188"/>
        <v>0</v>
      </c>
      <c r="AJ345" s="5">
        <f t="shared" si="189"/>
        <v>0</v>
      </c>
      <c r="AK345" s="5">
        <f>IFERROR(SUM(X345:AJ345),-5000)*((Cockpit!$C$3)^0)</f>
        <v>-5000</v>
      </c>
      <c r="AL345" s="16">
        <f>INDEX('Team forecast'!$B$2:$AO$26,MATCH('Master data'!$B345,'Team forecast'!$B$2:$B$26,0),MATCH('Master data'!AL$1,'Team forecast'!$B$2:$AO$2,0))</f>
        <v>0.66520361079548807</v>
      </c>
      <c r="AM345" s="16">
        <f>INDEX('Team forecast'!$B$2:$AO$26,MATCH('Master data'!$B345,'Team forecast'!$B$2:$B$26,0),MATCH('Master data'!AM$1,'Team forecast'!$B$2:$AO$2,0))</f>
        <v>2.0067977929974719</v>
      </c>
      <c r="AN345" s="16">
        <f>INDEX('Team forecast'!$B$2:$AO$26,MATCH('Master data'!$B345,'Team forecast'!$B$2:$B$26,0),MATCH('Master data'!AN$1,'Team forecast'!$B$2:$AO$2,0))</f>
        <v>0.1344184218435715</v>
      </c>
      <c r="AO345" s="16">
        <f>INDEX('Team forecast'!$B$2:$AO$26,MATCH('Master data'!$B345,'Team forecast'!$B$2:$B$26,0),MATCH('Master data'!AO$1,'Team forecast'!$B$2:$AO$2,0))</f>
        <v>2.1837492273589256</v>
      </c>
      <c r="AP345" s="16">
        <f>INDEX('Team forecast'!$B$2:$AO$26,MATCH('Master data'!$B345,'Team forecast'!$B$2:$B$26,0),MATCH('Master data'!AP$1,'Team forecast'!$B$2:$AO$2,0))</f>
        <v>5.4838164289930909</v>
      </c>
      <c r="AQ345" s="5">
        <f t="shared" si="190"/>
        <v>-5000</v>
      </c>
      <c r="AR345" s="5">
        <f>INDEX('Team forecast'!$B$2:$AO$26,MATCH('Master data'!$B345,'Team forecast'!$B$2:$B$26,0),MATCH('Master data'!AR$1,'Team forecast'!$B$2:$AO$2,0))*IF(X345&gt;0,25000,0)</f>
        <v>0</v>
      </c>
      <c r="AS345" s="16">
        <f>INDEX('Team forecast'!$B$2:$AO$26,MATCH('Master data'!$B345,'Team forecast'!$B$2:$B$26,0),MATCH('Master data'!AS$1,'Team forecast'!$B$2:$AO$2,0))*IF(X345&gt;0,5000,0)</f>
        <v>0</v>
      </c>
      <c r="AT345" s="16">
        <f>INDEX('Team forecast'!$B$2:$AO$26,MATCH('Master data'!$B345,'Team forecast'!$B$2:$B$26,0),MATCH('Master data'!AT$1,'Team forecast'!$B$2:$AO$2,0))*IF(X345&gt;0,-15000,0)</f>
        <v>0</v>
      </c>
      <c r="AU345" s="5">
        <f t="shared" si="191"/>
        <v>0</v>
      </c>
      <c r="AV345" s="5">
        <f t="shared" si="192"/>
        <v>0</v>
      </c>
      <c r="AW345" s="5">
        <f t="shared" si="193"/>
        <v>0</v>
      </c>
      <c r="AX345" s="5">
        <f t="shared" si="194"/>
        <v>0</v>
      </c>
      <c r="AY345" s="5">
        <f t="shared" si="195"/>
        <v>0</v>
      </c>
      <c r="AZ345" s="5">
        <f t="shared" si="196"/>
        <v>0</v>
      </c>
      <c r="BA345" s="5">
        <f t="shared" si="197"/>
        <v>0</v>
      </c>
      <c r="BB345" s="5">
        <f t="shared" si="198"/>
        <v>0</v>
      </c>
      <c r="BC345" s="5">
        <f t="shared" si="199"/>
        <v>0</v>
      </c>
      <c r="BD345" s="5">
        <f t="shared" si="200"/>
        <v>-5000</v>
      </c>
      <c r="BE345" s="16">
        <f>INDEX('Team forecast'!$B$2:$AO$26,MATCH('Master data'!$B345,'Team forecast'!$B$2:$B$26,0),MATCH('Master data'!BE$1,'Team forecast'!$B$2:$AO$2,0))</f>
        <v>0.82681690399773144</v>
      </c>
      <c r="BF345" s="16">
        <f>INDEX('Team forecast'!$B$2:$AO$26,MATCH('Master data'!$B345,'Team forecast'!$B$2:$B$26,0),MATCH('Master data'!BF$1,'Team forecast'!$B$2:$AO$2,0))</f>
        <v>1.5039270856478595</v>
      </c>
      <c r="BG345" s="16">
        <f>INDEX('Team forecast'!$B$2:$AO$26,MATCH('Master data'!$B345,'Team forecast'!$B$2:$B$26,0),MATCH('Master data'!BG$1,'Team forecast'!$B$2:$AO$2,0))</f>
        <v>0.22225562720571071</v>
      </c>
      <c r="BH345" s="16">
        <f>INDEX('Team forecast'!$B$2:$AO$26,MATCH('Master data'!$B345,'Team forecast'!$B$2:$B$26,0),MATCH('Master data'!BH$1,'Team forecast'!$B$2:$AO$2,0))</f>
        <v>2.71429791716427</v>
      </c>
      <c r="BI345" s="16">
        <f>INDEX('Team forecast'!$B$2:$AO$26,MATCH('Master data'!$B345,'Team forecast'!$B$2:$B$26,0),MATCH('Master data'!BI$1,'Team forecast'!$B$2:$AO$2,0))</f>
        <v>4.1096617153265038</v>
      </c>
      <c r="BJ345" s="5">
        <f t="shared" si="201"/>
        <v>-5000</v>
      </c>
      <c r="BK345" s="5">
        <f>INDEX('Team forecast'!$R$3:$BH$26,MATCH($B345,'Team forecast'!$B$3:$B$26,0),MATCH(BK$1,'Team forecast'!$R$2:$BH$2,0))*IF($X345&gt;0,25000,0)</f>
        <v>0</v>
      </c>
      <c r="BL345" s="5">
        <f>INDEX('Team forecast'!$R$3:$BH$26,MATCH($B345,'Team forecast'!$B$3:$B$26,0),MATCH(BL$1,'Team forecast'!$R$2:$BH$2,0))*IF($X345&gt;0,5000,0)</f>
        <v>0</v>
      </c>
      <c r="BM345" s="5">
        <f>INDEX('Team forecast'!$R$3:$BH$26,MATCH($B345,'Team forecast'!$B$3:$B$26,0),MATCH(BM$1,'Team forecast'!$R$2:$BH$2,0))*IF($X345&gt;0,-15000,0)</f>
        <v>0</v>
      </c>
      <c r="BN345" s="5">
        <f t="shared" si="202"/>
        <v>0</v>
      </c>
      <c r="BO345" s="5">
        <f t="shared" si="203"/>
        <v>0</v>
      </c>
      <c r="BP345" s="5">
        <f t="shared" si="204"/>
        <v>0</v>
      </c>
      <c r="BQ345" s="5">
        <f t="shared" si="205"/>
        <v>0</v>
      </c>
      <c r="BR345" s="5">
        <f t="shared" si="206"/>
        <v>0</v>
      </c>
      <c r="BS345" s="5">
        <f t="shared" si="207"/>
        <v>0</v>
      </c>
      <c r="BT345" s="5">
        <f t="shared" si="208"/>
        <v>0</v>
      </c>
      <c r="BU345" s="5">
        <f t="shared" si="209"/>
        <v>0</v>
      </c>
      <c r="BV345" s="5">
        <f t="shared" si="210"/>
        <v>0</v>
      </c>
      <c r="BW345" s="5">
        <f t="shared" si="211"/>
        <v>-5000</v>
      </c>
      <c r="BX345" s="5">
        <f t="shared" si="212"/>
        <v>-5000</v>
      </c>
      <c r="BY345" s="5">
        <f t="shared" si="213"/>
        <v>-15000</v>
      </c>
      <c r="BZ345" s="5">
        <f>INDEX('Team forecast'!$R$3:$BH$26,MATCH($B345,'Team forecast'!$B$3:$B$26,0),MATCH(BZ$1,'Team forecast'!$R$2:$BH$2,0))*($BX345-(BY345+CH345)*0.01)</f>
        <v>-10254.347146312828</v>
      </c>
      <c r="CA345" s="5">
        <f>INDEX('Team forecast'!$R$3:$BH$26,MATCH($B345,'Team forecast'!$B$3:$B$26,0),MATCH(CA$1,'Team forecast'!$R$2:$BH$2,0))*($BX345-(BY345+BX345+CH345)*0.01)</f>
        <v>-5026.893688819554</v>
      </c>
      <c r="CB345" s="5">
        <f>INDEX('Team forecast'!$R$3:$BH$26,MATCH($B345,'Team forecast'!$B$3:$B$26,0),MATCH(CB$1,'Team forecast'!$R$2:$BH$2,0))*($BX345-(BY345+BX345*2+CH345)*0.01)</f>
        <v>-2423.8784593338737</v>
      </c>
      <c r="CC345" s="5">
        <f>INDEX('Team forecast'!$R$3:$BH$26,MATCH($B345,'Team forecast'!$B$3:$B$26,0),MATCH(CC$1,'Team forecast'!$R$2:$BH$2,0))*($BX345-(BY345+BX345*3+CH345)*0.01)</f>
        <v>-1100.7492385479736</v>
      </c>
      <c r="CD345" s="5">
        <f>+AK345+BD345*Cockpit!$C$3+BW345*Cockpit!$C$3^2+BZ345*Cockpit!$C$3^3+CA345*Cockpit!$C$3^4+CB345*Cockpit!$C$3^5+CC345*Cockpit!$C$3^6</f>
        <v>-15002.677583205361</v>
      </c>
      <c r="CE345" s="5"/>
      <c r="CF345" s="5"/>
      <c r="CG345" s="5">
        <v>0</v>
      </c>
      <c r="CH345" s="5">
        <f t="shared" si="214"/>
        <v>2000000</v>
      </c>
      <c r="CI345" s="5">
        <f t="shared" si="215"/>
        <v>2000000</v>
      </c>
      <c r="CJ345" s="1">
        <f t="shared" si="216"/>
        <v>-7.4999999999999997E-3</v>
      </c>
      <c r="CK345" s="5">
        <f>RANK(BY345,$BY$2:$BY$623)+COUNTIF($BY$2:$BY345,$BY345)-1</f>
        <v>521</v>
      </c>
      <c r="CL345" s="5">
        <f>RANK(CJ345,$CJ$2:$CJ$623)+COUNTIF($CJ$2:$CJ345,$CJ345)-1</f>
        <v>585</v>
      </c>
    </row>
    <row r="346" spans="1:90">
      <c r="A346" t="str">
        <f>Players!P347</f>
        <v>Ryan Fraser</v>
      </c>
      <c r="B346" t="str">
        <f>Players!G347</f>
        <v>Scotland</v>
      </c>
      <c r="C346" t="str">
        <f>Players!AB347</f>
        <v>Striker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1.0237318402178264</v>
      </c>
      <c r="I346" s="16">
        <f>INDEX('Team forecast'!$B$2:$AO$26,MATCH('Master data'!$B346,'Team forecast'!$B$2:$B$26,0),MATCH('Master data'!I$1,'Team forecast'!$B$2:$AO$2,0))</f>
        <v>1.0683489057066333</v>
      </c>
      <c r="J346" s="16">
        <f>INDEX('Team forecast'!$B$2:$AO$26,MATCH('Master data'!$B346,'Team forecast'!$B$2:$B$26,0),MATCH('Master data'!J$1,'Team forecast'!$B$2:$AO$2,0))</f>
        <v>0.34357532462169699</v>
      </c>
      <c r="K346" s="16">
        <f>INDEX('Team forecast'!$B$2:$AO$26,MATCH('Master data'!$B346,'Team forecast'!$B$2:$B$26,0),MATCH('Master data'!K$1,'Team forecast'!$B$2:$AO$2,0))</f>
        <v>3.360735839098925</v>
      </c>
      <c r="L346" s="16">
        <f>INDEX('Team forecast'!$B$2:$AO$26,MATCH('Master data'!$B346,'Team forecast'!$B$2:$B$26,0),MATCH('Master data'!L$1,'Team forecast'!$B$2:$AO$2,0))</f>
        <v>2.9193919294978055</v>
      </c>
      <c r="M346">
        <f>IF(Players!BC347=1,95,0)</f>
        <v>0</v>
      </c>
      <c r="N346" s="2">
        <f>Players!BN347</f>
        <v>0</v>
      </c>
      <c r="O346" s="2">
        <f>Players!BO347</f>
        <v>0</v>
      </c>
      <c r="P346" s="2">
        <f>Players!BP347</f>
        <v>0</v>
      </c>
      <c r="Q346" s="2">
        <f>Players!BQ347</f>
        <v>0.11</v>
      </c>
      <c r="R346" s="2">
        <f>Players!BR347</f>
        <v>0.06</v>
      </c>
      <c r="S346" s="2">
        <f t="shared" si="175"/>
        <v>1.0237318402178264</v>
      </c>
      <c r="T346" s="2">
        <f t="shared" si="176"/>
        <v>1.0683489057066333</v>
      </c>
      <c r="U346" s="16">
        <f>INDEX('Team forecast'!$B$2:$AO$26,MATCH('Master data'!$B346,'Team forecast'!$B$2:$B$26,0),MATCH('Master data'!U$1,'Team forecast'!$B$2:$AO$2,0))</f>
        <v>0.32580418714126441</v>
      </c>
      <c r="V346" s="16">
        <f>INDEX('Team forecast'!$B$2:$AO$26,MATCH('Master data'!$B346,'Team forecast'!$B$2:$B$26,0),MATCH('Master data'!V$1,'Team forecast'!$B$2:$AO$2,0))</f>
        <v>0.31494404756988892</v>
      </c>
      <c r="W346" s="16">
        <f>INDEX('Team forecast'!$B$2:$AO$26,MATCH('Master data'!$B346,'Team forecast'!$B$2:$B$26,0),MATCH('Master data'!W$1,'Team forecast'!$B$2:$AO$2,0))</f>
        <v>0.35925176528884672</v>
      </c>
      <c r="X346" s="5">
        <f t="shared" si="177"/>
        <v>-5000</v>
      </c>
      <c r="Y346" s="5">
        <f t="shared" si="178"/>
        <v>0</v>
      </c>
      <c r="Z346" s="5">
        <f t="shared" si="179"/>
        <v>0</v>
      </c>
      <c r="AA346" s="5">
        <f t="shared" si="180"/>
        <v>0</v>
      </c>
      <c r="AB346" s="5">
        <f t="shared" si="181"/>
        <v>0</v>
      </c>
      <c r="AC346" s="5">
        <f t="shared" si="182"/>
        <v>0</v>
      </c>
      <c r="AD346" s="5">
        <f t="shared" si="183"/>
        <v>0</v>
      </c>
      <c r="AE346" s="5">
        <f t="shared" si="184"/>
        <v>0</v>
      </c>
      <c r="AF346" s="5">
        <f t="shared" si="185"/>
        <v>0</v>
      </c>
      <c r="AG346" s="5">
        <f t="shared" si="186"/>
        <v>0</v>
      </c>
      <c r="AH346" s="5">
        <f t="shared" si="187"/>
        <v>0</v>
      </c>
      <c r="AI346" s="5">
        <f t="shared" si="188"/>
        <v>0</v>
      </c>
      <c r="AJ346" s="5">
        <f t="shared" si="189"/>
        <v>0</v>
      </c>
      <c r="AK346" s="5">
        <f>IFERROR(SUM(X346:AJ346),-5000)*((Cockpit!$C$3)^0)</f>
        <v>-5000</v>
      </c>
      <c r="AL346" s="16">
        <f>INDEX('Team forecast'!$B$2:$AO$26,MATCH('Master data'!$B346,'Team forecast'!$B$2:$B$26,0),MATCH('Master data'!AL$1,'Team forecast'!$B$2:$AO$2,0))</f>
        <v>0.66520361079548807</v>
      </c>
      <c r="AM346" s="16">
        <f>INDEX('Team forecast'!$B$2:$AO$26,MATCH('Master data'!$B346,'Team forecast'!$B$2:$B$26,0),MATCH('Master data'!AM$1,'Team forecast'!$B$2:$AO$2,0))</f>
        <v>2.0067977929974719</v>
      </c>
      <c r="AN346" s="16">
        <f>INDEX('Team forecast'!$B$2:$AO$26,MATCH('Master data'!$B346,'Team forecast'!$B$2:$B$26,0),MATCH('Master data'!AN$1,'Team forecast'!$B$2:$AO$2,0))</f>
        <v>0.1344184218435715</v>
      </c>
      <c r="AO346" s="16">
        <f>INDEX('Team forecast'!$B$2:$AO$26,MATCH('Master data'!$B346,'Team forecast'!$B$2:$B$26,0),MATCH('Master data'!AO$1,'Team forecast'!$B$2:$AO$2,0))</f>
        <v>2.1837492273589256</v>
      </c>
      <c r="AP346" s="16">
        <f>INDEX('Team forecast'!$B$2:$AO$26,MATCH('Master data'!$B346,'Team forecast'!$B$2:$B$26,0),MATCH('Master data'!AP$1,'Team forecast'!$B$2:$AO$2,0))</f>
        <v>5.4838164289930909</v>
      </c>
      <c r="AQ346" s="5">
        <f t="shared" si="190"/>
        <v>-5000</v>
      </c>
      <c r="AR346" s="5">
        <f>INDEX('Team forecast'!$B$2:$AO$26,MATCH('Master data'!$B346,'Team forecast'!$B$2:$B$26,0),MATCH('Master data'!AR$1,'Team forecast'!$B$2:$AO$2,0))*IF(X346&gt;0,25000,0)</f>
        <v>0</v>
      </c>
      <c r="AS346" s="16">
        <f>INDEX('Team forecast'!$B$2:$AO$26,MATCH('Master data'!$B346,'Team forecast'!$B$2:$B$26,0),MATCH('Master data'!AS$1,'Team forecast'!$B$2:$AO$2,0))*IF(X346&gt;0,5000,0)</f>
        <v>0</v>
      </c>
      <c r="AT346" s="16">
        <f>INDEX('Team forecast'!$B$2:$AO$26,MATCH('Master data'!$B346,'Team forecast'!$B$2:$B$26,0),MATCH('Master data'!AT$1,'Team forecast'!$B$2:$AO$2,0))*IF(X346&gt;0,-15000,0)</f>
        <v>0</v>
      </c>
      <c r="AU346" s="5">
        <f t="shared" si="191"/>
        <v>0</v>
      </c>
      <c r="AV346" s="5">
        <f t="shared" si="192"/>
        <v>0</v>
      </c>
      <c r="AW346" s="5">
        <f t="shared" si="193"/>
        <v>0</v>
      </c>
      <c r="AX346" s="5">
        <f t="shared" si="194"/>
        <v>0</v>
      </c>
      <c r="AY346" s="5">
        <f t="shared" si="195"/>
        <v>0</v>
      </c>
      <c r="AZ346" s="5">
        <f t="shared" si="196"/>
        <v>0</v>
      </c>
      <c r="BA346" s="5">
        <f t="shared" si="197"/>
        <v>0</v>
      </c>
      <c r="BB346" s="5">
        <f t="shared" si="198"/>
        <v>0</v>
      </c>
      <c r="BC346" s="5">
        <f t="shared" si="199"/>
        <v>0</v>
      </c>
      <c r="BD346" s="5">
        <f t="shared" si="200"/>
        <v>-5000</v>
      </c>
      <c r="BE346" s="16">
        <f>INDEX('Team forecast'!$B$2:$AO$26,MATCH('Master data'!$B346,'Team forecast'!$B$2:$B$26,0),MATCH('Master data'!BE$1,'Team forecast'!$B$2:$AO$2,0))</f>
        <v>0.82681690399773144</v>
      </c>
      <c r="BF346" s="16">
        <f>INDEX('Team forecast'!$B$2:$AO$26,MATCH('Master data'!$B346,'Team forecast'!$B$2:$B$26,0),MATCH('Master data'!BF$1,'Team forecast'!$B$2:$AO$2,0))</f>
        <v>1.5039270856478595</v>
      </c>
      <c r="BG346" s="16">
        <f>INDEX('Team forecast'!$B$2:$AO$26,MATCH('Master data'!$B346,'Team forecast'!$B$2:$B$26,0),MATCH('Master data'!BG$1,'Team forecast'!$B$2:$AO$2,0))</f>
        <v>0.22225562720571071</v>
      </c>
      <c r="BH346" s="16">
        <f>INDEX('Team forecast'!$B$2:$AO$26,MATCH('Master data'!$B346,'Team forecast'!$B$2:$B$26,0),MATCH('Master data'!BH$1,'Team forecast'!$B$2:$AO$2,0))</f>
        <v>2.71429791716427</v>
      </c>
      <c r="BI346" s="16">
        <f>INDEX('Team forecast'!$B$2:$AO$26,MATCH('Master data'!$B346,'Team forecast'!$B$2:$B$26,0),MATCH('Master data'!BI$1,'Team forecast'!$B$2:$AO$2,0))</f>
        <v>4.1096617153265038</v>
      </c>
      <c r="BJ346" s="5">
        <f t="shared" si="201"/>
        <v>-5000</v>
      </c>
      <c r="BK346" s="5">
        <f>INDEX('Team forecast'!$R$3:$BH$26,MATCH($B346,'Team forecast'!$B$3:$B$26,0),MATCH(BK$1,'Team forecast'!$R$2:$BH$2,0))*IF($X346&gt;0,25000,0)</f>
        <v>0</v>
      </c>
      <c r="BL346" s="5">
        <f>INDEX('Team forecast'!$R$3:$BH$26,MATCH($B346,'Team forecast'!$B$3:$B$26,0),MATCH(BL$1,'Team forecast'!$R$2:$BH$2,0))*IF($X346&gt;0,5000,0)</f>
        <v>0</v>
      </c>
      <c r="BM346" s="5">
        <f>INDEX('Team forecast'!$R$3:$BH$26,MATCH($B346,'Team forecast'!$B$3:$B$26,0),MATCH(BM$1,'Team forecast'!$R$2:$BH$2,0))*IF($X346&gt;0,-15000,0)</f>
        <v>0</v>
      </c>
      <c r="BN346" s="5">
        <f t="shared" si="202"/>
        <v>0</v>
      </c>
      <c r="BO346" s="5">
        <f t="shared" si="203"/>
        <v>0</v>
      </c>
      <c r="BP346" s="5">
        <f t="shared" si="204"/>
        <v>0</v>
      </c>
      <c r="BQ346" s="5">
        <f t="shared" si="205"/>
        <v>0</v>
      </c>
      <c r="BR346" s="5">
        <f t="shared" si="206"/>
        <v>0</v>
      </c>
      <c r="BS346" s="5">
        <f t="shared" si="207"/>
        <v>0</v>
      </c>
      <c r="BT346" s="5">
        <f t="shared" si="208"/>
        <v>0</v>
      </c>
      <c r="BU346" s="5">
        <f t="shared" si="209"/>
        <v>0</v>
      </c>
      <c r="BV346" s="5">
        <f t="shared" si="210"/>
        <v>0</v>
      </c>
      <c r="BW346" s="5">
        <f t="shared" si="211"/>
        <v>-5000</v>
      </c>
      <c r="BX346" s="5">
        <f t="shared" si="212"/>
        <v>-5000</v>
      </c>
      <c r="BY346" s="5">
        <f t="shared" si="213"/>
        <v>-15000</v>
      </c>
      <c r="BZ346" s="5">
        <f>INDEX('Team forecast'!$R$3:$BH$26,MATCH($B346,'Team forecast'!$B$3:$B$26,0),MATCH(BZ$1,'Team forecast'!$R$2:$BH$2,0))*($BX346-(BY346+CH346)*0.01)</f>
        <v>-14380.84499191155</v>
      </c>
      <c r="CA346" s="5">
        <f>INDEX('Team forecast'!$R$3:$BH$26,MATCH($B346,'Team forecast'!$B$3:$B$26,0),MATCH(CA$1,'Team forecast'!$R$2:$BH$2,0))*($BX346-(BY346+BX346+CH346)*0.01)</f>
        <v>-7053.8669504403424</v>
      </c>
      <c r="CB346" s="5">
        <f>INDEX('Team forecast'!$R$3:$BH$26,MATCH($B346,'Team forecast'!$B$3:$B$26,0),MATCH(CB$1,'Team forecast'!$R$2:$BH$2,0))*($BX346-(BY346+BX346*2+CH346)*0.01)</f>
        <v>-3403.2232913879643</v>
      </c>
      <c r="CC346" s="5">
        <f>INDEX('Team forecast'!$R$3:$BH$26,MATCH($B346,'Team forecast'!$B$3:$B$26,0),MATCH(CC$1,'Team forecast'!$R$2:$BH$2,0))*($BX346-(BY346+BX346*3+CH346)*0.01)</f>
        <v>-1546.3967035471533</v>
      </c>
      <c r="CD346" s="5">
        <f>+AK346+BD346*Cockpit!$C$3+BW346*Cockpit!$C$3^2+BZ346*Cockpit!$C$3^3+CA346*Cockpit!$C$3^4+CB346*Cockpit!$C$3^5+CC346*Cockpit!$C$3^6</f>
        <v>-16793.824669570047</v>
      </c>
      <c r="CE346" s="5"/>
      <c r="CF346" s="5"/>
      <c r="CG346" s="5">
        <v>0</v>
      </c>
      <c r="CH346" s="5">
        <f t="shared" si="214"/>
        <v>3000000</v>
      </c>
      <c r="CI346" s="5">
        <f t="shared" si="215"/>
        <v>3000000</v>
      </c>
      <c r="CJ346" s="1">
        <f t="shared" si="216"/>
        <v>-5.0000000000000001E-3</v>
      </c>
      <c r="CK346" s="5">
        <f>RANK(BY346,$BY$2:$BY$623)+COUNTIF($BY$2:$BY346,$BY346)-1</f>
        <v>522</v>
      </c>
      <c r="CL346" s="5">
        <f>RANK(CJ346,$CJ$2:$CJ$623)+COUNTIF($CJ$2:$CJ346,$CJ346)-1</f>
        <v>506</v>
      </c>
    </row>
    <row r="347" spans="1:90">
      <c r="A347" t="str">
        <f>Players!P348</f>
        <v>Scott McTominay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1.0237318402178264</v>
      </c>
      <c r="I347" s="16">
        <f>INDEX('Team forecast'!$B$2:$AO$26,MATCH('Master data'!$B347,'Team forecast'!$B$2:$B$26,0),MATCH('Master data'!I$1,'Team forecast'!$B$2:$AO$2,0))</f>
        <v>1.0683489057066333</v>
      </c>
      <c r="J347" s="16">
        <f>INDEX('Team forecast'!$B$2:$AO$26,MATCH('Master data'!$B347,'Team forecast'!$B$2:$B$26,0),MATCH('Master data'!J$1,'Team forecast'!$B$2:$AO$2,0))</f>
        <v>0.34357532462169699</v>
      </c>
      <c r="K347" s="16">
        <f>INDEX('Team forecast'!$B$2:$AO$26,MATCH('Master data'!$B347,'Team forecast'!$B$2:$B$26,0),MATCH('Master data'!K$1,'Team forecast'!$B$2:$AO$2,0))</f>
        <v>3.360735839098925</v>
      </c>
      <c r="L347" s="16">
        <f>INDEX('Team forecast'!$B$2:$AO$26,MATCH('Master data'!$B347,'Team forecast'!$B$2:$B$26,0),MATCH('Master data'!L$1,'Team forecast'!$B$2:$AO$2,0))</f>
        <v>2.9193919294978055</v>
      </c>
      <c r="M347">
        <f>IF(Players!BC348=1,95,0)</f>
        <v>95</v>
      </c>
      <c r="N347" s="2">
        <f>Players!BN348</f>
        <v>0.15698010671241902</v>
      </c>
      <c r="O347" s="2">
        <f>Players!BO348</f>
        <v>4.5852706711619805E-2</v>
      </c>
      <c r="P347" s="2">
        <f>Players!BP348</f>
        <v>0.20159363925005844</v>
      </c>
      <c r="Q347" s="2">
        <f>Players!BQ348</f>
        <v>0.36846967559943583</v>
      </c>
      <c r="R347" s="2">
        <f>Players!BR348</f>
        <v>0</v>
      </c>
      <c r="S347" s="2">
        <f t="shared" si="175"/>
        <v>1.0237318402178264</v>
      </c>
      <c r="T347" s="2">
        <f t="shared" si="176"/>
        <v>1.0683489057066333</v>
      </c>
      <c r="U347" s="16">
        <f>INDEX('Team forecast'!$B$2:$AO$26,MATCH('Master data'!$B347,'Team forecast'!$B$2:$B$26,0),MATCH('Master data'!U$1,'Team forecast'!$B$2:$AO$2,0))</f>
        <v>0.32580418714126441</v>
      </c>
      <c r="V347" s="16">
        <f>INDEX('Team forecast'!$B$2:$AO$26,MATCH('Master data'!$B347,'Team forecast'!$B$2:$B$26,0),MATCH('Master data'!V$1,'Team forecast'!$B$2:$AO$2,0))</f>
        <v>0.31494404756988892</v>
      </c>
      <c r="W347" s="16">
        <f>INDEX('Team forecast'!$B$2:$AO$26,MATCH('Master data'!$B347,'Team forecast'!$B$2:$B$26,0),MATCH('Master data'!W$1,'Team forecast'!$B$2:$AO$2,0))</f>
        <v>0.35925176528884672</v>
      </c>
      <c r="X347" s="5">
        <f t="shared" si="177"/>
        <v>7000</v>
      </c>
      <c r="Y347" s="5">
        <f t="shared" si="178"/>
        <v>8145.1046785316103</v>
      </c>
      <c r="Z347" s="5">
        <f t="shared" si="179"/>
        <v>1574.7202378494446</v>
      </c>
      <c r="AA347" s="5">
        <f t="shared" si="180"/>
        <v>-5388.7764793327005</v>
      </c>
      <c r="AB347" s="5">
        <f t="shared" si="181"/>
        <v>20088.191690286934</v>
      </c>
      <c r="AC347" s="5">
        <f t="shared" si="182"/>
        <v>2347.0437910427408</v>
      </c>
      <c r="AD347" s="5">
        <f t="shared" si="183"/>
        <v>6775.0296836205116</v>
      </c>
      <c r="AE347" s="5">
        <f t="shared" si="184"/>
        <v>0</v>
      </c>
      <c r="AF347" s="5">
        <f t="shared" si="185"/>
        <v>0</v>
      </c>
      <c r="AG347" s="5">
        <f t="shared" si="186"/>
        <v>-7369.3935119887165</v>
      </c>
      <c r="AH347" s="5">
        <f t="shared" si="187"/>
        <v>0</v>
      </c>
      <c r="AI347" s="5">
        <f t="shared" si="188"/>
        <v>10237.318402178264</v>
      </c>
      <c r="AJ347" s="5">
        <f t="shared" si="189"/>
        <v>-8546.7912456530667</v>
      </c>
      <c r="AK347" s="5">
        <f>IFERROR(SUM(X347:AJ347),-5000)*((Cockpit!$C$3)^0)</f>
        <v>34862.447246535019</v>
      </c>
      <c r="AL347" s="16">
        <f>INDEX('Team forecast'!$B$2:$AO$26,MATCH('Master data'!$B347,'Team forecast'!$B$2:$B$26,0),MATCH('Master data'!AL$1,'Team forecast'!$B$2:$AO$2,0))</f>
        <v>0.66520361079548807</v>
      </c>
      <c r="AM347" s="16">
        <f>INDEX('Team forecast'!$B$2:$AO$26,MATCH('Master data'!$B347,'Team forecast'!$B$2:$B$26,0),MATCH('Master data'!AM$1,'Team forecast'!$B$2:$AO$2,0))</f>
        <v>2.0067977929974719</v>
      </c>
      <c r="AN347" s="16">
        <f>INDEX('Team forecast'!$B$2:$AO$26,MATCH('Master data'!$B347,'Team forecast'!$B$2:$B$26,0),MATCH('Master data'!AN$1,'Team forecast'!$B$2:$AO$2,0))</f>
        <v>0.1344184218435715</v>
      </c>
      <c r="AO347" s="16">
        <f>INDEX('Team forecast'!$B$2:$AO$26,MATCH('Master data'!$B347,'Team forecast'!$B$2:$B$26,0),MATCH('Master data'!AO$1,'Team forecast'!$B$2:$AO$2,0))</f>
        <v>2.1837492273589256</v>
      </c>
      <c r="AP347" s="16">
        <f>INDEX('Team forecast'!$B$2:$AO$26,MATCH('Master data'!$B347,'Team forecast'!$B$2:$B$26,0),MATCH('Master data'!AP$1,'Team forecast'!$B$2:$AO$2,0))</f>
        <v>5.4838164289930909</v>
      </c>
      <c r="AQ347" s="5">
        <f t="shared" si="190"/>
        <v>7000</v>
      </c>
      <c r="AR347" s="5">
        <f>INDEX('Team forecast'!$B$2:$AO$26,MATCH('Master data'!$B347,'Team forecast'!$B$2:$B$26,0),MATCH('Master data'!AR$1,'Team forecast'!$B$2:$AO$2,0))*IF(X347&gt;0,25000,0)</f>
        <v>2476.1288234342123</v>
      </c>
      <c r="AS347" s="16">
        <f>INDEX('Team forecast'!$B$2:$AO$26,MATCH('Master data'!$B347,'Team forecast'!$B$2:$B$26,0),MATCH('Master data'!AS$1,'Team forecast'!$B$2:$AO$2,0))*IF(X347&gt;0,5000,0)</f>
        <v>1045.4766143388899</v>
      </c>
      <c r="AT347" s="16">
        <f>INDEX('Team forecast'!$B$2:$AO$26,MATCH('Master data'!$B347,'Team forecast'!$B$2:$B$26,0),MATCH('Master data'!AT$1,'Team forecast'!$B$2:$AO$2,0))*IF(X347&gt;0,-15000,0)</f>
        <v>-10377.892862922801</v>
      </c>
      <c r="AU347" s="5">
        <f t="shared" si="191"/>
        <v>13052.96672602027</v>
      </c>
      <c r="AV347" s="5">
        <f t="shared" si="192"/>
        <v>1525.0693034658002</v>
      </c>
      <c r="AW347" s="5">
        <f t="shared" si="193"/>
        <v>4402.2995395278904</v>
      </c>
      <c r="AX347" s="5">
        <f t="shared" si="194"/>
        <v>0</v>
      </c>
      <c r="AY347" s="5">
        <f t="shared" si="195"/>
        <v>0</v>
      </c>
      <c r="AZ347" s="5">
        <f t="shared" si="196"/>
        <v>-7369.3935119887165</v>
      </c>
      <c r="BA347" s="5">
        <f t="shared" si="197"/>
        <v>0</v>
      </c>
      <c r="BB347" s="5">
        <f t="shared" si="198"/>
        <v>6652.0361079548802</v>
      </c>
      <c r="BC347" s="5">
        <f t="shared" si="199"/>
        <v>-16054.382343979774</v>
      </c>
      <c r="BD347" s="5">
        <f t="shared" si="200"/>
        <v>2352.3083958506504</v>
      </c>
      <c r="BE347" s="16">
        <f>INDEX('Team forecast'!$B$2:$AO$26,MATCH('Master data'!$B347,'Team forecast'!$B$2:$B$26,0),MATCH('Master data'!BE$1,'Team forecast'!$B$2:$AO$2,0))</f>
        <v>0.82681690399773144</v>
      </c>
      <c r="BF347" s="16">
        <f>INDEX('Team forecast'!$B$2:$AO$26,MATCH('Master data'!$B347,'Team forecast'!$B$2:$B$26,0),MATCH('Master data'!BF$1,'Team forecast'!$B$2:$AO$2,0))</f>
        <v>1.5039270856478595</v>
      </c>
      <c r="BG347" s="16">
        <f>INDEX('Team forecast'!$B$2:$AO$26,MATCH('Master data'!$B347,'Team forecast'!$B$2:$B$26,0),MATCH('Master data'!BG$1,'Team forecast'!$B$2:$AO$2,0))</f>
        <v>0.22225562720571071</v>
      </c>
      <c r="BH347" s="16">
        <f>INDEX('Team forecast'!$B$2:$AO$26,MATCH('Master data'!$B347,'Team forecast'!$B$2:$B$26,0),MATCH('Master data'!BH$1,'Team forecast'!$B$2:$AO$2,0))</f>
        <v>2.71429791716427</v>
      </c>
      <c r="BI347" s="16">
        <f>INDEX('Team forecast'!$B$2:$AO$26,MATCH('Master data'!$B347,'Team forecast'!$B$2:$B$26,0),MATCH('Master data'!BI$1,'Team forecast'!$B$2:$AO$2,0))</f>
        <v>4.1096617153265038</v>
      </c>
      <c r="BJ347" s="5">
        <f t="shared" si="201"/>
        <v>7000</v>
      </c>
      <c r="BK347" s="5">
        <f>INDEX('Team forecast'!$R$3:$BH$26,MATCH($B347,'Team forecast'!$B$3:$B$26,0),MATCH(BK$1,'Team forecast'!$R$2:$BH$2,0))*IF($X347&gt;0,25000,0)</f>
        <v>5287.7300318721273</v>
      </c>
      <c r="BL347" s="5">
        <f>INDEX('Team forecast'!$R$3:$BH$26,MATCH($B347,'Team forecast'!$B$3:$B$26,0),MATCH(BL$1,'Team forecast'!$R$2:$BH$2,0))*IF($X347&gt;0,5000,0)</f>
        <v>1355.4462898601791</v>
      </c>
      <c r="BM347" s="5">
        <f>INDEX('Team forecast'!$R$3:$BH$26,MATCH($B347,'Team forecast'!$B$3:$B$26,0),MATCH(BM$1,'Team forecast'!$R$2:$BH$2,0))*IF($X347&gt;0,-15000,0)</f>
        <v>-7761.0231112961865</v>
      </c>
      <c r="BN347" s="5">
        <f t="shared" si="202"/>
        <v>16224.225727649475</v>
      </c>
      <c r="BO347" s="5">
        <f t="shared" si="203"/>
        <v>1895.5896501608743</v>
      </c>
      <c r="BP347" s="5">
        <f t="shared" si="204"/>
        <v>5471.8519512999883</v>
      </c>
      <c r="BQ347" s="5">
        <f t="shared" si="205"/>
        <v>0</v>
      </c>
      <c r="BR347" s="5">
        <f t="shared" si="206"/>
        <v>0</v>
      </c>
      <c r="BS347" s="5">
        <f t="shared" si="207"/>
        <v>-7369.3935119887165</v>
      </c>
      <c r="BT347" s="5">
        <f t="shared" si="208"/>
        <v>0</v>
      </c>
      <c r="BU347" s="5">
        <f t="shared" si="209"/>
        <v>8268.1690399773142</v>
      </c>
      <c r="BV347" s="5">
        <f t="shared" si="210"/>
        <v>-12031.416685182876</v>
      </c>
      <c r="BW347" s="5">
        <f t="shared" si="211"/>
        <v>18341.17938235218</v>
      </c>
      <c r="BX347" s="5">
        <f t="shared" si="212"/>
        <v>18518.645008245952</v>
      </c>
      <c r="BY347" s="5">
        <f t="shared" si="213"/>
        <v>55555.935024737861</v>
      </c>
      <c r="BZ347" s="5">
        <f>INDEX('Team forecast'!$R$3:$BH$26,MATCH($B347,'Team forecast'!$B$3:$B$26,0),MATCH(BZ$1,'Team forecast'!$R$2:$BH$2,0))*($BX347-(BY347+CH347)*0.01)</f>
        <v>-4967.0301099925264</v>
      </c>
      <c r="CA347" s="5">
        <f>INDEX('Team forecast'!$R$3:$BH$26,MATCH($B347,'Team forecast'!$B$3:$B$26,0),MATCH(CA$1,'Team forecast'!$R$2:$BH$2,0))*($BX347-(BY347+BX347+CH347)*0.01)</f>
        <v>-2477.3871506388291</v>
      </c>
      <c r="CB347" s="5">
        <f>INDEX('Team forecast'!$R$3:$BH$26,MATCH($B347,'Team forecast'!$B$3:$B$26,0),MATCH(CB$1,'Team forecast'!$R$2:$BH$2,0))*($BX347-(BY347+BX347*2+CH347)*0.01)</f>
        <v>-1215.1012640426259</v>
      </c>
      <c r="CC347" s="5">
        <f>INDEX('Team forecast'!$R$3:$BH$26,MATCH($B347,'Team forecast'!$B$3:$B$26,0),MATCH(CC$1,'Team forecast'!$R$2:$BH$2,0))*($BX347-(BY347+BX347*3+CH347)*0.01)</f>
        <v>-561.18039790195394</v>
      </c>
      <c r="CD347" s="5">
        <f>+AK347+BD347*Cockpit!$C$3+BW347*Cockpit!$C$3^2+BZ347*Cockpit!$C$3^3+CA347*Cockpit!$C$3^4+CB347*Cockpit!$C$3^5+CC347*Cockpit!$C$3^6</f>
        <v>42411.934873422986</v>
      </c>
      <c r="CE347" s="5"/>
      <c r="CF347" s="5"/>
      <c r="CG347" s="5">
        <v>0</v>
      </c>
      <c r="CH347" s="5">
        <f t="shared" si="214"/>
        <v>3000000</v>
      </c>
      <c r="CI347" s="5">
        <f t="shared" si="215"/>
        <v>3000000</v>
      </c>
      <c r="CJ347" s="1">
        <f t="shared" si="216"/>
        <v>1.8518645008245953E-2</v>
      </c>
      <c r="CK347" s="5">
        <f>RANK(BY347,$BY$2:$BY$623)+COUNTIF($BY$2:$BY347,$BY347)-1</f>
        <v>286</v>
      </c>
      <c r="CL347" s="5">
        <f>RANK(CJ347,$CJ$2:$CJ$623)+COUNTIF($CJ$2:$CJ347,$CJ347)-1</f>
        <v>273</v>
      </c>
    </row>
    <row r="348" spans="1:90">
      <c r="A348" t="str">
        <f>Players!P349</f>
        <v>Ryan Christie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1.0237318402178264</v>
      </c>
      <c r="I348" s="16">
        <f>INDEX('Team forecast'!$B$2:$AO$26,MATCH('Master data'!$B348,'Team forecast'!$B$2:$B$26,0),MATCH('Master data'!I$1,'Team forecast'!$B$2:$AO$2,0))</f>
        <v>1.0683489057066333</v>
      </c>
      <c r="J348" s="16">
        <f>INDEX('Team forecast'!$B$2:$AO$26,MATCH('Master data'!$B348,'Team forecast'!$B$2:$B$26,0),MATCH('Master data'!J$1,'Team forecast'!$B$2:$AO$2,0))</f>
        <v>0.34357532462169699</v>
      </c>
      <c r="K348" s="16">
        <f>INDEX('Team forecast'!$B$2:$AO$26,MATCH('Master data'!$B348,'Team forecast'!$B$2:$B$26,0),MATCH('Master data'!K$1,'Team forecast'!$B$2:$AO$2,0))</f>
        <v>3.360735839098925</v>
      </c>
      <c r="L348" s="16">
        <f>INDEX('Team forecast'!$B$2:$AO$26,MATCH('Master data'!$B348,'Team forecast'!$B$2:$B$26,0),MATCH('Master data'!L$1,'Team forecast'!$B$2:$AO$2,0))</f>
        <v>2.9193919294978055</v>
      </c>
      <c r="M348">
        <f>IF(Players!BC349=1,95,0)</f>
        <v>95</v>
      </c>
      <c r="N348" s="2">
        <f>Players!BN349</f>
        <v>0.10572442296181134</v>
      </c>
      <c r="O348" s="2">
        <f>Players!BO349</f>
        <v>0.17288490376517757</v>
      </c>
      <c r="P348" s="2">
        <f>Players!BP349</f>
        <v>0.11918774452140408</v>
      </c>
      <c r="Q348" s="2">
        <f>Players!BQ349</f>
        <v>8.0405002977963075E-2</v>
      </c>
      <c r="R348" s="2">
        <f>Players!BR349</f>
        <v>0</v>
      </c>
      <c r="S348" s="2">
        <f t="shared" si="175"/>
        <v>1.0237318402178264</v>
      </c>
      <c r="T348" s="2">
        <f t="shared" si="176"/>
        <v>1.0683489057066333</v>
      </c>
      <c r="U348" s="16">
        <f>INDEX('Team forecast'!$B$2:$AO$26,MATCH('Master data'!$B348,'Team forecast'!$B$2:$B$26,0),MATCH('Master data'!U$1,'Team forecast'!$B$2:$AO$2,0))</f>
        <v>0.32580418714126441</v>
      </c>
      <c r="V348" s="16">
        <f>INDEX('Team forecast'!$B$2:$AO$26,MATCH('Master data'!$B348,'Team forecast'!$B$2:$B$26,0),MATCH('Master data'!V$1,'Team forecast'!$B$2:$AO$2,0))</f>
        <v>0.31494404756988892</v>
      </c>
      <c r="W348" s="16">
        <f>INDEX('Team forecast'!$B$2:$AO$26,MATCH('Master data'!$B348,'Team forecast'!$B$2:$B$26,0),MATCH('Master data'!W$1,'Team forecast'!$B$2:$AO$2,0))</f>
        <v>0.35925176528884672</v>
      </c>
      <c r="X348" s="5">
        <f t="shared" si="177"/>
        <v>7000</v>
      </c>
      <c r="Y348" s="5">
        <f t="shared" si="178"/>
        <v>8145.1046785316103</v>
      </c>
      <c r="Z348" s="5">
        <f t="shared" si="179"/>
        <v>1574.7202378494446</v>
      </c>
      <c r="AA348" s="5">
        <f t="shared" si="180"/>
        <v>-5388.7764793327005</v>
      </c>
      <c r="AB348" s="5">
        <f t="shared" si="181"/>
        <v>13529.182259332867</v>
      </c>
      <c r="AC348" s="5">
        <f t="shared" si="182"/>
        <v>8849.3890338703513</v>
      </c>
      <c r="AD348" s="5">
        <f t="shared" si="183"/>
        <v>4005.5852459444923</v>
      </c>
      <c r="AE348" s="5">
        <f t="shared" si="184"/>
        <v>0</v>
      </c>
      <c r="AF348" s="5">
        <f t="shared" si="185"/>
        <v>0</v>
      </c>
      <c r="AG348" s="5">
        <f t="shared" si="186"/>
        <v>-1608.1000595592616</v>
      </c>
      <c r="AH348" s="5">
        <f t="shared" si="187"/>
        <v>0</v>
      </c>
      <c r="AI348" s="5">
        <f t="shared" si="188"/>
        <v>10237.318402178264</v>
      </c>
      <c r="AJ348" s="5">
        <f t="shared" si="189"/>
        <v>-8546.7912456530667</v>
      </c>
      <c r="AK348" s="5">
        <f>IFERROR(SUM(X348:AJ348),-5000)*((Cockpit!$C$3)^0)</f>
        <v>37797.632073162</v>
      </c>
      <c r="AL348" s="16">
        <f>INDEX('Team forecast'!$B$2:$AO$26,MATCH('Master data'!$B348,'Team forecast'!$B$2:$B$26,0),MATCH('Master data'!AL$1,'Team forecast'!$B$2:$AO$2,0))</f>
        <v>0.66520361079548807</v>
      </c>
      <c r="AM348" s="16">
        <f>INDEX('Team forecast'!$B$2:$AO$26,MATCH('Master data'!$B348,'Team forecast'!$B$2:$B$26,0),MATCH('Master data'!AM$1,'Team forecast'!$B$2:$AO$2,0))</f>
        <v>2.0067977929974719</v>
      </c>
      <c r="AN348" s="16">
        <f>INDEX('Team forecast'!$B$2:$AO$26,MATCH('Master data'!$B348,'Team forecast'!$B$2:$B$26,0),MATCH('Master data'!AN$1,'Team forecast'!$B$2:$AO$2,0))</f>
        <v>0.1344184218435715</v>
      </c>
      <c r="AO348" s="16">
        <f>INDEX('Team forecast'!$B$2:$AO$26,MATCH('Master data'!$B348,'Team forecast'!$B$2:$B$26,0),MATCH('Master data'!AO$1,'Team forecast'!$B$2:$AO$2,0))</f>
        <v>2.1837492273589256</v>
      </c>
      <c r="AP348" s="16">
        <f>INDEX('Team forecast'!$B$2:$AO$26,MATCH('Master data'!$B348,'Team forecast'!$B$2:$B$26,0),MATCH('Master data'!AP$1,'Team forecast'!$B$2:$AO$2,0))</f>
        <v>5.4838164289930909</v>
      </c>
      <c r="AQ348" s="5">
        <f t="shared" si="190"/>
        <v>7000</v>
      </c>
      <c r="AR348" s="5">
        <f>INDEX('Team forecast'!$B$2:$AO$26,MATCH('Master data'!$B348,'Team forecast'!$B$2:$B$26,0),MATCH('Master data'!AR$1,'Team forecast'!$B$2:$AO$2,0))*IF(X348&gt;0,25000,0)</f>
        <v>2476.1288234342123</v>
      </c>
      <c r="AS348" s="16">
        <f>INDEX('Team forecast'!$B$2:$AO$26,MATCH('Master data'!$B348,'Team forecast'!$B$2:$B$26,0),MATCH('Master data'!AS$1,'Team forecast'!$B$2:$AO$2,0))*IF(X348&gt;0,5000,0)</f>
        <v>1045.4766143388899</v>
      </c>
      <c r="AT348" s="16">
        <f>INDEX('Team forecast'!$B$2:$AO$26,MATCH('Master data'!$B348,'Team forecast'!$B$2:$B$26,0),MATCH('Master data'!AT$1,'Team forecast'!$B$2:$AO$2,0))*IF(X348&gt;0,-15000,0)</f>
        <v>-10377.892862922801</v>
      </c>
      <c r="AU348" s="5">
        <f t="shared" si="191"/>
        <v>8791.0334879332877</v>
      </c>
      <c r="AV348" s="5">
        <f t="shared" si="192"/>
        <v>5750.1831118313285</v>
      </c>
      <c r="AW348" s="5">
        <f t="shared" si="193"/>
        <v>2602.761450092692</v>
      </c>
      <c r="AX348" s="5">
        <f t="shared" si="194"/>
        <v>0</v>
      </c>
      <c r="AY348" s="5">
        <f t="shared" si="195"/>
        <v>0</v>
      </c>
      <c r="AZ348" s="5">
        <f t="shared" si="196"/>
        <v>-1608.1000595592616</v>
      </c>
      <c r="BA348" s="5">
        <f t="shared" si="197"/>
        <v>0</v>
      </c>
      <c r="BB348" s="5">
        <f t="shared" si="198"/>
        <v>6652.0361079548802</v>
      </c>
      <c r="BC348" s="5">
        <f t="shared" si="199"/>
        <v>-16054.382343979774</v>
      </c>
      <c r="BD348" s="5">
        <f t="shared" si="200"/>
        <v>6277.2443291234558</v>
      </c>
      <c r="BE348" s="16">
        <f>INDEX('Team forecast'!$B$2:$AO$26,MATCH('Master data'!$B348,'Team forecast'!$B$2:$B$26,0),MATCH('Master data'!BE$1,'Team forecast'!$B$2:$AO$2,0))</f>
        <v>0.82681690399773144</v>
      </c>
      <c r="BF348" s="16">
        <f>INDEX('Team forecast'!$B$2:$AO$26,MATCH('Master data'!$B348,'Team forecast'!$B$2:$B$26,0),MATCH('Master data'!BF$1,'Team forecast'!$B$2:$AO$2,0))</f>
        <v>1.5039270856478595</v>
      </c>
      <c r="BG348" s="16">
        <f>INDEX('Team forecast'!$B$2:$AO$26,MATCH('Master data'!$B348,'Team forecast'!$B$2:$B$26,0),MATCH('Master data'!BG$1,'Team forecast'!$B$2:$AO$2,0))</f>
        <v>0.22225562720571071</v>
      </c>
      <c r="BH348" s="16">
        <f>INDEX('Team forecast'!$B$2:$AO$26,MATCH('Master data'!$B348,'Team forecast'!$B$2:$B$26,0),MATCH('Master data'!BH$1,'Team forecast'!$B$2:$AO$2,0))</f>
        <v>2.71429791716427</v>
      </c>
      <c r="BI348" s="16">
        <f>INDEX('Team forecast'!$B$2:$AO$26,MATCH('Master data'!$B348,'Team forecast'!$B$2:$B$26,0),MATCH('Master data'!BI$1,'Team forecast'!$B$2:$AO$2,0))</f>
        <v>4.1096617153265038</v>
      </c>
      <c r="BJ348" s="5">
        <f t="shared" si="201"/>
        <v>7000</v>
      </c>
      <c r="BK348" s="5">
        <f>INDEX('Team forecast'!$R$3:$BH$26,MATCH($B348,'Team forecast'!$B$3:$B$26,0),MATCH(BK$1,'Team forecast'!$R$2:$BH$2,0))*IF($X348&gt;0,25000,0)</f>
        <v>5287.7300318721273</v>
      </c>
      <c r="BL348" s="5">
        <f>INDEX('Team forecast'!$R$3:$BH$26,MATCH($B348,'Team forecast'!$B$3:$B$26,0),MATCH(BL$1,'Team forecast'!$R$2:$BH$2,0))*IF($X348&gt;0,5000,0)</f>
        <v>1355.4462898601791</v>
      </c>
      <c r="BM348" s="5">
        <f>INDEX('Team forecast'!$R$3:$BH$26,MATCH($B348,'Team forecast'!$B$3:$B$26,0),MATCH(BM$1,'Team forecast'!$R$2:$BH$2,0))*IF($X348&gt;0,-15000,0)</f>
        <v>-7761.0231112961865</v>
      </c>
      <c r="BN348" s="5">
        <f t="shared" si="202"/>
        <v>10926.84250877894</v>
      </c>
      <c r="BO348" s="5">
        <f t="shared" si="203"/>
        <v>7147.2080439534921</v>
      </c>
      <c r="BP348" s="5">
        <f t="shared" si="204"/>
        <v>3235.1104670595428</v>
      </c>
      <c r="BQ348" s="5">
        <f t="shared" si="205"/>
        <v>0</v>
      </c>
      <c r="BR348" s="5">
        <f t="shared" si="206"/>
        <v>0</v>
      </c>
      <c r="BS348" s="5">
        <f t="shared" si="207"/>
        <v>-1608.1000595592616</v>
      </c>
      <c r="BT348" s="5">
        <f t="shared" si="208"/>
        <v>0</v>
      </c>
      <c r="BU348" s="5">
        <f t="shared" si="209"/>
        <v>8268.1690399773142</v>
      </c>
      <c r="BV348" s="5">
        <f t="shared" si="210"/>
        <v>-12031.416685182876</v>
      </c>
      <c r="BW348" s="5">
        <f t="shared" si="211"/>
        <v>21819.966525463271</v>
      </c>
      <c r="BX348" s="5">
        <f t="shared" si="212"/>
        <v>21964.947642582909</v>
      </c>
      <c r="BY348" s="5">
        <f t="shared" si="213"/>
        <v>65894.84292774873</v>
      </c>
      <c r="BZ348" s="5">
        <f>INDEX('Team forecast'!$R$3:$BH$26,MATCH($B348,'Team forecast'!$B$3:$B$26,0),MATCH(BZ$1,'Team forecast'!$R$2:$BH$2,0))*($BX348-(BY348+CH348)*0.01)</f>
        <v>-3587.5775515928781</v>
      </c>
      <c r="CA348" s="5">
        <f>INDEX('Team forecast'!$R$3:$BH$26,MATCH($B348,'Team forecast'!$B$3:$B$26,0),MATCH(CA$1,'Team forecast'!$R$2:$BH$2,0))*($BX348-(BY348+BX348+CH348)*0.01)</f>
        <v>-1806.7730746784173</v>
      </c>
      <c r="CB348" s="5">
        <f>INDEX('Team forecast'!$R$3:$BH$26,MATCH($B348,'Team forecast'!$B$3:$B$26,0),MATCH(CB$1,'Team forecast'!$R$2:$BH$2,0))*($BX348-(BY348+BX348*2+CH348)*0.01)</f>
        <v>-894.46498995255774</v>
      </c>
      <c r="CC348" s="5">
        <f>INDEX('Team forecast'!$R$3:$BH$26,MATCH($B348,'Team forecast'!$B$3:$B$26,0),MATCH(CC$1,'Team forecast'!$R$2:$BH$2,0))*($BX348-(BY348+BX348*3+CH348)*0.01)</f>
        <v>-416.81181083640172</v>
      </c>
      <c r="CD348" s="5">
        <f>+AK348+BD348*Cockpit!$C$3+BW348*Cockpit!$C$3^2+BZ348*Cockpit!$C$3^3+CA348*Cockpit!$C$3^4+CB348*Cockpit!$C$3^5+CC348*Cockpit!$C$3^6</f>
        <v>50105.962977657699</v>
      </c>
      <c r="CE348" s="5"/>
      <c r="CF348" s="5"/>
      <c r="CG348" s="5">
        <v>0</v>
      </c>
      <c r="CH348" s="5">
        <f t="shared" si="214"/>
        <v>3000000</v>
      </c>
      <c r="CI348" s="5">
        <f t="shared" si="215"/>
        <v>3000000</v>
      </c>
      <c r="CJ348" s="1">
        <f t="shared" si="216"/>
        <v>2.1964947642582909E-2</v>
      </c>
      <c r="CK348" s="5">
        <f>RANK(BY348,$BY$2:$BY$623)+COUNTIF($BY$2:$BY348,$BY348)-1</f>
        <v>252</v>
      </c>
      <c r="CL348" s="5">
        <f>RANK(CJ348,$CJ$2:$CJ$623)+COUNTIF($CJ$2:$CJ348,$CJ348)-1</f>
        <v>244</v>
      </c>
    </row>
    <row r="349" spans="1:90">
      <c r="A349" t="str">
        <f>Players!P350</f>
        <v>Callum McGregor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3000000</v>
      </c>
      <c r="H349" s="16">
        <f>INDEX('Team forecast'!$B$2:$AO$26,MATCH('Master data'!$B349,'Team forecast'!$B$2:$B$26,0),MATCH('Master data'!H$1,'Team forecast'!$B$2:$AO$2,0))</f>
        <v>1.0237318402178264</v>
      </c>
      <c r="I349" s="16">
        <f>INDEX('Team forecast'!$B$2:$AO$26,MATCH('Master data'!$B349,'Team forecast'!$B$2:$B$26,0),MATCH('Master data'!I$1,'Team forecast'!$B$2:$AO$2,0))</f>
        <v>1.0683489057066333</v>
      </c>
      <c r="J349" s="16">
        <f>INDEX('Team forecast'!$B$2:$AO$26,MATCH('Master data'!$B349,'Team forecast'!$B$2:$B$26,0),MATCH('Master data'!J$1,'Team forecast'!$B$2:$AO$2,0))</f>
        <v>0.34357532462169699</v>
      </c>
      <c r="K349" s="16">
        <f>INDEX('Team forecast'!$B$2:$AO$26,MATCH('Master data'!$B349,'Team forecast'!$B$2:$B$26,0),MATCH('Master data'!K$1,'Team forecast'!$B$2:$AO$2,0))</f>
        <v>3.360735839098925</v>
      </c>
      <c r="L349" s="16">
        <f>INDEX('Team forecast'!$B$2:$AO$26,MATCH('Master data'!$B349,'Team forecast'!$B$2:$B$26,0),MATCH('Master data'!L$1,'Team forecast'!$B$2:$AO$2,0))</f>
        <v>2.9193919294978055</v>
      </c>
      <c r="M349">
        <f>IF(Players!BC350=1,95,0)</f>
        <v>0</v>
      </c>
      <c r="N349" s="2">
        <f>Players!BN350</f>
        <v>0</v>
      </c>
      <c r="O349" s="2">
        <f>Players!BO350</f>
        <v>0</v>
      </c>
      <c r="P349" s="2">
        <f>Players!BP350</f>
        <v>0</v>
      </c>
      <c r="Q349" s="2">
        <f>Players!BQ350</f>
        <v>0.17040500297796307</v>
      </c>
      <c r="R349" s="2">
        <f>Players!BR350</f>
        <v>0</v>
      </c>
      <c r="S349" s="2">
        <f t="shared" si="175"/>
        <v>1.0237318402178264</v>
      </c>
      <c r="T349" s="2">
        <f t="shared" si="176"/>
        <v>1.0683489057066333</v>
      </c>
      <c r="U349" s="16">
        <f>INDEX('Team forecast'!$B$2:$AO$26,MATCH('Master data'!$B349,'Team forecast'!$B$2:$B$26,0),MATCH('Master data'!U$1,'Team forecast'!$B$2:$AO$2,0))</f>
        <v>0.32580418714126441</v>
      </c>
      <c r="V349" s="16">
        <f>INDEX('Team forecast'!$B$2:$AO$26,MATCH('Master data'!$B349,'Team forecast'!$B$2:$B$26,0),MATCH('Master data'!V$1,'Team forecast'!$B$2:$AO$2,0))</f>
        <v>0.31494404756988892</v>
      </c>
      <c r="W349" s="16">
        <f>INDEX('Team forecast'!$B$2:$AO$26,MATCH('Master data'!$B349,'Team forecast'!$B$2:$B$26,0),MATCH('Master data'!W$1,'Team forecast'!$B$2:$AO$2,0))</f>
        <v>0.35925176528884672</v>
      </c>
      <c r="X349" s="5">
        <f t="shared" si="177"/>
        <v>-5000</v>
      </c>
      <c r="Y349" s="5">
        <f t="shared" si="178"/>
        <v>0</v>
      </c>
      <c r="Z349" s="5">
        <f t="shared" si="179"/>
        <v>0</v>
      </c>
      <c r="AA349" s="5">
        <f t="shared" si="180"/>
        <v>0</v>
      </c>
      <c r="AB349" s="5">
        <f t="shared" si="181"/>
        <v>0</v>
      </c>
      <c r="AC349" s="5">
        <f t="shared" si="182"/>
        <v>0</v>
      </c>
      <c r="AD349" s="5">
        <f t="shared" si="183"/>
        <v>0</v>
      </c>
      <c r="AE349" s="5">
        <f t="shared" si="184"/>
        <v>0</v>
      </c>
      <c r="AF349" s="5">
        <f t="shared" si="185"/>
        <v>0</v>
      </c>
      <c r="AG349" s="5">
        <f t="shared" si="186"/>
        <v>0</v>
      </c>
      <c r="AH349" s="5">
        <f t="shared" si="187"/>
        <v>0</v>
      </c>
      <c r="AI349" s="5">
        <f t="shared" si="188"/>
        <v>0</v>
      </c>
      <c r="AJ349" s="5">
        <f t="shared" si="189"/>
        <v>0</v>
      </c>
      <c r="AK349" s="5">
        <f>IFERROR(SUM(X349:AJ349),-5000)*((Cockpit!$C$3)^0)</f>
        <v>-5000</v>
      </c>
      <c r="AL349" s="16">
        <f>INDEX('Team forecast'!$B$2:$AO$26,MATCH('Master data'!$B349,'Team forecast'!$B$2:$B$26,0),MATCH('Master data'!AL$1,'Team forecast'!$B$2:$AO$2,0))</f>
        <v>0.66520361079548807</v>
      </c>
      <c r="AM349" s="16">
        <f>INDEX('Team forecast'!$B$2:$AO$26,MATCH('Master data'!$B349,'Team forecast'!$B$2:$B$26,0),MATCH('Master data'!AM$1,'Team forecast'!$B$2:$AO$2,0))</f>
        <v>2.0067977929974719</v>
      </c>
      <c r="AN349" s="16">
        <f>INDEX('Team forecast'!$B$2:$AO$26,MATCH('Master data'!$B349,'Team forecast'!$B$2:$B$26,0),MATCH('Master data'!AN$1,'Team forecast'!$B$2:$AO$2,0))</f>
        <v>0.1344184218435715</v>
      </c>
      <c r="AO349" s="16">
        <f>INDEX('Team forecast'!$B$2:$AO$26,MATCH('Master data'!$B349,'Team forecast'!$B$2:$B$26,0),MATCH('Master data'!AO$1,'Team forecast'!$B$2:$AO$2,0))</f>
        <v>2.1837492273589256</v>
      </c>
      <c r="AP349" s="16">
        <f>INDEX('Team forecast'!$B$2:$AO$26,MATCH('Master data'!$B349,'Team forecast'!$B$2:$B$26,0),MATCH('Master data'!AP$1,'Team forecast'!$B$2:$AO$2,0))</f>
        <v>5.4838164289930909</v>
      </c>
      <c r="AQ349" s="5">
        <f t="shared" si="190"/>
        <v>-5000</v>
      </c>
      <c r="AR349" s="5">
        <f>INDEX('Team forecast'!$B$2:$AO$26,MATCH('Master data'!$B349,'Team forecast'!$B$2:$B$26,0),MATCH('Master data'!AR$1,'Team forecast'!$B$2:$AO$2,0))*IF(X349&gt;0,25000,0)</f>
        <v>0</v>
      </c>
      <c r="AS349" s="16">
        <f>INDEX('Team forecast'!$B$2:$AO$26,MATCH('Master data'!$B349,'Team forecast'!$B$2:$B$26,0),MATCH('Master data'!AS$1,'Team forecast'!$B$2:$AO$2,0))*IF(X349&gt;0,5000,0)</f>
        <v>0</v>
      </c>
      <c r="AT349" s="16">
        <f>INDEX('Team forecast'!$B$2:$AO$26,MATCH('Master data'!$B349,'Team forecast'!$B$2:$B$26,0),MATCH('Master data'!AT$1,'Team forecast'!$B$2:$AO$2,0))*IF(X349&gt;0,-15000,0)</f>
        <v>0</v>
      </c>
      <c r="AU349" s="5">
        <f t="shared" si="191"/>
        <v>0</v>
      </c>
      <c r="AV349" s="5">
        <f t="shared" si="192"/>
        <v>0</v>
      </c>
      <c r="AW349" s="5">
        <f t="shared" si="193"/>
        <v>0</v>
      </c>
      <c r="AX349" s="5">
        <f t="shared" si="194"/>
        <v>0</v>
      </c>
      <c r="AY349" s="5">
        <f t="shared" si="195"/>
        <v>0</v>
      </c>
      <c r="AZ349" s="5">
        <f t="shared" si="196"/>
        <v>0</v>
      </c>
      <c r="BA349" s="5">
        <f t="shared" si="197"/>
        <v>0</v>
      </c>
      <c r="BB349" s="5">
        <f t="shared" si="198"/>
        <v>0</v>
      </c>
      <c r="BC349" s="5">
        <f t="shared" si="199"/>
        <v>0</v>
      </c>
      <c r="BD349" s="5">
        <f t="shared" si="200"/>
        <v>-5000</v>
      </c>
      <c r="BE349" s="16">
        <f>INDEX('Team forecast'!$B$2:$AO$26,MATCH('Master data'!$B349,'Team forecast'!$B$2:$B$26,0),MATCH('Master data'!BE$1,'Team forecast'!$B$2:$AO$2,0))</f>
        <v>0.82681690399773144</v>
      </c>
      <c r="BF349" s="16">
        <f>INDEX('Team forecast'!$B$2:$AO$26,MATCH('Master data'!$B349,'Team forecast'!$B$2:$B$26,0),MATCH('Master data'!BF$1,'Team forecast'!$B$2:$AO$2,0))</f>
        <v>1.5039270856478595</v>
      </c>
      <c r="BG349" s="16">
        <f>INDEX('Team forecast'!$B$2:$AO$26,MATCH('Master data'!$B349,'Team forecast'!$B$2:$B$26,0),MATCH('Master data'!BG$1,'Team forecast'!$B$2:$AO$2,0))</f>
        <v>0.22225562720571071</v>
      </c>
      <c r="BH349" s="16">
        <f>INDEX('Team forecast'!$B$2:$AO$26,MATCH('Master data'!$B349,'Team forecast'!$B$2:$B$26,0),MATCH('Master data'!BH$1,'Team forecast'!$B$2:$AO$2,0))</f>
        <v>2.71429791716427</v>
      </c>
      <c r="BI349" s="16">
        <f>INDEX('Team forecast'!$B$2:$AO$26,MATCH('Master data'!$B349,'Team forecast'!$B$2:$B$26,0),MATCH('Master data'!BI$1,'Team forecast'!$B$2:$AO$2,0))</f>
        <v>4.1096617153265038</v>
      </c>
      <c r="BJ349" s="5">
        <f t="shared" si="201"/>
        <v>-5000</v>
      </c>
      <c r="BK349" s="5">
        <f>INDEX('Team forecast'!$R$3:$BH$26,MATCH($B349,'Team forecast'!$B$3:$B$26,0),MATCH(BK$1,'Team forecast'!$R$2:$BH$2,0))*IF($X349&gt;0,25000,0)</f>
        <v>0</v>
      </c>
      <c r="BL349" s="5">
        <f>INDEX('Team forecast'!$R$3:$BH$26,MATCH($B349,'Team forecast'!$B$3:$B$26,0),MATCH(BL$1,'Team forecast'!$R$2:$BH$2,0))*IF($X349&gt;0,5000,0)</f>
        <v>0</v>
      </c>
      <c r="BM349" s="5">
        <f>INDEX('Team forecast'!$R$3:$BH$26,MATCH($B349,'Team forecast'!$B$3:$B$26,0),MATCH(BM$1,'Team forecast'!$R$2:$BH$2,0))*IF($X349&gt;0,-15000,0)</f>
        <v>0</v>
      </c>
      <c r="BN349" s="5">
        <f t="shared" si="202"/>
        <v>0</v>
      </c>
      <c r="BO349" s="5">
        <f t="shared" si="203"/>
        <v>0</v>
      </c>
      <c r="BP349" s="5">
        <f t="shared" si="204"/>
        <v>0</v>
      </c>
      <c r="BQ349" s="5">
        <f t="shared" si="205"/>
        <v>0</v>
      </c>
      <c r="BR349" s="5">
        <f t="shared" si="206"/>
        <v>0</v>
      </c>
      <c r="BS349" s="5">
        <f t="shared" si="207"/>
        <v>0</v>
      </c>
      <c r="BT349" s="5">
        <f t="shared" si="208"/>
        <v>0</v>
      </c>
      <c r="BU349" s="5">
        <f t="shared" si="209"/>
        <v>0</v>
      </c>
      <c r="BV349" s="5">
        <f t="shared" si="210"/>
        <v>0</v>
      </c>
      <c r="BW349" s="5">
        <f t="shared" si="211"/>
        <v>-5000</v>
      </c>
      <c r="BX349" s="5">
        <f t="shared" si="212"/>
        <v>-5000</v>
      </c>
      <c r="BY349" s="5">
        <f t="shared" si="213"/>
        <v>-15000</v>
      </c>
      <c r="BZ349" s="5">
        <f>INDEX('Team forecast'!$R$3:$BH$26,MATCH($B349,'Team forecast'!$B$3:$B$26,0),MATCH(BZ$1,'Team forecast'!$R$2:$BH$2,0))*($BX349-(BY349+CH349)*0.01)</f>
        <v>-14380.84499191155</v>
      </c>
      <c r="CA349" s="5">
        <f>INDEX('Team forecast'!$R$3:$BH$26,MATCH($B349,'Team forecast'!$B$3:$B$26,0),MATCH(CA$1,'Team forecast'!$R$2:$BH$2,0))*($BX349-(BY349+BX349+CH349)*0.01)</f>
        <v>-7053.8669504403424</v>
      </c>
      <c r="CB349" s="5">
        <f>INDEX('Team forecast'!$R$3:$BH$26,MATCH($B349,'Team forecast'!$B$3:$B$26,0),MATCH(CB$1,'Team forecast'!$R$2:$BH$2,0))*($BX349-(BY349+BX349*2+CH349)*0.01)</f>
        <v>-3403.2232913879643</v>
      </c>
      <c r="CC349" s="5">
        <f>INDEX('Team forecast'!$R$3:$BH$26,MATCH($B349,'Team forecast'!$B$3:$B$26,0),MATCH(CC$1,'Team forecast'!$R$2:$BH$2,0))*($BX349-(BY349+BX349*3+CH349)*0.01)</f>
        <v>-1546.3967035471533</v>
      </c>
      <c r="CD349" s="5">
        <f>+AK349+BD349*Cockpit!$C$3+BW349*Cockpit!$C$3^2+BZ349*Cockpit!$C$3^3+CA349*Cockpit!$C$3^4+CB349*Cockpit!$C$3^5+CC349*Cockpit!$C$3^6</f>
        <v>-16793.824669570047</v>
      </c>
      <c r="CE349" s="5"/>
      <c r="CF349" s="5"/>
      <c r="CG349" s="5">
        <v>0</v>
      </c>
      <c r="CH349" s="5">
        <f t="shared" si="214"/>
        <v>3000000</v>
      </c>
      <c r="CI349" s="5">
        <f t="shared" si="215"/>
        <v>3000000</v>
      </c>
      <c r="CJ349" s="1">
        <f t="shared" si="216"/>
        <v>-5.0000000000000001E-3</v>
      </c>
      <c r="CK349" s="5">
        <f>RANK(BY349,$BY$2:$BY$623)+COUNTIF($BY$2:$BY349,$BY349)-1</f>
        <v>523</v>
      </c>
      <c r="CL349" s="5">
        <f>RANK(CJ349,$CJ$2:$CJ$623)+COUNTIF($CJ$2:$CJ349,$CJ349)-1</f>
        <v>507</v>
      </c>
    </row>
    <row r="350" spans="1:90">
      <c r="A350" t="str">
        <f>Players!P351</f>
        <v>John McGinn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4000000</v>
      </c>
      <c r="H350" s="16">
        <f>INDEX('Team forecast'!$B$2:$AO$26,MATCH('Master data'!$B350,'Team forecast'!$B$2:$B$26,0),MATCH('Master data'!H$1,'Team forecast'!$B$2:$AO$2,0))</f>
        <v>1.0237318402178264</v>
      </c>
      <c r="I350" s="16">
        <f>INDEX('Team forecast'!$B$2:$AO$26,MATCH('Master data'!$B350,'Team forecast'!$B$2:$B$26,0),MATCH('Master data'!I$1,'Team forecast'!$B$2:$AO$2,0))</f>
        <v>1.0683489057066333</v>
      </c>
      <c r="J350" s="16">
        <f>INDEX('Team forecast'!$B$2:$AO$26,MATCH('Master data'!$B350,'Team forecast'!$B$2:$B$26,0),MATCH('Master data'!J$1,'Team forecast'!$B$2:$AO$2,0))</f>
        <v>0.34357532462169699</v>
      </c>
      <c r="K350" s="16">
        <f>INDEX('Team forecast'!$B$2:$AO$26,MATCH('Master data'!$B350,'Team forecast'!$B$2:$B$26,0),MATCH('Master data'!K$1,'Team forecast'!$B$2:$AO$2,0))</f>
        <v>3.360735839098925</v>
      </c>
      <c r="L350" s="16">
        <f>INDEX('Team forecast'!$B$2:$AO$26,MATCH('Master data'!$B350,'Team forecast'!$B$2:$B$26,0),MATCH('Master data'!L$1,'Team forecast'!$B$2:$AO$2,0))</f>
        <v>2.9193919294978055</v>
      </c>
      <c r="M350">
        <f>IF(Players!BC351=1,95,0)</f>
        <v>95</v>
      </c>
      <c r="N350" s="2">
        <f>Players!BN351</f>
        <v>0.12711548514317356</v>
      </c>
      <c r="O350" s="2">
        <f>Players!BO351</f>
        <v>0.20166818164063688</v>
      </c>
      <c r="P350" s="2">
        <f>Players!BP351</f>
        <v>0.17705279194946008</v>
      </c>
      <c r="Q350" s="2">
        <f>Players!BQ351</f>
        <v>0.28716216216216217</v>
      </c>
      <c r="R350" s="2">
        <f>Players!BR351</f>
        <v>0</v>
      </c>
      <c r="S350" s="2">
        <f t="shared" si="175"/>
        <v>1.0237318402178264</v>
      </c>
      <c r="T350" s="2">
        <f t="shared" si="176"/>
        <v>1.0683489057066333</v>
      </c>
      <c r="U350" s="16">
        <f>INDEX('Team forecast'!$B$2:$AO$26,MATCH('Master data'!$B350,'Team forecast'!$B$2:$B$26,0),MATCH('Master data'!U$1,'Team forecast'!$B$2:$AO$2,0))</f>
        <v>0.32580418714126441</v>
      </c>
      <c r="V350" s="16">
        <f>INDEX('Team forecast'!$B$2:$AO$26,MATCH('Master data'!$B350,'Team forecast'!$B$2:$B$26,0),MATCH('Master data'!V$1,'Team forecast'!$B$2:$AO$2,0))</f>
        <v>0.31494404756988892</v>
      </c>
      <c r="W350" s="16">
        <f>INDEX('Team forecast'!$B$2:$AO$26,MATCH('Master data'!$B350,'Team forecast'!$B$2:$B$26,0),MATCH('Master data'!W$1,'Team forecast'!$B$2:$AO$2,0))</f>
        <v>0.35925176528884672</v>
      </c>
      <c r="X350" s="5">
        <f t="shared" si="177"/>
        <v>7000</v>
      </c>
      <c r="Y350" s="5">
        <f t="shared" si="178"/>
        <v>8145.1046785316103</v>
      </c>
      <c r="Z350" s="5">
        <f t="shared" si="179"/>
        <v>1574.7202378494446</v>
      </c>
      <c r="AA350" s="5">
        <f t="shared" si="180"/>
        <v>-5388.7764793327005</v>
      </c>
      <c r="AB350" s="5">
        <f t="shared" si="181"/>
        <v>16266.521190725354</v>
      </c>
      <c r="AC350" s="5">
        <f t="shared" si="182"/>
        <v>10322.706935217602</v>
      </c>
      <c r="AD350" s="5">
        <f t="shared" si="183"/>
        <v>5950.2766331707617</v>
      </c>
      <c r="AE350" s="5">
        <f t="shared" si="184"/>
        <v>0</v>
      </c>
      <c r="AF350" s="5">
        <f t="shared" si="185"/>
        <v>0</v>
      </c>
      <c r="AG350" s="5">
        <f t="shared" si="186"/>
        <v>-5743.2432432432433</v>
      </c>
      <c r="AH350" s="5">
        <f t="shared" si="187"/>
        <v>0</v>
      </c>
      <c r="AI350" s="5">
        <f t="shared" si="188"/>
        <v>10237.318402178264</v>
      </c>
      <c r="AJ350" s="5">
        <f t="shared" si="189"/>
        <v>-8546.7912456530667</v>
      </c>
      <c r="AK350" s="5">
        <f>IFERROR(SUM(X350:AJ350),-5000)*((Cockpit!$C$3)^0)</f>
        <v>39817.83710944403</v>
      </c>
      <c r="AL350" s="16">
        <f>INDEX('Team forecast'!$B$2:$AO$26,MATCH('Master data'!$B350,'Team forecast'!$B$2:$B$26,0),MATCH('Master data'!AL$1,'Team forecast'!$B$2:$AO$2,0))</f>
        <v>0.66520361079548807</v>
      </c>
      <c r="AM350" s="16">
        <f>INDEX('Team forecast'!$B$2:$AO$26,MATCH('Master data'!$B350,'Team forecast'!$B$2:$B$26,0),MATCH('Master data'!AM$1,'Team forecast'!$B$2:$AO$2,0))</f>
        <v>2.0067977929974719</v>
      </c>
      <c r="AN350" s="16">
        <f>INDEX('Team forecast'!$B$2:$AO$26,MATCH('Master data'!$B350,'Team forecast'!$B$2:$B$26,0),MATCH('Master data'!AN$1,'Team forecast'!$B$2:$AO$2,0))</f>
        <v>0.1344184218435715</v>
      </c>
      <c r="AO350" s="16">
        <f>INDEX('Team forecast'!$B$2:$AO$26,MATCH('Master data'!$B350,'Team forecast'!$B$2:$B$26,0),MATCH('Master data'!AO$1,'Team forecast'!$B$2:$AO$2,0))</f>
        <v>2.1837492273589256</v>
      </c>
      <c r="AP350" s="16">
        <f>INDEX('Team forecast'!$B$2:$AO$26,MATCH('Master data'!$B350,'Team forecast'!$B$2:$B$26,0),MATCH('Master data'!AP$1,'Team forecast'!$B$2:$AO$2,0))</f>
        <v>5.4838164289930909</v>
      </c>
      <c r="AQ350" s="5">
        <f t="shared" si="190"/>
        <v>7000</v>
      </c>
      <c r="AR350" s="5">
        <f>INDEX('Team forecast'!$B$2:$AO$26,MATCH('Master data'!$B350,'Team forecast'!$B$2:$B$26,0),MATCH('Master data'!AR$1,'Team forecast'!$B$2:$AO$2,0))*IF(X350&gt;0,25000,0)</f>
        <v>2476.1288234342123</v>
      </c>
      <c r="AS350" s="16">
        <f>INDEX('Team forecast'!$B$2:$AO$26,MATCH('Master data'!$B350,'Team forecast'!$B$2:$B$26,0),MATCH('Master data'!AS$1,'Team forecast'!$B$2:$AO$2,0))*IF(X350&gt;0,5000,0)</f>
        <v>1045.4766143388899</v>
      </c>
      <c r="AT350" s="16">
        <f>INDEX('Team forecast'!$B$2:$AO$26,MATCH('Master data'!$B350,'Team forecast'!$B$2:$B$26,0),MATCH('Master data'!AT$1,'Team forecast'!$B$2:$AO$2,0))*IF(X350&gt;0,-15000,0)</f>
        <v>-10377.892862922801</v>
      </c>
      <c r="AU350" s="5">
        <f t="shared" si="191"/>
        <v>10569.709963157409</v>
      </c>
      <c r="AV350" s="5">
        <f t="shared" si="192"/>
        <v>6707.5201304955999</v>
      </c>
      <c r="AW350" s="5">
        <f t="shared" si="193"/>
        <v>3866.3889762137405</v>
      </c>
      <c r="AX350" s="5">
        <f t="shared" si="194"/>
        <v>0</v>
      </c>
      <c r="AY350" s="5">
        <f t="shared" si="195"/>
        <v>0</v>
      </c>
      <c r="AZ350" s="5">
        <f t="shared" si="196"/>
        <v>-5743.2432432432433</v>
      </c>
      <c r="BA350" s="5">
        <f t="shared" si="197"/>
        <v>0</v>
      </c>
      <c r="BB350" s="5">
        <f t="shared" si="198"/>
        <v>6652.0361079548802</v>
      </c>
      <c r="BC350" s="5">
        <f t="shared" si="199"/>
        <v>-16054.382343979774</v>
      </c>
      <c r="BD350" s="5">
        <f t="shared" si="200"/>
        <v>6141.7421654489117</v>
      </c>
      <c r="BE350" s="16">
        <f>INDEX('Team forecast'!$B$2:$AO$26,MATCH('Master data'!$B350,'Team forecast'!$B$2:$B$26,0),MATCH('Master data'!BE$1,'Team forecast'!$B$2:$AO$2,0))</f>
        <v>0.82681690399773144</v>
      </c>
      <c r="BF350" s="16">
        <f>INDEX('Team forecast'!$B$2:$AO$26,MATCH('Master data'!$B350,'Team forecast'!$B$2:$B$26,0),MATCH('Master data'!BF$1,'Team forecast'!$B$2:$AO$2,0))</f>
        <v>1.5039270856478595</v>
      </c>
      <c r="BG350" s="16">
        <f>INDEX('Team forecast'!$B$2:$AO$26,MATCH('Master data'!$B350,'Team forecast'!$B$2:$B$26,0),MATCH('Master data'!BG$1,'Team forecast'!$B$2:$AO$2,0))</f>
        <v>0.22225562720571071</v>
      </c>
      <c r="BH350" s="16">
        <f>INDEX('Team forecast'!$B$2:$AO$26,MATCH('Master data'!$B350,'Team forecast'!$B$2:$B$26,0),MATCH('Master data'!BH$1,'Team forecast'!$B$2:$AO$2,0))</f>
        <v>2.71429791716427</v>
      </c>
      <c r="BI350" s="16">
        <f>INDEX('Team forecast'!$B$2:$AO$26,MATCH('Master data'!$B350,'Team forecast'!$B$2:$B$26,0),MATCH('Master data'!BI$1,'Team forecast'!$B$2:$AO$2,0))</f>
        <v>4.1096617153265038</v>
      </c>
      <c r="BJ350" s="5">
        <f t="shared" si="201"/>
        <v>7000</v>
      </c>
      <c r="BK350" s="5">
        <f>INDEX('Team forecast'!$R$3:$BH$26,MATCH($B350,'Team forecast'!$B$3:$B$26,0),MATCH(BK$1,'Team forecast'!$R$2:$BH$2,0))*IF($X350&gt;0,25000,0)</f>
        <v>5287.7300318721273</v>
      </c>
      <c r="BL350" s="5">
        <f>INDEX('Team forecast'!$R$3:$BH$26,MATCH($B350,'Team forecast'!$B$3:$B$26,0),MATCH(BL$1,'Team forecast'!$R$2:$BH$2,0))*IF($X350&gt;0,5000,0)</f>
        <v>1355.4462898601791</v>
      </c>
      <c r="BM350" s="5">
        <f>INDEX('Team forecast'!$R$3:$BH$26,MATCH($B350,'Team forecast'!$B$3:$B$26,0),MATCH(BM$1,'Team forecast'!$R$2:$BH$2,0))*IF($X350&gt;0,-15000,0)</f>
        <v>-7761.0231112961865</v>
      </c>
      <c r="BN350" s="5">
        <f t="shared" si="202"/>
        <v>13137.653984531049</v>
      </c>
      <c r="BO350" s="5">
        <f t="shared" si="203"/>
        <v>8337.1330789481763</v>
      </c>
      <c r="BP350" s="5">
        <f t="shared" si="204"/>
        <v>4805.740244165383</v>
      </c>
      <c r="BQ350" s="5">
        <f t="shared" si="205"/>
        <v>0</v>
      </c>
      <c r="BR350" s="5">
        <f t="shared" si="206"/>
        <v>0</v>
      </c>
      <c r="BS350" s="5">
        <f t="shared" si="207"/>
        <v>-5743.2432432432433</v>
      </c>
      <c r="BT350" s="5">
        <f t="shared" si="208"/>
        <v>0</v>
      </c>
      <c r="BU350" s="5">
        <f t="shared" si="209"/>
        <v>8268.1690399773142</v>
      </c>
      <c r="BV350" s="5">
        <f t="shared" si="210"/>
        <v>-12031.416685182876</v>
      </c>
      <c r="BW350" s="5">
        <f t="shared" si="211"/>
        <v>22656.189629631925</v>
      </c>
      <c r="BX350" s="5">
        <f t="shared" si="212"/>
        <v>22871.922968174953</v>
      </c>
      <c r="BY350" s="5">
        <f t="shared" si="213"/>
        <v>68615.768904524855</v>
      </c>
      <c r="BZ350" s="5">
        <f>INDEX('Team forecast'!$R$3:$BH$26,MATCH($B350,'Team forecast'!$B$3:$B$26,0),MATCH(BZ$1,'Team forecast'!$R$2:$BH$2,0))*($BX350-(BY350+CH350)*0.01)</f>
        <v>-7351.0401196661251</v>
      </c>
      <c r="CA350" s="5">
        <f>INDEX('Team forecast'!$R$3:$BH$26,MATCH($B350,'Team forecast'!$B$3:$B$26,0),MATCH(CA$1,'Team forecast'!$R$2:$BH$2,0))*($BX350-(BY350+BX350+CH350)*0.01)</f>
        <v>-3657.2585218424169</v>
      </c>
      <c r="CB350" s="5">
        <f>INDEX('Team forecast'!$R$3:$BH$26,MATCH($B350,'Team forecast'!$B$3:$B$26,0),MATCH(CB$1,'Team forecast'!$R$2:$BH$2,0))*($BX350-(BY350+BX350*2+CH350)*0.01)</f>
        <v>-1789.4268702043298</v>
      </c>
      <c r="CC350" s="5">
        <f>INDEX('Team forecast'!$R$3:$BH$26,MATCH($B350,'Team forecast'!$B$3:$B$26,0),MATCH(CC$1,'Team forecast'!$R$2:$BH$2,0))*($BX350-(BY350+BX350*3+CH350)*0.01)</f>
        <v>-824.46529789689259</v>
      </c>
      <c r="CD350" s="5">
        <f>+AK350+BD350*Cockpit!$C$3+BW350*Cockpit!$C$3^2+BZ350*Cockpit!$C$3^3+CA350*Cockpit!$C$3^4+CB350*Cockpit!$C$3^5+CC350*Cockpit!$C$3^6</f>
        <v>50773.216369815374</v>
      </c>
      <c r="CE350" s="5"/>
      <c r="CF350" s="5"/>
      <c r="CG350" s="5">
        <v>0</v>
      </c>
      <c r="CH350" s="5">
        <f t="shared" si="214"/>
        <v>4000000</v>
      </c>
      <c r="CI350" s="5">
        <f t="shared" si="215"/>
        <v>4000000</v>
      </c>
      <c r="CJ350" s="1">
        <f t="shared" si="216"/>
        <v>1.7153942226131213E-2</v>
      </c>
      <c r="CK350" s="5">
        <f>RANK(BY350,$BY$2:$BY$623)+COUNTIF($BY$2:$BY350,$BY350)-1</f>
        <v>249</v>
      </c>
      <c r="CL350" s="5">
        <f>RANK(CJ350,$CJ$2:$CJ$623)+COUNTIF($CJ$2:$CJ350,$CJ350)-1</f>
        <v>288</v>
      </c>
    </row>
    <row r="351" spans="1:90">
      <c r="A351" t="str">
        <f>Players!P352</f>
        <v>Stuart Armstrong</v>
      </c>
      <c r="B351" t="str">
        <f>Players!G352</f>
        <v>Scotland</v>
      </c>
      <c r="C351" t="str">
        <f>Players!AB352</f>
        <v>Midfield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1.0237318402178264</v>
      </c>
      <c r="I351" s="16">
        <f>INDEX('Team forecast'!$B$2:$AO$26,MATCH('Master data'!$B351,'Team forecast'!$B$2:$B$26,0),MATCH('Master data'!I$1,'Team forecast'!$B$2:$AO$2,0))</f>
        <v>1.0683489057066333</v>
      </c>
      <c r="J351" s="16">
        <f>INDEX('Team forecast'!$B$2:$AO$26,MATCH('Master data'!$B351,'Team forecast'!$B$2:$B$26,0),MATCH('Master data'!J$1,'Team forecast'!$B$2:$AO$2,0))</f>
        <v>0.34357532462169699</v>
      </c>
      <c r="K351" s="16">
        <f>INDEX('Team forecast'!$B$2:$AO$26,MATCH('Master data'!$B351,'Team forecast'!$B$2:$B$26,0),MATCH('Master data'!K$1,'Team forecast'!$B$2:$AO$2,0))</f>
        <v>3.360735839098925</v>
      </c>
      <c r="L351" s="16">
        <f>INDEX('Team forecast'!$B$2:$AO$26,MATCH('Master data'!$B351,'Team forecast'!$B$2:$B$26,0),MATCH('Master data'!L$1,'Team forecast'!$B$2:$AO$2,0))</f>
        <v>2.9193919294978055</v>
      </c>
      <c r="M351">
        <f>IF(Players!BC352=1,95,0)</f>
        <v>95</v>
      </c>
      <c r="N351" s="2">
        <f>Players!BN352</f>
        <v>0.14125414673369741</v>
      </c>
      <c r="O351" s="2">
        <f>Players!BO352</f>
        <v>0.11865439011100079</v>
      </c>
      <c r="P351" s="2">
        <f>Players!BP352</f>
        <v>0.21277004590101128</v>
      </c>
      <c r="Q351" s="2">
        <f>Players!BQ352</f>
        <v>4.8718874052688557E-2</v>
      </c>
      <c r="R351" s="2">
        <f>Players!BR352</f>
        <v>0</v>
      </c>
      <c r="S351" s="2">
        <f t="shared" si="175"/>
        <v>1.0237318402178264</v>
      </c>
      <c r="T351" s="2">
        <f t="shared" si="176"/>
        <v>1.0683489057066333</v>
      </c>
      <c r="U351" s="16">
        <f>INDEX('Team forecast'!$B$2:$AO$26,MATCH('Master data'!$B351,'Team forecast'!$B$2:$B$26,0),MATCH('Master data'!U$1,'Team forecast'!$B$2:$AO$2,0))</f>
        <v>0.32580418714126441</v>
      </c>
      <c r="V351" s="16">
        <f>INDEX('Team forecast'!$B$2:$AO$26,MATCH('Master data'!$B351,'Team forecast'!$B$2:$B$26,0),MATCH('Master data'!V$1,'Team forecast'!$B$2:$AO$2,0))</f>
        <v>0.31494404756988892</v>
      </c>
      <c r="W351" s="16">
        <f>INDEX('Team forecast'!$B$2:$AO$26,MATCH('Master data'!$B351,'Team forecast'!$B$2:$B$26,0),MATCH('Master data'!W$1,'Team forecast'!$B$2:$AO$2,0))</f>
        <v>0.35925176528884672</v>
      </c>
      <c r="X351" s="5">
        <f t="shared" si="177"/>
        <v>7000</v>
      </c>
      <c r="Y351" s="5">
        <f t="shared" si="178"/>
        <v>8145.1046785316103</v>
      </c>
      <c r="Z351" s="5">
        <f t="shared" si="179"/>
        <v>1574.7202378494446</v>
      </c>
      <c r="AA351" s="5">
        <f t="shared" si="180"/>
        <v>-5388.7764793327005</v>
      </c>
      <c r="AB351" s="5">
        <f t="shared" si="181"/>
        <v>18075.795946760867</v>
      </c>
      <c r="AC351" s="5">
        <f t="shared" si="182"/>
        <v>6073.5138569129349</v>
      </c>
      <c r="AD351" s="5">
        <f t="shared" si="183"/>
        <v>7150.6391874625197</v>
      </c>
      <c r="AE351" s="5">
        <f t="shared" si="184"/>
        <v>0</v>
      </c>
      <c r="AF351" s="5">
        <f t="shared" si="185"/>
        <v>0</v>
      </c>
      <c r="AG351" s="5">
        <f t="shared" si="186"/>
        <v>-974.37748105377113</v>
      </c>
      <c r="AH351" s="5">
        <f t="shared" si="187"/>
        <v>0</v>
      </c>
      <c r="AI351" s="5">
        <f t="shared" si="188"/>
        <v>10237.318402178264</v>
      </c>
      <c r="AJ351" s="5">
        <f t="shared" si="189"/>
        <v>-8546.7912456530667</v>
      </c>
      <c r="AK351" s="5">
        <f>IFERROR(SUM(X351:AJ351),-5000)*((Cockpit!$C$3)^0)</f>
        <v>43347.147103656098</v>
      </c>
      <c r="AL351" s="16">
        <f>INDEX('Team forecast'!$B$2:$AO$26,MATCH('Master data'!$B351,'Team forecast'!$B$2:$B$26,0),MATCH('Master data'!AL$1,'Team forecast'!$B$2:$AO$2,0))</f>
        <v>0.66520361079548807</v>
      </c>
      <c r="AM351" s="16">
        <f>INDEX('Team forecast'!$B$2:$AO$26,MATCH('Master data'!$B351,'Team forecast'!$B$2:$B$26,0),MATCH('Master data'!AM$1,'Team forecast'!$B$2:$AO$2,0))</f>
        <v>2.0067977929974719</v>
      </c>
      <c r="AN351" s="16">
        <f>INDEX('Team forecast'!$B$2:$AO$26,MATCH('Master data'!$B351,'Team forecast'!$B$2:$B$26,0),MATCH('Master data'!AN$1,'Team forecast'!$B$2:$AO$2,0))</f>
        <v>0.1344184218435715</v>
      </c>
      <c r="AO351" s="16">
        <f>INDEX('Team forecast'!$B$2:$AO$26,MATCH('Master data'!$B351,'Team forecast'!$B$2:$B$26,0),MATCH('Master data'!AO$1,'Team forecast'!$B$2:$AO$2,0))</f>
        <v>2.1837492273589256</v>
      </c>
      <c r="AP351" s="16">
        <f>INDEX('Team forecast'!$B$2:$AO$26,MATCH('Master data'!$B351,'Team forecast'!$B$2:$B$26,0),MATCH('Master data'!AP$1,'Team forecast'!$B$2:$AO$2,0))</f>
        <v>5.4838164289930909</v>
      </c>
      <c r="AQ351" s="5">
        <f t="shared" si="190"/>
        <v>7000</v>
      </c>
      <c r="AR351" s="5">
        <f>INDEX('Team forecast'!$B$2:$AO$26,MATCH('Master data'!$B351,'Team forecast'!$B$2:$B$26,0),MATCH('Master data'!AR$1,'Team forecast'!$B$2:$AO$2,0))*IF(X351&gt;0,25000,0)</f>
        <v>2476.1288234342123</v>
      </c>
      <c r="AS351" s="16">
        <f>INDEX('Team forecast'!$B$2:$AO$26,MATCH('Master data'!$B351,'Team forecast'!$B$2:$B$26,0),MATCH('Master data'!AS$1,'Team forecast'!$B$2:$AO$2,0))*IF(X351&gt;0,5000,0)</f>
        <v>1045.4766143388899</v>
      </c>
      <c r="AT351" s="16">
        <f>INDEX('Team forecast'!$B$2:$AO$26,MATCH('Master data'!$B351,'Team forecast'!$B$2:$B$26,0),MATCH('Master data'!AT$1,'Team forecast'!$B$2:$AO$2,0))*IF(X351&gt;0,-15000,0)</f>
        <v>-10377.892862922801</v>
      </c>
      <c r="AU351" s="5">
        <f t="shared" si="191"/>
        <v>11745.346055886403</v>
      </c>
      <c r="AV351" s="5">
        <f t="shared" si="192"/>
        <v>3946.4664369287088</v>
      </c>
      <c r="AW351" s="5">
        <f t="shared" si="193"/>
        <v>4646.3642334145652</v>
      </c>
      <c r="AX351" s="5">
        <f t="shared" si="194"/>
        <v>0</v>
      </c>
      <c r="AY351" s="5">
        <f t="shared" si="195"/>
        <v>0</v>
      </c>
      <c r="AZ351" s="5">
        <f t="shared" si="196"/>
        <v>-974.37748105377113</v>
      </c>
      <c r="BA351" s="5">
        <f t="shared" si="197"/>
        <v>0</v>
      </c>
      <c r="BB351" s="5">
        <f t="shared" si="198"/>
        <v>6652.0361079548802</v>
      </c>
      <c r="BC351" s="5">
        <f t="shared" si="199"/>
        <v>-16054.382343979774</v>
      </c>
      <c r="BD351" s="5">
        <f t="shared" si="200"/>
        <v>10105.165584001308</v>
      </c>
      <c r="BE351" s="16">
        <f>INDEX('Team forecast'!$B$2:$AO$26,MATCH('Master data'!$B351,'Team forecast'!$B$2:$B$26,0),MATCH('Master data'!BE$1,'Team forecast'!$B$2:$AO$2,0))</f>
        <v>0.82681690399773144</v>
      </c>
      <c r="BF351" s="16">
        <f>INDEX('Team forecast'!$B$2:$AO$26,MATCH('Master data'!$B351,'Team forecast'!$B$2:$B$26,0),MATCH('Master data'!BF$1,'Team forecast'!$B$2:$AO$2,0))</f>
        <v>1.5039270856478595</v>
      </c>
      <c r="BG351" s="16">
        <f>INDEX('Team forecast'!$B$2:$AO$26,MATCH('Master data'!$B351,'Team forecast'!$B$2:$B$26,0),MATCH('Master data'!BG$1,'Team forecast'!$B$2:$AO$2,0))</f>
        <v>0.22225562720571071</v>
      </c>
      <c r="BH351" s="16">
        <f>INDEX('Team forecast'!$B$2:$AO$26,MATCH('Master data'!$B351,'Team forecast'!$B$2:$B$26,0),MATCH('Master data'!BH$1,'Team forecast'!$B$2:$AO$2,0))</f>
        <v>2.71429791716427</v>
      </c>
      <c r="BI351" s="16">
        <f>INDEX('Team forecast'!$B$2:$AO$26,MATCH('Master data'!$B351,'Team forecast'!$B$2:$B$26,0),MATCH('Master data'!BI$1,'Team forecast'!$B$2:$AO$2,0))</f>
        <v>4.1096617153265038</v>
      </c>
      <c r="BJ351" s="5">
        <f t="shared" si="201"/>
        <v>7000</v>
      </c>
      <c r="BK351" s="5">
        <f>INDEX('Team forecast'!$R$3:$BH$26,MATCH($B351,'Team forecast'!$B$3:$B$26,0),MATCH(BK$1,'Team forecast'!$R$2:$BH$2,0))*IF($X351&gt;0,25000,0)</f>
        <v>5287.7300318721273</v>
      </c>
      <c r="BL351" s="5">
        <f>INDEX('Team forecast'!$R$3:$BH$26,MATCH($B351,'Team forecast'!$B$3:$B$26,0),MATCH(BL$1,'Team forecast'!$R$2:$BH$2,0))*IF($X351&gt;0,5000,0)</f>
        <v>1355.4462898601791</v>
      </c>
      <c r="BM351" s="5">
        <f>INDEX('Team forecast'!$R$3:$BH$26,MATCH($B351,'Team forecast'!$B$3:$B$26,0),MATCH(BM$1,'Team forecast'!$R$2:$BH$2,0))*IF($X351&gt;0,-15000,0)</f>
        <v>-7761.0231112961865</v>
      </c>
      <c r="BN351" s="5">
        <f t="shared" si="202"/>
        <v>14598.914534899621</v>
      </c>
      <c r="BO351" s="5">
        <f t="shared" si="203"/>
        <v>4905.2727738658359</v>
      </c>
      <c r="BP351" s="5">
        <f t="shared" si="204"/>
        <v>5775.2129242406099</v>
      </c>
      <c r="BQ351" s="5">
        <f t="shared" si="205"/>
        <v>0</v>
      </c>
      <c r="BR351" s="5">
        <f t="shared" si="206"/>
        <v>0</v>
      </c>
      <c r="BS351" s="5">
        <f t="shared" si="207"/>
        <v>-974.37748105377113</v>
      </c>
      <c r="BT351" s="5">
        <f t="shared" si="208"/>
        <v>0</v>
      </c>
      <c r="BU351" s="5">
        <f t="shared" si="209"/>
        <v>8268.1690399773142</v>
      </c>
      <c r="BV351" s="5">
        <f t="shared" si="210"/>
        <v>-12031.416685182876</v>
      </c>
      <c r="BW351" s="5">
        <f t="shared" si="211"/>
        <v>26423.92831718285</v>
      </c>
      <c r="BX351" s="5">
        <f t="shared" si="212"/>
        <v>26625.413668280089</v>
      </c>
      <c r="BY351" s="5">
        <f t="shared" si="213"/>
        <v>79876.241004840267</v>
      </c>
      <c r="BZ351" s="5">
        <f>INDEX('Team forecast'!$R$3:$BH$26,MATCH($B351,'Team forecast'!$B$3:$B$26,0),MATCH(BZ$1,'Team forecast'!$R$2:$BH$2,0))*($BX351-(BY351+CH351)*0.01)</f>
        <v>341.1174636154513</v>
      </c>
      <c r="CA351" s="5">
        <f>INDEX('Team forecast'!$R$3:$BH$26,MATCH($B351,'Team forecast'!$B$3:$B$26,0),MATCH(CA$1,'Team forecast'!$R$2:$BH$2,0))*($BX351-(BY351+BX351+CH351)*0.01)</f>
        <v>113.59099812688456</v>
      </c>
      <c r="CB351" s="5">
        <f>INDEX('Team forecast'!$R$3:$BH$26,MATCH($B351,'Team forecast'!$B$3:$B$26,0),MATCH(CB$1,'Team forecast'!$R$2:$BH$2,0))*($BX351-(BY351+BX351*2+CH351)*0.01)</f>
        <v>28.806741211356446</v>
      </c>
      <c r="CC351" s="5">
        <f>INDEX('Team forecast'!$R$3:$BH$26,MATCH($B351,'Team forecast'!$B$3:$B$26,0),MATCH(CC$1,'Team forecast'!$R$2:$BH$2,0))*($BX351-(BY351+BX351*3+CH351)*0.01)</f>
        <v>1.2428594494627356</v>
      </c>
      <c r="CD351" s="5">
        <f>+AK351+BD351*Cockpit!$C$3+BW351*Cockpit!$C$3^2+BZ351*Cockpit!$C$3^3+CA351*Cockpit!$C$3^4+CB351*Cockpit!$C$3^5+CC351*Cockpit!$C$3^6</f>
        <v>61955.304462536951</v>
      </c>
      <c r="CE351" s="5"/>
      <c r="CF351" s="5"/>
      <c r="CG351" s="5">
        <v>0</v>
      </c>
      <c r="CH351" s="5">
        <f t="shared" si="214"/>
        <v>2500000</v>
      </c>
      <c r="CI351" s="5">
        <f t="shared" si="215"/>
        <v>2500000</v>
      </c>
      <c r="CJ351" s="1">
        <f t="shared" si="216"/>
        <v>3.1950496401936104E-2</v>
      </c>
      <c r="CK351" s="5">
        <f>RANK(BY351,$BY$2:$BY$623)+COUNTIF($BY$2:$BY351,$BY351)-1</f>
        <v>215</v>
      </c>
      <c r="CL351" s="5">
        <f>RANK(CJ351,$CJ$2:$CJ$623)+COUNTIF($CJ$2:$CJ351,$CJ351)-1</f>
        <v>128</v>
      </c>
    </row>
    <row r="352" spans="1:90">
      <c r="A352" t="str">
        <f>Players!P353</f>
        <v>Kevin  Nisbet</v>
      </c>
      <c r="B352" t="str">
        <f>Players!G353</f>
        <v>Scotland</v>
      </c>
      <c r="C352" t="str">
        <f>Players!AB353</f>
        <v>Striker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2500000</v>
      </c>
      <c r="H352" s="16">
        <f>INDEX('Team forecast'!$B$2:$AO$26,MATCH('Master data'!$B352,'Team forecast'!$B$2:$B$26,0),MATCH('Master data'!H$1,'Team forecast'!$B$2:$AO$2,0))</f>
        <v>1.0237318402178264</v>
      </c>
      <c r="I352" s="16">
        <f>INDEX('Team forecast'!$B$2:$AO$26,MATCH('Master data'!$B352,'Team forecast'!$B$2:$B$26,0),MATCH('Master data'!I$1,'Team forecast'!$B$2:$AO$2,0))</f>
        <v>1.0683489057066333</v>
      </c>
      <c r="J352" s="16">
        <f>INDEX('Team forecast'!$B$2:$AO$26,MATCH('Master data'!$B352,'Team forecast'!$B$2:$B$26,0),MATCH('Master data'!J$1,'Team forecast'!$B$2:$AO$2,0))</f>
        <v>0.34357532462169699</v>
      </c>
      <c r="K352" s="16">
        <f>INDEX('Team forecast'!$B$2:$AO$26,MATCH('Master data'!$B352,'Team forecast'!$B$2:$B$26,0),MATCH('Master data'!K$1,'Team forecast'!$B$2:$AO$2,0))</f>
        <v>3.360735839098925</v>
      </c>
      <c r="L352" s="16">
        <f>INDEX('Team forecast'!$B$2:$AO$26,MATCH('Master data'!$B352,'Team forecast'!$B$2:$B$26,0),MATCH('Master data'!L$1,'Team forecast'!$B$2:$AO$2,0))</f>
        <v>2.9193919294978055</v>
      </c>
      <c r="M352">
        <f>IF(Players!BC353=1,95,0)</f>
        <v>0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175"/>
        <v>1.0237318402178264</v>
      </c>
      <c r="T352" s="2">
        <f t="shared" si="176"/>
        <v>1.0683489057066333</v>
      </c>
      <c r="U352" s="16">
        <f>INDEX('Team forecast'!$B$2:$AO$26,MATCH('Master data'!$B352,'Team forecast'!$B$2:$B$26,0),MATCH('Master data'!U$1,'Team forecast'!$B$2:$AO$2,0))</f>
        <v>0.32580418714126441</v>
      </c>
      <c r="V352" s="16">
        <f>INDEX('Team forecast'!$B$2:$AO$26,MATCH('Master data'!$B352,'Team forecast'!$B$2:$B$26,0),MATCH('Master data'!V$1,'Team forecast'!$B$2:$AO$2,0))</f>
        <v>0.31494404756988892</v>
      </c>
      <c r="W352" s="16">
        <f>INDEX('Team forecast'!$B$2:$AO$26,MATCH('Master data'!$B352,'Team forecast'!$B$2:$B$26,0),MATCH('Master data'!W$1,'Team forecast'!$B$2:$AO$2,0))</f>
        <v>0.35925176528884672</v>
      </c>
      <c r="X352" s="5">
        <f t="shared" si="177"/>
        <v>-5000</v>
      </c>
      <c r="Y352" s="5">
        <f t="shared" si="178"/>
        <v>0</v>
      </c>
      <c r="Z352" s="5">
        <f t="shared" si="179"/>
        <v>0</v>
      </c>
      <c r="AA352" s="5">
        <f t="shared" si="180"/>
        <v>0</v>
      </c>
      <c r="AB352" s="5">
        <f t="shared" si="181"/>
        <v>0</v>
      </c>
      <c r="AC352" s="5">
        <f t="shared" si="182"/>
        <v>0</v>
      </c>
      <c r="AD352" s="5">
        <f t="shared" si="183"/>
        <v>0</v>
      </c>
      <c r="AE352" s="5">
        <f t="shared" si="184"/>
        <v>0</v>
      </c>
      <c r="AF352" s="5">
        <f t="shared" si="185"/>
        <v>0</v>
      </c>
      <c r="AG352" s="5">
        <f t="shared" si="186"/>
        <v>0</v>
      </c>
      <c r="AH352" s="5">
        <f t="shared" si="187"/>
        <v>0</v>
      </c>
      <c r="AI352" s="5">
        <f t="shared" si="188"/>
        <v>0</v>
      </c>
      <c r="AJ352" s="5">
        <f t="shared" si="189"/>
        <v>0</v>
      </c>
      <c r="AK352" s="5">
        <f>IFERROR(SUM(X352:AJ352),-5000)*((Cockpit!$C$3)^0)</f>
        <v>-5000</v>
      </c>
      <c r="AL352" s="16">
        <f>INDEX('Team forecast'!$B$2:$AO$26,MATCH('Master data'!$B352,'Team forecast'!$B$2:$B$26,0),MATCH('Master data'!AL$1,'Team forecast'!$B$2:$AO$2,0))</f>
        <v>0.66520361079548807</v>
      </c>
      <c r="AM352" s="16">
        <f>INDEX('Team forecast'!$B$2:$AO$26,MATCH('Master data'!$B352,'Team forecast'!$B$2:$B$26,0),MATCH('Master data'!AM$1,'Team forecast'!$B$2:$AO$2,0))</f>
        <v>2.0067977929974719</v>
      </c>
      <c r="AN352" s="16">
        <f>INDEX('Team forecast'!$B$2:$AO$26,MATCH('Master data'!$B352,'Team forecast'!$B$2:$B$26,0),MATCH('Master data'!AN$1,'Team forecast'!$B$2:$AO$2,0))</f>
        <v>0.1344184218435715</v>
      </c>
      <c r="AO352" s="16">
        <f>INDEX('Team forecast'!$B$2:$AO$26,MATCH('Master data'!$B352,'Team forecast'!$B$2:$B$26,0),MATCH('Master data'!AO$1,'Team forecast'!$B$2:$AO$2,0))</f>
        <v>2.1837492273589256</v>
      </c>
      <c r="AP352" s="16">
        <f>INDEX('Team forecast'!$B$2:$AO$26,MATCH('Master data'!$B352,'Team forecast'!$B$2:$B$26,0),MATCH('Master data'!AP$1,'Team forecast'!$B$2:$AO$2,0))</f>
        <v>5.4838164289930909</v>
      </c>
      <c r="AQ352" s="5">
        <f t="shared" si="190"/>
        <v>-5000</v>
      </c>
      <c r="AR352" s="5">
        <f>INDEX('Team forecast'!$B$2:$AO$26,MATCH('Master data'!$B352,'Team forecast'!$B$2:$B$26,0),MATCH('Master data'!AR$1,'Team forecast'!$B$2:$AO$2,0))*IF(X352&gt;0,25000,0)</f>
        <v>0</v>
      </c>
      <c r="AS352" s="16">
        <f>INDEX('Team forecast'!$B$2:$AO$26,MATCH('Master data'!$B352,'Team forecast'!$B$2:$B$26,0),MATCH('Master data'!AS$1,'Team forecast'!$B$2:$AO$2,0))*IF(X352&gt;0,5000,0)</f>
        <v>0</v>
      </c>
      <c r="AT352" s="16">
        <f>INDEX('Team forecast'!$B$2:$AO$26,MATCH('Master data'!$B352,'Team forecast'!$B$2:$B$26,0),MATCH('Master data'!AT$1,'Team forecast'!$B$2:$AO$2,0))*IF(X352&gt;0,-15000,0)</f>
        <v>0</v>
      </c>
      <c r="AU352" s="5">
        <f t="shared" si="191"/>
        <v>0</v>
      </c>
      <c r="AV352" s="5">
        <f t="shared" si="192"/>
        <v>0</v>
      </c>
      <c r="AW352" s="5">
        <f t="shared" si="193"/>
        <v>0</v>
      </c>
      <c r="AX352" s="5">
        <f t="shared" si="194"/>
        <v>0</v>
      </c>
      <c r="AY352" s="5">
        <f t="shared" si="195"/>
        <v>0</v>
      </c>
      <c r="AZ352" s="5">
        <f t="shared" si="196"/>
        <v>0</v>
      </c>
      <c r="BA352" s="5">
        <f t="shared" si="197"/>
        <v>0</v>
      </c>
      <c r="BB352" s="5">
        <f t="shared" si="198"/>
        <v>0</v>
      </c>
      <c r="BC352" s="5">
        <f t="shared" si="199"/>
        <v>0</v>
      </c>
      <c r="BD352" s="5">
        <f t="shared" si="200"/>
        <v>-5000</v>
      </c>
      <c r="BE352" s="16">
        <f>INDEX('Team forecast'!$B$2:$AO$26,MATCH('Master data'!$B352,'Team forecast'!$B$2:$B$26,0),MATCH('Master data'!BE$1,'Team forecast'!$B$2:$AO$2,0))</f>
        <v>0.82681690399773144</v>
      </c>
      <c r="BF352" s="16">
        <f>INDEX('Team forecast'!$B$2:$AO$26,MATCH('Master data'!$B352,'Team forecast'!$B$2:$B$26,0),MATCH('Master data'!BF$1,'Team forecast'!$B$2:$AO$2,0))</f>
        <v>1.5039270856478595</v>
      </c>
      <c r="BG352" s="16">
        <f>INDEX('Team forecast'!$B$2:$AO$26,MATCH('Master data'!$B352,'Team forecast'!$B$2:$B$26,0),MATCH('Master data'!BG$1,'Team forecast'!$B$2:$AO$2,0))</f>
        <v>0.22225562720571071</v>
      </c>
      <c r="BH352" s="16">
        <f>INDEX('Team forecast'!$B$2:$AO$26,MATCH('Master data'!$B352,'Team forecast'!$B$2:$B$26,0),MATCH('Master data'!BH$1,'Team forecast'!$B$2:$AO$2,0))</f>
        <v>2.71429791716427</v>
      </c>
      <c r="BI352" s="16">
        <f>INDEX('Team forecast'!$B$2:$AO$26,MATCH('Master data'!$B352,'Team forecast'!$B$2:$B$26,0),MATCH('Master data'!BI$1,'Team forecast'!$B$2:$AO$2,0))</f>
        <v>4.1096617153265038</v>
      </c>
      <c r="BJ352" s="5">
        <f t="shared" si="201"/>
        <v>-5000</v>
      </c>
      <c r="BK352" s="5">
        <f>INDEX('Team forecast'!$R$3:$BH$26,MATCH($B352,'Team forecast'!$B$3:$B$26,0),MATCH(BK$1,'Team forecast'!$R$2:$BH$2,0))*IF($X352&gt;0,25000,0)</f>
        <v>0</v>
      </c>
      <c r="BL352" s="5">
        <f>INDEX('Team forecast'!$R$3:$BH$26,MATCH($B352,'Team forecast'!$B$3:$B$26,0),MATCH(BL$1,'Team forecast'!$R$2:$BH$2,0))*IF($X352&gt;0,5000,0)</f>
        <v>0</v>
      </c>
      <c r="BM352" s="5">
        <f>INDEX('Team forecast'!$R$3:$BH$26,MATCH($B352,'Team forecast'!$B$3:$B$26,0),MATCH(BM$1,'Team forecast'!$R$2:$BH$2,0))*IF($X352&gt;0,-15000,0)</f>
        <v>0</v>
      </c>
      <c r="BN352" s="5">
        <f t="shared" si="202"/>
        <v>0</v>
      </c>
      <c r="BO352" s="5">
        <f t="shared" si="203"/>
        <v>0</v>
      </c>
      <c r="BP352" s="5">
        <f t="shared" si="204"/>
        <v>0</v>
      </c>
      <c r="BQ352" s="5">
        <f t="shared" si="205"/>
        <v>0</v>
      </c>
      <c r="BR352" s="5">
        <f t="shared" si="206"/>
        <v>0</v>
      </c>
      <c r="BS352" s="5">
        <f t="shared" si="207"/>
        <v>0</v>
      </c>
      <c r="BT352" s="5">
        <f t="shared" si="208"/>
        <v>0</v>
      </c>
      <c r="BU352" s="5">
        <f t="shared" si="209"/>
        <v>0</v>
      </c>
      <c r="BV352" s="5">
        <f t="shared" si="210"/>
        <v>0</v>
      </c>
      <c r="BW352" s="5">
        <f t="shared" si="211"/>
        <v>-5000</v>
      </c>
      <c r="BX352" s="5">
        <f t="shared" si="212"/>
        <v>-5000</v>
      </c>
      <c r="BY352" s="5">
        <f t="shared" si="213"/>
        <v>-15000</v>
      </c>
      <c r="BZ352" s="5">
        <f>INDEX('Team forecast'!$R$3:$BH$26,MATCH($B352,'Team forecast'!$B$3:$B$26,0),MATCH(BZ$1,'Team forecast'!$R$2:$BH$2,0))*($BX352-(BY352+CH352)*0.01)</f>
        <v>-12317.596069112189</v>
      </c>
      <c r="CA352" s="5">
        <f>INDEX('Team forecast'!$R$3:$BH$26,MATCH($B352,'Team forecast'!$B$3:$B$26,0),MATCH(CA$1,'Team forecast'!$R$2:$BH$2,0))*($BX352-(BY352+BX352+CH352)*0.01)</f>
        <v>-6040.3803196299486</v>
      </c>
      <c r="CB352" s="5">
        <f>INDEX('Team forecast'!$R$3:$BH$26,MATCH($B352,'Team forecast'!$B$3:$B$26,0),MATCH(CB$1,'Team forecast'!$R$2:$BH$2,0))*($BX352-(BY352+BX352*2+CH352)*0.01)</f>
        <v>-2913.5508753609188</v>
      </c>
      <c r="CC352" s="5">
        <f>INDEX('Team forecast'!$R$3:$BH$26,MATCH($B352,'Team forecast'!$B$3:$B$26,0),MATCH(CC$1,'Team forecast'!$R$2:$BH$2,0))*($BX352-(BY352+BX352*3+CH352)*0.01)</f>
        <v>-1323.5729710475634</v>
      </c>
      <c r="CD352" s="5">
        <f>+AK352+BD352*Cockpit!$C$3+BW352*Cockpit!$C$3^2+BZ352*Cockpit!$C$3^3+CA352*Cockpit!$C$3^4+CB352*Cockpit!$C$3^5+CC352*Cockpit!$C$3^6</f>
        <v>-15898.251126387706</v>
      </c>
      <c r="CE352" s="5"/>
      <c r="CF352" s="5"/>
      <c r="CG352" s="5">
        <v>0</v>
      </c>
      <c r="CH352" s="5">
        <f t="shared" si="214"/>
        <v>2500000</v>
      </c>
      <c r="CI352" s="5">
        <f t="shared" si="215"/>
        <v>2500000</v>
      </c>
      <c r="CJ352" s="1">
        <f t="shared" si="216"/>
        <v>-6.0000000000000001E-3</v>
      </c>
      <c r="CK352" s="5">
        <f>RANK(BY352,$BY$2:$BY$623)+COUNTIF($BY$2:$BY352,$BY352)-1</f>
        <v>524</v>
      </c>
      <c r="CL352" s="5">
        <f>RANK(CJ352,$CJ$2:$CJ$623)+COUNTIF($CJ$2:$CJ352,$CJ352)-1</f>
        <v>543</v>
      </c>
    </row>
    <row r="353" spans="1:90">
      <c r="A353" t="str">
        <f>Players!P354</f>
        <v>Tomas Vaclík</v>
      </c>
      <c r="B353" t="str">
        <f>Players!G354</f>
        <v>Czech Republic</v>
      </c>
      <c r="C353" t="str">
        <f>Players!AB354</f>
        <v>Goalkeeper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4000000</v>
      </c>
      <c r="H353" s="16">
        <f>INDEX('Team forecast'!$B$2:$AO$26,MATCH('Master data'!$B353,'Team forecast'!$B$2:$B$26,0),MATCH('Master data'!H$1,'Team forecast'!$B$2:$AO$2,0))</f>
        <v>1.0683489057066333</v>
      </c>
      <c r="I353" s="16">
        <f>INDEX('Team forecast'!$B$2:$AO$26,MATCH('Master data'!$B353,'Team forecast'!$B$2:$B$26,0),MATCH('Master data'!I$1,'Team forecast'!$B$2:$AO$2,0))</f>
        <v>1.0237318402178264</v>
      </c>
      <c r="J353" s="16">
        <f>INDEX('Team forecast'!$B$2:$AO$26,MATCH('Master data'!$B353,'Team forecast'!$B$2:$B$26,0),MATCH('Master data'!J$1,'Team forecast'!$B$2:$AO$2,0))</f>
        <v>0.35925176528884672</v>
      </c>
      <c r="K353" s="16">
        <f>INDEX('Team forecast'!$B$2:$AO$26,MATCH('Master data'!$B353,'Team forecast'!$B$2:$B$26,0),MATCH('Master data'!K$1,'Team forecast'!$B$2:$AO$2,0))</f>
        <v>3.1557383060872861</v>
      </c>
      <c r="L353" s="16">
        <f>INDEX('Team forecast'!$B$2:$AO$26,MATCH('Master data'!$B353,'Team forecast'!$B$2:$B$26,0),MATCH('Master data'!L$1,'Team forecast'!$B$2:$AO$2,0))</f>
        <v>2.685366937656811</v>
      </c>
      <c r="M353">
        <f>IF(Players!BC354=1,95,0)</f>
        <v>0</v>
      </c>
      <c r="N353" s="2">
        <f>Players!BN354</f>
        <v>0</v>
      </c>
      <c r="O353" s="2">
        <f>Players!BO354</f>
        <v>0</v>
      </c>
      <c r="P353" s="2">
        <f>Players!BP354</f>
        <v>0</v>
      </c>
      <c r="Q353" s="2">
        <f>Players!BQ354</f>
        <v>0</v>
      </c>
      <c r="R353" s="2">
        <f>Players!BR354</f>
        <v>0</v>
      </c>
      <c r="S353" s="2">
        <f t="shared" si="175"/>
        <v>1.0683489057066333</v>
      </c>
      <c r="T353" s="2">
        <f t="shared" si="176"/>
        <v>1.0237318402178264</v>
      </c>
      <c r="U353" s="16">
        <f>INDEX('Team forecast'!$B$2:$AO$26,MATCH('Master data'!$B353,'Team forecast'!$B$2:$B$26,0),MATCH('Master data'!U$1,'Team forecast'!$B$2:$AO$2,0))</f>
        <v>0.35925176528884672</v>
      </c>
      <c r="V353" s="16">
        <f>INDEX('Team forecast'!$B$2:$AO$26,MATCH('Master data'!$B353,'Team forecast'!$B$2:$B$26,0),MATCH('Master data'!V$1,'Team forecast'!$B$2:$AO$2,0))</f>
        <v>0.31494404756988892</v>
      </c>
      <c r="W353" s="16">
        <f>INDEX('Team forecast'!$B$2:$AO$26,MATCH('Master data'!$B353,'Team forecast'!$B$2:$B$26,0),MATCH('Master data'!W$1,'Team forecast'!$B$2:$AO$2,0))</f>
        <v>0.32580418714126441</v>
      </c>
      <c r="X353" s="5">
        <f t="shared" si="177"/>
        <v>-5000</v>
      </c>
      <c r="Y353" s="5">
        <f t="shared" si="178"/>
        <v>0</v>
      </c>
      <c r="Z353" s="5">
        <f t="shared" si="179"/>
        <v>0</v>
      </c>
      <c r="AA353" s="5">
        <f t="shared" si="180"/>
        <v>0</v>
      </c>
      <c r="AB353" s="5">
        <f t="shared" si="181"/>
        <v>0</v>
      </c>
      <c r="AC353" s="5">
        <f t="shared" si="182"/>
        <v>0</v>
      </c>
      <c r="AD353" s="5">
        <f t="shared" si="183"/>
        <v>0</v>
      </c>
      <c r="AE353" s="5">
        <f t="shared" si="184"/>
        <v>26943.882396663503</v>
      </c>
      <c r="AF353" s="5">
        <f t="shared" si="185"/>
        <v>8308.1754871949233</v>
      </c>
      <c r="AG353" s="5">
        <f t="shared" si="186"/>
        <v>0</v>
      </c>
      <c r="AH353" s="5">
        <f t="shared" si="187"/>
        <v>0</v>
      </c>
      <c r="AI353" s="5">
        <f t="shared" si="188"/>
        <v>0</v>
      </c>
      <c r="AJ353" s="5">
        <f t="shared" si="189"/>
        <v>0</v>
      </c>
      <c r="AK353" s="5">
        <f>IFERROR(SUM(X353:AJ353),-5000)*((Cockpit!$C$3)^0)</f>
        <v>30252.057883858426</v>
      </c>
      <c r="AL353" s="16">
        <f>INDEX('Team forecast'!$B$2:$AO$26,MATCH('Master data'!$B353,'Team forecast'!$B$2:$B$26,0),MATCH('Master data'!AL$1,'Team forecast'!$B$2:$AO$2,0))</f>
        <v>0.97920455728472433</v>
      </c>
      <c r="AM353" s="16">
        <f>INDEX('Team forecast'!$B$2:$AO$26,MATCH('Master data'!$B353,'Team forecast'!$B$2:$B$26,0),MATCH('Master data'!AM$1,'Team forecast'!$B$2:$AO$2,0))</f>
        <v>1.3846696653928885</v>
      </c>
      <c r="AN353" s="16">
        <f>INDEX('Team forecast'!$B$2:$AO$26,MATCH('Master data'!$B353,'Team forecast'!$B$2:$B$26,0),MATCH('Master data'!AN$1,'Team forecast'!$B$2:$AO$2,0))</f>
        <v>0.25040650406504072</v>
      </c>
      <c r="AO353" s="16">
        <f>INDEX('Team forecast'!$B$2:$AO$26,MATCH('Master data'!$B353,'Team forecast'!$B$2:$B$26,0),MATCH('Master data'!AO$1,'Team forecast'!$B$2:$AO$2,0))</f>
        <v>2.8924196153641089</v>
      </c>
      <c r="AP353" s="16">
        <f>INDEX('Team forecast'!$B$2:$AO$26,MATCH('Master data'!$B353,'Team forecast'!$B$2:$B$26,0),MATCH('Master data'!AP$1,'Team forecast'!$B$2:$AO$2,0))</f>
        <v>3.6321485695230544</v>
      </c>
      <c r="AQ353" s="5">
        <f t="shared" si="190"/>
        <v>-5000</v>
      </c>
      <c r="AR353" s="5">
        <f>INDEX('Team forecast'!$B$2:$AO$26,MATCH('Master data'!$B353,'Team forecast'!$B$2:$B$26,0),MATCH('Master data'!AR$1,'Team forecast'!$B$2:$AO$2,0))*IF(X353&gt;0,25000,0)</f>
        <v>0</v>
      </c>
      <c r="AS353" s="16">
        <f>INDEX('Team forecast'!$B$2:$AO$26,MATCH('Master data'!$B353,'Team forecast'!$B$2:$B$26,0),MATCH('Master data'!AS$1,'Team forecast'!$B$2:$AO$2,0))*IF(X353&gt;0,5000,0)</f>
        <v>0</v>
      </c>
      <c r="AT353" s="16">
        <f>INDEX('Team forecast'!$B$2:$AO$26,MATCH('Master data'!$B353,'Team forecast'!$B$2:$B$26,0),MATCH('Master data'!AT$1,'Team forecast'!$B$2:$AO$2,0))*IF(X353&gt;0,-15000,0)</f>
        <v>0</v>
      </c>
      <c r="AU353" s="5">
        <f t="shared" si="191"/>
        <v>0</v>
      </c>
      <c r="AV353" s="5">
        <f t="shared" si="192"/>
        <v>0</v>
      </c>
      <c r="AW353" s="5">
        <f t="shared" si="193"/>
        <v>0</v>
      </c>
      <c r="AX353" s="5">
        <f t="shared" si="194"/>
        <v>18780.487804878056</v>
      </c>
      <c r="AY353" s="5">
        <f t="shared" si="195"/>
        <v>11237.394520650829</v>
      </c>
      <c r="AZ353" s="5">
        <f t="shared" si="196"/>
        <v>0</v>
      </c>
      <c r="BA353" s="5">
        <f t="shared" si="197"/>
        <v>0</v>
      </c>
      <c r="BB353" s="5">
        <f t="shared" si="198"/>
        <v>0</v>
      </c>
      <c r="BC353" s="5">
        <f t="shared" si="199"/>
        <v>0</v>
      </c>
      <c r="BD353" s="5">
        <f t="shared" si="200"/>
        <v>25017.882325528884</v>
      </c>
      <c r="BE353" s="16">
        <f>INDEX('Team forecast'!$B$2:$AO$26,MATCH('Master data'!$B353,'Team forecast'!$B$2:$B$26,0),MATCH('Master data'!BE$1,'Team forecast'!$B$2:$AO$2,0))</f>
        <v>0.82586154259115363</v>
      </c>
      <c r="BF353" s="16">
        <f>INDEX('Team forecast'!$B$2:$AO$26,MATCH('Master data'!$B353,'Team forecast'!$B$2:$B$26,0),MATCH('Master data'!BF$1,'Team forecast'!$B$2:$AO$2,0))</f>
        <v>2.2346287595631029</v>
      </c>
      <c r="BG353" s="16">
        <f>INDEX('Team forecast'!$B$2:$AO$26,MATCH('Master data'!$B353,'Team forecast'!$B$2:$B$26,0),MATCH('Master data'!BG$1,'Team forecast'!$B$2:$AO$2,0))</f>
        <v>0.107031857031857</v>
      </c>
      <c r="BH353" s="16">
        <f>INDEX('Team forecast'!$B$2:$AO$26,MATCH('Master data'!$B353,'Team forecast'!$B$2:$B$26,0),MATCH('Master data'!BH$1,'Team forecast'!$B$2:$AO$2,0))</f>
        <v>2.4394679411923308</v>
      </c>
      <c r="BI353" s="16">
        <f>INDEX('Team forecast'!$B$2:$AO$26,MATCH('Master data'!$B353,'Team forecast'!$B$2:$B$26,0),MATCH('Master data'!BI$1,'Team forecast'!$B$2:$AO$2,0))</f>
        <v>5.8616895100097475</v>
      </c>
      <c r="BJ353" s="5">
        <f t="shared" si="201"/>
        <v>-5000</v>
      </c>
      <c r="BK353" s="5">
        <f>INDEX('Team forecast'!$R$3:$BH$26,MATCH($B353,'Team forecast'!$B$3:$B$26,0),MATCH(BK$1,'Team forecast'!$R$2:$BH$2,0))*IF($X353&gt;0,25000,0)</f>
        <v>0</v>
      </c>
      <c r="BL353" s="5">
        <f>INDEX('Team forecast'!$R$3:$BH$26,MATCH($B353,'Team forecast'!$B$3:$B$26,0),MATCH(BL$1,'Team forecast'!$R$2:$BH$2,0))*IF($X353&gt;0,5000,0)</f>
        <v>0</v>
      </c>
      <c r="BM353" s="5">
        <f>INDEX('Team forecast'!$R$3:$BH$26,MATCH($B353,'Team forecast'!$B$3:$B$26,0),MATCH(BM$1,'Team forecast'!$R$2:$BH$2,0))*IF($X353&gt;0,-15000,0)</f>
        <v>0</v>
      </c>
      <c r="BN353" s="5">
        <f t="shared" si="202"/>
        <v>0</v>
      </c>
      <c r="BO353" s="5">
        <f t="shared" si="203"/>
        <v>0</v>
      </c>
      <c r="BP353" s="5">
        <f t="shared" si="204"/>
        <v>0</v>
      </c>
      <c r="BQ353" s="5">
        <f t="shared" si="205"/>
        <v>8027.3892773892749</v>
      </c>
      <c r="BR353" s="5">
        <f t="shared" si="206"/>
        <v>18135.303752233223</v>
      </c>
      <c r="BS353" s="5">
        <f t="shared" si="207"/>
        <v>0</v>
      </c>
      <c r="BT353" s="5">
        <f t="shared" si="208"/>
        <v>0</v>
      </c>
      <c r="BU353" s="5">
        <f t="shared" si="209"/>
        <v>0</v>
      </c>
      <c r="BV353" s="5">
        <f t="shared" si="210"/>
        <v>0</v>
      </c>
      <c r="BW353" s="5">
        <f t="shared" si="211"/>
        <v>21162.693029622496</v>
      </c>
      <c r="BX353" s="5">
        <f t="shared" si="212"/>
        <v>25477.544413003267</v>
      </c>
      <c r="BY353" s="5">
        <f t="shared" si="213"/>
        <v>76432.633239009796</v>
      </c>
      <c r="BZ353" s="5">
        <f>INDEX('Team forecast'!$R$3:$BH$26,MATCH($B353,'Team forecast'!$B$3:$B$26,0),MATCH(BZ$1,'Team forecast'!$R$2:$BH$2,0))*($BX353-(BY353+CH353)*0.01)</f>
        <v>-7758.947336747935</v>
      </c>
      <c r="CA353" s="5">
        <f>INDEX('Team forecast'!$R$3:$BH$26,MATCH($B353,'Team forecast'!$B$3:$B$26,0),MATCH(CA$1,'Team forecast'!$R$2:$BH$2,0))*($BX353-(BY353+BX353+CH353)*0.01)</f>
        <v>-3877.7863688877733</v>
      </c>
      <c r="CB353" s="5">
        <f>INDEX('Team forecast'!$R$3:$BH$26,MATCH($B353,'Team forecast'!$B$3:$B$26,0),MATCH(CB$1,'Team forecast'!$R$2:$BH$2,0))*($BX353-(BY353+BX353*2+CH353)*0.01)</f>
        <v>-1907.2126625993433</v>
      </c>
      <c r="CC353" s="5">
        <f>INDEX('Team forecast'!$R$3:$BH$26,MATCH($B353,'Team forecast'!$B$3:$B$26,0),MATCH(CC$1,'Team forecast'!$R$2:$BH$2,0))*($BX353-(BY353+BX353*3+CH353)*0.01)</f>
        <v>-885.83028578549192</v>
      </c>
      <c r="CD353" s="5">
        <f>+AK353+BD353*Cockpit!$C$3+BW353*Cockpit!$C$3^2+BZ353*Cockpit!$C$3^3+CA353*Cockpit!$C$3^4+CB353*Cockpit!$C$3^5+CC353*Cockpit!$C$3^6</f>
        <v>52942.433653470944</v>
      </c>
      <c r="CE353" s="5"/>
      <c r="CF353" s="5"/>
      <c r="CG353" s="5">
        <v>0</v>
      </c>
      <c r="CH353" s="5">
        <f t="shared" si="214"/>
        <v>4000000</v>
      </c>
      <c r="CI353" s="5">
        <f t="shared" si="215"/>
        <v>4000000</v>
      </c>
      <c r="CJ353" s="1">
        <f t="shared" si="216"/>
        <v>1.9108158309752449E-2</v>
      </c>
      <c r="CK353" s="5">
        <f>RANK(BY353,$BY$2:$BY$623)+COUNTIF($BY$2:$BY353,$BY353)-1</f>
        <v>225</v>
      </c>
      <c r="CL353" s="5">
        <f>RANK(CJ353,$CJ$2:$CJ$623)+COUNTIF($CJ$2:$CJ353,$CJ353)-1</f>
        <v>268</v>
      </c>
    </row>
    <row r="354" spans="1:90">
      <c r="A354" t="str">
        <f>Players!P355</f>
        <v>Ondrej Celustka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3000000</v>
      </c>
      <c r="H354" s="16">
        <f>INDEX('Team forecast'!$B$2:$AO$26,MATCH('Master data'!$B354,'Team forecast'!$B$2:$B$26,0),MATCH('Master data'!H$1,'Team forecast'!$B$2:$AO$2,0))</f>
        <v>1.0683489057066333</v>
      </c>
      <c r="I354" s="16">
        <f>INDEX('Team forecast'!$B$2:$AO$26,MATCH('Master data'!$B354,'Team forecast'!$B$2:$B$26,0),MATCH('Master data'!I$1,'Team forecast'!$B$2:$AO$2,0))</f>
        <v>1.0237318402178264</v>
      </c>
      <c r="J354" s="16">
        <f>INDEX('Team forecast'!$B$2:$AO$26,MATCH('Master data'!$B354,'Team forecast'!$B$2:$B$26,0),MATCH('Master data'!J$1,'Team forecast'!$B$2:$AO$2,0))</f>
        <v>0.35925176528884672</v>
      </c>
      <c r="K354" s="16">
        <f>INDEX('Team forecast'!$B$2:$AO$26,MATCH('Master data'!$B354,'Team forecast'!$B$2:$B$26,0),MATCH('Master data'!K$1,'Team forecast'!$B$2:$AO$2,0))</f>
        <v>3.1557383060872861</v>
      </c>
      <c r="L354" s="16">
        <f>INDEX('Team forecast'!$B$2:$AO$26,MATCH('Master data'!$B354,'Team forecast'!$B$2:$B$26,0),MATCH('Master data'!L$1,'Team forecast'!$B$2:$AO$2,0))</f>
        <v>2.685366937656811</v>
      </c>
      <c r="M354">
        <f>IF(Players!BC355=1,95,0)</f>
        <v>0</v>
      </c>
      <c r="N354" s="2">
        <f>Players!BN355</f>
        <v>0</v>
      </c>
      <c r="O354" s="2">
        <f>Players!BO355</f>
        <v>0</v>
      </c>
      <c r="P354" s="2">
        <f>Players!BP355</f>
        <v>0</v>
      </c>
      <c r="Q354" s="2">
        <f>Players!BQ355</f>
        <v>0.17079937304075238</v>
      </c>
      <c r="R354" s="2">
        <f>Players!BR355</f>
        <v>3.526645768025078E-2</v>
      </c>
      <c r="S354" s="2">
        <f t="shared" si="175"/>
        <v>1.0683489057066333</v>
      </c>
      <c r="T354" s="2">
        <f t="shared" si="176"/>
        <v>1.0237318402178264</v>
      </c>
      <c r="U354" s="16">
        <f>INDEX('Team forecast'!$B$2:$AO$26,MATCH('Master data'!$B354,'Team forecast'!$B$2:$B$26,0),MATCH('Master data'!U$1,'Team forecast'!$B$2:$AO$2,0))</f>
        <v>0.35925176528884672</v>
      </c>
      <c r="V354" s="16">
        <f>INDEX('Team forecast'!$B$2:$AO$26,MATCH('Master data'!$B354,'Team forecast'!$B$2:$B$26,0),MATCH('Master data'!V$1,'Team forecast'!$B$2:$AO$2,0))</f>
        <v>0.31494404756988892</v>
      </c>
      <c r="W354" s="16">
        <f>INDEX('Team forecast'!$B$2:$AO$26,MATCH('Master data'!$B354,'Team forecast'!$B$2:$B$26,0),MATCH('Master data'!W$1,'Team forecast'!$B$2:$AO$2,0))</f>
        <v>0.32580418714126441</v>
      </c>
      <c r="X354" s="5">
        <f t="shared" si="177"/>
        <v>-5000</v>
      </c>
      <c r="Y354" s="5">
        <f t="shared" si="178"/>
        <v>0</v>
      </c>
      <c r="Z354" s="5">
        <f t="shared" si="179"/>
        <v>0</v>
      </c>
      <c r="AA354" s="5">
        <f t="shared" si="180"/>
        <v>0</v>
      </c>
      <c r="AB354" s="5">
        <f t="shared" si="181"/>
        <v>0</v>
      </c>
      <c r="AC354" s="5">
        <f t="shared" si="182"/>
        <v>0</v>
      </c>
      <c r="AD354" s="5">
        <f t="shared" si="183"/>
        <v>0</v>
      </c>
      <c r="AE354" s="5">
        <f t="shared" si="184"/>
        <v>17962.588264442336</v>
      </c>
      <c r="AF354" s="5">
        <f t="shared" si="185"/>
        <v>0</v>
      </c>
      <c r="AG354" s="5">
        <f t="shared" si="186"/>
        <v>0</v>
      </c>
      <c r="AH354" s="5">
        <f t="shared" si="187"/>
        <v>0</v>
      </c>
      <c r="AI354" s="5">
        <f t="shared" si="188"/>
        <v>0</v>
      </c>
      <c r="AJ354" s="5">
        <f t="shared" si="189"/>
        <v>0</v>
      </c>
      <c r="AK354" s="5">
        <f>IFERROR(SUM(X354:AJ354),-5000)*((Cockpit!$C$3)^0)</f>
        <v>12962.588264442336</v>
      </c>
      <c r="AL354" s="16">
        <f>INDEX('Team forecast'!$B$2:$AO$26,MATCH('Master data'!$B354,'Team forecast'!$B$2:$B$26,0),MATCH('Master data'!AL$1,'Team forecast'!$B$2:$AO$2,0))</f>
        <v>0.97920455728472433</v>
      </c>
      <c r="AM354" s="16">
        <f>INDEX('Team forecast'!$B$2:$AO$26,MATCH('Master data'!$B354,'Team forecast'!$B$2:$B$26,0),MATCH('Master data'!AM$1,'Team forecast'!$B$2:$AO$2,0))</f>
        <v>1.3846696653928885</v>
      </c>
      <c r="AN354" s="16">
        <f>INDEX('Team forecast'!$B$2:$AO$26,MATCH('Master data'!$B354,'Team forecast'!$B$2:$B$26,0),MATCH('Master data'!AN$1,'Team forecast'!$B$2:$AO$2,0))</f>
        <v>0.25040650406504072</v>
      </c>
      <c r="AO354" s="16">
        <f>INDEX('Team forecast'!$B$2:$AO$26,MATCH('Master data'!$B354,'Team forecast'!$B$2:$B$26,0),MATCH('Master data'!AO$1,'Team forecast'!$B$2:$AO$2,0))</f>
        <v>2.8924196153641089</v>
      </c>
      <c r="AP354" s="16">
        <f>INDEX('Team forecast'!$B$2:$AO$26,MATCH('Master data'!$B354,'Team forecast'!$B$2:$B$26,0),MATCH('Master data'!AP$1,'Team forecast'!$B$2:$AO$2,0))</f>
        <v>3.6321485695230544</v>
      </c>
      <c r="AQ354" s="5">
        <f t="shared" si="190"/>
        <v>-5000</v>
      </c>
      <c r="AR354" s="5">
        <f>INDEX('Team forecast'!$B$2:$AO$26,MATCH('Master data'!$B354,'Team forecast'!$B$2:$B$26,0),MATCH('Master data'!AR$1,'Team forecast'!$B$2:$AO$2,0))*IF(X354&gt;0,25000,0)</f>
        <v>0</v>
      </c>
      <c r="AS354" s="16">
        <f>INDEX('Team forecast'!$B$2:$AO$26,MATCH('Master data'!$B354,'Team forecast'!$B$2:$B$26,0),MATCH('Master data'!AS$1,'Team forecast'!$B$2:$AO$2,0))*IF(X354&gt;0,5000,0)</f>
        <v>0</v>
      </c>
      <c r="AT354" s="16">
        <f>INDEX('Team forecast'!$B$2:$AO$26,MATCH('Master data'!$B354,'Team forecast'!$B$2:$B$26,0),MATCH('Master data'!AT$1,'Team forecast'!$B$2:$AO$2,0))*IF(X354&gt;0,-15000,0)</f>
        <v>0</v>
      </c>
      <c r="AU354" s="5">
        <f t="shared" si="191"/>
        <v>0</v>
      </c>
      <c r="AV354" s="5">
        <f t="shared" si="192"/>
        <v>0</v>
      </c>
      <c r="AW354" s="5">
        <f t="shared" si="193"/>
        <v>0</v>
      </c>
      <c r="AX354" s="5">
        <f t="shared" si="194"/>
        <v>12520.325203252036</v>
      </c>
      <c r="AY354" s="5">
        <f t="shared" si="195"/>
        <v>0</v>
      </c>
      <c r="AZ354" s="5">
        <f t="shared" si="196"/>
        <v>0</v>
      </c>
      <c r="BA354" s="5">
        <f t="shared" si="197"/>
        <v>0</v>
      </c>
      <c r="BB354" s="5">
        <f t="shared" si="198"/>
        <v>0</v>
      </c>
      <c r="BC354" s="5">
        <f t="shared" si="199"/>
        <v>0</v>
      </c>
      <c r="BD354" s="5">
        <f t="shared" si="200"/>
        <v>7520.3252032520359</v>
      </c>
      <c r="BE354" s="16">
        <f>INDEX('Team forecast'!$B$2:$AO$26,MATCH('Master data'!$B354,'Team forecast'!$B$2:$B$26,0),MATCH('Master data'!BE$1,'Team forecast'!$B$2:$AO$2,0))</f>
        <v>0.82586154259115363</v>
      </c>
      <c r="BF354" s="16">
        <f>INDEX('Team forecast'!$B$2:$AO$26,MATCH('Master data'!$B354,'Team forecast'!$B$2:$B$26,0),MATCH('Master data'!BF$1,'Team forecast'!$B$2:$AO$2,0))</f>
        <v>2.2346287595631029</v>
      </c>
      <c r="BG354" s="16">
        <f>INDEX('Team forecast'!$B$2:$AO$26,MATCH('Master data'!$B354,'Team forecast'!$B$2:$B$26,0),MATCH('Master data'!BG$1,'Team forecast'!$B$2:$AO$2,0))</f>
        <v>0.107031857031857</v>
      </c>
      <c r="BH354" s="16">
        <f>INDEX('Team forecast'!$B$2:$AO$26,MATCH('Master data'!$B354,'Team forecast'!$B$2:$B$26,0),MATCH('Master data'!BH$1,'Team forecast'!$B$2:$AO$2,0))</f>
        <v>2.4394679411923308</v>
      </c>
      <c r="BI354" s="16">
        <f>INDEX('Team forecast'!$B$2:$AO$26,MATCH('Master data'!$B354,'Team forecast'!$B$2:$B$26,0),MATCH('Master data'!BI$1,'Team forecast'!$B$2:$AO$2,0))</f>
        <v>5.8616895100097475</v>
      </c>
      <c r="BJ354" s="5">
        <f t="shared" si="201"/>
        <v>-5000</v>
      </c>
      <c r="BK354" s="5">
        <f>INDEX('Team forecast'!$R$3:$BH$26,MATCH($B354,'Team forecast'!$B$3:$B$26,0),MATCH(BK$1,'Team forecast'!$R$2:$BH$2,0))*IF($X354&gt;0,25000,0)</f>
        <v>0</v>
      </c>
      <c r="BL354" s="5">
        <f>INDEX('Team forecast'!$R$3:$BH$26,MATCH($B354,'Team forecast'!$B$3:$B$26,0),MATCH(BL$1,'Team forecast'!$R$2:$BH$2,0))*IF($X354&gt;0,5000,0)</f>
        <v>0</v>
      </c>
      <c r="BM354" s="5">
        <f>INDEX('Team forecast'!$R$3:$BH$26,MATCH($B354,'Team forecast'!$B$3:$B$26,0),MATCH(BM$1,'Team forecast'!$R$2:$BH$2,0))*IF($X354&gt;0,-15000,0)</f>
        <v>0</v>
      </c>
      <c r="BN354" s="5">
        <f t="shared" si="202"/>
        <v>0</v>
      </c>
      <c r="BO354" s="5">
        <f t="shared" si="203"/>
        <v>0</v>
      </c>
      <c r="BP354" s="5">
        <f t="shared" si="204"/>
        <v>0</v>
      </c>
      <c r="BQ354" s="5">
        <f t="shared" si="205"/>
        <v>5351.5928515928499</v>
      </c>
      <c r="BR354" s="5">
        <f t="shared" si="206"/>
        <v>0</v>
      </c>
      <c r="BS354" s="5">
        <f t="shared" si="207"/>
        <v>0</v>
      </c>
      <c r="BT354" s="5">
        <f t="shared" si="208"/>
        <v>0</v>
      </c>
      <c r="BU354" s="5">
        <f t="shared" si="209"/>
        <v>0</v>
      </c>
      <c r="BV354" s="5">
        <f t="shared" si="210"/>
        <v>0</v>
      </c>
      <c r="BW354" s="5">
        <f t="shared" si="211"/>
        <v>351.59285159284991</v>
      </c>
      <c r="BX354" s="5">
        <f t="shared" si="212"/>
        <v>6944.8354397624071</v>
      </c>
      <c r="BY354" s="5">
        <f t="shared" si="213"/>
        <v>20834.506319287222</v>
      </c>
      <c r="BZ354" s="5">
        <f>INDEX('Team forecast'!$R$3:$BH$26,MATCH($B354,'Team forecast'!$B$3:$B$26,0),MATCH(BZ$1,'Team forecast'!$R$2:$BH$2,0))*($BX354-(BY354+CH354)*0.01)</f>
        <v>-11807.609148084572</v>
      </c>
      <c r="CA354" s="5">
        <f>INDEX('Team forecast'!$R$3:$BH$26,MATCH($B354,'Team forecast'!$B$3:$B$26,0),MATCH(CA$1,'Team forecast'!$R$2:$BH$2,0))*($BX354-(BY354+BX354+CH354)*0.01)</f>
        <v>-5821.8249481645526</v>
      </c>
      <c r="CB354" s="5">
        <f>INDEX('Team forecast'!$R$3:$BH$26,MATCH($B354,'Team forecast'!$B$3:$B$26,0),MATCH(CB$1,'Team forecast'!$R$2:$BH$2,0))*($BX354-(BY354+BX354*2+CH354)*0.01)</f>
        <v>-2825.5523757076858</v>
      </c>
      <c r="CC354" s="5">
        <f>INDEX('Team forecast'!$R$3:$BH$26,MATCH($B354,'Team forecast'!$B$3:$B$26,0),MATCH(CC$1,'Team forecast'!$R$2:$BH$2,0))*($BX354-(BY354+BX354*3+CH354)*0.01)</f>
        <v>-1295.3672368800644</v>
      </c>
      <c r="CD354" s="5">
        <f>+AK354+BD354*Cockpit!$C$3+BW354*Cockpit!$C$3^2+BZ354*Cockpit!$C$3^3+CA354*Cockpit!$C$3^4+CB354*Cockpit!$C$3^5+CC354*Cockpit!$C$3^6</f>
        <v>12998.049489334448</v>
      </c>
      <c r="CE354" s="5"/>
      <c r="CF354" s="5"/>
      <c r="CG354" s="5">
        <v>0</v>
      </c>
      <c r="CH354" s="5">
        <f t="shared" si="214"/>
        <v>3000000</v>
      </c>
      <c r="CI354" s="5">
        <f t="shared" si="215"/>
        <v>3000000</v>
      </c>
      <c r="CJ354" s="1">
        <f t="shared" si="216"/>
        <v>6.9448354397624078E-3</v>
      </c>
      <c r="CK354" s="5">
        <f>RANK(BY354,$BY$2:$BY$623)+COUNTIF($BY$2:$BY354,$BY354)-1</f>
        <v>373</v>
      </c>
      <c r="CL354" s="5">
        <f>RANK(CJ354,$CJ$2:$CJ$623)+COUNTIF($CJ$2:$CJ354,$CJ354)-1</f>
        <v>380</v>
      </c>
    </row>
    <row r="355" spans="1:90">
      <c r="A355" t="str">
        <f>Players!P356</f>
        <v>Jan Boril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2500000</v>
      </c>
      <c r="H355" s="16">
        <f>INDEX('Team forecast'!$B$2:$AO$26,MATCH('Master data'!$B355,'Team forecast'!$B$2:$B$26,0),MATCH('Master data'!H$1,'Team forecast'!$B$2:$AO$2,0))</f>
        <v>1.0683489057066333</v>
      </c>
      <c r="I355" s="16">
        <f>INDEX('Team forecast'!$B$2:$AO$26,MATCH('Master data'!$B355,'Team forecast'!$B$2:$B$26,0),MATCH('Master data'!I$1,'Team forecast'!$B$2:$AO$2,0))</f>
        <v>1.0237318402178264</v>
      </c>
      <c r="J355" s="16">
        <f>INDEX('Team forecast'!$B$2:$AO$26,MATCH('Master data'!$B355,'Team forecast'!$B$2:$B$26,0),MATCH('Master data'!J$1,'Team forecast'!$B$2:$AO$2,0))</f>
        <v>0.35925176528884672</v>
      </c>
      <c r="K355" s="16">
        <f>INDEX('Team forecast'!$B$2:$AO$26,MATCH('Master data'!$B355,'Team forecast'!$B$2:$B$26,0),MATCH('Master data'!K$1,'Team forecast'!$B$2:$AO$2,0))</f>
        <v>3.1557383060872861</v>
      </c>
      <c r="L355" s="16">
        <f>INDEX('Team forecast'!$B$2:$AO$26,MATCH('Master data'!$B355,'Team forecast'!$B$2:$B$26,0),MATCH('Master data'!L$1,'Team forecast'!$B$2:$AO$2,0))</f>
        <v>2.685366937656811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0.33734177215189876</v>
      </c>
      <c r="R355" s="2">
        <f>Players!BR356</f>
        <v>0.06</v>
      </c>
      <c r="S355" s="2">
        <f t="shared" si="175"/>
        <v>1.0683489057066333</v>
      </c>
      <c r="T355" s="2">
        <f t="shared" si="176"/>
        <v>1.0237318402178264</v>
      </c>
      <c r="U355" s="16">
        <f>INDEX('Team forecast'!$B$2:$AO$26,MATCH('Master data'!$B355,'Team forecast'!$B$2:$B$26,0),MATCH('Master data'!U$1,'Team forecast'!$B$2:$AO$2,0))</f>
        <v>0.35925176528884672</v>
      </c>
      <c r="V355" s="16">
        <f>INDEX('Team forecast'!$B$2:$AO$26,MATCH('Master data'!$B355,'Team forecast'!$B$2:$B$26,0),MATCH('Master data'!V$1,'Team forecast'!$B$2:$AO$2,0))</f>
        <v>0.31494404756988892</v>
      </c>
      <c r="W355" s="16">
        <f>INDEX('Team forecast'!$B$2:$AO$26,MATCH('Master data'!$B355,'Team forecast'!$B$2:$B$26,0),MATCH('Master data'!W$1,'Team forecast'!$B$2:$AO$2,0))</f>
        <v>0.32580418714126441</v>
      </c>
      <c r="X355" s="5">
        <f t="shared" si="177"/>
        <v>-5000</v>
      </c>
      <c r="Y355" s="5">
        <f t="shared" si="178"/>
        <v>0</v>
      </c>
      <c r="Z355" s="5">
        <f t="shared" si="179"/>
        <v>0</v>
      </c>
      <c r="AA355" s="5">
        <f t="shared" si="180"/>
        <v>0</v>
      </c>
      <c r="AB355" s="5">
        <f t="shared" si="181"/>
        <v>0</v>
      </c>
      <c r="AC355" s="5">
        <f t="shared" si="182"/>
        <v>0</v>
      </c>
      <c r="AD355" s="5">
        <f t="shared" si="183"/>
        <v>0</v>
      </c>
      <c r="AE355" s="5">
        <f t="shared" si="184"/>
        <v>17962.588264442336</v>
      </c>
      <c r="AF355" s="5">
        <f t="shared" si="185"/>
        <v>0</v>
      </c>
      <c r="AG355" s="5">
        <f t="shared" si="186"/>
        <v>0</v>
      </c>
      <c r="AH355" s="5">
        <f t="shared" si="187"/>
        <v>0</v>
      </c>
      <c r="AI355" s="5">
        <f t="shared" si="188"/>
        <v>0</v>
      </c>
      <c r="AJ355" s="5">
        <f t="shared" si="189"/>
        <v>0</v>
      </c>
      <c r="AK355" s="5">
        <f>IFERROR(SUM(X355:AJ355),-5000)*((Cockpit!$C$3)^0)</f>
        <v>12962.588264442336</v>
      </c>
      <c r="AL355" s="16">
        <f>INDEX('Team forecast'!$B$2:$AO$26,MATCH('Master data'!$B355,'Team forecast'!$B$2:$B$26,0),MATCH('Master data'!AL$1,'Team forecast'!$B$2:$AO$2,0))</f>
        <v>0.97920455728472433</v>
      </c>
      <c r="AM355" s="16">
        <f>INDEX('Team forecast'!$B$2:$AO$26,MATCH('Master data'!$B355,'Team forecast'!$B$2:$B$26,0),MATCH('Master data'!AM$1,'Team forecast'!$B$2:$AO$2,0))</f>
        <v>1.3846696653928885</v>
      </c>
      <c r="AN355" s="16">
        <f>INDEX('Team forecast'!$B$2:$AO$26,MATCH('Master data'!$B355,'Team forecast'!$B$2:$B$26,0),MATCH('Master data'!AN$1,'Team forecast'!$B$2:$AO$2,0))</f>
        <v>0.25040650406504072</v>
      </c>
      <c r="AO355" s="16">
        <f>INDEX('Team forecast'!$B$2:$AO$26,MATCH('Master data'!$B355,'Team forecast'!$B$2:$B$26,0),MATCH('Master data'!AO$1,'Team forecast'!$B$2:$AO$2,0))</f>
        <v>2.8924196153641089</v>
      </c>
      <c r="AP355" s="16">
        <f>INDEX('Team forecast'!$B$2:$AO$26,MATCH('Master data'!$B355,'Team forecast'!$B$2:$B$26,0),MATCH('Master data'!AP$1,'Team forecast'!$B$2:$AO$2,0))</f>
        <v>3.6321485695230544</v>
      </c>
      <c r="AQ355" s="5">
        <f t="shared" si="190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191"/>
        <v>0</v>
      </c>
      <c r="AV355" s="5">
        <f t="shared" si="192"/>
        <v>0</v>
      </c>
      <c r="AW355" s="5">
        <f t="shared" si="193"/>
        <v>0</v>
      </c>
      <c r="AX355" s="5">
        <f t="shared" si="194"/>
        <v>12520.325203252036</v>
      </c>
      <c r="AY355" s="5">
        <f t="shared" si="195"/>
        <v>0</v>
      </c>
      <c r="AZ355" s="5">
        <f t="shared" si="196"/>
        <v>0</v>
      </c>
      <c r="BA355" s="5">
        <f t="shared" si="197"/>
        <v>0</v>
      </c>
      <c r="BB355" s="5">
        <f t="shared" si="198"/>
        <v>0</v>
      </c>
      <c r="BC355" s="5">
        <f t="shared" si="199"/>
        <v>0</v>
      </c>
      <c r="BD355" s="5">
        <f t="shared" si="200"/>
        <v>7520.3252032520359</v>
      </c>
      <c r="BE355" s="16">
        <f>INDEX('Team forecast'!$B$2:$AO$26,MATCH('Master data'!$B355,'Team forecast'!$B$2:$B$26,0),MATCH('Master data'!BE$1,'Team forecast'!$B$2:$AO$2,0))</f>
        <v>0.82586154259115363</v>
      </c>
      <c r="BF355" s="16">
        <f>INDEX('Team forecast'!$B$2:$AO$26,MATCH('Master data'!$B355,'Team forecast'!$B$2:$B$26,0),MATCH('Master data'!BF$1,'Team forecast'!$B$2:$AO$2,0))</f>
        <v>2.2346287595631029</v>
      </c>
      <c r="BG355" s="16">
        <f>INDEX('Team forecast'!$B$2:$AO$26,MATCH('Master data'!$B355,'Team forecast'!$B$2:$B$26,0),MATCH('Master data'!BG$1,'Team forecast'!$B$2:$AO$2,0))</f>
        <v>0.107031857031857</v>
      </c>
      <c r="BH355" s="16">
        <f>INDEX('Team forecast'!$B$2:$AO$26,MATCH('Master data'!$B355,'Team forecast'!$B$2:$B$26,0),MATCH('Master data'!BH$1,'Team forecast'!$B$2:$AO$2,0))</f>
        <v>2.4394679411923308</v>
      </c>
      <c r="BI355" s="16">
        <f>INDEX('Team forecast'!$B$2:$AO$26,MATCH('Master data'!$B355,'Team forecast'!$B$2:$B$26,0),MATCH('Master data'!BI$1,'Team forecast'!$B$2:$AO$2,0))</f>
        <v>5.8616895100097475</v>
      </c>
      <c r="BJ355" s="5">
        <f t="shared" si="201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202"/>
        <v>0</v>
      </c>
      <c r="BO355" s="5">
        <f t="shared" si="203"/>
        <v>0</v>
      </c>
      <c r="BP355" s="5">
        <f t="shared" si="204"/>
        <v>0</v>
      </c>
      <c r="BQ355" s="5">
        <f t="shared" si="205"/>
        <v>5351.5928515928499</v>
      </c>
      <c r="BR355" s="5">
        <f t="shared" si="206"/>
        <v>0</v>
      </c>
      <c r="BS355" s="5">
        <f t="shared" si="207"/>
        <v>0</v>
      </c>
      <c r="BT355" s="5">
        <f t="shared" si="208"/>
        <v>0</v>
      </c>
      <c r="BU355" s="5">
        <f t="shared" si="209"/>
        <v>0</v>
      </c>
      <c r="BV355" s="5">
        <f t="shared" si="210"/>
        <v>0</v>
      </c>
      <c r="BW355" s="5">
        <f t="shared" si="211"/>
        <v>351.59285159284991</v>
      </c>
      <c r="BX355" s="5">
        <f t="shared" si="212"/>
        <v>6944.8354397624071</v>
      </c>
      <c r="BY355" s="5">
        <f t="shared" si="213"/>
        <v>20834.506319287222</v>
      </c>
      <c r="BZ355" s="5">
        <f>INDEX('Team forecast'!$R$3:$BH$26,MATCH($B355,'Team forecast'!$B$3:$B$26,0),MATCH(BZ$1,'Team forecast'!$R$2:$BH$2,0))*($BX355-(BY355+CH355)*0.01)</f>
        <v>-9269.8129730413566</v>
      </c>
      <c r="CA355" s="5">
        <f>INDEX('Team forecast'!$R$3:$BH$26,MATCH($B355,'Team forecast'!$B$3:$B$26,0),MATCH(CA$1,'Team forecast'!$R$2:$BH$2,0))*($BX355-(BY355+BX355+CH355)*0.01)</f>
        <v>-4574.2709617182818</v>
      </c>
      <c r="CB355" s="5">
        <f>INDEX('Team forecast'!$R$3:$BH$26,MATCH($B355,'Team forecast'!$B$3:$B$26,0),MATCH(CB$1,'Team forecast'!$R$2:$BH$2,0))*($BX355-(BY355+BX355*2+CH355)*0.01)</f>
        <v>-2221.8639482025133</v>
      </c>
      <c r="CC355" s="5">
        <f>INDEX('Team forecast'!$R$3:$BH$26,MATCH($B355,'Team forecast'!$B$3:$B$26,0),MATCH(CC$1,'Team forecast'!$R$2:$BH$2,0))*($BX355-(BY355+BX355*3+CH355)*0.01)</f>
        <v>-1019.4266999743257</v>
      </c>
      <c r="CD355" s="5">
        <f>+AK355+BD355*Cockpit!$C$3+BW355*Cockpit!$C$3^2+BZ355*Cockpit!$C$3^3+CA355*Cockpit!$C$3^4+CB355*Cockpit!$C$3^5+CC355*Cockpit!$C$3^6</f>
        <v>14100.142810678837</v>
      </c>
      <c r="CE355" s="5"/>
      <c r="CF355" s="5"/>
      <c r="CG355" s="5">
        <v>0</v>
      </c>
      <c r="CH355" s="5">
        <f t="shared" si="214"/>
        <v>2500000</v>
      </c>
      <c r="CI355" s="5">
        <f t="shared" si="215"/>
        <v>2500000</v>
      </c>
      <c r="CJ355" s="1">
        <f t="shared" si="216"/>
        <v>8.3338025277148887E-3</v>
      </c>
      <c r="CK355" s="5">
        <f>RANK(BY355,$BY$2:$BY$623)+COUNTIF($BY$2:$BY355,$BY355)-1</f>
        <v>374</v>
      </c>
      <c r="CL355" s="5">
        <f>RANK(CJ355,$CJ$2:$CJ$623)+COUNTIF($CJ$2:$CJ355,$CJ355)-1</f>
        <v>376</v>
      </c>
    </row>
    <row r="356" spans="1:90">
      <c r="A356" t="str">
        <f>Players!P357</f>
        <v>David Zima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1.0683489057066333</v>
      </c>
      <c r="I356" s="16">
        <f>INDEX('Team forecast'!$B$2:$AO$26,MATCH('Master data'!$B356,'Team forecast'!$B$2:$B$26,0),MATCH('Master data'!I$1,'Team forecast'!$B$2:$AO$2,0))</f>
        <v>1.0237318402178264</v>
      </c>
      <c r="J356" s="16">
        <f>INDEX('Team forecast'!$B$2:$AO$26,MATCH('Master data'!$B356,'Team forecast'!$B$2:$B$26,0),MATCH('Master data'!J$1,'Team forecast'!$B$2:$AO$2,0))</f>
        <v>0.35925176528884672</v>
      </c>
      <c r="K356" s="16">
        <f>INDEX('Team forecast'!$B$2:$AO$26,MATCH('Master data'!$B356,'Team forecast'!$B$2:$B$26,0),MATCH('Master data'!K$1,'Team forecast'!$B$2:$AO$2,0))</f>
        <v>3.1557383060872861</v>
      </c>
      <c r="L356" s="16">
        <f>INDEX('Team forecast'!$B$2:$AO$26,MATCH('Master data'!$B356,'Team forecast'!$B$2:$B$26,0),MATCH('Master data'!L$1,'Team forecast'!$B$2:$AO$2,0))</f>
        <v>2.685366937656811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3.5714285714285712E-2</v>
      </c>
      <c r="R356" s="2">
        <f>Players!BR357</f>
        <v>0</v>
      </c>
      <c r="S356" s="2">
        <f t="shared" si="175"/>
        <v>1.0683489057066333</v>
      </c>
      <c r="T356" s="2">
        <f t="shared" si="176"/>
        <v>1.0237318402178264</v>
      </c>
      <c r="U356" s="16">
        <f>INDEX('Team forecast'!$B$2:$AO$26,MATCH('Master data'!$B356,'Team forecast'!$B$2:$B$26,0),MATCH('Master data'!U$1,'Team forecast'!$B$2:$AO$2,0))</f>
        <v>0.35925176528884672</v>
      </c>
      <c r="V356" s="16">
        <f>INDEX('Team forecast'!$B$2:$AO$26,MATCH('Master data'!$B356,'Team forecast'!$B$2:$B$26,0),MATCH('Master data'!V$1,'Team forecast'!$B$2:$AO$2,0))</f>
        <v>0.31494404756988892</v>
      </c>
      <c r="W356" s="16">
        <f>INDEX('Team forecast'!$B$2:$AO$26,MATCH('Master data'!$B356,'Team forecast'!$B$2:$B$26,0),MATCH('Master data'!W$1,'Team forecast'!$B$2:$AO$2,0))</f>
        <v>0.32580418714126441</v>
      </c>
      <c r="X356" s="5">
        <f t="shared" si="177"/>
        <v>-5000</v>
      </c>
      <c r="Y356" s="5">
        <f t="shared" si="178"/>
        <v>0</v>
      </c>
      <c r="Z356" s="5">
        <f t="shared" si="179"/>
        <v>0</v>
      </c>
      <c r="AA356" s="5">
        <f t="shared" si="180"/>
        <v>0</v>
      </c>
      <c r="AB356" s="5">
        <f t="shared" si="181"/>
        <v>0</v>
      </c>
      <c r="AC356" s="5">
        <f t="shared" si="182"/>
        <v>0</v>
      </c>
      <c r="AD356" s="5">
        <f t="shared" si="183"/>
        <v>0</v>
      </c>
      <c r="AE356" s="5">
        <f t="shared" si="184"/>
        <v>17962.588264442336</v>
      </c>
      <c r="AF356" s="5">
        <f t="shared" si="185"/>
        <v>0</v>
      </c>
      <c r="AG356" s="5">
        <f t="shared" si="186"/>
        <v>0</v>
      </c>
      <c r="AH356" s="5">
        <f t="shared" si="187"/>
        <v>0</v>
      </c>
      <c r="AI356" s="5">
        <f t="shared" si="188"/>
        <v>0</v>
      </c>
      <c r="AJ356" s="5">
        <f t="shared" si="189"/>
        <v>0</v>
      </c>
      <c r="AK356" s="5">
        <f>IFERROR(SUM(X356:AJ356),-5000)*((Cockpit!$C$3)^0)</f>
        <v>12962.588264442336</v>
      </c>
      <c r="AL356" s="16">
        <f>INDEX('Team forecast'!$B$2:$AO$26,MATCH('Master data'!$B356,'Team forecast'!$B$2:$B$26,0),MATCH('Master data'!AL$1,'Team forecast'!$B$2:$AO$2,0))</f>
        <v>0.97920455728472433</v>
      </c>
      <c r="AM356" s="16">
        <f>INDEX('Team forecast'!$B$2:$AO$26,MATCH('Master data'!$B356,'Team forecast'!$B$2:$B$26,0),MATCH('Master data'!AM$1,'Team forecast'!$B$2:$AO$2,0))</f>
        <v>1.3846696653928885</v>
      </c>
      <c r="AN356" s="16">
        <f>INDEX('Team forecast'!$B$2:$AO$26,MATCH('Master data'!$B356,'Team forecast'!$B$2:$B$26,0),MATCH('Master data'!AN$1,'Team forecast'!$B$2:$AO$2,0))</f>
        <v>0.25040650406504072</v>
      </c>
      <c r="AO356" s="16">
        <f>INDEX('Team forecast'!$B$2:$AO$26,MATCH('Master data'!$B356,'Team forecast'!$B$2:$B$26,0),MATCH('Master data'!AO$1,'Team forecast'!$B$2:$AO$2,0))</f>
        <v>2.8924196153641089</v>
      </c>
      <c r="AP356" s="16">
        <f>INDEX('Team forecast'!$B$2:$AO$26,MATCH('Master data'!$B356,'Team forecast'!$B$2:$B$26,0),MATCH('Master data'!AP$1,'Team forecast'!$B$2:$AO$2,0))</f>
        <v>3.6321485695230544</v>
      </c>
      <c r="AQ356" s="5">
        <f t="shared" si="190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191"/>
        <v>0</v>
      </c>
      <c r="AV356" s="5">
        <f t="shared" si="192"/>
        <v>0</v>
      </c>
      <c r="AW356" s="5">
        <f t="shared" si="193"/>
        <v>0</v>
      </c>
      <c r="AX356" s="5">
        <f t="shared" si="194"/>
        <v>12520.325203252036</v>
      </c>
      <c r="AY356" s="5">
        <f t="shared" si="195"/>
        <v>0</v>
      </c>
      <c r="AZ356" s="5">
        <f t="shared" si="196"/>
        <v>0</v>
      </c>
      <c r="BA356" s="5">
        <f t="shared" si="197"/>
        <v>0</v>
      </c>
      <c r="BB356" s="5">
        <f t="shared" si="198"/>
        <v>0</v>
      </c>
      <c r="BC356" s="5">
        <f t="shared" si="199"/>
        <v>0</v>
      </c>
      <c r="BD356" s="5">
        <f t="shared" si="200"/>
        <v>7520.3252032520359</v>
      </c>
      <c r="BE356" s="16">
        <f>INDEX('Team forecast'!$B$2:$AO$26,MATCH('Master data'!$B356,'Team forecast'!$B$2:$B$26,0),MATCH('Master data'!BE$1,'Team forecast'!$B$2:$AO$2,0))</f>
        <v>0.82586154259115363</v>
      </c>
      <c r="BF356" s="16">
        <f>INDEX('Team forecast'!$B$2:$AO$26,MATCH('Master data'!$B356,'Team forecast'!$B$2:$B$26,0),MATCH('Master data'!BF$1,'Team forecast'!$B$2:$AO$2,0))</f>
        <v>2.2346287595631029</v>
      </c>
      <c r="BG356" s="16">
        <f>INDEX('Team forecast'!$B$2:$AO$26,MATCH('Master data'!$B356,'Team forecast'!$B$2:$B$26,0),MATCH('Master data'!BG$1,'Team forecast'!$B$2:$AO$2,0))</f>
        <v>0.107031857031857</v>
      </c>
      <c r="BH356" s="16">
        <f>INDEX('Team forecast'!$B$2:$AO$26,MATCH('Master data'!$B356,'Team forecast'!$B$2:$B$26,0),MATCH('Master data'!BH$1,'Team forecast'!$B$2:$AO$2,0))</f>
        <v>2.4394679411923308</v>
      </c>
      <c r="BI356" s="16">
        <f>INDEX('Team forecast'!$B$2:$AO$26,MATCH('Master data'!$B356,'Team forecast'!$B$2:$B$26,0),MATCH('Master data'!BI$1,'Team forecast'!$B$2:$AO$2,0))</f>
        <v>5.8616895100097475</v>
      </c>
      <c r="BJ356" s="5">
        <f t="shared" si="201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202"/>
        <v>0</v>
      </c>
      <c r="BO356" s="5">
        <f t="shared" si="203"/>
        <v>0</v>
      </c>
      <c r="BP356" s="5">
        <f t="shared" si="204"/>
        <v>0</v>
      </c>
      <c r="BQ356" s="5">
        <f t="shared" si="205"/>
        <v>5351.5928515928499</v>
      </c>
      <c r="BR356" s="5">
        <f t="shared" si="206"/>
        <v>0</v>
      </c>
      <c r="BS356" s="5">
        <f t="shared" si="207"/>
        <v>0</v>
      </c>
      <c r="BT356" s="5">
        <f t="shared" si="208"/>
        <v>0</v>
      </c>
      <c r="BU356" s="5">
        <f t="shared" si="209"/>
        <v>0</v>
      </c>
      <c r="BV356" s="5">
        <f t="shared" si="210"/>
        <v>0</v>
      </c>
      <c r="BW356" s="5">
        <f t="shared" si="211"/>
        <v>351.59285159284991</v>
      </c>
      <c r="BX356" s="5">
        <f t="shared" si="212"/>
        <v>6944.8354397624071</v>
      </c>
      <c r="BY356" s="5">
        <f t="shared" si="213"/>
        <v>20834.506319287222</v>
      </c>
      <c r="BZ356" s="5">
        <f>INDEX('Team forecast'!$R$3:$BH$26,MATCH($B356,'Team forecast'!$B$3:$B$26,0),MATCH(BZ$1,'Team forecast'!$R$2:$BH$2,0))*($BX356-(BY356+CH356)*0.01)</f>
        <v>-6732.0167979981416</v>
      </c>
      <c r="CA356" s="5">
        <f>INDEX('Team forecast'!$R$3:$BH$26,MATCH($B356,'Team forecast'!$B$3:$B$26,0),MATCH(CA$1,'Team forecast'!$R$2:$BH$2,0))*($BX356-(BY356+BX356+CH356)*0.01)</f>
        <v>-3326.7169752720097</v>
      </c>
      <c r="CB356" s="5">
        <f>INDEX('Team forecast'!$R$3:$BH$26,MATCH($B356,'Team forecast'!$B$3:$B$26,0),MATCH(CB$1,'Team forecast'!$R$2:$BH$2,0))*($BX356-(BY356+BX356*2+CH356)*0.01)</f>
        <v>-1618.1755206973414</v>
      </c>
      <c r="CC356" s="5">
        <f>INDEX('Team forecast'!$R$3:$BH$26,MATCH($B356,'Team forecast'!$B$3:$B$26,0),MATCH(CC$1,'Team forecast'!$R$2:$BH$2,0))*($BX356-(BY356+BX356*3+CH356)*0.01)</f>
        <v>-743.48616306858708</v>
      </c>
      <c r="CD356" s="5">
        <f>+AK356+BD356*Cockpit!$C$3+BW356*Cockpit!$C$3^2+BZ356*Cockpit!$C$3^3+CA356*Cockpit!$C$3^4+CB356*Cockpit!$C$3^5+CC356*Cockpit!$C$3^6</f>
        <v>15202.23613202323</v>
      </c>
      <c r="CE356" s="5"/>
      <c r="CF356" s="5"/>
      <c r="CG356" s="5">
        <v>0</v>
      </c>
      <c r="CH356" s="5">
        <f t="shared" si="214"/>
        <v>2000000</v>
      </c>
      <c r="CI356" s="5">
        <f t="shared" si="215"/>
        <v>2000000</v>
      </c>
      <c r="CJ356" s="1">
        <f t="shared" si="216"/>
        <v>1.041725315964361E-2</v>
      </c>
      <c r="CK356" s="5">
        <f>RANK(BY356,$BY$2:$BY$623)+COUNTIF($BY$2:$BY356,$BY356)-1</f>
        <v>375</v>
      </c>
      <c r="CL356" s="5">
        <f>RANK(CJ356,$CJ$2:$CJ$623)+COUNTIF($CJ$2:$CJ356,$CJ356)-1</f>
        <v>355</v>
      </c>
    </row>
    <row r="357" spans="1:90">
      <c r="A357" t="str">
        <f>Players!P358</f>
        <v>Ales Mateju</v>
      </c>
      <c r="B357" t="str">
        <f>Players!G358</f>
        <v>Czech Republic</v>
      </c>
      <c r="C357" t="str">
        <f>Players!AB358</f>
        <v>Defense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1.0683489057066333</v>
      </c>
      <c r="I357" s="16">
        <f>INDEX('Team forecast'!$B$2:$AO$26,MATCH('Master data'!$B357,'Team forecast'!$B$2:$B$26,0),MATCH('Master data'!I$1,'Team forecast'!$B$2:$AO$2,0))</f>
        <v>1.0237318402178264</v>
      </c>
      <c r="J357" s="16">
        <f>INDEX('Team forecast'!$B$2:$AO$26,MATCH('Master data'!$B357,'Team forecast'!$B$2:$B$26,0),MATCH('Master data'!J$1,'Team forecast'!$B$2:$AO$2,0))</f>
        <v>0.35925176528884672</v>
      </c>
      <c r="K357" s="16">
        <f>INDEX('Team forecast'!$B$2:$AO$26,MATCH('Master data'!$B357,'Team forecast'!$B$2:$B$26,0),MATCH('Master data'!K$1,'Team forecast'!$B$2:$AO$2,0))</f>
        <v>3.1557383060872861</v>
      </c>
      <c r="L357" s="16">
        <f>INDEX('Team forecast'!$B$2:$AO$26,MATCH('Master data'!$B357,'Team forecast'!$B$2:$B$26,0),MATCH('Master data'!L$1,'Team forecast'!$B$2:$AO$2,0))</f>
        <v>2.685366937656811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</v>
      </c>
      <c r="R357" s="2">
        <f>Players!BR358</f>
        <v>0</v>
      </c>
      <c r="S357" s="2">
        <f t="shared" si="175"/>
        <v>1.0683489057066333</v>
      </c>
      <c r="T357" s="2">
        <f t="shared" si="176"/>
        <v>1.0237318402178264</v>
      </c>
      <c r="U357" s="16">
        <f>INDEX('Team forecast'!$B$2:$AO$26,MATCH('Master data'!$B357,'Team forecast'!$B$2:$B$26,0),MATCH('Master data'!U$1,'Team forecast'!$B$2:$AO$2,0))</f>
        <v>0.35925176528884672</v>
      </c>
      <c r="V357" s="16">
        <f>INDEX('Team forecast'!$B$2:$AO$26,MATCH('Master data'!$B357,'Team forecast'!$B$2:$B$26,0),MATCH('Master data'!V$1,'Team forecast'!$B$2:$AO$2,0))</f>
        <v>0.31494404756988892</v>
      </c>
      <c r="W357" s="16">
        <f>INDEX('Team forecast'!$B$2:$AO$26,MATCH('Master data'!$B357,'Team forecast'!$B$2:$B$26,0),MATCH('Master data'!W$1,'Team forecast'!$B$2:$AO$2,0))</f>
        <v>0.32580418714126441</v>
      </c>
      <c r="X357" s="5">
        <f t="shared" si="177"/>
        <v>-5000</v>
      </c>
      <c r="Y357" s="5">
        <f t="shared" si="178"/>
        <v>0</v>
      </c>
      <c r="Z357" s="5">
        <f t="shared" si="179"/>
        <v>0</v>
      </c>
      <c r="AA357" s="5">
        <f t="shared" si="180"/>
        <v>0</v>
      </c>
      <c r="AB357" s="5">
        <f t="shared" si="181"/>
        <v>0</v>
      </c>
      <c r="AC357" s="5">
        <f t="shared" si="182"/>
        <v>0</v>
      </c>
      <c r="AD357" s="5">
        <f t="shared" si="183"/>
        <v>0</v>
      </c>
      <c r="AE357" s="5">
        <f t="shared" si="184"/>
        <v>17962.588264442336</v>
      </c>
      <c r="AF357" s="5">
        <f t="shared" si="185"/>
        <v>0</v>
      </c>
      <c r="AG357" s="5">
        <f t="shared" si="186"/>
        <v>0</v>
      </c>
      <c r="AH357" s="5">
        <f t="shared" si="187"/>
        <v>0</v>
      </c>
      <c r="AI357" s="5">
        <f t="shared" si="188"/>
        <v>0</v>
      </c>
      <c r="AJ357" s="5">
        <f t="shared" si="189"/>
        <v>0</v>
      </c>
      <c r="AK357" s="5">
        <f>IFERROR(SUM(X357:AJ357),-5000)*((Cockpit!$C$3)^0)</f>
        <v>12962.588264442336</v>
      </c>
      <c r="AL357" s="16">
        <f>INDEX('Team forecast'!$B$2:$AO$26,MATCH('Master data'!$B357,'Team forecast'!$B$2:$B$26,0),MATCH('Master data'!AL$1,'Team forecast'!$B$2:$AO$2,0))</f>
        <v>0.97920455728472433</v>
      </c>
      <c r="AM357" s="16">
        <f>INDEX('Team forecast'!$B$2:$AO$26,MATCH('Master data'!$B357,'Team forecast'!$B$2:$B$26,0),MATCH('Master data'!AM$1,'Team forecast'!$B$2:$AO$2,0))</f>
        <v>1.3846696653928885</v>
      </c>
      <c r="AN357" s="16">
        <f>INDEX('Team forecast'!$B$2:$AO$26,MATCH('Master data'!$B357,'Team forecast'!$B$2:$B$26,0),MATCH('Master data'!AN$1,'Team forecast'!$B$2:$AO$2,0))</f>
        <v>0.25040650406504072</v>
      </c>
      <c r="AO357" s="16">
        <f>INDEX('Team forecast'!$B$2:$AO$26,MATCH('Master data'!$B357,'Team forecast'!$B$2:$B$26,0),MATCH('Master data'!AO$1,'Team forecast'!$B$2:$AO$2,0))</f>
        <v>2.8924196153641089</v>
      </c>
      <c r="AP357" s="16">
        <f>INDEX('Team forecast'!$B$2:$AO$26,MATCH('Master data'!$B357,'Team forecast'!$B$2:$B$26,0),MATCH('Master data'!AP$1,'Team forecast'!$B$2:$AO$2,0))</f>
        <v>3.6321485695230544</v>
      </c>
      <c r="AQ357" s="5">
        <f t="shared" si="190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191"/>
        <v>0</v>
      </c>
      <c r="AV357" s="5">
        <f t="shared" si="192"/>
        <v>0</v>
      </c>
      <c r="AW357" s="5">
        <f t="shared" si="193"/>
        <v>0</v>
      </c>
      <c r="AX357" s="5">
        <f t="shared" si="194"/>
        <v>12520.325203252036</v>
      </c>
      <c r="AY357" s="5">
        <f t="shared" si="195"/>
        <v>0</v>
      </c>
      <c r="AZ357" s="5">
        <f t="shared" si="196"/>
        <v>0</v>
      </c>
      <c r="BA357" s="5">
        <f t="shared" si="197"/>
        <v>0</v>
      </c>
      <c r="BB357" s="5">
        <f t="shared" si="198"/>
        <v>0</v>
      </c>
      <c r="BC357" s="5">
        <f t="shared" si="199"/>
        <v>0</v>
      </c>
      <c r="BD357" s="5">
        <f t="shared" si="200"/>
        <v>7520.3252032520359</v>
      </c>
      <c r="BE357" s="16">
        <f>INDEX('Team forecast'!$B$2:$AO$26,MATCH('Master data'!$B357,'Team forecast'!$B$2:$B$26,0),MATCH('Master data'!BE$1,'Team forecast'!$B$2:$AO$2,0))</f>
        <v>0.82586154259115363</v>
      </c>
      <c r="BF357" s="16">
        <f>INDEX('Team forecast'!$B$2:$AO$26,MATCH('Master data'!$B357,'Team forecast'!$B$2:$B$26,0),MATCH('Master data'!BF$1,'Team forecast'!$B$2:$AO$2,0))</f>
        <v>2.2346287595631029</v>
      </c>
      <c r="BG357" s="16">
        <f>INDEX('Team forecast'!$B$2:$AO$26,MATCH('Master data'!$B357,'Team forecast'!$B$2:$B$26,0),MATCH('Master data'!BG$1,'Team forecast'!$B$2:$AO$2,0))</f>
        <v>0.107031857031857</v>
      </c>
      <c r="BH357" s="16">
        <f>INDEX('Team forecast'!$B$2:$AO$26,MATCH('Master data'!$B357,'Team forecast'!$B$2:$B$26,0),MATCH('Master data'!BH$1,'Team forecast'!$B$2:$AO$2,0))</f>
        <v>2.4394679411923308</v>
      </c>
      <c r="BI357" s="16">
        <f>INDEX('Team forecast'!$B$2:$AO$26,MATCH('Master data'!$B357,'Team forecast'!$B$2:$B$26,0),MATCH('Master data'!BI$1,'Team forecast'!$B$2:$AO$2,0))</f>
        <v>5.8616895100097475</v>
      </c>
      <c r="BJ357" s="5">
        <f t="shared" si="201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202"/>
        <v>0</v>
      </c>
      <c r="BO357" s="5">
        <f t="shared" si="203"/>
        <v>0</v>
      </c>
      <c r="BP357" s="5">
        <f t="shared" si="204"/>
        <v>0</v>
      </c>
      <c r="BQ357" s="5">
        <f t="shared" si="205"/>
        <v>5351.5928515928499</v>
      </c>
      <c r="BR357" s="5">
        <f t="shared" si="206"/>
        <v>0</v>
      </c>
      <c r="BS357" s="5">
        <f t="shared" si="207"/>
        <v>0</v>
      </c>
      <c r="BT357" s="5">
        <f t="shared" si="208"/>
        <v>0</v>
      </c>
      <c r="BU357" s="5">
        <f t="shared" si="209"/>
        <v>0</v>
      </c>
      <c r="BV357" s="5">
        <f t="shared" si="210"/>
        <v>0</v>
      </c>
      <c r="BW357" s="5">
        <f t="shared" si="211"/>
        <v>351.59285159284991</v>
      </c>
      <c r="BX357" s="5">
        <f t="shared" si="212"/>
        <v>6944.8354397624071</v>
      </c>
      <c r="BY357" s="5">
        <f t="shared" si="213"/>
        <v>20834.506319287222</v>
      </c>
      <c r="BZ357" s="5">
        <f>INDEX('Team forecast'!$R$3:$BH$26,MATCH($B357,'Team forecast'!$B$3:$B$26,0),MATCH(BZ$1,'Team forecast'!$R$2:$BH$2,0))*($BX357-(BY357+CH357)*0.01)</f>
        <v>-6732.0167979981416</v>
      </c>
      <c r="CA357" s="5">
        <f>INDEX('Team forecast'!$R$3:$BH$26,MATCH($B357,'Team forecast'!$B$3:$B$26,0),MATCH(CA$1,'Team forecast'!$R$2:$BH$2,0))*($BX357-(BY357+BX357+CH357)*0.01)</f>
        <v>-3326.7169752720097</v>
      </c>
      <c r="CB357" s="5">
        <f>INDEX('Team forecast'!$R$3:$BH$26,MATCH($B357,'Team forecast'!$B$3:$B$26,0),MATCH(CB$1,'Team forecast'!$R$2:$BH$2,0))*($BX357-(BY357+BX357*2+CH357)*0.01)</f>
        <v>-1618.1755206973414</v>
      </c>
      <c r="CC357" s="5">
        <f>INDEX('Team forecast'!$R$3:$BH$26,MATCH($B357,'Team forecast'!$B$3:$B$26,0),MATCH(CC$1,'Team forecast'!$R$2:$BH$2,0))*($BX357-(BY357+BX357*3+CH357)*0.01)</f>
        <v>-743.48616306858708</v>
      </c>
      <c r="CD357" s="5">
        <f>+AK357+BD357*Cockpit!$C$3+BW357*Cockpit!$C$3^2+BZ357*Cockpit!$C$3^3+CA357*Cockpit!$C$3^4+CB357*Cockpit!$C$3^5+CC357*Cockpit!$C$3^6</f>
        <v>15202.23613202323</v>
      </c>
      <c r="CE357" s="5"/>
      <c r="CF357" s="5"/>
      <c r="CG357" s="5">
        <v>0</v>
      </c>
      <c r="CH357" s="5">
        <f t="shared" si="214"/>
        <v>2000000</v>
      </c>
      <c r="CI357" s="5">
        <f t="shared" si="215"/>
        <v>2000000</v>
      </c>
      <c r="CJ357" s="1">
        <f t="shared" si="216"/>
        <v>1.041725315964361E-2</v>
      </c>
      <c r="CK357" s="5">
        <f>RANK(BY357,$BY$2:$BY$623)+COUNTIF($BY$2:$BY357,$BY357)-1</f>
        <v>376</v>
      </c>
      <c r="CL357" s="5">
        <f>RANK(CJ357,$CJ$2:$CJ$623)+COUNTIF($CJ$2:$CJ357,$CJ357)-1</f>
        <v>356</v>
      </c>
    </row>
    <row r="358" spans="1:90">
      <c r="A358" t="str">
        <f>Players!P359</f>
        <v>Petr Sevcik</v>
      </c>
      <c r="B358" t="str">
        <f>Players!G359</f>
        <v>Czech Republic</v>
      </c>
      <c r="C358" t="str">
        <f>Players!AB359</f>
        <v>Midfield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2000000</v>
      </c>
      <c r="H358" s="16">
        <f>INDEX('Team forecast'!$B$2:$AO$26,MATCH('Master data'!$B358,'Team forecast'!$B$2:$B$26,0),MATCH('Master data'!H$1,'Team forecast'!$B$2:$AO$2,0))</f>
        <v>1.0683489057066333</v>
      </c>
      <c r="I358" s="16">
        <f>INDEX('Team forecast'!$B$2:$AO$26,MATCH('Master data'!$B358,'Team forecast'!$B$2:$B$26,0),MATCH('Master data'!I$1,'Team forecast'!$B$2:$AO$2,0))</f>
        <v>1.0237318402178264</v>
      </c>
      <c r="J358" s="16">
        <f>INDEX('Team forecast'!$B$2:$AO$26,MATCH('Master data'!$B358,'Team forecast'!$B$2:$B$26,0),MATCH('Master data'!J$1,'Team forecast'!$B$2:$AO$2,0))</f>
        <v>0.35925176528884672</v>
      </c>
      <c r="K358" s="16">
        <f>INDEX('Team forecast'!$B$2:$AO$26,MATCH('Master data'!$B358,'Team forecast'!$B$2:$B$26,0),MATCH('Master data'!K$1,'Team forecast'!$B$2:$AO$2,0))</f>
        <v>3.1557383060872861</v>
      </c>
      <c r="L358" s="16">
        <f>INDEX('Team forecast'!$B$2:$AO$26,MATCH('Master data'!$B358,'Team forecast'!$B$2:$B$26,0),MATCH('Master data'!L$1,'Team forecast'!$B$2:$AO$2,0))</f>
        <v>2.685366937656811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0.10594467333725721</v>
      </c>
      <c r="R358" s="2">
        <f>Players!BR359</f>
        <v>0</v>
      </c>
      <c r="S358" s="2">
        <f t="shared" si="175"/>
        <v>1.0683489057066333</v>
      </c>
      <c r="T358" s="2">
        <f t="shared" si="176"/>
        <v>1.0237318402178264</v>
      </c>
      <c r="U358" s="16">
        <f>INDEX('Team forecast'!$B$2:$AO$26,MATCH('Master data'!$B358,'Team forecast'!$B$2:$B$26,0),MATCH('Master data'!U$1,'Team forecast'!$B$2:$AO$2,0))</f>
        <v>0.35925176528884672</v>
      </c>
      <c r="V358" s="16">
        <f>INDEX('Team forecast'!$B$2:$AO$26,MATCH('Master data'!$B358,'Team forecast'!$B$2:$B$26,0),MATCH('Master data'!V$1,'Team forecast'!$B$2:$AO$2,0))</f>
        <v>0.31494404756988892</v>
      </c>
      <c r="W358" s="16">
        <f>INDEX('Team forecast'!$B$2:$AO$26,MATCH('Master data'!$B358,'Team forecast'!$B$2:$B$26,0),MATCH('Master data'!W$1,'Team forecast'!$B$2:$AO$2,0))</f>
        <v>0.32580418714126441</v>
      </c>
      <c r="X358" s="5">
        <f t="shared" si="177"/>
        <v>-5000</v>
      </c>
      <c r="Y358" s="5">
        <f t="shared" si="178"/>
        <v>0</v>
      </c>
      <c r="Z358" s="5">
        <f t="shared" si="179"/>
        <v>0</v>
      </c>
      <c r="AA358" s="5">
        <f t="shared" si="180"/>
        <v>0</v>
      </c>
      <c r="AB358" s="5">
        <f t="shared" si="181"/>
        <v>0</v>
      </c>
      <c r="AC358" s="5">
        <f t="shared" si="182"/>
        <v>0</v>
      </c>
      <c r="AD358" s="5">
        <f t="shared" si="183"/>
        <v>0</v>
      </c>
      <c r="AE358" s="5">
        <f t="shared" si="184"/>
        <v>0</v>
      </c>
      <c r="AF358" s="5">
        <f t="shared" si="185"/>
        <v>0</v>
      </c>
      <c r="AG358" s="5">
        <f t="shared" si="186"/>
        <v>0</v>
      </c>
      <c r="AH358" s="5">
        <f t="shared" si="187"/>
        <v>0</v>
      </c>
      <c r="AI358" s="5">
        <f t="shared" si="188"/>
        <v>0</v>
      </c>
      <c r="AJ358" s="5">
        <f t="shared" si="189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0.97920455728472433</v>
      </c>
      <c r="AM358" s="16">
        <f>INDEX('Team forecast'!$B$2:$AO$26,MATCH('Master data'!$B358,'Team forecast'!$B$2:$B$26,0),MATCH('Master data'!AM$1,'Team forecast'!$B$2:$AO$2,0))</f>
        <v>1.3846696653928885</v>
      </c>
      <c r="AN358" s="16">
        <f>INDEX('Team forecast'!$B$2:$AO$26,MATCH('Master data'!$B358,'Team forecast'!$B$2:$B$26,0),MATCH('Master data'!AN$1,'Team forecast'!$B$2:$AO$2,0))</f>
        <v>0.25040650406504072</v>
      </c>
      <c r="AO358" s="16">
        <f>INDEX('Team forecast'!$B$2:$AO$26,MATCH('Master data'!$B358,'Team forecast'!$B$2:$B$26,0),MATCH('Master data'!AO$1,'Team forecast'!$B$2:$AO$2,0))</f>
        <v>2.8924196153641089</v>
      </c>
      <c r="AP358" s="16">
        <f>INDEX('Team forecast'!$B$2:$AO$26,MATCH('Master data'!$B358,'Team forecast'!$B$2:$B$26,0),MATCH('Master data'!AP$1,'Team forecast'!$B$2:$AO$2,0))</f>
        <v>3.6321485695230544</v>
      </c>
      <c r="AQ358" s="5">
        <f t="shared" si="190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191"/>
        <v>0</v>
      </c>
      <c r="AV358" s="5">
        <f t="shared" si="192"/>
        <v>0</v>
      </c>
      <c r="AW358" s="5">
        <f t="shared" si="193"/>
        <v>0</v>
      </c>
      <c r="AX358" s="5">
        <f t="shared" si="194"/>
        <v>0</v>
      </c>
      <c r="AY358" s="5">
        <f t="shared" si="195"/>
        <v>0</v>
      </c>
      <c r="AZ358" s="5">
        <f t="shared" si="196"/>
        <v>0</v>
      </c>
      <c r="BA358" s="5">
        <f t="shared" si="197"/>
        <v>0</v>
      </c>
      <c r="BB358" s="5">
        <f t="shared" si="198"/>
        <v>0</v>
      </c>
      <c r="BC358" s="5">
        <f t="shared" si="199"/>
        <v>0</v>
      </c>
      <c r="BD358" s="5">
        <f t="shared" si="200"/>
        <v>-5000</v>
      </c>
      <c r="BE358" s="16">
        <f>INDEX('Team forecast'!$B$2:$AO$26,MATCH('Master data'!$B358,'Team forecast'!$B$2:$B$26,0),MATCH('Master data'!BE$1,'Team forecast'!$B$2:$AO$2,0))</f>
        <v>0.82586154259115363</v>
      </c>
      <c r="BF358" s="16">
        <f>INDEX('Team forecast'!$B$2:$AO$26,MATCH('Master data'!$B358,'Team forecast'!$B$2:$B$26,0),MATCH('Master data'!BF$1,'Team forecast'!$B$2:$AO$2,0))</f>
        <v>2.2346287595631029</v>
      </c>
      <c r="BG358" s="16">
        <f>INDEX('Team forecast'!$B$2:$AO$26,MATCH('Master data'!$B358,'Team forecast'!$B$2:$B$26,0),MATCH('Master data'!BG$1,'Team forecast'!$B$2:$AO$2,0))</f>
        <v>0.107031857031857</v>
      </c>
      <c r="BH358" s="16">
        <f>INDEX('Team forecast'!$B$2:$AO$26,MATCH('Master data'!$B358,'Team forecast'!$B$2:$B$26,0),MATCH('Master data'!BH$1,'Team forecast'!$B$2:$AO$2,0))</f>
        <v>2.4394679411923308</v>
      </c>
      <c r="BI358" s="16">
        <f>INDEX('Team forecast'!$B$2:$AO$26,MATCH('Master data'!$B358,'Team forecast'!$B$2:$B$26,0),MATCH('Master data'!BI$1,'Team forecast'!$B$2:$AO$2,0))</f>
        <v>5.8616895100097475</v>
      </c>
      <c r="BJ358" s="5">
        <f t="shared" si="201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202"/>
        <v>0</v>
      </c>
      <c r="BO358" s="5">
        <f t="shared" si="203"/>
        <v>0</v>
      </c>
      <c r="BP358" s="5">
        <f t="shared" si="204"/>
        <v>0</v>
      </c>
      <c r="BQ358" s="5">
        <f t="shared" si="205"/>
        <v>0</v>
      </c>
      <c r="BR358" s="5">
        <f t="shared" si="206"/>
        <v>0</v>
      </c>
      <c r="BS358" s="5">
        <f t="shared" si="207"/>
        <v>0</v>
      </c>
      <c r="BT358" s="5">
        <f t="shared" si="208"/>
        <v>0</v>
      </c>
      <c r="BU358" s="5">
        <f t="shared" si="209"/>
        <v>0</v>
      </c>
      <c r="BV358" s="5">
        <f t="shared" si="210"/>
        <v>0</v>
      </c>
      <c r="BW358" s="5">
        <f t="shared" si="211"/>
        <v>-5000</v>
      </c>
      <c r="BX358" s="5">
        <f t="shared" si="212"/>
        <v>-5000</v>
      </c>
      <c r="BY358" s="5">
        <f t="shared" si="213"/>
        <v>-15000</v>
      </c>
      <c r="BZ358" s="5">
        <f>INDEX('Team forecast'!$R$3:$BH$26,MATCH($B358,'Team forecast'!$B$3:$B$26,0),MATCH(BZ$1,'Team forecast'!$R$2:$BH$2,0))*($BX358-(BY358+CH358)*0.01)</f>
        <v>-12612.846989964777</v>
      </c>
      <c r="CA358" s="5">
        <f>INDEX('Team forecast'!$R$3:$BH$26,MATCH($B358,'Team forecast'!$B$3:$B$26,0),MATCH(CA$1,'Team forecast'!$R$2:$BH$2,0))*($BX358-(BY358+BX358+CH358)*0.01)</f>
        <v>-6187.8677727735048</v>
      </c>
      <c r="CB358" s="5">
        <f>INDEX('Team forecast'!$R$3:$BH$26,MATCH($B358,'Team forecast'!$B$3:$B$26,0),MATCH(CB$1,'Team forecast'!$R$2:$BH$2,0))*($BX358-(BY358+BX358*2+CH358)*0.01)</f>
        <v>-2988.2577161506028</v>
      </c>
      <c r="CC358" s="5">
        <f>INDEX('Team forecast'!$R$3:$BH$26,MATCH($B358,'Team forecast'!$B$3:$B$26,0),MATCH(CC$1,'Team forecast'!$R$2:$BH$2,0))*($BX358-(BY358+BX358*3+CH358)*0.01)</f>
        <v>-1363.1462523143489</v>
      </c>
      <c r="CD358" s="5">
        <f>+AK358+BD358*Cockpit!$C$3+BW358*Cockpit!$C$3^2+BZ358*Cockpit!$C$3^3+CA358*Cockpit!$C$3^4+CB358*Cockpit!$C$3^5+CC358*Cockpit!$C$3^6</f>
        <v>-16028.178340206243</v>
      </c>
      <c r="CE358" s="5"/>
      <c r="CF358" s="5"/>
      <c r="CG358" s="5">
        <v>0</v>
      </c>
      <c r="CH358" s="5">
        <f t="shared" si="214"/>
        <v>2000000</v>
      </c>
      <c r="CI358" s="5">
        <f t="shared" si="215"/>
        <v>2000000</v>
      </c>
      <c r="CJ358" s="1">
        <f t="shared" si="216"/>
        <v>-7.4999999999999997E-3</v>
      </c>
      <c r="CK358" s="5">
        <f>RANK(BY358,$BY$2:$BY$623)+COUNTIF($BY$2:$BY358,$BY358)-1</f>
        <v>525</v>
      </c>
      <c r="CL358" s="5">
        <f>RANK(CJ358,$CJ$2:$CJ$623)+COUNTIF($CJ$2:$CJ358,$CJ358)-1</f>
        <v>586</v>
      </c>
    </row>
    <row r="359" spans="1:90">
      <c r="A359" t="str">
        <f>Players!P360</f>
        <v>Adam Hlozek</v>
      </c>
      <c r="B359" t="str">
        <f>Players!G360</f>
        <v>Czech Republic</v>
      </c>
      <c r="C359" t="str">
        <f>Players!AB360</f>
        <v>Striker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1.0683489057066333</v>
      </c>
      <c r="I359" s="16">
        <f>INDEX('Team forecast'!$B$2:$AO$26,MATCH('Master data'!$B359,'Team forecast'!$B$2:$B$26,0),MATCH('Master data'!I$1,'Team forecast'!$B$2:$AO$2,0))</f>
        <v>1.0237318402178264</v>
      </c>
      <c r="J359" s="16">
        <f>INDEX('Team forecast'!$B$2:$AO$26,MATCH('Master data'!$B359,'Team forecast'!$B$2:$B$26,0),MATCH('Master data'!J$1,'Team forecast'!$B$2:$AO$2,0))</f>
        <v>0.35925176528884672</v>
      </c>
      <c r="K359" s="16">
        <f>INDEX('Team forecast'!$B$2:$AO$26,MATCH('Master data'!$B359,'Team forecast'!$B$2:$B$26,0),MATCH('Master data'!K$1,'Team forecast'!$B$2:$AO$2,0))</f>
        <v>3.1557383060872861</v>
      </c>
      <c r="L359" s="16">
        <f>INDEX('Team forecast'!$B$2:$AO$26,MATCH('Master data'!$B359,'Team forecast'!$B$2:$B$26,0),MATCH('Master data'!L$1,'Team forecast'!$B$2:$AO$2,0))</f>
        <v>2.685366937656811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0.15813020439061315</v>
      </c>
      <c r="R359" s="2">
        <f>Players!BR360</f>
        <v>0</v>
      </c>
      <c r="S359" s="2">
        <f t="shared" si="175"/>
        <v>1.0683489057066333</v>
      </c>
      <c r="T359" s="2">
        <f t="shared" si="176"/>
        <v>1.0237318402178264</v>
      </c>
      <c r="U359" s="16">
        <f>INDEX('Team forecast'!$B$2:$AO$26,MATCH('Master data'!$B359,'Team forecast'!$B$2:$B$26,0),MATCH('Master data'!U$1,'Team forecast'!$B$2:$AO$2,0))</f>
        <v>0.35925176528884672</v>
      </c>
      <c r="V359" s="16">
        <f>INDEX('Team forecast'!$B$2:$AO$26,MATCH('Master data'!$B359,'Team forecast'!$B$2:$B$26,0),MATCH('Master data'!V$1,'Team forecast'!$B$2:$AO$2,0))</f>
        <v>0.31494404756988892</v>
      </c>
      <c r="W359" s="16">
        <f>INDEX('Team forecast'!$B$2:$AO$26,MATCH('Master data'!$B359,'Team forecast'!$B$2:$B$26,0),MATCH('Master data'!W$1,'Team forecast'!$B$2:$AO$2,0))</f>
        <v>0.32580418714126441</v>
      </c>
      <c r="X359" s="5">
        <f t="shared" si="177"/>
        <v>-5000</v>
      </c>
      <c r="Y359" s="5">
        <f t="shared" si="178"/>
        <v>0</v>
      </c>
      <c r="Z359" s="5">
        <f t="shared" si="179"/>
        <v>0</v>
      </c>
      <c r="AA359" s="5">
        <f t="shared" si="180"/>
        <v>0</v>
      </c>
      <c r="AB359" s="5">
        <f t="shared" si="181"/>
        <v>0</v>
      </c>
      <c r="AC359" s="5">
        <f t="shared" si="182"/>
        <v>0</v>
      </c>
      <c r="AD359" s="5">
        <f t="shared" si="183"/>
        <v>0</v>
      </c>
      <c r="AE359" s="5">
        <f t="shared" si="184"/>
        <v>0</v>
      </c>
      <c r="AF359" s="5">
        <f t="shared" si="185"/>
        <v>0</v>
      </c>
      <c r="AG359" s="5">
        <f t="shared" si="186"/>
        <v>0</v>
      </c>
      <c r="AH359" s="5">
        <f t="shared" si="187"/>
        <v>0</v>
      </c>
      <c r="AI359" s="5">
        <f t="shared" si="188"/>
        <v>0</v>
      </c>
      <c r="AJ359" s="5">
        <f t="shared" si="189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0.97920455728472433</v>
      </c>
      <c r="AM359" s="16">
        <f>INDEX('Team forecast'!$B$2:$AO$26,MATCH('Master data'!$B359,'Team forecast'!$B$2:$B$26,0),MATCH('Master data'!AM$1,'Team forecast'!$B$2:$AO$2,0))</f>
        <v>1.3846696653928885</v>
      </c>
      <c r="AN359" s="16">
        <f>INDEX('Team forecast'!$B$2:$AO$26,MATCH('Master data'!$B359,'Team forecast'!$B$2:$B$26,0),MATCH('Master data'!AN$1,'Team forecast'!$B$2:$AO$2,0))</f>
        <v>0.25040650406504072</v>
      </c>
      <c r="AO359" s="16">
        <f>INDEX('Team forecast'!$B$2:$AO$26,MATCH('Master data'!$B359,'Team forecast'!$B$2:$B$26,0),MATCH('Master data'!AO$1,'Team forecast'!$B$2:$AO$2,0))</f>
        <v>2.8924196153641089</v>
      </c>
      <c r="AP359" s="16">
        <f>INDEX('Team forecast'!$B$2:$AO$26,MATCH('Master data'!$B359,'Team forecast'!$B$2:$B$26,0),MATCH('Master data'!AP$1,'Team forecast'!$B$2:$AO$2,0))</f>
        <v>3.6321485695230544</v>
      </c>
      <c r="AQ359" s="5">
        <f t="shared" si="190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191"/>
        <v>0</v>
      </c>
      <c r="AV359" s="5">
        <f t="shared" si="192"/>
        <v>0</v>
      </c>
      <c r="AW359" s="5">
        <f t="shared" si="193"/>
        <v>0</v>
      </c>
      <c r="AX359" s="5">
        <f t="shared" si="194"/>
        <v>0</v>
      </c>
      <c r="AY359" s="5">
        <f t="shared" si="195"/>
        <v>0</v>
      </c>
      <c r="AZ359" s="5">
        <f t="shared" si="196"/>
        <v>0</v>
      </c>
      <c r="BA359" s="5">
        <f t="shared" si="197"/>
        <v>0</v>
      </c>
      <c r="BB359" s="5">
        <f t="shared" si="198"/>
        <v>0</v>
      </c>
      <c r="BC359" s="5">
        <f t="shared" si="199"/>
        <v>0</v>
      </c>
      <c r="BD359" s="5">
        <f t="shared" si="200"/>
        <v>-5000</v>
      </c>
      <c r="BE359" s="16">
        <f>INDEX('Team forecast'!$B$2:$AO$26,MATCH('Master data'!$B359,'Team forecast'!$B$2:$B$26,0),MATCH('Master data'!BE$1,'Team forecast'!$B$2:$AO$2,0))</f>
        <v>0.82586154259115363</v>
      </c>
      <c r="BF359" s="16">
        <f>INDEX('Team forecast'!$B$2:$AO$26,MATCH('Master data'!$B359,'Team forecast'!$B$2:$B$26,0),MATCH('Master data'!BF$1,'Team forecast'!$B$2:$AO$2,0))</f>
        <v>2.2346287595631029</v>
      </c>
      <c r="BG359" s="16">
        <f>INDEX('Team forecast'!$B$2:$AO$26,MATCH('Master data'!$B359,'Team forecast'!$B$2:$B$26,0),MATCH('Master data'!BG$1,'Team forecast'!$B$2:$AO$2,0))</f>
        <v>0.107031857031857</v>
      </c>
      <c r="BH359" s="16">
        <f>INDEX('Team forecast'!$B$2:$AO$26,MATCH('Master data'!$B359,'Team forecast'!$B$2:$B$26,0),MATCH('Master data'!BH$1,'Team forecast'!$B$2:$AO$2,0))</f>
        <v>2.4394679411923308</v>
      </c>
      <c r="BI359" s="16">
        <f>INDEX('Team forecast'!$B$2:$AO$26,MATCH('Master data'!$B359,'Team forecast'!$B$2:$B$26,0),MATCH('Master data'!BI$1,'Team forecast'!$B$2:$AO$2,0))</f>
        <v>5.8616895100097475</v>
      </c>
      <c r="BJ359" s="5">
        <f t="shared" si="201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202"/>
        <v>0</v>
      </c>
      <c r="BO359" s="5">
        <f t="shared" si="203"/>
        <v>0</v>
      </c>
      <c r="BP359" s="5">
        <f t="shared" si="204"/>
        <v>0</v>
      </c>
      <c r="BQ359" s="5">
        <f t="shared" si="205"/>
        <v>0</v>
      </c>
      <c r="BR359" s="5">
        <f t="shared" si="206"/>
        <v>0</v>
      </c>
      <c r="BS359" s="5">
        <f t="shared" si="207"/>
        <v>0</v>
      </c>
      <c r="BT359" s="5">
        <f t="shared" si="208"/>
        <v>0</v>
      </c>
      <c r="BU359" s="5">
        <f t="shared" si="209"/>
        <v>0</v>
      </c>
      <c r="BV359" s="5">
        <f t="shared" si="210"/>
        <v>0</v>
      </c>
      <c r="BW359" s="5">
        <f t="shared" si="211"/>
        <v>-5000</v>
      </c>
      <c r="BX359" s="5">
        <f t="shared" si="212"/>
        <v>-5000</v>
      </c>
      <c r="BY359" s="5">
        <f t="shared" si="213"/>
        <v>-15000</v>
      </c>
      <c r="BZ359" s="5">
        <f>INDEX('Team forecast'!$R$3:$BH$26,MATCH($B359,'Team forecast'!$B$3:$B$26,0),MATCH(BZ$1,'Team forecast'!$R$2:$BH$2,0))*($BX359-(BY359+CH359)*0.01)</f>
        <v>-15150.643165007992</v>
      </c>
      <c r="CA359" s="5">
        <f>INDEX('Team forecast'!$R$3:$BH$26,MATCH($B359,'Team forecast'!$B$3:$B$26,0),MATCH(CA$1,'Team forecast'!$R$2:$BH$2,0))*($BX359-(BY359+BX359+CH359)*0.01)</f>
        <v>-7435.4217592197765</v>
      </c>
      <c r="CB359" s="5">
        <f>INDEX('Team forecast'!$R$3:$BH$26,MATCH($B359,'Team forecast'!$B$3:$B$26,0),MATCH(CB$1,'Team forecast'!$R$2:$BH$2,0))*($BX359-(BY359+BX359*2+CH359)*0.01)</f>
        <v>-3591.9461436557754</v>
      </c>
      <c r="CC359" s="5">
        <f>INDEX('Team forecast'!$R$3:$BH$26,MATCH($B359,'Team forecast'!$B$3:$B$26,0),MATCH(CC$1,'Team forecast'!$R$2:$BH$2,0))*($BX359-(BY359+BX359*3+CH359)*0.01)</f>
        <v>-1639.0867892200877</v>
      </c>
      <c r="CD359" s="5">
        <f>+AK359+BD359*Cockpit!$C$3+BW359*Cockpit!$C$3^2+BZ359*Cockpit!$C$3^3+CA359*Cockpit!$C$3^4+CB359*Cockpit!$C$3^5+CC359*Cockpit!$C$3^6</f>
        <v>-17130.271661550636</v>
      </c>
      <c r="CE359" s="5"/>
      <c r="CF359" s="5"/>
      <c r="CG359" s="5">
        <v>0</v>
      </c>
      <c r="CH359" s="5">
        <f t="shared" si="214"/>
        <v>2500000</v>
      </c>
      <c r="CI359" s="5">
        <f t="shared" si="215"/>
        <v>2500000</v>
      </c>
      <c r="CJ359" s="1">
        <f t="shared" si="216"/>
        <v>-6.0000000000000001E-3</v>
      </c>
      <c r="CK359" s="5">
        <f>RANK(BY359,$BY$2:$BY$623)+COUNTIF($BY$2:$BY359,$BY359)-1</f>
        <v>526</v>
      </c>
      <c r="CL359" s="5">
        <f>RANK(CJ359,$CJ$2:$CJ$623)+COUNTIF($CJ$2:$CJ359,$CJ359)-1</f>
        <v>544</v>
      </c>
    </row>
    <row r="360" spans="1:90">
      <c r="A360" t="str">
        <f>Players!P361</f>
        <v>Jakub Pesek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2500000</v>
      </c>
      <c r="H360" s="16">
        <f>INDEX('Team forecast'!$B$2:$AO$26,MATCH('Master data'!$B360,'Team forecast'!$B$2:$B$26,0),MATCH('Master data'!H$1,'Team forecast'!$B$2:$AO$2,0))</f>
        <v>1.0683489057066333</v>
      </c>
      <c r="I360" s="16">
        <f>INDEX('Team forecast'!$B$2:$AO$26,MATCH('Master data'!$B360,'Team forecast'!$B$2:$B$26,0),MATCH('Master data'!I$1,'Team forecast'!$B$2:$AO$2,0))</f>
        <v>1.0237318402178264</v>
      </c>
      <c r="J360" s="16">
        <f>INDEX('Team forecast'!$B$2:$AO$26,MATCH('Master data'!$B360,'Team forecast'!$B$2:$B$26,0),MATCH('Master data'!J$1,'Team forecast'!$B$2:$AO$2,0))</f>
        <v>0.35925176528884672</v>
      </c>
      <c r="K360" s="16">
        <f>INDEX('Team forecast'!$B$2:$AO$26,MATCH('Master data'!$B360,'Team forecast'!$B$2:$B$26,0),MATCH('Master data'!K$1,'Team forecast'!$B$2:$AO$2,0))</f>
        <v>3.1557383060872861</v>
      </c>
      <c r="L360" s="16">
        <f>INDEX('Team forecast'!$B$2:$AO$26,MATCH('Master data'!$B360,'Team forecast'!$B$2:$B$26,0),MATCH('Master data'!L$1,'Team forecast'!$B$2:$AO$2,0))</f>
        <v>2.685366937656811</v>
      </c>
      <c r="M360">
        <f>IF(Players!BC361=1,95,0)</f>
        <v>0</v>
      </c>
      <c r="N360" s="2">
        <f>Players!BN361</f>
        <v>0</v>
      </c>
      <c r="O360" s="2">
        <f>Players!BO361</f>
        <v>0</v>
      </c>
      <c r="P360" s="2">
        <f>Players!BP361</f>
        <v>0</v>
      </c>
      <c r="Q360" s="2">
        <f>Players!BQ361</f>
        <v>0.11370814908401768</v>
      </c>
      <c r="R360" s="2">
        <f>Players!BR361</f>
        <v>0</v>
      </c>
      <c r="S360" s="2">
        <f t="shared" si="175"/>
        <v>1.0683489057066333</v>
      </c>
      <c r="T360" s="2">
        <f t="shared" si="176"/>
        <v>1.0237318402178264</v>
      </c>
      <c r="U360" s="16">
        <f>INDEX('Team forecast'!$B$2:$AO$26,MATCH('Master data'!$B360,'Team forecast'!$B$2:$B$26,0),MATCH('Master data'!U$1,'Team forecast'!$B$2:$AO$2,0))</f>
        <v>0.35925176528884672</v>
      </c>
      <c r="V360" s="16">
        <f>INDEX('Team forecast'!$B$2:$AO$26,MATCH('Master data'!$B360,'Team forecast'!$B$2:$B$26,0),MATCH('Master data'!V$1,'Team forecast'!$B$2:$AO$2,0))</f>
        <v>0.31494404756988892</v>
      </c>
      <c r="W360" s="16">
        <f>INDEX('Team forecast'!$B$2:$AO$26,MATCH('Master data'!$B360,'Team forecast'!$B$2:$B$26,0),MATCH('Master data'!W$1,'Team forecast'!$B$2:$AO$2,0))</f>
        <v>0.32580418714126441</v>
      </c>
      <c r="X360" s="5">
        <f t="shared" si="177"/>
        <v>-5000</v>
      </c>
      <c r="Y360" s="5">
        <f t="shared" si="178"/>
        <v>0</v>
      </c>
      <c r="Z360" s="5">
        <f t="shared" si="179"/>
        <v>0</v>
      </c>
      <c r="AA360" s="5">
        <f t="shared" si="180"/>
        <v>0</v>
      </c>
      <c r="AB360" s="5">
        <f t="shared" si="181"/>
        <v>0</v>
      </c>
      <c r="AC360" s="5">
        <f t="shared" si="182"/>
        <v>0</v>
      </c>
      <c r="AD360" s="5">
        <f t="shared" si="183"/>
        <v>0</v>
      </c>
      <c r="AE360" s="5">
        <f t="shared" si="184"/>
        <v>0</v>
      </c>
      <c r="AF360" s="5">
        <f t="shared" si="185"/>
        <v>0</v>
      </c>
      <c r="AG360" s="5">
        <f t="shared" si="186"/>
        <v>0</v>
      </c>
      <c r="AH360" s="5">
        <f t="shared" si="187"/>
        <v>0</v>
      </c>
      <c r="AI360" s="5">
        <f t="shared" si="188"/>
        <v>0</v>
      </c>
      <c r="AJ360" s="5">
        <f t="shared" si="189"/>
        <v>0</v>
      </c>
      <c r="AK360" s="5">
        <f>IFERROR(SUM(X360:AJ360),-5000)*((Cockpit!$C$3)^0)</f>
        <v>-5000</v>
      </c>
      <c r="AL360" s="16">
        <f>INDEX('Team forecast'!$B$2:$AO$26,MATCH('Master data'!$B360,'Team forecast'!$B$2:$B$26,0),MATCH('Master data'!AL$1,'Team forecast'!$B$2:$AO$2,0))</f>
        <v>0.97920455728472433</v>
      </c>
      <c r="AM360" s="16">
        <f>INDEX('Team forecast'!$B$2:$AO$26,MATCH('Master data'!$B360,'Team forecast'!$B$2:$B$26,0),MATCH('Master data'!AM$1,'Team forecast'!$B$2:$AO$2,0))</f>
        <v>1.3846696653928885</v>
      </c>
      <c r="AN360" s="16">
        <f>INDEX('Team forecast'!$B$2:$AO$26,MATCH('Master data'!$B360,'Team forecast'!$B$2:$B$26,0),MATCH('Master data'!AN$1,'Team forecast'!$B$2:$AO$2,0))</f>
        <v>0.25040650406504072</v>
      </c>
      <c r="AO360" s="16">
        <f>INDEX('Team forecast'!$B$2:$AO$26,MATCH('Master data'!$B360,'Team forecast'!$B$2:$B$26,0),MATCH('Master data'!AO$1,'Team forecast'!$B$2:$AO$2,0))</f>
        <v>2.8924196153641089</v>
      </c>
      <c r="AP360" s="16">
        <f>INDEX('Team forecast'!$B$2:$AO$26,MATCH('Master data'!$B360,'Team forecast'!$B$2:$B$26,0),MATCH('Master data'!AP$1,'Team forecast'!$B$2:$AO$2,0))</f>
        <v>3.6321485695230544</v>
      </c>
      <c r="AQ360" s="5">
        <f t="shared" si="190"/>
        <v>-5000</v>
      </c>
      <c r="AR360" s="5">
        <f>INDEX('Team forecast'!$B$2:$AO$26,MATCH('Master data'!$B360,'Team forecast'!$B$2:$B$26,0),MATCH('Master data'!AR$1,'Team forecast'!$B$2:$AO$2,0))*IF(X360&gt;0,25000,0)</f>
        <v>0</v>
      </c>
      <c r="AS360" s="16">
        <f>INDEX('Team forecast'!$B$2:$AO$26,MATCH('Master data'!$B360,'Team forecast'!$B$2:$B$26,0),MATCH('Master data'!AS$1,'Team forecast'!$B$2:$AO$2,0))*IF(X360&gt;0,5000,0)</f>
        <v>0</v>
      </c>
      <c r="AT360" s="16">
        <f>INDEX('Team forecast'!$B$2:$AO$26,MATCH('Master data'!$B360,'Team forecast'!$B$2:$B$26,0),MATCH('Master data'!AT$1,'Team forecast'!$B$2:$AO$2,0))*IF(X360&gt;0,-15000,0)</f>
        <v>0</v>
      </c>
      <c r="AU360" s="5">
        <f t="shared" si="191"/>
        <v>0</v>
      </c>
      <c r="AV360" s="5">
        <f t="shared" si="192"/>
        <v>0</v>
      </c>
      <c r="AW360" s="5">
        <f t="shared" si="193"/>
        <v>0</v>
      </c>
      <c r="AX360" s="5">
        <f t="shared" si="194"/>
        <v>0</v>
      </c>
      <c r="AY360" s="5">
        <f t="shared" si="195"/>
        <v>0</v>
      </c>
      <c r="AZ360" s="5">
        <f t="shared" si="196"/>
        <v>0</v>
      </c>
      <c r="BA360" s="5">
        <f t="shared" si="197"/>
        <v>0</v>
      </c>
      <c r="BB360" s="5">
        <f t="shared" si="198"/>
        <v>0</v>
      </c>
      <c r="BC360" s="5">
        <f t="shared" si="199"/>
        <v>0</v>
      </c>
      <c r="BD360" s="5">
        <f t="shared" si="200"/>
        <v>-5000</v>
      </c>
      <c r="BE360" s="16">
        <f>INDEX('Team forecast'!$B$2:$AO$26,MATCH('Master data'!$B360,'Team forecast'!$B$2:$B$26,0),MATCH('Master data'!BE$1,'Team forecast'!$B$2:$AO$2,0))</f>
        <v>0.82586154259115363</v>
      </c>
      <c r="BF360" s="16">
        <f>INDEX('Team forecast'!$B$2:$AO$26,MATCH('Master data'!$B360,'Team forecast'!$B$2:$B$26,0),MATCH('Master data'!BF$1,'Team forecast'!$B$2:$AO$2,0))</f>
        <v>2.2346287595631029</v>
      </c>
      <c r="BG360" s="16">
        <f>INDEX('Team forecast'!$B$2:$AO$26,MATCH('Master data'!$B360,'Team forecast'!$B$2:$B$26,0),MATCH('Master data'!BG$1,'Team forecast'!$B$2:$AO$2,0))</f>
        <v>0.107031857031857</v>
      </c>
      <c r="BH360" s="16">
        <f>INDEX('Team forecast'!$B$2:$AO$26,MATCH('Master data'!$B360,'Team forecast'!$B$2:$B$26,0),MATCH('Master data'!BH$1,'Team forecast'!$B$2:$AO$2,0))</f>
        <v>2.4394679411923308</v>
      </c>
      <c r="BI360" s="16">
        <f>INDEX('Team forecast'!$B$2:$AO$26,MATCH('Master data'!$B360,'Team forecast'!$B$2:$B$26,0),MATCH('Master data'!BI$1,'Team forecast'!$B$2:$AO$2,0))</f>
        <v>5.8616895100097475</v>
      </c>
      <c r="BJ360" s="5">
        <f t="shared" si="201"/>
        <v>-5000</v>
      </c>
      <c r="BK360" s="5">
        <f>INDEX('Team forecast'!$R$3:$BH$26,MATCH($B360,'Team forecast'!$B$3:$B$26,0),MATCH(BK$1,'Team forecast'!$R$2:$BH$2,0))*IF($X360&gt;0,25000,0)</f>
        <v>0</v>
      </c>
      <c r="BL360" s="5">
        <f>INDEX('Team forecast'!$R$3:$BH$26,MATCH($B360,'Team forecast'!$B$3:$B$26,0),MATCH(BL$1,'Team forecast'!$R$2:$BH$2,0))*IF($X360&gt;0,5000,0)</f>
        <v>0</v>
      </c>
      <c r="BM360" s="5">
        <f>INDEX('Team forecast'!$R$3:$BH$26,MATCH($B360,'Team forecast'!$B$3:$B$26,0),MATCH(BM$1,'Team forecast'!$R$2:$BH$2,0))*IF($X360&gt;0,-15000,0)</f>
        <v>0</v>
      </c>
      <c r="BN360" s="5">
        <f t="shared" si="202"/>
        <v>0</v>
      </c>
      <c r="BO360" s="5">
        <f t="shared" si="203"/>
        <v>0</v>
      </c>
      <c r="BP360" s="5">
        <f t="shared" si="204"/>
        <v>0</v>
      </c>
      <c r="BQ360" s="5">
        <f t="shared" si="205"/>
        <v>0</v>
      </c>
      <c r="BR360" s="5">
        <f t="shared" si="206"/>
        <v>0</v>
      </c>
      <c r="BS360" s="5">
        <f t="shared" si="207"/>
        <v>0</v>
      </c>
      <c r="BT360" s="5">
        <f t="shared" si="208"/>
        <v>0</v>
      </c>
      <c r="BU360" s="5">
        <f t="shared" si="209"/>
        <v>0</v>
      </c>
      <c r="BV360" s="5">
        <f t="shared" si="210"/>
        <v>0</v>
      </c>
      <c r="BW360" s="5">
        <f t="shared" si="211"/>
        <v>-5000</v>
      </c>
      <c r="BX360" s="5">
        <f t="shared" si="212"/>
        <v>-5000</v>
      </c>
      <c r="BY360" s="5">
        <f t="shared" si="213"/>
        <v>-15000</v>
      </c>
      <c r="BZ360" s="5">
        <f>INDEX('Team forecast'!$R$3:$BH$26,MATCH($B360,'Team forecast'!$B$3:$B$26,0),MATCH(BZ$1,'Team forecast'!$R$2:$BH$2,0))*($BX360-(BY360+CH360)*0.01)</f>
        <v>-15150.643165007992</v>
      </c>
      <c r="CA360" s="5">
        <f>INDEX('Team forecast'!$R$3:$BH$26,MATCH($B360,'Team forecast'!$B$3:$B$26,0),MATCH(CA$1,'Team forecast'!$R$2:$BH$2,0))*($BX360-(BY360+BX360+CH360)*0.01)</f>
        <v>-7435.4217592197765</v>
      </c>
      <c r="CB360" s="5">
        <f>INDEX('Team forecast'!$R$3:$BH$26,MATCH($B360,'Team forecast'!$B$3:$B$26,0),MATCH(CB$1,'Team forecast'!$R$2:$BH$2,0))*($BX360-(BY360+BX360*2+CH360)*0.01)</f>
        <v>-3591.9461436557754</v>
      </c>
      <c r="CC360" s="5">
        <f>INDEX('Team forecast'!$R$3:$BH$26,MATCH($B360,'Team forecast'!$B$3:$B$26,0),MATCH(CC$1,'Team forecast'!$R$2:$BH$2,0))*($BX360-(BY360+BX360*3+CH360)*0.01)</f>
        <v>-1639.0867892200877</v>
      </c>
      <c r="CD360" s="5">
        <f>+AK360+BD360*Cockpit!$C$3+BW360*Cockpit!$C$3^2+BZ360*Cockpit!$C$3^3+CA360*Cockpit!$C$3^4+CB360*Cockpit!$C$3^5+CC360*Cockpit!$C$3^6</f>
        <v>-17130.271661550636</v>
      </c>
      <c r="CE360" s="5"/>
      <c r="CF360" s="5"/>
      <c r="CG360" s="5">
        <v>0</v>
      </c>
      <c r="CH360" s="5">
        <f t="shared" si="214"/>
        <v>2500000</v>
      </c>
      <c r="CI360" s="5">
        <f t="shared" si="215"/>
        <v>2500000</v>
      </c>
      <c r="CJ360" s="1">
        <f t="shared" si="216"/>
        <v>-6.0000000000000001E-3</v>
      </c>
      <c r="CK360" s="5">
        <f>RANK(BY360,$BY$2:$BY$623)+COUNTIF($BY$2:$BY360,$BY360)-1</f>
        <v>527</v>
      </c>
      <c r="CL360" s="5">
        <f>RANK(CJ360,$CJ$2:$CJ$623)+COUNTIF($CJ$2:$CJ360,$CJ360)-1</f>
        <v>545</v>
      </c>
    </row>
    <row r="361" spans="1:90">
      <c r="A361" t="str">
        <f>Players!P362</f>
        <v>Lukas Masopust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3000000</v>
      </c>
      <c r="H361" s="16">
        <f>INDEX('Team forecast'!$B$2:$AO$26,MATCH('Master data'!$B361,'Team forecast'!$B$2:$B$26,0),MATCH('Master data'!H$1,'Team forecast'!$B$2:$AO$2,0))</f>
        <v>1.0683489057066333</v>
      </c>
      <c r="I361" s="16">
        <f>INDEX('Team forecast'!$B$2:$AO$26,MATCH('Master data'!$B361,'Team forecast'!$B$2:$B$26,0),MATCH('Master data'!I$1,'Team forecast'!$B$2:$AO$2,0))</f>
        <v>1.0237318402178264</v>
      </c>
      <c r="J361" s="16">
        <f>INDEX('Team forecast'!$B$2:$AO$26,MATCH('Master data'!$B361,'Team forecast'!$B$2:$B$26,0),MATCH('Master data'!J$1,'Team forecast'!$B$2:$AO$2,0))</f>
        <v>0.35925176528884672</v>
      </c>
      <c r="K361" s="16">
        <f>INDEX('Team forecast'!$B$2:$AO$26,MATCH('Master data'!$B361,'Team forecast'!$B$2:$B$26,0),MATCH('Master data'!K$1,'Team forecast'!$B$2:$AO$2,0))</f>
        <v>3.1557383060872861</v>
      </c>
      <c r="L361" s="16">
        <f>INDEX('Team forecast'!$B$2:$AO$26,MATCH('Master data'!$B361,'Team forecast'!$B$2:$B$26,0),MATCH('Master data'!L$1,'Team forecast'!$B$2:$AO$2,0))</f>
        <v>2.685366937656811</v>
      </c>
      <c r="M361">
        <f>IF(Players!BC362=1,95,0)</f>
        <v>95</v>
      </c>
      <c r="N361" s="2">
        <f>Players!BN362</f>
        <v>8.6574719975349421E-2</v>
      </c>
      <c r="O361" s="2">
        <f>Players!BO362</f>
        <v>8.2945029059306244E-2</v>
      </c>
      <c r="P361" s="2">
        <f>Players!BP362</f>
        <v>8.656706104261766E-2</v>
      </c>
      <c r="Q361" s="2">
        <f>Players!BQ362</f>
        <v>0.2453579952267303</v>
      </c>
      <c r="R361" s="2">
        <f>Players!BR362</f>
        <v>0</v>
      </c>
      <c r="S361" s="2">
        <f t="shared" si="175"/>
        <v>1.0683489057066333</v>
      </c>
      <c r="T361" s="2">
        <f t="shared" si="176"/>
        <v>1.0237318402178264</v>
      </c>
      <c r="U361" s="16">
        <f>INDEX('Team forecast'!$B$2:$AO$26,MATCH('Master data'!$B361,'Team forecast'!$B$2:$B$26,0),MATCH('Master data'!U$1,'Team forecast'!$B$2:$AO$2,0))</f>
        <v>0.35925176528884672</v>
      </c>
      <c r="V361" s="16">
        <f>INDEX('Team forecast'!$B$2:$AO$26,MATCH('Master data'!$B361,'Team forecast'!$B$2:$B$26,0),MATCH('Master data'!V$1,'Team forecast'!$B$2:$AO$2,0))</f>
        <v>0.31494404756988892</v>
      </c>
      <c r="W361" s="16">
        <f>INDEX('Team forecast'!$B$2:$AO$26,MATCH('Master data'!$B361,'Team forecast'!$B$2:$B$26,0),MATCH('Master data'!W$1,'Team forecast'!$B$2:$AO$2,0))</f>
        <v>0.32580418714126441</v>
      </c>
      <c r="X361" s="5">
        <f t="shared" si="177"/>
        <v>7000</v>
      </c>
      <c r="Y361" s="5">
        <f t="shared" si="178"/>
        <v>8981.2941322211682</v>
      </c>
      <c r="Z361" s="5">
        <f t="shared" si="179"/>
        <v>1574.7202378494446</v>
      </c>
      <c r="AA361" s="5">
        <f t="shared" si="180"/>
        <v>-4887.0628071189658</v>
      </c>
      <c r="AB361" s="5">
        <f t="shared" si="181"/>
        <v>11561.500918440346</v>
      </c>
      <c r="AC361" s="5">
        <f t="shared" si="182"/>
        <v>4430.7115514657371</v>
      </c>
      <c r="AD361" s="5">
        <f t="shared" si="183"/>
        <v>2731.8299057758495</v>
      </c>
      <c r="AE361" s="5">
        <f t="shared" si="184"/>
        <v>0</v>
      </c>
      <c r="AF361" s="5">
        <f t="shared" si="185"/>
        <v>0</v>
      </c>
      <c r="AG361" s="5">
        <f t="shared" si="186"/>
        <v>-4907.1599045346056</v>
      </c>
      <c r="AH361" s="5">
        <f t="shared" si="187"/>
        <v>0</v>
      </c>
      <c r="AI361" s="5">
        <f t="shared" si="188"/>
        <v>10683.489057066334</v>
      </c>
      <c r="AJ361" s="5">
        <f t="shared" si="189"/>
        <v>-8189.8547217426112</v>
      </c>
      <c r="AK361" s="5">
        <f>IFERROR(SUM(X361:AJ361),-5000)*((Cockpit!$C$3)^0)</f>
        <v>28979.468369422699</v>
      </c>
      <c r="AL361" s="16">
        <f>INDEX('Team forecast'!$B$2:$AO$26,MATCH('Master data'!$B361,'Team forecast'!$B$2:$B$26,0),MATCH('Master data'!AL$1,'Team forecast'!$B$2:$AO$2,0))</f>
        <v>0.97920455728472433</v>
      </c>
      <c r="AM361" s="16">
        <f>INDEX('Team forecast'!$B$2:$AO$26,MATCH('Master data'!$B361,'Team forecast'!$B$2:$B$26,0),MATCH('Master data'!AM$1,'Team forecast'!$B$2:$AO$2,0))</f>
        <v>1.3846696653928885</v>
      </c>
      <c r="AN361" s="16">
        <f>INDEX('Team forecast'!$B$2:$AO$26,MATCH('Master data'!$B361,'Team forecast'!$B$2:$B$26,0),MATCH('Master data'!AN$1,'Team forecast'!$B$2:$AO$2,0))</f>
        <v>0.25040650406504072</v>
      </c>
      <c r="AO361" s="16">
        <f>INDEX('Team forecast'!$B$2:$AO$26,MATCH('Master data'!$B361,'Team forecast'!$B$2:$B$26,0),MATCH('Master data'!AO$1,'Team forecast'!$B$2:$AO$2,0))</f>
        <v>2.8924196153641089</v>
      </c>
      <c r="AP361" s="16">
        <f>INDEX('Team forecast'!$B$2:$AO$26,MATCH('Master data'!$B361,'Team forecast'!$B$2:$B$26,0),MATCH('Master data'!AP$1,'Team forecast'!$B$2:$AO$2,0))</f>
        <v>3.6321485695230544</v>
      </c>
      <c r="AQ361" s="5">
        <f t="shared" si="190"/>
        <v>7000</v>
      </c>
      <c r="AR361" s="5">
        <f>INDEX('Team forecast'!$B$2:$AO$26,MATCH('Master data'!$B361,'Team forecast'!$B$2:$B$26,0),MATCH('Master data'!AR$1,'Team forecast'!$B$2:$AO$2,0))*IF(X361&gt;0,25000,0)</f>
        <v>6707.3170731707323</v>
      </c>
      <c r="AS361" s="16">
        <f>INDEX('Team forecast'!$B$2:$AO$26,MATCH('Master data'!$B361,'Team forecast'!$B$2:$B$26,0),MATCH('Master data'!AS$1,'Team forecast'!$B$2:$AO$2,0))*IF(X361&gt;0,5000,0)</f>
        <v>1422.7642276422764</v>
      </c>
      <c r="AT361" s="16">
        <f>INDEX('Team forecast'!$B$2:$AO$26,MATCH('Master data'!$B361,'Team forecast'!$B$2:$B$26,0),MATCH('Master data'!AT$1,'Team forecast'!$B$2:$AO$2,0))*IF(X361&gt;0,-15000,0)</f>
        <v>-6707.3170731707305</v>
      </c>
      <c r="AU361" s="5">
        <f t="shared" si="191"/>
        <v>10596.795043188877</v>
      </c>
      <c r="AV361" s="5">
        <f t="shared" si="192"/>
        <v>4061.0075229493286</v>
      </c>
      <c r="AW361" s="5">
        <f t="shared" si="193"/>
        <v>2503.882654040895</v>
      </c>
      <c r="AX361" s="5">
        <f t="shared" si="194"/>
        <v>0</v>
      </c>
      <c r="AY361" s="5">
        <f t="shared" si="195"/>
        <v>0</v>
      </c>
      <c r="AZ361" s="5">
        <f t="shared" si="196"/>
        <v>-4907.1599045346056</v>
      </c>
      <c r="BA361" s="5">
        <f t="shared" si="197"/>
        <v>0</v>
      </c>
      <c r="BB361" s="5">
        <f t="shared" si="198"/>
        <v>9792.0455728472425</v>
      </c>
      <c r="BC361" s="5">
        <f t="shared" si="199"/>
        <v>-11077.357323143107</v>
      </c>
      <c r="BD361" s="5">
        <f t="shared" si="200"/>
        <v>19391.977792990911</v>
      </c>
      <c r="BE361" s="16">
        <f>INDEX('Team forecast'!$B$2:$AO$26,MATCH('Master data'!$B361,'Team forecast'!$B$2:$B$26,0),MATCH('Master data'!BE$1,'Team forecast'!$B$2:$AO$2,0))</f>
        <v>0.82586154259115363</v>
      </c>
      <c r="BF361" s="16">
        <f>INDEX('Team forecast'!$B$2:$AO$26,MATCH('Master data'!$B361,'Team forecast'!$B$2:$B$26,0),MATCH('Master data'!BF$1,'Team forecast'!$B$2:$AO$2,0))</f>
        <v>2.2346287595631029</v>
      </c>
      <c r="BG361" s="16">
        <f>INDEX('Team forecast'!$B$2:$AO$26,MATCH('Master data'!$B361,'Team forecast'!$B$2:$B$26,0),MATCH('Master data'!BG$1,'Team forecast'!$B$2:$AO$2,0))</f>
        <v>0.107031857031857</v>
      </c>
      <c r="BH361" s="16">
        <f>INDEX('Team forecast'!$B$2:$AO$26,MATCH('Master data'!$B361,'Team forecast'!$B$2:$B$26,0),MATCH('Master data'!BH$1,'Team forecast'!$B$2:$AO$2,0))</f>
        <v>2.4394679411923308</v>
      </c>
      <c r="BI361" s="16">
        <f>INDEX('Team forecast'!$B$2:$AO$26,MATCH('Master data'!$B361,'Team forecast'!$B$2:$B$26,0),MATCH('Master data'!BI$1,'Team forecast'!$B$2:$AO$2,0))</f>
        <v>5.8616895100097475</v>
      </c>
      <c r="BJ361" s="5">
        <f t="shared" si="201"/>
        <v>7000</v>
      </c>
      <c r="BK361" s="5">
        <f>INDEX('Team forecast'!$R$3:$BH$26,MATCH($B361,'Team forecast'!$B$3:$B$26,0),MATCH(BK$1,'Team forecast'!$R$2:$BH$2,0))*IF($X361&gt;0,25000,0)</f>
        <v>3321.6783216783224</v>
      </c>
      <c r="BL361" s="5">
        <f>INDEX('Team forecast'!$R$3:$BH$26,MATCH($B361,'Team forecast'!$B$3:$B$26,0),MATCH(BL$1,'Team forecast'!$R$2:$BH$2,0))*IF($X361&gt;0,5000,0)</f>
        <v>1013.9860139860141</v>
      </c>
      <c r="BM361" s="5">
        <f>INDEX('Team forecast'!$R$3:$BH$26,MATCH($B361,'Team forecast'!$B$3:$B$26,0),MATCH(BM$1,'Team forecast'!$R$2:$BH$2,0))*IF($X361&gt;0,-15000,0)</f>
        <v>-9965.0349650349635</v>
      </c>
      <c r="BN361" s="5">
        <f t="shared" si="202"/>
        <v>8937.3414735299048</v>
      </c>
      <c r="BO361" s="5">
        <f t="shared" si="203"/>
        <v>3425.0554824593364</v>
      </c>
      <c r="BP361" s="5">
        <f t="shared" si="204"/>
        <v>2111.7757017670533</v>
      </c>
      <c r="BQ361" s="5">
        <f t="shared" si="205"/>
        <v>0</v>
      </c>
      <c r="BR361" s="5">
        <f t="shared" si="206"/>
        <v>0</v>
      </c>
      <c r="BS361" s="5">
        <f t="shared" si="207"/>
        <v>-4907.1599045346056</v>
      </c>
      <c r="BT361" s="5">
        <f t="shared" si="208"/>
        <v>0</v>
      </c>
      <c r="BU361" s="5">
        <f t="shared" si="209"/>
        <v>8258.6154259115356</v>
      </c>
      <c r="BV361" s="5">
        <f t="shared" si="210"/>
        <v>-17877.030076504823</v>
      </c>
      <c r="BW361" s="5">
        <f t="shared" si="211"/>
        <v>1319.2274732577753</v>
      </c>
      <c r="BX361" s="5">
        <f t="shared" si="212"/>
        <v>16563.557878557127</v>
      </c>
      <c r="BY361" s="5">
        <f t="shared" si="213"/>
        <v>49690.673635671381</v>
      </c>
      <c r="BZ361" s="5">
        <f>INDEX('Team forecast'!$R$3:$BH$26,MATCH($B361,'Team forecast'!$B$3:$B$26,0),MATCH(BZ$1,'Team forecast'!$R$2:$BH$2,0))*($BX361-(BY361+CH361)*0.01)</f>
        <v>-7071.9998873733084</v>
      </c>
      <c r="CA361" s="5">
        <f>INDEX('Team forecast'!$R$3:$BH$26,MATCH($B361,'Team forecast'!$B$3:$B$26,0),MATCH(CA$1,'Team forecast'!$R$2:$BH$2,0))*($BX361-(BY361+BX361+CH361)*0.01)</f>
        <v>-3517.8488477411502</v>
      </c>
      <c r="CB361" s="5">
        <f>INDEX('Team forecast'!$R$3:$BH$26,MATCH($B361,'Team forecast'!$B$3:$B$26,0),MATCH(CB$1,'Team forecast'!$R$2:$BH$2,0))*($BX361-(BY361+BX361*2+CH361)*0.01)</f>
        <v>-1722.2772052075925</v>
      </c>
      <c r="CC361" s="5">
        <f>INDEX('Team forecast'!$R$3:$BH$26,MATCH($B361,'Team forecast'!$B$3:$B$26,0),MATCH(CC$1,'Team forecast'!$R$2:$BH$2,0))*($BX361-(BY361+BX361*3+CH361)*0.01)</f>
        <v>-796.37849526770572</v>
      </c>
      <c r="CD361" s="5">
        <f>+AK361+BD361*Cockpit!$C$3+BW361*Cockpit!$C$3^2+BZ361*Cockpit!$C$3^3+CA361*Cockpit!$C$3^4+CB361*Cockpit!$C$3^5+CC361*Cockpit!$C$3^6</f>
        <v>39406.768593818691</v>
      </c>
      <c r="CE361" s="5"/>
      <c r="CF361" s="5"/>
      <c r="CG361" s="5">
        <v>0</v>
      </c>
      <c r="CH361" s="5">
        <f t="shared" si="214"/>
        <v>3000000</v>
      </c>
      <c r="CI361" s="5">
        <f t="shared" si="215"/>
        <v>3000000</v>
      </c>
      <c r="CJ361" s="1">
        <f t="shared" si="216"/>
        <v>1.6563557878557126E-2</v>
      </c>
      <c r="CK361" s="5">
        <f>RANK(BY361,$BY$2:$BY$623)+COUNTIF($BY$2:$BY361,$BY361)-1</f>
        <v>291</v>
      </c>
      <c r="CL361" s="5">
        <f>RANK(CJ361,$CJ$2:$CJ$623)+COUNTIF($CJ$2:$CJ361,$CJ361)-1</f>
        <v>294</v>
      </c>
    </row>
    <row r="362" spans="1:90">
      <c r="A362" t="str">
        <f>Players!P363</f>
        <v>Jakub Jankto</v>
      </c>
      <c r="B362" t="str">
        <f>Players!G363</f>
        <v>Czech Republic</v>
      </c>
      <c r="C362" t="str">
        <f>Players!AB363</f>
        <v>Midfield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4000000</v>
      </c>
      <c r="H362" s="16">
        <f>INDEX('Team forecast'!$B$2:$AO$26,MATCH('Master data'!$B362,'Team forecast'!$B$2:$B$26,0),MATCH('Master data'!H$1,'Team forecast'!$B$2:$AO$2,0))</f>
        <v>1.0683489057066333</v>
      </c>
      <c r="I362" s="16">
        <f>INDEX('Team forecast'!$B$2:$AO$26,MATCH('Master data'!$B362,'Team forecast'!$B$2:$B$26,0),MATCH('Master data'!I$1,'Team forecast'!$B$2:$AO$2,0))</f>
        <v>1.0237318402178264</v>
      </c>
      <c r="J362" s="16">
        <f>INDEX('Team forecast'!$B$2:$AO$26,MATCH('Master data'!$B362,'Team forecast'!$B$2:$B$26,0),MATCH('Master data'!J$1,'Team forecast'!$B$2:$AO$2,0))</f>
        <v>0.35925176528884672</v>
      </c>
      <c r="K362" s="16">
        <f>INDEX('Team forecast'!$B$2:$AO$26,MATCH('Master data'!$B362,'Team forecast'!$B$2:$B$26,0),MATCH('Master data'!K$1,'Team forecast'!$B$2:$AO$2,0))</f>
        <v>3.1557383060872861</v>
      </c>
      <c r="L362" s="16">
        <f>INDEX('Team forecast'!$B$2:$AO$26,MATCH('Master data'!$B362,'Team forecast'!$B$2:$B$26,0),MATCH('Master data'!L$1,'Team forecast'!$B$2:$AO$2,0))</f>
        <v>2.685366937656811</v>
      </c>
      <c r="M362">
        <f>IF(Players!BC363=1,95,0)</f>
        <v>95</v>
      </c>
      <c r="N362" s="2">
        <f>Players!BN363</f>
        <v>0.14450634888901431</v>
      </c>
      <c r="O362" s="2">
        <f>Players!BO363</f>
        <v>0.20310149357896726</v>
      </c>
      <c r="P362" s="2">
        <f>Players!BP363</f>
        <v>0.13744921604844451</v>
      </c>
      <c r="Q362" s="2">
        <f>Players!BQ363</f>
        <v>0.32161637040099211</v>
      </c>
      <c r="R362" s="2">
        <f>Players!BR363</f>
        <v>0</v>
      </c>
      <c r="S362" s="2">
        <f t="shared" si="175"/>
        <v>1.0683489057066333</v>
      </c>
      <c r="T362" s="2">
        <f t="shared" si="176"/>
        <v>1.0237318402178264</v>
      </c>
      <c r="U362" s="16">
        <f>INDEX('Team forecast'!$B$2:$AO$26,MATCH('Master data'!$B362,'Team forecast'!$B$2:$B$26,0),MATCH('Master data'!U$1,'Team forecast'!$B$2:$AO$2,0))</f>
        <v>0.35925176528884672</v>
      </c>
      <c r="V362" s="16">
        <f>INDEX('Team forecast'!$B$2:$AO$26,MATCH('Master data'!$B362,'Team forecast'!$B$2:$B$26,0),MATCH('Master data'!V$1,'Team forecast'!$B$2:$AO$2,0))</f>
        <v>0.31494404756988892</v>
      </c>
      <c r="W362" s="16">
        <f>INDEX('Team forecast'!$B$2:$AO$26,MATCH('Master data'!$B362,'Team forecast'!$B$2:$B$26,0),MATCH('Master data'!W$1,'Team forecast'!$B$2:$AO$2,0))</f>
        <v>0.32580418714126441</v>
      </c>
      <c r="X362" s="5">
        <f t="shared" si="177"/>
        <v>7000</v>
      </c>
      <c r="Y362" s="5">
        <f t="shared" si="178"/>
        <v>8981.2941322211682</v>
      </c>
      <c r="Z362" s="5">
        <f t="shared" si="179"/>
        <v>1574.7202378494446</v>
      </c>
      <c r="AA362" s="5">
        <f t="shared" si="180"/>
        <v>-4887.0628071189658</v>
      </c>
      <c r="AB362" s="5">
        <f t="shared" si="181"/>
        <v>19297.899962904925</v>
      </c>
      <c r="AC362" s="5">
        <f t="shared" si="182"/>
        <v>10849.162920623625</v>
      </c>
      <c r="AD362" s="5">
        <f t="shared" si="183"/>
        <v>4337.5375622574365</v>
      </c>
      <c r="AE362" s="5">
        <f t="shared" si="184"/>
        <v>0</v>
      </c>
      <c r="AF362" s="5">
        <f t="shared" si="185"/>
        <v>0</v>
      </c>
      <c r="AG362" s="5">
        <f t="shared" si="186"/>
        <v>-6432.3274080198426</v>
      </c>
      <c r="AH362" s="5">
        <f t="shared" si="187"/>
        <v>0</v>
      </c>
      <c r="AI362" s="5">
        <f t="shared" si="188"/>
        <v>10683.489057066334</v>
      </c>
      <c r="AJ362" s="5">
        <f t="shared" si="189"/>
        <v>-8189.8547217426112</v>
      </c>
      <c r="AK362" s="5">
        <f>IFERROR(SUM(X362:AJ362),-5000)*((Cockpit!$C$3)^0)</f>
        <v>43214.858936041514</v>
      </c>
      <c r="AL362" s="16">
        <f>INDEX('Team forecast'!$B$2:$AO$26,MATCH('Master data'!$B362,'Team forecast'!$B$2:$B$26,0),MATCH('Master data'!AL$1,'Team forecast'!$B$2:$AO$2,0))</f>
        <v>0.97920455728472433</v>
      </c>
      <c r="AM362" s="16">
        <f>INDEX('Team forecast'!$B$2:$AO$26,MATCH('Master data'!$B362,'Team forecast'!$B$2:$B$26,0),MATCH('Master data'!AM$1,'Team forecast'!$B$2:$AO$2,0))</f>
        <v>1.3846696653928885</v>
      </c>
      <c r="AN362" s="16">
        <f>INDEX('Team forecast'!$B$2:$AO$26,MATCH('Master data'!$B362,'Team forecast'!$B$2:$B$26,0),MATCH('Master data'!AN$1,'Team forecast'!$B$2:$AO$2,0))</f>
        <v>0.25040650406504072</v>
      </c>
      <c r="AO362" s="16">
        <f>INDEX('Team forecast'!$B$2:$AO$26,MATCH('Master data'!$B362,'Team forecast'!$B$2:$B$26,0),MATCH('Master data'!AO$1,'Team forecast'!$B$2:$AO$2,0))</f>
        <v>2.8924196153641089</v>
      </c>
      <c r="AP362" s="16">
        <f>INDEX('Team forecast'!$B$2:$AO$26,MATCH('Master data'!$B362,'Team forecast'!$B$2:$B$26,0),MATCH('Master data'!AP$1,'Team forecast'!$B$2:$AO$2,0))</f>
        <v>3.6321485695230544</v>
      </c>
      <c r="AQ362" s="5">
        <f t="shared" si="190"/>
        <v>7000</v>
      </c>
      <c r="AR362" s="5">
        <f>INDEX('Team forecast'!$B$2:$AO$26,MATCH('Master data'!$B362,'Team forecast'!$B$2:$B$26,0),MATCH('Master data'!AR$1,'Team forecast'!$B$2:$AO$2,0))*IF(X362&gt;0,25000,0)</f>
        <v>6707.3170731707323</v>
      </c>
      <c r="AS362" s="16">
        <f>INDEX('Team forecast'!$B$2:$AO$26,MATCH('Master data'!$B362,'Team forecast'!$B$2:$B$26,0),MATCH('Master data'!AS$1,'Team forecast'!$B$2:$AO$2,0))*IF(X362&gt;0,5000,0)</f>
        <v>1422.7642276422764</v>
      </c>
      <c r="AT362" s="16">
        <f>INDEX('Team forecast'!$B$2:$AO$26,MATCH('Master data'!$B362,'Team forecast'!$B$2:$B$26,0),MATCH('Master data'!AT$1,'Team forecast'!$B$2:$AO$2,0))*IF(X362&gt;0,-15000,0)</f>
        <v>-6707.3170731707305</v>
      </c>
      <c r="AU362" s="5">
        <f t="shared" si="191"/>
        <v>17687.659423587396</v>
      </c>
      <c r="AV362" s="5">
        <f t="shared" si="192"/>
        <v>9943.8954051929468</v>
      </c>
      <c r="AW362" s="5">
        <f t="shared" si="193"/>
        <v>3975.608086149402</v>
      </c>
      <c r="AX362" s="5">
        <f t="shared" si="194"/>
        <v>0</v>
      </c>
      <c r="AY362" s="5">
        <f t="shared" si="195"/>
        <v>0</v>
      </c>
      <c r="AZ362" s="5">
        <f t="shared" si="196"/>
        <v>-6432.3274080198426</v>
      </c>
      <c r="BA362" s="5">
        <f t="shared" si="197"/>
        <v>0</v>
      </c>
      <c r="BB362" s="5">
        <f t="shared" si="198"/>
        <v>9792.0455728472425</v>
      </c>
      <c r="BC362" s="5">
        <f t="shared" si="199"/>
        <v>-11077.357323143107</v>
      </c>
      <c r="BD362" s="5">
        <f t="shared" si="200"/>
        <v>32312.287984256327</v>
      </c>
      <c r="BE362" s="16">
        <f>INDEX('Team forecast'!$B$2:$AO$26,MATCH('Master data'!$B362,'Team forecast'!$B$2:$B$26,0),MATCH('Master data'!BE$1,'Team forecast'!$B$2:$AO$2,0))</f>
        <v>0.82586154259115363</v>
      </c>
      <c r="BF362" s="16">
        <f>INDEX('Team forecast'!$B$2:$AO$26,MATCH('Master data'!$B362,'Team forecast'!$B$2:$B$26,0),MATCH('Master data'!BF$1,'Team forecast'!$B$2:$AO$2,0))</f>
        <v>2.2346287595631029</v>
      </c>
      <c r="BG362" s="16">
        <f>INDEX('Team forecast'!$B$2:$AO$26,MATCH('Master data'!$B362,'Team forecast'!$B$2:$B$26,0),MATCH('Master data'!BG$1,'Team forecast'!$B$2:$AO$2,0))</f>
        <v>0.107031857031857</v>
      </c>
      <c r="BH362" s="16">
        <f>INDEX('Team forecast'!$B$2:$AO$26,MATCH('Master data'!$B362,'Team forecast'!$B$2:$B$26,0),MATCH('Master data'!BH$1,'Team forecast'!$B$2:$AO$2,0))</f>
        <v>2.4394679411923308</v>
      </c>
      <c r="BI362" s="16">
        <f>INDEX('Team forecast'!$B$2:$AO$26,MATCH('Master data'!$B362,'Team forecast'!$B$2:$B$26,0),MATCH('Master data'!BI$1,'Team forecast'!$B$2:$AO$2,0))</f>
        <v>5.8616895100097475</v>
      </c>
      <c r="BJ362" s="5">
        <f t="shared" si="201"/>
        <v>7000</v>
      </c>
      <c r="BK362" s="5">
        <f>INDEX('Team forecast'!$R$3:$BH$26,MATCH($B362,'Team forecast'!$B$3:$B$26,0),MATCH(BK$1,'Team forecast'!$R$2:$BH$2,0))*IF($X362&gt;0,25000,0)</f>
        <v>3321.6783216783224</v>
      </c>
      <c r="BL362" s="5">
        <f>INDEX('Team forecast'!$R$3:$BH$26,MATCH($B362,'Team forecast'!$B$3:$B$26,0),MATCH(BL$1,'Team forecast'!$R$2:$BH$2,0))*IF($X362&gt;0,5000,0)</f>
        <v>1013.9860139860141</v>
      </c>
      <c r="BM362" s="5">
        <f>INDEX('Team forecast'!$R$3:$BH$26,MATCH($B362,'Team forecast'!$B$3:$B$26,0),MATCH(BM$1,'Team forecast'!$R$2:$BH$2,0))*IF($X362&gt;0,-15000,0)</f>
        <v>-9965.0349650349635</v>
      </c>
      <c r="BN362" s="5">
        <f t="shared" si="202"/>
        <v>14917.7795259621</v>
      </c>
      <c r="BO362" s="5">
        <f t="shared" si="203"/>
        <v>8386.68563948466</v>
      </c>
      <c r="BP362" s="5">
        <f t="shared" si="204"/>
        <v>3353.0295609219879</v>
      </c>
      <c r="BQ362" s="5">
        <f t="shared" si="205"/>
        <v>0</v>
      </c>
      <c r="BR362" s="5">
        <f t="shared" si="206"/>
        <v>0</v>
      </c>
      <c r="BS362" s="5">
        <f t="shared" si="207"/>
        <v>-6432.3274080198426</v>
      </c>
      <c r="BT362" s="5">
        <f t="shared" si="208"/>
        <v>0</v>
      </c>
      <c r="BU362" s="5">
        <f t="shared" si="209"/>
        <v>8258.6154259115356</v>
      </c>
      <c r="BV362" s="5">
        <f t="shared" si="210"/>
        <v>-17877.030076504823</v>
      </c>
      <c r="BW362" s="5">
        <f t="shared" si="211"/>
        <v>11977.382038384989</v>
      </c>
      <c r="BX362" s="5">
        <f t="shared" si="212"/>
        <v>29168.176319560949</v>
      </c>
      <c r="BY362" s="5">
        <f t="shared" si="213"/>
        <v>87504.528958682844</v>
      </c>
      <c r="BZ362" s="5">
        <f>INDEX('Team forecast'!$R$3:$BH$26,MATCH($B362,'Team forecast'!$B$3:$B$26,0),MATCH(BZ$1,'Team forecast'!$R$2:$BH$2,0))*($BX362-(BY362+CH362)*0.01)</f>
        <v>-5941.9294587727554</v>
      </c>
      <c r="CA362" s="5">
        <f>INDEX('Team forecast'!$R$3:$BH$26,MATCH($B362,'Team forecast'!$B$3:$B$26,0),MATCH(CA$1,'Team forecast'!$R$2:$BH$2,0))*($BX362-(BY362+BX362+CH362)*0.01)</f>
        <v>-2993.7679597616593</v>
      </c>
      <c r="CB362" s="5">
        <f>INDEX('Team forecast'!$R$3:$BH$26,MATCH($B362,'Team forecast'!$B$3:$B$26,0),MATCH(CB$1,'Team forecast'!$R$2:$BH$2,0))*($BX362-(BY362+BX362*2+CH362)*0.01)</f>
        <v>-1483.8942258870018</v>
      </c>
      <c r="CC362" s="5">
        <f>INDEX('Team forecast'!$R$3:$BH$26,MATCH($B362,'Team forecast'!$B$3:$B$26,0),MATCH(CC$1,'Team forecast'!$R$2:$BH$2,0))*($BX362-(BY362+BX362*3+CH362)*0.01)</f>
        <v>-694.37203521990011</v>
      </c>
      <c r="CD362" s="5">
        <f>+AK362+BD362*Cockpit!$C$3+BW362*Cockpit!$C$3^2+BZ362*Cockpit!$C$3^3+CA362*Cockpit!$C$3^4+CB362*Cockpit!$C$3^5+CC362*Cockpit!$C$3^6</f>
        <v>67471.36200263341</v>
      </c>
      <c r="CE362" s="5"/>
      <c r="CF362" s="5"/>
      <c r="CG362" s="5">
        <v>0</v>
      </c>
      <c r="CH362" s="5">
        <f t="shared" si="214"/>
        <v>4000000</v>
      </c>
      <c r="CI362" s="5">
        <f t="shared" si="215"/>
        <v>4000000</v>
      </c>
      <c r="CJ362" s="1">
        <f t="shared" si="216"/>
        <v>2.187613223967071E-2</v>
      </c>
      <c r="CK362" s="5">
        <f>RANK(BY362,$BY$2:$BY$623)+COUNTIF($BY$2:$BY362,$BY362)-1</f>
        <v>198</v>
      </c>
      <c r="CL362" s="5">
        <f>RANK(CJ362,$CJ$2:$CJ$623)+COUNTIF($CJ$2:$CJ362,$CJ362)-1</f>
        <v>246</v>
      </c>
    </row>
    <row r="363" spans="1:90">
      <c r="A363" t="str">
        <f>Players!P364</f>
        <v>Tomáš Pekhart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3000000</v>
      </c>
      <c r="H363" s="16">
        <f>INDEX('Team forecast'!$B$2:$AO$26,MATCH('Master data'!$B363,'Team forecast'!$B$2:$B$26,0),MATCH('Master data'!H$1,'Team forecast'!$B$2:$AO$2,0))</f>
        <v>1.0683489057066333</v>
      </c>
      <c r="I363" s="16">
        <f>INDEX('Team forecast'!$B$2:$AO$26,MATCH('Master data'!$B363,'Team forecast'!$B$2:$B$26,0),MATCH('Master data'!I$1,'Team forecast'!$B$2:$AO$2,0))</f>
        <v>1.0237318402178264</v>
      </c>
      <c r="J363" s="16">
        <f>INDEX('Team forecast'!$B$2:$AO$26,MATCH('Master data'!$B363,'Team forecast'!$B$2:$B$26,0),MATCH('Master data'!J$1,'Team forecast'!$B$2:$AO$2,0))</f>
        <v>0.35925176528884672</v>
      </c>
      <c r="K363" s="16">
        <f>INDEX('Team forecast'!$B$2:$AO$26,MATCH('Master data'!$B363,'Team forecast'!$B$2:$B$26,0),MATCH('Master data'!K$1,'Team forecast'!$B$2:$AO$2,0))</f>
        <v>3.1557383060872861</v>
      </c>
      <c r="L363" s="16">
        <f>INDEX('Team forecast'!$B$2:$AO$26,MATCH('Master data'!$B363,'Team forecast'!$B$2:$B$26,0),MATCH('Master data'!L$1,'Team forecast'!$B$2:$AO$2,0))</f>
        <v>2.685366937656811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0.27579919215233695</v>
      </c>
      <c r="R363" s="2">
        <f>Players!BR364</f>
        <v>0</v>
      </c>
      <c r="S363" s="2">
        <f t="shared" si="175"/>
        <v>1.0683489057066333</v>
      </c>
      <c r="T363" s="2">
        <f t="shared" si="176"/>
        <v>1.0237318402178264</v>
      </c>
      <c r="U363" s="16">
        <f>INDEX('Team forecast'!$B$2:$AO$26,MATCH('Master data'!$B363,'Team forecast'!$B$2:$B$26,0),MATCH('Master data'!U$1,'Team forecast'!$B$2:$AO$2,0))</f>
        <v>0.35925176528884672</v>
      </c>
      <c r="V363" s="16">
        <f>INDEX('Team forecast'!$B$2:$AO$26,MATCH('Master data'!$B363,'Team forecast'!$B$2:$B$26,0),MATCH('Master data'!V$1,'Team forecast'!$B$2:$AO$2,0))</f>
        <v>0.31494404756988892</v>
      </c>
      <c r="W363" s="16">
        <f>INDEX('Team forecast'!$B$2:$AO$26,MATCH('Master data'!$B363,'Team forecast'!$B$2:$B$26,0),MATCH('Master data'!W$1,'Team forecast'!$B$2:$AO$2,0))</f>
        <v>0.32580418714126441</v>
      </c>
      <c r="X363" s="5">
        <f t="shared" si="177"/>
        <v>-5000</v>
      </c>
      <c r="Y363" s="5">
        <f t="shared" si="178"/>
        <v>0</v>
      </c>
      <c r="Z363" s="5">
        <f t="shared" si="179"/>
        <v>0</v>
      </c>
      <c r="AA363" s="5">
        <f t="shared" si="180"/>
        <v>0</v>
      </c>
      <c r="AB363" s="5">
        <f t="shared" si="181"/>
        <v>0</v>
      </c>
      <c r="AC363" s="5">
        <f t="shared" si="182"/>
        <v>0</v>
      </c>
      <c r="AD363" s="5">
        <f t="shared" si="183"/>
        <v>0</v>
      </c>
      <c r="AE363" s="5">
        <f t="shared" si="184"/>
        <v>0</v>
      </c>
      <c r="AF363" s="5">
        <f t="shared" si="185"/>
        <v>0</v>
      </c>
      <c r="AG363" s="5">
        <f t="shared" si="186"/>
        <v>0</v>
      </c>
      <c r="AH363" s="5">
        <f t="shared" si="187"/>
        <v>0</v>
      </c>
      <c r="AI363" s="5">
        <f t="shared" si="188"/>
        <v>0</v>
      </c>
      <c r="AJ363" s="5">
        <f t="shared" si="189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0.97920455728472433</v>
      </c>
      <c r="AM363" s="16">
        <f>INDEX('Team forecast'!$B$2:$AO$26,MATCH('Master data'!$B363,'Team forecast'!$B$2:$B$26,0),MATCH('Master data'!AM$1,'Team forecast'!$B$2:$AO$2,0))</f>
        <v>1.3846696653928885</v>
      </c>
      <c r="AN363" s="16">
        <f>INDEX('Team forecast'!$B$2:$AO$26,MATCH('Master data'!$B363,'Team forecast'!$B$2:$B$26,0),MATCH('Master data'!AN$1,'Team forecast'!$B$2:$AO$2,0))</f>
        <v>0.25040650406504072</v>
      </c>
      <c r="AO363" s="16">
        <f>INDEX('Team forecast'!$B$2:$AO$26,MATCH('Master data'!$B363,'Team forecast'!$B$2:$B$26,0),MATCH('Master data'!AO$1,'Team forecast'!$B$2:$AO$2,0))</f>
        <v>2.8924196153641089</v>
      </c>
      <c r="AP363" s="16">
        <f>INDEX('Team forecast'!$B$2:$AO$26,MATCH('Master data'!$B363,'Team forecast'!$B$2:$B$26,0),MATCH('Master data'!AP$1,'Team forecast'!$B$2:$AO$2,0))</f>
        <v>3.6321485695230544</v>
      </c>
      <c r="AQ363" s="5">
        <f t="shared" si="190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191"/>
        <v>0</v>
      </c>
      <c r="AV363" s="5">
        <f t="shared" si="192"/>
        <v>0</v>
      </c>
      <c r="AW363" s="5">
        <f t="shared" si="193"/>
        <v>0</v>
      </c>
      <c r="AX363" s="5">
        <f t="shared" si="194"/>
        <v>0</v>
      </c>
      <c r="AY363" s="5">
        <f t="shared" si="195"/>
        <v>0</v>
      </c>
      <c r="AZ363" s="5">
        <f t="shared" si="196"/>
        <v>0</v>
      </c>
      <c r="BA363" s="5">
        <f t="shared" si="197"/>
        <v>0</v>
      </c>
      <c r="BB363" s="5">
        <f t="shared" si="198"/>
        <v>0</v>
      </c>
      <c r="BC363" s="5">
        <f t="shared" si="199"/>
        <v>0</v>
      </c>
      <c r="BD363" s="5">
        <f t="shared" si="200"/>
        <v>-5000</v>
      </c>
      <c r="BE363" s="16">
        <f>INDEX('Team forecast'!$B$2:$AO$26,MATCH('Master data'!$B363,'Team forecast'!$B$2:$B$26,0),MATCH('Master data'!BE$1,'Team forecast'!$B$2:$AO$2,0))</f>
        <v>0.82586154259115363</v>
      </c>
      <c r="BF363" s="16">
        <f>INDEX('Team forecast'!$B$2:$AO$26,MATCH('Master data'!$B363,'Team forecast'!$B$2:$B$26,0),MATCH('Master data'!BF$1,'Team forecast'!$B$2:$AO$2,0))</f>
        <v>2.2346287595631029</v>
      </c>
      <c r="BG363" s="16">
        <f>INDEX('Team forecast'!$B$2:$AO$26,MATCH('Master data'!$B363,'Team forecast'!$B$2:$B$26,0),MATCH('Master data'!BG$1,'Team forecast'!$B$2:$AO$2,0))</f>
        <v>0.107031857031857</v>
      </c>
      <c r="BH363" s="16">
        <f>INDEX('Team forecast'!$B$2:$AO$26,MATCH('Master data'!$B363,'Team forecast'!$B$2:$B$26,0),MATCH('Master data'!BH$1,'Team forecast'!$B$2:$AO$2,0))</f>
        <v>2.4394679411923308</v>
      </c>
      <c r="BI363" s="16">
        <f>INDEX('Team forecast'!$B$2:$AO$26,MATCH('Master data'!$B363,'Team forecast'!$B$2:$B$26,0),MATCH('Master data'!BI$1,'Team forecast'!$B$2:$AO$2,0))</f>
        <v>5.8616895100097475</v>
      </c>
      <c r="BJ363" s="5">
        <f t="shared" si="201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202"/>
        <v>0</v>
      </c>
      <c r="BO363" s="5">
        <f t="shared" si="203"/>
        <v>0</v>
      </c>
      <c r="BP363" s="5">
        <f t="shared" si="204"/>
        <v>0</v>
      </c>
      <c r="BQ363" s="5">
        <f t="shared" si="205"/>
        <v>0</v>
      </c>
      <c r="BR363" s="5">
        <f t="shared" si="206"/>
        <v>0</v>
      </c>
      <c r="BS363" s="5">
        <f t="shared" si="207"/>
        <v>0</v>
      </c>
      <c r="BT363" s="5">
        <f t="shared" si="208"/>
        <v>0</v>
      </c>
      <c r="BU363" s="5">
        <f t="shared" si="209"/>
        <v>0</v>
      </c>
      <c r="BV363" s="5">
        <f t="shared" si="210"/>
        <v>0</v>
      </c>
      <c r="BW363" s="5">
        <f t="shared" si="211"/>
        <v>-5000</v>
      </c>
      <c r="BX363" s="5">
        <f t="shared" si="212"/>
        <v>-5000</v>
      </c>
      <c r="BY363" s="5">
        <f t="shared" si="213"/>
        <v>-15000</v>
      </c>
      <c r="BZ363" s="5">
        <f>INDEX('Team forecast'!$R$3:$BH$26,MATCH($B363,'Team forecast'!$B$3:$B$26,0),MATCH(BZ$1,'Team forecast'!$R$2:$BH$2,0))*($BX363-(BY363+CH363)*0.01)</f>
        <v>-17688.439340051209</v>
      </c>
      <c r="CA363" s="5">
        <f>INDEX('Team forecast'!$R$3:$BH$26,MATCH($B363,'Team forecast'!$B$3:$B$26,0),MATCH(CA$1,'Team forecast'!$R$2:$BH$2,0))*($BX363-(BY363+BX363+CH363)*0.01)</f>
        <v>-8682.9757456660482</v>
      </c>
      <c r="CB363" s="5">
        <f>INDEX('Team forecast'!$R$3:$BH$26,MATCH($B363,'Team forecast'!$B$3:$B$26,0),MATCH(CB$1,'Team forecast'!$R$2:$BH$2,0))*($BX363-(BY363+BX363*2+CH363)*0.01)</f>
        <v>-4195.6345711609474</v>
      </c>
      <c r="CC363" s="5">
        <f>INDEX('Team forecast'!$R$3:$BH$26,MATCH($B363,'Team forecast'!$B$3:$B$26,0),MATCH(CC$1,'Team forecast'!$R$2:$BH$2,0))*($BX363-(BY363+BX363*3+CH363)*0.01)</f>
        <v>-1915.0273261258262</v>
      </c>
      <c r="CD363" s="5">
        <f>+AK363+BD363*Cockpit!$C$3+BW363*Cockpit!$C$3^2+BZ363*Cockpit!$C$3^3+CA363*Cockpit!$C$3^4+CB363*Cockpit!$C$3^5+CC363*Cockpit!$C$3^6</f>
        <v>-18232.364982895022</v>
      </c>
      <c r="CE363" s="5"/>
      <c r="CF363" s="5"/>
      <c r="CG363" s="5">
        <v>0</v>
      </c>
      <c r="CH363" s="5">
        <f t="shared" si="214"/>
        <v>3000000</v>
      </c>
      <c r="CI363" s="5">
        <f t="shared" si="215"/>
        <v>3000000</v>
      </c>
      <c r="CJ363" s="1">
        <f t="shared" si="216"/>
        <v>-5.0000000000000001E-3</v>
      </c>
      <c r="CK363" s="5">
        <f>RANK(BY363,$BY$2:$BY$623)+COUNTIF($BY$2:$BY363,$BY363)-1</f>
        <v>528</v>
      </c>
      <c r="CL363" s="5">
        <f>RANK(CJ363,$CJ$2:$CJ$623)+COUNTIF($CJ$2:$CJ363,$CJ363)-1</f>
        <v>508</v>
      </c>
    </row>
    <row r="364" spans="1:90">
      <c r="A364" t="str">
        <f>Players!P365</f>
        <v>Michael Krmencik</v>
      </c>
      <c r="B364" t="str">
        <f>Players!G365</f>
        <v>Czech Republic</v>
      </c>
      <c r="C364" t="str">
        <f>Players!AB365</f>
        <v>Striker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2500000</v>
      </c>
      <c r="H364" s="16">
        <f>INDEX('Team forecast'!$B$2:$AO$26,MATCH('Master data'!$B364,'Team forecast'!$B$2:$B$26,0),MATCH('Master data'!H$1,'Team forecast'!$B$2:$AO$2,0))</f>
        <v>1.0683489057066333</v>
      </c>
      <c r="I364" s="16">
        <f>INDEX('Team forecast'!$B$2:$AO$26,MATCH('Master data'!$B364,'Team forecast'!$B$2:$B$26,0),MATCH('Master data'!I$1,'Team forecast'!$B$2:$AO$2,0))</f>
        <v>1.0237318402178264</v>
      </c>
      <c r="J364" s="16">
        <f>INDEX('Team forecast'!$B$2:$AO$26,MATCH('Master data'!$B364,'Team forecast'!$B$2:$B$26,0),MATCH('Master data'!J$1,'Team forecast'!$B$2:$AO$2,0))</f>
        <v>0.35925176528884672</v>
      </c>
      <c r="K364" s="16">
        <f>INDEX('Team forecast'!$B$2:$AO$26,MATCH('Master data'!$B364,'Team forecast'!$B$2:$B$26,0),MATCH('Master data'!K$1,'Team forecast'!$B$2:$AO$2,0))</f>
        <v>3.1557383060872861</v>
      </c>
      <c r="L364" s="16">
        <f>INDEX('Team forecast'!$B$2:$AO$26,MATCH('Master data'!$B364,'Team forecast'!$B$2:$B$26,0),MATCH('Master data'!L$1,'Team forecast'!$B$2:$AO$2,0))</f>
        <v>2.685366937656811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6.1475409836065573E-2</v>
      </c>
      <c r="R364" s="2">
        <f>Players!BR365</f>
        <v>0</v>
      </c>
      <c r="S364" s="2">
        <f t="shared" si="175"/>
        <v>1.0683489057066333</v>
      </c>
      <c r="T364" s="2">
        <f t="shared" si="176"/>
        <v>1.0237318402178264</v>
      </c>
      <c r="U364" s="16">
        <f>INDEX('Team forecast'!$B$2:$AO$26,MATCH('Master data'!$B364,'Team forecast'!$B$2:$B$26,0),MATCH('Master data'!U$1,'Team forecast'!$B$2:$AO$2,0))</f>
        <v>0.35925176528884672</v>
      </c>
      <c r="V364" s="16">
        <f>INDEX('Team forecast'!$B$2:$AO$26,MATCH('Master data'!$B364,'Team forecast'!$B$2:$B$26,0),MATCH('Master data'!V$1,'Team forecast'!$B$2:$AO$2,0))</f>
        <v>0.31494404756988892</v>
      </c>
      <c r="W364" s="16">
        <f>INDEX('Team forecast'!$B$2:$AO$26,MATCH('Master data'!$B364,'Team forecast'!$B$2:$B$26,0),MATCH('Master data'!W$1,'Team forecast'!$B$2:$AO$2,0))</f>
        <v>0.32580418714126441</v>
      </c>
      <c r="X364" s="5">
        <f t="shared" si="177"/>
        <v>-5000</v>
      </c>
      <c r="Y364" s="5">
        <f t="shared" si="178"/>
        <v>0</v>
      </c>
      <c r="Z364" s="5">
        <f t="shared" si="179"/>
        <v>0</v>
      </c>
      <c r="AA364" s="5">
        <f t="shared" si="180"/>
        <v>0</v>
      </c>
      <c r="AB364" s="5">
        <f t="shared" si="181"/>
        <v>0</v>
      </c>
      <c r="AC364" s="5">
        <f t="shared" si="182"/>
        <v>0</v>
      </c>
      <c r="AD364" s="5">
        <f t="shared" si="183"/>
        <v>0</v>
      </c>
      <c r="AE364" s="5">
        <f t="shared" si="184"/>
        <v>0</v>
      </c>
      <c r="AF364" s="5">
        <f t="shared" si="185"/>
        <v>0</v>
      </c>
      <c r="AG364" s="5">
        <f t="shared" si="186"/>
        <v>0</v>
      </c>
      <c r="AH364" s="5">
        <f t="shared" si="187"/>
        <v>0</v>
      </c>
      <c r="AI364" s="5">
        <f t="shared" si="188"/>
        <v>0</v>
      </c>
      <c r="AJ364" s="5">
        <f t="shared" si="189"/>
        <v>0</v>
      </c>
      <c r="AK364" s="5">
        <f>IFERROR(SUM(X364:AJ364),-5000)*((Cockpit!$C$3)^0)</f>
        <v>-5000</v>
      </c>
      <c r="AL364" s="16">
        <f>INDEX('Team forecast'!$B$2:$AO$26,MATCH('Master data'!$B364,'Team forecast'!$B$2:$B$26,0),MATCH('Master data'!AL$1,'Team forecast'!$B$2:$AO$2,0))</f>
        <v>0.97920455728472433</v>
      </c>
      <c r="AM364" s="16">
        <f>INDEX('Team forecast'!$B$2:$AO$26,MATCH('Master data'!$B364,'Team forecast'!$B$2:$B$26,0),MATCH('Master data'!AM$1,'Team forecast'!$B$2:$AO$2,0))</f>
        <v>1.3846696653928885</v>
      </c>
      <c r="AN364" s="16">
        <f>INDEX('Team forecast'!$B$2:$AO$26,MATCH('Master data'!$B364,'Team forecast'!$B$2:$B$26,0),MATCH('Master data'!AN$1,'Team forecast'!$B$2:$AO$2,0))</f>
        <v>0.25040650406504072</v>
      </c>
      <c r="AO364" s="16">
        <f>INDEX('Team forecast'!$B$2:$AO$26,MATCH('Master data'!$B364,'Team forecast'!$B$2:$B$26,0),MATCH('Master data'!AO$1,'Team forecast'!$B$2:$AO$2,0))</f>
        <v>2.8924196153641089</v>
      </c>
      <c r="AP364" s="16">
        <f>INDEX('Team forecast'!$B$2:$AO$26,MATCH('Master data'!$B364,'Team forecast'!$B$2:$B$26,0),MATCH('Master data'!AP$1,'Team forecast'!$B$2:$AO$2,0))</f>
        <v>3.6321485695230544</v>
      </c>
      <c r="AQ364" s="5">
        <f t="shared" si="190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191"/>
        <v>0</v>
      </c>
      <c r="AV364" s="5">
        <f t="shared" si="192"/>
        <v>0</v>
      </c>
      <c r="AW364" s="5">
        <f t="shared" si="193"/>
        <v>0</v>
      </c>
      <c r="AX364" s="5">
        <f t="shared" si="194"/>
        <v>0</v>
      </c>
      <c r="AY364" s="5">
        <f t="shared" si="195"/>
        <v>0</v>
      </c>
      <c r="AZ364" s="5">
        <f t="shared" si="196"/>
        <v>0</v>
      </c>
      <c r="BA364" s="5">
        <f t="shared" si="197"/>
        <v>0</v>
      </c>
      <c r="BB364" s="5">
        <f t="shared" si="198"/>
        <v>0</v>
      </c>
      <c r="BC364" s="5">
        <f t="shared" si="199"/>
        <v>0</v>
      </c>
      <c r="BD364" s="5">
        <f t="shared" si="200"/>
        <v>-5000</v>
      </c>
      <c r="BE364" s="16">
        <f>INDEX('Team forecast'!$B$2:$AO$26,MATCH('Master data'!$B364,'Team forecast'!$B$2:$B$26,0),MATCH('Master data'!BE$1,'Team forecast'!$B$2:$AO$2,0))</f>
        <v>0.82586154259115363</v>
      </c>
      <c r="BF364" s="16">
        <f>INDEX('Team forecast'!$B$2:$AO$26,MATCH('Master data'!$B364,'Team forecast'!$B$2:$B$26,0),MATCH('Master data'!BF$1,'Team forecast'!$B$2:$AO$2,0))</f>
        <v>2.2346287595631029</v>
      </c>
      <c r="BG364" s="16">
        <f>INDEX('Team forecast'!$B$2:$AO$26,MATCH('Master data'!$B364,'Team forecast'!$B$2:$B$26,0),MATCH('Master data'!BG$1,'Team forecast'!$B$2:$AO$2,0))</f>
        <v>0.107031857031857</v>
      </c>
      <c r="BH364" s="16">
        <f>INDEX('Team forecast'!$B$2:$AO$26,MATCH('Master data'!$B364,'Team forecast'!$B$2:$B$26,0),MATCH('Master data'!BH$1,'Team forecast'!$B$2:$AO$2,0))</f>
        <v>2.4394679411923308</v>
      </c>
      <c r="BI364" s="16">
        <f>INDEX('Team forecast'!$B$2:$AO$26,MATCH('Master data'!$B364,'Team forecast'!$B$2:$B$26,0),MATCH('Master data'!BI$1,'Team forecast'!$B$2:$AO$2,0))</f>
        <v>5.8616895100097475</v>
      </c>
      <c r="BJ364" s="5">
        <f t="shared" si="201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202"/>
        <v>0</v>
      </c>
      <c r="BO364" s="5">
        <f t="shared" si="203"/>
        <v>0</v>
      </c>
      <c r="BP364" s="5">
        <f t="shared" si="204"/>
        <v>0</v>
      </c>
      <c r="BQ364" s="5">
        <f t="shared" si="205"/>
        <v>0</v>
      </c>
      <c r="BR364" s="5">
        <f t="shared" si="206"/>
        <v>0</v>
      </c>
      <c r="BS364" s="5">
        <f t="shared" si="207"/>
        <v>0</v>
      </c>
      <c r="BT364" s="5">
        <f t="shared" si="208"/>
        <v>0</v>
      </c>
      <c r="BU364" s="5">
        <f t="shared" si="209"/>
        <v>0</v>
      </c>
      <c r="BV364" s="5">
        <f t="shared" si="210"/>
        <v>0</v>
      </c>
      <c r="BW364" s="5">
        <f t="shared" si="211"/>
        <v>-5000</v>
      </c>
      <c r="BX364" s="5">
        <f t="shared" si="212"/>
        <v>-5000</v>
      </c>
      <c r="BY364" s="5">
        <f t="shared" si="213"/>
        <v>-15000</v>
      </c>
      <c r="BZ364" s="5">
        <f>INDEX('Team forecast'!$R$3:$BH$26,MATCH($B364,'Team forecast'!$B$3:$B$26,0),MATCH(BZ$1,'Team forecast'!$R$2:$BH$2,0))*($BX364-(BY364+CH364)*0.01)</f>
        <v>-15150.643165007992</v>
      </c>
      <c r="CA364" s="5">
        <f>INDEX('Team forecast'!$R$3:$BH$26,MATCH($B364,'Team forecast'!$B$3:$B$26,0),MATCH(CA$1,'Team forecast'!$R$2:$BH$2,0))*($BX364-(BY364+BX364+CH364)*0.01)</f>
        <v>-7435.4217592197765</v>
      </c>
      <c r="CB364" s="5">
        <f>INDEX('Team forecast'!$R$3:$BH$26,MATCH($B364,'Team forecast'!$B$3:$B$26,0),MATCH(CB$1,'Team forecast'!$R$2:$BH$2,0))*($BX364-(BY364+BX364*2+CH364)*0.01)</f>
        <v>-3591.9461436557754</v>
      </c>
      <c r="CC364" s="5">
        <f>INDEX('Team forecast'!$R$3:$BH$26,MATCH($B364,'Team forecast'!$B$3:$B$26,0),MATCH(CC$1,'Team forecast'!$R$2:$BH$2,0))*($BX364-(BY364+BX364*3+CH364)*0.01)</f>
        <v>-1639.0867892200877</v>
      </c>
      <c r="CD364" s="5">
        <f>+AK364+BD364*Cockpit!$C$3+BW364*Cockpit!$C$3^2+BZ364*Cockpit!$C$3^3+CA364*Cockpit!$C$3^4+CB364*Cockpit!$C$3^5+CC364*Cockpit!$C$3^6</f>
        <v>-17130.271661550636</v>
      </c>
      <c r="CE364" s="5"/>
      <c r="CF364" s="5"/>
      <c r="CG364" s="5">
        <v>0</v>
      </c>
      <c r="CH364" s="5">
        <f t="shared" si="214"/>
        <v>2500000</v>
      </c>
      <c r="CI364" s="5">
        <f t="shared" si="215"/>
        <v>2500000</v>
      </c>
      <c r="CJ364" s="1">
        <f t="shared" si="216"/>
        <v>-6.0000000000000001E-3</v>
      </c>
      <c r="CK364" s="5">
        <f>RANK(BY364,$BY$2:$BY$623)+COUNTIF($BY$2:$BY364,$BY364)-1</f>
        <v>529</v>
      </c>
      <c r="CL364" s="5">
        <f>RANK(CJ364,$CJ$2:$CJ$623)+COUNTIF($CJ$2:$CJ364,$CJ364)-1</f>
        <v>546</v>
      </c>
    </row>
    <row r="365" spans="1:90">
      <c r="A365" t="str">
        <f>Players!P366</f>
        <v>Mert Günok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0.65422581624273402</v>
      </c>
      <c r="I365" s="16">
        <f>INDEX('Team forecast'!$B$2:$AO$26,MATCH('Master data'!$B365,'Team forecast'!$B$2:$B$26,0),MATCH('Master data'!I$1,'Team forecast'!$B$2:$AO$2,0))</f>
        <v>1.6593477618235051</v>
      </c>
      <c r="J365" s="16">
        <f>INDEX('Team forecast'!$B$2:$AO$26,MATCH('Master data'!$B365,'Team forecast'!$B$2:$B$26,0),MATCH('Master data'!J$1,'Team forecast'!$B$2:$AO$2,0))</f>
        <v>0.19026303645592979</v>
      </c>
      <c r="K365" s="16">
        <f>INDEX('Team forecast'!$B$2:$AO$26,MATCH('Master data'!$B365,'Team forecast'!$B$2:$B$26,0),MATCH('Master data'!K$1,'Team forecast'!$B$2:$AO$2,0))</f>
        <v>1.7429374799138486</v>
      </c>
      <c r="L365" s="16">
        <f>INDEX('Team forecast'!$B$2:$AO$26,MATCH('Master data'!$B365,'Team forecast'!$B$2:$B$26,0),MATCH('Master data'!L$1,'Team forecast'!$B$2:$AO$2,0))</f>
        <v>4.1860818536911157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0.10765550239234449</v>
      </c>
      <c r="R365" s="2">
        <f>Players!BR366</f>
        <v>0</v>
      </c>
      <c r="S365" s="2">
        <f t="shared" si="175"/>
        <v>0.65422581624273402</v>
      </c>
      <c r="T365" s="2">
        <f t="shared" si="176"/>
        <v>1.6593477618235051</v>
      </c>
      <c r="U365" s="16">
        <f>INDEX('Team forecast'!$B$2:$AO$26,MATCH('Master data'!$B365,'Team forecast'!$B$2:$B$26,0),MATCH('Master data'!U$1,'Team forecast'!$B$2:$AO$2,0))</f>
        <v>0.13590216889709281</v>
      </c>
      <c r="V365" s="16">
        <f>INDEX('Team forecast'!$B$2:$AO$26,MATCH('Master data'!$B365,'Team forecast'!$B$2:$B$26,0),MATCH('Master data'!V$1,'Team forecast'!$B$2:$AO$2,0))</f>
        <v>0.25034610059990769</v>
      </c>
      <c r="W365" s="16">
        <f>INDEX('Team forecast'!$B$2:$AO$26,MATCH('Master data'!$B365,'Team forecast'!$B$2:$B$26,0),MATCH('Master data'!W$1,'Team forecast'!$B$2:$AO$2,0))</f>
        <v>0.61375173050299947</v>
      </c>
      <c r="X365" s="5">
        <f t="shared" si="177"/>
        <v>-5000</v>
      </c>
      <c r="Y365" s="5">
        <f t="shared" si="178"/>
        <v>0</v>
      </c>
      <c r="Z365" s="5">
        <f t="shared" si="179"/>
        <v>0</v>
      </c>
      <c r="AA365" s="5">
        <f t="shared" si="180"/>
        <v>0</v>
      </c>
      <c r="AB365" s="5">
        <f t="shared" si="181"/>
        <v>0</v>
      </c>
      <c r="AC365" s="5">
        <f t="shared" si="182"/>
        <v>0</v>
      </c>
      <c r="AD365" s="5">
        <f t="shared" si="183"/>
        <v>0</v>
      </c>
      <c r="AE365" s="5">
        <f t="shared" si="184"/>
        <v>14269.727734194734</v>
      </c>
      <c r="AF365" s="5">
        <f t="shared" si="185"/>
        <v>12633.670459338053</v>
      </c>
      <c r="AG365" s="5">
        <f t="shared" si="186"/>
        <v>0</v>
      </c>
      <c r="AH365" s="5">
        <f t="shared" si="187"/>
        <v>0</v>
      </c>
      <c r="AI365" s="5">
        <f t="shared" si="188"/>
        <v>0</v>
      </c>
      <c r="AJ365" s="5">
        <f t="shared" si="189"/>
        <v>0</v>
      </c>
      <c r="AK365" s="5">
        <f>IFERROR(SUM(X365:AJ365),-5000)*((Cockpit!$C$3)^0)</f>
        <v>21903.398193532787</v>
      </c>
      <c r="AL365" s="16">
        <f>INDEX('Team forecast'!$B$2:$AO$26,MATCH('Master data'!$B365,'Team forecast'!$B$2:$B$26,0),MATCH('Master data'!AL$1,'Team forecast'!$B$2:$AO$2,0))</f>
        <v>1.2847203648825669</v>
      </c>
      <c r="AM365" s="16">
        <f>INDEX('Team forecast'!$B$2:$AO$26,MATCH('Master data'!$B365,'Team forecast'!$B$2:$B$26,0),MATCH('Master data'!AM$1,'Team forecast'!$B$2:$AO$2,0))</f>
        <v>1.0279287794501248</v>
      </c>
      <c r="AN365" s="16">
        <f>INDEX('Team forecast'!$B$2:$AO$26,MATCH('Master data'!$B365,'Team forecast'!$B$2:$B$26,0),MATCH('Master data'!AN$1,'Team forecast'!$B$2:$AO$2,0))</f>
        <v>0.35774716702311499</v>
      </c>
      <c r="AO365" s="16">
        <f>INDEX('Team forecast'!$B$2:$AO$26,MATCH('Master data'!$B365,'Team forecast'!$B$2:$B$26,0),MATCH('Master data'!AO$1,'Team forecast'!$B$2:$AO$2,0))</f>
        <v>3.4226519644581361</v>
      </c>
      <c r="AP365" s="16">
        <f>INDEX('Team forecast'!$B$2:$AO$26,MATCH('Master data'!$B365,'Team forecast'!$B$2:$B$26,0),MATCH('Master data'!AP$1,'Team forecast'!$B$2:$AO$2,0))</f>
        <v>2.5931839663400877</v>
      </c>
      <c r="AQ365" s="5">
        <f t="shared" si="190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191"/>
        <v>0</v>
      </c>
      <c r="AV365" s="5">
        <f t="shared" si="192"/>
        <v>0</v>
      </c>
      <c r="AW365" s="5">
        <f t="shared" si="193"/>
        <v>0</v>
      </c>
      <c r="AX365" s="5">
        <f t="shared" si="194"/>
        <v>26831.037526733624</v>
      </c>
      <c r="AY365" s="5">
        <f t="shared" si="195"/>
        <v>7826.2759344498145</v>
      </c>
      <c r="AZ365" s="5">
        <f t="shared" si="196"/>
        <v>0</v>
      </c>
      <c r="BA365" s="5">
        <f t="shared" si="197"/>
        <v>0</v>
      </c>
      <c r="BB365" s="5">
        <f t="shared" si="198"/>
        <v>0</v>
      </c>
      <c r="BC365" s="5">
        <f t="shared" si="199"/>
        <v>0</v>
      </c>
      <c r="BD365" s="5">
        <f t="shared" si="200"/>
        <v>29657.313461183439</v>
      </c>
      <c r="BE365" s="16">
        <f>INDEX('Team forecast'!$B$2:$AO$26,MATCH('Master data'!$B365,'Team forecast'!$B$2:$B$26,0),MATCH('Master data'!BE$1,'Team forecast'!$B$2:$AO$2,0))</f>
        <v>1.2246875509143662</v>
      </c>
      <c r="BF365" s="16">
        <f>INDEX('Team forecast'!$B$2:$AO$26,MATCH('Master data'!$B365,'Team forecast'!$B$2:$B$26,0),MATCH('Master data'!BF$1,'Team forecast'!$B$2:$AO$2,0))</f>
        <v>1.3677883945550393</v>
      </c>
      <c r="BG365" s="16">
        <f>INDEX('Team forecast'!$B$2:$AO$26,MATCH('Master data'!$B365,'Team forecast'!$B$2:$B$26,0),MATCH('Master data'!BG$1,'Team forecast'!$B$2:$AO$2,0))</f>
        <v>0.25466956579034061</v>
      </c>
      <c r="BH365" s="16">
        <f>INDEX('Team forecast'!$B$2:$AO$26,MATCH('Master data'!$B365,'Team forecast'!$B$2:$B$26,0),MATCH('Master data'!BH$1,'Team forecast'!$B$2:$AO$2,0))</f>
        <v>3.2627172157947619</v>
      </c>
      <c r="BI365" s="16">
        <f>INDEX('Team forecast'!$B$2:$AO$26,MATCH('Master data'!$B365,'Team forecast'!$B$2:$B$26,0),MATCH('Master data'!BI$1,'Team forecast'!$B$2:$AO$2,0))</f>
        <v>3.4505570862638493</v>
      </c>
      <c r="BJ365" s="5">
        <f t="shared" si="201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202"/>
        <v>0</v>
      </c>
      <c r="BO365" s="5">
        <f t="shared" si="203"/>
        <v>0</v>
      </c>
      <c r="BP365" s="5">
        <f t="shared" si="204"/>
        <v>0</v>
      </c>
      <c r="BQ365" s="5">
        <f t="shared" si="205"/>
        <v>19100.217434275546</v>
      </c>
      <c r="BR365" s="5">
        <f t="shared" si="206"/>
        <v>10413.84345854405</v>
      </c>
      <c r="BS365" s="5">
        <f t="shared" si="207"/>
        <v>0</v>
      </c>
      <c r="BT365" s="5">
        <f t="shared" si="208"/>
        <v>0</v>
      </c>
      <c r="BU365" s="5">
        <f t="shared" si="209"/>
        <v>0</v>
      </c>
      <c r="BV365" s="5">
        <f t="shared" si="210"/>
        <v>0</v>
      </c>
      <c r="BW365" s="5">
        <f t="shared" si="211"/>
        <v>24514.060892819594</v>
      </c>
      <c r="BX365" s="5">
        <f t="shared" si="212"/>
        <v>25358.257515845278</v>
      </c>
      <c r="BY365" s="5">
        <f t="shared" si="213"/>
        <v>76074.772547535831</v>
      </c>
      <c r="BZ365" s="5">
        <f>INDEX('Team forecast'!$R$3:$BH$26,MATCH($B365,'Team forecast'!$B$3:$B$26,0),MATCH(BZ$1,'Team forecast'!$R$2:$BH$2,0))*($BX365-(BY365+CH365)*0.01)</f>
        <v>-6285.5713964104043</v>
      </c>
      <c r="CA365" s="5">
        <f>INDEX('Team forecast'!$R$3:$BH$26,MATCH($B365,'Team forecast'!$B$3:$B$26,0),MATCH(CA$1,'Team forecast'!$R$2:$BH$2,0))*($BX365-(BY365+BX365+CH365)*0.01)</f>
        <v>-3174.2386194423852</v>
      </c>
      <c r="CB365" s="5">
        <f>INDEX('Team forecast'!$R$3:$BH$26,MATCH($B365,'Team forecast'!$B$3:$B$26,0),MATCH(CB$1,'Team forecast'!$R$2:$BH$2,0))*($BX365-(BY365+BX365*2+CH365)*0.01)</f>
        <v>-1581.3738810790201</v>
      </c>
      <c r="CC365" s="5">
        <f>INDEX('Team forecast'!$R$3:$BH$26,MATCH($B365,'Team forecast'!$B$3:$B$26,0),MATCH(CC$1,'Team forecast'!$R$2:$BH$2,0))*($BX365-(BY365+BX365*3+CH365)*0.01)</f>
        <v>-751.65104430555573</v>
      </c>
      <c r="CD365" s="5">
        <f>+AK365+BD365*Cockpit!$C$3+BW365*Cockpit!$C$3^2+BZ365*Cockpit!$C$3^3+CA365*Cockpit!$C$3^4+CB365*Cockpit!$C$3^5+CC365*Cockpit!$C$3^6</f>
        <v>49806.441717764879</v>
      </c>
      <c r="CE365" s="5"/>
      <c r="CF365" s="5"/>
      <c r="CG365" s="5">
        <v>0</v>
      </c>
      <c r="CH365" s="5">
        <f t="shared" si="214"/>
        <v>3500000</v>
      </c>
      <c r="CI365" s="5">
        <f t="shared" si="215"/>
        <v>3500000</v>
      </c>
      <c r="CJ365" s="1">
        <f t="shared" si="216"/>
        <v>2.1735649299295952E-2</v>
      </c>
      <c r="CK365" s="5">
        <f>RANK(BY365,$BY$2:$BY$623)+COUNTIF($BY$2:$BY365,$BY365)-1</f>
        <v>228</v>
      </c>
      <c r="CL365" s="5">
        <f>RANK(CJ365,$CJ$2:$CJ$623)+COUNTIF($CJ$2:$CJ365,$CJ365)-1</f>
        <v>247</v>
      </c>
    </row>
    <row r="366" spans="1:90">
      <c r="A366" t="str">
        <f>Players!P367</f>
        <v>Altay Bayındır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3500000</v>
      </c>
      <c r="H366" s="16">
        <f>INDEX('Team forecast'!$B$2:$AO$26,MATCH('Master data'!$B366,'Team forecast'!$B$2:$B$26,0),MATCH('Master data'!H$1,'Team forecast'!$B$2:$AO$2,0))</f>
        <v>0.65422581624273402</v>
      </c>
      <c r="I366" s="16">
        <f>INDEX('Team forecast'!$B$2:$AO$26,MATCH('Master data'!$B366,'Team forecast'!$B$2:$B$26,0),MATCH('Master data'!I$1,'Team forecast'!$B$2:$AO$2,0))</f>
        <v>1.6593477618235051</v>
      </c>
      <c r="J366" s="16">
        <f>INDEX('Team forecast'!$B$2:$AO$26,MATCH('Master data'!$B366,'Team forecast'!$B$2:$B$26,0),MATCH('Master data'!J$1,'Team forecast'!$B$2:$AO$2,0))</f>
        <v>0.19026303645592979</v>
      </c>
      <c r="K366" s="16">
        <f>INDEX('Team forecast'!$B$2:$AO$26,MATCH('Master data'!$B366,'Team forecast'!$B$2:$B$26,0),MATCH('Master data'!K$1,'Team forecast'!$B$2:$AO$2,0))</f>
        <v>1.7429374799138486</v>
      </c>
      <c r="L366" s="16">
        <f>INDEX('Team forecast'!$B$2:$AO$26,MATCH('Master data'!$B366,'Team forecast'!$B$2:$B$26,0),MATCH('Master data'!L$1,'Team forecast'!$B$2:$AO$2,0))</f>
        <v>4.1860818536911157</v>
      </c>
      <c r="M366">
        <f>IF(Players!BC367=1,95,0)</f>
        <v>0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0</v>
      </c>
      <c r="R366" s="2">
        <f>Players!BR367</f>
        <v>0</v>
      </c>
      <c r="S366" s="2">
        <f t="shared" si="175"/>
        <v>0.65422581624273402</v>
      </c>
      <c r="T366" s="2">
        <f t="shared" si="176"/>
        <v>1.6593477618235051</v>
      </c>
      <c r="U366" s="16">
        <f>INDEX('Team forecast'!$B$2:$AO$26,MATCH('Master data'!$B366,'Team forecast'!$B$2:$B$26,0),MATCH('Master data'!U$1,'Team forecast'!$B$2:$AO$2,0))</f>
        <v>0.13590216889709281</v>
      </c>
      <c r="V366" s="16">
        <f>INDEX('Team forecast'!$B$2:$AO$26,MATCH('Master data'!$B366,'Team forecast'!$B$2:$B$26,0),MATCH('Master data'!V$1,'Team forecast'!$B$2:$AO$2,0))</f>
        <v>0.25034610059990769</v>
      </c>
      <c r="W366" s="16">
        <f>INDEX('Team forecast'!$B$2:$AO$26,MATCH('Master data'!$B366,'Team forecast'!$B$2:$B$26,0),MATCH('Master data'!W$1,'Team forecast'!$B$2:$AO$2,0))</f>
        <v>0.61375173050299947</v>
      </c>
      <c r="X366" s="5">
        <f t="shared" si="177"/>
        <v>-5000</v>
      </c>
      <c r="Y366" s="5">
        <f t="shared" si="178"/>
        <v>0</v>
      </c>
      <c r="Z366" s="5">
        <f t="shared" si="179"/>
        <v>0</v>
      </c>
      <c r="AA366" s="5">
        <f t="shared" si="180"/>
        <v>0</v>
      </c>
      <c r="AB366" s="5">
        <f t="shared" si="181"/>
        <v>0</v>
      </c>
      <c r="AC366" s="5">
        <f t="shared" si="182"/>
        <v>0</v>
      </c>
      <c r="AD366" s="5">
        <f t="shared" si="183"/>
        <v>0</v>
      </c>
      <c r="AE366" s="5">
        <f t="shared" si="184"/>
        <v>14269.727734194734</v>
      </c>
      <c r="AF366" s="5">
        <f t="shared" si="185"/>
        <v>12633.670459338053</v>
      </c>
      <c r="AG366" s="5">
        <f t="shared" si="186"/>
        <v>0</v>
      </c>
      <c r="AH366" s="5">
        <f t="shared" si="187"/>
        <v>0</v>
      </c>
      <c r="AI366" s="5">
        <f t="shared" si="188"/>
        <v>0</v>
      </c>
      <c r="AJ366" s="5">
        <f t="shared" si="189"/>
        <v>0</v>
      </c>
      <c r="AK366" s="5">
        <f>IFERROR(SUM(X366:AJ366),-5000)*((Cockpit!$C$3)^0)</f>
        <v>21903.398193532787</v>
      </c>
      <c r="AL366" s="16">
        <f>INDEX('Team forecast'!$B$2:$AO$26,MATCH('Master data'!$B366,'Team forecast'!$B$2:$B$26,0),MATCH('Master data'!AL$1,'Team forecast'!$B$2:$AO$2,0))</f>
        <v>1.2847203648825669</v>
      </c>
      <c r="AM366" s="16">
        <f>INDEX('Team forecast'!$B$2:$AO$26,MATCH('Master data'!$B366,'Team forecast'!$B$2:$B$26,0),MATCH('Master data'!AM$1,'Team forecast'!$B$2:$AO$2,0))</f>
        <v>1.0279287794501248</v>
      </c>
      <c r="AN366" s="16">
        <f>INDEX('Team forecast'!$B$2:$AO$26,MATCH('Master data'!$B366,'Team forecast'!$B$2:$B$26,0),MATCH('Master data'!AN$1,'Team forecast'!$B$2:$AO$2,0))</f>
        <v>0.35774716702311499</v>
      </c>
      <c r="AO366" s="16">
        <f>INDEX('Team forecast'!$B$2:$AO$26,MATCH('Master data'!$B366,'Team forecast'!$B$2:$B$26,0),MATCH('Master data'!AO$1,'Team forecast'!$B$2:$AO$2,0))</f>
        <v>3.4226519644581361</v>
      </c>
      <c r="AP366" s="16">
        <f>INDEX('Team forecast'!$B$2:$AO$26,MATCH('Master data'!$B366,'Team forecast'!$B$2:$B$26,0),MATCH('Master data'!AP$1,'Team forecast'!$B$2:$AO$2,0))</f>
        <v>2.5931839663400877</v>
      </c>
      <c r="AQ366" s="5">
        <f t="shared" si="190"/>
        <v>-5000</v>
      </c>
      <c r="AR366" s="5">
        <f>INDEX('Team forecast'!$B$2:$AO$26,MATCH('Master data'!$B366,'Team forecast'!$B$2:$B$26,0),MATCH('Master data'!AR$1,'Team forecast'!$B$2:$AO$2,0))*IF(X366&gt;0,25000,0)</f>
        <v>0</v>
      </c>
      <c r="AS366" s="16">
        <f>INDEX('Team forecast'!$B$2:$AO$26,MATCH('Master data'!$B366,'Team forecast'!$B$2:$B$26,0),MATCH('Master data'!AS$1,'Team forecast'!$B$2:$AO$2,0))*IF(X366&gt;0,5000,0)</f>
        <v>0</v>
      </c>
      <c r="AT366" s="16">
        <f>INDEX('Team forecast'!$B$2:$AO$26,MATCH('Master data'!$B366,'Team forecast'!$B$2:$B$26,0),MATCH('Master data'!AT$1,'Team forecast'!$B$2:$AO$2,0))*IF(X366&gt;0,-15000,0)</f>
        <v>0</v>
      </c>
      <c r="AU366" s="5">
        <f t="shared" si="191"/>
        <v>0</v>
      </c>
      <c r="AV366" s="5">
        <f t="shared" si="192"/>
        <v>0</v>
      </c>
      <c r="AW366" s="5">
        <f t="shared" si="193"/>
        <v>0</v>
      </c>
      <c r="AX366" s="5">
        <f t="shared" si="194"/>
        <v>26831.037526733624</v>
      </c>
      <c r="AY366" s="5">
        <f t="shared" si="195"/>
        <v>7826.2759344498145</v>
      </c>
      <c r="AZ366" s="5">
        <f t="shared" si="196"/>
        <v>0</v>
      </c>
      <c r="BA366" s="5">
        <f t="shared" si="197"/>
        <v>0</v>
      </c>
      <c r="BB366" s="5">
        <f t="shared" si="198"/>
        <v>0</v>
      </c>
      <c r="BC366" s="5">
        <f t="shared" si="199"/>
        <v>0</v>
      </c>
      <c r="BD366" s="5">
        <f t="shared" si="200"/>
        <v>29657.313461183439</v>
      </c>
      <c r="BE366" s="16">
        <f>INDEX('Team forecast'!$B$2:$AO$26,MATCH('Master data'!$B366,'Team forecast'!$B$2:$B$26,0),MATCH('Master data'!BE$1,'Team forecast'!$B$2:$AO$2,0))</f>
        <v>1.2246875509143662</v>
      </c>
      <c r="BF366" s="16">
        <f>INDEX('Team forecast'!$B$2:$AO$26,MATCH('Master data'!$B366,'Team forecast'!$B$2:$B$26,0),MATCH('Master data'!BF$1,'Team forecast'!$B$2:$AO$2,0))</f>
        <v>1.3677883945550393</v>
      </c>
      <c r="BG366" s="16">
        <f>INDEX('Team forecast'!$B$2:$AO$26,MATCH('Master data'!$B366,'Team forecast'!$B$2:$B$26,0),MATCH('Master data'!BG$1,'Team forecast'!$B$2:$AO$2,0))</f>
        <v>0.25466956579034061</v>
      </c>
      <c r="BH366" s="16">
        <f>INDEX('Team forecast'!$B$2:$AO$26,MATCH('Master data'!$B366,'Team forecast'!$B$2:$B$26,0),MATCH('Master data'!BH$1,'Team forecast'!$B$2:$AO$2,0))</f>
        <v>3.2627172157947619</v>
      </c>
      <c r="BI366" s="16">
        <f>INDEX('Team forecast'!$B$2:$AO$26,MATCH('Master data'!$B366,'Team forecast'!$B$2:$B$26,0),MATCH('Master data'!BI$1,'Team forecast'!$B$2:$AO$2,0))</f>
        <v>3.4505570862638493</v>
      </c>
      <c r="BJ366" s="5">
        <f t="shared" si="201"/>
        <v>-5000</v>
      </c>
      <c r="BK366" s="5">
        <f>INDEX('Team forecast'!$R$3:$BH$26,MATCH($B366,'Team forecast'!$B$3:$B$26,0),MATCH(BK$1,'Team forecast'!$R$2:$BH$2,0))*IF($X366&gt;0,25000,0)</f>
        <v>0</v>
      </c>
      <c r="BL366" s="5">
        <f>INDEX('Team forecast'!$R$3:$BH$26,MATCH($B366,'Team forecast'!$B$3:$B$26,0),MATCH(BL$1,'Team forecast'!$R$2:$BH$2,0))*IF($X366&gt;0,5000,0)</f>
        <v>0</v>
      </c>
      <c r="BM366" s="5">
        <f>INDEX('Team forecast'!$R$3:$BH$26,MATCH($B366,'Team forecast'!$B$3:$B$26,0),MATCH(BM$1,'Team forecast'!$R$2:$BH$2,0))*IF($X366&gt;0,-15000,0)</f>
        <v>0</v>
      </c>
      <c r="BN366" s="5">
        <f t="shared" si="202"/>
        <v>0</v>
      </c>
      <c r="BO366" s="5">
        <f t="shared" si="203"/>
        <v>0</v>
      </c>
      <c r="BP366" s="5">
        <f t="shared" si="204"/>
        <v>0</v>
      </c>
      <c r="BQ366" s="5">
        <f t="shared" si="205"/>
        <v>19100.217434275546</v>
      </c>
      <c r="BR366" s="5">
        <f t="shared" si="206"/>
        <v>10413.84345854405</v>
      </c>
      <c r="BS366" s="5">
        <f t="shared" si="207"/>
        <v>0</v>
      </c>
      <c r="BT366" s="5">
        <f t="shared" si="208"/>
        <v>0</v>
      </c>
      <c r="BU366" s="5">
        <f t="shared" si="209"/>
        <v>0</v>
      </c>
      <c r="BV366" s="5">
        <f t="shared" si="210"/>
        <v>0</v>
      </c>
      <c r="BW366" s="5">
        <f t="shared" si="211"/>
        <v>24514.060892819594</v>
      </c>
      <c r="BX366" s="5">
        <f t="shared" si="212"/>
        <v>25358.257515845278</v>
      </c>
      <c r="BY366" s="5">
        <f t="shared" si="213"/>
        <v>76074.772547535831</v>
      </c>
      <c r="BZ366" s="5">
        <f>INDEX('Team forecast'!$R$3:$BH$26,MATCH($B366,'Team forecast'!$B$3:$B$26,0),MATCH(BZ$1,'Team forecast'!$R$2:$BH$2,0))*($BX366-(BY366+CH366)*0.01)</f>
        <v>-6285.5713964104043</v>
      </c>
      <c r="CA366" s="5">
        <f>INDEX('Team forecast'!$R$3:$BH$26,MATCH($B366,'Team forecast'!$B$3:$B$26,0),MATCH(CA$1,'Team forecast'!$R$2:$BH$2,0))*($BX366-(BY366+BX366+CH366)*0.01)</f>
        <v>-3174.2386194423852</v>
      </c>
      <c r="CB366" s="5">
        <f>INDEX('Team forecast'!$R$3:$BH$26,MATCH($B366,'Team forecast'!$B$3:$B$26,0),MATCH(CB$1,'Team forecast'!$R$2:$BH$2,0))*($BX366-(BY366+BX366*2+CH366)*0.01)</f>
        <v>-1581.3738810790201</v>
      </c>
      <c r="CC366" s="5">
        <f>INDEX('Team forecast'!$R$3:$BH$26,MATCH($B366,'Team forecast'!$B$3:$B$26,0),MATCH(CC$1,'Team forecast'!$R$2:$BH$2,0))*($BX366-(BY366+BX366*3+CH366)*0.01)</f>
        <v>-751.65104430555573</v>
      </c>
      <c r="CD366" s="5">
        <f>+AK366+BD366*Cockpit!$C$3+BW366*Cockpit!$C$3^2+BZ366*Cockpit!$C$3^3+CA366*Cockpit!$C$3^4+CB366*Cockpit!$C$3^5+CC366*Cockpit!$C$3^6</f>
        <v>49806.441717764879</v>
      </c>
      <c r="CE366" s="5"/>
      <c r="CF366" s="5"/>
      <c r="CG366" s="5">
        <v>0</v>
      </c>
      <c r="CH366" s="5">
        <f t="shared" si="214"/>
        <v>3500000</v>
      </c>
      <c r="CI366" s="5">
        <f t="shared" si="215"/>
        <v>3500000</v>
      </c>
      <c r="CJ366" s="1">
        <f t="shared" si="216"/>
        <v>2.1735649299295952E-2</v>
      </c>
      <c r="CK366" s="5">
        <f>RANK(BY366,$BY$2:$BY$623)+COUNTIF($BY$2:$BY366,$BY366)-1</f>
        <v>229</v>
      </c>
      <c r="CL366" s="5">
        <f>RANK(CJ366,$CJ$2:$CJ$623)+COUNTIF($CJ$2:$CJ366,$CJ366)-1</f>
        <v>248</v>
      </c>
    </row>
    <row r="367" spans="1:90">
      <c r="A367" t="str">
        <f>Players!P368</f>
        <v>Ugurcan Cakir</v>
      </c>
      <c r="B367" t="str">
        <f>Players!G368</f>
        <v>Turkey</v>
      </c>
      <c r="C367" t="str">
        <f>Players!AB368</f>
        <v>Goalkeeper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4000000</v>
      </c>
      <c r="H367" s="16">
        <f>INDEX('Team forecast'!$B$2:$AO$26,MATCH('Master data'!$B367,'Team forecast'!$B$2:$B$26,0),MATCH('Master data'!H$1,'Team forecast'!$B$2:$AO$2,0))</f>
        <v>0.65422581624273402</v>
      </c>
      <c r="I367" s="16">
        <f>INDEX('Team forecast'!$B$2:$AO$26,MATCH('Master data'!$B367,'Team forecast'!$B$2:$B$26,0),MATCH('Master data'!I$1,'Team forecast'!$B$2:$AO$2,0))</f>
        <v>1.6593477618235051</v>
      </c>
      <c r="J367" s="16">
        <f>INDEX('Team forecast'!$B$2:$AO$26,MATCH('Master data'!$B367,'Team forecast'!$B$2:$B$26,0),MATCH('Master data'!J$1,'Team forecast'!$B$2:$AO$2,0))</f>
        <v>0.19026303645592979</v>
      </c>
      <c r="K367" s="16">
        <f>INDEX('Team forecast'!$B$2:$AO$26,MATCH('Master data'!$B367,'Team forecast'!$B$2:$B$26,0),MATCH('Master data'!K$1,'Team forecast'!$B$2:$AO$2,0))</f>
        <v>1.7429374799138486</v>
      </c>
      <c r="L367" s="16">
        <f>INDEX('Team forecast'!$B$2:$AO$26,MATCH('Master data'!$B367,'Team forecast'!$B$2:$B$26,0),MATCH('Master data'!L$1,'Team forecast'!$B$2:$AO$2,0))</f>
        <v>4.1860818536911157</v>
      </c>
      <c r="M367">
        <f>IF(Players!BC368=1,95,0)</f>
        <v>95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0</v>
      </c>
      <c r="R367" s="2">
        <f>Players!BR368</f>
        <v>0</v>
      </c>
      <c r="S367" s="2">
        <f t="shared" si="175"/>
        <v>0.65422581624273402</v>
      </c>
      <c r="T367" s="2">
        <f t="shared" si="176"/>
        <v>1.6593477618235051</v>
      </c>
      <c r="U367" s="16">
        <f>INDEX('Team forecast'!$B$2:$AO$26,MATCH('Master data'!$B367,'Team forecast'!$B$2:$B$26,0),MATCH('Master data'!U$1,'Team forecast'!$B$2:$AO$2,0))</f>
        <v>0.13590216889709281</v>
      </c>
      <c r="V367" s="16">
        <f>INDEX('Team forecast'!$B$2:$AO$26,MATCH('Master data'!$B367,'Team forecast'!$B$2:$B$26,0),MATCH('Master data'!V$1,'Team forecast'!$B$2:$AO$2,0))</f>
        <v>0.25034610059990769</v>
      </c>
      <c r="W367" s="16">
        <f>INDEX('Team forecast'!$B$2:$AO$26,MATCH('Master data'!$B367,'Team forecast'!$B$2:$B$26,0),MATCH('Master data'!W$1,'Team forecast'!$B$2:$AO$2,0))</f>
        <v>0.61375173050299947</v>
      </c>
      <c r="X367" s="5">
        <f t="shared" si="177"/>
        <v>7000</v>
      </c>
      <c r="Y367" s="5">
        <f t="shared" si="178"/>
        <v>3397.5542224273204</v>
      </c>
      <c r="Z367" s="5">
        <f t="shared" si="179"/>
        <v>1251.7305029995384</v>
      </c>
      <c r="AA367" s="5">
        <f t="shared" si="180"/>
        <v>-9206.2759575449927</v>
      </c>
      <c r="AB367" s="5">
        <f t="shared" si="181"/>
        <v>0</v>
      </c>
      <c r="AC367" s="5">
        <f t="shared" si="182"/>
        <v>0</v>
      </c>
      <c r="AD367" s="5">
        <f t="shared" si="183"/>
        <v>0</v>
      </c>
      <c r="AE367" s="5">
        <f t="shared" si="184"/>
        <v>14269.727734194734</v>
      </c>
      <c r="AF367" s="5">
        <f t="shared" si="185"/>
        <v>12633.670459338053</v>
      </c>
      <c r="AG367" s="5">
        <f t="shared" si="186"/>
        <v>0</v>
      </c>
      <c r="AH367" s="5">
        <f t="shared" si="187"/>
        <v>0</v>
      </c>
      <c r="AI367" s="5">
        <f t="shared" si="188"/>
        <v>6542.2581624273398</v>
      </c>
      <c r="AJ367" s="5">
        <f t="shared" si="189"/>
        <v>-13274.782094588041</v>
      </c>
      <c r="AK367" s="5">
        <f>IFERROR(SUM(X367:AJ367),-5000)*((Cockpit!$C$3)^0)</f>
        <v>22613.883029253953</v>
      </c>
      <c r="AL367" s="16">
        <f>INDEX('Team forecast'!$B$2:$AO$26,MATCH('Master data'!$B367,'Team forecast'!$B$2:$B$26,0),MATCH('Master data'!AL$1,'Team forecast'!$B$2:$AO$2,0))</f>
        <v>1.2847203648825669</v>
      </c>
      <c r="AM367" s="16">
        <f>INDEX('Team forecast'!$B$2:$AO$26,MATCH('Master data'!$B367,'Team forecast'!$B$2:$B$26,0),MATCH('Master data'!AM$1,'Team forecast'!$B$2:$AO$2,0))</f>
        <v>1.0279287794501248</v>
      </c>
      <c r="AN367" s="16">
        <f>INDEX('Team forecast'!$B$2:$AO$26,MATCH('Master data'!$B367,'Team forecast'!$B$2:$B$26,0),MATCH('Master data'!AN$1,'Team forecast'!$B$2:$AO$2,0))</f>
        <v>0.35774716702311499</v>
      </c>
      <c r="AO367" s="16">
        <f>INDEX('Team forecast'!$B$2:$AO$26,MATCH('Master data'!$B367,'Team forecast'!$B$2:$B$26,0),MATCH('Master data'!AO$1,'Team forecast'!$B$2:$AO$2,0))</f>
        <v>3.4226519644581361</v>
      </c>
      <c r="AP367" s="16">
        <f>INDEX('Team forecast'!$B$2:$AO$26,MATCH('Master data'!$B367,'Team forecast'!$B$2:$B$26,0),MATCH('Master data'!AP$1,'Team forecast'!$B$2:$AO$2,0))</f>
        <v>2.5931839663400877</v>
      </c>
      <c r="AQ367" s="5">
        <f t="shared" si="190"/>
        <v>7000</v>
      </c>
      <c r="AR367" s="5">
        <f>INDEX('Team forecast'!$B$2:$AO$26,MATCH('Master data'!$B367,'Team forecast'!$B$2:$B$26,0),MATCH('Master data'!AR$1,'Team forecast'!$B$2:$AO$2,0))*IF(X367&gt;0,25000,0)</f>
        <v>10691.761923531732</v>
      </c>
      <c r="AS367" s="16">
        <f>INDEX('Team forecast'!$B$2:$AO$26,MATCH('Master data'!$B367,'Team forecast'!$B$2:$B$26,0),MATCH('Master data'!AS$1,'Team forecast'!$B$2:$AO$2,0))*IF(X367&gt;0,5000,0)</f>
        <v>1517.5404020496649</v>
      </c>
      <c r="AT367" s="16">
        <f>INDEX('Team forecast'!$B$2:$AO$26,MATCH('Master data'!$B367,'Team forecast'!$B$2:$B$26,0),MATCH('Master data'!AT$1,'Team forecast'!$B$2:$AO$2,0))*IF(X367&gt;0,-15000,0)</f>
        <v>-4032.3216397319688</v>
      </c>
      <c r="AU367" s="5">
        <f t="shared" si="191"/>
        <v>0</v>
      </c>
      <c r="AV367" s="5">
        <f t="shared" si="192"/>
        <v>0</v>
      </c>
      <c r="AW367" s="5">
        <f t="shared" si="193"/>
        <v>0</v>
      </c>
      <c r="AX367" s="5">
        <f t="shared" si="194"/>
        <v>26831.037526733624</v>
      </c>
      <c r="AY367" s="5">
        <f t="shared" si="195"/>
        <v>7826.2759344498145</v>
      </c>
      <c r="AZ367" s="5">
        <f t="shared" si="196"/>
        <v>0</v>
      </c>
      <c r="BA367" s="5">
        <f t="shared" si="197"/>
        <v>0</v>
      </c>
      <c r="BB367" s="5">
        <f t="shared" si="198"/>
        <v>12847.203648825669</v>
      </c>
      <c r="BC367" s="5">
        <f t="shared" si="199"/>
        <v>-8223.4302356009994</v>
      </c>
      <c r="BD367" s="5">
        <f t="shared" si="200"/>
        <v>54458.067560257536</v>
      </c>
      <c r="BE367" s="16">
        <f>INDEX('Team forecast'!$B$2:$AO$26,MATCH('Master data'!$B367,'Team forecast'!$B$2:$B$26,0),MATCH('Master data'!BE$1,'Team forecast'!$B$2:$AO$2,0))</f>
        <v>1.2246875509143662</v>
      </c>
      <c r="BF367" s="16">
        <f>INDEX('Team forecast'!$B$2:$AO$26,MATCH('Master data'!$B367,'Team forecast'!$B$2:$B$26,0),MATCH('Master data'!BF$1,'Team forecast'!$B$2:$AO$2,0))</f>
        <v>1.3677883945550393</v>
      </c>
      <c r="BG367" s="16">
        <f>INDEX('Team forecast'!$B$2:$AO$26,MATCH('Master data'!$B367,'Team forecast'!$B$2:$B$26,0),MATCH('Master data'!BG$1,'Team forecast'!$B$2:$AO$2,0))</f>
        <v>0.25466956579034061</v>
      </c>
      <c r="BH367" s="16">
        <f>INDEX('Team forecast'!$B$2:$AO$26,MATCH('Master data'!$B367,'Team forecast'!$B$2:$B$26,0),MATCH('Master data'!BH$1,'Team forecast'!$B$2:$AO$2,0))</f>
        <v>3.2627172157947619</v>
      </c>
      <c r="BI367" s="16">
        <f>INDEX('Team forecast'!$B$2:$AO$26,MATCH('Master data'!$B367,'Team forecast'!$B$2:$B$26,0),MATCH('Master data'!BI$1,'Team forecast'!$B$2:$AO$2,0))</f>
        <v>3.4505570862638493</v>
      </c>
      <c r="BJ367" s="5">
        <f t="shared" si="201"/>
        <v>7000</v>
      </c>
      <c r="BK367" s="5">
        <f>INDEX('Team forecast'!$R$3:$BH$26,MATCH($B367,'Team forecast'!$B$3:$B$26,0),MATCH(BK$1,'Team forecast'!$R$2:$BH$2,0))*IF($X367&gt;0,25000,0)</f>
        <v>8232.8523423601509</v>
      </c>
      <c r="BL367" s="5">
        <f>INDEX('Team forecast'!$R$3:$BH$26,MATCH($B367,'Team forecast'!$B$3:$B$26,0),MATCH(BL$1,'Team forecast'!$R$2:$BH$2,0))*IF($X367&gt;0,5000,0)</f>
        <v>1404.4277525202608</v>
      </c>
      <c r="BM367" s="5">
        <f>INDEX('Team forecast'!$R$3:$BH$26,MATCH($B367,'Team forecast'!$B$3:$B$26,0),MATCH(BM$1,'Team forecast'!$R$2:$BH$2,0))*IF($X367&gt;0,-15000,0)</f>
        <v>-5847.0053370231253</v>
      </c>
      <c r="BN367" s="5">
        <f t="shared" si="202"/>
        <v>0</v>
      </c>
      <c r="BO367" s="5">
        <f t="shared" si="203"/>
        <v>0</v>
      </c>
      <c r="BP367" s="5">
        <f t="shared" si="204"/>
        <v>0</v>
      </c>
      <c r="BQ367" s="5">
        <f t="shared" si="205"/>
        <v>19100.217434275546</v>
      </c>
      <c r="BR367" s="5">
        <f t="shared" si="206"/>
        <v>10413.84345854405</v>
      </c>
      <c r="BS367" s="5">
        <f t="shared" si="207"/>
        <v>0</v>
      </c>
      <c r="BT367" s="5">
        <f t="shared" si="208"/>
        <v>0</v>
      </c>
      <c r="BU367" s="5">
        <f t="shared" si="209"/>
        <v>12246.875509143661</v>
      </c>
      <c r="BV367" s="5">
        <f t="shared" si="210"/>
        <v>-10942.307156440314</v>
      </c>
      <c r="BW367" s="5">
        <f t="shared" si="211"/>
        <v>41608.90400338023</v>
      </c>
      <c r="BX367" s="5">
        <f t="shared" si="212"/>
        <v>39560.284864297239</v>
      </c>
      <c r="BY367" s="5">
        <f t="shared" si="213"/>
        <v>118680.85459289172</v>
      </c>
      <c r="BZ367" s="5">
        <f>INDEX('Team forecast'!$R$3:$BH$26,MATCH($B367,'Team forecast'!$B$3:$B$26,0),MATCH(BZ$1,'Team forecast'!$R$2:$BH$2,0))*($BX367-(BY367+CH367)*0.01)</f>
        <v>-982.80608996716489</v>
      </c>
      <c r="CA367" s="5">
        <f>INDEX('Team forecast'!$R$3:$BH$26,MATCH($B367,'Team forecast'!$B$3:$B$26,0),MATCH(CA$1,'Team forecast'!$R$2:$BH$2,0))*($BX367-(BY367+BX367+CH367)*0.01)</f>
        <v>-602.35250410071376</v>
      </c>
      <c r="CB367" s="5">
        <f>INDEX('Team forecast'!$R$3:$BH$26,MATCH($B367,'Team forecast'!$B$3:$B$26,0),MATCH(CB$1,'Team forecast'!$R$2:$BH$2,0))*($BX367-(BY367+BX367*2+CH367)*0.01)</f>
        <v>-350.45415874221641</v>
      </c>
      <c r="CC367" s="5">
        <f>INDEX('Team forecast'!$R$3:$BH$26,MATCH($B367,'Team forecast'!$B$3:$B$26,0),MATCH(CC$1,'Team forecast'!$R$2:$BH$2,0))*($BX367-(BY367+BX367*3+CH367)*0.01)</f>
        <v>-189.42927841521683</v>
      </c>
      <c r="CD367" s="5">
        <f>+AK367+BD367*Cockpit!$C$3+BW367*Cockpit!$C$3^2+BZ367*Cockpit!$C$3^3+CA367*Cockpit!$C$3^4+CB367*Cockpit!$C$3^5+CC367*Cockpit!$C$3^6</f>
        <v>76939.141989883734</v>
      </c>
      <c r="CE367" s="5"/>
      <c r="CF367" s="5"/>
      <c r="CG367" s="5">
        <v>0</v>
      </c>
      <c r="CH367" s="5">
        <f t="shared" si="214"/>
        <v>4000000</v>
      </c>
      <c r="CI367" s="5">
        <f t="shared" si="215"/>
        <v>4000000</v>
      </c>
      <c r="CJ367" s="1">
        <f t="shared" si="216"/>
        <v>2.9670213648222928E-2</v>
      </c>
      <c r="CK367" s="5">
        <f>RANK(BY367,$BY$2:$BY$623)+COUNTIF($BY$2:$BY367,$BY367)-1</f>
        <v>137</v>
      </c>
      <c r="CL367" s="5">
        <f>RANK(CJ367,$CJ$2:$CJ$623)+COUNTIF($CJ$2:$CJ367,$CJ367)-1</f>
        <v>147</v>
      </c>
    </row>
    <row r="368" spans="1:90">
      <c r="A368" t="str">
        <f>Players!P369</f>
        <v>Rıdvan R. Yılmaz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0.65422581624273402</v>
      </c>
      <c r="I368" s="16">
        <f>INDEX('Team forecast'!$B$2:$AO$26,MATCH('Master data'!$B368,'Team forecast'!$B$2:$B$26,0),MATCH('Master data'!I$1,'Team forecast'!$B$2:$AO$2,0))</f>
        <v>1.6593477618235051</v>
      </c>
      <c r="J368" s="16">
        <f>INDEX('Team forecast'!$B$2:$AO$26,MATCH('Master data'!$B368,'Team forecast'!$B$2:$B$26,0),MATCH('Master data'!J$1,'Team forecast'!$B$2:$AO$2,0))</f>
        <v>0.19026303645592979</v>
      </c>
      <c r="K368" s="16">
        <f>INDEX('Team forecast'!$B$2:$AO$26,MATCH('Master data'!$B368,'Team forecast'!$B$2:$B$26,0),MATCH('Master data'!K$1,'Team forecast'!$B$2:$AO$2,0))</f>
        <v>1.7429374799138486</v>
      </c>
      <c r="L368" s="16">
        <f>INDEX('Team forecast'!$B$2:$AO$26,MATCH('Master data'!$B368,'Team forecast'!$B$2:$B$26,0),MATCH('Master data'!L$1,'Team forecast'!$B$2:$AO$2,0))</f>
        <v>4.1860818536911157</v>
      </c>
      <c r="M368">
        <f>IF(Players!BC369=1,95,0)</f>
        <v>0</v>
      </c>
      <c r="N368" s="2">
        <f>Players!BN369</f>
        <v>0</v>
      </c>
      <c r="O368" s="2">
        <f>Players!BO369</f>
        <v>0</v>
      </c>
      <c r="P368" s="2">
        <f>Players!BP369</f>
        <v>0</v>
      </c>
      <c r="Q368" s="2">
        <f>Players!BQ369</f>
        <v>0.13326889279437609</v>
      </c>
      <c r="R368" s="2">
        <f>Players!BR369</f>
        <v>0</v>
      </c>
      <c r="S368" s="2">
        <f t="shared" si="175"/>
        <v>0.65422581624273402</v>
      </c>
      <c r="T368" s="2">
        <f t="shared" si="176"/>
        <v>1.6593477618235051</v>
      </c>
      <c r="U368" s="16">
        <f>INDEX('Team forecast'!$B$2:$AO$26,MATCH('Master data'!$B368,'Team forecast'!$B$2:$B$26,0),MATCH('Master data'!U$1,'Team forecast'!$B$2:$AO$2,0))</f>
        <v>0.13590216889709281</v>
      </c>
      <c r="V368" s="16">
        <f>INDEX('Team forecast'!$B$2:$AO$26,MATCH('Master data'!$B368,'Team forecast'!$B$2:$B$26,0),MATCH('Master data'!V$1,'Team forecast'!$B$2:$AO$2,0))</f>
        <v>0.25034610059990769</v>
      </c>
      <c r="W368" s="16">
        <f>INDEX('Team forecast'!$B$2:$AO$26,MATCH('Master data'!$B368,'Team forecast'!$B$2:$B$26,0),MATCH('Master data'!W$1,'Team forecast'!$B$2:$AO$2,0))</f>
        <v>0.61375173050299947</v>
      </c>
      <c r="X368" s="5">
        <f t="shared" si="177"/>
        <v>-5000</v>
      </c>
      <c r="Y368" s="5">
        <f t="shared" si="178"/>
        <v>0</v>
      </c>
      <c r="Z368" s="5">
        <f t="shared" si="179"/>
        <v>0</v>
      </c>
      <c r="AA368" s="5">
        <f t="shared" si="180"/>
        <v>0</v>
      </c>
      <c r="AB368" s="5">
        <f t="shared" si="181"/>
        <v>0</v>
      </c>
      <c r="AC368" s="5">
        <f t="shared" si="182"/>
        <v>0</v>
      </c>
      <c r="AD368" s="5">
        <f t="shared" si="183"/>
        <v>0</v>
      </c>
      <c r="AE368" s="5">
        <f t="shared" si="184"/>
        <v>9513.1518227964898</v>
      </c>
      <c r="AF368" s="5">
        <f t="shared" si="185"/>
        <v>0</v>
      </c>
      <c r="AG368" s="5">
        <f t="shared" si="186"/>
        <v>0</v>
      </c>
      <c r="AH368" s="5">
        <f t="shared" si="187"/>
        <v>0</v>
      </c>
      <c r="AI368" s="5">
        <f t="shared" si="188"/>
        <v>0</v>
      </c>
      <c r="AJ368" s="5">
        <f t="shared" si="189"/>
        <v>0</v>
      </c>
      <c r="AK368" s="5">
        <f>IFERROR(SUM(X368:AJ368),-5000)*((Cockpit!$C$3)^0)</f>
        <v>4513.1518227964898</v>
      </c>
      <c r="AL368" s="16">
        <f>INDEX('Team forecast'!$B$2:$AO$26,MATCH('Master data'!$B368,'Team forecast'!$B$2:$B$26,0),MATCH('Master data'!AL$1,'Team forecast'!$B$2:$AO$2,0))</f>
        <v>1.2847203648825669</v>
      </c>
      <c r="AM368" s="16">
        <f>INDEX('Team forecast'!$B$2:$AO$26,MATCH('Master data'!$B368,'Team forecast'!$B$2:$B$26,0),MATCH('Master data'!AM$1,'Team forecast'!$B$2:$AO$2,0))</f>
        <v>1.0279287794501248</v>
      </c>
      <c r="AN368" s="16">
        <f>INDEX('Team forecast'!$B$2:$AO$26,MATCH('Master data'!$B368,'Team forecast'!$B$2:$B$26,0),MATCH('Master data'!AN$1,'Team forecast'!$B$2:$AO$2,0))</f>
        <v>0.35774716702311499</v>
      </c>
      <c r="AO368" s="16">
        <f>INDEX('Team forecast'!$B$2:$AO$26,MATCH('Master data'!$B368,'Team forecast'!$B$2:$B$26,0),MATCH('Master data'!AO$1,'Team forecast'!$B$2:$AO$2,0))</f>
        <v>3.4226519644581361</v>
      </c>
      <c r="AP368" s="16">
        <f>INDEX('Team forecast'!$B$2:$AO$26,MATCH('Master data'!$B368,'Team forecast'!$B$2:$B$26,0),MATCH('Master data'!AP$1,'Team forecast'!$B$2:$AO$2,0))</f>
        <v>2.5931839663400877</v>
      </c>
      <c r="AQ368" s="5">
        <f t="shared" si="190"/>
        <v>-5000</v>
      </c>
      <c r="AR368" s="5">
        <f>INDEX('Team forecast'!$B$2:$AO$26,MATCH('Master data'!$B368,'Team forecast'!$B$2:$B$26,0),MATCH('Master data'!AR$1,'Team forecast'!$B$2:$AO$2,0))*IF(X368&gt;0,25000,0)</f>
        <v>0</v>
      </c>
      <c r="AS368" s="16">
        <f>INDEX('Team forecast'!$B$2:$AO$26,MATCH('Master data'!$B368,'Team forecast'!$B$2:$B$26,0),MATCH('Master data'!AS$1,'Team forecast'!$B$2:$AO$2,0))*IF(X368&gt;0,5000,0)</f>
        <v>0</v>
      </c>
      <c r="AT368" s="16">
        <f>INDEX('Team forecast'!$B$2:$AO$26,MATCH('Master data'!$B368,'Team forecast'!$B$2:$B$26,0),MATCH('Master data'!AT$1,'Team forecast'!$B$2:$AO$2,0))*IF(X368&gt;0,-15000,0)</f>
        <v>0</v>
      </c>
      <c r="AU368" s="5">
        <f t="shared" si="191"/>
        <v>0</v>
      </c>
      <c r="AV368" s="5">
        <f t="shared" si="192"/>
        <v>0</v>
      </c>
      <c r="AW368" s="5">
        <f t="shared" si="193"/>
        <v>0</v>
      </c>
      <c r="AX368" s="5">
        <f t="shared" si="194"/>
        <v>17887.358351155748</v>
      </c>
      <c r="AY368" s="5">
        <f t="shared" si="195"/>
        <v>0</v>
      </c>
      <c r="AZ368" s="5">
        <f t="shared" si="196"/>
        <v>0</v>
      </c>
      <c r="BA368" s="5">
        <f t="shared" si="197"/>
        <v>0</v>
      </c>
      <c r="BB368" s="5">
        <f t="shared" si="198"/>
        <v>0</v>
      </c>
      <c r="BC368" s="5">
        <f t="shared" si="199"/>
        <v>0</v>
      </c>
      <c r="BD368" s="5">
        <f t="shared" si="200"/>
        <v>12887.358351155748</v>
      </c>
      <c r="BE368" s="16">
        <f>INDEX('Team forecast'!$B$2:$AO$26,MATCH('Master data'!$B368,'Team forecast'!$B$2:$B$26,0),MATCH('Master data'!BE$1,'Team forecast'!$B$2:$AO$2,0))</f>
        <v>1.2246875509143662</v>
      </c>
      <c r="BF368" s="16">
        <f>INDEX('Team forecast'!$B$2:$AO$26,MATCH('Master data'!$B368,'Team forecast'!$B$2:$B$26,0),MATCH('Master data'!BF$1,'Team forecast'!$B$2:$AO$2,0))</f>
        <v>1.3677883945550393</v>
      </c>
      <c r="BG368" s="16">
        <f>INDEX('Team forecast'!$B$2:$AO$26,MATCH('Master data'!$B368,'Team forecast'!$B$2:$B$26,0),MATCH('Master data'!BG$1,'Team forecast'!$B$2:$AO$2,0))</f>
        <v>0.25466956579034061</v>
      </c>
      <c r="BH368" s="16">
        <f>INDEX('Team forecast'!$B$2:$AO$26,MATCH('Master data'!$B368,'Team forecast'!$B$2:$B$26,0),MATCH('Master data'!BH$1,'Team forecast'!$B$2:$AO$2,0))</f>
        <v>3.2627172157947619</v>
      </c>
      <c r="BI368" s="16">
        <f>INDEX('Team forecast'!$B$2:$AO$26,MATCH('Master data'!$B368,'Team forecast'!$B$2:$B$26,0),MATCH('Master data'!BI$1,'Team forecast'!$B$2:$AO$2,0))</f>
        <v>3.4505570862638493</v>
      </c>
      <c r="BJ368" s="5">
        <f t="shared" si="201"/>
        <v>-5000</v>
      </c>
      <c r="BK368" s="5">
        <f>INDEX('Team forecast'!$R$3:$BH$26,MATCH($B368,'Team forecast'!$B$3:$B$26,0),MATCH(BK$1,'Team forecast'!$R$2:$BH$2,0))*IF($X368&gt;0,25000,0)</f>
        <v>0</v>
      </c>
      <c r="BL368" s="5">
        <f>INDEX('Team forecast'!$R$3:$BH$26,MATCH($B368,'Team forecast'!$B$3:$B$26,0),MATCH(BL$1,'Team forecast'!$R$2:$BH$2,0))*IF($X368&gt;0,5000,0)</f>
        <v>0</v>
      </c>
      <c r="BM368" s="5">
        <f>INDEX('Team forecast'!$R$3:$BH$26,MATCH($B368,'Team forecast'!$B$3:$B$26,0),MATCH(BM$1,'Team forecast'!$R$2:$BH$2,0))*IF($X368&gt;0,-15000,0)</f>
        <v>0</v>
      </c>
      <c r="BN368" s="5">
        <f t="shared" si="202"/>
        <v>0</v>
      </c>
      <c r="BO368" s="5">
        <f t="shared" si="203"/>
        <v>0</v>
      </c>
      <c r="BP368" s="5">
        <f t="shared" si="204"/>
        <v>0</v>
      </c>
      <c r="BQ368" s="5">
        <f t="shared" si="205"/>
        <v>12733.47828951703</v>
      </c>
      <c r="BR368" s="5">
        <f t="shared" si="206"/>
        <v>0</v>
      </c>
      <c r="BS368" s="5">
        <f t="shared" si="207"/>
        <v>0</v>
      </c>
      <c r="BT368" s="5">
        <f t="shared" si="208"/>
        <v>0</v>
      </c>
      <c r="BU368" s="5">
        <f t="shared" si="209"/>
        <v>0</v>
      </c>
      <c r="BV368" s="5">
        <f t="shared" si="210"/>
        <v>0</v>
      </c>
      <c r="BW368" s="5">
        <f t="shared" si="211"/>
        <v>7733.4782895170301</v>
      </c>
      <c r="BX368" s="5">
        <f t="shared" si="212"/>
        <v>8377.9961544897542</v>
      </c>
      <c r="BY368" s="5">
        <f t="shared" si="213"/>
        <v>25133.988463469264</v>
      </c>
      <c r="BZ368" s="5">
        <f>INDEX('Team forecast'!$R$3:$BH$26,MATCH($B368,'Team forecast'!$B$3:$B$26,0),MATCH(BZ$1,'Team forecast'!$R$2:$BH$2,0))*($BX368-(BY368+CH368)*0.01)</f>
        <v>-10195.501709178865</v>
      </c>
      <c r="CA368" s="5">
        <f>INDEX('Team forecast'!$R$3:$BH$26,MATCH($B368,'Team forecast'!$B$3:$B$26,0),MATCH(CA$1,'Team forecast'!$R$2:$BH$2,0))*($BX368-(BY368+BX368+CH368)*0.01)</f>
        <v>-5051.2001920312978</v>
      </c>
      <c r="CB368" s="5">
        <f>INDEX('Team forecast'!$R$3:$BH$26,MATCH($B368,'Team forecast'!$B$3:$B$26,0),MATCH(CB$1,'Team forecast'!$R$2:$BH$2,0))*($BX368-(BY368+BX368*2+CH368)*0.01)</f>
        <v>-2470.1091884299817</v>
      </c>
      <c r="CC368" s="5">
        <f>INDEX('Team forecast'!$R$3:$BH$26,MATCH($B368,'Team forecast'!$B$3:$B$26,0),MATCH(CC$1,'Team forecast'!$R$2:$BH$2,0))*($BX368-(BY368+BX368*3+CH368)*0.01)</f>
        <v>-1153.0513276952543</v>
      </c>
      <c r="CD368" s="5">
        <f>+AK368+BD368*Cockpit!$C$3+BW368*Cockpit!$C$3^2+BZ368*Cockpit!$C$3^3+CA368*Cockpit!$C$3^4+CB368*Cockpit!$C$3^5+CC368*Cockpit!$C$3^6</f>
        <v>12096.658215894286</v>
      </c>
      <c r="CE368" s="5"/>
      <c r="CF368" s="5"/>
      <c r="CG368" s="5">
        <v>0</v>
      </c>
      <c r="CH368" s="5">
        <f t="shared" si="214"/>
        <v>2500000</v>
      </c>
      <c r="CI368" s="5">
        <f t="shared" si="215"/>
        <v>2500000</v>
      </c>
      <c r="CJ368" s="1">
        <f t="shared" si="216"/>
        <v>1.0053595385387706E-2</v>
      </c>
      <c r="CK368" s="5">
        <f>RANK(BY368,$BY$2:$BY$623)+COUNTIF($BY$2:$BY368,$BY368)-1</f>
        <v>365</v>
      </c>
      <c r="CL368" s="5">
        <f>RANK(CJ368,$CJ$2:$CJ$623)+COUNTIF($CJ$2:$CJ368,$CJ368)-1</f>
        <v>360</v>
      </c>
    </row>
    <row r="369" spans="1:90">
      <c r="A369" t="str">
        <f>Players!P370</f>
        <v>Umut Meraş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2500000</v>
      </c>
      <c r="H369" s="16">
        <f>INDEX('Team forecast'!$B$2:$AO$26,MATCH('Master data'!$B369,'Team forecast'!$B$2:$B$26,0),MATCH('Master data'!H$1,'Team forecast'!$B$2:$AO$2,0))</f>
        <v>0.65422581624273402</v>
      </c>
      <c r="I369" s="16">
        <f>INDEX('Team forecast'!$B$2:$AO$26,MATCH('Master data'!$B369,'Team forecast'!$B$2:$B$26,0),MATCH('Master data'!I$1,'Team forecast'!$B$2:$AO$2,0))</f>
        <v>1.6593477618235051</v>
      </c>
      <c r="J369" s="16">
        <f>INDEX('Team forecast'!$B$2:$AO$26,MATCH('Master data'!$B369,'Team forecast'!$B$2:$B$26,0),MATCH('Master data'!J$1,'Team forecast'!$B$2:$AO$2,0))</f>
        <v>0.19026303645592979</v>
      </c>
      <c r="K369" s="16">
        <f>INDEX('Team forecast'!$B$2:$AO$26,MATCH('Master data'!$B369,'Team forecast'!$B$2:$B$26,0),MATCH('Master data'!K$1,'Team forecast'!$B$2:$AO$2,0))</f>
        <v>1.7429374799138486</v>
      </c>
      <c r="L369" s="16">
        <f>INDEX('Team forecast'!$B$2:$AO$26,MATCH('Master data'!$B369,'Team forecast'!$B$2:$B$26,0),MATCH('Master data'!L$1,'Team forecast'!$B$2:$AO$2,0))</f>
        <v>4.1860818536911157</v>
      </c>
      <c r="M369">
        <f>IF(Players!BC370=1,95,0)</f>
        <v>95</v>
      </c>
      <c r="N369" s="2">
        <f>Players!BN370</f>
        <v>7.3759637203322972E-2</v>
      </c>
      <c r="O369" s="2">
        <f>Players!BO370</f>
        <v>0.11883851846151464</v>
      </c>
      <c r="P369" s="2">
        <f>Players!BP370</f>
        <v>0.12018386117185831</v>
      </c>
      <c r="Q369" s="2">
        <f>Players!BQ370</f>
        <v>3.8560411311053984E-2</v>
      </c>
      <c r="R369" s="2">
        <f>Players!BR370</f>
        <v>0</v>
      </c>
      <c r="S369" s="2">
        <f t="shared" si="175"/>
        <v>0.65422581624273402</v>
      </c>
      <c r="T369" s="2">
        <f t="shared" si="176"/>
        <v>1.6593477618235051</v>
      </c>
      <c r="U369" s="16">
        <f>INDEX('Team forecast'!$B$2:$AO$26,MATCH('Master data'!$B369,'Team forecast'!$B$2:$B$26,0),MATCH('Master data'!U$1,'Team forecast'!$B$2:$AO$2,0))</f>
        <v>0.13590216889709281</v>
      </c>
      <c r="V369" s="16">
        <f>INDEX('Team forecast'!$B$2:$AO$26,MATCH('Master data'!$B369,'Team forecast'!$B$2:$B$26,0),MATCH('Master data'!V$1,'Team forecast'!$B$2:$AO$2,0))</f>
        <v>0.25034610059990769</v>
      </c>
      <c r="W369" s="16">
        <f>INDEX('Team forecast'!$B$2:$AO$26,MATCH('Master data'!$B369,'Team forecast'!$B$2:$B$26,0),MATCH('Master data'!W$1,'Team forecast'!$B$2:$AO$2,0))</f>
        <v>0.61375173050299947</v>
      </c>
      <c r="X369" s="5">
        <f t="shared" si="177"/>
        <v>7000</v>
      </c>
      <c r="Y369" s="5">
        <f t="shared" si="178"/>
        <v>3397.5542224273204</v>
      </c>
      <c r="Z369" s="5">
        <f t="shared" si="179"/>
        <v>1251.7305029995384</v>
      </c>
      <c r="AA369" s="5">
        <f t="shared" si="180"/>
        <v>-9206.2759575449927</v>
      </c>
      <c r="AB369" s="5">
        <f t="shared" si="181"/>
        <v>7238.3188282667861</v>
      </c>
      <c r="AC369" s="5">
        <f t="shared" si="182"/>
        <v>3887.3613370780813</v>
      </c>
      <c r="AD369" s="5">
        <f t="shared" si="183"/>
        <v>2094.7295611719455</v>
      </c>
      <c r="AE369" s="5">
        <f t="shared" si="184"/>
        <v>9513.1518227964898</v>
      </c>
      <c r="AF369" s="5">
        <f t="shared" si="185"/>
        <v>0</v>
      </c>
      <c r="AG369" s="5">
        <f t="shared" si="186"/>
        <v>-771.20822622107971</v>
      </c>
      <c r="AH369" s="5">
        <f t="shared" si="187"/>
        <v>0</v>
      </c>
      <c r="AI369" s="5">
        <f t="shared" si="188"/>
        <v>6542.2581624273398</v>
      </c>
      <c r="AJ369" s="5">
        <f t="shared" si="189"/>
        <v>-13274.782094588041</v>
      </c>
      <c r="AK369" s="5">
        <f>IFERROR(SUM(X369:AJ369),-5000)*((Cockpit!$C$3)^0)</f>
        <v>17672.838158813389</v>
      </c>
      <c r="AL369" s="16">
        <f>INDEX('Team forecast'!$B$2:$AO$26,MATCH('Master data'!$B369,'Team forecast'!$B$2:$B$26,0),MATCH('Master data'!AL$1,'Team forecast'!$B$2:$AO$2,0))</f>
        <v>1.2847203648825669</v>
      </c>
      <c r="AM369" s="16">
        <f>INDEX('Team forecast'!$B$2:$AO$26,MATCH('Master data'!$B369,'Team forecast'!$B$2:$B$26,0),MATCH('Master data'!AM$1,'Team forecast'!$B$2:$AO$2,0))</f>
        <v>1.0279287794501248</v>
      </c>
      <c r="AN369" s="16">
        <f>INDEX('Team forecast'!$B$2:$AO$26,MATCH('Master data'!$B369,'Team forecast'!$B$2:$B$26,0),MATCH('Master data'!AN$1,'Team forecast'!$B$2:$AO$2,0))</f>
        <v>0.35774716702311499</v>
      </c>
      <c r="AO369" s="16">
        <f>INDEX('Team forecast'!$B$2:$AO$26,MATCH('Master data'!$B369,'Team forecast'!$B$2:$B$26,0),MATCH('Master data'!AO$1,'Team forecast'!$B$2:$AO$2,0))</f>
        <v>3.4226519644581361</v>
      </c>
      <c r="AP369" s="16">
        <f>INDEX('Team forecast'!$B$2:$AO$26,MATCH('Master data'!$B369,'Team forecast'!$B$2:$B$26,0),MATCH('Master data'!AP$1,'Team forecast'!$B$2:$AO$2,0))</f>
        <v>2.5931839663400877</v>
      </c>
      <c r="AQ369" s="5">
        <f t="shared" si="190"/>
        <v>7000</v>
      </c>
      <c r="AR369" s="5">
        <f>INDEX('Team forecast'!$B$2:$AO$26,MATCH('Master data'!$B369,'Team forecast'!$B$2:$B$26,0),MATCH('Master data'!AR$1,'Team forecast'!$B$2:$AO$2,0))*IF(X369&gt;0,25000,0)</f>
        <v>10691.761923531732</v>
      </c>
      <c r="AS369" s="16">
        <f>INDEX('Team forecast'!$B$2:$AO$26,MATCH('Master data'!$B369,'Team forecast'!$B$2:$B$26,0),MATCH('Master data'!AS$1,'Team forecast'!$B$2:$AO$2,0))*IF(X369&gt;0,5000,0)</f>
        <v>1517.5404020496649</v>
      </c>
      <c r="AT369" s="16">
        <f>INDEX('Team forecast'!$B$2:$AO$26,MATCH('Master data'!$B369,'Team forecast'!$B$2:$B$26,0),MATCH('Master data'!AT$1,'Team forecast'!$B$2:$AO$2,0))*IF(X369&gt;0,-15000,0)</f>
        <v>-4032.3216397319688</v>
      </c>
      <c r="AU369" s="5">
        <f t="shared" si="191"/>
        <v>14214.076203218827</v>
      </c>
      <c r="AV369" s="5">
        <f t="shared" si="192"/>
        <v>7633.7132399990369</v>
      </c>
      <c r="AW369" s="5">
        <f t="shared" si="193"/>
        <v>4113.4752853602477</v>
      </c>
      <c r="AX369" s="5">
        <f t="shared" si="194"/>
        <v>17887.358351155748</v>
      </c>
      <c r="AY369" s="5">
        <f t="shared" si="195"/>
        <v>0</v>
      </c>
      <c r="AZ369" s="5">
        <f t="shared" si="196"/>
        <v>-771.20822622107971</v>
      </c>
      <c r="BA369" s="5">
        <f t="shared" si="197"/>
        <v>0</v>
      </c>
      <c r="BB369" s="5">
        <f t="shared" si="198"/>
        <v>12847.203648825669</v>
      </c>
      <c r="BC369" s="5">
        <f t="shared" si="199"/>
        <v>-8223.4302356009994</v>
      </c>
      <c r="BD369" s="5">
        <f t="shared" si="200"/>
        <v>62878.168952586871</v>
      </c>
      <c r="BE369" s="16">
        <f>INDEX('Team forecast'!$B$2:$AO$26,MATCH('Master data'!$B369,'Team forecast'!$B$2:$B$26,0),MATCH('Master data'!BE$1,'Team forecast'!$B$2:$AO$2,0))</f>
        <v>1.2246875509143662</v>
      </c>
      <c r="BF369" s="16">
        <f>INDEX('Team forecast'!$B$2:$AO$26,MATCH('Master data'!$B369,'Team forecast'!$B$2:$B$26,0),MATCH('Master data'!BF$1,'Team forecast'!$B$2:$AO$2,0))</f>
        <v>1.3677883945550393</v>
      </c>
      <c r="BG369" s="16">
        <f>INDEX('Team forecast'!$B$2:$AO$26,MATCH('Master data'!$B369,'Team forecast'!$B$2:$B$26,0),MATCH('Master data'!BG$1,'Team forecast'!$B$2:$AO$2,0))</f>
        <v>0.25466956579034061</v>
      </c>
      <c r="BH369" s="16">
        <f>INDEX('Team forecast'!$B$2:$AO$26,MATCH('Master data'!$B369,'Team forecast'!$B$2:$B$26,0),MATCH('Master data'!BH$1,'Team forecast'!$B$2:$AO$2,0))</f>
        <v>3.2627172157947619</v>
      </c>
      <c r="BI369" s="16">
        <f>INDEX('Team forecast'!$B$2:$AO$26,MATCH('Master data'!$B369,'Team forecast'!$B$2:$B$26,0),MATCH('Master data'!BI$1,'Team forecast'!$B$2:$AO$2,0))</f>
        <v>3.4505570862638493</v>
      </c>
      <c r="BJ369" s="5">
        <f t="shared" si="201"/>
        <v>7000</v>
      </c>
      <c r="BK369" s="5">
        <f>INDEX('Team forecast'!$R$3:$BH$26,MATCH($B369,'Team forecast'!$B$3:$B$26,0),MATCH(BK$1,'Team forecast'!$R$2:$BH$2,0))*IF($X369&gt;0,25000,0)</f>
        <v>8232.8523423601509</v>
      </c>
      <c r="BL369" s="5">
        <f>INDEX('Team forecast'!$R$3:$BH$26,MATCH($B369,'Team forecast'!$B$3:$B$26,0),MATCH(BL$1,'Team forecast'!$R$2:$BH$2,0))*IF($X369&gt;0,5000,0)</f>
        <v>1404.4277525202608</v>
      </c>
      <c r="BM369" s="5">
        <f>INDEX('Team forecast'!$R$3:$BH$26,MATCH($B369,'Team forecast'!$B$3:$B$26,0),MATCH(BM$1,'Team forecast'!$R$2:$BH$2,0))*IF($X369&gt;0,-15000,0)</f>
        <v>-5847.0053370231253</v>
      </c>
      <c r="BN369" s="5">
        <f t="shared" si="202"/>
        <v>13549.876416430468</v>
      </c>
      <c r="BO369" s="5">
        <f t="shared" si="203"/>
        <v>7277.0027064462029</v>
      </c>
      <c r="BP369" s="5">
        <f t="shared" si="204"/>
        <v>3921.2595290610975</v>
      </c>
      <c r="BQ369" s="5">
        <f t="shared" si="205"/>
        <v>12733.47828951703</v>
      </c>
      <c r="BR369" s="5">
        <f t="shared" si="206"/>
        <v>0</v>
      </c>
      <c r="BS369" s="5">
        <f t="shared" si="207"/>
        <v>-771.20822622107971</v>
      </c>
      <c r="BT369" s="5">
        <f t="shared" si="208"/>
        <v>0</v>
      </c>
      <c r="BU369" s="5">
        <f t="shared" si="209"/>
        <v>12246.875509143661</v>
      </c>
      <c r="BV369" s="5">
        <f t="shared" si="210"/>
        <v>-10942.307156440314</v>
      </c>
      <c r="BW369" s="5">
        <f t="shared" si="211"/>
        <v>48805.251825794352</v>
      </c>
      <c r="BX369" s="5">
        <f t="shared" si="212"/>
        <v>43118.752979064877</v>
      </c>
      <c r="BY369" s="5">
        <f t="shared" si="213"/>
        <v>129356.25893719462</v>
      </c>
      <c r="BZ369" s="5">
        <f>INDEX('Team forecast'!$R$3:$BH$26,MATCH($B369,'Team forecast'!$B$3:$B$26,0),MATCH(BZ$1,'Team forecast'!$R$2:$BH$2,0))*($BX369-(BY369+CH369)*0.01)</f>
        <v>10166.405670318234</v>
      </c>
      <c r="CA369" s="5">
        <f>INDEX('Team forecast'!$R$3:$BH$26,MATCH($B369,'Team forecast'!$B$3:$B$26,0),MATCH(CA$1,'Team forecast'!$R$2:$BH$2,0))*($BX369-(BY369+BX369+CH369)*0.01)</f>
        <v>4883.4573539545727</v>
      </c>
      <c r="CB369" s="5">
        <f>INDEX('Team forecast'!$R$3:$BH$26,MATCH($B369,'Team forecast'!$B$3:$B$26,0),MATCH(CB$1,'Team forecast'!$R$2:$BH$2,0))*($BX369-(BY369+BX369*2+CH369)*0.01)</f>
        <v>2313.8383751518404</v>
      </c>
      <c r="CC369" s="5">
        <f>INDEX('Team forecast'!$R$3:$BH$26,MATCH($B369,'Team forecast'!$B$3:$B$26,0),MATCH(CC$1,'Team forecast'!$R$2:$BH$2,0))*($BX369-(BY369+BX369*3+CH369)*0.01)</f>
        <v>1045.7865651294301</v>
      </c>
      <c r="CD369" s="5">
        <f>+AK369+BD369*Cockpit!$C$3+BW369*Cockpit!$C$3^2+BZ369*Cockpit!$C$3^3+CA369*Cockpit!$C$3^4+CB369*Cockpit!$C$3^5+CC369*Cockpit!$C$3^6</f>
        <v>85656.256554500142</v>
      </c>
      <c r="CE369" s="5"/>
      <c r="CF369" s="5"/>
      <c r="CG369" s="5">
        <v>0</v>
      </c>
      <c r="CH369" s="5">
        <f t="shared" si="214"/>
        <v>2500000</v>
      </c>
      <c r="CI369" s="5">
        <f t="shared" si="215"/>
        <v>2500000</v>
      </c>
      <c r="CJ369" s="1">
        <f t="shared" si="216"/>
        <v>5.1742503574877849E-2</v>
      </c>
      <c r="CK369" s="5">
        <f>RANK(BY369,$BY$2:$BY$623)+COUNTIF($BY$2:$BY369,$BY369)-1</f>
        <v>118</v>
      </c>
      <c r="CL369" s="5">
        <f>RANK(CJ369,$CJ$2:$CJ$623)+COUNTIF($CJ$2:$CJ369,$CJ369)-1</f>
        <v>27</v>
      </c>
    </row>
    <row r="370" spans="1:90">
      <c r="A370" t="str">
        <f>Players!P371</f>
        <v>Mert Müldür</v>
      </c>
      <c r="B370" t="str">
        <f>Players!G371</f>
        <v>Turkey</v>
      </c>
      <c r="C370" t="str">
        <f>Players!AB371</f>
        <v>Defense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2000000</v>
      </c>
      <c r="H370" s="16">
        <f>INDEX('Team forecast'!$B$2:$AO$26,MATCH('Master data'!$B370,'Team forecast'!$B$2:$B$26,0),MATCH('Master data'!H$1,'Team forecast'!$B$2:$AO$2,0))</f>
        <v>0.65422581624273402</v>
      </c>
      <c r="I370" s="16">
        <f>INDEX('Team forecast'!$B$2:$AO$26,MATCH('Master data'!$B370,'Team forecast'!$B$2:$B$26,0),MATCH('Master data'!I$1,'Team forecast'!$B$2:$AO$2,0))</f>
        <v>1.6593477618235051</v>
      </c>
      <c r="J370" s="16">
        <f>INDEX('Team forecast'!$B$2:$AO$26,MATCH('Master data'!$B370,'Team forecast'!$B$2:$B$26,0),MATCH('Master data'!J$1,'Team forecast'!$B$2:$AO$2,0))</f>
        <v>0.19026303645592979</v>
      </c>
      <c r="K370" s="16">
        <f>INDEX('Team forecast'!$B$2:$AO$26,MATCH('Master data'!$B370,'Team forecast'!$B$2:$B$26,0),MATCH('Master data'!K$1,'Team forecast'!$B$2:$AO$2,0))</f>
        <v>1.7429374799138486</v>
      </c>
      <c r="L370" s="16">
        <f>INDEX('Team forecast'!$B$2:$AO$26,MATCH('Master data'!$B370,'Team forecast'!$B$2:$B$26,0),MATCH('Master data'!L$1,'Team forecast'!$B$2:$AO$2,0))</f>
        <v>4.1860818536911157</v>
      </c>
      <c r="M370">
        <f>IF(Players!BC371=1,95,0)</f>
        <v>95</v>
      </c>
      <c r="N370" s="2">
        <f>Players!BN371</f>
        <v>2.2808652923184302E-2</v>
      </c>
      <c r="O370" s="2">
        <f>Players!BO371</f>
        <v>3.4280251590380423E-2</v>
      </c>
      <c r="P370" s="2">
        <f>Players!BP371</f>
        <v>1.0460513573057778E-2</v>
      </c>
      <c r="Q370" s="2">
        <f>Players!BQ371</f>
        <v>5.3699284009546544E-2</v>
      </c>
      <c r="R370" s="2">
        <f>Players!BR371</f>
        <v>0</v>
      </c>
      <c r="S370" s="2">
        <f t="shared" si="175"/>
        <v>0.65422581624273402</v>
      </c>
      <c r="T370" s="2">
        <f t="shared" si="176"/>
        <v>1.6593477618235051</v>
      </c>
      <c r="U370" s="16">
        <f>INDEX('Team forecast'!$B$2:$AO$26,MATCH('Master data'!$B370,'Team forecast'!$B$2:$B$26,0),MATCH('Master data'!U$1,'Team forecast'!$B$2:$AO$2,0))</f>
        <v>0.13590216889709281</v>
      </c>
      <c r="V370" s="16">
        <f>INDEX('Team forecast'!$B$2:$AO$26,MATCH('Master data'!$B370,'Team forecast'!$B$2:$B$26,0),MATCH('Master data'!V$1,'Team forecast'!$B$2:$AO$2,0))</f>
        <v>0.25034610059990769</v>
      </c>
      <c r="W370" s="16">
        <f>INDEX('Team forecast'!$B$2:$AO$26,MATCH('Master data'!$B370,'Team forecast'!$B$2:$B$26,0),MATCH('Master data'!W$1,'Team forecast'!$B$2:$AO$2,0))</f>
        <v>0.61375173050299947</v>
      </c>
      <c r="X370" s="5">
        <f t="shared" si="177"/>
        <v>7000</v>
      </c>
      <c r="Y370" s="5">
        <f t="shared" si="178"/>
        <v>3397.5542224273204</v>
      </c>
      <c r="Z370" s="5">
        <f t="shared" si="179"/>
        <v>1251.7305029995384</v>
      </c>
      <c r="AA370" s="5">
        <f t="shared" si="180"/>
        <v>-9206.2759575449927</v>
      </c>
      <c r="AB370" s="5">
        <f t="shared" si="181"/>
        <v>2238.3014364101209</v>
      </c>
      <c r="AC370" s="5">
        <f t="shared" si="182"/>
        <v>1121.3512788861456</v>
      </c>
      <c r="AD370" s="5">
        <f t="shared" si="183"/>
        <v>182.32021165629931</v>
      </c>
      <c r="AE370" s="5">
        <f t="shared" si="184"/>
        <v>9513.1518227964898</v>
      </c>
      <c r="AF370" s="5">
        <f t="shared" si="185"/>
        <v>0</v>
      </c>
      <c r="AG370" s="5">
        <f t="shared" si="186"/>
        <v>-1073.9856801909309</v>
      </c>
      <c r="AH370" s="5">
        <f t="shared" si="187"/>
        <v>0</v>
      </c>
      <c r="AI370" s="5">
        <f t="shared" si="188"/>
        <v>6542.2581624273398</v>
      </c>
      <c r="AJ370" s="5">
        <f t="shared" si="189"/>
        <v>-13274.782094588041</v>
      </c>
      <c r="AK370" s="5">
        <f>IFERROR(SUM(X370:AJ370),-5000)*((Cockpit!$C$3)^0)</f>
        <v>7691.623905279288</v>
      </c>
      <c r="AL370" s="16">
        <f>INDEX('Team forecast'!$B$2:$AO$26,MATCH('Master data'!$B370,'Team forecast'!$B$2:$B$26,0),MATCH('Master data'!AL$1,'Team forecast'!$B$2:$AO$2,0))</f>
        <v>1.2847203648825669</v>
      </c>
      <c r="AM370" s="16">
        <f>INDEX('Team forecast'!$B$2:$AO$26,MATCH('Master data'!$B370,'Team forecast'!$B$2:$B$26,0),MATCH('Master data'!AM$1,'Team forecast'!$B$2:$AO$2,0))</f>
        <v>1.0279287794501248</v>
      </c>
      <c r="AN370" s="16">
        <f>INDEX('Team forecast'!$B$2:$AO$26,MATCH('Master data'!$B370,'Team forecast'!$B$2:$B$26,0),MATCH('Master data'!AN$1,'Team forecast'!$B$2:$AO$2,0))</f>
        <v>0.35774716702311499</v>
      </c>
      <c r="AO370" s="16">
        <f>INDEX('Team forecast'!$B$2:$AO$26,MATCH('Master data'!$B370,'Team forecast'!$B$2:$B$26,0),MATCH('Master data'!AO$1,'Team forecast'!$B$2:$AO$2,0))</f>
        <v>3.4226519644581361</v>
      </c>
      <c r="AP370" s="16">
        <f>INDEX('Team forecast'!$B$2:$AO$26,MATCH('Master data'!$B370,'Team forecast'!$B$2:$B$26,0),MATCH('Master data'!AP$1,'Team forecast'!$B$2:$AO$2,0))</f>
        <v>2.5931839663400877</v>
      </c>
      <c r="AQ370" s="5">
        <f t="shared" si="190"/>
        <v>7000</v>
      </c>
      <c r="AR370" s="5">
        <f>INDEX('Team forecast'!$B$2:$AO$26,MATCH('Master data'!$B370,'Team forecast'!$B$2:$B$26,0),MATCH('Master data'!AR$1,'Team forecast'!$B$2:$AO$2,0))*IF(X370&gt;0,25000,0)</f>
        <v>10691.761923531732</v>
      </c>
      <c r="AS370" s="16">
        <f>INDEX('Team forecast'!$B$2:$AO$26,MATCH('Master data'!$B370,'Team forecast'!$B$2:$B$26,0),MATCH('Master data'!AS$1,'Team forecast'!$B$2:$AO$2,0))*IF(X370&gt;0,5000,0)</f>
        <v>1517.5404020496649</v>
      </c>
      <c r="AT370" s="16">
        <f>INDEX('Team forecast'!$B$2:$AO$26,MATCH('Master data'!$B370,'Team forecast'!$B$2:$B$26,0),MATCH('Master data'!AT$1,'Team forecast'!$B$2:$AO$2,0))*IF(X370&gt;0,-15000,0)</f>
        <v>-4032.3216397319688</v>
      </c>
      <c r="AU370" s="5">
        <f t="shared" si="191"/>
        <v>4395.4111358929749</v>
      </c>
      <c r="AV370" s="5">
        <f t="shared" si="192"/>
        <v>2202.0268665729864</v>
      </c>
      <c r="AW370" s="5">
        <f t="shared" si="193"/>
        <v>358.02697330067195</v>
      </c>
      <c r="AX370" s="5">
        <f t="shared" si="194"/>
        <v>17887.358351155748</v>
      </c>
      <c r="AY370" s="5">
        <f t="shared" si="195"/>
        <v>0</v>
      </c>
      <c r="AZ370" s="5">
        <f t="shared" si="196"/>
        <v>-1073.9856801909309</v>
      </c>
      <c r="BA370" s="5">
        <f t="shared" si="197"/>
        <v>0</v>
      </c>
      <c r="BB370" s="5">
        <f t="shared" si="198"/>
        <v>12847.203648825669</v>
      </c>
      <c r="BC370" s="5">
        <f t="shared" si="199"/>
        <v>-8223.4302356009994</v>
      </c>
      <c r="BD370" s="5">
        <f t="shared" si="200"/>
        <v>43569.591745805548</v>
      </c>
      <c r="BE370" s="16">
        <f>INDEX('Team forecast'!$B$2:$AO$26,MATCH('Master data'!$B370,'Team forecast'!$B$2:$B$26,0),MATCH('Master data'!BE$1,'Team forecast'!$B$2:$AO$2,0))</f>
        <v>1.2246875509143662</v>
      </c>
      <c r="BF370" s="16">
        <f>INDEX('Team forecast'!$B$2:$AO$26,MATCH('Master data'!$B370,'Team forecast'!$B$2:$B$26,0),MATCH('Master data'!BF$1,'Team forecast'!$B$2:$AO$2,0))</f>
        <v>1.3677883945550393</v>
      </c>
      <c r="BG370" s="16">
        <f>INDEX('Team forecast'!$B$2:$AO$26,MATCH('Master data'!$B370,'Team forecast'!$B$2:$B$26,0),MATCH('Master data'!BG$1,'Team forecast'!$B$2:$AO$2,0))</f>
        <v>0.25466956579034061</v>
      </c>
      <c r="BH370" s="16">
        <f>INDEX('Team forecast'!$B$2:$AO$26,MATCH('Master data'!$B370,'Team forecast'!$B$2:$B$26,0),MATCH('Master data'!BH$1,'Team forecast'!$B$2:$AO$2,0))</f>
        <v>3.2627172157947619</v>
      </c>
      <c r="BI370" s="16">
        <f>INDEX('Team forecast'!$B$2:$AO$26,MATCH('Master data'!$B370,'Team forecast'!$B$2:$B$26,0),MATCH('Master data'!BI$1,'Team forecast'!$B$2:$AO$2,0))</f>
        <v>3.4505570862638493</v>
      </c>
      <c r="BJ370" s="5">
        <f t="shared" si="201"/>
        <v>7000</v>
      </c>
      <c r="BK370" s="5">
        <f>INDEX('Team forecast'!$R$3:$BH$26,MATCH($B370,'Team forecast'!$B$3:$B$26,0),MATCH(BK$1,'Team forecast'!$R$2:$BH$2,0))*IF($X370&gt;0,25000,0)</f>
        <v>8232.8523423601509</v>
      </c>
      <c r="BL370" s="5">
        <f>INDEX('Team forecast'!$R$3:$BH$26,MATCH($B370,'Team forecast'!$B$3:$B$26,0),MATCH(BL$1,'Team forecast'!$R$2:$BH$2,0))*IF($X370&gt;0,5000,0)</f>
        <v>1404.4277525202608</v>
      </c>
      <c r="BM370" s="5">
        <f>INDEX('Team forecast'!$R$3:$BH$26,MATCH($B370,'Team forecast'!$B$3:$B$26,0),MATCH(BM$1,'Team forecast'!$R$2:$BH$2,0))*IF($X370&gt;0,-15000,0)</f>
        <v>-5847.0053370231253</v>
      </c>
      <c r="BN370" s="5">
        <f t="shared" si="202"/>
        <v>4190.0209932225571</v>
      </c>
      <c r="BO370" s="5">
        <f t="shared" si="203"/>
        <v>2099.1298682475654</v>
      </c>
      <c r="BP370" s="5">
        <f t="shared" si="204"/>
        <v>341.29697720870394</v>
      </c>
      <c r="BQ370" s="5">
        <f t="shared" si="205"/>
        <v>12733.47828951703</v>
      </c>
      <c r="BR370" s="5">
        <f t="shared" si="206"/>
        <v>0</v>
      </c>
      <c r="BS370" s="5">
        <f t="shared" si="207"/>
        <v>-1073.9856801909309</v>
      </c>
      <c r="BT370" s="5">
        <f t="shared" si="208"/>
        <v>0</v>
      </c>
      <c r="BU370" s="5">
        <f t="shared" si="209"/>
        <v>12246.875509143661</v>
      </c>
      <c r="BV370" s="5">
        <f t="shared" si="210"/>
        <v>-10942.307156440314</v>
      </c>
      <c r="BW370" s="5">
        <f t="shared" si="211"/>
        <v>30384.783558565563</v>
      </c>
      <c r="BX370" s="5">
        <f t="shared" si="212"/>
        <v>27215.333069883465</v>
      </c>
      <c r="BY370" s="5">
        <f t="shared" si="213"/>
        <v>81645.999209650399</v>
      </c>
      <c r="BZ370" s="5">
        <f>INDEX('Team forecast'!$R$3:$BH$26,MATCH($B370,'Team forecast'!$B$3:$B$26,0),MATCH(BZ$1,'Team forecast'!$R$2:$BH$2,0))*($BX370-(BY370+CH370)*0.01)</f>
        <v>3866.4370527130363</v>
      </c>
      <c r="CA370" s="5">
        <f>INDEX('Team forecast'!$R$3:$BH$26,MATCH($B370,'Team forecast'!$B$3:$B$26,0),MATCH(CA$1,'Team forecast'!$R$2:$BH$2,0))*($BX370-(BY370+BX370+CH370)*0.01)</f>
        <v>1825.0316814153919</v>
      </c>
      <c r="CB370" s="5">
        <f>INDEX('Team forecast'!$R$3:$BH$26,MATCH($B370,'Team forecast'!$B$3:$B$26,0),MATCH(CB$1,'Team forecast'!$R$2:$BH$2,0))*($BX370-(BY370+BX370*2+CH370)*0.01)</f>
        <v>848.62977889389617</v>
      </c>
      <c r="CC370" s="5">
        <f>INDEX('Team forecast'!$R$3:$BH$26,MATCH($B370,'Team forecast'!$B$3:$B$26,0),MATCH(CC$1,'Team forecast'!$R$2:$BH$2,0))*($BX370-(BY370+BX370*3+CH370)*0.01)</f>
        <v>375.87899227775461</v>
      </c>
      <c r="CD370" s="5">
        <f>+AK370+BD370*Cockpit!$C$3+BW370*Cockpit!$C$3^2+BZ370*Cockpit!$C$3^3+CA370*Cockpit!$C$3^4+CB370*Cockpit!$C$3^5+CC370*Cockpit!$C$3^6</f>
        <v>51893.23040901887</v>
      </c>
      <c r="CE370" s="5"/>
      <c r="CF370" s="5"/>
      <c r="CG370" s="5">
        <v>0</v>
      </c>
      <c r="CH370" s="5">
        <f t="shared" si="214"/>
        <v>2000000</v>
      </c>
      <c r="CI370" s="5">
        <f t="shared" si="215"/>
        <v>2000000</v>
      </c>
      <c r="CJ370" s="1">
        <f t="shared" si="216"/>
        <v>4.0822999604825203E-2</v>
      </c>
      <c r="CK370" s="5">
        <f>RANK(BY370,$BY$2:$BY$623)+COUNTIF($BY$2:$BY370,$BY370)-1</f>
        <v>208</v>
      </c>
      <c r="CL370" s="5">
        <f>RANK(CJ370,$CJ$2:$CJ$623)+COUNTIF($CJ$2:$CJ370,$CJ370)-1</f>
        <v>68</v>
      </c>
    </row>
    <row r="371" spans="1:90">
      <c r="A371" t="str">
        <f>Players!P372</f>
        <v>Abdülkadir Ömür</v>
      </c>
      <c r="B371" t="str">
        <f>Players!G372</f>
        <v>Turkey</v>
      </c>
      <c r="C371" t="str">
        <f>Players!AB372</f>
        <v>Striker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3000000</v>
      </c>
      <c r="H371" s="16">
        <f>INDEX('Team forecast'!$B$2:$AO$26,MATCH('Master data'!$B371,'Team forecast'!$B$2:$B$26,0),MATCH('Master data'!H$1,'Team forecast'!$B$2:$AO$2,0))</f>
        <v>0.65422581624273402</v>
      </c>
      <c r="I371" s="16">
        <f>INDEX('Team forecast'!$B$2:$AO$26,MATCH('Master data'!$B371,'Team forecast'!$B$2:$B$26,0),MATCH('Master data'!I$1,'Team forecast'!$B$2:$AO$2,0))</f>
        <v>1.6593477618235051</v>
      </c>
      <c r="J371" s="16">
        <f>INDEX('Team forecast'!$B$2:$AO$26,MATCH('Master data'!$B371,'Team forecast'!$B$2:$B$26,0),MATCH('Master data'!J$1,'Team forecast'!$B$2:$AO$2,0))</f>
        <v>0.19026303645592979</v>
      </c>
      <c r="K371" s="16">
        <f>INDEX('Team forecast'!$B$2:$AO$26,MATCH('Master data'!$B371,'Team forecast'!$B$2:$B$26,0),MATCH('Master data'!K$1,'Team forecast'!$B$2:$AO$2,0))</f>
        <v>1.7429374799138486</v>
      </c>
      <c r="L371" s="16">
        <f>INDEX('Team forecast'!$B$2:$AO$26,MATCH('Master data'!$B371,'Team forecast'!$B$2:$B$26,0),MATCH('Master data'!L$1,'Team forecast'!$B$2:$AO$2,0))</f>
        <v>4.1860818536911157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8.0405002977963075E-2</v>
      </c>
      <c r="R371" s="2">
        <f>Players!BR372</f>
        <v>0</v>
      </c>
      <c r="S371" s="2">
        <f t="shared" si="175"/>
        <v>0.65422581624273402</v>
      </c>
      <c r="T371" s="2">
        <f t="shared" si="176"/>
        <v>1.6593477618235051</v>
      </c>
      <c r="U371" s="16">
        <f>INDEX('Team forecast'!$B$2:$AO$26,MATCH('Master data'!$B371,'Team forecast'!$B$2:$B$26,0),MATCH('Master data'!U$1,'Team forecast'!$B$2:$AO$2,0))</f>
        <v>0.13590216889709281</v>
      </c>
      <c r="V371" s="16">
        <f>INDEX('Team forecast'!$B$2:$AO$26,MATCH('Master data'!$B371,'Team forecast'!$B$2:$B$26,0),MATCH('Master data'!V$1,'Team forecast'!$B$2:$AO$2,0))</f>
        <v>0.25034610059990769</v>
      </c>
      <c r="W371" s="16">
        <f>INDEX('Team forecast'!$B$2:$AO$26,MATCH('Master data'!$B371,'Team forecast'!$B$2:$B$26,0),MATCH('Master data'!W$1,'Team forecast'!$B$2:$AO$2,0))</f>
        <v>0.61375173050299947</v>
      </c>
      <c r="X371" s="5">
        <f t="shared" si="177"/>
        <v>-5000</v>
      </c>
      <c r="Y371" s="5">
        <f t="shared" si="178"/>
        <v>0</v>
      </c>
      <c r="Z371" s="5">
        <f t="shared" si="179"/>
        <v>0</v>
      </c>
      <c r="AA371" s="5">
        <f t="shared" si="180"/>
        <v>0</v>
      </c>
      <c r="AB371" s="5">
        <f t="shared" si="181"/>
        <v>0</v>
      </c>
      <c r="AC371" s="5">
        <f t="shared" si="182"/>
        <v>0</v>
      </c>
      <c r="AD371" s="5">
        <f t="shared" si="183"/>
        <v>0</v>
      </c>
      <c r="AE371" s="5">
        <f t="shared" si="184"/>
        <v>0</v>
      </c>
      <c r="AF371" s="5">
        <f t="shared" si="185"/>
        <v>0</v>
      </c>
      <c r="AG371" s="5">
        <f t="shared" si="186"/>
        <v>0</v>
      </c>
      <c r="AH371" s="5">
        <f t="shared" si="187"/>
        <v>0</v>
      </c>
      <c r="AI371" s="5">
        <f t="shared" si="188"/>
        <v>0</v>
      </c>
      <c r="AJ371" s="5">
        <f t="shared" si="189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1.2847203648825669</v>
      </c>
      <c r="AM371" s="16">
        <f>INDEX('Team forecast'!$B$2:$AO$26,MATCH('Master data'!$B371,'Team forecast'!$B$2:$B$26,0),MATCH('Master data'!AM$1,'Team forecast'!$B$2:$AO$2,0))</f>
        <v>1.0279287794501248</v>
      </c>
      <c r="AN371" s="16">
        <f>INDEX('Team forecast'!$B$2:$AO$26,MATCH('Master data'!$B371,'Team forecast'!$B$2:$B$26,0),MATCH('Master data'!AN$1,'Team forecast'!$B$2:$AO$2,0))</f>
        <v>0.35774716702311499</v>
      </c>
      <c r="AO371" s="16">
        <f>INDEX('Team forecast'!$B$2:$AO$26,MATCH('Master data'!$B371,'Team forecast'!$B$2:$B$26,0),MATCH('Master data'!AO$1,'Team forecast'!$B$2:$AO$2,0))</f>
        <v>3.4226519644581361</v>
      </c>
      <c r="AP371" s="16">
        <f>INDEX('Team forecast'!$B$2:$AO$26,MATCH('Master data'!$B371,'Team forecast'!$B$2:$B$26,0),MATCH('Master data'!AP$1,'Team forecast'!$B$2:$AO$2,0))</f>
        <v>2.5931839663400877</v>
      </c>
      <c r="AQ371" s="5">
        <f t="shared" si="190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191"/>
        <v>0</v>
      </c>
      <c r="AV371" s="5">
        <f t="shared" si="192"/>
        <v>0</v>
      </c>
      <c r="AW371" s="5">
        <f t="shared" si="193"/>
        <v>0</v>
      </c>
      <c r="AX371" s="5">
        <f t="shared" si="194"/>
        <v>0</v>
      </c>
      <c r="AY371" s="5">
        <f t="shared" si="195"/>
        <v>0</v>
      </c>
      <c r="AZ371" s="5">
        <f t="shared" si="196"/>
        <v>0</v>
      </c>
      <c r="BA371" s="5">
        <f t="shared" si="197"/>
        <v>0</v>
      </c>
      <c r="BB371" s="5">
        <f t="shared" si="198"/>
        <v>0</v>
      </c>
      <c r="BC371" s="5">
        <f t="shared" si="199"/>
        <v>0</v>
      </c>
      <c r="BD371" s="5">
        <f t="shared" si="200"/>
        <v>-5000</v>
      </c>
      <c r="BE371" s="16">
        <f>INDEX('Team forecast'!$B$2:$AO$26,MATCH('Master data'!$B371,'Team forecast'!$B$2:$B$26,0),MATCH('Master data'!BE$1,'Team forecast'!$B$2:$AO$2,0))</f>
        <v>1.2246875509143662</v>
      </c>
      <c r="BF371" s="16">
        <f>INDEX('Team forecast'!$B$2:$AO$26,MATCH('Master data'!$B371,'Team forecast'!$B$2:$B$26,0),MATCH('Master data'!BF$1,'Team forecast'!$B$2:$AO$2,0))</f>
        <v>1.3677883945550393</v>
      </c>
      <c r="BG371" s="16">
        <f>INDEX('Team forecast'!$B$2:$AO$26,MATCH('Master data'!$B371,'Team forecast'!$B$2:$B$26,0),MATCH('Master data'!BG$1,'Team forecast'!$B$2:$AO$2,0))</f>
        <v>0.25466956579034061</v>
      </c>
      <c r="BH371" s="16">
        <f>INDEX('Team forecast'!$B$2:$AO$26,MATCH('Master data'!$B371,'Team forecast'!$B$2:$B$26,0),MATCH('Master data'!BH$1,'Team forecast'!$B$2:$AO$2,0))</f>
        <v>3.2627172157947619</v>
      </c>
      <c r="BI371" s="16">
        <f>INDEX('Team forecast'!$B$2:$AO$26,MATCH('Master data'!$B371,'Team forecast'!$B$2:$B$26,0),MATCH('Master data'!BI$1,'Team forecast'!$B$2:$AO$2,0))</f>
        <v>3.4505570862638493</v>
      </c>
      <c r="BJ371" s="5">
        <f t="shared" si="201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202"/>
        <v>0</v>
      </c>
      <c r="BO371" s="5">
        <f t="shared" si="203"/>
        <v>0</v>
      </c>
      <c r="BP371" s="5">
        <f t="shared" si="204"/>
        <v>0</v>
      </c>
      <c r="BQ371" s="5">
        <f t="shared" si="205"/>
        <v>0</v>
      </c>
      <c r="BR371" s="5">
        <f t="shared" si="206"/>
        <v>0</v>
      </c>
      <c r="BS371" s="5">
        <f t="shared" si="207"/>
        <v>0</v>
      </c>
      <c r="BT371" s="5">
        <f t="shared" si="208"/>
        <v>0</v>
      </c>
      <c r="BU371" s="5">
        <f t="shared" si="209"/>
        <v>0</v>
      </c>
      <c r="BV371" s="5">
        <f t="shared" si="210"/>
        <v>0</v>
      </c>
      <c r="BW371" s="5">
        <f t="shared" si="211"/>
        <v>-5000</v>
      </c>
      <c r="BX371" s="5">
        <f t="shared" si="212"/>
        <v>-5000</v>
      </c>
      <c r="BY371" s="5">
        <f t="shared" si="213"/>
        <v>-15000</v>
      </c>
      <c r="BZ371" s="5">
        <f>INDEX('Team forecast'!$R$3:$BH$26,MATCH($B371,'Team forecast'!$B$3:$B$26,0),MATCH(BZ$1,'Team forecast'!$R$2:$BH$2,0))*($BX371-(BY371+CH371)*0.01)</f>
        <v>-21057.665881013345</v>
      </c>
      <c r="CA371" s="5">
        <f>INDEX('Team forecast'!$R$3:$BH$26,MATCH($B371,'Team forecast'!$B$3:$B$26,0),MATCH(CA$1,'Team forecast'!$R$2:$BH$2,0))*($BX371-(BY371+BX371+CH371)*0.01)</f>
        <v>-10366.249010074413</v>
      </c>
      <c r="CB371" s="5">
        <f>INDEX('Team forecast'!$R$3:$BH$26,MATCH($B371,'Team forecast'!$B$3:$B$26,0),MATCH(CB$1,'Team forecast'!$R$2:$BH$2,0))*($BX371-(BY371+BX371*2+CH371)*0.01)</f>
        <v>-5037.0740921153138</v>
      </c>
      <c r="CC371" s="5">
        <f>INDEX('Team forecast'!$R$3:$BH$26,MATCH($B371,'Team forecast'!$B$3:$B$26,0),MATCH(CC$1,'Team forecast'!$R$2:$BH$2,0))*($BX371-(BY371+BX371*3+CH371)*0.01)</f>
        <v>-2336.4449803027901</v>
      </c>
      <c r="CD371" s="5">
        <f>+AK371+BD371*Cockpit!$C$3+BW371*Cockpit!$C$3^2+BZ371*Cockpit!$C$3^3+CA371*Cockpit!$C$3^4+CB371*Cockpit!$C$3^5+CC371*Cockpit!$C$3^6</f>
        <v>-19710.956487423933</v>
      </c>
      <c r="CE371" s="5"/>
      <c r="CF371" s="5"/>
      <c r="CG371" s="5">
        <v>0</v>
      </c>
      <c r="CH371" s="5">
        <f t="shared" si="214"/>
        <v>3000000</v>
      </c>
      <c r="CI371" s="5">
        <f t="shared" si="215"/>
        <v>3000000</v>
      </c>
      <c r="CJ371" s="1">
        <f t="shared" si="216"/>
        <v>-5.0000000000000001E-3</v>
      </c>
      <c r="CK371" s="5">
        <f>RANK(BY371,$BY$2:$BY$623)+COUNTIF($BY$2:$BY371,$BY371)-1</f>
        <v>530</v>
      </c>
      <c r="CL371" s="5">
        <f>RANK(CJ371,$CJ$2:$CJ$623)+COUNTIF($CJ$2:$CJ371,$CJ371)-1</f>
        <v>509</v>
      </c>
    </row>
    <row r="372" spans="1:90">
      <c r="A372" t="str">
        <f>Players!P373</f>
        <v>Dorukhan Toköz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2500000</v>
      </c>
      <c r="H372" s="16">
        <f>INDEX('Team forecast'!$B$2:$AO$26,MATCH('Master data'!$B372,'Team forecast'!$B$2:$B$26,0),MATCH('Master data'!H$1,'Team forecast'!$B$2:$AO$2,0))</f>
        <v>0.65422581624273402</v>
      </c>
      <c r="I372" s="16">
        <f>INDEX('Team forecast'!$B$2:$AO$26,MATCH('Master data'!$B372,'Team forecast'!$B$2:$B$26,0),MATCH('Master data'!I$1,'Team forecast'!$B$2:$AO$2,0))</f>
        <v>1.6593477618235051</v>
      </c>
      <c r="J372" s="16">
        <f>INDEX('Team forecast'!$B$2:$AO$26,MATCH('Master data'!$B372,'Team forecast'!$B$2:$B$26,0),MATCH('Master data'!J$1,'Team forecast'!$B$2:$AO$2,0))</f>
        <v>0.19026303645592979</v>
      </c>
      <c r="K372" s="16">
        <f>INDEX('Team forecast'!$B$2:$AO$26,MATCH('Master data'!$B372,'Team forecast'!$B$2:$B$26,0),MATCH('Master data'!K$1,'Team forecast'!$B$2:$AO$2,0))</f>
        <v>1.7429374799138486</v>
      </c>
      <c r="L372" s="16">
        <f>INDEX('Team forecast'!$B$2:$AO$26,MATCH('Master data'!$B372,'Team forecast'!$B$2:$B$26,0),MATCH('Master data'!L$1,'Team forecast'!$B$2:$AO$2,0))</f>
        <v>4.1860818536911157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0.20040500297796307</v>
      </c>
      <c r="R372" s="2">
        <f>Players!BR373</f>
        <v>0</v>
      </c>
      <c r="S372" s="2">
        <f t="shared" si="175"/>
        <v>0.65422581624273402</v>
      </c>
      <c r="T372" s="2">
        <f t="shared" si="176"/>
        <v>1.6593477618235051</v>
      </c>
      <c r="U372" s="16">
        <f>INDEX('Team forecast'!$B$2:$AO$26,MATCH('Master data'!$B372,'Team forecast'!$B$2:$B$26,0),MATCH('Master data'!U$1,'Team forecast'!$B$2:$AO$2,0))</f>
        <v>0.13590216889709281</v>
      </c>
      <c r="V372" s="16">
        <f>INDEX('Team forecast'!$B$2:$AO$26,MATCH('Master data'!$B372,'Team forecast'!$B$2:$B$26,0),MATCH('Master data'!V$1,'Team forecast'!$B$2:$AO$2,0))</f>
        <v>0.25034610059990769</v>
      </c>
      <c r="W372" s="16">
        <f>INDEX('Team forecast'!$B$2:$AO$26,MATCH('Master data'!$B372,'Team forecast'!$B$2:$B$26,0),MATCH('Master data'!W$1,'Team forecast'!$B$2:$AO$2,0))</f>
        <v>0.61375173050299947</v>
      </c>
      <c r="X372" s="5">
        <f t="shared" si="177"/>
        <v>-5000</v>
      </c>
      <c r="Y372" s="5">
        <f t="shared" si="178"/>
        <v>0</v>
      </c>
      <c r="Z372" s="5">
        <f t="shared" si="179"/>
        <v>0</v>
      </c>
      <c r="AA372" s="5">
        <f t="shared" si="180"/>
        <v>0</v>
      </c>
      <c r="AB372" s="5">
        <f t="shared" si="181"/>
        <v>0</v>
      </c>
      <c r="AC372" s="5">
        <f t="shared" si="182"/>
        <v>0</v>
      </c>
      <c r="AD372" s="5">
        <f t="shared" si="183"/>
        <v>0</v>
      </c>
      <c r="AE372" s="5">
        <f t="shared" si="184"/>
        <v>0</v>
      </c>
      <c r="AF372" s="5">
        <f t="shared" si="185"/>
        <v>0</v>
      </c>
      <c r="AG372" s="5">
        <f t="shared" si="186"/>
        <v>0</v>
      </c>
      <c r="AH372" s="5">
        <f t="shared" si="187"/>
        <v>0</v>
      </c>
      <c r="AI372" s="5">
        <f t="shared" si="188"/>
        <v>0</v>
      </c>
      <c r="AJ372" s="5">
        <f t="shared" si="189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1.2847203648825669</v>
      </c>
      <c r="AM372" s="16">
        <f>INDEX('Team forecast'!$B$2:$AO$26,MATCH('Master data'!$B372,'Team forecast'!$B$2:$B$26,0),MATCH('Master data'!AM$1,'Team forecast'!$B$2:$AO$2,0))</f>
        <v>1.0279287794501248</v>
      </c>
      <c r="AN372" s="16">
        <f>INDEX('Team forecast'!$B$2:$AO$26,MATCH('Master data'!$B372,'Team forecast'!$B$2:$B$26,0),MATCH('Master data'!AN$1,'Team forecast'!$B$2:$AO$2,0))</f>
        <v>0.35774716702311499</v>
      </c>
      <c r="AO372" s="16">
        <f>INDEX('Team forecast'!$B$2:$AO$26,MATCH('Master data'!$B372,'Team forecast'!$B$2:$B$26,0),MATCH('Master data'!AO$1,'Team forecast'!$B$2:$AO$2,0))</f>
        <v>3.4226519644581361</v>
      </c>
      <c r="AP372" s="16">
        <f>INDEX('Team forecast'!$B$2:$AO$26,MATCH('Master data'!$B372,'Team forecast'!$B$2:$B$26,0),MATCH('Master data'!AP$1,'Team forecast'!$B$2:$AO$2,0))</f>
        <v>2.5931839663400877</v>
      </c>
      <c r="AQ372" s="5">
        <f t="shared" si="190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191"/>
        <v>0</v>
      </c>
      <c r="AV372" s="5">
        <f t="shared" si="192"/>
        <v>0</v>
      </c>
      <c r="AW372" s="5">
        <f t="shared" si="193"/>
        <v>0</v>
      </c>
      <c r="AX372" s="5">
        <f t="shared" si="194"/>
        <v>0</v>
      </c>
      <c r="AY372" s="5">
        <f t="shared" si="195"/>
        <v>0</v>
      </c>
      <c r="AZ372" s="5">
        <f t="shared" si="196"/>
        <v>0</v>
      </c>
      <c r="BA372" s="5">
        <f t="shared" si="197"/>
        <v>0</v>
      </c>
      <c r="BB372" s="5">
        <f t="shared" si="198"/>
        <v>0</v>
      </c>
      <c r="BC372" s="5">
        <f t="shared" si="199"/>
        <v>0</v>
      </c>
      <c r="BD372" s="5">
        <f t="shared" si="200"/>
        <v>-5000</v>
      </c>
      <c r="BE372" s="16">
        <f>INDEX('Team forecast'!$B$2:$AO$26,MATCH('Master data'!$B372,'Team forecast'!$B$2:$B$26,0),MATCH('Master data'!BE$1,'Team forecast'!$B$2:$AO$2,0))</f>
        <v>1.2246875509143662</v>
      </c>
      <c r="BF372" s="16">
        <f>INDEX('Team forecast'!$B$2:$AO$26,MATCH('Master data'!$B372,'Team forecast'!$B$2:$B$26,0),MATCH('Master data'!BF$1,'Team forecast'!$B$2:$AO$2,0))</f>
        <v>1.3677883945550393</v>
      </c>
      <c r="BG372" s="16">
        <f>INDEX('Team forecast'!$B$2:$AO$26,MATCH('Master data'!$B372,'Team forecast'!$B$2:$B$26,0),MATCH('Master data'!BG$1,'Team forecast'!$B$2:$AO$2,0))</f>
        <v>0.25466956579034061</v>
      </c>
      <c r="BH372" s="16">
        <f>INDEX('Team forecast'!$B$2:$AO$26,MATCH('Master data'!$B372,'Team forecast'!$B$2:$B$26,0),MATCH('Master data'!BH$1,'Team forecast'!$B$2:$AO$2,0))</f>
        <v>3.2627172157947619</v>
      </c>
      <c r="BI372" s="16">
        <f>INDEX('Team forecast'!$B$2:$AO$26,MATCH('Master data'!$B372,'Team forecast'!$B$2:$B$26,0),MATCH('Master data'!BI$1,'Team forecast'!$B$2:$AO$2,0))</f>
        <v>3.4505570862638493</v>
      </c>
      <c r="BJ372" s="5">
        <f t="shared" si="201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202"/>
        <v>0</v>
      </c>
      <c r="BO372" s="5">
        <f t="shared" si="203"/>
        <v>0</v>
      </c>
      <c r="BP372" s="5">
        <f t="shared" si="204"/>
        <v>0</v>
      </c>
      <c r="BQ372" s="5">
        <f t="shared" si="205"/>
        <v>0</v>
      </c>
      <c r="BR372" s="5">
        <f t="shared" si="206"/>
        <v>0</v>
      </c>
      <c r="BS372" s="5">
        <f t="shared" si="207"/>
        <v>0</v>
      </c>
      <c r="BT372" s="5">
        <f t="shared" si="208"/>
        <v>0</v>
      </c>
      <c r="BU372" s="5">
        <f t="shared" si="209"/>
        <v>0</v>
      </c>
      <c r="BV372" s="5">
        <f t="shared" si="210"/>
        <v>0</v>
      </c>
      <c r="BW372" s="5">
        <f t="shared" si="211"/>
        <v>-5000</v>
      </c>
      <c r="BX372" s="5">
        <f t="shared" si="212"/>
        <v>-5000</v>
      </c>
      <c r="BY372" s="5">
        <f t="shared" si="213"/>
        <v>-15000</v>
      </c>
      <c r="BZ372" s="5">
        <f>INDEX('Team forecast'!$R$3:$BH$26,MATCH($B372,'Team forecast'!$B$3:$B$26,0),MATCH(BZ$1,'Team forecast'!$R$2:$BH$2,0))*($BX372-(BY372+CH372)*0.01)</f>
        <v>-18036.47995834285</v>
      </c>
      <c r="CA372" s="5">
        <f>INDEX('Team forecast'!$R$3:$BH$26,MATCH($B372,'Team forecast'!$B$3:$B$26,0),MATCH(CA$1,'Team forecast'!$R$2:$BH$2,0))*($BX372-(BY372+BX372+CH372)*0.01)</f>
        <v>-8876.8454166729152</v>
      </c>
      <c r="CB372" s="5">
        <f>INDEX('Team forecast'!$R$3:$BH$26,MATCH($B372,'Team forecast'!$B$3:$B$26,0),MATCH(CB$1,'Team forecast'!$R$2:$BH$2,0))*($BX372-(BY372+BX372*2+CH372)*0.01)</f>
        <v>-4312.3152299404483</v>
      </c>
      <c r="CC372" s="5">
        <f>INDEX('Team forecast'!$R$3:$BH$26,MATCH($B372,'Team forecast'!$B$3:$B$26,0),MATCH(CC$1,'Team forecast'!$R$2:$BH$2,0))*($BX372-(BY372+BX372*3+CH372)*0.01)</f>
        <v>-1999.781438472417</v>
      </c>
      <c r="CD372" s="5">
        <f>+AK372+BD372*Cockpit!$C$3+BW372*Cockpit!$C$3^2+BZ372*Cockpit!$C$3^3+CA372*Cockpit!$C$3^4+CB372*Cockpit!$C$3^5+CC372*Cockpit!$C$3^6</f>
        <v>-18396.589417200921</v>
      </c>
      <c r="CE372" s="5"/>
      <c r="CF372" s="5"/>
      <c r="CG372" s="5">
        <v>0</v>
      </c>
      <c r="CH372" s="5">
        <f t="shared" si="214"/>
        <v>2500000</v>
      </c>
      <c r="CI372" s="5">
        <f t="shared" si="215"/>
        <v>2500000</v>
      </c>
      <c r="CJ372" s="1">
        <f t="shared" si="216"/>
        <v>-6.0000000000000001E-3</v>
      </c>
      <c r="CK372" s="5">
        <f>RANK(BY372,$BY$2:$BY$623)+COUNTIF($BY$2:$BY372,$BY372)-1</f>
        <v>531</v>
      </c>
      <c r="CL372" s="5">
        <f>RANK(CJ372,$CJ$2:$CJ$623)+COUNTIF($CJ$2:$CJ372,$CJ372)-1</f>
        <v>547</v>
      </c>
    </row>
    <row r="373" spans="1:90">
      <c r="A373" t="str">
        <f>Players!P374</f>
        <v>Orkun Kökçü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2000000</v>
      </c>
      <c r="H373" s="16">
        <f>INDEX('Team forecast'!$B$2:$AO$26,MATCH('Master data'!$B373,'Team forecast'!$B$2:$B$26,0),MATCH('Master data'!H$1,'Team forecast'!$B$2:$AO$2,0))</f>
        <v>0.65422581624273402</v>
      </c>
      <c r="I373" s="16">
        <f>INDEX('Team forecast'!$B$2:$AO$26,MATCH('Master data'!$B373,'Team forecast'!$B$2:$B$26,0),MATCH('Master data'!I$1,'Team forecast'!$B$2:$AO$2,0))</f>
        <v>1.6593477618235051</v>
      </c>
      <c r="J373" s="16">
        <f>INDEX('Team forecast'!$B$2:$AO$26,MATCH('Master data'!$B373,'Team forecast'!$B$2:$B$26,0),MATCH('Master data'!J$1,'Team forecast'!$B$2:$AO$2,0))</f>
        <v>0.19026303645592979</v>
      </c>
      <c r="K373" s="16">
        <f>INDEX('Team forecast'!$B$2:$AO$26,MATCH('Master data'!$B373,'Team forecast'!$B$2:$B$26,0),MATCH('Master data'!K$1,'Team forecast'!$B$2:$AO$2,0))</f>
        <v>1.7429374799138486</v>
      </c>
      <c r="L373" s="16">
        <f>INDEX('Team forecast'!$B$2:$AO$26,MATCH('Master data'!$B373,'Team forecast'!$B$2:$B$26,0),MATCH('Master data'!L$1,'Team forecast'!$B$2:$AO$2,0))</f>
        <v>4.1860818536911157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8.0405002977963075E-2</v>
      </c>
      <c r="R373" s="2">
        <f>Players!BR374</f>
        <v>0</v>
      </c>
      <c r="S373" s="2">
        <f t="shared" si="175"/>
        <v>0.65422581624273402</v>
      </c>
      <c r="T373" s="2">
        <f t="shared" si="176"/>
        <v>1.6593477618235051</v>
      </c>
      <c r="U373" s="16">
        <f>INDEX('Team forecast'!$B$2:$AO$26,MATCH('Master data'!$B373,'Team forecast'!$B$2:$B$26,0),MATCH('Master data'!U$1,'Team forecast'!$B$2:$AO$2,0))</f>
        <v>0.13590216889709281</v>
      </c>
      <c r="V373" s="16">
        <f>INDEX('Team forecast'!$B$2:$AO$26,MATCH('Master data'!$B373,'Team forecast'!$B$2:$B$26,0),MATCH('Master data'!V$1,'Team forecast'!$B$2:$AO$2,0))</f>
        <v>0.25034610059990769</v>
      </c>
      <c r="W373" s="16">
        <f>INDEX('Team forecast'!$B$2:$AO$26,MATCH('Master data'!$B373,'Team forecast'!$B$2:$B$26,0),MATCH('Master data'!W$1,'Team forecast'!$B$2:$AO$2,0))</f>
        <v>0.61375173050299947</v>
      </c>
      <c r="X373" s="5">
        <f t="shared" si="177"/>
        <v>-5000</v>
      </c>
      <c r="Y373" s="5">
        <f t="shared" si="178"/>
        <v>0</v>
      </c>
      <c r="Z373" s="5">
        <f t="shared" si="179"/>
        <v>0</v>
      </c>
      <c r="AA373" s="5">
        <f t="shared" si="180"/>
        <v>0</v>
      </c>
      <c r="AB373" s="5">
        <f t="shared" si="181"/>
        <v>0</v>
      </c>
      <c r="AC373" s="5">
        <f t="shared" si="182"/>
        <v>0</v>
      </c>
      <c r="AD373" s="5">
        <f t="shared" si="183"/>
        <v>0</v>
      </c>
      <c r="AE373" s="5">
        <f t="shared" si="184"/>
        <v>0</v>
      </c>
      <c r="AF373" s="5">
        <f t="shared" si="185"/>
        <v>0</v>
      </c>
      <c r="AG373" s="5">
        <f t="shared" si="186"/>
        <v>0</v>
      </c>
      <c r="AH373" s="5">
        <f t="shared" si="187"/>
        <v>0</v>
      </c>
      <c r="AI373" s="5">
        <f t="shared" si="188"/>
        <v>0</v>
      </c>
      <c r="AJ373" s="5">
        <f t="shared" si="189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1.2847203648825669</v>
      </c>
      <c r="AM373" s="16">
        <f>INDEX('Team forecast'!$B$2:$AO$26,MATCH('Master data'!$B373,'Team forecast'!$B$2:$B$26,0),MATCH('Master data'!AM$1,'Team forecast'!$B$2:$AO$2,0))</f>
        <v>1.0279287794501248</v>
      </c>
      <c r="AN373" s="16">
        <f>INDEX('Team forecast'!$B$2:$AO$26,MATCH('Master data'!$B373,'Team forecast'!$B$2:$B$26,0),MATCH('Master data'!AN$1,'Team forecast'!$B$2:$AO$2,0))</f>
        <v>0.35774716702311499</v>
      </c>
      <c r="AO373" s="16">
        <f>INDEX('Team forecast'!$B$2:$AO$26,MATCH('Master data'!$B373,'Team forecast'!$B$2:$B$26,0),MATCH('Master data'!AO$1,'Team forecast'!$B$2:$AO$2,0))</f>
        <v>3.4226519644581361</v>
      </c>
      <c r="AP373" s="16">
        <f>INDEX('Team forecast'!$B$2:$AO$26,MATCH('Master data'!$B373,'Team forecast'!$B$2:$B$26,0),MATCH('Master data'!AP$1,'Team forecast'!$B$2:$AO$2,0))</f>
        <v>2.5931839663400877</v>
      </c>
      <c r="AQ373" s="5">
        <f t="shared" si="190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191"/>
        <v>0</v>
      </c>
      <c r="AV373" s="5">
        <f t="shared" si="192"/>
        <v>0</v>
      </c>
      <c r="AW373" s="5">
        <f t="shared" si="193"/>
        <v>0</v>
      </c>
      <c r="AX373" s="5">
        <f t="shared" si="194"/>
        <v>0</v>
      </c>
      <c r="AY373" s="5">
        <f t="shared" si="195"/>
        <v>0</v>
      </c>
      <c r="AZ373" s="5">
        <f t="shared" si="196"/>
        <v>0</v>
      </c>
      <c r="BA373" s="5">
        <f t="shared" si="197"/>
        <v>0</v>
      </c>
      <c r="BB373" s="5">
        <f t="shared" si="198"/>
        <v>0</v>
      </c>
      <c r="BC373" s="5">
        <f t="shared" si="199"/>
        <v>0</v>
      </c>
      <c r="BD373" s="5">
        <f t="shared" si="200"/>
        <v>-5000</v>
      </c>
      <c r="BE373" s="16">
        <f>INDEX('Team forecast'!$B$2:$AO$26,MATCH('Master data'!$B373,'Team forecast'!$B$2:$B$26,0),MATCH('Master data'!BE$1,'Team forecast'!$B$2:$AO$2,0))</f>
        <v>1.2246875509143662</v>
      </c>
      <c r="BF373" s="16">
        <f>INDEX('Team forecast'!$B$2:$AO$26,MATCH('Master data'!$B373,'Team forecast'!$B$2:$B$26,0),MATCH('Master data'!BF$1,'Team forecast'!$B$2:$AO$2,0))</f>
        <v>1.3677883945550393</v>
      </c>
      <c r="BG373" s="16">
        <f>INDEX('Team forecast'!$B$2:$AO$26,MATCH('Master data'!$B373,'Team forecast'!$B$2:$B$26,0),MATCH('Master data'!BG$1,'Team forecast'!$B$2:$AO$2,0))</f>
        <v>0.25466956579034061</v>
      </c>
      <c r="BH373" s="16">
        <f>INDEX('Team forecast'!$B$2:$AO$26,MATCH('Master data'!$B373,'Team forecast'!$B$2:$B$26,0),MATCH('Master data'!BH$1,'Team forecast'!$B$2:$AO$2,0))</f>
        <v>3.2627172157947619</v>
      </c>
      <c r="BI373" s="16">
        <f>INDEX('Team forecast'!$B$2:$AO$26,MATCH('Master data'!$B373,'Team forecast'!$B$2:$B$26,0),MATCH('Master data'!BI$1,'Team forecast'!$B$2:$AO$2,0))</f>
        <v>3.4505570862638493</v>
      </c>
      <c r="BJ373" s="5">
        <f t="shared" si="201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202"/>
        <v>0</v>
      </c>
      <c r="BO373" s="5">
        <f t="shared" si="203"/>
        <v>0</v>
      </c>
      <c r="BP373" s="5">
        <f t="shared" si="204"/>
        <v>0</v>
      </c>
      <c r="BQ373" s="5">
        <f t="shared" si="205"/>
        <v>0</v>
      </c>
      <c r="BR373" s="5">
        <f t="shared" si="206"/>
        <v>0</v>
      </c>
      <c r="BS373" s="5">
        <f t="shared" si="207"/>
        <v>0</v>
      </c>
      <c r="BT373" s="5">
        <f t="shared" si="208"/>
        <v>0</v>
      </c>
      <c r="BU373" s="5">
        <f t="shared" si="209"/>
        <v>0</v>
      </c>
      <c r="BV373" s="5">
        <f t="shared" si="210"/>
        <v>0</v>
      </c>
      <c r="BW373" s="5">
        <f t="shared" si="211"/>
        <v>-5000</v>
      </c>
      <c r="BX373" s="5">
        <f t="shared" si="212"/>
        <v>-5000</v>
      </c>
      <c r="BY373" s="5">
        <f t="shared" si="213"/>
        <v>-15000</v>
      </c>
      <c r="BZ373" s="5">
        <f>INDEX('Team forecast'!$R$3:$BH$26,MATCH($B373,'Team forecast'!$B$3:$B$26,0),MATCH(BZ$1,'Team forecast'!$R$2:$BH$2,0))*($BX373-(BY373+CH373)*0.01)</f>
        <v>-15015.294035672356</v>
      </c>
      <c r="CA373" s="5">
        <f>INDEX('Team forecast'!$R$3:$BH$26,MATCH($B373,'Team forecast'!$B$3:$B$26,0),MATCH(CA$1,'Team forecast'!$R$2:$BH$2,0))*($BX373-(BY373+BX373+CH373)*0.01)</f>
        <v>-7387.4418232714197</v>
      </c>
      <c r="CB373" s="5">
        <f>INDEX('Team forecast'!$R$3:$BH$26,MATCH($B373,'Team forecast'!$B$3:$B$26,0),MATCH(CB$1,'Team forecast'!$R$2:$BH$2,0))*($BX373-(BY373+BX373*2+CH373)*0.01)</f>
        <v>-3587.5563677655832</v>
      </c>
      <c r="CC373" s="5">
        <f>INDEX('Team forecast'!$R$3:$BH$26,MATCH($B373,'Team forecast'!$B$3:$B$26,0),MATCH(CC$1,'Team forecast'!$R$2:$BH$2,0))*($BX373-(BY373+BX373*3+CH373)*0.01)</f>
        <v>-1663.1178966420439</v>
      </c>
      <c r="CD373" s="5">
        <f>+AK373+BD373*Cockpit!$C$3+BW373*Cockpit!$C$3^2+BZ373*Cockpit!$C$3^3+CA373*Cockpit!$C$3^4+CB373*Cockpit!$C$3^5+CC373*Cockpit!$C$3^6</f>
        <v>-17082.222346977913</v>
      </c>
      <c r="CE373" s="5"/>
      <c r="CF373" s="5"/>
      <c r="CG373" s="5">
        <v>0</v>
      </c>
      <c r="CH373" s="5">
        <f t="shared" si="214"/>
        <v>2000000</v>
      </c>
      <c r="CI373" s="5">
        <f t="shared" si="215"/>
        <v>2000000</v>
      </c>
      <c r="CJ373" s="1">
        <f t="shared" si="216"/>
        <v>-7.4999999999999997E-3</v>
      </c>
      <c r="CK373" s="5">
        <f>RANK(BY373,$BY$2:$BY$623)+COUNTIF($BY$2:$BY373,$BY373)-1</f>
        <v>532</v>
      </c>
      <c r="CL373" s="5">
        <f>RANK(CJ373,$CJ$2:$CJ$623)+COUNTIF($CJ$2:$CJ373,$CJ373)-1</f>
        <v>587</v>
      </c>
    </row>
    <row r="374" spans="1:90">
      <c r="A374" t="str">
        <f>Players!P375</f>
        <v>Irfan Can Kahveci</v>
      </c>
      <c r="B374" t="str">
        <f>Players!G375</f>
        <v>Turkey</v>
      </c>
      <c r="C374" t="str">
        <f>Players!AB375</f>
        <v>Midfield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3000000</v>
      </c>
      <c r="H374" s="16">
        <f>INDEX('Team forecast'!$B$2:$AO$26,MATCH('Master data'!$B374,'Team forecast'!$B$2:$B$26,0),MATCH('Master data'!H$1,'Team forecast'!$B$2:$AO$2,0))</f>
        <v>0.65422581624273402</v>
      </c>
      <c r="I374" s="16">
        <f>INDEX('Team forecast'!$B$2:$AO$26,MATCH('Master data'!$B374,'Team forecast'!$B$2:$B$26,0),MATCH('Master data'!I$1,'Team forecast'!$B$2:$AO$2,0))</f>
        <v>1.6593477618235051</v>
      </c>
      <c r="J374" s="16">
        <f>INDEX('Team forecast'!$B$2:$AO$26,MATCH('Master data'!$B374,'Team forecast'!$B$2:$B$26,0),MATCH('Master data'!J$1,'Team forecast'!$B$2:$AO$2,0))</f>
        <v>0.19026303645592979</v>
      </c>
      <c r="K374" s="16">
        <f>INDEX('Team forecast'!$B$2:$AO$26,MATCH('Master data'!$B374,'Team forecast'!$B$2:$B$26,0),MATCH('Master data'!K$1,'Team forecast'!$B$2:$AO$2,0))</f>
        <v>1.7429374799138486</v>
      </c>
      <c r="L374" s="16">
        <f>INDEX('Team forecast'!$B$2:$AO$26,MATCH('Master data'!$B374,'Team forecast'!$B$2:$B$26,0),MATCH('Master data'!L$1,'Team forecast'!$B$2:$AO$2,0))</f>
        <v>4.1860818536911157</v>
      </c>
      <c r="M374">
        <f>IF(Players!BC375=1,95,0)</f>
        <v>0</v>
      </c>
      <c r="N374" s="2">
        <f>Players!BN375</f>
        <v>0</v>
      </c>
      <c r="O374" s="2">
        <f>Players!BO375</f>
        <v>0</v>
      </c>
      <c r="P374" s="2">
        <f>Players!BP375</f>
        <v>0</v>
      </c>
      <c r="Q374" s="2">
        <f>Players!BQ375</f>
        <v>0.18540500297796308</v>
      </c>
      <c r="R374" s="2">
        <f>Players!BR375</f>
        <v>0</v>
      </c>
      <c r="S374" s="2">
        <f t="shared" si="175"/>
        <v>0.65422581624273402</v>
      </c>
      <c r="T374" s="2">
        <f t="shared" si="176"/>
        <v>1.6593477618235051</v>
      </c>
      <c r="U374" s="16">
        <f>INDEX('Team forecast'!$B$2:$AO$26,MATCH('Master data'!$B374,'Team forecast'!$B$2:$B$26,0),MATCH('Master data'!U$1,'Team forecast'!$B$2:$AO$2,0))</f>
        <v>0.13590216889709281</v>
      </c>
      <c r="V374" s="16">
        <f>INDEX('Team forecast'!$B$2:$AO$26,MATCH('Master data'!$B374,'Team forecast'!$B$2:$B$26,0),MATCH('Master data'!V$1,'Team forecast'!$B$2:$AO$2,0))</f>
        <v>0.25034610059990769</v>
      </c>
      <c r="W374" s="16">
        <f>INDEX('Team forecast'!$B$2:$AO$26,MATCH('Master data'!$B374,'Team forecast'!$B$2:$B$26,0),MATCH('Master data'!W$1,'Team forecast'!$B$2:$AO$2,0))</f>
        <v>0.61375173050299947</v>
      </c>
      <c r="X374" s="5">
        <f t="shared" si="177"/>
        <v>-5000</v>
      </c>
      <c r="Y374" s="5">
        <f t="shared" si="178"/>
        <v>0</v>
      </c>
      <c r="Z374" s="5">
        <f t="shared" si="179"/>
        <v>0</v>
      </c>
      <c r="AA374" s="5">
        <f t="shared" si="180"/>
        <v>0</v>
      </c>
      <c r="AB374" s="5">
        <f t="shared" si="181"/>
        <v>0</v>
      </c>
      <c r="AC374" s="5">
        <f t="shared" si="182"/>
        <v>0</v>
      </c>
      <c r="AD374" s="5">
        <f t="shared" si="183"/>
        <v>0</v>
      </c>
      <c r="AE374" s="5">
        <f t="shared" si="184"/>
        <v>0</v>
      </c>
      <c r="AF374" s="5">
        <f t="shared" si="185"/>
        <v>0</v>
      </c>
      <c r="AG374" s="5">
        <f t="shared" si="186"/>
        <v>0</v>
      </c>
      <c r="AH374" s="5">
        <f t="shared" si="187"/>
        <v>0</v>
      </c>
      <c r="AI374" s="5">
        <f t="shared" si="188"/>
        <v>0</v>
      </c>
      <c r="AJ374" s="5">
        <f t="shared" si="189"/>
        <v>0</v>
      </c>
      <c r="AK374" s="5">
        <f>IFERROR(SUM(X374:AJ374),-5000)*((Cockpit!$C$3)^0)</f>
        <v>-5000</v>
      </c>
      <c r="AL374" s="16">
        <f>INDEX('Team forecast'!$B$2:$AO$26,MATCH('Master data'!$B374,'Team forecast'!$B$2:$B$26,0),MATCH('Master data'!AL$1,'Team forecast'!$B$2:$AO$2,0))</f>
        <v>1.2847203648825669</v>
      </c>
      <c r="AM374" s="16">
        <f>INDEX('Team forecast'!$B$2:$AO$26,MATCH('Master data'!$B374,'Team forecast'!$B$2:$B$26,0),MATCH('Master data'!AM$1,'Team forecast'!$B$2:$AO$2,0))</f>
        <v>1.0279287794501248</v>
      </c>
      <c r="AN374" s="16">
        <f>INDEX('Team forecast'!$B$2:$AO$26,MATCH('Master data'!$B374,'Team forecast'!$B$2:$B$26,0),MATCH('Master data'!AN$1,'Team forecast'!$B$2:$AO$2,0))</f>
        <v>0.35774716702311499</v>
      </c>
      <c r="AO374" s="16">
        <f>INDEX('Team forecast'!$B$2:$AO$26,MATCH('Master data'!$B374,'Team forecast'!$B$2:$B$26,0),MATCH('Master data'!AO$1,'Team forecast'!$B$2:$AO$2,0))</f>
        <v>3.4226519644581361</v>
      </c>
      <c r="AP374" s="16">
        <f>INDEX('Team forecast'!$B$2:$AO$26,MATCH('Master data'!$B374,'Team forecast'!$B$2:$B$26,0),MATCH('Master data'!AP$1,'Team forecast'!$B$2:$AO$2,0))</f>
        <v>2.5931839663400877</v>
      </c>
      <c r="AQ374" s="5">
        <f t="shared" si="190"/>
        <v>-5000</v>
      </c>
      <c r="AR374" s="5">
        <f>INDEX('Team forecast'!$B$2:$AO$26,MATCH('Master data'!$B374,'Team forecast'!$B$2:$B$26,0),MATCH('Master data'!AR$1,'Team forecast'!$B$2:$AO$2,0))*IF(X374&gt;0,25000,0)</f>
        <v>0</v>
      </c>
      <c r="AS374" s="16">
        <f>INDEX('Team forecast'!$B$2:$AO$26,MATCH('Master data'!$B374,'Team forecast'!$B$2:$B$26,0),MATCH('Master data'!AS$1,'Team forecast'!$B$2:$AO$2,0))*IF(X374&gt;0,5000,0)</f>
        <v>0</v>
      </c>
      <c r="AT374" s="16">
        <f>INDEX('Team forecast'!$B$2:$AO$26,MATCH('Master data'!$B374,'Team forecast'!$B$2:$B$26,0),MATCH('Master data'!AT$1,'Team forecast'!$B$2:$AO$2,0))*IF(X374&gt;0,-15000,0)</f>
        <v>0</v>
      </c>
      <c r="AU374" s="5">
        <f t="shared" si="191"/>
        <v>0</v>
      </c>
      <c r="AV374" s="5">
        <f t="shared" si="192"/>
        <v>0</v>
      </c>
      <c r="AW374" s="5">
        <f t="shared" si="193"/>
        <v>0</v>
      </c>
      <c r="AX374" s="5">
        <f t="shared" si="194"/>
        <v>0</v>
      </c>
      <c r="AY374" s="5">
        <f t="shared" si="195"/>
        <v>0</v>
      </c>
      <c r="AZ374" s="5">
        <f t="shared" si="196"/>
        <v>0</v>
      </c>
      <c r="BA374" s="5">
        <f t="shared" si="197"/>
        <v>0</v>
      </c>
      <c r="BB374" s="5">
        <f t="shared" si="198"/>
        <v>0</v>
      </c>
      <c r="BC374" s="5">
        <f t="shared" si="199"/>
        <v>0</v>
      </c>
      <c r="BD374" s="5">
        <f t="shared" si="200"/>
        <v>-5000</v>
      </c>
      <c r="BE374" s="16">
        <f>INDEX('Team forecast'!$B$2:$AO$26,MATCH('Master data'!$B374,'Team forecast'!$B$2:$B$26,0),MATCH('Master data'!BE$1,'Team forecast'!$B$2:$AO$2,0))</f>
        <v>1.2246875509143662</v>
      </c>
      <c r="BF374" s="16">
        <f>INDEX('Team forecast'!$B$2:$AO$26,MATCH('Master data'!$B374,'Team forecast'!$B$2:$B$26,0),MATCH('Master data'!BF$1,'Team forecast'!$B$2:$AO$2,0))</f>
        <v>1.3677883945550393</v>
      </c>
      <c r="BG374" s="16">
        <f>INDEX('Team forecast'!$B$2:$AO$26,MATCH('Master data'!$B374,'Team forecast'!$B$2:$B$26,0),MATCH('Master data'!BG$1,'Team forecast'!$B$2:$AO$2,0))</f>
        <v>0.25466956579034061</v>
      </c>
      <c r="BH374" s="16">
        <f>INDEX('Team forecast'!$B$2:$AO$26,MATCH('Master data'!$B374,'Team forecast'!$B$2:$B$26,0),MATCH('Master data'!BH$1,'Team forecast'!$B$2:$AO$2,0))</f>
        <v>3.2627172157947619</v>
      </c>
      <c r="BI374" s="16">
        <f>INDEX('Team forecast'!$B$2:$AO$26,MATCH('Master data'!$B374,'Team forecast'!$B$2:$B$26,0),MATCH('Master data'!BI$1,'Team forecast'!$B$2:$AO$2,0))</f>
        <v>3.4505570862638493</v>
      </c>
      <c r="BJ374" s="5">
        <f t="shared" si="201"/>
        <v>-5000</v>
      </c>
      <c r="BK374" s="5">
        <f>INDEX('Team forecast'!$R$3:$BH$26,MATCH($B374,'Team forecast'!$B$3:$B$26,0),MATCH(BK$1,'Team forecast'!$R$2:$BH$2,0))*IF($X374&gt;0,25000,0)</f>
        <v>0</v>
      </c>
      <c r="BL374" s="5">
        <f>INDEX('Team forecast'!$R$3:$BH$26,MATCH($B374,'Team forecast'!$B$3:$B$26,0),MATCH(BL$1,'Team forecast'!$R$2:$BH$2,0))*IF($X374&gt;0,5000,0)</f>
        <v>0</v>
      </c>
      <c r="BM374" s="5">
        <f>INDEX('Team forecast'!$R$3:$BH$26,MATCH($B374,'Team forecast'!$B$3:$B$26,0),MATCH(BM$1,'Team forecast'!$R$2:$BH$2,0))*IF($X374&gt;0,-15000,0)</f>
        <v>0</v>
      </c>
      <c r="BN374" s="5">
        <f t="shared" si="202"/>
        <v>0</v>
      </c>
      <c r="BO374" s="5">
        <f t="shared" si="203"/>
        <v>0</v>
      </c>
      <c r="BP374" s="5">
        <f t="shared" si="204"/>
        <v>0</v>
      </c>
      <c r="BQ374" s="5">
        <f t="shared" si="205"/>
        <v>0</v>
      </c>
      <c r="BR374" s="5">
        <f t="shared" si="206"/>
        <v>0</v>
      </c>
      <c r="BS374" s="5">
        <f t="shared" si="207"/>
        <v>0</v>
      </c>
      <c r="BT374" s="5">
        <f t="shared" si="208"/>
        <v>0</v>
      </c>
      <c r="BU374" s="5">
        <f t="shared" si="209"/>
        <v>0</v>
      </c>
      <c r="BV374" s="5">
        <f t="shared" si="210"/>
        <v>0</v>
      </c>
      <c r="BW374" s="5">
        <f t="shared" si="211"/>
        <v>-5000</v>
      </c>
      <c r="BX374" s="5">
        <f t="shared" si="212"/>
        <v>-5000</v>
      </c>
      <c r="BY374" s="5">
        <f t="shared" si="213"/>
        <v>-15000</v>
      </c>
      <c r="BZ374" s="5">
        <f>INDEX('Team forecast'!$R$3:$BH$26,MATCH($B374,'Team forecast'!$B$3:$B$26,0),MATCH(BZ$1,'Team forecast'!$R$2:$BH$2,0))*($BX374-(BY374+CH374)*0.01)</f>
        <v>-21057.665881013345</v>
      </c>
      <c r="CA374" s="5">
        <f>INDEX('Team forecast'!$R$3:$BH$26,MATCH($B374,'Team forecast'!$B$3:$B$26,0),MATCH(CA$1,'Team forecast'!$R$2:$BH$2,0))*($BX374-(BY374+BX374+CH374)*0.01)</f>
        <v>-10366.249010074413</v>
      </c>
      <c r="CB374" s="5">
        <f>INDEX('Team forecast'!$R$3:$BH$26,MATCH($B374,'Team forecast'!$B$3:$B$26,0),MATCH(CB$1,'Team forecast'!$R$2:$BH$2,0))*($BX374-(BY374+BX374*2+CH374)*0.01)</f>
        <v>-5037.0740921153138</v>
      </c>
      <c r="CC374" s="5">
        <f>INDEX('Team forecast'!$R$3:$BH$26,MATCH($B374,'Team forecast'!$B$3:$B$26,0),MATCH(CC$1,'Team forecast'!$R$2:$BH$2,0))*($BX374-(BY374+BX374*3+CH374)*0.01)</f>
        <v>-2336.4449803027901</v>
      </c>
      <c r="CD374" s="5">
        <f>+AK374+BD374*Cockpit!$C$3+BW374*Cockpit!$C$3^2+BZ374*Cockpit!$C$3^3+CA374*Cockpit!$C$3^4+CB374*Cockpit!$C$3^5+CC374*Cockpit!$C$3^6</f>
        <v>-19710.956487423933</v>
      </c>
      <c r="CE374" s="5"/>
      <c r="CF374" s="5"/>
      <c r="CG374" s="5">
        <v>0</v>
      </c>
      <c r="CH374" s="5">
        <f t="shared" si="214"/>
        <v>3000000</v>
      </c>
      <c r="CI374" s="5">
        <f t="shared" si="215"/>
        <v>3000000</v>
      </c>
      <c r="CJ374" s="1">
        <f t="shared" si="216"/>
        <v>-5.0000000000000001E-3</v>
      </c>
      <c r="CK374" s="5">
        <f>RANK(BY374,$BY$2:$BY$623)+COUNTIF($BY$2:$BY374,$BY374)-1</f>
        <v>533</v>
      </c>
      <c r="CL374" s="5">
        <f>RANK(CJ374,$CJ$2:$CJ$623)+COUNTIF($CJ$2:$CJ374,$CJ374)-1</f>
        <v>510</v>
      </c>
    </row>
    <row r="375" spans="1:90">
      <c r="A375" t="str">
        <f>Players!P376</f>
        <v>Yusuf Yazici</v>
      </c>
      <c r="B375" t="str">
        <f>Players!G376</f>
        <v>Turkey</v>
      </c>
      <c r="C375" t="str">
        <f>Players!AB376</f>
        <v>Striker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0.65422581624273402</v>
      </c>
      <c r="I375" s="16">
        <f>INDEX('Team forecast'!$B$2:$AO$26,MATCH('Master data'!$B375,'Team forecast'!$B$2:$B$26,0),MATCH('Master data'!I$1,'Team forecast'!$B$2:$AO$2,0))</f>
        <v>1.6593477618235051</v>
      </c>
      <c r="J375" s="16">
        <f>INDEX('Team forecast'!$B$2:$AO$26,MATCH('Master data'!$B375,'Team forecast'!$B$2:$B$26,0),MATCH('Master data'!J$1,'Team forecast'!$B$2:$AO$2,0))</f>
        <v>0.19026303645592979</v>
      </c>
      <c r="K375" s="16">
        <f>INDEX('Team forecast'!$B$2:$AO$26,MATCH('Master data'!$B375,'Team forecast'!$B$2:$B$26,0),MATCH('Master data'!K$1,'Team forecast'!$B$2:$AO$2,0))</f>
        <v>1.7429374799138486</v>
      </c>
      <c r="L375" s="16">
        <f>INDEX('Team forecast'!$B$2:$AO$26,MATCH('Master data'!$B375,'Team forecast'!$B$2:$B$26,0),MATCH('Master data'!L$1,'Team forecast'!$B$2:$AO$2,0))</f>
        <v>4.1860818536911157</v>
      </c>
      <c r="M375">
        <f>IF(Players!BC376=1,95,0)</f>
        <v>95</v>
      </c>
      <c r="N375" s="2">
        <f>Players!BN376</f>
        <v>0.24525575202051489</v>
      </c>
      <c r="O375" s="2">
        <f>Players!BO376</f>
        <v>0.25841306595596175</v>
      </c>
      <c r="P375" s="2">
        <f>Players!BP376</f>
        <v>0.30973010488647584</v>
      </c>
      <c r="Q375" s="2">
        <f>Players!BQ376</f>
        <v>0.20182156133828996</v>
      </c>
      <c r="R375" s="2">
        <f>Players!BR376</f>
        <v>0</v>
      </c>
      <c r="S375" s="2">
        <f t="shared" si="175"/>
        <v>0.65422581624273402</v>
      </c>
      <c r="T375" s="2">
        <f t="shared" si="176"/>
        <v>1.6593477618235051</v>
      </c>
      <c r="U375" s="16">
        <f>INDEX('Team forecast'!$B$2:$AO$26,MATCH('Master data'!$B375,'Team forecast'!$B$2:$B$26,0),MATCH('Master data'!U$1,'Team forecast'!$B$2:$AO$2,0))</f>
        <v>0.13590216889709281</v>
      </c>
      <c r="V375" s="16">
        <f>INDEX('Team forecast'!$B$2:$AO$26,MATCH('Master data'!$B375,'Team forecast'!$B$2:$B$26,0),MATCH('Master data'!V$1,'Team forecast'!$B$2:$AO$2,0))</f>
        <v>0.25034610059990769</v>
      </c>
      <c r="W375" s="16">
        <f>INDEX('Team forecast'!$B$2:$AO$26,MATCH('Master data'!$B375,'Team forecast'!$B$2:$B$26,0),MATCH('Master data'!W$1,'Team forecast'!$B$2:$AO$2,0))</f>
        <v>0.61375173050299947</v>
      </c>
      <c r="X375" s="5">
        <f t="shared" si="177"/>
        <v>7000</v>
      </c>
      <c r="Y375" s="5">
        <f t="shared" si="178"/>
        <v>3397.5542224273204</v>
      </c>
      <c r="Z375" s="5">
        <f t="shared" si="179"/>
        <v>1251.7305029995384</v>
      </c>
      <c r="AA375" s="5">
        <f t="shared" si="180"/>
        <v>-9206.2759575449927</v>
      </c>
      <c r="AB375" s="5">
        <f t="shared" si="181"/>
        <v>16045.264455384691</v>
      </c>
      <c r="AC375" s="5">
        <f t="shared" si="182"/>
        <v>8453.0249501413273</v>
      </c>
      <c r="AD375" s="5">
        <f t="shared" si="183"/>
        <v>5398.402084642863</v>
      </c>
      <c r="AE375" s="5">
        <f t="shared" si="184"/>
        <v>0</v>
      </c>
      <c r="AF375" s="5">
        <f t="shared" si="185"/>
        <v>0</v>
      </c>
      <c r="AG375" s="5">
        <f t="shared" si="186"/>
        <v>-4036.4312267657992</v>
      </c>
      <c r="AH375" s="5">
        <f t="shared" si="187"/>
        <v>0</v>
      </c>
      <c r="AI375" s="5">
        <f t="shared" si="188"/>
        <v>6542.2581624273398</v>
      </c>
      <c r="AJ375" s="5">
        <f t="shared" si="189"/>
        <v>-13274.782094588041</v>
      </c>
      <c r="AK375" s="5">
        <f>IFERROR(SUM(X375:AJ375),-5000)*((Cockpit!$C$3)^0)</f>
        <v>21570.745099124248</v>
      </c>
      <c r="AL375" s="16">
        <f>INDEX('Team forecast'!$B$2:$AO$26,MATCH('Master data'!$B375,'Team forecast'!$B$2:$B$26,0),MATCH('Master data'!AL$1,'Team forecast'!$B$2:$AO$2,0))</f>
        <v>1.2847203648825669</v>
      </c>
      <c r="AM375" s="16">
        <f>INDEX('Team forecast'!$B$2:$AO$26,MATCH('Master data'!$B375,'Team forecast'!$B$2:$B$26,0),MATCH('Master data'!AM$1,'Team forecast'!$B$2:$AO$2,0))</f>
        <v>1.0279287794501248</v>
      </c>
      <c r="AN375" s="16">
        <f>INDEX('Team forecast'!$B$2:$AO$26,MATCH('Master data'!$B375,'Team forecast'!$B$2:$B$26,0),MATCH('Master data'!AN$1,'Team forecast'!$B$2:$AO$2,0))</f>
        <v>0.35774716702311499</v>
      </c>
      <c r="AO375" s="16">
        <f>INDEX('Team forecast'!$B$2:$AO$26,MATCH('Master data'!$B375,'Team forecast'!$B$2:$B$26,0),MATCH('Master data'!AO$1,'Team forecast'!$B$2:$AO$2,0))</f>
        <v>3.4226519644581361</v>
      </c>
      <c r="AP375" s="16">
        <f>INDEX('Team forecast'!$B$2:$AO$26,MATCH('Master data'!$B375,'Team forecast'!$B$2:$B$26,0),MATCH('Master data'!AP$1,'Team forecast'!$B$2:$AO$2,0))</f>
        <v>2.5931839663400877</v>
      </c>
      <c r="AQ375" s="5">
        <f t="shared" si="190"/>
        <v>7000</v>
      </c>
      <c r="AR375" s="5">
        <f>INDEX('Team forecast'!$B$2:$AO$26,MATCH('Master data'!$B375,'Team forecast'!$B$2:$B$26,0),MATCH('Master data'!AR$1,'Team forecast'!$B$2:$AO$2,0))*IF(X375&gt;0,25000,0)</f>
        <v>10691.761923531732</v>
      </c>
      <c r="AS375" s="16">
        <f>INDEX('Team forecast'!$B$2:$AO$26,MATCH('Master data'!$B375,'Team forecast'!$B$2:$B$26,0),MATCH('Master data'!AS$1,'Team forecast'!$B$2:$AO$2,0))*IF(X375&gt;0,5000,0)</f>
        <v>1517.5404020496649</v>
      </c>
      <c r="AT375" s="16">
        <f>INDEX('Team forecast'!$B$2:$AO$26,MATCH('Master data'!$B375,'Team forecast'!$B$2:$B$26,0),MATCH('Master data'!AT$1,'Team forecast'!$B$2:$AO$2,0))*IF(X375&gt;0,-15000,0)</f>
        <v>-4032.3216397319688</v>
      </c>
      <c r="AU375" s="5">
        <f t="shared" si="191"/>
        <v>31508.505922534423</v>
      </c>
      <c r="AV375" s="5">
        <f t="shared" si="192"/>
        <v>16599.4264192683</v>
      </c>
      <c r="AW375" s="5">
        <f t="shared" si="193"/>
        <v>10600.983519415211</v>
      </c>
      <c r="AX375" s="5">
        <f t="shared" si="194"/>
        <v>0</v>
      </c>
      <c r="AY375" s="5">
        <f t="shared" si="195"/>
        <v>0</v>
      </c>
      <c r="AZ375" s="5">
        <f t="shared" si="196"/>
        <v>-4036.4312267657992</v>
      </c>
      <c r="BA375" s="5">
        <f t="shared" si="197"/>
        <v>0</v>
      </c>
      <c r="BB375" s="5">
        <f t="shared" si="198"/>
        <v>12847.203648825669</v>
      </c>
      <c r="BC375" s="5">
        <f t="shared" si="199"/>
        <v>-8223.4302356009994</v>
      </c>
      <c r="BD375" s="5">
        <f t="shared" si="200"/>
        <v>74473.238733526232</v>
      </c>
      <c r="BE375" s="16">
        <f>INDEX('Team forecast'!$B$2:$AO$26,MATCH('Master data'!$B375,'Team forecast'!$B$2:$B$26,0),MATCH('Master data'!BE$1,'Team forecast'!$B$2:$AO$2,0))</f>
        <v>1.2246875509143662</v>
      </c>
      <c r="BF375" s="16">
        <f>INDEX('Team forecast'!$B$2:$AO$26,MATCH('Master data'!$B375,'Team forecast'!$B$2:$B$26,0),MATCH('Master data'!BF$1,'Team forecast'!$B$2:$AO$2,0))</f>
        <v>1.3677883945550393</v>
      </c>
      <c r="BG375" s="16">
        <f>INDEX('Team forecast'!$B$2:$AO$26,MATCH('Master data'!$B375,'Team forecast'!$B$2:$B$26,0),MATCH('Master data'!BG$1,'Team forecast'!$B$2:$AO$2,0))</f>
        <v>0.25466956579034061</v>
      </c>
      <c r="BH375" s="16">
        <f>INDEX('Team forecast'!$B$2:$AO$26,MATCH('Master data'!$B375,'Team forecast'!$B$2:$B$26,0),MATCH('Master data'!BH$1,'Team forecast'!$B$2:$AO$2,0))</f>
        <v>3.2627172157947619</v>
      </c>
      <c r="BI375" s="16">
        <f>INDEX('Team forecast'!$B$2:$AO$26,MATCH('Master data'!$B375,'Team forecast'!$B$2:$B$26,0),MATCH('Master data'!BI$1,'Team forecast'!$B$2:$AO$2,0))</f>
        <v>3.4505570862638493</v>
      </c>
      <c r="BJ375" s="5">
        <f t="shared" si="201"/>
        <v>7000</v>
      </c>
      <c r="BK375" s="5">
        <f>INDEX('Team forecast'!$R$3:$BH$26,MATCH($B375,'Team forecast'!$B$3:$B$26,0),MATCH(BK$1,'Team forecast'!$R$2:$BH$2,0))*IF($X375&gt;0,25000,0)</f>
        <v>8232.8523423601509</v>
      </c>
      <c r="BL375" s="5">
        <f>INDEX('Team forecast'!$R$3:$BH$26,MATCH($B375,'Team forecast'!$B$3:$B$26,0),MATCH(BL$1,'Team forecast'!$R$2:$BH$2,0))*IF($X375&gt;0,5000,0)</f>
        <v>1404.4277525202608</v>
      </c>
      <c r="BM375" s="5">
        <f>INDEX('Team forecast'!$R$3:$BH$26,MATCH($B375,'Team forecast'!$B$3:$B$26,0),MATCH(BM$1,'Team forecast'!$R$2:$BH$2,0))*IF($X375&gt;0,-15000,0)</f>
        <v>-5847.0053370231253</v>
      </c>
      <c r="BN375" s="5">
        <f t="shared" si="202"/>
        <v>30036.166628966548</v>
      </c>
      <c r="BO375" s="5">
        <f t="shared" si="203"/>
        <v>15823.76324349397</v>
      </c>
      <c r="BP375" s="5">
        <f t="shared" si="204"/>
        <v>10105.617454630221</v>
      </c>
      <c r="BQ375" s="5">
        <f t="shared" si="205"/>
        <v>0</v>
      </c>
      <c r="BR375" s="5">
        <f t="shared" si="206"/>
        <v>0</v>
      </c>
      <c r="BS375" s="5">
        <f t="shared" si="207"/>
        <v>-4036.4312267657992</v>
      </c>
      <c r="BT375" s="5">
        <f t="shared" si="208"/>
        <v>0</v>
      </c>
      <c r="BU375" s="5">
        <f t="shared" si="209"/>
        <v>12246.875509143661</v>
      </c>
      <c r="BV375" s="5">
        <f t="shared" si="210"/>
        <v>-10942.307156440314</v>
      </c>
      <c r="BW375" s="5">
        <f t="shared" si="211"/>
        <v>64023.959210885565</v>
      </c>
      <c r="BX375" s="5">
        <f t="shared" si="212"/>
        <v>53355.981014512014</v>
      </c>
      <c r="BY375" s="5">
        <f t="shared" si="213"/>
        <v>160067.94304353604</v>
      </c>
      <c r="BZ375" s="5">
        <f>INDEX('Team forecast'!$R$3:$BH$26,MATCH($B375,'Team forecast'!$B$3:$B$26,0),MATCH(BZ$1,'Team forecast'!$R$2:$BH$2,0))*($BX375-(BY375+CH375)*0.01)</f>
        <v>10124.176255182203</v>
      </c>
      <c r="CA375" s="5">
        <f>INDEX('Team forecast'!$R$3:$BH$26,MATCH($B375,'Team forecast'!$B$3:$B$26,0),MATCH(CA$1,'Team forecast'!$R$2:$BH$2,0))*($BX375-(BY375+BX375+CH375)*0.01)</f>
        <v>4832.1440978649571</v>
      </c>
      <c r="CB375" s="5">
        <f>INDEX('Team forecast'!$R$3:$BH$26,MATCH($B375,'Team forecast'!$B$3:$B$26,0),MATCH(CB$1,'Team forecast'!$R$2:$BH$2,0))*($BX375-(BY375+BX375*2+CH375)*0.01)</f>
        <v>2274.0297819332163</v>
      </c>
      <c r="CC375" s="5">
        <f>INDEX('Team forecast'!$R$3:$BH$26,MATCH($B375,'Team forecast'!$B$3:$B$26,0),MATCH(CC$1,'Team forecast'!$R$2:$BH$2,0))*($BX375-(BY375+BX375*3+CH375)*0.01)</f>
        <v>1020.4017538691833</v>
      </c>
      <c r="CD375" s="5">
        <f>+AK375+BD375*Cockpit!$C$3+BW375*Cockpit!$C$3^2+BZ375*Cockpit!$C$3^3+CA375*Cockpit!$C$3^4+CB375*Cockpit!$C$3^5+CC375*Cockpit!$C$3^6</f>
        <v>104017.96073883041</v>
      </c>
      <c r="CE375" s="5"/>
      <c r="CF375" s="5"/>
      <c r="CG375" s="5">
        <v>0</v>
      </c>
      <c r="CH375" s="5">
        <f t="shared" si="214"/>
        <v>3500000</v>
      </c>
      <c r="CI375" s="5">
        <f t="shared" si="215"/>
        <v>3500000</v>
      </c>
      <c r="CJ375" s="1">
        <f t="shared" si="216"/>
        <v>4.5733698012438866E-2</v>
      </c>
      <c r="CK375" s="5">
        <f>RANK(BY375,$BY$2:$BY$623)+COUNTIF($BY$2:$BY375,$BY375)-1</f>
        <v>87</v>
      </c>
      <c r="CL375" s="5">
        <f>RANK(CJ375,$CJ$2:$CJ$623)+COUNTIF($CJ$2:$CJ375,$CJ375)-1</f>
        <v>50</v>
      </c>
    </row>
    <row r="376" spans="1:90">
      <c r="A376" t="str">
        <f>Players!P377</f>
        <v>Ozan Tufan</v>
      </c>
      <c r="B376" t="str">
        <f>Players!G377</f>
        <v>Turkey</v>
      </c>
      <c r="C376" t="str">
        <f>Players!AB377</f>
        <v>Midfield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3500000</v>
      </c>
      <c r="H376" s="16">
        <f>INDEX('Team forecast'!$B$2:$AO$26,MATCH('Master data'!$B376,'Team forecast'!$B$2:$B$26,0),MATCH('Master data'!H$1,'Team forecast'!$B$2:$AO$2,0))</f>
        <v>0.65422581624273402</v>
      </c>
      <c r="I376" s="16">
        <f>INDEX('Team forecast'!$B$2:$AO$26,MATCH('Master data'!$B376,'Team forecast'!$B$2:$B$26,0),MATCH('Master data'!I$1,'Team forecast'!$B$2:$AO$2,0))</f>
        <v>1.6593477618235051</v>
      </c>
      <c r="J376" s="16">
        <f>INDEX('Team forecast'!$B$2:$AO$26,MATCH('Master data'!$B376,'Team forecast'!$B$2:$B$26,0),MATCH('Master data'!J$1,'Team forecast'!$B$2:$AO$2,0))</f>
        <v>0.19026303645592979</v>
      </c>
      <c r="K376" s="16">
        <f>INDEX('Team forecast'!$B$2:$AO$26,MATCH('Master data'!$B376,'Team forecast'!$B$2:$B$26,0),MATCH('Master data'!K$1,'Team forecast'!$B$2:$AO$2,0))</f>
        <v>1.7429374799138486</v>
      </c>
      <c r="L376" s="16">
        <f>INDEX('Team forecast'!$B$2:$AO$26,MATCH('Master data'!$B376,'Team forecast'!$B$2:$B$26,0),MATCH('Master data'!L$1,'Team forecast'!$B$2:$AO$2,0))</f>
        <v>4.1860818536911157</v>
      </c>
      <c r="M376">
        <f>IF(Players!BC377=1,95,0)</f>
        <v>95</v>
      </c>
      <c r="N376" s="2">
        <f>Players!BN377</f>
        <v>5.724201066542537E-2</v>
      </c>
      <c r="O376" s="2">
        <f>Players!BO377</f>
        <v>3.7179528655713952E-2</v>
      </c>
      <c r="P376" s="2">
        <f>Players!BP377</f>
        <v>3.8985606514693578E-2</v>
      </c>
      <c r="Q376" s="2">
        <f>Players!BQ377</f>
        <v>0.24040500297796308</v>
      </c>
      <c r="R376" s="2">
        <f>Players!BR377</f>
        <v>0</v>
      </c>
      <c r="S376" s="2">
        <f t="shared" si="175"/>
        <v>0.65422581624273402</v>
      </c>
      <c r="T376" s="2">
        <f t="shared" si="176"/>
        <v>1.6593477618235051</v>
      </c>
      <c r="U376" s="16">
        <f>INDEX('Team forecast'!$B$2:$AO$26,MATCH('Master data'!$B376,'Team forecast'!$B$2:$B$26,0),MATCH('Master data'!U$1,'Team forecast'!$B$2:$AO$2,0))</f>
        <v>0.13590216889709281</v>
      </c>
      <c r="V376" s="16">
        <f>INDEX('Team forecast'!$B$2:$AO$26,MATCH('Master data'!$B376,'Team forecast'!$B$2:$B$26,0),MATCH('Master data'!V$1,'Team forecast'!$B$2:$AO$2,0))</f>
        <v>0.25034610059990769</v>
      </c>
      <c r="W376" s="16">
        <f>INDEX('Team forecast'!$B$2:$AO$26,MATCH('Master data'!$B376,'Team forecast'!$B$2:$B$26,0),MATCH('Master data'!W$1,'Team forecast'!$B$2:$AO$2,0))</f>
        <v>0.61375173050299947</v>
      </c>
      <c r="X376" s="5">
        <f t="shared" si="177"/>
        <v>7000</v>
      </c>
      <c r="Y376" s="5">
        <f t="shared" si="178"/>
        <v>3397.5542224273204</v>
      </c>
      <c r="Z376" s="5">
        <f t="shared" si="179"/>
        <v>1251.7305029995384</v>
      </c>
      <c r="AA376" s="5">
        <f t="shared" si="180"/>
        <v>-9206.2759575449927</v>
      </c>
      <c r="AB376" s="5">
        <f t="shared" si="181"/>
        <v>4681.1501438703999</v>
      </c>
      <c r="AC376" s="5">
        <f t="shared" si="182"/>
        <v>1216.1903741152289</v>
      </c>
      <c r="AD376" s="5">
        <f t="shared" si="183"/>
        <v>679.49474771632947</v>
      </c>
      <c r="AE376" s="5">
        <f t="shared" si="184"/>
        <v>0</v>
      </c>
      <c r="AF376" s="5">
        <f t="shared" si="185"/>
        <v>0</v>
      </c>
      <c r="AG376" s="5">
        <f t="shared" si="186"/>
        <v>-4808.1000595592614</v>
      </c>
      <c r="AH376" s="5">
        <f t="shared" si="187"/>
        <v>0</v>
      </c>
      <c r="AI376" s="5">
        <f t="shared" si="188"/>
        <v>6542.2581624273398</v>
      </c>
      <c r="AJ376" s="5">
        <f t="shared" si="189"/>
        <v>-13274.782094588041</v>
      </c>
      <c r="AK376" s="5">
        <f>IFERROR(SUM(X376:AJ376),-5000)*((Cockpit!$C$3)^0)</f>
        <v>-2520.7799581361396</v>
      </c>
      <c r="AL376" s="16">
        <f>INDEX('Team forecast'!$B$2:$AO$26,MATCH('Master data'!$B376,'Team forecast'!$B$2:$B$26,0),MATCH('Master data'!AL$1,'Team forecast'!$B$2:$AO$2,0))</f>
        <v>1.2847203648825669</v>
      </c>
      <c r="AM376" s="16">
        <f>INDEX('Team forecast'!$B$2:$AO$26,MATCH('Master data'!$B376,'Team forecast'!$B$2:$B$26,0),MATCH('Master data'!AM$1,'Team forecast'!$B$2:$AO$2,0))</f>
        <v>1.0279287794501248</v>
      </c>
      <c r="AN376" s="16">
        <f>INDEX('Team forecast'!$B$2:$AO$26,MATCH('Master data'!$B376,'Team forecast'!$B$2:$B$26,0),MATCH('Master data'!AN$1,'Team forecast'!$B$2:$AO$2,0))</f>
        <v>0.35774716702311499</v>
      </c>
      <c r="AO376" s="16">
        <f>INDEX('Team forecast'!$B$2:$AO$26,MATCH('Master data'!$B376,'Team forecast'!$B$2:$B$26,0),MATCH('Master data'!AO$1,'Team forecast'!$B$2:$AO$2,0))</f>
        <v>3.4226519644581361</v>
      </c>
      <c r="AP376" s="16">
        <f>INDEX('Team forecast'!$B$2:$AO$26,MATCH('Master data'!$B376,'Team forecast'!$B$2:$B$26,0),MATCH('Master data'!AP$1,'Team forecast'!$B$2:$AO$2,0))</f>
        <v>2.5931839663400877</v>
      </c>
      <c r="AQ376" s="5">
        <f t="shared" si="190"/>
        <v>7000</v>
      </c>
      <c r="AR376" s="5">
        <f>INDEX('Team forecast'!$B$2:$AO$26,MATCH('Master data'!$B376,'Team forecast'!$B$2:$B$26,0),MATCH('Master data'!AR$1,'Team forecast'!$B$2:$AO$2,0))*IF(X376&gt;0,25000,0)</f>
        <v>10691.761923531732</v>
      </c>
      <c r="AS376" s="16">
        <f>INDEX('Team forecast'!$B$2:$AO$26,MATCH('Master data'!$B376,'Team forecast'!$B$2:$B$26,0),MATCH('Master data'!AS$1,'Team forecast'!$B$2:$AO$2,0))*IF(X376&gt;0,5000,0)</f>
        <v>1517.5404020496649</v>
      </c>
      <c r="AT376" s="16">
        <f>INDEX('Team forecast'!$B$2:$AO$26,MATCH('Master data'!$B376,'Team forecast'!$B$2:$B$26,0),MATCH('Master data'!AT$1,'Team forecast'!$B$2:$AO$2,0))*IF(X376&gt;0,-15000,0)</f>
        <v>-4032.3216397319688</v>
      </c>
      <c r="AU376" s="5">
        <f t="shared" si="191"/>
        <v>9192.4971035871331</v>
      </c>
      <c r="AV376" s="5">
        <f t="shared" si="192"/>
        <v>2388.264881036534</v>
      </c>
      <c r="AW376" s="5">
        <f t="shared" si="193"/>
        <v>1334.3416272310787</v>
      </c>
      <c r="AX376" s="5">
        <f t="shared" si="194"/>
        <v>0</v>
      </c>
      <c r="AY376" s="5">
        <f t="shared" si="195"/>
        <v>0</v>
      </c>
      <c r="AZ376" s="5">
        <f t="shared" si="196"/>
        <v>-4808.1000595592614</v>
      </c>
      <c r="BA376" s="5">
        <f t="shared" si="197"/>
        <v>0</v>
      </c>
      <c r="BB376" s="5">
        <f t="shared" si="198"/>
        <v>12847.203648825669</v>
      </c>
      <c r="BC376" s="5">
        <f t="shared" si="199"/>
        <v>-8223.4302356009994</v>
      </c>
      <c r="BD376" s="5">
        <f t="shared" si="200"/>
        <v>27907.757651369582</v>
      </c>
      <c r="BE376" s="16">
        <f>INDEX('Team forecast'!$B$2:$AO$26,MATCH('Master data'!$B376,'Team forecast'!$B$2:$B$26,0),MATCH('Master data'!BE$1,'Team forecast'!$B$2:$AO$2,0))</f>
        <v>1.2246875509143662</v>
      </c>
      <c r="BF376" s="16">
        <f>INDEX('Team forecast'!$B$2:$AO$26,MATCH('Master data'!$B376,'Team forecast'!$B$2:$B$26,0),MATCH('Master data'!BF$1,'Team forecast'!$B$2:$AO$2,0))</f>
        <v>1.3677883945550393</v>
      </c>
      <c r="BG376" s="16">
        <f>INDEX('Team forecast'!$B$2:$AO$26,MATCH('Master data'!$B376,'Team forecast'!$B$2:$B$26,0),MATCH('Master data'!BG$1,'Team forecast'!$B$2:$AO$2,0))</f>
        <v>0.25466956579034061</v>
      </c>
      <c r="BH376" s="16">
        <f>INDEX('Team forecast'!$B$2:$AO$26,MATCH('Master data'!$B376,'Team forecast'!$B$2:$B$26,0),MATCH('Master data'!BH$1,'Team forecast'!$B$2:$AO$2,0))</f>
        <v>3.2627172157947619</v>
      </c>
      <c r="BI376" s="16">
        <f>INDEX('Team forecast'!$B$2:$AO$26,MATCH('Master data'!$B376,'Team forecast'!$B$2:$B$26,0),MATCH('Master data'!BI$1,'Team forecast'!$B$2:$AO$2,0))</f>
        <v>3.4505570862638493</v>
      </c>
      <c r="BJ376" s="5">
        <f t="shared" si="201"/>
        <v>7000</v>
      </c>
      <c r="BK376" s="5">
        <f>INDEX('Team forecast'!$R$3:$BH$26,MATCH($B376,'Team forecast'!$B$3:$B$26,0),MATCH(BK$1,'Team forecast'!$R$2:$BH$2,0))*IF($X376&gt;0,25000,0)</f>
        <v>8232.8523423601509</v>
      </c>
      <c r="BL376" s="5">
        <f>INDEX('Team forecast'!$R$3:$BH$26,MATCH($B376,'Team forecast'!$B$3:$B$26,0),MATCH(BL$1,'Team forecast'!$R$2:$BH$2,0))*IF($X376&gt;0,5000,0)</f>
        <v>1404.4277525202608</v>
      </c>
      <c r="BM376" s="5">
        <f>INDEX('Team forecast'!$R$3:$BH$26,MATCH($B376,'Team forecast'!$B$3:$B$26,0),MATCH(BM$1,'Team forecast'!$R$2:$BH$2,0))*IF($X376&gt;0,-15000,0)</f>
        <v>-5847.0053370231253</v>
      </c>
      <c r="BN376" s="5">
        <f t="shared" si="202"/>
        <v>8762.947231406728</v>
      </c>
      <c r="BO376" s="5">
        <f t="shared" si="203"/>
        <v>2276.6652946758409</v>
      </c>
      <c r="BP376" s="5">
        <f t="shared" si="204"/>
        <v>1271.9900954369118</v>
      </c>
      <c r="BQ376" s="5">
        <f t="shared" si="205"/>
        <v>0</v>
      </c>
      <c r="BR376" s="5">
        <f t="shared" si="206"/>
        <v>0</v>
      </c>
      <c r="BS376" s="5">
        <f t="shared" si="207"/>
        <v>-4808.1000595592614</v>
      </c>
      <c r="BT376" s="5">
        <f t="shared" si="208"/>
        <v>0</v>
      </c>
      <c r="BU376" s="5">
        <f t="shared" si="209"/>
        <v>12246.875509143661</v>
      </c>
      <c r="BV376" s="5">
        <f t="shared" si="210"/>
        <v>-10942.307156440314</v>
      </c>
      <c r="BW376" s="5">
        <f t="shared" si="211"/>
        <v>19598.345672520853</v>
      </c>
      <c r="BX376" s="5">
        <f t="shared" si="212"/>
        <v>14995.107788584764</v>
      </c>
      <c r="BY376" s="5">
        <f t="shared" si="213"/>
        <v>44985.323365754295</v>
      </c>
      <c r="BZ376" s="5">
        <f>INDEX('Team forecast'!$R$3:$BH$26,MATCH($B376,'Team forecast'!$B$3:$B$26,0),MATCH(BZ$1,'Team forecast'!$R$2:$BH$2,0))*($BX376-(BY376+CH376)*0.01)</f>
        <v>-12359.51779809246</v>
      </c>
      <c r="CA376" s="5">
        <f>INDEX('Team forecast'!$R$3:$BH$26,MATCH($B376,'Team forecast'!$B$3:$B$26,0),MATCH(CA$1,'Team forecast'!$R$2:$BH$2,0))*($BX376-(BY376+BX376+CH376)*0.01)</f>
        <v>-6137.7418084483779</v>
      </c>
      <c r="CB376" s="5">
        <f>INDEX('Team forecast'!$R$3:$BH$26,MATCH($B376,'Team forecast'!$B$3:$B$26,0),MATCH(CB$1,'Team forecast'!$R$2:$BH$2,0))*($BX376-(BY376+BX376*2+CH376)*0.01)</f>
        <v>-3008.4229560056679</v>
      </c>
      <c r="CC376" s="5">
        <f>INDEX('Team forecast'!$R$3:$BH$26,MATCH($B376,'Team forecast'!$B$3:$B$26,0),MATCH(CC$1,'Team forecast'!$R$2:$BH$2,0))*($BX376-(BY376+BX376*3+CH376)*0.01)</f>
        <v>-1407.563246344778</v>
      </c>
      <c r="CD376" s="5">
        <f>+AK376+BD376*Cockpit!$C$3+BW376*Cockpit!$C$3^2+BZ376*Cockpit!$C$3^3+CA376*Cockpit!$C$3^4+CB376*Cockpit!$C$3^5+CC376*Cockpit!$C$3^6</f>
        <v>19400.551866438927</v>
      </c>
      <c r="CE376" s="5"/>
      <c r="CF376" s="5"/>
      <c r="CG376" s="5">
        <v>0</v>
      </c>
      <c r="CH376" s="5">
        <f t="shared" si="214"/>
        <v>3500000</v>
      </c>
      <c r="CI376" s="5">
        <f t="shared" si="215"/>
        <v>3500000</v>
      </c>
      <c r="CJ376" s="1">
        <f t="shared" si="216"/>
        <v>1.2852949533072656E-2</v>
      </c>
      <c r="CK376" s="5">
        <f>RANK(BY376,$BY$2:$BY$623)+COUNTIF($BY$2:$BY376,$BY376)-1</f>
        <v>297</v>
      </c>
      <c r="CL376" s="5">
        <f>RANK(CJ376,$CJ$2:$CJ$623)+COUNTIF($CJ$2:$CJ376,$CJ376)-1</f>
        <v>328</v>
      </c>
    </row>
    <row r="377" spans="1:90">
      <c r="A377" t="str">
        <f>Players!P378</f>
        <v>Kerem Aktürkoğlu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3000000</v>
      </c>
      <c r="H377" s="16">
        <f>INDEX('Team forecast'!$B$2:$AO$26,MATCH('Master data'!$B377,'Team forecast'!$B$2:$B$26,0),MATCH('Master data'!H$1,'Team forecast'!$B$2:$AO$2,0))</f>
        <v>0.65422581624273402</v>
      </c>
      <c r="I377" s="16">
        <f>INDEX('Team forecast'!$B$2:$AO$26,MATCH('Master data'!$B377,'Team forecast'!$B$2:$B$26,0),MATCH('Master data'!I$1,'Team forecast'!$B$2:$AO$2,0))</f>
        <v>1.6593477618235051</v>
      </c>
      <c r="J377" s="16">
        <f>INDEX('Team forecast'!$B$2:$AO$26,MATCH('Master data'!$B377,'Team forecast'!$B$2:$B$26,0),MATCH('Master data'!J$1,'Team forecast'!$B$2:$AO$2,0))</f>
        <v>0.19026303645592979</v>
      </c>
      <c r="K377" s="16">
        <f>INDEX('Team forecast'!$B$2:$AO$26,MATCH('Master data'!$B377,'Team forecast'!$B$2:$B$26,0),MATCH('Master data'!K$1,'Team forecast'!$B$2:$AO$2,0))</f>
        <v>1.7429374799138486</v>
      </c>
      <c r="L377" s="16">
        <f>INDEX('Team forecast'!$B$2:$AO$26,MATCH('Master data'!$B377,'Team forecast'!$B$2:$B$26,0),MATCH('Master data'!L$1,'Team forecast'!$B$2:$AO$2,0))</f>
        <v>4.1860818536911157</v>
      </c>
      <c r="M377">
        <f>IF(Players!BC378=1,95,0)</f>
        <v>0</v>
      </c>
      <c r="N377" s="2">
        <f>Players!BN378</f>
        <v>0</v>
      </c>
      <c r="O377" s="2">
        <f>Players!BO378</f>
        <v>0</v>
      </c>
      <c r="P377" s="2">
        <f>Players!BP378</f>
        <v>0</v>
      </c>
      <c r="Q377" s="2">
        <f>Players!BQ378</f>
        <v>6.1475409836065573E-2</v>
      </c>
      <c r="R377" s="2">
        <f>Players!BR378</f>
        <v>0</v>
      </c>
      <c r="S377" s="2">
        <f t="shared" si="175"/>
        <v>0.65422581624273402</v>
      </c>
      <c r="T377" s="2">
        <f t="shared" si="176"/>
        <v>1.6593477618235051</v>
      </c>
      <c r="U377" s="16">
        <f>INDEX('Team forecast'!$B$2:$AO$26,MATCH('Master data'!$B377,'Team forecast'!$B$2:$B$26,0),MATCH('Master data'!U$1,'Team forecast'!$B$2:$AO$2,0))</f>
        <v>0.13590216889709281</v>
      </c>
      <c r="V377" s="16">
        <f>INDEX('Team forecast'!$B$2:$AO$26,MATCH('Master data'!$B377,'Team forecast'!$B$2:$B$26,0),MATCH('Master data'!V$1,'Team forecast'!$B$2:$AO$2,0))</f>
        <v>0.25034610059990769</v>
      </c>
      <c r="W377" s="16">
        <f>INDEX('Team forecast'!$B$2:$AO$26,MATCH('Master data'!$B377,'Team forecast'!$B$2:$B$26,0),MATCH('Master data'!W$1,'Team forecast'!$B$2:$AO$2,0))</f>
        <v>0.61375173050299947</v>
      </c>
      <c r="X377" s="5">
        <f t="shared" si="177"/>
        <v>-5000</v>
      </c>
      <c r="Y377" s="5">
        <f t="shared" si="178"/>
        <v>0</v>
      </c>
      <c r="Z377" s="5">
        <f t="shared" si="179"/>
        <v>0</v>
      </c>
      <c r="AA377" s="5">
        <f t="shared" si="180"/>
        <v>0</v>
      </c>
      <c r="AB377" s="5">
        <f t="shared" si="181"/>
        <v>0</v>
      </c>
      <c r="AC377" s="5">
        <f t="shared" si="182"/>
        <v>0</v>
      </c>
      <c r="AD377" s="5">
        <f t="shared" si="183"/>
        <v>0</v>
      </c>
      <c r="AE377" s="5">
        <f t="shared" si="184"/>
        <v>0</v>
      </c>
      <c r="AF377" s="5">
        <f t="shared" si="185"/>
        <v>0</v>
      </c>
      <c r="AG377" s="5">
        <f t="shared" si="186"/>
        <v>0</v>
      </c>
      <c r="AH377" s="5">
        <f t="shared" si="187"/>
        <v>0</v>
      </c>
      <c r="AI377" s="5">
        <f t="shared" si="188"/>
        <v>0</v>
      </c>
      <c r="AJ377" s="5">
        <f t="shared" si="189"/>
        <v>0</v>
      </c>
      <c r="AK377" s="5">
        <f>IFERROR(SUM(X377:AJ377),-5000)*((Cockpit!$C$3)^0)</f>
        <v>-5000</v>
      </c>
      <c r="AL377" s="16">
        <f>INDEX('Team forecast'!$B$2:$AO$26,MATCH('Master data'!$B377,'Team forecast'!$B$2:$B$26,0),MATCH('Master data'!AL$1,'Team forecast'!$B$2:$AO$2,0))</f>
        <v>1.2847203648825669</v>
      </c>
      <c r="AM377" s="16">
        <f>INDEX('Team forecast'!$B$2:$AO$26,MATCH('Master data'!$B377,'Team forecast'!$B$2:$B$26,0),MATCH('Master data'!AM$1,'Team forecast'!$B$2:$AO$2,0))</f>
        <v>1.0279287794501248</v>
      </c>
      <c r="AN377" s="16">
        <f>INDEX('Team forecast'!$B$2:$AO$26,MATCH('Master data'!$B377,'Team forecast'!$B$2:$B$26,0),MATCH('Master data'!AN$1,'Team forecast'!$B$2:$AO$2,0))</f>
        <v>0.35774716702311499</v>
      </c>
      <c r="AO377" s="16">
        <f>INDEX('Team forecast'!$B$2:$AO$26,MATCH('Master data'!$B377,'Team forecast'!$B$2:$B$26,0),MATCH('Master data'!AO$1,'Team forecast'!$B$2:$AO$2,0))</f>
        <v>3.4226519644581361</v>
      </c>
      <c r="AP377" s="16">
        <f>INDEX('Team forecast'!$B$2:$AO$26,MATCH('Master data'!$B377,'Team forecast'!$B$2:$B$26,0),MATCH('Master data'!AP$1,'Team forecast'!$B$2:$AO$2,0))</f>
        <v>2.5931839663400877</v>
      </c>
      <c r="AQ377" s="5">
        <f t="shared" si="190"/>
        <v>-5000</v>
      </c>
      <c r="AR377" s="5">
        <f>INDEX('Team forecast'!$B$2:$AO$26,MATCH('Master data'!$B377,'Team forecast'!$B$2:$B$26,0),MATCH('Master data'!AR$1,'Team forecast'!$B$2:$AO$2,0))*IF(X377&gt;0,25000,0)</f>
        <v>0</v>
      </c>
      <c r="AS377" s="16">
        <f>INDEX('Team forecast'!$B$2:$AO$26,MATCH('Master data'!$B377,'Team forecast'!$B$2:$B$26,0),MATCH('Master data'!AS$1,'Team forecast'!$B$2:$AO$2,0))*IF(X377&gt;0,5000,0)</f>
        <v>0</v>
      </c>
      <c r="AT377" s="16">
        <f>INDEX('Team forecast'!$B$2:$AO$26,MATCH('Master data'!$B377,'Team forecast'!$B$2:$B$26,0),MATCH('Master data'!AT$1,'Team forecast'!$B$2:$AO$2,0))*IF(X377&gt;0,-15000,0)</f>
        <v>0</v>
      </c>
      <c r="AU377" s="5">
        <f t="shared" si="191"/>
        <v>0</v>
      </c>
      <c r="AV377" s="5">
        <f t="shared" si="192"/>
        <v>0</v>
      </c>
      <c r="AW377" s="5">
        <f t="shared" si="193"/>
        <v>0</v>
      </c>
      <c r="AX377" s="5">
        <f t="shared" si="194"/>
        <v>0</v>
      </c>
      <c r="AY377" s="5">
        <f t="shared" si="195"/>
        <v>0</v>
      </c>
      <c r="AZ377" s="5">
        <f t="shared" si="196"/>
        <v>0</v>
      </c>
      <c r="BA377" s="5">
        <f t="shared" si="197"/>
        <v>0</v>
      </c>
      <c r="BB377" s="5">
        <f t="shared" si="198"/>
        <v>0</v>
      </c>
      <c r="BC377" s="5">
        <f t="shared" si="199"/>
        <v>0</v>
      </c>
      <c r="BD377" s="5">
        <f t="shared" si="200"/>
        <v>-5000</v>
      </c>
      <c r="BE377" s="16">
        <f>INDEX('Team forecast'!$B$2:$AO$26,MATCH('Master data'!$B377,'Team forecast'!$B$2:$B$26,0),MATCH('Master data'!BE$1,'Team forecast'!$B$2:$AO$2,0))</f>
        <v>1.2246875509143662</v>
      </c>
      <c r="BF377" s="16">
        <f>INDEX('Team forecast'!$B$2:$AO$26,MATCH('Master data'!$B377,'Team forecast'!$B$2:$B$26,0),MATCH('Master data'!BF$1,'Team forecast'!$B$2:$AO$2,0))</f>
        <v>1.3677883945550393</v>
      </c>
      <c r="BG377" s="16">
        <f>INDEX('Team forecast'!$B$2:$AO$26,MATCH('Master data'!$B377,'Team forecast'!$B$2:$B$26,0),MATCH('Master data'!BG$1,'Team forecast'!$B$2:$AO$2,0))</f>
        <v>0.25466956579034061</v>
      </c>
      <c r="BH377" s="16">
        <f>INDEX('Team forecast'!$B$2:$AO$26,MATCH('Master data'!$B377,'Team forecast'!$B$2:$B$26,0),MATCH('Master data'!BH$1,'Team forecast'!$B$2:$AO$2,0))</f>
        <v>3.2627172157947619</v>
      </c>
      <c r="BI377" s="16">
        <f>INDEX('Team forecast'!$B$2:$AO$26,MATCH('Master data'!$B377,'Team forecast'!$B$2:$B$26,0),MATCH('Master data'!BI$1,'Team forecast'!$B$2:$AO$2,0))</f>
        <v>3.4505570862638493</v>
      </c>
      <c r="BJ377" s="5">
        <f t="shared" si="201"/>
        <v>-5000</v>
      </c>
      <c r="BK377" s="5">
        <f>INDEX('Team forecast'!$R$3:$BH$26,MATCH($B377,'Team forecast'!$B$3:$B$26,0),MATCH(BK$1,'Team forecast'!$R$2:$BH$2,0))*IF($X377&gt;0,25000,0)</f>
        <v>0</v>
      </c>
      <c r="BL377" s="5">
        <f>INDEX('Team forecast'!$R$3:$BH$26,MATCH($B377,'Team forecast'!$B$3:$B$26,0),MATCH(BL$1,'Team forecast'!$R$2:$BH$2,0))*IF($X377&gt;0,5000,0)</f>
        <v>0</v>
      </c>
      <c r="BM377" s="5">
        <f>INDEX('Team forecast'!$R$3:$BH$26,MATCH($B377,'Team forecast'!$B$3:$B$26,0),MATCH(BM$1,'Team forecast'!$R$2:$BH$2,0))*IF($X377&gt;0,-15000,0)</f>
        <v>0</v>
      </c>
      <c r="BN377" s="5">
        <f t="shared" si="202"/>
        <v>0</v>
      </c>
      <c r="BO377" s="5">
        <f t="shared" si="203"/>
        <v>0</v>
      </c>
      <c r="BP377" s="5">
        <f t="shared" si="204"/>
        <v>0</v>
      </c>
      <c r="BQ377" s="5">
        <f t="shared" si="205"/>
        <v>0</v>
      </c>
      <c r="BR377" s="5">
        <f t="shared" si="206"/>
        <v>0</v>
      </c>
      <c r="BS377" s="5">
        <f t="shared" si="207"/>
        <v>0</v>
      </c>
      <c r="BT377" s="5">
        <f t="shared" si="208"/>
        <v>0</v>
      </c>
      <c r="BU377" s="5">
        <f t="shared" si="209"/>
        <v>0</v>
      </c>
      <c r="BV377" s="5">
        <f t="shared" si="210"/>
        <v>0</v>
      </c>
      <c r="BW377" s="5">
        <f t="shared" si="211"/>
        <v>-5000</v>
      </c>
      <c r="BX377" s="5">
        <f t="shared" si="212"/>
        <v>-5000</v>
      </c>
      <c r="BY377" s="5">
        <f t="shared" si="213"/>
        <v>-15000</v>
      </c>
      <c r="BZ377" s="5">
        <f>INDEX('Team forecast'!$R$3:$BH$26,MATCH($B377,'Team forecast'!$B$3:$B$26,0),MATCH(BZ$1,'Team forecast'!$R$2:$BH$2,0))*($BX377-(BY377+CH377)*0.01)</f>
        <v>-21057.665881013345</v>
      </c>
      <c r="CA377" s="5">
        <f>INDEX('Team forecast'!$R$3:$BH$26,MATCH($B377,'Team forecast'!$B$3:$B$26,0),MATCH(CA$1,'Team forecast'!$R$2:$BH$2,0))*($BX377-(BY377+BX377+CH377)*0.01)</f>
        <v>-10366.249010074413</v>
      </c>
      <c r="CB377" s="5">
        <f>INDEX('Team forecast'!$R$3:$BH$26,MATCH($B377,'Team forecast'!$B$3:$B$26,0),MATCH(CB$1,'Team forecast'!$R$2:$BH$2,0))*($BX377-(BY377+BX377*2+CH377)*0.01)</f>
        <v>-5037.0740921153138</v>
      </c>
      <c r="CC377" s="5">
        <f>INDEX('Team forecast'!$R$3:$BH$26,MATCH($B377,'Team forecast'!$B$3:$B$26,0),MATCH(CC$1,'Team forecast'!$R$2:$BH$2,0))*($BX377-(BY377+BX377*3+CH377)*0.01)</f>
        <v>-2336.4449803027901</v>
      </c>
      <c r="CD377" s="5">
        <f>+AK377+BD377*Cockpit!$C$3+BW377*Cockpit!$C$3^2+BZ377*Cockpit!$C$3^3+CA377*Cockpit!$C$3^4+CB377*Cockpit!$C$3^5+CC377*Cockpit!$C$3^6</f>
        <v>-19710.956487423933</v>
      </c>
      <c r="CE377" s="5"/>
      <c r="CF377" s="5"/>
      <c r="CG377" s="5">
        <v>0</v>
      </c>
      <c r="CH377" s="5">
        <f t="shared" si="214"/>
        <v>3000000</v>
      </c>
      <c r="CI377" s="5">
        <f t="shared" si="215"/>
        <v>3000000</v>
      </c>
      <c r="CJ377" s="1">
        <f t="shared" si="216"/>
        <v>-5.0000000000000001E-3</v>
      </c>
      <c r="CK377" s="5">
        <f>RANK(BY377,$BY$2:$BY$623)+COUNTIF($BY$2:$BY377,$BY377)-1</f>
        <v>534</v>
      </c>
      <c r="CL377" s="5">
        <f>RANK(CJ377,$CJ$2:$CJ$623)+COUNTIF($CJ$2:$CJ377,$CJ377)-1</f>
        <v>511</v>
      </c>
    </row>
    <row r="378" spans="1:90">
      <c r="A378" t="str">
        <f>Players!P379</f>
        <v>Kenan Karaman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3500000</v>
      </c>
      <c r="H378" s="16">
        <f>INDEX('Team forecast'!$B$2:$AO$26,MATCH('Master data'!$B378,'Team forecast'!$B$2:$B$26,0),MATCH('Master data'!H$1,'Team forecast'!$B$2:$AO$2,0))</f>
        <v>0.65422581624273402</v>
      </c>
      <c r="I378" s="16">
        <f>INDEX('Team forecast'!$B$2:$AO$26,MATCH('Master data'!$B378,'Team forecast'!$B$2:$B$26,0),MATCH('Master data'!I$1,'Team forecast'!$B$2:$AO$2,0))</f>
        <v>1.6593477618235051</v>
      </c>
      <c r="J378" s="16">
        <f>INDEX('Team forecast'!$B$2:$AO$26,MATCH('Master data'!$B378,'Team forecast'!$B$2:$B$26,0),MATCH('Master data'!J$1,'Team forecast'!$B$2:$AO$2,0))</f>
        <v>0.19026303645592979</v>
      </c>
      <c r="K378" s="16">
        <f>INDEX('Team forecast'!$B$2:$AO$26,MATCH('Master data'!$B378,'Team forecast'!$B$2:$B$26,0),MATCH('Master data'!K$1,'Team forecast'!$B$2:$AO$2,0))</f>
        <v>1.7429374799138486</v>
      </c>
      <c r="L378" s="16">
        <f>INDEX('Team forecast'!$B$2:$AO$26,MATCH('Master data'!$B378,'Team forecast'!$B$2:$B$26,0),MATCH('Master data'!L$1,'Team forecast'!$B$2:$AO$2,0))</f>
        <v>4.1860818536911157</v>
      </c>
      <c r="M378">
        <f>IF(Players!BC379=1,95,0)</f>
        <v>95</v>
      </c>
      <c r="N378" s="2">
        <f>Players!BN379</f>
        <v>0.13725384777729543</v>
      </c>
      <c r="O378" s="2">
        <f>Players!BO379</f>
        <v>5.0127196496795597E-2</v>
      </c>
      <c r="P378" s="2">
        <f>Players!BP379</f>
        <v>1.7409951090809166E-2</v>
      </c>
      <c r="Q378" s="2">
        <f>Players!BQ379</f>
        <v>0.17468718967229394</v>
      </c>
      <c r="R378" s="2">
        <f>Players!BR379</f>
        <v>0</v>
      </c>
      <c r="S378" s="2">
        <f t="shared" si="175"/>
        <v>0.65422581624273402</v>
      </c>
      <c r="T378" s="2">
        <f t="shared" si="176"/>
        <v>1.6593477618235051</v>
      </c>
      <c r="U378" s="16">
        <f>INDEX('Team forecast'!$B$2:$AO$26,MATCH('Master data'!$B378,'Team forecast'!$B$2:$B$26,0),MATCH('Master data'!U$1,'Team forecast'!$B$2:$AO$2,0))</f>
        <v>0.13590216889709281</v>
      </c>
      <c r="V378" s="16">
        <f>INDEX('Team forecast'!$B$2:$AO$26,MATCH('Master data'!$B378,'Team forecast'!$B$2:$B$26,0),MATCH('Master data'!V$1,'Team forecast'!$B$2:$AO$2,0))</f>
        <v>0.25034610059990769</v>
      </c>
      <c r="W378" s="16">
        <f>INDEX('Team forecast'!$B$2:$AO$26,MATCH('Master data'!$B378,'Team forecast'!$B$2:$B$26,0),MATCH('Master data'!W$1,'Team forecast'!$B$2:$AO$2,0))</f>
        <v>0.61375173050299947</v>
      </c>
      <c r="X378" s="5">
        <f t="shared" si="177"/>
        <v>7000</v>
      </c>
      <c r="Y378" s="5">
        <f t="shared" si="178"/>
        <v>3397.5542224273204</v>
      </c>
      <c r="Z378" s="5">
        <f t="shared" si="179"/>
        <v>1251.7305029995384</v>
      </c>
      <c r="AA378" s="5">
        <f t="shared" si="180"/>
        <v>-9206.2759575449927</v>
      </c>
      <c r="AB378" s="5">
        <f t="shared" si="181"/>
        <v>8979.5010594557061</v>
      </c>
      <c r="AC378" s="5">
        <f t="shared" si="182"/>
        <v>1639.7253022038008</v>
      </c>
      <c r="AD378" s="5">
        <f t="shared" si="183"/>
        <v>303.44456279638285</v>
      </c>
      <c r="AE378" s="5">
        <f t="shared" si="184"/>
        <v>0</v>
      </c>
      <c r="AF378" s="5">
        <f t="shared" si="185"/>
        <v>0</v>
      </c>
      <c r="AG378" s="5">
        <f t="shared" si="186"/>
        <v>-3493.7437934458785</v>
      </c>
      <c r="AH378" s="5">
        <f t="shared" si="187"/>
        <v>0</v>
      </c>
      <c r="AI378" s="5">
        <f t="shared" si="188"/>
        <v>6542.2581624273398</v>
      </c>
      <c r="AJ378" s="5">
        <f t="shared" si="189"/>
        <v>-13274.782094588041</v>
      </c>
      <c r="AK378" s="5">
        <f>IFERROR(SUM(X378:AJ378),-5000)*((Cockpit!$C$3)^0)</f>
        <v>3139.4119667311752</v>
      </c>
      <c r="AL378" s="16">
        <f>INDEX('Team forecast'!$B$2:$AO$26,MATCH('Master data'!$B378,'Team forecast'!$B$2:$B$26,0),MATCH('Master data'!AL$1,'Team forecast'!$B$2:$AO$2,0))</f>
        <v>1.2847203648825669</v>
      </c>
      <c r="AM378" s="16">
        <f>INDEX('Team forecast'!$B$2:$AO$26,MATCH('Master data'!$B378,'Team forecast'!$B$2:$B$26,0),MATCH('Master data'!AM$1,'Team forecast'!$B$2:$AO$2,0))</f>
        <v>1.0279287794501248</v>
      </c>
      <c r="AN378" s="16">
        <f>INDEX('Team forecast'!$B$2:$AO$26,MATCH('Master data'!$B378,'Team forecast'!$B$2:$B$26,0),MATCH('Master data'!AN$1,'Team forecast'!$B$2:$AO$2,0))</f>
        <v>0.35774716702311499</v>
      </c>
      <c r="AO378" s="16">
        <f>INDEX('Team forecast'!$B$2:$AO$26,MATCH('Master data'!$B378,'Team forecast'!$B$2:$B$26,0),MATCH('Master data'!AO$1,'Team forecast'!$B$2:$AO$2,0))</f>
        <v>3.4226519644581361</v>
      </c>
      <c r="AP378" s="16">
        <f>INDEX('Team forecast'!$B$2:$AO$26,MATCH('Master data'!$B378,'Team forecast'!$B$2:$B$26,0),MATCH('Master data'!AP$1,'Team forecast'!$B$2:$AO$2,0))</f>
        <v>2.5931839663400877</v>
      </c>
      <c r="AQ378" s="5">
        <f t="shared" si="190"/>
        <v>7000</v>
      </c>
      <c r="AR378" s="5">
        <f>INDEX('Team forecast'!$B$2:$AO$26,MATCH('Master data'!$B378,'Team forecast'!$B$2:$B$26,0),MATCH('Master data'!AR$1,'Team forecast'!$B$2:$AO$2,0))*IF(X378&gt;0,25000,0)</f>
        <v>10691.761923531732</v>
      </c>
      <c r="AS378" s="16">
        <f>INDEX('Team forecast'!$B$2:$AO$26,MATCH('Master data'!$B378,'Team forecast'!$B$2:$B$26,0),MATCH('Master data'!AS$1,'Team forecast'!$B$2:$AO$2,0))*IF(X378&gt;0,5000,0)</f>
        <v>1517.5404020496649</v>
      </c>
      <c r="AT378" s="16">
        <f>INDEX('Team forecast'!$B$2:$AO$26,MATCH('Master data'!$B378,'Team forecast'!$B$2:$B$26,0),MATCH('Master data'!AT$1,'Team forecast'!$B$2:$AO$2,0))*IF(X378&gt;0,-15000,0)</f>
        <v>-4032.3216397319688</v>
      </c>
      <c r="AU378" s="5">
        <f t="shared" si="191"/>
        <v>17633.28133979833</v>
      </c>
      <c r="AV378" s="5">
        <f t="shared" si="192"/>
        <v>3219.9715086951683</v>
      </c>
      <c r="AW378" s="5">
        <f t="shared" si="193"/>
        <v>595.88203302078068</v>
      </c>
      <c r="AX378" s="5">
        <f t="shared" si="194"/>
        <v>0</v>
      </c>
      <c r="AY378" s="5">
        <f t="shared" si="195"/>
        <v>0</v>
      </c>
      <c r="AZ378" s="5">
        <f t="shared" si="196"/>
        <v>-3493.7437934458785</v>
      </c>
      <c r="BA378" s="5">
        <f t="shared" si="197"/>
        <v>0</v>
      </c>
      <c r="BB378" s="5">
        <f t="shared" si="198"/>
        <v>12847.203648825669</v>
      </c>
      <c r="BC378" s="5">
        <f t="shared" si="199"/>
        <v>-8223.4302356009994</v>
      </c>
      <c r="BD378" s="5">
        <f t="shared" si="200"/>
        <v>37756.145187142502</v>
      </c>
      <c r="BE378" s="16">
        <f>INDEX('Team forecast'!$B$2:$AO$26,MATCH('Master data'!$B378,'Team forecast'!$B$2:$B$26,0),MATCH('Master data'!BE$1,'Team forecast'!$B$2:$AO$2,0))</f>
        <v>1.2246875509143662</v>
      </c>
      <c r="BF378" s="16">
        <f>INDEX('Team forecast'!$B$2:$AO$26,MATCH('Master data'!$B378,'Team forecast'!$B$2:$B$26,0),MATCH('Master data'!BF$1,'Team forecast'!$B$2:$AO$2,0))</f>
        <v>1.3677883945550393</v>
      </c>
      <c r="BG378" s="16">
        <f>INDEX('Team forecast'!$B$2:$AO$26,MATCH('Master data'!$B378,'Team forecast'!$B$2:$B$26,0),MATCH('Master data'!BG$1,'Team forecast'!$B$2:$AO$2,0))</f>
        <v>0.25466956579034061</v>
      </c>
      <c r="BH378" s="16">
        <f>INDEX('Team forecast'!$B$2:$AO$26,MATCH('Master data'!$B378,'Team forecast'!$B$2:$B$26,0),MATCH('Master data'!BH$1,'Team forecast'!$B$2:$AO$2,0))</f>
        <v>3.2627172157947619</v>
      </c>
      <c r="BI378" s="16">
        <f>INDEX('Team forecast'!$B$2:$AO$26,MATCH('Master data'!$B378,'Team forecast'!$B$2:$B$26,0),MATCH('Master data'!BI$1,'Team forecast'!$B$2:$AO$2,0))</f>
        <v>3.4505570862638493</v>
      </c>
      <c r="BJ378" s="5">
        <f t="shared" si="201"/>
        <v>7000</v>
      </c>
      <c r="BK378" s="5">
        <f>INDEX('Team forecast'!$R$3:$BH$26,MATCH($B378,'Team forecast'!$B$3:$B$26,0),MATCH(BK$1,'Team forecast'!$R$2:$BH$2,0))*IF($X378&gt;0,25000,0)</f>
        <v>8232.8523423601509</v>
      </c>
      <c r="BL378" s="5">
        <f>INDEX('Team forecast'!$R$3:$BH$26,MATCH($B378,'Team forecast'!$B$3:$B$26,0),MATCH(BL$1,'Team forecast'!$R$2:$BH$2,0))*IF($X378&gt;0,5000,0)</f>
        <v>1404.4277525202608</v>
      </c>
      <c r="BM378" s="5">
        <f>INDEX('Team forecast'!$R$3:$BH$26,MATCH($B378,'Team forecast'!$B$3:$B$26,0),MATCH(BM$1,'Team forecast'!$R$2:$BH$2,0))*IF($X378&gt;0,-15000,0)</f>
        <v>-5847.0053370231253</v>
      </c>
      <c r="BN378" s="5">
        <f t="shared" si="202"/>
        <v>16809.307868794916</v>
      </c>
      <c r="BO378" s="5">
        <f t="shared" si="203"/>
        <v>3069.5076755931896</v>
      </c>
      <c r="BP378" s="5">
        <f t="shared" si="204"/>
        <v>568.03747150127856</v>
      </c>
      <c r="BQ378" s="5">
        <f t="shared" si="205"/>
        <v>0</v>
      </c>
      <c r="BR378" s="5">
        <f t="shared" si="206"/>
        <v>0</v>
      </c>
      <c r="BS378" s="5">
        <f t="shared" si="207"/>
        <v>-3493.7437934458785</v>
      </c>
      <c r="BT378" s="5">
        <f t="shared" si="208"/>
        <v>0</v>
      </c>
      <c r="BU378" s="5">
        <f t="shared" si="209"/>
        <v>12246.875509143661</v>
      </c>
      <c r="BV378" s="5">
        <f t="shared" si="210"/>
        <v>-10942.307156440314</v>
      </c>
      <c r="BW378" s="5">
        <f t="shared" si="211"/>
        <v>29047.952333004141</v>
      </c>
      <c r="BX378" s="5">
        <f t="shared" si="212"/>
        <v>23314.503162292607</v>
      </c>
      <c r="BY378" s="5">
        <f t="shared" si="213"/>
        <v>69943.509486877825</v>
      </c>
      <c r="BZ378" s="5">
        <f>INDEX('Team forecast'!$R$3:$BH$26,MATCH($B378,'Team forecast'!$B$3:$B$26,0),MATCH(BZ$1,'Team forecast'!$R$2:$BH$2,0))*($BX378-(BY378+CH378)*0.01)</f>
        <v>-7483.4364015862811</v>
      </c>
      <c r="CA378" s="5">
        <f>INDEX('Team forecast'!$R$3:$BH$26,MATCH($B378,'Team forecast'!$B$3:$B$26,0),MATCH(CA$1,'Team forecast'!$R$2:$BH$2,0))*($BX378-(BY378+BX378+CH378)*0.01)</f>
        <v>-3758.6818344589565</v>
      </c>
      <c r="CB378" s="5">
        <f>INDEX('Team forecast'!$R$3:$BH$26,MATCH($B378,'Team forecast'!$B$3:$B$26,0),MATCH(CB$1,'Team forecast'!$R$2:$BH$2,0))*($BX378-(BY378+BX378*2+CH378)*0.01)</f>
        <v>-1862.8074062497137</v>
      </c>
      <c r="CC378" s="5">
        <f>INDEX('Team forecast'!$R$3:$BH$26,MATCH($B378,'Team forecast'!$B$3:$B$26,0),MATCH(CC$1,'Team forecast'!$R$2:$BH$2,0))*($BX378-(BY378+BX378*3+CH378)*0.01)</f>
        <v>-881.0058692136339</v>
      </c>
      <c r="CD378" s="5">
        <f>+AK378+BD378*Cockpit!$C$3+BW378*Cockpit!$C$3^2+BZ378*Cockpit!$C$3^3+CA378*Cockpit!$C$3^4+CB378*Cockpit!$C$3^5+CC378*Cockpit!$C$3^6</f>
        <v>37937.953507623126</v>
      </c>
      <c r="CE378" s="5"/>
      <c r="CF378" s="5"/>
      <c r="CG378" s="5">
        <v>0</v>
      </c>
      <c r="CH378" s="5">
        <f t="shared" si="214"/>
        <v>3500000</v>
      </c>
      <c r="CI378" s="5">
        <f t="shared" si="215"/>
        <v>3500000</v>
      </c>
      <c r="CJ378" s="1">
        <f t="shared" si="216"/>
        <v>1.9983859853393664E-2</v>
      </c>
      <c r="CK378" s="5">
        <f>RANK(BY378,$BY$2:$BY$623)+COUNTIF($BY$2:$BY378,$BY378)-1</f>
        <v>244</v>
      </c>
      <c r="CL378" s="5">
        <f>RANK(CJ378,$CJ$2:$CJ$623)+COUNTIF($CJ$2:$CJ378,$CJ378)-1</f>
        <v>262</v>
      </c>
    </row>
    <row r="379" spans="1:90">
      <c r="A379" t="str">
        <f>Players!P380</f>
        <v>Halil Dervişoğlu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2500000</v>
      </c>
      <c r="H379" s="16">
        <f>INDEX('Team forecast'!$B$2:$AO$26,MATCH('Master data'!$B379,'Team forecast'!$B$2:$B$26,0),MATCH('Master data'!H$1,'Team forecast'!$B$2:$AO$2,0))</f>
        <v>0.65422581624273402</v>
      </c>
      <c r="I379" s="16">
        <f>INDEX('Team forecast'!$B$2:$AO$26,MATCH('Master data'!$B379,'Team forecast'!$B$2:$B$26,0),MATCH('Master data'!I$1,'Team forecast'!$B$2:$AO$2,0))</f>
        <v>1.6593477618235051</v>
      </c>
      <c r="J379" s="16">
        <f>INDEX('Team forecast'!$B$2:$AO$26,MATCH('Master data'!$B379,'Team forecast'!$B$2:$B$26,0),MATCH('Master data'!J$1,'Team forecast'!$B$2:$AO$2,0))</f>
        <v>0.19026303645592979</v>
      </c>
      <c r="K379" s="16">
        <f>INDEX('Team forecast'!$B$2:$AO$26,MATCH('Master data'!$B379,'Team forecast'!$B$2:$B$26,0),MATCH('Master data'!K$1,'Team forecast'!$B$2:$AO$2,0))</f>
        <v>1.7429374799138486</v>
      </c>
      <c r="L379" s="16">
        <f>INDEX('Team forecast'!$B$2:$AO$26,MATCH('Master data'!$B379,'Team forecast'!$B$2:$B$26,0),MATCH('Master data'!L$1,'Team forecast'!$B$2:$AO$2,0))</f>
        <v>4.1860818536911157</v>
      </c>
      <c r="M379">
        <f>IF(Players!BC380=1,95,0)</f>
        <v>0</v>
      </c>
      <c r="N379" s="2">
        <f>Players!BN380</f>
        <v>0</v>
      </c>
      <c r="O379" s="2">
        <f>Players!BO380</f>
        <v>0</v>
      </c>
      <c r="P379" s="2">
        <f>Players!BP380</f>
        <v>0</v>
      </c>
      <c r="Q379" s="2">
        <f>Players!BQ380</f>
        <v>6.1475409836065573E-2</v>
      </c>
      <c r="R379" s="2">
        <f>Players!BR380</f>
        <v>0</v>
      </c>
      <c r="S379" s="2">
        <f t="shared" si="175"/>
        <v>0.65422581624273402</v>
      </c>
      <c r="T379" s="2">
        <f t="shared" si="176"/>
        <v>1.6593477618235051</v>
      </c>
      <c r="U379" s="16">
        <f>INDEX('Team forecast'!$B$2:$AO$26,MATCH('Master data'!$B379,'Team forecast'!$B$2:$B$26,0),MATCH('Master data'!U$1,'Team forecast'!$B$2:$AO$2,0))</f>
        <v>0.13590216889709281</v>
      </c>
      <c r="V379" s="16">
        <f>INDEX('Team forecast'!$B$2:$AO$26,MATCH('Master data'!$B379,'Team forecast'!$B$2:$B$26,0),MATCH('Master data'!V$1,'Team forecast'!$B$2:$AO$2,0))</f>
        <v>0.25034610059990769</v>
      </c>
      <c r="W379" s="16">
        <f>INDEX('Team forecast'!$B$2:$AO$26,MATCH('Master data'!$B379,'Team forecast'!$B$2:$B$26,0),MATCH('Master data'!W$1,'Team forecast'!$B$2:$AO$2,0))</f>
        <v>0.61375173050299947</v>
      </c>
      <c r="X379" s="5">
        <f t="shared" si="177"/>
        <v>-5000</v>
      </c>
      <c r="Y379" s="5">
        <f t="shared" si="178"/>
        <v>0</v>
      </c>
      <c r="Z379" s="5">
        <f t="shared" si="179"/>
        <v>0</v>
      </c>
      <c r="AA379" s="5">
        <f t="shared" si="180"/>
        <v>0</v>
      </c>
      <c r="AB379" s="5">
        <f t="shared" si="181"/>
        <v>0</v>
      </c>
      <c r="AC379" s="5">
        <f t="shared" si="182"/>
        <v>0</v>
      </c>
      <c r="AD379" s="5">
        <f t="shared" si="183"/>
        <v>0</v>
      </c>
      <c r="AE379" s="5">
        <f t="shared" si="184"/>
        <v>0</v>
      </c>
      <c r="AF379" s="5">
        <f t="shared" si="185"/>
        <v>0</v>
      </c>
      <c r="AG379" s="5">
        <f t="shared" si="186"/>
        <v>0</v>
      </c>
      <c r="AH379" s="5">
        <f t="shared" si="187"/>
        <v>0</v>
      </c>
      <c r="AI379" s="5">
        <f t="shared" si="188"/>
        <v>0</v>
      </c>
      <c r="AJ379" s="5">
        <f t="shared" si="189"/>
        <v>0</v>
      </c>
      <c r="AK379" s="5">
        <f>IFERROR(SUM(X379:AJ379),-5000)*((Cockpit!$C$3)^0)</f>
        <v>-5000</v>
      </c>
      <c r="AL379" s="16">
        <f>INDEX('Team forecast'!$B$2:$AO$26,MATCH('Master data'!$B379,'Team forecast'!$B$2:$B$26,0),MATCH('Master data'!AL$1,'Team forecast'!$B$2:$AO$2,0))</f>
        <v>1.2847203648825669</v>
      </c>
      <c r="AM379" s="16">
        <f>INDEX('Team forecast'!$B$2:$AO$26,MATCH('Master data'!$B379,'Team forecast'!$B$2:$B$26,0),MATCH('Master data'!AM$1,'Team forecast'!$B$2:$AO$2,0))</f>
        <v>1.0279287794501248</v>
      </c>
      <c r="AN379" s="16">
        <f>INDEX('Team forecast'!$B$2:$AO$26,MATCH('Master data'!$B379,'Team forecast'!$B$2:$B$26,0),MATCH('Master data'!AN$1,'Team forecast'!$B$2:$AO$2,0))</f>
        <v>0.35774716702311499</v>
      </c>
      <c r="AO379" s="16">
        <f>INDEX('Team forecast'!$B$2:$AO$26,MATCH('Master data'!$B379,'Team forecast'!$B$2:$B$26,0),MATCH('Master data'!AO$1,'Team forecast'!$B$2:$AO$2,0))</f>
        <v>3.4226519644581361</v>
      </c>
      <c r="AP379" s="16">
        <f>INDEX('Team forecast'!$B$2:$AO$26,MATCH('Master data'!$B379,'Team forecast'!$B$2:$B$26,0),MATCH('Master data'!AP$1,'Team forecast'!$B$2:$AO$2,0))</f>
        <v>2.5931839663400877</v>
      </c>
      <c r="AQ379" s="5">
        <f t="shared" si="190"/>
        <v>-5000</v>
      </c>
      <c r="AR379" s="5">
        <f>INDEX('Team forecast'!$B$2:$AO$26,MATCH('Master data'!$B379,'Team forecast'!$B$2:$B$26,0),MATCH('Master data'!AR$1,'Team forecast'!$B$2:$AO$2,0))*IF(X379&gt;0,25000,0)</f>
        <v>0</v>
      </c>
      <c r="AS379" s="16">
        <f>INDEX('Team forecast'!$B$2:$AO$26,MATCH('Master data'!$B379,'Team forecast'!$B$2:$B$26,0),MATCH('Master data'!AS$1,'Team forecast'!$B$2:$AO$2,0))*IF(X379&gt;0,5000,0)</f>
        <v>0</v>
      </c>
      <c r="AT379" s="16">
        <f>INDEX('Team forecast'!$B$2:$AO$26,MATCH('Master data'!$B379,'Team forecast'!$B$2:$B$26,0),MATCH('Master data'!AT$1,'Team forecast'!$B$2:$AO$2,0))*IF(X379&gt;0,-15000,0)</f>
        <v>0</v>
      </c>
      <c r="AU379" s="5">
        <f t="shared" si="191"/>
        <v>0</v>
      </c>
      <c r="AV379" s="5">
        <f t="shared" si="192"/>
        <v>0</v>
      </c>
      <c r="AW379" s="5">
        <f t="shared" si="193"/>
        <v>0</v>
      </c>
      <c r="AX379" s="5">
        <f t="shared" si="194"/>
        <v>0</v>
      </c>
      <c r="AY379" s="5">
        <f t="shared" si="195"/>
        <v>0</v>
      </c>
      <c r="AZ379" s="5">
        <f t="shared" si="196"/>
        <v>0</v>
      </c>
      <c r="BA379" s="5">
        <f t="shared" si="197"/>
        <v>0</v>
      </c>
      <c r="BB379" s="5">
        <f t="shared" si="198"/>
        <v>0</v>
      </c>
      <c r="BC379" s="5">
        <f t="shared" si="199"/>
        <v>0</v>
      </c>
      <c r="BD379" s="5">
        <f t="shared" si="200"/>
        <v>-5000</v>
      </c>
      <c r="BE379" s="16">
        <f>INDEX('Team forecast'!$B$2:$AO$26,MATCH('Master data'!$B379,'Team forecast'!$B$2:$B$26,0),MATCH('Master data'!BE$1,'Team forecast'!$B$2:$AO$2,0))</f>
        <v>1.2246875509143662</v>
      </c>
      <c r="BF379" s="16">
        <f>INDEX('Team forecast'!$B$2:$AO$26,MATCH('Master data'!$B379,'Team forecast'!$B$2:$B$26,0),MATCH('Master data'!BF$1,'Team forecast'!$B$2:$AO$2,0))</f>
        <v>1.3677883945550393</v>
      </c>
      <c r="BG379" s="16">
        <f>INDEX('Team forecast'!$B$2:$AO$26,MATCH('Master data'!$B379,'Team forecast'!$B$2:$B$26,0),MATCH('Master data'!BG$1,'Team forecast'!$B$2:$AO$2,0))</f>
        <v>0.25466956579034061</v>
      </c>
      <c r="BH379" s="16">
        <f>INDEX('Team forecast'!$B$2:$AO$26,MATCH('Master data'!$B379,'Team forecast'!$B$2:$B$26,0),MATCH('Master data'!BH$1,'Team forecast'!$B$2:$AO$2,0))</f>
        <v>3.2627172157947619</v>
      </c>
      <c r="BI379" s="16">
        <f>INDEX('Team forecast'!$B$2:$AO$26,MATCH('Master data'!$B379,'Team forecast'!$B$2:$B$26,0),MATCH('Master data'!BI$1,'Team forecast'!$B$2:$AO$2,0))</f>
        <v>3.4505570862638493</v>
      </c>
      <c r="BJ379" s="5">
        <f t="shared" si="201"/>
        <v>-5000</v>
      </c>
      <c r="BK379" s="5">
        <f>INDEX('Team forecast'!$R$3:$BH$26,MATCH($B379,'Team forecast'!$B$3:$B$26,0),MATCH(BK$1,'Team forecast'!$R$2:$BH$2,0))*IF($X379&gt;0,25000,0)</f>
        <v>0</v>
      </c>
      <c r="BL379" s="5">
        <f>INDEX('Team forecast'!$R$3:$BH$26,MATCH($B379,'Team forecast'!$B$3:$B$26,0),MATCH(BL$1,'Team forecast'!$R$2:$BH$2,0))*IF($X379&gt;0,5000,0)</f>
        <v>0</v>
      </c>
      <c r="BM379" s="5">
        <f>INDEX('Team forecast'!$R$3:$BH$26,MATCH($B379,'Team forecast'!$B$3:$B$26,0),MATCH(BM$1,'Team forecast'!$R$2:$BH$2,0))*IF($X379&gt;0,-15000,0)</f>
        <v>0</v>
      </c>
      <c r="BN379" s="5">
        <f t="shared" si="202"/>
        <v>0</v>
      </c>
      <c r="BO379" s="5">
        <f t="shared" si="203"/>
        <v>0</v>
      </c>
      <c r="BP379" s="5">
        <f t="shared" si="204"/>
        <v>0</v>
      </c>
      <c r="BQ379" s="5">
        <f t="shared" si="205"/>
        <v>0</v>
      </c>
      <c r="BR379" s="5">
        <f t="shared" si="206"/>
        <v>0</v>
      </c>
      <c r="BS379" s="5">
        <f t="shared" si="207"/>
        <v>0</v>
      </c>
      <c r="BT379" s="5">
        <f t="shared" si="208"/>
        <v>0</v>
      </c>
      <c r="BU379" s="5">
        <f t="shared" si="209"/>
        <v>0</v>
      </c>
      <c r="BV379" s="5">
        <f t="shared" si="210"/>
        <v>0</v>
      </c>
      <c r="BW379" s="5">
        <f t="shared" si="211"/>
        <v>-5000</v>
      </c>
      <c r="BX379" s="5">
        <f t="shared" si="212"/>
        <v>-5000</v>
      </c>
      <c r="BY379" s="5">
        <f t="shared" si="213"/>
        <v>-15000</v>
      </c>
      <c r="BZ379" s="5">
        <f>INDEX('Team forecast'!$R$3:$BH$26,MATCH($B379,'Team forecast'!$B$3:$B$26,0),MATCH(BZ$1,'Team forecast'!$R$2:$BH$2,0))*($BX379-(BY379+CH379)*0.01)</f>
        <v>-18036.47995834285</v>
      </c>
      <c r="CA379" s="5">
        <f>INDEX('Team forecast'!$R$3:$BH$26,MATCH($B379,'Team forecast'!$B$3:$B$26,0),MATCH(CA$1,'Team forecast'!$R$2:$BH$2,0))*($BX379-(BY379+BX379+CH379)*0.01)</f>
        <v>-8876.8454166729152</v>
      </c>
      <c r="CB379" s="5">
        <f>INDEX('Team forecast'!$R$3:$BH$26,MATCH($B379,'Team forecast'!$B$3:$B$26,0),MATCH(CB$1,'Team forecast'!$R$2:$BH$2,0))*($BX379-(BY379+BX379*2+CH379)*0.01)</f>
        <v>-4312.3152299404483</v>
      </c>
      <c r="CC379" s="5">
        <f>INDEX('Team forecast'!$R$3:$BH$26,MATCH($B379,'Team forecast'!$B$3:$B$26,0),MATCH(CC$1,'Team forecast'!$R$2:$BH$2,0))*($BX379-(BY379+BX379*3+CH379)*0.01)</f>
        <v>-1999.781438472417</v>
      </c>
      <c r="CD379" s="5">
        <f>+AK379+BD379*Cockpit!$C$3+BW379*Cockpit!$C$3^2+BZ379*Cockpit!$C$3^3+CA379*Cockpit!$C$3^4+CB379*Cockpit!$C$3^5+CC379*Cockpit!$C$3^6</f>
        <v>-18396.589417200921</v>
      </c>
      <c r="CE379" s="5"/>
      <c r="CF379" s="5"/>
      <c r="CG379" s="5">
        <v>0</v>
      </c>
      <c r="CH379" s="5">
        <f t="shared" si="214"/>
        <v>2500000</v>
      </c>
      <c r="CI379" s="5">
        <f t="shared" si="215"/>
        <v>2500000</v>
      </c>
      <c r="CJ379" s="1">
        <f t="shared" si="216"/>
        <v>-6.0000000000000001E-3</v>
      </c>
      <c r="CK379" s="5">
        <f>RANK(BY379,$BY$2:$BY$623)+COUNTIF($BY$2:$BY379,$BY379)-1</f>
        <v>535</v>
      </c>
      <c r="CL379" s="5">
        <f>RANK(CJ379,$CJ$2:$CJ$623)+COUNTIF($CJ$2:$CJ379,$CJ379)-1</f>
        <v>548</v>
      </c>
    </row>
    <row r="380" spans="1:90">
      <c r="A380" t="str">
        <f>Players!P381</f>
        <v>Burak B. Yilmaz</v>
      </c>
      <c r="B380" t="str">
        <f>Players!G381</f>
        <v>Turkey</v>
      </c>
      <c r="C380" t="str">
        <f>Players!AB381</f>
        <v>Striker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4000000</v>
      </c>
      <c r="H380" s="16">
        <f>INDEX('Team forecast'!$B$2:$AO$26,MATCH('Master data'!$B380,'Team forecast'!$B$2:$B$26,0),MATCH('Master data'!H$1,'Team forecast'!$B$2:$AO$2,0))</f>
        <v>0.65422581624273402</v>
      </c>
      <c r="I380" s="16">
        <f>INDEX('Team forecast'!$B$2:$AO$26,MATCH('Master data'!$B380,'Team forecast'!$B$2:$B$26,0),MATCH('Master data'!I$1,'Team forecast'!$B$2:$AO$2,0))</f>
        <v>1.6593477618235051</v>
      </c>
      <c r="J380" s="16">
        <f>INDEX('Team forecast'!$B$2:$AO$26,MATCH('Master data'!$B380,'Team forecast'!$B$2:$B$26,0),MATCH('Master data'!J$1,'Team forecast'!$B$2:$AO$2,0))</f>
        <v>0.19026303645592979</v>
      </c>
      <c r="K380" s="16">
        <f>INDEX('Team forecast'!$B$2:$AO$26,MATCH('Master data'!$B380,'Team forecast'!$B$2:$B$26,0),MATCH('Master data'!K$1,'Team forecast'!$B$2:$AO$2,0))</f>
        <v>1.7429374799138486</v>
      </c>
      <c r="L380" s="16">
        <f>INDEX('Team forecast'!$B$2:$AO$26,MATCH('Master data'!$B380,'Team forecast'!$B$2:$B$26,0),MATCH('Master data'!L$1,'Team forecast'!$B$2:$AO$2,0))</f>
        <v>4.1860818536911157</v>
      </c>
      <c r="M380">
        <f>IF(Players!BC381=1,95,0)</f>
        <v>95</v>
      </c>
      <c r="N380" s="2">
        <f>Players!BN381</f>
        <v>0.27095062390740815</v>
      </c>
      <c r="O380" s="2">
        <f>Players!BO381</f>
        <v>0.16192778175296244</v>
      </c>
      <c r="P380" s="2">
        <f>Players!BP381</f>
        <v>0.28166995360208347</v>
      </c>
      <c r="Q380" s="2">
        <f>Players!BQ381</f>
        <v>0.20145082765335931</v>
      </c>
      <c r="R380" s="2">
        <f>Players!BR381</f>
        <v>0</v>
      </c>
      <c r="S380" s="2">
        <f t="shared" si="175"/>
        <v>0.65422581624273402</v>
      </c>
      <c r="T380" s="2">
        <f t="shared" si="176"/>
        <v>1.6593477618235051</v>
      </c>
      <c r="U380" s="16">
        <f>INDEX('Team forecast'!$B$2:$AO$26,MATCH('Master data'!$B380,'Team forecast'!$B$2:$B$26,0),MATCH('Master data'!U$1,'Team forecast'!$B$2:$AO$2,0))</f>
        <v>0.13590216889709281</v>
      </c>
      <c r="V380" s="16">
        <f>INDEX('Team forecast'!$B$2:$AO$26,MATCH('Master data'!$B380,'Team forecast'!$B$2:$B$26,0),MATCH('Master data'!V$1,'Team forecast'!$B$2:$AO$2,0))</f>
        <v>0.25034610059990769</v>
      </c>
      <c r="W380" s="16">
        <f>INDEX('Team forecast'!$B$2:$AO$26,MATCH('Master data'!$B380,'Team forecast'!$B$2:$B$26,0),MATCH('Master data'!W$1,'Team forecast'!$B$2:$AO$2,0))</f>
        <v>0.61375173050299947</v>
      </c>
      <c r="X380" s="5">
        <f t="shared" si="177"/>
        <v>7000</v>
      </c>
      <c r="Y380" s="5">
        <f t="shared" si="178"/>
        <v>3397.5542224273204</v>
      </c>
      <c r="Z380" s="5">
        <f t="shared" si="179"/>
        <v>1251.7305029995384</v>
      </c>
      <c r="AA380" s="5">
        <f t="shared" si="180"/>
        <v>-9206.2759575449927</v>
      </c>
      <c r="AB380" s="5">
        <f t="shared" si="181"/>
        <v>17726.289308730215</v>
      </c>
      <c r="AC380" s="5">
        <f t="shared" si="182"/>
        <v>5296.8667594853569</v>
      </c>
      <c r="AD380" s="5">
        <f t="shared" si="183"/>
        <v>4909.3311909866607</v>
      </c>
      <c r="AE380" s="5">
        <f t="shared" si="184"/>
        <v>0</v>
      </c>
      <c r="AF380" s="5">
        <f t="shared" si="185"/>
        <v>0</v>
      </c>
      <c r="AG380" s="5">
        <f t="shared" si="186"/>
        <v>-4029.0165530671861</v>
      </c>
      <c r="AH380" s="5">
        <f t="shared" si="187"/>
        <v>0</v>
      </c>
      <c r="AI380" s="5">
        <f t="shared" si="188"/>
        <v>6542.2581624273398</v>
      </c>
      <c r="AJ380" s="5">
        <f t="shared" si="189"/>
        <v>-13274.782094588041</v>
      </c>
      <c r="AK380" s="5">
        <f>IFERROR(SUM(X380:AJ380),-5000)*((Cockpit!$C$3)^0)</f>
        <v>19613.955541856212</v>
      </c>
      <c r="AL380" s="16">
        <f>INDEX('Team forecast'!$B$2:$AO$26,MATCH('Master data'!$B380,'Team forecast'!$B$2:$B$26,0),MATCH('Master data'!AL$1,'Team forecast'!$B$2:$AO$2,0))</f>
        <v>1.2847203648825669</v>
      </c>
      <c r="AM380" s="16">
        <f>INDEX('Team forecast'!$B$2:$AO$26,MATCH('Master data'!$B380,'Team forecast'!$B$2:$B$26,0),MATCH('Master data'!AM$1,'Team forecast'!$B$2:$AO$2,0))</f>
        <v>1.0279287794501248</v>
      </c>
      <c r="AN380" s="16">
        <f>INDEX('Team forecast'!$B$2:$AO$26,MATCH('Master data'!$B380,'Team forecast'!$B$2:$B$26,0),MATCH('Master data'!AN$1,'Team forecast'!$B$2:$AO$2,0))</f>
        <v>0.35774716702311499</v>
      </c>
      <c r="AO380" s="16">
        <f>INDEX('Team forecast'!$B$2:$AO$26,MATCH('Master data'!$B380,'Team forecast'!$B$2:$B$26,0),MATCH('Master data'!AO$1,'Team forecast'!$B$2:$AO$2,0))</f>
        <v>3.4226519644581361</v>
      </c>
      <c r="AP380" s="16">
        <f>INDEX('Team forecast'!$B$2:$AO$26,MATCH('Master data'!$B380,'Team forecast'!$B$2:$B$26,0),MATCH('Master data'!AP$1,'Team forecast'!$B$2:$AO$2,0))</f>
        <v>2.5931839663400877</v>
      </c>
      <c r="AQ380" s="5">
        <f t="shared" si="190"/>
        <v>7000</v>
      </c>
      <c r="AR380" s="5">
        <f>INDEX('Team forecast'!$B$2:$AO$26,MATCH('Master data'!$B380,'Team forecast'!$B$2:$B$26,0),MATCH('Master data'!AR$1,'Team forecast'!$B$2:$AO$2,0))*IF(X380&gt;0,25000,0)</f>
        <v>10691.761923531732</v>
      </c>
      <c r="AS380" s="16">
        <f>INDEX('Team forecast'!$B$2:$AO$26,MATCH('Master data'!$B380,'Team forecast'!$B$2:$B$26,0),MATCH('Master data'!AS$1,'Team forecast'!$B$2:$AO$2,0))*IF(X380&gt;0,5000,0)</f>
        <v>1517.5404020496649</v>
      </c>
      <c r="AT380" s="16">
        <f>INDEX('Team forecast'!$B$2:$AO$26,MATCH('Master data'!$B380,'Team forecast'!$B$2:$B$26,0),MATCH('Master data'!AT$1,'Team forecast'!$B$2:$AO$2,0))*IF(X380&gt;0,-15000,0)</f>
        <v>-4032.3216397319688</v>
      </c>
      <c r="AU380" s="5">
        <f t="shared" si="191"/>
        <v>34809.578441148456</v>
      </c>
      <c r="AV380" s="5">
        <f t="shared" si="192"/>
        <v>10401.595942914528</v>
      </c>
      <c r="AW380" s="5">
        <f t="shared" si="193"/>
        <v>9640.5822002500299</v>
      </c>
      <c r="AX380" s="5">
        <f t="shared" si="194"/>
        <v>0</v>
      </c>
      <c r="AY380" s="5">
        <f t="shared" si="195"/>
        <v>0</v>
      </c>
      <c r="AZ380" s="5">
        <f t="shared" si="196"/>
        <v>-4029.0165530671861</v>
      </c>
      <c r="BA380" s="5">
        <f t="shared" si="197"/>
        <v>0</v>
      </c>
      <c r="BB380" s="5">
        <f t="shared" si="198"/>
        <v>12847.203648825669</v>
      </c>
      <c r="BC380" s="5">
        <f t="shared" si="199"/>
        <v>-8223.4302356009994</v>
      </c>
      <c r="BD380" s="5">
        <f t="shared" si="200"/>
        <v>70623.49413031993</v>
      </c>
      <c r="BE380" s="16">
        <f>INDEX('Team forecast'!$B$2:$AO$26,MATCH('Master data'!$B380,'Team forecast'!$B$2:$B$26,0),MATCH('Master data'!BE$1,'Team forecast'!$B$2:$AO$2,0))</f>
        <v>1.2246875509143662</v>
      </c>
      <c r="BF380" s="16">
        <f>INDEX('Team forecast'!$B$2:$AO$26,MATCH('Master data'!$B380,'Team forecast'!$B$2:$B$26,0),MATCH('Master data'!BF$1,'Team forecast'!$B$2:$AO$2,0))</f>
        <v>1.3677883945550393</v>
      </c>
      <c r="BG380" s="16">
        <f>INDEX('Team forecast'!$B$2:$AO$26,MATCH('Master data'!$B380,'Team forecast'!$B$2:$B$26,0),MATCH('Master data'!BG$1,'Team forecast'!$B$2:$AO$2,0))</f>
        <v>0.25466956579034061</v>
      </c>
      <c r="BH380" s="16">
        <f>INDEX('Team forecast'!$B$2:$AO$26,MATCH('Master data'!$B380,'Team forecast'!$B$2:$B$26,0),MATCH('Master data'!BH$1,'Team forecast'!$B$2:$AO$2,0))</f>
        <v>3.2627172157947619</v>
      </c>
      <c r="BI380" s="16">
        <f>INDEX('Team forecast'!$B$2:$AO$26,MATCH('Master data'!$B380,'Team forecast'!$B$2:$B$26,0),MATCH('Master data'!BI$1,'Team forecast'!$B$2:$AO$2,0))</f>
        <v>3.4505570862638493</v>
      </c>
      <c r="BJ380" s="5">
        <f t="shared" si="201"/>
        <v>7000</v>
      </c>
      <c r="BK380" s="5">
        <f>INDEX('Team forecast'!$R$3:$BH$26,MATCH($B380,'Team forecast'!$B$3:$B$26,0),MATCH(BK$1,'Team forecast'!$R$2:$BH$2,0))*IF($X380&gt;0,25000,0)</f>
        <v>8232.8523423601509</v>
      </c>
      <c r="BL380" s="5">
        <f>INDEX('Team forecast'!$R$3:$BH$26,MATCH($B380,'Team forecast'!$B$3:$B$26,0),MATCH(BL$1,'Team forecast'!$R$2:$BH$2,0))*IF($X380&gt;0,5000,0)</f>
        <v>1404.4277525202608</v>
      </c>
      <c r="BM380" s="5">
        <f>INDEX('Team forecast'!$R$3:$BH$26,MATCH($B380,'Team forecast'!$B$3:$B$26,0),MATCH(BM$1,'Team forecast'!$R$2:$BH$2,0))*IF($X380&gt;0,-15000,0)</f>
        <v>-5847.0053370231253</v>
      </c>
      <c r="BN380" s="5">
        <f t="shared" si="202"/>
        <v>33182.985601188324</v>
      </c>
      <c r="BO380" s="5">
        <f t="shared" si="203"/>
        <v>9915.5469230015788</v>
      </c>
      <c r="BP380" s="5">
        <f t="shared" si="204"/>
        <v>9190.0940678962943</v>
      </c>
      <c r="BQ380" s="5">
        <f t="shared" si="205"/>
        <v>0</v>
      </c>
      <c r="BR380" s="5">
        <f t="shared" si="206"/>
        <v>0</v>
      </c>
      <c r="BS380" s="5">
        <f t="shared" si="207"/>
        <v>-4029.0165530671861</v>
      </c>
      <c r="BT380" s="5">
        <f t="shared" si="208"/>
        <v>0</v>
      </c>
      <c r="BU380" s="5">
        <f t="shared" si="209"/>
        <v>12246.875509143661</v>
      </c>
      <c r="BV380" s="5">
        <f t="shared" si="210"/>
        <v>-10942.307156440314</v>
      </c>
      <c r="BW380" s="5">
        <f t="shared" si="211"/>
        <v>60354.453149579647</v>
      </c>
      <c r="BX380" s="5">
        <f t="shared" si="212"/>
        <v>50197.300940585264</v>
      </c>
      <c r="BY380" s="5">
        <f t="shared" si="213"/>
        <v>150591.90282175579</v>
      </c>
      <c r="BZ380" s="5">
        <f>INDEX('Team forecast'!$R$3:$BH$26,MATCH($B380,'Team forecast'!$B$3:$B$26,0),MATCH(BZ$1,'Team forecast'!$R$2:$BH$2,0))*($BX380-(BY380+CH380)*0.01)</f>
        <v>5251.6561364396521</v>
      </c>
      <c r="CA380" s="5">
        <f>INDEX('Team forecast'!$R$3:$BH$26,MATCH($B380,'Team forecast'!$B$3:$B$26,0),MATCH(CA$1,'Team forecast'!$R$2:$BH$2,0))*($BX380-(BY380+BX380+CH380)*0.01)</f>
        <v>2439.4670095811157</v>
      </c>
      <c r="CB380" s="5">
        <f>INDEX('Team forecast'!$R$3:$BH$26,MATCH($B380,'Team forecast'!$B$3:$B$26,0),MATCH(CB$1,'Team forecast'!$R$2:$BH$2,0))*($BX380-(BY380+BX380*2+CH380)*0.01)</f>
        <v>1114.3074582511722</v>
      </c>
      <c r="CC380" s="5">
        <f>INDEX('Team forecast'!$R$3:$BH$26,MATCH($B380,'Team forecast'!$B$3:$B$26,0),MATCH(CC$1,'Team forecast'!$R$2:$BH$2,0))*($BX380-(BY380+BX380*3+CH380)*0.01)</f>
        <v>483.81667685373549</v>
      </c>
      <c r="CD380" s="5">
        <f>+AK380+BD380*Cockpit!$C$3+BW380*Cockpit!$C$3^2+BZ380*Cockpit!$C$3^3+CA380*Cockpit!$C$3^4+CB380*Cockpit!$C$3^5+CC380*Cockpit!$C$3^6</f>
        <v>95747.617717385278</v>
      </c>
      <c r="CE380" s="5"/>
      <c r="CF380" s="5"/>
      <c r="CG380" s="5">
        <v>0</v>
      </c>
      <c r="CH380" s="5">
        <f t="shared" si="214"/>
        <v>4000000</v>
      </c>
      <c r="CI380" s="5">
        <f t="shared" si="215"/>
        <v>4000000</v>
      </c>
      <c r="CJ380" s="1">
        <f t="shared" si="216"/>
        <v>3.764797570543895E-2</v>
      </c>
      <c r="CK380" s="5">
        <f>RANK(BY380,$BY$2:$BY$623)+COUNTIF($BY$2:$BY380,$BY380)-1</f>
        <v>97</v>
      </c>
      <c r="CL380" s="5">
        <f>RANK(CJ380,$CJ$2:$CJ$623)+COUNTIF($CJ$2:$CJ380,$CJ380)-1</f>
        <v>86</v>
      </c>
    </row>
    <row r="381" spans="1:90">
      <c r="A381" t="str">
        <f>Players!P382</f>
        <v>Matvei Safonov</v>
      </c>
      <c r="B381" t="str">
        <f>Players!G382</f>
        <v>Russia</v>
      </c>
      <c r="C381" t="str">
        <f>Players!AB382</f>
        <v>Goalkeeper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0.84461095835632183</v>
      </c>
      <c r="I381" s="16">
        <f>INDEX('Team forecast'!$B$2:$AO$26,MATCH('Master data'!$B381,'Team forecast'!$B$2:$B$26,0),MATCH('Master data'!I$1,'Team forecast'!$B$2:$AO$2,0))</f>
        <v>1.5602309947683257</v>
      </c>
      <c r="J381" s="16">
        <f>INDEX('Team forecast'!$B$2:$AO$26,MATCH('Master data'!$B381,'Team forecast'!$B$2:$B$26,0),MATCH('Master data'!J$1,'Team forecast'!$B$2:$AO$2,0))</f>
        <v>0.21008753647353071</v>
      </c>
      <c r="K381" s="16">
        <f>INDEX('Team forecast'!$B$2:$AO$26,MATCH('Master data'!$B381,'Team forecast'!$B$2:$B$26,0),MATCH('Master data'!K$1,'Team forecast'!$B$2:$AO$2,0))</f>
        <v>2.876402354682019</v>
      </c>
      <c r="L381" s="16">
        <f>INDEX('Team forecast'!$B$2:$AO$26,MATCH('Master data'!$B381,'Team forecast'!$B$2:$B$26,0),MATCH('Master data'!L$1,'Team forecast'!$B$2:$AO$2,0))</f>
        <v>4.4253824578883423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</v>
      </c>
      <c r="R381" s="2">
        <f>Players!BR382</f>
        <v>0</v>
      </c>
      <c r="S381" s="2">
        <f t="shared" si="175"/>
        <v>0.84461095835632183</v>
      </c>
      <c r="T381" s="2">
        <f t="shared" si="176"/>
        <v>1.5602309947683257</v>
      </c>
      <c r="U381" s="16">
        <f>INDEX('Team forecast'!$B$2:$AO$26,MATCH('Master data'!$B381,'Team forecast'!$B$2:$B$26,0),MATCH('Master data'!U$1,'Team forecast'!$B$2:$AO$2,0))</f>
        <v>0.18007503126302629</v>
      </c>
      <c r="V381" s="16">
        <f>INDEX('Team forecast'!$B$2:$AO$26,MATCH('Master data'!$B381,'Team forecast'!$B$2:$B$26,0),MATCH('Master data'!V$1,'Team forecast'!$B$2:$AO$2,0))</f>
        <v>0.23634847853272201</v>
      </c>
      <c r="W381" s="16">
        <f>INDEX('Team forecast'!$B$2:$AO$26,MATCH('Master data'!$B381,'Team forecast'!$B$2:$B$26,0),MATCH('Master data'!W$1,'Team forecast'!$B$2:$AO$2,0))</f>
        <v>0.58357649020425184</v>
      </c>
      <c r="X381" s="5">
        <f t="shared" si="177"/>
        <v>-5000</v>
      </c>
      <c r="Y381" s="5">
        <f t="shared" si="178"/>
        <v>0</v>
      </c>
      <c r="Z381" s="5">
        <f t="shared" si="179"/>
        <v>0</v>
      </c>
      <c r="AA381" s="5">
        <f t="shared" si="180"/>
        <v>0</v>
      </c>
      <c r="AB381" s="5">
        <f t="shared" si="181"/>
        <v>0</v>
      </c>
      <c r="AC381" s="5">
        <f t="shared" si="182"/>
        <v>0</v>
      </c>
      <c r="AD381" s="5">
        <f t="shared" si="183"/>
        <v>0</v>
      </c>
      <c r="AE381" s="5">
        <f t="shared" si="184"/>
        <v>15756.565235514803</v>
      </c>
      <c r="AF381" s="5">
        <f t="shared" si="185"/>
        <v>14325.757315600084</v>
      </c>
      <c r="AG381" s="5">
        <f t="shared" si="186"/>
        <v>0</v>
      </c>
      <c r="AH381" s="5">
        <f t="shared" si="187"/>
        <v>0</v>
      </c>
      <c r="AI381" s="5">
        <f t="shared" si="188"/>
        <v>0</v>
      </c>
      <c r="AJ381" s="5">
        <f t="shared" si="189"/>
        <v>0</v>
      </c>
      <c r="AK381" s="5">
        <f>IFERROR(SUM(X381:AJ381),-5000)*((Cockpit!$C$3)^0)</f>
        <v>25082.322551114885</v>
      </c>
      <c r="AL381" s="16">
        <f>INDEX('Team forecast'!$B$2:$AO$26,MATCH('Master data'!$B381,'Team forecast'!$B$2:$B$26,0),MATCH('Master data'!AL$1,'Team forecast'!$B$2:$AO$2,0))</f>
        <v>1.5687475343836428</v>
      </c>
      <c r="AM381" s="16">
        <f>INDEX('Team forecast'!$B$2:$AO$26,MATCH('Master data'!$B381,'Team forecast'!$B$2:$B$26,0),MATCH('Master data'!AM$1,'Team forecast'!$B$2:$AO$2,0))</f>
        <v>0.75781731816731412</v>
      </c>
      <c r="AN381" s="16">
        <f>INDEX('Team forecast'!$B$2:$AO$26,MATCH('Master data'!$B381,'Team forecast'!$B$2:$B$26,0),MATCH('Master data'!AN$1,'Team forecast'!$B$2:$AO$2,0))</f>
        <v>0.46868830883965779</v>
      </c>
      <c r="AO381" s="16">
        <f>INDEX('Team forecast'!$B$2:$AO$26,MATCH('Master data'!$B381,'Team forecast'!$B$2:$B$26,0),MATCH('Master data'!AO$1,'Team forecast'!$B$2:$AO$2,0))</f>
        <v>5.3425178268869509</v>
      </c>
      <c r="AP381" s="16">
        <f>INDEX('Team forecast'!$B$2:$AO$26,MATCH('Master data'!$B381,'Team forecast'!$B$2:$B$26,0),MATCH('Master data'!AP$1,'Team forecast'!$B$2:$AO$2,0))</f>
        <v>2.1494454842563817</v>
      </c>
      <c r="AQ381" s="5">
        <f t="shared" si="190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191"/>
        <v>0</v>
      </c>
      <c r="AV381" s="5">
        <f t="shared" si="192"/>
        <v>0</v>
      </c>
      <c r="AW381" s="5">
        <f t="shared" si="193"/>
        <v>0</v>
      </c>
      <c r="AX381" s="5">
        <f t="shared" si="194"/>
        <v>35151.623162974334</v>
      </c>
      <c r="AY381" s="5">
        <f t="shared" si="195"/>
        <v>6958.1408304453389</v>
      </c>
      <c r="AZ381" s="5">
        <f t="shared" si="196"/>
        <v>0</v>
      </c>
      <c r="BA381" s="5">
        <f t="shared" si="197"/>
        <v>0</v>
      </c>
      <c r="BB381" s="5">
        <f t="shared" si="198"/>
        <v>0</v>
      </c>
      <c r="BC381" s="5">
        <f t="shared" si="199"/>
        <v>0</v>
      </c>
      <c r="BD381" s="5">
        <f t="shared" si="200"/>
        <v>37109.76399341967</v>
      </c>
      <c r="BE381" s="16">
        <f>INDEX('Team forecast'!$B$2:$AO$26,MATCH('Master data'!$B381,'Team forecast'!$B$2:$B$26,0),MATCH('Master data'!BE$1,'Team forecast'!$B$2:$AO$2,0))</f>
        <v>0.95602347631827322</v>
      </c>
      <c r="BF381" s="16">
        <f>INDEX('Team forecast'!$B$2:$AO$26,MATCH('Master data'!$B381,'Team forecast'!$B$2:$B$26,0),MATCH('Master data'!BF$1,'Team forecast'!$B$2:$AO$2,0))</f>
        <v>1.5053002864585165</v>
      </c>
      <c r="BG381" s="16">
        <f>INDEX('Team forecast'!$B$2:$AO$26,MATCH('Master data'!$B381,'Team forecast'!$B$2:$B$26,0),MATCH('Master data'!BG$1,'Team forecast'!$B$2:$AO$2,0))</f>
        <v>0.22195063505392029</v>
      </c>
      <c r="BH381" s="16">
        <f>INDEX('Team forecast'!$B$2:$AO$26,MATCH('Master data'!$B381,'Team forecast'!$B$2:$B$26,0),MATCH('Master data'!BH$1,'Team forecast'!$B$2:$AO$2,0))</f>
        <v>3.2558282025664269</v>
      </c>
      <c r="BI381" s="16">
        <f>INDEX('Team forecast'!$B$2:$AO$26,MATCH('Master data'!$B381,'Team forecast'!$B$2:$B$26,0),MATCH('Master data'!BI$1,'Team forecast'!$B$2:$AO$2,0))</f>
        <v>4.2695789943187012</v>
      </c>
      <c r="BJ381" s="5">
        <f t="shared" si="201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202"/>
        <v>0</v>
      </c>
      <c r="BO381" s="5">
        <f t="shared" si="203"/>
        <v>0</v>
      </c>
      <c r="BP381" s="5">
        <f t="shared" si="204"/>
        <v>0</v>
      </c>
      <c r="BQ381" s="5">
        <f t="shared" si="205"/>
        <v>16646.29762904402</v>
      </c>
      <c r="BR381" s="5">
        <f t="shared" si="206"/>
        <v>13821.393539300923</v>
      </c>
      <c r="BS381" s="5">
        <f t="shared" si="207"/>
        <v>0</v>
      </c>
      <c r="BT381" s="5">
        <f t="shared" si="208"/>
        <v>0</v>
      </c>
      <c r="BU381" s="5">
        <f t="shared" si="209"/>
        <v>0</v>
      </c>
      <c r="BV381" s="5">
        <f t="shared" si="210"/>
        <v>0</v>
      </c>
      <c r="BW381" s="5">
        <f t="shared" si="211"/>
        <v>25467.691168344943</v>
      </c>
      <c r="BX381" s="5">
        <f t="shared" si="212"/>
        <v>29219.925904293166</v>
      </c>
      <c r="BY381" s="5">
        <f t="shared" si="213"/>
        <v>87659.777712879499</v>
      </c>
      <c r="BZ381" s="5">
        <f>INDEX('Team forecast'!$R$3:$BH$26,MATCH($B381,'Team forecast'!$B$3:$B$26,0),MATCH(BZ$1,'Team forecast'!$R$2:$BH$2,0))*($BX381-(BY381+CH381)*0.01)</f>
        <v>-1064.3786182744166</v>
      </c>
      <c r="CA381" s="5">
        <f>INDEX('Team forecast'!$R$3:$BH$26,MATCH($B381,'Team forecast'!$B$3:$B$26,0),MATCH(CA$1,'Team forecast'!$R$2:$BH$2,0))*($BX381-(BY381+BX381+CH381)*0.01)</f>
        <v>-614.60938904416992</v>
      </c>
      <c r="CB381" s="5">
        <f>INDEX('Team forecast'!$R$3:$BH$26,MATCH($B381,'Team forecast'!$B$3:$B$26,0),MATCH(CB$1,'Team forecast'!$R$2:$BH$2,0))*($BX381-(BY381+BX381*2+CH381)*0.01)</f>
        <v>-340.99177412985512</v>
      </c>
      <c r="CC381" s="5">
        <f>INDEX('Team forecast'!$R$3:$BH$26,MATCH($B381,'Team forecast'!$B$3:$B$26,0),MATCH(CC$1,'Team forecast'!$R$2:$BH$2,0))*($BX381-(BY381+BX381*3+CH381)*0.01)</f>
        <v>-174.66917786550894</v>
      </c>
      <c r="CD381" s="5">
        <f>+AK381+BD381*Cockpit!$C$3+BW381*Cockpit!$C$3^2+BZ381*Cockpit!$C$3^3+CA381*Cockpit!$C$3^4+CB381*Cockpit!$C$3^5+CC381*Cockpit!$C$3^6</f>
        <v>60644.124564936865</v>
      </c>
      <c r="CE381" s="5"/>
      <c r="CF381" s="5"/>
      <c r="CG381" s="5">
        <v>0</v>
      </c>
      <c r="CH381" s="5">
        <f t="shared" si="214"/>
        <v>3000000</v>
      </c>
      <c r="CI381" s="5">
        <f t="shared" si="215"/>
        <v>3000000</v>
      </c>
      <c r="CJ381" s="1">
        <f t="shared" si="216"/>
        <v>2.9219925904293165E-2</v>
      </c>
      <c r="CK381" s="5">
        <f>RANK(BY381,$BY$2:$BY$623)+COUNTIF($BY$2:$BY381,$BY381)-1</f>
        <v>196</v>
      </c>
      <c r="CL381" s="5">
        <f>RANK(CJ381,$CJ$2:$CJ$623)+COUNTIF($CJ$2:$CJ381,$CJ381)-1</f>
        <v>152</v>
      </c>
    </row>
    <row r="382" spans="1:90">
      <c r="A382" t="str">
        <f>Players!P383</f>
        <v>Fedor Kudryashov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3000000</v>
      </c>
      <c r="H382" s="16">
        <f>INDEX('Team forecast'!$B$2:$AO$26,MATCH('Master data'!$B382,'Team forecast'!$B$2:$B$26,0),MATCH('Master data'!H$1,'Team forecast'!$B$2:$AO$2,0))</f>
        <v>0.84461095835632183</v>
      </c>
      <c r="I382" s="16">
        <f>INDEX('Team forecast'!$B$2:$AO$26,MATCH('Master data'!$B382,'Team forecast'!$B$2:$B$26,0),MATCH('Master data'!I$1,'Team forecast'!$B$2:$AO$2,0))</f>
        <v>1.5602309947683257</v>
      </c>
      <c r="J382" s="16">
        <f>INDEX('Team forecast'!$B$2:$AO$26,MATCH('Master data'!$B382,'Team forecast'!$B$2:$B$26,0),MATCH('Master data'!J$1,'Team forecast'!$B$2:$AO$2,0))</f>
        <v>0.21008753647353071</v>
      </c>
      <c r="K382" s="16">
        <f>INDEX('Team forecast'!$B$2:$AO$26,MATCH('Master data'!$B382,'Team forecast'!$B$2:$B$26,0),MATCH('Master data'!K$1,'Team forecast'!$B$2:$AO$2,0))</f>
        <v>2.876402354682019</v>
      </c>
      <c r="L382" s="16">
        <f>INDEX('Team forecast'!$B$2:$AO$26,MATCH('Master data'!$B382,'Team forecast'!$B$2:$B$26,0),MATCH('Master data'!L$1,'Team forecast'!$B$2:$AO$2,0))</f>
        <v>4.4253824578883423</v>
      </c>
      <c r="M382">
        <f>IF(Players!BC383=1,95,0)</f>
        <v>95</v>
      </c>
      <c r="N382" s="2">
        <f>Players!BN383</f>
        <v>3.454125814859265E-2</v>
      </c>
      <c r="O382" s="2">
        <f>Players!BO383</f>
        <v>3.3913795684391679E-2</v>
      </c>
      <c r="P382" s="2">
        <f>Players!BP383</f>
        <v>2.2931556840815714E-2</v>
      </c>
      <c r="Q382" s="2">
        <f>Players!BQ383</f>
        <v>0.1232688927943761</v>
      </c>
      <c r="R382" s="2">
        <f>Players!BR383</f>
        <v>0</v>
      </c>
      <c r="S382" s="2">
        <f t="shared" si="175"/>
        <v>0.84461095835632183</v>
      </c>
      <c r="T382" s="2">
        <f t="shared" si="176"/>
        <v>1.5602309947683257</v>
      </c>
      <c r="U382" s="16">
        <f>INDEX('Team forecast'!$B$2:$AO$26,MATCH('Master data'!$B382,'Team forecast'!$B$2:$B$26,0),MATCH('Master data'!U$1,'Team forecast'!$B$2:$AO$2,0))</f>
        <v>0.18007503126302629</v>
      </c>
      <c r="V382" s="16">
        <f>INDEX('Team forecast'!$B$2:$AO$26,MATCH('Master data'!$B382,'Team forecast'!$B$2:$B$26,0),MATCH('Master data'!V$1,'Team forecast'!$B$2:$AO$2,0))</f>
        <v>0.23634847853272201</v>
      </c>
      <c r="W382" s="16">
        <f>INDEX('Team forecast'!$B$2:$AO$26,MATCH('Master data'!$B382,'Team forecast'!$B$2:$B$26,0),MATCH('Master data'!W$1,'Team forecast'!$B$2:$AO$2,0))</f>
        <v>0.58357649020425184</v>
      </c>
      <c r="X382" s="5">
        <f t="shared" si="177"/>
        <v>7000</v>
      </c>
      <c r="Y382" s="5">
        <f t="shared" si="178"/>
        <v>4501.8757815756571</v>
      </c>
      <c r="Z382" s="5">
        <f t="shared" si="179"/>
        <v>1181.74239266361</v>
      </c>
      <c r="AA382" s="5">
        <f t="shared" si="180"/>
        <v>-8753.6473530637777</v>
      </c>
      <c r="AB382" s="5">
        <f t="shared" si="181"/>
        <v>4376.0887721573918</v>
      </c>
      <c r="AC382" s="5">
        <f t="shared" si="182"/>
        <v>1432.1981737247274</v>
      </c>
      <c r="AD382" s="5">
        <f t="shared" si="183"/>
        <v>659.60384093446885</v>
      </c>
      <c r="AE382" s="5">
        <f t="shared" si="184"/>
        <v>10504.376823676535</v>
      </c>
      <c r="AF382" s="5">
        <f t="shared" si="185"/>
        <v>0</v>
      </c>
      <c r="AG382" s="5">
        <f t="shared" si="186"/>
        <v>-2465.3778558875219</v>
      </c>
      <c r="AH382" s="5">
        <f t="shared" si="187"/>
        <v>0</v>
      </c>
      <c r="AI382" s="5">
        <f t="shared" si="188"/>
        <v>8446.1095835632186</v>
      </c>
      <c r="AJ382" s="5">
        <f t="shared" si="189"/>
        <v>-12481.847958146605</v>
      </c>
      <c r="AK382" s="5">
        <f>IFERROR(SUM(X382:AJ382),-5000)*((Cockpit!$C$3)^0)</f>
        <v>14401.122201197708</v>
      </c>
      <c r="AL382" s="16">
        <f>INDEX('Team forecast'!$B$2:$AO$26,MATCH('Master data'!$B382,'Team forecast'!$B$2:$B$26,0),MATCH('Master data'!AL$1,'Team forecast'!$B$2:$AO$2,0))</f>
        <v>1.5687475343836428</v>
      </c>
      <c r="AM382" s="16">
        <f>INDEX('Team forecast'!$B$2:$AO$26,MATCH('Master data'!$B382,'Team forecast'!$B$2:$B$26,0),MATCH('Master data'!AM$1,'Team forecast'!$B$2:$AO$2,0))</f>
        <v>0.75781731816731412</v>
      </c>
      <c r="AN382" s="16">
        <f>INDEX('Team forecast'!$B$2:$AO$26,MATCH('Master data'!$B382,'Team forecast'!$B$2:$B$26,0),MATCH('Master data'!AN$1,'Team forecast'!$B$2:$AO$2,0))</f>
        <v>0.46868830883965779</v>
      </c>
      <c r="AO382" s="16">
        <f>INDEX('Team forecast'!$B$2:$AO$26,MATCH('Master data'!$B382,'Team forecast'!$B$2:$B$26,0),MATCH('Master data'!AO$1,'Team forecast'!$B$2:$AO$2,0))</f>
        <v>5.3425178268869509</v>
      </c>
      <c r="AP382" s="16">
        <f>INDEX('Team forecast'!$B$2:$AO$26,MATCH('Master data'!$B382,'Team forecast'!$B$2:$B$26,0),MATCH('Master data'!AP$1,'Team forecast'!$B$2:$AO$2,0))</f>
        <v>2.1494454842563817</v>
      </c>
      <c r="AQ382" s="5">
        <f t="shared" si="190"/>
        <v>7000</v>
      </c>
      <c r="AR382" s="5">
        <f>INDEX('Team forecast'!$B$2:$AO$26,MATCH('Master data'!$B382,'Team forecast'!$B$2:$B$26,0),MATCH('Master data'!AR$1,'Team forecast'!$B$2:$AO$2,0))*IF(X382&gt;0,25000,0)</f>
        <v>14202.676025444174</v>
      </c>
      <c r="AS382" s="16">
        <f>INDEX('Team forecast'!$B$2:$AO$26,MATCH('Master data'!$B382,'Team forecast'!$B$2:$B$26,0),MATCH('Master data'!AS$1,'Team forecast'!$B$2:$AO$2,0))*IF(X382&gt;0,5000,0)</f>
        <v>1266.7251590261019</v>
      </c>
      <c r="AT382" s="16">
        <f>INDEX('Team forecast'!$B$2:$AO$26,MATCH('Master data'!$B382,'Team forecast'!$B$2:$B$26,0),MATCH('Master data'!AT$1,'Team forecast'!$B$2:$AO$2,0))*IF(X382&gt;0,-15000,0)</f>
        <v>-2678.2189076551876</v>
      </c>
      <c r="AU382" s="5">
        <f t="shared" si="191"/>
        <v>8127.9770332670441</v>
      </c>
      <c r="AV382" s="5">
        <f t="shared" si="192"/>
        <v>2660.1091680740037</v>
      </c>
      <c r="AW382" s="5">
        <f t="shared" si="193"/>
        <v>1225.1225122032936</v>
      </c>
      <c r="AX382" s="5">
        <f t="shared" si="194"/>
        <v>23434.415441982888</v>
      </c>
      <c r="AY382" s="5">
        <f t="shared" si="195"/>
        <v>0</v>
      </c>
      <c r="AZ382" s="5">
        <f t="shared" si="196"/>
        <v>-2465.3778558875219</v>
      </c>
      <c r="BA382" s="5">
        <f t="shared" si="197"/>
        <v>0</v>
      </c>
      <c r="BB382" s="5">
        <f t="shared" si="198"/>
        <v>15687.475343836428</v>
      </c>
      <c r="BC382" s="5">
        <f t="shared" si="199"/>
        <v>-6062.5385453385134</v>
      </c>
      <c r="BD382" s="5">
        <f t="shared" si="200"/>
        <v>62398.365374952715</v>
      </c>
      <c r="BE382" s="16">
        <f>INDEX('Team forecast'!$B$2:$AO$26,MATCH('Master data'!$B382,'Team forecast'!$B$2:$B$26,0),MATCH('Master data'!BE$1,'Team forecast'!$B$2:$AO$2,0))</f>
        <v>0.95602347631827322</v>
      </c>
      <c r="BF382" s="16">
        <f>INDEX('Team forecast'!$B$2:$AO$26,MATCH('Master data'!$B382,'Team forecast'!$B$2:$B$26,0),MATCH('Master data'!BF$1,'Team forecast'!$B$2:$AO$2,0))</f>
        <v>1.5053002864585165</v>
      </c>
      <c r="BG382" s="16">
        <f>INDEX('Team forecast'!$B$2:$AO$26,MATCH('Master data'!$B382,'Team forecast'!$B$2:$B$26,0),MATCH('Master data'!BG$1,'Team forecast'!$B$2:$AO$2,0))</f>
        <v>0.22195063505392029</v>
      </c>
      <c r="BH382" s="16">
        <f>INDEX('Team forecast'!$B$2:$AO$26,MATCH('Master data'!$B382,'Team forecast'!$B$2:$B$26,0),MATCH('Master data'!BH$1,'Team forecast'!$B$2:$AO$2,0))</f>
        <v>3.2558282025664269</v>
      </c>
      <c r="BI382" s="16">
        <f>INDEX('Team forecast'!$B$2:$AO$26,MATCH('Master data'!$B382,'Team forecast'!$B$2:$B$26,0),MATCH('Master data'!BI$1,'Team forecast'!$B$2:$AO$2,0))</f>
        <v>4.2695789943187012</v>
      </c>
      <c r="BJ382" s="5">
        <f t="shared" si="201"/>
        <v>7000</v>
      </c>
      <c r="BK382" s="5">
        <f>INDEX('Team forecast'!$R$3:$BH$26,MATCH($B382,'Team forecast'!$B$3:$B$26,0),MATCH(BK$1,'Team forecast'!$R$2:$BH$2,0))*IF($X382&gt;0,25000,0)</f>
        <v>5860.0381084358223</v>
      </c>
      <c r="BL382" s="5">
        <f>INDEX('Team forecast'!$R$3:$BH$26,MATCH($B382,'Team forecast'!$B$3:$B$26,0),MATCH(BL$1,'Team forecast'!$R$2:$BH$2,0))*IF($X382&gt;0,5000,0)</f>
        <v>1413.30330850511</v>
      </c>
      <c r="BM382" s="5">
        <f>INDEX('Team forecast'!$R$3:$BH$26,MATCH($B382,'Team forecast'!$B$3:$B$26,0),MATCH(BM$1,'Team forecast'!$R$2:$BH$2,0))*IF($X382&gt;0,-15000,0)</f>
        <v>-7244.0672094231768</v>
      </c>
      <c r="BN382" s="5">
        <f t="shared" si="202"/>
        <v>4953.3380537436642</v>
      </c>
      <c r="BO382" s="5">
        <f t="shared" si="203"/>
        <v>1621.1192422669892</v>
      </c>
      <c r="BP382" s="5">
        <f t="shared" si="204"/>
        <v>746.61209491082877</v>
      </c>
      <c r="BQ382" s="5">
        <f t="shared" si="205"/>
        <v>11097.531752696015</v>
      </c>
      <c r="BR382" s="5">
        <f t="shared" si="206"/>
        <v>0</v>
      </c>
      <c r="BS382" s="5">
        <f t="shared" si="207"/>
        <v>-2465.3778558875219</v>
      </c>
      <c r="BT382" s="5">
        <f t="shared" si="208"/>
        <v>0</v>
      </c>
      <c r="BU382" s="5">
        <f t="shared" si="209"/>
        <v>9560.2347631827324</v>
      </c>
      <c r="BV382" s="5">
        <f t="shared" si="210"/>
        <v>-12042.402291668132</v>
      </c>
      <c r="BW382" s="5">
        <f t="shared" si="211"/>
        <v>20500.329966762329</v>
      </c>
      <c r="BX382" s="5">
        <f t="shared" si="212"/>
        <v>32433.272514304252</v>
      </c>
      <c r="BY382" s="5">
        <f t="shared" si="213"/>
        <v>97299.817542912759</v>
      </c>
      <c r="BZ382" s="5">
        <f>INDEX('Team forecast'!$R$3:$BH$26,MATCH($B382,'Team forecast'!$B$3:$B$26,0),MATCH(BZ$1,'Team forecast'!$R$2:$BH$2,0))*($BX382-(BY382+CH382)*0.01)</f>
        <v>938.19712195216323</v>
      </c>
      <c r="CA382" s="5">
        <f>INDEX('Team forecast'!$R$3:$BH$26,MATCH($B382,'Team forecast'!$B$3:$B$26,0),MATCH(CA$1,'Team forecast'!$R$2:$BH$2,0))*($BX382-(BY382+BX382+CH382)*0.01)</f>
        <v>358.23835131302388</v>
      </c>
      <c r="CB382" s="5">
        <f>INDEX('Team forecast'!$R$3:$BH$26,MATCH($B382,'Team forecast'!$B$3:$B$26,0),MATCH(CB$1,'Team forecast'!$R$2:$BH$2,0))*($BX382-(BY382+BX382*2+CH382)*0.01)</f>
        <v>123.49096928889415</v>
      </c>
      <c r="CC382" s="5">
        <f>INDEX('Team forecast'!$R$3:$BH$26,MATCH($B382,'Team forecast'!$B$3:$B$26,0),MATCH(CC$1,'Team forecast'!$R$2:$BH$2,0))*($BX382-(BY382+BX382*3+CH382)*0.01)</f>
        <v>33.597736768277677</v>
      </c>
      <c r="CD382" s="5">
        <f>+AK382+BD382*Cockpit!$C$3+BW382*Cockpit!$C$3^2+BZ382*Cockpit!$C$3^3+CA382*Cockpit!$C$3^4+CB382*Cockpit!$C$3^5+CC382*Cockpit!$C$3^6</f>
        <v>65479.249458527833</v>
      </c>
      <c r="CE382" s="5"/>
      <c r="CF382" s="5"/>
      <c r="CG382" s="5">
        <v>0</v>
      </c>
      <c r="CH382" s="5">
        <f t="shared" si="214"/>
        <v>3000000</v>
      </c>
      <c r="CI382" s="5">
        <f t="shared" si="215"/>
        <v>3000000</v>
      </c>
      <c r="CJ382" s="1">
        <f t="shared" si="216"/>
        <v>3.2433272514304251E-2</v>
      </c>
      <c r="CK382" s="5">
        <f>RANK(BY382,$BY$2:$BY$623)+COUNTIF($BY$2:$BY382,$BY382)-1</f>
        <v>176</v>
      </c>
      <c r="CL382" s="5">
        <f>RANK(CJ382,$CJ$2:$CJ$623)+COUNTIF($CJ$2:$CJ382,$CJ382)-1</f>
        <v>124</v>
      </c>
    </row>
    <row r="383" spans="1:90">
      <c r="A383" t="str">
        <f>Players!P384</f>
        <v>Mário Fernandes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0.84461095835632183</v>
      </c>
      <c r="I383" s="16">
        <f>INDEX('Team forecast'!$B$2:$AO$26,MATCH('Master data'!$B383,'Team forecast'!$B$2:$B$26,0),MATCH('Master data'!I$1,'Team forecast'!$B$2:$AO$2,0))</f>
        <v>1.5602309947683257</v>
      </c>
      <c r="J383" s="16">
        <f>INDEX('Team forecast'!$B$2:$AO$26,MATCH('Master data'!$B383,'Team forecast'!$B$2:$B$26,0),MATCH('Master data'!J$1,'Team forecast'!$B$2:$AO$2,0))</f>
        <v>0.21008753647353071</v>
      </c>
      <c r="K383" s="16">
        <f>INDEX('Team forecast'!$B$2:$AO$26,MATCH('Master data'!$B383,'Team forecast'!$B$2:$B$26,0),MATCH('Master data'!K$1,'Team forecast'!$B$2:$AO$2,0))</f>
        <v>2.876402354682019</v>
      </c>
      <c r="L383" s="16">
        <f>INDEX('Team forecast'!$B$2:$AO$26,MATCH('Master data'!$B383,'Team forecast'!$B$2:$B$26,0),MATCH('Master data'!L$1,'Team forecast'!$B$2:$AO$2,0))</f>
        <v>4.4253824578883423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0.1314508276533593</v>
      </c>
      <c r="R383" s="2">
        <f>Players!BR384</f>
        <v>0</v>
      </c>
      <c r="S383" s="2">
        <f t="shared" si="175"/>
        <v>0.84461095835632183</v>
      </c>
      <c r="T383" s="2">
        <f t="shared" si="176"/>
        <v>1.5602309947683257</v>
      </c>
      <c r="U383" s="16">
        <f>INDEX('Team forecast'!$B$2:$AO$26,MATCH('Master data'!$B383,'Team forecast'!$B$2:$B$26,0),MATCH('Master data'!U$1,'Team forecast'!$B$2:$AO$2,0))</f>
        <v>0.18007503126302629</v>
      </c>
      <c r="V383" s="16">
        <f>INDEX('Team forecast'!$B$2:$AO$26,MATCH('Master data'!$B383,'Team forecast'!$B$2:$B$26,0),MATCH('Master data'!V$1,'Team forecast'!$B$2:$AO$2,0))</f>
        <v>0.23634847853272201</v>
      </c>
      <c r="W383" s="16">
        <f>INDEX('Team forecast'!$B$2:$AO$26,MATCH('Master data'!$B383,'Team forecast'!$B$2:$B$26,0),MATCH('Master data'!W$1,'Team forecast'!$B$2:$AO$2,0))</f>
        <v>0.58357649020425184</v>
      </c>
      <c r="X383" s="5">
        <f t="shared" si="177"/>
        <v>-5000</v>
      </c>
      <c r="Y383" s="5">
        <f t="shared" si="178"/>
        <v>0</v>
      </c>
      <c r="Z383" s="5">
        <f t="shared" si="179"/>
        <v>0</v>
      </c>
      <c r="AA383" s="5">
        <f t="shared" si="180"/>
        <v>0</v>
      </c>
      <c r="AB383" s="5">
        <f t="shared" si="181"/>
        <v>0</v>
      </c>
      <c r="AC383" s="5">
        <f t="shared" si="182"/>
        <v>0</v>
      </c>
      <c r="AD383" s="5">
        <f t="shared" si="183"/>
        <v>0</v>
      </c>
      <c r="AE383" s="5">
        <f t="shared" si="184"/>
        <v>10504.376823676535</v>
      </c>
      <c r="AF383" s="5">
        <f t="shared" si="185"/>
        <v>0</v>
      </c>
      <c r="AG383" s="5">
        <f t="shared" si="186"/>
        <v>0</v>
      </c>
      <c r="AH383" s="5">
        <f t="shared" si="187"/>
        <v>0</v>
      </c>
      <c r="AI383" s="5">
        <f t="shared" si="188"/>
        <v>0</v>
      </c>
      <c r="AJ383" s="5">
        <f t="shared" si="189"/>
        <v>0</v>
      </c>
      <c r="AK383" s="5">
        <f>IFERROR(SUM(X383:AJ383),-5000)*((Cockpit!$C$3)^0)</f>
        <v>5504.3768236765354</v>
      </c>
      <c r="AL383" s="16">
        <f>INDEX('Team forecast'!$B$2:$AO$26,MATCH('Master data'!$B383,'Team forecast'!$B$2:$B$26,0),MATCH('Master data'!AL$1,'Team forecast'!$B$2:$AO$2,0))</f>
        <v>1.5687475343836428</v>
      </c>
      <c r="AM383" s="16">
        <f>INDEX('Team forecast'!$B$2:$AO$26,MATCH('Master data'!$B383,'Team forecast'!$B$2:$B$26,0),MATCH('Master data'!AM$1,'Team forecast'!$B$2:$AO$2,0))</f>
        <v>0.75781731816731412</v>
      </c>
      <c r="AN383" s="16">
        <f>INDEX('Team forecast'!$B$2:$AO$26,MATCH('Master data'!$B383,'Team forecast'!$B$2:$B$26,0),MATCH('Master data'!AN$1,'Team forecast'!$B$2:$AO$2,0))</f>
        <v>0.46868830883965779</v>
      </c>
      <c r="AO383" s="16">
        <f>INDEX('Team forecast'!$B$2:$AO$26,MATCH('Master data'!$B383,'Team forecast'!$B$2:$B$26,0),MATCH('Master data'!AO$1,'Team forecast'!$B$2:$AO$2,0))</f>
        <v>5.3425178268869509</v>
      </c>
      <c r="AP383" s="16">
        <f>INDEX('Team forecast'!$B$2:$AO$26,MATCH('Master data'!$B383,'Team forecast'!$B$2:$B$26,0),MATCH('Master data'!AP$1,'Team forecast'!$B$2:$AO$2,0))</f>
        <v>2.1494454842563817</v>
      </c>
      <c r="AQ383" s="5">
        <f t="shared" si="190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191"/>
        <v>0</v>
      </c>
      <c r="AV383" s="5">
        <f t="shared" si="192"/>
        <v>0</v>
      </c>
      <c r="AW383" s="5">
        <f t="shared" si="193"/>
        <v>0</v>
      </c>
      <c r="AX383" s="5">
        <f t="shared" si="194"/>
        <v>23434.415441982888</v>
      </c>
      <c r="AY383" s="5">
        <f t="shared" si="195"/>
        <v>0</v>
      </c>
      <c r="AZ383" s="5">
        <f t="shared" si="196"/>
        <v>0</v>
      </c>
      <c r="BA383" s="5">
        <f t="shared" si="197"/>
        <v>0</v>
      </c>
      <c r="BB383" s="5">
        <f t="shared" si="198"/>
        <v>0</v>
      </c>
      <c r="BC383" s="5">
        <f t="shared" si="199"/>
        <v>0</v>
      </c>
      <c r="BD383" s="5">
        <f t="shared" si="200"/>
        <v>18434.415441982888</v>
      </c>
      <c r="BE383" s="16">
        <f>INDEX('Team forecast'!$B$2:$AO$26,MATCH('Master data'!$B383,'Team forecast'!$B$2:$B$26,0),MATCH('Master data'!BE$1,'Team forecast'!$B$2:$AO$2,0))</f>
        <v>0.95602347631827322</v>
      </c>
      <c r="BF383" s="16">
        <f>INDEX('Team forecast'!$B$2:$AO$26,MATCH('Master data'!$B383,'Team forecast'!$B$2:$B$26,0),MATCH('Master data'!BF$1,'Team forecast'!$B$2:$AO$2,0))</f>
        <v>1.5053002864585165</v>
      </c>
      <c r="BG383" s="16">
        <f>INDEX('Team forecast'!$B$2:$AO$26,MATCH('Master data'!$B383,'Team forecast'!$B$2:$B$26,0),MATCH('Master data'!BG$1,'Team forecast'!$B$2:$AO$2,0))</f>
        <v>0.22195063505392029</v>
      </c>
      <c r="BH383" s="16">
        <f>INDEX('Team forecast'!$B$2:$AO$26,MATCH('Master data'!$B383,'Team forecast'!$B$2:$B$26,0),MATCH('Master data'!BH$1,'Team forecast'!$B$2:$AO$2,0))</f>
        <v>3.2558282025664269</v>
      </c>
      <c r="BI383" s="16">
        <f>INDEX('Team forecast'!$B$2:$AO$26,MATCH('Master data'!$B383,'Team forecast'!$B$2:$B$26,0),MATCH('Master data'!BI$1,'Team forecast'!$B$2:$AO$2,0))</f>
        <v>4.2695789943187012</v>
      </c>
      <c r="BJ383" s="5">
        <f t="shared" si="201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202"/>
        <v>0</v>
      </c>
      <c r="BO383" s="5">
        <f t="shared" si="203"/>
        <v>0</v>
      </c>
      <c r="BP383" s="5">
        <f t="shared" si="204"/>
        <v>0</v>
      </c>
      <c r="BQ383" s="5">
        <f t="shared" si="205"/>
        <v>11097.531752696015</v>
      </c>
      <c r="BR383" s="5">
        <f t="shared" si="206"/>
        <v>0</v>
      </c>
      <c r="BS383" s="5">
        <f t="shared" si="207"/>
        <v>0</v>
      </c>
      <c r="BT383" s="5">
        <f t="shared" si="208"/>
        <v>0</v>
      </c>
      <c r="BU383" s="5">
        <f t="shared" si="209"/>
        <v>0</v>
      </c>
      <c r="BV383" s="5">
        <f t="shared" si="210"/>
        <v>0</v>
      </c>
      <c r="BW383" s="5">
        <f t="shared" si="211"/>
        <v>6097.5317526960152</v>
      </c>
      <c r="BX383" s="5">
        <f t="shared" si="212"/>
        <v>10012.108006118478</v>
      </c>
      <c r="BY383" s="5">
        <f t="shared" si="213"/>
        <v>30036.324018355437</v>
      </c>
      <c r="BZ383" s="5">
        <f>INDEX('Team forecast'!$R$3:$BH$26,MATCH($B383,'Team forecast'!$B$3:$B$26,0),MATCH(BZ$1,'Team forecast'!$R$2:$BH$2,0))*($BX383-(BY383+CH383)*0.01)</f>
        <v>-16247.199343424536</v>
      </c>
      <c r="CA383" s="5">
        <f>INDEX('Team forecast'!$R$3:$BH$26,MATCH($B383,'Team forecast'!$B$3:$B$26,0),MATCH(CA$1,'Team forecast'!$R$2:$BH$2,0))*($BX383-(BY383+BX383+CH383)*0.01)</f>
        <v>-8006.652774525749</v>
      </c>
      <c r="CB383" s="5">
        <f>INDEX('Team forecast'!$R$3:$BH$26,MATCH($B383,'Team forecast'!$B$3:$B$26,0),MATCH(CB$1,'Team forecast'!$R$2:$BH$2,0))*($BX383-(BY383+BX383*2+CH383)*0.01)</f>
        <v>-3878.2217557987597</v>
      </c>
      <c r="CC383" s="5">
        <f>INDEX('Team forecast'!$R$3:$BH$26,MATCH($B383,'Team forecast'!$B$3:$B$26,0),MATCH(CC$1,'Team forecast'!$R$2:$BH$2,0))*($BX383-(BY383+BX383*3+CH383)*0.01)</f>
        <v>-1764.3376225953498</v>
      </c>
      <c r="CD383" s="5">
        <f>+AK383+BD383*Cockpit!$C$3+BW383*Cockpit!$C$3^2+BZ383*Cockpit!$C$3^3+CA383*Cockpit!$C$3^4+CB383*Cockpit!$C$3^5+CC383*Cockpit!$C$3^6</f>
        <v>13442.849030210149</v>
      </c>
      <c r="CE383" s="5"/>
      <c r="CF383" s="5"/>
      <c r="CG383" s="5">
        <v>0</v>
      </c>
      <c r="CH383" s="5">
        <f t="shared" si="214"/>
        <v>3500000</v>
      </c>
      <c r="CI383" s="5">
        <f t="shared" si="215"/>
        <v>3500000</v>
      </c>
      <c r="CJ383" s="1">
        <f t="shared" si="216"/>
        <v>8.5818068623872684E-3</v>
      </c>
      <c r="CK383" s="5">
        <f>RANK(BY383,$BY$2:$BY$623)+COUNTIF($BY$2:$BY383,$BY383)-1</f>
        <v>351</v>
      </c>
      <c r="CL383" s="5">
        <f>RANK(CJ383,$CJ$2:$CJ$623)+COUNTIF($CJ$2:$CJ383,$CJ383)-1</f>
        <v>372</v>
      </c>
    </row>
    <row r="384" spans="1:90">
      <c r="A384" t="str">
        <f>Players!P385</f>
        <v>Yuri Zhirkov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3500000</v>
      </c>
      <c r="H384" s="16">
        <f>INDEX('Team forecast'!$B$2:$AO$26,MATCH('Master data'!$B384,'Team forecast'!$B$2:$B$26,0),MATCH('Master data'!H$1,'Team forecast'!$B$2:$AO$2,0))</f>
        <v>0.84461095835632183</v>
      </c>
      <c r="I384" s="16">
        <f>INDEX('Team forecast'!$B$2:$AO$26,MATCH('Master data'!$B384,'Team forecast'!$B$2:$B$26,0),MATCH('Master data'!I$1,'Team forecast'!$B$2:$AO$2,0))</f>
        <v>1.5602309947683257</v>
      </c>
      <c r="J384" s="16">
        <f>INDEX('Team forecast'!$B$2:$AO$26,MATCH('Master data'!$B384,'Team forecast'!$B$2:$B$26,0),MATCH('Master data'!J$1,'Team forecast'!$B$2:$AO$2,0))</f>
        <v>0.21008753647353071</v>
      </c>
      <c r="K384" s="16">
        <f>INDEX('Team forecast'!$B$2:$AO$26,MATCH('Master data'!$B384,'Team forecast'!$B$2:$B$26,0),MATCH('Master data'!K$1,'Team forecast'!$B$2:$AO$2,0))</f>
        <v>2.876402354682019</v>
      </c>
      <c r="L384" s="16">
        <f>INDEX('Team forecast'!$B$2:$AO$26,MATCH('Master data'!$B384,'Team forecast'!$B$2:$B$26,0),MATCH('Master data'!L$1,'Team forecast'!$B$2:$AO$2,0))</f>
        <v>4.4253824578883423</v>
      </c>
      <c r="M384">
        <f>IF(Players!BC385=1,95,0)</f>
        <v>0</v>
      </c>
      <c r="N384" s="2">
        <f>Players!BN385</f>
        <v>0</v>
      </c>
      <c r="O384" s="2">
        <f>Players!BO385</f>
        <v>0</v>
      </c>
      <c r="P384" s="2">
        <f>Players!BP385</f>
        <v>0</v>
      </c>
      <c r="Q384" s="2">
        <f>Players!BQ385</f>
        <v>6.32688927943761E-2</v>
      </c>
      <c r="R384" s="2">
        <f>Players!BR385</f>
        <v>0</v>
      </c>
      <c r="S384" s="2">
        <f t="shared" si="175"/>
        <v>0.84461095835632183</v>
      </c>
      <c r="T384" s="2">
        <f t="shared" si="176"/>
        <v>1.5602309947683257</v>
      </c>
      <c r="U384" s="16">
        <f>INDEX('Team forecast'!$B$2:$AO$26,MATCH('Master data'!$B384,'Team forecast'!$B$2:$B$26,0),MATCH('Master data'!U$1,'Team forecast'!$B$2:$AO$2,0))</f>
        <v>0.18007503126302629</v>
      </c>
      <c r="V384" s="16">
        <f>INDEX('Team forecast'!$B$2:$AO$26,MATCH('Master data'!$B384,'Team forecast'!$B$2:$B$26,0),MATCH('Master data'!V$1,'Team forecast'!$B$2:$AO$2,0))</f>
        <v>0.23634847853272201</v>
      </c>
      <c r="W384" s="16">
        <f>INDEX('Team forecast'!$B$2:$AO$26,MATCH('Master data'!$B384,'Team forecast'!$B$2:$B$26,0),MATCH('Master data'!W$1,'Team forecast'!$B$2:$AO$2,0))</f>
        <v>0.58357649020425184</v>
      </c>
      <c r="X384" s="5">
        <f t="shared" si="177"/>
        <v>-5000</v>
      </c>
      <c r="Y384" s="5">
        <f t="shared" si="178"/>
        <v>0</v>
      </c>
      <c r="Z384" s="5">
        <f t="shared" si="179"/>
        <v>0</v>
      </c>
      <c r="AA384" s="5">
        <f t="shared" si="180"/>
        <v>0</v>
      </c>
      <c r="AB384" s="5">
        <f t="shared" si="181"/>
        <v>0</v>
      </c>
      <c r="AC384" s="5">
        <f t="shared" si="182"/>
        <v>0</v>
      </c>
      <c r="AD384" s="5">
        <f t="shared" si="183"/>
        <v>0</v>
      </c>
      <c r="AE384" s="5">
        <f t="shared" si="184"/>
        <v>10504.376823676535</v>
      </c>
      <c r="AF384" s="5">
        <f t="shared" si="185"/>
        <v>0</v>
      </c>
      <c r="AG384" s="5">
        <f t="shared" si="186"/>
        <v>0</v>
      </c>
      <c r="AH384" s="5">
        <f t="shared" si="187"/>
        <v>0</v>
      </c>
      <c r="AI384" s="5">
        <f t="shared" si="188"/>
        <v>0</v>
      </c>
      <c r="AJ384" s="5">
        <f t="shared" si="189"/>
        <v>0</v>
      </c>
      <c r="AK384" s="5">
        <f>IFERROR(SUM(X384:AJ384),-5000)*((Cockpit!$C$3)^0)</f>
        <v>5504.3768236765354</v>
      </c>
      <c r="AL384" s="16">
        <f>INDEX('Team forecast'!$B$2:$AO$26,MATCH('Master data'!$B384,'Team forecast'!$B$2:$B$26,0),MATCH('Master data'!AL$1,'Team forecast'!$B$2:$AO$2,0))</f>
        <v>1.5687475343836428</v>
      </c>
      <c r="AM384" s="16">
        <f>INDEX('Team forecast'!$B$2:$AO$26,MATCH('Master data'!$B384,'Team forecast'!$B$2:$B$26,0),MATCH('Master data'!AM$1,'Team forecast'!$B$2:$AO$2,0))</f>
        <v>0.75781731816731412</v>
      </c>
      <c r="AN384" s="16">
        <f>INDEX('Team forecast'!$B$2:$AO$26,MATCH('Master data'!$B384,'Team forecast'!$B$2:$B$26,0),MATCH('Master data'!AN$1,'Team forecast'!$B$2:$AO$2,0))</f>
        <v>0.46868830883965779</v>
      </c>
      <c r="AO384" s="16">
        <f>INDEX('Team forecast'!$B$2:$AO$26,MATCH('Master data'!$B384,'Team forecast'!$B$2:$B$26,0),MATCH('Master data'!AO$1,'Team forecast'!$B$2:$AO$2,0))</f>
        <v>5.3425178268869509</v>
      </c>
      <c r="AP384" s="16">
        <f>INDEX('Team forecast'!$B$2:$AO$26,MATCH('Master data'!$B384,'Team forecast'!$B$2:$B$26,0),MATCH('Master data'!AP$1,'Team forecast'!$B$2:$AO$2,0))</f>
        <v>2.1494454842563817</v>
      </c>
      <c r="AQ384" s="5">
        <f t="shared" si="190"/>
        <v>-5000</v>
      </c>
      <c r="AR384" s="5">
        <f>INDEX('Team forecast'!$B$2:$AO$26,MATCH('Master data'!$B384,'Team forecast'!$B$2:$B$26,0),MATCH('Master data'!AR$1,'Team forecast'!$B$2:$AO$2,0))*IF(X384&gt;0,25000,0)</f>
        <v>0</v>
      </c>
      <c r="AS384" s="16">
        <f>INDEX('Team forecast'!$B$2:$AO$26,MATCH('Master data'!$B384,'Team forecast'!$B$2:$B$26,0),MATCH('Master data'!AS$1,'Team forecast'!$B$2:$AO$2,0))*IF(X384&gt;0,5000,0)</f>
        <v>0</v>
      </c>
      <c r="AT384" s="16">
        <f>INDEX('Team forecast'!$B$2:$AO$26,MATCH('Master data'!$B384,'Team forecast'!$B$2:$B$26,0),MATCH('Master data'!AT$1,'Team forecast'!$B$2:$AO$2,0))*IF(X384&gt;0,-15000,0)</f>
        <v>0</v>
      </c>
      <c r="AU384" s="5">
        <f t="shared" si="191"/>
        <v>0</v>
      </c>
      <c r="AV384" s="5">
        <f t="shared" si="192"/>
        <v>0</v>
      </c>
      <c r="AW384" s="5">
        <f t="shared" si="193"/>
        <v>0</v>
      </c>
      <c r="AX384" s="5">
        <f t="shared" si="194"/>
        <v>23434.415441982888</v>
      </c>
      <c r="AY384" s="5">
        <f t="shared" si="195"/>
        <v>0</v>
      </c>
      <c r="AZ384" s="5">
        <f t="shared" si="196"/>
        <v>0</v>
      </c>
      <c r="BA384" s="5">
        <f t="shared" si="197"/>
        <v>0</v>
      </c>
      <c r="BB384" s="5">
        <f t="shared" si="198"/>
        <v>0</v>
      </c>
      <c r="BC384" s="5">
        <f t="shared" si="199"/>
        <v>0</v>
      </c>
      <c r="BD384" s="5">
        <f t="shared" si="200"/>
        <v>18434.415441982888</v>
      </c>
      <c r="BE384" s="16">
        <f>INDEX('Team forecast'!$B$2:$AO$26,MATCH('Master data'!$B384,'Team forecast'!$B$2:$B$26,0),MATCH('Master data'!BE$1,'Team forecast'!$B$2:$AO$2,0))</f>
        <v>0.95602347631827322</v>
      </c>
      <c r="BF384" s="16">
        <f>INDEX('Team forecast'!$B$2:$AO$26,MATCH('Master data'!$B384,'Team forecast'!$B$2:$B$26,0),MATCH('Master data'!BF$1,'Team forecast'!$B$2:$AO$2,0))</f>
        <v>1.5053002864585165</v>
      </c>
      <c r="BG384" s="16">
        <f>INDEX('Team forecast'!$B$2:$AO$26,MATCH('Master data'!$B384,'Team forecast'!$B$2:$B$26,0),MATCH('Master data'!BG$1,'Team forecast'!$B$2:$AO$2,0))</f>
        <v>0.22195063505392029</v>
      </c>
      <c r="BH384" s="16">
        <f>INDEX('Team forecast'!$B$2:$AO$26,MATCH('Master data'!$B384,'Team forecast'!$B$2:$B$26,0),MATCH('Master data'!BH$1,'Team forecast'!$B$2:$AO$2,0))</f>
        <v>3.2558282025664269</v>
      </c>
      <c r="BI384" s="16">
        <f>INDEX('Team forecast'!$B$2:$AO$26,MATCH('Master data'!$B384,'Team forecast'!$B$2:$B$26,0),MATCH('Master data'!BI$1,'Team forecast'!$B$2:$AO$2,0))</f>
        <v>4.2695789943187012</v>
      </c>
      <c r="BJ384" s="5">
        <f t="shared" si="201"/>
        <v>-5000</v>
      </c>
      <c r="BK384" s="5">
        <f>INDEX('Team forecast'!$R$3:$BH$26,MATCH($B384,'Team forecast'!$B$3:$B$26,0),MATCH(BK$1,'Team forecast'!$R$2:$BH$2,0))*IF($X384&gt;0,25000,0)</f>
        <v>0</v>
      </c>
      <c r="BL384" s="5">
        <f>INDEX('Team forecast'!$R$3:$BH$26,MATCH($B384,'Team forecast'!$B$3:$B$26,0),MATCH(BL$1,'Team forecast'!$R$2:$BH$2,0))*IF($X384&gt;0,5000,0)</f>
        <v>0</v>
      </c>
      <c r="BM384" s="5">
        <f>INDEX('Team forecast'!$R$3:$BH$26,MATCH($B384,'Team forecast'!$B$3:$B$26,0),MATCH(BM$1,'Team forecast'!$R$2:$BH$2,0))*IF($X384&gt;0,-15000,0)</f>
        <v>0</v>
      </c>
      <c r="BN384" s="5">
        <f t="shared" si="202"/>
        <v>0</v>
      </c>
      <c r="BO384" s="5">
        <f t="shared" si="203"/>
        <v>0</v>
      </c>
      <c r="BP384" s="5">
        <f t="shared" si="204"/>
        <v>0</v>
      </c>
      <c r="BQ384" s="5">
        <f t="shared" si="205"/>
        <v>11097.531752696015</v>
      </c>
      <c r="BR384" s="5">
        <f t="shared" si="206"/>
        <v>0</v>
      </c>
      <c r="BS384" s="5">
        <f t="shared" si="207"/>
        <v>0</v>
      </c>
      <c r="BT384" s="5">
        <f t="shared" si="208"/>
        <v>0</v>
      </c>
      <c r="BU384" s="5">
        <f t="shared" si="209"/>
        <v>0</v>
      </c>
      <c r="BV384" s="5">
        <f t="shared" si="210"/>
        <v>0</v>
      </c>
      <c r="BW384" s="5">
        <f t="shared" si="211"/>
        <v>6097.5317526960152</v>
      </c>
      <c r="BX384" s="5">
        <f t="shared" si="212"/>
        <v>10012.108006118478</v>
      </c>
      <c r="BY384" s="5">
        <f t="shared" si="213"/>
        <v>30036.324018355437</v>
      </c>
      <c r="BZ384" s="5">
        <f>INDEX('Team forecast'!$R$3:$BH$26,MATCH($B384,'Team forecast'!$B$3:$B$26,0),MATCH(BZ$1,'Team forecast'!$R$2:$BH$2,0))*($BX384-(BY384+CH384)*0.01)</f>
        <v>-16247.199343424536</v>
      </c>
      <c r="CA384" s="5">
        <f>INDEX('Team forecast'!$R$3:$BH$26,MATCH($B384,'Team forecast'!$B$3:$B$26,0),MATCH(CA$1,'Team forecast'!$R$2:$BH$2,0))*($BX384-(BY384+BX384+CH384)*0.01)</f>
        <v>-8006.652774525749</v>
      </c>
      <c r="CB384" s="5">
        <f>INDEX('Team forecast'!$R$3:$BH$26,MATCH($B384,'Team forecast'!$B$3:$B$26,0),MATCH(CB$1,'Team forecast'!$R$2:$BH$2,0))*($BX384-(BY384+BX384*2+CH384)*0.01)</f>
        <v>-3878.2217557987597</v>
      </c>
      <c r="CC384" s="5">
        <f>INDEX('Team forecast'!$R$3:$BH$26,MATCH($B384,'Team forecast'!$B$3:$B$26,0),MATCH(CC$1,'Team forecast'!$R$2:$BH$2,0))*($BX384-(BY384+BX384*3+CH384)*0.01)</f>
        <v>-1764.3376225953498</v>
      </c>
      <c r="CD384" s="5">
        <f>+AK384+BD384*Cockpit!$C$3+BW384*Cockpit!$C$3^2+BZ384*Cockpit!$C$3^3+CA384*Cockpit!$C$3^4+CB384*Cockpit!$C$3^5+CC384*Cockpit!$C$3^6</f>
        <v>13442.849030210149</v>
      </c>
      <c r="CE384" s="5"/>
      <c r="CF384" s="5"/>
      <c r="CG384" s="5">
        <v>0</v>
      </c>
      <c r="CH384" s="5">
        <f t="shared" si="214"/>
        <v>3500000</v>
      </c>
      <c r="CI384" s="5">
        <f t="shared" si="215"/>
        <v>3500000</v>
      </c>
      <c r="CJ384" s="1">
        <f t="shared" si="216"/>
        <v>8.5818068623872684E-3</v>
      </c>
      <c r="CK384" s="5">
        <f>RANK(BY384,$BY$2:$BY$623)+COUNTIF($BY$2:$BY384,$BY384)-1</f>
        <v>352</v>
      </c>
      <c r="CL384" s="5">
        <f>RANK(CJ384,$CJ$2:$CJ$623)+COUNTIF($CJ$2:$CJ384,$CJ384)-1</f>
        <v>373</v>
      </c>
    </row>
    <row r="385" spans="1:90">
      <c r="A385" t="str">
        <f>Players!P386</f>
        <v>Georgi Dzhikiya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3000000</v>
      </c>
      <c r="H385" s="16">
        <f>INDEX('Team forecast'!$B$2:$AO$26,MATCH('Master data'!$B385,'Team forecast'!$B$2:$B$26,0),MATCH('Master data'!H$1,'Team forecast'!$B$2:$AO$2,0))</f>
        <v>0.84461095835632183</v>
      </c>
      <c r="I385" s="16">
        <f>INDEX('Team forecast'!$B$2:$AO$26,MATCH('Master data'!$B385,'Team forecast'!$B$2:$B$26,0),MATCH('Master data'!I$1,'Team forecast'!$B$2:$AO$2,0))</f>
        <v>1.5602309947683257</v>
      </c>
      <c r="J385" s="16">
        <f>INDEX('Team forecast'!$B$2:$AO$26,MATCH('Master data'!$B385,'Team forecast'!$B$2:$B$26,0),MATCH('Master data'!J$1,'Team forecast'!$B$2:$AO$2,0))</f>
        <v>0.21008753647353071</v>
      </c>
      <c r="K385" s="16">
        <f>INDEX('Team forecast'!$B$2:$AO$26,MATCH('Master data'!$B385,'Team forecast'!$B$2:$B$26,0),MATCH('Master data'!K$1,'Team forecast'!$B$2:$AO$2,0))</f>
        <v>2.876402354682019</v>
      </c>
      <c r="L385" s="16">
        <f>INDEX('Team forecast'!$B$2:$AO$26,MATCH('Master data'!$B385,'Team forecast'!$B$2:$B$26,0),MATCH('Master data'!L$1,'Team forecast'!$B$2:$AO$2,0))</f>
        <v>4.4253824578883423</v>
      </c>
      <c r="M385">
        <f>IF(Players!BC386=1,95,0)</f>
        <v>95</v>
      </c>
      <c r="N385" s="2">
        <f>Players!BN386</f>
        <v>3.4486555336679298E-2</v>
      </c>
      <c r="O385" s="2">
        <f>Players!BO386</f>
        <v>4.4886516122950217E-3</v>
      </c>
      <c r="P385" s="2">
        <f>Players!BP386</f>
        <v>2.2931556840815714E-2</v>
      </c>
      <c r="Q385" s="2">
        <f>Players!BQ386</f>
        <v>6.32688927943761E-2</v>
      </c>
      <c r="R385" s="2">
        <f>Players!BR386</f>
        <v>0</v>
      </c>
      <c r="S385" s="2">
        <f t="shared" si="175"/>
        <v>0.84461095835632183</v>
      </c>
      <c r="T385" s="2">
        <f t="shared" si="176"/>
        <v>1.5602309947683257</v>
      </c>
      <c r="U385" s="16">
        <f>INDEX('Team forecast'!$B$2:$AO$26,MATCH('Master data'!$B385,'Team forecast'!$B$2:$B$26,0),MATCH('Master data'!U$1,'Team forecast'!$B$2:$AO$2,0))</f>
        <v>0.18007503126302629</v>
      </c>
      <c r="V385" s="16">
        <f>INDEX('Team forecast'!$B$2:$AO$26,MATCH('Master data'!$B385,'Team forecast'!$B$2:$B$26,0),MATCH('Master data'!V$1,'Team forecast'!$B$2:$AO$2,0))</f>
        <v>0.23634847853272201</v>
      </c>
      <c r="W385" s="16">
        <f>INDEX('Team forecast'!$B$2:$AO$26,MATCH('Master data'!$B385,'Team forecast'!$B$2:$B$26,0),MATCH('Master data'!W$1,'Team forecast'!$B$2:$AO$2,0))</f>
        <v>0.58357649020425184</v>
      </c>
      <c r="X385" s="5">
        <f t="shared" si="177"/>
        <v>7000</v>
      </c>
      <c r="Y385" s="5">
        <f t="shared" si="178"/>
        <v>4501.8757815756571</v>
      </c>
      <c r="Z385" s="5">
        <f t="shared" si="179"/>
        <v>1181.74239266361</v>
      </c>
      <c r="AA385" s="5">
        <f t="shared" si="180"/>
        <v>-8753.6473530637777</v>
      </c>
      <c r="AB385" s="5">
        <f t="shared" si="181"/>
        <v>4369.1583829981537</v>
      </c>
      <c r="AC385" s="5">
        <f t="shared" si="182"/>
        <v>189.55821699940736</v>
      </c>
      <c r="AD385" s="5">
        <f t="shared" si="183"/>
        <v>659.60384093446885</v>
      </c>
      <c r="AE385" s="5">
        <f t="shared" si="184"/>
        <v>10504.376823676535</v>
      </c>
      <c r="AF385" s="5">
        <f t="shared" si="185"/>
        <v>0</v>
      </c>
      <c r="AG385" s="5">
        <f t="shared" si="186"/>
        <v>-1265.3778558875219</v>
      </c>
      <c r="AH385" s="5">
        <f t="shared" si="187"/>
        <v>0</v>
      </c>
      <c r="AI385" s="5">
        <f t="shared" si="188"/>
        <v>8446.1095835632186</v>
      </c>
      <c r="AJ385" s="5">
        <f t="shared" si="189"/>
        <v>-12481.847958146605</v>
      </c>
      <c r="AK385" s="5">
        <f>IFERROR(SUM(X385:AJ385),-5000)*((Cockpit!$C$3)^0)</f>
        <v>14351.551855313148</v>
      </c>
      <c r="AL385" s="16">
        <f>INDEX('Team forecast'!$B$2:$AO$26,MATCH('Master data'!$B385,'Team forecast'!$B$2:$B$26,0),MATCH('Master data'!AL$1,'Team forecast'!$B$2:$AO$2,0))</f>
        <v>1.5687475343836428</v>
      </c>
      <c r="AM385" s="16">
        <f>INDEX('Team forecast'!$B$2:$AO$26,MATCH('Master data'!$B385,'Team forecast'!$B$2:$B$26,0),MATCH('Master data'!AM$1,'Team forecast'!$B$2:$AO$2,0))</f>
        <v>0.75781731816731412</v>
      </c>
      <c r="AN385" s="16">
        <f>INDEX('Team forecast'!$B$2:$AO$26,MATCH('Master data'!$B385,'Team forecast'!$B$2:$B$26,0),MATCH('Master data'!AN$1,'Team forecast'!$B$2:$AO$2,0))</f>
        <v>0.46868830883965779</v>
      </c>
      <c r="AO385" s="16">
        <f>INDEX('Team forecast'!$B$2:$AO$26,MATCH('Master data'!$B385,'Team forecast'!$B$2:$B$26,0),MATCH('Master data'!AO$1,'Team forecast'!$B$2:$AO$2,0))</f>
        <v>5.3425178268869509</v>
      </c>
      <c r="AP385" s="16">
        <f>INDEX('Team forecast'!$B$2:$AO$26,MATCH('Master data'!$B385,'Team forecast'!$B$2:$B$26,0),MATCH('Master data'!AP$1,'Team forecast'!$B$2:$AO$2,0))</f>
        <v>2.1494454842563817</v>
      </c>
      <c r="AQ385" s="5">
        <f t="shared" si="190"/>
        <v>7000</v>
      </c>
      <c r="AR385" s="5">
        <f>INDEX('Team forecast'!$B$2:$AO$26,MATCH('Master data'!$B385,'Team forecast'!$B$2:$B$26,0),MATCH('Master data'!AR$1,'Team forecast'!$B$2:$AO$2,0))*IF(X385&gt;0,25000,0)</f>
        <v>14202.676025444174</v>
      </c>
      <c r="AS385" s="16">
        <f>INDEX('Team forecast'!$B$2:$AO$26,MATCH('Master data'!$B385,'Team forecast'!$B$2:$B$26,0),MATCH('Master data'!AS$1,'Team forecast'!$B$2:$AO$2,0))*IF(X385&gt;0,5000,0)</f>
        <v>1266.7251590261019</v>
      </c>
      <c r="AT385" s="16">
        <f>INDEX('Team forecast'!$B$2:$AO$26,MATCH('Master data'!$B385,'Team forecast'!$B$2:$B$26,0),MATCH('Master data'!AT$1,'Team forecast'!$B$2:$AO$2,0))*IF(X385&gt;0,-15000,0)</f>
        <v>-2678.2189076551876</v>
      </c>
      <c r="AU385" s="5">
        <f t="shared" si="191"/>
        <v>8115.104798070106</v>
      </c>
      <c r="AV385" s="5">
        <f t="shared" si="192"/>
        <v>352.0780574747489</v>
      </c>
      <c r="AW385" s="5">
        <f t="shared" si="193"/>
        <v>1225.1225122032936</v>
      </c>
      <c r="AX385" s="5">
        <f t="shared" si="194"/>
        <v>23434.415441982888</v>
      </c>
      <c r="AY385" s="5">
        <f t="shared" si="195"/>
        <v>0</v>
      </c>
      <c r="AZ385" s="5">
        <f t="shared" si="196"/>
        <v>-1265.3778558875219</v>
      </c>
      <c r="BA385" s="5">
        <f t="shared" si="197"/>
        <v>0</v>
      </c>
      <c r="BB385" s="5">
        <f t="shared" si="198"/>
        <v>15687.475343836428</v>
      </c>
      <c r="BC385" s="5">
        <f t="shared" si="199"/>
        <v>-6062.5385453385134</v>
      </c>
      <c r="BD385" s="5">
        <f t="shared" si="200"/>
        <v>61277.462029156522</v>
      </c>
      <c r="BE385" s="16">
        <f>INDEX('Team forecast'!$B$2:$AO$26,MATCH('Master data'!$B385,'Team forecast'!$B$2:$B$26,0),MATCH('Master data'!BE$1,'Team forecast'!$B$2:$AO$2,0))</f>
        <v>0.95602347631827322</v>
      </c>
      <c r="BF385" s="16">
        <f>INDEX('Team forecast'!$B$2:$AO$26,MATCH('Master data'!$B385,'Team forecast'!$B$2:$B$26,0),MATCH('Master data'!BF$1,'Team forecast'!$B$2:$AO$2,0))</f>
        <v>1.5053002864585165</v>
      </c>
      <c r="BG385" s="16">
        <f>INDEX('Team forecast'!$B$2:$AO$26,MATCH('Master data'!$B385,'Team forecast'!$B$2:$B$26,0),MATCH('Master data'!BG$1,'Team forecast'!$B$2:$AO$2,0))</f>
        <v>0.22195063505392029</v>
      </c>
      <c r="BH385" s="16">
        <f>INDEX('Team forecast'!$B$2:$AO$26,MATCH('Master data'!$B385,'Team forecast'!$B$2:$B$26,0),MATCH('Master data'!BH$1,'Team forecast'!$B$2:$AO$2,0))</f>
        <v>3.2558282025664269</v>
      </c>
      <c r="BI385" s="16">
        <f>INDEX('Team forecast'!$B$2:$AO$26,MATCH('Master data'!$B385,'Team forecast'!$B$2:$B$26,0),MATCH('Master data'!BI$1,'Team forecast'!$B$2:$AO$2,0))</f>
        <v>4.2695789943187012</v>
      </c>
      <c r="BJ385" s="5">
        <f t="shared" si="201"/>
        <v>7000</v>
      </c>
      <c r="BK385" s="5">
        <f>INDEX('Team forecast'!$R$3:$BH$26,MATCH($B385,'Team forecast'!$B$3:$B$26,0),MATCH(BK$1,'Team forecast'!$R$2:$BH$2,0))*IF($X385&gt;0,25000,0)</f>
        <v>5860.0381084358223</v>
      </c>
      <c r="BL385" s="5">
        <f>INDEX('Team forecast'!$R$3:$BH$26,MATCH($B385,'Team forecast'!$B$3:$B$26,0),MATCH(BL$1,'Team forecast'!$R$2:$BH$2,0))*IF($X385&gt;0,5000,0)</f>
        <v>1413.30330850511</v>
      </c>
      <c r="BM385" s="5">
        <f>INDEX('Team forecast'!$R$3:$BH$26,MATCH($B385,'Team forecast'!$B$3:$B$26,0),MATCH(BM$1,'Team forecast'!$R$2:$BH$2,0))*IF($X385&gt;0,-15000,0)</f>
        <v>-7244.0672094231768</v>
      </c>
      <c r="BN385" s="5">
        <f t="shared" si="202"/>
        <v>4945.4934778821962</v>
      </c>
      <c r="BO385" s="5">
        <f t="shared" si="203"/>
        <v>214.56281591839544</v>
      </c>
      <c r="BP385" s="5">
        <f t="shared" si="204"/>
        <v>746.61209491082877</v>
      </c>
      <c r="BQ385" s="5">
        <f t="shared" si="205"/>
        <v>11097.531752696015</v>
      </c>
      <c r="BR385" s="5">
        <f t="shared" si="206"/>
        <v>0</v>
      </c>
      <c r="BS385" s="5">
        <f t="shared" si="207"/>
        <v>-1265.3778558875219</v>
      </c>
      <c r="BT385" s="5">
        <f t="shared" si="208"/>
        <v>0</v>
      </c>
      <c r="BU385" s="5">
        <f t="shared" si="209"/>
        <v>9560.2347631827324</v>
      </c>
      <c r="BV385" s="5">
        <f t="shared" si="210"/>
        <v>-12042.402291668132</v>
      </c>
      <c r="BW385" s="5">
        <f t="shared" si="211"/>
        <v>20285.928964552273</v>
      </c>
      <c r="BX385" s="5">
        <f t="shared" si="212"/>
        <v>31971.647616340644</v>
      </c>
      <c r="BY385" s="5">
        <f t="shared" si="213"/>
        <v>95914.942849021929</v>
      </c>
      <c r="BZ385" s="5">
        <f>INDEX('Team forecast'!$R$3:$BH$26,MATCH($B385,'Team forecast'!$B$3:$B$26,0),MATCH(BZ$1,'Team forecast'!$R$2:$BH$2,0))*($BX385-(BY385+CH385)*0.01)</f>
        <v>650.5098805987335</v>
      </c>
      <c r="CA385" s="5">
        <f>INDEX('Team forecast'!$R$3:$BH$26,MATCH($B385,'Team forecast'!$B$3:$B$26,0),MATCH(CA$1,'Team forecast'!$R$2:$BH$2,0))*($BX385-(BY385+BX385+CH385)*0.01)</f>
        <v>218.48040006139519</v>
      </c>
      <c r="CB385" s="5">
        <f>INDEX('Team forecast'!$R$3:$BH$26,MATCH($B385,'Team forecast'!$B$3:$B$26,0),MATCH(CB$1,'Team forecast'!$R$2:$BH$2,0))*($BX385-(BY385+BX385*2+CH385)*0.01)</f>
        <v>56.764025370510538</v>
      </c>
      <c r="CC385" s="5">
        <f>INDEX('Team forecast'!$R$3:$BH$26,MATCH($B385,'Team forecast'!$B$3:$B$26,0),MATCH(CC$1,'Team forecast'!$R$2:$BH$2,0))*($BX385-(BY385+BX385*3+CH385)*0.01)</f>
        <v>3.6784019173494649</v>
      </c>
      <c r="CD385" s="5">
        <f>+AK385+BD385*Cockpit!$C$3+BW385*Cockpit!$C$3^2+BZ385*Cockpit!$C$3^3+CA385*Cockpit!$C$3^4+CB385*Cockpit!$C$3^5+CC385*Cockpit!$C$3^6</f>
        <v>64462.859957729401</v>
      </c>
      <c r="CE385" s="5"/>
      <c r="CF385" s="5"/>
      <c r="CG385" s="5">
        <v>0</v>
      </c>
      <c r="CH385" s="5">
        <f t="shared" si="214"/>
        <v>3000000</v>
      </c>
      <c r="CI385" s="5">
        <f t="shared" si="215"/>
        <v>3000000</v>
      </c>
      <c r="CJ385" s="1">
        <f t="shared" si="216"/>
        <v>3.1971647616340644E-2</v>
      </c>
      <c r="CK385" s="5">
        <f>RANK(BY385,$BY$2:$BY$623)+COUNTIF($BY$2:$BY385,$BY385)-1</f>
        <v>180</v>
      </c>
      <c r="CL385" s="5">
        <f>RANK(CJ385,$CJ$2:$CJ$623)+COUNTIF($CJ$2:$CJ385,$CJ385)-1</f>
        <v>127</v>
      </c>
    </row>
    <row r="386" spans="1:90">
      <c r="A386" t="str">
        <f>Players!P387</f>
        <v>Igor Diveev</v>
      </c>
      <c r="B386" t="str">
        <f>Players!G387</f>
        <v>Russia</v>
      </c>
      <c r="C386" t="str">
        <f>Players!AB387</f>
        <v>Defense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2000000</v>
      </c>
      <c r="H386" s="16">
        <f>INDEX('Team forecast'!$B$2:$AO$26,MATCH('Master data'!$B386,'Team forecast'!$B$2:$B$26,0),MATCH('Master data'!H$1,'Team forecast'!$B$2:$AO$2,0))</f>
        <v>0.84461095835632183</v>
      </c>
      <c r="I386" s="16">
        <f>INDEX('Team forecast'!$B$2:$AO$26,MATCH('Master data'!$B386,'Team forecast'!$B$2:$B$26,0),MATCH('Master data'!I$1,'Team forecast'!$B$2:$AO$2,0))</f>
        <v>1.5602309947683257</v>
      </c>
      <c r="J386" s="16">
        <f>INDEX('Team forecast'!$B$2:$AO$26,MATCH('Master data'!$B386,'Team forecast'!$B$2:$B$26,0),MATCH('Master data'!J$1,'Team forecast'!$B$2:$AO$2,0))</f>
        <v>0.21008753647353071</v>
      </c>
      <c r="K386" s="16">
        <f>INDEX('Team forecast'!$B$2:$AO$26,MATCH('Master data'!$B386,'Team forecast'!$B$2:$B$26,0),MATCH('Master data'!K$1,'Team forecast'!$B$2:$AO$2,0))</f>
        <v>2.876402354682019</v>
      </c>
      <c r="L386" s="16">
        <f>INDEX('Team forecast'!$B$2:$AO$26,MATCH('Master data'!$B386,'Team forecast'!$B$2:$B$26,0),MATCH('Master data'!L$1,'Team forecast'!$B$2:$AO$2,0))</f>
        <v>4.4253824578883423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6.32688927943761E-2</v>
      </c>
      <c r="R386" s="2">
        <f>Players!BR387</f>
        <v>0</v>
      </c>
      <c r="S386" s="2">
        <f t="shared" si="175"/>
        <v>0.84461095835632183</v>
      </c>
      <c r="T386" s="2">
        <f t="shared" si="176"/>
        <v>1.5602309947683257</v>
      </c>
      <c r="U386" s="16">
        <f>INDEX('Team forecast'!$B$2:$AO$26,MATCH('Master data'!$B386,'Team forecast'!$B$2:$B$26,0),MATCH('Master data'!U$1,'Team forecast'!$B$2:$AO$2,0))</f>
        <v>0.18007503126302629</v>
      </c>
      <c r="V386" s="16">
        <f>INDEX('Team forecast'!$B$2:$AO$26,MATCH('Master data'!$B386,'Team forecast'!$B$2:$B$26,0),MATCH('Master data'!V$1,'Team forecast'!$B$2:$AO$2,0))</f>
        <v>0.23634847853272201</v>
      </c>
      <c r="W386" s="16">
        <f>INDEX('Team forecast'!$B$2:$AO$26,MATCH('Master data'!$B386,'Team forecast'!$B$2:$B$26,0),MATCH('Master data'!W$1,'Team forecast'!$B$2:$AO$2,0))</f>
        <v>0.58357649020425184</v>
      </c>
      <c r="X386" s="5">
        <f t="shared" si="177"/>
        <v>-5000</v>
      </c>
      <c r="Y386" s="5">
        <f t="shared" si="178"/>
        <v>0</v>
      </c>
      <c r="Z386" s="5">
        <f t="shared" si="179"/>
        <v>0</v>
      </c>
      <c r="AA386" s="5">
        <f t="shared" si="180"/>
        <v>0</v>
      </c>
      <c r="AB386" s="5">
        <f t="shared" si="181"/>
        <v>0</v>
      </c>
      <c r="AC386" s="5">
        <f t="shared" si="182"/>
        <v>0</v>
      </c>
      <c r="AD386" s="5">
        <f t="shared" si="183"/>
        <v>0</v>
      </c>
      <c r="AE386" s="5">
        <f t="shared" si="184"/>
        <v>10504.376823676535</v>
      </c>
      <c r="AF386" s="5">
        <f t="shared" si="185"/>
        <v>0</v>
      </c>
      <c r="AG386" s="5">
        <f t="shared" si="186"/>
        <v>0</v>
      </c>
      <c r="AH386" s="5">
        <f t="shared" si="187"/>
        <v>0</v>
      </c>
      <c r="AI386" s="5">
        <f t="shared" si="188"/>
        <v>0</v>
      </c>
      <c r="AJ386" s="5">
        <f t="shared" si="189"/>
        <v>0</v>
      </c>
      <c r="AK386" s="5">
        <f>IFERROR(SUM(X386:AJ386),-5000)*((Cockpit!$C$3)^0)</f>
        <v>5504.3768236765354</v>
      </c>
      <c r="AL386" s="16">
        <f>INDEX('Team forecast'!$B$2:$AO$26,MATCH('Master data'!$B386,'Team forecast'!$B$2:$B$26,0),MATCH('Master data'!AL$1,'Team forecast'!$B$2:$AO$2,0))</f>
        <v>1.5687475343836428</v>
      </c>
      <c r="AM386" s="16">
        <f>INDEX('Team forecast'!$B$2:$AO$26,MATCH('Master data'!$B386,'Team forecast'!$B$2:$B$26,0),MATCH('Master data'!AM$1,'Team forecast'!$B$2:$AO$2,0))</f>
        <v>0.75781731816731412</v>
      </c>
      <c r="AN386" s="16">
        <f>INDEX('Team forecast'!$B$2:$AO$26,MATCH('Master data'!$B386,'Team forecast'!$B$2:$B$26,0),MATCH('Master data'!AN$1,'Team forecast'!$B$2:$AO$2,0))</f>
        <v>0.46868830883965779</v>
      </c>
      <c r="AO386" s="16">
        <f>INDEX('Team forecast'!$B$2:$AO$26,MATCH('Master data'!$B386,'Team forecast'!$B$2:$B$26,0),MATCH('Master data'!AO$1,'Team forecast'!$B$2:$AO$2,0))</f>
        <v>5.3425178268869509</v>
      </c>
      <c r="AP386" s="16">
        <f>INDEX('Team forecast'!$B$2:$AO$26,MATCH('Master data'!$B386,'Team forecast'!$B$2:$B$26,0),MATCH('Master data'!AP$1,'Team forecast'!$B$2:$AO$2,0))</f>
        <v>2.1494454842563817</v>
      </c>
      <c r="AQ386" s="5">
        <f t="shared" si="190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191"/>
        <v>0</v>
      </c>
      <c r="AV386" s="5">
        <f t="shared" si="192"/>
        <v>0</v>
      </c>
      <c r="AW386" s="5">
        <f t="shared" si="193"/>
        <v>0</v>
      </c>
      <c r="AX386" s="5">
        <f t="shared" si="194"/>
        <v>23434.415441982888</v>
      </c>
      <c r="AY386" s="5">
        <f t="shared" si="195"/>
        <v>0</v>
      </c>
      <c r="AZ386" s="5">
        <f t="shared" si="196"/>
        <v>0</v>
      </c>
      <c r="BA386" s="5">
        <f t="shared" si="197"/>
        <v>0</v>
      </c>
      <c r="BB386" s="5">
        <f t="shared" si="198"/>
        <v>0</v>
      </c>
      <c r="BC386" s="5">
        <f t="shared" si="199"/>
        <v>0</v>
      </c>
      <c r="BD386" s="5">
        <f t="shared" si="200"/>
        <v>18434.415441982888</v>
      </c>
      <c r="BE386" s="16">
        <f>INDEX('Team forecast'!$B$2:$AO$26,MATCH('Master data'!$B386,'Team forecast'!$B$2:$B$26,0),MATCH('Master data'!BE$1,'Team forecast'!$B$2:$AO$2,0))</f>
        <v>0.95602347631827322</v>
      </c>
      <c r="BF386" s="16">
        <f>INDEX('Team forecast'!$B$2:$AO$26,MATCH('Master data'!$B386,'Team forecast'!$B$2:$B$26,0),MATCH('Master data'!BF$1,'Team forecast'!$B$2:$AO$2,0))</f>
        <v>1.5053002864585165</v>
      </c>
      <c r="BG386" s="16">
        <f>INDEX('Team forecast'!$B$2:$AO$26,MATCH('Master data'!$B386,'Team forecast'!$B$2:$B$26,0),MATCH('Master data'!BG$1,'Team forecast'!$B$2:$AO$2,0))</f>
        <v>0.22195063505392029</v>
      </c>
      <c r="BH386" s="16">
        <f>INDEX('Team forecast'!$B$2:$AO$26,MATCH('Master data'!$B386,'Team forecast'!$B$2:$B$26,0),MATCH('Master data'!BH$1,'Team forecast'!$B$2:$AO$2,0))</f>
        <v>3.2558282025664269</v>
      </c>
      <c r="BI386" s="16">
        <f>INDEX('Team forecast'!$B$2:$AO$26,MATCH('Master data'!$B386,'Team forecast'!$B$2:$B$26,0),MATCH('Master data'!BI$1,'Team forecast'!$B$2:$AO$2,0))</f>
        <v>4.2695789943187012</v>
      </c>
      <c r="BJ386" s="5">
        <f t="shared" si="201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202"/>
        <v>0</v>
      </c>
      <c r="BO386" s="5">
        <f t="shared" si="203"/>
        <v>0</v>
      </c>
      <c r="BP386" s="5">
        <f t="shared" si="204"/>
        <v>0</v>
      </c>
      <c r="BQ386" s="5">
        <f t="shared" si="205"/>
        <v>11097.531752696015</v>
      </c>
      <c r="BR386" s="5">
        <f t="shared" si="206"/>
        <v>0</v>
      </c>
      <c r="BS386" s="5">
        <f t="shared" si="207"/>
        <v>0</v>
      </c>
      <c r="BT386" s="5">
        <f t="shared" si="208"/>
        <v>0</v>
      </c>
      <c r="BU386" s="5">
        <f t="shared" si="209"/>
        <v>0</v>
      </c>
      <c r="BV386" s="5">
        <f t="shared" si="210"/>
        <v>0</v>
      </c>
      <c r="BW386" s="5">
        <f t="shared" si="211"/>
        <v>6097.5317526960152</v>
      </c>
      <c r="BX386" s="5">
        <f t="shared" si="212"/>
        <v>10012.108006118478</v>
      </c>
      <c r="BY386" s="5">
        <f t="shared" si="213"/>
        <v>30036.324018355437</v>
      </c>
      <c r="BZ386" s="5">
        <f>INDEX('Team forecast'!$R$3:$BH$26,MATCH($B386,'Team forecast'!$B$3:$B$26,0),MATCH(BZ$1,'Team forecast'!$R$2:$BH$2,0))*($BX386-(BY386+CH386)*0.01)</f>
        <v>-6609.9986787034659</v>
      </c>
      <c r="CA386" s="5">
        <f>INDEX('Team forecast'!$R$3:$BH$26,MATCH($B386,'Team forecast'!$B$3:$B$26,0),MATCH(CA$1,'Team forecast'!$R$2:$BH$2,0))*($BX386-(BY386+BX386+CH386)*0.01)</f>
        <v>-3276.1497233691493</v>
      </c>
      <c r="CB386" s="5">
        <f>INDEX('Team forecast'!$R$3:$BH$26,MATCH($B386,'Team forecast'!$B$3:$B$26,0),MATCH(CB$1,'Team forecast'!$R$2:$BH$2,0))*($BX386-(BY386+BX386*2+CH386)*0.01)</f>
        <v>-1595.8853184123957</v>
      </c>
      <c r="CC386" s="5">
        <f>INDEX('Team forecast'!$R$3:$BH$26,MATCH($B386,'Team forecast'!$B$3:$B$26,0),MATCH(CC$1,'Team forecast'!$R$2:$BH$2,0))*($BX386-(BY386+BX386*3+CH386)*0.01)</f>
        <v>-730.0862281496652</v>
      </c>
      <c r="CD386" s="5">
        <f>+AK386+BD386*Cockpit!$C$3+BW386*Cockpit!$C$3^2+BZ386*Cockpit!$C$3^3+CA386*Cockpit!$C$3^4+CB386*Cockpit!$C$3^5+CC386*Cockpit!$C$3^6</f>
        <v>17624.089318522791</v>
      </c>
      <c r="CE386" s="5"/>
      <c r="CF386" s="5"/>
      <c r="CG386" s="5">
        <v>0</v>
      </c>
      <c r="CH386" s="5">
        <f t="shared" si="214"/>
        <v>2000000</v>
      </c>
      <c r="CI386" s="5">
        <f t="shared" si="215"/>
        <v>2000000</v>
      </c>
      <c r="CJ386" s="1">
        <f t="shared" si="216"/>
        <v>1.5018162009177719E-2</v>
      </c>
      <c r="CK386" s="5">
        <f>RANK(BY386,$BY$2:$BY$623)+COUNTIF($BY$2:$BY386,$BY386)-1</f>
        <v>353</v>
      </c>
      <c r="CL386" s="5">
        <f>RANK(CJ386,$CJ$2:$CJ$623)+COUNTIF($CJ$2:$CJ386,$CJ386)-1</f>
        <v>306</v>
      </c>
    </row>
    <row r="387" spans="1:90">
      <c r="A387" t="str">
        <f>Players!P388</f>
        <v>Denis Makarov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2500000</v>
      </c>
      <c r="H387" s="16">
        <f>INDEX('Team forecast'!$B$2:$AO$26,MATCH('Master data'!$B387,'Team forecast'!$B$2:$B$26,0),MATCH('Master data'!H$1,'Team forecast'!$B$2:$AO$2,0))</f>
        <v>0.84461095835632183</v>
      </c>
      <c r="I387" s="16">
        <f>INDEX('Team forecast'!$B$2:$AO$26,MATCH('Master data'!$B387,'Team forecast'!$B$2:$B$26,0),MATCH('Master data'!I$1,'Team forecast'!$B$2:$AO$2,0))</f>
        <v>1.5602309947683257</v>
      </c>
      <c r="J387" s="16">
        <f>INDEX('Team forecast'!$B$2:$AO$26,MATCH('Master data'!$B387,'Team forecast'!$B$2:$B$26,0),MATCH('Master data'!J$1,'Team forecast'!$B$2:$AO$2,0))</f>
        <v>0.21008753647353071</v>
      </c>
      <c r="K387" s="16">
        <f>INDEX('Team forecast'!$B$2:$AO$26,MATCH('Master data'!$B387,'Team forecast'!$B$2:$B$26,0),MATCH('Master data'!K$1,'Team forecast'!$B$2:$AO$2,0))</f>
        <v>2.876402354682019</v>
      </c>
      <c r="L387" s="16">
        <f>INDEX('Team forecast'!$B$2:$AO$26,MATCH('Master data'!$B387,'Team forecast'!$B$2:$B$26,0),MATCH('Master data'!L$1,'Team forecast'!$B$2:$AO$2,0))</f>
        <v>4.4253824578883423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0.63356236786469344</v>
      </c>
      <c r="R387" s="2">
        <f>Players!BR388</f>
        <v>0</v>
      </c>
      <c r="S387" s="2">
        <f t="shared" ref="S387:S450" si="217">H387</f>
        <v>0.84461095835632183</v>
      </c>
      <c r="T387" s="2">
        <f t="shared" ref="T387:T450" si="218">I387</f>
        <v>1.5602309947683257</v>
      </c>
      <c r="U387" s="16">
        <f>INDEX('Team forecast'!$B$2:$AO$26,MATCH('Master data'!$B387,'Team forecast'!$B$2:$B$26,0),MATCH('Master data'!U$1,'Team forecast'!$B$2:$AO$2,0))</f>
        <v>0.18007503126302629</v>
      </c>
      <c r="V387" s="16">
        <f>INDEX('Team forecast'!$B$2:$AO$26,MATCH('Master data'!$B387,'Team forecast'!$B$2:$B$26,0),MATCH('Master data'!V$1,'Team forecast'!$B$2:$AO$2,0))</f>
        <v>0.23634847853272201</v>
      </c>
      <c r="W387" s="16">
        <f>INDEX('Team forecast'!$B$2:$AO$26,MATCH('Master data'!$B387,'Team forecast'!$B$2:$B$26,0),MATCH('Master data'!W$1,'Team forecast'!$B$2:$AO$2,0))</f>
        <v>0.58357649020425184</v>
      </c>
      <c r="X387" s="5">
        <f t="shared" ref="X387:X450" si="219">IF(M387&gt;95,7000*2,IF(M387&gt;0,7000,-5000))</f>
        <v>-5000</v>
      </c>
      <c r="Y387" s="5">
        <f t="shared" ref="Y387:Y450" si="220">IF($X387&gt;0,U387*25000,0)</f>
        <v>0</v>
      </c>
      <c r="Z387" s="5">
        <f t="shared" ref="Z387:Z450" si="221">IF($X387&gt;0,V387*5000,0)</f>
        <v>0</v>
      </c>
      <c r="AA387" s="5">
        <f t="shared" ref="AA387:AA450" si="222">IF($X387&gt;0,W387*(-15000),0)</f>
        <v>0</v>
      </c>
      <c r="AB387" s="5">
        <f t="shared" ref="AB387:AB450" si="223">IF($C387="Defense",$N387*150000,IF($C387="Midfield",$N387*125000,IF($C387="Striker",$N387*100000,0)))*$H387</f>
        <v>0</v>
      </c>
      <c r="AC387" s="5">
        <f t="shared" ref="AC387:AC450" si="224">$O387*50000*H387</f>
        <v>0</v>
      </c>
      <c r="AD387" s="5">
        <f t="shared" ref="AD387:AD450" si="225">$P387*K387*10000</f>
        <v>0</v>
      </c>
      <c r="AE387" s="5">
        <f t="shared" ref="AE387:AE450" si="226">IF($C387="Goalkeeper",J387*75000,IF($C387="Defense",J387*50000,0))</f>
        <v>0</v>
      </c>
      <c r="AF387" s="5">
        <f t="shared" ref="AF387:AF450" si="227">IF($C387="Goalkeeper",(L387-I387)*5000,0)</f>
        <v>0</v>
      </c>
      <c r="AG387" s="5">
        <f t="shared" ref="AG387:AG450" si="228">IF(M387&gt;0,Q387*(-20000),0)</f>
        <v>0</v>
      </c>
      <c r="AH387" s="5">
        <f t="shared" ref="AH387:AH450" si="229">IF(M387&gt;0,R387*(-50000),0)</f>
        <v>0</v>
      </c>
      <c r="AI387" s="5">
        <f t="shared" ref="AI387:AI450" si="230">IF(M387&gt;0,S387*10000,0)</f>
        <v>0</v>
      </c>
      <c r="AJ387" s="5">
        <f t="shared" ref="AJ387:AJ450" si="231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1.5687475343836428</v>
      </c>
      <c r="AM387" s="16">
        <f>INDEX('Team forecast'!$B$2:$AO$26,MATCH('Master data'!$B387,'Team forecast'!$B$2:$B$26,0),MATCH('Master data'!AM$1,'Team forecast'!$B$2:$AO$2,0))</f>
        <v>0.75781731816731412</v>
      </c>
      <c r="AN387" s="16">
        <f>INDEX('Team forecast'!$B$2:$AO$26,MATCH('Master data'!$B387,'Team forecast'!$B$2:$B$26,0),MATCH('Master data'!AN$1,'Team forecast'!$B$2:$AO$2,0))</f>
        <v>0.46868830883965779</v>
      </c>
      <c r="AO387" s="16">
        <f>INDEX('Team forecast'!$B$2:$AO$26,MATCH('Master data'!$B387,'Team forecast'!$B$2:$B$26,0),MATCH('Master data'!AO$1,'Team forecast'!$B$2:$AO$2,0))</f>
        <v>5.3425178268869509</v>
      </c>
      <c r="AP387" s="16">
        <f>INDEX('Team forecast'!$B$2:$AO$26,MATCH('Master data'!$B387,'Team forecast'!$B$2:$B$26,0),MATCH('Master data'!AP$1,'Team forecast'!$B$2:$AO$2,0))</f>
        <v>2.1494454842563817</v>
      </c>
      <c r="AQ387" s="5">
        <f t="shared" ref="AQ387:AQ450" si="232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233">IF($C387="Defense",$N387*150000,IF($C387="Midfield",$N387*125000,IF($C387="Striker",$N387*100000,0)))*$AL387</f>
        <v>0</v>
      </c>
      <c r="AV387" s="5">
        <f t="shared" ref="AV387:AV450" si="234">$O387*50000*AL387</f>
        <v>0</v>
      </c>
      <c r="AW387" s="5">
        <f t="shared" ref="AW387:AW450" si="235">$P387*AO387*10000</f>
        <v>0</v>
      </c>
      <c r="AX387" s="5">
        <f t="shared" ref="AX387:AX450" si="236">IF($C387="Goalkeeper",AN387*75000,IF($C387="Defense",AN387*50000,0))</f>
        <v>0</v>
      </c>
      <c r="AY387" s="5">
        <f t="shared" ref="AY387:AY450" si="237">IF($C387="Goalkeeper",(AP387-AM387)*5000,0)</f>
        <v>0</v>
      </c>
      <c r="AZ387" s="5">
        <f t="shared" ref="AZ387:AZ450" si="238">$AG387</f>
        <v>0</v>
      </c>
      <c r="BA387" s="5">
        <f t="shared" ref="BA387:BA450" si="239">$AH387</f>
        <v>0</v>
      </c>
      <c r="BB387" s="5">
        <f t="shared" ref="BB387:BB450" si="240">IF(X387&gt;0,AL387*10000,0)</f>
        <v>0</v>
      </c>
      <c r="BC387" s="5">
        <f t="shared" ref="BC387:BC450" si="241">IF(X387&gt;0,AM387*(-8000),0)</f>
        <v>0</v>
      </c>
      <c r="BD387" s="5">
        <f t="shared" ref="BD387:BD450" si="242">IFERROR(SUM(AQ387:BC387),0)</f>
        <v>-5000</v>
      </c>
      <c r="BE387" s="16">
        <f>INDEX('Team forecast'!$B$2:$AO$26,MATCH('Master data'!$B387,'Team forecast'!$B$2:$B$26,0),MATCH('Master data'!BE$1,'Team forecast'!$B$2:$AO$2,0))</f>
        <v>0.95602347631827322</v>
      </c>
      <c r="BF387" s="16">
        <f>INDEX('Team forecast'!$B$2:$AO$26,MATCH('Master data'!$B387,'Team forecast'!$B$2:$B$26,0),MATCH('Master data'!BF$1,'Team forecast'!$B$2:$AO$2,0))</f>
        <v>1.5053002864585165</v>
      </c>
      <c r="BG387" s="16">
        <f>INDEX('Team forecast'!$B$2:$AO$26,MATCH('Master data'!$B387,'Team forecast'!$B$2:$B$26,0),MATCH('Master data'!BG$1,'Team forecast'!$B$2:$AO$2,0))</f>
        <v>0.22195063505392029</v>
      </c>
      <c r="BH387" s="16">
        <f>INDEX('Team forecast'!$B$2:$AO$26,MATCH('Master data'!$B387,'Team forecast'!$B$2:$B$26,0),MATCH('Master data'!BH$1,'Team forecast'!$B$2:$AO$2,0))</f>
        <v>3.2558282025664269</v>
      </c>
      <c r="BI387" s="16">
        <f>INDEX('Team forecast'!$B$2:$AO$26,MATCH('Master data'!$B387,'Team forecast'!$B$2:$B$26,0),MATCH('Master data'!BI$1,'Team forecast'!$B$2:$AO$2,0))</f>
        <v>4.2695789943187012</v>
      </c>
      <c r="BJ387" s="5">
        <f t="shared" ref="BJ387:BJ450" si="243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244">IF($C387="Defense",$N387*150000,IF($C387="Midfield",$N387*125000,IF($C387="Striker",$N387*100000,0)))*$BE387</f>
        <v>0</v>
      </c>
      <c r="BO387" s="5">
        <f t="shared" ref="BO387:BO450" si="245">$O387*50000*$BE387</f>
        <v>0</v>
      </c>
      <c r="BP387" s="5">
        <f t="shared" ref="BP387:BP450" si="246">$P387*BH387*10000</f>
        <v>0</v>
      </c>
      <c r="BQ387" s="5">
        <f t="shared" ref="BQ387:BQ450" si="247">IF($C387="Goalkeeper",BG387*75000,IF($C387="Defense",BG387*50000,0))</f>
        <v>0</v>
      </c>
      <c r="BR387" s="5">
        <f t="shared" ref="BR387:BR450" si="248">IF($C387="Goalkeeper",(BI387-BF387)*5000,0)</f>
        <v>0</v>
      </c>
      <c r="BS387" s="5">
        <f t="shared" ref="BS387:BS450" si="249">$AG387</f>
        <v>0</v>
      </c>
      <c r="BT387" s="5">
        <f t="shared" ref="BT387:BT450" si="250">$AH387</f>
        <v>0</v>
      </c>
      <c r="BU387" s="5">
        <f t="shared" ref="BU387:BU450" si="251">IF(AQ387&gt;0,BE387*10000,0)</f>
        <v>0</v>
      </c>
      <c r="BV387" s="5">
        <f t="shared" ref="BV387:BV450" si="252">IF(AQ387&gt;0,BF387*(-8000),0)</f>
        <v>0</v>
      </c>
      <c r="BW387" s="5">
        <f t="shared" ref="BW387:BW450" si="253">IFERROR(SUM(BJ387:BV387),0)</f>
        <v>-5000</v>
      </c>
      <c r="BX387" s="5">
        <f t="shared" ref="BX387:BX450" si="254">AVERAGE(AK387,BD387,BW387)</f>
        <v>-5000</v>
      </c>
      <c r="BY387" s="5">
        <f t="shared" ref="BY387:BY450" si="255">BX387*3</f>
        <v>-15000</v>
      </c>
      <c r="BZ387" s="5">
        <f>INDEX('Team forecast'!$R$3:$BH$26,MATCH($B387,'Team forecast'!$B$3:$B$26,0),MATCH(BZ$1,'Team forecast'!$R$2:$BH$2,0))*($BX387-(BY387+CH387)*0.01)</f>
        <v>-19178.029322794926</v>
      </c>
      <c r="CA387" s="5">
        <f>INDEX('Team forecast'!$R$3:$BH$26,MATCH($B387,'Team forecast'!$B$3:$B$26,0),MATCH(CA$1,'Team forecast'!$R$2:$BH$2,0))*($BX387-(BY387+BX387+CH387)*0.01)</f>
        <v>-9397.9327282977792</v>
      </c>
      <c r="CB387" s="5">
        <f>INDEX('Team forecast'!$R$3:$BH$26,MATCH($B387,'Team forecast'!$B$3:$B$26,0),MATCH(CB$1,'Team forecast'!$R$2:$BH$2,0))*($BX387-(BY387+BX387*2+CH387)*0.01)</f>
        <v>-4526.6339341496214</v>
      </c>
      <c r="CC387" s="5">
        <f>INDEX('Team forecast'!$R$3:$BH$26,MATCH($B387,'Team forecast'!$B$3:$B$26,0),MATCH(CC$1,'Team forecast'!$R$2:$BH$2,0))*($BX387-(BY387+BX387*3+CH387)*0.01)</f>
        <v>-2047.8177610024545</v>
      </c>
      <c r="CD387" s="5">
        <f>+AK387+BD387*Cockpit!$C$3+BW387*Cockpit!$C$3^2+BZ387*Cockpit!$C$3^3+CA387*Cockpit!$C$3^4+CB387*Cockpit!$C$3^5+CC387*Cockpit!$C$3^6</f>
        <v>-18870.197312731281</v>
      </c>
      <c r="CE387" s="5"/>
      <c r="CF387" s="5"/>
      <c r="CG387" s="5">
        <v>0</v>
      </c>
      <c r="CH387" s="5">
        <f t="shared" ref="CH387:CH450" si="256">+G387+CG387</f>
        <v>2500000</v>
      </c>
      <c r="CI387" s="5">
        <f t="shared" ref="CI387:CI450" si="257">CH387</f>
        <v>2500000</v>
      </c>
      <c r="CJ387" s="1">
        <f t="shared" ref="CJ387:CJ450" si="258">IFERROR(BY387/CI387,-100%)</f>
        <v>-6.0000000000000001E-3</v>
      </c>
      <c r="CK387" s="5">
        <f>RANK(BY387,$BY$2:$BY$623)+COUNTIF($BY$2:$BY387,$BY387)-1</f>
        <v>536</v>
      </c>
      <c r="CL387" s="5">
        <f>RANK(CJ387,$CJ$2:$CJ$623)+COUNTIF($CJ$2:$CJ387,$CJ387)-1</f>
        <v>549</v>
      </c>
    </row>
    <row r="388" spans="1:90">
      <c r="A388" t="str">
        <f>Players!P389</f>
        <v>Daniil Fomin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0.84461095835632183</v>
      </c>
      <c r="I388" s="16">
        <f>INDEX('Team forecast'!$B$2:$AO$26,MATCH('Master data'!$B388,'Team forecast'!$B$2:$B$26,0),MATCH('Master data'!I$1,'Team forecast'!$B$2:$AO$2,0))</f>
        <v>1.5602309947683257</v>
      </c>
      <c r="J388" s="16">
        <f>INDEX('Team forecast'!$B$2:$AO$26,MATCH('Master data'!$B388,'Team forecast'!$B$2:$B$26,0),MATCH('Master data'!J$1,'Team forecast'!$B$2:$AO$2,0))</f>
        <v>0.21008753647353071</v>
      </c>
      <c r="K388" s="16">
        <f>INDEX('Team forecast'!$B$2:$AO$26,MATCH('Master data'!$B388,'Team forecast'!$B$2:$B$26,0),MATCH('Master data'!K$1,'Team forecast'!$B$2:$AO$2,0))</f>
        <v>2.876402354682019</v>
      </c>
      <c r="L388" s="16">
        <f>INDEX('Team forecast'!$B$2:$AO$26,MATCH('Master data'!$B388,'Team forecast'!$B$2:$B$26,0),MATCH('Master data'!L$1,'Team forecast'!$B$2:$AO$2,0))</f>
        <v>4.4253824578883423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0.11063664596273293</v>
      </c>
      <c r="R388" s="2">
        <f>Players!BR389</f>
        <v>0</v>
      </c>
      <c r="S388" s="2">
        <f t="shared" si="217"/>
        <v>0.84461095835632183</v>
      </c>
      <c r="T388" s="2">
        <f t="shared" si="218"/>
        <v>1.5602309947683257</v>
      </c>
      <c r="U388" s="16">
        <f>INDEX('Team forecast'!$B$2:$AO$26,MATCH('Master data'!$B388,'Team forecast'!$B$2:$B$26,0),MATCH('Master data'!U$1,'Team forecast'!$B$2:$AO$2,0))</f>
        <v>0.18007503126302629</v>
      </c>
      <c r="V388" s="16">
        <f>INDEX('Team forecast'!$B$2:$AO$26,MATCH('Master data'!$B388,'Team forecast'!$B$2:$B$26,0),MATCH('Master data'!V$1,'Team forecast'!$B$2:$AO$2,0))</f>
        <v>0.23634847853272201</v>
      </c>
      <c r="W388" s="16">
        <f>INDEX('Team forecast'!$B$2:$AO$26,MATCH('Master data'!$B388,'Team forecast'!$B$2:$B$26,0),MATCH('Master data'!W$1,'Team forecast'!$B$2:$AO$2,0))</f>
        <v>0.58357649020425184</v>
      </c>
      <c r="X388" s="5">
        <f t="shared" si="219"/>
        <v>-5000</v>
      </c>
      <c r="Y388" s="5">
        <f t="shared" si="220"/>
        <v>0</v>
      </c>
      <c r="Z388" s="5">
        <f t="shared" si="221"/>
        <v>0</v>
      </c>
      <c r="AA388" s="5">
        <f t="shared" si="222"/>
        <v>0</v>
      </c>
      <c r="AB388" s="5">
        <f t="shared" si="223"/>
        <v>0</v>
      </c>
      <c r="AC388" s="5">
        <f t="shared" si="224"/>
        <v>0</v>
      </c>
      <c r="AD388" s="5">
        <f t="shared" si="225"/>
        <v>0</v>
      </c>
      <c r="AE388" s="5">
        <f t="shared" si="226"/>
        <v>0</v>
      </c>
      <c r="AF388" s="5">
        <f t="shared" si="227"/>
        <v>0</v>
      </c>
      <c r="AG388" s="5">
        <f t="shared" si="228"/>
        <v>0</v>
      </c>
      <c r="AH388" s="5">
        <f t="shared" si="229"/>
        <v>0</v>
      </c>
      <c r="AI388" s="5">
        <f t="shared" si="230"/>
        <v>0</v>
      </c>
      <c r="AJ388" s="5">
        <f t="shared" si="231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1.5687475343836428</v>
      </c>
      <c r="AM388" s="16">
        <f>INDEX('Team forecast'!$B$2:$AO$26,MATCH('Master data'!$B388,'Team forecast'!$B$2:$B$26,0),MATCH('Master data'!AM$1,'Team forecast'!$B$2:$AO$2,0))</f>
        <v>0.75781731816731412</v>
      </c>
      <c r="AN388" s="16">
        <f>INDEX('Team forecast'!$B$2:$AO$26,MATCH('Master data'!$B388,'Team forecast'!$B$2:$B$26,0),MATCH('Master data'!AN$1,'Team forecast'!$B$2:$AO$2,0))</f>
        <v>0.46868830883965779</v>
      </c>
      <c r="AO388" s="16">
        <f>INDEX('Team forecast'!$B$2:$AO$26,MATCH('Master data'!$B388,'Team forecast'!$B$2:$B$26,0),MATCH('Master data'!AO$1,'Team forecast'!$B$2:$AO$2,0))</f>
        <v>5.3425178268869509</v>
      </c>
      <c r="AP388" s="16">
        <f>INDEX('Team forecast'!$B$2:$AO$26,MATCH('Master data'!$B388,'Team forecast'!$B$2:$B$26,0),MATCH('Master data'!AP$1,'Team forecast'!$B$2:$AO$2,0))</f>
        <v>2.1494454842563817</v>
      </c>
      <c r="AQ388" s="5">
        <f t="shared" si="232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233"/>
        <v>0</v>
      </c>
      <c r="AV388" s="5">
        <f t="shared" si="234"/>
        <v>0</v>
      </c>
      <c r="AW388" s="5">
        <f t="shared" si="235"/>
        <v>0</v>
      </c>
      <c r="AX388" s="5">
        <f t="shared" si="236"/>
        <v>0</v>
      </c>
      <c r="AY388" s="5">
        <f t="shared" si="237"/>
        <v>0</v>
      </c>
      <c r="AZ388" s="5">
        <f t="shared" si="238"/>
        <v>0</v>
      </c>
      <c r="BA388" s="5">
        <f t="shared" si="239"/>
        <v>0</v>
      </c>
      <c r="BB388" s="5">
        <f t="shared" si="240"/>
        <v>0</v>
      </c>
      <c r="BC388" s="5">
        <f t="shared" si="241"/>
        <v>0</v>
      </c>
      <c r="BD388" s="5">
        <f t="shared" si="242"/>
        <v>-5000</v>
      </c>
      <c r="BE388" s="16">
        <f>INDEX('Team forecast'!$B$2:$AO$26,MATCH('Master data'!$B388,'Team forecast'!$B$2:$B$26,0),MATCH('Master data'!BE$1,'Team forecast'!$B$2:$AO$2,0))</f>
        <v>0.95602347631827322</v>
      </c>
      <c r="BF388" s="16">
        <f>INDEX('Team forecast'!$B$2:$AO$26,MATCH('Master data'!$B388,'Team forecast'!$B$2:$B$26,0),MATCH('Master data'!BF$1,'Team forecast'!$B$2:$AO$2,0))</f>
        <v>1.5053002864585165</v>
      </c>
      <c r="BG388" s="16">
        <f>INDEX('Team forecast'!$B$2:$AO$26,MATCH('Master data'!$B388,'Team forecast'!$B$2:$B$26,0),MATCH('Master data'!BG$1,'Team forecast'!$B$2:$AO$2,0))</f>
        <v>0.22195063505392029</v>
      </c>
      <c r="BH388" s="16">
        <f>INDEX('Team forecast'!$B$2:$AO$26,MATCH('Master data'!$B388,'Team forecast'!$B$2:$B$26,0),MATCH('Master data'!BH$1,'Team forecast'!$B$2:$AO$2,0))</f>
        <v>3.2558282025664269</v>
      </c>
      <c r="BI388" s="16">
        <f>INDEX('Team forecast'!$B$2:$AO$26,MATCH('Master data'!$B388,'Team forecast'!$B$2:$B$26,0),MATCH('Master data'!BI$1,'Team forecast'!$B$2:$AO$2,0))</f>
        <v>4.2695789943187012</v>
      </c>
      <c r="BJ388" s="5">
        <f t="shared" si="243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244"/>
        <v>0</v>
      </c>
      <c r="BO388" s="5">
        <f t="shared" si="245"/>
        <v>0</v>
      </c>
      <c r="BP388" s="5">
        <f t="shared" si="246"/>
        <v>0</v>
      </c>
      <c r="BQ388" s="5">
        <f t="shared" si="247"/>
        <v>0</v>
      </c>
      <c r="BR388" s="5">
        <f t="shared" si="248"/>
        <v>0</v>
      </c>
      <c r="BS388" s="5">
        <f t="shared" si="249"/>
        <v>0</v>
      </c>
      <c r="BT388" s="5">
        <f t="shared" si="250"/>
        <v>0</v>
      </c>
      <c r="BU388" s="5">
        <f t="shared" si="251"/>
        <v>0</v>
      </c>
      <c r="BV388" s="5">
        <f t="shared" si="252"/>
        <v>0</v>
      </c>
      <c r="BW388" s="5">
        <f t="shared" si="253"/>
        <v>-5000</v>
      </c>
      <c r="BX388" s="5">
        <f t="shared" si="254"/>
        <v>-5000</v>
      </c>
      <c r="BY388" s="5">
        <f t="shared" si="255"/>
        <v>-15000</v>
      </c>
      <c r="BZ388" s="5">
        <f>INDEX('Team forecast'!$R$3:$BH$26,MATCH($B388,'Team forecast'!$B$3:$B$26,0),MATCH(BZ$1,'Team forecast'!$R$2:$BH$2,0))*($BX388-(BY388+CH388)*0.01)</f>
        <v>-15965.629101221237</v>
      </c>
      <c r="CA388" s="5">
        <f>INDEX('Team forecast'!$R$3:$BH$26,MATCH($B388,'Team forecast'!$B$3:$B$26,0),MATCH(CA$1,'Team forecast'!$R$2:$BH$2,0))*($BX388-(BY388+BX388+CH388)*0.01)</f>
        <v>-7821.0983779122453</v>
      </c>
      <c r="CB388" s="5">
        <f>INDEX('Team forecast'!$R$3:$BH$26,MATCH($B388,'Team forecast'!$B$3:$B$26,0),MATCH(CB$1,'Team forecast'!$R$2:$BH$2,0))*($BX388-(BY388+BX388*2+CH388)*0.01)</f>
        <v>-3765.8551216874998</v>
      </c>
      <c r="CC388" s="5">
        <f>INDEX('Team forecast'!$R$3:$BH$26,MATCH($B388,'Team forecast'!$B$3:$B$26,0),MATCH(CC$1,'Team forecast'!$R$2:$BH$2,0))*($BX388-(BY388+BX388*3+CH388)*0.01)</f>
        <v>-1703.0672961872265</v>
      </c>
      <c r="CD388" s="5">
        <f>+AK388+BD388*Cockpit!$C$3+BW388*Cockpit!$C$3^2+BZ388*Cockpit!$C$3^3+CA388*Cockpit!$C$3^4+CB388*Cockpit!$C$3^5+CC388*Cockpit!$C$3^6</f>
        <v>-17476.450549960402</v>
      </c>
      <c r="CE388" s="5"/>
      <c r="CF388" s="5"/>
      <c r="CG388" s="5">
        <v>0</v>
      </c>
      <c r="CH388" s="5">
        <f t="shared" si="256"/>
        <v>2000000</v>
      </c>
      <c r="CI388" s="5">
        <f t="shared" si="257"/>
        <v>2000000</v>
      </c>
      <c r="CJ388" s="1">
        <f t="shared" si="258"/>
        <v>-7.4999999999999997E-3</v>
      </c>
      <c r="CK388" s="5">
        <f>RANK(BY388,$BY$2:$BY$623)+COUNTIF($BY$2:$BY388,$BY388)-1</f>
        <v>537</v>
      </c>
      <c r="CL388" s="5">
        <f>RANK(CJ388,$CJ$2:$CJ$623)+COUNTIF($CJ$2:$CJ388,$CJ388)-1</f>
        <v>588</v>
      </c>
    </row>
    <row r="389" spans="1:90">
      <c r="A389" t="str">
        <f>Players!P390</f>
        <v>Dmitri Barinov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2000000</v>
      </c>
      <c r="H389" s="16">
        <f>INDEX('Team forecast'!$B$2:$AO$26,MATCH('Master data'!$B389,'Team forecast'!$B$2:$B$26,0),MATCH('Master data'!H$1,'Team forecast'!$B$2:$AO$2,0))</f>
        <v>0.84461095835632183</v>
      </c>
      <c r="I389" s="16">
        <f>INDEX('Team forecast'!$B$2:$AO$26,MATCH('Master data'!$B389,'Team forecast'!$B$2:$B$26,0),MATCH('Master data'!I$1,'Team forecast'!$B$2:$AO$2,0))</f>
        <v>1.5602309947683257</v>
      </c>
      <c r="J389" s="16">
        <f>INDEX('Team forecast'!$B$2:$AO$26,MATCH('Master data'!$B389,'Team forecast'!$B$2:$B$26,0),MATCH('Master data'!J$1,'Team forecast'!$B$2:$AO$2,0))</f>
        <v>0.21008753647353071</v>
      </c>
      <c r="K389" s="16">
        <f>INDEX('Team forecast'!$B$2:$AO$26,MATCH('Master data'!$B389,'Team forecast'!$B$2:$B$26,0),MATCH('Master data'!K$1,'Team forecast'!$B$2:$AO$2,0))</f>
        <v>2.876402354682019</v>
      </c>
      <c r="L389" s="16">
        <f>INDEX('Team forecast'!$B$2:$AO$26,MATCH('Master data'!$B389,'Team forecast'!$B$2:$B$26,0),MATCH('Master data'!L$1,'Team forecast'!$B$2:$AO$2,0))</f>
        <v>4.4253824578883423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0.3954050029779631</v>
      </c>
      <c r="R389" s="2">
        <f>Players!BR390</f>
        <v>0</v>
      </c>
      <c r="S389" s="2">
        <f t="shared" si="217"/>
        <v>0.84461095835632183</v>
      </c>
      <c r="T389" s="2">
        <f t="shared" si="218"/>
        <v>1.5602309947683257</v>
      </c>
      <c r="U389" s="16">
        <f>INDEX('Team forecast'!$B$2:$AO$26,MATCH('Master data'!$B389,'Team forecast'!$B$2:$B$26,0),MATCH('Master data'!U$1,'Team forecast'!$B$2:$AO$2,0))</f>
        <v>0.18007503126302629</v>
      </c>
      <c r="V389" s="16">
        <f>INDEX('Team forecast'!$B$2:$AO$26,MATCH('Master data'!$B389,'Team forecast'!$B$2:$B$26,0),MATCH('Master data'!V$1,'Team forecast'!$B$2:$AO$2,0))</f>
        <v>0.23634847853272201</v>
      </c>
      <c r="W389" s="16">
        <f>INDEX('Team forecast'!$B$2:$AO$26,MATCH('Master data'!$B389,'Team forecast'!$B$2:$B$26,0),MATCH('Master data'!W$1,'Team forecast'!$B$2:$AO$2,0))</f>
        <v>0.58357649020425184</v>
      </c>
      <c r="X389" s="5">
        <f t="shared" si="219"/>
        <v>-5000</v>
      </c>
      <c r="Y389" s="5">
        <f t="shared" si="220"/>
        <v>0</v>
      </c>
      <c r="Z389" s="5">
        <f t="shared" si="221"/>
        <v>0</v>
      </c>
      <c r="AA389" s="5">
        <f t="shared" si="222"/>
        <v>0</v>
      </c>
      <c r="AB389" s="5">
        <f t="shared" si="223"/>
        <v>0</v>
      </c>
      <c r="AC389" s="5">
        <f t="shared" si="224"/>
        <v>0</v>
      </c>
      <c r="AD389" s="5">
        <f t="shared" si="225"/>
        <v>0</v>
      </c>
      <c r="AE389" s="5">
        <f t="shared" si="226"/>
        <v>0</v>
      </c>
      <c r="AF389" s="5">
        <f t="shared" si="227"/>
        <v>0</v>
      </c>
      <c r="AG389" s="5">
        <f t="shared" si="228"/>
        <v>0</v>
      </c>
      <c r="AH389" s="5">
        <f t="shared" si="229"/>
        <v>0</v>
      </c>
      <c r="AI389" s="5">
        <f t="shared" si="230"/>
        <v>0</v>
      </c>
      <c r="AJ389" s="5">
        <f t="shared" si="231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1.5687475343836428</v>
      </c>
      <c r="AM389" s="16">
        <f>INDEX('Team forecast'!$B$2:$AO$26,MATCH('Master data'!$B389,'Team forecast'!$B$2:$B$26,0),MATCH('Master data'!AM$1,'Team forecast'!$B$2:$AO$2,0))</f>
        <v>0.75781731816731412</v>
      </c>
      <c r="AN389" s="16">
        <f>INDEX('Team forecast'!$B$2:$AO$26,MATCH('Master data'!$B389,'Team forecast'!$B$2:$B$26,0),MATCH('Master data'!AN$1,'Team forecast'!$B$2:$AO$2,0))</f>
        <v>0.46868830883965779</v>
      </c>
      <c r="AO389" s="16">
        <f>INDEX('Team forecast'!$B$2:$AO$26,MATCH('Master data'!$B389,'Team forecast'!$B$2:$B$26,0),MATCH('Master data'!AO$1,'Team forecast'!$B$2:$AO$2,0))</f>
        <v>5.3425178268869509</v>
      </c>
      <c r="AP389" s="16">
        <f>INDEX('Team forecast'!$B$2:$AO$26,MATCH('Master data'!$B389,'Team forecast'!$B$2:$B$26,0),MATCH('Master data'!AP$1,'Team forecast'!$B$2:$AO$2,0))</f>
        <v>2.1494454842563817</v>
      </c>
      <c r="AQ389" s="5">
        <f t="shared" si="232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233"/>
        <v>0</v>
      </c>
      <c r="AV389" s="5">
        <f t="shared" si="234"/>
        <v>0</v>
      </c>
      <c r="AW389" s="5">
        <f t="shared" si="235"/>
        <v>0</v>
      </c>
      <c r="AX389" s="5">
        <f t="shared" si="236"/>
        <v>0</v>
      </c>
      <c r="AY389" s="5">
        <f t="shared" si="237"/>
        <v>0</v>
      </c>
      <c r="AZ389" s="5">
        <f t="shared" si="238"/>
        <v>0</v>
      </c>
      <c r="BA389" s="5">
        <f t="shared" si="239"/>
        <v>0</v>
      </c>
      <c r="BB389" s="5">
        <f t="shared" si="240"/>
        <v>0</v>
      </c>
      <c r="BC389" s="5">
        <f t="shared" si="241"/>
        <v>0</v>
      </c>
      <c r="BD389" s="5">
        <f t="shared" si="242"/>
        <v>-5000</v>
      </c>
      <c r="BE389" s="16">
        <f>INDEX('Team forecast'!$B$2:$AO$26,MATCH('Master data'!$B389,'Team forecast'!$B$2:$B$26,0),MATCH('Master data'!BE$1,'Team forecast'!$B$2:$AO$2,0))</f>
        <v>0.95602347631827322</v>
      </c>
      <c r="BF389" s="16">
        <f>INDEX('Team forecast'!$B$2:$AO$26,MATCH('Master data'!$B389,'Team forecast'!$B$2:$B$26,0),MATCH('Master data'!BF$1,'Team forecast'!$B$2:$AO$2,0))</f>
        <v>1.5053002864585165</v>
      </c>
      <c r="BG389" s="16">
        <f>INDEX('Team forecast'!$B$2:$AO$26,MATCH('Master data'!$B389,'Team forecast'!$B$2:$B$26,0),MATCH('Master data'!BG$1,'Team forecast'!$B$2:$AO$2,0))</f>
        <v>0.22195063505392029</v>
      </c>
      <c r="BH389" s="16">
        <f>INDEX('Team forecast'!$B$2:$AO$26,MATCH('Master data'!$B389,'Team forecast'!$B$2:$B$26,0),MATCH('Master data'!BH$1,'Team forecast'!$B$2:$AO$2,0))</f>
        <v>3.2558282025664269</v>
      </c>
      <c r="BI389" s="16">
        <f>INDEX('Team forecast'!$B$2:$AO$26,MATCH('Master data'!$B389,'Team forecast'!$B$2:$B$26,0),MATCH('Master data'!BI$1,'Team forecast'!$B$2:$AO$2,0))</f>
        <v>4.2695789943187012</v>
      </c>
      <c r="BJ389" s="5">
        <f t="shared" si="243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244"/>
        <v>0</v>
      </c>
      <c r="BO389" s="5">
        <f t="shared" si="245"/>
        <v>0</v>
      </c>
      <c r="BP389" s="5">
        <f t="shared" si="246"/>
        <v>0</v>
      </c>
      <c r="BQ389" s="5">
        <f t="shared" si="247"/>
        <v>0</v>
      </c>
      <c r="BR389" s="5">
        <f t="shared" si="248"/>
        <v>0</v>
      </c>
      <c r="BS389" s="5">
        <f t="shared" si="249"/>
        <v>0</v>
      </c>
      <c r="BT389" s="5">
        <f t="shared" si="250"/>
        <v>0</v>
      </c>
      <c r="BU389" s="5">
        <f t="shared" si="251"/>
        <v>0</v>
      </c>
      <c r="BV389" s="5">
        <f t="shared" si="252"/>
        <v>0</v>
      </c>
      <c r="BW389" s="5">
        <f t="shared" si="253"/>
        <v>-5000</v>
      </c>
      <c r="BX389" s="5">
        <f t="shared" si="254"/>
        <v>-5000</v>
      </c>
      <c r="BY389" s="5">
        <f t="shared" si="255"/>
        <v>-15000</v>
      </c>
      <c r="BZ389" s="5">
        <f>INDEX('Team forecast'!$R$3:$BH$26,MATCH($B389,'Team forecast'!$B$3:$B$26,0),MATCH(BZ$1,'Team forecast'!$R$2:$BH$2,0))*($BX389-(BY389+CH389)*0.01)</f>
        <v>-15965.629101221237</v>
      </c>
      <c r="CA389" s="5">
        <f>INDEX('Team forecast'!$R$3:$BH$26,MATCH($B389,'Team forecast'!$B$3:$B$26,0),MATCH(CA$1,'Team forecast'!$R$2:$BH$2,0))*($BX389-(BY389+BX389+CH389)*0.01)</f>
        <v>-7821.0983779122453</v>
      </c>
      <c r="CB389" s="5">
        <f>INDEX('Team forecast'!$R$3:$BH$26,MATCH($B389,'Team forecast'!$B$3:$B$26,0),MATCH(CB$1,'Team forecast'!$R$2:$BH$2,0))*($BX389-(BY389+BX389*2+CH389)*0.01)</f>
        <v>-3765.8551216874998</v>
      </c>
      <c r="CC389" s="5">
        <f>INDEX('Team forecast'!$R$3:$BH$26,MATCH($B389,'Team forecast'!$B$3:$B$26,0),MATCH(CC$1,'Team forecast'!$R$2:$BH$2,0))*($BX389-(BY389+BX389*3+CH389)*0.01)</f>
        <v>-1703.0672961872265</v>
      </c>
      <c r="CD389" s="5">
        <f>+AK389+BD389*Cockpit!$C$3+BW389*Cockpit!$C$3^2+BZ389*Cockpit!$C$3^3+CA389*Cockpit!$C$3^4+CB389*Cockpit!$C$3^5+CC389*Cockpit!$C$3^6</f>
        <v>-17476.450549960402</v>
      </c>
      <c r="CE389" s="5"/>
      <c r="CF389" s="5"/>
      <c r="CG389" s="5">
        <v>0</v>
      </c>
      <c r="CH389" s="5">
        <f t="shared" si="256"/>
        <v>2000000</v>
      </c>
      <c r="CI389" s="5">
        <f t="shared" si="257"/>
        <v>2000000</v>
      </c>
      <c r="CJ389" s="1">
        <f t="shared" si="258"/>
        <v>-7.4999999999999997E-3</v>
      </c>
      <c r="CK389" s="5">
        <f>RANK(BY389,$BY$2:$BY$623)+COUNTIF($BY$2:$BY389,$BY389)-1</f>
        <v>538</v>
      </c>
      <c r="CL389" s="5">
        <f>RANK(CJ389,$CJ$2:$CJ$623)+COUNTIF($CJ$2:$CJ389,$CJ389)-1</f>
        <v>589</v>
      </c>
    </row>
    <row r="390" spans="1:90">
      <c r="A390" t="str">
        <f>Players!P391</f>
        <v>Aleksey Ionov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0.84461095835632183</v>
      </c>
      <c r="I390" s="16">
        <f>INDEX('Team forecast'!$B$2:$AO$26,MATCH('Master data'!$B390,'Team forecast'!$B$2:$B$26,0),MATCH('Master data'!I$1,'Team forecast'!$B$2:$AO$2,0))</f>
        <v>1.5602309947683257</v>
      </c>
      <c r="J390" s="16">
        <f>INDEX('Team forecast'!$B$2:$AO$26,MATCH('Master data'!$B390,'Team forecast'!$B$2:$B$26,0),MATCH('Master data'!J$1,'Team forecast'!$B$2:$AO$2,0))</f>
        <v>0.21008753647353071</v>
      </c>
      <c r="K390" s="16">
        <f>INDEX('Team forecast'!$B$2:$AO$26,MATCH('Master data'!$B390,'Team forecast'!$B$2:$B$26,0),MATCH('Master data'!K$1,'Team forecast'!$B$2:$AO$2,0))</f>
        <v>2.876402354682019</v>
      </c>
      <c r="L390" s="16">
        <f>INDEX('Team forecast'!$B$2:$AO$26,MATCH('Master data'!$B390,'Team forecast'!$B$2:$B$26,0),MATCH('Master data'!L$1,'Team forecast'!$B$2:$AO$2,0))</f>
        <v>4.4253824578883423</v>
      </c>
      <c r="M390">
        <f>IF(Players!BC391=1,95,0)</f>
        <v>95</v>
      </c>
      <c r="N390" s="2">
        <f>Players!BN391</f>
        <v>7.4706165843387629E-2</v>
      </c>
      <c r="O390" s="2">
        <f>Players!BO391</f>
        <v>4.6712584271192702E-2</v>
      </c>
      <c r="P390" s="2">
        <f>Players!BP391</f>
        <v>0</v>
      </c>
      <c r="Q390" s="2">
        <f>Players!BQ391</f>
        <v>0</v>
      </c>
      <c r="R390" s="2">
        <f>Players!BR391</f>
        <v>0</v>
      </c>
      <c r="S390" s="2">
        <f t="shared" si="217"/>
        <v>0.84461095835632183</v>
      </c>
      <c r="T390" s="2">
        <f t="shared" si="218"/>
        <v>1.5602309947683257</v>
      </c>
      <c r="U390" s="16">
        <f>INDEX('Team forecast'!$B$2:$AO$26,MATCH('Master data'!$B390,'Team forecast'!$B$2:$B$26,0),MATCH('Master data'!U$1,'Team forecast'!$B$2:$AO$2,0))</f>
        <v>0.18007503126302629</v>
      </c>
      <c r="V390" s="16">
        <f>INDEX('Team forecast'!$B$2:$AO$26,MATCH('Master data'!$B390,'Team forecast'!$B$2:$B$26,0),MATCH('Master data'!V$1,'Team forecast'!$B$2:$AO$2,0))</f>
        <v>0.23634847853272201</v>
      </c>
      <c r="W390" s="16">
        <f>INDEX('Team forecast'!$B$2:$AO$26,MATCH('Master data'!$B390,'Team forecast'!$B$2:$B$26,0),MATCH('Master data'!W$1,'Team forecast'!$B$2:$AO$2,0))</f>
        <v>0.58357649020425184</v>
      </c>
      <c r="X390" s="5">
        <f t="shared" si="219"/>
        <v>7000</v>
      </c>
      <c r="Y390" s="5">
        <f t="shared" si="220"/>
        <v>4501.8757815756571</v>
      </c>
      <c r="Z390" s="5">
        <f t="shared" si="221"/>
        <v>1181.74239266361</v>
      </c>
      <c r="AA390" s="5">
        <f t="shared" si="222"/>
        <v>-8753.6473530637777</v>
      </c>
      <c r="AB390" s="5">
        <f t="shared" si="223"/>
        <v>7887.2057910137428</v>
      </c>
      <c r="AC390" s="5">
        <f t="shared" si="224"/>
        <v>1972.6980284296255</v>
      </c>
      <c r="AD390" s="5">
        <f t="shared" si="225"/>
        <v>0</v>
      </c>
      <c r="AE390" s="5">
        <f t="shared" si="226"/>
        <v>0</v>
      </c>
      <c r="AF390" s="5">
        <f t="shared" si="227"/>
        <v>0</v>
      </c>
      <c r="AG390" s="5">
        <f t="shared" si="228"/>
        <v>0</v>
      </c>
      <c r="AH390" s="5">
        <f t="shared" si="229"/>
        <v>0</v>
      </c>
      <c r="AI390" s="5">
        <f t="shared" si="230"/>
        <v>8446.1095835632186</v>
      </c>
      <c r="AJ390" s="5">
        <f t="shared" si="231"/>
        <v>-12481.847958146605</v>
      </c>
      <c r="AK390" s="5">
        <f>IFERROR(SUM(X390:AJ390),-5000)*((Cockpit!$C$3)^0)</f>
        <v>9754.1362660354716</v>
      </c>
      <c r="AL390" s="16">
        <f>INDEX('Team forecast'!$B$2:$AO$26,MATCH('Master data'!$B390,'Team forecast'!$B$2:$B$26,0),MATCH('Master data'!AL$1,'Team forecast'!$B$2:$AO$2,0))</f>
        <v>1.5687475343836428</v>
      </c>
      <c r="AM390" s="16">
        <f>INDEX('Team forecast'!$B$2:$AO$26,MATCH('Master data'!$B390,'Team forecast'!$B$2:$B$26,0),MATCH('Master data'!AM$1,'Team forecast'!$B$2:$AO$2,0))</f>
        <v>0.75781731816731412</v>
      </c>
      <c r="AN390" s="16">
        <f>INDEX('Team forecast'!$B$2:$AO$26,MATCH('Master data'!$B390,'Team forecast'!$B$2:$B$26,0),MATCH('Master data'!AN$1,'Team forecast'!$B$2:$AO$2,0))</f>
        <v>0.46868830883965779</v>
      </c>
      <c r="AO390" s="16">
        <f>INDEX('Team forecast'!$B$2:$AO$26,MATCH('Master data'!$B390,'Team forecast'!$B$2:$B$26,0),MATCH('Master data'!AO$1,'Team forecast'!$B$2:$AO$2,0))</f>
        <v>5.3425178268869509</v>
      </c>
      <c r="AP390" s="16">
        <f>INDEX('Team forecast'!$B$2:$AO$26,MATCH('Master data'!$B390,'Team forecast'!$B$2:$B$26,0),MATCH('Master data'!AP$1,'Team forecast'!$B$2:$AO$2,0))</f>
        <v>2.1494454842563817</v>
      </c>
      <c r="AQ390" s="5">
        <f t="shared" si="232"/>
        <v>7000</v>
      </c>
      <c r="AR390" s="5">
        <f>INDEX('Team forecast'!$B$2:$AO$26,MATCH('Master data'!$B390,'Team forecast'!$B$2:$B$26,0),MATCH('Master data'!AR$1,'Team forecast'!$B$2:$AO$2,0))*IF(X390&gt;0,25000,0)</f>
        <v>14202.676025444174</v>
      </c>
      <c r="AS390" s="16">
        <f>INDEX('Team forecast'!$B$2:$AO$26,MATCH('Master data'!$B390,'Team forecast'!$B$2:$B$26,0),MATCH('Master data'!AS$1,'Team forecast'!$B$2:$AO$2,0))*IF(X390&gt;0,5000,0)</f>
        <v>1266.7251590261019</v>
      </c>
      <c r="AT390" s="16">
        <f>INDEX('Team forecast'!$B$2:$AO$26,MATCH('Master data'!$B390,'Team forecast'!$B$2:$B$26,0),MATCH('Master data'!AT$1,'Team forecast'!$B$2:$AO$2,0))*IF(X390&gt;0,-15000,0)</f>
        <v>-2678.2189076551876</v>
      </c>
      <c r="AU390" s="5">
        <f t="shared" si="233"/>
        <v>14649.389183758733</v>
      </c>
      <c r="AV390" s="5">
        <f t="shared" si="234"/>
        <v>3664.0125700060839</v>
      </c>
      <c r="AW390" s="5">
        <f t="shared" si="235"/>
        <v>0</v>
      </c>
      <c r="AX390" s="5">
        <f t="shared" si="236"/>
        <v>0</v>
      </c>
      <c r="AY390" s="5">
        <f t="shared" si="237"/>
        <v>0</v>
      </c>
      <c r="AZ390" s="5">
        <f t="shared" si="238"/>
        <v>0</v>
      </c>
      <c r="BA390" s="5">
        <f t="shared" si="239"/>
        <v>0</v>
      </c>
      <c r="BB390" s="5">
        <f t="shared" si="240"/>
        <v>15687.475343836428</v>
      </c>
      <c r="BC390" s="5">
        <f t="shared" si="241"/>
        <v>-6062.5385453385134</v>
      </c>
      <c r="BD390" s="5">
        <f t="shared" si="242"/>
        <v>47729.52082907781</v>
      </c>
      <c r="BE390" s="16">
        <f>INDEX('Team forecast'!$B$2:$AO$26,MATCH('Master data'!$B390,'Team forecast'!$B$2:$B$26,0),MATCH('Master data'!BE$1,'Team forecast'!$B$2:$AO$2,0))</f>
        <v>0.95602347631827322</v>
      </c>
      <c r="BF390" s="16">
        <f>INDEX('Team forecast'!$B$2:$AO$26,MATCH('Master data'!$B390,'Team forecast'!$B$2:$B$26,0),MATCH('Master data'!BF$1,'Team forecast'!$B$2:$AO$2,0))</f>
        <v>1.5053002864585165</v>
      </c>
      <c r="BG390" s="16">
        <f>INDEX('Team forecast'!$B$2:$AO$26,MATCH('Master data'!$B390,'Team forecast'!$B$2:$B$26,0),MATCH('Master data'!BG$1,'Team forecast'!$B$2:$AO$2,0))</f>
        <v>0.22195063505392029</v>
      </c>
      <c r="BH390" s="16">
        <f>INDEX('Team forecast'!$B$2:$AO$26,MATCH('Master data'!$B390,'Team forecast'!$B$2:$B$26,0),MATCH('Master data'!BH$1,'Team forecast'!$B$2:$AO$2,0))</f>
        <v>3.2558282025664269</v>
      </c>
      <c r="BI390" s="16">
        <f>INDEX('Team forecast'!$B$2:$AO$26,MATCH('Master data'!$B390,'Team forecast'!$B$2:$B$26,0),MATCH('Master data'!BI$1,'Team forecast'!$B$2:$AO$2,0))</f>
        <v>4.2695789943187012</v>
      </c>
      <c r="BJ390" s="5">
        <f t="shared" si="243"/>
        <v>7000</v>
      </c>
      <c r="BK390" s="5">
        <f>INDEX('Team forecast'!$R$3:$BH$26,MATCH($B390,'Team forecast'!$B$3:$B$26,0),MATCH(BK$1,'Team forecast'!$R$2:$BH$2,0))*IF($X390&gt;0,25000,0)</f>
        <v>5860.0381084358223</v>
      </c>
      <c r="BL390" s="5">
        <f>INDEX('Team forecast'!$R$3:$BH$26,MATCH($B390,'Team forecast'!$B$3:$B$26,0),MATCH(BL$1,'Team forecast'!$R$2:$BH$2,0))*IF($X390&gt;0,5000,0)</f>
        <v>1413.30330850511</v>
      </c>
      <c r="BM390" s="5">
        <f>INDEX('Team forecast'!$R$3:$BH$26,MATCH($B390,'Team forecast'!$B$3:$B$26,0),MATCH(BM$1,'Team forecast'!$R$2:$BH$2,0))*IF($X390&gt;0,-15000,0)</f>
        <v>-7244.0672094231768</v>
      </c>
      <c r="BN390" s="5">
        <f t="shared" si="244"/>
        <v>8927.6060465006103</v>
      </c>
      <c r="BO390" s="5">
        <f t="shared" si="245"/>
        <v>2232.9163601377968</v>
      </c>
      <c r="BP390" s="5">
        <f t="shared" si="246"/>
        <v>0</v>
      </c>
      <c r="BQ390" s="5">
        <f t="shared" si="247"/>
        <v>0</v>
      </c>
      <c r="BR390" s="5">
        <f t="shared" si="248"/>
        <v>0</v>
      </c>
      <c r="BS390" s="5">
        <f t="shared" si="249"/>
        <v>0</v>
      </c>
      <c r="BT390" s="5">
        <f t="shared" si="250"/>
        <v>0</v>
      </c>
      <c r="BU390" s="5">
        <f t="shared" si="251"/>
        <v>9560.2347631827324</v>
      </c>
      <c r="BV390" s="5">
        <f t="shared" si="252"/>
        <v>-12042.402291668132</v>
      </c>
      <c r="BW390" s="5">
        <f t="shared" si="253"/>
        <v>15707.629085670764</v>
      </c>
      <c r="BX390" s="5">
        <f t="shared" si="254"/>
        <v>24397.095393594685</v>
      </c>
      <c r="BY390" s="5">
        <f t="shared" si="255"/>
        <v>73191.286180784053</v>
      </c>
      <c r="BZ390" s="5">
        <f>INDEX('Team forecast'!$R$3:$BH$26,MATCH($B390,'Team forecast'!$B$3:$B$26,0),MATCH(BZ$1,'Team forecast'!$R$2:$BH$2,0))*($BX390-(BY390+CH390)*0.01)</f>
        <v>-857.59358612967344</v>
      </c>
      <c r="CA390" s="5">
        <f>INDEX('Team forecast'!$R$3:$BH$26,MATCH($B390,'Team forecast'!$B$3:$B$26,0),MATCH(CA$1,'Team forecast'!$R$2:$BH$2,0))*($BX390-(BY390+BX390+CH390)*0.01)</f>
        <v>-497.89756320713673</v>
      </c>
      <c r="CB390" s="5">
        <f>INDEX('Team forecast'!$R$3:$BH$26,MATCH($B390,'Team forecast'!$B$3:$B$26,0),MATCH(CB$1,'Team forecast'!$R$2:$BH$2,0))*($BX390-(BY390+BX390*2+CH390)*0.01)</f>
        <v>-277.34334270843635</v>
      </c>
      <c r="CC390" s="5">
        <f>INDEX('Team forecast'!$R$3:$BH$26,MATCH($B390,'Team forecast'!$B$3:$B$26,0),MATCH(CC$1,'Team forecast'!$R$2:$BH$2,0))*($BX390-(BY390+BX390*3+CH390)*0.01)</f>
        <v>-142.50124838449341</v>
      </c>
      <c r="CD390" s="5">
        <f>+AK390+BD390*Cockpit!$C$3+BW390*Cockpit!$C$3^2+BZ390*Cockpit!$C$3^3+CA390*Cockpit!$C$3^4+CB390*Cockpit!$C$3^5+CC390*Cockpit!$C$3^6</f>
        <v>48153.500384261388</v>
      </c>
      <c r="CE390" s="5"/>
      <c r="CF390" s="5"/>
      <c r="CG390" s="5">
        <v>0</v>
      </c>
      <c r="CH390" s="5">
        <f t="shared" si="256"/>
        <v>2500000</v>
      </c>
      <c r="CI390" s="5">
        <f t="shared" si="257"/>
        <v>2500000</v>
      </c>
      <c r="CJ390" s="1">
        <f t="shared" si="258"/>
        <v>2.9276514472313622E-2</v>
      </c>
      <c r="CK390" s="5">
        <f>RANK(BY390,$BY$2:$BY$623)+COUNTIF($BY$2:$BY390,$BY390)-1</f>
        <v>235</v>
      </c>
      <c r="CL390" s="5">
        <f>RANK(CJ390,$CJ$2:$CJ$623)+COUNTIF($CJ$2:$CJ390,$CJ390)-1</f>
        <v>151</v>
      </c>
    </row>
    <row r="391" spans="1:90">
      <c r="A391" t="str">
        <f>Players!P392</f>
        <v>Roman Zobnin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2500000</v>
      </c>
      <c r="H391" s="16">
        <f>INDEX('Team forecast'!$B$2:$AO$26,MATCH('Master data'!$B391,'Team forecast'!$B$2:$B$26,0),MATCH('Master data'!H$1,'Team forecast'!$B$2:$AO$2,0))</f>
        <v>0.84461095835632183</v>
      </c>
      <c r="I391" s="16">
        <f>INDEX('Team forecast'!$B$2:$AO$26,MATCH('Master data'!$B391,'Team forecast'!$B$2:$B$26,0),MATCH('Master data'!I$1,'Team forecast'!$B$2:$AO$2,0))</f>
        <v>1.5602309947683257</v>
      </c>
      <c r="J391" s="16">
        <f>INDEX('Team forecast'!$B$2:$AO$26,MATCH('Master data'!$B391,'Team forecast'!$B$2:$B$26,0),MATCH('Master data'!J$1,'Team forecast'!$B$2:$AO$2,0))</f>
        <v>0.21008753647353071</v>
      </c>
      <c r="K391" s="16">
        <f>INDEX('Team forecast'!$B$2:$AO$26,MATCH('Master data'!$B391,'Team forecast'!$B$2:$B$26,0),MATCH('Master data'!K$1,'Team forecast'!$B$2:$AO$2,0))</f>
        <v>2.876402354682019</v>
      </c>
      <c r="L391" s="16">
        <f>INDEX('Team forecast'!$B$2:$AO$26,MATCH('Master data'!$B391,'Team forecast'!$B$2:$B$26,0),MATCH('Master data'!L$1,'Team forecast'!$B$2:$AO$2,0))</f>
        <v>4.4253824578883423</v>
      </c>
      <c r="M391">
        <f>IF(Players!BC392=1,95,0)</f>
        <v>0</v>
      </c>
      <c r="N391" s="2">
        <f>Players!BN392</f>
        <v>0</v>
      </c>
      <c r="O391" s="2">
        <f>Players!BO392</f>
        <v>0</v>
      </c>
      <c r="P391" s="2">
        <f>Players!BP392</f>
        <v>0</v>
      </c>
      <c r="Q391" s="2">
        <f>Players!BQ392</f>
        <v>0.13500000000000001</v>
      </c>
      <c r="R391" s="2">
        <f>Players!BR392</f>
        <v>0</v>
      </c>
      <c r="S391" s="2">
        <f t="shared" si="217"/>
        <v>0.84461095835632183</v>
      </c>
      <c r="T391" s="2">
        <f t="shared" si="218"/>
        <v>1.5602309947683257</v>
      </c>
      <c r="U391" s="16">
        <f>INDEX('Team forecast'!$B$2:$AO$26,MATCH('Master data'!$B391,'Team forecast'!$B$2:$B$26,0),MATCH('Master data'!U$1,'Team forecast'!$B$2:$AO$2,0))</f>
        <v>0.18007503126302629</v>
      </c>
      <c r="V391" s="16">
        <f>INDEX('Team forecast'!$B$2:$AO$26,MATCH('Master data'!$B391,'Team forecast'!$B$2:$B$26,0),MATCH('Master data'!V$1,'Team forecast'!$B$2:$AO$2,0))</f>
        <v>0.23634847853272201</v>
      </c>
      <c r="W391" s="16">
        <f>INDEX('Team forecast'!$B$2:$AO$26,MATCH('Master data'!$B391,'Team forecast'!$B$2:$B$26,0),MATCH('Master data'!W$1,'Team forecast'!$B$2:$AO$2,0))</f>
        <v>0.58357649020425184</v>
      </c>
      <c r="X391" s="5">
        <f t="shared" si="219"/>
        <v>-5000</v>
      </c>
      <c r="Y391" s="5">
        <f t="shared" si="220"/>
        <v>0</v>
      </c>
      <c r="Z391" s="5">
        <f t="shared" si="221"/>
        <v>0</v>
      </c>
      <c r="AA391" s="5">
        <f t="shared" si="222"/>
        <v>0</v>
      </c>
      <c r="AB391" s="5">
        <f t="shared" si="223"/>
        <v>0</v>
      </c>
      <c r="AC391" s="5">
        <f t="shared" si="224"/>
        <v>0</v>
      </c>
      <c r="AD391" s="5">
        <f t="shared" si="225"/>
        <v>0</v>
      </c>
      <c r="AE391" s="5">
        <f t="shared" si="226"/>
        <v>0</v>
      </c>
      <c r="AF391" s="5">
        <f t="shared" si="227"/>
        <v>0</v>
      </c>
      <c r="AG391" s="5">
        <f t="shared" si="228"/>
        <v>0</v>
      </c>
      <c r="AH391" s="5">
        <f t="shared" si="229"/>
        <v>0</v>
      </c>
      <c r="AI391" s="5">
        <f t="shared" si="230"/>
        <v>0</v>
      </c>
      <c r="AJ391" s="5">
        <f t="shared" si="231"/>
        <v>0</v>
      </c>
      <c r="AK391" s="5">
        <f>IFERROR(SUM(X391:AJ391),-5000)*((Cockpit!$C$3)^0)</f>
        <v>-5000</v>
      </c>
      <c r="AL391" s="16">
        <f>INDEX('Team forecast'!$B$2:$AO$26,MATCH('Master data'!$B391,'Team forecast'!$B$2:$B$26,0),MATCH('Master data'!AL$1,'Team forecast'!$B$2:$AO$2,0))</f>
        <v>1.5687475343836428</v>
      </c>
      <c r="AM391" s="16">
        <f>INDEX('Team forecast'!$B$2:$AO$26,MATCH('Master data'!$B391,'Team forecast'!$B$2:$B$26,0),MATCH('Master data'!AM$1,'Team forecast'!$B$2:$AO$2,0))</f>
        <v>0.75781731816731412</v>
      </c>
      <c r="AN391" s="16">
        <f>INDEX('Team forecast'!$B$2:$AO$26,MATCH('Master data'!$B391,'Team forecast'!$B$2:$B$26,0),MATCH('Master data'!AN$1,'Team forecast'!$B$2:$AO$2,0))</f>
        <v>0.46868830883965779</v>
      </c>
      <c r="AO391" s="16">
        <f>INDEX('Team forecast'!$B$2:$AO$26,MATCH('Master data'!$B391,'Team forecast'!$B$2:$B$26,0),MATCH('Master data'!AO$1,'Team forecast'!$B$2:$AO$2,0))</f>
        <v>5.3425178268869509</v>
      </c>
      <c r="AP391" s="16">
        <f>INDEX('Team forecast'!$B$2:$AO$26,MATCH('Master data'!$B391,'Team forecast'!$B$2:$B$26,0),MATCH('Master data'!AP$1,'Team forecast'!$B$2:$AO$2,0))</f>
        <v>2.1494454842563817</v>
      </c>
      <c r="AQ391" s="5">
        <f t="shared" si="232"/>
        <v>-5000</v>
      </c>
      <c r="AR391" s="5">
        <f>INDEX('Team forecast'!$B$2:$AO$26,MATCH('Master data'!$B391,'Team forecast'!$B$2:$B$26,0),MATCH('Master data'!AR$1,'Team forecast'!$B$2:$AO$2,0))*IF(X391&gt;0,25000,0)</f>
        <v>0</v>
      </c>
      <c r="AS391" s="16">
        <f>INDEX('Team forecast'!$B$2:$AO$26,MATCH('Master data'!$B391,'Team forecast'!$B$2:$B$26,0),MATCH('Master data'!AS$1,'Team forecast'!$B$2:$AO$2,0))*IF(X391&gt;0,5000,0)</f>
        <v>0</v>
      </c>
      <c r="AT391" s="16">
        <f>INDEX('Team forecast'!$B$2:$AO$26,MATCH('Master data'!$B391,'Team forecast'!$B$2:$B$26,0),MATCH('Master data'!AT$1,'Team forecast'!$B$2:$AO$2,0))*IF(X391&gt;0,-15000,0)</f>
        <v>0</v>
      </c>
      <c r="AU391" s="5">
        <f t="shared" si="233"/>
        <v>0</v>
      </c>
      <c r="AV391" s="5">
        <f t="shared" si="234"/>
        <v>0</v>
      </c>
      <c r="AW391" s="5">
        <f t="shared" si="235"/>
        <v>0</v>
      </c>
      <c r="AX391" s="5">
        <f t="shared" si="236"/>
        <v>0</v>
      </c>
      <c r="AY391" s="5">
        <f t="shared" si="237"/>
        <v>0</v>
      </c>
      <c r="AZ391" s="5">
        <f t="shared" si="238"/>
        <v>0</v>
      </c>
      <c r="BA391" s="5">
        <f t="shared" si="239"/>
        <v>0</v>
      </c>
      <c r="BB391" s="5">
        <f t="shared" si="240"/>
        <v>0</v>
      </c>
      <c r="BC391" s="5">
        <f t="shared" si="241"/>
        <v>0</v>
      </c>
      <c r="BD391" s="5">
        <f t="shared" si="242"/>
        <v>-5000</v>
      </c>
      <c r="BE391" s="16">
        <f>INDEX('Team forecast'!$B$2:$AO$26,MATCH('Master data'!$B391,'Team forecast'!$B$2:$B$26,0),MATCH('Master data'!BE$1,'Team forecast'!$B$2:$AO$2,0))</f>
        <v>0.95602347631827322</v>
      </c>
      <c r="BF391" s="16">
        <f>INDEX('Team forecast'!$B$2:$AO$26,MATCH('Master data'!$B391,'Team forecast'!$B$2:$B$26,0),MATCH('Master data'!BF$1,'Team forecast'!$B$2:$AO$2,0))</f>
        <v>1.5053002864585165</v>
      </c>
      <c r="BG391" s="16">
        <f>INDEX('Team forecast'!$B$2:$AO$26,MATCH('Master data'!$B391,'Team forecast'!$B$2:$B$26,0),MATCH('Master data'!BG$1,'Team forecast'!$B$2:$AO$2,0))</f>
        <v>0.22195063505392029</v>
      </c>
      <c r="BH391" s="16">
        <f>INDEX('Team forecast'!$B$2:$AO$26,MATCH('Master data'!$B391,'Team forecast'!$B$2:$B$26,0),MATCH('Master data'!BH$1,'Team forecast'!$B$2:$AO$2,0))</f>
        <v>3.2558282025664269</v>
      </c>
      <c r="BI391" s="16">
        <f>INDEX('Team forecast'!$B$2:$AO$26,MATCH('Master data'!$B391,'Team forecast'!$B$2:$B$26,0),MATCH('Master data'!BI$1,'Team forecast'!$B$2:$AO$2,0))</f>
        <v>4.2695789943187012</v>
      </c>
      <c r="BJ391" s="5">
        <f t="shared" si="243"/>
        <v>-5000</v>
      </c>
      <c r="BK391" s="5">
        <f>INDEX('Team forecast'!$R$3:$BH$26,MATCH($B391,'Team forecast'!$B$3:$B$26,0),MATCH(BK$1,'Team forecast'!$R$2:$BH$2,0))*IF($X391&gt;0,25000,0)</f>
        <v>0</v>
      </c>
      <c r="BL391" s="5">
        <f>INDEX('Team forecast'!$R$3:$BH$26,MATCH($B391,'Team forecast'!$B$3:$B$26,0),MATCH(BL$1,'Team forecast'!$R$2:$BH$2,0))*IF($X391&gt;0,5000,0)</f>
        <v>0</v>
      </c>
      <c r="BM391" s="5">
        <f>INDEX('Team forecast'!$R$3:$BH$26,MATCH($B391,'Team forecast'!$B$3:$B$26,0),MATCH(BM$1,'Team forecast'!$R$2:$BH$2,0))*IF($X391&gt;0,-15000,0)</f>
        <v>0</v>
      </c>
      <c r="BN391" s="5">
        <f t="shared" si="244"/>
        <v>0</v>
      </c>
      <c r="BO391" s="5">
        <f t="shared" si="245"/>
        <v>0</v>
      </c>
      <c r="BP391" s="5">
        <f t="shared" si="246"/>
        <v>0</v>
      </c>
      <c r="BQ391" s="5">
        <f t="shared" si="247"/>
        <v>0</v>
      </c>
      <c r="BR391" s="5">
        <f t="shared" si="248"/>
        <v>0</v>
      </c>
      <c r="BS391" s="5">
        <f t="shared" si="249"/>
        <v>0</v>
      </c>
      <c r="BT391" s="5">
        <f t="shared" si="250"/>
        <v>0</v>
      </c>
      <c r="BU391" s="5">
        <f t="shared" si="251"/>
        <v>0</v>
      </c>
      <c r="BV391" s="5">
        <f t="shared" si="252"/>
        <v>0</v>
      </c>
      <c r="BW391" s="5">
        <f t="shared" si="253"/>
        <v>-5000</v>
      </c>
      <c r="BX391" s="5">
        <f t="shared" si="254"/>
        <v>-5000</v>
      </c>
      <c r="BY391" s="5">
        <f t="shared" si="255"/>
        <v>-15000</v>
      </c>
      <c r="BZ391" s="5">
        <f>INDEX('Team forecast'!$R$3:$BH$26,MATCH($B391,'Team forecast'!$B$3:$B$26,0),MATCH(BZ$1,'Team forecast'!$R$2:$BH$2,0))*($BX391-(BY391+CH391)*0.01)</f>
        <v>-19178.029322794926</v>
      </c>
      <c r="CA391" s="5">
        <f>INDEX('Team forecast'!$R$3:$BH$26,MATCH($B391,'Team forecast'!$B$3:$B$26,0),MATCH(CA$1,'Team forecast'!$R$2:$BH$2,0))*($BX391-(BY391+BX391+CH391)*0.01)</f>
        <v>-9397.9327282977792</v>
      </c>
      <c r="CB391" s="5">
        <f>INDEX('Team forecast'!$R$3:$BH$26,MATCH($B391,'Team forecast'!$B$3:$B$26,0),MATCH(CB$1,'Team forecast'!$R$2:$BH$2,0))*($BX391-(BY391+BX391*2+CH391)*0.01)</f>
        <v>-4526.6339341496214</v>
      </c>
      <c r="CC391" s="5">
        <f>INDEX('Team forecast'!$R$3:$BH$26,MATCH($B391,'Team forecast'!$B$3:$B$26,0),MATCH(CC$1,'Team forecast'!$R$2:$BH$2,0))*($BX391-(BY391+BX391*3+CH391)*0.01)</f>
        <v>-2047.8177610024545</v>
      </c>
      <c r="CD391" s="5">
        <f>+AK391+BD391*Cockpit!$C$3+BW391*Cockpit!$C$3^2+BZ391*Cockpit!$C$3^3+CA391*Cockpit!$C$3^4+CB391*Cockpit!$C$3^5+CC391*Cockpit!$C$3^6</f>
        <v>-18870.197312731281</v>
      </c>
      <c r="CE391" s="5"/>
      <c r="CF391" s="5"/>
      <c r="CG391" s="5">
        <v>0</v>
      </c>
      <c r="CH391" s="5">
        <f t="shared" si="256"/>
        <v>2500000</v>
      </c>
      <c r="CI391" s="5">
        <f t="shared" si="257"/>
        <v>2500000</v>
      </c>
      <c r="CJ391" s="1">
        <f t="shared" si="258"/>
        <v>-6.0000000000000001E-3</v>
      </c>
      <c r="CK391" s="5">
        <f>RANK(BY391,$BY$2:$BY$623)+COUNTIF($BY$2:$BY391,$BY391)-1</f>
        <v>539</v>
      </c>
      <c r="CL391" s="5">
        <f>RANK(CJ391,$CJ$2:$CJ$623)+COUNTIF($CJ$2:$CJ391,$CJ391)-1</f>
        <v>550</v>
      </c>
    </row>
    <row r="392" spans="1:90">
      <c r="A392" t="str">
        <f>Players!P393</f>
        <v>Daler Kuzyayev</v>
      </c>
      <c r="B392" t="str">
        <f>Players!G393</f>
        <v>Russia</v>
      </c>
      <c r="C392" t="str">
        <f>Players!AB393</f>
        <v>Midfield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0.84461095835632183</v>
      </c>
      <c r="I392" s="16">
        <f>INDEX('Team forecast'!$B$2:$AO$26,MATCH('Master data'!$B392,'Team forecast'!$B$2:$B$26,0),MATCH('Master data'!I$1,'Team forecast'!$B$2:$AO$2,0))</f>
        <v>1.5602309947683257</v>
      </c>
      <c r="J392" s="16">
        <f>INDEX('Team forecast'!$B$2:$AO$26,MATCH('Master data'!$B392,'Team forecast'!$B$2:$B$26,0),MATCH('Master data'!J$1,'Team forecast'!$B$2:$AO$2,0))</f>
        <v>0.21008753647353071</v>
      </c>
      <c r="K392" s="16">
        <f>INDEX('Team forecast'!$B$2:$AO$26,MATCH('Master data'!$B392,'Team forecast'!$B$2:$B$26,0),MATCH('Master data'!K$1,'Team forecast'!$B$2:$AO$2,0))</f>
        <v>2.876402354682019</v>
      </c>
      <c r="L392" s="16">
        <f>INDEX('Team forecast'!$B$2:$AO$26,MATCH('Master data'!$B392,'Team forecast'!$B$2:$B$26,0),MATCH('Master data'!L$1,'Team forecast'!$B$2:$AO$2,0))</f>
        <v>4.4253824578883423</v>
      </c>
      <c r="M392">
        <f>IF(Players!BC393=1,95,0)</f>
        <v>95</v>
      </c>
      <c r="N392" s="2">
        <f>Players!BN393</f>
        <v>8.6549599182571033E-2</v>
      </c>
      <c r="O392" s="2">
        <f>Players!BO393</f>
        <v>4.3757636042459795E-2</v>
      </c>
      <c r="P392" s="2">
        <f>Players!BP393</f>
        <v>5.6922588944034631E-2</v>
      </c>
      <c r="Q392" s="2">
        <f>Players!BQ393</f>
        <v>8.0405002977963075E-2</v>
      </c>
      <c r="R392" s="2">
        <f>Players!BR393</f>
        <v>0</v>
      </c>
      <c r="S392" s="2">
        <f t="shared" si="217"/>
        <v>0.84461095835632183</v>
      </c>
      <c r="T392" s="2">
        <f t="shared" si="218"/>
        <v>1.5602309947683257</v>
      </c>
      <c r="U392" s="16">
        <f>INDEX('Team forecast'!$B$2:$AO$26,MATCH('Master data'!$B392,'Team forecast'!$B$2:$B$26,0),MATCH('Master data'!U$1,'Team forecast'!$B$2:$AO$2,0))</f>
        <v>0.18007503126302629</v>
      </c>
      <c r="V392" s="16">
        <f>INDEX('Team forecast'!$B$2:$AO$26,MATCH('Master data'!$B392,'Team forecast'!$B$2:$B$26,0),MATCH('Master data'!V$1,'Team forecast'!$B$2:$AO$2,0))</f>
        <v>0.23634847853272201</v>
      </c>
      <c r="W392" s="16">
        <f>INDEX('Team forecast'!$B$2:$AO$26,MATCH('Master data'!$B392,'Team forecast'!$B$2:$B$26,0),MATCH('Master data'!W$1,'Team forecast'!$B$2:$AO$2,0))</f>
        <v>0.58357649020425184</v>
      </c>
      <c r="X392" s="5">
        <f t="shared" si="219"/>
        <v>7000</v>
      </c>
      <c r="Y392" s="5">
        <f t="shared" si="220"/>
        <v>4501.8757815756571</v>
      </c>
      <c r="Z392" s="5">
        <f t="shared" si="221"/>
        <v>1181.74239266361</v>
      </c>
      <c r="AA392" s="5">
        <f t="shared" si="222"/>
        <v>-8753.6473530637777</v>
      </c>
      <c r="AB392" s="5">
        <f t="shared" si="223"/>
        <v>9137.5924888683567</v>
      </c>
      <c r="AC392" s="5">
        <f t="shared" si="224"/>
        <v>1847.9089456614549</v>
      </c>
      <c r="AD392" s="5">
        <f t="shared" si="225"/>
        <v>1637.3226887321787</v>
      </c>
      <c r="AE392" s="5">
        <f t="shared" si="226"/>
        <v>0</v>
      </c>
      <c r="AF392" s="5">
        <f t="shared" si="227"/>
        <v>0</v>
      </c>
      <c r="AG392" s="5">
        <f t="shared" si="228"/>
        <v>-1608.1000595592616</v>
      </c>
      <c r="AH392" s="5">
        <f t="shared" si="229"/>
        <v>0</v>
      </c>
      <c r="AI392" s="5">
        <f t="shared" si="230"/>
        <v>8446.1095835632186</v>
      </c>
      <c r="AJ392" s="5">
        <f t="shared" si="231"/>
        <v>-12481.847958146605</v>
      </c>
      <c r="AK392" s="5">
        <f>IFERROR(SUM(X392:AJ392),-5000)*((Cockpit!$C$3)^0)</f>
        <v>10908.956510294829</v>
      </c>
      <c r="AL392" s="16">
        <f>INDEX('Team forecast'!$B$2:$AO$26,MATCH('Master data'!$B392,'Team forecast'!$B$2:$B$26,0),MATCH('Master data'!AL$1,'Team forecast'!$B$2:$AO$2,0))</f>
        <v>1.5687475343836428</v>
      </c>
      <c r="AM392" s="16">
        <f>INDEX('Team forecast'!$B$2:$AO$26,MATCH('Master data'!$B392,'Team forecast'!$B$2:$B$26,0),MATCH('Master data'!AM$1,'Team forecast'!$B$2:$AO$2,0))</f>
        <v>0.75781731816731412</v>
      </c>
      <c r="AN392" s="16">
        <f>INDEX('Team forecast'!$B$2:$AO$26,MATCH('Master data'!$B392,'Team forecast'!$B$2:$B$26,0),MATCH('Master data'!AN$1,'Team forecast'!$B$2:$AO$2,0))</f>
        <v>0.46868830883965779</v>
      </c>
      <c r="AO392" s="16">
        <f>INDEX('Team forecast'!$B$2:$AO$26,MATCH('Master data'!$B392,'Team forecast'!$B$2:$B$26,0),MATCH('Master data'!AO$1,'Team forecast'!$B$2:$AO$2,0))</f>
        <v>5.3425178268869509</v>
      </c>
      <c r="AP392" s="16">
        <f>INDEX('Team forecast'!$B$2:$AO$26,MATCH('Master data'!$B392,'Team forecast'!$B$2:$B$26,0),MATCH('Master data'!AP$1,'Team forecast'!$B$2:$AO$2,0))</f>
        <v>2.1494454842563817</v>
      </c>
      <c r="AQ392" s="5">
        <f t="shared" si="232"/>
        <v>7000</v>
      </c>
      <c r="AR392" s="5">
        <f>INDEX('Team forecast'!$B$2:$AO$26,MATCH('Master data'!$B392,'Team forecast'!$B$2:$B$26,0),MATCH('Master data'!AR$1,'Team forecast'!$B$2:$AO$2,0))*IF(X392&gt;0,25000,0)</f>
        <v>14202.676025444174</v>
      </c>
      <c r="AS392" s="16">
        <f>INDEX('Team forecast'!$B$2:$AO$26,MATCH('Master data'!$B392,'Team forecast'!$B$2:$B$26,0),MATCH('Master data'!AS$1,'Team forecast'!$B$2:$AO$2,0))*IF(X392&gt;0,5000,0)</f>
        <v>1266.7251590261019</v>
      </c>
      <c r="AT392" s="16">
        <f>INDEX('Team forecast'!$B$2:$AO$26,MATCH('Master data'!$B392,'Team forecast'!$B$2:$B$26,0),MATCH('Master data'!AT$1,'Team forecast'!$B$2:$AO$2,0))*IF(X392&gt;0,-15000,0)</f>
        <v>-2678.2189076551876</v>
      </c>
      <c r="AU392" s="5">
        <f t="shared" si="233"/>
        <v>16971.808789943858</v>
      </c>
      <c r="AV392" s="5">
        <f t="shared" si="234"/>
        <v>3432.2341826032816</v>
      </c>
      <c r="AW392" s="5">
        <f t="shared" si="235"/>
        <v>3041.0994618606305</v>
      </c>
      <c r="AX392" s="5">
        <f t="shared" si="236"/>
        <v>0</v>
      </c>
      <c r="AY392" s="5">
        <f t="shared" si="237"/>
        <v>0</v>
      </c>
      <c r="AZ392" s="5">
        <f t="shared" si="238"/>
        <v>-1608.1000595592616</v>
      </c>
      <c r="BA392" s="5">
        <f t="shared" si="239"/>
        <v>0</v>
      </c>
      <c r="BB392" s="5">
        <f t="shared" si="240"/>
        <v>15687.475343836428</v>
      </c>
      <c r="BC392" s="5">
        <f t="shared" si="241"/>
        <v>-6062.5385453385134</v>
      </c>
      <c r="BD392" s="5">
        <f t="shared" si="242"/>
        <v>51253.161450161497</v>
      </c>
      <c r="BE392" s="16">
        <f>INDEX('Team forecast'!$B$2:$AO$26,MATCH('Master data'!$B392,'Team forecast'!$B$2:$B$26,0),MATCH('Master data'!BE$1,'Team forecast'!$B$2:$AO$2,0))</f>
        <v>0.95602347631827322</v>
      </c>
      <c r="BF392" s="16">
        <f>INDEX('Team forecast'!$B$2:$AO$26,MATCH('Master data'!$B392,'Team forecast'!$B$2:$B$26,0),MATCH('Master data'!BF$1,'Team forecast'!$B$2:$AO$2,0))</f>
        <v>1.5053002864585165</v>
      </c>
      <c r="BG392" s="16">
        <f>INDEX('Team forecast'!$B$2:$AO$26,MATCH('Master data'!$B392,'Team forecast'!$B$2:$B$26,0),MATCH('Master data'!BG$1,'Team forecast'!$B$2:$AO$2,0))</f>
        <v>0.22195063505392029</v>
      </c>
      <c r="BH392" s="16">
        <f>INDEX('Team forecast'!$B$2:$AO$26,MATCH('Master data'!$B392,'Team forecast'!$B$2:$B$26,0),MATCH('Master data'!BH$1,'Team forecast'!$B$2:$AO$2,0))</f>
        <v>3.2558282025664269</v>
      </c>
      <c r="BI392" s="16">
        <f>INDEX('Team forecast'!$B$2:$AO$26,MATCH('Master data'!$B392,'Team forecast'!$B$2:$B$26,0),MATCH('Master data'!BI$1,'Team forecast'!$B$2:$AO$2,0))</f>
        <v>4.2695789943187012</v>
      </c>
      <c r="BJ392" s="5">
        <f t="shared" si="243"/>
        <v>7000</v>
      </c>
      <c r="BK392" s="5">
        <f>INDEX('Team forecast'!$R$3:$BH$26,MATCH($B392,'Team forecast'!$B$3:$B$26,0),MATCH(BK$1,'Team forecast'!$R$2:$BH$2,0))*IF($X392&gt;0,25000,0)</f>
        <v>5860.0381084358223</v>
      </c>
      <c r="BL392" s="5">
        <f>INDEX('Team forecast'!$R$3:$BH$26,MATCH($B392,'Team forecast'!$B$3:$B$26,0),MATCH(BL$1,'Team forecast'!$R$2:$BH$2,0))*IF($X392&gt;0,5000,0)</f>
        <v>1413.30330850511</v>
      </c>
      <c r="BM392" s="5">
        <f>INDEX('Team forecast'!$R$3:$BH$26,MATCH($B392,'Team forecast'!$B$3:$B$26,0),MATCH(BM$1,'Team forecast'!$R$2:$BH$2,0))*IF($X392&gt;0,-15000,0)</f>
        <v>-7244.0672094231768</v>
      </c>
      <c r="BN392" s="5">
        <f t="shared" si="244"/>
        <v>10342.931085559343</v>
      </c>
      <c r="BO392" s="5">
        <f t="shared" si="245"/>
        <v>2091.6663662391093</v>
      </c>
      <c r="BP392" s="5">
        <f t="shared" si="246"/>
        <v>1853.3017044708383</v>
      </c>
      <c r="BQ392" s="5">
        <f t="shared" si="247"/>
        <v>0</v>
      </c>
      <c r="BR392" s="5">
        <f t="shared" si="248"/>
        <v>0</v>
      </c>
      <c r="BS392" s="5">
        <f t="shared" si="249"/>
        <v>-1608.1000595592616</v>
      </c>
      <c r="BT392" s="5">
        <f t="shared" si="250"/>
        <v>0</v>
      </c>
      <c r="BU392" s="5">
        <f t="shared" si="251"/>
        <v>9560.2347631827324</v>
      </c>
      <c r="BV392" s="5">
        <f t="shared" si="252"/>
        <v>-12042.402291668132</v>
      </c>
      <c r="BW392" s="5">
        <f t="shared" si="253"/>
        <v>17226.905775742387</v>
      </c>
      <c r="BX392" s="5">
        <f t="shared" si="254"/>
        <v>26463.007912066238</v>
      </c>
      <c r="BY392" s="5">
        <f t="shared" si="255"/>
        <v>79389.023736198709</v>
      </c>
      <c r="BZ392" s="5">
        <f>INDEX('Team forecast'!$R$3:$BH$26,MATCH($B392,'Team forecast'!$B$3:$B$26,0),MATCH(BZ$1,'Team forecast'!$R$2:$BH$2,0))*($BX392-(BY392+CH392)*0.01)</f>
        <v>-2782.50546827793</v>
      </c>
      <c r="CA392" s="5">
        <f>INDEX('Team forecast'!$R$3:$BH$26,MATCH($B392,'Team forecast'!$B$3:$B$26,0),MATCH(CA$1,'Team forecast'!$R$2:$BH$2,0))*($BX392-(BY392+BX392+CH392)*0.01)</f>
        <v>-1449.2723633813225</v>
      </c>
      <c r="CB392" s="5">
        <f>INDEX('Team forecast'!$R$3:$BH$26,MATCH($B392,'Team forecast'!$B$3:$B$26,0),MATCH(CB$1,'Team forecast'!$R$2:$BH$2,0))*($BX392-(BY392+BX392*2+CH392)*0.01)</f>
        <v>-739.49868540440798</v>
      </c>
      <c r="CC392" s="5">
        <f>INDEX('Team forecast'!$R$3:$BH$26,MATCH($B392,'Team forecast'!$B$3:$B$26,0),MATCH(CC$1,'Team forecast'!$R$2:$BH$2,0))*($BX392-(BY392+BX392*3+CH392)*0.01)</f>
        <v>-353.35354460971649</v>
      </c>
      <c r="CD392" s="5">
        <f>+AK392+BD392*Cockpit!$C$3+BW392*Cockpit!$C$3^2+BZ392*Cockpit!$C$3^3+CA392*Cockpit!$C$3^4+CB392*Cockpit!$C$3^5+CC392*Cockpit!$C$3^6</f>
        <v>51495.007311378809</v>
      </c>
      <c r="CE392" s="5"/>
      <c r="CF392" s="5"/>
      <c r="CG392" s="5">
        <v>0</v>
      </c>
      <c r="CH392" s="5">
        <f t="shared" si="256"/>
        <v>3000000</v>
      </c>
      <c r="CI392" s="5">
        <f t="shared" si="257"/>
        <v>3000000</v>
      </c>
      <c r="CJ392" s="1">
        <f t="shared" si="258"/>
        <v>2.6463007912066235E-2</v>
      </c>
      <c r="CK392" s="5">
        <f>RANK(BY392,$BY$2:$BY$623)+COUNTIF($BY$2:$BY392,$BY392)-1</f>
        <v>216</v>
      </c>
      <c r="CL392" s="5">
        <f>RANK(CJ392,$CJ$2:$CJ$623)+COUNTIF($CJ$2:$CJ392,$CJ392)-1</f>
        <v>186</v>
      </c>
    </row>
    <row r="393" spans="1:90">
      <c r="A393" t="str">
        <f>Players!P394</f>
        <v>Aleksandr Sobolev</v>
      </c>
      <c r="B393" t="str">
        <f>Players!G394</f>
        <v>Russia</v>
      </c>
      <c r="C393" t="str">
        <f>Players!AB394</f>
        <v>Striker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3000000</v>
      </c>
      <c r="H393" s="16">
        <f>INDEX('Team forecast'!$B$2:$AO$26,MATCH('Master data'!$B393,'Team forecast'!$B$2:$B$26,0),MATCH('Master data'!H$1,'Team forecast'!$B$2:$AO$2,0))</f>
        <v>0.84461095835632183</v>
      </c>
      <c r="I393" s="16">
        <f>INDEX('Team forecast'!$B$2:$AO$26,MATCH('Master data'!$B393,'Team forecast'!$B$2:$B$26,0),MATCH('Master data'!I$1,'Team forecast'!$B$2:$AO$2,0))</f>
        <v>1.5602309947683257</v>
      </c>
      <c r="J393" s="16">
        <f>INDEX('Team forecast'!$B$2:$AO$26,MATCH('Master data'!$B393,'Team forecast'!$B$2:$B$26,0),MATCH('Master data'!J$1,'Team forecast'!$B$2:$AO$2,0))</f>
        <v>0.21008753647353071</v>
      </c>
      <c r="K393" s="16">
        <f>INDEX('Team forecast'!$B$2:$AO$26,MATCH('Master data'!$B393,'Team forecast'!$B$2:$B$26,0),MATCH('Master data'!K$1,'Team forecast'!$B$2:$AO$2,0))</f>
        <v>2.876402354682019</v>
      </c>
      <c r="L393" s="16">
        <f>INDEX('Team forecast'!$B$2:$AO$26,MATCH('Master data'!$B393,'Team forecast'!$B$2:$B$26,0),MATCH('Master data'!L$1,'Team forecast'!$B$2:$AO$2,0))</f>
        <v>4.4253824578883423</v>
      </c>
      <c r="M393">
        <f>IF(Players!BC394=1,95,0)</f>
        <v>0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8.3955223880597007E-2</v>
      </c>
      <c r="R393" s="2">
        <f>Players!BR394</f>
        <v>0</v>
      </c>
      <c r="S393" s="2">
        <f t="shared" si="217"/>
        <v>0.84461095835632183</v>
      </c>
      <c r="T393" s="2">
        <f t="shared" si="218"/>
        <v>1.5602309947683257</v>
      </c>
      <c r="U393" s="16">
        <f>INDEX('Team forecast'!$B$2:$AO$26,MATCH('Master data'!$B393,'Team forecast'!$B$2:$B$26,0),MATCH('Master data'!U$1,'Team forecast'!$B$2:$AO$2,0))</f>
        <v>0.18007503126302629</v>
      </c>
      <c r="V393" s="16">
        <f>INDEX('Team forecast'!$B$2:$AO$26,MATCH('Master data'!$B393,'Team forecast'!$B$2:$B$26,0),MATCH('Master data'!V$1,'Team forecast'!$B$2:$AO$2,0))</f>
        <v>0.23634847853272201</v>
      </c>
      <c r="W393" s="16">
        <f>INDEX('Team forecast'!$B$2:$AO$26,MATCH('Master data'!$B393,'Team forecast'!$B$2:$B$26,0),MATCH('Master data'!W$1,'Team forecast'!$B$2:$AO$2,0))</f>
        <v>0.58357649020425184</v>
      </c>
      <c r="X393" s="5">
        <f t="shared" si="219"/>
        <v>-5000</v>
      </c>
      <c r="Y393" s="5">
        <f t="shared" si="220"/>
        <v>0</v>
      </c>
      <c r="Z393" s="5">
        <f t="shared" si="221"/>
        <v>0</v>
      </c>
      <c r="AA393" s="5">
        <f t="shared" si="222"/>
        <v>0</v>
      </c>
      <c r="AB393" s="5">
        <f t="shared" si="223"/>
        <v>0</v>
      </c>
      <c r="AC393" s="5">
        <f t="shared" si="224"/>
        <v>0</v>
      </c>
      <c r="AD393" s="5">
        <f t="shared" si="225"/>
        <v>0</v>
      </c>
      <c r="AE393" s="5">
        <f t="shared" si="226"/>
        <v>0</v>
      </c>
      <c r="AF393" s="5">
        <f t="shared" si="227"/>
        <v>0</v>
      </c>
      <c r="AG393" s="5">
        <f t="shared" si="228"/>
        <v>0</v>
      </c>
      <c r="AH393" s="5">
        <f t="shared" si="229"/>
        <v>0</v>
      </c>
      <c r="AI393" s="5">
        <f t="shared" si="230"/>
        <v>0</v>
      </c>
      <c r="AJ393" s="5">
        <f t="shared" si="231"/>
        <v>0</v>
      </c>
      <c r="AK393" s="5">
        <f>IFERROR(SUM(X393:AJ393),-5000)*((Cockpit!$C$3)^0)</f>
        <v>-5000</v>
      </c>
      <c r="AL393" s="16">
        <f>INDEX('Team forecast'!$B$2:$AO$26,MATCH('Master data'!$B393,'Team forecast'!$B$2:$B$26,0),MATCH('Master data'!AL$1,'Team forecast'!$B$2:$AO$2,0))</f>
        <v>1.5687475343836428</v>
      </c>
      <c r="AM393" s="16">
        <f>INDEX('Team forecast'!$B$2:$AO$26,MATCH('Master data'!$B393,'Team forecast'!$B$2:$B$26,0),MATCH('Master data'!AM$1,'Team forecast'!$B$2:$AO$2,0))</f>
        <v>0.75781731816731412</v>
      </c>
      <c r="AN393" s="16">
        <f>INDEX('Team forecast'!$B$2:$AO$26,MATCH('Master data'!$B393,'Team forecast'!$B$2:$B$26,0),MATCH('Master data'!AN$1,'Team forecast'!$B$2:$AO$2,0))</f>
        <v>0.46868830883965779</v>
      </c>
      <c r="AO393" s="16">
        <f>INDEX('Team forecast'!$B$2:$AO$26,MATCH('Master data'!$B393,'Team forecast'!$B$2:$B$26,0),MATCH('Master data'!AO$1,'Team forecast'!$B$2:$AO$2,0))</f>
        <v>5.3425178268869509</v>
      </c>
      <c r="AP393" s="16">
        <f>INDEX('Team forecast'!$B$2:$AO$26,MATCH('Master data'!$B393,'Team forecast'!$B$2:$B$26,0),MATCH('Master data'!AP$1,'Team forecast'!$B$2:$AO$2,0))</f>
        <v>2.1494454842563817</v>
      </c>
      <c r="AQ393" s="5">
        <f t="shared" si="232"/>
        <v>-5000</v>
      </c>
      <c r="AR393" s="5">
        <f>INDEX('Team forecast'!$B$2:$AO$26,MATCH('Master data'!$B393,'Team forecast'!$B$2:$B$26,0),MATCH('Master data'!AR$1,'Team forecast'!$B$2:$AO$2,0))*IF(X393&gt;0,25000,0)</f>
        <v>0</v>
      </c>
      <c r="AS393" s="16">
        <f>INDEX('Team forecast'!$B$2:$AO$26,MATCH('Master data'!$B393,'Team forecast'!$B$2:$B$26,0),MATCH('Master data'!AS$1,'Team forecast'!$B$2:$AO$2,0))*IF(X393&gt;0,5000,0)</f>
        <v>0</v>
      </c>
      <c r="AT393" s="16">
        <f>INDEX('Team forecast'!$B$2:$AO$26,MATCH('Master data'!$B393,'Team forecast'!$B$2:$B$26,0),MATCH('Master data'!AT$1,'Team forecast'!$B$2:$AO$2,0))*IF(X393&gt;0,-15000,0)</f>
        <v>0</v>
      </c>
      <c r="AU393" s="5">
        <f t="shared" si="233"/>
        <v>0</v>
      </c>
      <c r="AV393" s="5">
        <f t="shared" si="234"/>
        <v>0</v>
      </c>
      <c r="AW393" s="5">
        <f t="shared" si="235"/>
        <v>0</v>
      </c>
      <c r="AX393" s="5">
        <f t="shared" si="236"/>
        <v>0</v>
      </c>
      <c r="AY393" s="5">
        <f t="shared" si="237"/>
        <v>0</v>
      </c>
      <c r="AZ393" s="5">
        <f t="shared" si="238"/>
        <v>0</v>
      </c>
      <c r="BA393" s="5">
        <f t="shared" si="239"/>
        <v>0</v>
      </c>
      <c r="BB393" s="5">
        <f t="shared" si="240"/>
        <v>0</v>
      </c>
      <c r="BC393" s="5">
        <f t="shared" si="241"/>
        <v>0</v>
      </c>
      <c r="BD393" s="5">
        <f t="shared" si="242"/>
        <v>-5000</v>
      </c>
      <c r="BE393" s="16">
        <f>INDEX('Team forecast'!$B$2:$AO$26,MATCH('Master data'!$B393,'Team forecast'!$B$2:$B$26,0),MATCH('Master data'!BE$1,'Team forecast'!$B$2:$AO$2,0))</f>
        <v>0.95602347631827322</v>
      </c>
      <c r="BF393" s="16">
        <f>INDEX('Team forecast'!$B$2:$AO$26,MATCH('Master data'!$B393,'Team forecast'!$B$2:$B$26,0),MATCH('Master data'!BF$1,'Team forecast'!$B$2:$AO$2,0))</f>
        <v>1.5053002864585165</v>
      </c>
      <c r="BG393" s="16">
        <f>INDEX('Team forecast'!$B$2:$AO$26,MATCH('Master data'!$B393,'Team forecast'!$B$2:$B$26,0),MATCH('Master data'!BG$1,'Team forecast'!$B$2:$AO$2,0))</f>
        <v>0.22195063505392029</v>
      </c>
      <c r="BH393" s="16">
        <f>INDEX('Team forecast'!$B$2:$AO$26,MATCH('Master data'!$B393,'Team forecast'!$B$2:$B$26,0),MATCH('Master data'!BH$1,'Team forecast'!$B$2:$AO$2,0))</f>
        <v>3.2558282025664269</v>
      </c>
      <c r="BI393" s="16">
        <f>INDEX('Team forecast'!$B$2:$AO$26,MATCH('Master data'!$B393,'Team forecast'!$B$2:$B$26,0),MATCH('Master data'!BI$1,'Team forecast'!$B$2:$AO$2,0))</f>
        <v>4.2695789943187012</v>
      </c>
      <c r="BJ393" s="5">
        <f t="shared" si="243"/>
        <v>-5000</v>
      </c>
      <c r="BK393" s="5">
        <f>INDEX('Team forecast'!$R$3:$BH$26,MATCH($B393,'Team forecast'!$B$3:$B$26,0),MATCH(BK$1,'Team forecast'!$R$2:$BH$2,0))*IF($X393&gt;0,25000,0)</f>
        <v>0</v>
      </c>
      <c r="BL393" s="5">
        <f>INDEX('Team forecast'!$R$3:$BH$26,MATCH($B393,'Team forecast'!$B$3:$B$26,0),MATCH(BL$1,'Team forecast'!$R$2:$BH$2,0))*IF($X393&gt;0,5000,0)</f>
        <v>0</v>
      </c>
      <c r="BM393" s="5">
        <f>INDEX('Team forecast'!$R$3:$BH$26,MATCH($B393,'Team forecast'!$B$3:$B$26,0),MATCH(BM$1,'Team forecast'!$R$2:$BH$2,0))*IF($X393&gt;0,-15000,0)</f>
        <v>0</v>
      </c>
      <c r="BN393" s="5">
        <f t="shared" si="244"/>
        <v>0</v>
      </c>
      <c r="BO393" s="5">
        <f t="shared" si="245"/>
        <v>0</v>
      </c>
      <c r="BP393" s="5">
        <f t="shared" si="246"/>
        <v>0</v>
      </c>
      <c r="BQ393" s="5">
        <f t="shared" si="247"/>
        <v>0</v>
      </c>
      <c r="BR393" s="5">
        <f t="shared" si="248"/>
        <v>0</v>
      </c>
      <c r="BS393" s="5">
        <f t="shared" si="249"/>
        <v>0</v>
      </c>
      <c r="BT393" s="5">
        <f t="shared" si="250"/>
        <v>0</v>
      </c>
      <c r="BU393" s="5">
        <f t="shared" si="251"/>
        <v>0</v>
      </c>
      <c r="BV393" s="5">
        <f t="shared" si="252"/>
        <v>0</v>
      </c>
      <c r="BW393" s="5">
        <f t="shared" si="253"/>
        <v>-5000</v>
      </c>
      <c r="BX393" s="5">
        <f t="shared" si="254"/>
        <v>-5000</v>
      </c>
      <c r="BY393" s="5">
        <f t="shared" si="255"/>
        <v>-15000</v>
      </c>
      <c r="BZ393" s="5">
        <f>INDEX('Team forecast'!$R$3:$BH$26,MATCH($B393,'Team forecast'!$B$3:$B$26,0),MATCH(BZ$1,'Team forecast'!$R$2:$BH$2,0))*($BX393-(BY393+CH393)*0.01)</f>
        <v>-22390.429544368617</v>
      </c>
      <c r="CA393" s="5">
        <f>INDEX('Team forecast'!$R$3:$BH$26,MATCH($B393,'Team forecast'!$B$3:$B$26,0),MATCH(CA$1,'Team forecast'!$R$2:$BH$2,0))*($BX393-(BY393+BX393+CH393)*0.01)</f>
        <v>-10974.767078683311</v>
      </c>
      <c r="CB393" s="5">
        <f>INDEX('Team forecast'!$R$3:$BH$26,MATCH($B393,'Team forecast'!$B$3:$B$26,0),MATCH(CB$1,'Team forecast'!$R$2:$BH$2,0))*($BX393-(BY393+BX393*2+CH393)*0.01)</f>
        <v>-5287.4127466117425</v>
      </c>
      <c r="CC393" s="5">
        <f>INDEX('Team forecast'!$R$3:$BH$26,MATCH($B393,'Team forecast'!$B$3:$B$26,0),MATCH(CC$1,'Team forecast'!$R$2:$BH$2,0))*($BX393-(BY393+BX393*3+CH393)*0.01)</f>
        <v>-2392.5682258176826</v>
      </c>
      <c r="CD393" s="5">
        <f>+AK393+BD393*Cockpit!$C$3+BW393*Cockpit!$C$3^2+BZ393*Cockpit!$C$3^3+CA393*Cockpit!$C$3^4+CB393*Cockpit!$C$3^5+CC393*Cockpit!$C$3^6</f>
        <v>-20263.944075502161</v>
      </c>
      <c r="CE393" s="5"/>
      <c r="CF393" s="5"/>
      <c r="CG393" s="5">
        <v>0</v>
      </c>
      <c r="CH393" s="5">
        <f t="shared" si="256"/>
        <v>3000000</v>
      </c>
      <c r="CI393" s="5">
        <f t="shared" si="257"/>
        <v>3000000</v>
      </c>
      <c r="CJ393" s="1">
        <f t="shared" si="258"/>
        <v>-5.0000000000000001E-3</v>
      </c>
      <c r="CK393" s="5">
        <f>RANK(BY393,$BY$2:$BY$623)+COUNTIF($BY$2:$BY393,$BY393)-1</f>
        <v>540</v>
      </c>
      <c r="CL393" s="5">
        <f>RANK(CJ393,$CJ$2:$CJ$623)+COUNTIF($CJ$2:$CJ393,$CJ393)-1</f>
        <v>512</v>
      </c>
    </row>
    <row r="394" spans="1:90">
      <c r="A394" t="str">
        <f>Players!P395</f>
        <v>Danny Ward</v>
      </c>
      <c r="B394" t="str">
        <f>Players!G395</f>
        <v>Wales</v>
      </c>
      <c r="C394" t="str">
        <f>Players!AB395</f>
        <v>Goalkeeper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3500000</v>
      </c>
      <c r="H394" s="16">
        <f>INDEX('Team forecast'!$B$2:$AO$26,MATCH('Master data'!$B394,'Team forecast'!$B$2:$B$26,0),MATCH('Master data'!H$1,'Team forecast'!$B$2:$AO$2,0))</f>
        <v>0.87435064565555498</v>
      </c>
      <c r="I394" s="16">
        <f>INDEX('Team forecast'!$B$2:$AO$26,MATCH('Master data'!$B394,'Team forecast'!$B$2:$B$26,0),MATCH('Master data'!I$1,'Team forecast'!$B$2:$AO$2,0))</f>
        <v>1.162032718107336</v>
      </c>
      <c r="J394" s="16">
        <f>INDEX('Team forecast'!$B$2:$AO$26,MATCH('Master data'!$B394,'Team forecast'!$B$2:$B$26,0),MATCH('Master data'!J$1,'Team forecast'!$B$2:$AO$2,0))</f>
        <v>0.31284959906121651</v>
      </c>
      <c r="K394" s="16">
        <f>INDEX('Team forecast'!$B$2:$AO$26,MATCH('Master data'!$B394,'Team forecast'!$B$2:$B$26,0),MATCH('Master data'!K$1,'Team forecast'!$B$2:$AO$2,0))</f>
        <v>2.6542787457400774</v>
      </c>
      <c r="L394" s="16">
        <f>INDEX('Team forecast'!$B$2:$AO$26,MATCH('Master data'!$B394,'Team forecast'!$B$2:$B$26,0),MATCH('Master data'!L$1,'Team forecast'!$B$2:$AO$2,0))</f>
        <v>3.0401288408862195</v>
      </c>
      <c r="M394">
        <f>IF(Players!BC395=1,95,0)</f>
        <v>95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</v>
      </c>
      <c r="R394" s="2">
        <f>Players!BR395</f>
        <v>0</v>
      </c>
      <c r="S394" s="2">
        <f t="shared" si="217"/>
        <v>0.87435064565555498</v>
      </c>
      <c r="T394" s="2">
        <f t="shared" si="218"/>
        <v>1.162032718107336</v>
      </c>
      <c r="U394" s="16">
        <f>INDEX('Team forecast'!$B$2:$AO$26,MATCH('Master data'!$B394,'Team forecast'!$B$2:$B$26,0),MATCH('Master data'!U$1,'Team forecast'!$B$2:$AO$2,0))</f>
        <v>0.2607079992176804</v>
      </c>
      <c r="V394" s="16">
        <f>INDEX('Team forecast'!$B$2:$AO$26,MATCH('Master data'!$B394,'Team forecast'!$B$2:$B$26,0),MATCH('Master data'!V$1,'Team forecast'!$B$2:$AO$2,0))</f>
        <v>0.30275767651085472</v>
      </c>
      <c r="W394" s="16">
        <f>INDEX('Team forecast'!$B$2:$AO$26,MATCH('Master data'!$B394,'Team forecast'!$B$2:$B$26,0),MATCH('Master data'!W$1,'Team forecast'!$B$2:$AO$2,0))</f>
        <v>0.43653432427146488</v>
      </c>
      <c r="X394" s="5">
        <f t="shared" si="219"/>
        <v>7000</v>
      </c>
      <c r="Y394" s="5">
        <f t="shared" si="220"/>
        <v>6517.6999804420102</v>
      </c>
      <c r="Z394" s="5">
        <f t="shared" si="221"/>
        <v>1513.7883825542735</v>
      </c>
      <c r="AA394" s="5">
        <f t="shared" si="222"/>
        <v>-6548.0148640719735</v>
      </c>
      <c r="AB394" s="5">
        <f t="shared" si="223"/>
        <v>0</v>
      </c>
      <c r="AC394" s="5">
        <f t="shared" si="224"/>
        <v>0</v>
      </c>
      <c r="AD394" s="5">
        <f t="shared" si="225"/>
        <v>0</v>
      </c>
      <c r="AE394" s="5">
        <f t="shared" si="226"/>
        <v>23463.71992959124</v>
      </c>
      <c r="AF394" s="5">
        <f t="shared" si="227"/>
        <v>9390.4806138944168</v>
      </c>
      <c r="AG394" s="5">
        <f t="shared" si="228"/>
        <v>0</v>
      </c>
      <c r="AH394" s="5">
        <f t="shared" si="229"/>
        <v>0</v>
      </c>
      <c r="AI394" s="5">
        <f t="shared" si="230"/>
        <v>8743.5064565555494</v>
      </c>
      <c r="AJ394" s="5">
        <f t="shared" si="231"/>
        <v>-9296.261744858688</v>
      </c>
      <c r="AK394" s="5">
        <f>IFERROR(SUM(X394:AJ394),-5000)*((Cockpit!$C$3)^0)</f>
        <v>40784.918754106831</v>
      </c>
      <c r="AL394" s="16">
        <f>INDEX('Team forecast'!$B$2:$AO$26,MATCH('Master data'!$B394,'Team forecast'!$B$2:$B$26,0),MATCH('Master data'!AL$1,'Team forecast'!$B$2:$AO$2,0))</f>
        <v>1.0279287794501248</v>
      </c>
      <c r="AM394" s="16">
        <f>INDEX('Team forecast'!$B$2:$AO$26,MATCH('Master data'!$B394,'Team forecast'!$B$2:$B$26,0),MATCH('Master data'!AM$1,'Team forecast'!$B$2:$AO$2,0))</f>
        <v>1.2847203648825669</v>
      </c>
      <c r="AN394" s="16">
        <f>INDEX('Team forecast'!$B$2:$AO$26,MATCH('Master data'!$B394,'Team forecast'!$B$2:$B$26,0),MATCH('Master data'!AN$1,'Team forecast'!$B$2:$AO$2,0))</f>
        <v>0.27672795566788022</v>
      </c>
      <c r="AO394" s="16">
        <f>INDEX('Team forecast'!$B$2:$AO$26,MATCH('Master data'!$B394,'Team forecast'!$B$2:$B$26,0),MATCH('Master data'!AO$1,'Team forecast'!$B$2:$AO$2,0))</f>
        <v>3.1204980804735931</v>
      </c>
      <c r="AP394" s="16">
        <f>INDEX('Team forecast'!$B$2:$AO$26,MATCH('Master data'!$B394,'Team forecast'!$B$2:$B$26,0),MATCH('Master data'!AP$1,'Team forecast'!$B$2:$AO$2,0))</f>
        <v>3.3611062519089856</v>
      </c>
      <c r="AQ394" s="5">
        <f t="shared" si="232"/>
        <v>7000</v>
      </c>
      <c r="AR394" s="5">
        <f>INDEX('Team forecast'!$B$2:$AO$26,MATCH('Master data'!$B394,'Team forecast'!$B$2:$B$26,0),MATCH('Master data'!AR$1,'Team forecast'!$B$2:$AO$2,0))*IF(X394&gt;0,25000,0)</f>
        <v>6720.5360662199482</v>
      </c>
      <c r="AS394" s="16">
        <f>INDEX('Team forecast'!$B$2:$AO$26,MATCH('Master data'!$B394,'Team forecast'!$B$2:$B$26,0),MATCH('Master data'!AS$1,'Team forecast'!$B$2:$AO$2,0))*IF(X394&gt;0,5000,0)</f>
        <v>1517.5404020496649</v>
      </c>
      <c r="AT394" s="16">
        <f>INDEX('Team forecast'!$B$2:$AO$26,MATCH('Master data'!$B394,'Team forecast'!$B$2:$B$26,0),MATCH('Master data'!AT$1,'Team forecast'!$B$2:$AO$2,0))*IF(X394&gt;0,-15000,0)</f>
        <v>-6415.0571541190393</v>
      </c>
      <c r="AU394" s="5">
        <f t="shared" si="233"/>
        <v>0</v>
      </c>
      <c r="AV394" s="5">
        <f t="shared" si="234"/>
        <v>0</v>
      </c>
      <c r="AW394" s="5">
        <f t="shared" si="235"/>
        <v>0</v>
      </c>
      <c r="AX394" s="5">
        <f t="shared" si="236"/>
        <v>20754.596675091016</v>
      </c>
      <c r="AY394" s="5">
        <f t="shared" si="237"/>
        <v>10381.929435132093</v>
      </c>
      <c r="AZ394" s="5">
        <f t="shared" si="238"/>
        <v>0</v>
      </c>
      <c r="BA394" s="5">
        <f t="shared" si="239"/>
        <v>0</v>
      </c>
      <c r="BB394" s="5">
        <f t="shared" si="240"/>
        <v>10279.287794501248</v>
      </c>
      <c r="BC394" s="5">
        <f t="shared" si="241"/>
        <v>-10277.762919060535</v>
      </c>
      <c r="BD394" s="5">
        <f t="shared" si="242"/>
        <v>39961.070299814397</v>
      </c>
      <c r="BE394" s="16">
        <f>INDEX('Team forecast'!$B$2:$AO$26,MATCH('Master data'!$B394,'Team forecast'!$B$2:$B$26,0),MATCH('Master data'!BE$1,'Team forecast'!$B$2:$AO$2,0))</f>
        <v>0.65281467345965161</v>
      </c>
      <c r="BF394" s="16">
        <f>INDEX('Team forecast'!$B$2:$AO$26,MATCH('Master data'!$B394,'Team forecast'!$B$2:$B$26,0),MATCH('Master data'!BF$1,'Team forecast'!$B$2:$AO$2,0))</f>
        <v>1.8402581758343768</v>
      </c>
      <c r="BG394" s="16">
        <f>INDEX('Team forecast'!$B$2:$AO$26,MATCH('Master data'!$B394,'Team forecast'!$B$2:$B$26,0),MATCH('Master data'!BG$1,'Team forecast'!$B$2:$AO$2,0))</f>
        <v>0.15877642857793531</v>
      </c>
      <c r="BH394" s="16">
        <f>INDEX('Team forecast'!$B$2:$AO$26,MATCH('Master data'!$B394,'Team forecast'!$B$2:$B$26,0),MATCH('Master data'!BH$1,'Team forecast'!$B$2:$AO$2,0))</f>
        <v>1.9817588301453708</v>
      </c>
      <c r="BI394" s="16">
        <f>INDEX('Team forecast'!$B$2:$AO$26,MATCH('Master data'!$B394,'Team forecast'!$B$2:$B$26,0),MATCH('Master data'!BI$1,'Team forecast'!$B$2:$AO$2,0))</f>
        <v>4.8145132816423697</v>
      </c>
      <c r="BJ394" s="5">
        <f t="shared" si="243"/>
        <v>7000</v>
      </c>
      <c r="BK394" s="5">
        <f>INDEX('Team forecast'!$R$3:$BH$26,MATCH($B394,'Team forecast'!$B$3:$B$26,0),MATCH(BK$1,'Team forecast'!$R$2:$BH$2,0))*IF($X394&gt;0,25000,0)</f>
        <v>2721.881632764605</v>
      </c>
      <c r="BL394" s="5">
        <f>INDEX('Team forecast'!$R$3:$BH$26,MATCH($B394,'Team forecast'!$B$3:$B$26,0),MATCH(BL$1,'Team forecast'!$R$2:$BH$2,0))*IF($X394&gt;0,5000,0)</f>
        <v>1147.781411406761</v>
      </c>
      <c r="BM394" s="5">
        <f>INDEX('Team forecast'!$R$3:$BH$26,MATCH($B394,'Team forecast'!$B$3:$B$26,0),MATCH(BM$1,'Team forecast'!$R$2:$BH$2,0))*IF($X394&gt;0,-15000,0)</f>
        <v>-9923.5267861209559</v>
      </c>
      <c r="BN394" s="5">
        <f t="shared" si="244"/>
        <v>0</v>
      </c>
      <c r="BO394" s="5">
        <f t="shared" si="245"/>
        <v>0</v>
      </c>
      <c r="BP394" s="5">
        <f t="shared" si="246"/>
        <v>0</v>
      </c>
      <c r="BQ394" s="5">
        <f t="shared" si="247"/>
        <v>11908.232143345149</v>
      </c>
      <c r="BR394" s="5">
        <f t="shared" si="248"/>
        <v>14871.275529039964</v>
      </c>
      <c r="BS394" s="5">
        <f t="shared" si="249"/>
        <v>0</v>
      </c>
      <c r="BT394" s="5">
        <f t="shared" si="250"/>
        <v>0</v>
      </c>
      <c r="BU394" s="5">
        <f t="shared" si="251"/>
        <v>6528.1467345965157</v>
      </c>
      <c r="BV394" s="5">
        <f t="shared" si="252"/>
        <v>-14722.065406675014</v>
      </c>
      <c r="BW394" s="5">
        <f t="shared" si="253"/>
        <v>19531.725258357023</v>
      </c>
      <c r="BX394" s="5">
        <f t="shared" si="254"/>
        <v>33425.904770759415</v>
      </c>
      <c r="BY394" s="5">
        <f t="shared" si="255"/>
        <v>100277.71431227824</v>
      </c>
      <c r="BZ394" s="5">
        <f>INDEX('Team forecast'!$R$3:$BH$26,MATCH($B394,'Team forecast'!$B$3:$B$26,0),MATCH(BZ$1,'Team forecast'!$R$2:$BH$2,0))*($BX394-(BY394+CH394)*0.01)</f>
        <v>-1269.8207476035509</v>
      </c>
      <c r="CA394" s="5">
        <f>INDEX('Team forecast'!$R$3:$BH$26,MATCH($B394,'Team forecast'!$B$3:$B$26,0),MATCH(CA$1,'Team forecast'!$R$2:$BH$2,0))*($BX394-(BY394+BX394+CH394)*0.01)</f>
        <v>-704.60904299791014</v>
      </c>
      <c r="CB394" s="5">
        <f>INDEX('Team forecast'!$R$3:$BH$26,MATCH($B394,'Team forecast'!$B$3:$B$26,0),MATCH(CB$1,'Team forecast'!$R$2:$BH$2,0))*($BX394-(BY394+BX394*2+CH394)*0.01)</f>
        <v>-379.47438221686178</v>
      </c>
      <c r="CC394" s="5">
        <f>INDEX('Team forecast'!$R$3:$BH$26,MATCH($B394,'Team forecast'!$B$3:$B$26,0),MATCH(CC$1,'Team forecast'!$R$2:$BH$2,0))*($BX394-(BY394+BX394*3+CH394)*0.01)</f>
        <v>-190.38827072185012</v>
      </c>
      <c r="CD394" s="5">
        <f>+AK394+BD394*Cockpit!$C$3+BW394*Cockpit!$C$3^2+BZ394*Cockpit!$C$3^3+CA394*Cockpit!$C$3^4+CB394*Cockpit!$C$3^5+CC394*Cockpit!$C$3^6</f>
        <v>75524.287445086797</v>
      </c>
      <c r="CE394" s="5"/>
      <c r="CF394" s="5"/>
      <c r="CG394" s="5">
        <v>0</v>
      </c>
      <c r="CH394" s="5">
        <f t="shared" si="256"/>
        <v>3500000</v>
      </c>
      <c r="CI394" s="5">
        <f t="shared" si="257"/>
        <v>3500000</v>
      </c>
      <c r="CJ394" s="1">
        <f t="shared" si="258"/>
        <v>2.8650775517793783E-2</v>
      </c>
      <c r="CK394" s="5">
        <f>RANK(BY394,$BY$2:$BY$623)+COUNTIF($BY$2:$BY394,$BY394)-1</f>
        <v>167</v>
      </c>
      <c r="CL394" s="5">
        <f>RANK(CJ394,$CJ$2:$CJ$623)+COUNTIF($CJ$2:$CJ394,$CJ394)-1</f>
        <v>159</v>
      </c>
    </row>
    <row r="395" spans="1:90">
      <c r="A395" t="str">
        <f>Players!P396</f>
        <v>Ben Cabango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2000000</v>
      </c>
      <c r="H395" s="16">
        <f>INDEX('Team forecast'!$B$2:$AO$26,MATCH('Master data'!$B395,'Team forecast'!$B$2:$B$26,0),MATCH('Master data'!H$1,'Team forecast'!$B$2:$AO$2,0))</f>
        <v>0.87435064565555498</v>
      </c>
      <c r="I395" s="16">
        <f>INDEX('Team forecast'!$B$2:$AO$26,MATCH('Master data'!$B395,'Team forecast'!$B$2:$B$26,0),MATCH('Master data'!I$1,'Team forecast'!$B$2:$AO$2,0))</f>
        <v>1.162032718107336</v>
      </c>
      <c r="J395" s="16">
        <f>INDEX('Team forecast'!$B$2:$AO$26,MATCH('Master data'!$B395,'Team forecast'!$B$2:$B$26,0),MATCH('Master data'!J$1,'Team forecast'!$B$2:$AO$2,0))</f>
        <v>0.31284959906121651</v>
      </c>
      <c r="K395" s="16">
        <f>INDEX('Team forecast'!$B$2:$AO$26,MATCH('Master data'!$B395,'Team forecast'!$B$2:$B$26,0),MATCH('Master data'!K$1,'Team forecast'!$B$2:$AO$2,0))</f>
        <v>2.6542787457400774</v>
      </c>
      <c r="L395" s="16">
        <f>INDEX('Team forecast'!$B$2:$AO$26,MATCH('Master data'!$B395,'Team forecast'!$B$2:$B$26,0),MATCH('Master data'!L$1,'Team forecast'!$B$2:$AO$2,0))</f>
        <v>3.0401288408862195</v>
      </c>
      <c r="M395">
        <f>IF(Players!BC396=1,95,0)</f>
        <v>0</v>
      </c>
      <c r="N395" s="2">
        <f>Players!BN396</f>
        <v>0</v>
      </c>
      <c r="O395" s="2">
        <f>Players!BO396</f>
        <v>0</v>
      </c>
      <c r="P395" s="2">
        <f>Players!BP396</f>
        <v>0</v>
      </c>
      <c r="Q395" s="2">
        <f>Players!BQ396</f>
        <v>0.52918367346938777</v>
      </c>
      <c r="R395" s="2">
        <f>Players!BR396</f>
        <v>0</v>
      </c>
      <c r="S395" s="2">
        <f t="shared" si="217"/>
        <v>0.87435064565555498</v>
      </c>
      <c r="T395" s="2">
        <f t="shared" si="218"/>
        <v>1.162032718107336</v>
      </c>
      <c r="U395" s="16">
        <f>INDEX('Team forecast'!$B$2:$AO$26,MATCH('Master data'!$B395,'Team forecast'!$B$2:$B$26,0),MATCH('Master data'!U$1,'Team forecast'!$B$2:$AO$2,0))</f>
        <v>0.2607079992176804</v>
      </c>
      <c r="V395" s="16">
        <f>INDEX('Team forecast'!$B$2:$AO$26,MATCH('Master data'!$B395,'Team forecast'!$B$2:$B$26,0),MATCH('Master data'!V$1,'Team forecast'!$B$2:$AO$2,0))</f>
        <v>0.30275767651085472</v>
      </c>
      <c r="W395" s="16">
        <f>INDEX('Team forecast'!$B$2:$AO$26,MATCH('Master data'!$B395,'Team forecast'!$B$2:$B$26,0),MATCH('Master data'!W$1,'Team forecast'!$B$2:$AO$2,0))</f>
        <v>0.43653432427146488</v>
      </c>
      <c r="X395" s="5">
        <f t="shared" si="219"/>
        <v>-5000</v>
      </c>
      <c r="Y395" s="5">
        <f t="shared" si="220"/>
        <v>0</v>
      </c>
      <c r="Z395" s="5">
        <f t="shared" si="221"/>
        <v>0</v>
      </c>
      <c r="AA395" s="5">
        <f t="shared" si="222"/>
        <v>0</v>
      </c>
      <c r="AB395" s="5">
        <f t="shared" si="223"/>
        <v>0</v>
      </c>
      <c r="AC395" s="5">
        <f t="shared" si="224"/>
        <v>0</v>
      </c>
      <c r="AD395" s="5">
        <f t="shared" si="225"/>
        <v>0</v>
      </c>
      <c r="AE395" s="5">
        <f t="shared" si="226"/>
        <v>15642.479953060825</v>
      </c>
      <c r="AF395" s="5">
        <f t="shared" si="227"/>
        <v>0</v>
      </c>
      <c r="AG395" s="5">
        <f t="shared" si="228"/>
        <v>0</v>
      </c>
      <c r="AH395" s="5">
        <f t="shared" si="229"/>
        <v>0</v>
      </c>
      <c r="AI395" s="5">
        <f t="shared" si="230"/>
        <v>0</v>
      </c>
      <c r="AJ395" s="5">
        <f t="shared" si="231"/>
        <v>0</v>
      </c>
      <c r="AK395" s="5">
        <f>IFERROR(SUM(X395:AJ395),-5000)*((Cockpit!$C$3)^0)</f>
        <v>10642.479953060825</v>
      </c>
      <c r="AL395" s="16">
        <f>INDEX('Team forecast'!$B$2:$AO$26,MATCH('Master data'!$B395,'Team forecast'!$B$2:$B$26,0),MATCH('Master data'!AL$1,'Team forecast'!$B$2:$AO$2,0))</f>
        <v>1.0279287794501248</v>
      </c>
      <c r="AM395" s="16">
        <f>INDEX('Team forecast'!$B$2:$AO$26,MATCH('Master data'!$B395,'Team forecast'!$B$2:$B$26,0),MATCH('Master data'!AM$1,'Team forecast'!$B$2:$AO$2,0))</f>
        <v>1.2847203648825669</v>
      </c>
      <c r="AN395" s="16">
        <f>INDEX('Team forecast'!$B$2:$AO$26,MATCH('Master data'!$B395,'Team forecast'!$B$2:$B$26,0),MATCH('Master data'!AN$1,'Team forecast'!$B$2:$AO$2,0))</f>
        <v>0.27672795566788022</v>
      </c>
      <c r="AO395" s="16">
        <f>INDEX('Team forecast'!$B$2:$AO$26,MATCH('Master data'!$B395,'Team forecast'!$B$2:$B$26,0),MATCH('Master data'!AO$1,'Team forecast'!$B$2:$AO$2,0))</f>
        <v>3.1204980804735931</v>
      </c>
      <c r="AP395" s="16">
        <f>INDEX('Team forecast'!$B$2:$AO$26,MATCH('Master data'!$B395,'Team forecast'!$B$2:$B$26,0),MATCH('Master data'!AP$1,'Team forecast'!$B$2:$AO$2,0))</f>
        <v>3.3611062519089856</v>
      </c>
      <c r="AQ395" s="5">
        <f t="shared" si="232"/>
        <v>-5000</v>
      </c>
      <c r="AR395" s="5">
        <f>INDEX('Team forecast'!$B$2:$AO$26,MATCH('Master data'!$B395,'Team forecast'!$B$2:$B$26,0),MATCH('Master data'!AR$1,'Team forecast'!$B$2:$AO$2,0))*IF(X395&gt;0,25000,0)</f>
        <v>0</v>
      </c>
      <c r="AS395" s="16">
        <f>INDEX('Team forecast'!$B$2:$AO$26,MATCH('Master data'!$B395,'Team forecast'!$B$2:$B$26,0),MATCH('Master data'!AS$1,'Team forecast'!$B$2:$AO$2,0))*IF(X395&gt;0,5000,0)</f>
        <v>0</v>
      </c>
      <c r="AT395" s="16">
        <f>INDEX('Team forecast'!$B$2:$AO$26,MATCH('Master data'!$B395,'Team forecast'!$B$2:$B$26,0),MATCH('Master data'!AT$1,'Team forecast'!$B$2:$AO$2,0))*IF(X395&gt;0,-15000,0)</f>
        <v>0</v>
      </c>
      <c r="AU395" s="5">
        <f t="shared" si="233"/>
        <v>0</v>
      </c>
      <c r="AV395" s="5">
        <f t="shared" si="234"/>
        <v>0</v>
      </c>
      <c r="AW395" s="5">
        <f t="shared" si="235"/>
        <v>0</v>
      </c>
      <c r="AX395" s="5">
        <f t="shared" si="236"/>
        <v>13836.397783394012</v>
      </c>
      <c r="AY395" s="5">
        <f t="shared" si="237"/>
        <v>0</v>
      </c>
      <c r="AZ395" s="5">
        <f t="shared" si="238"/>
        <v>0</v>
      </c>
      <c r="BA395" s="5">
        <f t="shared" si="239"/>
        <v>0</v>
      </c>
      <c r="BB395" s="5">
        <f t="shared" si="240"/>
        <v>0</v>
      </c>
      <c r="BC395" s="5">
        <f t="shared" si="241"/>
        <v>0</v>
      </c>
      <c r="BD395" s="5">
        <f t="shared" si="242"/>
        <v>8836.3977833940116</v>
      </c>
      <c r="BE395" s="16">
        <f>INDEX('Team forecast'!$B$2:$AO$26,MATCH('Master data'!$B395,'Team forecast'!$B$2:$B$26,0),MATCH('Master data'!BE$1,'Team forecast'!$B$2:$AO$2,0))</f>
        <v>0.65281467345965161</v>
      </c>
      <c r="BF395" s="16">
        <f>INDEX('Team forecast'!$B$2:$AO$26,MATCH('Master data'!$B395,'Team forecast'!$B$2:$B$26,0),MATCH('Master data'!BF$1,'Team forecast'!$B$2:$AO$2,0))</f>
        <v>1.8402581758343768</v>
      </c>
      <c r="BG395" s="16">
        <f>INDEX('Team forecast'!$B$2:$AO$26,MATCH('Master data'!$B395,'Team forecast'!$B$2:$B$26,0),MATCH('Master data'!BG$1,'Team forecast'!$B$2:$AO$2,0))</f>
        <v>0.15877642857793531</v>
      </c>
      <c r="BH395" s="16">
        <f>INDEX('Team forecast'!$B$2:$AO$26,MATCH('Master data'!$B395,'Team forecast'!$B$2:$B$26,0),MATCH('Master data'!BH$1,'Team forecast'!$B$2:$AO$2,0))</f>
        <v>1.9817588301453708</v>
      </c>
      <c r="BI395" s="16">
        <f>INDEX('Team forecast'!$B$2:$AO$26,MATCH('Master data'!$B395,'Team forecast'!$B$2:$B$26,0),MATCH('Master data'!BI$1,'Team forecast'!$B$2:$AO$2,0))</f>
        <v>4.8145132816423697</v>
      </c>
      <c r="BJ395" s="5">
        <f t="shared" si="243"/>
        <v>-5000</v>
      </c>
      <c r="BK395" s="5">
        <f>INDEX('Team forecast'!$R$3:$BH$26,MATCH($B395,'Team forecast'!$B$3:$B$26,0),MATCH(BK$1,'Team forecast'!$R$2:$BH$2,0))*IF($X395&gt;0,25000,0)</f>
        <v>0</v>
      </c>
      <c r="BL395" s="5">
        <f>INDEX('Team forecast'!$R$3:$BH$26,MATCH($B395,'Team forecast'!$B$3:$B$26,0),MATCH(BL$1,'Team forecast'!$R$2:$BH$2,0))*IF($X395&gt;0,5000,0)</f>
        <v>0</v>
      </c>
      <c r="BM395" s="5">
        <f>INDEX('Team forecast'!$R$3:$BH$26,MATCH($B395,'Team forecast'!$B$3:$B$26,0),MATCH(BM$1,'Team forecast'!$R$2:$BH$2,0))*IF($X395&gt;0,-15000,0)</f>
        <v>0</v>
      </c>
      <c r="BN395" s="5">
        <f t="shared" si="244"/>
        <v>0</v>
      </c>
      <c r="BO395" s="5">
        <f t="shared" si="245"/>
        <v>0</v>
      </c>
      <c r="BP395" s="5">
        <f t="shared" si="246"/>
        <v>0</v>
      </c>
      <c r="BQ395" s="5">
        <f t="shared" si="247"/>
        <v>7938.8214288967656</v>
      </c>
      <c r="BR395" s="5">
        <f t="shared" si="248"/>
        <v>0</v>
      </c>
      <c r="BS395" s="5">
        <f t="shared" si="249"/>
        <v>0</v>
      </c>
      <c r="BT395" s="5">
        <f t="shared" si="250"/>
        <v>0</v>
      </c>
      <c r="BU395" s="5">
        <f t="shared" si="251"/>
        <v>0</v>
      </c>
      <c r="BV395" s="5">
        <f t="shared" si="252"/>
        <v>0</v>
      </c>
      <c r="BW395" s="5">
        <f t="shared" si="253"/>
        <v>2938.8214288967656</v>
      </c>
      <c r="BX395" s="5">
        <f t="shared" si="254"/>
        <v>7472.5663884505339</v>
      </c>
      <c r="BY395" s="5">
        <f t="shared" si="255"/>
        <v>22417.699165351602</v>
      </c>
      <c r="BZ395" s="5">
        <f>INDEX('Team forecast'!$R$3:$BH$26,MATCH($B395,'Team forecast'!$B$3:$B$26,0),MATCH(BZ$1,'Team forecast'!$R$2:$BH$2,0))*($BX395-(BY395+CH395)*0.01)</f>
        <v>-6283.687109601753</v>
      </c>
      <c r="CA395" s="5">
        <f>INDEX('Team forecast'!$R$3:$BH$26,MATCH($B395,'Team forecast'!$B$3:$B$26,0),MATCH(CA$1,'Team forecast'!$R$2:$BH$2,0))*($BX395-(BY395+BX395+CH395)*0.01)</f>
        <v>-3104.4811168647302</v>
      </c>
      <c r="CB395" s="5">
        <f>INDEX('Team forecast'!$R$3:$BH$26,MATCH($B395,'Team forecast'!$B$3:$B$26,0),MATCH(CB$1,'Team forecast'!$R$2:$BH$2,0))*($BX395-(BY395+BX395*2+CH395)*0.01)</f>
        <v>-1508.4848972111786</v>
      </c>
      <c r="CC395" s="5">
        <f>INDEX('Team forecast'!$R$3:$BH$26,MATCH($B395,'Team forecast'!$B$3:$B$26,0),MATCH(CC$1,'Team forecast'!$R$2:$BH$2,0))*($BX395-(BY395+BX395*3+CH395)*0.01)</f>
        <v>-690.13397841080439</v>
      </c>
      <c r="CD395" s="5">
        <f>+AK395+BD395*Cockpit!$C$3+BW395*Cockpit!$C$3^2+BZ395*Cockpit!$C$3^3+CA395*Cockpit!$C$3^4+CB395*Cockpit!$C$3^5+CC395*Cockpit!$C$3^6</f>
        <v>15105.254499616352</v>
      </c>
      <c r="CE395" s="5"/>
      <c r="CF395" s="5"/>
      <c r="CG395" s="5">
        <v>0</v>
      </c>
      <c r="CH395" s="5">
        <f t="shared" si="256"/>
        <v>2000000</v>
      </c>
      <c r="CI395" s="5">
        <f t="shared" si="257"/>
        <v>2000000</v>
      </c>
      <c r="CJ395" s="1">
        <f t="shared" si="258"/>
        <v>1.1208849582675802E-2</v>
      </c>
      <c r="CK395" s="5">
        <f>RANK(BY395,$BY$2:$BY$623)+COUNTIF($BY$2:$BY395,$BY395)-1</f>
        <v>368</v>
      </c>
      <c r="CL395" s="5">
        <f>RANK(CJ395,$CJ$2:$CJ$623)+COUNTIF($CJ$2:$CJ395,$CJ395)-1</f>
        <v>349</v>
      </c>
    </row>
    <row r="396" spans="1:90">
      <c r="A396" t="str">
        <f>Players!P397</f>
        <v>Neco N. Williams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3000000</v>
      </c>
      <c r="H396" s="16">
        <f>INDEX('Team forecast'!$B$2:$AO$26,MATCH('Master data'!$B396,'Team forecast'!$B$2:$B$26,0),MATCH('Master data'!H$1,'Team forecast'!$B$2:$AO$2,0))</f>
        <v>0.87435064565555498</v>
      </c>
      <c r="I396" s="16">
        <f>INDEX('Team forecast'!$B$2:$AO$26,MATCH('Master data'!$B396,'Team forecast'!$B$2:$B$26,0),MATCH('Master data'!I$1,'Team forecast'!$B$2:$AO$2,0))</f>
        <v>1.162032718107336</v>
      </c>
      <c r="J396" s="16">
        <f>INDEX('Team forecast'!$B$2:$AO$26,MATCH('Master data'!$B396,'Team forecast'!$B$2:$B$26,0),MATCH('Master data'!J$1,'Team forecast'!$B$2:$AO$2,0))</f>
        <v>0.31284959906121651</v>
      </c>
      <c r="K396" s="16">
        <f>INDEX('Team forecast'!$B$2:$AO$26,MATCH('Master data'!$B396,'Team forecast'!$B$2:$B$26,0),MATCH('Master data'!K$1,'Team forecast'!$B$2:$AO$2,0))</f>
        <v>2.6542787457400774</v>
      </c>
      <c r="L396" s="16">
        <f>INDEX('Team forecast'!$B$2:$AO$26,MATCH('Master data'!$B396,'Team forecast'!$B$2:$B$26,0),MATCH('Master data'!L$1,'Team forecast'!$B$2:$AO$2,0))</f>
        <v>3.0401288408862195</v>
      </c>
      <c r="M396">
        <f>IF(Players!BC397=1,95,0)</f>
        <v>95</v>
      </c>
      <c r="N396" s="2">
        <f>Players!BN397</f>
        <v>3.8351424629592554E-2</v>
      </c>
      <c r="O396" s="2">
        <f>Players!BO397</f>
        <v>4.6500084392018887E-2</v>
      </c>
      <c r="P396" s="2">
        <f>Players!BP397</f>
        <v>0</v>
      </c>
      <c r="Q396" s="2">
        <f>Players!BQ397</f>
        <v>0.46145161290322584</v>
      </c>
      <c r="R396" s="2">
        <f>Players!BR397</f>
        <v>0</v>
      </c>
      <c r="S396" s="2">
        <f t="shared" si="217"/>
        <v>0.87435064565555498</v>
      </c>
      <c r="T396" s="2">
        <f t="shared" si="218"/>
        <v>1.162032718107336</v>
      </c>
      <c r="U396" s="16">
        <f>INDEX('Team forecast'!$B$2:$AO$26,MATCH('Master data'!$B396,'Team forecast'!$B$2:$B$26,0),MATCH('Master data'!U$1,'Team forecast'!$B$2:$AO$2,0))</f>
        <v>0.2607079992176804</v>
      </c>
      <c r="V396" s="16">
        <f>INDEX('Team forecast'!$B$2:$AO$26,MATCH('Master data'!$B396,'Team forecast'!$B$2:$B$26,0),MATCH('Master data'!V$1,'Team forecast'!$B$2:$AO$2,0))</f>
        <v>0.30275767651085472</v>
      </c>
      <c r="W396" s="16">
        <f>INDEX('Team forecast'!$B$2:$AO$26,MATCH('Master data'!$B396,'Team forecast'!$B$2:$B$26,0),MATCH('Master data'!W$1,'Team forecast'!$B$2:$AO$2,0))</f>
        <v>0.43653432427146488</v>
      </c>
      <c r="X396" s="5">
        <f t="shared" si="219"/>
        <v>7000</v>
      </c>
      <c r="Y396" s="5">
        <f t="shared" si="220"/>
        <v>6517.6999804420102</v>
      </c>
      <c r="Z396" s="5">
        <f t="shared" si="221"/>
        <v>1513.7883825542735</v>
      </c>
      <c r="AA396" s="5">
        <f t="shared" si="222"/>
        <v>-6548.0148640719735</v>
      </c>
      <c r="AB396" s="5">
        <f t="shared" si="223"/>
        <v>5029.8889330041902</v>
      </c>
      <c r="AC396" s="5">
        <f t="shared" si="224"/>
        <v>2032.8689405599755</v>
      </c>
      <c r="AD396" s="5">
        <f t="shared" si="225"/>
        <v>0</v>
      </c>
      <c r="AE396" s="5">
        <f t="shared" si="226"/>
        <v>15642.479953060825</v>
      </c>
      <c r="AF396" s="5">
        <f t="shared" si="227"/>
        <v>0</v>
      </c>
      <c r="AG396" s="5">
        <f t="shared" si="228"/>
        <v>-9229.032258064517</v>
      </c>
      <c r="AH396" s="5">
        <f t="shared" si="229"/>
        <v>0</v>
      </c>
      <c r="AI396" s="5">
        <f t="shared" si="230"/>
        <v>8743.5064565555494</v>
      </c>
      <c r="AJ396" s="5">
        <f t="shared" si="231"/>
        <v>-9296.261744858688</v>
      </c>
      <c r="AK396" s="5">
        <f>IFERROR(SUM(X396:AJ396),-5000)*((Cockpit!$C$3)^0)</f>
        <v>21406.923779181649</v>
      </c>
      <c r="AL396" s="16">
        <f>INDEX('Team forecast'!$B$2:$AO$26,MATCH('Master data'!$B396,'Team forecast'!$B$2:$B$26,0),MATCH('Master data'!AL$1,'Team forecast'!$B$2:$AO$2,0))</f>
        <v>1.0279287794501248</v>
      </c>
      <c r="AM396" s="16">
        <f>INDEX('Team forecast'!$B$2:$AO$26,MATCH('Master data'!$B396,'Team forecast'!$B$2:$B$26,0),MATCH('Master data'!AM$1,'Team forecast'!$B$2:$AO$2,0))</f>
        <v>1.2847203648825669</v>
      </c>
      <c r="AN396" s="16">
        <f>INDEX('Team forecast'!$B$2:$AO$26,MATCH('Master data'!$B396,'Team forecast'!$B$2:$B$26,0),MATCH('Master data'!AN$1,'Team forecast'!$B$2:$AO$2,0))</f>
        <v>0.27672795566788022</v>
      </c>
      <c r="AO396" s="16">
        <f>INDEX('Team forecast'!$B$2:$AO$26,MATCH('Master data'!$B396,'Team forecast'!$B$2:$B$26,0),MATCH('Master data'!AO$1,'Team forecast'!$B$2:$AO$2,0))</f>
        <v>3.1204980804735931</v>
      </c>
      <c r="AP396" s="16">
        <f>INDEX('Team forecast'!$B$2:$AO$26,MATCH('Master data'!$B396,'Team forecast'!$B$2:$B$26,0),MATCH('Master data'!AP$1,'Team forecast'!$B$2:$AO$2,0))</f>
        <v>3.3611062519089856</v>
      </c>
      <c r="AQ396" s="5">
        <f t="shared" si="232"/>
        <v>7000</v>
      </c>
      <c r="AR396" s="5">
        <f>INDEX('Team forecast'!$B$2:$AO$26,MATCH('Master data'!$B396,'Team forecast'!$B$2:$B$26,0),MATCH('Master data'!AR$1,'Team forecast'!$B$2:$AO$2,0))*IF(X396&gt;0,25000,0)</f>
        <v>6720.5360662199482</v>
      </c>
      <c r="AS396" s="16">
        <f>INDEX('Team forecast'!$B$2:$AO$26,MATCH('Master data'!$B396,'Team forecast'!$B$2:$B$26,0),MATCH('Master data'!AS$1,'Team forecast'!$B$2:$AO$2,0))*IF(X396&gt;0,5000,0)</f>
        <v>1517.5404020496649</v>
      </c>
      <c r="AT396" s="16">
        <f>INDEX('Team forecast'!$B$2:$AO$26,MATCH('Master data'!$B396,'Team forecast'!$B$2:$B$26,0),MATCH('Master data'!AT$1,'Team forecast'!$B$2:$AO$2,0))*IF(X396&gt;0,-15000,0)</f>
        <v>-6415.0571541190393</v>
      </c>
      <c r="AU396" s="5">
        <f t="shared" si="233"/>
        <v>5913.3799664505796</v>
      </c>
      <c r="AV396" s="5">
        <f t="shared" si="234"/>
        <v>2389.9387496707886</v>
      </c>
      <c r="AW396" s="5">
        <f t="shared" si="235"/>
        <v>0</v>
      </c>
      <c r="AX396" s="5">
        <f t="shared" si="236"/>
        <v>13836.397783394012</v>
      </c>
      <c r="AY396" s="5">
        <f t="shared" si="237"/>
        <v>0</v>
      </c>
      <c r="AZ396" s="5">
        <f t="shared" si="238"/>
        <v>-9229.032258064517</v>
      </c>
      <c r="BA396" s="5">
        <f t="shared" si="239"/>
        <v>0</v>
      </c>
      <c r="BB396" s="5">
        <f t="shared" si="240"/>
        <v>10279.287794501248</v>
      </c>
      <c r="BC396" s="5">
        <f t="shared" si="241"/>
        <v>-10277.762919060535</v>
      </c>
      <c r="BD396" s="5">
        <f t="shared" si="242"/>
        <v>21735.228431042153</v>
      </c>
      <c r="BE396" s="16">
        <f>INDEX('Team forecast'!$B$2:$AO$26,MATCH('Master data'!$B396,'Team forecast'!$B$2:$B$26,0),MATCH('Master data'!BE$1,'Team forecast'!$B$2:$AO$2,0))</f>
        <v>0.65281467345965161</v>
      </c>
      <c r="BF396" s="16">
        <f>INDEX('Team forecast'!$B$2:$AO$26,MATCH('Master data'!$B396,'Team forecast'!$B$2:$B$26,0),MATCH('Master data'!BF$1,'Team forecast'!$B$2:$AO$2,0))</f>
        <v>1.8402581758343768</v>
      </c>
      <c r="BG396" s="16">
        <f>INDEX('Team forecast'!$B$2:$AO$26,MATCH('Master data'!$B396,'Team forecast'!$B$2:$B$26,0),MATCH('Master data'!BG$1,'Team forecast'!$B$2:$AO$2,0))</f>
        <v>0.15877642857793531</v>
      </c>
      <c r="BH396" s="16">
        <f>INDEX('Team forecast'!$B$2:$AO$26,MATCH('Master data'!$B396,'Team forecast'!$B$2:$B$26,0),MATCH('Master data'!BH$1,'Team forecast'!$B$2:$AO$2,0))</f>
        <v>1.9817588301453708</v>
      </c>
      <c r="BI396" s="16">
        <f>INDEX('Team forecast'!$B$2:$AO$26,MATCH('Master data'!$B396,'Team forecast'!$B$2:$B$26,0),MATCH('Master data'!BI$1,'Team forecast'!$B$2:$AO$2,0))</f>
        <v>4.8145132816423697</v>
      </c>
      <c r="BJ396" s="5">
        <f t="shared" si="243"/>
        <v>7000</v>
      </c>
      <c r="BK396" s="5">
        <f>INDEX('Team forecast'!$R$3:$BH$26,MATCH($B396,'Team forecast'!$B$3:$B$26,0),MATCH(BK$1,'Team forecast'!$R$2:$BH$2,0))*IF($X396&gt;0,25000,0)</f>
        <v>2721.881632764605</v>
      </c>
      <c r="BL396" s="5">
        <f>INDEX('Team forecast'!$R$3:$BH$26,MATCH($B396,'Team forecast'!$B$3:$B$26,0),MATCH(BL$1,'Team forecast'!$R$2:$BH$2,0))*IF($X396&gt;0,5000,0)</f>
        <v>1147.781411406761</v>
      </c>
      <c r="BM396" s="5">
        <f>INDEX('Team forecast'!$R$3:$BH$26,MATCH($B396,'Team forecast'!$B$3:$B$26,0),MATCH(BM$1,'Team forecast'!$R$2:$BH$2,0))*IF($X396&gt;0,-15000,0)</f>
        <v>-9923.5267861209559</v>
      </c>
      <c r="BN396" s="5">
        <f t="shared" si="244"/>
        <v>3755.4559119419855</v>
      </c>
      <c r="BO396" s="5">
        <f t="shared" si="245"/>
        <v>1517.7968704111026</v>
      </c>
      <c r="BP396" s="5">
        <f t="shared" si="246"/>
        <v>0</v>
      </c>
      <c r="BQ396" s="5">
        <f t="shared" si="247"/>
        <v>7938.8214288967656</v>
      </c>
      <c r="BR396" s="5">
        <f t="shared" si="248"/>
        <v>0</v>
      </c>
      <c r="BS396" s="5">
        <f t="shared" si="249"/>
        <v>-9229.032258064517</v>
      </c>
      <c r="BT396" s="5">
        <f t="shared" si="250"/>
        <v>0</v>
      </c>
      <c r="BU396" s="5">
        <f t="shared" si="251"/>
        <v>6528.1467345965157</v>
      </c>
      <c r="BV396" s="5">
        <f t="shared" si="252"/>
        <v>-14722.065406675014</v>
      </c>
      <c r="BW396" s="5">
        <f t="shared" si="253"/>
        <v>-3264.7404608427514</v>
      </c>
      <c r="BX396" s="5">
        <f t="shared" si="254"/>
        <v>13292.470583127017</v>
      </c>
      <c r="BY396" s="5">
        <f t="shared" si="255"/>
        <v>39877.411749381048</v>
      </c>
      <c r="BZ396" s="5">
        <f>INDEX('Team forecast'!$R$3:$BH$26,MATCH($B396,'Team forecast'!$B$3:$B$26,0),MATCH(BZ$1,'Team forecast'!$R$2:$BH$2,0))*($BX396-(BY396+CH396)*0.01)</f>
        <v>-8429.575083231899</v>
      </c>
      <c r="CA396" s="5">
        <f>INDEX('Team forecast'!$R$3:$BH$26,MATCH($B396,'Team forecast'!$B$3:$B$26,0),MATCH(CA$1,'Team forecast'!$R$2:$BH$2,0))*($BX396-(BY396+BX396+CH396)*0.01)</f>
        <v>-4172.5756620264219</v>
      </c>
      <c r="CB396" s="5">
        <f>INDEX('Team forecast'!$R$3:$BH$26,MATCH($B396,'Team forecast'!$B$3:$B$26,0),MATCH(CB$1,'Team forecast'!$R$2:$BH$2,0))*($BX396-(BY396+BX396*2+CH396)*0.01)</f>
        <v>-2031.2769980752696</v>
      </c>
      <c r="CC396" s="5">
        <f>INDEX('Team forecast'!$R$3:$BH$26,MATCH($B396,'Team forecast'!$B$3:$B$26,0),MATCH(CC$1,'Team forecast'!$R$2:$BH$2,0))*($BX396-(BY396+BX396*3+CH396)*0.01)</f>
        <v>-931.03010464331101</v>
      </c>
      <c r="CD396" s="5">
        <f>+AK396+BD396*Cockpit!$C$3+BW396*Cockpit!$C$3^2+BZ396*Cockpit!$C$3^3+CA396*Cockpit!$C$3^4+CB396*Cockpit!$C$3^5+CC396*Cockpit!$C$3^6</f>
        <v>30774.986161007637</v>
      </c>
      <c r="CE396" s="5"/>
      <c r="CF396" s="5"/>
      <c r="CG396" s="5">
        <v>0</v>
      </c>
      <c r="CH396" s="5">
        <f t="shared" si="256"/>
        <v>3000000</v>
      </c>
      <c r="CI396" s="5">
        <f t="shared" si="257"/>
        <v>3000000</v>
      </c>
      <c r="CJ396" s="1">
        <f t="shared" si="258"/>
        <v>1.3292470583127016E-2</v>
      </c>
      <c r="CK396" s="5">
        <f>RANK(BY396,$BY$2:$BY$623)+COUNTIF($BY$2:$BY396,$BY396)-1</f>
        <v>315</v>
      </c>
      <c r="CL396" s="5">
        <f>RANK(CJ396,$CJ$2:$CJ$623)+COUNTIF($CJ$2:$CJ396,$CJ396)-1</f>
        <v>326</v>
      </c>
    </row>
    <row r="397" spans="1:90">
      <c r="A397" t="str">
        <f>Players!P398</f>
        <v>Connor C. Roberts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0.87435064565555498</v>
      </c>
      <c r="I397" s="16">
        <f>INDEX('Team forecast'!$B$2:$AO$26,MATCH('Master data'!$B397,'Team forecast'!$B$2:$B$26,0),MATCH('Master data'!I$1,'Team forecast'!$B$2:$AO$2,0))</f>
        <v>1.162032718107336</v>
      </c>
      <c r="J397" s="16">
        <f>INDEX('Team forecast'!$B$2:$AO$26,MATCH('Master data'!$B397,'Team forecast'!$B$2:$B$26,0),MATCH('Master data'!J$1,'Team forecast'!$B$2:$AO$2,0))</f>
        <v>0.31284959906121651</v>
      </c>
      <c r="K397" s="16">
        <f>INDEX('Team forecast'!$B$2:$AO$26,MATCH('Master data'!$B397,'Team forecast'!$B$2:$B$26,0),MATCH('Master data'!K$1,'Team forecast'!$B$2:$AO$2,0))</f>
        <v>2.6542787457400774</v>
      </c>
      <c r="L397" s="16">
        <f>INDEX('Team forecast'!$B$2:$AO$26,MATCH('Master data'!$B397,'Team forecast'!$B$2:$B$26,0),MATCH('Master data'!L$1,'Team forecast'!$B$2:$AO$2,0))</f>
        <v>3.0401288408862195</v>
      </c>
      <c r="M397">
        <f>IF(Players!BC398=1,95,0)</f>
        <v>95</v>
      </c>
      <c r="N397" s="2">
        <f>Players!BN398</f>
        <v>3.7903991342247305E-2</v>
      </c>
      <c r="O397" s="2">
        <f>Players!BO398</f>
        <v>8.2612698710021373E-2</v>
      </c>
      <c r="P397" s="2">
        <f>Players!BP398</f>
        <v>4.6758420675687126E-2</v>
      </c>
      <c r="Q397" s="2">
        <f>Players!BQ398</f>
        <v>6.32688927943761E-2</v>
      </c>
      <c r="R397" s="2">
        <f>Players!BR398</f>
        <v>0</v>
      </c>
      <c r="S397" s="2">
        <f t="shared" si="217"/>
        <v>0.87435064565555498</v>
      </c>
      <c r="T397" s="2">
        <f t="shared" si="218"/>
        <v>1.162032718107336</v>
      </c>
      <c r="U397" s="16">
        <f>INDEX('Team forecast'!$B$2:$AO$26,MATCH('Master data'!$B397,'Team forecast'!$B$2:$B$26,0),MATCH('Master data'!U$1,'Team forecast'!$B$2:$AO$2,0))</f>
        <v>0.2607079992176804</v>
      </c>
      <c r="V397" s="16">
        <f>INDEX('Team forecast'!$B$2:$AO$26,MATCH('Master data'!$B397,'Team forecast'!$B$2:$B$26,0),MATCH('Master data'!V$1,'Team forecast'!$B$2:$AO$2,0))</f>
        <v>0.30275767651085472</v>
      </c>
      <c r="W397" s="16">
        <f>INDEX('Team forecast'!$B$2:$AO$26,MATCH('Master data'!$B397,'Team forecast'!$B$2:$B$26,0),MATCH('Master data'!W$1,'Team forecast'!$B$2:$AO$2,0))</f>
        <v>0.43653432427146488</v>
      </c>
      <c r="X397" s="5">
        <f t="shared" si="219"/>
        <v>7000</v>
      </c>
      <c r="Y397" s="5">
        <f t="shared" si="220"/>
        <v>6517.6999804420102</v>
      </c>
      <c r="Z397" s="5">
        <f t="shared" si="221"/>
        <v>1513.7883825542735</v>
      </c>
      <c r="AA397" s="5">
        <f t="shared" si="222"/>
        <v>-6548.0148640719735</v>
      </c>
      <c r="AB397" s="5">
        <f t="shared" si="223"/>
        <v>4971.2068954524748</v>
      </c>
      <c r="AC397" s="5">
        <f t="shared" si="224"/>
        <v>3611.6233228227511</v>
      </c>
      <c r="AD397" s="5">
        <f t="shared" si="225"/>
        <v>1241.0988218384973</v>
      </c>
      <c r="AE397" s="5">
        <f t="shared" si="226"/>
        <v>15642.479953060825</v>
      </c>
      <c r="AF397" s="5">
        <f t="shared" si="227"/>
        <v>0</v>
      </c>
      <c r="AG397" s="5">
        <f t="shared" si="228"/>
        <v>-1265.3778558875219</v>
      </c>
      <c r="AH397" s="5">
        <f t="shared" si="229"/>
        <v>0</v>
      </c>
      <c r="AI397" s="5">
        <f t="shared" si="230"/>
        <v>8743.5064565555494</v>
      </c>
      <c r="AJ397" s="5">
        <f t="shared" si="231"/>
        <v>-9296.261744858688</v>
      </c>
      <c r="AK397" s="5">
        <f>IFERROR(SUM(X397:AJ397),-5000)*((Cockpit!$C$3)^0)</f>
        <v>32131.749347908197</v>
      </c>
      <c r="AL397" s="16">
        <f>INDEX('Team forecast'!$B$2:$AO$26,MATCH('Master data'!$B397,'Team forecast'!$B$2:$B$26,0),MATCH('Master data'!AL$1,'Team forecast'!$B$2:$AO$2,0))</f>
        <v>1.0279287794501248</v>
      </c>
      <c r="AM397" s="16">
        <f>INDEX('Team forecast'!$B$2:$AO$26,MATCH('Master data'!$B397,'Team forecast'!$B$2:$B$26,0),MATCH('Master data'!AM$1,'Team forecast'!$B$2:$AO$2,0))</f>
        <v>1.2847203648825669</v>
      </c>
      <c r="AN397" s="16">
        <f>INDEX('Team forecast'!$B$2:$AO$26,MATCH('Master data'!$B397,'Team forecast'!$B$2:$B$26,0),MATCH('Master data'!AN$1,'Team forecast'!$B$2:$AO$2,0))</f>
        <v>0.27672795566788022</v>
      </c>
      <c r="AO397" s="16">
        <f>INDEX('Team forecast'!$B$2:$AO$26,MATCH('Master data'!$B397,'Team forecast'!$B$2:$B$26,0),MATCH('Master data'!AO$1,'Team forecast'!$B$2:$AO$2,0))</f>
        <v>3.1204980804735931</v>
      </c>
      <c r="AP397" s="16">
        <f>INDEX('Team forecast'!$B$2:$AO$26,MATCH('Master data'!$B397,'Team forecast'!$B$2:$B$26,0),MATCH('Master data'!AP$1,'Team forecast'!$B$2:$AO$2,0))</f>
        <v>3.3611062519089856</v>
      </c>
      <c r="AQ397" s="5">
        <f t="shared" si="232"/>
        <v>7000</v>
      </c>
      <c r="AR397" s="5">
        <f>INDEX('Team forecast'!$B$2:$AO$26,MATCH('Master data'!$B397,'Team forecast'!$B$2:$B$26,0),MATCH('Master data'!AR$1,'Team forecast'!$B$2:$AO$2,0))*IF(X397&gt;0,25000,0)</f>
        <v>6720.5360662199482</v>
      </c>
      <c r="AS397" s="16">
        <f>INDEX('Team forecast'!$B$2:$AO$26,MATCH('Master data'!$B397,'Team forecast'!$B$2:$B$26,0),MATCH('Master data'!AS$1,'Team forecast'!$B$2:$AO$2,0))*IF(X397&gt;0,5000,0)</f>
        <v>1517.5404020496649</v>
      </c>
      <c r="AT397" s="16">
        <f>INDEX('Team forecast'!$B$2:$AO$26,MATCH('Master data'!$B397,'Team forecast'!$B$2:$B$26,0),MATCH('Master data'!AT$1,'Team forecast'!$B$2:$AO$2,0))*IF(X397&gt;0,-15000,0)</f>
        <v>-6415.0571541190393</v>
      </c>
      <c r="AU397" s="5">
        <f t="shared" si="233"/>
        <v>5844.3905335086556</v>
      </c>
      <c r="AV397" s="5">
        <f t="shared" si="234"/>
        <v>4245.9985276036587</v>
      </c>
      <c r="AW397" s="5">
        <f t="shared" si="235"/>
        <v>1459.0956196445845</v>
      </c>
      <c r="AX397" s="5">
        <f t="shared" si="236"/>
        <v>13836.397783394012</v>
      </c>
      <c r="AY397" s="5">
        <f t="shared" si="237"/>
        <v>0</v>
      </c>
      <c r="AZ397" s="5">
        <f t="shared" si="238"/>
        <v>-1265.3778558875219</v>
      </c>
      <c r="BA397" s="5">
        <f t="shared" si="239"/>
        <v>0</v>
      </c>
      <c r="BB397" s="5">
        <f t="shared" si="240"/>
        <v>10279.287794501248</v>
      </c>
      <c r="BC397" s="5">
        <f t="shared" si="241"/>
        <v>-10277.762919060535</v>
      </c>
      <c r="BD397" s="5">
        <f t="shared" si="242"/>
        <v>32945.048797854673</v>
      </c>
      <c r="BE397" s="16">
        <f>INDEX('Team forecast'!$B$2:$AO$26,MATCH('Master data'!$B397,'Team forecast'!$B$2:$B$26,0),MATCH('Master data'!BE$1,'Team forecast'!$B$2:$AO$2,0))</f>
        <v>0.65281467345965161</v>
      </c>
      <c r="BF397" s="16">
        <f>INDEX('Team forecast'!$B$2:$AO$26,MATCH('Master data'!$B397,'Team forecast'!$B$2:$B$26,0),MATCH('Master data'!BF$1,'Team forecast'!$B$2:$AO$2,0))</f>
        <v>1.8402581758343768</v>
      </c>
      <c r="BG397" s="16">
        <f>INDEX('Team forecast'!$B$2:$AO$26,MATCH('Master data'!$B397,'Team forecast'!$B$2:$B$26,0),MATCH('Master data'!BG$1,'Team forecast'!$B$2:$AO$2,0))</f>
        <v>0.15877642857793531</v>
      </c>
      <c r="BH397" s="16">
        <f>INDEX('Team forecast'!$B$2:$AO$26,MATCH('Master data'!$B397,'Team forecast'!$B$2:$B$26,0),MATCH('Master data'!BH$1,'Team forecast'!$B$2:$AO$2,0))</f>
        <v>1.9817588301453708</v>
      </c>
      <c r="BI397" s="16">
        <f>INDEX('Team forecast'!$B$2:$AO$26,MATCH('Master data'!$B397,'Team forecast'!$B$2:$B$26,0),MATCH('Master data'!BI$1,'Team forecast'!$B$2:$AO$2,0))</f>
        <v>4.8145132816423697</v>
      </c>
      <c r="BJ397" s="5">
        <f t="shared" si="243"/>
        <v>7000</v>
      </c>
      <c r="BK397" s="5">
        <f>INDEX('Team forecast'!$R$3:$BH$26,MATCH($B397,'Team forecast'!$B$3:$B$26,0),MATCH(BK$1,'Team forecast'!$R$2:$BH$2,0))*IF($X397&gt;0,25000,0)</f>
        <v>2721.881632764605</v>
      </c>
      <c r="BL397" s="5">
        <f>INDEX('Team forecast'!$R$3:$BH$26,MATCH($B397,'Team forecast'!$B$3:$B$26,0),MATCH(BL$1,'Team forecast'!$R$2:$BH$2,0))*IF($X397&gt;0,5000,0)</f>
        <v>1147.781411406761</v>
      </c>
      <c r="BM397" s="5">
        <f>INDEX('Team forecast'!$R$3:$BH$26,MATCH($B397,'Team forecast'!$B$3:$B$26,0),MATCH(BM$1,'Team forecast'!$R$2:$BH$2,0))*IF($X397&gt;0,-15000,0)</f>
        <v>-9923.5267861209559</v>
      </c>
      <c r="BN397" s="5">
        <f t="shared" si="244"/>
        <v>3711.6422596359953</v>
      </c>
      <c r="BO397" s="5">
        <f t="shared" si="245"/>
        <v>2696.5390966001592</v>
      </c>
      <c r="BP397" s="5">
        <f t="shared" si="246"/>
        <v>926.63913057694833</v>
      </c>
      <c r="BQ397" s="5">
        <f t="shared" si="247"/>
        <v>7938.8214288967656</v>
      </c>
      <c r="BR397" s="5">
        <f t="shared" si="248"/>
        <v>0</v>
      </c>
      <c r="BS397" s="5">
        <f t="shared" si="249"/>
        <v>-1265.3778558875219</v>
      </c>
      <c r="BT397" s="5">
        <f t="shared" si="250"/>
        <v>0</v>
      </c>
      <c r="BU397" s="5">
        <f t="shared" si="251"/>
        <v>6528.1467345965157</v>
      </c>
      <c r="BV397" s="5">
        <f t="shared" si="252"/>
        <v>-14722.065406675014</v>
      </c>
      <c r="BW397" s="5">
        <f t="shared" si="253"/>
        <v>6760.4816457942579</v>
      </c>
      <c r="BX397" s="5">
        <f t="shared" si="254"/>
        <v>23945.759930519042</v>
      </c>
      <c r="BY397" s="5">
        <f t="shared" si="255"/>
        <v>71837.279791557128</v>
      </c>
      <c r="BZ397" s="5">
        <f>INDEX('Team forecast'!$R$3:$BH$26,MATCH($B397,'Team forecast'!$B$3:$B$26,0),MATCH(BZ$1,'Team forecast'!$R$2:$BH$2,0))*($BX397-(BY397+CH397)*0.01)</f>
        <v>-873.50100091481647</v>
      </c>
      <c r="CA397" s="5">
        <f>INDEX('Team forecast'!$R$3:$BH$26,MATCH($B397,'Team forecast'!$B$3:$B$26,0),MATCH(CA$1,'Team forecast'!$R$2:$BH$2,0))*($BX397-(BY397+BX397+CH397)*0.01)</f>
        <v>-487.0007022742036</v>
      </c>
      <c r="CB397" s="5">
        <f>INDEX('Team forecast'!$R$3:$BH$26,MATCH($B397,'Team forecast'!$B$3:$B$26,0),MATCH(CB$1,'Team forecast'!$R$2:$BH$2,0))*($BX397-(BY397+BX397*2+CH397)*0.01)</f>
        <v>-263.2648460561748</v>
      </c>
      <c r="CC397" s="5">
        <f>INDEX('Team forecast'!$R$3:$BH$26,MATCH($B397,'Team forecast'!$B$3:$B$26,0),MATCH(CC$1,'Team forecast'!$R$2:$BH$2,0))*($BX397-(BY397+BX397*3+CH397)*0.01)</f>
        <v>-132.48628145297084</v>
      </c>
      <c r="CD397" s="5">
        <f>+AK397+BD397*Cockpit!$C$3+BW397*Cockpit!$C$3^2+BZ397*Cockpit!$C$3^3+CA397*Cockpit!$C$3^4+CB397*Cockpit!$C$3^5+CC397*Cockpit!$C$3^6</f>
        <v>56698.461150974377</v>
      </c>
      <c r="CE397" s="5"/>
      <c r="CF397" s="5"/>
      <c r="CG397" s="5">
        <v>0</v>
      </c>
      <c r="CH397" s="5">
        <f t="shared" si="256"/>
        <v>2500000</v>
      </c>
      <c r="CI397" s="5">
        <f t="shared" si="257"/>
        <v>2500000</v>
      </c>
      <c r="CJ397" s="1">
        <f t="shared" si="258"/>
        <v>2.8734911916622852E-2</v>
      </c>
      <c r="CK397" s="5">
        <f>RANK(BY397,$BY$2:$BY$623)+COUNTIF($BY$2:$BY397,$BY397)-1</f>
        <v>238</v>
      </c>
      <c r="CL397" s="5">
        <f>RANK(CJ397,$CJ$2:$CJ$623)+COUNTIF($CJ$2:$CJ397,$CJ397)-1</f>
        <v>158</v>
      </c>
    </row>
    <row r="398" spans="1:90">
      <c r="A398" t="str">
        <f>Players!P399</f>
        <v>Joe Rodon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2500000</v>
      </c>
      <c r="H398" s="16">
        <f>INDEX('Team forecast'!$B$2:$AO$26,MATCH('Master data'!$B398,'Team forecast'!$B$2:$B$26,0),MATCH('Master data'!H$1,'Team forecast'!$B$2:$AO$2,0))</f>
        <v>0.87435064565555498</v>
      </c>
      <c r="I398" s="16">
        <f>INDEX('Team forecast'!$B$2:$AO$26,MATCH('Master data'!$B398,'Team forecast'!$B$2:$B$26,0),MATCH('Master data'!I$1,'Team forecast'!$B$2:$AO$2,0))</f>
        <v>1.162032718107336</v>
      </c>
      <c r="J398" s="16">
        <f>INDEX('Team forecast'!$B$2:$AO$26,MATCH('Master data'!$B398,'Team forecast'!$B$2:$B$26,0),MATCH('Master data'!J$1,'Team forecast'!$B$2:$AO$2,0))</f>
        <v>0.31284959906121651</v>
      </c>
      <c r="K398" s="16">
        <f>INDEX('Team forecast'!$B$2:$AO$26,MATCH('Master data'!$B398,'Team forecast'!$B$2:$B$26,0),MATCH('Master data'!K$1,'Team forecast'!$B$2:$AO$2,0))</f>
        <v>2.6542787457400774</v>
      </c>
      <c r="L398" s="16">
        <f>INDEX('Team forecast'!$B$2:$AO$26,MATCH('Master data'!$B398,'Team forecast'!$B$2:$B$26,0),MATCH('Master data'!L$1,'Team forecast'!$B$2:$AO$2,0))</f>
        <v>3.0401288408862195</v>
      </c>
      <c r="M398">
        <f>IF(Players!BC399=1,95,0)</f>
        <v>95</v>
      </c>
      <c r="N398" s="2">
        <f>Players!BN399</f>
        <v>3.8351424629592554E-2</v>
      </c>
      <c r="O398" s="2">
        <f>Players!BO399</f>
        <v>4.6500084392018887E-2</v>
      </c>
      <c r="P398" s="2">
        <f>Players!BP399</f>
        <v>0</v>
      </c>
      <c r="Q398" s="2">
        <f>Players!BQ399</f>
        <v>0</v>
      </c>
      <c r="R398" s="2">
        <f>Players!BR399</f>
        <v>0</v>
      </c>
      <c r="S398" s="2">
        <f t="shared" si="217"/>
        <v>0.87435064565555498</v>
      </c>
      <c r="T398" s="2">
        <f t="shared" si="218"/>
        <v>1.162032718107336</v>
      </c>
      <c r="U398" s="16">
        <f>INDEX('Team forecast'!$B$2:$AO$26,MATCH('Master data'!$B398,'Team forecast'!$B$2:$B$26,0),MATCH('Master data'!U$1,'Team forecast'!$B$2:$AO$2,0))</f>
        <v>0.2607079992176804</v>
      </c>
      <c r="V398" s="16">
        <f>INDEX('Team forecast'!$B$2:$AO$26,MATCH('Master data'!$B398,'Team forecast'!$B$2:$B$26,0),MATCH('Master data'!V$1,'Team forecast'!$B$2:$AO$2,0))</f>
        <v>0.30275767651085472</v>
      </c>
      <c r="W398" s="16">
        <f>INDEX('Team forecast'!$B$2:$AO$26,MATCH('Master data'!$B398,'Team forecast'!$B$2:$B$26,0),MATCH('Master data'!W$1,'Team forecast'!$B$2:$AO$2,0))</f>
        <v>0.43653432427146488</v>
      </c>
      <c r="X398" s="5">
        <f t="shared" si="219"/>
        <v>7000</v>
      </c>
      <c r="Y398" s="5">
        <f t="shared" si="220"/>
        <v>6517.6999804420102</v>
      </c>
      <c r="Z398" s="5">
        <f t="shared" si="221"/>
        <v>1513.7883825542735</v>
      </c>
      <c r="AA398" s="5">
        <f t="shared" si="222"/>
        <v>-6548.0148640719735</v>
      </c>
      <c r="AB398" s="5">
        <f t="shared" si="223"/>
        <v>5029.8889330041902</v>
      </c>
      <c r="AC398" s="5">
        <f t="shared" si="224"/>
        <v>2032.8689405599755</v>
      </c>
      <c r="AD398" s="5">
        <f t="shared" si="225"/>
        <v>0</v>
      </c>
      <c r="AE398" s="5">
        <f t="shared" si="226"/>
        <v>15642.479953060825</v>
      </c>
      <c r="AF398" s="5">
        <f t="shared" si="227"/>
        <v>0</v>
      </c>
      <c r="AG398" s="5">
        <f t="shared" si="228"/>
        <v>0</v>
      </c>
      <c r="AH398" s="5">
        <f t="shared" si="229"/>
        <v>0</v>
      </c>
      <c r="AI398" s="5">
        <f t="shared" si="230"/>
        <v>8743.5064565555494</v>
      </c>
      <c r="AJ398" s="5">
        <f t="shared" si="231"/>
        <v>-9296.261744858688</v>
      </c>
      <c r="AK398" s="5">
        <f>IFERROR(SUM(X398:AJ398),-5000)*((Cockpit!$C$3)^0)</f>
        <v>30635.956037246164</v>
      </c>
      <c r="AL398" s="16">
        <f>INDEX('Team forecast'!$B$2:$AO$26,MATCH('Master data'!$B398,'Team forecast'!$B$2:$B$26,0),MATCH('Master data'!AL$1,'Team forecast'!$B$2:$AO$2,0))</f>
        <v>1.0279287794501248</v>
      </c>
      <c r="AM398" s="16">
        <f>INDEX('Team forecast'!$B$2:$AO$26,MATCH('Master data'!$B398,'Team forecast'!$B$2:$B$26,0),MATCH('Master data'!AM$1,'Team forecast'!$B$2:$AO$2,0))</f>
        <v>1.2847203648825669</v>
      </c>
      <c r="AN398" s="16">
        <f>INDEX('Team forecast'!$B$2:$AO$26,MATCH('Master data'!$B398,'Team forecast'!$B$2:$B$26,0),MATCH('Master data'!AN$1,'Team forecast'!$B$2:$AO$2,0))</f>
        <v>0.27672795566788022</v>
      </c>
      <c r="AO398" s="16">
        <f>INDEX('Team forecast'!$B$2:$AO$26,MATCH('Master data'!$B398,'Team forecast'!$B$2:$B$26,0),MATCH('Master data'!AO$1,'Team forecast'!$B$2:$AO$2,0))</f>
        <v>3.1204980804735931</v>
      </c>
      <c r="AP398" s="16">
        <f>INDEX('Team forecast'!$B$2:$AO$26,MATCH('Master data'!$B398,'Team forecast'!$B$2:$B$26,0),MATCH('Master data'!AP$1,'Team forecast'!$B$2:$AO$2,0))</f>
        <v>3.3611062519089856</v>
      </c>
      <c r="AQ398" s="5">
        <f t="shared" si="232"/>
        <v>7000</v>
      </c>
      <c r="AR398" s="5">
        <f>INDEX('Team forecast'!$B$2:$AO$26,MATCH('Master data'!$B398,'Team forecast'!$B$2:$B$26,0),MATCH('Master data'!AR$1,'Team forecast'!$B$2:$AO$2,0))*IF(X398&gt;0,25000,0)</f>
        <v>6720.5360662199482</v>
      </c>
      <c r="AS398" s="16">
        <f>INDEX('Team forecast'!$B$2:$AO$26,MATCH('Master data'!$B398,'Team forecast'!$B$2:$B$26,0),MATCH('Master data'!AS$1,'Team forecast'!$B$2:$AO$2,0))*IF(X398&gt;0,5000,0)</f>
        <v>1517.5404020496649</v>
      </c>
      <c r="AT398" s="16">
        <f>INDEX('Team forecast'!$B$2:$AO$26,MATCH('Master data'!$B398,'Team forecast'!$B$2:$B$26,0),MATCH('Master data'!AT$1,'Team forecast'!$B$2:$AO$2,0))*IF(X398&gt;0,-15000,0)</f>
        <v>-6415.0571541190393</v>
      </c>
      <c r="AU398" s="5">
        <f t="shared" si="233"/>
        <v>5913.3799664505796</v>
      </c>
      <c r="AV398" s="5">
        <f t="shared" si="234"/>
        <v>2389.9387496707886</v>
      </c>
      <c r="AW398" s="5">
        <f t="shared" si="235"/>
        <v>0</v>
      </c>
      <c r="AX398" s="5">
        <f t="shared" si="236"/>
        <v>13836.397783394012</v>
      </c>
      <c r="AY398" s="5">
        <f t="shared" si="237"/>
        <v>0</v>
      </c>
      <c r="AZ398" s="5">
        <f t="shared" si="238"/>
        <v>0</v>
      </c>
      <c r="BA398" s="5">
        <f t="shared" si="239"/>
        <v>0</v>
      </c>
      <c r="BB398" s="5">
        <f t="shared" si="240"/>
        <v>10279.287794501248</v>
      </c>
      <c r="BC398" s="5">
        <f t="shared" si="241"/>
        <v>-10277.762919060535</v>
      </c>
      <c r="BD398" s="5">
        <f t="shared" si="242"/>
        <v>30964.260689106668</v>
      </c>
      <c r="BE398" s="16">
        <f>INDEX('Team forecast'!$B$2:$AO$26,MATCH('Master data'!$B398,'Team forecast'!$B$2:$B$26,0),MATCH('Master data'!BE$1,'Team forecast'!$B$2:$AO$2,0))</f>
        <v>0.65281467345965161</v>
      </c>
      <c r="BF398" s="16">
        <f>INDEX('Team forecast'!$B$2:$AO$26,MATCH('Master data'!$B398,'Team forecast'!$B$2:$B$26,0),MATCH('Master data'!BF$1,'Team forecast'!$B$2:$AO$2,0))</f>
        <v>1.8402581758343768</v>
      </c>
      <c r="BG398" s="16">
        <f>INDEX('Team forecast'!$B$2:$AO$26,MATCH('Master data'!$B398,'Team forecast'!$B$2:$B$26,0),MATCH('Master data'!BG$1,'Team forecast'!$B$2:$AO$2,0))</f>
        <v>0.15877642857793531</v>
      </c>
      <c r="BH398" s="16">
        <f>INDEX('Team forecast'!$B$2:$AO$26,MATCH('Master data'!$B398,'Team forecast'!$B$2:$B$26,0),MATCH('Master data'!BH$1,'Team forecast'!$B$2:$AO$2,0))</f>
        <v>1.9817588301453708</v>
      </c>
      <c r="BI398" s="16">
        <f>INDEX('Team forecast'!$B$2:$AO$26,MATCH('Master data'!$B398,'Team forecast'!$B$2:$B$26,0),MATCH('Master data'!BI$1,'Team forecast'!$B$2:$AO$2,0))</f>
        <v>4.8145132816423697</v>
      </c>
      <c r="BJ398" s="5">
        <f t="shared" si="243"/>
        <v>7000</v>
      </c>
      <c r="BK398" s="5">
        <f>INDEX('Team forecast'!$R$3:$BH$26,MATCH($B398,'Team forecast'!$B$3:$B$26,0),MATCH(BK$1,'Team forecast'!$R$2:$BH$2,0))*IF($X398&gt;0,25000,0)</f>
        <v>2721.881632764605</v>
      </c>
      <c r="BL398" s="5">
        <f>INDEX('Team forecast'!$R$3:$BH$26,MATCH($B398,'Team forecast'!$B$3:$B$26,0),MATCH(BL$1,'Team forecast'!$R$2:$BH$2,0))*IF($X398&gt;0,5000,0)</f>
        <v>1147.781411406761</v>
      </c>
      <c r="BM398" s="5">
        <f>INDEX('Team forecast'!$R$3:$BH$26,MATCH($B398,'Team forecast'!$B$3:$B$26,0),MATCH(BM$1,'Team forecast'!$R$2:$BH$2,0))*IF($X398&gt;0,-15000,0)</f>
        <v>-9923.5267861209559</v>
      </c>
      <c r="BN398" s="5">
        <f t="shared" si="244"/>
        <v>3755.4559119419855</v>
      </c>
      <c r="BO398" s="5">
        <f t="shared" si="245"/>
        <v>1517.7968704111026</v>
      </c>
      <c r="BP398" s="5">
        <f t="shared" si="246"/>
        <v>0</v>
      </c>
      <c r="BQ398" s="5">
        <f t="shared" si="247"/>
        <v>7938.8214288967656</v>
      </c>
      <c r="BR398" s="5">
        <f t="shared" si="248"/>
        <v>0</v>
      </c>
      <c r="BS398" s="5">
        <f t="shared" si="249"/>
        <v>0</v>
      </c>
      <c r="BT398" s="5">
        <f t="shared" si="250"/>
        <v>0</v>
      </c>
      <c r="BU398" s="5">
        <f t="shared" si="251"/>
        <v>6528.1467345965157</v>
      </c>
      <c r="BV398" s="5">
        <f t="shared" si="252"/>
        <v>-14722.065406675014</v>
      </c>
      <c r="BW398" s="5">
        <f t="shared" si="253"/>
        <v>5964.2917972217656</v>
      </c>
      <c r="BX398" s="5">
        <f t="shared" si="254"/>
        <v>22521.50284119153</v>
      </c>
      <c r="BY398" s="5">
        <f t="shared" si="255"/>
        <v>67564.508523574594</v>
      </c>
      <c r="BZ398" s="5">
        <f>INDEX('Team forecast'!$R$3:$BH$26,MATCH($B398,'Team forecast'!$B$3:$B$26,0),MATCH(BZ$1,'Team forecast'!$R$2:$BH$2,0))*($BX398-(BY398+CH398)*0.01)</f>
        <v>-1554.285460675268</v>
      </c>
      <c r="CA398" s="5">
        <f>INDEX('Team forecast'!$R$3:$BH$26,MATCH($B398,'Team forecast'!$B$3:$B$26,0),MATCH(CA$1,'Team forecast'!$R$2:$BH$2,0))*($BX398-(BY398+BX398+CH398)*0.01)</f>
        <v>-817.93823434989451</v>
      </c>
      <c r="CB398" s="5">
        <f>INDEX('Team forecast'!$R$3:$BH$26,MATCH($B398,'Team forecast'!$B$3:$B$26,0),MATCH(CB$1,'Team forecast'!$R$2:$BH$2,0))*($BX398-(BY398+BX398*2+CH398)*0.01)</f>
        <v>-421.47250403560611</v>
      </c>
      <c r="CC398" s="5">
        <f>INDEX('Team forecast'!$R$3:$BH$26,MATCH($B398,'Team forecast'!$B$3:$B$26,0),MATCH(CC$1,'Team forecast'!$R$2:$BH$2,0))*($BX398-(BY398+BX398*3+CH398)*0.01)</f>
        <v>-203.69217257154867</v>
      </c>
      <c r="CD398" s="5">
        <f>+AK398+BD398*Cockpit!$C$3+BW398*Cockpit!$C$3^2+BZ398*Cockpit!$C$3^3+CA398*Cockpit!$C$3^4+CB398*Cockpit!$C$3^5+CC398*Cockpit!$C$3^6</f>
        <v>53234.110786932659</v>
      </c>
      <c r="CE398" s="5"/>
      <c r="CF398" s="5"/>
      <c r="CG398" s="5">
        <v>0</v>
      </c>
      <c r="CH398" s="5">
        <f t="shared" si="256"/>
        <v>2500000</v>
      </c>
      <c r="CI398" s="5">
        <f t="shared" si="257"/>
        <v>2500000</v>
      </c>
      <c r="CJ398" s="1">
        <f t="shared" si="258"/>
        <v>2.7025803409429838E-2</v>
      </c>
      <c r="CK398" s="5">
        <f>RANK(BY398,$BY$2:$BY$623)+COUNTIF($BY$2:$BY398,$BY398)-1</f>
        <v>250</v>
      </c>
      <c r="CL398" s="5">
        <f>RANK(CJ398,$CJ$2:$CJ$623)+COUNTIF($CJ$2:$CJ398,$CJ398)-1</f>
        <v>182</v>
      </c>
    </row>
    <row r="399" spans="1:90">
      <c r="A399" t="str">
        <f>Players!P400</f>
        <v>Rhys Norrington-Davies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2000000</v>
      </c>
      <c r="H399" s="16">
        <f>INDEX('Team forecast'!$B$2:$AO$26,MATCH('Master data'!$B399,'Team forecast'!$B$2:$B$26,0),MATCH('Master data'!H$1,'Team forecast'!$B$2:$AO$2,0))</f>
        <v>0.87435064565555498</v>
      </c>
      <c r="I399" s="16">
        <f>INDEX('Team forecast'!$B$2:$AO$26,MATCH('Master data'!$B399,'Team forecast'!$B$2:$B$26,0),MATCH('Master data'!I$1,'Team forecast'!$B$2:$AO$2,0))</f>
        <v>1.162032718107336</v>
      </c>
      <c r="J399" s="16">
        <f>INDEX('Team forecast'!$B$2:$AO$26,MATCH('Master data'!$B399,'Team forecast'!$B$2:$B$26,0),MATCH('Master data'!J$1,'Team forecast'!$B$2:$AO$2,0))</f>
        <v>0.31284959906121651</v>
      </c>
      <c r="K399" s="16">
        <f>INDEX('Team forecast'!$B$2:$AO$26,MATCH('Master data'!$B399,'Team forecast'!$B$2:$B$26,0),MATCH('Master data'!K$1,'Team forecast'!$B$2:$AO$2,0))</f>
        <v>2.6542787457400774</v>
      </c>
      <c r="L399" s="16">
        <f>INDEX('Team forecast'!$B$2:$AO$26,MATCH('Master data'!$B399,'Team forecast'!$B$2:$B$26,0),MATCH('Master data'!L$1,'Team forecast'!$B$2:$AO$2,0))</f>
        <v>3.0401288408862195</v>
      </c>
      <c r="M399">
        <f>IF(Players!BC400=1,95,0)</f>
        <v>0</v>
      </c>
      <c r="N399" s="2">
        <f>Players!BN400</f>
        <v>0</v>
      </c>
      <c r="O399" s="2">
        <f>Players!BO400</f>
        <v>0</v>
      </c>
      <c r="P399" s="2">
        <f>Players!BP400</f>
        <v>0</v>
      </c>
      <c r="Q399" s="2">
        <f>Players!BQ400</f>
        <v>6.32688927943761E-2</v>
      </c>
      <c r="R399" s="2">
        <f>Players!BR400</f>
        <v>0</v>
      </c>
      <c r="S399" s="2">
        <f t="shared" si="217"/>
        <v>0.87435064565555498</v>
      </c>
      <c r="T399" s="2">
        <f t="shared" si="218"/>
        <v>1.162032718107336</v>
      </c>
      <c r="U399" s="16">
        <f>INDEX('Team forecast'!$B$2:$AO$26,MATCH('Master data'!$B399,'Team forecast'!$B$2:$B$26,0),MATCH('Master data'!U$1,'Team forecast'!$B$2:$AO$2,0))</f>
        <v>0.2607079992176804</v>
      </c>
      <c r="V399" s="16">
        <f>INDEX('Team forecast'!$B$2:$AO$26,MATCH('Master data'!$B399,'Team forecast'!$B$2:$B$26,0),MATCH('Master data'!V$1,'Team forecast'!$B$2:$AO$2,0))</f>
        <v>0.30275767651085472</v>
      </c>
      <c r="W399" s="16">
        <f>INDEX('Team forecast'!$B$2:$AO$26,MATCH('Master data'!$B399,'Team forecast'!$B$2:$B$26,0),MATCH('Master data'!W$1,'Team forecast'!$B$2:$AO$2,0))</f>
        <v>0.43653432427146488</v>
      </c>
      <c r="X399" s="5">
        <f t="shared" si="219"/>
        <v>-5000</v>
      </c>
      <c r="Y399" s="5">
        <f t="shared" si="220"/>
        <v>0</v>
      </c>
      <c r="Z399" s="5">
        <f t="shared" si="221"/>
        <v>0</v>
      </c>
      <c r="AA399" s="5">
        <f t="shared" si="222"/>
        <v>0</v>
      </c>
      <c r="AB399" s="5">
        <f t="shared" si="223"/>
        <v>0</v>
      </c>
      <c r="AC399" s="5">
        <f t="shared" si="224"/>
        <v>0</v>
      </c>
      <c r="AD399" s="5">
        <f t="shared" si="225"/>
        <v>0</v>
      </c>
      <c r="AE399" s="5">
        <f t="shared" si="226"/>
        <v>15642.479953060825</v>
      </c>
      <c r="AF399" s="5">
        <f t="shared" si="227"/>
        <v>0</v>
      </c>
      <c r="AG399" s="5">
        <f t="shared" si="228"/>
        <v>0</v>
      </c>
      <c r="AH399" s="5">
        <f t="shared" si="229"/>
        <v>0</v>
      </c>
      <c r="AI399" s="5">
        <f t="shared" si="230"/>
        <v>0</v>
      </c>
      <c r="AJ399" s="5">
        <f t="shared" si="231"/>
        <v>0</v>
      </c>
      <c r="AK399" s="5">
        <f>IFERROR(SUM(X399:AJ399),-5000)*((Cockpit!$C$3)^0)</f>
        <v>10642.479953060825</v>
      </c>
      <c r="AL399" s="16">
        <f>INDEX('Team forecast'!$B$2:$AO$26,MATCH('Master data'!$B399,'Team forecast'!$B$2:$B$26,0),MATCH('Master data'!AL$1,'Team forecast'!$B$2:$AO$2,0))</f>
        <v>1.0279287794501248</v>
      </c>
      <c r="AM399" s="16">
        <f>INDEX('Team forecast'!$B$2:$AO$26,MATCH('Master data'!$B399,'Team forecast'!$B$2:$B$26,0),MATCH('Master data'!AM$1,'Team forecast'!$B$2:$AO$2,0))</f>
        <v>1.2847203648825669</v>
      </c>
      <c r="AN399" s="16">
        <f>INDEX('Team forecast'!$B$2:$AO$26,MATCH('Master data'!$B399,'Team forecast'!$B$2:$B$26,0),MATCH('Master data'!AN$1,'Team forecast'!$B$2:$AO$2,0))</f>
        <v>0.27672795566788022</v>
      </c>
      <c r="AO399" s="16">
        <f>INDEX('Team forecast'!$B$2:$AO$26,MATCH('Master data'!$B399,'Team forecast'!$B$2:$B$26,0),MATCH('Master data'!AO$1,'Team forecast'!$B$2:$AO$2,0))</f>
        <v>3.1204980804735931</v>
      </c>
      <c r="AP399" s="16">
        <f>INDEX('Team forecast'!$B$2:$AO$26,MATCH('Master data'!$B399,'Team forecast'!$B$2:$B$26,0),MATCH('Master data'!AP$1,'Team forecast'!$B$2:$AO$2,0))</f>
        <v>3.3611062519089856</v>
      </c>
      <c r="AQ399" s="5">
        <f t="shared" si="232"/>
        <v>-5000</v>
      </c>
      <c r="AR399" s="5">
        <f>INDEX('Team forecast'!$B$2:$AO$26,MATCH('Master data'!$B399,'Team forecast'!$B$2:$B$26,0),MATCH('Master data'!AR$1,'Team forecast'!$B$2:$AO$2,0))*IF(X399&gt;0,25000,0)</f>
        <v>0</v>
      </c>
      <c r="AS399" s="16">
        <f>INDEX('Team forecast'!$B$2:$AO$26,MATCH('Master data'!$B399,'Team forecast'!$B$2:$B$26,0),MATCH('Master data'!AS$1,'Team forecast'!$B$2:$AO$2,0))*IF(X399&gt;0,5000,0)</f>
        <v>0</v>
      </c>
      <c r="AT399" s="16">
        <f>INDEX('Team forecast'!$B$2:$AO$26,MATCH('Master data'!$B399,'Team forecast'!$B$2:$B$26,0),MATCH('Master data'!AT$1,'Team forecast'!$B$2:$AO$2,0))*IF(X399&gt;0,-15000,0)</f>
        <v>0</v>
      </c>
      <c r="AU399" s="5">
        <f t="shared" si="233"/>
        <v>0</v>
      </c>
      <c r="AV399" s="5">
        <f t="shared" si="234"/>
        <v>0</v>
      </c>
      <c r="AW399" s="5">
        <f t="shared" si="235"/>
        <v>0</v>
      </c>
      <c r="AX399" s="5">
        <f t="shared" si="236"/>
        <v>13836.397783394012</v>
      </c>
      <c r="AY399" s="5">
        <f t="shared" si="237"/>
        <v>0</v>
      </c>
      <c r="AZ399" s="5">
        <f t="shared" si="238"/>
        <v>0</v>
      </c>
      <c r="BA399" s="5">
        <f t="shared" si="239"/>
        <v>0</v>
      </c>
      <c r="BB399" s="5">
        <f t="shared" si="240"/>
        <v>0</v>
      </c>
      <c r="BC399" s="5">
        <f t="shared" si="241"/>
        <v>0</v>
      </c>
      <c r="BD399" s="5">
        <f t="shared" si="242"/>
        <v>8836.3977833940116</v>
      </c>
      <c r="BE399" s="16">
        <f>INDEX('Team forecast'!$B$2:$AO$26,MATCH('Master data'!$B399,'Team forecast'!$B$2:$B$26,0),MATCH('Master data'!BE$1,'Team forecast'!$B$2:$AO$2,0))</f>
        <v>0.65281467345965161</v>
      </c>
      <c r="BF399" s="16">
        <f>INDEX('Team forecast'!$B$2:$AO$26,MATCH('Master data'!$B399,'Team forecast'!$B$2:$B$26,0),MATCH('Master data'!BF$1,'Team forecast'!$B$2:$AO$2,0))</f>
        <v>1.8402581758343768</v>
      </c>
      <c r="BG399" s="16">
        <f>INDEX('Team forecast'!$B$2:$AO$26,MATCH('Master data'!$B399,'Team forecast'!$B$2:$B$26,0),MATCH('Master data'!BG$1,'Team forecast'!$B$2:$AO$2,0))</f>
        <v>0.15877642857793531</v>
      </c>
      <c r="BH399" s="16">
        <f>INDEX('Team forecast'!$B$2:$AO$26,MATCH('Master data'!$B399,'Team forecast'!$B$2:$B$26,0),MATCH('Master data'!BH$1,'Team forecast'!$B$2:$AO$2,0))</f>
        <v>1.9817588301453708</v>
      </c>
      <c r="BI399" s="16">
        <f>INDEX('Team forecast'!$B$2:$AO$26,MATCH('Master data'!$B399,'Team forecast'!$B$2:$B$26,0),MATCH('Master data'!BI$1,'Team forecast'!$B$2:$AO$2,0))</f>
        <v>4.8145132816423697</v>
      </c>
      <c r="BJ399" s="5">
        <f t="shared" si="243"/>
        <v>-5000</v>
      </c>
      <c r="BK399" s="5">
        <f>INDEX('Team forecast'!$R$3:$BH$26,MATCH($B399,'Team forecast'!$B$3:$B$26,0),MATCH(BK$1,'Team forecast'!$R$2:$BH$2,0))*IF($X399&gt;0,25000,0)</f>
        <v>0</v>
      </c>
      <c r="BL399" s="5">
        <f>INDEX('Team forecast'!$R$3:$BH$26,MATCH($B399,'Team forecast'!$B$3:$B$26,0),MATCH(BL$1,'Team forecast'!$R$2:$BH$2,0))*IF($X399&gt;0,5000,0)</f>
        <v>0</v>
      </c>
      <c r="BM399" s="5">
        <f>INDEX('Team forecast'!$R$3:$BH$26,MATCH($B399,'Team forecast'!$B$3:$B$26,0),MATCH(BM$1,'Team forecast'!$R$2:$BH$2,0))*IF($X399&gt;0,-15000,0)</f>
        <v>0</v>
      </c>
      <c r="BN399" s="5">
        <f t="shared" si="244"/>
        <v>0</v>
      </c>
      <c r="BO399" s="5">
        <f t="shared" si="245"/>
        <v>0</v>
      </c>
      <c r="BP399" s="5">
        <f t="shared" si="246"/>
        <v>0</v>
      </c>
      <c r="BQ399" s="5">
        <f t="shared" si="247"/>
        <v>7938.8214288967656</v>
      </c>
      <c r="BR399" s="5">
        <f t="shared" si="248"/>
        <v>0</v>
      </c>
      <c r="BS399" s="5">
        <f t="shared" si="249"/>
        <v>0</v>
      </c>
      <c r="BT399" s="5">
        <f t="shared" si="250"/>
        <v>0</v>
      </c>
      <c r="BU399" s="5">
        <f t="shared" si="251"/>
        <v>0</v>
      </c>
      <c r="BV399" s="5">
        <f t="shared" si="252"/>
        <v>0</v>
      </c>
      <c r="BW399" s="5">
        <f t="shared" si="253"/>
        <v>2938.8214288967656</v>
      </c>
      <c r="BX399" s="5">
        <f t="shared" si="254"/>
        <v>7472.5663884505339</v>
      </c>
      <c r="BY399" s="5">
        <f t="shared" si="255"/>
        <v>22417.699165351602</v>
      </c>
      <c r="BZ399" s="5">
        <f>INDEX('Team forecast'!$R$3:$BH$26,MATCH($B399,'Team forecast'!$B$3:$B$26,0),MATCH(BZ$1,'Team forecast'!$R$2:$BH$2,0))*($BX399-(BY399+CH399)*0.01)</f>
        <v>-6283.687109601753</v>
      </c>
      <c r="CA399" s="5">
        <f>INDEX('Team forecast'!$R$3:$BH$26,MATCH($B399,'Team forecast'!$B$3:$B$26,0),MATCH(CA$1,'Team forecast'!$R$2:$BH$2,0))*($BX399-(BY399+BX399+CH399)*0.01)</f>
        <v>-3104.4811168647302</v>
      </c>
      <c r="CB399" s="5">
        <f>INDEX('Team forecast'!$R$3:$BH$26,MATCH($B399,'Team forecast'!$B$3:$B$26,0),MATCH(CB$1,'Team forecast'!$R$2:$BH$2,0))*($BX399-(BY399+BX399*2+CH399)*0.01)</f>
        <v>-1508.4848972111786</v>
      </c>
      <c r="CC399" s="5">
        <f>INDEX('Team forecast'!$R$3:$BH$26,MATCH($B399,'Team forecast'!$B$3:$B$26,0),MATCH(CC$1,'Team forecast'!$R$2:$BH$2,0))*($BX399-(BY399+BX399*3+CH399)*0.01)</f>
        <v>-690.13397841080439</v>
      </c>
      <c r="CD399" s="5">
        <f>+AK399+BD399*Cockpit!$C$3+BW399*Cockpit!$C$3^2+BZ399*Cockpit!$C$3^3+CA399*Cockpit!$C$3^4+CB399*Cockpit!$C$3^5+CC399*Cockpit!$C$3^6</f>
        <v>15105.254499616352</v>
      </c>
      <c r="CE399" s="5"/>
      <c r="CF399" s="5"/>
      <c r="CG399" s="5">
        <v>0</v>
      </c>
      <c r="CH399" s="5">
        <f t="shared" si="256"/>
        <v>2000000</v>
      </c>
      <c r="CI399" s="5">
        <f t="shared" si="257"/>
        <v>2000000</v>
      </c>
      <c r="CJ399" s="1">
        <f t="shared" si="258"/>
        <v>1.1208849582675802E-2</v>
      </c>
      <c r="CK399" s="5">
        <f>RANK(BY399,$BY$2:$BY$623)+COUNTIF($BY$2:$BY399,$BY399)-1</f>
        <v>369</v>
      </c>
      <c r="CL399" s="5">
        <f>RANK(CJ399,$CJ$2:$CJ$623)+COUNTIF($CJ$2:$CJ399,$CJ399)-1</f>
        <v>350</v>
      </c>
    </row>
    <row r="400" spans="1:90">
      <c r="A400" t="str">
        <f>Players!P401</f>
        <v>Ethan Ampadu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2500000</v>
      </c>
      <c r="H400" s="16">
        <f>INDEX('Team forecast'!$B$2:$AO$26,MATCH('Master data'!$B400,'Team forecast'!$B$2:$B$26,0),MATCH('Master data'!H$1,'Team forecast'!$B$2:$AO$2,0))</f>
        <v>0.87435064565555498</v>
      </c>
      <c r="I400" s="16">
        <f>INDEX('Team forecast'!$B$2:$AO$26,MATCH('Master data'!$B400,'Team forecast'!$B$2:$B$26,0),MATCH('Master data'!I$1,'Team forecast'!$B$2:$AO$2,0))</f>
        <v>1.162032718107336</v>
      </c>
      <c r="J400" s="16">
        <f>INDEX('Team forecast'!$B$2:$AO$26,MATCH('Master data'!$B400,'Team forecast'!$B$2:$B$26,0),MATCH('Master data'!J$1,'Team forecast'!$B$2:$AO$2,0))</f>
        <v>0.31284959906121651</v>
      </c>
      <c r="K400" s="16">
        <f>INDEX('Team forecast'!$B$2:$AO$26,MATCH('Master data'!$B400,'Team forecast'!$B$2:$B$26,0),MATCH('Master data'!K$1,'Team forecast'!$B$2:$AO$2,0))</f>
        <v>2.6542787457400774</v>
      </c>
      <c r="L400" s="16">
        <f>INDEX('Team forecast'!$B$2:$AO$26,MATCH('Master data'!$B400,'Team forecast'!$B$2:$B$26,0),MATCH('Master data'!L$1,'Team forecast'!$B$2:$AO$2,0))</f>
        <v>3.0401288408862195</v>
      </c>
      <c r="M400">
        <f>IF(Players!BC401=1,95,0)</f>
        <v>95</v>
      </c>
      <c r="N400" s="2">
        <f>Players!BN401</f>
        <v>3.8351424629592554E-2</v>
      </c>
      <c r="O400" s="2">
        <f>Players!BO401</f>
        <v>2.5833380217788273E-2</v>
      </c>
      <c r="P400" s="2">
        <f>Players!BP401</f>
        <v>4.9947916156462928E-2</v>
      </c>
      <c r="Q400" s="2">
        <f>Players!BQ401</f>
        <v>0.29459330143540674</v>
      </c>
      <c r="R400" s="2">
        <f>Players!BR401</f>
        <v>0</v>
      </c>
      <c r="S400" s="2">
        <f t="shared" si="217"/>
        <v>0.87435064565555498</v>
      </c>
      <c r="T400" s="2">
        <f t="shared" si="218"/>
        <v>1.162032718107336</v>
      </c>
      <c r="U400" s="16">
        <f>INDEX('Team forecast'!$B$2:$AO$26,MATCH('Master data'!$B400,'Team forecast'!$B$2:$B$26,0),MATCH('Master data'!U$1,'Team forecast'!$B$2:$AO$2,0))</f>
        <v>0.2607079992176804</v>
      </c>
      <c r="V400" s="16">
        <f>INDEX('Team forecast'!$B$2:$AO$26,MATCH('Master data'!$B400,'Team forecast'!$B$2:$B$26,0),MATCH('Master data'!V$1,'Team forecast'!$B$2:$AO$2,0))</f>
        <v>0.30275767651085472</v>
      </c>
      <c r="W400" s="16">
        <f>INDEX('Team forecast'!$B$2:$AO$26,MATCH('Master data'!$B400,'Team forecast'!$B$2:$B$26,0),MATCH('Master data'!W$1,'Team forecast'!$B$2:$AO$2,0))</f>
        <v>0.43653432427146488</v>
      </c>
      <c r="X400" s="5">
        <f t="shared" si="219"/>
        <v>7000</v>
      </c>
      <c r="Y400" s="5">
        <f t="shared" si="220"/>
        <v>6517.6999804420102</v>
      </c>
      <c r="Z400" s="5">
        <f t="shared" si="221"/>
        <v>1513.7883825542735</v>
      </c>
      <c r="AA400" s="5">
        <f t="shared" si="222"/>
        <v>-6548.0148640719735</v>
      </c>
      <c r="AB400" s="5">
        <f t="shared" si="223"/>
        <v>5029.8889330041902</v>
      </c>
      <c r="AC400" s="5">
        <f t="shared" si="224"/>
        <v>1129.3716336444309</v>
      </c>
      <c r="AD400" s="5">
        <f t="shared" si="225"/>
        <v>1325.7569224810698</v>
      </c>
      <c r="AE400" s="5">
        <f t="shared" si="226"/>
        <v>15642.479953060825</v>
      </c>
      <c r="AF400" s="5">
        <f t="shared" si="227"/>
        <v>0</v>
      </c>
      <c r="AG400" s="5">
        <f t="shared" si="228"/>
        <v>-5891.8660287081348</v>
      </c>
      <c r="AH400" s="5">
        <f t="shared" si="229"/>
        <v>0</v>
      </c>
      <c r="AI400" s="5">
        <f t="shared" si="230"/>
        <v>8743.5064565555494</v>
      </c>
      <c r="AJ400" s="5">
        <f t="shared" si="231"/>
        <v>-9296.261744858688</v>
      </c>
      <c r="AK400" s="5">
        <f>IFERROR(SUM(X400:AJ400),-5000)*((Cockpit!$C$3)^0)</f>
        <v>25166.349624103554</v>
      </c>
      <c r="AL400" s="16">
        <f>INDEX('Team forecast'!$B$2:$AO$26,MATCH('Master data'!$B400,'Team forecast'!$B$2:$B$26,0),MATCH('Master data'!AL$1,'Team forecast'!$B$2:$AO$2,0))</f>
        <v>1.0279287794501248</v>
      </c>
      <c r="AM400" s="16">
        <f>INDEX('Team forecast'!$B$2:$AO$26,MATCH('Master data'!$B400,'Team forecast'!$B$2:$B$26,0),MATCH('Master data'!AM$1,'Team forecast'!$B$2:$AO$2,0))</f>
        <v>1.2847203648825669</v>
      </c>
      <c r="AN400" s="16">
        <f>INDEX('Team forecast'!$B$2:$AO$26,MATCH('Master data'!$B400,'Team forecast'!$B$2:$B$26,0),MATCH('Master data'!AN$1,'Team forecast'!$B$2:$AO$2,0))</f>
        <v>0.27672795566788022</v>
      </c>
      <c r="AO400" s="16">
        <f>INDEX('Team forecast'!$B$2:$AO$26,MATCH('Master data'!$B400,'Team forecast'!$B$2:$B$26,0),MATCH('Master data'!AO$1,'Team forecast'!$B$2:$AO$2,0))</f>
        <v>3.1204980804735931</v>
      </c>
      <c r="AP400" s="16">
        <f>INDEX('Team forecast'!$B$2:$AO$26,MATCH('Master data'!$B400,'Team forecast'!$B$2:$B$26,0),MATCH('Master data'!AP$1,'Team forecast'!$B$2:$AO$2,0))</f>
        <v>3.3611062519089856</v>
      </c>
      <c r="AQ400" s="5">
        <f t="shared" si="232"/>
        <v>7000</v>
      </c>
      <c r="AR400" s="5">
        <f>INDEX('Team forecast'!$B$2:$AO$26,MATCH('Master data'!$B400,'Team forecast'!$B$2:$B$26,0),MATCH('Master data'!AR$1,'Team forecast'!$B$2:$AO$2,0))*IF(X400&gt;0,25000,0)</f>
        <v>6720.5360662199482</v>
      </c>
      <c r="AS400" s="16">
        <f>INDEX('Team forecast'!$B$2:$AO$26,MATCH('Master data'!$B400,'Team forecast'!$B$2:$B$26,0),MATCH('Master data'!AS$1,'Team forecast'!$B$2:$AO$2,0))*IF(X400&gt;0,5000,0)</f>
        <v>1517.5404020496649</v>
      </c>
      <c r="AT400" s="16">
        <f>INDEX('Team forecast'!$B$2:$AO$26,MATCH('Master data'!$B400,'Team forecast'!$B$2:$B$26,0),MATCH('Master data'!AT$1,'Team forecast'!$B$2:$AO$2,0))*IF(X400&gt;0,-15000,0)</f>
        <v>-6415.0571541190393</v>
      </c>
      <c r="AU400" s="5">
        <f t="shared" si="233"/>
        <v>5913.3799664505796</v>
      </c>
      <c r="AV400" s="5">
        <f t="shared" si="234"/>
        <v>1327.743749817105</v>
      </c>
      <c r="AW400" s="5">
        <f t="shared" si="235"/>
        <v>1558.6237648989854</v>
      </c>
      <c r="AX400" s="5">
        <f t="shared" si="236"/>
        <v>13836.397783394012</v>
      </c>
      <c r="AY400" s="5">
        <f t="shared" si="237"/>
        <v>0</v>
      </c>
      <c r="AZ400" s="5">
        <f t="shared" si="238"/>
        <v>-5891.8660287081348</v>
      </c>
      <c r="BA400" s="5">
        <f t="shared" si="239"/>
        <v>0</v>
      </c>
      <c r="BB400" s="5">
        <f t="shared" si="240"/>
        <v>10279.287794501248</v>
      </c>
      <c r="BC400" s="5">
        <f t="shared" si="241"/>
        <v>-10277.762919060535</v>
      </c>
      <c r="BD400" s="5">
        <f t="shared" si="242"/>
        <v>25568.823425443828</v>
      </c>
      <c r="BE400" s="16">
        <f>INDEX('Team forecast'!$B$2:$AO$26,MATCH('Master data'!$B400,'Team forecast'!$B$2:$B$26,0),MATCH('Master data'!BE$1,'Team forecast'!$B$2:$AO$2,0))</f>
        <v>0.65281467345965161</v>
      </c>
      <c r="BF400" s="16">
        <f>INDEX('Team forecast'!$B$2:$AO$26,MATCH('Master data'!$B400,'Team forecast'!$B$2:$B$26,0),MATCH('Master data'!BF$1,'Team forecast'!$B$2:$AO$2,0))</f>
        <v>1.8402581758343768</v>
      </c>
      <c r="BG400" s="16">
        <f>INDEX('Team forecast'!$B$2:$AO$26,MATCH('Master data'!$B400,'Team forecast'!$B$2:$B$26,0),MATCH('Master data'!BG$1,'Team forecast'!$B$2:$AO$2,0))</f>
        <v>0.15877642857793531</v>
      </c>
      <c r="BH400" s="16">
        <f>INDEX('Team forecast'!$B$2:$AO$26,MATCH('Master data'!$B400,'Team forecast'!$B$2:$B$26,0),MATCH('Master data'!BH$1,'Team forecast'!$B$2:$AO$2,0))</f>
        <v>1.9817588301453708</v>
      </c>
      <c r="BI400" s="16">
        <f>INDEX('Team forecast'!$B$2:$AO$26,MATCH('Master data'!$B400,'Team forecast'!$B$2:$B$26,0),MATCH('Master data'!BI$1,'Team forecast'!$B$2:$AO$2,0))</f>
        <v>4.8145132816423697</v>
      </c>
      <c r="BJ400" s="5">
        <f t="shared" si="243"/>
        <v>7000</v>
      </c>
      <c r="BK400" s="5">
        <f>INDEX('Team forecast'!$R$3:$BH$26,MATCH($B400,'Team forecast'!$B$3:$B$26,0),MATCH(BK$1,'Team forecast'!$R$2:$BH$2,0))*IF($X400&gt;0,25000,0)</f>
        <v>2721.881632764605</v>
      </c>
      <c r="BL400" s="5">
        <f>INDEX('Team forecast'!$R$3:$BH$26,MATCH($B400,'Team forecast'!$B$3:$B$26,0),MATCH(BL$1,'Team forecast'!$R$2:$BH$2,0))*IF($X400&gt;0,5000,0)</f>
        <v>1147.781411406761</v>
      </c>
      <c r="BM400" s="5">
        <f>INDEX('Team forecast'!$R$3:$BH$26,MATCH($B400,'Team forecast'!$B$3:$B$26,0),MATCH(BM$1,'Team forecast'!$R$2:$BH$2,0))*IF($X400&gt;0,-15000,0)</f>
        <v>-9923.5267861209559</v>
      </c>
      <c r="BN400" s="5">
        <f t="shared" si="244"/>
        <v>3755.4559119419855</v>
      </c>
      <c r="BO400" s="5">
        <f t="shared" si="245"/>
        <v>843.22048356172365</v>
      </c>
      <c r="BP400" s="5">
        <f t="shared" si="246"/>
        <v>989.8472389043103</v>
      </c>
      <c r="BQ400" s="5">
        <f t="shared" si="247"/>
        <v>7938.8214288967656</v>
      </c>
      <c r="BR400" s="5">
        <f t="shared" si="248"/>
        <v>0</v>
      </c>
      <c r="BS400" s="5">
        <f t="shared" si="249"/>
        <v>-5891.8660287081348</v>
      </c>
      <c r="BT400" s="5">
        <f t="shared" si="250"/>
        <v>0</v>
      </c>
      <c r="BU400" s="5">
        <f t="shared" si="251"/>
        <v>6528.1467345965157</v>
      </c>
      <c r="BV400" s="5">
        <f t="shared" si="252"/>
        <v>-14722.065406675014</v>
      </c>
      <c r="BW400" s="5">
        <f t="shared" si="253"/>
        <v>387.69662056856214</v>
      </c>
      <c r="BX400" s="5">
        <f t="shared" si="254"/>
        <v>17040.956556705314</v>
      </c>
      <c r="BY400" s="5">
        <f t="shared" si="255"/>
        <v>51122.869670115942</v>
      </c>
      <c r="BZ400" s="5">
        <f>INDEX('Team forecast'!$R$3:$BH$26,MATCH($B400,'Team forecast'!$B$3:$B$26,0),MATCH(BZ$1,'Team forecast'!$R$2:$BH$2,0))*($BX400-(BY400+CH400)*0.01)</f>
        <v>-4173.9464540692361</v>
      </c>
      <c r="CA400" s="5">
        <f>INDEX('Team forecast'!$R$3:$BH$26,MATCH($B400,'Team forecast'!$B$3:$B$26,0),MATCH(CA$1,'Team forecast'!$R$2:$BH$2,0))*($BX400-(BY400+BX400+CH400)*0.01)</f>
        <v>-2091.3870206717838</v>
      </c>
      <c r="CB400" s="5">
        <f>INDEX('Team forecast'!$R$3:$BH$26,MATCH($B400,'Team forecast'!$B$3:$B$26,0),MATCH(CB$1,'Team forecast'!$R$2:$BH$2,0))*($BX400-(BY400+BX400*2+CH400)*0.01)</f>
        <v>-1030.2561278726746</v>
      </c>
      <c r="CC400" s="5">
        <f>INDEX('Team forecast'!$R$3:$BH$26,MATCH($B400,'Team forecast'!$B$3:$B$26,0),MATCH(CC$1,'Team forecast'!$R$2:$BH$2,0))*($BX400-(BY400+BX400*3+CH400)*0.01)</f>
        <v>-477.69269180906474</v>
      </c>
      <c r="CD400" s="5">
        <f>+AK400+BD400*Cockpit!$C$3+BW400*Cockpit!$C$3^2+BZ400*Cockpit!$C$3^3+CA400*Cockpit!$C$3^4+CB400*Cockpit!$C$3^5+CC400*Cockpit!$C$3^6</f>
        <v>40557.094211514617</v>
      </c>
      <c r="CE400" s="5"/>
      <c r="CF400" s="5"/>
      <c r="CG400" s="5">
        <v>0</v>
      </c>
      <c r="CH400" s="5">
        <f t="shared" si="256"/>
        <v>2500000</v>
      </c>
      <c r="CI400" s="5">
        <f t="shared" si="257"/>
        <v>2500000</v>
      </c>
      <c r="CJ400" s="1">
        <f t="shared" si="258"/>
        <v>2.0449147868046379E-2</v>
      </c>
      <c r="CK400" s="5">
        <f>RANK(BY400,$BY$2:$BY$623)+COUNTIF($BY$2:$BY400,$BY400)-1</f>
        <v>289</v>
      </c>
      <c r="CL400" s="5">
        <f>RANK(CJ400,$CJ$2:$CJ$623)+COUNTIF($CJ$2:$CJ400,$CJ400)-1</f>
        <v>258</v>
      </c>
    </row>
    <row r="401" spans="1:90">
      <c r="A401" t="str">
        <f>Players!P402</f>
        <v>Chris Mepham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2000000</v>
      </c>
      <c r="H401" s="16">
        <f>INDEX('Team forecast'!$B$2:$AO$26,MATCH('Master data'!$B401,'Team forecast'!$B$2:$B$26,0),MATCH('Master data'!H$1,'Team forecast'!$B$2:$AO$2,0))</f>
        <v>0.87435064565555498</v>
      </c>
      <c r="I401" s="16">
        <f>INDEX('Team forecast'!$B$2:$AO$26,MATCH('Master data'!$B401,'Team forecast'!$B$2:$B$26,0),MATCH('Master data'!I$1,'Team forecast'!$B$2:$AO$2,0))</f>
        <v>1.162032718107336</v>
      </c>
      <c r="J401" s="16">
        <f>INDEX('Team forecast'!$B$2:$AO$26,MATCH('Master data'!$B401,'Team forecast'!$B$2:$B$26,0),MATCH('Master data'!J$1,'Team forecast'!$B$2:$AO$2,0))</f>
        <v>0.31284959906121651</v>
      </c>
      <c r="K401" s="16">
        <f>INDEX('Team forecast'!$B$2:$AO$26,MATCH('Master data'!$B401,'Team forecast'!$B$2:$B$26,0),MATCH('Master data'!K$1,'Team forecast'!$B$2:$AO$2,0))</f>
        <v>2.6542787457400774</v>
      </c>
      <c r="L401" s="16">
        <f>INDEX('Team forecast'!$B$2:$AO$26,MATCH('Master data'!$B401,'Team forecast'!$B$2:$B$26,0),MATCH('Master data'!L$1,'Team forecast'!$B$2:$AO$2,0))</f>
        <v>3.0401288408862195</v>
      </c>
      <c r="M401">
        <f>IF(Players!BC402=1,95,0)</f>
        <v>95</v>
      </c>
      <c r="N401" s="2">
        <f>Players!BN402</f>
        <v>3.8351424629592554E-2</v>
      </c>
      <c r="O401" s="2">
        <f>Players!BO402</f>
        <v>6.0363610302445969E-2</v>
      </c>
      <c r="P401" s="2">
        <f>Players!BP402</f>
        <v>2.0183902700504158E-2</v>
      </c>
      <c r="Q401" s="2">
        <f>Players!BQ402</f>
        <v>0.18700696055684457</v>
      </c>
      <c r="R401" s="2">
        <f>Players!BR402</f>
        <v>0</v>
      </c>
      <c r="S401" s="2">
        <f t="shared" si="217"/>
        <v>0.87435064565555498</v>
      </c>
      <c r="T401" s="2">
        <f t="shared" si="218"/>
        <v>1.162032718107336</v>
      </c>
      <c r="U401" s="16">
        <f>INDEX('Team forecast'!$B$2:$AO$26,MATCH('Master data'!$B401,'Team forecast'!$B$2:$B$26,0),MATCH('Master data'!U$1,'Team forecast'!$B$2:$AO$2,0))</f>
        <v>0.2607079992176804</v>
      </c>
      <c r="V401" s="16">
        <f>INDEX('Team forecast'!$B$2:$AO$26,MATCH('Master data'!$B401,'Team forecast'!$B$2:$B$26,0),MATCH('Master data'!V$1,'Team forecast'!$B$2:$AO$2,0))</f>
        <v>0.30275767651085472</v>
      </c>
      <c r="W401" s="16">
        <f>INDEX('Team forecast'!$B$2:$AO$26,MATCH('Master data'!$B401,'Team forecast'!$B$2:$B$26,0),MATCH('Master data'!W$1,'Team forecast'!$B$2:$AO$2,0))</f>
        <v>0.43653432427146488</v>
      </c>
      <c r="X401" s="5">
        <f t="shared" si="219"/>
        <v>7000</v>
      </c>
      <c r="Y401" s="5">
        <f t="shared" si="220"/>
        <v>6517.6999804420102</v>
      </c>
      <c r="Z401" s="5">
        <f t="shared" si="221"/>
        <v>1513.7883825542735</v>
      </c>
      <c r="AA401" s="5">
        <f t="shared" si="222"/>
        <v>-6548.0148640719735</v>
      </c>
      <c r="AB401" s="5">
        <f t="shared" si="223"/>
        <v>5029.8889330041902</v>
      </c>
      <c r="AC401" s="5">
        <f t="shared" si="224"/>
        <v>2638.9480821021971</v>
      </c>
      <c r="AD401" s="5">
        <f t="shared" si="225"/>
        <v>535.73703944033934</v>
      </c>
      <c r="AE401" s="5">
        <f t="shared" si="226"/>
        <v>15642.479953060825</v>
      </c>
      <c r="AF401" s="5">
        <f t="shared" si="227"/>
        <v>0</v>
      </c>
      <c r="AG401" s="5">
        <f t="shared" si="228"/>
        <v>-3740.1392111368914</v>
      </c>
      <c r="AH401" s="5">
        <f t="shared" si="229"/>
        <v>0</v>
      </c>
      <c r="AI401" s="5">
        <f t="shared" si="230"/>
        <v>8743.5064565555494</v>
      </c>
      <c r="AJ401" s="5">
        <f t="shared" si="231"/>
        <v>-9296.261744858688</v>
      </c>
      <c r="AK401" s="5">
        <f>IFERROR(SUM(X401:AJ401),-5000)*((Cockpit!$C$3)^0)</f>
        <v>28037.633007091834</v>
      </c>
      <c r="AL401" s="16">
        <f>INDEX('Team forecast'!$B$2:$AO$26,MATCH('Master data'!$B401,'Team forecast'!$B$2:$B$26,0),MATCH('Master data'!AL$1,'Team forecast'!$B$2:$AO$2,0))</f>
        <v>1.0279287794501248</v>
      </c>
      <c r="AM401" s="16">
        <f>INDEX('Team forecast'!$B$2:$AO$26,MATCH('Master data'!$B401,'Team forecast'!$B$2:$B$26,0),MATCH('Master data'!AM$1,'Team forecast'!$B$2:$AO$2,0))</f>
        <v>1.2847203648825669</v>
      </c>
      <c r="AN401" s="16">
        <f>INDEX('Team forecast'!$B$2:$AO$26,MATCH('Master data'!$B401,'Team forecast'!$B$2:$B$26,0),MATCH('Master data'!AN$1,'Team forecast'!$B$2:$AO$2,0))</f>
        <v>0.27672795566788022</v>
      </c>
      <c r="AO401" s="16">
        <f>INDEX('Team forecast'!$B$2:$AO$26,MATCH('Master data'!$B401,'Team forecast'!$B$2:$B$26,0),MATCH('Master data'!AO$1,'Team forecast'!$B$2:$AO$2,0))</f>
        <v>3.1204980804735931</v>
      </c>
      <c r="AP401" s="16">
        <f>INDEX('Team forecast'!$B$2:$AO$26,MATCH('Master data'!$B401,'Team forecast'!$B$2:$B$26,0),MATCH('Master data'!AP$1,'Team forecast'!$B$2:$AO$2,0))</f>
        <v>3.3611062519089856</v>
      </c>
      <c r="AQ401" s="5">
        <f t="shared" si="232"/>
        <v>7000</v>
      </c>
      <c r="AR401" s="5">
        <f>INDEX('Team forecast'!$B$2:$AO$26,MATCH('Master data'!$B401,'Team forecast'!$B$2:$B$26,0),MATCH('Master data'!AR$1,'Team forecast'!$B$2:$AO$2,0))*IF(X401&gt;0,25000,0)</f>
        <v>6720.5360662199482</v>
      </c>
      <c r="AS401" s="16">
        <f>INDEX('Team forecast'!$B$2:$AO$26,MATCH('Master data'!$B401,'Team forecast'!$B$2:$B$26,0),MATCH('Master data'!AS$1,'Team forecast'!$B$2:$AO$2,0))*IF(X401&gt;0,5000,0)</f>
        <v>1517.5404020496649</v>
      </c>
      <c r="AT401" s="16">
        <f>INDEX('Team forecast'!$B$2:$AO$26,MATCH('Master data'!$B401,'Team forecast'!$B$2:$B$26,0),MATCH('Master data'!AT$1,'Team forecast'!$B$2:$AO$2,0))*IF(X401&gt;0,-15000,0)</f>
        <v>-6415.0571541190393</v>
      </c>
      <c r="AU401" s="5">
        <f t="shared" si="233"/>
        <v>5913.3799664505796</v>
      </c>
      <c r="AV401" s="5">
        <f t="shared" si="234"/>
        <v>3102.4746130698131</v>
      </c>
      <c r="AW401" s="5">
        <f t="shared" si="235"/>
        <v>629.83829633388996</v>
      </c>
      <c r="AX401" s="5">
        <f t="shared" si="236"/>
        <v>13836.397783394012</v>
      </c>
      <c r="AY401" s="5">
        <f t="shared" si="237"/>
        <v>0</v>
      </c>
      <c r="AZ401" s="5">
        <f t="shared" si="238"/>
        <v>-3740.1392111368914</v>
      </c>
      <c r="BA401" s="5">
        <f t="shared" si="239"/>
        <v>0</v>
      </c>
      <c r="BB401" s="5">
        <f t="shared" si="240"/>
        <v>10279.287794501248</v>
      </c>
      <c r="BC401" s="5">
        <f t="shared" si="241"/>
        <v>-10277.762919060535</v>
      </c>
      <c r="BD401" s="5">
        <f t="shared" si="242"/>
        <v>28566.495637702683</v>
      </c>
      <c r="BE401" s="16">
        <f>INDEX('Team forecast'!$B$2:$AO$26,MATCH('Master data'!$B401,'Team forecast'!$B$2:$B$26,0),MATCH('Master data'!BE$1,'Team forecast'!$B$2:$AO$2,0))</f>
        <v>0.65281467345965161</v>
      </c>
      <c r="BF401" s="16">
        <f>INDEX('Team forecast'!$B$2:$AO$26,MATCH('Master data'!$B401,'Team forecast'!$B$2:$B$26,0),MATCH('Master data'!BF$1,'Team forecast'!$B$2:$AO$2,0))</f>
        <v>1.8402581758343768</v>
      </c>
      <c r="BG401" s="16">
        <f>INDEX('Team forecast'!$B$2:$AO$26,MATCH('Master data'!$B401,'Team forecast'!$B$2:$B$26,0),MATCH('Master data'!BG$1,'Team forecast'!$B$2:$AO$2,0))</f>
        <v>0.15877642857793531</v>
      </c>
      <c r="BH401" s="16">
        <f>INDEX('Team forecast'!$B$2:$AO$26,MATCH('Master data'!$B401,'Team forecast'!$B$2:$B$26,0),MATCH('Master data'!BH$1,'Team forecast'!$B$2:$AO$2,0))</f>
        <v>1.9817588301453708</v>
      </c>
      <c r="BI401" s="16">
        <f>INDEX('Team forecast'!$B$2:$AO$26,MATCH('Master data'!$B401,'Team forecast'!$B$2:$B$26,0),MATCH('Master data'!BI$1,'Team forecast'!$B$2:$AO$2,0))</f>
        <v>4.8145132816423697</v>
      </c>
      <c r="BJ401" s="5">
        <f t="shared" si="243"/>
        <v>7000</v>
      </c>
      <c r="BK401" s="5">
        <f>INDEX('Team forecast'!$R$3:$BH$26,MATCH($B401,'Team forecast'!$B$3:$B$26,0),MATCH(BK$1,'Team forecast'!$R$2:$BH$2,0))*IF($X401&gt;0,25000,0)</f>
        <v>2721.881632764605</v>
      </c>
      <c r="BL401" s="5">
        <f>INDEX('Team forecast'!$R$3:$BH$26,MATCH($B401,'Team forecast'!$B$3:$B$26,0),MATCH(BL$1,'Team forecast'!$R$2:$BH$2,0))*IF($X401&gt;0,5000,0)</f>
        <v>1147.781411406761</v>
      </c>
      <c r="BM401" s="5">
        <f>INDEX('Team forecast'!$R$3:$BH$26,MATCH($B401,'Team forecast'!$B$3:$B$26,0),MATCH(BM$1,'Team forecast'!$R$2:$BH$2,0))*IF($X401&gt;0,-15000,0)</f>
        <v>-9923.5267861209559</v>
      </c>
      <c r="BN401" s="5">
        <f t="shared" si="244"/>
        <v>3755.4559119419855</v>
      </c>
      <c r="BO401" s="5">
        <f t="shared" si="245"/>
        <v>1970.3125274218462</v>
      </c>
      <c r="BP401" s="5">
        <f t="shared" si="246"/>
        <v>399.99627403519111</v>
      </c>
      <c r="BQ401" s="5">
        <f t="shared" si="247"/>
        <v>7938.8214288967656</v>
      </c>
      <c r="BR401" s="5">
        <f t="shared" si="248"/>
        <v>0</v>
      </c>
      <c r="BS401" s="5">
        <f t="shared" si="249"/>
        <v>-3740.1392111368914</v>
      </c>
      <c r="BT401" s="5">
        <f t="shared" si="250"/>
        <v>0</v>
      </c>
      <c r="BU401" s="5">
        <f t="shared" si="251"/>
        <v>6528.1467345965157</v>
      </c>
      <c r="BV401" s="5">
        <f t="shared" si="252"/>
        <v>-14722.065406675014</v>
      </c>
      <c r="BW401" s="5">
        <f t="shared" si="253"/>
        <v>3076.6645171308119</v>
      </c>
      <c r="BX401" s="5">
        <f t="shared" si="254"/>
        <v>19893.597720641777</v>
      </c>
      <c r="BY401" s="5">
        <f t="shared" si="255"/>
        <v>59680.793161925336</v>
      </c>
      <c r="BZ401" s="5">
        <f>INDEX('Team forecast'!$R$3:$BH$26,MATCH($B401,'Team forecast'!$B$3:$B$26,0),MATCH(BZ$1,'Team forecast'!$R$2:$BH$2,0))*($BX401-(BY401+CH401)*0.01)</f>
        <v>-346.52508420776263</v>
      </c>
      <c r="CA401" s="5">
        <f>INDEX('Team forecast'!$R$3:$BH$26,MATCH($B401,'Team forecast'!$B$3:$B$26,0),MATCH(CA$1,'Team forecast'!$R$2:$BH$2,0))*($BX401-(BY401+BX401+CH401)*0.01)</f>
        <v>-218.35508968020835</v>
      </c>
      <c r="CB401" s="5">
        <f>INDEX('Team forecast'!$R$3:$BH$26,MATCH($B401,'Team forecast'!$B$3:$B$26,0),MATCH(CB$1,'Team forecast'!$R$2:$BH$2,0))*($BX401-(BY401+BX401*2+CH401)*0.01)</f>
        <v>-128.74644164697264</v>
      </c>
      <c r="CC401" s="5">
        <f>INDEX('Team forecast'!$R$3:$BH$26,MATCH($B401,'Team forecast'!$B$3:$B$26,0),MATCH(CC$1,'Team forecast'!$R$2:$BH$2,0))*($BX401-(BY401+BX401*3+CH401)*0.01)</f>
        <v>-69.143139574213151</v>
      </c>
      <c r="CD401" s="5">
        <f>+AK401+BD401*Cockpit!$C$3+BW401*Cockpit!$C$3^2+BZ401*Cockpit!$C$3^3+CA401*Cockpit!$C$3^4+CB401*Cockpit!$C$3^5+CC401*Cockpit!$C$3^6</f>
        <v>48280.539472167555</v>
      </c>
      <c r="CE401" s="5"/>
      <c r="CF401" s="5"/>
      <c r="CG401" s="5">
        <v>0</v>
      </c>
      <c r="CH401" s="5">
        <f t="shared" si="256"/>
        <v>2000000</v>
      </c>
      <c r="CI401" s="5">
        <f t="shared" si="257"/>
        <v>2000000</v>
      </c>
      <c r="CJ401" s="1">
        <f t="shared" si="258"/>
        <v>2.9840396580962669E-2</v>
      </c>
      <c r="CK401" s="5">
        <f>RANK(BY401,$BY$2:$BY$623)+COUNTIF($BY$2:$BY401,$BY401)-1</f>
        <v>270</v>
      </c>
      <c r="CL401" s="5">
        <f>RANK(CJ401,$CJ$2:$CJ$623)+COUNTIF($CJ$2:$CJ401,$CJ401)-1</f>
        <v>146</v>
      </c>
    </row>
    <row r="402" spans="1:90">
      <c r="A402" t="str">
        <f>Players!P403</f>
        <v>Jonny J. Williams</v>
      </c>
      <c r="B402" t="str">
        <f>Players!G403</f>
        <v>Wales</v>
      </c>
      <c r="C402" t="str">
        <f>Players!AB403</f>
        <v>Midfield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3000000</v>
      </c>
      <c r="H402" s="16">
        <f>INDEX('Team forecast'!$B$2:$AO$26,MATCH('Master data'!$B402,'Team forecast'!$B$2:$B$26,0),MATCH('Master data'!H$1,'Team forecast'!$B$2:$AO$2,0))</f>
        <v>0.87435064565555498</v>
      </c>
      <c r="I402" s="16">
        <f>INDEX('Team forecast'!$B$2:$AO$26,MATCH('Master data'!$B402,'Team forecast'!$B$2:$B$26,0),MATCH('Master data'!I$1,'Team forecast'!$B$2:$AO$2,0))</f>
        <v>1.162032718107336</v>
      </c>
      <c r="J402" s="16">
        <f>INDEX('Team forecast'!$B$2:$AO$26,MATCH('Master data'!$B402,'Team forecast'!$B$2:$B$26,0),MATCH('Master data'!J$1,'Team forecast'!$B$2:$AO$2,0))</f>
        <v>0.31284959906121651</v>
      </c>
      <c r="K402" s="16">
        <f>INDEX('Team forecast'!$B$2:$AO$26,MATCH('Master data'!$B402,'Team forecast'!$B$2:$B$26,0),MATCH('Master data'!K$1,'Team forecast'!$B$2:$AO$2,0))</f>
        <v>2.6542787457400774</v>
      </c>
      <c r="L402" s="16">
        <f>INDEX('Team forecast'!$B$2:$AO$26,MATCH('Master data'!$B402,'Team forecast'!$B$2:$B$26,0),MATCH('Master data'!L$1,'Team forecast'!$B$2:$AO$2,0))</f>
        <v>3.0401288408862195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0.11</v>
      </c>
      <c r="R402" s="2">
        <f>Players!BR403</f>
        <v>0.06</v>
      </c>
      <c r="S402" s="2">
        <f t="shared" si="217"/>
        <v>0.87435064565555498</v>
      </c>
      <c r="T402" s="2">
        <f t="shared" si="218"/>
        <v>1.162032718107336</v>
      </c>
      <c r="U402" s="16">
        <f>INDEX('Team forecast'!$B$2:$AO$26,MATCH('Master data'!$B402,'Team forecast'!$B$2:$B$26,0),MATCH('Master data'!U$1,'Team forecast'!$B$2:$AO$2,0))</f>
        <v>0.2607079992176804</v>
      </c>
      <c r="V402" s="16">
        <f>INDEX('Team forecast'!$B$2:$AO$26,MATCH('Master data'!$B402,'Team forecast'!$B$2:$B$26,0),MATCH('Master data'!V$1,'Team forecast'!$B$2:$AO$2,0))</f>
        <v>0.30275767651085472</v>
      </c>
      <c r="W402" s="16">
        <f>INDEX('Team forecast'!$B$2:$AO$26,MATCH('Master data'!$B402,'Team forecast'!$B$2:$B$26,0),MATCH('Master data'!W$1,'Team forecast'!$B$2:$AO$2,0))</f>
        <v>0.43653432427146488</v>
      </c>
      <c r="X402" s="5">
        <f t="shared" si="219"/>
        <v>-5000</v>
      </c>
      <c r="Y402" s="5">
        <f t="shared" si="220"/>
        <v>0</v>
      </c>
      <c r="Z402" s="5">
        <f t="shared" si="221"/>
        <v>0</v>
      </c>
      <c r="AA402" s="5">
        <f t="shared" si="222"/>
        <v>0</v>
      </c>
      <c r="AB402" s="5">
        <f t="shared" si="223"/>
        <v>0</v>
      </c>
      <c r="AC402" s="5">
        <f t="shared" si="224"/>
        <v>0</v>
      </c>
      <c r="AD402" s="5">
        <f t="shared" si="225"/>
        <v>0</v>
      </c>
      <c r="AE402" s="5">
        <f t="shared" si="226"/>
        <v>0</v>
      </c>
      <c r="AF402" s="5">
        <f t="shared" si="227"/>
        <v>0</v>
      </c>
      <c r="AG402" s="5">
        <f t="shared" si="228"/>
        <v>0</v>
      </c>
      <c r="AH402" s="5">
        <f t="shared" si="229"/>
        <v>0</v>
      </c>
      <c r="AI402" s="5">
        <f t="shared" si="230"/>
        <v>0</v>
      </c>
      <c r="AJ402" s="5">
        <f t="shared" si="231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1.0279287794501248</v>
      </c>
      <c r="AM402" s="16">
        <f>INDEX('Team forecast'!$B$2:$AO$26,MATCH('Master data'!$B402,'Team forecast'!$B$2:$B$26,0),MATCH('Master data'!AM$1,'Team forecast'!$B$2:$AO$2,0))</f>
        <v>1.2847203648825669</v>
      </c>
      <c r="AN402" s="16">
        <f>INDEX('Team forecast'!$B$2:$AO$26,MATCH('Master data'!$B402,'Team forecast'!$B$2:$B$26,0),MATCH('Master data'!AN$1,'Team forecast'!$B$2:$AO$2,0))</f>
        <v>0.27672795566788022</v>
      </c>
      <c r="AO402" s="16">
        <f>INDEX('Team forecast'!$B$2:$AO$26,MATCH('Master data'!$B402,'Team forecast'!$B$2:$B$26,0),MATCH('Master data'!AO$1,'Team forecast'!$B$2:$AO$2,0))</f>
        <v>3.1204980804735931</v>
      </c>
      <c r="AP402" s="16">
        <f>INDEX('Team forecast'!$B$2:$AO$26,MATCH('Master data'!$B402,'Team forecast'!$B$2:$B$26,0),MATCH('Master data'!AP$1,'Team forecast'!$B$2:$AO$2,0))</f>
        <v>3.3611062519089856</v>
      </c>
      <c r="AQ402" s="5">
        <f t="shared" si="232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233"/>
        <v>0</v>
      </c>
      <c r="AV402" s="5">
        <f t="shared" si="234"/>
        <v>0</v>
      </c>
      <c r="AW402" s="5">
        <f t="shared" si="235"/>
        <v>0</v>
      </c>
      <c r="AX402" s="5">
        <f t="shared" si="236"/>
        <v>0</v>
      </c>
      <c r="AY402" s="5">
        <f t="shared" si="237"/>
        <v>0</v>
      </c>
      <c r="AZ402" s="5">
        <f t="shared" si="238"/>
        <v>0</v>
      </c>
      <c r="BA402" s="5">
        <f t="shared" si="239"/>
        <v>0</v>
      </c>
      <c r="BB402" s="5">
        <f t="shared" si="240"/>
        <v>0</v>
      </c>
      <c r="BC402" s="5">
        <f t="shared" si="241"/>
        <v>0</v>
      </c>
      <c r="BD402" s="5">
        <f t="shared" si="242"/>
        <v>-5000</v>
      </c>
      <c r="BE402" s="16">
        <f>INDEX('Team forecast'!$B$2:$AO$26,MATCH('Master data'!$B402,'Team forecast'!$B$2:$B$26,0),MATCH('Master data'!BE$1,'Team forecast'!$B$2:$AO$2,0))</f>
        <v>0.65281467345965161</v>
      </c>
      <c r="BF402" s="16">
        <f>INDEX('Team forecast'!$B$2:$AO$26,MATCH('Master data'!$B402,'Team forecast'!$B$2:$B$26,0),MATCH('Master data'!BF$1,'Team forecast'!$B$2:$AO$2,0))</f>
        <v>1.8402581758343768</v>
      </c>
      <c r="BG402" s="16">
        <f>INDEX('Team forecast'!$B$2:$AO$26,MATCH('Master data'!$B402,'Team forecast'!$B$2:$B$26,0),MATCH('Master data'!BG$1,'Team forecast'!$B$2:$AO$2,0))</f>
        <v>0.15877642857793531</v>
      </c>
      <c r="BH402" s="16">
        <f>INDEX('Team forecast'!$B$2:$AO$26,MATCH('Master data'!$B402,'Team forecast'!$B$2:$B$26,0),MATCH('Master data'!BH$1,'Team forecast'!$B$2:$AO$2,0))</f>
        <v>1.9817588301453708</v>
      </c>
      <c r="BI402" s="16">
        <f>INDEX('Team forecast'!$B$2:$AO$26,MATCH('Master data'!$B402,'Team forecast'!$B$2:$B$26,0),MATCH('Master data'!BI$1,'Team forecast'!$B$2:$AO$2,0))</f>
        <v>4.8145132816423697</v>
      </c>
      <c r="BJ402" s="5">
        <f t="shared" si="243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244"/>
        <v>0</v>
      </c>
      <c r="BO402" s="5">
        <f t="shared" si="245"/>
        <v>0</v>
      </c>
      <c r="BP402" s="5">
        <f t="shared" si="246"/>
        <v>0</v>
      </c>
      <c r="BQ402" s="5">
        <f t="shared" si="247"/>
        <v>0</v>
      </c>
      <c r="BR402" s="5">
        <f t="shared" si="248"/>
        <v>0</v>
      </c>
      <c r="BS402" s="5">
        <f t="shared" si="249"/>
        <v>0</v>
      </c>
      <c r="BT402" s="5">
        <f t="shared" si="250"/>
        <v>0</v>
      </c>
      <c r="BU402" s="5">
        <f t="shared" si="251"/>
        <v>0</v>
      </c>
      <c r="BV402" s="5">
        <f t="shared" si="252"/>
        <v>0</v>
      </c>
      <c r="BW402" s="5">
        <f t="shared" si="253"/>
        <v>-5000</v>
      </c>
      <c r="BX402" s="5">
        <f t="shared" si="254"/>
        <v>-5000</v>
      </c>
      <c r="BY402" s="5">
        <f t="shared" si="255"/>
        <v>-15000</v>
      </c>
      <c r="BZ402" s="5">
        <f>INDEX('Team forecast'!$R$3:$BH$26,MATCH($B402,'Team forecast'!$B$3:$B$26,0),MATCH(BZ$1,'Team forecast'!$R$2:$BH$2,0))*($BX402-(BY402+CH402)*0.01)</f>
        <v>-17173.24207771962</v>
      </c>
      <c r="CA402" s="5">
        <f>INDEX('Team forecast'!$R$3:$BH$26,MATCH($B402,'Team forecast'!$B$3:$B$26,0),MATCH(CA$1,'Team forecast'!$R$2:$BH$2,0))*($BX402-(BY402+BX402+CH402)*0.01)</f>
        <v>-8422.977584340586</v>
      </c>
      <c r="CB402" s="5">
        <f>INDEX('Team forecast'!$R$3:$BH$26,MATCH($B402,'Team forecast'!$B$3:$B$26,0),MATCH(CB$1,'Team forecast'!$R$2:$BH$2,0))*($BX402-(BY402+BX402*2+CH402)*0.01)</f>
        <v>-4063.2197921817929</v>
      </c>
      <c r="CC402" s="5">
        <f>INDEX('Team forecast'!$R$3:$BH$26,MATCH($B402,'Team forecast'!$B$3:$B$26,0),MATCH(CC$1,'Team forecast'!$R$2:$BH$2,0))*($BX402-(BY402+BX402*3+CH402)*0.01)</f>
        <v>-1845.5641999216737</v>
      </c>
      <c r="CD402" s="5">
        <f>+AK402+BD402*Cockpit!$C$3+BW402*Cockpit!$C$3^2+BZ402*Cockpit!$C$3^3+CA402*Cockpit!$C$3^4+CB402*Cockpit!$C$3^5+CC402*Cockpit!$C$3^6</f>
        <v>-18004.820671847629</v>
      </c>
      <c r="CE402" s="5"/>
      <c r="CF402" s="5"/>
      <c r="CG402" s="5">
        <v>0</v>
      </c>
      <c r="CH402" s="5">
        <f t="shared" si="256"/>
        <v>3000000</v>
      </c>
      <c r="CI402" s="5">
        <f t="shared" si="257"/>
        <v>3000000</v>
      </c>
      <c r="CJ402" s="1">
        <f t="shared" si="258"/>
        <v>-5.0000000000000001E-3</v>
      </c>
      <c r="CK402" s="5">
        <f>RANK(BY402,$BY$2:$BY$623)+COUNTIF($BY$2:$BY402,$BY402)-1</f>
        <v>541</v>
      </c>
      <c r="CL402" s="5">
        <f>RANK(CJ402,$CJ$2:$CJ$623)+COUNTIF($CJ$2:$CJ402,$CJ402)-1</f>
        <v>513</v>
      </c>
    </row>
    <row r="403" spans="1:90">
      <c r="A403" t="str">
        <f>Players!P404</f>
        <v>Tyler T. Roberts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2000000</v>
      </c>
      <c r="H403" s="16">
        <f>INDEX('Team forecast'!$B$2:$AO$26,MATCH('Master data'!$B403,'Team forecast'!$B$2:$B$26,0),MATCH('Master data'!H$1,'Team forecast'!$B$2:$AO$2,0))</f>
        <v>0.87435064565555498</v>
      </c>
      <c r="I403" s="16">
        <f>INDEX('Team forecast'!$B$2:$AO$26,MATCH('Master data'!$B403,'Team forecast'!$B$2:$B$26,0),MATCH('Master data'!I$1,'Team forecast'!$B$2:$AO$2,0))</f>
        <v>1.162032718107336</v>
      </c>
      <c r="J403" s="16">
        <f>INDEX('Team forecast'!$B$2:$AO$26,MATCH('Master data'!$B403,'Team forecast'!$B$2:$B$26,0),MATCH('Master data'!J$1,'Team forecast'!$B$2:$AO$2,0))</f>
        <v>0.31284959906121651</v>
      </c>
      <c r="K403" s="16">
        <f>INDEX('Team forecast'!$B$2:$AO$26,MATCH('Master data'!$B403,'Team forecast'!$B$2:$B$26,0),MATCH('Master data'!K$1,'Team forecast'!$B$2:$AO$2,0))</f>
        <v>2.6542787457400774</v>
      </c>
      <c r="L403" s="16">
        <f>INDEX('Team forecast'!$B$2:$AO$26,MATCH('Master data'!$B403,'Team forecast'!$B$2:$B$26,0),MATCH('Master data'!L$1,'Team forecast'!$B$2:$AO$2,0))</f>
        <v>3.0401288408862195</v>
      </c>
      <c r="M403">
        <f>IF(Players!BC404=1,95,0)</f>
        <v>0</v>
      </c>
      <c r="N403" s="2">
        <f>Players!BN404</f>
        <v>0</v>
      </c>
      <c r="O403" s="2">
        <f>Players!BO404</f>
        <v>0</v>
      </c>
      <c r="P403" s="2">
        <f>Players!BP404</f>
        <v>0</v>
      </c>
      <c r="Q403" s="2">
        <f>Players!BQ404</f>
        <v>0.10089686098654709</v>
      </c>
      <c r="R403" s="2">
        <f>Players!BR404</f>
        <v>0</v>
      </c>
      <c r="S403" s="2">
        <f t="shared" si="217"/>
        <v>0.87435064565555498</v>
      </c>
      <c r="T403" s="2">
        <f t="shared" si="218"/>
        <v>1.162032718107336</v>
      </c>
      <c r="U403" s="16">
        <f>INDEX('Team forecast'!$B$2:$AO$26,MATCH('Master data'!$B403,'Team forecast'!$B$2:$B$26,0),MATCH('Master data'!U$1,'Team forecast'!$B$2:$AO$2,0))</f>
        <v>0.2607079992176804</v>
      </c>
      <c r="V403" s="16">
        <f>INDEX('Team forecast'!$B$2:$AO$26,MATCH('Master data'!$B403,'Team forecast'!$B$2:$B$26,0),MATCH('Master data'!V$1,'Team forecast'!$B$2:$AO$2,0))</f>
        <v>0.30275767651085472</v>
      </c>
      <c r="W403" s="16">
        <f>INDEX('Team forecast'!$B$2:$AO$26,MATCH('Master data'!$B403,'Team forecast'!$B$2:$B$26,0),MATCH('Master data'!W$1,'Team forecast'!$B$2:$AO$2,0))</f>
        <v>0.43653432427146488</v>
      </c>
      <c r="X403" s="5">
        <f t="shared" si="219"/>
        <v>-5000</v>
      </c>
      <c r="Y403" s="5">
        <f t="shared" si="220"/>
        <v>0</v>
      </c>
      <c r="Z403" s="5">
        <f t="shared" si="221"/>
        <v>0</v>
      </c>
      <c r="AA403" s="5">
        <f t="shared" si="222"/>
        <v>0</v>
      </c>
      <c r="AB403" s="5">
        <f t="shared" si="223"/>
        <v>0</v>
      </c>
      <c r="AC403" s="5">
        <f t="shared" si="224"/>
        <v>0</v>
      </c>
      <c r="AD403" s="5">
        <f t="shared" si="225"/>
        <v>0</v>
      </c>
      <c r="AE403" s="5">
        <f t="shared" si="226"/>
        <v>0</v>
      </c>
      <c r="AF403" s="5">
        <f t="shared" si="227"/>
        <v>0</v>
      </c>
      <c r="AG403" s="5">
        <f t="shared" si="228"/>
        <v>0</v>
      </c>
      <c r="AH403" s="5">
        <f t="shared" si="229"/>
        <v>0</v>
      </c>
      <c r="AI403" s="5">
        <f t="shared" si="230"/>
        <v>0</v>
      </c>
      <c r="AJ403" s="5">
        <f t="shared" si="231"/>
        <v>0</v>
      </c>
      <c r="AK403" s="5">
        <f>IFERROR(SUM(X403:AJ403),-5000)*((Cockpit!$C$3)^0)</f>
        <v>-5000</v>
      </c>
      <c r="AL403" s="16">
        <f>INDEX('Team forecast'!$B$2:$AO$26,MATCH('Master data'!$B403,'Team forecast'!$B$2:$B$26,0),MATCH('Master data'!AL$1,'Team forecast'!$B$2:$AO$2,0))</f>
        <v>1.0279287794501248</v>
      </c>
      <c r="AM403" s="16">
        <f>INDEX('Team forecast'!$B$2:$AO$26,MATCH('Master data'!$B403,'Team forecast'!$B$2:$B$26,0),MATCH('Master data'!AM$1,'Team forecast'!$B$2:$AO$2,0))</f>
        <v>1.2847203648825669</v>
      </c>
      <c r="AN403" s="16">
        <f>INDEX('Team forecast'!$B$2:$AO$26,MATCH('Master data'!$B403,'Team forecast'!$B$2:$B$26,0),MATCH('Master data'!AN$1,'Team forecast'!$B$2:$AO$2,0))</f>
        <v>0.27672795566788022</v>
      </c>
      <c r="AO403" s="16">
        <f>INDEX('Team forecast'!$B$2:$AO$26,MATCH('Master data'!$B403,'Team forecast'!$B$2:$B$26,0),MATCH('Master data'!AO$1,'Team forecast'!$B$2:$AO$2,0))</f>
        <v>3.1204980804735931</v>
      </c>
      <c r="AP403" s="16">
        <f>INDEX('Team forecast'!$B$2:$AO$26,MATCH('Master data'!$B403,'Team forecast'!$B$2:$B$26,0),MATCH('Master data'!AP$1,'Team forecast'!$B$2:$AO$2,0))</f>
        <v>3.3611062519089856</v>
      </c>
      <c r="AQ403" s="5">
        <f t="shared" si="232"/>
        <v>-5000</v>
      </c>
      <c r="AR403" s="5">
        <f>INDEX('Team forecast'!$B$2:$AO$26,MATCH('Master data'!$B403,'Team forecast'!$B$2:$B$26,0),MATCH('Master data'!AR$1,'Team forecast'!$B$2:$AO$2,0))*IF(X403&gt;0,25000,0)</f>
        <v>0</v>
      </c>
      <c r="AS403" s="16">
        <f>INDEX('Team forecast'!$B$2:$AO$26,MATCH('Master data'!$B403,'Team forecast'!$B$2:$B$26,0),MATCH('Master data'!AS$1,'Team forecast'!$B$2:$AO$2,0))*IF(X403&gt;0,5000,0)</f>
        <v>0</v>
      </c>
      <c r="AT403" s="16">
        <f>INDEX('Team forecast'!$B$2:$AO$26,MATCH('Master data'!$B403,'Team forecast'!$B$2:$B$26,0),MATCH('Master data'!AT$1,'Team forecast'!$B$2:$AO$2,0))*IF(X403&gt;0,-15000,0)</f>
        <v>0</v>
      </c>
      <c r="AU403" s="5">
        <f t="shared" si="233"/>
        <v>0</v>
      </c>
      <c r="AV403" s="5">
        <f t="shared" si="234"/>
        <v>0</v>
      </c>
      <c r="AW403" s="5">
        <f t="shared" si="235"/>
        <v>0</v>
      </c>
      <c r="AX403" s="5">
        <f t="shared" si="236"/>
        <v>0</v>
      </c>
      <c r="AY403" s="5">
        <f t="shared" si="237"/>
        <v>0</v>
      </c>
      <c r="AZ403" s="5">
        <f t="shared" si="238"/>
        <v>0</v>
      </c>
      <c r="BA403" s="5">
        <f t="shared" si="239"/>
        <v>0</v>
      </c>
      <c r="BB403" s="5">
        <f t="shared" si="240"/>
        <v>0</v>
      </c>
      <c r="BC403" s="5">
        <f t="shared" si="241"/>
        <v>0</v>
      </c>
      <c r="BD403" s="5">
        <f t="shared" si="242"/>
        <v>-5000</v>
      </c>
      <c r="BE403" s="16">
        <f>INDEX('Team forecast'!$B$2:$AO$26,MATCH('Master data'!$B403,'Team forecast'!$B$2:$B$26,0),MATCH('Master data'!BE$1,'Team forecast'!$B$2:$AO$2,0))</f>
        <v>0.65281467345965161</v>
      </c>
      <c r="BF403" s="16">
        <f>INDEX('Team forecast'!$B$2:$AO$26,MATCH('Master data'!$B403,'Team forecast'!$B$2:$B$26,0),MATCH('Master data'!BF$1,'Team forecast'!$B$2:$AO$2,0))</f>
        <v>1.8402581758343768</v>
      </c>
      <c r="BG403" s="16">
        <f>INDEX('Team forecast'!$B$2:$AO$26,MATCH('Master data'!$B403,'Team forecast'!$B$2:$B$26,0),MATCH('Master data'!BG$1,'Team forecast'!$B$2:$AO$2,0))</f>
        <v>0.15877642857793531</v>
      </c>
      <c r="BH403" s="16">
        <f>INDEX('Team forecast'!$B$2:$AO$26,MATCH('Master data'!$B403,'Team forecast'!$B$2:$B$26,0),MATCH('Master data'!BH$1,'Team forecast'!$B$2:$AO$2,0))</f>
        <v>1.9817588301453708</v>
      </c>
      <c r="BI403" s="16">
        <f>INDEX('Team forecast'!$B$2:$AO$26,MATCH('Master data'!$B403,'Team forecast'!$B$2:$B$26,0),MATCH('Master data'!BI$1,'Team forecast'!$B$2:$AO$2,0))</f>
        <v>4.8145132816423697</v>
      </c>
      <c r="BJ403" s="5">
        <f t="shared" si="243"/>
        <v>-5000</v>
      </c>
      <c r="BK403" s="5">
        <f>INDEX('Team forecast'!$R$3:$BH$26,MATCH($B403,'Team forecast'!$B$3:$B$26,0),MATCH(BK$1,'Team forecast'!$R$2:$BH$2,0))*IF($X403&gt;0,25000,0)</f>
        <v>0</v>
      </c>
      <c r="BL403" s="5">
        <f>INDEX('Team forecast'!$R$3:$BH$26,MATCH($B403,'Team forecast'!$B$3:$B$26,0),MATCH(BL$1,'Team forecast'!$R$2:$BH$2,0))*IF($X403&gt;0,5000,0)</f>
        <v>0</v>
      </c>
      <c r="BM403" s="5">
        <f>INDEX('Team forecast'!$R$3:$BH$26,MATCH($B403,'Team forecast'!$B$3:$B$26,0),MATCH(BM$1,'Team forecast'!$R$2:$BH$2,0))*IF($X403&gt;0,-15000,0)</f>
        <v>0</v>
      </c>
      <c r="BN403" s="5">
        <f t="shared" si="244"/>
        <v>0</v>
      </c>
      <c r="BO403" s="5">
        <f t="shared" si="245"/>
        <v>0</v>
      </c>
      <c r="BP403" s="5">
        <f t="shared" si="246"/>
        <v>0</v>
      </c>
      <c r="BQ403" s="5">
        <f t="shared" si="247"/>
        <v>0</v>
      </c>
      <c r="BR403" s="5">
        <f t="shared" si="248"/>
        <v>0</v>
      </c>
      <c r="BS403" s="5">
        <f t="shared" si="249"/>
        <v>0</v>
      </c>
      <c r="BT403" s="5">
        <f t="shared" si="250"/>
        <v>0</v>
      </c>
      <c r="BU403" s="5">
        <f t="shared" si="251"/>
        <v>0</v>
      </c>
      <c r="BV403" s="5">
        <f t="shared" si="252"/>
        <v>0</v>
      </c>
      <c r="BW403" s="5">
        <f t="shared" si="253"/>
        <v>-5000</v>
      </c>
      <c r="BX403" s="5">
        <f t="shared" si="254"/>
        <v>-5000</v>
      </c>
      <c r="BY403" s="5">
        <f t="shared" si="255"/>
        <v>-15000</v>
      </c>
      <c r="BZ403" s="5">
        <f>INDEX('Team forecast'!$R$3:$BH$26,MATCH($B403,'Team forecast'!$B$3:$B$26,0),MATCH(BZ$1,'Team forecast'!$R$2:$BH$2,0))*($BX403-(BY403+CH403)*0.01)</f>
        <v>-12245.482514528911</v>
      </c>
      <c r="CA403" s="5">
        <f>INDEX('Team forecast'!$R$3:$BH$26,MATCH($B403,'Team forecast'!$B$3:$B$26,0),MATCH(CA$1,'Team forecast'!$R$2:$BH$2,0))*($BX403-(BY403+BX403+CH403)*0.01)</f>
        <v>-6002.5817267714519</v>
      </c>
      <c r="CB403" s="5">
        <f>INDEX('Team forecast'!$R$3:$BH$26,MATCH($B403,'Team forecast'!$B$3:$B$26,0),MATCH(CB$1,'Team forecast'!$R$2:$BH$2,0))*($BX403-(BY403+BX403*2+CH403)*0.01)</f>
        <v>-2893.9479095395504</v>
      </c>
      <c r="CC403" s="5">
        <f>INDEX('Team forecast'!$R$3:$BH$26,MATCH($B403,'Team forecast'!$B$3:$B$26,0),MATCH(CC$1,'Team forecast'!$R$2:$BH$2,0))*($BX403-(BY403+BX403*3+CH403)*0.01)</f>
        <v>-1313.7013180998656</v>
      </c>
      <c r="CD403" s="5">
        <f>+AK403+BD403*Cockpit!$C$3+BW403*Cockpit!$C$3^2+BZ403*Cockpit!$C$3^3+CA403*Cockpit!$C$3^4+CB403*Cockpit!$C$3^5+CC403*Cockpit!$C$3^6</f>
        <v>-15865.969650847081</v>
      </c>
      <c r="CE403" s="5"/>
      <c r="CF403" s="5"/>
      <c r="CG403" s="5">
        <v>0</v>
      </c>
      <c r="CH403" s="5">
        <f t="shared" si="256"/>
        <v>2000000</v>
      </c>
      <c r="CI403" s="5">
        <f t="shared" si="257"/>
        <v>2000000</v>
      </c>
      <c r="CJ403" s="1">
        <f t="shared" si="258"/>
        <v>-7.4999999999999997E-3</v>
      </c>
      <c r="CK403" s="5">
        <f>RANK(BY403,$BY$2:$BY$623)+COUNTIF($BY$2:$BY403,$BY403)-1</f>
        <v>542</v>
      </c>
      <c r="CL403" s="5">
        <f>RANK(CJ403,$CJ$2:$CJ$623)+COUNTIF($CJ$2:$CJ403,$CJ403)-1</f>
        <v>590</v>
      </c>
    </row>
    <row r="404" spans="1:90">
      <c r="A404" t="str">
        <f>Players!P405</f>
        <v>Kieffer Moore</v>
      </c>
      <c r="B404" t="str">
        <f>Players!G405</f>
        <v>Wales</v>
      </c>
      <c r="C404" t="str">
        <f>Players!AB405</f>
        <v>Striker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3500000</v>
      </c>
      <c r="H404" s="16">
        <f>INDEX('Team forecast'!$B$2:$AO$26,MATCH('Master data'!$B404,'Team forecast'!$B$2:$B$26,0),MATCH('Master data'!H$1,'Team forecast'!$B$2:$AO$2,0))</f>
        <v>0.87435064565555498</v>
      </c>
      <c r="I404" s="16">
        <f>INDEX('Team forecast'!$B$2:$AO$26,MATCH('Master data'!$B404,'Team forecast'!$B$2:$B$26,0),MATCH('Master data'!I$1,'Team forecast'!$B$2:$AO$2,0))</f>
        <v>1.162032718107336</v>
      </c>
      <c r="J404" s="16">
        <f>INDEX('Team forecast'!$B$2:$AO$26,MATCH('Master data'!$B404,'Team forecast'!$B$2:$B$26,0),MATCH('Master data'!J$1,'Team forecast'!$B$2:$AO$2,0))</f>
        <v>0.31284959906121651</v>
      </c>
      <c r="K404" s="16">
        <f>INDEX('Team forecast'!$B$2:$AO$26,MATCH('Master data'!$B404,'Team forecast'!$B$2:$B$26,0),MATCH('Master data'!K$1,'Team forecast'!$B$2:$AO$2,0))</f>
        <v>2.6542787457400774</v>
      </c>
      <c r="L404" s="16">
        <f>INDEX('Team forecast'!$B$2:$AO$26,MATCH('Master data'!$B404,'Team forecast'!$B$2:$B$26,0),MATCH('Master data'!L$1,'Team forecast'!$B$2:$AO$2,0))</f>
        <v>3.0401288408862195</v>
      </c>
      <c r="M404">
        <f>IF(Players!BC405=1,95,0)</f>
        <v>0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0.18647540983606559</v>
      </c>
      <c r="R404" s="2">
        <f>Players!BR405</f>
        <v>0</v>
      </c>
      <c r="S404" s="2">
        <f t="shared" si="217"/>
        <v>0.87435064565555498</v>
      </c>
      <c r="T404" s="2">
        <f t="shared" si="218"/>
        <v>1.162032718107336</v>
      </c>
      <c r="U404" s="16">
        <f>INDEX('Team forecast'!$B$2:$AO$26,MATCH('Master data'!$B404,'Team forecast'!$B$2:$B$26,0),MATCH('Master data'!U$1,'Team forecast'!$B$2:$AO$2,0))</f>
        <v>0.2607079992176804</v>
      </c>
      <c r="V404" s="16">
        <f>INDEX('Team forecast'!$B$2:$AO$26,MATCH('Master data'!$B404,'Team forecast'!$B$2:$B$26,0),MATCH('Master data'!V$1,'Team forecast'!$B$2:$AO$2,0))</f>
        <v>0.30275767651085472</v>
      </c>
      <c r="W404" s="16">
        <f>INDEX('Team forecast'!$B$2:$AO$26,MATCH('Master data'!$B404,'Team forecast'!$B$2:$B$26,0),MATCH('Master data'!W$1,'Team forecast'!$B$2:$AO$2,0))</f>
        <v>0.43653432427146488</v>
      </c>
      <c r="X404" s="5">
        <f t="shared" si="219"/>
        <v>-5000</v>
      </c>
      <c r="Y404" s="5">
        <f t="shared" si="220"/>
        <v>0</v>
      </c>
      <c r="Z404" s="5">
        <f t="shared" si="221"/>
        <v>0</v>
      </c>
      <c r="AA404" s="5">
        <f t="shared" si="222"/>
        <v>0</v>
      </c>
      <c r="AB404" s="5">
        <f t="shared" si="223"/>
        <v>0</v>
      </c>
      <c r="AC404" s="5">
        <f t="shared" si="224"/>
        <v>0</v>
      </c>
      <c r="AD404" s="5">
        <f t="shared" si="225"/>
        <v>0</v>
      </c>
      <c r="AE404" s="5">
        <f t="shared" si="226"/>
        <v>0</v>
      </c>
      <c r="AF404" s="5">
        <f t="shared" si="227"/>
        <v>0</v>
      </c>
      <c r="AG404" s="5">
        <f t="shared" si="228"/>
        <v>0</v>
      </c>
      <c r="AH404" s="5">
        <f t="shared" si="229"/>
        <v>0</v>
      </c>
      <c r="AI404" s="5">
        <f t="shared" si="230"/>
        <v>0</v>
      </c>
      <c r="AJ404" s="5">
        <f t="shared" si="231"/>
        <v>0</v>
      </c>
      <c r="AK404" s="5">
        <f>IFERROR(SUM(X404:AJ404),-5000)*((Cockpit!$C$3)^0)</f>
        <v>-5000</v>
      </c>
      <c r="AL404" s="16">
        <f>INDEX('Team forecast'!$B$2:$AO$26,MATCH('Master data'!$B404,'Team forecast'!$B$2:$B$26,0),MATCH('Master data'!AL$1,'Team forecast'!$B$2:$AO$2,0))</f>
        <v>1.0279287794501248</v>
      </c>
      <c r="AM404" s="16">
        <f>INDEX('Team forecast'!$B$2:$AO$26,MATCH('Master data'!$B404,'Team forecast'!$B$2:$B$26,0),MATCH('Master data'!AM$1,'Team forecast'!$B$2:$AO$2,0))</f>
        <v>1.2847203648825669</v>
      </c>
      <c r="AN404" s="16">
        <f>INDEX('Team forecast'!$B$2:$AO$26,MATCH('Master data'!$B404,'Team forecast'!$B$2:$B$26,0),MATCH('Master data'!AN$1,'Team forecast'!$B$2:$AO$2,0))</f>
        <v>0.27672795566788022</v>
      </c>
      <c r="AO404" s="16">
        <f>INDEX('Team forecast'!$B$2:$AO$26,MATCH('Master data'!$B404,'Team forecast'!$B$2:$B$26,0),MATCH('Master data'!AO$1,'Team forecast'!$B$2:$AO$2,0))</f>
        <v>3.1204980804735931</v>
      </c>
      <c r="AP404" s="16">
        <f>INDEX('Team forecast'!$B$2:$AO$26,MATCH('Master data'!$B404,'Team forecast'!$B$2:$B$26,0),MATCH('Master data'!AP$1,'Team forecast'!$B$2:$AO$2,0))</f>
        <v>3.3611062519089856</v>
      </c>
      <c r="AQ404" s="5">
        <f t="shared" si="232"/>
        <v>-5000</v>
      </c>
      <c r="AR404" s="5">
        <f>INDEX('Team forecast'!$B$2:$AO$26,MATCH('Master data'!$B404,'Team forecast'!$B$2:$B$26,0),MATCH('Master data'!AR$1,'Team forecast'!$B$2:$AO$2,0))*IF(X404&gt;0,25000,0)</f>
        <v>0</v>
      </c>
      <c r="AS404" s="16">
        <f>INDEX('Team forecast'!$B$2:$AO$26,MATCH('Master data'!$B404,'Team forecast'!$B$2:$B$26,0),MATCH('Master data'!AS$1,'Team forecast'!$B$2:$AO$2,0))*IF(X404&gt;0,5000,0)</f>
        <v>0</v>
      </c>
      <c r="AT404" s="16">
        <f>INDEX('Team forecast'!$B$2:$AO$26,MATCH('Master data'!$B404,'Team forecast'!$B$2:$B$26,0),MATCH('Master data'!AT$1,'Team forecast'!$B$2:$AO$2,0))*IF(X404&gt;0,-15000,0)</f>
        <v>0</v>
      </c>
      <c r="AU404" s="5">
        <f t="shared" si="233"/>
        <v>0</v>
      </c>
      <c r="AV404" s="5">
        <f t="shared" si="234"/>
        <v>0</v>
      </c>
      <c r="AW404" s="5">
        <f t="shared" si="235"/>
        <v>0</v>
      </c>
      <c r="AX404" s="5">
        <f t="shared" si="236"/>
        <v>0</v>
      </c>
      <c r="AY404" s="5">
        <f t="shared" si="237"/>
        <v>0</v>
      </c>
      <c r="AZ404" s="5">
        <f t="shared" si="238"/>
        <v>0</v>
      </c>
      <c r="BA404" s="5">
        <f t="shared" si="239"/>
        <v>0</v>
      </c>
      <c r="BB404" s="5">
        <f t="shared" si="240"/>
        <v>0</v>
      </c>
      <c r="BC404" s="5">
        <f t="shared" si="241"/>
        <v>0</v>
      </c>
      <c r="BD404" s="5">
        <f t="shared" si="242"/>
        <v>-5000</v>
      </c>
      <c r="BE404" s="16">
        <f>INDEX('Team forecast'!$B$2:$AO$26,MATCH('Master data'!$B404,'Team forecast'!$B$2:$B$26,0),MATCH('Master data'!BE$1,'Team forecast'!$B$2:$AO$2,0))</f>
        <v>0.65281467345965161</v>
      </c>
      <c r="BF404" s="16">
        <f>INDEX('Team forecast'!$B$2:$AO$26,MATCH('Master data'!$B404,'Team forecast'!$B$2:$B$26,0),MATCH('Master data'!BF$1,'Team forecast'!$B$2:$AO$2,0))</f>
        <v>1.8402581758343768</v>
      </c>
      <c r="BG404" s="16">
        <f>INDEX('Team forecast'!$B$2:$AO$26,MATCH('Master data'!$B404,'Team forecast'!$B$2:$B$26,0),MATCH('Master data'!BG$1,'Team forecast'!$B$2:$AO$2,0))</f>
        <v>0.15877642857793531</v>
      </c>
      <c r="BH404" s="16">
        <f>INDEX('Team forecast'!$B$2:$AO$26,MATCH('Master data'!$B404,'Team forecast'!$B$2:$B$26,0),MATCH('Master data'!BH$1,'Team forecast'!$B$2:$AO$2,0))</f>
        <v>1.9817588301453708</v>
      </c>
      <c r="BI404" s="16">
        <f>INDEX('Team forecast'!$B$2:$AO$26,MATCH('Master data'!$B404,'Team forecast'!$B$2:$B$26,0),MATCH('Master data'!BI$1,'Team forecast'!$B$2:$AO$2,0))</f>
        <v>4.8145132816423697</v>
      </c>
      <c r="BJ404" s="5">
        <f t="shared" si="243"/>
        <v>-5000</v>
      </c>
      <c r="BK404" s="5">
        <f>INDEX('Team forecast'!$R$3:$BH$26,MATCH($B404,'Team forecast'!$B$3:$B$26,0),MATCH(BK$1,'Team forecast'!$R$2:$BH$2,0))*IF($X404&gt;0,25000,0)</f>
        <v>0</v>
      </c>
      <c r="BL404" s="5">
        <f>INDEX('Team forecast'!$R$3:$BH$26,MATCH($B404,'Team forecast'!$B$3:$B$26,0),MATCH(BL$1,'Team forecast'!$R$2:$BH$2,0))*IF($X404&gt;0,5000,0)</f>
        <v>0</v>
      </c>
      <c r="BM404" s="5">
        <f>INDEX('Team forecast'!$R$3:$BH$26,MATCH($B404,'Team forecast'!$B$3:$B$26,0),MATCH(BM$1,'Team forecast'!$R$2:$BH$2,0))*IF($X404&gt;0,-15000,0)</f>
        <v>0</v>
      </c>
      <c r="BN404" s="5">
        <f t="shared" si="244"/>
        <v>0</v>
      </c>
      <c r="BO404" s="5">
        <f t="shared" si="245"/>
        <v>0</v>
      </c>
      <c r="BP404" s="5">
        <f t="shared" si="246"/>
        <v>0</v>
      </c>
      <c r="BQ404" s="5">
        <f t="shared" si="247"/>
        <v>0</v>
      </c>
      <c r="BR404" s="5">
        <f t="shared" si="248"/>
        <v>0</v>
      </c>
      <c r="BS404" s="5">
        <f t="shared" si="249"/>
        <v>0</v>
      </c>
      <c r="BT404" s="5">
        <f t="shared" si="250"/>
        <v>0</v>
      </c>
      <c r="BU404" s="5">
        <f t="shared" si="251"/>
        <v>0</v>
      </c>
      <c r="BV404" s="5">
        <f t="shared" si="252"/>
        <v>0</v>
      </c>
      <c r="BW404" s="5">
        <f t="shared" si="253"/>
        <v>-5000</v>
      </c>
      <c r="BX404" s="5">
        <f t="shared" si="254"/>
        <v>-5000</v>
      </c>
      <c r="BY404" s="5">
        <f t="shared" si="255"/>
        <v>-15000</v>
      </c>
      <c r="BZ404" s="5">
        <f>INDEX('Team forecast'!$R$3:$BH$26,MATCH($B404,'Team forecast'!$B$3:$B$26,0),MATCH(BZ$1,'Team forecast'!$R$2:$BH$2,0))*($BX404-(BY404+CH404)*0.01)</f>
        <v>-19637.121859314972</v>
      </c>
      <c r="CA404" s="5">
        <f>INDEX('Team forecast'!$R$3:$BH$26,MATCH($B404,'Team forecast'!$B$3:$B$26,0),MATCH(CA$1,'Team forecast'!$R$2:$BH$2,0))*($BX404-(BY404+BX404+CH404)*0.01)</f>
        <v>-9633.1755131251521</v>
      </c>
      <c r="CB404" s="5">
        <f>INDEX('Team forecast'!$R$3:$BH$26,MATCH($B404,'Team forecast'!$B$3:$B$26,0),MATCH(CB$1,'Team forecast'!$R$2:$BH$2,0))*($BX404-(BY404+BX404*2+CH404)*0.01)</f>
        <v>-4647.8557335029145</v>
      </c>
      <c r="CC404" s="5">
        <f>INDEX('Team forecast'!$R$3:$BH$26,MATCH($B404,'Team forecast'!$B$3:$B$26,0),MATCH(CC$1,'Team forecast'!$R$2:$BH$2,0))*($BX404-(BY404+BX404*3+CH404)*0.01)</f>
        <v>-2111.4956408325775</v>
      </c>
      <c r="CD404" s="5">
        <f>+AK404+BD404*Cockpit!$C$3+BW404*Cockpit!$C$3^2+BZ404*Cockpit!$C$3^3+CA404*Cockpit!$C$3^4+CB404*Cockpit!$C$3^5+CC404*Cockpit!$C$3^6</f>
        <v>-19074.246182347903</v>
      </c>
      <c r="CE404" s="5"/>
      <c r="CF404" s="5"/>
      <c r="CG404" s="5">
        <v>0</v>
      </c>
      <c r="CH404" s="5">
        <f t="shared" si="256"/>
        <v>3500000</v>
      </c>
      <c r="CI404" s="5">
        <f t="shared" si="257"/>
        <v>3500000</v>
      </c>
      <c r="CJ404" s="1">
        <f t="shared" si="258"/>
        <v>-4.2857142857142859E-3</v>
      </c>
      <c r="CK404" s="5">
        <f>RANK(BY404,$BY$2:$BY$623)+COUNTIF($BY$2:$BY404,$BY404)-1</f>
        <v>543</v>
      </c>
      <c r="CL404" s="5">
        <f>RANK(CJ404,$CJ$2:$CJ$623)+COUNTIF($CJ$2:$CJ404,$CJ404)-1</f>
        <v>476</v>
      </c>
    </row>
    <row r="405" spans="1:90">
      <c r="A405" t="str">
        <f>Players!P406</f>
        <v>Robin Olsen</v>
      </c>
      <c r="B405" t="str">
        <f>Players!G406</f>
        <v>Sweden</v>
      </c>
      <c r="C405" t="str">
        <f>Players!AB406</f>
        <v>Goalkeeper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4500000</v>
      </c>
      <c r="H405" s="16">
        <f>INDEX('Team forecast'!$B$2:$AO$26,MATCH('Master data'!$B405,'Team forecast'!$B$2:$B$26,0),MATCH('Master data'!H$1,'Team forecast'!$B$2:$AO$2,0))</f>
        <v>0.63639779406972985</v>
      </c>
      <c r="I405" s="16">
        <f>INDEX('Team forecast'!$B$2:$AO$26,MATCH('Master data'!$B405,'Team forecast'!$B$2:$B$26,0),MATCH('Master data'!I$1,'Team forecast'!$B$2:$AO$2,0))</f>
        <v>1.7533592214060363</v>
      </c>
      <c r="J405" s="16">
        <f>INDEX('Team forecast'!$B$2:$AO$26,MATCH('Master data'!$B405,'Team forecast'!$B$2:$B$26,0),MATCH('Master data'!J$1,'Team forecast'!$B$2:$AO$2,0))</f>
        <v>0.1731911776674534</v>
      </c>
      <c r="K405" s="16">
        <f>INDEX('Team forecast'!$B$2:$AO$26,MATCH('Master data'!$B405,'Team forecast'!$B$2:$B$26,0),MATCH('Master data'!K$1,'Team forecast'!$B$2:$AO$2,0))</f>
        <v>2.0682928307266222</v>
      </c>
      <c r="L405" s="16">
        <f>INDEX('Team forecast'!$B$2:$AO$26,MATCH('Master data'!$B405,'Team forecast'!$B$2:$B$26,0),MATCH('Master data'!L$1,'Team forecast'!$B$2:$AO$2,0))</f>
        <v>5.2600776642181089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7.1428571428571425E-2</v>
      </c>
      <c r="R405" s="2">
        <f>Players!BR406</f>
        <v>0</v>
      </c>
      <c r="S405" s="2">
        <f t="shared" si="217"/>
        <v>0.63639779406972985</v>
      </c>
      <c r="T405" s="2">
        <f t="shared" si="218"/>
        <v>1.7533592214060363</v>
      </c>
      <c r="U405" s="16">
        <f>INDEX('Team forecast'!$B$2:$AO$26,MATCH('Master data'!$B405,'Team forecast'!$B$2:$B$26,0),MATCH('Master data'!U$1,'Team forecast'!$B$2:$AO$2,0))</f>
        <v>0.11906893464637421</v>
      </c>
      <c r="V405" s="16">
        <f>INDEX('Team forecast'!$B$2:$AO$26,MATCH('Master data'!$B405,'Team forecast'!$B$2:$B$26,0),MATCH('Master data'!V$1,'Team forecast'!$B$2:$AO$2,0))</f>
        <v>0.20053715308863029</v>
      </c>
      <c r="W405" s="16">
        <f>INDEX('Team forecast'!$B$2:$AO$26,MATCH('Master data'!$B405,'Team forecast'!$B$2:$B$26,0),MATCH('Master data'!W$1,'Team forecast'!$B$2:$AO$2,0))</f>
        <v>0.68039391226499568</v>
      </c>
      <c r="X405" s="5">
        <f t="shared" si="219"/>
        <v>-5000</v>
      </c>
      <c r="Y405" s="5">
        <f t="shared" si="220"/>
        <v>0</v>
      </c>
      <c r="Z405" s="5">
        <f t="shared" si="221"/>
        <v>0</v>
      </c>
      <c r="AA405" s="5">
        <f t="shared" si="222"/>
        <v>0</v>
      </c>
      <c r="AB405" s="5">
        <f t="shared" si="223"/>
        <v>0</v>
      </c>
      <c r="AC405" s="5">
        <f t="shared" si="224"/>
        <v>0</v>
      </c>
      <c r="AD405" s="5">
        <f t="shared" si="225"/>
        <v>0</v>
      </c>
      <c r="AE405" s="5">
        <f t="shared" si="226"/>
        <v>12989.338325059005</v>
      </c>
      <c r="AF405" s="5">
        <f t="shared" si="227"/>
        <v>17533.592214060362</v>
      </c>
      <c r="AG405" s="5">
        <f t="shared" si="228"/>
        <v>0</v>
      </c>
      <c r="AH405" s="5">
        <f t="shared" si="229"/>
        <v>0</v>
      </c>
      <c r="AI405" s="5">
        <f t="shared" si="230"/>
        <v>0</v>
      </c>
      <c r="AJ405" s="5">
        <f t="shared" si="231"/>
        <v>0</v>
      </c>
      <c r="AK405" s="5">
        <f>IFERROR(SUM(X405:AJ405),-5000)*((Cockpit!$C$3)^0)</f>
        <v>25522.930539119367</v>
      </c>
      <c r="AL405" s="16">
        <f>INDEX('Team forecast'!$B$2:$AO$26,MATCH('Master data'!$B405,'Team forecast'!$B$2:$B$26,0),MATCH('Master data'!AL$1,'Team forecast'!$B$2:$AO$2,0))</f>
        <v>1.3852986184856255</v>
      </c>
      <c r="AM405" s="16">
        <f>INDEX('Team forecast'!$B$2:$AO$26,MATCH('Master data'!$B405,'Team forecast'!$B$2:$B$26,0),MATCH('Master data'!AM$1,'Team forecast'!$B$2:$AO$2,0))</f>
        <v>0.80548012323268336</v>
      </c>
      <c r="AN405" s="16">
        <f>INDEX('Team forecast'!$B$2:$AO$26,MATCH('Master data'!$B405,'Team forecast'!$B$2:$B$26,0),MATCH('Master data'!AN$1,'Team forecast'!$B$2:$AO$2,0))</f>
        <v>0.4468733207814955</v>
      </c>
      <c r="AO405" s="16">
        <f>INDEX('Team forecast'!$B$2:$AO$26,MATCH('Master data'!$B405,'Team forecast'!$B$2:$B$26,0),MATCH('Master data'!AO$1,'Team forecast'!$B$2:$AO$2,0))</f>
        <v>4.5022205100782831</v>
      </c>
      <c r="AP405" s="16">
        <f>INDEX('Team forecast'!$B$2:$AO$26,MATCH('Master data'!$B405,'Team forecast'!$B$2:$B$26,0),MATCH('Master data'!AP$1,'Team forecast'!$B$2:$AO$2,0))</f>
        <v>2.4164403696980501</v>
      </c>
      <c r="AQ405" s="5">
        <f t="shared" si="232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233"/>
        <v>0</v>
      </c>
      <c r="AV405" s="5">
        <f t="shared" si="234"/>
        <v>0</v>
      </c>
      <c r="AW405" s="5">
        <f t="shared" si="235"/>
        <v>0</v>
      </c>
      <c r="AX405" s="5">
        <f t="shared" si="236"/>
        <v>33515.499058612164</v>
      </c>
      <c r="AY405" s="5">
        <f t="shared" si="237"/>
        <v>8054.801232326834</v>
      </c>
      <c r="AZ405" s="5">
        <f t="shared" si="238"/>
        <v>0</v>
      </c>
      <c r="BA405" s="5">
        <f t="shared" si="239"/>
        <v>0</v>
      </c>
      <c r="BB405" s="5">
        <f t="shared" si="240"/>
        <v>0</v>
      </c>
      <c r="BC405" s="5">
        <f t="shared" si="241"/>
        <v>0</v>
      </c>
      <c r="BD405" s="5">
        <f t="shared" si="242"/>
        <v>36570.300290938998</v>
      </c>
      <c r="BE405" s="16">
        <f>INDEX('Team forecast'!$B$2:$AO$26,MATCH('Master data'!$B405,'Team forecast'!$B$2:$B$26,0),MATCH('Master data'!BE$1,'Team forecast'!$B$2:$AO$2,0))</f>
        <v>1.2688103238212438</v>
      </c>
      <c r="BF405" s="16">
        <f>INDEX('Team forecast'!$B$2:$AO$26,MATCH('Master data'!$B405,'Team forecast'!$B$2:$B$26,0),MATCH('Master data'!BF$1,'Team forecast'!$B$2:$AO$2,0))</f>
        <v>1.2236898885407743</v>
      </c>
      <c r="BG405" s="16">
        <f>INDEX('Team forecast'!$B$2:$AO$26,MATCH('Master data'!$B405,'Team forecast'!$B$2:$B$26,0),MATCH('Master data'!BG$1,'Team forecast'!$B$2:$AO$2,0))</f>
        <v>0.29414280786478092</v>
      </c>
      <c r="BH405" s="16">
        <f>INDEX('Team forecast'!$B$2:$AO$26,MATCH('Master data'!$B405,'Team forecast'!$B$2:$B$26,0),MATCH('Master data'!BH$1,'Team forecast'!$B$2:$AO$2,0))</f>
        <v>4.1236335524190419</v>
      </c>
      <c r="BI405" s="16">
        <f>INDEX('Team forecast'!$B$2:$AO$26,MATCH('Master data'!$B405,'Team forecast'!$B$2:$B$26,0),MATCH('Master data'!BI$1,'Team forecast'!$B$2:$AO$2,0))</f>
        <v>3.6710696656223227</v>
      </c>
      <c r="BJ405" s="5">
        <f t="shared" si="243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244"/>
        <v>0</v>
      </c>
      <c r="BO405" s="5">
        <f t="shared" si="245"/>
        <v>0</v>
      </c>
      <c r="BP405" s="5">
        <f t="shared" si="246"/>
        <v>0</v>
      </c>
      <c r="BQ405" s="5">
        <f t="shared" si="247"/>
        <v>22060.710589858569</v>
      </c>
      <c r="BR405" s="5">
        <f t="shared" si="248"/>
        <v>12236.898885407742</v>
      </c>
      <c r="BS405" s="5">
        <f t="shared" si="249"/>
        <v>0</v>
      </c>
      <c r="BT405" s="5">
        <f t="shared" si="250"/>
        <v>0</v>
      </c>
      <c r="BU405" s="5">
        <f t="shared" si="251"/>
        <v>0</v>
      </c>
      <c r="BV405" s="5">
        <f t="shared" si="252"/>
        <v>0</v>
      </c>
      <c r="BW405" s="5">
        <f t="shared" si="253"/>
        <v>29297.609475266312</v>
      </c>
      <c r="BX405" s="5">
        <f t="shared" si="254"/>
        <v>30463.613435108226</v>
      </c>
      <c r="BY405" s="5">
        <f t="shared" si="255"/>
        <v>91390.840305324673</v>
      </c>
      <c r="BZ405" s="5">
        <f>INDEX('Team forecast'!$R$3:$BH$26,MATCH($B405,'Team forecast'!$B$3:$B$26,0),MATCH(BZ$1,'Team forecast'!$R$2:$BH$2,0))*($BX405-(BY405+CH405)*0.01)</f>
        <v>-10118.63212204911</v>
      </c>
      <c r="CA405" s="5">
        <f>INDEX('Team forecast'!$R$3:$BH$26,MATCH($B405,'Team forecast'!$B$3:$B$26,0),MATCH(CA$1,'Team forecast'!$R$2:$BH$2,0))*($BX405-(BY405+BX405+CH405)*0.01)</f>
        <v>-5075.2981826331416</v>
      </c>
      <c r="CB405" s="5">
        <f>INDEX('Team forecast'!$R$3:$BH$26,MATCH($B405,'Team forecast'!$B$3:$B$26,0),MATCH(CB$1,'Team forecast'!$R$2:$BH$2,0))*($BX405-(BY405+BX405*2+CH405)*0.01)</f>
        <v>-2506.3468826483772</v>
      </c>
      <c r="CC405" s="5">
        <f>INDEX('Team forecast'!$R$3:$BH$26,MATCH($B405,'Team forecast'!$B$3:$B$26,0),MATCH(CC$1,'Team forecast'!$R$2:$BH$2,0))*($BX405-(BY405+BX405*3+CH405)*0.01)</f>
        <v>-1171.3441989311611</v>
      </c>
      <c r="CD405" s="5">
        <f>+AK405+BD405*Cockpit!$C$3+BW405*Cockpit!$C$3^2+BZ405*Cockpit!$C$3^3+CA405*Cockpit!$C$3^4+CB405*Cockpit!$C$3^5+CC405*Cockpit!$C$3^6</f>
        <v>58490.761273351221</v>
      </c>
      <c r="CE405" s="5"/>
      <c r="CF405" s="5"/>
      <c r="CG405" s="5">
        <v>0</v>
      </c>
      <c r="CH405" s="5">
        <f t="shared" si="256"/>
        <v>4500000</v>
      </c>
      <c r="CI405" s="5">
        <f t="shared" si="257"/>
        <v>4500000</v>
      </c>
      <c r="CJ405" s="1">
        <f t="shared" si="258"/>
        <v>2.0309075623405483E-2</v>
      </c>
      <c r="CK405" s="5">
        <f>RANK(BY405,$BY$2:$BY$623)+COUNTIF($BY$2:$BY405,$BY405)-1</f>
        <v>188</v>
      </c>
      <c r="CL405" s="5">
        <f>RANK(CJ405,$CJ$2:$CJ$623)+COUNTIF($CJ$2:$CJ405,$CJ405)-1</f>
        <v>259</v>
      </c>
    </row>
    <row r="406" spans="1:90">
      <c r="A406" t="str">
        <f>Players!P407</f>
        <v>Pontus Jansson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2500000</v>
      </c>
      <c r="H406" s="16">
        <f>INDEX('Team forecast'!$B$2:$AO$26,MATCH('Master data'!$B406,'Team forecast'!$B$2:$B$26,0),MATCH('Master data'!H$1,'Team forecast'!$B$2:$AO$2,0))</f>
        <v>0.63639779406972985</v>
      </c>
      <c r="I406" s="16">
        <f>INDEX('Team forecast'!$B$2:$AO$26,MATCH('Master data'!$B406,'Team forecast'!$B$2:$B$26,0),MATCH('Master data'!I$1,'Team forecast'!$B$2:$AO$2,0))</f>
        <v>1.7533592214060363</v>
      </c>
      <c r="J406" s="16">
        <f>INDEX('Team forecast'!$B$2:$AO$26,MATCH('Master data'!$B406,'Team forecast'!$B$2:$B$26,0),MATCH('Master data'!J$1,'Team forecast'!$B$2:$AO$2,0))</f>
        <v>0.1731911776674534</v>
      </c>
      <c r="K406" s="16">
        <f>INDEX('Team forecast'!$B$2:$AO$26,MATCH('Master data'!$B406,'Team forecast'!$B$2:$B$26,0),MATCH('Master data'!K$1,'Team forecast'!$B$2:$AO$2,0))</f>
        <v>2.0682928307266222</v>
      </c>
      <c r="L406" s="16">
        <f>INDEX('Team forecast'!$B$2:$AO$26,MATCH('Master data'!$B406,'Team forecast'!$B$2:$B$26,0),MATCH('Master data'!L$1,'Team forecast'!$B$2:$AO$2,0))</f>
        <v>5.2600776642181089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0.23600591715976332</v>
      </c>
      <c r="R406" s="2">
        <f>Players!BR407</f>
        <v>0</v>
      </c>
      <c r="S406" s="2">
        <f t="shared" si="217"/>
        <v>0.63639779406972985</v>
      </c>
      <c r="T406" s="2">
        <f t="shared" si="218"/>
        <v>1.7533592214060363</v>
      </c>
      <c r="U406" s="16">
        <f>INDEX('Team forecast'!$B$2:$AO$26,MATCH('Master data'!$B406,'Team forecast'!$B$2:$B$26,0),MATCH('Master data'!U$1,'Team forecast'!$B$2:$AO$2,0))</f>
        <v>0.11906893464637421</v>
      </c>
      <c r="V406" s="16">
        <f>INDEX('Team forecast'!$B$2:$AO$26,MATCH('Master data'!$B406,'Team forecast'!$B$2:$B$26,0),MATCH('Master data'!V$1,'Team forecast'!$B$2:$AO$2,0))</f>
        <v>0.20053715308863029</v>
      </c>
      <c r="W406" s="16">
        <f>INDEX('Team forecast'!$B$2:$AO$26,MATCH('Master data'!$B406,'Team forecast'!$B$2:$B$26,0),MATCH('Master data'!W$1,'Team forecast'!$B$2:$AO$2,0))</f>
        <v>0.68039391226499568</v>
      </c>
      <c r="X406" s="5">
        <f t="shared" si="219"/>
        <v>-5000</v>
      </c>
      <c r="Y406" s="5">
        <f t="shared" si="220"/>
        <v>0</v>
      </c>
      <c r="Z406" s="5">
        <f t="shared" si="221"/>
        <v>0</v>
      </c>
      <c r="AA406" s="5">
        <f t="shared" si="222"/>
        <v>0</v>
      </c>
      <c r="AB406" s="5">
        <f t="shared" si="223"/>
        <v>0</v>
      </c>
      <c r="AC406" s="5">
        <f t="shared" si="224"/>
        <v>0</v>
      </c>
      <c r="AD406" s="5">
        <f t="shared" si="225"/>
        <v>0</v>
      </c>
      <c r="AE406" s="5">
        <f t="shared" si="226"/>
        <v>8659.5588833726706</v>
      </c>
      <c r="AF406" s="5">
        <f t="shared" si="227"/>
        <v>0</v>
      </c>
      <c r="AG406" s="5">
        <f t="shared" si="228"/>
        <v>0</v>
      </c>
      <c r="AH406" s="5">
        <f t="shared" si="229"/>
        <v>0</v>
      </c>
      <c r="AI406" s="5">
        <f t="shared" si="230"/>
        <v>0</v>
      </c>
      <c r="AJ406" s="5">
        <f t="shared" si="231"/>
        <v>0</v>
      </c>
      <c r="AK406" s="5">
        <f>IFERROR(SUM(X406:AJ406),-5000)*((Cockpit!$C$3)^0)</f>
        <v>3659.5588833726706</v>
      </c>
      <c r="AL406" s="16">
        <f>INDEX('Team forecast'!$B$2:$AO$26,MATCH('Master data'!$B406,'Team forecast'!$B$2:$B$26,0),MATCH('Master data'!AL$1,'Team forecast'!$B$2:$AO$2,0))</f>
        <v>1.3852986184856255</v>
      </c>
      <c r="AM406" s="16">
        <f>INDEX('Team forecast'!$B$2:$AO$26,MATCH('Master data'!$B406,'Team forecast'!$B$2:$B$26,0),MATCH('Master data'!AM$1,'Team forecast'!$B$2:$AO$2,0))</f>
        <v>0.80548012323268336</v>
      </c>
      <c r="AN406" s="16">
        <f>INDEX('Team forecast'!$B$2:$AO$26,MATCH('Master data'!$B406,'Team forecast'!$B$2:$B$26,0),MATCH('Master data'!AN$1,'Team forecast'!$B$2:$AO$2,0))</f>
        <v>0.4468733207814955</v>
      </c>
      <c r="AO406" s="16">
        <f>INDEX('Team forecast'!$B$2:$AO$26,MATCH('Master data'!$B406,'Team forecast'!$B$2:$B$26,0),MATCH('Master data'!AO$1,'Team forecast'!$B$2:$AO$2,0))</f>
        <v>4.5022205100782831</v>
      </c>
      <c r="AP406" s="16">
        <f>INDEX('Team forecast'!$B$2:$AO$26,MATCH('Master data'!$B406,'Team forecast'!$B$2:$B$26,0),MATCH('Master data'!AP$1,'Team forecast'!$B$2:$AO$2,0))</f>
        <v>2.4164403696980501</v>
      </c>
      <c r="AQ406" s="5">
        <f t="shared" si="232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233"/>
        <v>0</v>
      </c>
      <c r="AV406" s="5">
        <f t="shared" si="234"/>
        <v>0</v>
      </c>
      <c r="AW406" s="5">
        <f t="shared" si="235"/>
        <v>0</v>
      </c>
      <c r="AX406" s="5">
        <f t="shared" si="236"/>
        <v>22343.666039074775</v>
      </c>
      <c r="AY406" s="5">
        <f t="shared" si="237"/>
        <v>0</v>
      </c>
      <c r="AZ406" s="5">
        <f t="shared" si="238"/>
        <v>0</v>
      </c>
      <c r="BA406" s="5">
        <f t="shared" si="239"/>
        <v>0</v>
      </c>
      <c r="BB406" s="5">
        <f t="shared" si="240"/>
        <v>0</v>
      </c>
      <c r="BC406" s="5">
        <f t="shared" si="241"/>
        <v>0</v>
      </c>
      <c r="BD406" s="5">
        <f t="shared" si="242"/>
        <v>17343.666039074775</v>
      </c>
      <c r="BE406" s="16">
        <f>INDEX('Team forecast'!$B$2:$AO$26,MATCH('Master data'!$B406,'Team forecast'!$B$2:$B$26,0),MATCH('Master data'!BE$1,'Team forecast'!$B$2:$AO$2,0))</f>
        <v>1.2688103238212438</v>
      </c>
      <c r="BF406" s="16">
        <f>INDEX('Team forecast'!$B$2:$AO$26,MATCH('Master data'!$B406,'Team forecast'!$B$2:$B$26,0),MATCH('Master data'!BF$1,'Team forecast'!$B$2:$AO$2,0))</f>
        <v>1.2236898885407743</v>
      </c>
      <c r="BG406" s="16">
        <f>INDEX('Team forecast'!$B$2:$AO$26,MATCH('Master data'!$B406,'Team forecast'!$B$2:$B$26,0),MATCH('Master data'!BG$1,'Team forecast'!$B$2:$AO$2,0))</f>
        <v>0.29414280786478092</v>
      </c>
      <c r="BH406" s="16">
        <f>INDEX('Team forecast'!$B$2:$AO$26,MATCH('Master data'!$B406,'Team forecast'!$B$2:$B$26,0),MATCH('Master data'!BH$1,'Team forecast'!$B$2:$AO$2,0))</f>
        <v>4.1236335524190419</v>
      </c>
      <c r="BI406" s="16">
        <f>INDEX('Team forecast'!$B$2:$AO$26,MATCH('Master data'!$B406,'Team forecast'!$B$2:$B$26,0),MATCH('Master data'!BI$1,'Team forecast'!$B$2:$AO$2,0))</f>
        <v>3.6710696656223227</v>
      </c>
      <c r="BJ406" s="5">
        <f t="shared" si="243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244"/>
        <v>0</v>
      </c>
      <c r="BO406" s="5">
        <f t="shared" si="245"/>
        <v>0</v>
      </c>
      <c r="BP406" s="5">
        <f t="shared" si="246"/>
        <v>0</v>
      </c>
      <c r="BQ406" s="5">
        <f t="shared" si="247"/>
        <v>14707.140393239046</v>
      </c>
      <c r="BR406" s="5">
        <f t="shared" si="248"/>
        <v>0</v>
      </c>
      <c r="BS406" s="5">
        <f t="shared" si="249"/>
        <v>0</v>
      </c>
      <c r="BT406" s="5">
        <f t="shared" si="250"/>
        <v>0</v>
      </c>
      <c r="BU406" s="5">
        <f t="shared" si="251"/>
        <v>0</v>
      </c>
      <c r="BV406" s="5">
        <f t="shared" si="252"/>
        <v>0</v>
      </c>
      <c r="BW406" s="5">
        <f t="shared" si="253"/>
        <v>9707.1403932390458</v>
      </c>
      <c r="BX406" s="5">
        <f t="shared" si="254"/>
        <v>10236.788438562164</v>
      </c>
      <c r="BY406" s="5">
        <f t="shared" si="255"/>
        <v>30710.365315686489</v>
      </c>
      <c r="BZ406" s="5">
        <f>INDEX('Team forecast'!$R$3:$BH$26,MATCH($B406,'Team forecast'!$B$3:$B$26,0),MATCH(BZ$1,'Team forecast'!$R$2:$BH$2,0))*($BX406-(BY406+CH406)*0.01)</f>
        <v>-9869.7776279468362</v>
      </c>
      <c r="CA406" s="5">
        <f>INDEX('Team forecast'!$R$3:$BH$26,MATCH($B406,'Team forecast'!$B$3:$B$26,0),MATCH(CA$1,'Team forecast'!$R$2:$BH$2,0))*($BX406-(BY406+BX406+CH406)*0.01)</f>
        <v>-4887.7326379866363</v>
      </c>
      <c r="CB406" s="5">
        <f>INDEX('Team forecast'!$R$3:$BH$26,MATCH($B406,'Team forecast'!$B$3:$B$26,0),MATCH(CB$1,'Team forecast'!$R$2:$BH$2,0))*($BX406-(BY406+BX406*2+CH406)*0.01)</f>
        <v>-2383.9108395829394</v>
      </c>
      <c r="CC406" s="5">
        <f>INDEX('Team forecast'!$R$3:$BH$26,MATCH($B406,'Team forecast'!$B$3:$B$26,0),MATCH(CC$1,'Team forecast'!$R$2:$BH$2,0))*($BX406-(BY406+BX406*3+CH406)*0.01)</f>
        <v>-1100.7104945418785</v>
      </c>
      <c r="CD406" s="5">
        <f>+AK406+BD406*Cockpit!$C$3+BW406*Cockpit!$C$3^2+BZ406*Cockpit!$C$3^3+CA406*Cockpit!$C$3^4+CB406*Cockpit!$C$3^5+CC406*Cockpit!$C$3^6</f>
        <v>15235.867254624463</v>
      </c>
      <c r="CE406" s="5"/>
      <c r="CF406" s="5"/>
      <c r="CG406" s="5">
        <v>0</v>
      </c>
      <c r="CH406" s="5">
        <f t="shared" si="256"/>
        <v>2500000</v>
      </c>
      <c r="CI406" s="5">
        <f t="shared" si="257"/>
        <v>2500000</v>
      </c>
      <c r="CJ406" s="1">
        <f t="shared" si="258"/>
        <v>1.2284146126274596E-2</v>
      </c>
      <c r="CK406" s="5">
        <f>RANK(BY406,$BY$2:$BY$623)+COUNTIF($BY$2:$BY406,$BY406)-1</f>
        <v>345</v>
      </c>
      <c r="CL406" s="5">
        <f>RANK(CJ406,$CJ$2:$CJ$623)+COUNTIF($CJ$2:$CJ406,$CJ406)-1</f>
        <v>333</v>
      </c>
    </row>
    <row r="407" spans="1:90">
      <c r="A407" t="str">
        <f>Players!P408</f>
        <v>Andreas Granqvist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2000000</v>
      </c>
      <c r="H407" s="16">
        <f>INDEX('Team forecast'!$B$2:$AO$26,MATCH('Master data'!$B407,'Team forecast'!$B$2:$B$26,0),MATCH('Master data'!H$1,'Team forecast'!$B$2:$AO$2,0))</f>
        <v>0.63639779406972985</v>
      </c>
      <c r="I407" s="16">
        <f>INDEX('Team forecast'!$B$2:$AO$26,MATCH('Master data'!$B407,'Team forecast'!$B$2:$B$26,0),MATCH('Master data'!I$1,'Team forecast'!$B$2:$AO$2,0))</f>
        <v>1.7533592214060363</v>
      </c>
      <c r="J407" s="16">
        <f>INDEX('Team forecast'!$B$2:$AO$26,MATCH('Master data'!$B407,'Team forecast'!$B$2:$B$26,0),MATCH('Master data'!J$1,'Team forecast'!$B$2:$AO$2,0))</f>
        <v>0.1731911776674534</v>
      </c>
      <c r="K407" s="16">
        <f>INDEX('Team forecast'!$B$2:$AO$26,MATCH('Master data'!$B407,'Team forecast'!$B$2:$B$26,0),MATCH('Master data'!K$1,'Team forecast'!$B$2:$AO$2,0))</f>
        <v>2.0682928307266222</v>
      </c>
      <c r="L407" s="16">
        <f>INDEX('Team forecast'!$B$2:$AO$26,MATCH('Master data'!$B407,'Team forecast'!$B$2:$B$26,0),MATCH('Master data'!L$1,'Team forecast'!$B$2:$AO$2,0))</f>
        <v>5.2600776642181089</v>
      </c>
      <c r="M407">
        <f>IF(Players!BC408=1,95,0)</f>
        <v>0</v>
      </c>
      <c r="N407" s="2">
        <f>Players!BN408</f>
        <v>0</v>
      </c>
      <c r="O407" s="2">
        <f>Players!BO408</f>
        <v>0</v>
      </c>
      <c r="P407" s="2">
        <f>Players!BP408</f>
        <v>0</v>
      </c>
      <c r="Q407" s="2">
        <f>Players!BQ408</f>
        <v>5.9366754617414245E-2</v>
      </c>
      <c r="R407" s="2">
        <f>Players!BR408</f>
        <v>3.9577836411609502E-2</v>
      </c>
      <c r="S407" s="2">
        <f t="shared" si="217"/>
        <v>0.63639779406972985</v>
      </c>
      <c r="T407" s="2">
        <f t="shared" si="218"/>
        <v>1.7533592214060363</v>
      </c>
      <c r="U407" s="16">
        <f>INDEX('Team forecast'!$B$2:$AO$26,MATCH('Master data'!$B407,'Team forecast'!$B$2:$B$26,0),MATCH('Master data'!U$1,'Team forecast'!$B$2:$AO$2,0))</f>
        <v>0.11906893464637421</v>
      </c>
      <c r="V407" s="16">
        <f>INDEX('Team forecast'!$B$2:$AO$26,MATCH('Master data'!$B407,'Team forecast'!$B$2:$B$26,0),MATCH('Master data'!V$1,'Team forecast'!$B$2:$AO$2,0))</f>
        <v>0.20053715308863029</v>
      </c>
      <c r="W407" s="16">
        <f>INDEX('Team forecast'!$B$2:$AO$26,MATCH('Master data'!$B407,'Team forecast'!$B$2:$B$26,0),MATCH('Master data'!W$1,'Team forecast'!$B$2:$AO$2,0))</f>
        <v>0.68039391226499568</v>
      </c>
      <c r="X407" s="5">
        <f t="shared" si="219"/>
        <v>-5000</v>
      </c>
      <c r="Y407" s="5">
        <f t="shared" si="220"/>
        <v>0</v>
      </c>
      <c r="Z407" s="5">
        <f t="shared" si="221"/>
        <v>0</v>
      </c>
      <c r="AA407" s="5">
        <f t="shared" si="222"/>
        <v>0</v>
      </c>
      <c r="AB407" s="5">
        <f t="shared" si="223"/>
        <v>0</v>
      </c>
      <c r="AC407" s="5">
        <f t="shared" si="224"/>
        <v>0</v>
      </c>
      <c r="AD407" s="5">
        <f t="shared" si="225"/>
        <v>0</v>
      </c>
      <c r="AE407" s="5">
        <f t="shared" si="226"/>
        <v>8659.5588833726706</v>
      </c>
      <c r="AF407" s="5">
        <f t="shared" si="227"/>
        <v>0</v>
      </c>
      <c r="AG407" s="5">
        <f t="shared" si="228"/>
        <v>0</v>
      </c>
      <c r="AH407" s="5">
        <f t="shared" si="229"/>
        <v>0</v>
      </c>
      <c r="AI407" s="5">
        <f t="shared" si="230"/>
        <v>0</v>
      </c>
      <c r="AJ407" s="5">
        <f t="shared" si="231"/>
        <v>0</v>
      </c>
      <c r="AK407" s="5">
        <f>IFERROR(SUM(X407:AJ407),-5000)*((Cockpit!$C$3)^0)</f>
        <v>3659.5588833726706</v>
      </c>
      <c r="AL407" s="16">
        <f>INDEX('Team forecast'!$B$2:$AO$26,MATCH('Master data'!$B407,'Team forecast'!$B$2:$B$26,0),MATCH('Master data'!AL$1,'Team forecast'!$B$2:$AO$2,0))</f>
        <v>1.3852986184856255</v>
      </c>
      <c r="AM407" s="16">
        <f>INDEX('Team forecast'!$B$2:$AO$26,MATCH('Master data'!$B407,'Team forecast'!$B$2:$B$26,0),MATCH('Master data'!AM$1,'Team forecast'!$B$2:$AO$2,0))</f>
        <v>0.80548012323268336</v>
      </c>
      <c r="AN407" s="16">
        <f>INDEX('Team forecast'!$B$2:$AO$26,MATCH('Master data'!$B407,'Team forecast'!$B$2:$B$26,0),MATCH('Master data'!AN$1,'Team forecast'!$B$2:$AO$2,0))</f>
        <v>0.4468733207814955</v>
      </c>
      <c r="AO407" s="16">
        <f>INDEX('Team forecast'!$B$2:$AO$26,MATCH('Master data'!$B407,'Team forecast'!$B$2:$B$26,0),MATCH('Master data'!AO$1,'Team forecast'!$B$2:$AO$2,0))</f>
        <v>4.5022205100782831</v>
      </c>
      <c r="AP407" s="16">
        <f>INDEX('Team forecast'!$B$2:$AO$26,MATCH('Master data'!$B407,'Team forecast'!$B$2:$B$26,0),MATCH('Master data'!AP$1,'Team forecast'!$B$2:$AO$2,0))</f>
        <v>2.4164403696980501</v>
      </c>
      <c r="AQ407" s="5">
        <f t="shared" si="232"/>
        <v>-5000</v>
      </c>
      <c r="AR407" s="5">
        <f>INDEX('Team forecast'!$B$2:$AO$26,MATCH('Master data'!$B407,'Team forecast'!$B$2:$B$26,0),MATCH('Master data'!AR$1,'Team forecast'!$B$2:$AO$2,0))*IF(X407&gt;0,25000,0)</f>
        <v>0</v>
      </c>
      <c r="AS407" s="16">
        <f>INDEX('Team forecast'!$B$2:$AO$26,MATCH('Master data'!$B407,'Team forecast'!$B$2:$B$26,0),MATCH('Master data'!AS$1,'Team forecast'!$B$2:$AO$2,0))*IF(X407&gt;0,5000,0)</f>
        <v>0</v>
      </c>
      <c r="AT407" s="16">
        <f>INDEX('Team forecast'!$B$2:$AO$26,MATCH('Master data'!$B407,'Team forecast'!$B$2:$B$26,0),MATCH('Master data'!AT$1,'Team forecast'!$B$2:$AO$2,0))*IF(X407&gt;0,-15000,0)</f>
        <v>0</v>
      </c>
      <c r="AU407" s="5">
        <f t="shared" si="233"/>
        <v>0</v>
      </c>
      <c r="AV407" s="5">
        <f t="shared" si="234"/>
        <v>0</v>
      </c>
      <c r="AW407" s="5">
        <f t="shared" si="235"/>
        <v>0</v>
      </c>
      <c r="AX407" s="5">
        <f t="shared" si="236"/>
        <v>22343.666039074775</v>
      </c>
      <c r="AY407" s="5">
        <f t="shared" si="237"/>
        <v>0</v>
      </c>
      <c r="AZ407" s="5">
        <f t="shared" si="238"/>
        <v>0</v>
      </c>
      <c r="BA407" s="5">
        <f t="shared" si="239"/>
        <v>0</v>
      </c>
      <c r="BB407" s="5">
        <f t="shared" si="240"/>
        <v>0</v>
      </c>
      <c r="BC407" s="5">
        <f t="shared" si="241"/>
        <v>0</v>
      </c>
      <c r="BD407" s="5">
        <f t="shared" si="242"/>
        <v>17343.666039074775</v>
      </c>
      <c r="BE407" s="16">
        <f>INDEX('Team forecast'!$B$2:$AO$26,MATCH('Master data'!$B407,'Team forecast'!$B$2:$B$26,0),MATCH('Master data'!BE$1,'Team forecast'!$B$2:$AO$2,0))</f>
        <v>1.2688103238212438</v>
      </c>
      <c r="BF407" s="16">
        <f>INDEX('Team forecast'!$B$2:$AO$26,MATCH('Master data'!$B407,'Team forecast'!$B$2:$B$26,0),MATCH('Master data'!BF$1,'Team forecast'!$B$2:$AO$2,0))</f>
        <v>1.2236898885407743</v>
      </c>
      <c r="BG407" s="16">
        <f>INDEX('Team forecast'!$B$2:$AO$26,MATCH('Master data'!$B407,'Team forecast'!$B$2:$B$26,0),MATCH('Master data'!BG$1,'Team forecast'!$B$2:$AO$2,0))</f>
        <v>0.29414280786478092</v>
      </c>
      <c r="BH407" s="16">
        <f>INDEX('Team forecast'!$B$2:$AO$26,MATCH('Master data'!$B407,'Team forecast'!$B$2:$B$26,0),MATCH('Master data'!BH$1,'Team forecast'!$B$2:$AO$2,0))</f>
        <v>4.1236335524190419</v>
      </c>
      <c r="BI407" s="16">
        <f>INDEX('Team forecast'!$B$2:$AO$26,MATCH('Master data'!$B407,'Team forecast'!$B$2:$B$26,0),MATCH('Master data'!BI$1,'Team forecast'!$B$2:$AO$2,0))</f>
        <v>3.6710696656223227</v>
      </c>
      <c r="BJ407" s="5">
        <f t="shared" si="243"/>
        <v>-5000</v>
      </c>
      <c r="BK407" s="5">
        <f>INDEX('Team forecast'!$R$3:$BH$26,MATCH($B407,'Team forecast'!$B$3:$B$26,0),MATCH(BK$1,'Team forecast'!$R$2:$BH$2,0))*IF($X407&gt;0,25000,0)</f>
        <v>0</v>
      </c>
      <c r="BL407" s="5">
        <f>INDEX('Team forecast'!$R$3:$BH$26,MATCH($B407,'Team forecast'!$B$3:$B$26,0),MATCH(BL$1,'Team forecast'!$R$2:$BH$2,0))*IF($X407&gt;0,5000,0)</f>
        <v>0</v>
      </c>
      <c r="BM407" s="5">
        <f>INDEX('Team forecast'!$R$3:$BH$26,MATCH($B407,'Team forecast'!$B$3:$B$26,0),MATCH(BM$1,'Team forecast'!$R$2:$BH$2,0))*IF($X407&gt;0,-15000,0)</f>
        <v>0</v>
      </c>
      <c r="BN407" s="5">
        <f t="shared" si="244"/>
        <v>0</v>
      </c>
      <c r="BO407" s="5">
        <f t="shared" si="245"/>
        <v>0</v>
      </c>
      <c r="BP407" s="5">
        <f t="shared" si="246"/>
        <v>0</v>
      </c>
      <c r="BQ407" s="5">
        <f t="shared" si="247"/>
        <v>14707.140393239046</v>
      </c>
      <c r="BR407" s="5">
        <f t="shared" si="248"/>
        <v>0</v>
      </c>
      <c r="BS407" s="5">
        <f t="shared" si="249"/>
        <v>0</v>
      </c>
      <c r="BT407" s="5">
        <f t="shared" si="250"/>
        <v>0</v>
      </c>
      <c r="BU407" s="5">
        <f t="shared" si="251"/>
        <v>0</v>
      </c>
      <c r="BV407" s="5">
        <f t="shared" si="252"/>
        <v>0</v>
      </c>
      <c r="BW407" s="5">
        <f t="shared" si="253"/>
        <v>9707.1403932390458</v>
      </c>
      <c r="BX407" s="5">
        <f t="shared" si="254"/>
        <v>10236.788438562164</v>
      </c>
      <c r="BY407" s="5">
        <f t="shared" si="255"/>
        <v>30710.365315686489</v>
      </c>
      <c r="BZ407" s="5">
        <f>INDEX('Team forecast'!$R$3:$BH$26,MATCH($B407,'Team forecast'!$B$3:$B$26,0),MATCH(BZ$1,'Team forecast'!$R$2:$BH$2,0))*($BX407-(BY407+CH407)*0.01)</f>
        <v>-6595.2019182136564</v>
      </c>
      <c r="CA407" s="5">
        <f>INDEX('Team forecast'!$R$3:$BH$26,MATCH($B407,'Team forecast'!$B$3:$B$26,0),MATCH(CA$1,'Team forecast'!$R$2:$BH$2,0))*($BX407-(BY407+BX407+CH407)*0.01)</f>
        <v>-3277.0311535817082</v>
      </c>
      <c r="CB407" s="5">
        <f>INDEX('Team forecast'!$R$3:$BH$26,MATCH($B407,'Team forecast'!$B$3:$B$26,0),MATCH(CB$1,'Team forecast'!$R$2:$BH$2,0))*($BX407-(BY407+BX407*2+CH407)*0.01)</f>
        <v>-1603.582563697332</v>
      </c>
      <c r="CC407" s="5">
        <f>INDEX('Team forecast'!$R$3:$BH$26,MATCH($B407,'Team forecast'!$B$3:$B$26,0),MATCH(CC$1,'Team forecast'!$R$2:$BH$2,0))*($BX407-(BY407+BX407*3+CH407)*0.01)</f>
        <v>-742.81216842870663</v>
      </c>
      <c r="CD407" s="5">
        <f>+AK407+BD407*Cockpit!$C$3+BW407*Cockpit!$C$3^2+BZ407*Cockpit!$C$3^3+CA407*Cockpit!$C$3^4+CB407*Cockpit!$C$3^5+CC407*Cockpit!$C$3^6</f>
        <v>16658.4548738466</v>
      </c>
      <c r="CE407" s="5"/>
      <c r="CF407" s="5"/>
      <c r="CG407" s="5">
        <v>0</v>
      </c>
      <c r="CH407" s="5">
        <f t="shared" si="256"/>
        <v>2000000</v>
      </c>
      <c r="CI407" s="5">
        <f t="shared" si="257"/>
        <v>2000000</v>
      </c>
      <c r="CJ407" s="1">
        <f t="shared" si="258"/>
        <v>1.5355182657843245E-2</v>
      </c>
      <c r="CK407" s="5">
        <f>RANK(BY407,$BY$2:$BY$623)+COUNTIF($BY$2:$BY407,$BY407)-1</f>
        <v>346</v>
      </c>
      <c r="CL407" s="5">
        <f>RANK(CJ407,$CJ$2:$CJ$623)+COUNTIF($CJ$2:$CJ407,$CJ407)-1</f>
        <v>303</v>
      </c>
    </row>
    <row r="408" spans="1:90">
      <c r="A408" t="str">
        <f>Players!P409</f>
        <v>Ludwig Augustinsson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0.63639779406972985</v>
      </c>
      <c r="I408" s="16">
        <f>INDEX('Team forecast'!$B$2:$AO$26,MATCH('Master data'!$B408,'Team forecast'!$B$2:$B$26,0),MATCH('Master data'!I$1,'Team forecast'!$B$2:$AO$2,0))</f>
        <v>1.7533592214060363</v>
      </c>
      <c r="J408" s="16">
        <f>INDEX('Team forecast'!$B$2:$AO$26,MATCH('Master data'!$B408,'Team forecast'!$B$2:$B$26,0),MATCH('Master data'!J$1,'Team forecast'!$B$2:$AO$2,0))</f>
        <v>0.1731911776674534</v>
      </c>
      <c r="K408" s="16">
        <f>INDEX('Team forecast'!$B$2:$AO$26,MATCH('Master data'!$B408,'Team forecast'!$B$2:$B$26,0),MATCH('Master data'!K$1,'Team forecast'!$B$2:$AO$2,0))</f>
        <v>2.0682928307266222</v>
      </c>
      <c r="L408" s="16">
        <f>INDEX('Team forecast'!$B$2:$AO$26,MATCH('Master data'!$B408,'Team forecast'!$B$2:$B$26,0),MATCH('Master data'!L$1,'Team forecast'!$B$2:$AO$2,0))</f>
        <v>5.2600776642181089</v>
      </c>
      <c r="M408">
        <f>IF(Players!BC409=1,95,0)</f>
        <v>95</v>
      </c>
      <c r="N408" s="2">
        <f>Players!BN409</f>
        <v>3.3554916284309559E-2</v>
      </c>
      <c r="O408" s="2">
        <f>Players!BO409</f>
        <v>0.1353372105781705</v>
      </c>
      <c r="P408" s="2">
        <f>Players!BP409</f>
        <v>8.9043256413469038E-2</v>
      </c>
      <c r="Q408" s="2">
        <f>Players!BQ409</f>
        <v>9.1836734693877556E-2</v>
      </c>
      <c r="R408" s="2">
        <f>Players!BR409</f>
        <v>0</v>
      </c>
      <c r="S408" s="2">
        <f t="shared" si="217"/>
        <v>0.63639779406972985</v>
      </c>
      <c r="T408" s="2">
        <f t="shared" si="218"/>
        <v>1.7533592214060363</v>
      </c>
      <c r="U408" s="16">
        <f>INDEX('Team forecast'!$B$2:$AO$26,MATCH('Master data'!$B408,'Team forecast'!$B$2:$B$26,0),MATCH('Master data'!U$1,'Team forecast'!$B$2:$AO$2,0))</f>
        <v>0.11906893464637421</v>
      </c>
      <c r="V408" s="16">
        <f>INDEX('Team forecast'!$B$2:$AO$26,MATCH('Master data'!$B408,'Team forecast'!$B$2:$B$26,0),MATCH('Master data'!V$1,'Team forecast'!$B$2:$AO$2,0))</f>
        <v>0.20053715308863029</v>
      </c>
      <c r="W408" s="16">
        <f>INDEX('Team forecast'!$B$2:$AO$26,MATCH('Master data'!$B408,'Team forecast'!$B$2:$B$26,0),MATCH('Master data'!W$1,'Team forecast'!$B$2:$AO$2,0))</f>
        <v>0.68039391226499568</v>
      </c>
      <c r="X408" s="5">
        <f t="shared" si="219"/>
        <v>7000</v>
      </c>
      <c r="Y408" s="5">
        <f t="shared" si="220"/>
        <v>2976.723366159355</v>
      </c>
      <c r="Z408" s="5">
        <f t="shared" si="221"/>
        <v>1002.6857654431515</v>
      </c>
      <c r="AA408" s="5">
        <f t="shared" si="222"/>
        <v>-10205.908683974934</v>
      </c>
      <c r="AB408" s="5">
        <f t="shared" si="223"/>
        <v>3203.141205529359</v>
      </c>
      <c r="AC408" s="5">
        <f t="shared" si="224"/>
        <v>4306.4151133749101</v>
      </c>
      <c r="AD408" s="5">
        <f t="shared" si="225"/>
        <v>1841.6752886453032</v>
      </c>
      <c r="AE408" s="5">
        <f t="shared" si="226"/>
        <v>8659.5588833726706</v>
      </c>
      <c r="AF408" s="5">
        <f t="shared" si="227"/>
        <v>0</v>
      </c>
      <c r="AG408" s="5">
        <f t="shared" si="228"/>
        <v>-1836.7346938775511</v>
      </c>
      <c r="AH408" s="5">
        <f t="shared" si="229"/>
        <v>0</v>
      </c>
      <c r="AI408" s="5">
        <f t="shared" si="230"/>
        <v>6363.9779406972984</v>
      </c>
      <c r="AJ408" s="5">
        <f t="shared" si="231"/>
        <v>-14026.873771248291</v>
      </c>
      <c r="AK408" s="5">
        <f>IFERROR(SUM(X408:AJ408),-5000)*((Cockpit!$C$3)^0)</f>
        <v>9284.6604141212702</v>
      </c>
      <c r="AL408" s="16">
        <f>INDEX('Team forecast'!$B$2:$AO$26,MATCH('Master data'!$B408,'Team forecast'!$B$2:$B$26,0),MATCH('Master data'!AL$1,'Team forecast'!$B$2:$AO$2,0))</f>
        <v>1.3852986184856255</v>
      </c>
      <c r="AM408" s="16">
        <f>INDEX('Team forecast'!$B$2:$AO$26,MATCH('Master data'!$B408,'Team forecast'!$B$2:$B$26,0),MATCH('Master data'!AM$1,'Team forecast'!$B$2:$AO$2,0))</f>
        <v>0.80548012323268336</v>
      </c>
      <c r="AN408" s="16">
        <f>INDEX('Team forecast'!$B$2:$AO$26,MATCH('Master data'!$B408,'Team forecast'!$B$2:$B$26,0),MATCH('Master data'!AN$1,'Team forecast'!$B$2:$AO$2,0))</f>
        <v>0.4468733207814955</v>
      </c>
      <c r="AO408" s="16">
        <f>INDEX('Team forecast'!$B$2:$AO$26,MATCH('Master data'!$B408,'Team forecast'!$B$2:$B$26,0),MATCH('Master data'!AO$1,'Team forecast'!$B$2:$AO$2,0))</f>
        <v>4.5022205100782831</v>
      </c>
      <c r="AP408" s="16">
        <f>INDEX('Team forecast'!$B$2:$AO$26,MATCH('Master data'!$B408,'Team forecast'!$B$2:$B$26,0),MATCH('Master data'!AP$1,'Team forecast'!$B$2:$AO$2,0))</f>
        <v>2.4164403696980501</v>
      </c>
      <c r="AQ408" s="5">
        <f t="shared" si="232"/>
        <v>7000</v>
      </c>
      <c r="AR408" s="5">
        <f>INDEX('Team forecast'!$B$2:$AO$26,MATCH('Master data'!$B408,'Team forecast'!$B$2:$B$26,0),MATCH('Master data'!AR$1,'Team forecast'!$B$2:$AO$2,0))*IF(X408&gt;0,25000,0)</f>
        <v>12681.540184339738</v>
      </c>
      <c r="AS408" s="16">
        <f>INDEX('Team forecast'!$B$2:$AO$26,MATCH('Master data'!$B408,'Team forecast'!$B$2:$B$26,0),MATCH('Master data'!AS$1,'Team forecast'!$B$2:$AO$2,0))*IF(X408&gt;0,5000,0)</f>
        <v>1380.0499612369715</v>
      </c>
      <c r="AT408" s="16">
        <f>INDEX('Team forecast'!$B$2:$AO$26,MATCH('Master data'!$B408,'Team forecast'!$B$2:$B$26,0),MATCH('Master data'!AT$1,'Team forecast'!$B$2:$AO$2,0))*IF(X408&gt;0,-15000,0)</f>
        <v>-3250.9260056852445</v>
      </c>
      <c r="AU408" s="5">
        <f t="shared" si="233"/>
        <v>6972.5368758082277</v>
      </c>
      <c r="AV408" s="5">
        <f t="shared" si="234"/>
        <v>9374.122542181889</v>
      </c>
      <c r="AW408" s="5">
        <f t="shared" si="235"/>
        <v>4008.9237530887995</v>
      </c>
      <c r="AX408" s="5">
        <f t="shared" si="236"/>
        <v>22343.666039074775</v>
      </c>
      <c r="AY408" s="5">
        <f t="shared" si="237"/>
        <v>0</v>
      </c>
      <c r="AZ408" s="5">
        <f t="shared" si="238"/>
        <v>-1836.7346938775511</v>
      </c>
      <c r="BA408" s="5">
        <f t="shared" si="239"/>
        <v>0</v>
      </c>
      <c r="BB408" s="5">
        <f t="shared" si="240"/>
        <v>13852.986184856256</v>
      </c>
      <c r="BC408" s="5">
        <f t="shared" si="241"/>
        <v>-6443.8409858614668</v>
      </c>
      <c r="BD408" s="5">
        <f t="shared" si="242"/>
        <v>66082.323855162394</v>
      </c>
      <c r="BE408" s="16">
        <f>INDEX('Team forecast'!$B$2:$AO$26,MATCH('Master data'!$B408,'Team forecast'!$B$2:$B$26,0),MATCH('Master data'!BE$1,'Team forecast'!$B$2:$AO$2,0))</f>
        <v>1.2688103238212438</v>
      </c>
      <c r="BF408" s="16">
        <f>INDEX('Team forecast'!$B$2:$AO$26,MATCH('Master data'!$B408,'Team forecast'!$B$2:$B$26,0),MATCH('Master data'!BF$1,'Team forecast'!$B$2:$AO$2,0))</f>
        <v>1.2236898885407743</v>
      </c>
      <c r="BG408" s="16">
        <f>INDEX('Team forecast'!$B$2:$AO$26,MATCH('Master data'!$B408,'Team forecast'!$B$2:$B$26,0),MATCH('Master data'!BG$1,'Team forecast'!$B$2:$AO$2,0))</f>
        <v>0.29414280786478092</v>
      </c>
      <c r="BH408" s="16">
        <f>INDEX('Team forecast'!$B$2:$AO$26,MATCH('Master data'!$B408,'Team forecast'!$B$2:$B$26,0),MATCH('Master data'!BH$1,'Team forecast'!$B$2:$AO$2,0))</f>
        <v>4.1236335524190419</v>
      </c>
      <c r="BI408" s="16">
        <f>INDEX('Team forecast'!$B$2:$AO$26,MATCH('Master data'!$B408,'Team forecast'!$B$2:$B$26,0),MATCH('Master data'!BI$1,'Team forecast'!$B$2:$AO$2,0))</f>
        <v>3.6710696656223227</v>
      </c>
      <c r="BJ408" s="5">
        <f t="shared" si="243"/>
        <v>7000</v>
      </c>
      <c r="BK408" s="5">
        <f>INDEX('Team forecast'!$R$3:$BH$26,MATCH($B408,'Team forecast'!$B$3:$B$26,0),MATCH(BK$1,'Team forecast'!$R$2:$BH$2,0))*IF($X408&gt;0,25000,0)</f>
        <v>9372.1973094170389</v>
      </c>
      <c r="BL408" s="5">
        <f>INDEX('Team forecast'!$R$3:$BH$26,MATCH($B408,'Team forecast'!$B$3:$B$26,0),MATCH(BL$1,'Team forecast'!$R$2:$BH$2,0))*IF($X408&gt;0,5000,0)</f>
        <v>1448.4304932735427</v>
      </c>
      <c r="BM408" s="5">
        <f>INDEX('Team forecast'!$R$3:$BH$26,MATCH($B408,'Team forecast'!$B$3:$B$26,0),MATCH(BM$1,'Team forecast'!$R$2:$BH$2,0))*IF($X408&gt;0,-15000,0)</f>
        <v>-5031.390134529147</v>
      </c>
      <c r="BN408" s="5">
        <f t="shared" si="244"/>
        <v>6386.2236294734312</v>
      </c>
      <c r="BO408" s="5">
        <f t="shared" si="245"/>
        <v>8585.8624989376185</v>
      </c>
      <c r="BP408" s="5">
        <f t="shared" si="246"/>
        <v>3671.8175976323296</v>
      </c>
      <c r="BQ408" s="5">
        <f t="shared" si="247"/>
        <v>14707.140393239046</v>
      </c>
      <c r="BR408" s="5">
        <f t="shared" si="248"/>
        <v>0</v>
      </c>
      <c r="BS408" s="5">
        <f t="shared" si="249"/>
        <v>-1836.7346938775511</v>
      </c>
      <c r="BT408" s="5">
        <f t="shared" si="250"/>
        <v>0</v>
      </c>
      <c r="BU408" s="5">
        <f t="shared" si="251"/>
        <v>12688.103238212438</v>
      </c>
      <c r="BV408" s="5">
        <f t="shared" si="252"/>
        <v>-9789.5191083261943</v>
      </c>
      <c r="BW408" s="5">
        <f t="shared" si="253"/>
        <v>47202.131223452554</v>
      </c>
      <c r="BX408" s="5">
        <f t="shared" si="254"/>
        <v>40856.371830912074</v>
      </c>
      <c r="BY408" s="5">
        <f t="shared" si="255"/>
        <v>122569.11549273622</v>
      </c>
      <c r="BZ408" s="5">
        <f>INDEX('Team forecast'!$R$3:$BH$26,MATCH($B408,'Team forecast'!$B$3:$B$26,0),MATCH(BZ$1,'Team forecast'!$R$2:$BH$2,0))*($BX408-(BY408+CH408)*0.01)</f>
        <v>3032.7028922220752</v>
      </c>
      <c r="CA408" s="5">
        <f>INDEX('Team forecast'!$R$3:$BH$26,MATCH($B408,'Team forecast'!$B$3:$B$26,0),MATCH(CA$1,'Team forecast'!$R$2:$BH$2,0))*($BX408-(BY408+BX408+CH408)*0.01)</f>
        <v>1360.1140102118597</v>
      </c>
      <c r="CB408" s="5">
        <f>INDEX('Team forecast'!$R$3:$BH$26,MATCH($B408,'Team forecast'!$B$3:$B$26,0),MATCH(CB$1,'Team forecast'!$R$2:$BH$2,0))*($BX408-(BY408+BX408*2+CH408)*0.01)</f>
        <v>595.16468485456187</v>
      </c>
      <c r="CC408" s="5">
        <f>INDEX('Team forecast'!$R$3:$BH$26,MATCH($B408,'Team forecast'!$B$3:$B$26,0),MATCH(CC$1,'Team forecast'!$R$2:$BH$2,0))*($BX408-(BY408+BX408*3+CH408)*0.01)</f>
        <v>243.72801000386346</v>
      </c>
      <c r="CD408" s="5">
        <f>+AK408+BD408*Cockpit!$C$3+BW408*Cockpit!$C$3^2+BZ408*Cockpit!$C$3^3+CA408*Cockpit!$C$3^4+CB408*Cockpit!$C$3^5+CC408*Cockpit!$C$3^6</f>
        <v>75585.283945786985</v>
      </c>
      <c r="CE408" s="5"/>
      <c r="CF408" s="5"/>
      <c r="CG408" s="5">
        <v>0</v>
      </c>
      <c r="CH408" s="5">
        <f t="shared" si="256"/>
        <v>3500000</v>
      </c>
      <c r="CI408" s="5">
        <f t="shared" si="257"/>
        <v>3500000</v>
      </c>
      <c r="CJ408" s="1">
        <f t="shared" si="258"/>
        <v>3.5019747283638922E-2</v>
      </c>
      <c r="CK408" s="5">
        <f>RANK(BY408,$BY$2:$BY$623)+COUNTIF($BY$2:$BY408,$BY408)-1</f>
        <v>130</v>
      </c>
      <c r="CL408" s="5">
        <f>RANK(CJ408,$CJ$2:$CJ$623)+COUNTIF($CJ$2:$CJ408,$CJ408)-1</f>
        <v>102</v>
      </c>
    </row>
    <row r="409" spans="1:90">
      <c r="A409" t="str">
        <f>Players!P410</f>
        <v>Victor Lindelöf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3500000</v>
      </c>
      <c r="H409" s="16">
        <f>INDEX('Team forecast'!$B$2:$AO$26,MATCH('Master data'!$B409,'Team forecast'!$B$2:$B$26,0),MATCH('Master data'!H$1,'Team forecast'!$B$2:$AO$2,0))</f>
        <v>0.63639779406972985</v>
      </c>
      <c r="I409" s="16">
        <f>INDEX('Team forecast'!$B$2:$AO$26,MATCH('Master data'!$B409,'Team forecast'!$B$2:$B$26,0),MATCH('Master data'!I$1,'Team forecast'!$B$2:$AO$2,0))</f>
        <v>1.7533592214060363</v>
      </c>
      <c r="J409" s="16">
        <f>INDEX('Team forecast'!$B$2:$AO$26,MATCH('Master data'!$B409,'Team forecast'!$B$2:$B$26,0),MATCH('Master data'!J$1,'Team forecast'!$B$2:$AO$2,0))</f>
        <v>0.1731911776674534</v>
      </c>
      <c r="K409" s="16">
        <f>INDEX('Team forecast'!$B$2:$AO$26,MATCH('Master data'!$B409,'Team forecast'!$B$2:$B$26,0),MATCH('Master data'!K$1,'Team forecast'!$B$2:$AO$2,0))</f>
        <v>2.0682928307266222</v>
      </c>
      <c r="L409" s="16">
        <f>INDEX('Team forecast'!$B$2:$AO$26,MATCH('Master data'!$B409,'Team forecast'!$B$2:$B$26,0),MATCH('Master data'!L$1,'Team forecast'!$B$2:$AO$2,0))</f>
        <v>5.2600776642181089</v>
      </c>
      <c r="M409">
        <f>IF(Players!BC410=1,95,0)</f>
        <v>95</v>
      </c>
      <c r="N409" s="2">
        <f>Players!BN410</f>
        <v>4.4830270184149555E-2</v>
      </c>
      <c r="O409" s="2">
        <f>Players!BO410</f>
        <v>5.2466980958882227E-2</v>
      </c>
      <c r="P409" s="2">
        <f>Players!BP410</f>
        <v>1.3497662998484091E-2</v>
      </c>
      <c r="Q409" s="2">
        <f>Players!BQ410</f>
        <v>0.25</v>
      </c>
      <c r="R409" s="2">
        <f>Players!BR410</f>
        <v>0</v>
      </c>
      <c r="S409" s="2">
        <f t="shared" si="217"/>
        <v>0.63639779406972985</v>
      </c>
      <c r="T409" s="2">
        <f t="shared" si="218"/>
        <v>1.7533592214060363</v>
      </c>
      <c r="U409" s="16">
        <f>INDEX('Team forecast'!$B$2:$AO$26,MATCH('Master data'!$B409,'Team forecast'!$B$2:$B$26,0),MATCH('Master data'!U$1,'Team forecast'!$B$2:$AO$2,0))</f>
        <v>0.11906893464637421</v>
      </c>
      <c r="V409" s="16">
        <f>INDEX('Team forecast'!$B$2:$AO$26,MATCH('Master data'!$B409,'Team forecast'!$B$2:$B$26,0),MATCH('Master data'!V$1,'Team forecast'!$B$2:$AO$2,0))</f>
        <v>0.20053715308863029</v>
      </c>
      <c r="W409" s="16">
        <f>INDEX('Team forecast'!$B$2:$AO$26,MATCH('Master data'!$B409,'Team forecast'!$B$2:$B$26,0),MATCH('Master data'!W$1,'Team forecast'!$B$2:$AO$2,0))</f>
        <v>0.68039391226499568</v>
      </c>
      <c r="X409" s="5">
        <f t="shared" si="219"/>
        <v>7000</v>
      </c>
      <c r="Y409" s="5">
        <f t="shared" si="220"/>
        <v>2976.723366159355</v>
      </c>
      <c r="Z409" s="5">
        <f t="shared" si="221"/>
        <v>1002.6857654431515</v>
      </c>
      <c r="AA409" s="5">
        <f t="shared" si="222"/>
        <v>-10205.908683974934</v>
      </c>
      <c r="AB409" s="5">
        <f t="shared" si="223"/>
        <v>4279.4827579114144</v>
      </c>
      <c r="AC409" s="5">
        <f t="shared" si="224"/>
        <v>1669.4935471865583</v>
      </c>
      <c r="AD409" s="5">
        <f t="shared" si="225"/>
        <v>279.1711961132865</v>
      </c>
      <c r="AE409" s="5">
        <f t="shared" si="226"/>
        <v>8659.5588833726706</v>
      </c>
      <c r="AF409" s="5">
        <f t="shared" si="227"/>
        <v>0</v>
      </c>
      <c r="AG409" s="5">
        <f t="shared" si="228"/>
        <v>-5000</v>
      </c>
      <c r="AH409" s="5">
        <f t="shared" si="229"/>
        <v>0</v>
      </c>
      <c r="AI409" s="5">
        <f t="shared" si="230"/>
        <v>6363.9779406972984</v>
      </c>
      <c r="AJ409" s="5">
        <f t="shared" si="231"/>
        <v>-14026.873771248291</v>
      </c>
      <c r="AK409" s="5">
        <f>IFERROR(SUM(X409:AJ409),-5000)*((Cockpit!$C$3)^0)</f>
        <v>2998.3110016605096</v>
      </c>
      <c r="AL409" s="16">
        <f>INDEX('Team forecast'!$B$2:$AO$26,MATCH('Master data'!$B409,'Team forecast'!$B$2:$B$26,0),MATCH('Master data'!AL$1,'Team forecast'!$B$2:$AO$2,0))</f>
        <v>1.3852986184856255</v>
      </c>
      <c r="AM409" s="16">
        <f>INDEX('Team forecast'!$B$2:$AO$26,MATCH('Master data'!$B409,'Team forecast'!$B$2:$B$26,0),MATCH('Master data'!AM$1,'Team forecast'!$B$2:$AO$2,0))</f>
        <v>0.80548012323268336</v>
      </c>
      <c r="AN409" s="16">
        <f>INDEX('Team forecast'!$B$2:$AO$26,MATCH('Master data'!$B409,'Team forecast'!$B$2:$B$26,0),MATCH('Master data'!AN$1,'Team forecast'!$B$2:$AO$2,0))</f>
        <v>0.4468733207814955</v>
      </c>
      <c r="AO409" s="16">
        <f>INDEX('Team forecast'!$B$2:$AO$26,MATCH('Master data'!$B409,'Team forecast'!$B$2:$B$26,0),MATCH('Master data'!AO$1,'Team forecast'!$B$2:$AO$2,0))</f>
        <v>4.5022205100782831</v>
      </c>
      <c r="AP409" s="16">
        <f>INDEX('Team forecast'!$B$2:$AO$26,MATCH('Master data'!$B409,'Team forecast'!$B$2:$B$26,0),MATCH('Master data'!AP$1,'Team forecast'!$B$2:$AO$2,0))</f>
        <v>2.4164403696980501</v>
      </c>
      <c r="AQ409" s="5">
        <f t="shared" si="232"/>
        <v>7000</v>
      </c>
      <c r="AR409" s="5">
        <f>INDEX('Team forecast'!$B$2:$AO$26,MATCH('Master data'!$B409,'Team forecast'!$B$2:$B$26,0),MATCH('Master data'!AR$1,'Team forecast'!$B$2:$AO$2,0))*IF(X409&gt;0,25000,0)</f>
        <v>12681.540184339738</v>
      </c>
      <c r="AS409" s="16">
        <f>INDEX('Team forecast'!$B$2:$AO$26,MATCH('Master data'!$B409,'Team forecast'!$B$2:$B$26,0),MATCH('Master data'!AS$1,'Team forecast'!$B$2:$AO$2,0))*IF(X409&gt;0,5000,0)</f>
        <v>1380.0499612369715</v>
      </c>
      <c r="AT409" s="16">
        <f>INDEX('Team forecast'!$B$2:$AO$26,MATCH('Master data'!$B409,'Team forecast'!$B$2:$B$26,0),MATCH('Master data'!AT$1,'Team forecast'!$B$2:$AO$2,0))*IF(X409&gt;0,-15000,0)</f>
        <v>-3250.9260056852445</v>
      </c>
      <c r="AU409" s="5">
        <f t="shared" si="233"/>
        <v>9315.4967028659576</v>
      </c>
      <c r="AV409" s="5">
        <f t="shared" si="234"/>
        <v>3634.1218119225582</v>
      </c>
      <c r="AW409" s="5">
        <f t="shared" si="235"/>
        <v>607.69455189899816</v>
      </c>
      <c r="AX409" s="5">
        <f t="shared" si="236"/>
        <v>22343.666039074775</v>
      </c>
      <c r="AY409" s="5">
        <f t="shared" si="237"/>
        <v>0</v>
      </c>
      <c r="AZ409" s="5">
        <f t="shared" si="238"/>
        <v>-5000</v>
      </c>
      <c r="BA409" s="5">
        <f t="shared" si="239"/>
        <v>0</v>
      </c>
      <c r="BB409" s="5">
        <f t="shared" si="240"/>
        <v>13852.986184856256</v>
      </c>
      <c r="BC409" s="5">
        <f t="shared" si="241"/>
        <v>-6443.8409858614668</v>
      </c>
      <c r="BD409" s="5">
        <f t="shared" si="242"/>
        <v>56120.788444648548</v>
      </c>
      <c r="BE409" s="16">
        <f>INDEX('Team forecast'!$B$2:$AO$26,MATCH('Master data'!$B409,'Team forecast'!$B$2:$B$26,0),MATCH('Master data'!BE$1,'Team forecast'!$B$2:$AO$2,0))</f>
        <v>1.2688103238212438</v>
      </c>
      <c r="BF409" s="16">
        <f>INDEX('Team forecast'!$B$2:$AO$26,MATCH('Master data'!$B409,'Team forecast'!$B$2:$B$26,0),MATCH('Master data'!BF$1,'Team forecast'!$B$2:$AO$2,0))</f>
        <v>1.2236898885407743</v>
      </c>
      <c r="BG409" s="16">
        <f>INDEX('Team forecast'!$B$2:$AO$26,MATCH('Master data'!$B409,'Team forecast'!$B$2:$B$26,0),MATCH('Master data'!BG$1,'Team forecast'!$B$2:$AO$2,0))</f>
        <v>0.29414280786478092</v>
      </c>
      <c r="BH409" s="16">
        <f>INDEX('Team forecast'!$B$2:$AO$26,MATCH('Master data'!$B409,'Team forecast'!$B$2:$B$26,0),MATCH('Master data'!BH$1,'Team forecast'!$B$2:$AO$2,0))</f>
        <v>4.1236335524190419</v>
      </c>
      <c r="BI409" s="16">
        <f>INDEX('Team forecast'!$B$2:$AO$26,MATCH('Master data'!$B409,'Team forecast'!$B$2:$B$26,0),MATCH('Master data'!BI$1,'Team forecast'!$B$2:$AO$2,0))</f>
        <v>3.6710696656223227</v>
      </c>
      <c r="BJ409" s="5">
        <f t="shared" si="243"/>
        <v>7000</v>
      </c>
      <c r="BK409" s="5">
        <f>INDEX('Team forecast'!$R$3:$BH$26,MATCH($B409,'Team forecast'!$B$3:$B$26,0),MATCH(BK$1,'Team forecast'!$R$2:$BH$2,0))*IF($X409&gt;0,25000,0)</f>
        <v>9372.1973094170389</v>
      </c>
      <c r="BL409" s="5">
        <f>INDEX('Team forecast'!$R$3:$BH$26,MATCH($B409,'Team forecast'!$B$3:$B$26,0),MATCH(BL$1,'Team forecast'!$R$2:$BH$2,0))*IF($X409&gt;0,5000,0)</f>
        <v>1448.4304932735427</v>
      </c>
      <c r="BM409" s="5">
        <f>INDEX('Team forecast'!$R$3:$BH$26,MATCH($B409,'Team forecast'!$B$3:$B$26,0),MATCH(BM$1,'Team forecast'!$R$2:$BH$2,0))*IF($X409&gt;0,-15000,0)</f>
        <v>-5031.390134529147</v>
      </c>
      <c r="BN409" s="5">
        <f t="shared" si="244"/>
        <v>8532.1664444016988</v>
      </c>
      <c r="BO409" s="5">
        <f t="shared" si="245"/>
        <v>3328.5323550181192</v>
      </c>
      <c r="BP409" s="5">
        <f t="shared" si="246"/>
        <v>556.59416019794014</v>
      </c>
      <c r="BQ409" s="5">
        <f t="shared" si="247"/>
        <v>14707.140393239046</v>
      </c>
      <c r="BR409" s="5">
        <f t="shared" si="248"/>
        <v>0</v>
      </c>
      <c r="BS409" s="5">
        <f t="shared" si="249"/>
        <v>-5000</v>
      </c>
      <c r="BT409" s="5">
        <f t="shared" si="250"/>
        <v>0</v>
      </c>
      <c r="BU409" s="5">
        <f t="shared" si="251"/>
        <v>12688.103238212438</v>
      </c>
      <c r="BV409" s="5">
        <f t="shared" si="252"/>
        <v>-9789.5191083261943</v>
      </c>
      <c r="BW409" s="5">
        <f t="shared" si="253"/>
        <v>37812.255150904479</v>
      </c>
      <c r="BX409" s="5">
        <f t="shared" si="254"/>
        <v>32310.45153240451</v>
      </c>
      <c r="BY409" s="5">
        <f t="shared" si="255"/>
        <v>96931.354597213533</v>
      </c>
      <c r="BZ409" s="5">
        <f>INDEX('Team forecast'!$R$3:$BH$26,MATCH($B409,'Team forecast'!$B$3:$B$26,0),MATCH(BZ$1,'Team forecast'!$R$2:$BH$2,0))*($BX409-(BY409+CH409)*0.01)</f>
        <v>-2396.2441349787978</v>
      </c>
      <c r="CA409" s="5">
        <f>INDEX('Team forecast'!$R$3:$BH$26,MATCH($B409,'Team forecast'!$B$3:$B$26,0),MATCH(CA$1,'Team forecast'!$R$2:$BH$2,0))*($BX409-(BY409+BX409+CH409)*0.01)</f>
        <v>-1282.7518797873106</v>
      </c>
      <c r="CB409" s="5">
        <f>INDEX('Team forecast'!$R$3:$BH$26,MATCH($B409,'Team forecast'!$B$3:$B$26,0),MATCH(CB$1,'Team forecast'!$R$2:$BH$2,0))*($BX409-(BY409+BX409*2+CH409)*0.01)</f>
        <v>-671.87373309958036</v>
      </c>
      <c r="CC409" s="5">
        <f>INDEX('Team forecast'!$R$3:$BH$26,MATCH($B409,'Team forecast'!$B$3:$B$26,0),MATCH(CC$1,'Team forecast'!$R$2:$BH$2,0))*($BX409-(BY409+BX409*3+CH409)*0.01)</f>
        <v>-331.28325714343453</v>
      </c>
      <c r="CD409" s="5">
        <f>+AK409+BD409*Cockpit!$C$3+BW409*Cockpit!$C$3^2+BZ409*Cockpit!$C$3^3+CA409*Cockpit!$C$3^4+CB409*Cockpit!$C$3^5+CC409*Cockpit!$C$3^6</f>
        <v>56136.674297014026</v>
      </c>
      <c r="CE409" s="5"/>
      <c r="CF409" s="5"/>
      <c r="CG409" s="5">
        <v>0</v>
      </c>
      <c r="CH409" s="5">
        <f t="shared" si="256"/>
        <v>3500000</v>
      </c>
      <c r="CI409" s="5">
        <f t="shared" si="257"/>
        <v>3500000</v>
      </c>
      <c r="CJ409" s="1">
        <f t="shared" si="258"/>
        <v>2.769467274206101E-2</v>
      </c>
      <c r="CK409" s="5">
        <f>RANK(BY409,$BY$2:$BY$623)+COUNTIF($BY$2:$BY409,$BY409)-1</f>
        <v>177</v>
      </c>
      <c r="CL409" s="5">
        <f>RANK(CJ409,$CJ$2:$CJ$623)+COUNTIF($CJ$2:$CJ409,$CJ409)-1</f>
        <v>171</v>
      </c>
    </row>
    <row r="410" spans="1:90">
      <c r="A410" t="str">
        <f>Players!P411</f>
        <v>Emil Krafth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2500000</v>
      </c>
      <c r="H410" s="16">
        <f>INDEX('Team forecast'!$B$2:$AO$26,MATCH('Master data'!$B410,'Team forecast'!$B$2:$B$26,0),MATCH('Master data'!H$1,'Team forecast'!$B$2:$AO$2,0))</f>
        <v>0.63639779406972985</v>
      </c>
      <c r="I410" s="16">
        <f>INDEX('Team forecast'!$B$2:$AO$26,MATCH('Master data'!$B410,'Team forecast'!$B$2:$B$26,0),MATCH('Master data'!I$1,'Team forecast'!$B$2:$AO$2,0))</f>
        <v>1.7533592214060363</v>
      </c>
      <c r="J410" s="16">
        <f>INDEX('Team forecast'!$B$2:$AO$26,MATCH('Master data'!$B410,'Team forecast'!$B$2:$B$26,0),MATCH('Master data'!J$1,'Team forecast'!$B$2:$AO$2,0))</f>
        <v>0.1731911776674534</v>
      </c>
      <c r="K410" s="16">
        <f>INDEX('Team forecast'!$B$2:$AO$26,MATCH('Master data'!$B410,'Team forecast'!$B$2:$B$26,0),MATCH('Master data'!K$1,'Team forecast'!$B$2:$AO$2,0))</f>
        <v>2.0682928307266222</v>
      </c>
      <c r="L410" s="16">
        <f>INDEX('Team forecast'!$B$2:$AO$26,MATCH('Master data'!$B410,'Team forecast'!$B$2:$B$26,0),MATCH('Master data'!L$1,'Team forecast'!$B$2:$AO$2,0))</f>
        <v>5.2600776642181089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0.36442680092951202</v>
      </c>
      <c r="R410" s="2">
        <f>Players!BR411</f>
        <v>0</v>
      </c>
      <c r="S410" s="2">
        <f t="shared" si="217"/>
        <v>0.63639779406972985</v>
      </c>
      <c r="T410" s="2">
        <f t="shared" si="218"/>
        <v>1.7533592214060363</v>
      </c>
      <c r="U410" s="16">
        <f>INDEX('Team forecast'!$B$2:$AO$26,MATCH('Master data'!$B410,'Team forecast'!$B$2:$B$26,0),MATCH('Master data'!U$1,'Team forecast'!$B$2:$AO$2,0))</f>
        <v>0.11906893464637421</v>
      </c>
      <c r="V410" s="16">
        <f>INDEX('Team forecast'!$B$2:$AO$26,MATCH('Master data'!$B410,'Team forecast'!$B$2:$B$26,0),MATCH('Master data'!V$1,'Team forecast'!$B$2:$AO$2,0))</f>
        <v>0.20053715308863029</v>
      </c>
      <c r="W410" s="16">
        <f>INDEX('Team forecast'!$B$2:$AO$26,MATCH('Master data'!$B410,'Team forecast'!$B$2:$B$26,0),MATCH('Master data'!W$1,'Team forecast'!$B$2:$AO$2,0))</f>
        <v>0.68039391226499568</v>
      </c>
      <c r="X410" s="5">
        <f t="shared" si="219"/>
        <v>-5000</v>
      </c>
      <c r="Y410" s="5">
        <f t="shared" si="220"/>
        <v>0</v>
      </c>
      <c r="Z410" s="5">
        <f t="shared" si="221"/>
        <v>0</v>
      </c>
      <c r="AA410" s="5">
        <f t="shared" si="222"/>
        <v>0</v>
      </c>
      <c r="AB410" s="5">
        <f t="shared" si="223"/>
        <v>0</v>
      </c>
      <c r="AC410" s="5">
        <f t="shared" si="224"/>
        <v>0</v>
      </c>
      <c r="AD410" s="5">
        <f t="shared" si="225"/>
        <v>0</v>
      </c>
      <c r="AE410" s="5">
        <f t="shared" si="226"/>
        <v>8659.5588833726706</v>
      </c>
      <c r="AF410" s="5">
        <f t="shared" si="227"/>
        <v>0</v>
      </c>
      <c r="AG410" s="5">
        <f t="shared" si="228"/>
        <v>0</v>
      </c>
      <c r="AH410" s="5">
        <f t="shared" si="229"/>
        <v>0</v>
      </c>
      <c r="AI410" s="5">
        <f t="shared" si="230"/>
        <v>0</v>
      </c>
      <c r="AJ410" s="5">
        <f t="shared" si="231"/>
        <v>0</v>
      </c>
      <c r="AK410" s="5">
        <f>IFERROR(SUM(X410:AJ410),-5000)*((Cockpit!$C$3)^0)</f>
        <v>3659.5588833726706</v>
      </c>
      <c r="AL410" s="16">
        <f>INDEX('Team forecast'!$B$2:$AO$26,MATCH('Master data'!$B410,'Team forecast'!$B$2:$B$26,0),MATCH('Master data'!AL$1,'Team forecast'!$B$2:$AO$2,0))</f>
        <v>1.3852986184856255</v>
      </c>
      <c r="AM410" s="16">
        <f>INDEX('Team forecast'!$B$2:$AO$26,MATCH('Master data'!$B410,'Team forecast'!$B$2:$B$26,0),MATCH('Master data'!AM$1,'Team forecast'!$B$2:$AO$2,0))</f>
        <v>0.80548012323268336</v>
      </c>
      <c r="AN410" s="16">
        <f>INDEX('Team forecast'!$B$2:$AO$26,MATCH('Master data'!$B410,'Team forecast'!$B$2:$B$26,0),MATCH('Master data'!AN$1,'Team forecast'!$B$2:$AO$2,0))</f>
        <v>0.4468733207814955</v>
      </c>
      <c r="AO410" s="16">
        <f>INDEX('Team forecast'!$B$2:$AO$26,MATCH('Master data'!$B410,'Team forecast'!$B$2:$B$26,0),MATCH('Master data'!AO$1,'Team forecast'!$B$2:$AO$2,0))</f>
        <v>4.5022205100782831</v>
      </c>
      <c r="AP410" s="16">
        <f>INDEX('Team forecast'!$B$2:$AO$26,MATCH('Master data'!$B410,'Team forecast'!$B$2:$B$26,0),MATCH('Master data'!AP$1,'Team forecast'!$B$2:$AO$2,0))</f>
        <v>2.4164403696980501</v>
      </c>
      <c r="AQ410" s="5">
        <f t="shared" si="232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233"/>
        <v>0</v>
      </c>
      <c r="AV410" s="5">
        <f t="shared" si="234"/>
        <v>0</v>
      </c>
      <c r="AW410" s="5">
        <f t="shared" si="235"/>
        <v>0</v>
      </c>
      <c r="AX410" s="5">
        <f t="shared" si="236"/>
        <v>22343.666039074775</v>
      </c>
      <c r="AY410" s="5">
        <f t="shared" si="237"/>
        <v>0</v>
      </c>
      <c r="AZ410" s="5">
        <f t="shared" si="238"/>
        <v>0</v>
      </c>
      <c r="BA410" s="5">
        <f t="shared" si="239"/>
        <v>0</v>
      </c>
      <c r="BB410" s="5">
        <f t="shared" si="240"/>
        <v>0</v>
      </c>
      <c r="BC410" s="5">
        <f t="shared" si="241"/>
        <v>0</v>
      </c>
      <c r="BD410" s="5">
        <f t="shared" si="242"/>
        <v>17343.666039074775</v>
      </c>
      <c r="BE410" s="16">
        <f>INDEX('Team forecast'!$B$2:$AO$26,MATCH('Master data'!$B410,'Team forecast'!$B$2:$B$26,0),MATCH('Master data'!BE$1,'Team forecast'!$B$2:$AO$2,0))</f>
        <v>1.2688103238212438</v>
      </c>
      <c r="BF410" s="16">
        <f>INDEX('Team forecast'!$B$2:$AO$26,MATCH('Master data'!$B410,'Team forecast'!$B$2:$B$26,0),MATCH('Master data'!BF$1,'Team forecast'!$B$2:$AO$2,0))</f>
        <v>1.2236898885407743</v>
      </c>
      <c r="BG410" s="16">
        <f>INDEX('Team forecast'!$B$2:$AO$26,MATCH('Master data'!$B410,'Team forecast'!$B$2:$B$26,0),MATCH('Master data'!BG$1,'Team forecast'!$B$2:$AO$2,0))</f>
        <v>0.29414280786478092</v>
      </c>
      <c r="BH410" s="16">
        <f>INDEX('Team forecast'!$B$2:$AO$26,MATCH('Master data'!$B410,'Team forecast'!$B$2:$B$26,0),MATCH('Master data'!BH$1,'Team forecast'!$B$2:$AO$2,0))</f>
        <v>4.1236335524190419</v>
      </c>
      <c r="BI410" s="16">
        <f>INDEX('Team forecast'!$B$2:$AO$26,MATCH('Master data'!$B410,'Team forecast'!$B$2:$B$26,0),MATCH('Master data'!BI$1,'Team forecast'!$B$2:$AO$2,0))</f>
        <v>3.6710696656223227</v>
      </c>
      <c r="BJ410" s="5">
        <f t="shared" si="243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244"/>
        <v>0</v>
      </c>
      <c r="BO410" s="5">
        <f t="shared" si="245"/>
        <v>0</v>
      </c>
      <c r="BP410" s="5">
        <f t="shared" si="246"/>
        <v>0</v>
      </c>
      <c r="BQ410" s="5">
        <f t="shared" si="247"/>
        <v>14707.140393239046</v>
      </c>
      <c r="BR410" s="5">
        <f t="shared" si="248"/>
        <v>0</v>
      </c>
      <c r="BS410" s="5">
        <f t="shared" si="249"/>
        <v>0</v>
      </c>
      <c r="BT410" s="5">
        <f t="shared" si="250"/>
        <v>0</v>
      </c>
      <c r="BU410" s="5">
        <f t="shared" si="251"/>
        <v>0</v>
      </c>
      <c r="BV410" s="5">
        <f t="shared" si="252"/>
        <v>0</v>
      </c>
      <c r="BW410" s="5">
        <f t="shared" si="253"/>
        <v>9707.1403932390458</v>
      </c>
      <c r="BX410" s="5">
        <f t="shared" si="254"/>
        <v>10236.788438562164</v>
      </c>
      <c r="BY410" s="5">
        <f t="shared" si="255"/>
        <v>30710.365315686489</v>
      </c>
      <c r="BZ410" s="5">
        <f>INDEX('Team forecast'!$R$3:$BH$26,MATCH($B410,'Team forecast'!$B$3:$B$26,0),MATCH(BZ$1,'Team forecast'!$R$2:$BH$2,0))*($BX410-(BY410+CH410)*0.01)</f>
        <v>-9869.7776279468362</v>
      </c>
      <c r="CA410" s="5">
        <f>INDEX('Team forecast'!$R$3:$BH$26,MATCH($B410,'Team forecast'!$B$3:$B$26,0),MATCH(CA$1,'Team forecast'!$R$2:$BH$2,0))*($BX410-(BY410+BX410+CH410)*0.01)</f>
        <v>-4887.7326379866363</v>
      </c>
      <c r="CB410" s="5">
        <f>INDEX('Team forecast'!$R$3:$BH$26,MATCH($B410,'Team forecast'!$B$3:$B$26,0),MATCH(CB$1,'Team forecast'!$R$2:$BH$2,0))*($BX410-(BY410+BX410*2+CH410)*0.01)</f>
        <v>-2383.9108395829394</v>
      </c>
      <c r="CC410" s="5">
        <f>INDEX('Team forecast'!$R$3:$BH$26,MATCH($B410,'Team forecast'!$B$3:$B$26,0),MATCH(CC$1,'Team forecast'!$R$2:$BH$2,0))*($BX410-(BY410+BX410*3+CH410)*0.01)</f>
        <v>-1100.7104945418785</v>
      </c>
      <c r="CD410" s="5">
        <f>+AK410+BD410*Cockpit!$C$3+BW410*Cockpit!$C$3^2+BZ410*Cockpit!$C$3^3+CA410*Cockpit!$C$3^4+CB410*Cockpit!$C$3^5+CC410*Cockpit!$C$3^6</f>
        <v>15235.867254624463</v>
      </c>
      <c r="CE410" s="5"/>
      <c r="CF410" s="5"/>
      <c r="CG410" s="5">
        <v>0</v>
      </c>
      <c r="CH410" s="5">
        <f t="shared" si="256"/>
        <v>2500000</v>
      </c>
      <c r="CI410" s="5">
        <f t="shared" si="257"/>
        <v>2500000</v>
      </c>
      <c r="CJ410" s="1">
        <f t="shared" si="258"/>
        <v>1.2284146126274596E-2</v>
      </c>
      <c r="CK410" s="5">
        <f>RANK(BY410,$BY$2:$BY$623)+COUNTIF($BY$2:$BY410,$BY410)-1</f>
        <v>347</v>
      </c>
      <c r="CL410" s="5">
        <f>RANK(CJ410,$CJ$2:$CJ$623)+COUNTIF($CJ$2:$CJ410,$CJ410)-1</f>
        <v>334</v>
      </c>
    </row>
    <row r="411" spans="1:90">
      <c r="A411" t="str">
        <f>Players!P412</f>
        <v>Filip Helander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3000000</v>
      </c>
      <c r="H411" s="16">
        <f>INDEX('Team forecast'!$B$2:$AO$26,MATCH('Master data'!$B411,'Team forecast'!$B$2:$B$26,0),MATCH('Master data'!H$1,'Team forecast'!$B$2:$AO$2,0))</f>
        <v>0.63639779406972985</v>
      </c>
      <c r="I411" s="16">
        <f>INDEX('Team forecast'!$B$2:$AO$26,MATCH('Master data'!$B411,'Team forecast'!$B$2:$B$26,0),MATCH('Master data'!I$1,'Team forecast'!$B$2:$AO$2,0))</f>
        <v>1.7533592214060363</v>
      </c>
      <c r="J411" s="16">
        <f>INDEX('Team forecast'!$B$2:$AO$26,MATCH('Master data'!$B411,'Team forecast'!$B$2:$B$26,0),MATCH('Master data'!J$1,'Team forecast'!$B$2:$AO$2,0))</f>
        <v>0.1731911776674534</v>
      </c>
      <c r="K411" s="16">
        <f>INDEX('Team forecast'!$B$2:$AO$26,MATCH('Master data'!$B411,'Team forecast'!$B$2:$B$26,0),MATCH('Master data'!K$1,'Team forecast'!$B$2:$AO$2,0))</f>
        <v>2.0682928307266222</v>
      </c>
      <c r="L411" s="16">
        <f>INDEX('Team forecast'!$B$2:$AO$26,MATCH('Master data'!$B411,'Team forecast'!$B$2:$B$26,0),MATCH('Master data'!L$1,'Team forecast'!$B$2:$AO$2,0))</f>
        <v>5.2600776642181089</v>
      </c>
      <c r="M411">
        <f>IF(Players!BC412=1,95,0)</f>
        <v>95</v>
      </c>
      <c r="N411" s="2">
        <f>Players!BN412</f>
        <v>3.2995667679571072E-2</v>
      </c>
      <c r="O411" s="2">
        <f>Players!BO412</f>
        <v>7.534524378863211E-2</v>
      </c>
      <c r="P411" s="2">
        <f>Players!BP412</f>
        <v>0</v>
      </c>
      <c r="Q411" s="2">
        <f>Players!BQ412</f>
        <v>0.1</v>
      </c>
      <c r="R411" s="2">
        <f>Players!BR412</f>
        <v>0</v>
      </c>
      <c r="S411" s="2">
        <f t="shared" si="217"/>
        <v>0.63639779406972985</v>
      </c>
      <c r="T411" s="2">
        <f t="shared" si="218"/>
        <v>1.7533592214060363</v>
      </c>
      <c r="U411" s="16">
        <f>INDEX('Team forecast'!$B$2:$AO$26,MATCH('Master data'!$B411,'Team forecast'!$B$2:$B$26,0),MATCH('Master data'!U$1,'Team forecast'!$B$2:$AO$2,0))</f>
        <v>0.11906893464637421</v>
      </c>
      <c r="V411" s="16">
        <f>INDEX('Team forecast'!$B$2:$AO$26,MATCH('Master data'!$B411,'Team forecast'!$B$2:$B$26,0),MATCH('Master data'!V$1,'Team forecast'!$B$2:$AO$2,0))</f>
        <v>0.20053715308863029</v>
      </c>
      <c r="W411" s="16">
        <f>INDEX('Team forecast'!$B$2:$AO$26,MATCH('Master data'!$B411,'Team forecast'!$B$2:$B$26,0),MATCH('Master data'!W$1,'Team forecast'!$B$2:$AO$2,0))</f>
        <v>0.68039391226499568</v>
      </c>
      <c r="X411" s="5">
        <f t="shared" si="219"/>
        <v>7000</v>
      </c>
      <c r="Y411" s="5">
        <f t="shared" si="220"/>
        <v>2976.723366159355</v>
      </c>
      <c r="Z411" s="5">
        <f t="shared" si="221"/>
        <v>1002.6857654431515</v>
      </c>
      <c r="AA411" s="5">
        <f t="shared" si="222"/>
        <v>-10205.908683974934</v>
      </c>
      <c r="AB411" s="5">
        <f t="shared" si="223"/>
        <v>3149.7555187705366</v>
      </c>
      <c r="AC411" s="5">
        <f t="shared" si="224"/>
        <v>2397.4773470365744</v>
      </c>
      <c r="AD411" s="5">
        <f t="shared" si="225"/>
        <v>0</v>
      </c>
      <c r="AE411" s="5">
        <f t="shared" si="226"/>
        <v>8659.5588833726706</v>
      </c>
      <c r="AF411" s="5">
        <f t="shared" si="227"/>
        <v>0</v>
      </c>
      <c r="AG411" s="5">
        <f t="shared" si="228"/>
        <v>-2000</v>
      </c>
      <c r="AH411" s="5">
        <f t="shared" si="229"/>
        <v>0</v>
      </c>
      <c r="AI411" s="5">
        <f t="shared" si="230"/>
        <v>6363.9779406972984</v>
      </c>
      <c r="AJ411" s="5">
        <f t="shared" si="231"/>
        <v>-14026.873771248291</v>
      </c>
      <c r="AK411" s="5">
        <f>IFERROR(SUM(X411:AJ411),-5000)*((Cockpit!$C$3)^0)</f>
        <v>5317.3963662563619</v>
      </c>
      <c r="AL411" s="16">
        <f>INDEX('Team forecast'!$B$2:$AO$26,MATCH('Master data'!$B411,'Team forecast'!$B$2:$B$26,0),MATCH('Master data'!AL$1,'Team forecast'!$B$2:$AO$2,0))</f>
        <v>1.3852986184856255</v>
      </c>
      <c r="AM411" s="16">
        <f>INDEX('Team forecast'!$B$2:$AO$26,MATCH('Master data'!$B411,'Team forecast'!$B$2:$B$26,0),MATCH('Master data'!AM$1,'Team forecast'!$B$2:$AO$2,0))</f>
        <v>0.80548012323268336</v>
      </c>
      <c r="AN411" s="16">
        <f>INDEX('Team forecast'!$B$2:$AO$26,MATCH('Master data'!$B411,'Team forecast'!$B$2:$B$26,0),MATCH('Master data'!AN$1,'Team forecast'!$B$2:$AO$2,0))</f>
        <v>0.4468733207814955</v>
      </c>
      <c r="AO411" s="16">
        <f>INDEX('Team forecast'!$B$2:$AO$26,MATCH('Master data'!$B411,'Team forecast'!$B$2:$B$26,0),MATCH('Master data'!AO$1,'Team forecast'!$B$2:$AO$2,0))</f>
        <v>4.5022205100782831</v>
      </c>
      <c r="AP411" s="16">
        <f>INDEX('Team forecast'!$B$2:$AO$26,MATCH('Master data'!$B411,'Team forecast'!$B$2:$B$26,0),MATCH('Master data'!AP$1,'Team forecast'!$B$2:$AO$2,0))</f>
        <v>2.4164403696980501</v>
      </c>
      <c r="AQ411" s="5">
        <f t="shared" si="232"/>
        <v>7000</v>
      </c>
      <c r="AR411" s="5">
        <f>INDEX('Team forecast'!$B$2:$AO$26,MATCH('Master data'!$B411,'Team forecast'!$B$2:$B$26,0),MATCH('Master data'!AR$1,'Team forecast'!$B$2:$AO$2,0))*IF(X411&gt;0,25000,0)</f>
        <v>12681.540184339738</v>
      </c>
      <c r="AS411" s="16">
        <f>INDEX('Team forecast'!$B$2:$AO$26,MATCH('Master data'!$B411,'Team forecast'!$B$2:$B$26,0),MATCH('Master data'!AS$1,'Team forecast'!$B$2:$AO$2,0))*IF(X411&gt;0,5000,0)</f>
        <v>1380.0499612369715</v>
      </c>
      <c r="AT411" s="16">
        <f>INDEX('Team forecast'!$B$2:$AO$26,MATCH('Master data'!$B411,'Team forecast'!$B$2:$B$26,0),MATCH('Master data'!AT$1,'Team forecast'!$B$2:$AO$2,0))*IF(X411&gt;0,-15000,0)</f>
        <v>-3250.9260056852445</v>
      </c>
      <c r="AU411" s="5">
        <f t="shared" si="233"/>
        <v>6856.327927878091</v>
      </c>
      <c r="AV411" s="5">
        <f t="shared" si="234"/>
        <v>5218.7831064927359</v>
      </c>
      <c r="AW411" s="5">
        <f t="shared" si="235"/>
        <v>0</v>
      </c>
      <c r="AX411" s="5">
        <f t="shared" si="236"/>
        <v>22343.666039074775</v>
      </c>
      <c r="AY411" s="5">
        <f t="shared" si="237"/>
        <v>0</v>
      </c>
      <c r="AZ411" s="5">
        <f t="shared" si="238"/>
        <v>-2000</v>
      </c>
      <c r="BA411" s="5">
        <f t="shared" si="239"/>
        <v>0</v>
      </c>
      <c r="BB411" s="5">
        <f t="shared" si="240"/>
        <v>13852.986184856256</v>
      </c>
      <c r="BC411" s="5">
        <f t="shared" si="241"/>
        <v>-6443.8409858614668</v>
      </c>
      <c r="BD411" s="5">
        <f t="shared" si="242"/>
        <v>57638.586412331853</v>
      </c>
      <c r="BE411" s="16">
        <f>INDEX('Team forecast'!$B$2:$AO$26,MATCH('Master data'!$B411,'Team forecast'!$B$2:$B$26,0),MATCH('Master data'!BE$1,'Team forecast'!$B$2:$AO$2,0))</f>
        <v>1.2688103238212438</v>
      </c>
      <c r="BF411" s="16">
        <f>INDEX('Team forecast'!$B$2:$AO$26,MATCH('Master data'!$B411,'Team forecast'!$B$2:$B$26,0),MATCH('Master data'!BF$1,'Team forecast'!$B$2:$AO$2,0))</f>
        <v>1.2236898885407743</v>
      </c>
      <c r="BG411" s="16">
        <f>INDEX('Team forecast'!$B$2:$AO$26,MATCH('Master data'!$B411,'Team forecast'!$B$2:$B$26,0),MATCH('Master data'!BG$1,'Team forecast'!$B$2:$AO$2,0))</f>
        <v>0.29414280786478092</v>
      </c>
      <c r="BH411" s="16">
        <f>INDEX('Team forecast'!$B$2:$AO$26,MATCH('Master data'!$B411,'Team forecast'!$B$2:$B$26,0),MATCH('Master data'!BH$1,'Team forecast'!$B$2:$AO$2,0))</f>
        <v>4.1236335524190419</v>
      </c>
      <c r="BI411" s="16">
        <f>INDEX('Team forecast'!$B$2:$AO$26,MATCH('Master data'!$B411,'Team forecast'!$B$2:$B$26,0),MATCH('Master data'!BI$1,'Team forecast'!$B$2:$AO$2,0))</f>
        <v>3.6710696656223227</v>
      </c>
      <c r="BJ411" s="5">
        <f t="shared" si="243"/>
        <v>7000</v>
      </c>
      <c r="BK411" s="5">
        <f>INDEX('Team forecast'!$R$3:$BH$26,MATCH($B411,'Team forecast'!$B$3:$B$26,0),MATCH(BK$1,'Team forecast'!$R$2:$BH$2,0))*IF($X411&gt;0,25000,0)</f>
        <v>9372.1973094170389</v>
      </c>
      <c r="BL411" s="5">
        <f>INDEX('Team forecast'!$R$3:$BH$26,MATCH($B411,'Team forecast'!$B$3:$B$26,0),MATCH(BL$1,'Team forecast'!$R$2:$BH$2,0))*IF($X411&gt;0,5000,0)</f>
        <v>1448.4304932735427</v>
      </c>
      <c r="BM411" s="5">
        <f>INDEX('Team forecast'!$R$3:$BH$26,MATCH($B411,'Team forecast'!$B$3:$B$26,0),MATCH(BM$1,'Team forecast'!$R$2:$BH$2,0))*IF($X411&gt;0,-15000,0)</f>
        <v>-5031.390134529147</v>
      </c>
      <c r="BN411" s="5">
        <f t="shared" si="244"/>
        <v>6279.7865689822074</v>
      </c>
      <c r="BO411" s="5">
        <f t="shared" si="245"/>
        <v>4779.9411584922427</v>
      </c>
      <c r="BP411" s="5">
        <f t="shared" si="246"/>
        <v>0</v>
      </c>
      <c r="BQ411" s="5">
        <f t="shared" si="247"/>
        <v>14707.140393239046</v>
      </c>
      <c r="BR411" s="5">
        <f t="shared" si="248"/>
        <v>0</v>
      </c>
      <c r="BS411" s="5">
        <f t="shared" si="249"/>
        <v>-2000</v>
      </c>
      <c r="BT411" s="5">
        <f t="shared" si="250"/>
        <v>0</v>
      </c>
      <c r="BU411" s="5">
        <f t="shared" si="251"/>
        <v>12688.103238212438</v>
      </c>
      <c r="BV411" s="5">
        <f t="shared" si="252"/>
        <v>-9789.5191083261943</v>
      </c>
      <c r="BW411" s="5">
        <f t="shared" si="253"/>
        <v>39454.689918761178</v>
      </c>
      <c r="BX411" s="5">
        <f t="shared" si="254"/>
        <v>34136.890899116464</v>
      </c>
      <c r="BY411" s="5">
        <f t="shared" si="255"/>
        <v>102410.67269734939</v>
      </c>
      <c r="BZ411" s="5">
        <f>INDEX('Team forecast'!$R$3:$BH$26,MATCH($B411,'Team forecast'!$B$3:$B$26,0),MATCH(BZ$1,'Team forecast'!$R$2:$BH$2,0))*($BX411-(BY411+CH411)*0.01)</f>
        <v>2038.6094879482541</v>
      </c>
      <c r="CA411" s="5">
        <f>INDEX('Team forecast'!$R$3:$BH$26,MATCH($B411,'Team forecast'!$B$3:$B$26,0),MATCH(CA$1,'Team forecast'!$R$2:$BH$2,0))*($BX411-(BY411+BX411+CH411)*0.01)</f>
        <v>892.78453565221866</v>
      </c>
      <c r="CB411" s="5">
        <f>INDEX('Team forecast'!$R$3:$BH$26,MATCH($B411,'Team forecast'!$B$3:$B$26,0),MATCH(CB$1,'Team forecast'!$R$2:$BH$2,0))*($BX411-(BY411+BX411*2+CH411)*0.01)</f>
        <v>379.24677637285566</v>
      </c>
      <c r="CC411" s="5">
        <f>INDEX('Team forecast'!$R$3:$BH$26,MATCH($B411,'Team forecast'!$B$3:$B$26,0),MATCH(CC$1,'Team forecast'!$R$2:$BH$2,0))*($BX411-(BY411+BX411*3+CH411)*0.01)</f>
        <v>149.50683228329839</v>
      </c>
      <c r="CD411" s="5">
        <f>+AK411+BD411*Cockpit!$C$3+BW411*Cockpit!$C$3^2+BZ411*Cockpit!$C$3^3+CA411*Cockpit!$C$3^4+CB411*Cockpit!$C$3^5+CC411*Cockpit!$C$3^6</f>
        <v>62121.990715228334</v>
      </c>
      <c r="CE411" s="5"/>
      <c r="CF411" s="5"/>
      <c r="CG411" s="5">
        <v>0</v>
      </c>
      <c r="CH411" s="5">
        <f t="shared" si="256"/>
        <v>3000000</v>
      </c>
      <c r="CI411" s="5">
        <f t="shared" si="257"/>
        <v>3000000</v>
      </c>
      <c r="CJ411" s="1">
        <f t="shared" si="258"/>
        <v>3.4136890899116465E-2</v>
      </c>
      <c r="CK411" s="5">
        <f>RANK(BY411,$BY$2:$BY$623)+COUNTIF($BY$2:$BY411,$BY411)-1</f>
        <v>162</v>
      </c>
      <c r="CL411" s="5">
        <f>RANK(CJ411,$CJ$2:$CJ$623)+COUNTIF($CJ$2:$CJ411,$CJ411)-1</f>
        <v>108</v>
      </c>
    </row>
    <row r="412" spans="1:90">
      <c r="A412" t="str">
        <f>Players!P413</f>
        <v>Marcus Danielson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2000000</v>
      </c>
      <c r="H412" s="16">
        <f>INDEX('Team forecast'!$B$2:$AO$26,MATCH('Master data'!$B412,'Team forecast'!$B$2:$B$26,0),MATCH('Master data'!H$1,'Team forecast'!$B$2:$AO$2,0))</f>
        <v>0.63639779406972985</v>
      </c>
      <c r="I412" s="16">
        <f>INDEX('Team forecast'!$B$2:$AO$26,MATCH('Master data'!$B412,'Team forecast'!$B$2:$B$26,0),MATCH('Master data'!I$1,'Team forecast'!$B$2:$AO$2,0))</f>
        <v>1.7533592214060363</v>
      </c>
      <c r="J412" s="16">
        <f>INDEX('Team forecast'!$B$2:$AO$26,MATCH('Master data'!$B412,'Team forecast'!$B$2:$B$26,0),MATCH('Master data'!J$1,'Team forecast'!$B$2:$AO$2,0))</f>
        <v>0.1731911776674534</v>
      </c>
      <c r="K412" s="16">
        <f>INDEX('Team forecast'!$B$2:$AO$26,MATCH('Master data'!$B412,'Team forecast'!$B$2:$B$26,0),MATCH('Master data'!K$1,'Team forecast'!$B$2:$AO$2,0))</f>
        <v>2.0682928307266222</v>
      </c>
      <c r="L412" s="16">
        <f>INDEX('Team forecast'!$B$2:$AO$26,MATCH('Master data'!$B412,'Team forecast'!$B$2:$B$26,0),MATCH('Master data'!L$1,'Team forecast'!$B$2:$AO$2,0))</f>
        <v>5.2600776642181089</v>
      </c>
      <c r="M412">
        <f>IF(Players!BC413=1,95,0)</f>
        <v>0</v>
      </c>
      <c r="N412" s="2">
        <f>Players!BN413</f>
        <v>0</v>
      </c>
      <c r="O412" s="2">
        <f>Players!BO413</f>
        <v>0</v>
      </c>
      <c r="P412" s="2">
        <f>Players!BP413</f>
        <v>0</v>
      </c>
      <c r="Q412" s="2">
        <f>Players!BQ413</f>
        <v>6.1475409836065573E-2</v>
      </c>
      <c r="R412" s="2">
        <f>Players!BR413</f>
        <v>0</v>
      </c>
      <c r="S412" s="2">
        <f t="shared" si="217"/>
        <v>0.63639779406972985</v>
      </c>
      <c r="T412" s="2">
        <f t="shared" si="218"/>
        <v>1.7533592214060363</v>
      </c>
      <c r="U412" s="16">
        <f>INDEX('Team forecast'!$B$2:$AO$26,MATCH('Master data'!$B412,'Team forecast'!$B$2:$B$26,0),MATCH('Master data'!U$1,'Team forecast'!$B$2:$AO$2,0))</f>
        <v>0.11906893464637421</v>
      </c>
      <c r="V412" s="16">
        <f>INDEX('Team forecast'!$B$2:$AO$26,MATCH('Master data'!$B412,'Team forecast'!$B$2:$B$26,0),MATCH('Master data'!V$1,'Team forecast'!$B$2:$AO$2,0))</f>
        <v>0.20053715308863029</v>
      </c>
      <c r="W412" s="16">
        <f>INDEX('Team forecast'!$B$2:$AO$26,MATCH('Master data'!$B412,'Team forecast'!$B$2:$B$26,0),MATCH('Master data'!W$1,'Team forecast'!$B$2:$AO$2,0))</f>
        <v>0.68039391226499568</v>
      </c>
      <c r="X412" s="5">
        <f t="shared" si="219"/>
        <v>-5000</v>
      </c>
      <c r="Y412" s="5">
        <f t="shared" si="220"/>
        <v>0</v>
      </c>
      <c r="Z412" s="5">
        <f t="shared" si="221"/>
        <v>0</v>
      </c>
      <c r="AA412" s="5">
        <f t="shared" si="222"/>
        <v>0</v>
      </c>
      <c r="AB412" s="5">
        <f t="shared" si="223"/>
        <v>0</v>
      </c>
      <c r="AC412" s="5">
        <f t="shared" si="224"/>
        <v>0</v>
      </c>
      <c r="AD412" s="5">
        <f t="shared" si="225"/>
        <v>0</v>
      </c>
      <c r="AE412" s="5">
        <f t="shared" si="226"/>
        <v>8659.5588833726706</v>
      </c>
      <c r="AF412" s="5">
        <f t="shared" si="227"/>
        <v>0</v>
      </c>
      <c r="AG412" s="5">
        <f t="shared" si="228"/>
        <v>0</v>
      </c>
      <c r="AH412" s="5">
        <f t="shared" si="229"/>
        <v>0</v>
      </c>
      <c r="AI412" s="5">
        <f t="shared" si="230"/>
        <v>0</v>
      </c>
      <c r="AJ412" s="5">
        <f t="shared" si="231"/>
        <v>0</v>
      </c>
      <c r="AK412" s="5">
        <f>IFERROR(SUM(X412:AJ412),-5000)*((Cockpit!$C$3)^0)</f>
        <v>3659.5588833726706</v>
      </c>
      <c r="AL412" s="16">
        <f>INDEX('Team forecast'!$B$2:$AO$26,MATCH('Master data'!$B412,'Team forecast'!$B$2:$B$26,0),MATCH('Master data'!AL$1,'Team forecast'!$B$2:$AO$2,0))</f>
        <v>1.3852986184856255</v>
      </c>
      <c r="AM412" s="16">
        <f>INDEX('Team forecast'!$B$2:$AO$26,MATCH('Master data'!$B412,'Team forecast'!$B$2:$B$26,0),MATCH('Master data'!AM$1,'Team forecast'!$B$2:$AO$2,0))</f>
        <v>0.80548012323268336</v>
      </c>
      <c r="AN412" s="16">
        <f>INDEX('Team forecast'!$B$2:$AO$26,MATCH('Master data'!$B412,'Team forecast'!$B$2:$B$26,0),MATCH('Master data'!AN$1,'Team forecast'!$B$2:$AO$2,0))</f>
        <v>0.4468733207814955</v>
      </c>
      <c r="AO412" s="16">
        <f>INDEX('Team forecast'!$B$2:$AO$26,MATCH('Master data'!$B412,'Team forecast'!$B$2:$B$26,0),MATCH('Master data'!AO$1,'Team forecast'!$B$2:$AO$2,0))</f>
        <v>4.5022205100782831</v>
      </c>
      <c r="AP412" s="16">
        <f>INDEX('Team forecast'!$B$2:$AO$26,MATCH('Master data'!$B412,'Team forecast'!$B$2:$B$26,0),MATCH('Master data'!AP$1,'Team forecast'!$B$2:$AO$2,0))</f>
        <v>2.4164403696980501</v>
      </c>
      <c r="AQ412" s="5">
        <f t="shared" si="232"/>
        <v>-5000</v>
      </c>
      <c r="AR412" s="5">
        <f>INDEX('Team forecast'!$B$2:$AO$26,MATCH('Master data'!$B412,'Team forecast'!$B$2:$B$26,0),MATCH('Master data'!AR$1,'Team forecast'!$B$2:$AO$2,0))*IF(X412&gt;0,25000,0)</f>
        <v>0</v>
      </c>
      <c r="AS412" s="16">
        <f>INDEX('Team forecast'!$B$2:$AO$26,MATCH('Master data'!$B412,'Team forecast'!$B$2:$B$26,0),MATCH('Master data'!AS$1,'Team forecast'!$B$2:$AO$2,0))*IF(X412&gt;0,5000,0)</f>
        <v>0</v>
      </c>
      <c r="AT412" s="16">
        <f>INDEX('Team forecast'!$B$2:$AO$26,MATCH('Master data'!$B412,'Team forecast'!$B$2:$B$26,0),MATCH('Master data'!AT$1,'Team forecast'!$B$2:$AO$2,0))*IF(X412&gt;0,-15000,0)</f>
        <v>0</v>
      </c>
      <c r="AU412" s="5">
        <f t="shared" si="233"/>
        <v>0</v>
      </c>
      <c r="AV412" s="5">
        <f t="shared" si="234"/>
        <v>0</v>
      </c>
      <c r="AW412" s="5">
        <f t="shared" si="235"/>
        <v>0</v>
      </c>
      <c r="AX412" s="5">
        <f t="shared" si="236"/>
        <v>22343.666039074775</v>
      </c>
      <c r="AY412" s="5">
        <f t="shared" si="237"/>
        <v>0</v>
      </c>
      <c r="AZ412" s="5">
        <f t="shared" si="238"/>
        <v>0</v>
      </c>
      <c r="BA412" s="5">
        <f t="shared" si="239"/>
        <v>0</v>
      </c>
      <c r="BB412" s="5">
        <f t="shared" si="240"/>
        <v>0</v>
      </c>
      <c r="BC412" s="5">
        <f t="shared" si="241"/>
        <v>0</v>
      </c>
      <c r="BD412" s="5">
        <f t="shared" si="242"/>
        <v>17343.666039074775</v>
      </c>
      <c r="BE412" s="16">
        <f>INDEX('Team forecast'!$B$2:$AO$26,MATCH('Master data'!$B412,'Team forecast'!$B$2:$B$26,0),MATCH('Master data'!BE$1,'Team forecast'!$B$2:$AO$2,0))</f>
        <v>1.2688103238212438</v>
      </c>
      <c r="BF412" s="16">
        <f>INDEX('Team forecast'!$B$2:$AO$26,MATCH('Master data'!$B412,'Team forecast'!$B$2:$B$26,0),MATCH('Master data'!BF$1,'Team forecast'!$B$2:$AO$2,0))</f>
        <v>1.2236898885407743</v>
      </c>
      <c r="BG412" s="16">
        <f>INDEX('Team forecast'!$B$2:$AO$26,MATCH('Master data'!$B412,'Team forecast'!$B$2:$B$26,0),MATCH('Master data'!BG$1,'Team forecast'!$B$2:$AO$2,0))</f>
        <v>0.29414280786478092</v>
      </c>
      <c r="BH412" s="16">
        <f>INDEX('Team forecast'!$B$2:$AO$26,MATCH('Master data'!$B412,'Team forecast'!$B$2:$B$26,0),MATCH('Master data'!BH$1,'Team forecast'!$B$2:$AO$2,0))</f>
        <v>4.1236335524190419</v>
      </c>
      <c r="BI412" s="16">
        <f>INDEX('Team forecast'!$B$2:$AO$26,MATCH('Master data'!$B412,'Team forecast'!$B$2:$B$26,0),MATCH('Master data'!BI$1,'Team forecast'!$B$2:$AO$2,0))</f>
        <v>3.6710696656223227</v>
      </c>
      <c r="BJ412" s="5">
        <f t="shared" si="243"/>
        <v>-5000</v>
      </c>
      <c r="BK412" s="5">
        <f>INDEX('Team forecast'!$R$3:$BH$26,MATCH($B412,'Team forecast'!$B$3:$B$26,0),MATCH(BK$1,'Team forecast'!$R$2:$BH$2,0))*IF($X412&gt;0,25000,0)</f>
        <v>0</v>
      </c>
      <c r="BL412" s="5">
        <f>INDEX('Team forecast'!$R$3:$BH$26,MATCH($B412,'Team forecast'!$B$3:$B$26,0),MATCH(BL$1,'Team forecast'!$R$2:$BH$2,0))*IF($X412&gt;0,5000,0)</f>
        <v>0</v>
      </c>
      <c r="BM412" s="5">
        <f>INDEX('Team forecast'!$R$3:$BH$26,MATCH($B412,'Team forecast'!$B$3:$B$26,0),MATCH(BM$1,'Team forecast'!$R$2:$BH$2,0))*IF($X412&gt;0,-15000,0)</f>
        <v>0</v>
      </c>
      <c r="BN412" s="5">
        <f t="shared" si="244"/>
        <v>0</v>
      </c>
      <c r="BO412" s="5">
        <f t="shared" si="245"/>
        <v>0</v>
      </c>
      <c r="BP412" s="5">
        <f t="shared" si="246"/>
        <v>0</v>
      </c>
      <c r="BQ412" s="5">
        <f t="shared" si="247"/>
        <v>14707.140393239046</v>
      </c>
      <c r="BR412" s="5">
        <f t="shared" si="248"/>
        <v>0</v>
      </c>
      <c r="BS412" s="5">
        <f t="shared" si="249"/>
        <v>0</v>
      </c>
      <c r="BT412" s="5">
        <f t="shared" si="250"/>
        <v>0</v>
      </c>
      <c r="BU412" s="5">
        <f t="shared" si="251"/>
        <v>0</v>
      </c>
      <c r="BV412" s="5">
        <f t="shared" si="252"/>
        <v>0</v>
      </c>
      <c r="BW412" s="5">
        <f t="shared" si="253"/>
        <v>9707.1403932390458</v>
      </c>
      <c r="BX412" s="5">
        <f t="shared" si="254"/>
        <v>10236.788438562164</v>
      </c>
      <c r="BY412" s="5">
        <f t="shared" si="255"/>
        <v>30710.365315686489</v>
      </c>
      <c r="BZ412" s="5">
        <f>INDEX('Team forecast'!$R$3:$BH$26,MATCH($B412,'Team forecast'!$B$3:$B$26,0),MATCH(BZ$1,'Team forecast'!$R$2:$BH$2,0))*($BX412-(BY412+CH412)*0.01)</f>
        <v>-6595.2019182136564</v>
      </c>
      <c r="CA412" s="5">
        <f>INDEX('Team forecast'!$R$3:$BH$26,MATCH($B412,'Team forecast'!$B$3:$B$26,0),MATCH(CA$1,'Team forecast'!$R$2:$BH$2,0))*($BX412-(BY412+BX412+CH412)*0.01)</f>
        <v>-3277.0311535817082</v>
      </c>
      <c r="CB412" s="5">
        <f>INDEX('Team forecast'!$R$3:$BH$26,MATCH($B412,'Team forecast'!$B$3:$B$26,0),MATCH(CB$1,'Team forecast'!$R$2:$BH$2,0))*($BX412-(BY412+BX412*2+CH412)*0.01)</f>
        <v>-1603.582563697332</v>
      </c>
      <c r="CC412" s="5">
        <f>INDEX('Team forecast'!$R$3:$BH$26,MATCH($B412,'Team forecast'!$B$3:$B$26,0),MATCH(CC$1,'Team forecast'!$R$2:$BH$2,0))*($BX412-(BY412+BX412*3+CH412)*0.01)</f>
        <v>-742.81216842870663</v>
      </c>
      <c r="CD412" s="5">
        <f>+AK412+BD412*Cockpit!$C$3+BW412*Cockpit!$C$3^2+BZ412*Cockpit!$C$3^3+CA412*Cockpit!$C$3^4+CB412*Cockpit!$C$3^5+CC412*Cockpit!$C$3^6</f>
        <v>16658.4548738466</v>
      </c>
      <c r="CE412" s="5"/>
      <c r="CF412" s="5"/>
      <c r="CG412" s="5">
        <v>0</v>
      </c>
      <c r="CH412" s="5">
        <f t="shared" si="256"/>
        <v>2000000</v>
      </c>
      <c r="CI412" s="5">
        <f t="shared" si="257"/>
        <v>2000000</v>
      </c>
      <c r="CJ412" s="1">
        <f t="shared" si="258"/>
        <v>1.5355182657843245E-2</v>
      </c>
      <c r="CK412" s="5">
        <f>RANK(BY412,$BY$2:$BY$623)+COUNTIF($BY$2:$BY412,$BY412)-1</f>
        <v>348</v>
      </c>
      <c r="CL412" s="5">
        <f>RANK(CJ412,$CJ$2:$CJ$623)+COUNTIF($CJ$2:$CJ412,$CJ412)-1</f>
        <v>304</v>
      </c>
    </row>
    <row r="413" spans="1:90">
      <c r="A413" t="str">
        <f>Players!P414</f>
        <v>Mikael Lustig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3000000</v>
      </c>
      <c r="H413" s="16">
        <f>INDEX('Team forecast'!$B$2:$AO$26,MATCH('Master data'!$B413,'Team forecast'!$B$2:$B$26,0),MATCH('Master data'!H$1,'Team forecast'!$B$2:$AO$2,0))</f>
        <v>0.63639779406972985</v>
      </c>
      <c r="I413" s="16">
        <f>INDEX('Team forecast'!$B$2:$AO$26,MATCH('Master data'!$B413,'Team forecast'!$B$2:$B$26,0),MATCH('Master data'!I$1,'Team forecast'!$B$2:$AO$2,0))</f>
        <v>1.7533592214060363</v>
      </c>
      <c r="J413" s="16">
        <f>INDEX('Team forecast'!$B$2:$AO$26,MATCH('Master data'!$B413,'Team forecast'!$B$2:$B$26,0),MATCH('Master data'!J$1,'Team forecast'!$B$2:$AO$2,0))</f>
        <v>0.1731911776674534</v>
      </c>
      <c r="K413" s="16">
        <f>INDEX('Team forecast'!$B$2:$AO$26,MATCH('Master data'!$B413,'Team forecast'!$B$2:$B$26,0),MATCH('Master data'!K$1,'Team forecast'!$B$2:$AO$2,0))</f>
        <v>2.0682928307266222</v>
      </c>
      <c r="L413" s="16">
        <f>INDEX('Team forecast'!$B$2:$AO$26,MATCH('Master data'!$B413,'Team forecast'!$B$2:$B$26,0),MATCH('Master data'!L$1,'Team forecast'!$B$2:$AO$2,0))</f>
        <v>5.2600776642181089</v>
      </c>
      <c r="M413">
        <f>IF(Players!BC414=1,95,0)</f>
        <v>95</v>
      </c>
      <c r="N413" s="2">
        <f>Players!BN414</f>
        <v>3.3135479830755682E-2</v>
      </c>
      <c r="O413" s="2">
        <f>Players!BO414</f>
        <v>0.10134027550408052</v>
      </c>
      <c r="P413" s="2">
        <f>Players!BP414</f>
        <v>0.10146789684325541</v>
      </c>
      <c r="Q413" s="2">
        <f>Players!BQ414</f>
        <v>0.18313953488372092</v>
      </c>
      <c r="R413" s="2">
        <f>Players!BR414</f>
        <v>0</v>
      </c>
      <c r="S413" s="2">
        <f t="shared" si="217"/>
        <v>0.63639779406972985</v>
      </c>
      <c r="T413" s="2">
        <f t="shared" si="218"/>
        <v>1.7533592214060363</v>
      </c>
      <c r="U413" s="16">
        <f>INDEX('Team forecast'!$B$2:$AO$26,MATCH('Master data'!$B413,'Team forecast'!$B$2:$B$26,0),MATCH('Master data'!U$1,'Team forecast'!$B$2:$AO$2,0))</f>
        <v>0.11906893464637421</v>
      </c>
      <c r="V413" s="16">
        <f>INDEX('Team forecast'!$B$2:$AO$26,MATCH('Master data'!$B413,'Team forecast'!$B$2:$B$26,0),MATCH('Master data'!V$1,'Team forecast'!$B$2:$AO$2,0))</f>
        <v>0.20053715308863029</v>
      </c>
      <c r="W413" s="16">
        <f>INDEX('Team forecast'!$B$2:$AO$26,MATCH('Master data'!$B413,'Team forecast'!$B$2:$B$26,0),MATCH('Master data'!W$1,'Team forecast'!$B$2:$AO$2,0))</f>
        <v>0.68039391226499568</v>
      </c>
      <c r="X413" s="5">
        <f t="shared" si="219"/>
        <v>7000</v>
      </c>
      <c r="Y413" s="5">
        <f t="shared" si="220"/>
        <v>2976.723366159355</v>
      </c>
      <c r="Z413" s="5">
        <f t="shared" si="221"/>
        <v>1002.6857654431515</v>
      </c>
      <c r="AA413" s="5">
        <f t="shared" si="222"/>
        <v>-10205.908683974934</v>
      </c>
      <c r="AB413" s="5">
        <f t="shared" si="223"/>
        <v>3163.1019404602416</v>
      </c>
      <c r="AC413" s="5">
        <f t="shared" si="224"/>
        <v>3224.6363890607763</v>
      </c>
      <c r="AD413" s="5">
        <f t="shared" si="225"/>
        <v>2098.6532358981362</v>
      </c>
      <c r="AE413" s="5">
        <f t="shared" si="226"/>
        <v>8659.5588833726706</v>
      </c>
      <c r="AF413" s="5">
        <f t="shared" si="227"/>
        <v>0</v>
      </c>
      <c r="AG413" s="5">
        <f t="shared" si="228"/>
        <v>-3662.7906976744184</v>
      </c>
      <c r="AH413" s="5">
        <f t="shared" si="229"/>
        <v>0</v>
      </c>
      <c r="AI413" s="5">
        <f t="shared" si="230"/>
        <v>6363.9779406972984</v>
      </c>
      <c r="AJ413" s="5">
        <f t="shared" si="231"/>
        <v>-14026.873771248291</v>
      </c>
      <c r="AK413" s="5">
        <f>IFERROR(SUM(X413:AJ413),-5000)*((Cockpit!$C$3)^0)</f>
        <v>6593.7643681939844</v>
      </c>
      <c r="AL413" s="16">
        <f>INDEX('Team forecast'!$B$2:$AO$26,MATCH('Master data'!$B413,'Team forecast'!$B$2:$B$26,0),MATCH('Master data'!AL$1,'Team forecast'!$B$2:$AO$2,0))</f>
        <v>1.3852986184856255</v>
      </c>
      <c r="AM413" s="16">
        <f>INDEX('Team forecast'!$B$2:$AO$26,MATCH('Master data'!$B413,'Team forecast'!$B$2:$B$26,0),MATCH('Master data'!AM$1,'Team forecast'!$B$2:$AO$2,0))</f>
        <v>0.80548012323268336</v>
      </c>
      <c r="AN413" s="16">
        <f>INDEX('Team forecast'!$B$2:$AO$26,MATCH('Master data'!$B413,'Team forecast'!$B$2:$B$26,0),MATCH('Master data'!AN$1,'Team forecast'!$B$2:$AO$2,0))</f>
        <v>0.4468733207814955</v>
      </c>
      <c r="AO413" s="16">
        <f>INDEX('Team forecast'!$B$2:$AO$26,MATCH('Master data'!$B413,'Team forecast'!$B$2:$B$26,0),MATCH('Master data'!AO$1,'Team forecast'!$B$2:$AO$2,0))</f>
        <v>4.5022205100782831</v>
      </c>
      <c r="AP413" s="16">
        <f>INDEX('Team forecast'!$B$2:$AO$26,MATCH('Master data'!$B413,'Team forecast'!$B$2:$B$26,0),MATCH('Master data'!AP$1,'Team forecast'!$B$2:$AO$2,0))</f>
        <v>2.4164403696980501</v>
      </c>
      <c r="AQ413" s="5">
        <f t="shared" si="232"/>
        <v>7000</v>
      </c>
      <c r="AR413" s="5">
        <f>INDEX('Team forecast'!$B$2:$AO$26,MATCH('Master data'!$B413,'Team forecast'!$B$2:$B$26,0),MATCH('Master data'!AR$1,'Team forecast'!$B$2:$AO$2,0))*IF(X413&gt;0,25000,0)</f>
        <v>12681.540184339738</v>
      </c>
      <c r="AS413" s="16">
        <f>INDEX('Team forecast'!$B$2:$AO$26,MATCH('Master data'!$B413,'Team forecast'!$B$2:$B$26,0),MATCH('Master data'!AS$1,'Team forecast'!$B$2:$AO$2,0))*IF(X413&gt;0,5000,0)</f>
        <v>1380.0499612369715</v>
      </c>
      <c r="AT413" s="16">
        <f>INDEX('Team forecast'!$B$2:$AO$26,MATCH('Master data'!$B413,'Team forecast'!$B$2:$B$26,0),MATCH('Master data'!AT$1,'Team forecast'!$B$2:$AO$2,0))*IF(X413&gt;0,-15000,0)</f>
        <v>-3250.9260056852445</v>
      </c>
      <c r="AU413" s="5">
        <f t="shared" si="233"/>
        <v>6885.3801648606241</v>
      </c>
      <c r="AV413" s="5">
        <f t="shared" si="234"/>
        <v>7019.3271826377713</v>
      </c>
      <c r="AW413" s="5">
        <f t="shared" si="235"/>
        <v>4568.3084628221195</v>
      </c>
      <c r="AX413" s="5">
        <f t="shared" si="236"/>
        <v>22343.666039074775</v>
      </c>
      <c r="AY413" s="5">
        <f t="shared" si="237"/>
        <v>0</v>
      </c>
      <c r="AZ413" s="5">
        <f t="shared" si="238"/>
        <v>-3662.7906976744184</v>
      </c>
      <c r="BA413" s="5">
        <f t="shared" si="239"/>
        <v>0</v>
      </c>
      <c r="BB413" s="5">
        <f t="shared" si="240"/>
        <v>13852.986184856256</v>
      </c>
      <c r="BC413" s="5">
        <f t="shared" si="241"/>
        <v>-6443.8409858614668</v>
      </c>
      <c r="BD413" s="5">
        <f t="shared" si="242"/>
        <v>62373.700490607116</v>
      </c>
      <c r="BE413" s="16">
        <f>INDEX('Team forecast'!$B$2:$AO$26,MATCH('Master data'!$B413,'Team forecast'!$B$2:$B$26,0),MATCH('Master data'!BE$1,'Team forecast'!$B$2:$AO$2,0))</f>
        <v>1.2688103238212438</v>
      </c>
      <c r="BF413" s="16">
        <f>INDEX('Team forecast'!$B$2:$AO$26,MATCH('Master data'!$B413,'Team forecast'!$B$2:$B$26,0),MATCH('Master data'!BF$1,'Team forecast'!$B$2:$AO$2,0))</f>
        <v>1.2236898885407743</v>
      </c>
      <c r="BG413" s="16">
        <f>INDEX('Team forecast'!$B$2:$AO$26,MATCH('Master data'!$B413,'Team forecast'!$B$2:$B$26,0),MATCH('Master data'!BG$1,'Team forecast'!$B$2:$AO$2,0))</f>
        <v>0.29414280786478092</v>
      </c>
      <c r="BH413" s="16">
        <f>INDEX('Team forecast'!$B$2:$AO$26,MATCH('Master data'!$B413,'Team forecast'!$B$2:$B$26,0),MATCH('Master data'!BH$1,'Team forecast'!$B$2:$AO$2,0))</f>
        <v>4.1236335524190419</v>
      </c>
      <c r="BI413" s="16">
        <f>INDEX('Team forecast'!$B$2:$AO$26,MATCH('Master data'!$B413,'Team forecast'!$B$2:$B$26,0),MATCH('Master data'!BI$1,'Team forecast'!$B$2:$AO$2,0))</f>
        <v>3.6710696656223227</v>
      </c>
      <c r="BJ413" s="5">
        <f t="shared" si="243"/>
        <v>7000</v>
      </c>
      <c r="BK413" s="5">
        <f>INDEX('Team forecast'!$R$3:$BH$26,MATCH($B413,'Team forecast'!$B$3:$B$26,0),MATCH(BK$1,'Team forecast'!$R$2:$BH$2,0))*IF($X413&gt;0,25000,0)</f>
        <v>9372.1973094170389</v>
      </c>
      <c r="BL413" s="5">
        <f>INDEX('Team forecast'!$R$3:$BH$26,MATCH($B413,'Team forecast'!$B$3:$B$26,0),MATCH(BL$1,'Team forecast'!$R$2:$BH$2,0))*IF($X413&gt;0,5000,0)</f>
        <v>1448.4304932735427</v>
      </c>
      <c r="BM413" s="5">
        <f>INDEX('Team forecast'!$R$3:$BH$26,MATCH($B413,'Team forecast'!$B$3:$B$26,0),MATCH(BM$1,'Team forecast'!$R$2:$BH$2,0))*IF($X413&gt;0,-15000,0)</f>
        <v>-5031.390134529147</v>
      </c>
      <c r="BN413" s="5">
        <f t="shared" si="244"/>
        <v>6306.395834105012</v>
      </c>
      <c r="BO413" s="5">
        <f t="shared" si="245"/>
        <v>6429.0793889233237</v>
      </c>
      <c r="BP413" s="5">
        <f t="shared" si="246"/>
        <v>4184.1642391624227</v>
      </c>
      <c r="BQ413" s="5">
        <f t="shared" si="247"/>
        <v>14707.140393239046</v>
      </c>
      <c r="BR413" s="5">
        <f t="shared" si="248"/>
        <v>0</v>
      </c>
      <c r="BS413" s="5">
        <f t="shared" si="249"/>
        <v>-3662.7906976744184</v>
      </c>
      <c r="BT413" s="5">
        <f t="shared" si="250"/>
        <v>0</v>
      </c>
      <c r="BU413" s="5">
        <f t="shared" si="251"/>
        <v>12688.103238212438</v>
      </c>
      <c r="BV413" s="5">
        <f t="shared" si="252"/>
        <v>-9789.5191083261943</v>
      </c>
      <c r="BW413" s="5">
        <f t="shared" si="253"/>
        <v>43651.810955803063</v>
      </c>
      <c r="BX413" s="5">
        <f t="shared" si="254"/>
        <v>37539.758604868053</v>
      </c>
      <c r="BY413" s="5">
        <f t="shared" si="255"/>
        <v>112619.27581460416</v>
      </c>
      <c r="BZ413" s="5">
        <f>INDEX('Team forecast'!$R$3:$BH$26,MATCH($B413,'Team forecast'!$B$3:$B$26,0),MATCH(BZ$1,'Team forecast'!$R$2:$BH$2,0))*($BX413-(BY413+CH413)*0.01)</f>
        <v>4200.3413868900443</v>
      </c>
      <c r="CA413" s="5">
        <f>INDEX('Team forecast'!$R$3:$BH$26,MATCH($B413,'Team forecast'!$B$3:$B$26,0),MATCH(CA$1,'Team forecast'!$R$2:$BH$2,0))*($BX413-(BY413+BX413+CH413)*0.01)</f>
        <v>1945.1373161106517</v>
      </c>
      <c r="CB413" s="5">
        <f>INDEX('Team forecast'!$R$3:$BH$26,MATCH($B413,'Team forecast'!$B$3:$B$26,0),MATCH(CB$1,'Team forecast'!$R$2:$BH$2,0))*($BX413-(BY413+BX413*2+CH413)*0.01)</f>
        <v>883.76401545308624</v>
      </c>
      <c r="CC413" s="5">
        <f>INDEX('Team forecast'!$R$3:$BH$26,MATCH($B413,'Team forecast'!$B$3:$B$26,0),MATCH(CC$1,'Team forecast'!$R$2:$BH$2,0))*($BX413-(BY413+BX413*3+CH413)*0.01)</f>
        <v>378.4683955874342</v>
      </c>
      <c r="CD413" s="5">
        <f>+AK413+BD413*Cockpit!$C$3+BW413*Cockpit!$C$3^2+BZ413*Cockpit!$C$3^3+CA413*Cockpit!$C$3^4+CB413*Cockpit!$C$3^5+CC413*Cockpit!$C$3^6</f>
        <v>69355.413235141212</v>
      </c>
      <c r="CE413" s="5"/>
      <c r="CF413" s="5"/>
      <c r="CG413" s="5">
        <v>0</v>
      </c>
      <c r="CH413" s="5">
        <f t="shared" si="256"/>
        <v>3000000</v>
      </c>
      <c r="CI413" s="5">
        <f t="shared" si="257"/>
        <v>3000000</v>
      </c>
      <c r="CJ413" s="1">
        <f t="shared" si="258"/>
        <v>3.7539758604868051E-2</v>
      </c>
      <c r="CK413" s="5">
        <f>RANK(BY413,$BY$2:$BY$623)+COUNTIF($BY$2:$BY413,$BY413)-1</f>
        <v>147</v>
      </c>
      <c r="CL413" s="5">
        <f>RANK(CJ413,$CJ$2:$CJ$623)+COUNTIF($CJ$2:$CJ413,$CJ413)-1</f>
        <v>87</v>
      </c>
    </row>
    <row r="414" spans="1:90">
      <c r="A414" t="str">
        <f>Players!P415</f>
        <v>Pierre Bengtsson</v>
      </c>
      <c r="B414" t="str">
        <f>Players!G415</f>
        <v>Sweden</v>
      </c>
      <c r="C414" t="str">
        <f>Players!AB415</f>
        <v>Defense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2500000</v>
      </c>
      <c r="H414" s="16">
        <f>INDEX('Team forecast'!$B$2:$AO$26,MATCH('Master data'!$B414,'Team forecast'!$B$2:$B$26,0),MATCH('Master data'!H$1,'Team forecast'!$B$2:$AO$2,0))</f>
        <v>0.63639779406972985</v>
      </c>
      <c r="I414" s="16">
        <f>INDEX('Team forecast'!$B$2:$AO$26,MATCH('Master data'!$B414,'Team forecast'!$B$2:$B$26,0),MATCH('Master data'!I$1,'Team forecast'!$B$2:$AO$2,0))</f>
        <v>1.7533592214060363</v>
      </c>
      <c r="J414" s="16">
        <f>INDEX('Team forecast'!$B$2:$AO$26,MATCH('Master data'!$B414,'Team forecast'!$B$2:$B$26,0),MATCH('Master data'!J$1,'Team forecast'!$B$2:$AO$2,0))</f>
        <v>0.1731911776674534</v>
      </c>
      <c r="K414" s="16">
        <f>INDEX('Team forecast'!$B$2:$AO$26,MATCH('Master data'!$B414,'Team forecast'!$B$2:$B$26,0),MATCH('Master data'!K$1,'Team forecast'!$B$2:$AO$2,0))</f>
        <v>2.0682928307266222</v>
      </c>
      <c r="L414" s="16">
        <f>INDEX('Team forecast'!$B$2:$AO$26,MATCH('Master data'!$B414,'Team forecast'!$B$2:$B$26,0),MATCH('Master data'!L$1,'Team forecast'!$B$2:$AO$2,0))</f>
        <v>5.2600776642181089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6.5375302663438245E-2</v>
      </c>
      <c r="R414" s="2">
        <f>Players!BR415</f>
        <v>4.3583535108958835E-2</v>
      </c>
      <c r="S414" s="2">
        <f t="shared" si="217"/>
        <v>0.63639779406972985</v>
      </c>
      <c r="T414" s="2">
        <f t="shared" si="218"/>
        <v>1.7533592214060363</v>
      </c>
      <c r="U414" s="16">
        <f>INDEX('Team forecast'!$B$2:$AO$26,MATCH('Master data'!$B414,'Team forecast'!$B$2:$B$26,0),MATCH('Master data'!U$1,'Team forecast'!$B$2:$AO$2,0))</f>
        <v>0.11906893464637421</v>
      </c>
      <c r="V414" s="16">
        <f>INDEX('Team forecast'!$B$2:$AO$26,MATCH('Master data'!$B414,'Team forecast'!$B$2:$B$26,0),MATCH('Master data'!V$1,'Team forecast'!$B$2:$AO$2,0))</f>
        <v>0.20053715308863029</v>
      </c>
      <c r="W414" s="16">
        <f>INDEX('Team forecast'!$B$2:$AO$26,MATCH('Master data'!$B414,'Team forecast'!$B$2:$B$26,0),MATCH('Master data'!W$1,'Team forecast'!$B$2:$AO$2,0))</f>
        <v>0.68039391226499568</v>
      </c>
      <c r="X414" s="5">
        <f t="shared" si="219"/>
        <v>-5000</v>
      </c>
      <c r="Y414" s="5">
        <f t="shared" si="220"/>
        <v>0</v>
      </c>
      <c r="Z414" s="5">
        <f t="shared" si="221"/>
        <v>0</v>
      </c>
      <c r="AA414" s="5">
        <f t="shared" si="222"/>
        <v>0</v>
      </c>
      <c r="AB414" s="5">
        <f t="shared" si="223"/>
        <v>0</v>
      </c>
      <c r="AC414" s="5">
        <f t="shared" si="224"/>
        <v>0</v>
      </c>
      <c r="AD414" s="5">
        <f t="shared" si="225"/>
        <v>0</v>
      </c>
      <c r="AE414" s="5">
        <f t="shared" si="226"/>
        <v>8659.5588833726706</v>
      </c>
      <c r="AF414" s="5">
        <f t="shared" si="227"/>
        <v>0</v>
      </c>
      <c r="AG414" s="5">
        <f t="shared" si="228"/>
        <v>0</v>
      </c>
      <c r="AH414" s="5">
        <f t="shared" si="229"/>
        <v>0</v>
      </c>
      <c r="AI414" s="5">
        <f t="shared" si="230"/>
        <v>0</v>
      </c>
      <c r="AJ414" s="5">
        <f t="shared" si="231"/>
        <v>0</v>
      </c>
      <c r="AK414" s="5">
        <f>IFERROR(SUM(X414:AJ414),-5000)*((Cockpit!$C$3)^0)</f>
        <v>3659.5588833726706</v>
      </c>
      <c r="AL414" s="16">
        <f>INDEX('Team forecast'!$B$2:$AO$26,MATCH('Master data'!$B414,'Team forecast'!$B$2:$B$26,0),MATCH('Master data'!AL$1,'Team forecast'!$B$2:$AO$2,0))</f>
        <v>1.3852986184856255</v>
      </c>
      <c r="AM414" s="16">
        <f>INDEX('Team forecast'!$B$2:$AO$26,MATCH('Master data'!$B414,'Team forecast'!$B$2:$B$26,0),MATCH('Master data'!AM$1,'Team forecast'!$B$2:$AO$2,0))</f>
        <v>0.80548012323268336</v>
      </c>
      <c r="AN414" s="16">
        <f>INDEX('Team forecast'!$B$2:$AO$26,MATCH('Master data'!$B414,'Team forecast'!$B$2:$B$26,0),MATCH('Master data'!AN$1,'Team forecast'!$B$2:$AO$2,0))</f>
        <v>0.4468733207814955</v>
      </c>
      <c r="AO414" s="16">
        <f>INDEX('Team forecast'!$B$2:$AO$26,MATCH('Master data'!$B414,'Team forecast'!$B$2:$B$26,0),MATCH('Master data'!AO$1,'Team forecast'!$B$2:$AO$2,0))</f>
        <v>4.5022205100782831</v>
      </c>
      <c r="AP414" s="16">
        <f>INDEX('Team forecast'!$B$2:$AO$26,MATCH('Master data'!$B414,'Team forecast'!$B$2:$B$26,0),MATCH('Master data'!AP$1,'Team forecast'!$B$2:$AO$2,0))</f>
        <v>2.4164403696980501</v>
      </c>
      <c r="AQ414" s="5">
        <f t="shared" si="232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233"/>
        <v>0</v>
      </c>
      <c r="AV414" s="5">
        <f t="shared" si="234"/>
        <v>0</v>
      </c>
      <c r="AW414" s="5">
        <f t="shared" si="235"/>
        <v>0</v>
      </c>
      <c r="AX414" s="5">
        <f t="shared" si="236"/>
        <v>22343.666039074775</v>
      </c>
      <c r="AY414" s="5">
        <f t="shared" si="237"/>
        <v>0</v>
      </c>
      <c r="AZ414" s="5">
        <f t="shared" si="238"/>
        <v>0</v>
      </c>
      <c r="BA414" s="5">
        <f t="shared" si="239"/>
        <v>0</v>
      </c>
      <c r="BB414" s="5">
        <f t="shared" si="240"/>
        <v>0</v>
      </c>
      <c r="BC414" s="5">
        <f t="shared" si="241"/>
        <v>0</v>
      </c>
      <c r="BD414" s="5">
        <f t="shared" si="242"/>
        <v>17343.666039074775</v>
      </c>
      <c r="BE414" s="16">
        <f>INDEX('Team forecast'!$B$2:$AO$26,MATCH('Master data'!$B414,'Team forecast'!$B$2:$B$26,0),MATCH('Master data'!BE$1,'Team forecast'!$B$2:$AO$2,0))</f>
        <v>1.2688103238212438</v>
      </c>
      <c r="BF414" s="16">
        <f>INDEX('Team forecast'!$B$2:$AO$26,MATCH('Master data'!$B414,'Team forecast'!$B$2:$B$26,0),MATCH('Master data'!BF$1,'Team forecast'!$B$2:$AO$2,0))</f>
        <v>1.2236898885407743</v>
      </c>
      <c r="BG414" s="16">
        <f>INDEX('Team forecast'!$B$2:$AO$26,MATCH('Master data'!$B414,'Team forecast'!$B$2:$B$26,0),MATCH('Master data'!BG$1,'Team forecast'!$B$2:$AO$2,0))</f>
        <v>0.29414280786478092</v>
      </c>
      <c r="BH414" s="16">
        <f>INDEX('Team forecast'!$B$2:$AO$26,MATCH('Master data'!$B414,'Team forecast'!$B$2:$B$26,0),MATCH('Master data'!BH$1,'Team forecast'!$B$2:$AO$2,0))</f>
        <v>4.1236335524190419</v>
      </c>
      <c r="BI414" s="16">
        <f>INDEX('Team forecast'!$B$2:$AO$26,MATCH('Master data'!$B414,'Team forecast'!$B$2:$B$26,0),MATCH('Master data'!BI$1,'Team forecast'!$B$2:$AO$2,0))</f>
        <v>3.6710696656223227</v>
      </c>
      <c r="BJ414" s="5">
        <f t="shared" si="243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244"/>
        <v>0</v>
      </c>
      <c r="BO414" s="5">
        <f t="shared" si="245"/>
        <v>0</v>
      </c>
      <c r="BP414" s="5">
        <f t="shared" si="246"/>
        <v>0</v>
      </c>
      <c r="BQ414" s="5">
        <f t="shared" si="247"/>
        <v>14707.140393239046</v>
      </c>
      <c r="BR414" s="5">
        <f t="shared" si="248"/>
        <v>0</v>
      </c>
      <c r="BS414" s="5">
        <f t="shared" si="249"/>
        <v>0</v>
      </c>
      <c r="BT414" s="5">
        <f t="shared" si="250"/>
        <v>0</v>
      </c>
      <c r="BU414" s="5">
        <f t="shared" si="251"/>
        <v>0</v>
      </c>
      <c r="BV414" s="5">
        <f t="shared" si="252"/>
        <v>0</v>
      </c>
      <c r="BW414" s="5">
        <f t="shared" si="253"/>
        <v>9707.1403932390458</v>
      </c>
      <c r="BX414" s="5">
        <f t="shared" si="254"/>
        <v>10236.788438562164</v>
      </c>
      <c r="BY414" s="5">
        <f t="shared" si="255"/>
        <v>30710.365315686489</v>
      </c>
      <c r="BZ414" s="5">
        <f>INDEX('Team forecast'!$R$3:$BH$26,MATCH($B414,'Team forecast'!$B$3:$B$26,0),MATCH(BZ$1,'Team forecast'!$R$2:$BH$2,0))*($BX414-(BY414+CH414)*0.01)</f>
        <v>-9869.7776279468362</v>
      </c>
      <c r="CA414" s="5">
        <f>INDEX('Team forecast'!$R$3:$BH$26,MATCH($B414,'Team forecast'!$B$3:$B$26,0),MATCH(CA$1,'Team forecast'!$R$2:$BH$2,0))*($BX414-(BY414+BX414+CH414)*0.01)</f>
        <v>-4887.7326379866363</v>
      </c>
      <c r="CB414" s="5">
        <f>INDEX('Team forecast'!$R$3:$BH$26,MATCH($B414,'Team forecast'!$B$3:$B$26,0),MATCH(CB$1,'Team forecast'!$R$2:$BH$2,0))*($BX414-(BY414+BX414*2+CH414)*0.01)</f>
        <v>-2383.9108395829394</v>
      </c>
      <c r="CC414" s="5">
        <f>INDEX('Team forecast'!$R$3:$BH$26,MATCH($B414,'Team forecast'!$B$3:$B$26,0),MATCH(CC$1,'Team forecast'!$R$2:$BH$2,0))*($BX414-(BY414+BX414*3+CH414)*0.01)</f>
        <v>-1100.7104945418785</v>
      </c>
      <c r="CD414" s="5">
        <f>+AK414+BD414*Cockpit!$C$3+BW414*Cockpit!$C$3^2+BZ414*Cockpit!$C$3^3+CA414*Cockpit!$C$3^4+CB414*Cockpit!$C$3^5+CC414*Cockpit!$C$3^6</f>
        <v>15235.867254624463</v>
      </c>
      <c r="CE414" s="5"/>
      <c r="CF414" s="5"/>
      <c r="CG414" s="5">
        <v>0</v>
      </c>
      <c r="CH414" s="5">
        <f t="shared" si="256"/>
        <v>2500000</v>
      </c>
      <c r="CI414" s="5">
        <f t="shared" si="257"/>
        <v>2500000</v>
      </c>
      <c r="CJ414" s="1">
        <f t="shared" si="258"/>
        <v>1.2284146126274596E-2</v>
      </c>
      <c r="CK414" s="5">
        <f>RANK(BY414,$BY$2:$BY$623)+COUNTIF($BY$2:$BY414,$BY414)-1</f>
        <v>349</v>
      </c>
      <c r="CL414" s="5">
        <f>RANK(CJ414,$CJ$2:$CJ$623)+COUNTIF($CJ$2:$CJ414,$CJ414)-1</f>
        <v>335</v>
      </c>
    </row>
    <row r="415" spans="1:90">
      <c r="A415" t="str">
        <f>Players!P416</f>
        <v>Jens-Lys Cajuste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2000000</v>
      </c>
      <c r="H415" s="16">
        <f>INDEX('Team forecast'!$B$2:$AO$26,MATCH('Master data'!$B415,'Team forecast'!$B$2:$B$26,0),MATCH('Master data'!H$1,'Team forecast'!$B$2:$AO$2,0))</f>
        <v>0.63639779406972985</v>
      </c>
      <c r="I415" s="16">
        <f>INDEX('Team forecast'!$B$2:$AO$26,MATCH('Master data'!$B415,'Team forecast'!$B$2:$B$26,0),MATCH('Master data'!I$1,'Team forecast'!$B$2:$AO$2,0))</f>
        <v>1.7533592214060363</v>
      </c>
      <c r="J415" s="16">
        <f>INDEX('Team forecast'!$B$2:$AO$26,MATCH('Master data'!$B415,'Team forecast'!$B$2:$B$26,0),MATCH('Master data'!J$1,'Team forecast'!$B$2:$AO$2,0))</f>
        <v>0.1731911776674534</v>
      </c>
      <c r="K415" s="16">
        <f>INDEX('Team forecast'!$B$2:$AO$26,MATCH('Master data'!$B415,'Team forecast'!$B$2:$B$26,0),MATCH('Master data'!K$1,'Team forecast'!$B$2:$AO$2,0))</f>
        <v>2.0682928307266222</v>
      </c>
      <c r="L415" s="16">
        <f>INDEX('Team forecast'!$B$2:$AO$26,MATCH('Master data'!$B415,'Team forecast'!$B$2:$B$26,0),MATCH('Master data'!L$1,'Team forecast'!$B$2:$AO$2,0))</f>
        <v>5.2600776642181089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8.0405002977963075E-2</v>
      </c>
      <c r="R415" s="2">
        <f>Players!BR416</f>
        <v>0</v>
      </c>
      <c r="S415" s="2">
        <f t="shared" si="217"/>
        <v>0.63639779406972985</v>
      </c>
      <c r="T415" s="2">
        <f t="shared" si="218"/>
        <v>1.7533592214060363</v>
      </c>
      <c r="U415" s="16">
        <f>INDEX('Team forecast'!$B$2:$AO$26,MATCH('Master data'!$B415,'Team forecast'!$B$2:$B$26,0),MATCH('Master data'!U$1,'Team forecast'!$B$2:$AO$2,0))</f>
        <v>0.11906893464637421</v>
      </c>
      <c r="V415" s="16">
        <f>INDEX('Team forecast'!$B$2:$AO$26,MATCH('Master data'!$B415,'Team forecast'!$B$2:$B$26,0),MATCH('Master data'!V$1,'Team forecast'!$B$2:$AO$2,0))</f>
        <v>0.20053715308863029</v>
      </c>
      <c r="W415" s="16">
        <f>INDEX('Team forecast'!$B$2:$AO$26,MATCH('Master data'!$B415,'Team forecast'!$B$2:$B$26,0),MATCH('Master data'!W$1,'Team forecast'!$B$2:$AO$2,0))</f>
        <v>0.68039391226499568</v>
      </c>
      <c r="X415" s="5">
        <f t="shared" si="219"/>
        <v>-5000</v>
      </c>
      <c r="Y415" s="5">
        <f t="shared" si="220"/>
        <v>0</v>
      </c>
      <c r="Z415" s="5">
        <f t="shared" si="221"/>
        <v>0</v>
      </c>
      <c r="AA415" s="5">
        <f t="shared" si="222"/>
        <v>0</v>
      </c>
      <c r="AB415" s="5">
        <f t="shared" si="223"/>
        <v>0</v>
      </c>
      <c r="AC415" s="5">
        <f t="shared" si="224"/>
        <v>0</v>
      </c>
      <c r="AD415" s="5">
        <f t="shared" si="225"/>
        <v>0</v>
      </c>
      <c r="AE415" s="5">
        <f t="shared" si="226"/>
        <v>0</v>
      </c>
      <c r="AF415" s="5">
        <f t="shared" si="227"/>
        <v>0</v>
      </c>
      <c r="AG415" s="5">
        <f t="shared" si="228"/>
        <v>0</v>
      </c>
      <c r="AH415" s="5">
        <f t="shared" si="229"/>
        <v>0</v>
      </c>
      <c r="AI415" s="5">
        <f t="shared" si="230"/>
        <v>0</v>
      </c>
      <c r="AJ415" s="5">
        <f t="shared" si="231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1.3852986184856255</v>
      </c>
      <c r="AM415" s="16">
        <f>INDEX('Team forecast'!$B$2:$AO$26,MATCH('Master data'!$B415,'Team forecast'!$B$2:$B$26,0),MATCH('Master data'!AM$1,'Team forecast'!$B$2:$AO$2,0))</f>
        <v>0.80548012323268336</v>
      </c>
      <c r="AN415" s="16">
        <f>INDEX('Team forecast'!$B$2:$AO$26,MATCH('Master data'!$B415,'Team forecast'!$B$2:$B$26,0),MATCH('Master data'!AN$1,'Team forecast'!$B$2:$AO$2,0))</f>
        <v>0.4468733207814955</v>
      </c>
      <c r="AO415" s="16">
        <f>INDEX('Team forecast'!$B$2:$AO$26,MATCH('Master data'!$B415,'Team forecast'!$B$2:$B$26,0),MATCH('Master data'!AO$1,'Team forecast'!$B$2:$AO$2,0))</f>
        <v>4.5022205100782831</v>
      </c>
      <c r="AP415" s="16">
        <f>INDEX('Team forecast'!$B$2:$AO$26,MATCH('Master data'!$B415,'Team forecast'!$B$2:$B$26,0),MATCH('Master data'!AP$1,'Team forecast'!$B$2:$AO$2,0))</f>
        <v>2.4164403696980501</v>
      </c>
      <c r="AQ415" s="5">
        <f t="shared" si="232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233"/>
        <v>0</v>
      </c>
      <c r="AV415" s="5">
        <f t="shared" si="234"/>
        <v>0</v>
      </c>
      <c r="AW415" s="5">
        <f t="shared" si="235"/>
        <v>0</v>
      </c>
      <c r="AX415" s="5">
        <f t="shared" si="236"/>
        <v>0</v>
      </c>
      <c r="AY415" s="5">
        <f t="shared" si="237"/>
        <v>0</v>
      </c>
      <c r="AZ415" s="5">
        <f t="shared" si="238"/>
        <v>0</v>
      </c>
      <c r="BA415" s="5">
        <f t="shared" si="239"/>
        <v>0</v>
      </c>
      <c r="BB415" s="5">
        <f t="shared" si="240"/>
        <v>0</v>
      </c>
      <c r="BC415" s="5">
        <f t="shared" si="241"/>
        <v>0</v>
      </c>
      <c r="BD415" s="5">
        <f t="shared" si="242"/>
        <v>-5000</v>
      </c>
      <c r="BE415" s="16">
        <f>INDEX('Team forecast'!$B$2:$AO$26,MATCH('Master data'!$B415,'Team forecast'!$B$2:$B$26,0),MATCH('Master data'!BE$1,'Team forecast'!$B$2:$AO$2,0))</f>
        <v>1.2688103238212438</v>
      </c>
      <c r="BF415" s="16">
        <f>INDEX('Team forecast'!$B$2:$AO$26,MATCH('Master data'!$B415,'Team forecast'!$B$2:$B$26,0),MATCH('Master data'!BF$1,'Team forecast'!$B$2:$AO$2,0))</f>
        <v>1.2236898885407743</v>
      </c>
      <c r="BG415" s="16">
        <f>INDEX('Team forecast'!$B$2:$AO$26,MATCH('Master data'!$B415,'Team forecast'!$B$2:$B$26,0),MATCH('Master data'!BG$1,'Team forecast'!$B$2:$AO$2,0))</f>
        <v>0.29414280786478092</v>
      </c>
      <c r="BH415" s="16">
        <f>INDEX('Team forecast'!$B$2:$AO$26,MATCH('Master data'!$B415,'Team forecast'!$B$2:$B$26,0),MATCH('Master data'!BH$1,'Team forecast'!$B$2:$AO$2,0))</f>
        <v>4.1236335524190419</v>
      </c>
      <c r="BI415" s="16">
        <f>INDEX('Team forecast'!$B$2:$AO$26,MATCH('Master data'!$B415,'Team forecast'!$B$2:$B$26,0),MATCH('Master data'!BI$1,'Team forecast'!$B$2:$AO$2,0))</f>
        <v>3.6710696656223227</v>
      </c>
      <c r="BJ415" s="5">
        <f t="shared" si="243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244"/>
        <v>0</v>
      </c>
      <c r="BO415" s="5">
        <f t="shared" si="245"/>
        <v>0</v>
      </c>
      <c r="BP415" s="5">
        <f t="shared" si="246"/>
        <v>0</v>
      </c>
      <c r="BQ415" s="5">
        <f t="shared" si="247"/>
        <v>0</v>
      </c>
      <c r="BR415" s="5">
        <f t="shared" si="248"/>
        <v>0</v>
      </c>
      <c r="BS415" s="5">
        <f t="shared" si="249"/>
        <v>0</v>
      </c>
      <c r="BT415" s="5">
        <f t="shared" si="250"/>
        <v>0</v>
      </c>
      <c r="BU415" s="5">
        <f t="shared" si="251"/>
        <v>0</v>
      </c>
      <c r="BV415" s="5">
        <f t="shared" si="252"/>
        <v>0</v>
      </c>
      <c r="BW415" s="5">
        <f t="shared" si="253"/>
        <v>-5000</v>
      </c>
      <c r="BX415" s="5">
        <f t="shared" si="254"/>
        <v>-5000</v>
      </c>
      <c r="BY415" s="5">
        <f t="shared" si="255"/>
        <v>-15000</v>
      </c>
      <c r="BZ415" s="5">
        <f>INDEX('Team forecast'!$R$3:$BH$26,MATCH($B415,'Team forecast'!$B$3:$B$26,0),MATCH(BZ$1,'Team forecast'!$R$2:$BH$2,0))*($BX415-(BY415+CH415)*0.01)</f>
        <v>-16274.641277373905</v>
      </c>
      <c r="CA415" s="5">
        <f>INDEX('Team forecast'!$R$3:$BH$26,MATCH($B415,'Team forecast'!$B$3:$B$26,0),MATCH(CA$1,'Team forecast'!$R$2:$BH$2,0))*($BX415-(BY415+BX415+CH415)*0.01)</f>
        <v>-7989.0793626484456</v>
      </c>
      <c r="CB415" s="5">
        <f>INDEX('Team forecast'!$R$3:$BH$26,MATCH($B415,'Team forecast'!$B$3:$B$26,0),MATCH(CB$1,'Team forecast'!$R$2:$BH$2,0))*($BX415-(BY415+BX415*2+CH415)*0.01)</f>
        <v>-3862.6249656337559</v>
      </c>
      <c r="CC415" s="5">
        <f>INDEX('Team forecast'!$R$3:$BH$26,MATCH($B415,'Team forecast'!$B$3:$B$26,0),MATCH(CC$1,'Team forecast'!$R$2:$BH$2,0))*($BX415-(BY415+BX415*3+CH415)*0.01)</f>
        <v>-1768.0177309990693</v>
      </c>
      <c r="CD415" s="5">
        <f>+AK415+BD415*Cockpit!$C$3+BW415*Cockpit!$C$3^2+BZ415*Cockpit!$C$3^3+CA415*Cockpit!$C$3^4+CB415*Cockpit!$C$3^5+CC415*Cockpit!$C$3^6</f>
        <v>-17619.636592069848</v>
      </c>
      <c r="CE415" s="5"/>
      <c r="CF415" s="5"/>
      <c r="CG415" s="5">
        <v>0</v>
      </c>
      <c r="CH415" s="5">
        <f t="shared" si="256"/>
        <v>2000000</v>
      </c>
      <c r="CI415" s="5">
        <f t="shared" si="257"/>
        <v>2000000</v>
      </c>
      <c r="CJ415" s="1">
        <f t="shared" si="258"/>
        <v>-7.4999999999999997E-3</v>
      </c>
      <c r="CK415" s="5">
        <f>RANK(BY415,$BY$2:$BY$623)+COUNTIF($BY$2:$BY415,$BY415)-1</f>
        <v>544</v>
      </c>
      <c r="CL415" s="5">
        <f>RANK(CJ415,$CJ$2:$CJ$623)+COUNTIF($CJ$2:$CJ415,$CJ415)-1</f>
        <v>591</v>
      </c>
    </row>
    <row r="416" spans="1:90">
      <c r="A416" t="str">
        <f>Players!P417</f>
        <v>Mattias Svanberg</v>
      </c>
      <c r="B416" t="str">
        <f>Players!G417</f>
        <v>Sweden</v>
      </c>
      <c r="C416" t="str">
        <f>Players!AB417</f>
        <v>Midfield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3000000</v>
      </c>
      <c r="H416" s="16">
        <f>INDEX('Team forecast'!$B$2:$AO$26,MATCH('Master data'!$B416,'Team forecast'!$B$2:$B$26,0),MATCH('Master data'!H$1,'Team forecast'!$B$2:$AO$2,0))</f>
        <v>0.63639779406972985</v>
      </c>
      <c r="I416" s="16">
        <f>INDEX('Team forecast'!$B$2:$AO$26,MATCH('Master data'!$B416,'Team forecast'!$B$2:$B$26,0),MATCH('Master data'!I$1,'Team forecast'!$B$2:$AO$2,0))</f>
        <v>1.7533592214060363</v>
      </c>
      <c r="J416" s="16">
        <f>INDEX('Team forecast'!$B$2:$AO$26,MATCH('Master data'!$B416,'Team forecast'!$B$2:$B$26,0),MATCH('Master data'!J$1,'Team forecast'!$B$2:$AO$2,0))</f>
        <v>0.1731911776674534</v>
      </c>
      <c r="K416" s="16">
        <f>INDEX('Team forecast'!$B$2:$AO$26,MATCH('Master data'!$B416,'Team forecast'!$B$2:$B$26,0),MATCH('Master data'!K$1,'Team forecast'!$B$2:$AO$2,0))</f>
        <v>2.0682928307266222</v>
      </c>
      <c r="L416" s="16">
        <f>INDEX('Team forecast'!$B$2:$AO$26,MATCH('Master data'!$B416,'Team forecast'!$B$2:$B$26,0),MATCH('Master data'!L$1,'Team forecast'!$B$2:$AO$2,0))</f>
        <v>5.2600776642181089</v>
      </c>
      <c r="M416">
        <f>IF(Players!BC417=1,95,0)</f>
        <v>0</v>
      </c>
      <c r="N416" s="2">
        <f>Players!BN417</f>
        <v>0</v>
      </c>
      <c r="O416" s="2">
        <f>Players!BO417</f>
        <v>0</v>
      </c>
      <c r="P416" s="2">
        <f>Players!BP417</f>
        <v>0</v>
      </c>
      <c r="Q416" s="2">
        <f>Players!BQ417</f>
        <v>0.64516129032258063</v>
      </c>
      <c r="R416" s="2">
        <f>Players!BR417</f>
        <v>4.8387096774193547E-2</v>
      </c>
      <c r="S416" s="2">
        <f t="shared" si="217"/>
        <v>0.63639779406972985</v>
      </c>
      <c r="T416" s="2">
        <f t="shared" si="218"/>
        <v>1.7533592214060363</v>
      </c>
      <c r="U416" s="16">
        <f>INDEX('Team forecast'!$B$2:$AO$26,MATCH('Master data'!$B416,'Team forecast'!$B$2:$B$26,0),MATCH('Master data'!U$1,'Team forecast'!$B$2:$AO$2,0))</f>
        <v>0.11906893464637421</v>
      </c>
      <c r="V416" s="16">
        <f>INDEX('Team forecast'!$B$2:$AO$26,MATCH('Master data'!$B416,'Team forecast'!$B$2:$B$26,0),MATCH('Master data'!V$1,'Team forecast'!$B$2:$AO$2,0))</f>
        <v>0.20053715308863029</v>
      </c>
      <c r="W416" s="16">
        <f>INDEX('Team forecast'!$B$2:$AO$26,MATCH('Master data'!$B416,'Team forecast'!$B$2:$B$26,0),MATCH('Master data'!W$1,'Team forecast'!$B$2:$AO$2,0))</f>
        <v>0.68039391226499568</v>
      </c>
      <c r="X416" s="5">
        <f t="shared" si="219"/>
        <v>-5000</v>
      </c>
      <c r="Y416" s="5">
        <f t="shared" si="220"/>
        <v>0</v>
      </c>
      <c r="Z416" s="5">
        <f t="shared" si="221"/>
        <v>0</v>
      </c>
      <c r="AA416" s="5">
        <f t="shared" si="222"/>
        <v>0</v>
      </c>
      <c r="AB416" s="5">
        <f t="shared" si="223"/>
        <v>0</v>
      </c>
      <c r="AC416" s="5">
        <f t="shared" si="224"/>
        <v>0</v>
      </c>
      <c r="AD416" s="5">
        <f t="shared" si="225"/>
        <v>0</v>
      </c>
      <c r="AE416" s="5">
        <f t="shared" si="226"/>
        <v>0</v>
      </c>
      <c r="AF416" s="5">
        <f t="shared" si="227"/>
        <v>0</v>
      </c>
      <c r="AG416" s="5">
        <f t="shared" si="228"/>
        <v>0</v>
      </c>
      <c r="AH416" s="5">
        <f t="shared" si="229"/>
        <v>0</v>
      </c>
      <c r="AI416" s="5">
        <f t="shared" si="230"/>
        <v>0</v>
      </c>
      <c r="AJ416" s="5">
        <f t="shared" si="231"/>
        <v>0</v>
      </c>
      <c r="AK416" s="5">
        <f>IFERROR(SUM(X416:AJ416),-5000)*((Cockpit!$C$3)^0)</f>
        <v>-5000</v>
      </c>
      <c r="AL416" s="16">
        <f>INDEX('Team forecast'!$B$2:$AO$26,MATCH('Master data'!$B416,'Team forecast'!$B$2:$B$26,0),MATCH('Master data'!AL$1,'Team forecast'!$B$2:$AO$2,0))</f>
        <v>1.3852986184856255</v>
      </c>
      <c r="AM416" s="16">
        <f>INDEX('Team forecast'!$B$2:$AO$26,MATCH('Master data'!$B416,'Team forecast'!$B$2:$B$26,0),MATCH('Master data'!AM$1,'Team forecast'!$B$2:$AO$2,0))</f>
        <v>0.80548012323268336</v>
      </c>
      <c r="AN416" s="16">
        <f>INDEX('Team forecast'!$B$2:$AO$26,MATCH('Master data'!$B416,'Team forecast'!$B$2:$B$26,0),MATCH('Master data'!AN$1,'Team forecast'!$B$2:$AO$2,0))</f>
        <v>0.4468733207814955</v>
      </c>
      <c r="AO416" s="16">
        <f>INDEX('Team forecast'!$B$2:$AO$26,MATCH('Master data'!$B416,'Team forecast'!$B$2:$B$26,0),MATCH('Master data'!AO$1,'Team forecast'!$B$2:$AO$2,0))</f>
        <v>4.5022205100782831</v>
      </c>
      <c r="AP416" s="16">
        <f>INDEX('Team forecast'!$B$2:$AO$26,MATCH('Master data'!$B416,'Team forecast'!$B$2:$B$26,0),MATCH('Master data'!AP$1,'Team forecast'!$B$2:$AO$2,0))</f>
        <v>2.4164403696980501</v>
      </c>
      <c r="AQ416" s="5">
        <f t="shared" si="232"/>
        <v>-5000</v>
      </c>
      <c r="AR416" s="5">
        <f>INDEX('Team forecast'!$B$2:$AO$26,MATCH('Master data'!$B416,'Team forecast'!$B$2:$B$26,0),MATCH('Master data'!AR$1,'Team forecast'!$B$2:$AO$2,0))*IF(X416&gt;0,25000,0)</f>
        <v>0</v>
      </c>
      <c r="AS416" s="16">
        <f>INDEX('Team forecast'!$B$2:$AO$26,MATCH('Master data'!$B416,'Team forecast'!$B$2:$B$26,0),MATCH('Master data'!AS$1,'Team forecast'!$B$2:$AO$2,0))*IF(X416&gt;0,5000,0)</f>
        <v>0</v>
      </c>
      <c r="AT416" s="16">
        <f>INDEX('Team forecast'!$B$2:$AO$26,MATCH('Master data'!$B416,'Team forecast'!$B$2:$B$26,0),MATCH('Master data'!AT$1,'Team forecast'!$B$2:$AO$2,0))*IF(X416&gt;0,-15000,0)</f>
        <v>0</v>
      </c>
      <c r="AU416" s="5">
        <f t="shared" si="233"/>
        <v>0</v>
      </c>
      <c r="AV416" s="5">
        <f t="shared" si="234"/>
        <v>0</v>
      </c>
      <c r="AW416" s="5">
        <f t="shared" si="235"/>
        <v>0</v>
      </c>
      <c r="AX416" s="5">
        <f t="shared" si="236"/>
        <v>0</v>
      </c>
      <c r="AY416" s="5">
        <f t="shared" si="237"/>
        <v>0</v>
      </c>
      <c r="AZ416" s="5">
        <f t="shared" si="238"/>
        <v>0</v>
      </c>
      <c r="BA416" s="5">
        <f t="shared" si="239"/>
        <v>0</v>
      </c>
      <c r="BB416" s="5">
        <f t="shared" si="240"/>
        <v>0</v>
      </c>
      <c r="BC416" s="5">
        <f t="shared" si="241"/>
        <v>0</v>
      </c>
      <c r="BD416" s="5">
        <f t="shared" si="242"/>
        <v>-5000</v>
      </c>
      <c r="BE416" s="16">
        <f>INDEX('Team forecast'!$B$2:$AO$26,MATCH('Master data'!$B416,'Team forecast'!$B$2:$B$26,0),MATCH('Master data'!BE$1,'Team forecast'!$B$2:$AO$2,0))</f>
        <v>1.2688103238212438</v>
      </c>
      <c r="BF416" s="16">
        <f>INDEX('Team forecast'!$B$2:$AO$26,MATCH('Master data'!$B416,'Team forecast'!$B$2:$B$26,0),MATCH('Master data'!BF$1,'Team forecast'!$B$2:$AO$2,0))</f>
        <v>1.2236898885407743</v>
      </c>
      <c r="BG416" s="16">
        <f>INDEX('Team forecast'!$B$2:$AO$26,MATCH('Master data'!$B416,'Team forecast'!$B$2:$B$26,0),MATCH('Master data'!BG$1,'Team forecast'!$B$2:$AO$2,0))</f>
        <v>0.29414280786478092</v>
      </c>
      <c r="BH416" s="16">
        <f>INDEX('Team forecast'!$B$2:$AO$26,MATCH('Master data'!$B416,'Team forecast'!$B$2:$B$26,0),MATCH('Master data'!BH$1,'Team forecast'!$B$2:$AO$2,0))</f>
        <v>4.1236335524190419</v>
      </c>
      <c r="BI416" s="16">
        <f>INDEX('Team forecast'!$B$2:$AO$26,MATCH('Master data'!$B416,'Team forecast'!$B$2:$B$26,0),MATCH('Master data'!BI$1,'Team forecast'!$B$2:$AO$2,0))</f>
        <v>3.6710696656223227</v>
      </c>
      <c r="BJ416" s="5">
        <f t="shared" si="243"/>
        <v>-5000</v>
      </c>
      <c r="BK416" s="5">
        <f>INDEX('Team forecast'!$R$3:$BH$26,MATCH($B416,'Team forecast'!$B$3:$B$26,0),MATCH(BK$1,'Team forecast'!$R$2:$BH$2,0))*IF($X416&gt;0,25000,0)</f>
        <v>0</v>
      </c>
      <c r="BL416" s="5">
        <f>INDEX('Team forecast'!$R$3:$BH$26,MATCH($B416,'Team forecast'!$B$3:$B$26,0),MATCH(BL$1,'Team forecast'!$R$2:$BH$2,0))*IF($X416&gt;0,5000,0)</f>
        <v>0</v>
      </c>
      <c r="BM416" s="5">
        <f>INDEX('Team forecast'!$R$3:$BH$26,MATCH($B416,'Team forecast'!$B$3:$B$26,0),MATCH(BM$1,'Team forecast'!$R$2:$BH$2,0))*IF($X416&gt;0,-15000,0)</f>
        <v>0</v>
      </c>
      <c r="BN416" s="5">
        <f t="shared" si="244"/>
        <v>0</v>
      </c>
      <c r="BO416" s="5">
        <f t="shared" si="245"/>
        <v>0</v>
      </c>
      <c r="BP416" s="5">
        <f t="shared" si="246"/>
        <v>0</v>
      </c>
      <c r="BQ416" s="5">
        <f t="shared" si="247"/>
        <v>0</v>
      </c>
      <c r="BR416" s="5">
        <f t="shared" si="248"/>
        <v>0</v>
      </c>
      <c r="BS416" s="5">
        <f t="shared" si="249"/>
        <v>0</v>
      </c>
      <c r="BT416" s="5">
        <f t="shared" si="250"/>
        <v>0</v>
      </c>
      <c r="BU416" s="5">
        <f t="shared" si="251"/>
        <v>0</v>
      </c>
      <c r="BV416" s="5">
        <f t="shared" si="252"/>
        <v>0</v>
      </c>
      <c r="BW416" s="5">
        <f t="shared" si="253"/>
        <v>-5000</v>
      </c>
      <c r="BX416" s="5">
        <f t="shared" si="254"/>
        <v>-5000</v>
      </c>
      <c r="BY416" s="5">
        <f t="shared" si="255"/>
        <v>-15000</v>
      </c>
      <c r="BZ416" s="5">
        <f>INDEX('Team forecast'!$R$3:$BH$26,MATCH($B416,'Team forecast'!$B$3:$B$26,0),MATCH(BZ$1,'Team forecast'!$R$2:$BH$2,0))*($BX416-(BY416+CH416)*0.01)</f>
        <v>-22823.792696840264</v>
      </c>
      <c r="CA416" s="5">
        <f>INDEX('Team forecast'!$R$3:$BH$26,MATCH($B416,'Team forecast'!$B$3:$B$26,0),MATCH(CA$1,'Team forecast'!$R$2:$BH$2,0))*($BX416-(BY416+BX416+CH416)*0.01)</f>
        <v>-11210.482331458303</v>
      </c>
      <c r="CB416" s="5">
        <f>INDEX('Team forecast'!$R$3:$BH$26,MATCH($B416,'Team forecast'!$B$3:$B$26,0),MATCH(CB$1,'Team forecast'!$R$2:$BH$2,0))*($BX416-(BY416+BX416*2+CH416)*0.01)</f>
        <v>-5423.2815174049701</v>
      </c>
      <c r="CC416" s="5">
        <f>INDEX('Team forecast'!$R$3:$BH$26,MATCH($B416,'Team forecast'!$B$3:$B$26,0),MATCH(CC$1,'Team forecast'!$R$2:$BH$2,0))*($BX416-(BY416+BX416*3+CH416)*0.01)</f>
        <v>-2483.8143832254132</v>
      </c>
      <c r="CD416" s="5">
        <f>+AK416+BD416*Cockpit!$C$3+BW416*Cockpit!$C$3^2+BZ416*Cockpit!$C$3^3+CA416*Cockpit!$C$3^4+CB416*Cockpit!$C$3^5+CC416*Cockpit!$C$3^6</f>
        <v>-20464.811830514125</v>
      </c>
      <c r="CE416" s="5"/>
      <c r="CF416" s="5"/>
      <c r="CG416" s="5">
        <v>0</v>
      </c>
      <c r="CH416" s="5">
        <f t="shared" si="256"/>
        <v>3000000</v>
      </c>
      <c r="CI416" s="5">
        <f t="shared" si="257"/>
        <v>3000000</v>
      </c>
      <c r="CJ416" s="1">
        <f t="shared" si="258"/>
        <v>-5.0000000000000001E-3</v>
      </c>
      <c r="CK416" s="5">
        <f>RANK(BY416,$BY$2:$BY$623)+COUNTIF($BY$2:$BY416,$BY416)-1</f>
        <v>545</v>
      </c>
      <c r="CL416" s="5">
        <f>RANK(CJ416,$CJ$2:$CJ$623)+COUNTIF($CJ$2:$CJ416,$CJ416)-1</f>
        <v>514</v>
      </c>
    </row>
    <row r="417" spans="1:90">
      <c r="A417" t="str">
        <f>Players!P418</f>
        <v>Kristoffer K. Olsson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3500000</v>
      </c>
      <c r="H417" s="16">
        <f>INDEX('Team forecast'!$B$2:$AO$26,MATCH('Master data'!$B417,'Team forecast'!$B$2:$B$26,0),MATCH('Master data'!H$1,'Team forecast'!$B$2:$AO$2,0))</f>
        <v>0.63639779406972985</v>
      </c>
      <c r="I417" s="16">
        <f>INDEX('Team forecast'!$B$2:$AO$26,MATCH('Master data'!$B417,'Team forecast'!$B$2:$B$26,0),MATCH('Master data'!I$1,'Team forecast'!$B$2:$AO$2,0))</f>
        <v>1.7533592214060363</v>
      </c>
      <c r="J417" s="16">
        <f>INDEX('Team forecast'!$B$2:$AO$26,MATCH('Master data'!$B417,'Team forecast'!$B$2:$B$26,0),MATCH('Master data'!J$1,'Team forecast'!$B$2:$AO$2,0))</f>
        <v>0.1731911776674534</v>
      </c>
      <c r="K417" s="16">
        <f>INDEX('Team forecast'!$B$2:$AO$26,MATCH('Master data'!$B417,'Team forecast'!$B$2:$B$26,0),MATCH('Master data'!K$1,'Team forecast'!$B$2:$AO$2,0))</f>
        <v>2.0682928307266222</v>
      </c>
      <c r="L417" s="16">
        <f>INDEX('Team forecast'!$B$2:$AO$26,MATCH('Master data'!$B417,'Team forecast'!$B$2:$B$26,0),MATCH('Master data'!L$1,'Team forecast'!$B$2:$AO$2,0))</f>
        <v>5.2600776642181089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1.0990109890109891</v>
      </c>
      <c r="R417" s="2">
        <f>Players!BR418</f>
        <v>0</v>
      </c>
      <c r="S417" s="2">
        <f t="shared" si="217"/>
        <v>0.63639779406972985</v>
      </c>
      <c r="T417" s="2">
        <f t="shared" si="218"/>
        <v>1.7533592214060363</v>
      </c>
      <c r="U417" s="16">
        <f>INDEX('Team forecast'!$B$2:$AO$26,MATCH('Master data'!$B417,'Team forecast'!$B$2:$B$26,0),MATCH('Master data'!U$1,'Team forecast'!$B$2:$AO$2,0))</f>
        <v>0.11906893464637421</v>
      </c>
      <c r="V417" s="16">
        <f>INDEX('Team forecast'!$B$2:$AO$26,MATCH('Master data'!$B417,'Team forecast'!$B$2:$B$26,0),MATCH('Master data'!V$1,'Team forecast'!$B$2:$AO$2,0))</f>
        <v>0.20053715308863029</v>
      </c>
      <c r="W417" s="16">
        <f>INDEX('Team forecast'!$B$2:$AO$26,MATCH('Master data'!$B417,'Team forecast'!$B$2:$B$26,0),MATCH('Master data'!W$1,'Team forecast'!$B$2:$AO$2,0))</f>
        <v>0.68039391226499568</v>
      </c>
      <c r="X417" s="5">
        <f t="shared" si="219"/>
        <v>-5000</v>
      </c>
      <c r="Y417" s="5">
        <f t="shared" si="220"/>
        <v>0</v>
      </c>
      <c r="Z417" s="5">
        <f t="shared" si="221"/>
        <v>0</v>
      </c>
      <c r="AA417" s="5">
        <f t="shared" si="222"/>
        <v>0</v>
      </c>
      <c r="AB417" s="5">
        <f t="shared" si="223"/>
        <v>0</v>
      </c>
      <c r="AC417" s="5">
        <f t="shared" si="224"/>
        <v>0</v>
      </c>
      <c r="AD417" s="5">
        <f t="shared" si="225"/>
        <v>0</v>
      </c>
      <c r="AE417" s="5">
        <f t="shared" si="226"/>
        <v>0</v>
      </c>
      <c r="AF417" s="5">
        <f t="shared" si="227"/>
        <v>0</v>
      </c>
      <c r="AG417" s="5">
        <f t="shared" si="228"/>
        <v>0</v>
      </c>
      <c r="AH417" s="5">
        <f t="shared" si="229"/>
        <v>0</v>
      </c>
      <c r="AI417" s="5">
        <f t="shared" si="230"/>
        <v>0</v>
      </c>
      <c r="AJ417" s="5">
        <f t="shared" si="231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1.3852986184856255</v>
      </c>
      <c r="AM417" s="16">
        <f>INDEX('Team forecast'!$B$2:$AO$26,MATCH('Master data'!$B417,'Team forecast'!$B$2:$B$26,0),MATCH('Master data'!AM$1,'Team forecast'!$B$2:$AO$2,0))</f>
        <v>0.80548012323268336</v>
      </c>
      <c r="AN417" s="16">
        <f>INDEX('Team forecast'!$B$2:$AO$26,MATCH('Master data'!$B417,'Team forecast'!$B$2:$B$26,0),MATCH('Master data'!AN$1,'Team forecast'!$B$2:$AO$2,0))</f>
        <v>0.4468733207814955</v>
      </c>
      <c r="AO417" s="16">
        <f>INDEX('Team forecast'!$B$2:$AO$26,MATCH('Master data'!$B417,'Team forecast'!$B$2:$B$26,0),MATCH('Master data'!AO$1,'Team forecast'!$B$2:$AO$2,0))</f>
        <v>4.5022205100782831</v>
      </c>
      <c r="AP417" s="16">
        <f>INDEX('Team forecast'!$B$2:$AO$26,MATCH('Master data'!$B417,'Team forecast'!$B$2:$B$26,0),MATCH('Master data'!AP$1,'Team forecast'!$B$2:$AO$2,0))</f>
        <v>2.4164403696980501</v>
      </c>
      <c r="AQ417" s="5">
        <f t="shared" si="232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233"/>
        <v>0</v>
      </c>
      <c r="AV417" s="5">
        <f t="shared" si="234"/>
        <v>0</v>
      </c>
      <c r="AW417" s="5">
        <f t="shared" si="235"/>
        <v>0</v>
      </c>
      <c r="AX417" s="5">
        <f t="shared" si="236"/>
        <v>0</v>
      </c>
      <c r="AY417" s="5">
        <f t="shared" si="237"/>
        <v>0</v>
      </c>
      <c r="AZ417" s="5">
        <f t="shared" si="238"/>
        <v>0</v>
      </c>
      <c r="BA417" s="5">
        <f t="shared" si="239"/>
        <v>0</v>
      </c>
      <c r="BB417" s="5">
        <f t="shared" si="240"/>
        <v>0</v>
      </c>
      <c r="BC417" s="5">
        <f t="shared" si="241"/>
        <v>0</v>
      </c>
      <c r="BD417" s="5">
        <f t="shared" si="242"/>
        <v>-5000</v>
      </c>
      <c r="BE417" s="16">
        <f>INDEX('Team forecast'!$B$2:$AO$26,MATCH('Master data'!$B417,'Team forecast'!$B$2:$B$26,0),MATCH('Master data'!BE$1,'Team forecast'!$B$2:$AO$2,0))</f>
        <v>1.2688103238212438</v>
      </c>
      <c r="BF417" s="16">
        <f>INDEX('Team forecast'!$B$2:$AO$26,MATCH('Master data'!$B417,'Team forecast'!$B$2:$B$26,0),MATCH('Master data'!BF$1,'Team forecast'!$B$2:$AO$2,0))</f>
        <v>1.2236898885407743</v>
      </c>
      <c r="BG417" s="16">
        <f>INDEX('Team forecast'!$B$2:$AO$26,MATCH('Master data'!$B417,'Team forecast'!$B$2:$B$26,0),MATCH('Master data'!BG$1,'Team forecast'!$B$2:$AO$2,0))</f>
        <v>0.29414280786478092</v>
      </c>
      <c r="BH417" s="16">
        <f>INDEX('Team forecast'!$B$2:$AO$26,MATCH('Master data'!$B417,'Team forecast'!$B$2:$B$26,0),MATCH('Master data'!BH$1,'Team forecast'!$B$2:$AO$2,0))</f>
        <v>4.1236335524190419</v>
      </c>
      <c r="BI417" s="16">
        <f>INDEX('Team forecast'!$B$2:$AO$26,MATCH('Master data'!$B417,'Team forecast'!$B$2:$B$26,0),MATCH('Master data'!BI$1,'Team forecast'!$B$2:$AO$2,0))</f>
        <v>3.6710696656223227</v>
      </c>
      <c r="BJ417" s="5">
        <f t="shared" si="243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244"/>
        <v>0</v>
      </c>
      <c r="BO417" s="5">
        <f t="shared" si="245"/>
        <v>0</v>
      </c>
      <c r="BP417" s="5">
        <f t="shared" si="246"/>
        <v>0</v>
      </c>
      <c r="BQ417" s="5">
        <f t="shared" si="247"/>
        <v>0</v>
      </c>
      <c r="BR417" s="5">
        <f t="shared" si="248"/>
        <v>0</v>
      </c>
      <c r="BS417" s="5">
        <f t="shared" si="249"/>
        <v>0</v>
      </c>
      <c r="BT417" s="5">
        <f t="shared" si="250"/>
        <v>0</v>
      </c>
      <c r="BU417" s="5">
        <f t="shared" si="251"/>
        <v>0</v>
      </c>
      <c r="BV417" s="5">
        <f t="shared" si="252"/>
        <v>0</v>
      </c>
      <c r="BW417" s="5">
        <f t="shared" si="253"/>
        <v>-5000</v>
      </c>
      <c r="BX417" s="5">
        <f t="shared" si="254"/>
        <v>-5000</v>
      </c>
      <c r="BY417" s="5">
        <f t="shared" si="255"/>
        <v>-15000</v>
      </c>
      <c r="BZ417" s="5">
        <f>INDEX('Team forecast'!$R$3:$BH$26,MATCH($B417,'Team forecast'!$B$3:$B$26,0),MATCH(BZ$1,'Team forecast'!$R$2:$BH$2,0))*($BX417-(BY417+CH417)*0.01)</f>
        <v>-26098.368406573445</v>
      </c>
      <c r="CA417" s="5">
        <f>INDEX('Team forecast'!$R$3:$BH$26,MATCH($B417,'Team forecast'!$B$3:$B$26,0),MATCH(CA$1,'Team forecast'!$R$2:$BH$2,0))*($BX417-(BY417+BX417+CH417)*0.01)</f>
        <v>-12821.183815863231</v>
      </c>
      <c r="CB417" s="5">
        <f>INDEX('Team forecast'!$R$3:$BH$26,MATCH($B417,'Team forecast'!$B$3:$B$26,0),MATCH(CB$1,'Team forecast'!$R$2:$BH$2,0))*($BX417-(BY417+BX417*2+CH417)*0.01)</f>
        <v>-6203.6097932905777</v>
      </c>
      <c r="CC417" s="5">
        <f>INDEX('Team forecast'!$R$3:$BH$26,MATCH($B417,'Team forecast'!$B$3:$B$26,0),MATCH(CC$1,'Team forecast'!$R$2:$BH$2,0))*($BX417-(BY417+BX417*3+CH417)*0.01)</f>
        <v>-2841.7127093385852</v>
      </c>
      <c r="CD417" s="5">
        <f>+AK417+BD417*Cockpit!$C$3+BW417*Cockpit!$C$3^2+BZ417*Cockpit!$C$3^3+CA417*Cockpit!$C$3^4+CB417*Cockpit!$C$3^5+CC417*Cockpit!$C$3^6</f>
        <v>-21887.399449736262</v>
      </c>
      <c r="CE417" s="5"/>
      <c r="CF417" s="5"/>
      <c r="CG417" s="5">
        <v>0</v>
      </c>
      <c r="CH417" s="5">
        <f t="shared" si="256"/>
        <v>3500000</v>
      </c>
      <c r="CI417" s="5">
        <f t="shared" si="257"/>
        <v>3500000</v>
      </c>
      <c r="CJ417" s="1">
        <f t="shared" si="258"/>
        <v>-4.2857142857142859E-3</v>
      </c>
      <c r="CK417" s="5">
        <f>RANK(BY417,$BY$2:$BY$623)+COUNTIF($BY$2:$BY417,$BY417)-1</f>
        <v>546</v>
      </c>
      <c r="CL417" s="5">
        <f>RANK(CJ417,$CJ$2:$CJ$623)+COUNTIF($CJ$2:$CJ417,$CJ417)-1</f>
        <v>477</v>
      </c>
    </row>
    <row r="418" spans="1:90">
      <c r="A418" t="str">
        <f>Players!P419</f>
        <v>Ken Sema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2500000</v>
      </c>
      <c r="H418" s="16">
        <f>INDEX('Team forecast'!$B$2:$AO$26,MATCH('Master data'!$B418,'Team forecast'!$B$2:$B$26,0),MATCH('Master data'!H$1,'Team forecast'!$B$2:$AO$2,0))</f>
        <v>0.63639779406972985</v>
      </c>
      <c r="I418" s="16">
        <f>INDEX('Team forecast'!$B$2:$AO$26,MATCH('Master data'!$B418,'Team forecast'!$B$2:$B$26,0),MATCH('Master data'!I$1,'Team forecast'!$B$2:$AO$2,0))</f>
        <v>1.7533592214060363</v>
      </c>
      <c r="J418" s="16">
        <f>INDEX('Team forecast'!$B$2:$AO$26,MATCH('Master data'!$B418,'Team forecast'!$B$2:$B$26,0),MATCH('Master data'!J$1,'Team forecast'!$B$2:$AO$2,0))</f>
        <v>0.1731911776674534</v>
      </c>
      <c r="K418" s="16">
        <f>INDEX('Team forecast'!$B$2:$AO$26,MATCH('Master data'!$B418,'Team forecast'!$B$2:$B$26,0),MATCH('Master data'!K$1,'Team forecast'!$B$2:$AO$2,0))</f>
        <v>2.0682928307266222</v>
      </c>
      <c r="L418" s="16">
        <f>INDEX('Team forecast'!$B$2:$AO$26,MATCH('Master data'!$B418,'Team forecast'!$B$2:$B$26,0),MATCH('Master data'!L$1,'Team forecast'!$B$2:$AO$2,0))</f>
        <v>5.2600776642181089</v>
      </c>
      <c r="M418">
        <f>IF(Players!BC419=1,95,0)</f>
        <v>0</v>
      </c>
      <c r="N418" s="2">
        <f>Players!BN419</f>
        <v>0</v>
      </c>
      <c r="O418" s="2">
        <f>Players!BO419</f>
        <v>0</v>
      </c>
      <c r="P418" s="2">
        <f>Players!BP419</f>
        <v>0</v>
      </c>
      <c r="Q418" s="2">
        <f>Players!BQ419</f>
        <v>0.15985790408525755</v>
      </c>
      <c r="R418" s="2">
        <f>Players!BR419</f>
        <v>0</v>
      </c>
      <c r="S418" s="2">
        <f t="shared" si="217"/>
        <v>0.63639779406972985</v>
      </c>
      <c r="T418" s="2">
        <f t="shared" si="218"/>
        <v>1.7533592214060363</v>
      </c>
      <c r="U418" s="16">
        <f>INDEX('Team forecast'!$B$2:$AO$26,MATCH('Master data'!$B418,'Team forecast'!$B$2:$B$26,0),MATCH('Master data'!U$1,'Team forecast'!$B$2:$AO$2,0))</f>
        <v>0.11906893464637421</v>
      </c>
      <c r="V418" s="16">
        <f>INDEX('Team forecast'!$B$2:$AO$26,MATCH('Master data'!$B418,'Team forecast'!$B$2:$B$26,0),MATCH('Master data'!V$1,'Team forecast'!$B$2:$AO$2,0))</f>
        <v>0.20053715308863029</v>
      </c>
      <c r="W418" s="16">
        <f>INDEX('Team forecast'!$B$2:$AO$26,MATCH('Master data'!$B418,'Team forecast'!$B$2:$B$26,0),MATCH('Master data'!W$1,'Team forecast'!$B$2:$AO$2,0))</f>
        <v>0.68039391226499568</v>
      </c>
      <c r="X418" s="5">
        <f t="shared" si="219"/>
        <v>-5000</v>
      </c>
      <c r="Y418" s="5">
        <f t="shared" si="220"/>
        <v>0</v>
      </c>
      <c r="Z418" s="5">
        <f t="shared" si="221"/>
        <v>0</v>
      </c>
      <c r="AA418" s="5">
        <f t="shared" si="222"/>
        <v>0</v>
      </c>
      <c r="AB418" s="5">
        <f t="shared" si="223"/>
        <v>0</v>
      </c>
      <c r="AC418" s="5">
        <f t="shared" si="224"/>
        <v>0</v>
      </c>
      <c r="AD418" s="5">
        <f t="shared" si="225"/>
        <v>0</v>
      </c>
      <c r="AE418" s="5">
        <f t="shared" si="226"/>
        <v>0</v>
      </c>
      <c r="AF418" s="5">
        <f t="shared" si="227"/>
        <v>0</v>
      </c>
      <c r="AG418" s="5">
        <f t="shared" si="228"/>
        <v>0</v>
      </c>
      <c r="AH418" s="5">
        <f t="shared" si="229"/>
        <v>0</v>
      </c>
      <c r="AI418" s="5">
        <f t="shared" si="230"/>
        <v>0</v>
      </c>
      <c r="AJ418" s="5">
        <f t="shared" si="231"/>
        <v>0</v>
      </c>
      <c r="AK418" s="5">
        <f>IFERROR(SUM(X418:AJ418),-5000)*((Cockpit!$C$3)^0)</f>
        <v>-5000</v>
      </c>
      <c r="AL418" s="16">
        <f>INDEX('Team forecast'!$B$2:$AO$26,MATCH('Master data'!$B418,'Team forecast'!$B$2:$B$26,0),MATCH('Master data'!AL$1,'Team forecast'!$B$2:$AO$2,0))</f>
        <v>1.3852986184856255</v>
      </c>
      <c r="AM418" s="16">
        <f>INDEX('Team forecast'!$B$2:$AO$26,MATCH('Master data'!$B418,'Team forecast'!$B$2:$B$26,0),MATCH('Master data'!AM$1,'Team forecast'!$B$2:$AO$2,0))</f>
        <v>0.80548012323268336</v>
      </c>
      <c r="AN418" s="16">
        <f>INDEX('Team forecast'!$B$2:$AO$26,MATCH('Master data'!$B418,'Team forecast'!$B$2:$B$26,0),MATCH('Master data'!AN$1,'Team forecast'!$B$2:$AO$2,0))</f>
        <v>0.4468733207814955</v>
      </c>
      <c r="AO418" s="16">
        <f>INDEX('Team forecast'!$B$2:$AO$26,MATCH('Master data'!$B418,'Team forecast'!$B$2:$B$26,0),MATCH('Master data'!AO$1,'Team forecast'!$B$2:$AO$2,0))</f>
        <v>4.5022205100782831</v>
      </c>
      <c r="AP418" s="16">
        <f>INDEX('Team forecast'!$B$2:$AO$26,MATCH('Master data'!$B418,'Team forecast'!$B$2:$B$26,0),MATCH('Master data'!AP$1,'Team forecast'!$B$2:$AO$2,0))</f>
        <v>2.4164403696980501</v>
      </c>
      <c r="AQ418" s="5">
        <f t="shared" si="232"/>
        <v>-5000</v>
      </c>
      <c r="AR418" s="5">
        <f>INDEX('Team forecast'!$B$2:$AO$26,MATCH('Master data'!$B418,'Team forecast'!$B$2:$B$26,0),MATCH('Master data'!AR$1,'Team forecast'!$B$2:$AO$2,0))*IF(X418&gt;0,25000,0)</f>
        <v>0</v>
      </c>
      <c r="AS418" s="16">
        <f>INDEX('Team forecast'!$B$2:$AO$26,MATCH('Master data'!$B418,'Team forecast'!$B$2:$B$26,0),MATCH('Master data'!AS$1,'Team forecast'!$B$2:$AO$2,0))*IF(X418&gt;0,5000,0)</f>
        <v>0</v>
      </c>
      <c r="AT418" s="16">
        <f>INDEX('Team forecast'!$B$2:$AO$26,MATCH('Master data'!$B418,'Team forecast'!$B$2:$B$26,0),MATCH('Master data'!AT$1,'Team forecast'!$B$2:$AO$2,0))*IF(X418&gt;0,-15000,0)</f>
        <v>0</v>
      </c>
      <c r="AU418" s="5">
        <f t="shared" si="233"/>
        <v>0</v>
      </c>
      <c r="AV418" s="5">
        <f t="shared" si="234"/>
        <v>0</v>
      </c>
      <c r="AW418" s="5">
        <f t="shared" si="235"/>
        <v>0</v>
      </c>
      <c r="AX418" s="5">
        <f t="shared" si="236"/>
        <v>0</v>
      </c>
      <c r="AY418" s="5">
        <f t="shared" si="237"/>
        <v>0</v>
      </c>
      <c r="AZ418" s="5">
        <f t="shared" si="238"/>
        <v>0</v>
      </c>
      <c r="BA418" s="5">
        <f t="shared" si="239"/>
        <v>0</v>
      </c>
      <c r="BB418" s="5">
        <f t="shared" si="240"/>
        <v>0</v>
      </c>
      <c r="BC418" s="5">
        <f t="shared" si="241"/>
        <v>0</v>
      </c>
      <c r="BD418" s="5">
        <f t="shared" si="242"/>
        <v>-5000</v>
      </c>
      <c r="BE418" s="16">
        <f>INDEX('Team forecast'!$B$2:$AO$26,MATCH('Master data'!$B418,'Team forecast'!$B$2:$B$26,0),MATCH('Master data'!BE$1,'Team forecast'!$B$2:$AO$2,0))</f>
        <v>1.2688103238212438</v>
      </c>
      <c r="BF418" s="16">
        <f>INDEX('Team forecast'!$B$2:$AO$26,MATCH('Master data'!$B418,'Team forecast'!$B$2:$B$26,0),MATCH('Master data'!BF$1,'Team forecast'!$B$2:$AO$2,0))</f>
        <v>1.2236898885407743</v>
      </c>
      <c r="BG418" s="16">
        <f>INDEX('Team forecast'!$B$2:$AO$26,MATCH('Master data'!$B418,'Team forecast'!$B$2:$B$26,0),MATCH('Master data'!BG$1,'Team forecast'!$B$2:$AO$2,0))</f>
        <v>0.29414280786478092</v>
      </c>
      <c r="BH418" s="16">
        <f>INDEX('Team forecast'!$B$2:$AO$26,MATCH('Master data'!$B418,'Team forecast'!$B$2:$B$26,0),MATCH('Master data'!BH$1,'Team forecast'!$B$2:$AO$2,0))</f>
        <v>4.1236335524190419</v>
      </c>
      <c r="BI418" s="16">
        <f>INDEX('Team forecast'!$B$2:$AO$26,MATCH('Master data'!$B418,'Team forecast'!$B$2:$B$26,0),MATCH('Master data'!BI$1,'Team forecast'!$B$2:$AO$2,0))</f>
        <v>3.6710696656223227</v>
      </c>
      <c r="BJ418" s="5">
        <f t="shared" si="243"/>
        <v>-5000</v>
      </c>
      <c r="BK418" s="5">
        <f>INDEX('Team forecast'!$R$3:$BH$26,MATCH($B418,'Team forecast'!$B$3:$B$26,0),MATCH(BK$1,'Team forecast'!$R$2:$BH$2,0))*IF($X418&gt;0,25000,0)</f>
        <v>0</v>
      </c>
      <c r="BL418" s="5">
        <f>INDEX('Team forecast'!$R$3:$BH$26,MATCH($B418,'Team forecast'!$B$3:$B$26,0),MATCH(BL$1,'Team forecast'!$R$2:$BH$2,0))*IF($X418&gt;0,5000,0)</f>
        <v>0</v>
      </c>
      <c r="BM418" s="5">
        <f>INDEX('Team forecast'!$R$3:$BH$26,MATCH($B418,'Team forecast'!$B$3:$B$26,0),MATCH(BM$1,'Team forecast'!$R$2:$BH$2,0))*IF($X418&gt;0,-15000,0)</f>
        <v>0</v>
      </c>
      <c r="BN418" s="5">
        <f t="shared" si="244"/>
        <v>0</v>
      </c>
      <c r="BO418" s="5">
        <f t="shared" si="245"/>
        <v>0</v>
      </c>
      <c r="BP418" s="5">
        <f t="shared" si="246"/>
        <v>0</v>
      </c>
      <c r="BQ418" s="5">
        <f t="shared" si="247"/>
        <v>0</v>
      </c>
      <c r="BR418" s="5">
        <f t="shared" si="248"/>
        <v>0</v>
      </c>
      <c r="BS418" s="5">
        <f t="shared" si="249"/>
        <v>0</v>
      </c>
      <c r="BT418" s="5">
        <f t="shared" si="250"/>
        <v>0</v>
      </c>
      <c r="BU418" s="5">
        <f t="shared" si="251"/>
        <v>0</v>
      </c>
      <c r="BV418" s="5">
        <f t="shared" si="252"/>
        <v>0</v>
      </c>
      <c r="BW418" s="5">
        <f t="shared" si="253"/>
        <v>-5000</v>
      </c>
      <c r="BX418" s="5">
        <f t="shared" si="254"/>
        <v>-5000</v>
      </c>
      <c r="BY418" s="5">
        <f t="shared" si="255"/>
        <v>-15000</v>
      </c>
      <c r="BZ418" s="5">
        <f>INDEX('Team forecast'!$R$3:$BH$26,MATCH($B418,'Team forecast'!$B$3:$B$26,0),MATCH(BZ$1,'Team forecast'!$R$2:$BH$2,0))*($BX418-(BY418+CH418)*0.01)</f>
        <v>-19549.216987107084</v>
      </c>
      <c r="CA418" s="5">
        <f>INDEX('Team forecast'!$R$3:$BH$26,MATCH($B418,'Team forecast'!$B$3:$B$26,0),MATCH(CA$1,'Team forecast'!$R$2:$BH$2,0))*($BX418-(BY418+BX418+CH418)*0.01)</f>
        <v>-9599.7808470533746</v>
      </c>
      <c r="CB418" s="5">
        <f>INDEX('Team forecast'!$R$3:$BH$26,MATCH($B418,'Team forecast'!$B$3:$B$26,0),MATCH(CB$1,'Team forecast'!$R$2:$BH$2,0))*($BX418-(BY418+BX418*2+CH418)*0.01)</f>
        <v>-4642.9532415193635</v>
      </c>
      <c r="CC418" s="5">
        <f>INDEX('Team forecast'!$R$3:$BH$26,MATCH($B418,'Team forecast'!$B$3:$B$26,0),MATCH(CC$1,'Team forecast'!$R$2:$BH$2,0))*($BX418-(BY418+BX418*3+CH418)*0.01)</f>
        <v>-2125.9160571122411</v>
      </c>
      <c r="CD418" s="5">
        <f>+AK418+BD418*Cockpit!$C$3+BW418*Cockpit!$C$3^2+BZ418*Cockpit!$C$3^3+CA418*Cockpit!$C$3^4+CB418*Cockpit!$C$3^5+CC418*Cockpit!$C$3^6</f>
        <v>-19042.224211291985</v>
      </c>
      <c r="CE418" s="5"/>
      <c r="CF418" s="5"/>
      <c r="CG418" s="5">
        <v>0</v>
      </c>
      <c r="CH418" s="5">
        <f t="shared" si="256"/>
        <v>2500000</v>
      </c>
      <c r="CI418" s="5">
        <f t="shared" si="257"/>
        <v>2500000</v>
      </c>
      <c r="CJ418" s="1">
        <f t="shared" si="258"/>
        <v>-6.0000000000000001E-3</v>
      </c>
      <c r="CK418" s="5">
        <f>RANK(BY418,$BY$2:$BY$623)+COUNTIF($BY$2:$BY418,$BY418)-1</f>
        <v>547</v>
      </c>
      <c r="CL418" s="5">
        <f>RANK(CJ418,$CJ$2:$CJ$623)+COUNTIF($CJ$2:$CJ418,$CJ418)-1</f>
        <v>551</v>
      </c>
    </row>
    <row r="419" spans="1:90">
      <c r="A419" t="str">
        <f>Players!P420</f>
        <v xml:space="preserve"> S. Larsson</v>
      </c>
      <c r="B419" t="str">
        <f>Players!G420</f>
        <v>Sweden</v>
      </c>
      <c r="C419" t="str">
        <f>Players!AB420</f>
        <v>Midfield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4000000</v>
      </c>
      <c r="H419" s="16">
        <f>INDEX('Team forecast'!$B$2:$AO$26,MATCH('Master data'!$B419,'Team forecast'!$B$2:$B$26,0),MATCH('Master data'!H$1,'Team forecast'!$B$2:$AO$2,0))</f>
        <v>0.63639779406972985</v>
      </c>
      <c r="I419" s="16">
        <f>INDEX('Team forecast'!$B$2:$AO$26,MATCH('Master data'!$B419,'Team forecast'!$B$2:$B$26,0),MATCH('Master data'!I$1,'Team forecast'!$B$2:$AO$2,0))</f>
        <v>1.7533592214060363</v>
      </c>
      <c r="J419" s="16">
        <f>INDEX('Team forecast'!$B$2:$AO$26,MATCH('Master data'!$B419,'Team forecast'!$B$2:$B$26,0),MATCH('Master data'!J$1,'Team forecast'!$B$2:$AO$2,0))</f>
        <v>0.1731911776674534</v>
      </c>
      <c r="K419" s="16">
        <f>INDEX('Team forecast'!$B$2:$AO$26,MATCH('Master data'!$B419,'Team forecast'!$B$2:$B$26,0),MATCH('Master data'!K$1,'Team forecast'!$B$2:$AO$2,0))</f>
        <v>2.0682928307266222</v>
      </c>
      <c r="L419" s="16">
        <f>INDEX('Team forecast'!$B$2:$AO$26,MATCH('Master data'!$B419,'Team forecast'!$B$2:$B$26,0),MATCH('Master data'!L$1,'Team forecast'!$B$2:$AO$2,0))</f>
        <v>5.2600776642181089</v>
      </c>
      <c r="M419">
        <f>IF(Players!BC420=1,95,0)</f>
        <v>95</v>
      </c>
      <c r="N419" s="2">
        <f>Players!BN420</f>
        <v>7.271748365309226E-2</v>
      </c>
      <c r="O419" s="2">
        <f>Players!BO420</f>
        <v>0.13619933979961416</v>
      </c>
      <c r="P419" s="2">
        <f>Players!BP420</f>
        <v>0</v>
      </c>
      <c r="Q419" s="2">
        <f>Players!BQ420</f>
        <v>0.13500000000000001</v>
      </c>
      <c r="R419" s="2">
        <f>Players!BR420</f>
        <v>0</v>
      </c>
      <c r="S419" s="2">
        <f t="shared" si="217"/>
        <v>0.63639779406972985</v>
      </c>
      <c r="T419" s="2">
        <f t="shared" si="218"/>
        <v>1.7533592214060363</v>
      </c>
      <c r="U419" s="16">
        <f>INDEX('Team forecast'!$B$2:$AO$26,MATCH('Master data'!$B419,'Team forecast'!$B$2:$B$26,0),MATCH('Master data'!U$1,'Team forecast'!$B$2:$AO$2,0))</f>
        <v>0.11906893464637421</v>
      </c>
      <c r="V419" s="16">
        <f>INDEX('Team forecast'!$B$2:$AO$26,MATCH('Master data'!$B419,'Team forecast'!$B$2:$B$26,0),MATCH('Master data'!V$1,'Team forecast'!$B$2:$AO$2,0))</f>
        <v>0.20053715308863029</v>
      </c>
      <c r="W419" s="16">
        <f>INDEX('Team forecast'!$B$2:$AO$26,MATCH('Master data'!$B419,'Team forecast'!$B$2:$B$26,0),MATCH('Master data'!W$1,'Team forecast'!$B$2:$AO$2,0))</f>
        <v>0.68039391226499568</v>
      </c>
      <c r="X419" s="5">
        <f t="shared" si="219"/>
        <v>7000</v>
      </c>
      <c r="Y419" s="5">
        <f t="shared" si="220"/>
        <v>2976.723366159355</v>
      </c>
      <c r="Z419" s="5">
        <f t="shared" si="221"/>
        <v>1002.6857654431515</v>
      </c>
      <c r="AA419" s="5">
        <f t="shared" si="222"/>
        <v>-10205.908683974934</v>
      </c>
      <c r="AB419" s="5">
        <f t="shared" si="223"/>
        <v>5784.6557733911941</v>
      </c>
      <c r="AC419" s="5">
        <f t="shared" si="224"/>
        <v>4333.8479701114002</v>
      </c>
      <c r="AD419" s="5">
        <f t="shared" si="225"/>
        <v>0</v>
      </c>
      <c r="AE419" s="5">
        <f t="shared" si="226"/>
        <v>0</v>
      </c>
      <c r="AF419" s="5">
        <f t="shared" si="227"/>
        <v>0</v>
      </c>
      <c r="AG419" s="5">
        <f t="shared" si="228"/>
        <v>-2700</v>
      </c>
      <c r="AH419" s="5">
        <f t="shared" si="229"/>
        <v>0</v>
      </c>
      <c r="AI419" s="5">
        <f t="shared" si="230"/>
        <v>6363.9779406972984</v>
      </c>
      <c r="AJ419" s="5">
        <f t="shared" si="231"/>
        <v>-14026.873771248291</v>
      </c>
      <c r="AK419" s="5">
        <f>IFERROR(SUM(X419:AJ419),-5000)*((Cockpit!$C$3)^0)</f>
        <v>529.1083605791755</v>
      </c>
      <c r="AL419" s="16">
        <f>INDEX('Team forecast'!$B$2:$AO$26,MATCH('Master data'!$B419,'Team forecast'!$B$2:$B$26,0),MATCH('Master data'!AL$1,'Team forecast'!$B$2:$AO$2,0))</f>
        <v>1.3852986184856255</v>
      </c>
      <c r="AM419" s="16">
        <f>INDEX('Team forecast'!$B$2:$AO$26,MATCH('Master data'!$B419,'Team forecast'!$B$2:$B$26,0),MATCH('Master data'!AM$1,'Team forecast'!$B$2:$AO$2,0))</f>
        <v>0.80548012323268336</v>
      </c>
      <c r="AN419" s="16">
        <f>INDEX('Team forecast'!$B$2:$AO$26,MATCH('Master data'!$B419,'Team forecast'!$B$2:$B$26,0),MATCH('Master data'!AN$1,'Team forecast'!$B$2:$AO$2,0))</f>
        <v>0.4468733207814955</v>
      </c>
      <c r="AO419" s="16">
        <f>INDEX('Team forecast'!$B$2:$AO$26,MATCH('Master data'!$B419,'Team forecast'!$B$2:$B$26,0),MATCH('Master data'!AO$1,'Team forecast'!$B$2:$AO$2,0))</f>
        <v>4.5022205100782831</v>
      </c>
      <c r="AP419" s="16">
        <f>INDEX('Team forecast'!$B$2:$AO$26,MATCH('Master data'!$B419,'Team forecast'!$B$2:$B$26,0),MATCH('Master data'!AP$1,'Team forecast'!$B$2:$AO$2,0))</f>
        <v>2.4164403696980501</v>
      </c>
      <c r="AQ419" s="5">
        <f t="shared" si="232"/>
        <v>7000</v>
      </c>
      <c r="AR419" s="5">
        <f>INDEX('Team forecast'!$B$2:$AO$26,MATCH('Master data'!$B419,'Team forecast'!$B$2:$B$26,0),MATCH('Master data'!AR$1,'Team forecast'!$B$2:$AO$2,0))*IF(X419&gt;0,25000,0)</f>
        <v>12681.540184339738</v>
      </c>
      <c r="AS419" s="16">
        <f>INDEX('Team forecast'!$B$2:$AO$26,MATCH('Master data'!$B419,'Team forecast'!$B$2:$B$26,0),MATCH('Master data'!AS$1,'Team forecast'!$B$2:$AO$2,0))*IF(X419&gt;0,5000,0)</f>
        <v>1380.0499612369715</v>
      </c>
      <c r="AT419" s="16">
        <f>INDEX('Team forecast'!$B$2:$AO$26,MATCH('Master data'!$B419,'Team forecast'!$B$2:$B$26,0),MATCH('Master data'!AT$1,'Team forecast'!$B$2:$AO$2,0))*IF(X419&gt;0,-15000,0)</f>
        <v>-3250.9260056852445</v>
      </c>
      <c r="AU419" s="5">
        <f t="shared" si="233"/>
        <v>12591.928705547471</v>
      </c>
      <c r="AV419" s="5">
        <f t="shared" si="234"/>
        <v>9433.8378631529886</v>
      </c>
      <c r="AW419" s="5">
        <f t="shared" si="235"/>
        <v>0</v>
      </c>
      <c r="AX419" s="5">
        <f t="shared" si="236"/>
        <v>0</v>
      </c>
      <c r="AY419" s="5">
        <f t="shared" si="237"/>
        <v>0</v>
      </c>
      <c r="AZ419" s="5">
        <f t="shared" si="238"/>
        <v>-2700</v>
      </c>
      <c r="BA419" s="5">
        <f t="shared" si="239"/>
        <v>0</v>
      </c>
      <c r="BB419" s="5">
        <f t="shared" si="240"/>
        <v>13852.986184856256</v>
      </c>
      <c r="BC419" s="5">
        <f t="shared" si="241"/>
        <v>-6443.8409858614668</v>
      </c>
      <c r="BD419" s="5">
        <f t="shared" si="242"/>
        <v>44545.575907586717</v>
      </c>
      <c r="BE419" s="16">
        <f>INDEX('Team forecast'!$B$2:$AO$26,MATCH('Master data'!$B419,'Team forecast'!$B$2:$B$26,0),MATCH('Master data'!BE$1,'Team forecast'!$B$2:$AO$2,0))</f>
        <v>1.2688103238212438</v>
      </c>
      <c r="BF419" s="16">
        <f>INDEX('Team forecast'!$B$2:$AO$26,MATCH('Master data'!$B419,'Team forecast'!$B$2:$B$26,0),MATCH('Master data'!BF$1,'Team forecast'!$B$2:$AO$2,0))</f>
        <v>1.2236898885407743</v>
      </c>
      <c r="BG419" s="16">
        <f>INDEX('Team forecast'!$B$2:$AO$26,MATCH('Master data'!$B419,'Team forecast'!$B$2:$B$26,0),MATCH('Master data'!BG$1,'Team forecast'!$B$2:$AO$2,0))</f>
        <v>0.29414280786478092</v>
      </c>
      <c r="BH419" s="16">
        <f>INDEX('Team forecast'!$B$2:$AO$26,MATCH('Master data'!$B419,'Team forecast'!$B$2:$B$26,0),MATCH('Master data'!BH$1,'Team forecast'!$B$2:$AO$2,0))</f>
        <v>4.1236335524190419</v>
      </c>
      <c r="BI419" s="16">
        <f>INDEX('Team forecast'!$B$2:$AO$26,MATCH('Master data'!$B419,'Team forecast'!$B$2:$B$26,0),MATCH('Master data'!BI$1,'Team forecast'!$B$2:$AO$2,0))</f>
        <v>3.6710696656223227</v>
      </c>
      <c r="BJ419" s="5">
        <f t="shared" si="243"/>
        <v>7000</v>
      </c>
      <c r="BK419" s="5">
        <f>INDEX('Team forecast'!$R$3:$BH$26,MATCH($B419,'Team forecast'!$B$3:$B$26,0),MATCH(BK$1,'Team forecast'!$R$2:$BH$2,0))*IF($X419&gt;0,25000,0)</f>
        <v>9372.1973094170389</v>
      </c>
      <c r="BL419" s="5">
        <f>INDEX('Team forecast'!$R$3:$BH$26,MATCH($B419,'Team forecast'!$B$3:$B$26,0),MATCH(BL$1,'Team forecast'!$R$2:$BH$2,0))*IF($X419&gt;0,5000,0)</f>
        <v>1448.4304932735427</v>
      </c>
      <c r="BM419" s="5">
        <f>INDEX('Team forecast'!$R$3:$BH$26,MATCH($B419,'Team forecast'!$B$3:$B$26,0),MATCH(BM$1,'Team forecast'!$R$2:$BH$2,0))*IF($X419&gt;0,-15000,0)</f>
        <v>-5031.390134529147</v>
      </c>
      <c r="BN419" s="5">
        <f t="shared" si="244"/>
        <v>11533.086747668249</v>
      </c>
      <c r="BO419" s="5">
        <f t="shared" si="245"/>
        <v>8640.5564217694027</v>
      </c>
      <c r="BP419" s="5">
        <f t="shared" si="246"/>
        <v>0</v>
      </c>
      <c r="BQ419" s="5">
        <f t="shared" si="247"/>
        <v>0</v>
      </c>
      <c r="BR419" s="5">
        <f t="shared" si="248"/>
        <v>0</v>
      </c>
      <c r="BS419" s="5">
        <f t="shared" si="249"/>
        <v>-2700</v>
      </c>
      <c r="BT419" s="5">
        <f t="shared" si="250"/>
        <v>0</v>
      </c>
      <c r="BU419" s="5">
        <f t="shared" si="251"/>
        <v>12688.103238212438</v>
      </c>
      <c r="BV419" s="5">
        <f t="shared" si="252"/>
        <v>-9789.5191083261943</v>
      </c>
      <c r="BW419" s="5">
        <f t="shared" si="253"/>
        <v>33161.464967485328</v>
      </c>
      <c r="BX419" s="5">
        <f t="shared" si="254"/>
        <v>26078.716411883739</v>
      </c>
      <c r="BY419" s="5">
        <f t="shared" si="255"/>
        <v>78236.149235651217</v>
      </c>
      <c r="BZ419" s="5">
        <f>INDEX('Team forecast'!$R$3:$BH$26,MATCH($B419,'Team forecast'!$B$3:$B$26,0),MATCH(BZ$1,'Team forecast'!$R$2:$BH$2,0))*($BX419-(BY419+CH419)*0.01)</f>
        <v>-9629.6398050107819</v>
      </c>
      <c r="CA419" s="5">
        <f>INDEX('Team forecast'!$R$3:$BH$26,MATCH($B419,'Team forecast'!$B$3:$B$26,0),MATCH(CA$1,'Team forecast'!$R$2:$BH$2,0))*($BX419-(BY419+BX419+CH419)*0.01)</f>
        <v>-4820.6466459281373</v>
      </c>
      <c r="CB419" s="5">
        <f>INDEX('Team forecast'!$R$3:$BH$26,MATCH($B419,'Team forecast'!$B$3:$B$26,0),MATCH(CB$1,'Team forecast'!$R$2:$BH$2,0))*($BX419-(BY419+BX419*2+CH419)*0.01)</f>
        <v>-2376.1338422358222</v>
      </c>
      <c r="CC419" s="5">
        <f>INDEX('Team forecast'!$R$3:$BH$26,MATCH($B419,'Team forecast'!$B$3:$B$26,0),MATCH(CC$1,'Team forecast'!$R$2:$BH$2,0))*($BX419-(BY419+BX419*3+CH419)*0.01)</f>
        <v>-1108.4831661186356</v>
      </c>
      <c r="CD419" s="5">
        <f>+AK419+BD419*Cockpit!$C$3+BW419*Cockpit!$C$3^2+BZ419*Cockpit!$C$3^3+CA419*Cockpit!$C$3^4+CB419*Cockpit!$C$3^5+CC419*Cockpit!$C$3^6</f>
        <v>40748.912824461448</v>
      </c>
      <c r="CE419" s="5"/>
      <c r="CF419" s="5"/>
      <c r="CG419" s="5">
        <v>0</v>
      </c>
      <c r="CH419" s="5">
        <f t="shared" si="256"/>
        <v>4000000</v>
      </c>
      <c r="CI419" s="5">
        <f t="shared" si="257"/>
        <v>4000000</v>
      </c>
      <c r="CJ419" s="1">
        <f t="shared" si="258"/>
        <v>1.9559037308912803E-2</v>
      </c>
      <c r="CK419" s="5">
        <f>RANK(BY419,$BY$2:$BY$623)+COUNTIF($BY$2:$BY419,$BY419)-1</f>
        <v>218</v>
      </c>
      <c r="CL419" s="5">
        <f>RANK(CJ419,$CJ$2:$CJ$623)+COUNTIF($CJ$2:$CJ419,$CJ419)-1</f>
        <v>266</v>
      </c>
    </row>
    <row r="420" spans="1:90">
      <c r="A420" t="str">
        <f>Players!P421</f>
        <v xml:space="preserve"> J. Larsson</v>
      </c>
      <c r="B420" t="str">
        <f>Players!G421</f>
        <v>Sweden</v>
      </c>
      <c r="C420" t="str">
        <f>Players!AB421</f>
        <v>Striker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3000000</v>
      </c>
      <c r="H420" s="16">
        <f>INDEX('Team forecast'!$B$2:$AO$26,MATCH('Master data'!$B420,'Team forecast'!$B$2:$B$26,0),MATCH('Master data'!H$1,'Team forecast'!$B$2:$AO$2,0))</f>
        <v>0.63639779406972985</v>
      </c>
      <c r="I420" s="16">
        <f>INDEX('Team forecast'!$B$2:$AO$26,MATCH('Master data'!$B420,'Team forecast'!$B$2:$B$26,0),MATCH('Master data'!I$1,'Team forecast'!$B$2:$AO$2,0))</f>
        <v>1.7533592214060363</v>
      </c>
      <c r="J420" s="16">
        <f>INDEX('Team forecast'!$B$2:$AO$26,MATCH('Master data'!$B420,'Team forecast'!$B$2:$B$26,0),MATCH('Master data'!J$1,'Team forecast'!$B$2:$AO$2,0))</f>
        <v>0.1731911776674534</v>
      </c>
      <c r="K420" s="16">
        <f>INDEX('Team forecast'!$B$2:$AO$26,MATCH('Master data'!$B420,'Team forecast'!$B$2:$B$26,0),MATCH('Master data'!K$1,'Team forecast'!$B$2:$AO$2,0))</f>
        <v>2.0682928307266222</v>
      </c>
      <c r="L420" s="16">
        <f>INDEX('Team forecast'!$B$2:$AO$26,MATCH('Master data'!$B420,'Team forecast'!$B$2:$B$26,0),MATCH('Master data'!L$1,'Team forecast'!$B$2:$AO$2,0))</f>
        <v>5.2600776642181089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0.34285219399538103</v>
      </c>
      <c r="R420" s="2">
        <f>Players!BR421</f>
        <v>0.06</v>
      </c>
      <c r="S420" s="2">
        <f t="shared" si="217"/>
        <v>0.63639779406972985</v>
      </c>
      <c r="T420" s="2">
        <f t="shared" si="218"/>
        <v>1.7533592214060363</v>
      </c>
      <c r="U420" s="16">
        <f>INDEX('Team forecast'!$B$2:$AO$26,MATCH('Master data'!$B420,'Team forecast'!$B$2:$B$26,0),MATCH('Master data'!U$1,'Team forecast'!$B$2:$AO$2,0))</f>
        <v>0.11906893464637421</v>
      </c>
      <c r="V420" s="16">
        <f>INDEX('Team forecast'!$B$2:$AO$26,MATCH('Master data'!$B420,'Team forecast'!$B$2:$B$26,0),MATCH('Master data'!V$1,'Team forecast'!$B$2:$AO$2,0))</f>
        <v>0.20053715308863029</v>
      </c>
      <c r="W420" s="16">
        <f>INDEX('Team forecast'!$B$2:$AO$26,MATCH('Master data'!$B420,'Team forecast'!$B$2:$B$26,0),MATCH('Master data'!W$1,'Team forecast'!$B$2:$AO$2,0))</f>
        <v>0.68039391226499568</v>
      </c>
      <c r="X420" s="5">
        <f t="shared" si="219"/>
        <v>-5000</v>
      </c>
      <c r="Y420" s="5">
        <f t="shared" si="220"/>
        <v>0</v>
      </c>
      <c r="Z420" s="5">
        <f t="shared" si="221"/>
        <v>0</v>
      </c>
      <c r="AA420" s="5">
        <f t="shared" si="222"/>
        <v>0</v>
      </c>
      <c r="AB420" s="5">
        <f t="shared" si="223"/>
        <v>0</v>
      </c>
      <c r="AC420" s="5">
        <f t="shared" si="224"/>
        <v>0</v>
      </c>
      <c r="AD420" s="5">
        <f t="shared" si="225"/>
        <v>0</v>
      </c>
      <c r="AE420" s="5">
        <f t="shared" si="226"/>
        <v>0</v>
      </c>
      <c r="AF420" s="5">
        <f t="shared" si="227"/>
        <v>0</v>
      </c>
      <c r="AG420" s="5">
        <f t="shared" si="228"/>
        <v>0</v>
      </c>
      <c r="AH420" s="5">
        <f t="shared" si="229"/>
        <v>0</v>
      </c>
      <c r="AI420" s="5">
        <f t="shared" si="230"/>
        <v>0</v>
      </c>
      <c r="AJ420" s="5">
        <f t="shared" si="231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1.3852986184856255</v>
      </c>
      <c r="AM420" s="16">
        <f>INDEX('Team forecast'!$B$2:$AO$26,MATCH('Master data'!$B420,'Team forecast'!$B$2:$B$26,0),MATCH('Master data'!AM$1,'Team forecast'!$B$2:$AO$2,0))</f>
        <v>0.80548012323268336</v>
      </c>
      <c r="AN420" s="16">
        <f>INDEX('Team forecast'!$B$2:$AO$26,MATCH('Master data'!$B420,'Team forecast'!$B$2:$B$26,0),MATCH('Master data'!AN$1,'Team forecast'!$B$2:$AO$2,0))</f>
        <v>0.4468733207814955</v>
      </c>
      <c r="AO420" s="16">
        <f>INDEX('Team forecast'!$B$2:$AO$26,MATCH('Master data'!$B420,'Team forecast'!$B$2:$B$26,0),MATCH('Master data'!AO$1,'Team forecast'!$B$2:$AO$2,0))</f>
        <v>4.5022205100782831</v>
      </c>
      <c r="AP420" s="16">
        <f>INDEX('Team forecast'!$B$2:$AO$26,MATCH('Master data'!$B420,'Team forecast'!$B$2:$B$26,0),MATCH('Master data'!AP$1,'Team forecast'!$B$2:$AO$2,0))</f>
        <v>2.4164403696980501</v>
      </c>
      <c r="AQ420" s="5">
        <f t="shared" si="232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233"/>
        <v>0</v>
      </c>
      <c r="AV420" s="5">
        <f t="shared" si="234"/>
        <v>0</v>
      </c>
      <c r="AW420" s="5">
        <f t="shared" si="235"/>
        <v>0</v>
      </c>
      <c r="AX420" s="5">
        <f t="shared" si="236"/>
        <v>0</v>
      </c>
      <c r="AY420" s="5">
        <f t="shared" si="237"/>
        <v>0</v>
      </c>
      <c r="AZ420" s="5">
        <f t="shared" si="238"/>
        <v>0</v>
      </c>
      <c r="BA420" s="5">
        <f t="shared" si="239"/>
        <v>0</v>
      </c>
      <c r="BB420" s="5">
        <f t="shared" si="240"/>
        <v>0</v>
      </c>
      <c r="BC420" s="5">
        <f t="shared" si="241"/>
        <v>0</v>
      </c>
      <c r="BD420" s="5">
        <f t="shared" si="242"/>
        <v>-5000</v>
      </c>
      <c r="BE420" s="16">
        <f>INDEX('Team forecast'!$B$2:$AO$26,MATCH('Master data'!$B420,'Team forecast'!$B$2:$B$26,0),MATCH('Master data'!BE$1,'Team forecast'!$B$2:$AO$2,0))</f>
        <v>1.2688103238212438</v>
      </c>
      <c r="BF420" s="16">
        <f>INDEX('Team forecast'!$B$2:$AO$26,MATCH('Master data'!$B420,'Team forecast'!$B$2:$B$26,0),MATCH('Master data'!BF$1,'Team forecast'!$B$2:$AO$2,0))</f>
        <v>1.2236898885407743</v>
      </c>
      <c r="BG420" s="16">
        <f>INDEX('Team forecast'!$B$2:$AO$26,MATCH('Master data'!$B420,'Team forecast'!$B$2:$B$26,0),MATCH('Master data'!BG$1,'Team forecast'!$B$2:$AO$2,0))</f>
        <v>0.29414280786478092</v>
      </c>
      <c r="BH420" s="16">
        <f>INDEX('Team forecast'!$B$2:$AO$26,MATCH('Master data'!$B420,'Team forecast'!$B$2:$B$26,0),MATCH('Master data'!BH$1,'Team forecast'!$B$2:$AO$2,0))</f>
        <v>4.1236335524190419</v>
      </c>
      <c r="BI420" s="16">
        <f>INDEX('Team forecast'!$B$2:$AO$26,MATCH('Master data'!$B420,'Team forecast'!$B$2:$B$26,0),MATCH('Master data'!BI$1,'Team forecast'!$B$2:$AO$2,0))</f>
        <v>3.6710696656223227</v>
      </c>
      <c r="BJ420" s="5">
        <f t="shared" si="243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244"/>
        <v>0</v>
      </c>
      <c r="BO420" s="5">
        <f t="shared" si="245"/>
        <v>0</v>
      </c>
      <c r="BP420" s="5">
        <f t="shared" si="246"/>
        <v>0</v>
      </c>
      <c r="BQ420" s="5">
        <f t="shared" si="247"/>
        <v>0</v>
      </c>
      <c r="BR420" s="5">
        <f t="shared" si="248"/>
        <v>0</v>
      </c>
      <c r="BS420" s="5">
        <f t="shared" si="249"/>
        <v>0</v>
      </c>
      <c r="BT420" s="5">
        <f t="shared" si="250"/>
        <v>0</v>
      </c>
      <c r="BU420" s="5">
        <f t="shared" si="251"/>
        <v>0</v>
      </c>
      <c r="BV420" s="5">
        <f t="shared" si="252"/>
        <v>0</v>
      </c>
      <c r="BW420" s="5">
        <f t="shared" si="253"/>
        <v>-5000</v>
      </c>
      <c r="BX420" s="5">
        <f t="shared" si="254"/>
        <v>-5000</v>
      </c>
      <c r="BY420" s="5">
        <f t="shared" si="255"/>
        <v>-15000</v>
      </c>
      <c r="BZ420" s="5">
        <f>INDEX('Team forecast'!$R$3:$BH$26,MATCH($B420,'Team forecast'!$B$3:$B$26,0),MATCH(BZ$1,'Team forecast'!$R$2:$BH$2,0))*($BX420-(BY420+CH420)*0.01)</f>
        <v>-22823.792696840264</v>
      </c>
      <c r="CA420" s="5">
        <f>INDEX('Team forecast'!$R$3:$BH$26,MATCH($B420,'Team forecast'!$B$3:$B$26,0),MATCH(CA$1,'Team forecast'!$R$2:$BH$2,0))*($BX420-(BY420+BX420+CH420)*0.01)</f>
        <v>-11210.482331458303</v>
      </c>
      <c r="CB420" s="5">
        <f>INDEX('Team forecast'!$R$3:$BH$26,MATCH($B420,'Team forecast'!$B$3:$B$26,0),MATCH(CB$1,'Team forecast'!$R$2:$BH$2,0))*($BX420-(BY420+BX420*2+CH420)*0.01)</f>
        <v>-5423.2815174049701</v>
      </c>
      <c r="CC420" s="5">
        <f>INDEX('Team forecast'!$R$3:$BH$26,MATCH($B420,'Team forecast'!$B$3:$B$26,0),MATCH(CC$1,'Team forecast'!$R$2:$BH$2,0))*($BX420-(BY420+BX420*3+CH420)*0.01)</f>
        <v>-2483.8143832254132</v>
      </c>
      <c r="CD420" s="5">
        <f>+AK420+BD420*Cockpit!$C$3+BW420*Cockpit!$C$3^2+BZ420*Cockpit!$C$3^3+CA420*Cockpit!$C$3^4+CB420*Cockpit!$C$3^5+CC420*Cockpit!$C$3^6</f>
        <v>-20464.811830514125</v>
      </c>
      <c r="CE420" s="5"/>
      <c r="CF420" s="5"/>
      <c r="CG420" s="5">
        <v>0</v>
      </c>
      <c r="CH420" s="5">
        <f t="shared" si="256"/>
        <v>3000000</v>
      </c>
      <c r="CI420" s="5">
        <f t="shared" si="257"/>
        <v>3000000</v>
      </c>
      <c r="CJ420" s="1">
        <f t="shared" si="258"/>
        <v>-5.0000000000000001E-3</v>
      </c>
      <c r="CK420" s="5">
        <f>RANK(BY420,$BY$2:$BY$623)+COUNTIF($BY$2:$BY420,$BY420)-1</f>
        <v>548</v>
      </c>
      <c r="CL420" s="5">
        <f>RANK(CJ420,$CJ$2:$CJ$623)+COUNTIF($CJ$2:$CJ420,$CJ420)-1</f>
        <v>515</v>
      </c>
    </row>
    <row r="421" spans="1:90">
      <c r="A421" t="str">
        <f>Players!P422</f>
        <v>Robin Quaison</v>
      </c>
      <c r="B421" t="str">
        <f>Players!G422</f>
        <v>Sweden</v>
      </c>
      <c r="C421" t="str">
        <f>Players!AB422</f>
        <v>Midfield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4000000</v>
      </c>
      <c r="H421" s="16">
        <f>INDEX('Team forecast'!$B$2:$AO$26,MATCH('Master data'!$B421,'Team forecast'!$B$2:$B$26,0),MATCH('Master data'!H$1,'Team forecast'!$B$2:$AO$2,0))</f>
        <v>0.63639779406972985</v>
      </c>
      <c r="I421" s="16">
        <f>INDEX('Team forecast'!$B$2:$AO$26,MATCH('Master data'!$B421,'Team forecast'!$B$2:$B$26,0),MATCH('Master data'!I$1,'Team forecast'!$B$2:$AO$2,0))</f>
        <v>1.7533592214060363</v>
      </c>
      <c r="J421" s="16">
        <f>INDEX('Team forecast'!$B$2:$AO$26,MATCH('Master data'!$B421,'Team forecast'!$B$2:$B$26,0),MATCH('Master data'!J$1,'Team forecast'!$B$2:$AO$2,0))</f>
        <v>0.1731911776674534</v>
      </c>
      <c r="K421" s="16">
        <f>INDEX('Team forecast'!$B$2:$AO$26,MATCH('Master data'!$B421,'Team forecast'!$B$2:$B$26,0),MATCH('Master data'!K$1,'Team forecast'!$B$2:$AO$2,0))</f>
        <v>2.0682928307266222</v>
      </c>
      <c r="L421" s="16">
        <f>INDEX('Team forecast'!$B$2:$AO$26,MATCH('Master data'!$B421,'Team forecast'!$B$2:$B$26,0),MATCH('Master data'!L$1,'Team forecast'!$B$2:$AO$2,0))</f>
        <v>5.2600776642181089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9.0405405405405398E-2</v>
      </c>
      <c r="R421" s="2">
        <f>Players!BR422</f>
        <v>0</v>
      </c>
      <c r="S421" s="2">
        <f t="shared" si="217"/>
        <v>0.63639779406972985</v>
      </c>
      <c r="T421" s="2">
        <f t="shared" si="218"/>
        <v>1.7533592214060363</v>
      </c>
      <c r="U421" s="16">
        <f>INDEX('Team forecast'!$B$2:$AO$26,MATCH('Master data'!$B421,'Team forecast'!$B$2:$B$26,0),MATCH('Master data'!U$1,'Team forecast'!$B$2:$AO$2,0))</f>
        <v>0.11906893464637421</v>
      </c>
      <c r="V421" s="16">
        <f>INDEX('Team forecast'!$B$2:$AO$26,MATCH('Master data'!$B421,'Team forecast'!$B$2:$B$26,0),MATCH('Master data'!V$1,'Team forecast'!$B$2:$AO$2,0))</f>
        <v>0.20053715308863029</v>
      </c>
      <c r="W421" s="16">
        <f>INDEX('Team forecast'!$B$2:$AO$26,MATCH('Master data'!$B421,'Team forecast'!$B$2:$B$26,0),MATCH('Master data'!W$1,'Team forecast'!$B$2:$AO$2,0))</f>
        <v>0.68039391226499568</v>
      </c>
      <c r="X421" s="5">
        <f t="shared" si="219"/>
        <v>-5000</v>
      </c>
      <c r="Y421" s="5">
        <f t="shared" si="220"/>
        <v>0</v>
      </c>
      <c r="Z421" s="5">
        <f t="shared" si="221"/>
        <v>0</v>
      </c>
      <c r="AA421" s="5">
        <f t="shared" si="222"/>
        <v>0</v>
      </c>
      <c r="AB421" s="5">
        <f t="shared" si="223"/>
        <v>0</v>
      </c>
      <c r="AC421" s="5">
        <f t="shared" si="224"/>
        <v>0</v>
      </c>
      <c r="AD421" s="5">
        <f t="shared" si="225"/>
        <v>0</v>
      </c>
      <c r="AE421" s="5">
        <f t="shared" si="226"/>
        <v>0</v>
      </c>
      <c r="AF421" s="5">
        <f t="shared" si="227"/>
        <v>0</v>
      </c>
      <c r="AG421" s="5">
        <f t="shared" si="228"/>
        <v>0</v>
      </c>
      <c r="AH421" s="5">
        <f t="shared" si="229"/>
        <v>0</v>
      </c>
      <c r="AI421" s="5">
        <f t="shared" si="230"/>
        <v>0</v>
      </c>
      <c r="AJ421" s="5">
        <f t="shared" si="231"/>
        <v>0</v>
      </c>
      <c r="AK421" s="5">
        <f>IFERROR(SUM(X421:AJ421),-5000)*((Cockpit!$C$3)^0)</f>
        <v>-5000</v>
      </c>
      <c r="AL421" s="16">
        <f>INDEX('Team forecast'!$B$2:$AO$26,MATCH('Master data'!$B421,'Team forecast'!$B$2:$B$26,0),MATCH('Master data'!AL$1,'Team forecast'!$B$2:$AO$2,0))</f>
        <v>1.3852986184856255</v>
      </c>
      <c r="AM421" s="16">
        <f>INDEX('Team forecast'!$B$2:$AO$26,MATCH('Master data'!$B421,'Team forecast'!$B$2:$B$26,0),MATCH('Master data'!AM$1,'Team forecast'!$B$2:$AO$2,0))</f>
        <v>0.80548012323268336</v>
      </c>
      <c r="AN421" s="16">
        <f>INDEX('Team forecast'!$B$2:$AO$26,MATCH('Master data'!$B421,'Team forecast'!$B$2:$B$26,0),MATCH('Master data'!AN$1,'Team forecast'!$B$2:$AO$2,0))</f>
        <v>0.4468733207814955</v>
      </c>
      <c r="AO421" s="16">
        <f>INDEX('Team forecast'!$B$2:$AO$26,MATCH('Master data'!$B421,'Team forecast'!$B$2:$B$26,0),MATCH('Master data'!AO$1,'Team forecast'!$B$2:$AO$2,0))</f>
        <v>4.5022205100782831</v>
      </c>
      <c r="AP421" s="16">
        <f>INDEX('Team forecast'!$B$2:$AO$26,MATCH('Master data'!$B421,'Team forecast'!$B$2:$B$26,0),MATCH('Master data'!AP$1,'Team forecast'!$B$2:$AO$2,0))</f>
        <v>2.4164403696980501</v>
      </c>
      <c r="AQ421" s="5">
        <f t="shared" si="232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233"/>
        <v>0</v>
      </c>
      <c r="AV421" s="5">
        <f t="shared" si="234"/>
        <v>0</v>
      </c>
      <c r="AW421" s="5">
        <f t="shared" si="235"/>
        <v>0</v>
      </c>
      <c r="AX421" s="5">
        <f t="shared" si="236"/>
        <v>0</v>
      </c>
      <c r="AY421" s="5">
        <f t="shared" si="237"/>
        <v>0</v>
      </c>
      <c r="AZ421" s="5">
        <f t="shared" si="238"/>
        <v>0</v>
      </c>
      <c r="BA421" s="5">
        <f t="shared" si="239"/>
        <v>0</v>
      </c>
      <c r="BB421" s="5">
        <f t="shared" si="240"/>
        <v>0</v>
      </c>
      <c r="BC421" s="5">
        <f t="shared" si="241"/>
        <v>0</v>
      </c>
      <c r="BD421" s="5">
        <f t="shared" si="242"/>
        <v>-5000</v>
      </c>
      <c r="BE421" s="16">
        <f>INDEX('Team forecast'!$B$2:$AO$26,MATCH('Master data'!$B421,'Team forecast'!$B$2:$B$26,0),MATCH('Master data'!BE$1,'Team forecast'!$B$2:$AO$2,0))</f>
        <v>1.2688103238212438</v>
      </c>
      <c r="BF421" s="16">
        <f>INDEX('Team forecast'!$B$2:$AO$26,MATCH('Master data'!$B421,'Team forecast'!$B$2:$B$26,0),MATCH('Master data'!BF$1,'Team forecast'!$B$2:$AO$2,0))</f>
        <v>1.2236898885407743</v>
      </c>
      <c r="BG421" s="16">
        <f>INDEX('Team forecast'!$B$2:$AO$26,MATCH('Master data'!$B421,'Team forecast'!$B$2:$B$26,0),MATCH('Master data'!BG$1,'Team forecast'!$B$2:$AO$2,0))</f>
        <v>0.29414280786478092</v>
      </c>
      <c r="BH421" s="16">
        <f>INDEX('Team forecast'!$B$2:$AO$26,MATCH('Master data'!$B421,'Team forecast'!$B$2:$B$26,0),MATCH('Master data'!BH$1,'Team forecast'!$B$2:$AO$2,0))</f>
        <v>4.1236335524190419</v>
      </c>
      <c r="BI421" s="16">
        <f>INDEX('Team forecast'!$B$2:$AO$26,MATCH('Master data'!$B421,'Team forecast'!$B$2:$B$26,0),MATCH('Master data'!BI$1,'Team forecast'!$B$2:$AO$2,0))</f>
        <v>3.6710696656223227</v>
      </c>
      <c r="BJ421" s="5">
        <f t="shared" si="243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244"/>
        <v>0</v>
      </c>
      <c r="BO421" s="5">
        <f t="shared" si="245"/>
        <v>0</v>
      </c>
      <c r="BP421" s="5">
        <f t="shared" si="246"/>
        <v>0</v>
      </c>
      <c r="BQ421" s="5">
        <f t="shared" si="247"/>
        <v>0</v>
      </c>
      <c r="BR421" s="5">
        <f t="shared" si="248"/>
        <v>0</v>
      </c>
      <c r="BS421" s="5">
        <f t="shared" si="249"/>
        <v>0</v>
      </c>
      <c r="BT421" s="5">
        <f t="shared" si="250"/>
        <v>0</v>
      </c>
      <c r="BU421" s="5">
        <f t="shared" si="251"/>
        <v>0</v>
      </c>
      <c r="BV421" s="5">
        <f t="shared" si="252"/>
        <v>0</v>
      </c>
      <c r="BW421" s="5">
        <f t="shared" si="253"/>
        <v>-5000</v>
      </c>
      <c r="BX421" s="5">
        <f t="shared" si="254"/>
        <v>-5000</v>
      </c>
      <c r="BY421" s="5">
        <f t="shared" si="255"/>
        <v>-15000</v>
      </c>
      <c r="BZ421" s="5">
        <f>INDEX('Team forecast'!$R$3:$BH$26,MATCH($B421,'Team forecast'!$B$3:$B$26,0),MATCH(BZ$1,'Team forecast'!$R$2:$BH$2,0))*($BX421-(BY421+CH421)*0.01)</f>
        <v>-29372.944116306626</v>
      </c>
      <c r="CA421" s="5">
        <f>INDEX('Team forecast'!$R$3:$BH$26,MATCH($B421,'Team forecast'!$B$3:$B$26,0),MATCH(CA$1,'Team forecast'!$R$2:$BH$2,0))*($BX421-(BY421+BX421+CH421)*0.01)</f>
        <v>-14431.885300268161</v>
      </c>
      <c r="CB421" s="5">
        <f>INDEX('Team forecast'!$R$3:$BH$26,MATCH($B421,'Team forecast'!$B$3:$B$26,0),MATCH(CB$1,'Team forecast'!$R$2:$BH$2,0))*($BX421-(BY421+BX421*2+CH421)*0.01)</f>
        <v>-6983.9380691761853</v>
      </c>
      <c r="CC421" s="5">
        <f>INDEX('Team forecast'!$R$3:$BH$26,MATCH($B421,'Team forecast'!$B$3:$B$26,0),MATCH(CC$1,'Team forecast'!$R$2:$BH$2,0))*($BX421-(BY421+BX421*3+CH421)*0.01)</f>
        <v>-3199.6110354517568</v>
      </c>
      <c r="CD421" s="5">
        <f>+AK421+BD421*Cockpit!$C$3+BW421*Cockpit!$C$3^2+BZ421*Cockpit!$C$3^3+CA421*Cockpit!$C$3^4+CB421*Cockpit!$C$3^5+CC421*Cockpit!$C$3^6</f>
        <v>-23309.987068958399</v>
      </c>
      <c r="CE421" s="5"/>
      <c r="CF421" s="5"/>
      <c r="CG421" s="5">
        <v>0</v>
      </c>
      <c r="CH421" s="5">
        <f t="shared" si="256"/>
        <v>4000000</v>
      </c>
      <c r="CI421" s="5">
        <f t="shared" si="257"/>
        <v>4000000</v>
      </c>
      <c r="CJ421" s="1">
        <f t="shared" si="258"/>
        <v>-3.7499999999999999E-3</v>
      </c>
      <c r="CK421" s="5">
        <f>RANK(BY421,$BY$2:$BY$623)+COUNTIF($BY$2:$BY421,$BY421)-1</f>
        <v>549</v>
      </c>
      <c r="CL421" s="5">
        <f>RANK(CJ421,$CJ$2:$CJ$623)+COUNTIF($CJ$2:$CJ421,$CJ421)-1</f>
        <v>452</v>
      </c>
    </row>
    <row r="422" spans="1:90">
      <c r="A422" t="str">
        <f>Players!P423</f>
        <v>Lukasz Fabianski</v>
      </c>
      <c r="B422" t="str">
        <f>Players!G423</f>
        <v>Poland</v>
      </c>
      <c r="C422" t="str">
        <f>Players!AB423</f>
        <v>Goalkeeper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3500000</v>
      </c>
      <c r="H422" s="16">
        <f>INDEX('Team forecast'!$B$2:$AO$26,MATCH('Master data'!$B422,'Team forecast'!$B$2:$B$26,0),MATCH('Master data'!H$1,'Team forecast'!$B$2:$AO$2,0))</f>
        <v>1.5369105908463034</v>
      </c>
      <c r="I422" s="16">
        <f>INDEX('Team forecast'!$B$2:$AO$26,MATCH('Master data'!$B422,'Team forecast'!$B$2:$B$26,0),MATCH('Master data'!I$1,'Team forecast'!$B$2:$AO$2,0))</f>
        <v>0.81328039356128246</v>
      </c>
      <c r="J422" s="16">
        <f>INDEX('Team forecast'!$B$2:$AO$26,MATCH('Master data'!$B422,'Team forecast'!$B$2:$B$26,0),MATCH('Master data'!J$1,'Team forecast'!$B$2:$AO$2,0))</f>
        <v>0.44340114762649968</v>
      </c>
      <c r="K422" s="16">
        <f>INDEX('Team forecast'!$B$2:$AO$26,MATCH('Master data'!$B422,'Team forecast'!$B$2:$B$26,0),MATCH('Master data'!K$1,'Team forecast'!$B$2:$AO$2,0))</f>
        <v>4.6107317725389105</v>
      </c>
      <c r="L422" s="16">
        <f>INDEX('Team forecast'!$B$2:$AO$26,MATCH('Master data'!$B422,'Team forecast'!$B$2:$B$26,0),MATCH('Master data'!L$1,'Team forecast'!$B$2:$AO$2,0))</f>
        <v>2.0723952197374849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2.8571428571428571E-2</v>
      </c>
      <c r="R422" s="2">
        <f>Players!BR423</f>
        <v>0</v>
      </c>
      <c r="S422" s="2">
        <f t="shared" si="217"/>
        <v>1.5369105908463034</v>
      </c>
      <c r="T422" s="2">
        <f t="shared" si="218"/>
        <v>0.81328039356128246</v>
      </c>
      <c r="U422" s="16">
        <f>INDEX('Team forecast'!$B$2:$AO$26,MATCH('Master data'!$B422,'Team forecast'!$B$2:$B$26,0),MATCH('Master data'!U$1,'Team forecast'!$B$2:$AO$2,0))</f>
        <v>0.54773082942097018</v>
      </c>
      <c r="V422" s="16">
        <f>INDEX('Team forecast'!$B$2:$AO$26,MATCH('Master data'!$B422,'Team forecast'!$B$2:$B$26,0),MATCH('Master data'!V$1,'Team forecast'!$B$2:$AO$2,0))</f>
        <v>0.2660406885758998</v>
      </c>
      <c r="W422" s="16">
        <f>INDEX('Team forecast'!$B$2:$AO$26,MATCH('Master data'!$B422,'Team forecast'!$B$2:$B$26,0),MATCH('Master data'!W$1,'Team forecast'!$B$2:$AO$2,0))</f>
        <v>0.18622848200312991</v>
      </c>
      <c r="X422" s="5">
        <f t="shared" si="219"/>
        <v>-5000</v>
      </c>
      <c r="Y422" s="5">
        <f t="shared" si="220"/>
        <v>0</v>
      </c>
      <c r="Z422" s="5">
        <f t="shared" si="221"/>
        <v>0</v>
      </c>
      <c r="AA422" s="5">
        <f t="shared" si="222"/>
        <v>0</v>
      </c>
      <c r="AB422" s="5">
        <f t="shared" si="223"/>
        <v>0</v>
      </c>
      <c r="AC422" s="5">
        <f t="shared" si="224"/>
        <v>0</v>
      </c>
      <c r="AD422" s="5">
        <f t="shared" si="225"/>
        <v>0</v>
      </c>
      <c r="AE422" s="5">
        <f t="shared" si="226"/>
        <v>33255.086071987476</v>
      </c>
      <c r="AF422" s="5">
        <f t="shared" si="227"/>
        <v>6295.574130881012</v>
      </c>
      <c r="AG422" s="5">
        <f t="shared" si="228"/>
        <v>0</v>
      </c>
      <c r="AH422" s="5">
        <f t="shared" si="229"/>
        <v>0</v>
      </c>
      <c r="AI422" s="5">
        <f t="shared" si="230"/>
        <v>0</v>
      </c>
      <c r="AJ422" s="5">
        <f t="shared" si="231"/>
        <v>0</v>
      </c>
      <c r="AK422" s="5">
        <f>IFERROR(SUM(X422:AJ422),-5000)*((Cockpit!$C$3)^0)</f>
        <v>34550.660202868487</v>
      </c>
      <c r="AL422" s="16">
        <f>INDEX('Team forecast'!$B$2:$AO$26,MATCH('Master data'!$B422,'Team forecast'!$B$2:$B$26,0),MATCH('Master data'!AL$1,'Team forecast'!$B$2:$AO$2,0))</f>
        <v>0.77817916464933856</v>
      </c>
      <c r="AM422" s="16">
        <f>INDEX('Team forecast'!$B$2:$AO$26,MATCH('Master data'!$B422,'Team forecast'!$B$2:$B$26,0),MATCH('Master data'!AM$1,'Team forecast'!$B$2:$AO$2,0))</f>
        <v>1.9080439968215523</v>
      </c>
      <c r="AN422" s="16">
        <f>INDEX('Team forecast'!$B$2:$AO$26,MATCH('Master data'!$B422,'Team forecast'!$B$2:$B$26,0),MATCH('Master data'!AN$1,'Team forecast'!$B$2:$AO$2,0))</f>
        <v>0.1483703157610558</v>
      </c>
      <c r="AO422" s="16">
        <f>INDEX('Team forecast'!$B$2:$AO$26,MATCH('Master data'!$B422,'Team forecast'!$B$2:$B$26,0),MATCH('Master data'!AO$1,'Team forecast'!$B$2:$AO$2,0))</f>
        <v>2.3345374939480159</v>
      </c>
      <c r="AP422" s="16">
        <f>INDEX('Team forecast'!$B$2:$AO$26,MATCH('Master data'!$B422,'Team forecast'!$B$2:$B$26,0),MATCH('Master data'!AP$1,'Team forecast'!$B$2:$AO$2,0))</f>
        <v>4.862063919611546</v>
      </c>
      <c r="AQ422" s="5">
        <f t="shared" si="232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233"/>
        <v>0</v>
      </c>
      <c r="AV422" s="5">
        <f t="shared" si="234"/>
        <v>0</v>
      </c>
      <c r="AW422" s="5">
        <f t="shared" si="235"/>
        <v>0</v>
      </c>
      <c r="AX422" s="5">
        <f t="shared" si="236"/>
        <v>11127.773682079185</v>
      </c>
      <c r="AY422" s="5">
        <f t="shared" si="237"/>
        <v>14770.099613949968</v>
      </c>
      <c r="AZ422" s="5">
        <f t="shared" si="238"/>
        <v>0</v>
      </c>
      <c r="BA422" s="5">
        <f t="shared" si="239"/>
        <v>0</v>
      </c>
      <c r="BB422" s="5">
        <f t="shared" si="240"/>
        <v>0</v>
      </c>
      <c r="BC422" s="5">
        <f t="shared" si="241"/>
        <v>0</v>
      </c>
      <c r="BD422" s="5">
        <f t="shared" si="242"/>
        <v>20897.873296029153</v>
      </c>
      <c r="BE422" s="16">
        <f>INDEX('Team forecast'!$B$2:$AO$26,MATCH('Master data'!$B422,'Team forecast'!$B$2:$B$26,0),MATCH('Master data'!BE$1,'Team forecast'!$B$2:$AO$2,0))</f>
        <v>1.2236898885407743</v>
      </c>
      <c r="BF422" s="16">
        <f>INDEX('Team forecast'!$B$2:$AO$26,MATCH('Master data'!$B422,'Team forecast'!$B$2:$B$26,0),MATCH('Master data'!BF$1,'Team forecast'!$B$2:$AO$2,0))</f>
        <v>1.2688103238212438</v>
      </c>
      <c r="BG422" s="16">
        <f>INDEX('Team forecast'!$B$2:$AO$26,MATCH('Master data'!$B422,'Team forecast'!$B$2:$B$26,0),MATCH('Master data'!BG$1,'Team forecast'!$B$2:$AO$2,0))</f>
        <v>0.28116591928251122</v>
      </c>
      <c r="BH422" s="16">
        <f>INDEX('Team forecast'!$B$2:$AO$26,MATCH('Master data'!$B422,'Team forecast'!$B$2:$B$26,0),MATCH('Master data'!BH$1,'Team forecast'!$B$2:$AO$2,0))</f>
        <v>3.6710696656223227</v>
      </c>
      <c r="BI422" s="16">
        <f>INDEX('Team forecast'!$B$2:$AO$26,MATCH('Master data'!$B422,'Team forecast'!$B$2:$B$26,0),MATCH('Master data'!BI$1,'Team forecast'!$B$2:$AO$2,0))</f>
        <v>3.2331732950384708</v>
      </c>
      <c r="BJ422" s="5">
        <f t="shared" si="243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244"/>
        <v>0</v>
      </c>
      <c r="BO422" s="5">
        <f t="shared" si="245"/>
        <v>0</v>
      </c>
      <c r="BP422" s="5">
        <f t="shared" si="246"/>
        <v>0</v>
      </c>
      <c r="BQ422" s="5">
        <f t="shared" si="247"/>
        <v>21087.443946188341</v>
      </c>
      <c r="BR422" s="5">
        <f t="shared" si="248"/>
        <v>9821.8148560861355</v>
      </c>
      <c r="BS422" s="5">
        <f t="shared" si="249"/>
        <v>0</v>
      </c>
      <c r="BT422" s="5">
        <f t="shared" si="250"/>
        <v>0</v>
      </c>
      <c r="BU422" s="5">
        <f t="shared" si="251"/>
        <v>0</v>
      </c>
      <c r="BV422" s="5">
        <f t="shared" si="252"/>
        <v>0</v>
      </c>
      <c r="BW422" s="5">
        <f t="shared" si="253"/>
        <v>25909.258802274475</v>
      </c>
      <c r="BX422" s="5">
        <f t="shared" si="254"/>
        <v>27119.264100390705</v>
      </c>
      <c r="BY422" s="5">
        <f t="shared" si="255"/>
        <v>81357.792301172114</v>
      </c>
      <c r="BZ422" s="5">
        <f>INDEX('Team forecast'!$R$3:$BH$26,MATCH($B422,'Team forecast'!$B$3:$B$26,0),MATCH(BZ$1,'Team forecast'!$R$2:$BH$2,0))*($BX422-(BY422+CH422)*0.01)</f>
        <v>-5768.4696375615586</v>
      </c>
      <c r="CA422" s="5">
        <f>INDEX('Team forecast'!$R$3:$BH$26,MATCH($B422,'Team forecast'!$B$3:$B$26,0),MATCH(CA$1,'Team forecast'!$R$2:$BH$2,0))*($BX422-(BY422+BX422+CH422)*0.01)</f>
        <v>-2928.1930251595436</v>
      </c>
      <c r="CB422" s="5">
        <f>INDEX('Team forecast'!$R$3:$BH$26,MATCH($B422,'Team forecast'!$B$3:$B$26,0),MATCH(CB$1,'Team forecast'!$R$2:$BH$2,0))*($BX422-(BY422+BX422*2+CH422)*0.01)</f>
        <v>-1463.772948929281</v>
      </c>
      <c r="CC422" s="5">
        <f>INDEX('Team forecast'!$R$3:$BH$26,MATCH($B422,'Team forecast'!$B$3:$B$26,0),MATCH(CC$1,'Team forecast'!$R$2:$BH$2,0))*($BX422-(BY422+BX422*3+CH422)*0.01)</f>
        <v>-694.16230638276556</v>
      </c>
      <c r="CD422" s="5">
        <f>+AK422+BD422*Cockpit!$C$3+BW422*Cockpit!$C$3^2+BZ422*Cockpit!$C$3^3+CA422*Cockpit!$C$3^4+CB422*Cockpit!$C$3^5+CC422*Cockpit!$C$3^6</f>
        <v>57456.515409679349</v>
      </c>
      <c r="CE422" s="5"/>
      <c r="CF422" s="5"/>
      <c r="CG422" s="5">
        <v>0</v>
      </c>
      <c r="CH422" s="5">
        <f t="shared" si="256"/>
        <v>3500000</v>
      </c>
      <c r="CI422" s="5">
        <f t="shared" si="257"/>
        <v>3500000</v>
      </c>
      <c r="CJ422" s="1">
        <f t="shared" si="258"/>
        <v>2.3245083514620603E-2</v>
      </c>
      <c r="CK422" s="5">
        <f>RANK(BY422,$BY$2:$BY$623)+COUNTIF($BY$2:$BY422,$BY422)-1</f>
        <v>209</v>
      </c>
      <c r="CL422" s="5">
        <f>RANK(CJ422,$CJ$2:$CJ$623)+COUNTIF($CJ$2:$CJ422,$CJ422)-1</f>
        <v>231</v>
      </c>
    </row>
    <row r="423" spans="1:90">
      <c r="A423" t="str">
        <f>Players!P424</f>
        <v>Kamil Piątkowski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1.5369105908463034</v>
      </c>
      <c r="I423" s="16">
        <f>INDEX('Team forecast'!$B$2:$AO$26,MATCH('Master data'!$B423,'Team forecast'!$B$2:$B$26,0),MATCH('Master data'!I$1,'Team forecast'!$B$2:$AO$2,0))</f>
        <v>0.81328039356128246</v>
      </c>
      <c r="J423" s="16">
        <f>INDEX('Team forecast'!$B$2:$AO$26,MATCH('Master data'!$B423,'Team forecast'!$B$2:$B$26,0),MATCH('Master data'!J$1,'Team forecast'!$B$2:$AO$2,0))</f>
        <v>0.44340114762649968</v>
      </c>
      <c r="K423" s="16">
        <f>INDEX('Team forecast'!$B$2:$AO$26,MATCH('Master data'!$B423,'Team forecast'!$B$2:$B$26,0),MATCH('Master data'!K$1,'Team forecast'!$B$2:$AO$2,0))</f>
        <v>4.6107317725389105</v>
      </c>
      <c r="L423" s="16">
        <f>INDEX('Team forecast'!$B$2:$AO$26,MATCH('Master data'!$B423,'Team forecast'!$B$2:$B$26,0),MATCH('Master data'!L$1,'Team forecast'!$B$2:$AO$2,0))</f>
        <v>2.0723952197374849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0.06</v>
      </c>
      <c r="R423" s="2">
        <f>Players!BR424</f>
        <v>0</v>
      </c>
      <c r="S423" s="2">
        <f t="shared" si="217"/>
        <v>1.5369105908463034</v>
      </c>
      <c r="T423" s="2">
        <f t="shared" si="218"/>
        <v>0.81328039356128246</v>
      </c>
      <c r="U423" s="16">
        <f>INDEX('Team forecast'!$B$2:$AO$26,MATCH('Master data'!$B423,'Team forecast'!$B$2:$B$26,0),MATCH('Master data'!U$1,'Team forecast'!$B$2:$AO$2,0))</f>
        <v>0.54773082942097018</v>
      </c>
      <c r="V423" s="16">
        <f>INDEX('Team forecast'!$B$2:$AO$26,MATCH('Master data'!$B423,'Team forecast'!$B$2:$B$26,0),MATCH('Master data'!V$1,'Team forecast'!$B$2:$AO$2,0))</f>
        <v>0.2660406885758998</v>
      </c>
      <c r="W423" s="16">
        <f>INDEX('Team forecast'!$B$2:$AO$26,MATCH('Master data'!$B423,'Team forecast'!$B$2:$B$26,0),MATCH('Master data'!W$1,'Team forecast'!$B$2:$AO$2,0))</f>
        <v>0.18622848200312991</v>
      </c>
      <c r="X423" s="5">
        <f t="shared" si="219"/>
        <v>-5000</v>
      </c>
      <c r="Y423" s="5">
        <f t="shared" si="220"/>
        <v>0</v>
      </c>
      <c r="Z423" s="5">
        <f t="shared" si="221"/>
        <v>0</v>
      </c>
      <c r="AA423" s="5">
        <f t="shared" si="222"/>
        <v>0</v>
      </c>
      <c r="AB423" s="5">
        <f t="shared" si="223"/>
        <v>0</v>
      </c>
      <c r="AC423" s="5">
        <f t="shared" si="224"/>
        <v>0</v>
      </c>
      <c r="AD423" s="5">
        <f t="shared" si="225"/>
        <v>0</v>
      </c>
      <c r="AE423" s="5">
        <f t="shared" si="226"/>
        <v>22170.057381324983</v>
      </c>
      <c r="AF423" s="5">
        <f t="shared" si="227"/>
        <v>0</v>
      </c>
      <c r="AG423" s="5">
        <f t="shared" si="228"/>
        <v>0</v>
      </c>
      <c r="AH423" s="5">
        <f t="shared" si="229"/>
        <v>0</v>
      </c>
      <c r="AI423" s="5">
        <f t="shared" si="230"/>
        <v>0</v>
      </c>
      <c r="AJ423" s="5">
        <f t="shared" si="231"/>
        <v>0</v>
      </c>
      <c r="AK423" s="5">
        <f>IFERROR(SUM(X423:AJ423),-5000)*((Cockpit!$C$3)^0)</f>
        <v>17170.057381324983</v>
      </c>
      <c r="AL423" s="16">
        <f>INDEX('Team forecast'!$B$2:$AO$26,MATCH('Master data'!$B423,'Team forecast'!$B$2:$B$26,0),MATCH('Master data'!AL$1,'Team forecast'!$B$2:$AO$2,0))</f>
        <v>0.77817916464933856</v>
      </c>
      <c r="AM423" s="16">
        <f>INDEX('Team forecast'!$B$2:$AO$26,MATCH('Master data'!$B423,'Team forecast'!$B$2:$B$26,0),MATCH('Master data'!AM$1,'Team forecast'!$B$2:$AO$2,0))</f>
        <v>1.9080439968215523</v>
      </c>
      <c r="AN423" s="16">
        <f>INDEX('Team forecast'!$B$2:$AO$26,MATCH('Master data'!$B423,'Team forecast'!$B$2:$B$26,0),MATCH('Master data'!AN$1,'Team forecast'!$B$2:$AO$2,0))</f>
        <v>0.1483703157610558</v>
      </c>
      <c r="AO423" s="16">
        <f>INDEX('Team forecast'!$B$2:$AO$26,MATCH('Master data'!$B423,'Team forecast'!$B$2:$B$26,0),MATCH('Master data'!AO$1,'Team forecast'!$B$2:$AO$2,0))</f>
        <v>2.3345374939480159</v>
      </c>
      <c r="AP423" s="16">
        <f>INDEX('Team forecast'!$B$2:$AO$26,MATCH('Master data'!$B423,'Team forecast'!$B$2:$B$26,0),MATCH('Master data'!AP$1,'Team forecast'!$B$2:$AO$2,0))</f>
        <v>4.862063919611546</v>
      </c>
      <c r="AQ423" s="5">
        <f t="shared" si="232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233"/>
        <v>0</v>
      </c>
      <c r="AV423" s="5">
        <f t="shared" si="234"/>
        <v>0</v>
      </c>
      <c r="AW423" s="5">
        <f t="shared" si="235"/>
        <v>0</v>
      </c>
      <c r="AX423" s="5">
        <f t="shared" si="236"/>
        <v>7418.5157880527904</v>
      </c>
      <c r="AY423" s="5">
        <f t="shared" si="237"/>
        <v>0</v>
      </c>
      <c r="AZ423" s="5">
        <f t="shared" si="238"/>
        <v>0</v>
      </c>
      <c r="BA423" s="5">
        <f t="shared" si="239"/>
        <v>0</v>
      </c>
      <c r="BB423" s="5">
        <f t="shared" si="240"/>
        <v>0</v>
      </c>
      <c r="BC423" s="5">
        <f t="shared" si="241"/>
        <v>0</v>
      </c>
      <c r="BD423" s="5">
        <f t="shared" si="242"/>
        <v>2418.5157880527904</v>
      </c>
      <c r="BE423" s="16">
        <f>INDEX('Team forecast'!$B$2:$AO$26,MATCH('Master data'!$B423,'Team forecast'!$B$2:$B$26,0),MATCH('Master data'!BE$1,'Team forecast'!$B$2:$AO$2,0))</f>
        <v>1.2236898885407743</v>
      </c>
      <c r="BF423" s="16">
        <f>INDEX('Team forecast'!$B$2:$AO$26,MATCH('Master data'!$B423,'Team forecast'!$B$2:$B$26,0),MATCH('Master data'!BF$1,'Team forecast'!$B$2:$AO$2,0))</f>
        <v>1.2688103238212438</v>
      </c>
      <c r="BG423" s="16">
        <f>INDEX('Team forecast'!$B$2:$AO$26,MATCH('Master data'!$B423,'Team forecast'!$B$2:$B$26,0),MATCH('Master data'!BG$1,'Team forecast'!$B$2:$AO$2,0))</f>
        <v>0.28116591928251122</v>
      </c>
      <c r="BH423" s="16">
        <f>INDEX('Team forecast'!$B$2:$AO$26,MATCH('Master data'!$B423,'Team forecast'!$B$2:$B$26,0),MATCH('Master data'!BH$1,'Team forecast'!$B$2:$AO$2,0))</f>
        <v>3.6710696656223227</v>
      </c>
      <c r="BI423" s="16">
        <f>INDEX('Team forecast'!$B$2:$AO$26,MATCH('Master data'!$B423,'Team forecast'!$B$2:$B$26,0),MATCH('Master data'!BI$1,'Team forecast'!$B$2:$AO$2,0))</f>
        <v>3.2331732950384708</v>
      </c>
      <c r="BJ423" s="5">
        <f t="shared" si="243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244"/>
        <v>0</v>
      </c>
      <c r="BO423" s="5">
        <f t="shared" si="245"/>
        <v>0</v>
      </c>
      <c r="BP423" s="5">
        <f t="shared" si="246"/>
        <v>0</v>
      </c>
      <c r="BQ423" s="5">
        <f t="shared" si="247"/>
        <v>14058.295964125562</v>
      </c>
      <c r="BR423" s="5">
        <f t="shared" si="248"/>
        <v>0</v>
      </c>
      <c r="BS423" s="5">
        <f t="shared" si="249"/>
        <v>0</v>
      </c>
      <c r="BT423" s="5">
        <f t="shared" si="250"/>
        <v>0</v>
      </c>
      <c r="BU423" s="5">
        <f t="shared" si="251"/>
        <v>0</v>
      </c>
      <c r="BV423" s="5">
        <f t="shared" si="252"/>
        <v>0</v>
      </c>
      <c r="BW423" s="5">
        <f t="shared" si="253"/>
        <v>9058.295964125562</v>
      </c>
      <c r="BX423" s="5">
        <f t="shared" si="254"/>
        <v>9548.9563778344454</v>
      </c>
      <c r="BY423" s="5">
        <f t="shared" si="255"/>
        <v>28646.869133503336</v>
      </c>
      <c r="BZ423" s="5">
        <f>INDEX('Team forecast'!$R$3:$BH$26,MATCH($B423,'Team forecast'!$B$3:$B$26,0),MATCH(BZ$1,'Team forecast'!$R$2:$BH$2,0))*($BX423-(BY423+CH423)*0.01)</f>
        <v>-7124.0830532499913</v>
      </c>
      <c r="CA423" s="5">
        <f>INDEX('Team forecast'!$R$3:$BH$26,MATCH($B423,'Team forecast'!$B$3:$B$26,0),MATCH(CA$1,'Team forecast'!$R$2:$BH$2,0))*($BX423-(BY423+BX423+CH423)*0.01)</f>
        <v>-3538.129236456205</v>
      </c>
      <c r="CB423" s="5">
        <f>INDEX('Team forecast'!$R$3:$BH$26,MATCH($B423,'Team forecast'!$B$3:$B$26,0),MATCH(CB$1,'Team forecast'!$R$2:$BH$2,0))*($BX423-(BY423+BX423*2+CH423)*0.01)</f>
        <v>-1731.8773690493233</v>
      </c>
      <c r="CC423" s="5">
        <f>INDEX('Team forecast'!$R$3:$BH$26,MATCH($B423,'Team forecast'!$B$3:$B$26,0),MATCH(CC$1,'Team forecast'!$R$2:$BH$2,0))*($BX423-(BY423+BX423*3+CH423)*0.01)</f>
        <v>-804.85056882893957</v>
      </c>
      <c r="CD423" s="5">
        <f>+AK423+BD423*Cockpit!$C$3+BW423*Cockpit!$C$3^2+BZ423*Cockpit!$C$3^3+CA423*Cockpit!$C$3^4+CB423*Cockpit!$C$3^5+CC423*Cockpit!$C$3^6</f>
        <v>19699.8562180669</v>
      </c>
      <c r="CE423" s="5"/>
      <c r="CF423" s="5"/>
      <c r="CG423" s="5">
        <v>0</v>
      </c>
      <c r="CH423" s="5">
        <f t="shared" si="256"/>
        <v>2000000</v>
      </c>
      <c r="CI423" s="5">
        <f t="shared" si="257"/>
        <v>2000000</v>
      </c>
      <c r="CJ423" s="1">
        <f t="shared" si="258"/>
        <v>1.4323434566751668E-2</v>
      </c>
      <c r="CK423" s="5">
        <f>RANK(BY423,$BY$2:$BY$623)+COUNTIF($BY$2:$BY423,$BY423)-1</f>
        <v>355</v>
      </c>
      <c r="CL423" s="5">
        <f>RANK(CJ423,$CJ$2:$CJ$623)+COUNTIF($CJ$2:$CJ423,$CJ423)-1</f>
        <v>311</v>
      </c>
    </row>
    <row r="424" spans="1:90">
      <c r="A424" t="str">
        <f>Players!P425</f>
        <v>Tymoteusz Puchacz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2000000</v>
      </c>
      <c r="H424" s="16">
        <f>INDEX('Team forecast'!$B$2:$AO$26,MATCH('Master data'!$B424,'Team forecast'!$B$2:$B$26,0),MATCH('Master data'!H$1,'Team forecast'!$B$2:$AO$2,0))</f>
        <v>1.5369105908463034</v>
      </c>
      <c r="I424" s="16">
        <f>INDEX('Team forecast'!$B$2:$AO$26,MATCH('Master data'!$B424,'Team forecast'!$B$2:$B$26,0),MATCH('Master data'!I$1,'Team forecast'!$B$2:$AO$2,0))</f>
        <v>0.81328039356128246</v>
      </c>
      <c r="J424" s="16">
        <f>INDEX('Team forecast'!$B$2:$AO$26,MATCH('Master data'!$B424,'Team forecast'!$B$2:$B$26,0),MATCH('Master data'!J$1,'Team forecast'!$B$2:$AO$2,0))</f>
        <v>0.44340114762649968</v>
      </c>
      <c r="K424" s="16">
        <f>INDEX('Team forecast'!$B$2:$AO$26,MATCH('Master data'!$B424,'Team forecast'!$B$2:$B$26,0),MATCH('Master data'!K$1,'Team forecast'!$B$2:$AO$2,0))</f>
        <v>4.6107317725389105</v>
      </c>
      <c r="L424" s="16">
        <f>INDEX('Team forecast'!$B$2:$AO$26,MATCH('Master data'!$B424,'Team forecast'!$B$2:$B$26,0),MATCH('Master data'!L$1,'Team forecast'!$B$2:$AO$2,0))</f>
        <v>2.0723952197374849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0.25326889279437609</v>
      </c>
      <c r="R424" s="2">
        <f>Players!BR425</f>
        <v>0</v>
      </c>
      <c r="S424" s="2">
        <f t="shared" si="217"/>
        <v>1.5369105908463034</v>
      </c>
      <c r="T424" s="2">
        <f t="shared" si="218"/>
        <v>0.81328039356128246</v>
      </c>
      <c r="U424" s="16">
        <f>INDEX('Team forecast'!$B$2:$AO$26,MATCH('Master data'!$B424,'Team forecast'!$B$2:$B$26,0),MATCH('Master data'!U$1,'Team forecast'!$B$2:$AO$2,0))</f>
        <v>0.54773082942097018</v>
      </c>
      <c r="V424" s="16">
        <f>INDEX('Team forecast'!$B$2:$AO$26,MATCH('Master data'!$B424,'Team forecast'!$B$2:$B$26,0),MATCH('Master data'!V$1,'Team forecast'!$B$2:$AO$2,0))</f>
        <v>0.2660406885758998</v>
      </c>
      <c r="W424" s="16">
        <f>INDEX('Team forecast'!$B$2:$AO$26,MATCH('Master data'!$B424,'Team forecast'!$B$2:$B$26,0),MATCH('Master data'!W$1,'Team forecast'!$B$2:$AO$2,0))</f>
        <v>0.18622848200312991</v>
      </c>
      <c r="X424" s="5">
        <f t="shared" si="219"/>
        <v>-5000</v>
      </c>
      <c r="Y424" s="5">
        <f t="shared" si="220"/>
        <v>0</v>
      </c>
      <c r="Z424" s="5">
        <f t="shared" si="221"/>
        <v>0</v>
      </c>
      <c r="AA424" s="5">
        <f t="shared" si="222"/>
        <v>0</v>
      </c>
      <c r="AB424" s="5">
        <f t="shared" si="223"/>
        <v>0</v>
      </c>
      <c r="AC424" s="5">
        <f t="shared" si="224"/>
        <v>0</v>
      </c>
      <c r="AD424" s="5">
        <f t="shared" si="225"/>
        <v>0</v>
      </c>
      <c r="AE424" s="5">
        <f t="shared" si="226"/>
        <v>22170.057381324983</v>
      </c>
      <c r="AF424" s="5">
        <f t="shared" si="227"/>
        <v>0</v>
      </c>
      <c r="AG424" s="5">
        <f t="shared" si="228"/>
        <v>0</v>
      </c>
      <c r="AH424" s="5">
        <f t="shared" si="229"/>
        <v>0</v>
      </c>
      <c r="AI424" s="5">
        <f t="shared" si="230"/>
        <v>0</v>
      </c>
      <c r="AJ424" s="5">
        <f t="shared" si="231"/>
        <v>0</v>
      </c>
      <c r="AK424" s="5">
        <f>IFERROR(SUM(X424:AJ424),-5000)*((Cockpit!$C$3)^0)</f>
        <v>17170.057381324983</v>
      </c>
      <c r="AL424" s="16">
        <f>INDEX('Team forecast'!$B$2:$AO$26,MATCH('Master data'!$B424,'Team forecast'!$B$2:$B$26,0),MATCH('Master data'!AL$1,'Team forecast'!$B$2:$AO$2,0))</f>
        <v>0.77817916464933856</v>
      </c>
      <c r="AM424" s="16">
        <f>INDEX('Team forecast'!$B$2:$AO$26,MATCH('Master data'!$B424,'Team forecast'!$B$2:$B$26,0),MATCH('Master data'!AM$1,'Team forecast'!$B$2:$AO$2,0))</f>
        <v>1.9080439968215523</v>
      </c>
      <c r="AN424" s="16">
        <f>INDEX('Team forecast'!$B$2:$AO$26,MATCH('Master data'!$B424,'Team forecast'!$B$2:$B$26,0),MATCH('Master data'!AN$1,'Team forecast'!$B$2:$AO$2,0))</f>
        <v>0.1483703157610558</v>
      </c>
      <c r="AO424" s="16">
        <f>INDEX('Team forecast'!$B$2:$AO$26,MATCH('Master data'!$B424,'Team forecast'!$B$2:$B$26,0),MATCH('Master data'!AO$1,'Team forecast'!$B$2:$AO$2,0))</f>
        <v>2.3345374939480159</v>
      </c>
      <c r="AP424" s="16">
        <f>INDEX('Team forecast'!$B$2:$AO$26,MATCH('Master data'!$B424,'Team forecast'!$B$2:$B$26,0),MATCH('Master data'!AP$1,'Team forecast'!$B$2:$AO$2,0))</f>
        <v>4.862063919611546</v>
      </c>
      <c r="AQ424" s="5">
        <f t="shared" si="232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233"/>
        <v>0</v>
      </c>
      <c r="AV424" s="5">
        <f t="shared" si="234"/>
        <v>0</v>
      </c>
      <c r="AW424" s="5">
        <f t="shared" si="235"/>
        <v>0</v>
      </c>
      <c r="AX424" s="5">
        <f t="shared" si="236"/>
        <v>7418.5157880527904</v>
      </c>
      <c r="AY424" s="5">
        <f t="shared" si="237"/>
        <v>0</v>
      </c>
      <c r="AZ424" s="5">
        <f t="shared" si="238"/>
        <v>0</v>
      </c>
      <c r="BA424" s="5">
        <f t="shared" si="239"/>
        <v>0</v>
      </c>
      <c r="BB424" s="5">
        <f t="shared" si="240"/>
        <v>0</v>
      </c>
      <c r="BC424" s="5">
        <f t="shared" si="241"/>
        <v>0</v>
      </c>
      <c r="BD424" s="5">
        <f t="shared" si="242"/>
        <v>2418.5157880527904</v>
      </c>
      <c r="BE424" s="16">
        <f>INDEX('Team forecast'!$B$2:$AO$26,MATCH('Master data'!$B424,'Team forecast'!$B$2:$B$26,0),MATCH('Master data'!BE$1,'Team forecast'!$B$2:$AO$2,0))</f>
        <v>1.2236898885407743</v>
      </c>
      <c r="BF424" s="16">
        <f>INDEX('Team forecast'!$B$2:$AO$26,MATCH('Master data'!$B424,'Team forecast'!$B$2:$B$26,0),MATCH('Master data'!BF$1,'Team forecast'!$B$2:$AO$2,0))</f>
        <v>1.2688103238212438</v>
      </c>
      <c r="BG424" s="16">
        <f>INDEX('Team forecast'!$B$2:$AO$26,MATCH('Master data'!$B424,'Team forecast'!$B$2:$B$26,0),MATCH('Master data'!BG$1,'Team forecast'!$B$2:$AO$2,0))</f>
        <v>0.28116591928251122</v>
      </c>
      <c r="BH424" s="16">
        <f>INDEX('Team forecast'!$B$2:$AO$26,MATCH('Master data'!$B424,'Team forecast'!$B$2:$B$26,0),MATCH('Master data'!BH$1,'Team forecast'!$B$2:$AO$2,0))</f>
        <v>3.6710696656223227</v>
      </c>
      <c r="BI424" s="16">
        <f>INDEX('Team forecast'!$B$2:$AO$26,MATCH('Master data'!$B424,'Team forecast'!$B$2:$B$26,0),MATCH('Master data'!BI$1,'Team forecast'!$B$2:$AO$2,0))</f>
        <v>3.2331732950384708</v>
      </c>
      <c r="BJ424" s="5">
        <f t="shared" si="243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244"/>
        <v>0</v>
      </c>
      <c r="BO424" s="5">
        <f t="shared" si="245"/>
        <v>0</v>
      </c>
      <c r="BP424" s="5">
        <f t="shared" si="246"/>
        <v>0</v>
      </c>
      <c r="BQ424" s="5">
        <f t="shared" si="247"/>
        <v>14058.295964125562</v>
      </c>
      <c r="BR424" s="5">
        <f t="shared" si="248"/>
        <v>0</v>
      </c>
      <c r="BS424" s="5">
        <f t="shared" si="249"/>
        <v>0</v>
      </c>
      <c r="BT424" s="5">
        <f t="shared" si="250"/>
        <v>0</v>
      </c>
      <c r="BU424" s="5">
        <f t="shared" si="251"/>
        <v>0</v>
      </c>
      <c r="BV424" s="5">
        <f t="shared" si="252"/>
        <v>0</v>
      </c>
      <c r="BW424" s="5">
        <f t="shared" si="253"/>
        <v>9058.295964125562</v>
      </c>
      <c r="BX424" s="5">
        <f t="shared" si="254"/>
        <v>9548.9563778344454</v>
      </c>
      <c r="BY424" s="5">
        <f t="shared" si="255"/>
        <v>28646.869133503336</v>
      </c>
      <c r="BZ424" s="5">
        <f>INDEX('Team forecast'!$R$3:$BH$26,MATCH($B424,'Team forecast'!$B$3:$B$26,0),MATCH(BZ$1,'Team forecast'!$R$2:$BH$2,0))*($BX424-(BY424+CH424)*0.01)</f>
        <v>-7124.0830532499913</v>
      </c>
      <c r="CA424" s="5">
        <f>INDEX('Team forecast'!$R$3:$BH$26,MATCH($B424,'Team forecast'!$B$3:$B$26,0),MATCH(CA$1,'Team forecast'!$R$2:$BH$2,0))*($BX424-(BY424+BX424+CH424)*0.01)</f>
        <v>-3538.129236456205</v>
      </c>
      <c r="CB424" s="5">
        <f>INDEX('Team forecast'!$R$3:$BH$26,MATCH($B424,'Team forecast'!$B$3:$B$26,0),MATCH(CB$1,'Team forecast'!$R$2:$BH$2,0))*($BX424-(BY424+BX424*2+CH424)*0.01)</f>
        <v>-1731.8773690493233</v>
      </c>
      <c r="CC424" s="5">
        <f>INDEX('Team forecast'!$R$3:$BH$26,MATCH($B424,'Team forecast'!$B$3:$B$26,0),MATCH(CC$1,'Team forecast'!$R$2:$BH$2,0))*($BX424-(BY424+BX424*3+CH424)*0.01)</f>
        <v>-804.85056882893957</v>
      </c>
      <c r="CD424" s="5">
        <f>+AK424+BD424*Cockpit!$C$3+BW424*Cockpit!$C$3^2+BZ424*Cockpit!$C$3^3+CA424*Cockpit!$C$3^4+CB424*Cockpit!$C$3^5+CC424*Cockpit!$C$3^6</f>
        <v>19699.8562180669</v>
      </c>
      <c r="CE424" s="5"/>
      <c r="CF424" s="5"/>
      <c r="CG424" s="5">
        <v>0</v>
      </c>
      <c r="CH424" s="5">
        <f t="shared" si="256"/>
        <v>2000000</v>
      </c>
      <c r="CI424" s="5">
        <f t="shared" si="257"/>
        <v>2000000</v>
      </c>
      <c r="CJ424" s="1">
        <f t="shared" si="258"/>
        <v>1.4323434566751668E-2</v>
      </c>
      <c r="CK424" s="5">
        <f>RANK(BY424,$BY$2:$BY$623)+COUNTIF($BY$2:$BY424,$BY424)-1</f>
        <v>356</v>
      </c>
      <c r="CL424" s="5">
        <f>RANK(CJ424,$CJ$2:$CJ$623)+COUNTIF($CJ$2:$CJ424,$CJ424)-1</f>
        <v>312</v>
      </c>
    </row>
    <row r="425" spans="1:90">
      <c r="A425" t="str">
        <f>Players!P426</f>
        <v>Michał Helik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3000000</v>
      </c>
      <c r="H425" s="16">
        <f>INDEX('Team forecast'!$B$2:$AO$26,MATCH('Master data'!$B425,'Team forecast'!$B$2:$B$26,0),MATCH('Master data'!H$1,'Team forecast'!$B$2:$AO$2,0))</f>
        <v>1.5369105908463034</v>
      </c>
      <c r="I425" s="16">
        <f>INDEX('Team forecast'!$B$2:$AO$26,MATCH('Master data'!$B425,'Team forecast'!$B$2:$B$26,0),MATCH('Master data'!I$1,'Team forecast'!$B$2:$AO$2,0))</f>
        <v>0.81328039356128246</v>
      </c>
      <c r="J425" s="16">
        <f>INDEX('Team forecast'!$B$2:$AO$26,MATCH('Master data'!$B425,'Team forecast'!$B$2:$B$26,0),MATCH('Master data'!J$1,'Team forecast'!$B$2:$AO$2,0))</f>
        <v>0.44340114762649968</v>
      </c>
      <c r="K425" s="16">
        <f>INDEX('Team forecast'!$B$2:$AO$26,MATCH('Master data'!$B425,'Team forecast'!$B$2:$B$26,0),MATCH('Master data'!K$1,'Team forecast'!$B$2:$AO$2,0))</f>
        <v>4.6107317725389105</v>
      </c>
      <c r="L425" s="16">
        <f>INDEX('Team forecast'!$B$2:$AO$26,MATCH('Master data'!$B425,'Team forecast'!$B$2:$B$26,0),MATCH('Master data'!L$1,'Team forecast'!$B$2:$AO$2,0))</f>
        <v>2.0723952197374849</v>
      </c>
      <c r="M425">
        <f>IF(Players!BC426=1,95,0)</f>
        <v>95</v>
      </c>
      <c r="N425" s="2">
        <f>Players!BN426</f>
        <v>5.4425314569623802E-2</v>
      </c>
      <c r="O425" s="2">
        <f>Players!BO426</f>
        <v>3.7586264494998765E-2</v>
      </c>
      <c r="P425" s="2">
        <f>Players!BP426</f>
        <v>6.7563533045823493E-2</v>
      </c>
      <c r="Q425" s="2">
        <f>Players!BQ426</f>
        <v>0.14316012725344646</v>
      </c>
      <c r="R425" s="2">
        <f>Players!BR426</f>
        <v>0</v>
      </c>
      <c r="S425" s="2">
        <f t="shared" si="217"/>
        <v>1.5369105908463034</v>
      </c>
      <c r="T425" s="2">
        <f t="shared" si="218"/>
        <v>0.81328039356128246</v>
      </c>
      <c r="U425" s="16">
        <f>INDEX('Team forecast'!$B$2:$AO$26,MATCH('Master data'!$B425,'Team forecast'!$B$2:$B$26,0),MATCH('Master data'!U$1,'Team forecast'!$B$2:$AO$2,0))</f>
        <v>0.54773082942097018</v>
      </c>
      <c r="V425" s="16">
        <f>INDEX('Team forecast'!$B$2:$AO$26,MATCH('Master data'!$B425,'Team forecast'!$B$2:$B$26,0),MATCH('Master data'!V$1,'Team forecast'!$B$2:$AO$2,0))</f>
        <v>0.2660406885758998</v>
      </c>
      <c r="W425" s="16">
        <f>INDEX('Team forecast'!$B$2:$AO$26,MATCH('Master data'!$B425,'Team forecast'!$B$2:$B$26,0),MATCH('Master data'!W$1,'Team forecast'!$B$2:$AO$2,0))</f>
        <v>0.18622848200312991</v>
      </c>
      <c r="X425" s="5">
        <f t="shared" si="219"/>
        <v>7000</v>
      </c>
      <c r="Y425" s="5">
        <f t="shared" si="220"/>
        <v>13693.270735524255</v>
      </c>
      <c r="Z425" s="5">
        <f t="shared" si="221"/>
        <v>1330.2034428794989</v>
      </c>
      <c r="AA425" s="5">
        <f t="shared" si="222"/>
        <v>-2793.4272300469488</v>
      </c>
      <c r="AB425" s="5">
        <f t="shared" si="223"/>
        <v>12547.026355829466</v>
      </c>
      <c r="AC425" s="5">
        <f t="shared" si="224"/>
        <v>2888.3363986356994</v>
      </c>
      <c r="AD425" s="5">
        <f t="shared" si="225"/>
        <v>3115.1732847936105</v>
      </c>
      <c r="AE425" s="5">
        <f t="shared" si="226"/>
        <v>22170.057381324983</v>
      </c>
      <c r="AF425" s="5">
        <f t="shared" si="227"/>
        <v>0</v>
      </c>
      <c r="AG425" s="5">
        <f t="shared" si="228"/>
        <v>-2863.2025450689293</v>
      </c>
      <c r="AH425" s="5">
        <f t="shared" si="229"/>
        <v>0</v>
      </c>
      <c r="AI425" s="5">
        <f t="shared" si="230"/>
        <v>15369.105908463034</v>
      </c>
      <c r="AJ425" s="5">
        <f t="shared" si="231"/>
        <v>-6506.24314849026</v>
      </c>
      <c r="AK425" s="5">
        <f>IFERROR(SUM(X425:AJ425),-5000)*((Cockpit!$C$3)^0)</f>
        <v>65950.300583844393</v>
      </c>
      <c r="AL425" s="16">
        <f>INDEX('Team forecast'!$B$2:$AO$26,MATCH('Master data'!$B425,'Team forecast'!$B$2:$B$26,0),MATCH('Master data'!AL$1,'Team forecast'!$B$2:$AO$2,0))</f>
        <v>0.77817916464933856</v>
      </c>
      <c r="AM425" s="16">
        <f>INDEX('Team forecast'!$B$2:$AO$26,MATCH('Master data'!$B425,'Team forecast'!$B$2:$B$26,0),MATCH('Master data'!AM$1,'Team forecast'!$B$2:$AO$2,0))</f>
        <v>1.9080439968215523</v>
      </c>
      <c r="AN425" s="16">
        <f>INDEX('Team forecast'!$B$2:$AO$26,MATCH('Master data'!$B425,'Team forecast'!$B$2:$B$26,0),MATCH('Master data'!AN$1,'Team forecast'!$B$2:$AO$2,0))</f>
        <v>0.1483703157610558</v>
      </c>
      <c r="AO425" s="16">
        <f>INDEX('Team forecast'!$B$2:$AO$26,MATCH('Master data'!$B425,'Team forecast'!$B$2:$B$26,0),MATCH('Master data'!AO$1,'Team forecast'!$B$2:$AO$2,0))</f>
        <v>2.3345374939480159</v>
      </c>
      <c r="AP425" s="16">
        <f>INDEX('Team forecast'!$B$2:$AO$26,MATCH('Master data'!$B425,'Team forecast'!$B$2:$B$26,0),MATCH('Master data'!AP$1,'Team forecast'!$B$2:$AO$2,0))</f>
        <v>4.862063919611546</v>
      </c>
      <c r="AQ425" s="5">
        <f t="shared" si="232"/>
        <v>7000</v>
      </c>
      <c r="AR425" s="5">
        <f>INDEX('Team forecast'!$B$2:$AO$26,MATCH('Master data'!$B425,'Team forecast'!$B$2:$B$26,0),MATCH('Master data'!AR$1,'Team forecast'!$B$2:$AO$2,0))*IF(X425&gt;0,25000,0)</f>
        <v>3519.7337680542423</v>
      </c>
      <c r="AS425" s="16">
        <f>INDEX('Team forecast'!$B$2:$AO$26,MATCH('Master data'!$B425,'Team forecast'!$B$2:$B$26,0),MATCH('Master data'!AS$1,'Team forecast'!$B$2:$AO$2,0))*IF(X425&gt;0,5000,0)</f>
        <v>1059.787969721827</v>
      </c>
      <c r="AT425" s="16">
        <f>INDEX('Team forecast'!$B$2:$AO$26,MATCH('Master data'!$B425,'Team forecast'!$B$2:$B$26,0),MATCH('Master data'!AT$1,'Team forecast'!$B$2:$AO$2,0))*IF(X425&gt;0,-15000,0)</f>
        <v>-9708.7958300019709</v>
      </c>
      <c r="AU425" s="5">
        <f t="shared" si="233"/>
        <v>6352.8968741350982</v>
      </c>
      <c r="AV425" s="5">
        <f t="shared" si="234"/>
        <v>1462.4423953503615</v>
      </c>
      <c r="AW425" s="5">
        <f t="shared" si="235"/>
        <v>1577.2960111907073</v>
      </c>
      <c r="AX425" s="5">
        <f t="shared" si="236"/>
        <v>7418.5157880527904</v>
      </c>
      <c r="AY425" s="5">
        <f t="shared" si="237"/>
        <v>0</v>
      </c>
      <c r="AZ425" s="5">
        <f t="shared" si="238"/>
        <v>-2863.2025450689293</v>
      </c>
      <c r="BA425" s="5">
        <f t="shared" si="239"/>
        <v>0</v>
      </c>
      <c r="BB425" s="5">
        <f t="shared" si="240"/>
        <v>7781.791646493386</v>
      </c>
      <c r="BC425" s="5">
        <f t="shared" si="241"/>
        <v>-15264.351974572419</v>
      </c>
      <c r="BD425" s="5">
        <f t="shared" si="242"/>
        <v>8336.1141033550957</v>
      </c>
      <c r="BE425" s="16">
        <f>INDEX('Team forecast'!$B$2:$AO$26,MATCH('Master data'!$B425,'Team forecast'!$B$2:$B$26,0),MATCH('Master data'!BE$1,'Team forecast'!$B$2:$AO$2,0))</f>
        <v>1.2236898885407743</v>
      </c>
      <c r="BF425" s="16">
        <f>INDEX('Team forecast'!$B$2:$AO$26,MATCH('Master data'!$B425,'Team forecast'!$B$2:$B$26,0),MATCH('Master data'!BF$1,'Team forecast'!$B$2:$AO$2,0))</f>
        <v>1.2688103238212438</v>
      </c>
      <c r="BG425" s="16">
        <f>INDEX('Team forecast'!$B$2:$AO$26,MATCH('Master data'!$B425,'Team forecast'!$B$2:$B$26,0),MATCH('Master data'!BG$1,'Team forecast'!$B$2:$AO$2,0))</f>
        <v>0.28116591928251122</v>
      </c>
      <c r="BH425" s="16">
        <f>INDEX('Team forecast'!$B$2:$AO$26,MATCH('Master data'!$B425,'Team forecast'!$B$2:$B$26,0),MATCH('Master data'!BH$1,'Team forecast'!$B$2:$AO$2,0))</f>
        <v>3.6710696656223227</v>
      </c>
      <c r="BI425" s="16">
        <f>INDEX('Team forecast'!$B$2:$AO$26,MATCH('Master data'!$B425,'Team forecast'!$B$2:$B$26,0),MATCH('Master data'!BI$1,'Team forecast'!$B$2:$AO$2,0))</f>
        <v>3.2331732950384708</v>
      </c>
      <c r="BJ425" s="5">
        <f t="shared" si="243"/>
        <v>7000</v>
      </c>
      <c r="BK425" s="5">
        <f>INDEX('Team forecast'!$R$3:$BH$26,MATCH($B425,'Team forecast'!$B$3:$B$26,0),MATCH(BK$1,'Team forecast'!$R$2:$BH$2,0))*IF($X425&gt;0,25000,0)</f>
        <v>8385.6502242152455</v>
      </c>
      <c r="BL425" s="5">
        <f>INDEX('Team forecast'!$R$3:$BH$26,MATCH($B425,'Team forecast'!$B$3:$B$26,0),MATCH(BL$1,'Team forecast'!$R$2:$BH$2,0))*IF($X425&gt;0,5000,0)</f>
        <v>1448.4304932735427</v>
      </c>
      <c r="BM425" s="5">
        <f>INDEX('Team forecast'!$R$3:$BH$26,MATCH($B425,'Team forecast'!$B$3:$B$26,0),MATCH(BM$1,'Team forecast'!$R$2:$BH$2,0))*IF($X425&gt;0,-15000,0)</f>
        <v>-5623.3183856502237</v>
      </c>
      <c r="BN425" s="5">
        <f t="shared" si="244"/>
        <v>9989.9560679249298</v>
      </c>
      <c r="BO425" s="5">
        <f t="shared" si="245"/>
        <v>2299.6965905274551</v>
      </c>
      <c r="BP425" s="5">
        <f t="shared" si="246"/>
        <v>2480.30436666794</v>
      </c>
      <c r="BQ425" s="5">
        <f t="shared" si="247"/>
        <v>14058.295964125562</v>
      </c>
      <c r="BR425" s="5">
        <f t="shared" si="248"/>
        <v>0</v>
      </c>
      <c r="BS425" s="5">
        <f t="shared" si="249"/>
        <v>-2863.2025450689293</v>
      </c>
      <c r="BT425" s="5">
        <f t="shared" si="250"/>
        <v>0</v>
      </c>
      <c r="BU425" s="5">
        <f t="shared" si="251"/>
        <v>12236.898885407743</v>
      </c>
      <c r="BV425" s="5">
        <f t="shared" si="252"/>
        <v>-10150.482590569951</v>
      </c>
      <c r="BW425" s="5">
        <f t="shared" si="253"/>
        <v>39262.229070853311</v>
      </c>
      <c r="BX425" s="5">
        <f t="shared" si="254"/>
        <v>37849.547919350931</v>
      </c>
      <c r="BY425" s="5">
        <f t="shared" si="255"/>
        <v>113548.64375805279</v>
      </c>
      <c r="BZ425" s="5">
        <f>INDEX('Team forecast'!$R$3:$BH$26,MATCH($B425,'Team forecast'!$B$3:$B$26,0),MATCH(BZ$1,'Team forecast'!$R$2:$BH$2,0))*($BX425-(BY425+CH425)*0.01)</f>
        <v>4454.6194895272947</v>
      </c>
      <c r="CA425" s="5">
        <f>INDEX('Team forecast'!$R$3:$BH$26,MATCH($B425,'Team forecast'!$B$3:$B$26,0),MATCH(CA$1,'Team forecast'!$R$2:$BH$2,0))*($BX425-(BY425+BX425+CH425)*0.01)</f>
        <v>2069.2372767174115</v>
      </c>
      <c r="CB425" s="5">
        <f>INDEX('Team forecast'!$R$3:$BH$26,MATCH($B425,'Team forecast'!$B$3:$B$26,0),MATCH(CB$1,'Team forecast'!$R$2:$BH$2,0))*($BX425-(BY425+BX425*2+CH425)*0.01)</f>
        <v>944.03840465289124</v>
      </c>
      <c r="CC425" s="5">
        <f>INDEX('Team forecast'!$R$3:$BH$26,MATCH($B425,'Team forecast'!$B$3:$B$26,0),MATCH(CC$1,'Team forecast'!$R$2:$BH$2,0))*($BX425-(BY425+BX425*3+CH425)*0.01)</f>
        <v>407.28655969215339</v>
      </c>
      <c r="CD425" s="5">
        <f>+AK425+BD425*Cockpit!$C$3+BW425*Cockpit!$C$3^2+BZ425*Cockpit!$C$3^3+CA425*Cockpit!$C$3^4+CB425*Cockpit!$C$3^5+CC425*Cockpit!$C$3^6</f>
        <v>90846.289167437295</v>
      </c>
      <c r="CE425" s="5"/>
      <c r="CF425" s="5"/>
      <c r="CG425" s="5">
        <v>0</v>
      </c>
      <c r="CH425" s="5">
        <f t="shared" si="256"/>
        <v>3000000</v>
      </c>
      <c r="CI425" s="5">
        <f t="shared" si="257"/>
        <v>3000000</v>
      </c>
      <c r="CJ425" s="1">
        <f t="shared" si="258"/>
        <v>3.7849547919350926E-2</v>
      </c>
      <c r="CK425" s="5">
        <f>RANK(BY425,$BY$2:$BY$623)+COUNTIF($BY$2:$BY425,$BY425)-1</f>
        <v>145</v>
      </c>
      <c r="CL425" s="5">
        <f>RANK(CJ425,$CJ$2:$CJ$623)+COUNTIF($CJ$2:$CJ425,$CJ425)-1</f>
        <v>85</v>
      </c>
    </row>
    <row r="426" spans="1:90">
      <c r="A426" t="str">
        <f>Players!P427</f>
        <v>Paweł Dawidowicz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2000000</v>
      </c>
      <c r="H426" s="16">
        <f>INDEX('Team forecast'!$B$2:$AO$26,MATCH('Master data'!$B426,'Team forecast'!$B$2:$B$26,0),MATCH('Master data'!H$1,'Team forecast'!$B$2:$AO$2,0))</f>
        <v>1.5369105908463034</v>
      </c>
      <c r="I426" s="16">
        <f>INDEX('Team forecast'!$B$2:$AO$26,MATCH('Master data'!$B426,'Team forecast'!$B$2:$B$26,0),MATCH('Master data'!I$1,'Team forecast'!$B$2:$AO$2,0))</f>
        <v>0.81328039356128246</v>
      </c>
      <c r="J426" s="16">
        <f>INDEX('Team forecast'!$B$2:$AO$26,MATCH('Master data'!$B426,'Team forecast'!$B$2:$B$26,0),MATCH('Master data'!J$1,'Team forecast'!$B$2:$AO$2,0))</f>
        <v>0.44340114762649968</v>
      </c>
      <c r="K426" s="16">
        <f>INDEX('Team forecast'!$B$2:$AO$26,MATCH('Master data'!$B426,'Team forecast'!$B$2:$B$26,0),MATCH('Master data'!K$1,'Team forecast'!$B$2:$AO$2,0))</f>
        <v>4.6107317725389105</v>
      </c>
      <c r="L426" s="16">
        <f>INDEX('Team forecast'!$B$2:$AO$26,MATCH('Master data'!$B426,'Team forecast'!$B$2:$B$26,0),MATCH('Master data'!L$1,'Team forecast'!$B$2:$AO$2,0))</f>
        <v>2.0723952197374849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0.21750805585392052</v>
      </c>
      <c r="R426" s="2">
        <f>Players!BR427</f>
        <v>0</v>
      </c>
      <c r="S426" s="2">
        <f t="shared" si="217"/>
        <v>1.5369105908463034</v>
      </c>
      <c r="T426" s="2">
        <f t="shared" si="218"/>
        <v>0.81328039356128246</v>
      </c>
      <c r="U426" s="16">
        <f>INDEX('Team forecast'!$B$2:$AO$26,MATCH('Master data'!$B426,'Team forecast'!$B$2:$B$26,0),MATCH('Master data'!U$1,'Team forecast'!$B$2:$AO$2,0))</f>
        <v>0.54773082942097018</v>
      </c>
      <c r="V426" s="16">
        <f>INDEX('Team forecast'!$B$2:$AO$26,MATCH('Master data'!$B426,'Team forecast'!$B$2:$B$26,0),MATCH('Master data'!V$1,'Team forecast'!$B$2:$AO$2,0))</f>
        <v>0.2660406885758998</v>
      </c>
      <c r="W426" s="16">
        <f>INDEX('Team forecast'!$B$2:$AO$26,MATCH('Master data'!$B426,'Team forecast'!$B$2:$B$26,0),MATCH('Master data'!W$1,'Team forecast'!$B$2:$AO$2,0))</f>
        <v>0.18622848200312991</v>
      </c>
      <c r="X426" s="5">
        <f t="shared" si="219"/>
        <v>-5000</v>
      </c>
      <c r="Y426" s="5">
        <f t="shared" si="220"/>
        <v>0</v>
      </c>
      <c r="Z426" s="5">
        <f t="shared" si="221"/>
        <v>0</v>
      </c>
      <c r="AA426" s="5">
        <f t="shared" si="222"/>
        <v>0</v>
      </c>
      <c r="AB426" s="5">
        <f t="shared" si="223"/>
        <v>0</v>
      </c>
      <c r="AC426" s="5">
        <f t="shared" si="224"/>
        <v>0</v>
      </c>
      <c r="AD426" s="5">
        <f t="shared" si="225"/>
        <v>0</v>
      </c>
      <c r="AE426" s="5">
        <f t="shared" si="226"/>
        <v>22170.057381324983</v>
      </c>
      <c r="AF426" s="5">
        <f t="shared" si="227"/>
        <v>0</v>
      </c>
      <c r="AG426" s="5">
        <f t="shared" si="228"/>
        <v>0</v>
      </c>
      <c r="AH426" s="5">
        <f t="shared" si="229"/>
        <v>0</v>
      </c>
      <c r="AI426" s="5">
        <f t="shared" si="230"/>
        <v>0</v>
      </c>
      <c r="AJ426" s="5">
        <f t="shared" si="231"/>
        <v>0</v>
      </c>
      <c r="AK426" s="5">
        <f>IFERROR(SUM(X426:AJ426),-5000)*((Cockpit!$C$3)^0)</f>
        <v>17170.057381324983</v>
      </c>
      <c r="AL426" s="16">
        <f>INDEX('Team forecast'!$B$2:$AO$26,MATCH('Master data'!$B426,'Team forecast'!$B$2:$B$26,0),MATCH('Master data'!AL$1,'Team forecast'!$B$2:$AO$2,0))</f>
        <v>0.77817916464933856</v>
      </c>
      <c r="AM426" s="16">
        <f>INDEX('Team forecast'!$B$2:$AO$26,MATCH('Master data'!$B426,'Team forecast'!$B$2:$B$26,0),MATCH('Master data'!AM$1,'Team forecast'!$B$2:$AO$2,0))</f>
        <v>1.9080439968215523</v>
      </c>
      <c r="AN426" s="16">
        <f>INDEX('Team forecast'!$B$2:$AO$26,MATCH('Master data'!$B426,'Team forecast'!$B$2:$B$26,0),MATCH('Master data'!AN$1,'Team forecast'!$B$2:$AO$2,0))</f>
        <v>0.1483703157610558</v>
      </c>
      <c r="AO426" s="16">
        <f>INDEX('Team forecast'!$B$2:$AO$26,MATCH('Master data'!$B426,'Team forecast'!$B$2:$B$26,0),MATCH('Master data'!AO$1,'Team forecast'!$B$2:$AO$2,0))</f>
        <v>2.3345374939480159</v>
      </c>
      <c r="AP426" s="16">
        <f>INDEX('Team forecast'!$B$2:$AO$26,MATCH('Master data'!$B426,'Team forecast'!$B$2:$B$26,0),MATCH('Master data'!AP$1,'Team forecast'!$B$2:$AO$2,0))</f>
        <v>4.862063919611546</v>
      </c>
      <c r="AQ426" s="5">
        <f t="shared" si="232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233"/>
        <v>0</v>
      </c>
      <c r="AV426" s="5">
        <f t="shared" si="234"/>
        <v>0</v>
      </c>
      <c r="AW426" s="5">
        <f t="shared" si="235"/>
        <v>0</v>
      </c>
      <c r="AX426" s="5">
        <f t="shared" si="236"/>
        <v>7418.5157880527904</v>
      </c>
      <c r="AY426" s="5">
        <f t="shared" si="237"/>
        <v>0</v>
      </c>
      <c r="AZ426" s="5">
        <f t="shared" si="238"/>
        <v>0</v>
      </c>
      <c r="BA426" s="5">
        <f t="shared" si="239"/>
        <v>0</v>
      </c>
      <c r="BB426" s="5">
        <f t="shared" si="240"/>
        <v>0</v>
      </c>
      <c r="BC426" s="5">
        <f t="shared" si="241"/>
        <v>0</v>
      </c>
      <c r="BD426" s="5">
        <f t="shared" si="242"/>
        <v>2418.5157880527904</v>
      </c>
      <c r="BE426" s="16">
        <f>INDEX('Team forecast'!$B$2:$AO$26,MATCH('Master data'!$B426,'Team forecast'!$B$2:$B$26,0),MATCH('Master data'!BE$1,'Team forecast'!$B$2:$AO$2,0))</f>
        <v>1.2236898885407743</v>
      </c>
      <c r="BF426" s="16">
        <f>INDEX('Team forecast'!$B$2:$AO$26,MATCH('Master data'!$B426,'Team forecast'!$B$2:$B$26,0),MATCH('Master data'!BF$1,'Team forecast'!$B$2:$AO$2,0))</f>
        <v>1.2688103238212438</v>
      </c>
      <c r="BG426" s="16">
        <f>INDEX('Team forecast'!$B$2:$AO$26,MATCH('Master data'!$B426,'Team forecast'!$B$2:$B$26,0),MATCH('Master data'!BG$1,'Team forecast'!$B$2:$AO$2,0))</f>
        <v>0.28116591928251122</v>
      </c>
      <c r="BH426" s="16">
        <f>INDEX('Team forecast'!$B$2:$AO$26,MATCH('Master data'!$B426,'Team forecast'!$B$2:$B$26,0),MATCH('Master data'!BH$1,'Team forecast'!$B$2:$AO$2,0))</f>
        <v>3.6710696656223227</v>
      </c>
      <c r="BI426" s="16">
        <f>INDEX('Team forecast'!$B$2:$AO$26,MATCH('Master data'!$B426,'Team forecast'!$B$2:$B$26,0),MATCH('Master data'!BI$1,'Team forecast'!$B$2:$AO$2,0))</f>
        <v>3.2331732950384708</v>
      </c>
      <c r="BJ426" s="5">
        <f t="shared" si="243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244"/>
        <v>0</v>
      </c>
      <c r="BO426" s="5">
        <f t="shared" si="245"/>
        <v>0</v>
      </c>
      <c r="BP426" s="5">
        <f t="shared" si="246"/>
        <v>0</v>
      </c>
      <c r="BQ426" s="5">
        <f t="shared" si="247"/>
        <v>14058.295964125562</v>
      </c>
      <c r="BR426" s="5">
        <f t="shared" si="248"/>
        <v>0</v>
      </c>
      <c r="BS426" s="5">
        <f t="shared" si="249"/>
        <v>0</v>
      </c>
      <c r="BT426" s="5">
        <f t="shared" si="250"/>
        <v>0</v>
      </c>
      <c r="BU426" s="5">
        <f t="shared" si="251"/>
        <v>0</v>
      </c>
      <c r="BV426" s="5">
        <f t="shared" si="252"/>
        <v>0</v>
      </c>
      <c r="BW426" s="5">
        <f t="shared" si="253"/>
        <v>9058.295964125562</v>
      </c>
      <c r="BX426" s="5">
        <f t="shared" si="254"/>
        <v>9548.9563778344454</v>
      </c>
      <c r="BY426" s="5">
        <f t="shared" si="255"/>
        <v>28646.869133503336</v>
      </c>
      <c r="BZ426" s="5">
        <f>INDEX('Team forecast'!$R$3:$BH$26,MATCH($B426,'Team forecast'!$B$3:$B$26,0),MATCH(BZ$1,'Team forecast'!$R$2:$BH$2,0))*($BX426-(BY426+CH426)*0.01)</f>
        <v>-7124.0830532499913</v>
      </c>
      <c r="CA426" s="5">
        <f>INDEX('Team forecast'!$R$3:$BH$26,MATCH($B426,'Team forecast'!$B$3:$B$26,0),MATCH(CA$1,'Team forecast'!$R$2:$BH$2,0))*($BX426-(BY426+BX426+CH426)*0.01)</f>
        <v>-3538.129236456205</v>
      </c>
      <c r="CB426" s="5">
        <f>INDEX('Team forecast'!$R$3:$BH$26,MATCH($B426,'Team forecast'!$B$3:$B$26,0),MATCH(CB$1,'Team forecast'!$R$2:$BH$2,0))*($BX426-(BY426+BX426*2+CH426)*0.01)</f>
        <v>-1731.8773690493233</v>
      </c>
      <c r="CC426" s="5">
        <f>INDEX('Team forecast'!$R$3:$BH$26,MATCH($B426,'Team forecast'!$B$3:$B$26,0),MATCH(CC$1,'Team forecast'!$R$2:$BH$2,0))*($BX426-(BY426+BX426*3+CH426)*0.01)</f>
        <v>-804.85056882893957</v>
      </c>
      <c r="CD426" s="5">
        <f>+AK426+BD426*Cockpit!$C$3+BW426*Cockpit!$C$3^2+BZ426*Cockpit!$C$3^3+CA426*Cockpit!$C$3^4+CB426*Cockpit!$C$3^5+CC426*Cockpit!$C$3^6</f>
        <v>19699.8562180669</v>
      </c>
      <c r="CE426" s="5"/>
      <c r="CF426" s="5"/>
      <c r="CG426" s="5">
        <v>0</v>
      </c>
      <c r="CH426" s="5">
        <f t="shared" si="256"/>
        <v>2000000</v>
      </c>
      <c r="CI426" s="5">
        <f t="shared" si="257"/>
        <v>2000000</v>
      </c>
      <c r="CJ426" s="1">
        <f t="shared" si="258"/>
        <v>1.4323434566751668E-2</v>
      </c>
      <c r="CK426" s="5">
        <f>RANK(BY426,$BY$2:$BY$623)+COUNTIF($BY$2:$BY426,$BY426)-1</f>
        <v>357</v>
      </c>
      <c r="CL426" s="5">
        <f>RANK(CJ426,$CJ$2:$CJ$623)+COUNTIF($CJ$2:$CJ426,$CJ426)-1</f>
        <v>313</v>
      </c>
    </row>
    <row r="427" spans="1:90">
      <c r="A427" t="str">
        <f>Players!P428</f>
        <v>Tomasz Kedziora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2500000</v>
      </c>
      <c r="H427" s="16">
        <f>INDEX('Team forecast'!$B$2:$AO$26,MATCH('Master data'!$B427,'Team forecast'!$B$2:$B$26,0),MATCH('Master data'!H$1,'Team forecast'!$B$2:$AO$2,0))</f>
        <v>1.5369105908463034</v>
      </c>
      <c r="I427" s="16">
        <f>INDEX('Team forecast'!$B$2:$AO$26,MATCH('Master data'!$B427,'Team forecast'!$B$2:$B$26,0),MATCH('Master data'!I$1,'Team forecast'!$B$2:$AO$2,0))</f>
        <v>0.81328039356128246</v>
      </c>
      <c r="J427" s="16">
        <f>INDEX('Team forecast'!$B$2:$AO$26,MATCH('Master data'!$B427,'Team forecast'!$B$2:$B$26,0),MATCH('Master data'!J$1,'Team forecast'!$B$2:$AO$2,0))</f>
        <v>0.44340114762649968</v>
      </c>
      <c r="K427" s="16">
        <f>INDEX('Team forecast'!$B$2:$AO$26,MATCH('Master data'!$B427,'Team forecast'!$B$2:$B$26,0),MATCH('Master data'!K$1,'Team forecast'!$B$2:$AO$2,0))</f>
        <v>4.6107317725389105</v>
      </c>
      <c r="L427" s="16">
        <f>INDEX('Team forecast'!$B$2:$AO$26,MATCH('Master data'!$B427,'Team forecast'!$B$2:$B$26,0),MATCH('Master data'!L$1,'Team forecast'!$B$2:$AO$2,0))</f>
        <v>2.0723952197374849</v>
      </c>
      <c r="M427">
        <f>IF(Players!BC428=1,95,0)</f>
        <v>0</v>
      </c>
      <c r="N427" s="2">
        <f>Players!BN428</f>
        <v>0</v>
      </c>
      <c r="O427" s="2">
        <f>Players!BO428</f>
        <v>0</v>
      </c>
      <c r="P427" s="2">
        <f>Players!BP428</f>
        <v>0</v>
      </c>
      <c r="Q427" s="2">
        <f>Players!BQ428</f>
        <v>0.18326889279437608</v>
      </c>
      <c r="R427" s="2">
        <f>Players!BR428</f>
        <v>0</v>
      </c>
      <c r="S427" s="2">
        <f t="shared" si="217"/>
        <v>1.5369105908463034</v>
      </c>
      <c r="T427" s="2">
        <f t="shared" si="218"/>
        <v>0.81328039356128246</v>
      </c>
      <c r="U427" s="16">
        <f>INDEX('Team forecast'!$B$2:$AO$26,MATCH('Master data'!$B427,'Team forecast'!$B$2:$B$26,0),MATCH('Master data'!U$1,'Team forecast'!$B$2:$AO$2,0))</f>
        <v>0.54773082942097018</v>
      </c>
      <c r="V427" s="16">
        <f>INDEX('Team forecast'!$B$2:$AO$26,MATCH('Master data'!$B427,'Team forecast'!$B$2:$B$26,0),MATCH('Master data'!V$1,'Team forecast'!$B$2:$AO$2,0))</f>
        <v>0.2660406885758998</v>
      </c>
      <c r="W427" s="16">
        <f>INDEX('Team forecast'!$B$2:$AO$26,MATCH('Master data'!$B427,'Team forecast'!$B$2:$B$26,0),MATCH('Master data'!W$1,'Team forecast'!$B$2:$AO$2,0))</f>
        <v>0.18622848200312991</v>
      </c>
      <c r="X427" s="5">
        <f t="shared" si="219"/>
        <v>-5000</v>
      </c>
      <c r="Y427" s="5">
        <f t="shared" si="220"/>
        <v>0</v>
      </c>
      <c r="Z427" s="5">
        <f t="shared" si="221"/>
        <v>0</v>
      </c>
      <c r="AA427" s="5">
        <f t="shared" si="222"/>
        <v>0</v>
      </c>
      <c r="AB427" s="5">
        <f t="shared" si="223"/>
        <v>0</v>
      </c>
      <c r="AC427" s="5">
        <f t="shared" si="224"/>
        <v>0</v>
      </c>
      <c r="AD427" s="5">
        <f t="shared" si="225"/>
        <v>0</v>
      </c>
      <c r="AE427" s="5">
        <f t="shared" si="226"/>
        <v>22170.057381324983</v>
      </c>
      <c r="AF427" s="5">
        <f t="shared" si="227"/>
        <v>0</v>
      </c>
      <c r="AG427" s="5">
        <f t="shared" si="228"/>
        <v>0</v>
      </c>
      <c r="AH427" s="5">
        <f t="shared" si="229"/>
        <v>0</v>
      </c>
      <c r="AI427" s="5">
        <f t="shared" si="230"/>
        <v>0</v>
      </c>
      <c r="AJ427" s="5">
        <f t="shared" si="231"/>
        <v>0</v>
      </c>
      <c r="AK427" s="5">
        <f>IFERROR(SUM(X427:AJ427),-5000)*((Cockpit!$C$3)^0)</f>
        <v>17170.057381324983</v>
      </c>
      <c r="AL427" s="16">
        <f>INDEX('Team forecast'!$B$2:$AO$26,MATCH('Master data'!$B427,'Team forecast'!$B$2:$B$26,0),MATCH('Master data'!AL$1,'Team forecast'!$B$2:$AO$2,0))</f>
        <v>0.77817916464933856</v>
      </c>
      <c r="AM427" s="16">
        <f>INDEX('Team forecast'!$B$2:$AO$26,MATCH('Master data'!$B427,'Team forecast'!$B$2:$B$26,0),MATCH('Master data'!AM$1,'Team forecast'!$B$2:$AO$2,0))</f>
        <v>1.9080439968215523</v>
      </c>
      <c r="AN427" s="16">
        <f>INDEX('Team forecast'!$B$2:$AO$26,MATCH('Master data'!$B427,'Team forecast'!$B$2:$B$26,0),MATCH('Master data'!AN$1,'Team forecast'!$B$2:$AO$2,0))</f>
        <v>0.1483703157610558</v>
      </c>
      <c r="AO427" s="16">
        <f>INDEX('Team forecast'!$B$2:$AO$26,MATCH('Master data'!$B427,'Team forecast'!$B$2:$B$26,0),MATCH('Master data'!AO$1,'Team forecast'!$B$2:$AO$2,0))</f>
        <v>2.3345374939480159</v>
      </c>
      <c r="AP427" s="16">
        <f>INDEX('Team forecast'!$B$2:$AO$26,MATCH('Master data'!$B427,'Team forecast'!$B$2:$B$26,0),MATCH('Master data'!AP$1,'Team forecast'!$B$2:$AO$2,0))</f>
        <v>4.862063919611546</v>
      </c>
      <c r="AQ427" s="5">
        <f t="shared" si="232"/>
        <v>-5000</v>
      </c>
      <c r="AR427" s="5">
        <f>INDEX('Team forecast'!$B$2:$AO$26,MATCH('Master data'!$B427,'Team forecast'!$B$2:$B$26,0),MATCH('Master data'!AR$1,'Team forecast'!$B$2:$AO$2,0))*IF(X427&gt;0,25000,0)</f>
        <v>0</v>
      </c>
      <c r="AS427" s="16">
        <f>INDEX('Team forecast'!$B$2:$AO$26,MATCH('Master data'!$B427,'Team forecast'!$B$2:$B$26,0),MATCH('Master data'!AS$1,'Team forecast'!$B$2:$AO$2,0))*IF(X427&gt;0,5000,0)</f>
        <v>0</v>
      </c>
      <c r="AT427" s="16">
        <f>INDEX('Team forecast'!$B$2:$AO$26,MATCH('Master data'!$B427,'Team forecast'!$B$2:$B$26,0),MATCH('Master data'!AT$1,'Team forecast'!$B$2:$AO$2,0))*IF(X427&gt;0,-15000,0)</f>
        <v>0</v>
      </c>
      <c r="AU427" s="5">
        <f t="shared" si="233"/>
        <v>0</v>
      </c>
      <c r="AV427" s="5">
        <f t="shared" si="234"/>
        <v>0</v>
      </c>
      <c r="AW427" s="5">
        <f t="shared" si="235"/>
        <v>0</v>
      </c>
      <c r="AX427" s="5">
        <f t="shared" si="236"/>
        <v>7418.5157880527904</v>
      </c>
      <c r="AY427" s="5">
        <f t="shared" si="237"/>
        <v>0</v>
      </c>
      <c r="AZ427" s="5">
        <f t="shared" si="238"/>
        <v>0</v>
      </c>
      <c r="BA427" s="5">
        <f t="shared" si="239"/>
        <v>0</v>
      </c>
      <c r="BB427" s="5">
        <f t="shared" si="240"/>
        <v>0</v>
      </c>
      <c r="BC427" s="5">
        <f t="shared" si="241"/>
        <v>0</v>
      </c>
      <c r="BD427" s="5">
        <f t="shared" si="242"/>
        <v>2418.5157880527904</v>
      </c>
      <c r="BE427" s="16">
        <f>INDEX('Team forecast'!$B$2:$AO$26,MATCH('Master data'!$B427,'Team forecast'!$B$2:$B$26,0),MATCH('Master data'!BE$1,'Team forecast'!$B$2:$AO$2,0))</f>
        <v>1.2236898885407743</v>
      </c>
      <c r="BF427" s="16">
        <f>INDEX('Team forecast'!$B$2:$AO$26,MATCH('Master data'!$B427,'Team forecast'!$B$2:$B$26,0),MATCH('Master data'!BF$1,'Team forecast'!$B$2:$AO$2,0))</f>
        <v>1.2688103238212438</v>
      </c>
      <c r="BG427" s="16">
        <f>INDEX('Team forecast'!$B$2:$AO$26,MATCH('Master data'!$B427,'Team forecast'!$B$2:$B$26,0),MATCH('Master data'!BG$1,'Team forecast'!$B$2:$AO$2,0))</f>
        <v>0.28116591928251122</v>
      </c>
      <c r="BH427" s="16">
        <f>INDEX('Team forecast'!$B$2:$AO$26,MATCH('Master data'!$B427,'Team forecast'!$B$2:$B$26,0),MATCH('Master data'!BH$1,'Team forecast'!$B$2:$AO$2,0))</f>
        <v>3.6710696656223227</v>
      </c>
      <c r="BI427" s="16">
        <f>INDEX('Team forecast'!$B$2:$AO$26,MATCH('Master data'!$B427,'Team forecast'!$B$2:$B$26,0),MATCH('Master data'!BI$1,'Team forecast'!$B$2:$AO$2,0))</f>
        <v>3.2331732950384708</v>
      </c>
      <c r="BJ427" s="5">
        <f t="shared" si="243"/>
        <v>-5000</v>
      </c>
      <c r="BK427" s="5">
        <f>INDEX('Team forecast'!$R$3:$BH$26,MATCH($B427,'Team forecast'!$B$3:$B$26,0),MATCH(BK$1,'Team forecast'!$R$2:$BH$2,0))*IF($X427&gt;0,25000,0)</f>
        <v>0</v>
      </c>
      <c r="BL427" s="5">
        <f>INDEX('Team forecast'!$R$3:$BH$26,MATCH($B427,'Team forecast'!$B$3:$B$26,0),MATCH(BL$1,'Team forecast'!$R$2:$BH$2,0))*IF($X427&gt;0,5000,0)</f>
        <v>0</v>
      </c>
      <c r="BM427" s="5">
        <f>INDEX('Team forecast'!$R$3:$BH$26,MATCH($B427,'Team forecast'!$B$3:$B$26,0),MATCH(BM$1,'Team forecast'!$R$2:$BH$2,0))*IF($X427&gt;0,-15000,0)</f>
        <v>0</v>
      </c>
      <c r="BN427" s="5">
        <f t="shared" si="244"/>
        <v>0</v>
      </c>
      <c r="BO427" s="5">
        <f t="shared" si="245"/>
        <v>0</v>
      </c>
      <c r="BP427" s="5">
        <f t="shared" si="246"/>
        <v>0</v>
      </c>
      <c r="BQ427" s="5">
        <f t="shared" si="247"/>
        <v>14058.295964125562</v>
      </c>
      <c r="BR427" s="5">
        <f t="shared" si="248"/>
        <v>0</v>
      </c>
      <c r="BS427" s="5">
        <f t="shared" si="249"/>
        <v>0</v>
      </c>
      <c r="BT427" s="5">
        <f t="shared" si="250"/>
        <v>0</v>
      </c>
      <c r="BU427" s="5">
        <f t="shared" si="251"/>
        <v>0</v>
      </c>
      <c r="BV427" s="5">
        <f t="shared" si="252"/>
        <v>0</v>
      </c>
      <c r="BW427" s="5">
        <f t="shared" si="253"/>
        <v>9058.295964125562</v>
      </c>
      <c r="BX427" s="5">
        <f t="shared" si="254"/>
        <v>9548.9563778344454</v>
      </c>
      <c r="BY427" s="5">
        <f t="shared" si="255"/>
        <v>28646.869133503336</v>
      </c>
      <c r="BZ427" s="5">
        <f>INDEX('Team forecast'!$R$3:$BH$26,MATCH($B427,'Team forecast'!$B$3:$B$26,0),MATCH(BZ$1,'Team forecast'!$R$2:$BH$2,0))*($BX427-(BY427+CH427)*0.01)</f>
        <v>-10441.463674221512</v>
      </c>
      <c r="CA427" s="5">
        <f>INDEX('Team forecast'!$R$3:$BH$26,MATCH($B427,'Team forecast'!$B$3:$B$26,0),MATCH(CA$1,'Team forecast'!$R$2:$BH$2,0))*($BX427-(BY427+BX427+CH427)*0.01)</f>
        <v>-5171.1619251503025</v>
      </c>
      <c r="CB427" s="5">
        <f>INDEX('Team forecast'!$R$3:$BH$26,MATCH($B427,'Team forecast'!$B$3:$B$26,0),MATCH(CB$1,'Team forecast'!$R$2:$BH$2,0))*($BX427-(BY427+BX427*2+CH427)*0.01)</f>
        <v>-2524.2453634748067</v>
      </c>
      <c r="CC427" s="5">
        <f>INDEX('Team forecast'!$R$3:$BH$26,MATCH($B427,'Team forecast'!$B$3:$B$26,0),MATCH(CC$1,'Team forecast'!$R$2:$BH$2,0))*($BX427-(BY427+BX427*3+CH427)*0.01)</f>
        <v>-1169.8959043007153</v>
      </c>
      <c r="CD427" s="5">
        <f>+AK427+BD427*Cockpit!$C$3+BW427*Cockpit!$C$3^2+BZ427*Cockpit!$C$3^3+CA427*Cockpit!$C$3^4+CB427*Cockpit!$C$3^5+CC427*Cockpit!$C$3^6</f>
        <v>18257.961636123367</v>
      </c>
      <c r="CE427" s="5"/>
      <c r="CF427" s="5"/>
      <c r="CG427" s="5">
        <v>0</v>
      </c>
      <c r="CH427" s="5">
        <f t="shared" si="256"/>
        <v>2500000</v>
      </c>
      <c r="CI427" s="5">
        <f t="shared" si="257"/>
        <v>2500000</v>
      </c>
      <c r="CJ427" s="1">
        <f t="shared" si="258"/>
        <v>1.1458747653401335E-2</v>
      </c>
      <c r="CK427" s="5">
        <f>RANK(BY427,$BY$2:$BY$623)+COUNTIF($BY$2:$BY427,$BY427)-1</f>
        <v>358</v>
      </c>
      <c r="CL427" s="5">
        <f>RANK(CJ427,$CJ$2:$CJ$623)+COUNTIF($CJ$2:$CJ427,$CJ427)-1</f>
        <v>344</v>
      </c>
    </row>
    <row r="428" spans="1:90">
      <c r="A428" t="str">
        <f>Players!P429</f>
        <v>Kamil Glik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3000000</v>
      </c>
      <c r="H428" s="16">
        <f>INDEX('Team forecast'!$B$2:$AO$26,MATCH('Master data'!$B428,'Team forecast'!$B$2:$B$26,0),MATCH('Master data'!H$1,'Team forecast'!$B$2:$AO$2,0))</f>
        <v>1.5369105908463034</v>
      </c>
      <c r="I428" s="16">
        <f>INDEX('Team forecast'!$B$2:$AO$26,MATCH('Master data'!$B428,'Team forecast'!$B$2:$B$26,0),MATCH('Master data'!I$1,'Team forecast'!$B$2:$AO$2,0))</f>
        <v>0.81328039356128246</v>
      </c>
      <c r="J428" s="16">
        <f>INDEX('Team forecast'!$B$2:$AO$26,MATCH('Master data'!$B428,'Team forecast'!$B$2:$B$26,0),MATCH('Master data'!J$1,'Team forecast'!$B$2:$AO$2,0))</f>
        <v>0.44340114762649968</v>
      </c>
      <c r="K428" s="16">
        <f>INDEX('Team forecast'!$B$2:$AO$26,MATCH('Master data'!$B428,'Team forecast'!$B$2:$B$26,0),MATCH('Master data'!K$1,'Team forecast'!$B$2:$AO$2,0))</f>
        <v>4.6107317725389105</v>
      </c>
      <c r="L428" s="16">
        <f>INDEX('Team forecast'!$B$2:$AO$26,MATCH('Master data'!$B428,'Team forecast'!$B$2:$B$26,0),MATCH('Master data'!L$1,'Team forecast'!$B$2:$AO$2,0))</f>
        <v>2.0723952197374849</v>
      </c>
      <c r="M428">
        <f>IF(Players!BC429=1,95,0)</f>
        <v>0</v>
      </c>
      <c r="N428" s="2">
        <f>Players!BN429</f>
        <v>0</v>
      </c>
      <c r="O428" s="2">
        <f>Players!BO429</f>
        <v>0</v>
      </c>
      <c r="P428" s="2">
        <f>Players!BP429</f>
        <v>0</v>
      </c>
      <c r="Q428" s="2">
        <f>Players!BQ429</f>
        <v>0.17225444340505144</v>
      </c>
      <c r="R428" s="2">
        <f>Players!BR429</f>
        <v>2.8063610851262862E-2</v>
      </c>
      <c r="S428" s="2">
        <f t="shared" si="217"/>
        <v>1.5369105908463034</v>
      </c>
      <c r="T428" s="2">
        <f t="shared" si="218"/>
        <v>0.81328039356128246</v>
      </c>
      <c r="U428" s="16">
        <f>INDEX('Team forecast'!$B$2:$AO$26,MATCH('Master data'!$B428,'Team forecast'!$B$2:$B$26,0),MATCH('Master data'!U$1,'Team forecast'!$B$2:$AO$2,0))</f>
        <v>0.54773082942097018</v>
      </c>
      <c r="V428" s="16">
        <f>INDEX('Team forecast'!$B$2:$AO$26,MATCH('Master data'!$B428,'Team forecast'!$B$2:$B$26,0),MATCH('Master data'!V$1,'Team forecast'!$B$2:$AO$2,0))</f>
        <v>0.2660406885758998</v>
      </c>
      <c r="W428" s="16">
        <f>INDEX('Team forecast'!$B$2:$AO$26,MATCH('Master data'!$B428,'Team forecast'!$B$2:$B$26,0),MATCH('Master data'!W$1,'Team forecast'!$B$2:$AO$2,0))</f>
        <v>0.18622848200312991</v>
      </c>
      <c r="X428" s="5">
        <f t="shared" si="219"/>
        <v>-5000</v>
      </c>
      <c r="Y428" s="5">
        <f t="shared" si="220"/>
        <v>0</v>
      </c>
      <c r="Z428" s="5">
        <f t="shared" si="221"/>
        <v>0</v>
      </c>
      <c r="AA428" s="5">
        <f t="shared" si="222"/>
        <v>0</v>
      </c>
      <c r="AB428" s="5">
        <f t="shared" si="223"/>
        <v>0</v>
      </c>
      <c r="AC428" s="5">
        <f t="shared" si="224"/>
        <v>0</v>
      </c>
      <c r="AD428" s="5">
        <f t="shared" si="225"/>
        <v>0</v>
      </c>
      <c r="AE428" s="5">
        <f t="shared" si="226"/>
        <v>22170.057381324983</v>
      </c>
      <c r="AF428" s="5">
        <f t="shared" si="227"/>
        <v>0</v>
      </c>
      <c r="AG428" s="5">
        <f t="shared" si="228"/>
        <v>0</v>
      </c>
      <c r="AH428" s="5">
        <f t="shared" si="229"/>
        <v>0</v>
      </c>
      <c r="AI428" s="5">
        <f t="shared" si="230"/>
        <v>0</v>
      </c>
      <c r="AJ428" s="5">
        <f t="shared" si="231"/>
        <v>0</v>
      </c>
      <c r="AK428" s="5">
        <f>IFERROR(SUM(X428:AJ428),-5000)*((Cockpit!$C$3)^0)</f>
        <v>17170.057381324983</v>
      </c>
      <c r="AL428" s="16">
        <f>INDEX('Team forecast'!$B$2:$AO$26,MATCH('Master data'!$B428,'Team forecast'!$B$2:$B$26,0),MATCH('Master data'!AL$1,'Team forecast'!$B$2:$AO$2,0))</f>
        <v>0.77817916464933856</v>
      </c>
      <c r="AM428" s="16">
        <f>INDEX('Team forecast'!$B$2:$AO$26,MATCH('Master data'!$B428,'Team forecast'!$B$2:$B$26,0),MATCH('Master data'!AM$1,'Team forecast'!$B$2:$AO$2,0))</f>
        <v>1.9080439968215523</v>
      </c>
      <c r="AN428" s="16">
        <f>INDEX('Team forecast'!$B$2:$AO$26,MATCH('Master data'!$B428,'Team forecast'!$B$2:$B$26,0),MATCH('Master data'!AN$1,'Team forecast'!$B$2:$AO$2,0))</f>
        <v>0.1483703157610558</v>
      </c>
      <c r="AO428" s="16">
        <f>INDEX('Team forecast'!$B$2:$AO$26,MATCH('Master data'!$B428,'Team forecast'!$B$2:$B$26,0),MATCH('Master data'!AO$1,'Team forecast'!$B$2:$AO$2,0))</f>
        <v>2.3345374939480159</v>
      </c>
      <c r="AP428" s="16">
        <f>INDEX('Team forecast'!$B$2:$AO$26,MATCH('Master data'!$B428,'Team forecast'!$B$2:$B$26,0),MATCH('Master data'!AP$1,'Team forecast'!$B$2:$AO$2,0))</f>
        <v>4.862063919611546</v>
      </c>
      <c r="AQ428" s="5">
        <f t="shared" si="232"/>
        <v>-5000</v>
      </c>
      <c r="AR428" s="5">
        <f>INDEX('Team forecast'!$B$2:$AO$26,MATCH('Master data'!$B428,'Team forecast'!$B$2:$B$26,0),MATCH('Master data'!AR$1,'Team forecast'!$B$2:$AO$2,0))*IF(X428&gt;0,25000,0)</f>
        <v>0</v>
      </c>
      <c r="AS428" s="16">
        <f>INDEX('Team forecast'!$B$2:$AO$26,MATCH('Master data'!$B428,'Team forecast'!$B$2:$B$26,0),MATCH('Master data'!AS$1,'Team forecast'!$B$2:$AO$2,0))*IF(X428&gt;0,5000,0)</f>
        <v>0</v>
      </c>
      <c r="AT428" s="16">
        <f>INDEX('Team forecast'!$B$2:$AO$26,MATCH('Master data'!$B428,'Team forecast'!$B$2:$B$26,0),MATCH('Master data'!AT$1,'Team forecast'!$B$2:$AO$2,0))*IF(X428&gt;0,-15000,0)</f>
        <v>0</v>
      </c>
      <c r="AU428" s="5">
        <f t="shared" si="233"/>
        <v>0</v>
      </c>
      <c r="AV428" s="5">
        <f t="shared" si="234"/>
        <v>0</v>
      </c>
      <c r="AW428" s="5">
        <f t="shared" si="235"/>
        <v>0</v>
      </c>
      <c r="AX428" s="5">
        <f t="shared" si="236"/>
        <v>7418.5157880527904</v>
      </c>
      <c r="AY428" s="5">
        <f t="shared" si="237"/>
        <v>0</v>
      </c>
      <c r="AZ428" s="5">
        <f t="shared" si="238"/>
        <v>0</v>
      </c>
      <c r="BA428" s="5">
        <f t="shared" si="239"/>
        <v>0</v>
      </c>
      <c r="BB428" s="5">
        <f t="shared" si="240"/>
        <v>0</v>
      </c>
      <c r="BC428" s="5">
        <f t="shared" si="241"/>
        <v>0</v>
      </c>
      <c r="BD428" s="5">
        <f t="shared" si="242"/>
        <v>2418.5157880527904</v>
      </c>
      <c r="BE428" s="16">
        <f>INDEX('Team forecast'!$B$2:$AO$26,MATCH('Master data'!$B428,'Team forecast'!$B$2:$B$26,0),MATCH('Master data'!BE$1,'Team forecast'!$B$2:$AO$2,0))</f>
        <v>1.2236898885407743</v>
      </c>
      <c r="BF428" s="16">
        <f>INDEX('Team forecast'!$B$2:$AO$26,MATCH('Master data'!$B428,'Team forecast'!$B$2:$B$26,0),MATCH('Master data'!BF$1,'Team forecast'!$B$2:$AO$2,0))</f>
        <v>1.2688103238212438</v>
      </c>
      <c r="BG428" s="16">
        <f>INDEX('Team forecast'!$B$2:$AO$26,MATCH('Master data'!$B428,'Team forecast'!$B$2:$B$26,0),MATCH('Master data'!BG$1,'Team forecast'!$B$2:$AO$2,0))</f>
        <v>0.28116591928251122</v>
      </c>
      <c r="BH428" s="16">
        <f>INDEX('Team forecast'!$B$2:$AO$26,MATCH('Master data'!$B428,'Team forecast'!$B$2:$B$26,0),MATCH('Master data'!BH$1,'Team forecast'!$B$2:$AO$2,0))</f>
        <v>3.6710696656223227</v>
      </c>
      <c r="BI428" s="16">
        <f>INDEX('Team forecast'!$B$2:$AO$26,MATCH('Master data'!$B428,'Team forecast'!$B$2:$B$26,0),MATCH('Master data'!BI$1,'Team forecast'!$B$2:$AO$2,0))</f>
        <v>3.2331732950384708</v>
      </c>
      <c r="BJ428" s="5">
        <f t="shared" si="243"/>
        <v>-5000</v>
      </c>
      <c r="BK428" s="5">
        <f>INDEX('Team forecast'!$R$3:$BH$26,MATCH($B428,'Team forecast'!$B$3:$B$26,0),MATCH(BK$1,'Team forecast'!$R$2:$BH$2,0))*IF($X428&gt;0,25000,0)</f>
        <v>0</v>
      </c>
      <c r="BL428" s="5">
        <f>INDEX('Team forecast'!$R$3:$BH$26,MATCH($B428,'Team forecast'!$B$3:$B$26,0),MATCH(BL$1,'Team forecast'!$R$2:$BH$2,0))*IF($X428&gt;0,5000,0)</f>
        <v>0</v>
      </c>
      <c r="BM428" s="5">
        <f>INDEX('Team forecast'!$R$3:$BH$26,MATCH($B428,'Team forecast'!$B$3:$B$26,0),MATCH(BM$1,'Team forecast'!$R$2:$BH$2,0))*IF($X428&gt;0,-15000,0)</f>
        <v>0</v>
      </c>
      <c r="BN428" s="5">
        <f t="shared" si="244"/>
        <v>0</v>
      </c>
      <c r="BO428" s="5">
        <f t="shared" si="245"/>
        <v>0</v>
      </c>
      <c r="BP428" s="5">
        <f t="shared" si="246"/>
        <v>0</v>
      </c>
      <c r="BQ428" s="5">
        <f t="shared" si="247"/>
        <v>14058.295964125562</v>
      </c>
      <c r="BR428" s="5">
        <f t="shared" si="248"/>
        <v>0</v>
      </c>
      <c r="BS428" s="5">
        <f t="shared" si="249"/>
        <v>0</v>
      </c>
      <c r="BT428" s="5">
        <f t="shared" si="250"/>
        <v>0</v>
      </c>
      <c r="BU428" s="5">
        <f t="shared" si="251"/>
        <v>0</v>
      </c>
      <c r="BV428" s="5">
        <f t="shared" si="252"/>
        <v>0</v>
      </c>
      <c r="BW428" s="5">
        <f t="shared" si="253"/>
        <v>9058.295964125562</v>
      </c>
      <c r="BX428" s="5">
        <f t="shared" si="254"/>
        <v>9548.9563778344454</v>
      </c>
      <c r="BY428" s="5">
        <f t="shared" si="255"/>
        <v>28646.869133503336</v>
      </c>
      <c r="BZ428" s="5">
        <f>INDEX('Team forecast'!$R$3:$BH$26,MATCH($B428,'Team forecast'!$B$3:$B$26,0),MATCH(BZ$1,'Team forecast'!$R$2:$BH$2,0))*($BX428-(BY428+CH428)*0.01)</f>
        <v>-13758.844295193034</v>
      </c>
      <c r="CA428" s="5">
        <f>INDEX('Team forecast'!$R$3:$BH$26,MATCH($B428,'Team forecast'!$B$3:$B$26,0),MATCH(CA$1,'Team forecast'!$R$2:$BH$2,0))*($BX428-(BY428+BX428+CH428)*0.01)</f>
        <v>-6804.1946138444</v>
      </c>
      <c r="CB428" s="5">
        <f>INDEX('Team forecast'!$R$3:$BH$26,MATCH($B428,'Team forecast'!$B$3:$B$26,0),MATCH(CB$1,'Team forecast'!$R$2:$BH$2,0))*($BX428-(BY428+BX428*2+CH428)*0.01)</f>
        <v>-3316.6133579002903</v>
      </c>
      <c r="CC428" s="5">
        <f>INDEX('Team forecast'!$R$3:$BH$26,MATCH($B428,'Team forecast'!$B$3:$B$26,0),MATCH(CC$1,'Team forecast'!$R$2:$BH$2,0))*($BX428-(BY428+BX428*3+CH428)*0.01)</f>
        <v>-1534.9412397724907</v>
      </c>
      <c r="CD428" s="5">
        <f>+AK428+BD428*Cockpit!$C$3+BW428*Cockpit!$C$3^2+BZ428*Cockpit!$C$3^3+CA428*Cockpit!$C$3^4+CB428*Cockpit!$C$3^5+CC428*Cockpit!$C$3^6</f>
        <v>16816.067054179828</v>
      </c>
      <c r="CE428" s="5"/>
      <c r="CF428" s="5"/>
      <c r="CG428" s="5">
        <v>0</v>
      </c>
      <c r="CH428" s="5">
        <f t="shared" si="256"/>
        <v>3000000</v>
      </c>
      <c r="CI428" s="5">
        <f t="shared" si="257"/>
        <v>3000000</v>
      </c>
      <c r="CJ428" s="1">
        <f t="shared" si="258"/>
        <v>9.5489563778344451E-3</v>
      </c>
      <c r="CK428" s="5">
        <f>RANK(BY428,$BY$2:$BY$623)+COUNTIF($BY$2:$BY428,$BY428)-1</f>
        <v>359</v>
      </c>
      <c r="CL428" s="5">
        <f>RANK(CJ428,$CJ$2:$CJ$623)+COUNTIF($CJ$2:$CJ428,$CJ428)-1</f>
        <v>366</v>
      </c>
    </row>
    <row r="429" spans="1:90">
      <c r="A429" t="str">
        <f>Players!P430</f>
        <v>Maciej Rybus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2500000</v>
      </c>
      <c r="H429" s="16">
        <f>INDEX('Team forecast'!$B$2:$AO$26,MATCH('Master data'!$B429,'Team forecast'!$B$2:$B$26,0),MATCH('Master data'!H$1,'Team forecast'!$B$2:$AO$2,0))</f>
        <v>1.5369105908463034</v>
      </c>
      <c r="I429" s="16">
        <f>INDEX('Team forecast'!$B$2:$AO$26,MATCH('Master data'!$B429,'Team forecast'!$B$2:$B$26,0),MATCH('Master data'!I$1,'Team forecast'!$B$2:$AO$2,0))</f>
        <v>0.81328039356128246</v>
      </c>
      <c r="J429" s="16">
        <f>INDEX('Team forecast'!$B$2:$AO$26,MATCH('Master data'!$B429,'Team forecast'!$B$2:$B$26,0),MATCH('Master data'!J$1,'Team forecast'!$B$2:$AO$2,0))</f>
        <v>0.44340114762649968</v>
      </c>
      <c r="K429" s="16">
        <f>INDEX('Team forecast'!$B$2:$AO$26,MATCH('Master data'!$B429,'Team forecast'!$B$2:$B$26,0),MATCH('Master data'!K$1,'Team forecast'!$B$2:$AO$2,0))</f>
        <v>4.6107317725389105</v>
      </c>
      <c r="L429" s="16">
        <f>INDEX('Team forecast'!$B$2:$AO$26,MATCH('Master data'!$B429,'Team forecast'!$B$2:$B$26,0),MATCH('Master data'!L$1,'Team forecast'!$B$2:$AO$2,0))</f>
        <v>2.0723952197374849</v>
      </c>
      <c r="M429">
        <f>IF(Players!BC430=1,95,0)</f>
        <v>95</v>
      </c>
      <c r="N429" s="2">
        <f>Players!BN430</f>
        <v>7.715685487260418E-2</v>
      </c>
      <c r="O429" s="2">
        <f>Players!BO430</f>
        <v>0.1305380392253381</v>
      </c>
      <c r="P429" s="2">
        <f>Players!BP430</f>
        <v>0.1388675058025535</v>
      </c>
      <c r="Q429" s="2">
        <f>Players!BQ430</f>
        <v>1.9616390584132521E-2</v>
      </c>
      <c r="R429" s="2">
        <f>Players!BR430</f>
        <v>0</v>
      </c>
      <c r="S429" s="2">
        <f t="shared" si="217"/>
        <v>1.5369105908463034</v>
      </c>
      <c r="T429" s="2">
        <f t="shared" si="218"/>
        <v>0.81328039356128246</v>
      </c>
      <c r="U429" s="16">
        <f>INDEX('Team forecast'!$B$2:$AO$26,MATCH('Master data'!$B429,'Team forecast'!$B$2:$B$26,0),MATCH('Master data'!U$1,'Team forecast'!$B$2:$AO$2,0))</f>
        <v>0.54773082942097018</v>
      </c>
      <c r="V429" s="16">
        <f>INDEX('Team forecast'!$B$2:$AO$26,MATCH('Master data'!$B429,'Team forecast'!$B$2:$B$26,0),MATCH('Master data'!V$1,'Team forecast'!$B$2:$AO$2,0))</f>
        <v>0.2660406885758998</v>
      </c>
      <c r="W429" s="16">
        <f>INDEX('Team forecast'!$B$2:$AO$26,MATCH('Master data'!$B429,'Team forecast'!$B$2:$B$26,0),MATCH('Master data'!W$1,'Team forecast'!$B$2:$AO$2,0))</f>
        <v>0.18622848200312991</v>
      </c>
      <c r="X429" s="5">
        <f t="shared" si="219"/>
        <v>7000</v>
      </c>
      <c r="Y429" s="5">
        <f t="shared" si="220"/>
        <v>13693.270735524255</v>
      </c>
      <c r="Z429" s="5">
        <f t="shared" si="221"/>
        <v>1330.2034428794989</v>
      </c>
      <c r="AA429" s="5">
        <f t="shared" si="222"/>
        <v>-2793.4272300469488</v>
      </c>
      <c r="AB429" s="5">
        <f t="shared" si="223"/>
        <v>17787.478111514487</v>
      </c>
      <c r="AC429" s="5">
        <f t="shared" si="224"/>
        <v>10031.264749686616</v>
      </c>
      <c r="AD429" s="5">
        <f t="shared" si="225"/>
        <v>6402.8082117706499</v>
      </c>
      <c r="AE429" s="5">
        <f t="shared" si="226"/>
        <v>22170.057381324983</v>
      </c>
      <c r="AF429" s="5">
        <f t="shared" si="227"/>
        <v>0</v>
      </c>
      <c r="AG429" s="5">
        <f t="shared" si="228"/>
        <v>-392.32781168265041</v>
      </c>
      <c r="AH429" s="5">
        <f t="shared" si="229"/>
        <v>0</v>
      </c>
      <c r="AI429" s="5">
        <f t="shared" si="230"/>
        <v>15369.105908463034</v>
      </c>
      <c r="AJ429" s="5">
        <f t="shared" si="231"/>
        <v>-6506.24314849026</v>
      </c>
      <c r="AK429" s="5">
        <f>IFERROR(SUM(X429:AJ429),-5000)*((Cockpit!$C$3)^0)</f>
        <v>84092.190350943652</v>
      </c>
      <c r="AL429" s="16">
        <f>INDEX('Team forecast'!$B$2:$AO$26,MATCH('Master data'!$B429,'Team forecast'!$B$2:$B$26,0),MATCH('Master data'!AL$1,'Team forecast'!$B$2:$AO$2,0))</f>
        <v>0.77817916464933856</v>
      </c>
      <c r="AM429" s="16">
        <f>INDEX('Team forecast'!$B$2:$AO$26,MATCH('Master data'!$B429,'Team forecast'!$B$2:$B$26,0),MATCH('Master data'!AM$1,'Team forecast'!$B$2:$AO$2,0))</f>
        <v>1.9080439968215523</v>
      </c>
      <c r="AN429" s="16">
        <f>INDEX('Team forecast'!$B$2:$AO$26,MATCH('Master data'!$B429,'Team forecast'!$B$2:$B$26,0),MATCH('Master data'!AN$1,'Team forecast'!$B$2:$AO$2,0))</f>
        <v>0.1483703157610558</v>
      </c>
      <c r="AO429" s="16">
        <f>INDEX('Team forecast'!$B$2:$AO$26,MATCH('Master data'!$B429,'Team forecast'!$B$2:$B$26,0),MATCH('Master data'!AO$1,'Team forecast'!$B$2:$AO$2,0))</f>
        <v>2.3345374939480159</v>
      </c>
      <c r="AP429" s="16">
        <f>INDEX('Team forecast'!$B$2:$AO$26,MATCH('Master data'!$B429,'Team forecast'!$B$2:$B$26,0),MATCH('Master data'!AP$1,'Team forecast'!$B$2:$AO$2,0))</f>
        <v>4.862063919611546</v>
      </c>
      <c r="AQ429" s="5">
        <f t="shared" si="232"/>
        <v>7000</v>
      </c>
      <c r="AR429" s="5">
        <f>INDEX('Team forecast'!$B$2:$AO$26,MATCH('Master data'!$B429,'Team forecast'!$B$2:$B$26,0),MATCH('Master data'!AR$1,'Team forecast'!$B$2:$AO$2,0))*IF(X429&gt;0,25000,0)</f>
        <v>3519.7337680542423</v>
      </c>
      <c r="AS429" s="16">
        <f>INDEX('Team forecast'!$B$2:$AO$26,MATCH('Master data'!$B429,'Team forecast'!$B$2:$B$26,0),MATCH('Master data'!AS$1,'Team forecast'!$B$2:$AO$2,0))*IF(X429&gt;0,5000,0)</f>
        <v>1059.787969721827</v>
      </c>
      <c r="AT429" s="16">
        <f>INDEX('Team forecast'!$B$2:$AO$26,MATCH('Master data'!$B429,'Team forecast'!$B$2:$B$26,0),MATCH('Master data'!AT$1,'Team forecast'!$B$2:$AO$2,0))*IF(X429&gt;0,-15000,0)</f>
        <v>-9708.7958300019709</v>
      </c>
      <c r="AU429" s="5">
        <f t="shared" si="233"/>
        <v>9006.2785307600043</v>
      </c>
      <c r="AV429" s="5">
        <f t="shared" si="234"/>
        <v>5079.0991159668101</v>
      </c>
      <c r="AW429" s="5">
        <f t="shared" si="235"/>
        <v>3241.9139898710482</v>
      </c>
      <c r="AX429" s="5">
        <f t="shared" si="236"/>
        <v>7418.5157880527904</v>
      </c>
      <c r="AY429" s="5">
        <f t="shared" si="237"/>
        <v>0</v>
      </c>
      <c r="AZ429" s="5">
        <f t="shared" si="238"/>
        <v>-392.32781168265041</v>
      </c>
      <c r="BA429" s="5">
        <f t="shared" si="239"/>
        <v>0</v>
      </c>
      <c r="BB429" s="5">
        <f t="shared" si="240"/>
        <v>7781.791646493386</v>
      </c>
      <c r="BC429" s="5">
        <f t="shared" si="241"/>
        <v>-15264.351974572419</v>
      </c>
      <c r="BD429" s="5">
        <f t="shared" si="242"/>
        <v>18741.645192663069</v>
      </c>
      <c r="BE429" s="16">
        <f>INDEX('Team forecast'!$B$2:$AO$26,MATCH('Master data'!$B429,'Team forecast'!$B$2:$B$26,0),MATCH('Master data'!BE$1,'Team forecast'!$B$2:$AO$2,0))</f>
        <v>1.2236898885407743</v>
      </c>
      <c r="BF429" s="16">
        <f>INDEX('Team forecast'!$B$2:$AO$26,MATCH('Master data'!$B429,'Team forecast'!$B$2:$B$26,0),MATCH('Master data'!BF$1,'Team forecast'!$B$2:$AO$2,0))</f>
        <v>1.2688103238212438</v>
      </c>
      <c r="BG429" s="16">
        <f>INDEX('Team forecast'!$B$2:$AO$26,MATCH('Master data'!$B429,'Team forecast'!$B$2:$B$26,0),MATCH('Master data'!BG$1,'Team forecast'!$B$2:$AO$2,0))</f>
        <v>0.28116591928251122</v>
      </c>
      <c r="BH429" s="16">
        <f>INDEX('Team forecast'!$B$2:$AO$26,MATCH('Master data'!$B429,'Team forecast'!$B$2:$B$26,0),MATCH('Master data'!BH$1,'Team forecast'!$B$2:$AO$2,0))</f>
        <v>3.6710696656223227</v>
      </c>
      <c r="BI429" s="16">
        <f>INDEX('Team forecast'!$B$2:$AO$26,MATCH('Master data'!$B429,'Team forecast'!$B$2:$B$26,0),MATCH('Master data'!BI$1,'Team forecast'!$B$2:$AO$2,0))</f>
        <v>3.2331732950384708</v>
      </c>
      <c r="BJ429" s="5">
        <f t="shared" si="243"/>
        <v>7000</v>
      </c>
      <c r="BK429" s="5">
        <f>INDEX('Team forecast'!$R$3:$BH$26,MATCH($B429,'Team forecast'!$B$3:$B$26,0),MATCH(BK$1,'Team forecast'!$R$2:$BH$2,0))*IF($X429&gt;0,25000,0)</f>
        <v>8385.6502242152455</v>
      </c>
      <c r="BL429" s="5">
        <f>INDEX('Team forecast'!$R$3:$BH$26,MATCH($B429,'Team forecast'!$B$3:$B$26,0),MATCH(BL$1,'Team forecast'!$R$2:$BH$2,0))*IF($X429&gt;0,5000,0)</f>
        <v>1448.4304932735427</v>
      </c>
      <c r="BM429" s="5">
        <f>INDEX('Team forecast'!$R$3:$BH$26,MATCH($B429,'Team forecast'!$B$3:$B$26,0),MATCH(BM$1,'Team forecast'!$R$2:$BH$2,0))*IF($X429&gt;0,-15000,0)</f>
        <v>-5623.3183856502237</v>
      </c>
      <c r="BN429" s="5">
        <f t="shared" si="244"/>
        <v>14162.409470882056</v>
      </c>
      <c r="BO429" s="5">
        <f t="shared" si="245"/>
        <v>7986.9039334992603</v>
      </c>
      <c r="BP429" s="5">
        <f t="shared" si="246"/>
        <v>5097.9228809238612</v>
      </c>
      <c r="BQ429" s="5">
        <f t="shared" si="247"/>
        <v>14058.295964125562</v>
      </c>
      <c r="BR429" s="5">
        <f t="shared" si="248"/>
        <v>0</v>
      </c>
      <c r="BS429" s="5">
        <f t="shared" si="249"/>
        <v>-392.32781168265041</v>
      </c>
      <c r="BT429" s="5">
        <f t="shared" si="250"/>
        <v>0</v>
      </c>
      <c r="BU429" s="5">
        <f t="shared" si="251"/>
        <v>12236.898885407743</v>
      </c>
      <c r="BV429" s="5">
        <f t="shared" si="252"/>
        <v>-10150.482590569951</v>
      </c>
      <c r="BW429" s="5">
        <f t="shared" si="253"/>
        <v>54210.383064424444</v>
      </c>
      <c r="BX429" s="5">
        <f t="shared" si="254"/>
        <v>52348.07286934372</v>
      </c>
      <c r="BY429" s="5">
        <f t="shared" si="255"/>
        <v>157044.21860803117</v>
      </c>
      <c r="BZ429" s="5">
        <f>INDEX('Team forecast'!$R$3:$BH$26,MATCH($B429,'Team forecast'!$B$3:$B$26,0),MATCH(BZ$1,'Team forecast'!$R$2:$BH$2,0))*($BX429-(BY429+CH429)*0.01)</f>
        <v>17102.842496643789</v>
      </c>
      <c r="CA429" s="5">
        <f>INDEX('Team forecast'!$R$3:$BH$26,MATCH($B429,'Team forecast'!$B$3:$B$26,0),MATCH(CA$1,'Team forecast'!$R$2:$BH$2,0))*($BX429-(BY429+BX429+CH429)*0.01)</f>
        <v>8248.1704801990654</v>
      </c>
      <c r="CB429" s="5">
        <f>INDEX('Team forecast'!$R$3:$BH$26,MATCH($B429,'Team forecast'!$B$3:$B$26,0),MATCH(CB$1,'Team forecast'!$R$2:$BH$2,0))*($BX429-(BY429+BX429*2+CH429)*0.01)</f>
        <v>3919.1581550615629</v>
      </c>
      <c r="CC429" s="5">
        <f>INDEX('Team forecast'!$R$3:$BH$26,MATCH($B429,'Team forecast'!$B$3:$B$26,0),MATCH(CC$1,'Team forecast'!$R$2:$BH$2,0))*($BX429-(BY429+BX429*3+CH429)*0.01)</f>
        <v>1767.3442491565413</v>
      </c>
      <c r="CD429" s="5">
        <f>+AK429+BD429*Cockpit!$C$3+BW429*Cockpit!$C$3^2+BZ429*Cockpit!$C$3^3+CA429*Cockpit!$C$3^4+CB429*Cockpit!$C$3^5+CC429*Cockpit!$C$3^6</f>
        <v>128048.16212016645</v>
      </c>
      <c r="CE429" s="5"/>
      <c r="CF429" s="5"/>
      <c r="CG429" s="5">
        <v>0</v>
      </c>
      <c r="CH429" s="5">
        <f t="shared" si="256"/>
        <v>2500000</v>
      </c>
      <c r="CI429" s="5">
        <f t="shared" si="257"/>
        <v>2500000</v>
      </c>
      <c r="CJ429" s="1">
        <f t="shared" si="258"/>
        <v>6.2817687443212464E-2</v>
      </c>
      <c r="CK429" s="5">
        <f>RANK(BY429,$BY$2:$BY$623)+COUNTIF($BY$2:$BY429,$BY429)-1</f>
        <v>91</v>
      </c>
      <c r="CL429" s="5">
        <f>RANK(CJ429,$CJ$2:$CJ$623)+COUNTIF($CJ$2:$CJ429,$CJ429)-1</f>
        <v>7</v>
      </c>
    </row>
    <row r="430" spans="1:90">
      <c r="A430" t="str">
        <f>Players!P431</f>
        <v>Jan Bednarek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1.5369105908463034</v>
      </c>
      <c r="I430" s="16">
        <f>INDEX('Team forecast'!$B$2:$AO$26,MATCH('Master data'!$B430,'Team forecast'!$B$2:$B$26,0),MATCH('Master data'!I$1,'Team forecast'!$B$2:$AO$2,0))</f>
        <v>0.81328039356128246</v>
      </c>
      <c r="J430" s="16">
        <f>INDEX('Team forecast'!$B$2:$AO$26,MATCH('Master data'!$B430,'Team forecast'!$B$2:$B$26,0),MATCH('Master data'!J$1,'Team forecast'!$B$2:$AO$2,0))</f>
        <v>0.44340114762649968</v>
      </c>
      <c r="K430" s="16">
        <f>INDEX('Team forecast'!$B$2:$AO$26,MATCH('Master data'!$B430,'Team forecast'!$B$2:$B$26,0),MATCH('Master data'!K$1,'Team forecast'!$B$2:$AO$2,0))</f>
        <v>4.6107317725389105</v>
      </c>
      <c r="L430" s="16">
        <f>INDEX('Team forecast'!$B$2:$AO$26,MATCH('Master data'!$B430,'Team forecast'!$B$2:$B$26,0),MATCH('Master data'!L$1,'Team forecast'!$B$2:$AO$2,0))</f>
        <v>2.0723952197374849</v>
      </c>
      <c r="M430">
        <f>IF(Players!BC431=1,95,0)</f>
        <v>95</v>
      </c>
      <c r="N430" s="2">
        <f>Players!BN431</f>
        <v>2.4508231095739009E-2</v>
      </c>
      <c r="O430" s="2">
        <f>Players!BO431</f>
        <v>2.1629278852080314E-2</v>
      </c>
      <c r="P430" s="2">
        <f>Players!BP431</f>
        <v>2.4654915831878055E-2</v>
      </c>
      <c r="Q430" s="2">
        <f>Players!BQ431</f>
        <v>0.18255723960012898</v>
      </c>
      <c r="R430" s="2">
        <f>Players!BR431</f>
        <v>2.9022895840051594E-2</v>
      </c>
      <c r="S430" s="2">
        <f t="shared" si="217"/>
        <v>1.5369105908463034</v>
      </c>
      <c r="T430" s="2">
        <f t="shared" si="218"/>
        <v>0.81328039356128246</v>
      </c>
      <c r="U430" s="16">
        <f>INDEX('Team forecast'!$B$2:$AO$26,MATCH('Master data'!$B430,'Team forecast'!$B$2:$B$26,0),MATCH('Master data'!U$1,'Team forecast'!$B$2:$AO$2,0))</f>
        <v>0.54773082942097018</v>
      </c>
      <c r="V430" s="16">
        <f>INDEX('Team forecast'!$B$2:$AO$26,MATCH('Master data'!$B430,'Team forecast'!$B$2:$B$26,0),MATCH('Master data'!V$1,'Team forecast'!$B$2:$AO$2,0))</f>
        <v>0.2660406885758998</v>
      </c>
      <c r="W430" s="16">
        <f>INDEX('Team forecast'!$B$2:$AO$26,MATCH('Master data'!$B430,'Team forecast'!$B$2:$B$26,0),MATCH('Master data'!W$1,'Team forecast'!$B$2:$AO$2,0))</f>
        <v>0.18622848200312991</v>
      </c>
      <c r="X430" s="5">
        <f t="shared" si="219"/>
        <v>7000</v>
      </c>
      <c r="Y430" s="5">
        <f t="shared" si="220"/>
        <v>13693.270735524255</v>
      </c>
      <c r="Z430" s="5">
        <f t="shared" si="221"/>
        <v>1330.2034428794989</v>
      </c>
      <c r="AA430" s="5">
        <f t="shared" si="222"/>
        <v>-2793.4272300469488</v>
      </c>
      <c r="AB430" s="5">
        <f t="shared" si="223"/>
        <v>5650.0439900924976</v>
      </c>
      <c r="AC430" s="5">
        <f t="shared" si="224"/>
        <v>1662.1133870065107</v>
      </c>
      <c r="AD430" s="5">
        <f t="shared" si="225"/>
        <v>1136.7720377531275</v>
      </c>
      <c r="AE430" s="5">
        <f t="shared" si="226"/>
        <v>22170.057381324983</v>
      </c>
      <c r="AF430" s="5">
        <f t="shared" si="227"/>
        <v>0</v>
      </c>
      <c r="AG430" s="5">
        <f t="shared" si="228"/>
        <v>-3651.1447920025798</v>
      </c>
      <c r="AH430" s="5">
        <f t="shared" si="229"/>
        <v>-1451.1447920025796</v>
      </c>
      <c r="AI430" s="5">
        <f t="shared" si="230"/>
        <v>15369.105908463034</v>
      </c>
      <c r="AJ430" s="5">
        <f t="shared" si="231"/>
        <v>-6506.24314849026</v>
      </c>
      <c r="AK430" s="5">
        <f>IFERROR(SUM(X430:AJ430),-5000)*((Cockpit!$C$3)^0)</f>
        <v>53609.606920501523</v>
      </c>
      <c r="AL430" s="16">
        <f>INDEX('Team forecast'!$B$2:$AO$26,MATCH('Master data'!$B430,'Team forecast'!$B$2:$B$26,0),MATCH('Master data'!AL$1,'Team forecast'!$B$2:$AO$2,0))</f>
        <v>0.77817916464933856</v>
      </c>
      <c r="AM430" s="16">
        <f>INDEX('Team forecast'!$B$2:$AO$26,MATCH('Master data'!$B430,'Team forecast'!$B$2:$B$26,0),MATCH('Master data'!AM$1,'Team forecast'!$B$2:$AO$2,0))</f>
        <v>1.9080439968215523</v>
      </c>
      <c r="AN430" s="16">
        <f>INDEX('Team forecast'!$B$2:$AO$26,MATCH('Master data'!$B430,'Team forecast'!$B$2:$B$26,0),MATCH('Master data'!AN$1,'Team forecast'!$B$2:$AO$2,0))</f>
        <v>0.1483703157610558</v>
      </c>
      <c r="AO430" s="16">
        <f>INDEX('Team forecast'!$B$2:$AO$26,MATCH('Master data'!$B430,'Team forecast'!$B$2:$B$26,0),MATCH('Master data'!AO$1,'Team forecast'!$B$2:$AO$2,0))</f>
        <v>2.3345374939480159</v>
      </c>
      <c r="AP430" s="16">
        <f>INDEX('Team forecast'!$B$2:$AO$26,MATCH('Master data'!$B430,'Team forecast'!$B$2:$B$26,0),MATCH('Master data'!AP$1,'Team forecast'!$B$2:$AO$2,0))</f>
        <v>4.862063919611546</v>
      </c>
      <c r="AQ430" s="5">
        <f t="shared" si="232"/>
        <v>7000</v>
      </c>
      <c r="AR430" s="5">
        <f>INDEX('Team forecast'!$B$2:$AO$26,MATCH('Master data'!$B430,'Team forecast'!$B$2:$B$26,0),MATCH('Master data'!AR$1,'Team forecast'!$B$2:$AO$2,0))*IF(X430&gt;0,25000,0)</f>
        <v>3519.7337680542423</v>
      </c>
      <c r="AS430" s="16">
        <f>INDEX('Team forecast'!$B$2:$AO$26,MATCH('Master data'!$B430,'Team forecast'!$B$2:$B$26,0),MATCH('Master data'!AS$1,'Team forecast'!$B$2:$AO$2,0))*IF(X430&gt;0,5000,0)</f>
        <v>1059.787969721827</v>
      </c>
      <c r="AT430" s="16">
        <f>INDEX('Team forecast'!$B$2:$AO$26,MATCH('Master data'!$B430,'Team forecast'!$B$2:$B$26,0),MATCH('Master data'!AT$1,'Team forecast'!$B$2:$AO$2,0))*IF(X430&gt;0,-15000,0)</f>
        <v>-9708.7958300019709</v>
      </c>
      <c r="AU430" s="5">
        <f t="shared" si="233"/>
        <v>2860.7692201672685</v>
      </c>
      <c r="AV430" s="5">
        <f t="shared" si="234"/>
        <v>841.57270745397318</v>
      </c>
      <c r="AW430" s="5">
        <f t="shared" si="235"/>
        <v>575.57825419651851</v>
      </c>
      <c r="AX430" s="5">
        <f t="shared" si="236"/>
        <v>7418.5157880527904</v>
      </c>
      <c r="AY430" s="5">
        <f t="shared" si="237"/>
        <v>0</v>
      </c>
      <c r="AZ430" s="5">
        <f t="shared" si="238"/>
        <v>-3651.1447920025798</v>
      </c>
      <c r="BA430" s="5">
        <f t="shared" si="239"/>
        <v>-1451.1447920025796</v>
      </c>
      <c r="BB430" s="5">
        <f t="shared" si="240"/>
        <v>7781.791646493386</v>
      </c>
      <c r="BC430" s="5">
        <f t="shared" si="241"/>
        <v>-15264.351974572419</v>
      </c>
      <c r="BD430" s="5">
        <f t="shared" si="242"/>
        <v>982.31196556045506</v>
      </c>
      <c r="BE430" s="16">
        <f>INDEX('Team forecast'!$B$2:$AO$26,MATCH('Master data'!$B430,'Team forecast'!$B$2:$B$26,0),MATCH('Master data'!BE$1,'Team forecast'!$B$2:$AO$2,0))</f>
        <v>1.2236898885407743</v>
      </c>
      <c r="BF430" s="16">
        <f>INDEX('Team forecast'!$B$2:$AO$26,MATCH('Master data'!$B430,'Team forecast'!$B$2:$B$26,0),MATCH('Master data'!BF$1,'Team forecast'!$B$2:$AO$2,0))</f>
        <v>1.2688103238212438</v>
      </c>
      <c r="BG430" s="16">
        <f>INDEX('Team forecast'!$B$2:$AO$26,MATCH('Master data'!$B430,'Team forecast'!$B$2:$B$26,0),MATCH('Master data'!BG$1,'Team forecast'!$B$2:$AO$2,0))</f>
        <v>0.28116591928251122</v>
      </c>
      <c r="BH430" s="16">
        <f>INDEX('Team forecast'!$B$2:$AO$26,MATCH('Master data'!$B430,'Team forecast'!$B$2:$B$26,0),MATCH('Master data'!BH$1,'Team forecast'!$B$2:$AO$2,0))</f>
        <v>3.6710696656223227</v>
      </c>
      <c r="BI430" s="16">
        <f>INDEX('Team forecast'!$B$2:$AO$26,MATCH('Master data'!$B430,'Team forecast'!$B$2:$B$26,0),MATCH('Master data'!BI$1,'Team forecast'!$B$2:$AO$2,0))</f>
        <v>3.2331732950384708</v>
      </c>
      <c r="BJ430" s="5">
        <f t="shared" si="243"/>
        <v>7000</v>
      </c>
      <c r="BK430" s="5">
        <f>INDEX('Team forecast'!$R$3:$BH$26,MATCH($B430,'Team forecast'!$B$3:$B$26,0),MATCH(BK$1,'Team forecast'!$R$2:$BH$2,0))*IF($X430&gt;0,25000,0)</f>
        <v>8385.6502242152455</v>
      </c>
      <c r="BL430" s="5">
        <f>INDEX('Team forecast'!$R$3:$BH$26,MATCH($B430,'Team forecast'!$B$3:$B$26,0),MATCH(BL$1,'Team forecast'!$R$2:$BH$2,0))*IF($X430&gt;0,5000,0)</f>
        <v>1448.4304932735427</v>
      </c>
      <c r="BM430" s="5">
        <f>INDEX('Team forecast'!$R$3:$BH$26,MATCH($B430,'Team forecast'!$B$3:$B$26,0),MATCH(BM$1,'Team forecast'!$R$2:$BH$2,0))*IF($X430&gt;0,-15000,0)</f>
        <v>-5623.3183856502237</v>
      </c>
      <c r="BN430" s="5">
        <f t="shared" si="244"/>
        <v>4498.5711866814609</v>
      </c>
      <c r="BO430" s="5">
        <f t="shared" si="245"/>
        <v>1323.3764913859743</v>
      </c>
      <c r="BP430" s="5">
        <f t="shared" si="246"/>
        <v>905.09913618879079</v>
      </c>
      <c r="BQ430" s="5">
        <f t="shared" si="247"/>
        <v>14058.295964125562</v>
      </c>
      <c r="BR430" s="5">
        <f t="shared" si="248"/>
        <v>0</v>
      </c>
      <c r="BS430" s="5">
        <f t="shared" si="249"/>
        <v>-3651.1447920025798</v>
      </c>
      <c r="BT430" s="5">
        <f t="shared" si="250"/>
        <v>-1451.1447920025796</v>
      </c>
      <c r="BU430" s="5">
        <f t="shared" si="251"/>
        <v>12236.898885407743</v>
      </c>
      <c r="BV430" s="5">
        <f t="shared" si="252"/>
        <v>-10150.482590569951</v>
      </c>
      <c r="BW430" s="5">
        <f t="shared" si="253"/>
        <v>28980.231821052988</v>
      </c>
      <c r="BX430" s="5">
        <f t="shared" si="254"/>
        <v>27857.383569038324</v>
      </c>
      <c r="BY430" s="5">
        <f t="shared" si="255"/>
        <v>83572.150707114968</v>
      </c>
      <c r="BZ430" s="5">
        <f>INDEX('Team forecast'!$R$3:$BH$26,MATCH($B430,'Team forecast'!$B$3:$B$26,0),MATCH(BZ$1,'Team forecast'!$R$2:$BH$2,0))*($BX430-(BY430+CH430)*0.01)</f>
        <v>-1976.0561116668764</v>
      </c>
      <c r="CA430" s="5">
        <f>INDEX('Team forecast'!$R$3:$BH$26,MATCH($B430,'Team forecast'!$B$3:$B$26,0),MATCH(CA$1,'Team forecast'!$R$2:$BH$2,0))*($BX430-(BY430+BX430+CH430)*0.01)</f>
        <v>-1063.7286781365358</v>
      </c>
      <c r="CB430" s="5">
        <f>INDEX('Team forecast'!$R$3:$BH$26,MATCH($B430,'Team forecast'!$B$3:$B$26,0),MATCH(CB$1,'Team forecast'!$R$2:$BH$2,0))*($BX430-(BY430+BX430*2+CH430)*0.01)</f>
        <v>-560.2811283302409</v>
      </c>
      <c r="CC430" s="5">
        <f>INDEX('Team forecast'!$R$3:$BH$26,MATCH($B430,'Team forecast'!$B$3:$B$26,0),MATCH(CC$1,'Team forecast'!$R$2:$BH$2,0))*($BX430-(BY430+BX430*3+CH430)*0.01)</f>
        <v>-278.46092192945486</v>
      </c>
      <c r="CD430" s="5">
        <f>+AK430+BD430*Cockpit!$C$3+BW430*Cockpit!$C$3^2+BZ430*Cockpit!$C$3^3+CA430*Cockpit!$C$3^4+CB430*Cockpit!$C$3^5+CC430*Cockpit!$C$3^6</f>
        <v>66250.738865890627</v>
      </c>
      <c r="CE430" s="5"/>
      <c r="CF430" s="5"/>
      <c r="CG430" s="5">
        <v>0</v>
      </c>
      <c r="CH430" s="5">
        <f t="shared" si="256"/>
        <v>3000000</v>
      </c>
      <c r="CI430" s="5">
        <f t="shared" si="257"/>
        <v>3000000</v>
      </c>
      <c r="CJ430" s="1">
        <f t="shared" si="258"/>
        <v>2.7857383569038323E-2</v>
      </c>
      <c r="CK430" s="5">
        <f>RANK(BY430,$BY$2:$BY$623)+COUNTIF($BY$2:$BY430,$BY430)-1</f>
        <v>204</v>
      </c>
      <c r="CL430" s="5">
        <f>RANK(CJ430,$CJ$2:$CJ$623)+COUNTIF($CJ$2:$CJ430,$CJ430)-1</f>
        <v>170</v>
      </c>
    </row>
    <row r="431" spans="1:90">
      <c r="A431" t="str">
        <f>Players!P432</f>
        <v>Bartosz Bereszynski</v>
      </c>
      <c r="B431" t="str">
        <f>Players!G432</f>
        <v>Poland</v>
      </c>
      <c r="C431" t="str">
        <f>Players!AB432</f>
        <v>Defense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3000000</v>
      </c>
      <c r="H431" s="16">
        <f>INDEX('Team forecast'!$B$2:$AO$26,MATCH('Master data'!$B431,'Team forecast'!$B$2:$B$26,0),MATCH('Master data'!H$1,'Team forecast'!$B$2:$AO$2,0))</f>
        <v>1.5369105908463034</v>
      </c>
      <c r="I431" s="16">
        <f>INDEX('Team forecast'!$B$2:$AO$26,MATCH('Master data'!$B431,'Team forecast'!$B$2:$B$26,0),MATCH('Master data'!I$1,'Team forecast'!$B$2:$AO$2,0))</f>
        <v>0.81328039356128246</v>
      </c>
      <c r="J431" s="16">
        <f>INDEX('Team forecast'!$B$2:$AO$26,MATCH('Master data'!$B431,'Team forecast'!$B$2:$B$26,0),MATCH('Master data'!J$1,'Team forecast'!$B$2:$AO$2,0))</f>
        <v>0.44340114762649968</v>
      </c>
      <c r="K431" s="16">
        <f>INDEX('Team forecast'!$B$2:$AO$26,MATCH('Master data'!$B431,'Team forecast'!$B$2:$B$26,0),MATCH('Master data'!K$1,'Team forecast'!$B$2:$AO$2,0))</f>
        <v>4.6107317725389105</v>
      </c>
      <c r="L431" s="16">
        <f>INDEX('Team forecast'!$B$2:$AO$26,MATCH('Master data'!$B431,'Team forecast'!$B$2:$B$26,0),MATCH('Master data'!L$1,'Team forecast'!$B$2:$AO$2,0))</f>
        <v>2.0723952197374849</v>
      </c>
      <c r="M431">
        <f>IF(Players!BC432=1,95,0)</f>
        <v>95</v>
      </c>
      <c r="N431" s="2">
        <f>Players!BN432</f>
        <v>2.5524745864666479E-2</v>
      </c>
      <c r="O431" s="2">
        <f>Players!BO432</f>
        <v>1.8793132247499383E-2</v>
      </c>
      <c r="P431" s="2">
        <f>Players!BP432</f>
        <v>4.8877952943775635E-3</v>
      </c>
      <c r="Q431" s="2">
        <f>Players!BQ432</f>
        <v>0.19952243958573074</v>
      </c>
      <c r="R431" s="2">
        <f>Players!BR432</f>
        <v>0</v>
      </c>
      <c r="S431" s="2">
        <f t="shared" si="217"/>
        <v>1.5369105908463034</v>
      </c>
      <c r="T431" s="2">
        <f t="shared" si="218"/>
        <v>0.81328039356128246</v>
      </c>
      <c r="U431" s="16">
        <f>INDEX('Team forecast'!$B$2:$AO$26,MATCH('Master data'!$B431,'Team forecast'!$B$2:$B$26,0),MATCH('Master data'!U$1,'Team forecast'!$B$2:$AO$2,0))</f>
        <v>0.54773082942097018</v>
      </c>
      <c r="V431" s="16">
        <f>INDEX('Team forecast'!$B$2:$AO$26,MATCH('Master data'!$B431,'Team forecast'!$B$2:$B$26,0),MATCH('Master data'!V$1,'Team forecast'!$B$2:$AO$2,0))</f>
        <v>0.2660406885758998</v>
      </c>
      <c r="W431" s="16">
        <f>INDEX('Team forecast'!$B$2:$AO$26,MATCH('Master data'!$B431,'Team forecast'!$B$2:$B$26,0),MATCH('Master data'!W$1,'Team forecast'!$B$2:$AO$2,0))</f>
        <v>0.18622848200312991</v>
      </c>
      <c r="X431" s="5">
        <f t="shared" si="219"/>
        <v>7000</v>
      </c>
      <c r="Y431" s="5">
        <f t="shared" si="220"/>
        <v>13693.270735524255</v>
      </c>
      <c r="Z431" s="5">
        <f t="shared" si="221"/>
        <v>1330.2034428794989</v>
      </c>
      <c r="AA431" s="5">
        <f t="shared" si="222"/>
        <v>-2793.4272300469488</v>
      </c>
      <c r="AB431" s="5">
        <f t="shared" si="223"/>
        <v>5884.3878372099443</v>
      </c>
      <c r="AC431" s="5">
        <f t="shared" si="224"/>
        <v>1444.1681993178497</v>
      </c>
      <c r="AD431" s="5">
        <f t="shared" si="225"/>
        <v>225.3631306145281</v>
      </c>
      <c r="AE431" s="5">
        <f t="shared" si="226"/>
        <v>22170.057381324983</v>
      </c>
      <c r="AF431" s="5">
        <f t="shared" si="227"/>
        <v>0</v>
      </c>
      <c r="AG431" s="5">
        <f t="shared" si="228"/>
        <v>-3990.4487917146148</v>
      </c>
      <c r="AH431" s="5">
        <f t="shared" si="229"/>
        <v>0</v>
      </c>
      <c r="AI431" s="5">
        <f t="shared" si="230"/>
        <v>15369.105908463034</v>
      </c>
      <c r="AJ431" s="5">
        <f t="shared" si="231"/>
        <v>-6506.24314849026</v>
      </c>
      <c r="AK431" s="5">
        <f>IFERROR(SUM(X431:AJ431),-5000)*((Cockpit!$C$3)^0)</f>
        <v>53826.437465082257</v>
      </c>
      <c r="AL431" s="16">
        <f>INDEX('Team forecast'!$B$2:$AO$26,MATCH('Master data'!$B431,'Team forecast'!$B$2:$B$26,0),MATCH('Master data'!AL$1,'Team forecast'!$B$2:$AO$2,0))</f>
        <v>0.77817916464933856</v>
      </c>
      <c r="AM431" s="16">
        <f>INDEX('Team forecast'!$B$2:$AO$26,MATCH('Master data'!$B431,'Team forecast'!$B$2:$B$26,0),MATCH('Master data'!AM$1,'Team forecast'!$B$2:$AO$2,0))</f>
        <v>1.9080439968215523</v>
      </c>
      <c r="AN431" s="16">
        <f>INDEX('Team forecast'!$B$2:$AO$26,MATCH('Master data'!$B431,'Team forecast'!$B$2:$B$26,0),MATCH('Master data'!AN$1,'Team forecast'!$B$2:$AO$2,0))</f>
        <v>0.1483703157610558</v>
      </c>
      <c r="AO431" s="16">
        <f>INDEX('Team forecast'!$B$2:$AO$26,MATCH('Master data'!$B431,'Team forecast'!$B$2:$B$26,0),MATCH('Master data'!AO$1,'Team forecast'!$B$2:$AO$2,0))</f>
        <v>2.3345374939480159</v>
      </c>
      <c r="AP431" s="16">
        <f>INDEX('Team forecast'!$B$2:$AO$26,MATCH('Master data'!$B431,'Team forecast'!$B$2:$B$26,0),MATCH('Master data'!AP$1,'Team forecast'!$B$2:$AO$2,0))</f>
        <v>4.862063919611546</v>
      </c>
      <c r="AQ431" s="5">
        <f t="shared" si="232"/>
        <v>7000</v>
      </c>
      <c r="AR431" s="5">
        <f>INDEX('Team forecast'!$B$2:$AO$26,MATCH('Master data'!$B431,'Team forecast'!$B$2:$B$26,0),MATCH('Master data'!AR$1,'Team forecast'!$B$2:$AO$2,0))*IF(X431&gt;0,25000,0)</f>
        <v>3519.7337680542423</v>
      </c>
      <c r="AS431" s="16">
        <f>INDEX('Team forecast'!$B$2:$AO$26,MATCH('Master data'!$B431,'Team forecast'!$B$2:$B$26,0),MATCH('Master data'!AS$1,'Team forecast'!$B$2:$AO$2,0))*IF(X431&gt;0,5000,0)</f>
        <v>1059.787969721827</v>
      </c>
      <c r="AT431" s="16">
        <f>INDEX('Team forecast'!$B$2:$AO$26,MATCH('Master data'!$B431,'Team forecast'!$B$2:$B$26,0),MATCH('Master data'!AT$1,'Team forecast'!$B$2:$AO$2,0))*IF(X431&gt;0,-15000,0)</f>
        <v>-9708.7958300019709</v>
      </c>
      <c r="AU431" s="5">
        <f t="shared" si="233"/>
        <v>2979.4238122279226</v>
      </c>
      <c r="AV431" s="5">
        <f t="shared" si="234"/>
        <v>731.22119767518075</v>
      </c>
      <c r="AW431" s="5">
        <f t="shared" si="235"/>
        <v>114.10741377467102</v>
      </c>
      <c r="AX431" s="5">
        <f t="shared" si="236"/>
        <v>7418.5157880527904</v>
      </c>
      <c r="AY431" s="5">
        <f t="shared" si="237"/>
        <v>0</v>
      </c>
      <c r="AZ431" s="5">
        <f t="shared" si="238"/>
        <v>-3990.4487917146148</v>
      </c>
      <c r="BA431" s="5">
        <f t="shared" si="239"/>
        <v>0</v>
      </c>
      <c r="BB431" s="5">
        <f t="shared" si="240"/>
        <v>7781.791646493386</v>
      </c>
      <c r="BC431" s="5">
        <f t="shared" si="241"/>
        <v>-15264.351974572419</v>
      </c>
      <c r="BD431" s="5">
        <f t="shared" si="242"/>
        <v>1640.9849997110141</v>
      </c>
      <c r="BE431" s="16">
        <f>INDEX('Team forecast'!$B$2:$AO$26,MATCH('Master data'!$B431,'Team forecast'!$B$2:$B$26,0),MATCH('Master data'!BE$1,'Team forecast'!$B$2:$AO$2,0))</f>
        <v>1.2236898885407743</v>
      </c>
      <c r="BF431" s="16">
        <f>INDEX('Team forecast'!$B$2:$AO$26,MATCH('Master data'!$B431,'Team forecast'!$B$2:$B$26,0),MATCH('Master data'!BF$1,'Team forecast'!$B$2:$AO$2,0))</f>
        <v>1.2688103238212438</v>
      </c>
      <c r="BG431" s="16">
        <f>INDEX('Team forecast'!$B$2:$AO$26,MATCH('Master data'!$B431,'Team forecast'!$B$2:$B$26,0),MATCH('Master data'!BG$1,'Team forecast'!$B$2:$AO$2,0))</f>
        <v>0.28116591928251122</v>
      </c>
      <c r="BH431" s="16">
        <f>INDEX('Team forecast'!$B$2:$AO$26,MATCH('Master data'!$B431,'Team forecast'!$B$2:$B$26,0),MATCH('Master data'!BH$1,'Team forecast'!$B$2:$AO$2,0))</f>
        <v>3.6710696656223227</v>
      </c>
      <c r="BI431" s="16">
        <f>INDEX('Team forecast'!$B$2:$AO$26,MATCH('Master data'!$B431,'Team forecast'!$B$2:$B$26,0),MATCH('Master data'!BI$1,'Team forecast'!$B$2:$AO$2,0))</f>
        <v>3.2331732950384708</v>
      </c>
      <c r="BJ431" s="5">
        <f t="shared" si="243"/>
        <v>7000</v>
      </c>
      <c r="BK431" s="5">
        <f>INDEX('Team forecast'!$R$3:$BH$26,MATCH($B431,'Team forecast'!$B$3:$B$26,0),MATCH(BK$1,'Team forecast'!$R$2:$BH$2,0))*IF($X431&gt;0,25000,0)</f>
        <v>8385.6502242152455</v>
      </c>
      <c r="BL431" s="5">
        <f>INDEX('Team forecast'!$R$3:$BH$26,MATCH($B431,'Team forecast'!$B$3:$B$26,0),MATCH(BL$1,'Team forecast'!$R$2:$BH$2,0))*IF($X431&gt;0,5000,0)</f>
        <v>1448.4304932735427</v>
      </c>
      <c r="BM431" s="5">
        <f>INDEX('Team forecast'!$R$3:$BH$26,MATCH($B431,'Team forecast'!$B$3:$B$26,0),MATCH(BM$1,'Team forecast'!$R$2:$BH$2,0))*IF($X431&gt;0,-15000,0)</f>
        <v>-5623.3183856502237</v>
      </c>
      <c r="BN431" s="5">
        <f t="shared" si="244"/>
        <v>4685.1560133247967</v>
      </c>
      <c r="BO431" s="5">
        <f t="shared" si="245"/>
        <v>1149.8482952637276</v>
      </c>
      <c r="BP431" s="5">
        <f t="shared" si="246"/>
        <v>179.43437036961004</v>
      </c>
      <c r="BQ431" s="5">
        <f t="shared" si="247"/>
        <v>14058.295964125562</v>
      </c>
      <c r="BR431" s="5">
        <f t="shared" si="248"/>
        <v>0</v>
      </c>
      <c r="BS431" s="5">
        <f t="shared" si="249"/>
        <v>-3990.4487917146148</v>
      </c>
      <c r="BT431" s="5">
        <f t="shared" si="250"/>
        <v>0</v>
      </c>
      <c r="BU431" s="5">
        <f t="shared" si="251"/>
        <v>12236.898885407743</v>
      </c>
      <c r="BV431" s="5">
        <f t="shared" si="252"/>
        <v>-10150.482590569951</v>
      </c>
      <c r="BW431" s="5">
        <f t="shared" si="253"/>
        <v>29379.464478045444</v>
      </c>
      <c r="BX431" s="5">
        <f t="shared" si="254"/>
        <v>28282.295647612904</v>
      </c>
      <c r="BY431" s="5">
        <f t="shared" si="255"/>
        <v>84846.886942838712</v>
      </c>
      <c r="BZ431" s="5">
        <f>INDEX('Team forecast'!$R$3:$BH$26,MATCH($B431,'Team forecast'!$B$3:$B$26,0),MATCH(BZ$1,'Team forecast'!$R$2:$BH$2,0))*($BX431-(BY431+CH431)*0.01)</f>
        <v>-1702.5946632213481</v>
      </c>
      <c r="CA431" s="5">
        <f>INDEX('Team forecast'!$R$3:$BH$26,MATCH($B431,'Team forecast'!$B$3:$B$26,0),MATCH(CA$1,'Team forecast'!$R$2:$BH$2,0))*($BX431-(BY431+BX431+CH431)*0.01)</f>
        <v>-930.50077782295159</v>
      </c>
      <c r="CB431" s="5">
        <f>INDEX('Team forecast'!$R$3:$BH$26,MATCH($B431,'Team forecast'!$B$3:$B$26,0),MATCH(CB$1,'Team forecast'!$R$2:$BH$2,0))*($BX431-(BY431+BX431*2+CH431)*0.01)</f>
        <v>-496.31064934385313</v>
      </c>
      <c r="CC431" s="5">
        <f>INDEX('Team forecast'!$R$3:$BH$26,MATCH($B431,'Team forecast'!$B$3:$B$26,0),MATCH(CC$1,'Team forecast'!$R$2:$BH$2,0))*($BX431-(BY431+BX431*3+CH431)*0.01)</f>
        <v>-249.29983354283289</v>
      </c>
      <c r="CD431" s="5">
        <f>+AK431+BD431*Cockpit!$C$3+BW431*Cockpit!$C$3^2+BZ431*Cockpit!$C$3^3+CA431*Cockpit!$C$3^4+CB431*Cockpit!$C$3^5+CC431*Cockpit!$C$3^6</f>
        <v>67202.447931200513</v>
      </c>
      <c r="CE431" s="5"/>
      <c r="CF431" s="5"/>
      <c r="CG431" s="5">
        <v>0</v>
      </c>
      <c r="CH431" s="5">
        <f t="shared" si="256"/>
        <v>3000000</v>
      </c>
      <c r="CI431" s="5">
        <f t="shared" si="257"/>
        <v>3000000</v>
      </c>
      <c r="CJ431" s="1">
        <f t="shared" si="258"/>
        <v>2.8282295647612903E-2</v>
      </c>
      <c r="CK431" s="5">
        <f>RANK(BY431,$BY$2:$BY$623)+COUNTIF($BY$2:$BY431,$BY431)-1</f>
        <v>202</v>
      </c>
      <c r="CL431" s="5">
        <f>RANK(CJ431,$CJ$2:$CJ$623)+COUNTIF($CJ$2:$CJ431,$CJ431)-1</f>
        <v>164</v>
      </c>
    </row>
    <row r="432" spans="1:90">
      <c r="A432" t="str">
        <f>Players!P433</f>
        <v>Kacper Kozłowski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1.5369105908463034</v>
      </c>
      <c r="I432" s="16">
        <f>INDEX('Team forecast'!$B$2:$AO$26,MATCH('Master data'!$B432,'Team forecast'!$B$2:$B$26,0),MATCH('Master data'!I$1,'Team forecast'!$B$2:$AO$2,0))</f>
        <v>0.81328039356128246</v>
      </c>
      <c r="J432" s="16">
        <f>INDEX('Team forecast'!$B$2:$AO$26,MATCH('Master data'!$B432,'Team forecast'!$B$2:$B$26,0),MATCH('Master data'!J$1,'Team forecast'!$B$2:$AO$2,0))</f>
        <v>0.44340114762649968</v>
      </c>
      <c r="K432" s="16">
        <f>INDEX('Team forecast'!$B$2:$AO$26,MATCH('Master data'!$B432,'Team forecast'!$B$2:$B$26,0),MATCH('Master data'!K$1,'Team forecast'!$B$2:$AO$2,0))</f>
        <v>4.6107317725389105</v>
      </c>
      <c r="L432" s="16">
        <f>INDEX('Team forecast'!$B$2:$AO$26,MATCH('Master data'!$B432,'Team forecast'!$B$2:$B$26,0),MATCH('Master data'!L$1,'Team forecast'!$B$2:$AO$2,0))</f>
        <v>2.0723952197374849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0</v>
      </c>
      <c r="R432" s="2">
        <f>Players!BR433</f>
        <v>0</v>
      </c>
      <c r="S432" s="2">
        <f t="shared" si="217"/>
        <v>1.5369105908463034</v>
      </c>
      <c r="T432" s="2">
        <f t="shared" si="218"/>
        <v>0.81328039356128246</v>
      </c>
      <c r="U432" s="16">
        <f>INDEX('Team forecast'!$B$2:$AO$26,MATCH('Master data'!$B432,'Team forecast'!$B$2:$B$26,0),MATCH('Master data'!U$1,'Team forecast'!$B$2:$AO$2,0))</f>
        <v>0.54773082942097018</v>
      </c>
      <c r="V432" s="16">
        <f>INDEX('Team forecast'!$B$2:$AO$26,MATCH('Master data'!$B432,'Team forecast'!$B$2:$B$26,0),MATCH('Master data'!V$1,'Team forecast'!$B$2:$AO$2,0))</f>
        <v>0.2660406885758998</v>
      </c>
      <c r="W432" s="16">
        <f>INDEX('Team forecast'!$B$2:$AO$26,MATCH('Master data'!$B432,'Team forecast'!$B$2:$B$26,0),MATCH('Master data'!W$1,'Team forecast'!$B$2:$AO$2,0))</f>
        <v>0.18622848200312991</v>
      </c>
      <c r="X432" s="5">
        <f t="shared" si="219"/>
        <v>-5000</v>
      </c>
      <c r="Y432" s="5">
        <f t="shared" si="220"/>
        <v>0</v>
      </c>
      <c r="Z432" s="5">
        <f t="shared" si="221"/>
        <v>0</v>
      </c>
      <c r="AA432" s="5">
        <f t="shared" si="222"/>
        <v>0</v>
      </c>
      <c r="AB432" s="5">
        <f t="shared" si="223"/>
        <v>0</v>
      </c>
      <c r="AC432" s="5">
        <f t="shared" si="224"/>
        <v>0</v>
      </c>
      <c r="AD432" s="5">
        <f t="shared" si="225"/>
        <v>0</v>
      </c>
      <c r="AE432" s="5">
        <f t="shared" si="226"/>
        <v>0</v>
      </c>
      <c r="AF432" s="5">
        <f t="shared" si="227"/>
        <v>0</v>
      </c>
      <c r="AG432" s="5">
        <f t="shared" si="228"/>
        <v>0</v>
      </c>
      <c r="AH432" s="5">
        <f t="shared" si="229"/>
        <v>0</v>
      </c>
      <c r="AI432" s="5">
        <f t="shared" si="230"/>
        <v>0</v>
      </c>
      <c r="AJ432" s="5">
        <f t="shared" si="231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0.77817916464933856</v>
      </c>
      <c r="AM432" s="16">
        <f>INDEX('Team forecast'!$B$2:$AO$26,MATCH('Master data'!$B432,'Team forecast'!$B$2:$B$26,0),MATCH('Master data'!AM$1,'Team forecast'!$B$2:$AO$2,0))</f>
        <v>1.9080439968215523</v>
      </c>
      <c r="AN432" s="16">
        <f>INDEX('Team forecast'!$B$2:$AO$26,MATCH('Master data'!$B432,'Team forecast'!$B$2:$B$26,0),MATCH('Master data'!AN$1,'Team forecast'!$B$2:$AO$2,0))</f>
        <v>0.1483703157610558</v>
      </c>
      <c r="AO432" s="16">
        <f>INDEX('Team forecast'!$B$2:$AO$26,MATCH('Master data'!$B432,'Team forecast'!$B$2:$B$26,0),MATCH('Master data'!AO$1,'Team forecast'!$B$2:$AO$2,0))</f>
        <v>2.3345374939480159</v>
      </c>
      <c r="AP432" s="16">
        <f>INDEX('Team forecast'!$B$2:$AO$26,MATCH('Master data'!$B432,'Team forecast'!$B$2:$B$26,0),MATCH('Master data'!AP$1,'Team forecast'!$B$2:$AO$2,0))</f>
        <v>4.862063919611546</v>
      </c>
      <c r="AQ432" s="5">
        <f t="shared" si="232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233"/>
        <v>0</v>
      </c>
      <c r="AV432" s="5">
        <f t="shared" si="234"/>
        <v>0</v>
      </c>
      <c r="AW432" s="5">
        <f t="shared" si="235"/>
        <v>0</v>
      </c>
      <c r="AX432" s="5">
        <f t="shared" si="236"/>
        <v>0</v>
      </c>
      <c r="AY432" s="5">
        <f t="shared" si="237"/>
        <v>0</v>
      </c>
      <c r="AZ432" s="5">
        <f t="shared" si="238"/>
        <v>0</v>
      </c>
      <c r="BA432" s="5">
        <f t="shared" si="239"/>
        <v>0</v>
      </c>
      <c r="BB432" s="5">
        <f t="shared" si="240"/>
        <v>0</v>
      </c>
      <c r="BC432" s="5">
        <f t="shared" si="241"/>
        <v>0</v>
      </c>
      <c r="BD432" s="5">
        <f t="shared" si="242"/>
        <v>-5000</v>
      </c>
      <c r="BE432" s="16">
        <f>INDEX('Team forecast'!$B$2:$AO$26,MATCH('Master data'!$B432,'Team forecast'!$B$2:$B$26,0),MATCH('Master data'!BE$1,'Team forecast'!$B$2:$AO$2,0))</f>
        <v>1.2236898885407743</v>
      </c>
      <c r="BF432" s="16">
        <f>INDEX('Team forecast'!$B$2:$AO$26,MATCH('Master data'!$B432,'Team forecast'!$B$2:$B$26,0),MATCH('Master data'!BF$1,'Team forecast'!$B$2:$AO$2,0))</f>
        <v>1.2688103238212438</v>
      </c>
      <c r="BG432" s="16">
        <f>INDEX('Team forecast'!$B$2:$AO$26,MATCH('Master data'!$B432,'Team forecast'!$B$2:$B$26,0),MATCH('Master data'!BG$1,'Team forecast'!$B$2:$AO$2,0))</f>
        <v>0.28116591928251122</v>
      </c>
      <c r="BH432" s="16">
        <f>INDEX('Team forecast'!$B$2:$AO$26,MATCH('Master data'!$B432,'Team forecast'!$B$2:$B$26,0),MATCH('Master data'!BH$1,'Team forecast'!$B$2:$AO$2,0))</f>
        <v>3.6710696656223227</v>
      </c>
      <c r="BI432" s="16">
        <f>INDEX('Team forecast'!$B$2:$AO$26,MATCH('Master data'!$B432,'Team forecast'!$B$2:$B$26,0),MATCH('Master data'!BI$1,'Team forecast'!$B$2:$AO$2,0))</f>
        <v>3.2331732950384708</v>
      </c>
      <c r="BJ432" s="5">
        <f t="shared" si="243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244"/>
        <v>0</v>
      </c>
      <c r="BO432" s="5">
        <f t="shared" si="245"/>
        <v>0</v>
      </c>
      <c r="BP432" s="5">
        <f t="shared" si="246"/>
        <v>0</v>
      </c>
      <c r="BQ432" s="5">
        <f t="shared" si="247"/>
        <v>0</v>
      </c>
      <c r="BR432" s="5">
        <f t="shared" si="248"/>
        <v>0</v>
      </c>
      <c r="BS432" s="5">
        <f t="shared" si="249"/>
        <v>0</v>
      </c>
      <c r="BT432" s="5">
        <f t="shared" si="250"/>
        <v>0</v>
      </c>
      <c r="BU432" s="5">
        <f t="shared" si="251"/>
        <v>0</v>
      </c>
      <c r="BV432" s="5">
        <f t="shared" si="252"/>
        <v>0</v>
      </c>
      <c r="BW432" s="5">
        <f t="shared" si="253"/>
        <v>-5000</v>
      </c>
      <c r="BX432" s="5">
        <f t="shared" si="254"/>
        <v>-5000</v>
      </c>
      <c r="BY432" s="5">
        <f t="shared" si="255"/>
        <v>-15000</v>
      </c>
      <c r="BZ432" s="5">
        <f>INDEX('Team forecast'!$R$3:$BH$26,MATCH($B432,'Team forecast'!$B$3:$B$26,0),MATCH(BZ$1,'Team forecast'!$R$2:$BH$2,0))*($BX432-(BY432+CH432)*0.01)</f>
        <v>-16487.381686228469</v>
      </c>
      <c r="CA432" s="5">
        <f>INDEX('Team forecast'!$R$3:$BH$26,MATCH($B432,'Team forecast'!$B$3:$B$26,0),MATCH(CA$1,'Team forecast'!$R$2:$BH$2,0))*($BX432-(BY432+BX432+CH432)*0.01)</f>
        <v>-8099.8421359227241</v>
      </c>
      <c r="CB432" s="5">
        <f>INDEX('Team forecast'!$R$3:$BH$26,MATCH($B432,'Team forecast'!$B$3:$B$26,0),MATCH(CB$1,'Team forecast'!$R$2:$BH$2,0))*($BX432-(BY432+BX432*2+CH432)*0.01)</f>
        <v>-3922.221572406143</v>
      </c>
      <c r="CC432" s="5">
        <f>INDEX('Team forecast'!$R$3:$BH$26,MATCH($B432,'Team forecast'!$B$3:$B$26,0),MATCH(CC$1,'Team forecast'!$R$2:$BH$2,0))*($BX432-(BY432+BX432*3+CH432)*0.01)</f>
        <v>-1803.3239572305704</v>
      </c>
      <c r="CD432" s="5">
        <f>+AK432+BD432*Cockpit!$C$3+BW432*Cockpit!$C$3^2+BZ432*Cockpit!$C$3^3+CA432*Cockpit!$C$3^4+CB432*Cockpit!$C$3^5+CC432*Cockpit!$C$3^6</f>
        <v>-17715.497552828485</v>
      </c>
      <c r="CE432" s="5"/>
      <c r="CF432" s="5"/>
      <c r="CG432" s="5">
        <v>0</v>
      </c>
      <c r="CH432" s="5">
        <f t="shared" si="256"/>
        <v>2000000</v>
      </c>
      <c r="CI432" s="5">
        <f t="shared" si="257"/>
        <v>2000000</v>
      </c>
      <c r="CJ432" s="1">
        <f t="shared" si="258"/>
        <v>-7.4999999999999997E-3</v>
      </c>
      <c r="CK432" s="5">
        <f>RANK(BY432,$BY$2:$BY$623)+COUNTIF($BY$2:$BY432,$BY432)-1</f>
        <v>550</v>
      </c>
      <c r="CL432" s="5">
        <f>RANK(CJ432,$CJ$2:$CJ$623)+COUNTIF($CJ$2:$CJ432,$CJ432)-1</f>
        <v>592</v>
      </c>
    </row>
    <row r="433" spans="1:90">
      <c r="A433" t="str">
        <f>Players!P434</f>
        <v>Przemysław Frankowski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1.5369105908463034</v>
      </c>
      <c r="I433" s="16">
        <f>INDEX('Team forecast'!$B$2:$AO$26,MATCH('Master data'!$B433,'Team forecast'!$B$2:$B$26,0),MATCH('Master data'!I$1,'Team forecast'!$B$2:$AO$2,0))</f>
        <v>0.81328039356128246</v>
      </c>
      <c r="J433" s="16">
        <f>INDEX('Team forecast'!$B$2:$AO$26,MATCH('Master data'!$B433,'Team forecast'!$B$2:$B$26,0),MATCH('Master data'!J$1,'Team forecast'!$B$2:$AO$2,0))</f>
        <v>0.44340114762649968</v>
      </c>
      <c r="K433" s="16">
        <f>INDEX('Team forecast'!$B$2:$AO$26,MATCH('Master data'!$B433,'Team forecast'!$B$2:$B$26,0),MATCH('Master data'!K$1,'Team forecast'!$B$2:$AO$2,0))</f>
        <v>4.6107317725389105</v>
      </c>
      <c r="L433" s="16">
        <f>INDEX('Team forecast'!$B$2:$AO$26,MATCH('Master data'!$B433,'Team forecast'!$B$2:$B$26,0),MATCH('Master data'!L$1,'Team forecast'!$B$2:$AO$2,0))</f>
        <v>2.0723952197374849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3.0843043180260453E-2</v>
      </c>
      <c r="R433" s="2">
        <f>Players!BR434</f>
        <v>0</v>
      </c>
      <c r="S433" s="2">
        <f t="shared" si="217"/>
        <v>1.5369105908463034</v>
      </c>
      <c r="T433" s="2">
        <f t="shared" si="218"/>
        <v>0.81328039356128246</v>
      </c>
      <c r="U433" s="16">
        <f>INDEX('Team forecast'!$B$2:$AO$26,MATCH('Master data'!$B433,'Team forecast'!$B$2:$B$26,0),MATCH('Master data'!U$1,'Team forecast'!$B$2:$AO$2,0))</f>
        <v>0.54773082942097018</v>
      </c>
      <c r="V433" s="16">
        <f>INDEX('Team forecast'!$B$2:$AO$26,MATCH('Master data'!$B433,'Team forecast'!$B$2:$B$26,0),MATCH('Master data'!V$1,'Team forecast'!$B$2:$AO$2,0))</f>
        <v>0.2660406885758998</v>
      </c>
      <c r="W433" s="16">
        <f>INDEX('Team forecast'!$B$2:$AO$26,MATCH('Master data'!$B433,'Team forecast'!$B$2:$B$26,0),MATCH('Master data'!W$1,'Team forecast'!$B$2:$AO$2,0))</f>
        <v>0.18622848200312991</v>
      </c>
      <c r="X433" s="5">
        <f t="shared" si="219"/>
        <v>-5000</v>
      </c>
      <c r="Y433" s="5">
        <f t="shared" si="220"/>
        <v>0</v>
      </c>
      <c r="Z433" s="5">
        <f t="shared" si="221"/>
        <v>0</v>
      </c>
      <c r="AA433" s="5">
        <f t="shared" si="222"/>
        <v>0</v>
      </c>
      <c r="AB433" s="5">
        <f t="shared" si="223"/>
        <v>0</v>
      </c>
      <c r="AC433" s="5">
        <f t="shared" si="224"/>
        <v>0</v>
      </c>
      <c r="AD433" s="5">
        <f t="shared" si="225"/>
        <v>0</v>
      </c>
      <c r="AE433" s="5">
        <f t="shared" si="226"/>
        <v>0</v>
      </c>
      <c r="AF433" s="5">
        <f t="shared" si="227"/>
        <v>0</v>
      </c>
      <c r="AG433" s="5">
        <f t="shared" si="228"/>
        <v>0</v>
      </c>
      <c r="AH433" s="5">
        <f t="shared" si="229"/>
        <v>0</v>
      </c>
      <c r="AI433" s="5">
        <f t="shared" si="230"/>
        <v>0</v>
      </c>
      <c r="AJ433" s="5">
        <f t="shared" si="231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0.77817916464933856</v>
      </c>
      <c r="AM433" s="16">
        <f>INDEX('Team forecast'!$B$2:$AO$26,MATCH('Master data'!$B433,'Team forecast'!$B$2:$B$26,0),MATCH('Master data'!AM$1,'Team forecast'!$B$2:$AO$2,0))</f>
        <v>1.9080439968215523</v>
      </c>
      <c r="AN433" s="16">
        <f>INDEX('Team forecast'!$B$2:$AO$26,MATCH('Master data'!$B433,'Team forecast'!$B$2:$B$26,0),MATCH('Master data'!AN$1,'Team forecast'!$B$2:$AO$2,0))</f>
        <v>0.1483703157610558</v>
      </c>
      <c r="AO433" s="16">
        <f>INDEX('Team forecast'!$B$2:$AO$26,MATCH('Master data'!$B433,'Team forecast'!$B$2:$B$26,0),MATCH('Master data'!AO$1,'Team forecast'!$B$2:$AO$2,0))</f>
        <v>2.3345374939480159</v>
      </c>
      <c r="AP433" s="16">
        <f>INDEX('Team forecast'!$B$2:$AO$26,MATCH('Master data'!$B433,'Team forecast'!$B$2:$B$26,0),MATCH('Master data'!AP$1,'Team forecast'!$B$2:$AO$2,0))</f>
        <v>4.862063919611546</v>
      </c>
      <c r="AQ433" s="5">
        <f t="shared" si="232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233"/>
        <v>0</v>
      </c>
      <c r="AV433" s="5">
        <f t="shared" si="234"/>
        <v>0</v>
      </c>
      <c r="AW433" s="5">
        <f t="shared" si="235"/>
        <v>0</v>
      </c>
      <c r="AX433" s="5">
        <f t="shared" si="236"/>
        <v>0</v>
      </c>
      <c r="AY433" s="5">
        <f t="shared" si="237"/>
        <v>0</v>
      </c>
      <c r="AZ433" s="5">
        <f t="shared" si="238"/>
        <v>0</v>
      </c>
      <c r="BA433" s="5">
        <f t="shared" si="239"/>
        <v>0</v>
      </c>
      <c r="BB433" s="5">
        <f t="shared" si="240"/>
        <v>0</v>
      </c>
      <c r="BC433" s="5">
        <f t="shared" si="241"/>
        <v>0</v>
      </c>
      <c r="BD433" s="5">
        <f t="shared" si="242"/>
        <v>-5000</v>
      </c>
      <c r="BE433" s="16">
        <f>INDEX('Team forecast'!$B$2:$AO$26,MATCH('Master data'!$B433,'Team forecast'!$B$2:$B$26,0),MATCH('Master data'!BE$1,'Team forecast'!$B$2:$AO$2,0))</f>
        <v>1.2236898885407743</v>
      </c>
      <c r="BF433" s="16">
        <f>INDEX('Team forecast'!$B$2:$AO$26,MATCH('Master data'!$B433,'Team forecast'!$B$2:$B$26,0),MATCH('Master data'!BF$1,'Team forecast'!$B$2:$AO$2,0))</f>
        <v>1.2688103238212438</v>
      </c>
      <c r="BG433" s="16">
        <f>INDEX('Team forecast'!$B$2:$AO$26,MATCH('Master data'!$B433,'Team forecast'!$B$2:$B$26,0),MATCH('Master data'!BG$1,'Team forecast'!$B$2:$AO$2,0))</f>
        <v>0.28116591928251122</v>
      </c>
      <c r="BH433" s="16">
        <f>INDEX('Team forecast'!$B$2:$AO$26,MATCH('Master data'!$B433,'Team forecast'!$B$2:$B$26,0),MATCH('Master data'!BH$1,'Team forecast'!$B$2:$AO$2,0))</f>
        <v>3.6710696656223227</v>
      </c>
      <c r="BI433" s="16">
        <f>INDEX('Team forecast'!$B$2:$AO$26,MATCH('Master data'!$B433,'Team forecast'!$B$2:$B$26,0),MATCH('Master data'!BI$1,'Team forecast'!$B$2:$AO$2,0))</f>
        <v>3.2331732950384708</v>
      </c>
      <c r="BJ433" s="5">
        <f t="shared" si="243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244"/>
        <v>0</v>
      </c>
      <c r="BO433" s="5">
        <f t="shared" si="245"/>
        <v>0</v>
      </c>
      <c r="BP433" s="5">
        <f t="shared" si="246"/>
        <v>0</v>
      </c>
      <c r="BQ433" s="5">
        <f t="shared" si="247"/>
        <v>0</v>
      </c>
      <c r="BR433" s="5">
        <f t="shared" si="248"/>
        <v>0</v>
      </c>
      <c r="BS433" s="5">
        <f t="shared" si="249"/>
        <v>0</v>
      </c>
      <c r="BT433" s="5">
        <f t="shared" si="250"/>
        <v>0</v>
      </c>
      <c r="BU433" s="5">
        <f t="shared" si="251"/>
        <v>0</v>
      </c>
      <c r="BV433" s="5">
        <f t="shared" si="252"/>
        <v>0</v>
      </c>
      <c r="BW433" s="5">
        <f t="shared" si="253"/>
        <v>-5000</v>
      </c>
      <c r="BX433" s="5">
        <f t="shared" si="254"/>
        <v>-5000</v>
      </c>
      <c r="BY433" s="5">
        <f t="shared" si="255"/>
        <v>-15000</v>
      </c>
      <c r="BZ433" s="5">
        <f>INDEX('Team forecast'!$R$3:$BH$26,MATCH($B433,'Team forecast'!$B$3:$B$26,0),MATCH(BZ$1,'Team forecast'!$R$2:$BH$2,0))*($BX433-(BY433+CH433)*0.01)</f>
        <v>-16487.381686228469</v>
      </c>
      <c r="CA433" s="5">
        <f>INDEX('Team forecast'!$R$3:$BH$26,MATCH($B433,'Team forecast'!$B$3:$B$26,0),MATCH(CA$1,'Team forecast'!$R$2:$BH$2,0))*($BX433-(BY433+BX433+CH433)*0.01)</f>
        <v>-8099.8421359227241</v>
      </c>
      <c r="CB433" s="5">
        <f>INDEX('Team forecast'!$R$3:$BH$26,MATCH($B433,'Team forecast'!$B$3:$B$26,0),MATCH(CB$1,'Team forecast'!$R$2:$BH$2,0))*($BX433-(BY433+BX433*2+CH433)*0.01)</f>
        <v>-3922.221572406143</v>
      </c>
      <c r="CC433" s="5">
        <f>INDEX('Team forecast'!$R$3:$BH$26,MATCH($B433,'Team forecast'!$B$3:$B$26,0),MATCH(CC$1,'Team forecast'!$R$2:$BH$2,0))*($BX433-(BY433+BX433*3+CH433)*0.01)</f>
        <v>-1803.3239572305704</v>
      </c>
      <c r="CD433" s="5">
        <f>+AK433+BD433*Cockpit!$C$3+BW433*Cockpit!$C$3^2+BZ433*Cockpit!$C$3^3+CA433*Cockpit!$C$3^4+CB433*Cockpit!$C$3^5+CC433*Cockpit!$C$3^6</f>
        <v>-17715.497552828485</v>
      </c>
      <c r="CE433" s="5"/>
      <c r="CF433" s="5"/>
      <c r="CG433" s="5">
        <v>0</v>
      </c>
      <c r="CH433" s="5">
        <f t="shared" si="256"/>
        <v>2000000</v>
      </c>
      <c r="CI433" s="5">
        <f t="shared" si="257"/>
        <v>2000000</v>
      </c>
      <c r="CJ433" s="1">
        <f t="shared" si="258"/>
        <v>-7.4999999999999997E-3</v>
      </c>
      <c r="CK433" s="5">
        <f>RANK(BY433,$BY$2:$BY$623)+COUNTIF($BY$2:$BY433,$BY433)-1</f>
        <v>551</v>
      </c>
      <c r="CL433" s="5">
        <f>RANK(CJ433,$CJ$2:$CJ$623)+COUNTIF($CJ$2:$CJ433,$CJ433)-1</f>
        <v>593</v>
      </c>
    </row>
    <row r="434" spans="1:90">
      <c r="A434" t="str">
        <f>Players!P435</f>
        <v>Przemyslaw Placheta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2000000</v>
      </c>
      <c r="H434" s="16">
        <f>INDEX('Team forecast'!$B$2:$AO$26,MATCH('Master data'!$B434,'Team forecast'!$B$2:$B$26,0),MATCH('Master data'!H$1,'Team forecast'!$B$2:$AO$2,0))</f>
        <v>1.5369105908463034</v>
      </c>
      <c r="I434" s="16">
        <f>INDEX('Team forecast'!$B$2:$AO$26,MATCH('Master data'!$B434,'Team forecast'!$B$2:$B$26,0),MATCH('Master data'!I$1,'Team forecast'!$B$2:$AO$2,0))</f>
        <v>0.81328039356128246</v>
      </c>
      <c r="J434" s="16">
        <f>INDEX('Team forecast'!$B$2:$AO$26,MATCH('Master data'!$B434,'Team forecast'!$B$2:$B$26,0),MATCH('Master data'!J$1,'Team forecast'!$B$2:$AO$2,0))</f>
        <v>0.44340114762649968</v>
      </c>
      <c r="K434" s="16">
        <f>INDEX('Team forecast'!$B$2:$AO$26,MATCH('Master data'!$B434,'Team forecast'!$B$2:$B$26,0),MATCH('Master data'!K$1,'Team forecast'!$B$2:$AO$2,0))</f>
        <v>4.6107317725389105</v>
      </c>
      <c r="L434" s="16">
        <f>INDEX('Team forecast'!$B$2:$AO$26,MATCH('Master data'!$B434,'Team forecast'!$B$2:$B$26,0),MATCH('Master data'!L$1,'Team forecast'!$B$2:$AO$2,0))</f>
        <v>2.0723952197374849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</v>
      </c>
      <c r="R434" s="2">
        <f>Players!BR435</f>
        <v>0</v>
      </c>
      <c r="S434" s="2">
        <f t="shared" si="217"/>
        <v>1.5369105908463034</v>
      </c>
      <c r="T434" s="2">
        <f t="shared" si="218"/>
        <v>0.81328039356128246</v>
      </c>
      <c r="U434" s="16">
        <f>INDEX('Team forecast'!$B$2:$AO$26,MATCH('Master data'!$B434,'Team forecast'!$B$2:$B$26,0),MATCH('Master data'!U$1,'Team forecast'!$B$2:$AO$2,0))</f>
        <v>0.54773082942097018</v>
      </c>
      <c r="V434" s="16">
        <f>INDEX('Team forecast'!$B$2:$AO$26,MATCH('Master data'!$B434,'Team forecast'!$B$2:$B$26,0),MATCH('Master data'!V$1,'Team forecast'!$B$2:$AO$2,0))</f>
        <v>0.2660406885758998</v>
      </c>
      <c r="W434" s="16">
        <f>INDEX('Team forecast'!$B$2:$AO$26,MATCH('Master data'!$B434,'Team forecast'!$B$2:$B$26,0),MATCH('Master data'!W$1,'Team forecast'!$B$2:$AO$2,0))</f>
        <v>0.18622848200312991</v>
      </c>
      <c r="X434" s="5">
        <f t="shared" si="219"/>
        <v>-5000</v>
      </c>
      <c r="Y434" s="5">
        <f t="shared" si="220"/>
        <v>0</v>
      </c>
      <c r="Z434" s="5">
        <f t="shared" si="221"/>
        <v>0</v>
      </c>
      <c r="AA434" s="5">
        <f t="shared" si="222"/>
        <v>0</v>
      </c>
      <c r="AB434" s="5">
        <f t="shared" si="223"/>
        <v>0</v>
      </c>
      <c r="AC434" s="5">
        <f t="shared" si="224"/>
        <v>0</v>
      </c>
      <c r="AD434" s="5">
        <f t="shared" si="225"/>
        <v>0</v>
      </c>
      <c r="AE434" s="5">
        <f t="shared" si="226"/>
        <v>0</v>
      </c>
      <c r="AF434" s="5">
        <f t="shared" si="227"/>
        <v>0</v>
      </c>
      <c r="AG434" s="5">
        <f t="shared" si="228"/>
        <v>0</v>
      </c>
      <c r="AH434" s="5">
        <f t="shared" si="229"/>
        <v>0</v>
      </c>
      <c r="AI434" s="5">
        <f t="shared" si="230"/>
        <v>0</v>
      </c>
      <c r="AJ434" s="5">
        <f t="shared" si="231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0.77817916464933856</v>
      </c>
      <c r="AM434" s="16">
        <f>INDEX('Team forecast'!$B$2:$AO$26,MATCH('Master data'!$B434,'Team forecast'!$B$2:$B$26,0),MATCH('Master data'!AM$1,'Team forecast'!$B$2:$AO$2,0))</f>
        <v>1.9080439968215523</v>
      </c>
      <c r="AN434" s="16">
        <f>INDEX('Team forecast'!$B$2:$AO$26,MATCH('Master data'!$B434,'Team forecast'!$B$2:$B$26,0),MATCH('Master data'!AN$1,'Team forecast'!$B$2:$AO$2,0))</f>
        <v>0.1483703157610558</v>
      </c>
      <c r="AO434" s="16">
        <f>INDEX('Team forecast'!$B$2:$AO$26,MATCH('Master data'!$B434,'Team forecast'!$B$2:$B$26,0),MATCH('Master data'!AO$1,'Team forecast'!$B$2:$AO$2,0))</f>
        <v>2.3345374939480159</v>
      </c>
      <c r="AP434" s="16">
        <f>INDEX('Team forecast'!$B$2:$AO$26,MATCH('Master data'!$B434,'Team forecast'!$B$2:$B$26,0),MATCH('Master data'!AP$1,'Team forecast'!$B$2:$AO$2,0))</f>
        <v>4.862063919611546</v>
      </c>
      <c r="AQ434" s="5">
        <f t="shared" si="232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233"/>
        <v>0</v>
      </c>
      <c r="AV434" s="5">
        <f t="shared" si="234"/>
        <v>0</v>
      </c>
      <c r="AW434" s="5">
        <f t="shared" si="235"/>
        <v>0</v>
      </c>
      <c r="AX434" s="5">
        <f t="shared" si="236"/>
        <v>0</v>
      </c>
      <c r="AY434" s="5">
        <f t="shared" si="237"/>
        <v>0</v>
      </c>
      <c r="AZ434" s="5">
        <f t="shared" si="238"/>
        <v>0</v>
      </c>
      <c r="BA434" s="5">
        <f t="shared" si="239"/>
        <v>0</v>
      </c>
      <c r="BB434" s="5">
        <f t="shared" si="240"/>
        <v>0</v>
      </c>
      <c r="BC434" s="5">
        <f t="shared" si="241"/>
        <v>0</v>
      </c>
      <c r="BD434" s="5">
        <f t="shared" si="242"/>
        <v>-5000</v>
      </c>
      <c r="BE434" s="16">
        <f>INDEX('Team forecast'!$B$2:$AO$26,MATCH('Master data'!$B434,'Team forecast'!$B$2:$B$26,0),MATCH('Master data'!BE$1,'Team forecast'!$B$2:$AO$2,0))</f>
        <v>1.2236898885407743</v>
      </c>
      <c r="BF434" s="16">
        <f>INDEX('Team forecast'!$B$2:$AO$26,MATCH('Master data'!$B434,'Team forecast'!$B$2:$B$26,0),MATCH('Master data'!BF$1,'Team forecast'!$B$2:$AO$2,0))</f>
        <v>1.2688103238212438</v>
      </c>
      <c r="BG434" s="16">
        <f>INDEX('Team forecast'!$B$2:$AO$26,MATCH('Master data'!$B434,'Team forecast'!$B$2:$B$26,0),MATCH('Master data'!BG$1,'Team forecast'!$B$2:$AO$2,0))</f>
        <v>0.28116591928251122</v>
      </c>
      <c r="BH434" s="16">
        <f>INDEX('Team forecast'!$B$2:$AO$26,MATCH('Master data'!$B434,'Team forecast'!$B$2:$B$26,0),MATCH('Master data'!BH$1,'Team forecast'!$B$2:$AO$2,0))</f>
        <v>3.6710696656223227</v>
      </c>
      <c r="BI434" s="16">
        <f>INDEX('Team forecast'!$B$2:$AO$26,MATCH('Master data'!$B434,'Team forecast'!$B$2:$B$26,0),MATCH('Master data'!BI$1,'Team forecast'!$B$2:$AO$2,0))</f>
        <v>3.2331732950384708</v>
      </c>
      <c r="BJ434" s="5">
        <f t="shared" si="243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244"/>
        <v>0</v>
      </c>
      <c r="BO434" s="5">
        <f t="shared" si="245"/>
        <v>0</v>
      </c>
      <c r="BP434" s="5">
        <f t="shared" si="246"/>
        <v>0</v>
      </c>
      <c r="BQ434" s="5">
        <f t="shared" si="247"/>
        <v>0</v>
      </c>
      <c r="BR434" s="5">
        <f t="shared" si="248"/>
        <v>0</v>
      </c>
      <c r="BS434" s="5">
        <f t="shared" si="249"/>
        <v>0</v>
      </c>
      <c r="BT434" s="5">
        <f t="shared" si="250"/>
        <v>0</v>
      </c>
      <c r="BU434" s="5">
        <f t="shared" si="251"/>
        <v>0</v>
      </c>
      <c r="BV434" s="5">
        <f t="shared" si="252"/>
        <v>0</v>
      </c>
      <c r="BW434" s="5">
        <f t="shared" si="253"/>
        <v>-5000</v>
      </c>
      <c r="BX434" s="5">
        <f t="shared" si="254"/>
        <v>-5000</v>
      </c>
      <c r="BY434" s="5">
        <f t="shared" si="255"/>
        <v>-15000</v>
      </c>
      <c r="BZ434" s="5">
        <f>INDEX('Team forecast'!$R$3:$BH$26,MATCH($B434,'Team forecast'!$B$3:$B$26,0),MATCH(BZ$1,'Team forecast'!$R$2:$BH$2,0))*($BX434-(BY434+CH434)*0.01)</f>
        <v>-16487.381686228469</v>
      </c>
      <c r="CA434" s="5">
        <f>INDEX('Team forecast'!$R$3:$BH$26,MATCH($B434,'Team forecast'!$B$3:$B$26,0),MATCH(CA$1,'Team forecast'!$R$2:$BH$2,0))*($BX434-(BY434+BX434+CH434)*0.01)</f>
        <v>-8099.8421359227241</v>
      </c>
      <c r="CB434" s="5">
        <f>INDEX('Team forecast'!$R$3:$BH$26,MATCH($B434,'Team forecast'!$B$3:$B$26,0),MATCH(CB$1,'Team forecast'!$R$2:$BH$2,0))*($BX434-(BY434+BX434*2+CH434)*0.01)</f>
        <v>-3922.221572406143</v>
      </c>
      <c r="CC434" s="5">
        <f>INDEX('Team forecast'!$R$3:$BH$26,MATCH($B434,'Team forecast'!$B$3:$B$26,0),MATCH(CC$1,'Team forecast'!$R$2:$BH$2,0))*($BX434-(BY434+BX434*3+CH434)*0.01)</f>
        <v>-1803.3239572305704</v>
      </c>
      <c r="CD434" s="5">
        <f>+AK434+BD434*Cockpit!$C$3+BW434*Cockpit!$C$3^2+BZ434*Cockpit!$C$3^3+CA434*Cockpit!$C$3^4+CB434*Cockpit!$C$3^5+CC434*Cockpit!$C$3^6</f>
        <v>-17715.497552828485</v>
      </c>
      <c r="CE434" s="5"/>
      <c r="CF434" s="5"/>
      <c r="CG434" s="5">
        <v>0</v>
      </c>
      <c r="CH434" s="5">
        <f t="shared" si="256"/>
        <v>2000000</v>
      </c>
      <c r="CI434" s="5">
        <f t="shared" si="257"/>
        <v>2000000</v>
      </c>
      <c r="CJ434" s="1">
        <f t="shared" si="258"/>
        <v>-7.4999999999999997E-3</v>
      </c>
      <c r="CK434" s="5">
        <f>RANK(BY434,$BY$2:$BY$623)+COUNTIF($BY$2:$BY434,$BY434)-1</f>
        <v>552</v>
      </c>
      <c r="CL434" s="5">
        <f>RANK(CJ434,$CJ$2:$CJ$623)+COUNTIF($CJ$2:$CJ434,$CJ434)-1</f>
        <v>594</v>
      </c>
    </row>
    <row r="435" spans="1:90">
      <c r="A435" t="str">
        <f>Players!P436</f>
        <v>Kamil Jozwiak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3000000</v>
      </c>
      <c r="H435" s="16">
        <f>INDEX('Team forecast'!$B$2:$AO$26,MATCH('Master data'!$B435,'Team forecast'!$B$2:$B$26,0),MATCH('Master data'!H$1,'Team forecast'!$B$2:$AO$2,0))</f>
        <v>1.5369105908463034</v>
      </c>
      <c r="I435" s="16">
        <f>INDEX('Team forecast'!$B$2:$AO$26,MATCH('Master data'!$B435,'Team forecast'!$B$2:$B$26,0),MATCH('Master data'!I$1,'Team forecast'!$B$2:$AO$2,0))</f>
        <v>0.81328039356128246</v>
      </c>
      <c r="J435" s="16">
        <f>INDEX('Team forecast'!$B$2:$AO$26,MATCH('Master data'!$B435,'Team forecast'!$B$2:$B$26,0),MATCH('Master data'!J$1,'Team forecast'!$B$2:$AO$2,0))</f>
        <v>0.44340114762649968</v>
      </c>
      <c r="K435" s="16">
        <f>INDEX('Team forecast'!$B$2:$AO$26,MATCH('Master data'!$B435,'Team forecast'!$B$2:$B$26,0),MATCH('Master data'!K$1,'Team forecast'!$B$2:$AO$2,0))</f>
        <v>4.6107317725389105</v>
      </c>
      <c r="L435" s="16">
        <f>INDEX('Team forecast'!$B$2:$AO$26,MATCH('Master data'!$B435,'Team forecast'!$B$2:$B$26,0),MATCH('Master data'!L$1,'Team forecast'!$B$2:$AO$2,0))</f>
        <v>2.0723952197374849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0.17225444340505144</v>
      </c>
      <c r="R435" s="2">
        <f>Players!BR436</f>
        <v>2.8063610851262862E-2</v>
      </c>
      <c r="S435" s="2">
        <f t="shared" si="217"/>
        <v>1.5369105908463034</v>
      </c>
      <c r="T435" s="2">
        <f t="shared" si="218"/>
        <v>0.81328039356128246</v>
      </c>
      <c r="U435" s="16">
        <f>INDEX('Team forecast'!$B$2:$AO$26,MATCH('Master data'!$B435,'Team forecast'!$B$2:$B$26,0),MATCH('Master data'!U$1,'Team forecast'!$B$2:$AO$2,0))</f>
        <v>0.54773082942097018</v>
      </c>
      <c r="V435" s="16">
        <f>INDEX('Team forecast'!$B$2:$AO$26,MATCH('Master data'!$B435,'Team forecast'!$B$2:$B$26,0),MATCH('Master data'!V$1,'Team forecast'!$B$2:$AO$2,0))</f>
        <v>0.2660406885758998</v>
      </c>
      <c r="W435" s="16">
        <f>INDEX('Team forecast'!$B$2:$AO$26,MATCH('Master data'!$B435,'Team forecast'!$B$2:$B$26,0),MATCH('Master data'!W$1,'Team forecast'!$B$2:$AO$2,0))</f>
        <v>0.18622848200312991</v>
      </c>
      <c r="X435" s="5">
        <f t="shared" si="219"/>
        <v>-5000</v>
      </c>
      <c r="Y435" s="5">
        <f t="shared" si="220"/>
        <v>0</v>
      </c>
      <c r="Z435" s="5">
        <f t="shared" si="221"/>
        <v>0</v>
      </c>
      <c r="AA435" s="5">
        <f t="shared" si="222"/>
        <v>0</v>
      </c>
      <c r="AB435" s="5">
        <f t="shared" si="223"/>
        <v>0</v>
      </c>
      <c r="AC435" s="5">
        <f t="shared" si="224"/>
        <v>0</v>
      </c>
      <c r="AD435" s="5">
        <f t="shared" si="225"/>
        <v>0</v>
      </c>
      <c r="AE435" s="5">
        <f t="shared" si="226"/>
        <v>0</v>
      </c>
      <c r="AF435" s="5">
        <f t="shared" si="227"/>
        <v>0</v>
      </c>
      <c r="AG435" s="5">
        <f t="shared" si="228"/>
        <v>0</v>
      </c>
      <c r="AH435" s="5">
        <f t="shared" si="229"/>
        <v>0</v>
      </c>
      <c r="AI435" s="5">
        <f t="shared" si="230"/>
        <v>0</v>
      </c>
      <c r="AJ435" s="5">
        <f t="shared" si="231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0.77817916464933856</v>
      </c>
      <c r="AM435" s="16">
        <f>INDEX('Team forecast'!$B$2:$AO$26,MATCH('Master data'!$B435,'Team forecast'!$B$2:$B$26,0),MATCH('Master data'!AM$1,'Team forecast'!$B$2:$AO$2,0))</f>
        <v>1.9080439968215523</v>
      </c>
      <c r="AN435" s="16">
        <f>INDEX('Team forecast'!$B$2:$AO$26,MATCH('Master data'!$B435,'Team forecast'!$B$2:$B$26,0),MATCH('Master data'!AN$1,'Team forecast'!$B$2:$AO$2,0))</f>
        <v>0.1483703157610558</v>
      </c>
      <c r="AO435" s="16">
        <f>INDEX('Team forecast'!$B$2:$AO$26,MATCH('Master data'!$B435,'Team forecast'!$B$2:$B$26,0),MATCH('Master data'!AO$1,'Team forecast'!$B$2:$AO$2,0))</f>
        <v>2.3345374939480159</v>
      </c>
      <c r="AP435" s="16">
        <f>INDEX('Team forecast'!$B$2:$AO$26,MATCH('Master data'!$B435,'Team forecast'!$B$2:$B$26,0),MATCH('Master data'!AP$1,'Team forecast'!$B$2:$AO$2,0))</f>
        <v>4.862063919611546</v>
      </c>
      <c r="AQ435" s="5">
        <f t="shared" si="232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233"/>
        <v>0</v>
      </c>
      <c r="AV435" s="5">
        <f t="shared" si="234"/>
        <v>0</v>
      </c>
      <c r="AW435" s="5">
        <f t="shared" si="235"/>
        <v>0</v>
      </c>
      <c r="AX435" s="5">
        <f t="shared" si="236"/>
        <v>0</v>
      </c>
      <c r="AY435" s="5">
        <f t="shared" si="237"/>
        <v>0</v>
      </c>
      <c r="AZ435" s="5">
        <f t="shared" si="238"/>
        <v>0</v>
      </c>
      <c r="BA435" s="5">
        <f t="shared" si="239"/>
        <v>0</v>
      </c>
      <c r="BB435" s="5">
        <f t="shared" si="240"/>
        <v>0</v>
      </c>
      <c r="BC435" s="5">
        <f t="shared" si="241"/>
        <v>0</v>
      </c>
      <c r="BD435" s="5">
        <f t="shared" si="242"/>
        <v>-5000</v>
      </c>
      <c r="BE435" s="16">
        <f>INDEX('Team forecast'!$B$2:$AO$26,MATCH('Master data'!$B435,'Team forecast'!$B$2:$B$26,0),MATCH('Master data'!BE$1,'Team forecast'!$B$2:$AO$2,0))</f>
        <v>1.2236898885407743</v>
      </c>
      <c r="BF435" s="16">
        <f>INDEX('Team forecast'!$B$2:$AO$26,MATCH('Master data'!$B435,'Team forecast'!$B$2:$B$26,0),MATCH('Master data'!BF$1,'Team forecast'!$B$2:$AO$2,0))</f>
        <v>1.2688103238212438</v>
      </c>
      <c r="BG435" s="16">
        <f>INDEX('Team forecast'!$B$2:$AO$26,MATCH('Master data'!$B435,'Team forecast'!$B$2:$B$26,0),MATCH('Master data'!BG$1,'Team forecast'!$B$2:$AO$2,0))</f>
        <v>0.28116591928251122</v>
      </c>
      <c r="BH435" s="16">
        <f>INDEX('Team forecast'!$B$2:$AO$26,MATCH('Master data'!$B435,'Team forecast'!$B$2:$B$26,0),MATCH('Master data'!BH$1,'Team forecast'!$B$2:$AO$2,0))</f>
        <v>3.6710696656223227</v>
      </c>
      <c r="BI435" s="16">
        <f>INDEX('Team forecast'!$B$2:$AO$26,MATCH('Master data'!$B435,'Team forecast'!$B$2:$B$26,0),MATCH('Master data'!BI$1,'Team forecast'!$B$2:$AO$2,0))</f>
        <v>3.2331732950384708</v>
      </c>
      <c r="BJ435" s="5">
        <f t="shared" si="243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244"/>
        <v>0</v>
      </c>
      <c r="BO435" s="5">
        <f t="shared" si="245"/>
        <v>0</v>
      </c>
      <c r="BP435" s="5">
        <f t="shared" si="246"/>
        <v>0</v>
      </c>
      <c r="BQ435" s="5">
        <f t="shared" si="247"/>
        <v>0</v>
      </c>
      <c r="BR435" s="5">
        <f t="shared" si="248"/>
        <v>0</v>
      </c>
      <c r="BS435" s="5">
        <f t="shared" si="249"/>
        <v>0</v>
      </c>
      <c r="BT435" s="5">
        <f t="shared" si="250"/>
        <v>0</v>
      </c>
      <c r="BU435" s="5">
        <f t="shared" si="251"/>
        <v>0</v>
      </c>
      <c r="BV435" s="5">
        <f t="shared" si="252"/>
        <v>0</v>
      </c>
      <c r="BW435" s="5">
        <f t="shared" si="253"/>
        <v>-5000</v>
      </c>
      <c r="BX435" s="5">
        <f t="shared" si="254"/>
        <v>-5000</v>
      </c>
      <c r="BY435" s="5">
        <f t="shared" si="255"/>
        <v>-15000</v>
      </c>
      <c r="BZ435" s="5">
        <f>INDEX('Team forecast'!$R$3:$BH$26,MATCH($B435,'Team forecast'!$B$3:$B$26,0),MATCH(BZ$1,'Team forecast'!$R$2:$BH$2,0))*($BX435-(BY435+CH435)*0.01)</f>
        <v>-23122.142928171514</v>
      </c>
      <c r="CA435" s="5">
        <f>INDEX('Team forecast'!$R$3:$BH$26,MATCH($B435,'Team forecast'!$B$3:$B$26,0),MATCH(CA$1,'Team forecast'!$R$2:$BH$2,0))*($BX435-(BY435+BX435+CH435)*0.01)</f>
        <v>-11365.90751331092</v>
      </c>
      <c r="CB435" s="5">
        <f>INDEX('Team forecast'!$R$3:$BH$26,MATCH($B435,'Team forecast'!$B$3:$B$26,0),MATCH(CB$1,'Team forecast'!$R$2:$BH$2,0))*($BX435-(BY435+BX435*2+CH435)*0.01)</f>
        <v>-5506.9575612571098</v>
      </c>
      <c r="CC435" s="5">
        <f>INDEX('Team forecast'!$R$3:$BH$26,MATCH($B435,'Team forecast'!$B$3:$B$26,0),MATCH(CC$1,'Team forecast'!$R$2:$BH$2,0))*($BX435-(BY435+BX435*3+CH435)*0.01)</f>
        <v>-2533.4146281741209</v>
      </c>
      <c r="CD435" s="5">
        <f>+AK435+BD435*Cockpit!$C$3+BW435*Cockpit!$C$3^2+BZ435*Cockpit!$C$3^3+CA435*Cockpit!$C$3^4+CB435*Cockpit!$C$3^5+CC435*Cockpit!$C$3^6</f>
        <v>-20599.28671671556</v>
      </c>
      <c r="CE435" s="5"/>
      <c r="CF435" s="5"/>
      <c r="CG435" s="5">
        <v>0</v>
      </c>
      <c r="CH435" s="5">
        <f t="shared" si="256"/>
        <v>3000000</v>
      </c>
      <c r="CI435" s="5">
        <f t="shared" si="257"/>
        <v>3000000</v>
      </c>
      <c r="CJ435" s="1">
        <f t="shared" si="258"/>
        <v>-5.0000000000000001E-3</v>
      </c>
      <c r="CK435" s="5">
        <f>RANK(BY435,$BY$2:$BY$623)+COUNTIF($BY$2:$BY435,$BY435)-1</f>
        <v>553</v>
      </c>
      <c r="CL435" s="5">
        <f>RANK(CJ435,$CJ$2:$CJ$623)+COUNTIF($CJ$2:$CJ435,$CJ435)-1</f>
        <v>516</v>
      </c>
    </row>
    <row r="436" spans="1:90">
      <c r="A436" t="str">
        <f>Players!P437</f>
        <v>Karol Linetty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2500000</v>
      </c>
      <c r="H436" s="16">
        <f>INDEX('Team forecast'!$B$2:$AO$26,MATCH('Master data'!$B436,'Team forecast'!$B$2:$B$26,0),MATCH('Master data'!H$1,'Team forecast'!$B$2:$AO$2,0))</f>
        <v>1.5369105908463034</v>
      </c>
      <c r="I436" s="16">
        <f>INDEX('Team forecast'!$B$2:$AO$26,MATCH('Master data'!$B436,'Team forecast'!$B$2:$B$26,0),MATCH('Master data'!I$1,'Team forecast'!$B$2:$AO$2,0))</f>
        <v>0.81328039356128246</v>
      </c>
      <c r="J436" s="16">
        <f>INDEX('Team forecast'!$B$2:$AO$26,MATCH('Master data'!$B436,'Team forecast'!$B$2:$B$26,0),MATCH('Master data'!J$1,'Team forecast'!$B$2:$AO$2,0))</f>
        <v>0.44340114762649968</v>
      </c>
      <c r="K436" s="16">
        <f>INDEX('Team forecast'!$B$2:$AO$26,MATCH('Master data'!$B436,'Team forecast'!$B$2:$B$26,0),MATCH('Master data'!K$1,'Team forecast'!$B$2:$AO$2,0))</f>
        <v>4.6107317725389105</v>
      </c>
      <c r="L436" s="16">
        <f>INDEX('Team forecast'!$B$2:$AO$26,MATCH('Master data'!$B436,'Team forecast'!$B$2:$B$26,0),MATCH('Master data'!L$1,'Team forecast'!$B$2:$AO$2,0))</f>
        <v>2.0723952197374849</v>
      </c>
      <c r="M436">
        <f>IF(Players!BC437=1,95,0)</f>
        <v>95</v>
      </c>
      <c r="N436" s="2">
        <f>Players!BN437</f>
        <v>5.0353585818034945E-2</v>
      </c>
      <c r="O436" s="2">
        <f>Players!BO437</f>
        <v>7.110075338773858E-2</v>
      </c>
      <c r="P436" s="2">
        <f>Players!BP437</f>
        <v>2.082104956281423E-2</v>
      </c>
      <c r="Q436" s="2">
        <f>Players!BQ437</f>
        <v>0.12254901960784315</v>
      </c>
      <c r="R436" s="2">
        <f>Players!BR437</f>
        <v>0</v>
      </c>
      <c r="S436" s="2">
        <f t="shared" si="217"/>
        <v>1.5369105908463034</v>
      </c>
      <c r="T436" s="2">
        <f t="shared" si="218"/>
        <v>0.81328039356128246</v>
      </c>
      <c r="U436" s="16">
        <f>INDEX('Team forecast'!$B$2:$AO$26,MATCH('Master data'!$B436,'Team forecast'!$B$2:$B$26,0),MATCH('Master data'!U$1,'Team forecast'!$B$2:$AO$2,0))</f>
        <v>0.54773082942097018</v>
      </c>
      <c r="V436" s="16">
        <f>INDEX('Team forecast'!$B$2:$AO$26,MATCH('Master data'!$B436,'Team forecast'!$B$2:$B$26,0),MATCH('Master data'!V$1,'Team forecast'!$B$2:$AO$2,0))</f>
        <v>0.2660406885758998</v>
      </c>
      <c r="W436" s="16">
        <f>INDEX('Team forecast'!$B$2:$AO$26,MATCH('Master data'!$B436,'Team forecast'!$B$2:$B$26,0),MATCH('Master data'!W$1,'Team forecast'!$B$2:$AO$2,0))</f>
        <v>0.18622848200312991</v>
      </c>
      <c r="X436" s="5">
        <f t="shared" si="219"/>
        <v>7000</v>
      </c>
      <c r="Y436" s="5">
        <f t="shared" si="220"/>
        <v>13693.270735524255</v>
      </c>
      <c r="Z436" s="5">
        <f t="shared" si="221"/>
        <v>1330.2034428794989</v>
      </c>
      <c r="AA436" s="5">
        <f t="shared" si="222"/>
        <v>-2793.4272300469488</v>
      </c>
      <c r="AB436" s="5">
        <f t="shared" si="223"/>
        <v>9673.6199163532674</v>
      </c>
      <c r="AC436" s="5">
        <f t="shared" si="224"/>
        <v>5463.7750449383302</v>
      </c>
      <c r="AD436" s="5">
        <f t="shared" si="225"/>
        <v>960.00274756874967</v>
      </c>
      <c r="AE436" s="5">
        <f t="shared" si="226"/>
        <v>0</v>
      </c>
      <c r="AF436" s="5">
        <f t="shared" si="227"/>
        <v>0</v>
      </c>
      <c r="AG436" s="5">
        <f t="shared" si="228"/>
        <v>-2450.9803921568628</v>
      </c>
      <c r="AH436" s="5">
        <f t="shared" si="229"/>
        <v>0</v>
      </c>
      <c r="AI436" s="5">
        <f t="shared" si="230"/>
        <v>15369.105908463034</v>
      </c>
      <c r="AJ436" s="5">
        <f t="shared" si="231"/>
        <v>-6506.24314849026</v>
      </c>
      <c r="AK436" s="5">
        <f>IFERROR(SUM(X436:AJ436),-5000)*((Cockpit!$C$3)^0)</f>
        <v>41739.327025033061</v>
      </c>
      <c r="AL436" s="16">
        <f>INDEX('Team forecast'!$B$2:$AO$26,MATCH('Master data'!$B436,'Team forecast'!$B$2:$B$26,0),MATCH('Master data'!AL$1,'Team forecast'!$B$2:$AO$2,0))</f>
        <v>0.77817916464933856</v>
      </c>
      <c r="AM436" s="16">
        <f>INDEX('Team forecast'!$B$2:$AO$26,MATCH('Master data'!$B436,'Team forecast'!$B$2:$B$26,0),MATCH('Master data'!AM$1,'Team forecast'!$B$2:$AO$2,0))</f>
        <v>1.9080439968215523</v>
      </c>
      <c r="AN436" s="16">
        <f>INDEX('Team forecast'!$B$2:$AO$26,MATCH('Master data'!$B436,'Team forecast'!$B$2:$B$26,0),MATCH('Master data'!AN$1,'Team forecast'!$B$2:$AO$2,0))</f>
        <v>0.1483703157610558</v>
      </c>
      <c r="AO436" s="16">
        <f>INDEX('Team forecast'!$B$2:$AO$26,MATCH('Master data'!$B436,'Team forecast'!$B$2:$B$26,0),MATCH('Master data'!AO$1,'Team forecast'!$B$2:$AO$2,0))</f>
        <v>2.3345374939480159</v>
      </c>
      <c r="AP436" s="16">
        <f>INDEX('Team forecast'!$B$2:$AO$26,MATCH('Master data'!$B436,'Team forecast'!$B$2:$B$26,0),MATCH('Master data'!AP$1,'Team forecast'!$B$2:$AO$2,0))</f>
        <v>4.862063919611546</v>
      </c>
      <c r="AQ436" s="5">
        <f t="shared" si="232"/>
        <v>7000</v>
      </c>
      <c r="AR436" s="5">
        <f>INDEX('Team forecast'!$B$2:$AO$26,MATCH('Master data'!$B436,'Team forecast'!$B$2:$B$26,0),MATCH('Master data'!AR$1,'Team forecast'!$B$2:$AO$2,0))*IF(X436&gt;0,25000,0)</f>
        <v>3519.7337680542423</v>
      </c>
      <c r="AS436" s="16">
        <f>INDEX('Team forecast'!$B$2:$AO$26,MATCH('Master data'!$B436,'Team forecast'!$B$2:$B$26,0),MATCH('Master data'!AS$1,'Team forecast'!$B$2:$AO$2,0))*IF(X436&gt;0,5000,0)</f>
        <v>1059.787969721827</v>
      </c>
      <c r="AT436" s="16">
        <f>INDEX('Team forecast'!$B$2:$AO$26,MATCH('Master data'!$B436,'Team forecast'!$B$2:$B$26,0),MATCH('Master data'!AT$1,'Team forecast'!$B$2:$AO$2,0))*IF(X436&gt;0,-15000,0)</f>
        <v>-9708.7958300019709</v>
      </c>
      <c r="AU436" s="5">
        <f t="shared" si="233"/>
        <v>4898.0139186221522</v>
      </c>
      <c r="AV436" s="5">
        <f t="shared" si="234"/>
        <v>2766.4562438604517</v>
      </c>
      <c r="AW436" s="5">
        <f t="shared" si="235"/>
        <v>486.07520867739765</v>
      </c>
      <c r="AX436" s="5">
        <f t="shared" si="236"/>
        <v>0</v>
      </c>
      <c r="AY436" s="5">
        <f t="shared" si="237"/>
        <v>0</v>
      </c>
      <c r="AZ436" s="5">
        <f t="shared" si="238"/>
        <v>-2450.9803921568628</v>
      </c>
      <c r="BA436" s="5">
        <f t="shared" si="239"/>
        <v>0</v>
      </c>
      <c r="BB436" s="5">
        <f t="shared" si="240"/>
        <v>7781.791646493386</v>
      </c>
      <c r="BC436" s="5">
        <f t="shared" si="241"/>
        <v>-15264.351974572419</v>
      </c>
      <c r="BD436" s="5">
        <f t="shared" si="242"/>
        <v>87.730558698203822</v>
      </c>
      <c r="BE436" s="16">
        <f>INDEX('Team forecast'!$B$2:$AO$26,MATCH('Master data'!$B436,'Team forecast'!$B$2:$B$26,0),MATCH('Master data'!BE$1,'Team forecast'!$B$2:$AO$2,0))</f>
        <v>1.2236898885407743</v>
      </c>
      <c r="BF436" s="16">
        <f>INDEX('Team forecast'!$B$2:$AO$26,MATCH('Master data'!$B436,'Team forecast'!$B$2:$B$26,0),MATCH('Master data'!BF$1,'Team forecast'!$B$2:$AO$2,0))</f>
        <v>1.2688103238212438</v>
      </c>
      <c r="BG436" s="16">
        <f>INDEX('Team forecast'!$B$2:$AO$26,MATCH('Master data'!$B436,'Team forecast'!$B$2:$B$26,0),MATCH('Master data'!BG$1,'Team forecast'!$B$2:$AO$2,0))</f>
        <v>0.28116591928251122</v>
      </c>
      <c r="BH436" s="16">
        <f>INDEX('Team forecast'!$B$2:$AO$26,MATCH('Master data'!$B436,'Team forecast'!$B$2:$B$26,0),MATCH('Master data'!BH$1,'Team forecast'!$B$2:$AO$2,0))</f>
        <v>3.6710696656223227</v>
      </c>
      <c r="BI436" s="16">
        <f>INDEX('Team forecast'!$B$2:$AO$26,MATCH('Master data'!$B436,'Team forecast'!$B$2:$B$26,0),MATCH('Master data'!BI$1,'Team forecast'!$B$2:$AO$2,0))</f>
        <v>3.2331732950384708</v>
      </c>
      <c r="BJ436" s="5">
        <f t="shared" si="243"/>
        <v>7000</v>
      </c>
      <c r="BK436" s="5">
        <f>INDEX('Team forecast'!$R$3:$BH$26,MATCH($B436,'Team forecast'!$B$3:$B$26,0),MATCH(BK$1,'Team forecast'!$R$2:$BH$2,0))*IF($X436&gt;0,25000,0)</f>
        <v>8385.6502242152455</v>
      </c>
      <c r="BL436" s="5">
        <f>INDEX('Team forecast'!$R$3:$BH$26,MATCH($B436,'Team forecast'!$B$3:$B$26,0),MATCH(BL$1,'Team forecast'!$R$2:$BH$2,0))*IF($X436&gt;0,5000,0)</f>
        <v>1448.4304932735427</v>
      </c>
      <c r="BM436" s="5">
        <f>INDEX('Team forecast'!$R$3:$BH$26,MATCH($B436,'Team forecast'!$B$3:$B$26,0),MATCH(BM$1,'Team forecast'!$R$2:$BH$2,0))*IF($X436&gt;0,-15000,0)</f>
        <v>-5623.3183856502237</v>
      </c>
      <c r="BN436" s="5">
        <f t="shared" si="244"/>
        <v>7702.1467271624369</v>
      </c>
      <c r="BO436" s="5">
        <f t="shared" si="245"/>
        <v>4350.2636494103454</v>
      </c>
      <c r="BP436" s="5">
        <f t="shared" si="246"/>
        <v>764.3552345646624</v>
      </c>
      <c r="BQ436" s="5">
        <f t="shared" si="247"/>
        <v>0</v>
      </c>
      <c r="BR436" s="5">
        <f t="shared" si="248"/>
        <v>0</v>
      </c>
      <c r="BS436" s="5">
        <f t="shared" si="249"/>
        <v>-2450.9803921568628</v>
      </c>
      <c r="BT436" s="5">
        <f t="shared" si="250"/>
        <v>0</v>
      </c>
      <c r="BU436" s="5">
        <f t="shared" si="251"/>
        <v>12236.898885407743</v>
      </c>
      <c r="BV436" s="5">
        <f t="shared" si="252"/>
        <v>-10150.482590569951</v>
      </c>
      <c r="BW436" s="5">
        <f t="shared" si="253"/>
        <v>23662.963845656941</v>
      </c>
      <c r="BX436" s="5">
        <f t="shared" si="254"/>
        <v>21830.007143129402</v>
      </c>
      <c r="BY436" s="5">
        <f t="shared" si="255"/>
        <v>65490.021429388202</v>
      </c>
      <c r="BZ436" s="5">
        <f>INDEX('Team forecast'!$R$3:$BH$26,MATCH($B436,'Team forecast'!$B$3:$B$26,0),MATCH(BZ$1,'Team forecast'!$R$2:$BH$2,0))*($BX436-(BY436+CH436)*0.01)</f>
        <v>-2537.7252303138612</v>
      </c>
      <c r="CA436" s="5">
        <f>INDEX('Team forecast'!$R$3:$BH$26,MATCH($B436,'Team forecast'!$B$3:$B$26,0),MATCH(CA$1,'Team forecast'!$R$2:$BH$2,0))*($BX436-(BY436+BX436+CH436)*0.01)</f>
        <v>-1320.5333137125428</v>
      </c>
      <c r="CB436" s="5">
        <f>INDEX('Team forecast'!$R$3:$BH$26,MATCH($B436,'Team forecast'!$B$3:$B$26,0),MATCH(CB$1,'Team forecast'!$R$2:$BH$2,0))*($BX436-(BY436+BX436*2+CH436)*0.01)</f>
        <v>-675.33416625128712</v>
      </c>
      <c r="CC436" s="5">
        <f>INDEX('Team forecast'!$R$3:$BH$26,MATCH($B436,'Team forecast'!$B$3:$B$26,0),MATCH(CC$1,'Team forecast'!$R$2:$BH$2,0))*($BX436-(BY436+BX436*3+CH436)*0.01)</f>
        <v>-327.06552854687129</v>
      </c>
      <c r="CD436" s="5">
        <f>+AK436+BD436*Cockpit!$C$3+BW436*Cockpit!$C$3^2+BZ436*Cockpit!$C$3^3+CA436*Cockpit!$C$3^4+CB436*Cockpit!$C$3^5+CC436*Cockpit!$C$3^6</f>
        <v>51184.275744937942</v>
      </c>
      <c r="CE436" s="5"/>
      <c r="CF436" s="5"/>
      <c r="CG436" s="5">
        <v>0</v>
      </c>
      <c r="CH436" s="5">
        <f t="shared" si="256"/>
        <v>2500000</v>
      </c>
      <c r="CI436" s="5">
        <f t="shared" si="257"/>
        <v>2500000</v>
      </c>
      <c r="CJ436" s="1">
        <f t="shared" si="258"/>
        <v>2.6196008571755282E-2</v>
      </c>
      <c r="CK436" s="5">
        <f>RANK(BY436,$BY$2:$BY$623)+COUNTIF($BY$2:$BY436,$BY436)-1</f>
        <v>253</v>
      </c>
      <c r="CL436" s="5">
        <f>RANK(CJ436,$CJ$2:$CJ$623)+COUNTIF($CJ$2:$CJ436,$CJ436)-1</f>
        <v>188</v>
      </c>
    </row>
    <row r="437" spans="1:90">
      <c r="A437" t="str">
        <f>Players!P438</f>
        <v>Jakub Moder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3000000</v>
      </c>
      <c r="H437" s="16">
        <f>INDEX('Team forecast'!$B$2:$AO$26,MATCH('Master data'!$B437,'Team forecast'!$B$2:$B$26,0),MATCH('Master data'!H$1,'Team forecast'!$B$2:$AO$2,0))</f>
        <v>1.5369105908463034</v>
      </c>
      <c r="I437" s="16">
        <f>INDEX('Team forecast'!$B$2:$AO$26,MATCH('Master data'!$B437,'Team forecast'!$B$2:$B$26,0),MATCH('Master data'!I$1,'Team forecast'!$B$2:$AO$2,0))</f>
        <v>0.81328039356128246</v>
      </c>
      <c r="J437" s="16">
        <f>INDEX('Team forecast'!$B$2:$AO$26,MATCH('Master data'!$B437,'Team forecast'!$B$2:$B$26,0),MATCH('Master data'!J$1,'Team forecast'!$B$2:$AO$2,0))</f>
        <v>0.44340114762649968</v>
      </c>
      <c r="K437" s="16">
        <f>INDEX('Team forecast'!$B$2:$AO$26,MATCH('Master data'!$B437,'Team forecast'!$B$2:$B$26,0),MATCH('Master data'!K$1,'Team forecast'!$B$2:$AO$2,0))</f>
        <v>4.6107317725389105</v>
      </c>
      <c r="L437" s="16">
        <f>INDEX('Team forecast'!$B$2:$AO$26,MATCH('Master data'!$B437,'Team forecast'!$B$2:$B$26,0),MATCH('Master data'!L$1,'Team forecast'!$B$2:$AO$2,0))</f>
        <v>2.0723952197374849</v>
      </c>
      <c r="M437">
        <f>IF(Players!BC438=1,95,0)</f>
        <v>95</v>
      </c>
      <c r="N437" s="2">
        <f>Players!BN438</f>
        <v>4.1292987767745468E-2</v>
      </c>
      <c r="O437" s="2">
        <f>Players!BO438</f>
        <v>5.3325565040803942E-2</v>
      </c>
      <c r="P437" s="2">
        <f>Players!BP438</f>
        <v>5.8992973761306987E-2</v>
      </c>
      <c r="Q437" s="2">
        <f>Players!BQ438</f>
        <v>0</v>
      </c>
      <c r="R437" s="2">
        <f>Players!BR438</f>
        <v>0</v>
      </c>
      <c r="S437" s="2">
        <f t="shared" si="217"/>
        <v>1.5369105908463034</v>
      </c>
      <c r="T437" s="2">
        <f t="shared" si="218"/>
        <v>0.81328039356128246</v>
      </c>
      <c r="U437" s="16">
        <f>INDEX('Team forecast'!$B$2:$AO$26,MATCH('Master data'!$B437,'Team forecast'!$B$2:$B$26,0),MATCH('Master data'!U$1,'Team forecast'!$B$2:$AO$2,0))</f>
        <v>0.54773082942097018</v>
      </c>
      <c r="V437" s="16">
        <f>INDEX('Team forecast'!$B$2:$AO$26,MATCH('Master data'!$B437,'Team forecast'!$B$2:$B$26,0),MATCH('Master data'!V$1,'Team forecast'!$B$2:$AO$2,0))</f>
        <v>0.2660406885758998</v>
      </c>
      <c r="W437" s="16">
        <f>INDEX('Team forecast'!$B$2:$AO$26,MATCH('Master data'!$B437,'Team forecast'!$B$2:$B$26,0),MATCH('Master data'!W$1,'Team forecast'!$B$2:$AO$2,0))</f>
        <v>0.18622848200312991</v>
      </c>
      <c r="X437" s="5">
        <f t="shared" si="219"/>
        <v>7000</v>
      </c>
      <c r="Y437" s="5">
        <f t="shared" si="220"/>
        <v>13693.270735524255</v>
      </c>
      <c r="Z437" s="5">
        <f t="shared" si="221"/>
        <v>1330.2034428794989</v>
      </c>
      <c r="AA437" s="5">
        <f t="shared" si="222"/>
        <v>-2793.4272300469488</v>
      </c>
      <c r="AB437" s="5">
        <f t="shared" si="223"/>
        <v>7932.9537784918575</v>
      </c>
      <c r="AC437" s="5">
        <f t="shared" si="224"/>
        <v>4097.8312837037483</v>
      </c>
      <c r="AD437" s="5">
        <f t="shared" si="225"/>
        <v>2720.007784778124</v>
      </c>
      <c r="AE437" s="5">
        <f t="shared" si="226"/>
        <v>0</v>
      </c>
      <c r="AF437" s="5">
        <f t="shared" si="227"/>
        <v>0</v>
      </c>
      <c r="AG437" s="5">
        <f t="shared" si="228"/>
        <v>0</v>
      </c>
      <c r="AH437" s="5">
        <f t="shared" si="229"/>
        <v>0</v>
      </c>
      <c r="AI437" s="5">
        <f t="shared" si="230"/>
        <v>15369.105908463034</v>
      </c>
      <c r="AJ437" s="5">
        <f t="shared" si="231"/>
        <v>-6506.24314849026</v>
      </c>
      <c r="AK437" s="5">
        <f>IFERROR(SUM(X437:AJ437),-5000)*((Cockpit!$C$3)^0)</f>
        <v>42843.702555303302</v>
      </c>
      <c r="AL437" s="16">
        <f>INDEX('Team forecast'!$B$2:$AO$26,MATCH('Master data'!$B437,'Team forecast'!$B$2:$B$26,0),MATCH('Master data'!AL$1,'Team forecast'!$B$2:$AO$2,0))</f>
        <v>0.77817916464933856</v>
      </c>
      <c r="AM437" s="16">
        <f>INDEX('Team forecast'!$B$2:$AO$26,MATCH('Master data'!$B437,'Team forecast'!$B$2:$B$26,0),MATCH('Master data'!AM$1,'Team forecast'!$B$2:$AO$2,0))</f>
        <v>1.9080439968215523</v>
      </c>
      <c r="AN437" s="16">
        <f>INDEX('Team forecast'!$B$2:$AO$26,MATCH('Master data'!$B437,'Team forecast'!$B$2:$B$26,0),MATCH('Master data'!AN$1,'Team forecast'!$B$2:$AO$2,0))</f>
        <v>0.1483703157610558</v>
      </c>
      <c r="AO437" s="16">
        <f>INDEX('Team forecast'!$B$2:$AO$26,MATCH('Master data'!$B437,'Team forecast'!$B$2:$B$26,0),MATCH('Master data'!AO$1,'Team forecast'!$B$2:$AO$2,0))</f>
        <v>2.3345374939480159</v>
      </c>
      <c r="AP437" s="16">
        <f>INDEX('Team forecast'!$B$2:$AO$26,MATCH('Master data'!$B437,'Team forecast'!$B$2:$B$26,0),MATCH('Master data'!AP$1,'Team forecast'!$B$2:$AO$2,0))</f>
        <v>4.862063919611546</v>
      </c>
      <c r="AQ437" s="5">
        <f t="shared" si="232"/>
        <v>7000</v>
      </c>
      <c r="AR437" s="5">
        <f>INDEX('Team forecast'!$B$2:$AO$26,MATCH('Master data'!$B437,'Team forecast'!$B$2:$B$26,0),MATCH('Master data'!AR$1,'Team forecast'!$B$2:$AO$2,0))*IF(X437&gt;0,25000,0)</f>
        <v>3519.7337680542423</v>
      </c>
      <c r="AS437" s="16">
        <f>INDEX('Team forecast'!$B$2:$AO$26,MATCH('Master data'!$B437,'Team forecast'!$B$2:$B$26,0),MATCH('Master data'!AS$1,'Team forecast'!$B$2:$AO$2,0))*IF(X437&gt;0,5000,0)</f>
        <v>1059.787969721827</v>
      </c>
      <c r="AT437" s="16">
        <f>INDEX('Team forecast'!$B$2:$AO$26,MATCH('Master data'!$B437,'Team forecast'!$B$2:$B$26,0),MATCH('Master data'!AT$1,'Team forecast'!$B$2:$AO$2,0))*IF(X437&gt;0,-15000,0)</f>
        <v>-9708.7958300019709</v>
      </c>
      <c r="AU437" s="5">
        <f t="shared" si="233"/>
        <v>4016.6678408724401</v>
      </c>
      <c r="AV437" s="5">
        <f t="shared" si="234"/>
        <v>2074.8421828953392</v>
      </c>
      <c r="AW437" s="5">
        <f t="shared" si="235"/>
        <v>1377.2130912526268</v>
      </c>
      <c r="AX437" s="5">
        <f t="shared" si="236"/>
        <v>0</v>
      </c>
      <c r="AY437" s="5">
        <f t="shared" si="237"/>
        <v>0</v>
      </c>
      <c r="AZ437" s="5">
        <f t="shared" si="238"/>
        <v>0</v>
      </c>
      <c r="BA437" s="5">
        <f t="shared" si="239"/>
        <v>0</v>
      </c>
      <c r="BB437" s="5">
        <f t="shared" si="240"/>
        <v>7781.791646493386</v>
      </c>
      <c r="BC437" s="5">
        <f t="shared" si="241"/>
        <v>-15264.351974572419</v>
      </c>
      <c r="BD437" s="5">
        <f t="shared" si="242"/>
        <v>1856.8886947154715</v>
      </c>
      <c r="BE437" s="16">
        <f>INDEX('Team forecast'!$B$2:$AO$26,MATCH('Master data'!$B437,'Team forecast'!$B$2:$B$26,0),MATCH('Master data'!BE$1,'Team forecast'!$B$2:$AO$2,0))</f>
        <v>1.2236898885407743</v>
      </c>
      <c r="BF437" s="16">
        <f>INDEX('Team forecast'!$B$2:$AO$26,MATCH('Master data'!$B437,'Team forecast'!$B$2:$B$26,0),MATCH('Master data'!BF$1,'Team forecast'!$B$2:$AO$2,0))</f>
        <v>1.2688103238212438</v>
      </c>
      <c r="BG437" s="16">
        <f>INDEX('Team forecast'!$B$2:$AO$26,MATCH('Master data'!$B437,'Team forecast'!$B$2:$B$26,0),MATCH('Master data'!BG$1,'Team forecast'!$B$2:$AO$2,0))</f>
        <v>0.28116591928251122</v>
      </c>
      <c r="BH437" s="16">
        <f>INDEX('Team forecast'!$B$2:$AO$26,MATCH('Master data'!$B437,'Team forecast'!$B$2:$B$26,0),MATCH('Master data'!BH$1,'Team forecast'!$B$2:$AO$2,0))</f>
        <v>3.6710696656223227</v>
      </c>
      <c r="BI437" s="16">
        <f>INDEX('Team forecast'!$B$2:$AO$26,MATCH('Master data'!$B437,'Team forecast'!$B$2:$B$26,0),MATCH('Master data'!BI$1,'Team forecast'!$B$2:$AO$2,0))</f>
        <v>3.2331732950384708</v>
      </c>
      <c r="BJ437" s="5">
        <f t="shared" si="243"/>
        <v>7000</v>
      </c>
      <c r="BK437" s="5">
        <f>INDEX('Team forecast'!$R$3:$BH$26,MATCH($B437,'Team forecast'!$B$3:$B$26,0),MATCH(BK$1,'Team forecast'!$R$2:$BH$2,0))*IF($X437&gt;0,25000,0)</f>
        <v>8385.6502242152455</v>
      </c>
      <c r="BL437" s="5">
        <f>INDEX('Team forecast'!$R$3:$BH$26,MATCH($B437,'Team forecast'!$B$3:$B$26,0),MATCH(BL$1,'Team forecast'!$R$2:$BH$2,0))*IF($X437&gt;0,5000,0)</f>
        <v>1448.4304932735427</v>
      </c>
      <c r="BM437" s="5">
        <f>INDEX('Team forecast'!$R$3:$BH$26,MATCH($B437,'Team forecast'!$B$3:$B$26,0),MATCH(BM$1,'Team forecast'!$R$2:$BH$2,0))*IF($X437&gt;0,-15000,0)</f>
        <v>-5623.3183856502237</v>
      </c>
      <c r="BN437" s="5">
        <f t="shared" si="244"/>
        <v>6316.2264498785007</v>
      </c>
      <c r="BO437" s="5">
        <f t="shared" si="245"/>
        <v>3262.6977370577592</v>
      </c>
      <c r="BP437" s="5">
        <f t="shared" si="246"/>
        <v>2165.6731645998771</v>
      </c>
      <c r="BQ437" s="5">
        <f t="shared" si="247"/>
        <v>0</v>
      </c>
      <c r="BR437" s="5">
        <f t="shared" si="248"/>
        <v>0</v>
      </c>
      <c r="BS437" s="5">
        <f t="shared" si="249"/>
        <v>0</v>
      </c>
      <c r="BT437" s="5">
        <f t="shared" si="250"/>
        <v>0</v>
      </c>
      <c r="BU437" s="5">
        <f t="shared" si="251"/>
        <v>12236.898885407743</v>
      </c>
      <c r="BV437" s="5">
        <f t="shared" si="252"/>
        <v>-10150.482590569951</v>
      </c>
      <c r="BW437" s="5">
        <f t="shared" si="253"/>
        <v>25041.775978212496</v>
      </c>
      <c r="BX437" s="5">
        <f t="shared" si="254"/>
        <v>23247.455742743754</v>
      </c>
      <c r="BY437" s="5">
        <f t="shared" si="255"/>
        <v>69742.367228231262</v>
      </c>
      <c r="BZ437" s="5">
        <f>INDEX('Team forecast'!$R$3:$BH$26,MATCH($B437,'Team forecast'!$B$3:$B$26,0),MATCH(BZ$1,'Team forecast'!$R$2:$BH$2,0))*($BX437-(BY437+CH437)*0.01)</f>
        <v>-4942.875847262113</v>
      </c>
      <c r="CA437" s="5">
        <f>INDEX('Team forecast'!$R$3:$BH$26,MATCH($B437,'Team forecast'!$B$3:$B$26,0),MATCH(CA$1,'Team forecast'!$R$2:$BH$2,0))*($BX437-(BY437+BX437+CH437)*0.01)</f>
        <v>-2509.1359420455715</v>
      </c>
      <c r="CB437" s="5">
        <f>INDEX('Team forecast'!$R$3:$BH$26,MATCH($B437,'Team forecast'!$B$3:$B$26,0),MATCH(CB$1,'Team forecast'!$R$2:$BH$2,0))*($BX437-(BY437+BX437*2+CH437)*0.01)</f>
        <v>-1254.3053889020207</v>
      </c>
      <c r="CC437" s="5">
        <f>INDEX('Team forecast'!$R$3:$BH$26,MATCH($B437,'Team forecast'!$B$3:$B$26,0),MATCH(CC$1,'Team forecast'!$R$2:$BH$2,0))*($BX437-(BY437+BX437*3+CH437)*0.01)</f>
        <v>-594.83346010132493</v>
      </c>
      <c r="CD437" s="5">
        <f>+AK437+BD437*Cockpit!$C$3+BW437*Cockpit!$C$3^2+BZ437*Cockpit!$C$3^3+CA437*Cockpit!$C$3^4+CB437*Cockpit!$C$3^5+CC437*Cockpit!$C$3^6</f>
        <v>53033.72162955338</v>
      </c>
      <c r="CE437" s="5"/>
      <c r="CF437" s="5"/>
      <c r="CG437" s="5">
        <v>0</v>
      </c>
      <c r="CH437" s="5">
        <f t="shared" si="256"/>
        <v>3000000</v>
      </c>
      <c r="CI437" s="5">
        <f t="shared" si="257"/>
        <v>3000000</v>
      </c>
      <c r="CJ437" s="1">
        <f t="shared" si="258"/>
        <v>2.3247455742743756E-2</v>
      </c>
      <c r="CK437" s="5">
        <f>RANK(BY437,$BY$2:$BY$623)+COUNTIF($BY$2:$BY437,$BY437)-1</f>
        <v>246</v>
      </c>
      <c r="CL437" s="5">
        <f>RANK(CJ437,$CJ$2:$CJ$623)+COUNTIF($CJ$2:$CJ437,$CJ437)-1</f>
        <v>230</v>
      </c>
    </row>
    <row r="438" spans="1:90">
      <c r="A438" t="str">
        <f>Players!P439</f>
        <v>Grzegorz Krychowiak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3500000</v>
      </c>
      <c r="H438" s="16">
        <f>INDEX('Team forecast'!$B$2:$AO$26,MATCH('Master data'!$B438,'Team forecast'!$B$2:$B$26,0),MATCH('Master data'!H$1,'Team forecast'!$B$2:$AO$2,0))</f>
        <v>1.5369105908463034</v>
      </c>
      <c r="I438" s="16">
        <f>INDEX('Team forecast'!$B$2:$AO$26,MATCH('Master data'!$B438,'Team forecast'!$B$2:$B$26,0),MATCH('Master data'!I$1,'Team forecast'!$B$2:$AO$2,0))</f>
        <v>0.81328039356128246</v>
      </c>
      <c r="J438" s="16">
        <f>INDEX('Team forecast'!$B$2:$AO$26,MATCH('Master data'!$B438,'Team forecast'!$B$2:$B$26,0),MATCH('Master data'!J$1,'Team forecast'!$B$2:$AO$2,0))</f>
        <v>0.44340114762649968</v>
      </c>
      <c r="K438" s="16">
        <f>INDEX('Team forecast'!$B$2:$AO$26,MATCH('Master data'!$B438,'Team forecast'!$B$2:$B$26,0),MATCH('Master data'!K$1,'Team forecast'!$B$2:$AO$2,0))</f>
        <v>4.6107317725389105</v>
      </c>
      <c r="L438" s="16">
        <f>INDEX('Team forecast'!$B$2:$AO$26,MATCH('Master data'!$B438,'Team forecast'!$B$2:$B$26,0),MATCH('Master data'!L$1,'Team forecast'!$B$2:$AO$2,0))</f>
        <v>2.0723952197374849</v>
      </c>
      <c r="M438">
        <f>IF(Players!BC439=1,95,0)</f>
        <v>95</v>
      </c>
      <c r="N438" s="2">
        <f>Players!BN439</f>
        <v>4.8044341146272748E-2</v>
      </c>
      <c r="O438" s="2">
        <f>Players!BO439</f>
        <v>2.5517928594916025E-2</v>
      </c>
      <c r="P438" s="2">
        <f>Players!BP439</f>
        <v>2.8335528258073093E-2</v>
      </c>
      <c r="Q438" s="2">
        <f>Players!BQ439</f>
        <v>0.23040500297796307</v>
      </c>
      <c r="R438" s="2">
        <f>Players!BR439</f>
        <v>0</v>
      </c>
      <c r="S438" s="2">
        <f t="shared" si="217"/>
        <v>1.5369105908463034</v>
      </c>
      <c r="T438" s="2">
        <f t="shared" si="218"/>
        <v>0.81328039356128246</v>
      </c>
      <c r="U438" s="16">
        <f>INDEX('Team forecast'!$B$2:$AO$26,MATCH('Master data'!$B438,'Team forecast'!$B$2:$B$26,0),MATCH('Master data'!U$1,'Team forecast'!$B$2:$AO$2,0))</f>
        <v>0.54773082942097018</v>
      </c>
      <c r="V438" s="16">
        <f>INDEX('Team forecast'!$B$2:$AO$26,MATCH('Master data'!$B438,'Team forecast'!$B$2:$B$26,0),MATCH('Master data'!V$1,'Team forecast'!$B$2:$AO$2,0))</f>
        <v>0.2660406885758998</v>
      </c>
      <c r="W438" s="16">
        <f>INDEX('Team forecast'!$B$2:$AO$26,MATCH('Master data'!$B438,'Team forecast'!$B$2:$B$26,0),MATCH('Master data'!W$1,'Team forecast'!$B$2:$AO$2,0))</f>
        <v>0.18622848200312991</v>
      </c>
      <c r="X438" s="5">
        <f t="shared" si="219"/>
        <v>7000</v>
      </c>
      <c r="Y438" s="5">
        <f t="shared" si="220"/>
        <v>13693.270735524255</v>
      </c>
      <c r="Z438" s="5">
        <f t="shared" si="221"/>
        <v>1330.2034428794989</v>
      </c>
      <c r="AA438" s="5">
        <f t="shared" si="222"/>
        <v>-2793.4272300469488</v>
      </c>
      <c r="AB438" s="5">
        <f t="shared" si="223"/>
        <v>9229.982092242426</v>
      </c>
      <c r="AC438" s="5">
        <f t="shared" si="224"/>
        <v>1960.9387356993084</v>
      </c>
      <c r="AD438" s="5">
        <f t="shared" si="225"/>
        <v>1306.4752043117173</v>
      </c>
      <c r="AE438" s="5">
        <f t="shared" si="226"/>
        <v>0</v>
      </c>
      <c r="AF438" s="5">
        <f t="shared" si="227"/>
        <v>0</v>
      </c>
      <c r="AG438" s="5">
        <f t="shared" si="228"/>
        <v>-4608.1000595592614</v>
      </c>
      <c r="AH438" s="5">
        <f t="shared" si="229"/>
        <v>0</v>
      </c>
      <c r="AI438" s="5">
        <f t="shared" si="230"/>
        <v>15369.105908463034</v>
      </c>
      <c r="AJ438" s="5">
        <f t="shared" si="231"/>
        <v>-6506.24314849026</v>
      </c>
      <c r="AK438" s="5">
        <f>IFERROR(SUM(X438:AJ438),-5000)*((Cockpit!$C$3)^0)</f>
        <v>35982.205681023763</v>
      </c>
      <c r="AL438" s="16">
        <f>INDEX('Team forecast'!$B$2:$AO$26,MATCH('Master data'!$B438,'Team forecast'!$B$2:$B$26,0),MATCH('Master data'!AL$1,'Team forecast'!$B$2:$AO$2,0))</f>
        <v>0.77817916464933856</v>
      </c>
      <c r="AM438" s="16">
        <f>INDEX('Team forecast'!$B$2:$AO$26,MATCH('Master data'!$B438,'Team forecast'!$B$2:$B$26,0),MATCH('Master data'!AM$1,'Team forecast'!$B$2:$AO$2,0))</f>
        <v>1.9080439968215523</v>
      </c>
      <c r="AN438" s="16">
        <f>INDEX('Team forecast'!$B$2:$AO$26,MATCH('Master data'!$B438,'Team forecast'!$B$2:$B$26,0),MATCH('Master data'!AN$1,'Team forecast'!$B$2:$AO$2,0))</f>
        <v>0.1483703157610558</v>
      </c>
      <c r="AO438" s="16">
        <f>INDEX('Team forecast'!$B$2:$AO$26,MATCH('Master data'!$B438,'Team forecast'!$B$2:$B$26,0),MATCH('Master data'!AO$1,'Team forecast'!$B$2:$AO$2,0))</f>
        <v>2.3345374939480159</v>
      </c>
      <c r="AP438" s="16">
        <f>INDEX('Team forecast'!$B$2:$AO$26,MATCH('Master data'!$B438,'Team forecast'!$B$2:$B$26,0),MATCH('Master data'!AP$1,'Team forecast'!$B$2:$AO$2,0))</f>
        <v>4.862063919611546</v>
      </c>
      <c r="AQ438" s="5">
        <f t="shared" si="232"/>
        <v>7000</v>
      </c>
      <c r="AR438" s="5">
        <f>INDEX('Team forecast'!$B$2:$AO$26,MATCH('Master data'!$B438,'Team forecast'!$B$2:$B$26,0),MATCH('Master data'!AR$1,'Team forecast'!$B$2:$AO$2,0))*IF(X438&gt;0,25000,0)</f>
        <v>3519.7337680542423</v>
      </c>
      <c r="AS438" s="16">
        <f>INDEX('Team forecast'!$B$2:$AO$26,MATCH('Master data'!$B438,'Team forecast'!$B$2:$B$26,0),MATCH('Master data'!AS$1,'Team forecast'!$B$2:$AO$2,0))*IF(X438&gt;0,5000,0)</f>
        <v>1059.787969721827</v>
      </c>
      <c r="AT438" s="16">
        <f>INDEX('Team forecast'!$B$2:$AO$26,MATCH('Master data'!$B438,'Team forecast'!$B$2:$B$26,0),MATCH('Master data'!AT$1,'Team forecast'!$B$2:$AO$2,0))*IF(X438&gt;0,-15000,0)</f>
        <v>-9708.7958300019709</v>
      </c>
      <c r="AU438" s="5">
        <f t="shared" si="233"/>
        <v>4673.3881574167963</v>
      </c>
      <c r="AV438" s="5">
        <f t="shared" si="234"/>
        <v>992.87601787866106</v>
      </c>
      <c r="AW438" s="5">
        <f t="shared" si="235"/>
        <v>661.50353129295149</v>
      </c>
      <c r="AX438" s="5">
        <f t="shared" si="236"/>
        <v>0</v>
      </c>
      <c r="AY438" s="5">
        <f t="shared" si="237"/>
        <v>0</v>
      </c>
      <c r="AZ438" s="5">
        <f t="shared" si="238"/>
        <v>-4608.1000595592614</v>
      </c>
      <c r="BA438" s="5">
        <f t="shared" si="239"/>
        <v>0</v>
      </c>
      <c r="BB438" s="5">
        <f t="shared" si="240"/>
        <v>7781.791646493386</v>
      </c>
      <c r="BC438" s="5">
        <f t="shared" si="241"/>
        <v>-15264.351974572419</v>
      </c>
      <c r="BD438" s="5">
        <f t="shared" si="242"/>
        <v>-3892.1667732757869</v>
      </c>
      <c r="BE438" s="16">
        <f>INDEX('Team forecast'!$B$2:$AO$26,MATCH('Master data'!$B438,'Team forecast'!$B$2:$B$26,0),MATCH('Master data'!BE$1,'Team forecast'!$B$2:$AO$2,0))</f>
        <v>1.2236898885407743</v>
      </c>
      <c r="BF438" s="16">
        <f>INDEX('Team forecast'!$B$2:$AO$26,MATCH('Master data'!$B438,'Team forecast'!$B$2:$B$26,0),MATCH('Master data'!BF$1,'Team forecast'!$B$2:$AO$2,0))</f>
        <v>1.2688103238212438</v>
      </c>
      <c r="BG438" s="16">
        <f>INDEX('Team forecast'!$B$2:$AO$26,MATCH('Master data'!$B438,'Team forecast'!$B$2:$B$26,0),MATCH('Master data'!BG$1,'Team forecast'!$B$2:$AO$2,0))</f>
        <v>0.28116591928251122</v>
      </c>
      <c r="BH438" s="16">
        <f>INDEX('Team forecast'!$B$2:$AO$26,MATCH('Master data'!$B438,'Team forecast'!$B$2:$B$26,0),MATCH('Master data'!BH$1,'Team forecast'!$B$2:$AO$2,0))</f>
        <v>3.6710696656223227</v>
      </c>
      <c r="BI438" s="16">
        <f>INDEX('Team forecast'!$B$2:$AO$26,MATCH('Master data'!$B438,'Team forecast'!$B$2:$B$26,0),MATCH('Master data'!BI$1,'Team forecast'!$B$2:$AO$2,0))</f>
        <v>3.2331732950384708</v>
      </c>
      <c r="BJ438" s="5">
        <f t="shared" si="243"/>
        <v>7000</v>
      </c>
      <c r="BK438" s="5">
        <f>INDEX('Team forecast'!$R$3:$BH$26,MATCH($B438,'Team forecast'!$B$3:$B$26,0),MATCH(BK$1,'Team forecast'!$R$2:$BH$2,0))*IF($X438&gt;0,25000,0)</f>
        <v>8385.6502242152455</v>
      </c>
      <c r="BL438" s="5">
        <f>INDEX('Team forecast'!$R$3:$BH$26,MATCH($B438,'Team forecast'!$B$3:$B$26,0),MATCH(BL$1,'Team forecast'!$R$2:$BH$2,0))*IF($X438&gt;0,5000,0)</f>
        <v>1448.4304932735427</v>
      </c>
      <c r="BM438" s="5">
        <f>INDEX('Team forecast'!$R$3:$BH$26,MATCH($B438,'Team forecast'!$B$3:$B$26,0),MATCH(BM$1,'Team forecast'!$R$2:$BH$2,0))*IF($X438&gt;0,-15000,0)</f>
        <v>-5623.3183856502237</v>
      </c>
      <c r="BN438" s="5">
        <f t="shared" si="244"/>
        <v>7348.9218077871792</v>
      </c>
      <c r="BO438" s="5">
        <f t="shared" si="245"/>
        <v>1561.3015599052114</v>
      </c>
      <c r="BP438" s="5">
        <f t="shared" si="246"/>
        <v>1040.2169824759628</v>
      </c>
      <c r="BQ438" s="5">
        <f t="shared" si="247"/>
        <v>0</v>
      </c>
      <c r="BR438" s="5">
        <f t="shared" si="248"/>
        <v>0</v>
      </c>
      <c r="BS438" s="5">
        <f t="shared" si="249"/>
        <v>-4608.1000595592614</v>
      </c>
      <c r="BT438" s="5">
        <f t="shared" si="250"/>
        <v>0</v>
      </c>
      <c r="BU438" s="5">
        <f t="shared" si="251"/>
        <v>12236.898885407743</v>
      </c>
      <c r="BV438" s="5">
        <f t="shared" si="252"/>
        <v>-10150.482590569951</v>
      </c>
      <c r="BW438" s="5">
        <f t="shared" si="253"/>
        <v>18639.518917285452</v>
      </c>
      <c r="BX438" s="5">
        <f t="shared" si="254"/>
        <v>16909.852608344478</v>
      </c>
      <c r="BY438" s="5">
        <f t="shared" si="255"/>
        <v>50729.557825033437</v>
      </c>
      <c r="BZ438" s="5">
        <f>INDEX('Team forecast'!$R$3:$BH$26,MATCH($B438,'Team forecast'!$B$3:$B$26,0),MATCH(BZ$1,'Team forecast'!$R$2:$BH$2,0))*($BX438-(BY438+CH438)*0.01)</f>
        <v>-12338.959381597755</v>
      </c>
      <c r="CA438" s="5">
        <f>INDEX('Team forecast'!$R$3:$BH$26,MATCH($B438,'Team forecast'!$B$3:$B$26,0),MATCH(CA$1,'Team forecast'!$R$2:$BH$2,0))*($BX438-(BY438+BX438+CH438)*0.01)</f>
        <v>-6129.275143336954</v>
      </c>
      <c r="CB438" s="5">
        <f>INDEX('Team forecast'!$R$3:$BH$26,MATCH($B438,'Team forecast'!$B$3:$B$26,0),MATCH(CB$1,'Team forecast'!$R$2:$BH$2,0))*($BX438-(BY438+BX438*2+CH438)*0.01)</f>
        <v>-3000.7990214905399</v>
      </c>
      <c r="CC438" s="5">
        <f>INDEX('Team forecast'!$R$3:$BH$26,MATCH($B438,'Team forecast'!$B$3:$B$26,0),MATCH(CC$1,'Team forecast'!$R$2:$BH$2,0))*($BX438-(BY438+BX438*3+CH438)*0.01)</f>
        <v>-1394.8191384824477</v>
      </c>
      <c r="CD438" s="5">
        <f>+AK438+BD438*Cockpit!$C$3+BW438*Cockpit!$C$3^2+BZ438*Cockpit!$C$3^3+CA438*Cockpit!$C$3^4+CB438*Cockpit!$C$3^5+CC438*Cockpit!$C$3^6</f>
        <v>36287.329274160737</v>
      </c>
      <c r="CE438" s="5"/>
      <c r="CF438" s="5"/>
      <c r="CG438" s="5">
        <v>0</v>
      </c>
      <c r="CH438" s="5">
        <f t="shared" si="256"/>
        <v>3500000</v>
      </c>
      <c r="CI438" s="5">
        <f t="shared" si="257"/>
        <v>3500000</v>
      </c>
      <c r="CJ438" s="1">
        <f t="shared" si="258"/>
        <v>1.4494159378580982E-2</v>
      </c>
      <c r="CK438" s="5">
        <f>RANK(BY438,$BY$2:$BY$623)+COUNTIF($BY$2:$BY438,$BY438)-1</f>
        <v>290</v>
      </c>
      <c r="CL438" s="5">
        <f>RANK(CJ438,$CJ$2:$CJ$623)+COUNTIF($CJ$2:$CJ438,$CJ438)-1</f>
        <v>310</v>
      </c>
    </row>
    <row r="439" spans="1:90">
      <c r="A439" t="str">
        <f>Players!P440</f>
        <v>Mateusz Klich</v>
      </c>
      <c r="B439" t="str">
        <f>Players!G440</f>
        <v>Poland</v>
      </c>
      <c r="C439" t="str">
        <f>Players!AB440</f>
        <v>Midfield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2500000</v>
      </c>
      <c r="H439" s="16">
        <f>INDEX('Team forecast'!$B$2:$AO$26,MATCH('Master data'!$B439,'Team forecast'!$B$2:$B$26,0),MATCH('Master data'!H$1,'Team forecast'!$B$2:$AO$2,0))</f>
        <v>1.5369105908463034</v>
      </c>
      <c r="I439" s="16">
        <f>INDEX('Team forecast'!$B$2:$AO$26,MATCH('Master data'!$B439,'Team forecast'!$B$2:$B$26,0),MATCH('Master data'!I$1,'Team forecast'!$B$2:$AO$2,0))</f>
        <v>0.81328039356128246</v>
      </c>
      <c r="J439" s="16">
        <f>INDEX('Team forecast'!$B$2:$AO$26,MATCH('Master data'!$B439,'Team forecast'!$B$2:$B$26,0),MATCH('Master data'!J$1,'Team forecast'!$B$2:$AO$2,0))</f>
        <v>0.44340114762649968</v>
      </c>
      <c r="K439" s="16">
        <f>INDEX('Team forecast'!$B$2:$AO$26,MATCH('Master data'!$B439,'Team forecast'!$B$2:$B$26,0),MATCH('Master data'!K$1,'Team forecast'!$B$2:$AO$2,0))</f>
        <v>4.6107317725389105</v>
      </c>
      <c r="L439" s="16">
        <f>INDEX('Team forecast'!$B$2:$AO$26,MATCH('Master data'!$B439,'Team forecast'!$B$2:$B$26,0),MATCH('Master data'!L$1,'Team forecast'!$B$2:$AO$2,0))</f>
        <v>2.0723952197374849</v>
      </c>
      <c r="M439">
        <f>IF(Players!BC440=1,95,0)</f>
        <v>0</v>
      </c>
      <c r="N439" s="2">
        <f>Players!BN440</f>
        <v>0</v>
      </c>
      <c r="O439" s="2">
        <f>Players!BO440</f>
        <v>0</v>
      </c>
      <c r="P439" s="2">
        <f>Players!BP440</f>
        <v>0</v>
      </c>
      <c r="Q439" s="2">
        <f>Players!BQ440</f>
        <v>0.30273486430062629</v>
      </c>
      <c r="R439" s="2">
        <f>Players!BR440</f>
        <v>0</v>
      </c>
      <c r="S439" s="2">
        <f t="shared" si="217"/>
        <v>1.5369105908463034</v>
      </c>
      <c r="T439" s="2">
        <f t="shared" si="218"/>
        <v>0.81328039356128246</v>
      </c>
      <c r="U439" s="16">
        <f>INDEX('Team forecast'!$B$2:$AO$26,MATCH('Master data'!$B439,'Team forecast'!$B$2:$B$26,0),MATCH('Master data'!U$1,'Team forecast'!$B$2:$AO$2,0))</f>
        <v>0.54773082942097018</v>
      </c>
      <c r="V439" s="16">
        <f>INDEX('Team forecast'!$B$2:$AO$26,MATCH('Master data'!$B439,'Team forecast'!$B$2:$B$26,0),MATCH('Master data'!V$1,'Team forecast'!$B$2:$AO$2,0))</f>
        <v>0.2660406885758998</v>
      </c>
      <c r="W439" s="16">
        <f>INDEX('Team forecast'!$B$2:$AO$26,MATCH('Master data'!$B439,'Team forecast'!$B$2:$B$26,0),MATCH('Master data'!W$1,'Team forecast'!$B$2:$AO$2,0))</f>
        <v>0.18622848200312991</v>
      </c>
      <c r="X439" s="5">
        <f t="shared" si="219"/>
        <v>-5000</v>
      </c>
      <c r="Y439" s="5">
        <f t="shared" si="220"/>
        <v>0</v>
      </c>
      <c r="Z439" s="5">
        <f t="shared" si="221"/>
        <v>0</v>
      </c>
      <c r="AA439" s="5">
        <f t="shared" si="222"/>
        <v>0</v>
      </c>
      <c r="AB439" s="5">
        <f t="shared" si="223"/>
        <v>0</v>
      </c>
      <c r="AC439" s="5">
        <f t="shared" si="224"/>
        <v>0</v>
      </c>
      <c r="AD439" s="5">
        <f t="shared" si="225"/>
        <v>0</v>
      </c>
      <c r="AE439" s="5">
        <f t="shared" si="226"/>
        <v>0</v>
      </c>
      <c r="AF439" s="5">
        <f t="shared" si="227"/>
        <v>0</v>
      </c>
      <c r="AG439" s="5">
        <f t="shared" si="228"/>
        <v>0</v>
      </c>
      <c r="AH439" s="5">
        <f t="shared" si="229"/>
        <v>0</v>
      </c>
      <c r="AI439" s="5">
        <f t="shared" si="230"/>
        <v>0</v>
      </c>
      <c r="AJ439" s="5">
        <f t="shared" si="231"/>
        <v>0</v>
      </c>
      <c r="AK439" s="5">
        <f>IFERROR(SUM(X439:AJ439),-5000)*((Cockpit!$C$3)^0)</f>
        <v>-5000</v>
      </c>
      <c r="AL439" s="16">
        <f>INDEX('Team forecast'!$B$2:$AO$26,MATCH('Master data'!$B439,'Team forecast'!$B$2:$B$26,0),MATCH('Master data'!AL$1,'Team forecast'!$B$2:$AO$2,0))</f>
        <v>0.77817916464933856</v>
      </c>
      <c r="AM439" s="16">
        <f>INDEX('Team forecast'!$B$2:$AO$26,MATCH('Master data'!$B439,'Team forecast'!$B$2:$B$26,0),MATCH('Master data'!AM$1,'Team forecast'!$B$2:$AO$2,0))</f>
        <v>1.9080439968215523</v>
      </c>
      <c r="AN439" s="16">
        <f>INDEX('Team forecast'!$B$2:$AO$26,MATCH('Master data'!$B439,'Team forecast'!$B$2:$B$26,0),MATCH('Master data'!AN$1,'Team forecast'!$B$2:$AO$2,0))</f>
        <v>0.1483703157610558</v>
      </c>
      <c r="AO439" s="16">
        <f>INDEX('Team forecast'!$B$2:$AO$26,MATCH('Master data'!$B439,'Team forecast'!$B$2:$B$26,0),MATCH('Master data'!AO$1,'Team forecast'!$B$2:$AO$2,0))</f>
        <v>2.3345374939480159</v>
      </c>
      <c r="AP439" s="16">
        <f>INDEX('Team forecast'!$B$2:$AO$26,MATCH('Master data'!$B439,'Team forecast'!$B$2:$B$26,0),MATCH('Master data'!AP$1,'Team forecast'!$B$2:$AO$2,0))</f>
        <v>4.862063919611546</v>
      </c>
      <c r="AQ439" s="5">
        <f t="shared" si="232"/>
        <v>-5000</v>
      </c>
      <c r="AR439" s="5">
        <f>INDEX('Team forecast'!$B$2:$AO$26,MATCH('Master data'!$B439,'Team forecast'!$B$2:$B$26,0),MATCH('Master data'!AR$1,'Team forecast'!$B$2:$AO$2,0))*IF(X439&gt;0,25000,0)</f>
        <v>0</v>
      </c>
      <c r="AS439" s="16">
        <f>INDEX('Team forecast'!$B$2:$AO$26,MATCH('Master data'!$B439,'Team forecast'!$B$2:$B$26,0),MATCH('Master data'!AS$1,'Team forecast'!$B$2:$AO$2,0))*IF(X439&gt;0,5000,0)</f>
        <v>0</v>
      </c>
      <c r="AT439" s="16">
        <f>INDEX('Team forecast'!$B$2:$AO$26,MATCH('Master data'!$B439,'Team forecast'!$B$2:$B$26,0),MATCH('Master data'!AT$1,'Team forecast'!$B$2:$AO$2,0))*IF(X439&gt;0,-15000,0)</f>
        <v>0</v>
      </c>
      <c r="AU439" s="5">
        <f t="shared" si="233"/>
        <v>0</v>
      </c>
      <c r="AV439" s="5">
        <f t="shared" si="234"/>
        <v>0</v>
      </c>
      <c r="AW439" s="5">
        <f t="shared" si="235"/>
        <v>0</v>
      </c>
      <c r="AX439" s="5">
        <f t="shared" si="236"/>
        <v>0</v>
      </c>
      <c r="AY439" s="5">
        <f t="shared" si="237"/>
        <v>0</v>
      </c>
      <c r="AZ439" s="5">
        <f t="shared" si="238"/>
        <v>0</v>
      </c>
      <c r="BA439" s="5">
        <f t="shared" si="239"/>
        <v>0</v>
      </c>
      <c r="BB439" s="5">
        <f t="shared" si="240"/>
        <v>0</v>
      </c>
      <c r="BC439" s="5">
        <f t="shared" si="241"/>
        <v>0</v>
      </c>
      <c r="BD439" s="5">
        <f t="shared" si="242"/>
        <v>-5000</v>
      </c>
      <c r="BE439" s="16">
        <f>INDEX('Team forecast'!$B$2:$AO$26,MATCH('Master data'!$B439,'Team forecast'!$B$2:$B$26,0),MATCH('Master data'!BE$1,'Team forecast'!$B$2:$AO$2,0))</f>
        <v>1.2236898885407743</v>
      </c>
      <c r="BF439" s="16">
        <f>INDEX('Team forecast'!$B$2:$AO$26,MATCH('Master data'!$B439,'Team forecast'!$B$2:$B$26,0),MATCH('Master data'!BF$1,'Team forecast'!$B$2:$AO$2,0))</f>
        <v>1.2688103238212438</v>
      </c>
      <c r="BG439" s="16">
        <f>INDEX('Team forecast'!$B$2:$AO$26,MATCH('Master data'!$B439,'Team forecast'!$B$2:$B$26,0),MATCH('Master data'!BG$1,'Team forecast'!$B$2:$AO$2,0))</f>
        <v>0.28116591928251122</v>
      </c>
      <c r="BH439" s="16">
        <f>INDEX('Team forecast'!$B$2:$AO$26,MATCH('Master data'!$B439,'Team forecast'!$B$2:$B$26,0),MATCH('Master data'!BH$1,'Team forecast'!$B$2:$AO$2,0))</f>
        <v>3.6710696656223227</v>
      </c>
      <c r="BI439" s="16">
        <f>INDEX('Team forecast'!$B$2:$AO$26,MATCH('Master data'!$B439,'Team forecast'!$B$2:$B$26,0),MATCH('Master data'!BI$1,'Team forecast'!$B$2:$AO$2,0))</f>
        <v>3.2331732950384708</v>
      </c>
      <c r="BJ439" s="5">
        <f t="shared" si="243"/>
        <v>-5000</v>
      </c>
      <c r="BK439" s="5">
        <f>INDEX('Team forecast'!$R$3:$BH$26,MATCH($B439,'Team forecast'!$B$3:$B$26,0),MATCH(BK$1,'Team forecast'!$R$2:$BH$2,0))*IF($X439&gt;0,25000,0)</f>
        <v>0</v>
      </c>
      <c r="BL439" s="5">
        <f>INDEX('Team forecast'!$R$3:$BH$26,MATCH($B439,'Team forecast'!$B$3:$B$26,0),MATCH(BL$1,'Team forecast'!$R$2:$BH$2,0))*IF($X439&gt;0,5000,0)</f>
        <v>0</v>
      </c>
      <c r="BM439" s="5">
        <f>INDEX('Team forecast'!$R$3:$BH$26,MATCH($B439,'Team forecast'!$B$3:$B$26,0),MATCH(BM$1,'Team forecast'!$R$2:$BH$2,0))*IF($X439&gt;0,-15000,0)</f>
        <v>0</v>
      </c>
      <c r="BN439" s="5">
        <f t="shared" si="244"/>
        <v>0</v>
      </c>
      <c r="BO439" s="5">
        <f t="shared" si="245"/>
        <v>0</v>
      </c>
      <c r="BP439" s="5">
        <f t="shared" si="246"/>
        <v>0</v>
      </c>
      <c r="BQ439" s="5">
        <f t="shared" si="247"/>
        <v>0</v>
      </c>
      <c r="BR439" s="5">
        <f t="shared" si="248"/>
        <v>0</v>
      </c>
      <c r="BS439" s="5">
        <f t="shared" si="249"/>
        <v>0</v>
      </c>
      <c r="BT439" s="5">
        <f t="shared" si="250"/>
        <v>0</v>
      </c>
      <c r="BU439" s="5">
        <f t="shared" si="251"/>
        <v>0</v>
      </c>
      <c r="BV439" s="5">
        <f t="shared" si="252"/>
        <v>0</v>
      </c>
      <c r="BW439" s="5">
        <f t="shared" si="253"/>
        <v>-5000</v>
      </c>
      <c r="BX439" s="5">
        <f t="shared" si="254"/>
        <v>-5000</v>
      </c>
      <c r="BY439" s="5">
        <f t="shared" si="255"/>
        <v>-15000</v>
      </c>
      <c r="BZ439" s="5">
        <f>INDEX('Team forecast'!$R$3:$BH$26,MATCH($B439,'Team forecast'!$B$3:$B$26,0),MATCH(BZ$1,'Team forecast'!$R$2:$BH$2,0))*($BX439-(BY439+CH439)*0.01)</f>
        <v>-19804.762307199991</v>
      </c>
      <c r="CA439" s="5">
        <f>INDEX('Team forecast'!$R$3:$BH$26,MATCH($B439,'Team forecast'!$B$3:$B$26,0),MATCH(CA$1,'Team forecast'!$R$2:$BH$2,0))*($BX439-(BY439+BX439+CH439)*0.01)</f>
        <v>-9732.8748246168216</v>
      </c>
      <c r="CB439" s="5">
        <f>INDEX('Team forecast'!$R$3:$BH$26,MATCH($B439,'Team forecast'!$B$3:$B$26,0),MATCH(CB$1,'Team forecast'!$R$2:$BH$2,0))*($BX439-(BY439+BX439*2+CH439)*0.01)</f>
        <v>-4714.5895668316261</v>
      </c>
      <c r="CC439" s="5">
        <f>INDEX('Team forecast'!$R$3:$BH$26,MATCH($B439,'Team forecast'!$B$3:$B$26,0),MATCH(CC$1,'Team forecast'!$R$2:$BH$2,0))*($BX439-(BY439+BX439*3+CH439)*0.01)</f>
        <v>-2168.3692927023458</v>
      </c>
      <c r="CD439" s="5">
        <f>+AK439+BD439*Cockpit!$C$3+BW439*Cockpit!$C$3^2+BZ439*Cockpit!$C$3^3+CA439*Cockpit!$C$3^4+CB439*Cockpit!$C$3^5+CC439*Cockpit!$C$3^6</f>
        <v>-19157.392134772024</v>
      </c>
      <c r="CE439" s="5"/>
      <c r="CF439" s="5"/>
      <c r="CG439" s="5">
        <v>0</v>
      </c>
      <c r="CH439" s="5">
        <f t="shared" si="256"/>
        <v>2500000</v>
      </c>
      <c r="CI439" s="5">
        <f t="shared" si="257"/>
        <v>2500000</v>
      </c>
      <c r="CJ439" s="1">
        <f t="shared" si="258"/>
        <v>-6.0000000000000001E-3</v>
      </c>
      <c r="CK439" s="5">
        <f>RANK(BY439,$BY$2:$BY$623)+COUNTIF($BY$2:$BY439,$BY439)-1</f>
        <v>554</v>
      </c>
      <c r="CL439" s="5">
        <f>RANK(CJ439,$CJ$2:$CJ$623)+COUNTIF($CJ$2:$CJ439,$CJ439)-1</f>
        <v>552</v>
      </c>
    </row>
    <row r="440" spans="1:90">
      <c r="A440" t="str">
        <f>Players!P441</f>
        <v>Jakub Świerczok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2000000</v>
      </c>
      <c r="H440" s="16">
        <f>INDEX('Team forecast'!$B$2:$AO$26,MATCH('Master data'!$B440,'Team forecast'!$B$2:$B$26,0),MATCH('Master data'!H$1,'Team forecast'!$B$2:$AO$2,0))</f>
        <v>1.5369105908463034</v>
      </c>
      <c r="I440" s="16">
        <f>INDEX('Team forecast'!$B$2:$AO$26,MATCH('Master data'!$B440,'Team forecast'!$B$2:$B$26,0),MATCH('Master data'!I$1,'Team forecast'!$B$2:$AO$2,0))</f>
        <v>0.81328039356128246</v>
      </c>
      <c r="J440" s="16">
        <f>INDEX('Team forecast'!$B$2:$AO$26,MATCH('Master data'!$B440,'Team forecast'!$B$2:$B$26,0),MATCH('Master data'!J$1,'Team forecast'!$B$2:$AO$2,0))</f>
        <v>0.44340114762649968</v>
      </c>
      <c r="K440" s="16">
        <f>INDEX('Team forecast'!$B$2:$AO$26,MATCH('Master data'!$B440,'Team forecast'!$B$2:$B$26,0),MATCH('Master data'!K$1,'Team forecast'!$B$2:$AO$2,0))</f>
        <v>4.6107317725389105</v>
      </c>
      <c r="L440" s="16">
        <f>INDEX('Team forecast'!$B$2:$AO$26,MATCH('Master data'!$B440,'Team forecast'!$B$2:$B$26,0),MATCH('Master data'!L$1,'Team forecast'!$B$2:$AO$2,0))</f>
        <v>2.0723952197374849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0</v>
      </c>
      <c r="R440" s="2">
        <f>Players!BR441</f>
        <v>0</v>
      </c>
      <c r="S440" s="2">
        <f t="shared" si="217"/>
        <v>1.5369105908463034</v>
      </c>
      <c r="T440" s="2">
        <f t="shared" si="218"/>
        <v>0.81328039356128246</v>
      </c>
      <c r="U440" s="16">
        <f>INDEX('Team forecast'!$B$2:$AO$26,MATCH('Master data'!$B440,'Team forecast'!$B$2:$B$26,0),MATCH('Master data'!U$1,'Team forecast'!$B$2:$AO$2,0))</f>
        <v>0.54773082942097018</v>
      </c>
      <c r="V440" s="16">
        <f>INDEX('Team forecast'!$B$2:$AO$26,MATCH('Master data'!$B440,'Team forecast'!$B$2:$B$26,0),MATCH('Master data'!V$1,'Team forecast'!$B$2:$AO$2,0))</f>
        <v>0.2660406885758998</v>
      </c>
      <c r="W440" s="16">
        <f>INDEX('Team forecast'!$B$2:$AO$26,MATCH('Master data'!$B440,'Team forecast'!$B$2:$B$26,0),MATCH('Master data'!W$1,'Team forecast'!$B$2:$AO$2,0))</f>
        <v>0.18622848200312991</v>
      </c>
      <c r="X440" s="5">
        <f t="shared" si="219"/>
        <v>-5000</v>
      </c>
      <c r="Y440" s="5">
        <f t="shared" si="220"/>
        <v>0</v>
      </c>
      <c r="Z440" s="5">
        <f t="shared" si="221"/>
        <v>0</v>
      </c>
      <c r="AA440" s="5">
        <f t="shared" si="222"/>
        <v>0</v>
      </c>
      <c r="AB440" s="5">
        <f t="shared" si="223"/>
        <v>0</v>
      </c>
      <c r="AC440" s="5">
        <f t="shared" si="224"/>
        <v>0</v>
      </c>
      <c r="AD440" s="5">
        <f t="shared" si="225"/>
        <v>0</v>
      </c>
      <c r="AE440" s="5">
        <f t="shared" si="226"/>
        <v>0</v>
      </c>
      <c r="AF440" s="5">
        <f t="shared" si="227"/>
        <v>0</v>
      </c>
      <c r="AG440" s="5">
        <f t="shared" si="228"/>
        <v>0</v>
      </c>
      <c r="AH440" s="5">
        <f t="shared" si="229"/>
        <v>0</v>
      </c>
      <c r="AI440" s="5">
        <f t="shared" si="230"/>
        <v>0</v>
      </c>
      <c r="AJ440" s="5">
        <f t="shared" si="231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0.77817916464933856</v>
      </c>
      <c r="AM440" s="16">
        <f>INDEX('Team forecast'!$B$2:$AO$26,MATCH('Master data'!$B440,'Team forecast'!$B$2:$B$26,0),MATCH('Master data'!AM$1,'Team forecast'!$B$2:$AO$2,0))</f>
        <v>1.9080439968215523</v>
      </c>
      <c r="AN440" s="16">
        <f>INDEX('Team forecast'!$B$2:$AO$26,MATCH('Master data'!$B440,'Team forecast'!$B$2:$B$26,0),MATCH('Master data'!AN$1,'Team forecast'!$B$2:$AO$2,0))</f>
        <v>0.1483703157610558</v>
      </c>
      <c r="AO440" s="16">
        <f>INDEX('Team forecast'!$B$2:$AO$26,MATCH('Master data'!$B440,'Team forecast'!$B$2:$B$26,0),MATCH('Master data'!AO$1,'Team forecast'!$B$2:$AO$2,0))</f>
        <v>2.3345374939480159</v>
      </c>
      <c r="AP440" s="16">
        <f>INDEX('Team forecast'!$B$2:$AO$26,MATCH('Master data'!$B440,'Team forecast'!$B$2:$B$26,0),MATCH('Master data'!AP$1,'Team forecast'!$B$2:$AO$2,0))</f>
        <v>4.862063919611546</v>
      </c>
      <c r="AQ440" s="5">
        <f t="shared" si="232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233"/>
        <v>0</v>
      </c>
      <c r="AV440" s="5">
        <f t="shared" si="234"/>
        <v>0</v>
      </c>
      <c r="AW440" s="5">
        <f t="shared" si="235"/>
        <v>0</v>
      </c>
      <c r="AX440" s="5">
        <f t="shared" si="236"/>
        <v>0</v>
      </c>
      <c r="AY440" s="5">
        <f t="shared" si="237"/>
        <v>0</v>
      </c>
      <c r="AZ440" s="5">
        <f t="shared" si="238"/>
        <v>0</v>
      </c>
      <c r="BA440" s="5">
        <f t="shared" si="239"/>
        <v>0</v>
      </c>
      <c r="BB440" s="5">
        <f t="shared" si="240"/>
        <v>0</v>
      </c>
      <c r="BC440" s="5">
        <f t="shared" si="241"/>
        <v>0</v>
      </c>
      <c r="BD440" s="5">
        <f t="shared" si="242"/>
        <v>-5000</v>
      </c>
      <c r="BE440" s="16">
        <f>INDEX('Team forecast'!$B$2:$AO$26,MATCH('Master data'!$B440,'Team forecast'!$B$2:$B$26,0),MATCH('Master data'!BE$1,'Team forecast'!$B$2:$AO$2,0))</f>
        <v>1.2236898885407743</v>
      </c>
      <c r="BF440" s="16">
        <f>INDEX('Team forecast'!$B$2:$AO$26,MATCH('Master data'!$B440,'Team forecast'!$B$2:$B$26,0),MATCH('Master data'!BF$1,'Team forecast'!$B$2:$AO$2,0))</f>
        <v>1.2688103238212438</v>
      </c>
      <c r="BG440" s="16">
        <f>INDEX('Team forecast'!$B$2:$AO$26,MATCH('Master data'!$B440,'Team forecast'!$B$2:$B$26,0),MATCH('Master data'!BG$1,'Team forecast'!$B$2:$AO$2,0))</f>
        <v>0.28116591928251122</v>
      </c>
      <c r="BH440" s="16">
        <f>INDEX('Team forecast'!$B$2:$AO$26,MATCH('Master data'!$B440,'Team forecast'!$B$2:$B$26,0),MATCH('Master data'!BH$1,'Team forecast'!$B$2:$AO$2,0))</f>
        <v>3.6710696656223227</v>
      </c>
      <c r="BI440" s="16">
        <f>INDEX('Team forecast'!$B$2:$AO$26,MATCH('Master data'!$B440,'Team forecast'!$B$2:$B$26,0),MATCH('Master data'!BI$1,'Team forecast'!$B$2:$AO$2,0))</f>
        <v>3.2331732950384708</v>
      </c>
      <c r="BJ440" s="5">
        <f t="shared" si="243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244"/>
        <v>0</v>
      </c>
      <c r="BO440" s="5">
        <f t="shared" si="245"/>
        <v>0</v>
      </c>
      <c r="BP440" s="5">
        <f t="shared" si="246"/>
        <v>0</v>
      </c>
      <c r="BQ440" s="5">
        <f t="shared" si="247"/>
        <v>0</v>
      </c>
      <c r="BR440" s="5">
        <f t="shared" si="248"/>
        <v>0</v>
      </c>
      <c r="BS440" s="5">
        <f t="shared" si="249"/>
        <v>0</v>
      </c>
      <c r="BT440" s="5">
        <f t="shared" si="250"/>
        <v>0</v>
      </c>
      <c r="BU440" s="5">
        <f t="shared" si="251"/>
        <v>0</v>
      </c>
      <c r="BV440" s="5">
        <f t="shared" si="252"/>
        <v>0</v>
      </c>
      <c r="BW440" s="5">
        <f t="shared" si="253"/>
        <v>-5000</v>
      </c>
      <c r="BX440" s="5">
        <f t="shared" si="254"/>
        <v>-5000</v>
      </c>
      <c r="BY440" s="5">
        <f t="shared" si="255"/>
        <v>-15000</v>
      </c>
      <c r="BZ440" s="5">
        <f>INDEX('Team forecast'!$R$3:$BH$26,MATCH($B440,'Team forecast'!$B$3:$B$26,0),MATCH(BZ$1,'Team forecast'!$R$2:$BH$2,0))*($BX440-(BY440+CH440)*0.01)</f>
        <v>-16487.381686228469</v>
      </c>
      <c r="CA440" s="5">
        <f>INDEX('Team forecast'!$R$3:$BH$26,MATCH($B440,'Team forecast'!$B$3:$B$26,0),MATCH(CA$1,'Team forecast'!$R$2:$BH$2,0))*($BX440-(BY440+BX440+CH440)*0.01)</f>
        <v>-8099.8421359227241</v>
      </c>
      <c r="CB440" s="5">
        <f>INDEX('Team forecast'!$R$3:$BH$26,MATCH($B440,'Team forecast'!$B$3:$B$26,0),MATCH(CB$1,'Team forecast'!$R$2:$BH$2,0))*($BX440-(BY440+BX440*2+CH440)*0.01)</f>
        <v>-3922.221572406143</v>
      </c>
      <c r="CC440" s="5">
        <f>INDEX('Team forecast'!$R$3:$BH$26,MATCH($B440,'Team forecast'!$B$3:$B$26,0),MATCH(CC$1,'Team forecast'!$R$2:$BH$2,0))*($BX440-(BY440+BX440*3+CH440)*0.01)</f>
        <v>-1803.3239572305704</v>
      </c>
      <c r="CD440" s="5">
        <f>+AK440+BD440*Cockpit!$C$3+BW440*Cockpit!$C$3^2+BZ440*Cockpit!$C$3^3+CA440*Cockpit!$C$3^4+CB440*Cockpit!$C$3^5+CC440*Cockpit!$C$3^6</f>
        <v>-17715.497552828485</v>
      </c>
      <c r="CE440" s="5"/>
      <c r="CF440" s="5"/>
      <c r="CG440" s="5">
        <v>0</v>
      </c>
      <c r="CH440" s="5">
        <f t="shared" si="256"/>
        <v>2000000</v>
      </c>
      <c r="CI440" s="5">
        <f t="shared" si="257"/>
        <v>2000000</v>
      </c>
      <c r="CJ440" s="1">
        <f t="shared" si="258"/>
        <v>-7.4999999999999997E-3</v>
      </c>
      <c r="CK440" s="5">
        <f>RANK(BY440,$BY$2:$BY$623)+COUNTIF($BY$2:$BY440,$BY440)-1</f>
        <v>555</v>
      </c>
      <c r="CL440" s="5">
        <f>RANK(CJ440,$CJ$2:$CJ$623)+COUNTIF($CJ$2:$CJ440,$CJ440)-1</f>
        <v>595</v>
      </c>
    </row>
    <row r="441" spans="1:90">
      <c r="A441" t="str">
        <f>Players!P442</f>
        <v>Karol Świderski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3000000</v>
      </c>
      <c r="H441" s="16">
        <f>INDEX('Team forecast'!$B$2:$AO$26,MATCH('Master data'!$B441,'Team forecast'!$B$2:$B$26,0),MATCH('Master data'!H$1,'Team forecast'!$B$2:$AO$2,0))</f>
        <v>1.5369105908463034</v>
      </c>
      <c r="I441" s="16">
        <f>INDEX('Team forecast'!$B$2:$AO$26,MATCH('Master data'!$B441,'Team forecast'!$B$2:$B$26,0),MATCH('Master data'!I$1,'Team forecast'!$B$2:$AO$2,0))</f>
        <v>0.81328039356128246</v>
      </c>
      <c r="J441" s="16">
        <f>INDEX('Team forecast'!$B$2:$AO$26,MATCH('Master data'!$B441,'Team forecast'!$B$2:$B$26,0),MATCH('Master data'!J$1,'Team forecast'!$B$2:$AO$2,0))</f>
        <v>0.44340114762649968</v>
      </c>
      <c r="K441" s="16">
        <f>INDEX('Team forecast'!$B$2:$AO$26,MATCH('Master data'!$B441,'Team forecast'!$B$2:$B$26,0),MATCH('Master data'!K$1,'Team forecast'!$B$2:$AO$2,0))</f>
        <v>4.6107317725389105</v>
      </c>
      <c r="L441" s="16">
        <f>INDEX('Team forecast'!$B$2:$AO$26,MATCH('Master data'!$B441,'Team forecast'!$B$2:$B$26,0),MATCH('Master data'!L$1,'Team forecast'!$B$2:$AO$2,0))</f>
        <v>2.0723952197374849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6.1475409836065573E-2</v>
      </c>
      <c r="R441" s="2">
        <f>Players!BR442</f>
        <v>0</v>
      </c>
      <c r="S441" s="2">
        <f t="shared" si="217"/>
        <v>1.5369105908463034</v>
      </c>
      <c r="T441" s="2">
        <f t="shared" si="218"/>
        <v>0.81328039356128246</v>
      </c>
      <c r="U441" s="16">
        <f>INDEX('Team forecast'!$B$2:$AO$26,MATCH('Master data'!$B441,'Team forecast'!$B$2:$B$26,0),MATCH('Master data'!U$1,'Team forecast'!$B$2:$AO$2,0))</f>
        <v>0.54773082942097018</v>
      </c>
      <c r="V441" s="16">
        <f>INDEX('Team forecast'!$B$2:$AO$26,MATCH('Master data'!$B441,'Team forecast'!$B$2:$B$26,0),MATCH('Master data'!V$1,'Team forecast'!$B$2:$AO$2,0))</f>
        <v>0.2660406885758998</v>
      </c>
      <c r="W441" s="16">
        <f>INDEX('Team forecast'!$B$2:$AO$26,MATCH('Master data'!$B441,'Team forecast'!$B$2:$B$26,0),MATCH('Master data'!W$1,'Team forecast'!$B$2:$AO$2,0))</f>
        <v>0.18622848200312991</v>
      </c>
      <c r="X441" s="5">
        <f t="shared" si="219"/>
        <v>-5000</v>
      </c>
      <c r="Y441" s="5">
        <f t="shared" si="220"/>
        <v>0</v>
      </c>
      <c r="Z441" s="5">
        <f t="shared" si="221"/>
        <v>0</v>
      </c>
      <c r="AA441" s="5">
        <f t="shared" si="222"/>
        <v>0</v>
      </c>
      <c r="AB441" s="5">
        <f t="shared" si="223"/>
        <v>0</v>
      </c>
      <c r="AC441" s="5">
        <f t="shared" si="224"/>
        <v>0</v>
      </c>
      <c r="AD441" s="5">
        <f t="shared" si="225"/>
        <v>0</v>
      </c>
      <c r="AE441" s="5">
        <f t="shared" si="226"/>
        <v>0</v>
      </c>
      <c r="AF441" s="5">
        <f t="shared" si="227"/>
        <v>0</v>
      </c>
      <c r="AG441" s="5">
        <f t="shared" si="228"/>
        <v>0</v>
      </c>
      <c r="AH441" s="5">
        <f t="shared" si="229"/>
        <v>0</v>
      </c>
      <c r="AI441" s="5">
        <f t="shared" si="230"/>
        <v>0</v>
      </c>
      <c r="AJ441" s="5">
        <f t="shared" si="231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0.77817916464933856</v>
      </c>
      <c r="AM441" s="16">
        <f>INDEX('Team forecast'!$B$2:$AO$26,MATCH('Master data'!$B441,'Team forecast'!$B$2:$B$26,0),MATCH('Master data'!AM$1,'Team forecast'!$B$2:$AO$2,0))</f>
        <v>1.9080439968215523</v>
      </c>
      <c r="AN441" s="16">
        <f>INDEX('Team forecast'!$B$2:$AO$26,MATCH('Master data'!$B441,'Team forecast'!$B$2:$B$26,0),MATCH('Master data'!AN$1,'Team forecast'!$B$2:$AO$2,0))</f>
        <v>0.1483703157610558</v>
      </c>
      <c r="AO441" s="16">
        <f>INDEX('Team forecast'!$B$2:$AO$26,MATCH('Master data'!$B441,'Team forecast'!$B$2:$B$26,0),MATCH('Master data'!AO$1,'Team forecast'!$B$2:$AO$2,0))</f>
        <v>2.3345374939480159</v>
      </c>
      <c r="AP441" s="16">
        <f>INDEX('Team forecast'!$B$2:$AO$26,MATCH('Master data'!$B441,'Team forecast'!$B$2:$B$26,0),MATCH('Master data'!AP$1,'Team forecast'!$B$2:$AO$2,0))</f>
        <v>4.862063919611546</v>
      </c>
      <c r="AQ441" s="5">
        <f t="shared" si="232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233"/>
        <v>0</v>
      </c>
      <c r="AV441" s="5">
        <f t="shared" si="234"/>
        <v>0</v>
      </c>
      <c r="AW441" s="5">
        <f t="shared" si="235"/>
        <v>0</v>
      </c>
      <c r="AX441" s="5">
        <f t="shared" si="236"/>
        <v>0</v>
      </c>
      <c r="AY441" s="5">
        <f t="shared" si="237"/>
        <v>0</v>
      </c>
      <c r="AZ441" s="5">
        <f t="shared" si="238"/>
        <v>0</v>
      </c>
      <c r="BA441" s="5">
        <f t="shared" si="239"/>
        <v>0</v>
      </c>
      <c r="BB441" s="5">
        <f t="shared" si="240"/>
        <v>0</v>
      </c>
      <c r="BC441" s="5">
        <f t="shared" si="241"/>
        <v>0</v>
      </c>
      <c r="BD441" s="5">
        <f t="shared" si="242"/>
        <v>-5000</v>
      </c>
      <c r="BE441" s="16">
        <f>INDEX('Team forecast'!$B$2:$AO$26,MATCH('Master data'!$B441,'Team forecast'!$B$2:$B$26,0),MATCH('Master data'!BE$1,'Team forecast'!$B$2:$AO$2,0))</f>
        <v>1.2236898885407743</v>
      </c>
      <c r="BF441" s="16">
        <f>INDEX('Team forecast'!$B$2:$AO$26,MATCH('Master data'!$B441,'Team forecast'!$B$2:$B$26,0),MATCH('Master data'!BF$1,'Team forecast'!$B$2:$AO$2,0))</f>
        <v>1.2688103238212438</v>
      </c>
      <c r="BG441" s="16">
        <f>INDEX('Team forecast'!$B$2:$AO$26,MATCH('Master data'!$B441,'Team forecast'!$B$2:$B$26,0),MATCH('Master data'!BG$1,'Team forecast'!$B$2:$AO$2,0))</f>
        <v>0.28116591928251122</v>
      </c>
      <c r="BH441" s="16">
        <f>INDEX('Team forecast'!$B$2:$AO$26,MATCH('Master data'!$B441,'Team forecast'!$B$2:$B$26,0),MATCH('Master data'!BH$1,'Team forecast'!$B$2:$AO$2,0))</f>
        <v>3.6710696656223227</v>
      </c>
      <c r="BI441" s="16">
        <f>INDEX('Team forecast'!$B$2:$AO$26,MATCH('Master data'!$B441,'Team forecast'!$B$2:$B$26,0),MATCH('Master data'!BI$1,'Team forecast'!$B$2:$AO$2,0))</f>
        <v>3.2331732950384708</v>
      </c>
      <c r="BJ441" s="5">
        <f t="shared" si="243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244"/>
        <v>0</v>
      </c>
      <c r="BO441" s="5">
        <f t="shared" si="245"/>
        <v>0</v>
      </c>
      <c r="BP441" s="5">
        <f t="shared" si="246"/>
        <v>0</v>
      </c>
      <c r="BQ441" s="5">
        <f t="shared" si="247"/>
        <v>0</v>
      </c>
      <c r="BR441" s="5">
        <f t="shared" si="248"/>
        <v>0</v>
      </c>
      <c r="BS441" s="5">
        <f t="shared" si="249"/>
        <v>0</v>
      </c>
      <c r="BT441" s="5">
        <f t="shared" si="250"/>
        <v>0</v>
      </c>
      <c r="BU441" s="5">
        <f t="shared" si="251"/>
        <v>0</v>
      </c>
      <c r="BV441" s="5">
        <f t="shared" si="252"/>
        <v>0</v>
      </c>
      <c r="BW441" s="5">
        <f t="shared" si="253"/>
        <v>-5000</v>
      </c>
      <c r="BX441" s="5">
        <f t="shared" si="254"/>
        <v>-5000</v>
      </c>
      <c r="BY441" s="5">
        <f t="shared" si="255"/>
        <v>-15000</v>
      </c>
      <c r="BZ441" s="5">
        <f>INDEX('Team forecast'!$R$3:$BH$26,MATCH($B441,'Team forecast'!$B$3:$B$26,0),MATCH(BZ$1,'Team forecast'!$R$2:$BH$2,0))*($BX441-(BY441+CH441)*0.01)</f>
        <v>-23122.142928171514</v>
      </c>
      <c r="CA441" s="5">
        <f>INDEX('Team forecast'!$R$3:$BH$26,MATCH($B441,'Team forecast'!$B$3:$B$26,0),MATCH(CA$1,'Team forecast'!$R$2:$BH$2,0))*($BX441-(BY441+BX441+CH441)*0.01)</f>
        <v>-11365.90751331092</v>
      </c>
      <c r="CB441" s="5">
        <f>INDEX('Team forecast'!$R$3:$BH$26,MATCH($B441,'Team forecast'!$B$3:$B$26,0),MATCH(CB$1,'Team forecast'!$R$2:$BH$2,0))*($BX441-(BY441+BX441*2+CH441)*0.01)</f>
        <v>-5506.9575612571098</v>
      </c>
      <c r="CC441" s="5">
        <f>INDEX('Team forecast'!$R$3:$BH$26,MATCH($B441,'Team forecast'!$B$3:$B$26,0),MATCH(CC$1,'Team forecast'!$R$2:$BH$2,0))*($BX441-(BY441+BX441*3+CH441)*0.01)</f>
        <v>-2533.4146281741209</v>
      </c>
      <c r="CD441" s="5">
        <f>+AK441+BD441*Cockpit!$C$3+BW441*Cockpit!$C$3^2+BZ441*Cockpit!$C$3^3+CA441*Cockpit!$C$3^4+CB441*Cockpit!$C$3^5+CC441*Cockpit!$C$3^6</f>
        <v>-20599.28671671556</v>
      </c>
      <c r="CE441" s="5"/>
      <c r="CF441" s="5"/>
      <c r="CG441" s="5">
        <v>0</v>
      </c>
      <c r="CH441" s="5">
        <f t="shared" si="256"/>
        <v>3000000</v>
      </c>
      <c r="CI441" s="5">
        <f t="shared" si="257"/>
        <v>3000000</v>
      </c>
      <c r="CJ441" s="1">
        <f t="shared" si="258"/>
        <v>-5.0000000000000001E-3</v>
      </c>
      <c r="CK441" s="5">
        <f>RANK(BY441,$BY$2:$BY$623)+COUNTIF($BY$2:$BY441,$BY441)-1</f>
        <v>556</v>
      </c>
      <c r="CL441" s="5">
        <f>RANK(CJ441,$CJ$2:$CJ$623)+COUNTIF($CJ$2:$CJ441,$CJ441)-1</f>
        <v>517</v>
      </c>
    </row>
    <row r="442" spans="1:90">
      <c r="A442" t="str">
        <f>Players!P443</f>
        <v>Dawid Kownacki</v>
      </c>
      <c r="B442" t="str">
        <f>Players!G443</f>
        <v>Poland</v>
      </c>
      <c r="C442" t="str">
        <f>Players!AB443</f>
        <v>Striker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2500000</v>
      </c>
      <c r="H442" s="16">
        <f>INDEX('Team forecast'!$B$2:$AO$26,MATCH('Master data'!$B442,'Team forecast'!$B$2:$B$26,0),MATCH('Master data'!H$1,'Team forecast'!$B$2:$AO$2,0))</f>
        <v>1.5369105908463034</v>
      </c>
      <c r="I442" s="16">
        <f>INDEX('Team forecast'!$B$2:$AO$26,MATCH('Master data'!$B442,'Team forecast'!$B$2:$B$26,0),MATCH('Master data'!I$1,'Team forecast'!$B$2:$AO$2,0))</f>
        <v>0.81328039356128246</v>
      </c>
      <c r="J442" s="16">
        <f>INDEX('Team forecast'!$B$2:$AO$26,MATCH('Master data'!$B442,'Team forecast'!$B$2:$B$26,0),MATCH('Master data'!J$1,'Team forecast'!$B$2:$AO$2,0))</f>
        <v>0.44340114762649968</v>
      </c>
      <c r="K442" s="16">
        <f>INDEX('Team forecast'!$B$2:$AO$26,MATCH('Master data'!$B442,'Team forecast'!$B$2:$B$26,0),MATCH('Master data'!K$1,'Team forecast'!$B$2:$AO$2,0))</f>
        <v>4.6107317725389105</v>
      </c>
      <c r="L442" s="16">
        <f>INDEX('Team forecast'!$B$2:$AO$26,MATCH('Master data'!$B442,'Team forecast'!$B$2:$B$26,0),MATCH('Master data'!L$1,'Team forecast'!$B$2:$AO$2,0))</f>
        <v>2.0723952197374849</v>
      </c>
      <c r="M442">
        <f>IF(Players!BC443=1,95,0)</f>
        <v>0</v>
      </c>
      <c r="N442" s="2">
        <f>Players!BN443</f>
        <v>0</v>
      </c>
      <c r="O442" s="2">
        <f>Players!BO443</f>
        <v>0</v>
      </c>
      <c r="P442" s="2">
        <f>Players!BP443</f>
        <v>0</v>
      </c>
      <c r="Q442" s="2">
        <f>Players!BQ443</f>
        <v>0.11428571428571428</v>
      </c>
      <c r="R442" s="2">
        <f>Players!BR443</f>
        <v>0</v>
      </c>
      <c r="S442" s="2">
        <f t="shared" si="217"/>
        <v>1.5369105908463034</v>
      </c>
      <c r="T442" s="2">
        <f t="shared" si="218"/>
        <v>0.81328039356128246</v>
      </c>
      <c r="U442" s="16">
        <f>INDEX('Team forecast'!$B$2:$AO$26,MATCH('Master data'!$B442,'Team forecast'!$B$2:$B$26,0),MATCH('Master data'!U$1,'Team forecast'!$B$2:$AO$2,0))</f>
        <v>0.54773082942097018</v>
      </c>
      <c r="V442" s="16">
        <f>INDEX('Team forecast'!$B$2:$AO$26,MATCH('Master data'!$B442,'Team forecast'!$B$2:$B$26,0),MATCH('Master data'!V$1,'Team forecast'!$B$2:$AO$2,0))</f>
        <v>0.2660406885758998</v>
      </c>
      <c r="W442" s="16">
        <f>INDEX('Team forecast'!$B$2:$AO$26,MATCH('Master data'!$B442,'Team forecast'!$B$2:$B$26,0),MATCH('Master data'!W$1,'Team forecast'!$B$2:$AO$2,0))</f>
        <v>0.18622848200312991</v>
      </c>
      <c r="X442" s="5">
        <f t="shared" si="219"/>
        <v>-5000</v>
      </c>
      <c r="Y442" s="5">
        <f t="shared" si="220"/>
        <v>0</v>
      </c>
      <c r="Z442" s="5">
        <f t="shared" si="221"/>
        <v>0</v>
      </c>
      <c r="AA442" s="5">
        <f t="shared" si="222"/>
        <v>0</v>
      </c>
      <c r="AB442" s="5">
        <f t="shared" si="223"/>
        <v>0</v>
      </c>
      <c r="AC442" s="5">
        <f t="shared" si="224"/>
        <v>0</v>
      </c>
      <c r="AD442" s="5">
        <f t="shared" si="225"/>
        <v>0</v>
      </c>
      <c r="AE442" s="5">
        <f t="shared" si="226"/>
        <v>0</v>
      </c>
      <c r="AF442" s="5">
        <f t="shared" si="227"/>
        <v>0</v>
      </c>
      <c r="AG442" s="5">
        <f t="shared" si="228"/>
        <v>0</v>
      </c>
      <c r="AH442" s="5">
        <f t="shared" si="229"/>
        <v>0</v>
      </c>
      <c r="AI442" s="5">
        <f t="shared" si="230"/>
        <v>0</v>
      </c>
      <c r="AJ442" s="5">
        <f t="shared" si="231"/>
        <v>0</v>
      </c>
      <c r="AK442" s="5">
        <f>IFERROR(SUM(X442:AJ442),-5000)*((Cockpit!$C$3)^0)</f>
        <v>-5000</v>
      </c>
      <c r="AL442" s="16">
        <f>INDEX('Team forecast'!$B$2:$AO$26,MATCH('Master data'!$B442,'Team forecast'!$B$2:$B$26,0),MATCH('Master data'!AL$1,'Team forecast'!$B$2:$AO$2,0))</f>
        <v>0.77817916464933856</v>
      </c>
      <c r="AM442" s="16">
        <f>INDEX('Team forecast'!$B$2:$AO$26,MATCH('Master data'!$B442,'Team forecast'!$B$2:$B$26,0),MATCH('Master data'!AM$1,'Team forecast'!$B$2:$AO$2,0))</f>
        <v>1.9080439968215523</v>
      </c>
      <c r="AN442" s="16">
        <f>INDEX('Team forecast'!$B$2:$AO$26,MATCH('Master data'!$B442,'Team forecast'!$B$2:$B$26,0),MATCH('Master data'!AN$1,'Team forecast'!$B$2:$AO$2,0))</f>
        <v>0.1483703157610558</v>
      </c>
      <c r="AO442" s="16">
        <f>INDEX('Team forecast'!$B$2:$AO$26,MATCH('Master data'!$B442,'Team forecast'!$B$2:$B$26,0),MATCH('Master data'!AO$1,'Team forecast'!$B$2:$AO$2,0))</f>
        <v>2.3345374939480159</v>
      </c>
      <c r="AP442" s="16">
        <f>INDEX('Team forecast'!$B$2:$AO$26,MATCH('Master data'!$B442,'Team forecast'!$B$2:$B$26,0),MATCH('Master data'!AP$1,'Team forecast'!$B$2:$AO$2,0))</f>
        <v>4.862063919611546</v>
      </c>
      <c r="AQ442" s="5">
        <f t="shared" si="232"/>
        <v>-5000</v>
      </c>
      <c r="AR442" s="5">
        <f>INDEX('Team forecast'!$B$2:$AO$26,MATCH('Master data'!$B442,'Team forecast'!$B$2:$B$26,0),MATCH('Master data'!AR$1,'Team forecast'!$B$2:$AO$2,0))*IF(X442&gt;0,25000,0)</f>
        <v>0</v>
      </c>
      <c r="AS442" s="16">
        <f>INDEX('Team forecast'!$B$2:$AO$26,MATCH('Master data'!$B442,'Team forecast'!$B$2:$B$26,0),MATCH('Master data'!AS$1,'Team forecast'!$B$2:$AO$2,0))*IF(X442&gt;0,5000,0)</f>
        <v>0</v>
      </c>
      <c r="AT442" s="16">
        <f>INDEX('Team forecast'!$B$2:$AO$26,MATCH('Master data'!$B442,'Team forecast'!$B$2:$B$26,0),MATCH('Master data'!AT$1,'Team forecast'!$B$2:$AO$2,0))*IF(X442&gt;0,-15000,0)</f>
        <v>0</v>
      </c>
      <c r="AU442" s="5">
        <f t="shared" si="233"/>
        <v>0</v>
      </c>
      <c r="AV442" s="5">
        <f t="shared" si="234"/>
        <v>0</v>
      </c>
      <c r="AW442" s="5">
        <f t="shared" si="235"/>
        <v>0</v>
      </c>
      <c r="AX442" s="5">
        <f t="shared" si="236"/>
        <v>0</v>
      </c>
      <c r="AY442" s="5">
        <f t="shared" si="237"/>
        <v>0</v>
      </c>
      <c r="AZ442" s="5">
        <f t="shared" si="238"/>
        <v>0</v>
      </c>
      <c r="BA442" s="5">
        <f t="shared" si="239"/>
        <v>0</v>
      </c>
      <c r="BB442" s="5">
        <f t="shared" si="240"/>
        <v>0</v>
      </c>
      <c r="BC442" s="5">
        <f t="shared" si="241"/>
        <v>0</v>
      </c>
      <c r="BD442" s="5">
        <f t="shared" si="242"/>
        <v>-5000</v>
      </c>
      <c r="BE442" s="16">
        <f>INDEX('Team forecast'!$B$2:$AO$26,MATCH('Master data'!$B442,'Team forecast'!$B$2:$B$26,0),MATCH('Master data'!BE$1,'Team forecast'!$B$2:$AO$2,0))</f>
        <v>1.2236898885407743</v>
      </c>
      <c r="BF442" s="16">
        <f>INDEX('Team forecast'!$B$2:$AO$26,MATCH('Master data'!$B442,'Team forecast'!$B$2:$B$26,0),MATCH('Master data'!BF$1,'Team forecast'!$B$2:$AO$2,0))</f>
        <v>1.2688103238212438</v>
      </c>
      <c r="BG442" s="16">
        <f>INDEX('Team forecast'!$B$2:$AO$26,MATCH('Master data'!$B442,'Team forecast'!$B$2:$B$26,0),MATCH('Master data'!BG$1,'Team forecast'!$B$2:$AO$2,0))</f>
        <v>0.28116591928251122</v>
      </c>
      <c r="BH442" s="16">
        <f>INDEX('Team forecast'!$B$2:$AO$26,MATCH('Master data'!$B442,'Team forecast'!$B$2:$B$26,0),MATCH('Master data'!BH$1,'Team forecast'!$B$2:$AO$2,0))</f>
        <v>3.6710696656223227</v>
      </c>
      <c r="BI442" s="16">
        <f>INDEX('Team forecast'!$B$2:$AO$26,MATCH('Master data'!$B442,'Team forecast'!$B$2:$B$26,0),MATCH('Master data'!BI$1,'Team forecast'!$B$2:$AO$2,0))</f>
        <v>3.2331732950384708</v>
      </c>
      <c r="BJ442" s="5">
        <f t="shared" si="243"/>
        <v>-5000</v>
      </c>
      <c r="BK442" s="5">
        <f>INDEX('Team forecast'!$R$3:$BH$26,MATCH($B442,'Team forecast'!$B$3:$B$26,0),MATCH(BK$1,'Team forecast'!$R$2:$BH$2,0))*IF($X442&gt;0,25000,0)</f>
        <v>0</v>
      </c>
      <c r="BL442" s="5">
        <f>INDEX('Team forecast'!$R$3:$BH$26,MATCH($B442,'Team forecast'!$B$3:$B$26,0),MATCH(BL$1,'Team forecast'!$R$2:$BH$2,0))*IF($X442&gt;0,5000,0)</f>
        <v>0</v>
      </c>
      <c r="BM442" s="5">
        <f>INDEX('Team forecast'!$R$3:$BH$26,MATCH($B442,'Team forecast'!$B$3:$B$26,0),MATCH(BM$1,'Team forecast'!$R$2:$BH$2,0))*IF($X442&gt;0,-15000,0)</f>
        <v>0</v>
      </c>
      <c r="BN442" s="5">
        <f t="shared" si="244"/>
        <v>0</v>
      </c>
      <c r="BO442" s="5">
        <f t="shared" si="245"/>
        <v>0</v>
      </c>
      <c r="BP442" s="5">
        <f t="shared" si="246"/>
        <v>0</v>
      </c>
      <c r="BQ442" s="5">
        <f t="shared" si="247"/>
        <v>0</v>
      </c>
      <c r="BR442" s="5">
        <f t="shared" si="248"/>
        <v>0</v>
      </c>
      <c r="BS442" s="5">
        <f t="shared" si="249"/>
        <v>0</v>
      </c>
      <c r="BT442" s="5">
        <f t="shared" si="250"/>
        <v>0</v>
      </c>
      <c r="BU442" s="5">
        <f t="shared" si="251"/>
        <v>0</v>
      </c>
      <c r="BV442" s="5">
        <f t="shared" si="252"/>
        <v>0</v>
      </c>
      <c r="BW442" s="5">
        <f t="shared" si="253"/>
        <v>-5000</v>
      </c>
      <c r="BX442" s="5">
        <f t="shared" si="254"/>
        <v>-5000</v>
      </c>
      <c r="BY442" s="5">
        <f t="shared" si="255"/>
        <v>-15000</v>
      </c>
      <c r="BZ442" s="5">
        <f>INDEX('Team forecast'!$R$3:$BH$26,MATCH($B442,'Team forecast'!$B$3:$B$26,0),MATCH(BZ$1,'Team forecast'!$R$2:$BH$2,0))*($BX442-(BY442+CH442)*0.01)</f>
        <v>-19804.762307199991</v>
      </c>
      <c r="CA442" s="5">
        <f>INDEX('Team forecast'!$R$3:$BH$26,MATCH($B442,'Team forecast'!$B$3:$B$26,0),MATCH(CA$1,'Team forecast'!$R$2:$BH$2,0))*($BX442-(BY442+BX442+CH442)*0.01)</f>
        <v>-9732.8748246168216</v>
      </c>
      <c r="CB442" s="5">
        <f>INDEX('Team forecast'!$R$3:$BH$26,MATCH($B442,'Team forecast'!$B$3:$B$26,0),MATCH(CB$1,'Team forecast'!$R$2:$BH$2,0))*($BX442-(BY442+BX442*2+CH442)*0.01)</f>
        <v>-4714.5895668316261</v>
      </c>
      <c r="CC442" s="5">
        <f>INDEX('Team forecast'!$R$3:$BH$26,MATCH($B442,'Team forecast'!$B$3:$B$26,0),MATCH(CC$1,'Team forecast'!$R$2:$BH$2,0))*($BX442-(BY442+BX442*3+CH442)*0.01)</f>
        <v>-2168.3692927023458</v>
      </c>
      <c r="CD442" s="5">
        <f>+AK442+BD442*Cockpit!$C$3+BW442*Cockpit!$C$3^2+BZ442*Cockpit!$C$3^3+CA442*Cockpit!$C$3^4+CB442*Cockpit!$C$3^5+CC442*Cockpit!$C$3^6</f>
        <v>-19157.392134772024</v>
      </c>
      <c r="CE442" s="5"/>
      <c r="CF442" s="5"/>
      <c r="CG442" s="5">
        <v>0</v>
      </c>
      <c r="CH442" s="5">
        <f t="shared" si="256"/>
        <v>2500000</v>
      </c>
      <c r="CI442" s="5">
        <f t="shared" si="257"/>
        <v>2500000</v>
      </c>
      <c r="CJ442" s="1">
        <f t="shared" si="258"/>
        <v>-6.0000000000000001E-3</v>
      </c>
      <c r="CK442" s="5">
        <f>RANK(BY442,$BY$2:$BY$623)+COUNTIF($BY$2:$BY442,$BY442)-1</f>
        <v>557</v>
      </c>
      <c r="CL442" s="5">
        <f>RANK(CJ442,$CJ$2:$CJ$623)+COUNTIF($CJ$2:$CJ442,$CJ442)-1</f>
        <v>553</v>
      </c>
    </row>
    <row r="443" spans="1:90">
      <c r="A443" t="str">
        <f>Players!P444</f>
        <v>Ezgjan Alioski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3000000</v>
      </c>
      <c r="H443" s="16">
        <f>INDEX('Team forecast'!$B$2:$AO$26,MATCH('Master data'!$B443,'Team forecast'!$B$2:$B$26,0),MATCH('Master data'!H$1,'Team forecast'!$B$2:$AO$2,0))</f>
        <v>0.65653770483831209</v>
      </c>
      <c r="I443" s="16">
        <f>INDEX('Team forecast'!$B$2:$AO$26,MATCH('Master data'!$B443,'Team forecast'!$B$2:$B$26,0),MATCH('Master data'!I$1,'Team forecast'!$B$2:$AO$2,0))</f>
        <v>1.5562991347612565</v>
      </c>
      <c r="J443" s="16">
        <f>INDEX('Team forecast'!$B$2:$AO$26,MATCH('Master data'!$B443,'Team forecast'!$B$2:$B$26,0),MATCH('Master data'!J$1,'Team forecast'!$B$2:$AO$2,0))</f>
        <v>0.2109151973131822</v>
      </c>
      <c r="K443" s="16">
        <f>INDEX('Team forecast'!$B$2:$AO$26,MATCH('Master data'!$B443,'Team forecast'!$B$2:$B$26,0),MATCH('Master data'!K$1,'Team forecast'!$B$2:$AO$2,0))</f>
        <v>2.1553005461863779</v>
      </c>
      <c r="L443" s="16">
        <f>INDEX('Team forecast'!$B$2:$AO$26,MATCH('Master data'!$B443,'Team forecast'!$B$2:$B$26,0),MATCH('Master data'!L$1,'Team forecast'!$B$2:$AO$2,0))</f>
        <v>3.8246785340123335</v>
      </c>
      <c r="M443">
        <f>IF(Players!BC444=1,95,0)</f>
        <v>95</v>
      </c>
      <c r="N443" s="2">
        <f>Players!BN444</f>
        <v>9.1300980450611552E-2</v>
      </c>
      <c r="O443" s="2">
        <f>Players!BO444</f>
        <v>0.18797235325960035</v>
      </c>
      <c r="P443" s="2">
        <f>Players!BP444</f>
        <v>8.8792254009358196E-2</v>
      </c>
      <c r="Q443" s="2">
        <f>Players!BQ444</f>
        <v>0.22789281364190014</v>
      </c>
      <c r="R443" s="2">
        <f>Players!BR444</f>
        <v>0</v>
      </c>
      <c r="S443" s="2">
        <f t="shared" si="217"/>
        <v>0.65653770483831209</v>
      </c>
      <c r="T443" s="2">
        <f t="shared" si="218"/>
        <v>1.5562991347612565</v>
      </c>
      <c r="U443" s="16">
        <f>INDEX('Team forecast'!$B$2:$AO$26,MATCH('Master data'!$B443,'Team forecast'!$B$2:$B$26,0),MATCH('Master data'!U$1,'Team forecast'!$B$2:$AO$2,0))</f>
        <v>0.15818639798488671</v>
      </c>
      <c r="V443" s="16">
        <f>INDEX('Team forecast'!$B$2:$AO$26,MATCH('Master data'!$B443,'Team forecast'!$B$2:$B$26,0),MATCH('Master data'!V$1,'Team forecast'!$B$2:$AO$2,0))</f>
        <v>0.23727959697733</v>
      </c>
      <c r="W443" s="16">
        <f>INDEX('Team forecast'!$B$2:$AO$26,MATCH('Master data'!$B443,'Team forecast'!$B$2:$B$26,0),MATCH('Master data'!W$1,'Team forecast'!$B$2:$AO$2,0))</f>
        <v>0.60453400503778332</v>
      </c>
      <c r="X443" s="5">
        <f t="shared" si="219"/>
        <v>7000</v>
      </c>
      <c r="Y443" s="5">
        <f t="shared" si="220"/>
        <v>3954.6599496221675</v>
      </c>
      <c r="Z443" s="5">
        <f t="shared" si="221"/>
        <v>1186.39798488665</v>
      </c>
      <c r="AA443" s="5">
        <f t="shared" si="222"/>
        <v>-9068.0100755667499</v>
      </c>
      <c r="AB443" s="5">
        <f t="shared" si="223"/>
        <v>7492.8170193165133</v>
      </c>
      <c r="AC443" s="5">
        <f t="shared" si="224"/>
        <v>6170.5468691057213</v>
      </c>
      <c r="AD443" s="5">
        <f t="shared" si="225"/>
        <v>1913.7399356348933</v>
      </c>
      <c r="AE443" s="5">
        <f t="shared" si="226"/>
        <v>0</v>
      </c>
      <c r="AF443" s="5">
        <f t="shared" si="227"/>
        <v>0</v>
      </c>
      <c r="AG443" s="5">
        <f t="shared" si="228"/>
        <v>-4557.856272838003</v>
      </c>
      <c r="AH443" s="5">
        <f t="shared" si="229"/>
        <v>0</v>
      </c>
      <c r="AI443" s="5">
        <f t="shared" si="230"/>
        <v>6565.3770483831213</v>
      </c>
      <c r="AJ443" s="5">
        <f t="shared" si="231"/>
        <v>-12450.393078090052</v>
      </c>
      <c r="AK443" s="5">
        <f>IFERROR(SUM(X443:AJ443),-5000)*((Cockpit!$C$3)^0)</f>
        <v>8207.2793804542634</v>
      </c>
      <c r="AL443" s="16">
        <f>INDEX('Team forecast'!$B$2:$AO$26,MATCH('Master data'!$B443,'Team forecast'!$B$2:$B$26,0),MATCH('Master data'!AL$1,'Team forecast'!$B$2:$AO$2,0))</f>
        <v>0.76028648339757388</v>
      </c>
      <c r="AM443" s="16">
        <f>INDEX('Team forecast'!$B$2:$AO$26,MATCH('Master data'!$B443,'Team forecast'!$B$2:$B$26,0),MATCH('Master data'!AM$1,'Team forecast'!$B$2:$AO$2,0))</f>
        <v>1.5712166996139025</v>
      </c>
      <c r="AN443" s="16">
        <f>INDEX('Team forecast'!$B$2:$AO$26,MATCH('Master data'!$B443,'Team forecast'!$B$2:$B$26,0),MATCH('Master data'!AN$1,'Team forecast'!$B$2:$AO$2,0))</f>
        <v>0.20779220779220781</v>
      </c>
      <c r="AO443" s="16">
        <f>INDEX('Team forecast'!$B$2:$AO$26,MATCH('Master data'!$B443,'Team forecast'!$B$2:$B$26,0),MATCH('Master data'!AO$1,'Team forecast'!$B$2:$AO$2,0))</f>
        <v>2.4958899707496114</v>
      </c>
      <c r="AP443" s="16">
        <f>INDEX('Team forecast'!$B$2:$AO$26,MATCH('Master data'!$B443,'Team forecast'!$B$2:$B$26,0),MATCH('Master data'!AP$1,'Team forecast'!$B$2:$AO$2,0))</f>
        <v>3.8613391532964307</v>
      </c>
      <c r="AQ443" s="5">
        <f t="shared" si="232"/>
        <v>7000</v>
      </c>
      <c r="AR443" s="5">
        <f>INDEX('Team forecast'!$B$2:$AO$26,MATCH('Master data'!$B443,'Team forecast'!$B$2:$B$26,0),MATCH('Master data'!AR$1,'Team forecast'!$B$2:$AO$2,0))*IF(X443&gt;0,25000,0)</f>
        <v>3896.1038961038953</v>
      </c>
      <c r="AS443" s="16">
        <f>INDEX('Team forecast'!$B$2:$AO$26,MATCH('Master data'!$B443,'Team forecast'!$B$2:$B$26,0),MATCH('Master data'!AS$1,'Team forecast'!$B$2:$AO$2,0))*IF(X443&gt;0,5000,0)</f>
        <v>1298.7012987012986</v>
      </c>
      <c r="AT443" s="16">
        <f>INDEX('Team forecast'!$B$2:$AO$26,MATCH('Master data'!$B443,'Team forecast'!$B$2:$B$26,0),MATCH('Master data'!AT$1,'Team forecast'!$B$2:$AO$2,0))*IF(X443&gt;0,-15000,0)</f>
        <v>-8766.233766233765</v>
      </c>
      <c r="AU443" s="5">
        <f t="shared" si="233"/>
        <v>8676.8626696932624</v>
      </c>
      <c r="AV443" s="5">
        <f t="shared" si="234"/>
        <v>7145.6419717854014</v>
      </c>
      <c r="AW443" s="5">
        <f t="shared" si="235"/>
        <v>2216.1569626220908</v>
      </c>
      <c r="AX443" s="5">
        <f t="shared" si="236"/>
        <v>0</v>
      </c>
      <c r="AY443" s="5">
        <f t="shared" si="237"/>
        <v>0</v>
      </c>
      <c r="AZ443" s="5">
        <f t="shared" si="238"/>
        <v>-4557.856272838003</v>
      </c>
      <c r="BA443" s="5">
        <f t="shared" si="239"/>
        <v>0</v>
      </c>
      <c r="BB443" s="5">
        <f t="shared" si="240"/>
        <v>7602.8648339757392</v>
      </c>
      <c r="BC443" s="5">
        <f t="shared" si="241"/>
        <v>-12569.733596911221</v>
      </c>
      <c r="BD443" s="5">
        <f t="shared" si="242"/>
        <v>11942.507996898701</v>
      </c>
      <c r="BE443" s="16">
        <f>INDEX('Team forecast'!$B$2:$AO$26,MATCH('Master data'!$B443,'Team forecast'!$B$2:$B$26,0),MATCH('Master data'!BE$1,'Team forecast'!$B$2:$AO$2,0))</f>
        <v>0.49102780480244929</v>
      </c>
      <c r="BF443" s="16">
        <f>INDEX('Team forecast'!$B$2:$AO$26,MATCH('Master data'!$B443,'Team forecast'!$B$2:$B$26,0),MATCH('Master data'!BF$1,'Team forecast'!$B$2:$AO$2,0))</f>
        <v>2.3683451623921505</v>
      </c>
      <c r="BG443" s="16">
        <f>INDEX('Team forecast'!$B$2:$AO$26,MATCH('Master data'!$B443,'Team forecast'!$B$2:$B$26,0),MATCH('Master data'!BG$1,'Team forecast'!$B$2:$AO$2,0))</f>
        <v>9.3635549768047527E-2</v>
      </c>
      <c r="BH443" s="16">
        <f>INDEX('Team forecast'!$B$2:$AO$26,MATCH('Master data'!$B443,'Team forecast'!$B$2:$B$26,0),MATCH('Master data'!BH$1,'Team forecast'!$B$2:$AO$2,0))</f>
        <v>1.6119599652605658</v>
      </c>
      <c r="BI443" s="16">
        <f>INDEX('Team forecast'!$B$2:$AO$26,MATCH('Master data'!$B443,'Team forecast'!$B$2:$B$26,0),MATCH('Master data'!BI$1,'Team forecast'!$B$2:$AO$2,0))</f>
        <v>5.8203199509731629</v>
      </c>
      <c r="BJ443" s="5">
        <f t="shared" si="243"/>
        <v>7000</v>
      </c>
      <c r="BK443" s="5">
        <f>INDEX('Team forecast'!$R$3:$BH$26,MATCH($B443,'Team forecast'!$B$3:$B$26,0),MATCH(BK$1,'Team forecast'!$R$2:$BH$2,0))*IF($X443&gt;0,25000,0)</f>
        <v>1560.5924961341254</v>
      </c>
      <c r="BL443" s="5">
        <f>INDEX('Team forecast'!$R$3:$BH$26,MATCH($B443,'Team forecast'!$B$3:$B$26,0),MATCH(BL$1,'Team forecast'!$R$2:$BH$2,0))*IF($X443&gt;0,5000,0)</f>
        <v>720.27345975421156</v>
      </c>
      <c r="BM443" s="5">
        <f>INDEX('Team forecast'!$R$3:$BH$26,MATCH($B443,'Team forecast'!$B$3:$B$26,0),MATCH(BM$1,'Team forecast'!$R$2:$BH$2,0))*IF($X443&gt;0,-15000,0)</f>
        <v>-11902.824123056889</v>
      </c>
      <c r="BN443" s="5">
        <f t="shared" si="244"/>
        <v>5603.9150008718907</v>
      </c>
      <c r="BO443" s="5">
        <f t="shared" si="245"/>
        <v>4614.9825992306041</v>
      </c>
      <c r="BP443" s="5">
        <f t="shared" si="246"/>
        <v>1431.2955868833237</v>
      </c>
      <c r="BQ443" s="5">
        <f t="shared" si="247"/>
        <v>0</v>
      </c>
      <c r="BR443" s="5">
        <f t="shared" si="248"/>
        <v>0</v>
      </c>
      <c r="BS443" s="5">
        <f t="shared" si="249"/>
        <v>-4557.856272838003</v>
      </c>
      <c r="BT443" s="5">
        <f t="shared" si="250"/>
        <v>0</v>
      </c>
      <c r="BU443" s="5">
        <f t="shared" si="251"/>
        <v>4910.2780480244928</v>
      </c>
      <c r="BV443" s="5">
        <f t="shared" si="252"/>
        <v>-18946.761299137204</v>
      </c>
      <c r="BW443" s="5">
        <f t="shared" si="253"/>
        <v>-9566.1045041334473</v>
      </c>
      <c r="BX443" s="5">
        <f t="shared" si="254"/>
        <v>3527.8942910731726</v>
      </c>
      <c r="BY443" s="5">
        <f t="shared" si="255"/>
        <v>10583.682873219517</v>
      </c>
      <c r="BZ443" s="5">
        <f>INDEX('Team forecast'!$R$3:$BH$26,MATCH($B443,'Team forecast'!$B$3:$B$26,0),MATCH(BZ$1,'Team forecast'!$R$2:$BH$2,0))*($BX443-(BY443+CH443)*0.01)</f>
        <v>-6744.9400912589435</v>
      </c>
      <c r="CA443" s="5">
        <f>INDEX('Team forecast'!$R$3:$BH$26,MATCH($B443,'Team forecast'!$B$3:$B$26,0),MATCH(CA$1,'Team forecast'!$R$2:$BH$2,0))*($BX443-(BY443+BX443+CH443)*0.01)</f>
        <v>-3314.250347222046</v>
      </c>
      <c r="CB443" s="5">
        <f>INDEX('Team forecast'!$R$3:$BH$26,MATCH($B443,'Team forecast'!$B$3:$B$26,0),MATCH(CB$1,'Team forecast'!$R$2:$BH$2,0))*($BX443-(BY443+BX443*2+CH443)*0.01)</f>
        <v>-1600.23544205342</v>
      </c>
      <c r="CC443" s="5">
        <f>INDEX('Team forecast'!$R$3:$BH$26,MATCH($B443,'Team forecast'!$B$3:$B$26,0),MATCH(CC$1,'Team forecast'!$R$2:$BH$2,0))*($BX443-(BY443+BX443*3+CH443)*0.01)</f>
        <v>-724.88568496767243</v>
      </c>
      <c r="CD443" s="5">
        <f>+AK443+BD443*Cockpit!$C$3+BW443*Cockpit!$C$3^2+BZ443*Cockpit!$C$3^3+CA443*Cockpit!$C$3^4+CB443*Cockpit!$C$3^5+CC443*Cockpit!$C$3^6</f>
        <v>8989.8124821916645</v>
      </c>
      <c r="CE443" s="5"/>
      <c r="CF443" s="5"/>
      <c r="CG443" s="5">
        <v>0</v>
      </c>
      <c r="CH443" s="5">
        <f t="shared" si="256"/>
        <v>3000000</v>
      </c>
      <c r="CI443" s="5">
        <f t="shared" si="257"/>
        <v>3000000</v>
      </c>
      <c r="CJ443" s="1">
        <f t="shared" si="258"/>
        <v>3.5278942910731722E-3</v>
      </c>
      <c r="CK443" s="5">
        <f>RANK(BY443,$BY$2:$BY$623)+COUNTIF($BY$2:$BY443,$BY443)-1</f>
        <v>394</v>
      </c>
      <c r="CL443" s="5">
        <f>RANK(CJ443,$CJ$2:$CJ$623)+COUNTIF($CJ$2:$CJ443,$CJ443)-1</f>
        <v>400</v>
      </c>
    </row>
    <row r="444" spans="1:90">
      <c r="A444" t="str">
        <f>Players!P445</f>
        <v>Ferhan Hasani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0.65653770483831209</v>
      </c>
      <c r="I444" s="16">
        <f>INDEX('Team forecast'!$B$2:$AO$26,MATCH('Master data'!$B444,'Team forecast'!$B$2:$B$26,0),MATCH('Master data'!I$1,'Team forecast'!$B$2:$AO$2,0))</f>
        <v>1.5562991347612565</v>
      </c>
      <c r="J444" s="16">
        <f>INDEX('Team forecast'!$B$2:$AO$26,MATCH('Master data'!$B444,'Team forecast'!$B$2:$B$26,0),MATCH('Master data'!J$1,'Team forecast'!$B$2:$AO$2,0))</f>
        <v>0.2109151973131822</v>
      </c>
      <c r="K444" s="16">
        <f>INDEX('Team forecast'!$B$2:$AO$26,MATCH('Master data'!$B444,'Team forecast'!$B$2:$B$26,0),MATCH('Master data'!K$1,'Team forecast'!$B$2:$AO$2,0))</f>
        <v>2.1553005461863779</v>
      </c>
      <c r="L444" s="16">
        <f>INDEX('Team forecast'!$B$2:$AO$26,MATCH('Master data'!$B444,'Team forecast'!$B$2:$B$26,0),MATCH('Master data'!L$1,'Team forecast'!$B$2:$AO$2,0))</f>
        <v>3.8246785340123335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8.0405002977963075E-2</v>
      </c>
      <c r="R444" s="2">
        <f>Players!BR445</f>
        <v>0</v>
      </c>
      <c r="S444" s="2">
        <f t="shared" si="217"/>
        <v>0.65653770483831209</v>
      </c>
      <c r="T444" s="2">
        <f t="shared" si="218"/>
        <v>1.5562991347612565</v>
      </c>
      <c r="U444" s="16">
        <f>INDEX('Team forecast'!$B$2:$AO$26,MATCH('Master data'!$B444,'Team forecast'!$B$2:$B$26,0),MATCH('Master data'!U$1,'Team forecast'!$B$2:$AO$2,0))</f>
        <v>0.15818639798488671</v>
      </c>
      <c r="V444" s="16">
        <f>INDEX('Team forecast'!$B$2:$AO$26,MATCH('Master data'!$B444,'Team forecast'!$B$2:$B$26,0),MATCH('Master data'!V$1,'Team forecast'!$B$2:$AO$2,0))</f>
        <v>0.23727959697733</v>
      </c>
      <c r="W444" s="16">
        <f>INDEX('Team forecast'!$B$2:$AO$26,MATCH('Master data'!$B444,'Team forecast'!$B$2:$B$26,0),MATCH('Master data'!W$1,'Team forecast'!$B$2:$AO$2,0))</f>
        <v>0.60453400503778332</v>
      </c>
      <c r="X444" s="5">
        <f t="shared" si="219"/>
        <v>-5000</v>
      </c>
      <c r="Y444" s="5">
        <f t="shared" si="220"/>
        <v>0</v>
      </c>
      <c r="Z444" s="5">
        <f t="shared" si="221"/>
        <v>0</v>
      </c>
      <c r="AA444" s="5">
        <f t="shared" si="222"/>
        <v>0</v>
      </c>
      <c r="AB444" s="5">
        <f t="shared" si="223"/>
        <v>0</v>
      </c>
      <c r="AC444" s="5">
        <f t="shared" si="224"/>
        <v>0</v>
      </c>
      <c r="AD444" s="5">
        <f t="shared" si="225"/>
        <v>0</v>
      </c>
      <c r="AE444" s="5">
        <f t="shared" si="226"/>
        <v>0</v>
      </c>
      <c r="AF444" s="5">
        <f t="shared" si="227"/>
        <v>0</v>
      </c>
      <c r="AG444" s="5">
        <f t="shared" si="228"/>
        <v>0</v>
      </c>
      <c r="AH444" s="5">
        <f t="shared" si="229"/>
        <v>0</v>
      </c>
      <c r="AI444" s="5">
        <f t="shared" si="230"/>
        <v>0</v>
      </c>
      <c r="AJ444" s="5">
        <f t="shared" si="231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0.76028648339757388</v>
      </c>
      <c r="AM444" s="16">
        <f>INDEX('Team forecast'!$B$2:$AO$26,MATCH('Master data'!$B444,'Team forecast'!$B$2:$B$26,0),MATCH('Master data'!AM$1,'Team forecast'!$B$2:$AO$2,0))</f>
        <v>1.5712166996139025</v>
      </c>
      <c r="AN444" s="16">
        <f>INDEX('Team forecast'!$B$2:$AO$26,MATCH('Master data'!$B444,'Team forecast'!$B$2:$B$26,0),MATCH('Master data'!AN$1,'Team forecast'!$B$2:$AO$2,0))</f>
        <v>0.20779220779220781</v>
      </c>
      <c r="AO444" s="16">
        <f>INDEX('Team forecast'!$B$2:$AO$26,MATCH('Master data'!$B444,'Team forecast'!$B$2:$B$26,0),MATCH('Master data'!AO$1,'Team forecast'!$B$2:$AO$2,0))</f>
        <v>2.4958899707496114</v>
      </c>
      <c r="AP444" s="16">
        <f>INDEX('Team forecast'!$B$2:$AO$26,MATCH('Master data'!$B444,'Team forecast'!$B$2:$B$26,0),MATCH('Master data'!AP$1,'Team forecast'!$B$2:$AO$2,0))</f>
        <v>3.8613391532964307</v>
      </c>
      <c r="AQ444" s="5">
        <f t="shared" si="232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233"/>
        <v>0</v>
      </c>
      <c r="AV444" s="5">
        <f t="shared" si="234"/>
        <v>0</v>
      </c>
      <c r="AW444" s="5">
        <f t="shared" si="235"/>
        <v>0</v>
      </c>
      <c r="AX444" s="5">
        <f t="shared" si="236"/>
        <v>0</v>
      </c>
      <c r="AY444" s="5">
        <f t="shared" si="237"/>
        <v>0</v>
      </c>
      <c r="AZ444" s="5">
        <f t="shared" si="238"/>
        <v>0</v>
      </c>
      <c r="BA444" s="5">
        <f t="shared" si="239"/>
        <v>0</v>
      </c>
      <c r="BB444" s="5">
        <f t="shared" si="240"/>
        <v>0</v>
      </c>
      <c r="BC444" s="5">
        <f t="shared" si="241"/>
        <v>0</v>
      </c>
      <c r="BD444" s="5">
        <f t="shared" si="242"/>
        <v>-5000</v>
      </c>
      <c r="BE444" s="16">
        <f>INDEX('Team forecast'!$B$2:$AO$26,MATCH('Master data'!$B444,'Team forecast'!$B$2:$B$26,0),MATCH('Master data'!BE$1,'Team forecast'!$B$2:$AO$2,0))</f>
        <v>0.49102780480244929</v>
      </c>
      <c r="BF444" s="16">
        <f>INDEX('Team forecast'!$B$2:$AO$26,MATCH('Master data'!$B444,'Team forecast'!$B$2:$B$26,0),MATCH('Master data'!BF$1,'Team forecast'!$B$2:$AO$2,0))</f>
        <v>2.3683451623921505</v>
      </c>
      <c r="BG444" s="16">
        <f>INDEX('Team forecast'!$B$2:$AO$26,MATCH('Master data'!$B444,'Team forecast'!$B$2:$B$26,0),MATCH('Master data'!BG$1,'Team forecast'!$B$2:$AO$2,0))</f>
        <v>9.3635549768047527E-2</v>
      </c>
      <c r="BH444" s="16">
        <f>INDEX('Team forecast'!$B$2:$AO$26,MATCH('Master data'!$B444,'Team forecast'!$B$2:$B$26,0),MATCH('Master data'!BH$1,'Team forecast'!$B$2:$AO$2,0))</f>
        <v>1.6119599652605658</v>
      </c>
      <c r="BI444" s="16">
        <f>INDEX('Team forecast'!$B$2:$AO$26,MATCH('Master data'!$B444,'Team forecast'!$B$2:$B$26,0),MATCH('Master data'!BI$1,'Team forecast'!$B$2:$AO$2,0))</f>
        <v>5.8203199509731629</v>
      </c>
      <c r="BJ444" s="5">
        <f t="shared" si="243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244"/>
        <v>0</v>
      </c>
      <c r="BO444" s="5">
        <f t="shared" si="245"/>
        <v>0</v>
      </c>
      <c r="BP444" s="5">
        <f t="shared" si="246"/>
        <v>0</v>
      </c>
      <c r="BQ444" s="5">
        <f t="shared" si="247"/>
        <v>0</v>
      </c>
      <c r="BR444" s="5">
        <f t="shared" si="248"/>
        <v>0</v>
      </c>
      <c r="BS444" s="5">
        <f t="shared" si="249"/>
        <v>0</v>
      </c>
      <c r="BT444" s="5">
        <f t="shared" si="250"/>
        <v>0</v>
      </c>
      <c r="BU444" s="5">
        <f t="shared" si="251"/>
        <v>0</v>
      </c>
      <c r="BV444" s="5">
        <f t="shared" si="252"/>
        <v>0</v>
      </c>
      <c r="BW444" s="5">
        <f t="shared" si="253"/>
        <v>-5000</v>
      </c>
      <c r="BX444" s="5">
        <f t="shared" si="254"/>
        <v>-5000</v>
      </c>
      <c r="BY444" s="5">
        <f t="shared" si="255"/>
        <v>-15000</v>
      </c>
      <c r="BZ444" s="5">
        <f>INDEX('Team forecast'!$R$3:$BH$26,MATCH($B444,'Team forecast'!$B$3:$B$26,0),MATCH(BZ$1,'Team forecast'!$R$2:$BH$2,0))*($BX444-(BY444+CH444)*0.01)</f>
        <v>-6306.4234949823885</v>
      </c>
      <c r="CA444" s="5">
        <f>INDEX('Team forecast'!$R$3:$BH$26,MATCH($B444,'Team forecast'!$B$3:$B$26,0),MATCH(CA$1,'Team forecast'!$R$2:$BH$2,0))*($BX444-(BY444+BX444+CH444)*0.01)</f>
        <v>-3088.4426626485606</v>
      </c>
      <c r="CB444" s="5">
        <f>INDEX('Team forecast'!$R$3:$BH$26,MATCH($B444,'Team forecast'!$B$3:$B$26,0),MATCH(CB$1,'Team forecast'!$R$2:$BH$2,0))*($BX444-(BY444+BX444*2+CH444)*0.01)</f>
        <v>-1486.2309909162739</v>
      </c>
      <c r="CC444" s="5">
        <f>INDEX('Team forecast'!$R$3:$BH$26,MATCH($B444,'Team forecast'!$B$3:$B$26,0),MATCH(CC$1,'Team forecast'!$R$2:$BH$2,0))*($BX444-(BY444+BX444*3+CH444)*0.01)</f>
        <v>-670.99477075023424</v>
      </c>
      <c r="CD444" s="5">
        <f>+AK444+BD444*Cockpit!$C$3+BW444*Cockpit!$C$3^2+BZ444*Cockpit!$C$3^3+CA444*Cockpit!$C$3^4+CB444*Cockpit!$C$3^5+CC444*Cockpit!$C$3^6</f>
        <v>-13288.81352372231</v>
      </c>
      <c r="CE444" s="5"/>
      <c r="CF444" s="5"/>
      <c r="CG444" s="5">
        <v>0</v>
      </c>
      <c r="CH444" s="5">
        <f t="shared" si="256"/>
        <v>2000000</v>
      </c>
      <c r="CI444" s="5">
        <f t="shared" si="257"/>
        <v>2000000</v>
      </c>
      <c r="CJ444" s="1">
        <f t="shared" si="258"/>
        <v>-7.4999999999999997E-3</v>
      </c>
      <c r="CK444" s="5">
        <f>RANK(BY444,$BY$2:$BY$623)+COUNTIF($BY$2:$BY444,$BY444)-1</f>
        <v>558</v>
      </c>
      <c r="CL444" s="5">
        <f>RANK(CJ444,$CJ$2:$CJ$623)+COUNTIF($CJ$2:$CJ444,$CJ444)-1</f>
        <v>596</v>
      </c>
    </row>
    <row r="445" spans="1:90">
      <c r="A445" t="str">
        <f>Players!P446</f>
        <v>Tihomir Kostadinov</v>
      </c>
      <c r="B445" t="str">
        <f>Players!G446</f>
        <v>North Macedonia</v>
      </c>
      <c r="C445" t="str">
        <f>Players!AB446</f>
        <v>Midfield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0.65653770483831209</v>
      </c>
      <c r="I445" s="16">
        <f>INDEX('Team forecast'!$B$2:$AO$26,MATCH('Master data'!$B445,'Team forecast'!$B$2:$B$26,0),MATCH('Master data'!I$1,'Team forecast'!$B$2:$AO$2,0))</f>
        <v>1.5562991347612565</v>
      </c>
      <c r="J445" s="16">
        <f>INDEX('Team forecast'!$B$2:$AO$26,MATCH('Master data'!$B445,'Team forecast'!$B$2:$B$26,0),MATCH('Master data'!J$1,'Team forecast'!$B$2:$AO$2,0))</f>
        <v>0.2109151973131822</v>
      </c>
      <c r="K445" s="16">
        <f>INDEX('Team forecast'!$B$2:$AO$26,MATCH('Master data'!$B445,'Team forecast'!$B$2:$B$26,0),MATCH('Master data'!K$1,'Team forecast'!$B$2:$AO$2,0))</f>
        <v>2.1553005461863779</v>
      </c>
      <c r="L445" s="16">
        <f>INDEX('Team forecast'!$B$2:$AO$26,MATCH('Master data'!$B445,'Team forecast'!$B$2:$B$26,0),MATCH('Master data'!L$1,'Team forecast'!$B$2:$AO$2,0))</f>
        <v>3.8246785340123335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0.32040500297796304</v>
      </c>
      <c r="R445" s="2">
        <f>Players!BR446</f>
        <v>0</v>
      </c>
      <c r="S445" s="2">
        <f t="shared" si="217"/>
        <v>0.65653770483831209</v>
      </c>
      <c r="T445" s="2">
        <f t="shared" si="218"/>
        <v>1.5562991347612565</v>
      </c>
      <c r="U445" s="16">
        <f>INDEX('Team forecast'!$B$2:$AO$26,MATCH('Master data'!$B445,'Team forecast'!$B$2:$B$26,0),MATCH('Master data'!U$1,'Team forecast'!$B$2:$AO$2,0))</f>
        <v>0.15818639798488671</v>
      </c>
      <c r="V445" s="16">
        <f>INDEX('Team forecast'!$B$2:$AO$26,MATCH('Master data'!$B445,'Team forecast'!$B$2:$B$26,0),MATCH('Master data'!V$1,'Team forecast'!$B$2:$AO$2,0))</f>
        <v>0.23727959697733</v>
      </c>
      <c r="W445" s="16">
        <f>INDEX('Team forecast'!$B$2:$AO$26,MATCH('Master data'!$B445,'Team forecast'!$B$2:$B$26,0),MATCH('Master data'!W$1,'Team forecast'!$B$2:$AO$2,0))</f>
        <v>0.60453400503778332</v>
      </c>
      <c r="X445" s="5">
        <f t="shared" si="219"/>
        <v>-5000</v>
      </c>
      <c r="Y445" s="5">
        <f t="shared" si="220"/>
        <v>0</v>
      </c>
      <c r="Z445" s="5">
        <f t="shared" si="221"/>
        <v>0</v>
      </c>
      <c r="AA445" s="5">
        <f t="shared" si="222"/>
        <v>0</v>
      </c>
      <c r="AB445" s="5">
        <f t="shared" si="223"/>
        <v>0</v>
      </c>
      <c r="AC445" s="5">
        <f t="shared" si="224"/>
        <v>0</v>
      </c>
      <c r="AD445" s="5">
        <f t="shared" si="225"/>
        <v>0</v>
      </c>
      <c r="AE445" s="5">
        <f t="shared" si="226"/>
        <v>0</v>
      </c>
      <c r="AF445" s="5">
        <f t="shared" si="227"/>
        <v>0</v>
      </c>
      <c r="AG445" s="5">
        <f t="shared" si="228"/>
        <v>0</v>
      </c>
      <c r="AH445" s="5">
        <f t="shared" si="229"/>
        <v>0</v>
      </c>
      <c r="AI445" s="5">
        <f t="shared" si="230"/>
        <v>0</v>
      </c>
      <c r="AJ445" s="5">
        <f t="shared" si="231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0.76028648339757388</v>
      </c>
      <c r="AM445" s="16">
        <f>INDEX('Team forecast'!$B$2:$AO$26,MATCH('Master data'!$B445,'Team forecast'!$B$2:$B$26,0),MATCH('Master data'!AM$1,'Team forecast'!$B$2:$AO$2,0))</f>
        <v>1.5712166996139025</v>
      </c>
      <c r="AN445" s="16">
        <f>INDEX('Team forecast'!$B$2:$AO$26,MATCH('Master data'!$B445,'Team forecast'!$B$2:$B$26,0),MATCH('Master data'!AN$1,'Team forecast'!$B$2:$AO$2,0))</f>
        <v>0.20779220779220781</v>
      </c>
      <c r="AO445" s="16">
        <f>INDEX('Team forecast'!$B$2:$AO$26,MATCH('Master data'!$B445,'Team forecast'!$B$2:$B$26,0),MATCH('Master data'!AO$1,'Team forecast'!$B$2:$AO$2,0))</f>
        <v>2.4958899707496114</v>
      </c>
      <c r="AP445" s="16">
        <f>INDEX('Team forecast'!$B$2:$AO$26,MATCH('Master data'!$B445,'Team forecast'!$B$2:$B$26,0),MATCH('Master data'!AP$1,'Team forecast'!$B$2:$AO$2,0))</f>
        <v>3.8613391532964307</v>
      </c>
      <c r="AQ445" s="5">
        <f t="shared" si="232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233"/>
        <v>0</v>
      </c>
      <c r="AV445" s="5">
        <f t="shared" si="234"/>
        <v>0</v>
      </c>
      <c r="AW445" s="5">
        <f t="shared" si="235"/>
        <v>0</v>
      </c>
      <c r="AX445" s="5">
        <f t="shared" si="236"/>
        <v>0</v>
      </c>
      <c r="AY445" s="5">
        <f t="shared" si="237"/>
        <v>0</v>
      </c>
      <c r="AZ445" s="5">
        <f t="shared" si="238"/>
        <v>0</v>
      </c>
      <c r="BA445" s="5">
        <f t="shared" si="239"/>
        <v>0</v>
      </c>
      <c r="BB445" s="5">
        <f t="shared" si="240"/>
        <v>0</v>
      </c>
      <c r="BC445" s="5">
        <f t="shared" si="241"/>
        <v>0</v>
      </c>
      <c r="BD445" s="5">
        <f t="shared" si="242"/>
        <v>-5000</v>
      </c>
      <c r="BE445" s="16">
        <f>INDEX('Team forecast'!$B$2:$AO$26,MATCH('Master data'!$B445,'Team forecast'!$B$2:$B$26,0),MATCH('Master data'!BE$1,'Team forecast'!$B$2:$AO$2,0))</f>
        <v>0.49102780480244929</v>
      </c>
      <c r="BF445" s="16">
        <f>INDEX('Team forecast'!$B$2:$AO$26,MATCH('Master data'!$B445,'Team forecast'!$B$2:$B$26,0),MATCH('Master data'!BF$1,'Team forecast'!$B$2:$AO$2,0))</f>
        <v>2.3683451623921505</v>
      </c>
      <c r="BG445" s="16">
        <f>INDEX('Team forecast'!$B$2:$AO$26,MATCH('Master data'!$B445,'Team forecast'!$B$2:$B$26,0),MATCH('Master data'!BG$1,'Team forecast'!$B$2:$AO$2,0))</f>
        <v>9.3635549768047527E-2</v>
      </c>
      <c r="BH445" s="16">
        <f>INDEX('Team forecast'!$B$2:$AO$26,MATCH('Master data'!$B445,'Team forecast'!$B$2:$B$26,0),MATCH('Master data'!BH$1,'Team forecast'!$B$2:$AO$2,0))</f>
        <v>1.6119599652605658</v>
      </c>
      <c r="BI445" s="16">
        <f>INDEX('Team forecast'!$B$2:$AO$26,MATCH('Master data'!$B445,'Team forecast'!$B$2:$B$26,0),MATCH('Master data'!BI$1,'Team forecast'!$B$2:$AO$2,0))</f>
        <v>5.8203199509731629</v>
      </c>
      <c r="BJ445" s="5">
        <f t="shared" si="243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244"/>
        <v>0</v>
      </c>
      <c r="BO445" s="5">
        <f t="shared" si="245"/>
        <v>0</v>
      </c>
      <c r="BP445" s="5">
        <f t="shared" si="246"/>
        <v>0</v>
      </c>
      <c r="BQ445" s="5">
        <f t="shared" si="247"/>
        <v>0</v>
      </c>
      <c r="BR445" s="5">
        <f t="shared" si="248"/>
        <v>0</v>
      </c>
      <c r="BS445" s="5">
        <f t="shared" si="249"/>
        <v>0</v>
      </c>
      <c r="BT445" s="5">
        <f t="shared" si="250"/>
        <v>0</v>
      </c>
      <c r="BU445" s="5">
        <f t="shared" si="251"/>
        <v>0</v>
      </c>
      <c r="BV445" s="5">
        <f t="shared" si="252"/>
        <v>0</v>
      </c>
      <c r="BW445" s="5">
        <f t="shared" si="253"/>
        <v>-5000</v>
      </c>
      <c r="BX445" s="5">
        <f t="shared" si="254"/>
        <v>-5000</v>
      </c>
      <c r="BY445" s="5">
        <f t="shared" si="255"/>
        <v>-15000</v>
      </c>
      <c r="BZ445" s="5">
        <f>INDEX('Team forecast'!$R$3:$BH$26,MATCH($B445,'Team forecast'!$B$3:$B$26,0),MATCH(BZ$1,'Team forecast'!$R$2:$BH$2,0))*($BX445-(BY445+CH445)*0.01)</f>
        <v>-6306.4234949823885</v>
      </c>
      <c r="CA445" s="5">
        <f>INDEX('Team forecast'!$R$3:$BH$26,MATCH($B445,'Team forecast'!$B$3:$B$26,0),MATCH(CA$1,'Team forecast'!$R$2:$BH$2,0))*($BX445-(BY445+BX445+CH445)*0.01)</f>
        <v>-3088.4426626485606</v>
      </c>
      <c r="CB445" s="5">
        <f>INDEX('Team forecast'!$R$3:$BH$26,MATCH($B445,'Team forecast'!$B$3:$B$26,0),MATCH(CB$1,'Team forecast'!$R$2:$BH$2,0))*($BX445-(BY445+BX445*2+CH445)*0.01)</f>
        <v>-1486.2309909162739</v>
      </c>
      <c r="CC445" s="5">
        <f>INDEX('Team forecast'!$R$3:$BH$26,MATCH($B445,'Team forecast'!$B$3:$B$26,0),MATCH(CC$1,'Team forecast'!$R$2:$BH$2,0))*($BX445-(BY445+BX445*3+CH445)*0.01)</f>
        <v>-670.99477075023424</v>
      </c>
      <c r="CD445" s="5">
        <f>+AK445+BD445*Cockpit!$C$3+BW445*Cockpit!$C$3^2+BZ445*Cockpit!$C$3^3+CA445*Cockpit!$C$3^4+CB445*Cockpit!$C$3^5+CC445*Cockpit!$C$3^6</f>
        <v>-13288.81352372231</v>
      </c>
      <c r="CE445" s="5"/>
      <c r="CF445" s="5"/>
      <c r="CG445" s="5">
        <v>0</v>
      </c>
      <c r="CH445" s="5">
        <f t="shared" si="256"/>
        <v>2000000</v>
      </c>
      <c r="CI445" s="5">
        <f t="shared" si="257"/>
        <v>2000000</v>
      </c>
      <c r="CJ445" s="1">
        <f t="shared" si="258"/>
        <v>-7.4999999999999997E-3</v>
      </c>
      <c r="CK445" s="5">
        <f>RANK(BY445,$BY$2:$BY$623)+COUNTIF($BY$2:$BY445,$BY445)-1</f>
        <v>559</v>
      </c>
      <c r="CL445" s="5">
        <f>RANK(CJ445,$CJ$2:$CJ$623)+COUNTIF($CJ$2:$CJ445,$CJ445)-1</f>
        <v>597</v>
      </c>
    </row>
    <row r="446" spans="1:90">
      <c r="A446" t="str">
        <f>Players!P447</f>
        <v>Vlatko Stojanovski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2000000</v>
      </c>
      <c r="H446" s="16">
        <f>INDEX('Team forecast'!$B$2:$AO$26,MATCH('Master data'!$B446,'Team forecast'!$B$2:$B$26,0),MATCH('Master data'!H$1,'Team forecast'!$B$2:$AO$2,0))</f>
        <v>0.65653770483831209</v>
      </c>
      <c r="I446" s="16">
        <f>INDEX('Team forecast'!$B$2:$AO$26,MATCH('Master data'!$B446,'Team forecast'!$B$2:$B$26,0),MATCH('Master data'!I$1,'Team forecast'!$B$2:$AO$2,0))</f>
        <v>1.5562991347612565</v>
      </c>
      <c r="J446" s="16">
        <f>INDEX('Team forecast'!$B$2:$AO$26,MATCH('Master data'!$B446,'Team forecast'!$B$2:$B$26,0),MATCH('Master data'!J$1,'Team forecast'!$B$2:$AO$2,0))</f>
        <v>0.2109151973131822</v>
      </c>
      <c r="K446" s="16">
        <f>INDEX('Team forecast'!$B$2:$AO$26,MATCH('Master data'!$B446,'Team forecast'!$B$2:$B$26,0),MATCH('Master data'!K$1,'Team forecast'!$B$2:$AO$2,0))</f>
        <v>2.1553005461863779</v>
      </c>
      <c r="L446" s="16">
        <f>INDEX('Team forecast'!$B$2:$AO$26,MATCH('Master data'!$B446,'Team forecast'!$B$2:$B$26,0),MATCH('Master data'!L$1,'Team forecast'!$B$2:$AO$2,0))</f>
        <v>3.8246785340123335</v>
      </c>
      <c r="M446">
        <f>IF(Players!BC447=1,95,0)</f>
        <v>0</v>
      </c>
      <c r="N446" s="2">
        <f>Players!BN447</f>
        <v>0</v>
      </c>
      <c r="O446" s="2">
        <f>Players!BO447</f>
        <v>0</v>
      </c>
      <c r="P446" s="2">
        <f>Players!BP447</f>
        <v>0</v>
      </c>
      <c r="Q446" s="2">
        <f>Players!BQ447</f>
        <v>0</v>
      </c>
      <c r="R446" s="2">
        <f>Players!BR447</f>
        <v>0</v>
      </c>
      <c r="S446" s="2">
        <f t="shared" si="217"/>
        <v>0.65653770483831209</v>
      </c>
      <c r="T446" s="2">
        <f t="shared" si="218"/>
        <v>1.5562991347612565</v>
      </c>
      <c r="U446" s="16">
        <f>INDEX('Team forecast'!$B$2:$AO$26,MATCH('Master data'!$B446,'Team forecast'!$B$2:$B$26,0),MATCH('Master data'!U$1,'Team forecast'!$B$2:$AO$2,0))</f>
        <v>0.15818639798488671</v>
      </c>
      <c r="V446" s="16">
        <f>INDEX('Team forecast'!$B$2:$AO$26,MATCH('Master data'!$B446,'Team forecast'!$B$2:$B$26,0),MATCH('Master data'!V$1,'Team forecast'!$B$2:$AO$2,0))</f>
        <v>0.23727959697733</v>
      </c>
      <c r="W446" s="16">
        <f>INDEX('Team forecast'!$B$2:$AO$26,MATCH('Master data'!$B446,'Team forecast'!$B$2:$B$26,0),MATCH('Master data'!W$1,'Team forecast'!$B$2:$AO$2,0))</f>
        <v>0.60453400503778332</v>
      </c>
      <c r="X446" s="5">
        <f t="shared" si="219"/>
        <v>-5000</v>
      </c>
      <c r="Y446" s="5">
        <f t="shared" si="220"/>
        <v>0</v>
      </c>
      <c r="Z446" s="5">
        <f t="shared" si="221"/>
        <v>0</v>
      </c>
      <c r="AA446" s="5">
        <f t="shared" si="222"/>
        <v>0</v>
      </c>
      <c r="AB446" s="5">
        <f t="shared" si="223"/>
        <v>0</v>
      </c>
      <c r="AC446" s="5">
        <f t="shared" si="224"/>
        <v>0</v>
      </c>
      <c r="AD446" s="5">
        <f t="shared" si="225"/>
        <v>0</v>
      </c>
      <c r="AE446" s="5">
        <f t="shared" si="226"/>
        <v>0</v>
      </c>
      <c r="AF446" s="5">
        <f t="shared" si="227"/>
        <v>0</v>
      </c>
      <c r="AG446" s="5">
        <f t="shared" si="228"/>
        <v>0</v>
      </c>
      <c r="AH446" s="5">
        <f t="shared" si="229"/>
        <v>0</v>
      </c>
      <c r="AI446" s="5">
        <f t="shared" si="230"/>
        <v>0</v>
      </c>
      <c r="AJ446" s="5">
        <f t="shared" si="231"/>
        <v>0</v>
      </c>
      <c r="AK446" s="5">
        <f>IFERROR(SUM(X446:AJ446),-5000)*((Cockpit!$C$3)^0)</f>
        <v>-5000</v>
      </c>
      <c r="AL446" s="16">
        <f>INDEX('Team forecast'!$B$2:$AO$26,MATCH('Master data'!$B446,'Team forecast'!$B$2:$B$26,0),MATCH('Master data'!AL$1,'Team forecast'!$B$2:$AO$2,0))</f>
        <v>0.76028648339757388</v>
      </c>
      <c r="AM446" s="16">
        <f>INDEX('Team forecast'!$B$2:$AO$26,MATCH('Master data'!$B446,'Team forecast'!$B$2:$B$26,0),MATCH('Master data'!AM$1,'Team forecast'!$B$2:$AO$2,0))</f>
        <v>1.5712166996139025</v>
      </c>
      <c r="AN446" s="16">
        <f>INDEX('Team forecast'!$B$2:$AO$26,MATCH('Master data'!$B446,'Team forecast'!$B$2:$B$26,0),MATCH('Master data'!AN$1,'Team forecast'!$B$2:$AO$2,0))</f>
        <v>0.20779220779220781</v>
      </c>
      <c r="AO446" s="16">
        <f>INDEX('Team forecast'!$B$2:$AO$26,MATCH('Master data'!$B446,'Team forecast'!$B$2:$B$26,0),MATCH('Master data'!AO$1,'Team forecast'!$B$2:$AO$2,0))</f>
        <v>2.4958899707496114</v>
      </c>
      <c r="AP446" s="16">
        <f>INDEX('Team forecast'!$B$2:$AO$26,MATCH('Master data'!$B446,'Team forecast'!$B$2:$B$26,0),MATCH('Master data'!AP$1,'Team forecast'!$B$2:$AO$2,0))</f>
        <v>3.8613391532964307</v>
      </c>
      <c r="AQ446" s="5">
        <f t="shared" si="232"/>
        <v>-5000</v>
      </c>
      <c r="AR446" s="5">
        <f>INDEX('Team forecast'!$B$2:$AO$26,MATCH('Master data'!$B446,'Team forecast'!$B$2:$B$26,0),MATCH('Master data'!AR$1,'Team forecast'!$B$2:$AO$2,0))*IF(X446&gt;0,25000,0)</f>
        <v>0</v>
      </c>
      <c r="AS446" s="16">
        <f>INDEX('Team forecast'!$B$2:$AO$26,MATCH('Master data'!$B446,'Team forecast'!$B$2:$B$26,0),MATCH('Master data'!AS$1,'Team forecast'!$B$2:$AO$2,0))*IF(X446&gt;0,5000,0)</f>
        <v>0</v>
      </c>
      <c r="AT446" s="16">
        <f>INDEX('Team forecast'!$B$2:$AO$26,MATCH('Master data'!$B446,'Team forecast'!$B$2:$B$26,0),MATCH('Master data'!AT$1,'Team forecast'!$B$2:$AO$2,0))*IF(X446&gt;0,-15000,0)</f>
        <v>0</v>
      </c>
      <c r="AU446" s="5">
        <f t="shared" si="233"/>
        <v>0</v>
      </c>
      <c r="AV446" s="5">
        <f t="shared" si="234"/>
        <v>0</v>
      </c>
      <c r="AW446" s="5">
        <f t="shared" si="235"/>
        <v>0</v>
      </c>
      <c r="AX446" s="5">
        <f t="shared" si="236"/>
        <v>0</v>
      </c>
      <c r="AY446" s="5">
        <f t="shared" si="237"/>
        <v>0</v>
      </c>
      <c r="AZ446" s="5">
        <f t="shared" si="238"/>
        <v>0</v>
      </c>
      <c r="BA446" s="5">
        <f t="shared" si="239"/>
        <v>0</v>
      </c>
      <c r="BB446" s="5">
        <f t="shared" si="240"/>
        <v>0</v>
      </c>
      <c r="BC446" s="5">
        <f t="shared" si="241"/>
        <v>0</v>
      </c>
      <c r="BD446" s="5">
        <f t="shared" si="242"/>
        <v>-5000</v>
      </c>
      <c r="BE446" s="16">
        <f>INDEX('Team forecast'!$B$2:$AO$26,MATCH('Master data'!$B446,'Team forecast'!$B$2:$B$26,0),MATCH('Master data'!BE$1,'Team forecast'!$B$2:$AO$2,0))</f>
        <v>0.49102780480244929</v>
      </c>
      <c r="BF446" s="16">
        <f>INDEX('Team forecast'!$B$2:$AO$26,MATCH('Master data'!$B446,'Team forecast'!$B$2:$B$26,0),MATCH('Master data'!BF$1,'Team forecast'!$B$2:$AO$2,0))</f>
        <v>2.3683451623921505</v>
      </c>
      <c r="BG446" s="16">
        <f>INDEX('Team forecast'!$B$2:$AO$26,MATCH('Master data'!$B446,'Team forecast'!$B$2:$B$26,0),MATCH('Master data'!BG$1,'Team forecast'!$B$2:$AO$2,0))</f>
        <v>9.3635549768047527E-2</v>
      </c>
      <c r="BH446" s="16">
        <f>INDEX('Team forecast'!$B$2:$AO$26,MATCH('Master data'!$B446,'Team forecast'!$B$2:$B$26,0),MATCH('Master data'!BH$1,'Team forecast'!$B$2:$AO$2,0))</f>
        <v>1.6119599652605658</v>
      </c>
      <c r="BI446" s="16">
        <f>INDEX('Team forecast'!$B$2:$AO$26,MATCH('Master data'!$B446,'Team forecast'!$B$2:$B$26,0),MATCH('Master data'!BI$1,'Team forecast'!$B$2:$AO$2,0))</f>
        <v>5.8203199509731629</v>
      </c>
      <c r="BJ446" s="5">
        <f t="shared" si="243"/>
        <v>-5000</v>
      </c>
      <c r="BK446" s="5">
        <f>INDEX('Team forecast'!$R$3:$BH$26,MATCH($B446,'Team forecast'!$B$3:$B$26,0),MATCH(BK$1,'Team forecast'!$R$2:$BH$2,0))*IF($X446&gt;0,25000,0)</f>
        <v>0</v>
      </c>
      <c r="BL446" s="5">
        <f>INDEX('Team forecast'!$R$3:$BH$26,MATCH($B446,'Team forecast'!$B$3:$B$26,0),MATCH(BL$1,'Team forecast'!$R$2:$BH$2,0))*IF($X446&gt;0,5000,0)</f>
        <v>0</v>
      </c>
      <c r="BM446" s="5">
        <f>INDEX('Team forecast'!$R$3:$BH$26,MATCH($B446,'Team forecast'!$B$3:$B$26,0),MATCH(BM$1,'Team forecast'!$R$2:$BH$2,0))*IF($X446&gt;0,-15000,0)</f>
        <v>0</v>
      </c>
      <c r="BN446" s="5">
        <f t="shared" si="244"/>
        <v>0</v>
      </c>
      <c r="BO446" s="5">
        <f t="shared" si="245"/>
        <v>0</v>
      </c>
      <c r="BP446" s="5">
        <f t="shared" si="246"/>
        <v>0</v>
      </c>
      <c r="BQ446" s="5">
        <f t="shared" si="247"/>
        <v>0</v>
      </c>
      <c r="BR446" s="5">
        <f t="shared" si="248"/>
        <v>0</v>
      </c>
      <c r="BS446" s="5">
        <f t="shared" si="249"/>
        <v>0</v>
      </c>
      <c r="BT446" s="5">
        <f t="shared" si="250"/>
        <v>0</v>
      </c>
      <c r="BU446" s="5">
        <f t="shared" si="251"/>
        <v>0</v>
      </c>
      <c r="BV446" s="5">
        <f t="shared" si="252"/>
        <v>0</v>
      </c>
      <c r="BW446" s="5">
        <f t="shared" si="253"/>
        <v>-5000</v>
      </c>
      <c r="BX446" s="5">
        <f t="shared" si="254"/>
        <v>-5000</v>
      </c>
      <c r="BY446" s="5">
        <f t="shared" si="255"/>
        <v>-15000</v>
      </c>
      <c r="BZ446" s="5">
        <f>INDEX('Team forecast'!$R$3:$BH$26,MATCH($B446,'Team forecast'!$B$3:$B$26,0),MATCH(BZ$1,'Team forecast'!$R$2:$BH$2,0))*($BX446-(BY446+CH446)*0.01)</f>
        <v>-6306.4234949823885</v>
      </c>
      <c r="CA446" s="5">
        <f>INDEX('Team forecast'!$R$3:$BH$26,MATCH($B446,'Team forecast'!$B$3:$B$26,0),MATCH(CA$1,'Team forecast'!$R$2:$BH$2,0))*($BX446-(BY446+BX446+CH446)*0.01)</f>
        <v>-3088.4426626485606</v>
      </c>
      <c r="CB446" s="5">
        <f>INDEX('Team forecast'!$R$3:$BH$26,MATCH($B446,'Team forecast'!$B$3:$B$26,0),MATCH(CB$1,'Team forecast'!$R$2:$BH$2,0))*($BX446-(BY446+BX446*2+CH446)*0.01)</f>
        <v>-1486.2309909162739</v>
      </c>
      <c r="CC446" s="5">
        <f>INDEX('Team forecast'!$R$3:$BH$26,MATCH($B446,'Team forecast'!$B$3:$B$26,0),MATCH(CC$1,'Team forecast'!$R$2:$BH$2,0))*($BX446-(BY446+BX446*3+CH446)*0.01)</f>
        <v>-670.99477075023424</v>
      </c>
      <c r="CD446" s="5">
        <f>+AK446+BD446*Cockpit!$C$3+BW446*Cockpit!$C$3^2+BZ446*Cockpit!$C$3^3+CA446*Cockpit!$C$3^4+CB446*Cockpit!$C$3^5+CC446*Cockpit!$C$3^6</f>
        <v>-13288.81352372231</v>
      </c>
      <c r="CE446" s="5"/>
      <c r="CF446" s="5"/>
      <c r="CG446" s="5">
        <v>0</v>
      </c>
      <c r="CH446" s="5">
        <f t="shared" si="256"/>
        <v>2000000</v>
      </c>
      <c r="CI446" s="5">
        <f t="shared" si="257"/>
        <v>2000000</v>
      </c>
      <c r="CJ446" s="1">
        <f t="shared" si="258"/>
        <v>-7.4999999999999997E-3</v>
      </c>
      <c r="CK446" s="5">
        <f>RANK(BY446,$BY$2:$BY$623)+COUNTIF($BY$2:$BY446,$BY446)-1</f>
        <v>560</v>
      </c>
      <c r="CL446" s="5">
        <f>RANK(CJ446,$CJ$2:$CJ$623)+COUNTIF($CJ$2:$CJ446,$CJ446)-1</f>
        <v>598</v>
      </c>
    </row>
    <row r="447" spans="1:90">
      <c r="A447" t="str">
        <f>Players!P448</f>
        <v>Aleksandar Trajkovski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2500000</v>
      </c>
      <c r="H447" s="16">
        <f>INDEX('Team forecast'!$B$2:$AO$26,MATCH('Master data'!$B447,'Team forecast'!$B$2:$B$26,0),MATCH('Master data'!H$1,'Team forecast'!$B$2:$AO$2,0))</f>
        <v>0.65653770483831209</v>
      </c>
      <c r="I447" s="16">
        <f>INDEX('Team forecast'!$B$2:$AO$26,MATCH('Master data'!$B447,'Team forecast'!$B$2:$B$26,0),MATCH('Master data'!I$1,'Team forecast'!$B$2:$AO$2,0))</f>
        <v>1.5562991347612565</v>
      </c>
      <c r="J447" s="16">
        <f>INDEX('Team forecast'!$B$2:$AO$26,MATCH('Master data'!$B447,'Team forecast'!$B$2:$B$26,0),MATCH('Master data'!J$1,'Team forecast'!$B$2:$AO$2,0))</f>
        <v>0.2109151973131822</v>
      </c>
      <c r="K447" s="16">
        <f>INDEX('Team forecast'!$B$2:$AO$26,MATCH('Master data'!$B447,'Team forecast'!$B$2:$B$26,0),MATCH('Master data'!K$1,'Team forecast'!$B$2:$AO$2,0))</f>
        <v>2.1553005461863779</v>
      </c>
      <c r="L447" s="16">
        <f>INDEX('Team forecast'!$B$2:$AO$26,MATCH('Master data'!$B447,'Team forecast'!$B$2:$B$26,0),MATCH('Master data'!L$1,'Team forecast'!$B$2:$AO$2,0))</f>
        <v>3.8246785340123335</v>
      </c>
      <c r="M447">
        <f>IF(Players!BC448=1,95,0)</f>
        <v>95</v>
      </c>
      <c r="N447" s="2">
        <f>Players!BN448</f>
        <v>0.19022996710140697</v>
      </c>
      <c r="O447" s="2">
        <f>Players!BO448</f>
        <v>4.2178699800735082E-2</v>
      </c>
      <c r="P447" s="2">
        <f>Players!BP448</f>
        <v>4.8341140942760659E-2</v>
      </c>
      <c r="Q447" s="2">
        <f>Players!BQ448</f>
        <v>0.11936339522546419</v>
      </c>
      <c r="R447" s="2">
        <f>Players!BR448</f>
        <v>0</v>
      </c>
      <c r="S447" s="2">
        <f t="shared" si="217"/>
        <v>0.65653770483831209</v>
      </c>
      <c r="T447" s="2">
        <f t="shared" si="218"/>
        <v>1.5562991347612565</v>
      </c>
      <c r="U447" s="16">
        <f>INDEX('Team forecast'!$B$2:$AO$26,MATCH('Master data'!$B447,'Team forecast'!$B$2:$B$26,0),MATCH('Master data'!U$1,'Team forecast'!$B$2:$AO$2,0))</f>
        <v>0.15818639798488671</v>
      </c>
      <c r="V447" s="16">
        <f>INDEX('Team forecast'!$B$2:$AO$26,MATCH('Master data'!$B447,'Team forecast'!$B$2:$B$26,0),MATCH('Master data'!V$1,'Team forecast'!$B$2:$AO$2,0))</f>
        <v>0.23727959697733</v>
      </c>
      <c r="W447" s="16">
        <f>INDEX('Team forecast'!$B$2:$AO$26,MATCH('Master data'!$B447,'Team forecast'!$B$2:$B$26,0),MATCH('Master data'!W$1,'Team forecast'!$B$2:$AO$2,0))</f>
        <v>0.60453400503778332</v>
      </c>
      <c r="X447" s="5">
        <f t="shared" si="219"/>
        <v>7000</v>
      </c>
      <c r="Y447" s="5">
        <f t="shared" si="220"/>
        <v>3954.6599496221675</v>
      </c>
      <c r="Z447" s="5">
        <f t="shared" si="221"/>
        <v>1186.39798488665</v>
      </c>
      <c r="AA447" s="5">
        <f t="shared" si="222"/>
        <v>-9068.0100755667499</v>
      </c>
      <c r="AB447" s="5">
        <f t="shared" si="223"/>
        <v>12489.314599222536</v>
      </c>
      <c r="AC447" s="5">
        <f t="shared" si="224"/>
        <v>1384.5953380119392</v>
      </c>
      <c r="AD447" s="5">
        <f t="shared" si="225"/>
        <v>1041.8968747720473</v>
      </c>
      <c r="AE447" s="5">
        <f t="shared" si="226"/>
        <v>0</v>
      </c>
      <c r="AF447" s="5">
        <f t="shared" si="227"/>
        <v>0</v>
      </c>
      <c r="AG447" s="5">
        <f t="shared" si="228"/>
        <v>-2387.2679045092837</v>
      </c>
      <c r="AH447" s="5">
        <f t="shared" si="229"/>
        <v>0</v>
      </c>
      <c r="AI447" s="5">
        <f t="shared" si="230"/>
        <v>6565.3770483831213</v>
      </c>
      <c r="AJ447" s="5">
        <f t="shared" si="231"/>
        <v>-12450.393078090052</v>
      </c>
      <c r="AK447" s="5">
        <f>IFERROR(SUM(X447:AJ447),-5000)*((Cockpit!$C$3)^0)</f>
        <v>9716.5707367323739</v>
      </c>
      <c r="AL447" s="16">
        <f>INDEX('Team forecast'!$B$2:$AO$26,MATCH('Master data'!$B447,'Team forecast'!$B$2:$B$26,0),MATCH('Master data'!AL$1,'Team forecast'!$B$2:$AO$2,0))</f>
        <v>0.76028648339757388</v>
      </c>
      <c r="AM447" s="16">
        <f>INDEX('Team forecast'!$B$2:$AO$26,MATCH('Master data'!$B447,'Team forecast'!$B$2:$B$26,0),MATCH('Master data'!AM$1,'Team forecast'!$B$2:$AO$2,0))</f>
        <v>1.5712166996139025</v>
      </c>
      <c r="AN447" s="16">
        <f>INDEX('Team forecast'!$B$2:$AO$26,MATCH('Master data'!$B447,'Team forecast'!$B$2:$B$26,0),MATCH('Master data'!AN$1,'Team forecast'!$B$2:$AO$2,0))</f>
        <v>0.20779220779220781</v>
      </c>
      <c r="AO447" s="16">
        <f>INDEX('Team forecast'!$B$2:$AO$26,MATCH('Master data'!$B447,'Team forecast'!$B$2:$B$26,0),MATCH('Master data'!AO$1,'Team forecast'!$B$2:$AO$2,0))</f>
        <v>2.4958899707496114</v>
      </c>
      <c r="AP447" s="16">
        <f>INDEX('Team forecast'!$B$2:$AO$26,MATCH('Master data'!$B447,'Team forecast'!$B$2:$B$26,0),MATCH('Master data'!AP$1,'Team forecast'!$B$2:$AO$2,0))</f>
        <v>3.8613391532964307</v>
      </c>
      <c r="AQ447" s="5">
        <f t="shared" si="232"/>
        <v>7000</v>
      </c>
      <c r="AR447" s="5">
        <f>INDEX('Team forecast'!$B$2:$AO$26,MATCH('Master data'!$B447,'Team forecast'!$B$2:$B$26,0),MATCH('Master data'!AR$1,'Team forecast'!$B$2:$AO$2,0))*IF(X447&gt;0,25000,0)</f>
        <v>3896.1038961038953</v>
      </c>
      <c r="AS447" s="16">
        <f>INDEX('Team forecast'!$B$2:$AO$26,MATCH('Master data'!$B447,'Team forecast'!$B$2:$B$26,0),MATCH('Master data'!AS$1,'Team forecast'!$B$2:$AO$2,0))*IF(X447&gt;0,5000,0)</f>
        <v>1298.7012987012986</v>
      </c>
      <c r="AT447" s="16">
        <f>INDEX('Team forecast'!$B$2:$AO$26,MATCH('Master data'!$B447,'Team forecast'!$B$2:$B$26,0),MATCH('Master data'!AT$1,'Team forecast'!$B$2:$AO$2,0))*IF(X447&gt;0,-15000,0)</f>
        <v>-8766.233766233765</v>
      </c>
      <c r="AU447" s="5">
        <f t="shared" si="233"/>
        <v>14462.927272436489</v>
      </c>
      <c r="AV447" s="5">
        <f t="shared" si="234"/>
        <v>1603.3947672891413</v>
      </c>
      <c r="AW447" s="5">
        <f t="shared" si="235"/>
        <v>1206.5416885362974</v>
      </c>
      <c r="AX447" s="5">
        <f t="shared" si="236"/>
        <v>0</v>
      </c>
      <c r="AY447" s="5">
        <f t="shared" si="237"/>
        <v>0</v>
      </c>
      <c r="AZ447" s="5">
        <f t="shared" si="238"/>
        <v>-2387.2679045092837</v>
      </c>
      <c r="BA447" s="5">
        <f t="shared" si="239"/>
        <v>0</v>
      </c>
      <c r="BB447" s="5">
        <f t="shared" si="240"/>
        <v>7602.8648339757392</v>
      </c>
      <c r="BC447" s="5">
        <f t="shared" si="241"/>
        <v>-12569.733596911221</v>
      </c>
      <c r="BD447" s="5">
        <f t="shared" si="242"/>
        <v>13347.298489388591</v>
      </c>
      <c r="BE447" s="16">
        <f>INDEX('Team forecast'!$B$2:$AO$26,MATCH('Master data'!$B447,'Team forecast'!$B$2:$B$26,0),MATCH('Master data'!BE$1,'Team forecast'!$B$2:$AO$2,0))</f>
        <v>0.49102780480244929</v>
      </c>
      <c r="BF447" s="16">
        <f>INDEX('Team forecast'!$B$2:$AO$26,MATCH('Master data'!$B447,'Team forecast'!$B$2:$B$26,0),MATCH('Master data'!BF$1,'Team forecast'!$B$2:$AO$2,0))</f>
        <v>2.3683451623921505</v>
      </c>
      <c r="BG447" s="16">
        <f>INDEX('Team forecast'!$B$2:$AO$26,MATCH('Master data'!$B447,'Team forecast'!$B$2:$B$26,0),MATCH('Master data'!BG$1,'Team forecast'!$B$2:$AO$2,0))</f>
        <v>9.3635549768047527E-2</v>
      </c>
      <c r="BH447" s="16">
        <f>INDEX('Team forecast'!$B$2:$AO$26,MATCH('Master data'!$B447,'Team forecast'!$B$2:$B$26,0),MATCH('Master data'!BH$1,'Team forecast'!$B$2:$AO$2,0))</f>
        <v>1.6119599652605658</v>
      </c>
      <c r="BI447" s="16">
        <f>INDEX('Team forecast'!$B$2:$AO$26,MATCH('Master data'!$B447,'Team forecast'!$B$2:$B$26,0),MATCH('Master data'!BI$1,'Team forecast'!$B$2:$AO$2,0))</f>
        <v>5.8203199509731629</v>
      </c>
      <c r="BJ447" s="5">
        <f t="shared" si="243"/>
        <v>7000</v>
      </c>
      <c r="BK447" s="5">
        <f>INDEX('Team forecast'!$R$3:$BH$26,MATCH($B447,'Team forecast'!$B$3:$B$26,0),MATCH(BK$1,'Team forecast'!$R$2:$BH$2,0))*IF($X447&gt;0,25000,0)</f>
        <v>1560.5924961341254</v>
      </c>
      <c r="BL447" s="5">
        <f>INDEX('Team forecast'!$R$3:$BH$26,MATCH($B447,'Team forecast'!$B$3:$B$26,0),MATCH(BL$1,'Team forecast'!$R$2:$BH$2,0))*IF($X447&gt;0,5000,0)</f>
        <v>720.27345975421156</v>
      </c>
      <c r="BM447" s="5">
        <f>INDEX('Team forecast'!$R$3:$BH$26,MATCH($B447,'Team forecast'!$B$3:$B$26,0),MATCH(BM$1,'Team forecast'!$R$2:$BH$2,0))*IF($X447&gt;0,-15000,0)</f>
        <v>-11902.824123056889</v>
      </c>
      <c r="BN447" s="5">
        <f t="shared" si="244"/>
        <v>9340.8203153446011</v>
      </c>
      <c r="BO447" s="5">
        <f t="shared" si="245"/>
        <v>1035.5457186288227</v>
      </c>
      <c r="BP447" s="5">
        <f t="shared" si="246"/>
        <v>779.23983874748592</v>
      </c>
      <c r="BQ447" s="5">
        <f t="shared" si="247"/>
        <v>0</v>
      </c>
      <c r="BR447" s="5">
        <f t="shared" si="248"/>
        <v>0</v>
      </c>
      <c r="BS447" s="5">
        <f t="shared" si="249"/>
        <v>-2387.2679045092837</v>
      </c>
      <c r="BT447" s="5">
        <f t="shared" si="250"/>
        <v>0</v>
      </c>
      <c r="BU447" s="5">
        <f t="shared" si="251"/>
        <v>4910.2780480244928</v>
      </c>
      <c r="BV447" s="5">
        <f t="shared" si="252"/>
        <v>-18946.761299137204</v>
      </c>
      <c r="BW447" s="5">
        <f t="shared" si="253"/>
        <v>-7890.1034500696369</v>
      </c>
      <c r="BX447" s="5">
        <f t="shared" si="254"/>
        <v>5057.9219253504425</v>
      </c>
      <c r="BY447" s="5">
        <f t="shared" si="255"/>
        <v>15173.765776051328</v>
      </c>
      <c r="BZ447" s="5">
        <f>INDEX('Team forecast'!$R$3:$BH$26,MATCH($B447,'Team forecast'!$B$3:$B$26,0),MATCH(BZ$1,'Team forecast'!$R$2:$BH$2,0))*($BX447-(BY447+CH447)*0.01)</f>
        <v>-5099.4008707733456</v>
      </c>
      <c r="CA447" s="5">
        <f>INDEX('Team forecast'!$R$3:$BH$26,MATCH($B447,'Team forecast'!$B$3:$B$26,0),MATCH(CA$1,'Team forecast'!$R$2:$BH$2,0))*($BX447-(BY447+BX447+CH447)*0.01)</f>
        <v>-2508.6616444338742</v>
      </c>
      <c r="CB447" s="5">
        <f>INDEX('Team forecast'!$R$3:$BH$26,MATCH($B447,'Team forecast'!$B$3:$B$26,0),MATCH(CB$1,'Team forecast'!$R$2:$BH$2,0))*($BX447-(BY447+BX447*2+CH447)*0.01)</f>
        <v>-1212.7028878210363</v>
      </c>
      <c r="CC447" s="5">
        <f>INDEX('Team forecast'!$R$3:$BH$26,MATCH($B447,'Team forecast'!$B$3:$B$26,0),MATCH(CC$1,'Team forecast'!$R$2:$BH$2,0))*($BX447-(BY447+BX447*3+CH447)*0.01)</f>
        <v>-549.98625326919603</v>
      </c>
      <c r="CD447" s="5">
        <f>+AK447+BD447*Cockpit!$C$3+BW447*Cockpit!$C$3^2+BZ447*Cockpit!$C$3^3+CA447*Cockpit!$C$3^4+CB447*Cockpit!$C$3^5+CC447*Cockpit!$C$3^6</f>
        <v>12893.603776094138</v>
      </c>
      <c r="CE447" s="5"/>
      <c r="CF447" s="5"/>
      <c r="CG447" s="5">
        <v>0</v>
      </c>
      <c r="CH447" s="5">
        <f t="shared" si="256"/>
        <v>2500000</v>
      </c>
      <c r="CI447" s="5">
        <f t="shared" si="257"/>
        <v>2500000</v>
      </c>
      <c r="CJ447" s="1">
        <f t="shared" si="258"/>
        <v>6.069506310420531E-3</v>
      </c>
      <c r="CK447" s="5">
        <f>RANK(BY447,$BY$2:$BY$623)+COUNTIF($BY$2:$BY447,$BY447)-1</f>
        <v>385</v>
      </c>
      <c r="CL447" s="5">
        <f>RANK(CJ447,$CJ$2:$CJ$623)+COUNTIF($CJ$2:$CJ447,$CJ447)-1</f>
        <v>387</v>
      </c>
    </row>
    <row r="448" spans="1:90">
      <c r="A448" t="str">
        <f>Players!P449</f>
        <v>Goran Pandev</v>
      </c>
      <c r="B448" t="str">
        <f>Players!G449</f>
        <v>North Macedonia</v>
      </c>
      <c r="C448" t="str">
        <f>Players!AB449</f>
        <v>Striker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0.65653770483831209</v>
      </c>
      <c r="I448" s="16">
        <f>INDEX('Team forecast'!$B$2:$AO$26,MATCH('Master data'!$B448,'Team forecast'!$B$2:$B$26,0),MATCH('Master data'!I$1,'Team forecast'!$B$2:$AO$2,0))</f>
        <v>1.5562991347612565</v>
      </c>
      <c r="J448" s="16">
        <f>INDEX('Team forecast'!$B$2:$AO$26,MATCH('Master data'!$B448,'Team forecast'!$B$2:$B$26,0),MATCH('Master data'!J$1,'Team forecast'!$B$2:$AO$2,0))</f>
        <v>0.2109151973131822</v>
      </c>
      <c r="K448" s="16">
        <f>INDEX('Team forecast'!$B$2:$AO$26,MATCH('Master data'!$B448,'Team forecast'!$B$2:$B$26,0),MATCH('Master data'!K$1,'Team forecast'!$B$2:$AO$2,0))</f>
        <v>2.1553005461863779</v>
      </c>
      <c r="L448" s="16">
        <f>INDEX('Team forecast'!$B$2:$AO$26,MATCH('Master data'!$B448,'Team forecast'!$B$2:$B$26,0),MATCH('Master data'!L$1,'Team forecast'!$B$2:$AO$2,0))</f>
        <v>3.8246785340123335</v>
      </c>
      <c r="M448">
        <f>IF(Players!BC449=1,95,0)</f>
        <v>95</v>
      </c>
      <c r="N448" s="2">
        <f>Players!BN449</f>
        <v>0.30291513279386345</v>
      </c>
      <c r="O448" s="2">
        <f>Players!BO449</f>
        <v>0.25382736419273949</v>
      </c>
      <c r="P448" s="2">
        <f>Players!BP449</f>
        <v>0.21417811056584238</v>
      </c>
      <c r="Q448" s="2">
        <f>Players!BQ449</f>
        <v>0.27025641025641028</v>
      </c>
      <c r="R448" s="2">
        <f>Players!BR449</f>
        <v>0</v>
      </c>
      <c r="S448" s="2">
        <f t="shared" si="217"/>
        <v>0.65653770483831209</v>
      </c>
      <c r="T448" s="2">
        <f t="shared" si="218"/>
        <v>1.5562991347612565</v>
      </c>
      <c r="U448" s="16">
        <f>INDEX('Team forecast'!$B$2:$AO$26,MATCH('Master data'!$B448,'Team forecast'!$B$2:$B$26,0),MATCH('Master data'!U$1,'Team forecast'!$B$2:$AO$2,0))</f>
        <v>0.15818639798488671</v>
      </c>
      <c r="V448" s="16">
        <f>INDEX('Team forecast'!$B$2:$AO$26,MATCH('Master data'!$B448,'Team forecast'!$B$2:$B$26,0),MATCH('Master data'!V$1,'Team forecast'!$B$2:$AO$2,0))</f>
        <v>0.23727959697733</v>
      </c>
      <c r="W448" s="16">
        <f>INDEX('Team forecast'!$B$2:$AO$26,MATCH('Master data'!$B448,'Team forecast'!$B$2:$B$26,0),MATCH('Master data'!W$1,'Team forecast'!$B$2:$AO$2,0))</f>
        <v>0.60453400503778332</v>
      </c>
      <c r="X448" s="5">
        <f t="shared" si="219"/>
        <v>7000</v>
      </c>
      <c r="Y448" s="5">
        <f t="shared" si="220"/>
        <v>3954.6599496221675</v>
      </c>
      <c r="Z448" s="5">
        <f t="shared" si="221"/>
        <v>1186.39798488665</v>
      </c>
      <c r="AA448" s="5">
        <f t="shared" si="222"/>
        <v>-9068.0100755667499</v>
      </c>
      <c r="AB448" s="5">
        <f t="shared" si="223"/>
        <v>19887.520604527563</v>
      </c>
      <c r="AC448" s="5">
        <f t="shared" si="224"/>
        <v>8332.3617556129775</v>
      </c>
      <c r="AD448" s="5">
        <f t="shared" si="225"/>
        <v>4616.181986837265</v>
      </c>
      <c r="AE448" s="5">
        <f t="shared" si="226"/>
        <v>0</v>
      </c>
      <c r="AF448" s="5">
        <f t="shared" si="227"/>
        <v>0</v>
      </c>
      <c r="AG448" s="5">
        <f t="shared" si="228"/>
        <v>-5405.128205128206</v>
      </c>
      <c r="AH448" s="5">
        <f t="shared" si="229"/>
        <v>0</v>
      </c>
      <c r="AI448" s="5">
        <f t="shared" si="230"/>
        <v>6565.3770483831213</v>
      </c>
      <c r="AJ448" s="5">
        <f t="shared" si="231"/>
        <v>-12450.393078090052</v>
      </c>
      <c r="AK448" s="5">
        <f>IFERROR(SUM(X448:AJ448),-5000)*((Cockpit!$C$3)^0)</f>
        <v>24618.96797108473</v>
      </c>
      <c r="AL448" s="16">
        <f>INDEX('Team forecast'!$B$2:$AO$26,MATCH('Master data'!$B448,'Team forecast'!$B$2:$B$26,0),MATCH('Master data'!AL$1,'Team forecast'!$B$2:$AO$2,0))</f>
        <v>0.76028648339757388</v>
      </c>
      <c r="AM448" s="16">
        <f>INDEX('Team forecast'!$B$2:$AO$26,MATCH('Master data'!$B448,'Team forecast'!$B$2:$B$26,0),MATCH('Master data'!AM$1,'Team forecast'!$B$2:$AO$2,0))</f>
        <v>1.5712166996139025</v>
      </c>
      <c r="AN448" s="16">
        <f>INDEX('Team forecast'!$B$2:$AO$26,MATCH('Master data'!$B448,'Team forecast'!$B$2:$B$26,0),MATCH('Master data'!AN$1,'Team forecast'!$B$2:$AO$2,0))</f>
        <v>0.20779220779220781</v>
      </c>
      <c r="AO448" s="16">
        <f>INDEX('Team forecast'!$B$2:$AO$26,MATCH('Master data'!$B448,'Team forecast'!$B$2:$B$26,0),MATCH('Master data'!AO$1,'Team forecast'!$B$2:$AO$2,0))</f>
        <v>2.4958899707496114</v>
      </c>
      <c r="AP448" s="16">
        <f>INDEX('Team forecast'!$B$2:$AO$26,MATCH('Master data'!$B448,'Team forecast'!$B$2:$B$26,0),MATCH('Master data'!AP$1,'Team forecast'!$B$2:$AO$2,0))</f>
        <v>3.8613391532964307</v>
      </c>
      <c r="AQ448" s="5">
        <f t="shared" si="232"/>
        <v>7000</v>
      </c>
      <c r="AR448" s="5">
        <f>INDEX('Team forecast'!$B$2:$AO$26,MATCH('Master data'!$B448,'Team forecast'!$B$2:$B$26,0),MATCH('Master data'!AR$1,'Team forecast'!$B$2:$AO$2,0))*IF(X448&gt;0,25000,0)</f>
        <v>3896.1038961038953</v>
      </c>
      <c r="AS448" s="16">
        <f>INDEX('Team forecast'!$B$2:$AO$26,MATCH('Master data'!$B448,'Team forecast'!$B$2:$B$26,0),MATCH('Master data'!AS$1,'Team forecast'!$B$2:$AO$2,0))*IF(X448&gt;0,5000,0)</f>
        <v>1298.7012987012986</v>
      </c>
      <c r="AT448" s="16">
        <f>INDEX('Team forecast'!$B$2:$AO$26,MATCH('Master data'!$B448,'Team forecast'!$B$2:$B$26,0),MATCH('Master data'!AT$1,'Team forecast'!$B$2:$AO$2,0))*IF(X448&gt;0,-15000,0)</f>
        <v>-8766.233766233765</v>
      </c>
      <c r="AU448" s="5">
        <f t="shared" si="233"/>
        <v>23030.228107975556</v>
      </c>
      <c r="AV448" s="5">
        <f t="shared" si="234"/>
        <v>9649.0757056086586</v>
      </c>
      <c r="AW448" s="5">
        <f t="shared" si="235"/>
        <v>5345.6499811538743</v>
      </c>
      <c r="AX448" s="5">
        <f t="shared" si="236"/>
        <v>0</v>
      </c>
      <c r="AY448" s="5">
        <f t="shared" si="237"/>
        <v>0</v>
      </c>
      <c r="AZ448" s="5">
        <f t="shared" si="238"/>
        <v>-5405.128205128206</v>
      </c>
      <c r="BA448" s="5">
        <f t="shared" si="239"/>
        <v>0</v>
      </c>
      <c r="BB448" s="5">
        <f t="shared" si="240"/>
        <v>7602.8648339757392</v>
      </c>
      <c r="BC448" s="5">
        <f t="shared" si="241"/>
        <v>-12569.733596911221</v>
      </c>
      <c r="BD448" s="5">
        <f t="shared" si="242"/>
        <v>31081.528255245834</v>
      </c>
      <c r="BE448" s="16">
        <f>INDEX('Team forecast'!$B$2:$AO$26,MATCH('Master data'!$B448,'Team forecast'!$B$2:$B$26,0),MATCH('Master data'!BE$1,'Team forecast'!$B$2:$AO$2,0))</f>
        <v>0.49102780480244929</v>
      </c>
      <c r="BF448" s="16">
        <f>INDEX('Team forecast'!$B$2:$AO$26,MATCH('Master data'!$B448,'Team forecast'!$B$2:$B$26,0),MATCH('Master data'!BF$1,'Team forecast'!$B$2:$AO$2,0))</f>
        <v>2.3683451623921505</v>
      </c>
      <c r="BG448" s="16">
        <f>INDEX('Team forecast'!$B$2:$AO$26,MATCH('Master data'!$B448,'Team forecast'!$B$2:$B$26,0),MATCH('Master data'!BG$1,'Team forecast'!$B$2:$AO$2,0))</f>
        <v>9.3635549768047527E-2</v>
      </c>
      <c r="BH448" s="16">
        <f>INDEX('Team forecast'!$B$2:$AO$26,MATCH('Master data'!$B448,'Team forecast'!$B$2:$B$26,0),MATCH('Master data'!BH$1,'Team forecast'!$B$2:$AO$2,0))</f>
        <v>1.6119599652605658</v>
      </c>
      <c r="BI448" s="16">
        <f>INDEX('Team forecast'!$B$2:$AO$26,MATCH('Master data'!$B448,'Team forecast'!$B$2:$B$26,0),MATCH('Master data'!BI$1,'Team forecast'!$B$2:$AO$2,0))</f>
        <v>5.8203199509731629</v>
      </c>
      <c r="BJ448" s="5">
        <f t="shared" si="243"/>
        <v>7000</v>
      </c>
      <c r="BK448" s="5">
        <f>INDEX('Team forecast'!$R$3:$BH$26,MATCH($B448,'Team forecast'!$B$3:$B$26,0),MATCH(BK$1,'Team forecast'!$R$2:$BH$2,0))*IF($X448&gt;0,25000,0)</f>
        <v>1560.5924961341254</v>
      </c>
      <c r="BL448" s="5">
        <f>INDEX('Team forecast'!$R$3:$BH$26,MATCH($B448,'Team forecast'!$B$3:$B$26,0),MATCH(BL$1,'Team forecast'!$R$2:$BH$2,0))*IF($X448&gt;0,5000,0)</f>
        <v>720.27345975421156</v>
      </c>
      <c r="BM448" s="5">
        <f>INDEX('Team forecast'!$R$3:$BH$26,MATCH($B448,'Team forecast'!$B$3:$B$26,0),MATCH(BM$1,'Team forecast'!$R$2:$BH$2,0))*IF($X448&gt;0,-15000,0)</f>
        <v>-11902.824123056889</v>
      </c>
      <c r="BN448" s="5">
        <f t="shared" si="244"/>
        <v>14873.975269721319</v>
      </c>
      <c r="BO448" s="5">
        <f t="shared" si="245"/>
        <v>6231.8146719176339</v>
      </c>
      <c r="BP448" s="5">
        <f t="shared" si="246"/>
        <v>3452.4653966728893</v>
      </c>
      <c r="BQ448" s="5">
        <f t="shared" si="247"/>
        <v>0</v>
      </c>
      <c r="BR448" s="5">
        <f t="shared" si="248"/>
        <v>0</v>
      </c>
      <c r="BS448" s="5">
        <f t="shared" si="249"/>
        <v>-5405.128205128206</v>
      </c>
      <c r="BT448" s="5">
        <f t="shared" si="250"/>
        <v>0</v>
      </c>
      <c r="BU448" s="5">
        <f t="shared" si="251"/>
        <v>4910.2780480244928</v>
      </c>
      <c r="BV448" s="5">
        <f t="shared" si="252"/>
        <v>-18946.761299137204</v>
      </c>
      <c r="BW448" s="5">
        <f t="shared" si="253"/>
        <v>2494.6857149023745</v>
      </c>
      <c r="BX448" s="5">
        <f t="shared" si="254"/>
        <v>19398.39398041098</v>
      </c>
      <c r="BY448" s="5">
        <f t="shared" si="255"/>
        <v>58195.181941232935</v>
      </c>
      <c r="BZ448" s="5">
        <f>INDEX('Team forecast'!$R$3:$BH$26,MATCH($B448,'Team forecast'!$B$3:$B$26,0),MATCH(BZ$1,'Team forecast'!$R$2:$BH$2,0))*($BX448-(BY448+CH448)*0.01)</f>
        <v>-4107.0571182408266</v>
      </c>
      <c r="CA448" s="5">
        <f>INDEX('Team forecast'!$R$3:$BH$26,MATCH($B448,'Team forecast'!$B$3:$B$26,0),MATCH(CA$1,'Team forecast'!$R$2:$BH$2,0))*($BX448-(BY448+BX448+CH448)*0.01)</f>
        <v>-2039.5604330230635</v>
      </c>
      <c r="CB448" s="5">
        <f>INDEX('Team forecast'!$R$3:$BH$26,MATCH($B448,'Team forecast'!$B$3:$B$26,0),MATCH(CB$1,'Team forecast'!$R$2:$BH$2,0))*($BX448-(BY448+BX448*2+CH448)*0.01)</f>
        <v>-995.11576120257052</v>
      </c>
      <c r="CC448" s="5">
        <f>INDEX('Team forecast'!$R$3:$BH$26,MATCH($B448,'Team forecast'!$B$3:$B$26,0),MATCH(CC$1,'Team forecast'!$R$2:$BH$2,0))*($BX448-(BY448+BX448*3+CH448)*0.01)</f>
        <v>-455.44815019263666</v>
      </c>
      <c r="CD448" s="5">
        <f>+AK448+BD448*Cockpit!$C$3+BW448*Cockpit!$C$3^2+BZ448*Cockpit!$C$3^3+CA448*Cockpit!$C$3^4+CB448*Cockpit!$C$3^5+CC448*Cockpit!$C$3^6</f>
        <v>44657.925541859397</v>
      </c>
      <c r="CE448" s="5"/>
      <c r="CF448" s="5"/>
      <c r="CG448" s="5">
        <v>0</v>
      </c>
      <c r="CH448" s="5">
        <f t="shared" si="256"/>
        <v>3500000</v>
      </c>
      <c r="CI448" s="5">
        <f t="shared" si="257"/>
        <v>3500000</v>
      </c>
      <c r="CJ448" s="1">
        <f t="shared" si="258"/>
        <v>1.6627194840352268E-2</v>
      </c>
      <c r="CK448" s="5">
        <f>RANK(BY448,$BY$2:$BY$623)+COUNTIF($BY$2:$BY448,$BY448)-1</f>
        <v>277</v>
      </c>
      <c r="CL448" s="5">
        <f>RANK(CJ448,$CJ$2:$CJ$623)+COUNTIF($CJ$2:$CJ448,$CJ448)-1</f>
        <v>293</v>
      </c>
    </row>
    <row r="449" spans="1:90">
      <c r="A449" t="str">
        <f>Players!P450</f>
        <v>Jonas Omlin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1.162032718107336</v>
      </c>
      <c r="I449" s="16">
        <f>INDEX('Team forecast'!$B$2:$AO$26,MATCH('Master data'!$B449,'Team forecast'!$B$2:$B$26,0),MATCH('Master data'!I$1,'Team forecast'!$B$2:$AO$2,0))</f>
        <v>0.87435064565555498</v>
      </c>
      <c r="J449" s="16">
        <f>INDEX('Team forecast'!$B$2:$AO$26,MATCH('Master data'!$B449,'Team forecast'!$B$2:$B$26,0),MATCH('Master data'!J$1,'Team forecast'!$B$2:$AO$2,0))</f>
        <v>0.41713279874828868</v>
      </c>
      <c r="K449" s="16">
        <f>INDEX('Team forecast'!$B$2:$AO$26,MATCH('Master data'!$B449,'Team forecast'!$B$2:$B$26,0),MATCH('Master data'!K$1,'Team forecast'!$B$2:$AO$2,0))</f>
        <v>3.2487816133000873</v>
      </c>
      <c r="L449" s="16">
        <f>INDEX('Team forecast'!$B$2:$AO$26,MATCH('Master data'!$B449,'Team forecast'!$B$2:$B$26,0),MATCH('Master data'!L$1,'Team forecast'!$B$2:$AO$2,0))</f>
        <v>2.3631098531231216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0</v>
      </c>
      <c r="R449" s="2">
        <f>Players!BR450</f>
        <v>3.3657442034405384E-2</v>
      </c>
      <c r="S449" s="2">
        <f t="shared" si="217"/>
        <v>1.162032718107336</v>
      </c>
      <c r="T449" s="2">
        <f t="shared" si="218"/>
        <v>0.87435064565555498</v>
      </c>
      <c r="U449" s="16">
        <f>INDEX('Team forecast'!$B$2:$AO$26,MATCH('Master data'!$B449,'Team forecast'!$B$2:$B$26,0),MATCH('Master data'!U$1,'Team forecast'!$B$2:$AO$2,0))</f>
        <v>0.43653432427146488</v>
      </c>
      <c r="V449" s="16">
        <f>INDEX('Team forecast'!$B$2:$AO$26,MATCH('Master data'!$B449,'Team forecast'!$B$2:$B$26,0),MATCH('Master data'!V$1,'Team forecast'!$B$2:$AO$2,0))</f>
        <v>0.30275767651085472</v>
      </c>
      <c r="W449" s="16">
        <f>INDEX('Team forecast'!$B$2:$AO$26,MATCH('Master data'!$B449,'Team forecast'!$B$2:$B$26,0),MATCH('Master data'!W$1,'Team forecast'!$B$2:$AO$2,0))</f>
        <v>0.2607079992176804</v>
      </c>
      <c r="X449" s="5">
        <f t="shared" si="219"/>
        <v>-5000</v>
      </c>
      <c r="Y449" s="5">
        <f t="shared" si="220"/>
        <v>0</v>
      </c>
      <c r="Z449" s="5">
        <f t="shared" si="221"/>
        <v>0</v>
      </c>
      <c r="AA449" s="5">
        <f t="shared" si="222"/>
        <v>0</v>
      </c>
      <c r="AB449" s="5">
        <f t="shared" si="223"/>
        <v>0</v>
      </c>
      <c r="AC449" s="5">
        <f t="shared" si="224"/>
        <v>0</v>
      </c>
      <c r="AD449" s="5">
        <f t="shared" si="225"/>
        <v>0</v>
      </c>
      <c r="AE449" s="5">
        <f t="shared" si="226"/>
        <v>31284.95990612165</v>
      </c>
      <c r="AF449" s="5">
        <f t="shared" si="227"/>
        <v>7443.7960373378328</v>
      </c>
      <c r="AG449" s="5">
        <f t="shared" si="228"/>
        <v>0</v>
      </c>
      <c r="AH449" s="5">
        <f t="shared" si="229"/>
        <v>0</v>
      </c>
      <c r="AI449" s="5">
        <f t="shared" si="230"/>
        <v>0</v>
      </c>
      <c r="AJ449" s="5">
        <f t="shared" si="231"/>
        <v>0</v>
      </c>
      <c r="AK449" s="5">
        <f>IFERROR(SUM(X449:AJ449),-5000)*((Cockpit!$C$3)^0)</f>
        <v>33728.75594345948</v>
      </c>
      <c r="AL449" s="16">
        <f>INDEX('Team forecast'!$B$2:$AO$26,MATCH('Master data'!$B449,'Team forecast'!$B$2:$B$26,0),MATCH('Master data'!AL$1,'Team forecast'!$B$2:$AO$2,0))</f>
        <v>0.79620558314709244</v>
      </c>
      <c r="AM449" s="16">
        <f>INDEX('Team forecast'!$B$2:$AO$26,MATCH('Master data'!$B449,'Team forecast'!$B$2:$B$26,0),MATCH('Master data'!AM$1,'Team forecast'!$B$2:$AO$2,0))</f>
        <v>1.5198357804321134</v>
      </c>
      <c r="AN449" s="16">
        <f>INDEX('Team forecast'!$B$2:$AO$26,MATCH('Master data'!$B449,'Team forecast'!$B$2:$B$26,0),MATCH('Master data'!AN$1,'Team forecast'!$B$2:$AO$2,0))</f>
        <v>0.21874780667306151</v>
      </c>
      <c r="AO449" s="16">
        <f>INDEX('Team forecast'!$B$2:$AO$26,MATCH('Master data'!$B449,'Team forecast'!$B$2:$B$26,0),MATCH('Master data'!AO$1,'Team forecast'!$B$2:$AO$2,0))</f>
        <v>2.2260113838689839</v>
      </c>
      <c r="AP449" s="16">
        <f>INDEX('Team forecast'!$B$2:$AO$26,MATCH('Master data'!$B449,'Team forecast'!$B$2:$B$26,0),MATCH('Master data'!AP$1,'Team forecast'!$B$2:$AO$2,0))</f>
        <v>4.1076642714381446</v>
      </c>
      <c r="AQ449" s="5">
        <f t="shared" si="232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233"/>
        <v>0</v>
      </c>
      <c r="AV449" s="5">
        <f t="shared" si="234"/>
        <v>0</v>
      </c>
      <c r="AW449" s="5">
        <f t="shared" si="235"/>
        <v>0</v>
      </c>
      <c r="AX449" s="5">
        <f t="shared" si="236"/>
        <v>16406.085500479614</v>
      </c>
      <c r="AY449" s="5">
        <f t="shared" si="237"/>
        <v>12939.142455030156</v>
      </c>
      <c r="AZ449" s="5">
        <f t="shared" si="238"/>
        <v>0</v>
      </c>
      <c r="BA449" s="5">
        <f t="shared" si="239"/>
        <v>0</v>
      </c>
      <c r="BB449" s="5">
        <f t="shared" si="240"/>
        <v>0</v>
      </c>
      <c r="BC449" s="5">
        <f t="shared" si="241"/>
        <v>0</v>
      </c>
      <c r="BD449" s="5">
        <f t="shared" si="242"/>
        <v>24345.22795550977</v>
      </c>
      <c r="BE449" s="16">
        <f>INDEX('Team forecast'!$B$2:$AO$26,MATCH('Master data'!$B449,'Team forecast'!$B$2:$B$26,0),MATCH('Master data'!BE$1,'Team forecast'!$B$2:$AO$2,0))</f>
        <v>1.3677883945550393</v>
      </c>
      <c r="BF449" s="16">
        <f>INDEX('Team forecast'!$B$2:$AO$26,MATCH('Master data'!$B449,'Team forecast'!$B$2:$B$26,0),MATCH('Master data'!BF$1,'Team forecast'!$B$2:$AO$2,0))</f>
        <v>1.2246875509143662</v>
      </c>
      <c r="BG449" s="16">
        <f>INDEX('Team forecast'!$B$2:$AO$26,MATCH('Master data'!$B449,'Team forecast'!$B$2:$B$26,0),MATCH('Master data'!BG$1,'Team forecast'!$B$2:$AO$2,0))</f>
        <v>0.29384949898885449</v>
      </c>
      <c r="BH449" s="16">
        <f>INDEX('Team forecast'!$B$2:$AO$26,MATCH('Master data'!$B449,'Team forecast'!$B$2:$B$26,0),MATCH('Master data'!BH$1,'Team forecast'!$B$2:$AO$2,0))</f>
        <v>3.8240281171714834</v>
      </c>
      <c r="BI449" s="16">
        <f>INDEX('Team forecast'!$B$2:$AO$26,MATCH('Master data'!$B449,'Team forecast'!$B$2:$B$26,0),MATCH('Master data'!BI$1,'Team forecast'!$B$2:$AO$2,0))</f>
        <v>3.3099663538226114</v>
      </c>
      <c r="BJ449" s="5">
        <f t="shared" si="243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244"/>
        <v>0</v>
      </c>
      <c r="BO449" s="5">
        <f t="shared" si="245"/>
        <v>0</v>
      </c>
      <c r="BP449" s="5">
        <f t="shared" si="246"/>
        <v>0</v>
      </c>
      <c r="BQ449" s="5">
        <f t="shared" si="247"/>
        <v>22038.712424164085</v>
      </c>
      <c r="BR449" s="5">
        <f t="shared" si="248"/>
        <v>10426.394014541227</v>
      </c>
      <c r="BS449" s="5">
        <f t="shared" si="249"/>
        <v>0</v>
      </c>
      <c r="BT449" s="5">
        <f t="shared" si="250"/>
        <v>0</v>
      </c>
      <c r="BU449" s="5">
        <f t="shared" si="251"/>
        <v>0</v>
      </c>
      <c r="BV449" s="5">
        <f t="shared" si="252"/>
        <v>0</v>
      </c>
      <c r="BW449" s="5">
        <f t="shared" si="253"/>
        <v>27465.106438705312</v>
      </c>
      <c r="BX449" s="5">
        <f t="shared" si="254"/>
        <v>28513.03011255819</v>
      </c>
      <c r="BY449" s="5">
        <f t="shared" si="255"/>
        <v>85539.09033767457</v>
      </c>
      <c r="BZ449" s="5">
        <f>INDEX('Team forecast'!$R$3:$BH$26,MATCH($B449,'Team forecast'!$B$3:$B$26,0),MATCH(BZ$1,'Team forecast'!$R$2:$BH$2,0))*($BX449-(BY449+CH449)*0.01)</f>
        <v>-4687.6516052142424</v>
      </c>
      <c r="CA449" s="5">
        <f>INDEX('Team forecast'!$R$3:$BH$26,MATCH($B449,'Team forecast'!$B$3:$B$26,0),MATCH(CA$1,'Team forecast'!$R$2:$BH$2,0))*($BX449-(BY449+BX449+CH449)*0.01)</f>
        <v>-2400.5847920962492</v>
      </c>
      <c r="CB449" s="5">
        <f>INDEX('Team forecast'!$R$3:$BH$26,MATCH($B449,'Team forecast'!$B$3:$B$26,0),MATCH(CB$1,'Team forecast'!$R$2:$BH$2,0))*($BX449-(BY449+BX449*2+CH449)*0.01)</f>
        <v>-1211.7113624008391</v>
      </c>
      <c r="CC449" s="5">
        <f>INDEX('Team forecast'!$R$3:$BH$26,MATCH($B449,'Team forecast'!$B$3:$B$26,0),MATCH(CC$1,'Team forecast'!$R$2:$BH$2,0))*($BX449-(BY449+BX449*3+CH449)*0.01)</f>
        <v>-583.00006392734451</v>
      </c>
      <c r="CD449" s="5">
        <f>+AK449+BD449*Cockpit!$C$3+BW449*Cockpit!$C$3^2+BZ449*Cockpit!$C$3^3+CA449*Cockpit!$C$3^4+CB449*Cockpit!$C$3^5+CC449*Cockpit!$C$3^6</f>
        <v>60091.749113347418</v>
      </c>
      <c r="CE449" s="5"/>
      <c r="CF449" s="5"/>
      <c r="CG449" s="5">
        <v>0</v>
      </c>
      <c r="CH449" s="5">
        <f t="shared" si="256"/>
        <v>3500000</v>
      </c>
      <c r="CI449" s="5">
        <f t="shared" si="257"/>
        <v>3500000</v>
      </c>
      <c r="CJ449" s="1">
        <f t="shared" si="258"/>
        <v>2.4439740096478448E-2</v>
      </c>
      <c r="CK449" s="5">
        <f>RANK(BY449,$BY$2:$BY$623)+COUNTIF($BY$2:$BY449,$BY449)-1</f>
        <v>200</v>
      </c>
      <c r="CL449" s="5">
        <f>RANK(CJ449,$CJ$2:$CJ$623)+COUNTIF($CJ$2:$CJ449,$CJ449)-1</f>
        <v>215</v>
      </c>
    </row>
    <row r="450" spans="1:90">
      <c r="A450" t="str">
        <f>Players!P451</f>
        <v>Yvon Mvogo</v>
      </c>
      <c r="B450" t="str">
        <f>Players!G451</f>
        <v>Switzerland</v>
      </c>
      <c r="C450" t="str">
        <f>Players!AB451</f>
        <v>Goalkeeper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3500000</v>
      </c>
      <c r="H450" s="16">
        <f>INDEX('Team forecast'!$B$2:$AO$26,MATCH('Master data'!$B450,'Team forecast'!$B$2:$B$26,0),MATCH('Master data'!H$1,'Team forecast'!$B$2:$AO$2,0))</f>
        <v>1.162032718107336</v>
      </c>
      <c r="I450" s="16">
        <f>INDEX('Team forecast'!$B$2:$AO$26,MATCH('Master data'!$B450,'Team forecast'!$B$2:$B$26,0),MATCH('Master data'!I$1,'Team forecast'!$B$2:$AO$2,0))</f>
        <v>0.87435064565555498</v>
      </c>
      <c r="J450" s="16">
        <f>INDEX('Team forecast'!$B$2:$AO$26,MATCH('Master data'!$B450,'Team forecast'!$B$2:$B$26,0),MATCH('Master data'!J$1,'Team forecast'!$B$2:$AO$2,0))</f>
        <v>0.41713279874828868</v>
      </c>
      <c r="K450" s="16">
        <f>INDEX('Team forecast'!$B$2:$AO$26,MATCH('Master data'!$B450,'Team forecast'!$B$2:$B$26,0),MATCH('Master data'!K$1,'Team forecast'!$B$2:$AO$2,0))</f>
        <v>3.2487816133000873</v>
      </c>
      <c r="L450" s="16">
        <f>INDEX('Team forecast'!$B$2:$AO$26,MATCH('Master data'!$B450,'Team forecast'!$B$2:$B$26,0),MATCH('Master data'!L$1,'Team forecast'!$B$2:$AO$2,0))</f>
        <v>2.3631098531231216</v>
      </c>
      <c r="M450">
        <f>IF(Players!BC451=1,95,0)</f>
        <v>0</v>
      </c>
      <c r="N450" s="2">
        <f>Players!BN451</f>
        <v>0</v>
      </c>
      <c r="O450" s="2">
        <f>Players!BO451</f>
        <v>0</v>
      </c>
      <c r="P450" s="2">
        <f>Players!BP451</f>
        <v>0</v>
      </c>
      <c r="Q450" s="2">
        <f>Players!BQ451</f>
        <v>0</v>
      </c>
      <c r="R450" s="2">
        <f>Players!BR451</f>
        <v>0</v>
      </c>
      <c r="S450" s="2">
        <f t="shared" si="217"/>
        <v>1.162032718107336</v>
      </c>
      <c r="T450" s="2">
        <f t="shared" si="218"/>
        <v>0.87435064565555498</v>
      </c>
      <c r="U450" s="16">
        <f>INDEX('Team forecast'!$B$2:$AO$26,MATCH('Master data'!$B450,'Team forecast'!$B$2:$B$26,0),MATCH('Master data'!U$1,'Team forecast'!$B$2:$AO$2,0))</f>
        <v>0.43653432427146488</v>
      </c>
      <c r="V450" s="16">
        <f>INDEX('Team forecast'!$B$2:$AO$26,MATCH('Master data'!$B450,'Team forecast'!$B$2:$B$26,0),MATCH('Master data'!V$1,'Team forecast'!$B$2:$AO$2,0))</f>
        <v>0.30275767651085472</v>
      </c>
      <c r="W450" s="16">
        <f>INDEX('Team forecast'!$B$2:$AO$26,MATCH('Master data'!$B450,'Team forecast'!$B$2:$B$26,0),MATCH('Master data'!W$1,'Team forecast'!$B$2:$AO$2,0))</f>
        <v>0.2607079992176804</v>
      </c>
      <c r="X450" s="5">
        <f t="shared" si="219"/>
        <v>-5000</v>
      </c>
      <c r="Y450" s="5">
        <f t="shared" si="220"/>
        <v>0</v>
      </c>
      <c r="Z450" s="5">
        <f t="shared" si="221"/>
        <v>0</v>
      </c>
      <c r="AA450" s="5">
        <f t="shared" si="222"/>
        <v>0</v>
      </c>
      <c r="AB450" s="5">
        <f t="shared" si="223"/>
        <v>0</v>
      </c>
      <c r="AC450" s="5">
        <f t="shared" si="224"/>
        <v>0</v>
      </c>
      <c r="AD450" s="5">
        <f t="shared" si="225"/>
        <v>0</v>
      </c>
      <c r="AE450" s="5">
        <f t="shared" si="226"/>
        <v>31284.95990612165</v>
      </c>
      <c r="AF450" s="5">
        <f t="shared" si="227"/>
        <v>7443.7960373378328</v>
      </c>
      <c r="AG450" s="5">
        <f t="shared" si="228"/>
        <v>0</v>
      </c>
      <c r="AH450" s="5">
        <f t="shared" si="229"/>
        <v>0</v>
      </c>
      <c r="AI450" s="5">
        <f t="shared" si="230"/>
        <v>0</v>
      </c>
      <c r="AJ450" s="5">
        <f t="shared" si="231"/>
        <v>0</v>
      </c>
      <c r="AK450" s="5">
        <f>IFERROR(SUM(X450:AJ450),-5000)*((Cockpit!$C$3)^0)</f>
        <v>33728.75594345948</v>
      </c>
      <c r="AL450" s="16">
        <f>INDEX('Team forecast'!$B$2:$AO$26,MATCH('Master data'!$B450,'Team forecast'!$B$2:$B$26,0),MATCH('Master data'!AL$1,'Team forecast'!$B$2:$AO$2,0))</f>
        <v>0.79620558314709244</v>
      </c>
      <c r="AM450" s="16">
        <f>INDEX('Team forecast'!$B$2:$AO$26,MATCH('Master data'!$B450,'Team forecast'!$B$2:$B$26,0),MATCH('Master data'!AM$1,'Team forecast'!$B$2:$AO$2,0))</f>
        <v>1.5198357804321134</v>
      </c>
      <c r="AN450" s="16">
        <f>INDEX('Team forecast'!$B$2:$AO$26,MATCH('Master data'!$B450,'Team forecast'!$B$2:$B$26,0),MATCH('Master data'!AN$1,'Team forecast'!$B$2:$AO$2,0))</f>
        <v>0.21874780667306151</v>
      </c>
      <c r="AO450" s="16">
        <f>INDEX('Team forecast'!$B$2:$AO$26,MATCH('Master data'!$B450,'Team forecast'!$B$2:$B$26,0),MATCH('Master data'!AO$1,'Team forecast'!$B$2:$AO$2,0))</f>
        <v>2.2260113838689839</v>
      </c>
      <c r="AP450" s="16">
        <f>INDEX('Team forecast'!$B$2:$AO$26,MATCH('Master data'!$B450,'Team forecast'!$B$2:$B$26,0),MATCH('Master data'!AP$1,'Team forecast'!$B$2:$AO$2,0))</f>
        <v>4.1076642714381446</v>
      </c>
      <c r="AQ450" s="5">
        <f t="shared" si="232"/>
        <v>-5000</v>
      </c>
      <c r="AR450" s="5">
        <f>INDEX('Team forecast'!$B$2:$AO$26,MATCH('Master data'!$B450,'Team forecast'!$B$2:$B$26,0),MATCH('Master data'!AR$1,'Team forecast'!$B$2:$AO$2,0))*IF(X450&gt;0,25000,0)</f>
        <v>0</v>
      </c>
      <c r="AS450" s="16">
        <f>INDEX('Team forecast'!$B$2:$AO$26,MATCH('Master data'!$B450,'Team forecast'!$B$2:$B$26,0),MATCH('Master data'!AS$1,'Team forecast'!$B$2:$AO$2,0))*IF(X450&gt;0,5000,0)</f>
        <v>0</v>
      </c>
      <c r="AT450" s="16">
        <f>INDEX('Team forecast'!$B$2:$AO$26,MATCH('Master data'!$B450,'Team forecast'!$B$2:$B$26,0),MATCH('Master data'!AT$1,'Team forecast'!$B$2:$AO$2,0))*IF(X450&gt;0,-15000,0)</f>
        <v>0</v>
      </c>
      <c r="AU450" s="5">
        <f t="shared" si="233"/>
        <v>0</v>
      </c>
      <c r="AV450" s="5">
        <f t="shared" si="234"/>
        <v>0</v>
      </c>
      <c r="AW450" s="5">
        <f t="shared" si="235"/>
        <v>0</v>
      </c>
      <c r="AX450" s="5">
        <f t="shared" si="236"/>
        <v>16406.085500479614</v>
      </c>
      <c r="AY450" s="5">
        <f t="shared" si="237"/>
        <v>12939.142455030156</v>
      </c>
      <c r="AZ450" s="5">
        <f t="shared" si="238"/>
        <v>0</v>
      </c>
      <c r="BA450" s="5">
        <f t="shared" si="239"/>
        <v>0</v>
      </c>
      <c r="BB450" s="5">
        <f t="shared" si="240"/>
        <v>0</v>
      </c>
      <c r="BC450" s="5">
        <f t="shared" si="241"/>
        <v>0</v>
      </c>
      <c r="BD450" s="5">
        <f t="shared" si="242"/>
        <v>24345.22795550977</v>
      </c>
      <c r="BE450" s="16">
        <f>INDEX('Team forecast'!$B$2:$AO$26,MATCH('Master data'!$B450,'Team forecast'!$B$2:$B$26,0),MATCH('Master data'!BE$1,'Team forecast'!$B$2:$AO$2,0))</f>
        <v>1.3677883945550393</v>
      </c>
      <c r="BF450" s="16">
        <f>INDEX('Team forecast'!$B$2:$AO$26,MATCH('Master data'!$B450,'Team forecast'!$B$2:$B$26,0),MATCH('Master data'!BF$1,'Team forecast'!$B$2:$AO$2,0))</f>
        <v>1.2246875509143662</v>
      </c>
      <c r="BG450" s="16">
        <f>INDEX('Team forecast'!$B$2:$AO$26,MATCH('Master data'!$B450,'Team forecast'!$B$2:$B$26,0),MATCH('Master data'!BG$1,'Team forecast'!$B$2:$AO$2,0))</f>
        <v>0.29384949898885449</v>
      </c>
      <c r="BH450" s="16">
        <f>INDEX('Team forecast'!$B$2:$AO$26,MATCH('Master data'!$B450,'Team forecast'!$B$2:$B$26,0),MATCH('Master data'!BH$1,'Team forecast'!$B$2:$AO$2,0))</f>
        <v>3.8240281171714834</v>
      </c>
      <c r="BI450" s="16">
        <f>INDEX('Team forecast'!$B$2:$AO$26,MATCH('Master data'!$B450,'Team forecast'!$B$2:$B$26,0),MATCH('Master data'!BI$1,'Team forecast'!$B$2:$AO$2,0))</f>
        <v>3.3099663538226114</v>
      </c>
      <c r="BJ450" s="5">
        <f t="shared" si="243"/>
        <v>-5000</v>
      </c>
      <c r="BK450" s="5">
        <f>INDEX('Team forecast'!$R$3:$BH$26,MATCH($B450,'Team forecast'!$B$3:$B$26,0),MATCH(BK$1,'Team forecast'!$R$2:$BH$2,0))*IF($X450&gt;0,25000,0)</f>
        <v>0</v>
      </c>
      <c r="BL450" s="5">
        <f>INDEX('Team forecast'!$R$3:$BH$26,MATCH($B450,'Team forecast'!$B$3:$B$26,0),MATCH(BL$1,'Team forecast'!$R$2:$BH$2,0))*IF($X450&gt;0,5000,0)</f>
        <v>0</v>
      </c>
      <c r="BM450" s="5">
        <f>INDEX('Team forecast'!$R$3:$BH$26,MATCH($B450,'Team forecast'!$B$3:$B$26,0),MATCH(BM$1,'Team forecast'!$R$2:$BH$2,0))*IF($X450&gt;0,-15000,0)</f>
        <v>0</v>
      </c>
      <c r="BN450" s="5">
        <f t="shared" si="244"/>
        <v>0</v>
      </c>
      <c r="BO450" s="5">
        <f t="shared" si="245"/>
        <v>0</v>
      </c>
      <c r="BP450" s="5">
        <f t="shared" si="246"/>
        <v>0</v>
      </c>
      <c r="BQ450" s="5">
        <f t="shared" si="247"/>
        <v>22038.712424164085</v>
      </c>
      <c r="BR450" s="5">
        <f t="shared" si="248"/>
        <v>10426.394014541227</v>
      </c>
      <c r="BS450" s="5">
        <f t="shared" si="249"/>
        <v>0</v>
      </c>
      <c r="BT450" s="5">
        <f t="shared" si="250"/>
        <v>0</v>
      </c>
      <c r="BU450" s="5">
        <f t="shared" si="251"/>
        <v>0</v>
      </c>
      <c r="BV450" s="5">
        <f t="shared" si="252"/>
        <v>0</v>
      </c>
      <c r="BW450" s="5">
        <f t="shared" si="253"/>
        <v>27465.106438705312</v>
      </c>
      <c r="BX450" s="5">
        <f t="shared" si="254"/>
        <v>28513.03011255819</v>
      </c>
      <c r="BY450" s="5">
        <f t="shared" si="255"/>
        <v>85539.09033767457</v>
      </c>
      <c r="BZ450" s="5">
        <f>INDEX('Team forecast'!$R$3:$BH$26,MATCH($B450,'Team forecast'!$B$3:$B$26,0),MATCH(BZ$1,'Team forecast'!$R$2:$BH$2,0))*($BX450-(BY450+CH450)*0.01)</f>
        <v>-4687.6516052142424</v>
      </c>
      <c r="CA450" s="5">
        <f>INDEX('Team forecast'!$R$3:$BH$26,MATCH($B450,'Team forecast'!$B$3:$B$26,0),MATCH(CA$1,'Team forecast'!$R$2:$BH$2,0))*($BX450-(BY450+BX450+CH450)*0.01)</f>
        <v>-2400.5847920962492</v>
      </c>
      <c r="CB450" s="5">
        <f>INDEX('Team forecast'!$R$3:$BH$26,MATCH($B450,'Team forecast'!$B$3:$B$26,0),MATCH(CB$1,'Team forecast'!$R$2:$BH$2,0))*($BX450-(BY450+BX450*2+CH450)*0.01)</f>
        <v>-1211.7113624008391</v>
      </c>
      <c r="CC450" s="5">
        <f>INDEX('Team forecast'!$R$3:$BH$26,MATCH($B450,'Team forecast'!$B$3:$B$26,0),MATCH(CC$1,'Team forecast'!$R$2:$BH$2,0))*($BX450-(BY450+BX450*3+CH450)*0.01)</f>
        <v>-583.00006392734451</v>
      </c>
      <c r="CD450" s="5">
        <f>+AK450+BD450*Cockpit!$C$3+BW450*Cockpit!$C$3^2+BZ450*Cockpit!$C$3^3+CA450*Cockpit!$C$3^4+CB450*Cockpit!$C$3^5+CC450*Cockpit!$C$3^6</f>
        <v>60091.749113347418</v>
      </c>
      <c r="CE450" s="5"/>
      <c r="CF450" s="5"/>
      <c r="CG450" s="5">
        <v>0</v>
      </c>
      <c r="CH450" s="5">
        <f t="shared" si="256"/>
        <v>3500000</v>
      </c>
      <c r="CI450" s="5">
        <f t="shared" si="257"/>
        <v>3500000</v>
      </c>
      <c r="CJ450" s="1">
        <f t="shared" si="258"/>
        <v>2.4439740096478448E-2</v>
      </c>
      <c r="CK450" s="5">
        <f>RANK(BY450,$BY$2:$BY$623)+COUNTIF($BY$2:$BY450,$BY450)-1</f>
        <v>201</v>
      </c>
      <c r="CL450" s="5">
        <f>RANK(CJ450,$CJ$2:$CJ$623)+COUNTIF($CJ$2:$CJ450,$CJ450)-1</f>
        <v>216</v>
      </c>
    </row>
    <row r="451" spans="1:90">
      <c r="A451" t="str">
        <f>Players!P452</f>
        <v>Kevin Mbabu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3000000</v>
      </c>
      <c r="H451" s="16">
        <f>INDEX('Team forecast'!$B$2:$AO$26,MATCH('Master data'!$B451,'Team forecast'!$B$2:$B$26,0),MATCH('Master data'!H$1,'Team forecast'!$B$2:$AO$2,0))</f>
        <v>1.162032718107336</v>
      </c>
      <c r="I451" s="16">
        <f>INDEX('Team forecast'!$B$2:$AO$26,MATCH('Master data'!$B451,'Team forecast'!$B$2:$B$26,0),MATCH('Master data'!I$1,'Team forecast'!$B$2:$AO$2,0))</f>
        <v>0.87435064565555498</v>
      </c>
      <c r="J451" s="16">
        <f>INDEX('Team forecast'!$B$2:$AO$26,MATCH('Master data'!$B451,'Team forecast'!$B$2:$B$26,0),MATCH('Master data'!J$1,'Team forecast'!$B$2:$AO$2,0))</f>
        <v>0.41713279874828868</v>
      </c>
      <c r="K451" s="16">
        <f>INDEX('Team forecast'!$B$2:$AO$26,MATCH('Master data'!$B451,'Team forecast'!$B$2:$B$26,0),MATCH('Master data'!K$1,'Team forecast'!$B$2:$AO$2,0))</f>
        <v>3.2487816133000873</v>
      </c>
      <c r="L451" s="16">
        <f>INDEX('Team forecast'!$B$2:$AO$26,MATCH('Master data'!$B451,'Team forecast'!$B$2:$B$26,0),MATCH('Master data'!L$1,'Team forecast'!$B$2:$AO$2,0))</f>
        <v>2.3631098531231216</v>
      </c>
      <c r="M451">
        <f>IF(Players!BC452=1,95,0)</f>
        <v>95</v>
      </c>
      <c r="N451" s="2">
        <f>Players!BN452</f>
        <v>3.487149825650418E-2</v>
      </c>
      <c r="O451" s="2">
        <f>Players!BO452</f>
        <v>4.3937181186894901E-2</v>
      </c>
      <c r="P451" s="2">
        <f>Players!BP452</f>
        <v>8.4090599798932228E-2</v>
      </c>
      <c r="Q451" s="2">
        <f>Players!BQ452</f>
        <v>0.41672245891661597</v>
      </c>
      <c r="R451" s="2">
        <f>Players!BR452</f>
        <v>0</v>
      </c>
      <c r="S451" s="2">
        <f t="shared" ref="S451:S514" si="259">H451</f>
        <v>1.162032718107336</v>
      </c>
      <c r="T451" s="2">
        <f t="shared" ref="T451:T514" si="260">I451</f>
        <v>0.87435064565555498</v>
      </c>
      <c r="U451" s="16">
        <f>INDEX('Team forecast'!$B$2:$AO$26,MATCH('Master data'!$B451,'Team forecast'!$B$2:$B$26,0),MATCH('Master data'!U$1,'Team forecast'!$B$2:$AO$2,0))</f>
        <v>0.43653432427146488</v>
      </c>
      <c r="V451" s="16">
        <f>INDEX('Team forecast'!$B$2:$AO$26,MATCH('Master data'!$B451,'Team forecast'!$B$2:$B$26,0),MATCH('Master data'!V$1,'Team forecast'!$B$2:$AO$2,0))</f>
        <v>0.30275767651085472</v>
      </c>
      <c r="W451" s="16">
        <f>INDEX('Team forecast'!$B$2:$AO$26,MATCH('Master data'!$B451,'Team forecast'!$B$2:$B$26,0),MATCH('Master data'!W$1,'Team forecast'!$B$2:$AO$2,0))</f>
        <v>0.2607079992176804</v>
      </c>
      <c r="X451" s="5">
        <f t="shared" ref="X451:X514" si="261">IF(M451&gt;95,7000*2,IF(M451&gt;0,7000,-5000))</f>
        <v>7000</v>
      </c>
      <c r="Y451" s="5">
        <f t="shared" ref="Y451:Y514" si="262">IF($X451&gt;0,U451*25000,0)</f>
        <v>10913.358106786622</v>
      </c>
      <c r="Z451" s="5">
        <f t="shared" ref="Z451:Z514" si="263">IF($X451&gt;0,V451*5000,0)</f>
        <v>1513.7883825542735</v>
      </c>
      <c r="AA451" s="5">
        <f t="shared" ref="AA451:AA514" si="264">IF($X451&gt;0,W451*(-15000),0)</f>
        <v>-3910.6199882652058</v>
      </c>
      <c r="AB451" s="5">
        <f t="shared" ref="AB451:AB514" si="265">IF($C451="Defense",$N451*150000,IF($C451="Midfield",$N451*125000,IF($C451="Striker",$N451*100000,0)))*$H451</f>
        <v>6078.2732855221175</v>
      </c>
      <c r="AC451" s="5">
        <f t="shared" ref="AC451:AC514" si="266">$O451*50000*H451</f>
        <v>2552.8221040290996</v>
      </c>
      <c r="AD451" s="5">
        <f t="shared" ref="AD451:AD514" si="267">$P451*K451*10000</f>
        <v>2731.9199447814703</v>
      </c>
      <c r="AE451" s="5">
        <f t="shared" ref="AE451:AE514" si="268">IF($C451="Goalkeeper",J451*75000,IF($C451="Defense",J451*50000,0))</f>
        <v>20856.639937414435</v>
      </c>
      <c r="AF451" s="5">
        <f t="shared" ref="AF451:AF514" si="269">IF($C451="Goalkeeper",(L451-I451)*5000,0)</f>
        <v>0</v>
      </c>
      <c r="AG451" s="5">
        <f t="shared" ref="AG451:AG514" si="270">IF(M451&gt;0,Q451*(-20000),0)</f>
        <v>-8334.4491783323192</v>
      </c>
      <c r="AH451" s="5">
        <f t="shared" ref="AH451:AH514" si="271">IF(M451&gt;0,R451*(-50000),0)</f>
        <v>0</v>
      </c>
      <c r="AI451" s="5">
        <f t="shared" ref="AI451:AI514" si="272">IF(M451&gt;0,S451*10000,0)</f>
        <v>11620.32718107336</v>
      </c>
      <c r="AJ451" s="5">
        <f t="shared" ref="AJ451:AJ514" si="273">IF(M451&gt;0,T451*(-8000),0)</f>
        <v>-6994.8051652444401</v>
      </c>
      <c r="AK451" s="5">
        <f>IFERROR(SUM(X451:AJ451),-5000)*((Cockpit!$C$3)^0)</f>
        <v>44027.254610319418</v>
      </c>
      <c r="AL451" s="16">
        <f>INDEX('Team forecast'!$B$2:$AO$26,MATCH('Master data'!$B451,'Team forecast'!$B$2:$B$26,0),MATCH('Master data'!AL$1,'Team forecast'!$B$2:$AO$2,0))</f>
        <v>0.79620558314709244</v>
      </c>
      <c r="AM451" s="16">
        <f>INDEX('Team forecast'!$B$2:$AO$26,MATCH('Master data'!$B451,'Team forecast'!$B$2:$B$26,0),MATCH('Master data'!AM$1,'Team forecast'!$B$2:$AO$2,0))</f>
        <v>1.5198357804321134</v>
      </c>
      <c r="AN451" s="16">
        <f>INDEX('Team forecast'!$B$2:$AO$26,MATCH('Master data'!$B451,'Team forecast'!$B$2:$B$26,0),MATCH('Master data'!AN$1,'Team forecast'!$B$2:$AO$2,0))</f>
        <v>0.21874780667306151</v>
      </c>
      <c r="AO451" s="16">
        <f>INDEX('Team forecast'!$B$2:$AO$26,MATCH('Master data'!$B451,'Team forecast'!$B$2:$B$26,0),MATCH('Master data'!AO$1,'Team forecast'!$B$2:$AO$2,0))</f>
        <v>2.2260113838689839</v>
      </c>
      <c r="AP451" s="16">
        <f>INDEX('Team forecast'!$B$2:$AO$26,MATCH('Master data'!$B451,'Team forecast'!$B$2:$B$26,0),MATCH('Master data'!AP$1,'Team forecast'!$B$2:$AO$2,0))</f>
        <v>4.1076642714381446</v>
      </c>
      <c r="AQ451" s="5">
        <f t="shared" ref="AQ451:AQ514" si="274">X451</f>
        <v>7000</v>
      </c>
      <c r="AR451" s="5">
        <f>INDEX('Team forecast'!$B$2:$AO$26,MATCH('Master data'!$B451,'Team forecast'!$B$2:$B$26,0),MATCH('Master data'!AR$1,'Team forecast'!$B$2:$AO$2,0))*IF(X451&gt;0,25000,0)</f>
        <v>4305.3545586107102</v>
      </c>
      <c r="AS451" s="16">
        <f>INDEX('Team forecast'!$B$2:$AO$26,MATCH('Master data'!$B451,'Team forecast'!$B$2:$B$26,0),MATCH('Master data'!AS$1,'Team forecast'!$B$2:$AO$2,0))*IF(X451&gt;0,5000,0)</f>
        <v>1353.111432706223</v>
      </c>
      <c r="AT451" s="16">
        <f>INDEX('Team forecast'!$B$2:$AO$26,MATCH('Master data'!$B451,'Team forecast'!$B$2:$B$26,0),MATCH('Master data'!AT$1,'Team forecast'!$B$2:$AO$2,0))*IF(X451&gt;0,-15000,0)</f>
        <v>-8357.4529667149072</v>
      </c>
      <c r="AU451" s="5">
        <f t="shared" ref="AU451:AU514" si="275">IF($C451="Defense",$N451*150000,IF($C451="Midfield",$N451*125000,IF($C451="Striker",$N451*100000,0)))*$AL451</f>
        <v>4164.7322406799094</v>
      </c>
      <c r="AV451" s="5">
        <f t="shared" ref="AV451:AV514" si="276">$O451*50000*AL451</f>
        <v>1749.1514484375559</v>
      </c>
      <c r="AW451" s="5">
        <f t="shared" ref="AW451:AW514" si="277">$P451*AO451*10000</f>
        <v>1871.8663242879402</v>
      </c>
      <c r="AX451" s="5">
        <f t="shared" ref="AX451:AX514" si="278">IF($C451="Goalkeeper",AN451*75000,IF($C451="Defense",AN451*50000,0))</f>
        <v>10937.390333653075</v>
      </c>
      <c r="AY451" s="5">
        <f t="shared" ref="AY451:AY514" si="279">IF($C451="Goalkeeper",(AP451-AM451)*5000,0)</f>
        <v>0</v>
      </c>
      <c r="AZ451" s="5">
        <f t="shared" ref="AZ451:AZ514" si="280">$AG451</f>
        <v>-8334.4491783323192</v>
      </c>
      <c r="BA451" s="5">
        <f t="shared" ref="BA451:BA514" si="281">$AH451</f>
        <v>0</v>
      </c>
      <c r="BB451" s="5">
        <f t="shared" ref="BB451:BB514" si="282">IF(X451&gt;0,AL451*10000,0)</f>
        <v>7962.0558314709242</v>
      </c>
      <c r="BC451" s="5">
        <f t="shared" ref="BC451:BC514" si="283">IF(X451&gt;0,AM451*(-8000),0)</f>
        <v>-12158.686243456907</v>
      </c>
      <c r="BD451" s="5">
        <f t="shared" ref="BD451:BD514" si="284">IFERROR(SUM(AQ451:BC451),0)</f>
        <v>10493.073781342204</v>
      </c>
      <c r="BE451" s="16">
        <f>INDEX('Team forecast'!$B$2:$AO$26,MATCH('Master data'!$B451,'Team forecast'!$B$2:$B$26,0),MATCH('Master data'!BE$1,'Team forecast'!$B$2:$AO$2,0))</f>
        <v>1.3677883945550393</v>
      </c>
      <c r="BF451" s="16">
        <f>INDEX('Team forecast'!$B$2:$AO$26,MATCH('Master data'!$B451,'Team forecast'!$B$2:$B$26,0),MATCH('Master data'!BF$1,'Team forecast'!$B$2:$AO$2,0))</f>
        <v>1.2246875509143662</v>
      </c>
      <c r="BG451" s="16">
        <f>INDEX('Team forecast'!$B$2:$AO$26,MATCH('Master data'!$B451,'Team forecast'!$B$2:$B$26,0),MATCH('Master data'!BG$1,'Team forecast'!$B$2:$AO$2,0))</f>
        <v>0.29384949898885449</v>
      </c>
      <c r="BH451" s="16">
        <f>INDEX('Team forecast'!$B$2:$AO$26,MATCH('Master data'!$B451,'Team forecast'!$B$2:$B$26,0),MATCH('Master data'!BH$1,'Team forecast'!$B$2:$AO$2,0))</f>
        <v>3.8240281171714834</v>
      </c>
      <c r="BI451" s="16">
        <f>INDEX('Team forecast'!$B$2:$AO$26,MATCH('Master data'!$B451,'Team forecast'!$B$2:$B$26,0),MATCH('Master data'!BI$1,'Team forecast'!$B$2:$AO$2,0))</f>
        <v>3.3099663538226114</v>
      </c>
      <c r="BJ451" s="5">
        <f t="shared" ref="BJ451:BJ514" si="285">AQ451</f>
        <v>7000</v>
      </c>
      <c r="BK451" s="5">
        <f>INDEX('Team forecast'!$R$3:$BH$26,MATCH($B451,'Team forecast'!$B$3:$B$26,0),MATCH(BK$1,'Team forecast'!$R$2:$BH$2,0))*IF($X451&gt;0,25000,0)</f>
        <v>9745.0088950385434</v>
      </c>
      <c r="BL451" s="5">
        <f>INDEX('Team forecast'!$R$3:$BH$26,MATCH($B451,'Team forecast'!$B$3:$B$26,0),MATCH(BL$1,'Team forecast'!$R$2:$BH$2,0))*IF($X451&gt;0,5000,0)</f>
        <v>1404.4277525202608</v>
      </c>
      <c r="BM451" s="5">
        <f>INDEX('Team forecast'!$R$3:$BH$26,MATCH($B451,'Team forecast'!$B$3:$B$26,0),MATCH(BM$1,'Team forecast'!$R$2:$BH$2,0))*IF($X451&gt;0,-15000,0)</f>
        <v>-4939.7114054160902</v>
      </c>
      <c r="BN451" s="5">
        <f t="shared" ref="BN451:BN514" si="286">IF($C451="Defense",$N451*150000,IF($C451="Midfield",$N451*125000,IF($C451="Striker",$N451*100000,0)))*$BE451</f>
        <v>7154.524592398906</v>
      </c>
      <c r="BO451" s="5">
        <f t="shared" ref="BO451:BO514" si="287">$O451*50000*$BE451</f>
        <v>3004.838325844843</v>
      </c>
      <c r="BP451" s="5">
        <f t="shared" ref="BP451:BP514" si="288">$P451*BH451*10000</f>
        <v>3215.6481802093149</v>
      </c>
      <c r="BQ451" s="5">
        <f t="shared" ref="BQ451:BQ514" si="289">IF($C451="Goalkeeper",BG451*75000,IF($C451="Defense",BG451*50000,0))</f>
        <v>14692.474949442725</v>
      </c>
      <c r="BR451" s="5">
        <f t="shared" ref="BR451:BR514" si="290">IF($C451="Goalkeeper",(BI451-BF451)*5000,0)</f>
        <v>0</v>
      </c>
      <c r="BS451" s="5">
        <f t="shared" ref="BS451:BS514" si="291">$AG451</f>
        <v>-8334.4491783323192</v>
      </c>
      <c r="BT451" s="5">
        <f t="shared" ref="BT451:BT514" si="292">$AH451</f>
        <v>0</v>
      </c>
      <c r="BU451" s="5">
        <f t="shared" ref="BU451:BU514" si="293">IF(AQ451&gt;0,BE451*10000,0)</f>
        <v>13677.883945550393</v>
      </c>
      <c r="BV451" s="5">
        <f t="shared" ref="BV451:BV514" si="294">IF(AQ451&gt;0,BF451*(-8000),0)</f>
        <v>-9797.5004073149303</v>
      </c>
      <c r="BW451" s="5">
        <f t="shared" ref="BW451:BW514" si="295">IFERROR(SUM(BJ451:BV451),0)</f>
        <v>36823.145649941645</v>
      </c>
      <c r="BX451" s="5">
        <f t="shared" ref="BX451:BX514" si="296">AVERAGE(AK451,BD451,BW451)</f>
        <v>30447.824680534424</v>
      </c>
      <c r="BY451" s="5">
        <f t="shared" ref="BY451:BY514" si="297">BX451*3</f>
        <v>91343.474041603273</v>
      </c>
      <c r="BZ451" s="5">
        <f>INDEX('Team forecast'!$R$3:$BH$26,MATCH($B451,'Team forecast'!$B$3:$B$26,0),MATCH(BZ$1,'Team forecast'!$R$2:$BH$2,0))*($BX451-(BY451+CH451)*0.01)</f>
        <v>-297.26375573061563</v>
      </c>
      <c r="CA451" s="5">
        <f>INDEX('Team forecast'!$R$3:$BH$26,MATCH($B451,'Team forecast'!$B$3:$B$26,0),MATCH(CA$1,'Team forecast'!$R$2:$BH$2,0))*($BX451-(BY451+BX451+CH451)*0.01)</f>
        <v>-242.36832994224523</v>
      </c>
      <c r="CB451" s="5">
        <f>INDEX('Team forecast'!$R$3:$BH$26,MATCH($B451,'Team forecast'!$B$3:$B$26,0),MATCH(CB$1,'Team forecast'!$R$2:$BH$2,0))*($BX451-(BY451+BX451*2+CH451)*0.01)</f>
        <v>-164.55539041245402</v>
      </c>
      <c r="CC451" s="5">
        <f>INDEX('Team forecast'!$R$3:$BH$26,MATCH($B451,'Team forecast'!$B$3:$B$26,0),MATCH(CC$1,'Team forecast'!$R$2:$BH$2,0))*($BX451-(BY451+BX451*3+CH451)*0.01)</f>
        <v>-98.073622710661596</v>
      </c>
      <c r="CD451" s="5">
        <f>+AK451+BD451*Cockpit!$C$3+BW451*Cockpit!$C$3^2+BZ451*Cockpit!$C$3^3+CA451*Cockpit!$C$3^4+CB451*Cockpit!$C$3^5+CC451*Cockpit!$C$3^6</f>
        <v>67222.246391157314</v>
      </c>
      <c r="CE451" s="5"/>
      <c r="CF451" s="5"/>
      <c r="CG451" s="5">
        <v>0</v>
      </c>
      <c r="CH451" s="5">
        <f t="shared" ref="CH451:CH514" si="298">+G451+CG451</f>
        <v>3000000</v>
      </c>
      <c r="CI451" s="5">
        <f t="shared" ref="CI451:CI514" si="299">CH451</f>
        <v>3000000</v>
      </c>
      <c r="CJ451" s="1">
        <f t="shared" ref="CJ451:CJ514" si="300">IFERROR(BY451/CI451,-100%)</f>
        <v>3.0447824680534426E-2</v>
      </c>
      <c r="CK451" s="5">
        <f>RANK(BY451,$BY$2:$BY$623)+COUNTIF($BY$2:$BY451,$BY451)-1</f>
        <v>190</v>
      </c>
      <c r="CL451" s="5">
        <f>RANK(CJ451,$CJ$2:$CJ$623)+COUNTIF($CJ$2:$CJ451,$CJ451)-1</f>
        <v>140</v>
      </c>
    </row>
    <row r="452" spans="1:90">
      <c r="A452" t="str">
        <f>Players!P453</f>
        <v>Silvan Widmer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2500000</v>
      </c>
      <c r="H452" s="16">
        <f>INDEX('Team forecast'!$B$2:$AO$26,MATCH('Master data'!$B452,'Team forecast'!$B$2:$B$26,0),MATCH('Master data'!H$1,'Team forecast'!$B$2:$AO$2,0))</f>
        <v>1.162032718107336</v>
      </c>
      <c r="I452" s="16">
        <f>INDEX('Team forecast'!$B$2:$AO$26,MATCH('Master data'!$B452,'Team forecast'!$B$2:$B$26,0),MATCH('Master data'!I$1,'Team forecast'!$B$2:$AO$2,0))</f>
        <v>0.87435064565555498</v>
      </c>
      <c r="J452" s="16">
        <f>INDEX('Team forecast'!$B$2:$AO$26,MATCH('Master data'!$B452,'Team forecast'!$B$2:$B$26,0),MATCH('Master data'!J$1,'Team forecast'!$B$2:$AO$2,0))</f>
        <v>0.41713279874828868</v>
      </c>
      <c r="K452" s="16">
        <f>INDEX('Team forecast'!$B$2:$AO$26,MATCH('Master data'!$B452,'Team forecast'!$B$2:$B$26,0),MATCH('Master data'!K$1,'Team forecast'!$B$2:$AO$2,0))</f>
        <v>3.2487816133000873</v>
      </c>
      <c r="L452" s="16">
        <f>INDEX('Team forecast'!$B$2:$AO$26,MATCH('Master data'!$B452,'Team forecast'!$B$2:$B$26,0),MATCH('Master data'!L$1,'Team forecast'!$B$2:$AO$2,0))</f>
        <v>2.3631098531231216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6.32688927943761E-2</v>
      </c>
      <c r="R452" s="2">
        <f>Players!BR453</f>
        <v>0</v>
      </c>
      <c r="S452" s="2">
        <f t="shared" si="259"/>
        <v>1.162032718107336</v>
      </c>
      <c r="T452" s="2">
        <f t="shared" si="260"/>
        <v>0.87435064565555498</v>
      </c>
      <c r="U452" s="16">
        <f>INDEX('Team forecast'!$B$2:$AO$26,MATCH('Master data'!$B452,'Team forecast'!$B$2:$B$26,0),MATCH('Master data'!U$1,'Team forecast'!$B$2:$AO$2,0))</f>
        <v>0.43653432427146488</v>
      </c>
      <c r="V452" s="16">
        <f>INDEX('Team forecast'!$B$2:$AO$26,MATCH('Master data'!$B452,'Team forecast'!$B$2:$B$26,0),MATCH('Master data'!V$1,'Team forecast'!$B$2:$AO$2,0))</f>
        <v>0.30275767651085472</v>
      </c>
      <c r="W452" s="16">
        <f>INDEX('Team forecast'!$B$2:$AO$26,MATCH('Master data'!$B452,'Team forecast'!$B$2:$B$26,0),MATCH('Master data'!W$1,'Team forecast'!$B$2:$AO$2,0))</f>
        <v>0.2607079992176804</v>
      </c>
      <c r="X452" s="5">
        <f t="shared" si="261"/>
        <v>-5000</v>
      </c>
      <c r="Y452" s="5">
        <f t="shared" si="262"/>
        <v>0</v>
      </c>
      <c r="Z452" s="5">
        <f t="shared" si="263"/>
        <v>0</v>
      </c>
      <c r="AA452" s="5">
        <f t="shared" si="264"/>
        <v>0</v>
      </c>
      <c r="AB452" s="5">
        <f t="shared" si="265"/>
        <v>0</v>
      </c>
      <c r="AC452" s="5">
        <f t="shared" si="266"/>
        <v>0</v>
      </c>
      <c r="AD452" s="5">
        <f t="shared" si="267"/>
        <v>0</v>
      </c>
      <c r="AE452" s="5">
        <f t="shared" si="268"/>
        <v>20856.639937414435</v>
      </c>
      <c r="AF452" s="5">
        <f t="shared" si="269"/>
        <v>0</v>
      </c>
      <c r="AG452" s="5">
        <f t="shared" si="270"/>
        <v>0</v>
      </c>
      <c r="AH452" s="5">
        <f t="shared" si="271"/>
        <v>0</v>
      </c>
      <c r="AI452" s="5">
        <f t="shared" si="272"/>
        <v>0</v>
      </c>
      <c r="AJ452" s="5">
        <f t="shared" si="273"/>
        <v>0</v>
      </c>
      <c r="AK452" s="5">
        <f>IFERROR(SUM(X452:AJ452),-5000)*((Cockpit!$C$3)^0)</f>
        <v>15856.639937414435</v>
      </c>
      <c r="AL452" s="16">
        <f>INDEX('Team forecast'!$B$2:$AO$26,MATCH('Master data'!$B452,'Team forecast'!$B$2:$B$26,0),MATCH('Master data'!AL$1,'Team forecast'!$B$2:$AO$2,0))</f>
        <v>0.79620558314709244</v>
      </c>
      <c r="AM452" s="16">
        <f>INDEX('Team forecast'!$B$2:$AO$26,MATCH('Master data'!$B452,'Team forecast'!$B$2:$B$26,0),MATCH('Master data'!AM$1,'Team forecast'!$B$2:$AO$2,0))</f>
        <v>1.5198357804321134</v>
      </c>
      <c r="AN452" s="16">
        <f>INDEX('Team forecast'!$B$2:$AO$26,MATCH('Master data'!$B452,'Team forecast'!$B$2:$B$26,0),MATCH('Master data'!AN$1,'Team forecast'!$B$2:$AO$2,0))</f>
        <v>0.21874780667306151</v>
      </c>
      <c r="AO452" s="16">
        <f>INDEX('Team forecast'!$B$2:$AO$26,MATCH('Master data'!$B452,'Team forecast'!$B$2:$B$26,0),MATCH('Master data'!AO$1,'Team forecast'!$B$2:$AO$2,0))</f>
        <v>2.2260113838689839</v>
      </c>
      <c r="AP452" s="16">
        <f>INDEX('Team forecast'!$B$2:$AO$26,MATCH('Master data'!$B452,'Team forecast'!$B$2:$B$26,0),MATCH('Master data'!AP$1,'Team forecast'!$B$2:$AO$2,0))</f>
        <v>4.1076642714381446</v>
      </c>
      <c r="AQ452" s="5">
        <f t="shared" si="274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275"/>
        <v>0</v>
      </c>
      <c r="AV452" s="5">
        <f t="shared" si="276"/>
        <v>0</v>
      </c>
      <c r="AW452" s="5">
        <f t="shared" si="277"/>
        <v>0</v>
      </c>
      <c r="AX452" s="5">
        <f t="shared" si="278"/>
        <v>10937.390333653075</v>
      </c>
      <c r="AY452" s="5">
        <f t="shared" si="279"/>
        <v>0</v>
      </c>
      <c r="AZ452" s="5">
        <f t="shared" si="280"/>
        <v>0</v>
      </c>
      <c r="BA452" s="5">
        <f t="shared" si="281"/>
        <v>0</v>
      </c>
      <c r="BB452" s="5">
        <f t="shared" si="282"/>
        <v>0</v>
      </c>
      <c r="BC452" s="5">
        <f t="shared" si="283"/>
        <v>0</v>
      </c>
      <c r="BD452" s="5">
        <f t="shared" si="284"/>
        <v>5937.3903336530748</v>
      </c>
      <c r="BE452" s="16">
        <f>INDEX('Team forecast'!$B$2:$AO$26,MATCH('Master data'!$B452,'Team forecast'!$B$2:$B$26,0),MATCH('Master data'!BE$1,'Team forecast'!$B$2:$AO$2,0))</f>
        <v>1.3677883945550393</v>
      </c>
      <c r="BF452" s="16">
        <f>INDEX('Team forecast'!$B$2:$AO$26,MATCH('Master data'!$B452,'Team forecast'!$B$2:$B$26,0),MATCH('Master data'!BF$1,'Team forecast'!$B$2:$AO$2,0))</f>
        <v>1.2246875509143662</v>
      </c>
      <c r="BG452" s="16">
        <f>INDEX('Team forecast'!$B$2:$AO$26,MATCH('Master data'!$B452,'Team forecast'!$B$2:$B$26,0),MATCH('Master data'!BG$1,'Team forecast'!$B$2:$AO$2,0))</f>
        <v>0.29384949898885449</v>
      </c>
      <c r="BH452" s="16">
        <f>INDEX('Team forecast'!$B$2:$AO$26,MATCH('Master data'!$B452,'Team forecast'!$B$2:$B$26,0),MATCH('Master data'!BH$1,'Team forecast'!$B$2:$AO$2,0))</f>
        <v>3.8240281171714834</v>
      </c>
      <c r="BI452" s="16">
        <f>INDEX('Team forecast'!$B$2:$AO$26,MATCH('Master data'!$B452,'Team forecast'!$B$2:$B$26,0),MATCH('Master data'!BI$1,'Team forecast'!$B$2:$AO$2,0))</f>
        <v>3.3099663538226114</v>
      </c>
      <c r="BJ452" s="5">
        <f t="shared" si="285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286"/>
        <v>0</v>
      </c>
      <c r="BO452" s="5">
        <f t="shared" si="287"/>
        <v>0</v>
      </c>
      <c r="BP452" s="5">
        <f t="shared" si="288"/>
        <v>0</v>
      </c>
      <c r="BQ452" s="5">
        <f t="shared" si="289"/>
        <v>14692.474949442725</v>
      </c>
      <c r="BR452" s="5">
        <f t="shared" si="290"/>
        <v>0</v>
      </c>
      <c r="BS452" s="5">
        <f t="shared" si="291"/>
        <v>0</v>
      </c>
      <c r="BT452" s="5">
        <f t="shared" si="292"/>
        <v>0</v>
      </c>
      <c r="BU452" s="5">
        <f t="shared" si="293"/>
        <v>0</v>
      </c>
      <c r="BV452" s="5">
        <f t="shared" si="294"/>
        <v>0</v>
      </c>
      <c r="BW452" s="5">
        <f t="shared" si="295"/>
        <v>9692.4749494427251</v>
      </c>
      <c r="BX452" s="5">
        <f t="shared" si="296"/>
        <v>10495.501740170077</v>
      </c>
      <c r="BY452" s="5">
        <f t="shared" si="297"/>
        <v>31486.505220510233</v>
      </c>
      <c r="BZ452" s="5">
        <f>INDEX('Team forecast'!$R$3:$BH$26,MATCH($B452,'Team forecast'!$B$3:$B$26,0),MATCH(BZ$1,'Team forecast'!$R$2:$BH$2,0))*($BX452-(BY452+CH452)*0.01)</f>
        <v>-9461.2637810964134</v>
      </c>
      <c r="CA452" s="5">
        <f>INDEX('Team forecast'!$R$3:$BH$26,MATCH($B452,'Team forecast'!$B$3:$B$26,0),MATCH(CA$1,'Team forecast'!$R$2:$BH$2,0))*($BX452-(BY452+BX452+CH452)*0.01)</f>
        <v>-4697.1004203319608</v>
      </c>
      <c r="CB452" s="5">
        <f>INDEX('Team forecast'!$R$3:$BH$26,MATCH($B452,'Team forecast'!$B$3:$B$26,0),MATCH(CB$1,'Team forecast'!$R$2:$BH$2,0))*($BX452-(BY452+BX452*2+CH452)*0.01)</f>
        <v>-2301.530728987294</v>
      </c>
      <c r="CC452" s="5">
        <f>INDEX('Team forecast'!$R$3:$BH$26,MATCH($B452,'Team forecast'!$B$3:$B$26,0),MATCH(CC$1,'Team forecast'!$R$2:$BH$2,0))*($BX452-(BY452+BX452*3+CH452)*0.01)</f>
        <v>-1076.3019463117719</v>
      </c>
      <c r="CD452" s="5">
        <f>+AK452+BD452*Cockpit!$C$3+BW452*Cockpit!$C$3^2+BZ452*Cockpit!$C$3^3+CA452*Cockpit!$C$3^4+CB452*Cockpit!$C$3^5+CC452*Cockpit!$C$3^6</f>
        <v>19993.934689106449</v>
      </c>
      <c r="CE452" s="5"/>
      <c r="CF452" s="5"/>
      <c r="CG452" s="5">
        <v>0</v>
      </c>
      <c r="CH452" s="5">
        <f t="shared" si="298"/>
        <v>2500000</v>
      </c>
      <c r="CI452" s="5">
        <f t="shared" si="299"/>
        <v>2500000</v>
      </c>
      <c r="CJ452" s="1">
        <f t="shared" si="300"/>
        <v>1.2594602088204093E-2</v>
      </c>
      <c r="CK452" s="5">
        <f>RANK(BY452,$BY$2:$BY$623)+COUNTIF($BY$2:$BY452,$BY452)-1</f>
        <v>339</v>
      </c>
      <c r="CL452" s="5">
        <f>RANK(CJ452,$CJ$2:$CJ$623)+COUNTIF($CJ$2:$CJ452,$CJ452)-1</f>
        <v>331</v>
      </c>
    </row>
    <row r="453" spans="1:90">
      <c r="A453" t="str">
        <f>Players!P454</f>
        <v>Jordan Lotomba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1.162032718107336</v>
      </c>
      <c r="I453" s="16">
        <f>INDEX('Team forecast'!$B$2:$AO$26,MATCH('Master data'!$B453,'Team forecast'!$B$2:$B$26,0),MATCH('Master data'!I$1,'Team forecast'!$B$2:$AO$2,0))</f>
        <v>0.87435064565555498</v>
      </c>
      <c r="J453" s="16">
        <f>INDEX('Team forecast'!$B$2:$AO$26,MATCH('Master data'!$B453,'Team forecast'!$B$2:$B$26,0),MATCH('Master data'!J$1,'Team forecast'!$B$2:$AO$2,0))</f>
        <v>0.41713279874828868</v>
      </c>
      <c r="K453" s="16">
        <f>INDEX('Team forecast'!$B$2:$AO$26,MATCH('Master data'!$B453,'Team forecast'!$B$2:$B$26,0),MATCH('Master data'!K$1,'Team forecast'!$B$2:$AO$2,0))</f>
        <v>3.2487816133000873</v>
      </c>
      <c r="L453" s="16">
        <f>INDEX('Team forecast'!$B$2:$AO$26,MATCH('Master data'!$B453,'Team forecast'!$B$2:$B$26,0),MATCH('Master data'!L$1,'Team forecast'!$B$2:$AO$2,0))</f>
        <v>2.3631098531231216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0.21583254938852303</v>
      </c>
      <c r="R453" s="2">
        <f>Players!BR454</f>
        <v>4.2333019755409221E-2</v>
      </c>
      <c r="S453" s="2">
        <f t="shared" si="259"/>
        <v>1.162032718107336</v>
      </c>
      <c r="T453" s="2">
        <f t="shared" si="260"/>
        <v>0.87435064565555498</v>
      </c>
      <c r="U453" s="16">
        <f>INDEX('Team forecast'!$B$2:$AO$26,MATCH('Master data'!$B453,'Team forecast'!$B$2:$B$26,0),MATCH('Master data'!U$1,'Team forecast'!$B$2:$AO$2,0))</f>
        <v>0.43653432427146488</v>
      </c>
      <c r="V453" s="16">
        <f>INDEX('Team forecast'!$B$2:$AO$26,MATCH('Master data'!$B453,'Team forecast'!$B$2:$B$26,0),MATCH('Master data'!V$1,'Team forecast'!$B$2:$AO$2,0))</f>
        <v>0.30275767651085472</v>
      </c>
      <c r="W453" s="16">
        <f>INDEX('Team forecast'!$B$2:$AO$26,MATCH('Master data'!$B453,'Team forecast'!$B$2:$B$26,0),MATCH('Master data'!W$1,'Team forecast'!$B$2:$AO$2,0))</f>
        <v>0.2607079992176804</v>
      </c>
      <c r="X453" s="5">
        <f t="shared" si="261"/>
        <v>-5000</v>
      </c>
      <c r="Y453" s="5">
        <f t="shared" si="262"/>
        <v>0</v>
      </c>
      <c r="Z453" s="5">
        <f t="shared" si="263"/>
        <v>0</v>
      </c>
      <c r="AA453" s="5">
        <f t="shared" si="264"/>
        <v>0</v>
      </c>
      <c r="AB453" s="5">
        <f t="shared" si="265"/>
        <v>0</v>
      </c>
      <c r="AC453" s="5">
        <f t="shared" si="266"/>
        <v>0</v>
      </c>
      <c r="AD453" s="5">
        <f t="shared" si="267"/>
        <v>0</v>
      </c>
      <c r="AE453" s="5">
        <f t="shared" si="268"/>
        <v>20856.639937414435</v>
      </c>
      <c r="AF453" s="5">
        <f t="shared" si="269"/>
        <v>0</v>
      </c>
      <c r="AG453" s="5">
        <f t="shared" si="270"/>
        <v>0</v>
      </c>
      <c r="AH453" s="5">
        <f t="shared" si="271"/>
        <v>0</v>
      </c>
      <c r="AI453" s="5">
        <f t="shared" si="272"/>
        <v>0</v>
      </c>
      <c r="AJ453" s="5">
        <f t="shared" si="273"/>
        <v>0</v>
      </c>
      <c r="AK453" s="5">
        <f>IFERROR(SUM(X453:AJ453),-5000)*((Cockpit!$C$3)^0)</f>
        <v>15856.639937414435</v>
      </c>
      <c r="AL453" s="16">
        <f>INDEX('Team forecast'!$B$2:$AO$26,MATCH('Master data'!$B453,'Team forecast'!$B$2:$B$26,0),MATCH('Master data'!AL$1,'Team forecast'!$B$2:$AO$2,0))</f>
        <v>0.79620558314709244</v>
      </c>
      <c r="AM453" s="16">
        <f>INDEX('Team forecast'!$B$2:$AO$26,MATCH('Master data'!$B453,'Team forecast'!$B$2:$B$26,0),MATCH('Master data'!AM$1,'Team forecast'!$B$2:$AO$2,0))</f>
        <v>1.5198357804321134</v>
      </c>
      <c r="AN453" s="16">
        <f>INDEX('Team forecast'!$B$2:$AO$26,MATCH('Master data'!$B453,'Team forecast'!$B$2:$B$26,0),MATCH('Master data'!AN$1,'Team forecast'!$B$2:$AO$2,0))</f>
        <v>0.21874780667306151</v>
      </c>
      <c r="AO453" s="16">
        <f>INDEX('Team forecast'!$B$2:$AO$26,MATCH('Master data'!$B453,'Team forecast'!$B$2:$B$26,0),MATCH('Master data'!AO$1,'Team forecast'!$B$2:$AO$2,0))</f>
        <v>2.2260113838689839</v>
      </c>
      <c r="AP453" s="16">
        <f>INDEX('Team forecast'!$B$2:$AO$26,MATCH('Master data'!$B453,'Team forecast'!$B$2:$B$26,0),MATCH('Master data'!AP$1,'Team forecast'!$B$2:$AO$2,0))</f>
        <v>4.1076642714381446</v>
      </c>
      <c r="AQ453" s="5">
        <f t="shared" si="274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275"/>
        <v>0</v>
      </c>
      <c r="AV453" s="5">
        <f t="shared" si="276"/>
        <v>0</v>
      </c>
      <c r="AW453" s="5">
        <f t="shared" si="277"/>
        <v>0</v>
      </c>
      <c r="AX453" s="5">
        <f t="shared" si="278"/>
        <v>10937.390333653075</v>
      </c>
      <c r="AY453" s="5">
        <f t="shared" si="279"/>
        <v>0</v>
      </c>
      <c r="AZ453" s="5">
        <f t="shared" si="280"/>
        <v>0</v>
      </c>
      <c r="BA453" s="5">
        <f t="shared" si="281"/>
        <v>0</v>
      </c>
      <c r="BB453" s="5">
        <f t="shared" si="282"/>
        <v>0</v>
      </c>
      <c r="BC453" s="5">
        <f t="shared" si="283"/>
        <v>0</v>
      </c>
      <c r="BD453" s="5">
        <f t="shared" si="284"/>
        <v>5937.3903336530748</v>
      </c>
      <c r="BE453" s="16">
        <f>INDEX('Team forecast'!$B$2:$AO$26,MATCH('Master data'!$B453,'Team forecast'!$B$2:$B$26,0),MATCH('Master data'!BE$1,'Team forecast'!$B$2:$AO$2,0))</f>
        <v>1.3677883945550393</v>
      </c>
      <c r="BF453" s="16">
        <f>INDEX('Team forecast'!$B$2:$AO$26,MATCH('Master data'!$B453,'Team forecast'!$B$2:$B$26,0),MATCH('Master data'!BF$1,'Team forecast'!$B$2:$AO$2,0))</f>
        <v>1.2246875509143662</v>
      </c>
      <c r="BG453" s="16">
        <f>INDEX('Team forecast'!$B$2:$AO$26,MATCH('Master data'!$B453,'Team forecast'!$B$2:$B$26,0),MATCH('Master data'!BG$1,'Team forecast'!$B$2:$AO$2,0))</f>
        <v>0.29384949898885449</v>
      </c>
      <c r="BH453" s="16">
        <f>INDEX('Team forecast'!$B$2:$AO$26,MATCH('Master data'!$B453,'Team forecast'!$B$2:$B$26,0),MATCH('Master data'!BH$1,'Team forecast'!$B$2:$AO$2,0))</f>
        <v>3.8240281171714834</v>
      </c>
      <c r="BI453" s="16">
        <f>INDEX('Team forecast'!$B$2:$AO$26,MATCH('Master data'!$B453,'Team forecast'!$B$2:$B$26,0),MATCH('Master data'!BI$1,'Team forecast'!$B$2:$AO$2,0))</f>
        <v>3.3099663538226114</v>
      </c>
      <c r="BJ453" s="5">
        <f t="shared" si="285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286"/>
        <v>0</v>
      </c>
      <c r="BO453" s="5">
        <f t="shared" si="287"/>
        <v>0</v>
      </c>
      <c r="BP453" s="5">
        <f t="shared" si="288"/>
        <v>0</v>
      </c>
      <c r="BQ453" s="5">
        <f t="shared" si="289"/>
        <v>14692.474949442725</v>
      </c>
      <c r="BR453" s="5">
        <f t="shared" si="290"/>
        <v>0</v>
      </c>
      <c r="BS453" s="5">
        <f t="shared" si="291"/>
        <v>0</v>
      </c>
      <c r="BT453" s="5">
        <f t="shared" si="292"/>
        <v>0</v>
      </c>
      <c r="BU453" s="5">
        <f t="shared" si="293"/>
        <v>0</v>
      </c>
      <c r="BV453" s="5">
        <f t="shared" si="294"/>
        <v>0</v>
      </c>
      <c r="BW453" s="5">
        <f t="shared" si="295"/>
        <v>9692.4749494427251</v>
      </c>
      <c r="BX453" s="5">
        <f t="shared" si="296"/>
        <v>10495.501740170077</v>
      </c>
      <c r="BY453" s="5">
        <f t="shared" si="297"/>
        <v>31486.505220510233</v>
      </c>
      <c r="BZ453" s="5">
        <f>INDEX('Team forecast'!$R$3:$BH$26,MATCH($B453,'Team forecast'!$B$3:$B$26,0),MATCH(BZ$1,'Team forecast'!$R$2:$BH$2,0))*($BX453-(BY453+CH453)*0.01)</f>
        <v>-6269.0673345011737</v>
      </c>
      <c r="CA453" s="5">
        <f>INDEX('Team forecast'!$R$3:$BH$26,MATCH($B453,'Team forecast'!$B$3:$B$26,0),MATCH(CA$1,'Team forecast'!$R$2:$BH$2,0))*($BX453-(BY453+BX453+CH453)*0.01)</f>
        <v>-3123.4605673587766</v>
      </c>
      <c r="CB453" s="5">
        <f>INDEX('Team forecast'!$R$3:$BH$26,MATCH($B453,'Team forecast'!$B$3:$B$26,0),MATCH(CB$1,'Team forecast'!$R$2:$BH$2,0))*($BX453-(BY453+BX453*2+CH453)*0.01)</f>
        <v>-1535.8480922178169</v>
      </c>
      <c r="CC453" s="5">
        <f>INDEX('Team forecast'!$R$3:$BH$26,MATCH($B453,'Team forecast'!$B$3:$B$26,0),MATCH(CC$1,'Team forecast'!$R$2:$BH$2,0))*($BX453-(BY453+BX453*3+CH453)*0.01)</f>
        <v>-720.71660677278692</v>
      </c>
      <c r="CD453" s="5">
        <f>+AK453+BD453*Cockpit!$C$3+BW453*Cockpit!$C$3^2+BZ453*Cockpit!$C$3^3+CA453*Cockpit!$C$3^4+CB453*Cockpit!$C$3^5+CC453*Cockpit!$C$3^6</f>
        <v>21382.661117299966</v>
      </c>
      <c r="CE453" s="5"/>
      <c r="CF453" s="5"/>
      <c r="CG453" s="5">
        <v>0</v>
      </c>
      <c r="CH453" s="5">
        <f t="shared" si="298"/>
        <v>2000000</v>
      </c>
      <c r="CI453" s="5">
        <f t="shared" si="299"/>
        <v>2000000</v>
      </c>
      <c r="CJ453" s="1">
        <f t="shared" si="300"/>
        <v>1.5743252610255117E-2</v>
      </c>
      <c r="CK453" s="5">
        <f>RANK(BY453,$BY$2:$BY$623)+COUNTIF($BY$2:$BY453,$BY453)-1</f>
        <v>340</v>
      </c>
      <c r="CL453" s="5">
        <f>RANK(CJ453,$CJ$2:$CJ$623)+COUNTIF($CJ$2:$CJ453,$CJ453)-1</f>
        <v>299</v>
      </c>
    </row>
    <row r="454" spans="1:90">
      <c r="A454" t="str">
        <f>Players!P455</f>
        <v>Eray Cömert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2000000</v>
      </c>
      <c r="H454" s="16">
        <f>INDEX('Team forecast'!$B$2:$AO$26,MATCH('Master data'!$B454,'Team forecast'!$B$2:$B$26,0),MATCH('Master data'!H$1,'Team forecast'!$B$2:$AO$2,0))</f>
        <v>1.162032718107336</v>
      </c>
      <c r="I454" s="16">
        <f>INDEX('Team forecast'!$B$2:$AO$26,MATCH('Master data'!$B454,'Team forecast'!$B$2:$B$26,0),MATCH('Master data'!I$1,'Team forecast'!$B$2:$AO$2,0))</f>
        <v>0.87435064565555498</v>
      </c>
      <c r="J454" s="16">
        <f>INDEX('Team forecast'!$B$2:$AO$26,MATCH('Master data'!$B454,'Team forecast'!$B$2:$B$26,0),MATCH('Master data'!J$1,'Team forecast'!$B$2:$AO$2,0))</f>
        <v>0.41713279874828868</v>
      </c>
      <c r="K454" s="16">
        <f>INDEX('Team forecast'!$B$2:$AO$26,MATCH('Master data'!$B454,'Team forecast'!$B$2:$B$26,0),MATCH('Master data'!K$1,'Team forecast'!$B$2:$AO$2,0))</f>
        <v>3.2487816133000873</v>
      </c>
      <c r="L454" s="16">
        <f>INDEX('Team forecast'!$B$2:$AO$26,MATCH('Master data'!$B454,'Team forecast'!$B$2:$B$26,0),MATCH('Master data'!L$1,'Team forecast'!$B$2:$AO$2,0))</f>
        <v>2.3631098531231216</v>
      </c>
      <c r="M454">
        <f>IF(Players!BC455=1,95,0)</f>
        <v>0</v>
      </c>
      <c r="N454" s="2">
        <f>Players!BN455</f>
        <v>0</v>
      </c>
      <c r="O454" s="2">
        <f>Players!BO455</f>
        <v>0</v>
      </c>
      <c r="P454" s="2">
        <f>Players!BP455</f>
        <v>0</v>
      </c>
      <c r="Q454" s="2">
        <f>Players!BQ455</f>
        <v>6.32688927943761E-2</v>
      </c>
      <c r="R454" s="2">
        <f>Players!BR455</f>
        <v>0</v>
      </c>
      <c r="S454" s="2">
        <f t="shared" si="259"/>
        <v>1.162032718107336</v>
      </c>
      <c r="T454" s="2">
        <f t="shared" si="260"/>
        <v>0.87435064565555498</v>
      </c>
      <c r="U454" s="16">
        <f>INDEX('Team forecast'!$B$2:$AO$26,MATCH('Master data'!$B454,'Team forecast'!$B$2:$B$26,0),MATCH('Master data'!U$1,'Team forecast'!$B$2:$AO$2,0))</f>
        <v>0.43653432427146488</v>
      </c>
      <c r="V454" s="16">
        <f>INDEX('Team forecast'!$B$2:$AO$26,MATCH('Master data'!$B454,'Team forecast'!$B$2:$B$26,0),MATCH('Master data'!V$1,'Team forecast'!$B$2:$AO$2,0))</f>
        <v>0.30275767651085472</v>
      </c>
      <c r="W454" s="16">
        <f>INDEX('Team forecast'!$B$2:$AO$26,MATCH('Master data'!$B454,'Team forecast'!$B$2:$B$26,0),MATCH('Master data'!W$1,'Team forecast'!$B$2:$AO$2,0))</f>
        <v>0.2607079992176804</v>
      </c>
      <c r="X454" s="5">
        <f t="shared" si="261"/>
        <v>-5000</v>
      </c>
      <c r="Y454" s="5">
        <f t="shared" si="262"/>
        <v>0</v>
      </c>
      <c r="Z454" s="5">
        <f t="shared" si="263"/>
        <v>0</v>
      </c>
      <c r="AA454" s="5">
        <f t="shared" si="264"/>
        <v>0</v>
      </c>
      <c r="AB454" s="5">
        <f t="shared" si="265"/>
        <v>0</v>
      </c>
      <c r="AC454" s="5">
        <f t="shared" si="266"/>
        <v>0</v>
      </c>
      <c r="AD454" s="5">
        <f t="shared" si="267"/>
        <v>0</v>
      </c>
      <c r="AE454" s="5">
        <f t="shared" si="268"/>
        <v>20856.639937414435</v>
      </c>
      <c r="AF454" s="5">
        <f t="shared" si="269"/>
        <v>0</v>
      </c>
      <c r="AG454" s="5">
        <f t="shared" si="270"/>
        <v>0</v>
      </c>
      <c r="AH454" s="5">
        <f t="shared" si="271"/>
        <v>0</v>
      </c>
      <c r="AI454" s="5">
        <f t="shared" si="272"/>
        <v>0</v>
      </c>
      <c r="AJ454" s="5">
        <f t="shared" si="273"/>
        <v>0</v>
      </c>
      <c r="AK454" s="5">
        <f>IFERROR(SUM(X454:AJ454),-5000)*((Cockpit!$C$3)^0)</f>
        <v>15856.639937414435</v>
      </c>
      <c r="AL454" s="16">
        <f>INDEX('Team forecast'!$B$2:$AO$26,MATCH('Master data'!$B454,'Team forecast'!$B$2:$B$26,0),MATCH('Master data'!AL$1,'Team forecast'!$B$2:$AO$2,0))</f>
        <v>0.79620558314709244</v>
      </c>
      <c r="AM454" s="16">
        <f>INDEX('Team forecast'!$B$2:$AO$26,MATCH('Master data'!$B454,'Team forecast'!$B$2:$B$26,0),MATCH('Master data'!AM$1,'Team forecast'!$B$2:$AO$2,0))</f>
        <v>1.5198357804321134</v>
      </c>
      <c r="AN454" s="16">
        <f>INDEX('Team forecast'!$B$2:$AO$26,MATCH('Master data'!$B454,'Team forecast'!$B$2:$B$26,0),MATCH('Master data'!AN$1,'Team forecast'!$B$2:$AO$2,0))</f>
        <v>0.21874780667306151</v>
      </c>
      <c r="AO454" s="16">
        <f>INDEX('Team forecast'!$B$2:$AO$26,MATCH('Master data'!$B454,'Team forecast'!$B$2:$B$26,0),MATCH('Master data'!AO$1,'Team forecast'!$B$2:$AO$2,0))</f>
        <v>2.2260113838689839</v>
      </c>
      <c r="AP454" s="16">
        <f>INDEX('Team forecast'!$B$2:$AO$26,MATCH('Master data'!$B454,'Team forecast'!$B$2:$B$26,0),MATCH('Master data'!AP$1,'Team forecast'!$B$2:$AO$2,0))</f>
        <v>4.1076642714381446</v>
      </c>
      <c r="AQ454" s="5">
        <f t="shared" si="274"/>
        <v>-5000</v>
      </c>
      <c r="AR454" s="5">
        <f>INDEX('Team forecast'!$B$2:$AO$26,MATCH('Master data'!$B454,'Team forecast'!$B$2:$B$26,0),MATCH('Master data'!AR$1,'Team forecast'!$B$2:$AO$2,0))*IF(X454&gt;0,25000,0)</f>
        <v>0</v>
      </c>
      <c r="AS454" s="16">
        <f>INDEX('Team forecast'!$B$2:$AO$26,MATCH('Master data'!$B454,'Team forecast'!$B$2:$B$26,0),MATCH('Master data'!AS$1,'Team forecast'!$B$2:$AO$2,0))*IF(X454&gt;0,5000,0)</f>
        <v>0</v>
      </c>
      <c r="AT454" s="16">
        <f>INDEX('Team forecast'!$B$2:$AO$26,MATCH('Master data'!$B454,'Team forecast'!$B$2:$B$26,0),MATCH('Master data'!AT$1,'Team forecast'!$B$2:$AO$2,0))*IF(X454&gt;0,-15000,0)</f>
        <v>0</v>
      </c>
      <c r="AU454" s="5">
        <f t="shared" si="275"/>
        <v>0</v>
      </c>
      <c r="AV454" s="5">
        <f t="shared" si="276"/>
        <v>0</v>
      </c>
      <c r="AW454" s="5">
        <f t="shared" si="277"/>
        <v>0</v>
      </c>
      <c r="AX454" s="5">
        <f t="shared" si="278"/>
        <v>10937.390333653075</v>
      </c>
      <c r="AY454" s="5">
        <f t="shared" si="279"/>
        <v>0</v>
      </c>
      <c r="AZ454" s="5">
        <f t="shared" si="280"/>
        <v>0</v>
      </c>
      <c r="BA454" s="5">
        <f t="shared" si="281"/>
        <v>0</v>
      </c>
      <c r="BB454" s="5">
        <f t="shared" si="282"/>
        <v>0</v>
      </c>
      <c r="BC454" s="5">
        <f t="shared" si="283"/>
        <v>0</v>
      </c>
      <c r="BD454" s="5">
        <f t="shared" si="284"/>
        <v>5937.3903336530748</v>
      </c>
      <c r="BE454" s="16">
        <f>INDEX('Team forecast'!$B$2:$AO$26,MATCH('Master data'!$B454,'Team forecast'!$B$2:$B$26,0),MATCH('Master data'!BE$1,'Team forecast'!$B$2:$AO$2,0))</f>
        <v>1.3677883945550393</v>
      </c>
      <c r="BF454" s="16">
        <f>INDEX('Team forecast'!$B$2:$AO$26,MATCH('Master data'!$B454,'Team forecast'!$B$2:$B$26,0),MATCH('Master data'!BF$1,'Team forecast'!$B$2:$AO$2,0))</f>
        <v>1.2246875509143662</v>
      </c>
      <c r="BG454" s="16">
        <f>INDEX('Team forecast'!$B$2:$AO$26,MATCH('Master data'!$B454,'Team forecast'!$B$2:$B$26,0),MATCH('Master data'!BG$1,'Team forecast'!$B$2:$AO$2,0))</f>
        <v>0.29384949898885449</v>
      </c>
      <c r="BH454" s="16">
        <f>INDEX('Team forecast'!$B$2:$AO$26,MATCH('Master data'!$B454,'Team forecast'!$B$2:$B$26,0),MATCH('Master data'!BH$1,'Team forecast'!$B$2:$AO$2,0))</f>
        <v>3.8240281171714834</v>
      </c>
      <c r="BI454" s="16">
        <f>INDEX('Team forecast'!$B$2:$AO$26,MATCH('Master data'!$B454,'Team forecast'!$B$2:$B$26,0),MATCH('Master data'!BI$1,'Team forecast'!$B$2:$AO$2,0))</f>
        <v>3.3099663538226114</v>
      </c>
      <c r="BJ454" s="5">
        <f t="shared" si="285"/>
        <v>-5000</v>
      </c>
      <c r="BK454" s="5">
        <f>INDEX('Team forecast'!$R$3:$BH$26,MATCH($B454,'Team forecast'!$B$3:$B$26,0),MATCH(BK$1,'Team forecast'!$R$2:$BH$2,0))*IF($X454&gt;0,25000,0)</f>
        <v>0</v>
      </c>
      <c r="BL454" s="5">
        <f>INDEX('Team forecast'!$R$3:$BH$26,MATCH($B454,'Team forecast'!$B$3:$B$26,0),MATCH(BL$1,'Team forecast'!$R$2:$BH$2,0))*IF($X454&gt;0,5000,0)</f>
        <v>0</v>
      </c>
      <c r="BM454" s="5">
        <f>INDEX('Team forecast'!$R$3:$BH$26,MATCH($B454,'Team forecast'!$B$3:$B$26,0),MATCH(BM$1,'Team forecast'!$R$2:$BH$2,0))*IF($X454&gt;0,-15000,0)</f>
        <v>0</v>
      </c>
      <c r="BN454" s="5">
        <f t="shared" si="286"/>
        <v>0</v>
      </c>
      <c r="BO454" s="5">
        <f t="shared" si="287"/>
        <v>0</v>
      </c>
      <c r="BP454" s="5">
        <f t="shared" si="288"/>
        <v>0</v>
      </c>
      <c r="BQ454" s="5">
        <f t="shared" si="289"/>
        <v>14692.474949442725</v>
      </c>
      <c r="BR454" s="5">
        <f t="shared" si="290"/>
        <v>0</v>
      </c>
      <c r="BS454" s="5">
        <f t="shared" si="291"/>
        <v>0</v>
      </c>
      <c r="BT454" s="5">
        <f t="shared" si="292"/>
        <v>0</v>
      </c>
      <c r="BU454" s="5">
        <f t="shared" si="293"/>
        <v>0</v>
      </c>
      <c r="BV454" s="5">
        <f t="shared" si="294"/>
        <v>0</v>
      </c>
      <c r="BW454" s="5">
        <f t="shared" si="295"/>
        <v>9692.4749494427251</v>
      </c>
      <c r="BX454" s="5">
        <f t="shared" si="296"/>
        <v>10495.501740170077</v>
      </c>
      <c r="BY454" s="5">
        <f t="shared" si="297"/>
        <v>31486.505220510233</v>
      </c>
      <c r="BZ454" s="5">
        <f>INDEX('Team forecast'!$R$3:$BH$26,MATCH($B454,'Team forecast'!$B$3:$B$26,0),MATCH(BZ$1,'Team forecast'!$R$2:$BH$2,0))*($BX454-(BY454+CH454)*0.01)</f>
        <v>-6269.0673345011737</v>
      </c>
      <c r="CA454" s="5">
        <f>INDEX('Team forecast'!$R$3:$BH$26,MATCH($B454,'Team forecast'!$B$3:$B$26,0),MATCH(CA$1,'Team forecast'!$R$2:$BH$2,0))*($BX454-(BY454+BX454+CH454)*0.01)</f>
        <v>-3123.4605673587766</v>
      </c>
      <c r="CB454" s="5">
        <f>INDEX('Team forecast'!$R$3:$BH$26,MATCH($B454,'Team forecast'!$B$3:$B$26,0),MATCH(CB$1,'Team forecast'!$R$2:$BH$2,0))*($BX454-(BY454+BX454*2+CH454)*0.01)</f>
        <v>-1535.8480922178169</v>
      </c>
      <c r="CC454" s="5">
        <f>INDEX('Team forecast'!$R$3:$BH$26,MATCH($B454,'Team forecast'!$B$3:$B$26,0),MATCH(CC$1,'Team forecast'!$R$2:$BH$2,0))*($BX454-(BY454+BX454*3+CH454)*0.01)</f>
        <v>-720.71660677278692</v>
      </c>
      <c r="CD454" s="5">
        <f>+AK454+BD454*Cockpit!$C$3+BW454*Cockpit!$C$3^2+BZ454*Cockpit!$C$3^3+CA454*Cockpit!$C$3^4+CB454*Cockpit!$C$3^5+CC454*Cockpit!$C$3^6</f>
        <v>21382.661117299966</v>
      </c>
      <c r="CE454" s="5"/>
      <c r="CF454" s="5"/>
      <c r="CG454" s="5">
        <v>0</v>
      </c>
      <c r="CH454" s="5">
        <f t="shared" si="298"/>
        <v>2000000</v>
      </c>
      <c r="CI454" s="5">
        <f t="shared" si="299"/>
        <v>2000000</v>
      </c>
      <c r="CJ454" s="1">
        <f t="shared" si="300"/>
        <v>1.5743252610255117E-2</v>
      </c>
      <c r="CK454" s="5">
        <f>RANK(BY454,$BY$2:$BY$623)+COUNTIF($BY$2:$BY454,$BY454)-1</f>
        <v>341</v>
      </c>
      <c r="CL454" s="5">
        <f>RANK(CJ454,$CJ$2:$CJ$623)+COUNTIF($CJ$2:$CJ454,$CJ454)-1</f>
        <v>300</v>
      </c>
    </row>
    <row r="455" spans="1:90">
      <c r="A455" t="str">
        <f>Players!P456</f>
        <v>Nico Elvedi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1.162032718107336</v>
      </c>
      <c r="I455" s="16">
        <f>INDEX('Team forecast'!$B$2:$AO$26,MATCH('Master data'!$B455,'Team forecast'!$B$2:$B$26,0),MATCH('Master data'!I$1,'Team forecast'!$B$2:$AO$2,0))</f>
        <v>0.87435064565555498</v>
      </c>
      <c r="J455" s="16">
        <f>INDEX('Team forecast'!$B$2:$AO$26,MATCH('Master data'!$B455,'Team forecast'!$B$2:$B$26,0),MATCH('Master data'!J$1,'Team forecast'!$B$2:$AO$2,0))</f>
        <v>0.41713279874828868</v>
      </c>
      <c r="K455" s="16">
        <f>INDEX('Team forecast'!$B$2:$AO$26,MATCH('Master data'!$B455,'Team forecast'!$B$2:$B$26,0),MATCH('Master data'!K$1,'Team forecast'!$B$2:$AO$2,0))</f>
        <v>3.2487816133000873</v>
      </c>
      <c r="L455" s="16">
        <f>INDEX('Team forecast'!$B$2:$AO$26,MATCH('Master data'!$B455,'Team forecast'!$B$2:$B$26,0),MATCH('Master data'!L$1,'Team forecast'!$B$2:$AO$2,0))</f>
        <v>2.3631098531231216</v>
      </c>
      <c r="M455">
        <f>IF(Players!BC456=1,95,0)</f>
        <v>95</v>
      </c>
      <c r="N455" s="2">
        <f>Players!BN456</f>
        <v>7.0703736553049318E-2</v>
      </c>
      <c r="O455" s="2">
        <f>Players!BO456</f>
        <v>1.341903518704188E-2</v>
      </c>
      <c r="P455" s="2">
        <f>Players!BP456</f>
        <v>6.5350030178783922E-2</v>
      </c>
      <c r="Q455" s="2">
        <f>Players!BQ456</f>
        <v>8.7737485218762318E-2</v>
      </c>
      <c r="R455" s="2">
        <f>Players!BR456</f>
        <v>0</v>
      </c>
      <c r="S455" s="2">
        <f t="shared" si="259"/>
        <v>1.162032718107336</v>
      </c>
      <c r="T455" s="2">
        <f t="shared" si="260"/>
        <v>0.87435064565555498</v>
      </c>
      <c r="U455" s="16">
        <f>INDEX('Team forecast'!$B$2:$AO$26,MATCH('Master data'!$B455,'Team forecast'!$B$2:$B$26,0),MATCH('Master data'!U$1,'Team forecast'!$B$2:$AO$2,0))</f>
        <v>0.43653432427146488</v>
      </c>
      <c r="V455" s="16">
        <f>INDEX('Team forecast'!$B$2:$AO$26,MATCH('Master data'!$B455,'Team forecast'!$B$2:$B$26,0),MATCH('Master data'!V$1,'Team forecast'!$B$2:$AO$2,0))</f>
        <v>0.30275767651085472</v>
      </c>
      <c r="W455" s="16">
        <f>INDEX('Team forecast'!$B$2:$AO$26,MATCH('Master data'!$B455,'Team forecast'!$B$2:$B$26,0),MATCH('Master data'!W$1,'Team forecast'!$B$2:$AO$2,0))</f>
        <v>0.2607079992176804</v>
      </c>
      <c r="X455" s="5">
        <f t="shared" si="261"/>
        <v>7000</v>
      </c>
      <c r="Y455" s="5">
        <f t="shared" si="262"/>
        <v>10913.358106786622</v>
      </c>
      <c r="Z455" s="5">
        <f t="shared" si="263"/>
        <v>1513.7883825542735</v>
      </c>
      <c r="AA455" s="5">
        <f t="shared" si="264"/>
        <v>-3910.6199882652058</v>
      </c>
      <c r="AB455" s="5">
        <f t="shared" si="265"/>
        <v>12324.008275062737</v>
      </c>
      <c r="AC455" s="5">
        <f t="shared" si="266"/>
        <v>779.66789663881298</v>
      </c>
      <c r="AD455" s="5">
        <f t="shared" si="267"/>
        <v>2123.0797647343902</v>
      </c>
      <c r="AE455" s="5">
        <f t="shared" si="268"/>
        <v>20856.639937414435</v>
      </c>
      <c r="AF455" s="5">
        <f t="shared" si="269"/>
        <v>0</v>
      </c>
      <c r="AG455" s="5">
        <f t="shared" si="270"/>
        <v>-1754.7497043752464</v>
      </c>
      <c r="AH455" s="5">
        <f t="shared" si="271"/>
        <v>0</v>
      </c>
      <c r="AI455" s="5">
        <f t="shared" si="272"/>
        <v>11620.32718107336</v>
      </c>
      <c r="AJ455" s="5">
        <f t="shared" si="273"/>
        <v>-6994.8051652444401</v>
      </c>
      <c r="AK455" s="5">
        <f>IFERROR(SUM(X455:AJ455),-5000)*((Cockpit!$C$3)^0)</f>
        <v>54470.694686379735</v>
      </c>
      <c r="AL455" s="16">
        <f>INDEX('Team forecast'!$B$2:$AO$26,MATCH('Master data'!$B455,'Team forecast'!$B$2:$B$26,0),MATCH('Master data'!AL$1,'Team forecast'!$B$2:$AO$2,0))</f>
        <v>0.79620558314709244</v>
      </c>
      <c r="AM455" s="16">
        <f>INDEX('Team forecast'!$B$2:$AO$26,MATCH('Master data'!$B455,'Team forecast'!$B$2:$B$26,0),MATCH('Master data'!AM$1,'Team forecast'!$B$2:$AO$2,0))</f>
        <v>1.5198357804321134</v>
      </c>
      <c r="AN455" s="16">
        <f>INDEX('Team forecast'!$B$2:$AO$26,MATCH('Master data'!$B455,'Team forecast'!$B$2:$B$26,0),MATCH('Master data'!AN$1,'Team forecast'!$B$2:$AO$2,0))</f>
        <v>0.21874780667306151</v>
      </c>
      <c r="AO455" s="16">
        <f>INDEX('Team forecast'!$B$2:$AO$26,MATCH('Master data'!$B455,'Team forecast'!$B$2:$B$26,0),MATCH('Master data'!AO$1,'Team forecast'!$B$2:$AO$2,0))</f>
        <v>2.2260113838689839</v>
      </c>
      <c r="AP455" s="16">
        <f>INDEX('Team forecast'!$B$2:$AO$26,MATCH('Master data'!$B455,'Team forecast'!$B$2:$B$26,0),MATCH('Master data'!AP$1,'Team forecast'!$B$2:$AO$2,0))</f>
        <v>4.1076642714381446</v>
      </c>
      <c r="AQ455" s="5">
        <f t="shared" si="274"/>
        <v>7000</v>
      </c>
      <c r="AR455" s="5">
        <f>INDEX('Team forecast'!$B$2:$AO$26,MATCH('Master data'!$B455,'Team forecast'!$B$2:$B$26,0),MATCH('Master data'!AR$1,'Team forecast'!$B$2:$AO$2,0))*IF(X455&gt;0,25000,0)</f>
        <v>4305.3545586107102</v>
      </c>
      <c r="AS455" s="16">
        <f>INDEX('Team forecast'!$B$2:$AO$26,MATCH('Master data'!$B455,'Team forecast'!$B$2:$B$26,0),MATCH('Master data'!AS$1,'Team forecast'!$B$2:$AO$2,0))*IF(X455&gt;0,5000,0)</f>
        <v>1353.111432706223</v>
      </c>
      <c r="AT455" s="16">
        <f>INDEX('Team forecast'!$B$2:$AO$26,MATCH('Master data'!$B455,'Team forecast'!$B$2:$B$26,0),MATCH('Master data'!AT$1,'Team forecast'!$B$2:$AO$2,0))*IF(X455&gt;0,-15000,0)</f>
        <v>-8357.4529667149072</v>
      </c>
      <c r="AU455" s="5">
        <f t="shared" si="275"/>
        <v>8444.2064689348554</v>
      </c>
      <c r="AV455" s="5">
        <f t="shared" si="276"/>
        <v>534.21553681850162</v>
      </c>
      <c r="AW455" s="5">
        <f t="shared" si="277"/>
        <v>1454.6991111415466</v>
      </c>
      <c r="AX455" s="5">
        <f t="shared" si="278"/>
        <v>10937.390333653075</v>
      </c>
      <c r="AY455" s="5">
        <f t="shared" si="279"/>
        <v>0</v>
      </c>
      <c r="AZ455" s="5">
        <f t="shared" si="280"/>
        <v>-1754.7497043752464</v>
      </c>
      <c r="BA455" s="5">
        <f t="shared" si="281"/>
        <v>0</v>
      </c>
      <c r="BB455" s="5">
        <f t="shared" si="282"/>
        <v>7962.0558314709242</v>
      </c>
      <c r="BC455" s="5">
        <f t="shared" si="283"/>
        <v>-12158.686243456907</v>
      </c>
      <c r="BD455" s="5">
        <f t="shared" si="284"/>
        <v>19720.14435878877</v>
      </c>
      <c r="BE455" s="16">
        <f>INDEX('Team forecast'!$B$2:$AO$26,MATCH('Master data'!$B455,'Team forecast'!$B$2:$B$26,0),MATCH('Master data'!BE$1,'Team forecast'!$B$2:$AO$2,0))</f>
        <v>1.3677883945550393</v>
      </c>
      <c r="BF455" s="16">
        <f>INDEX('Team forecast'!$B$2:$AO$26,MATCH('Master data'!$B455,'Team forecast'!$B$2:$B$26,0),MATCH('Master data'!BF$1,'Team forecast'!$B$2:$AO$2,0))</f>
        <v>1.2246875509143662</v>
      </c>
      <c r="BG455" s="16">
        <f>INDEX('Team forecast'!$B$2:$AO$26,MATCH('Master data'!$B455,'Team forecast'!$B$2:$B$26,0),MATCH('Master data'!BG$1,'Team forecast'!$B$2:$AO$2,0))</f>
        <v>0.29384949898885449</v>
      </c>
      <c r="BH455" s="16">
        <f>INDEX('Team forecast'!$B$2:$AO$26,MATCH('Master data'!$B455,'Team forecast'!$B$2:$B$26,0),MATCH('Master data'!BH$1,'Team forecast'!$B$2:$AO$2,0))</f>
        <v>3.8240281171714834</v>
      </c>
      <c r="BI455" s="16">
        <f>INDEX('Team forecast'!$B$2:$AO$26,MATCH('Master data'!$B455,'Team forecast'!$B$2:$B$26,0),MATCH('Master data'!BI$1,'Team forecast'!$B$2:$AO$2,0))</f>
        <v>3.3099663538226114</v>
      </c>
      <c r="BJ455" s="5">
        <f t="shared" si="285"/>
        <v>7000</v>
      </c>
      <c r="BK455" s="5">
        <f>INDEX('Team forecast'!$R$3:$BH$26,MATCH($B455,'Team forecast'!$B$3:$B$26,0),MATCH(BK$1,'Team forecast'!$R$2:$BH$2,0))*IF($X455&gt;0,25000,0)</f>
        <v>9745.0088950385434</v>
      </c>
      <c r="BL455" s="5">
        <f>INDEX('Team forecast'!$R$3:$BH$26,MATCH($B455,'Team forecast'!$B$3:$B$26,0),MATCH(BL$1,'Team forecast'!$R$2:$BH$2,0))*IF($X455&gt;0,5000,0)</f>
        <v>1404.4277525202608</v>
      </c>
      <c r="BM455" s="5">
        <f>INDEX('Team forecast'!$R$3:$BH$26,MATCH($B455,'Team forecast'!$B$3:$B$26,0),MATCH(BM$1,'Team forecast'!$R$2:$BH$2,0))*IF($X455&gt;0,-15000,0)</f>
        <v>-4939.7114054160902</v>
      </c>
      <c r="BN455" s="5">
        <f t="shared" si="286"/>
        <v>14506.162546340667</v>
      </c>
      <c r="BO455" s="5">
        <f t="shared" si="287"/>
        <v>917.7200297480797</v>
      </c>
      <c r="BP455" s="5">
        <f t="shared" si="288"/>
        <v>2499.0035286167467</v>
      </c>
      <c r="BQ455" s="5">
        <f t="shared" si="289"/>
        <v>14692.474949442725</v>
      </c>
      <c r="BR455" s="5">
        <f t="shared" si="290"/>
        <v>0</v>
      </c>
      <c r="BS455" s="5">
        <f t="shared" si="291"/>
        <v>-1754.7497043752464</v>
      </c>
      <c r="BT455" s="5">
        <f t="shared" si="292"/>
        <v>0</v>
      </c>
      <c r="BU455" s="5">
        <f t="shared" si="293"/>
        <v>13677.883945550393</v>
      </c>
      <c r="BV455" s="5">
        <f t="shared" si="294"/>
        <v>-9797.5004073149303</v>
      </c>
      <c r="BW455" s="5">
        <f t="shared" si="295"/>
        <v>47950.720130151145</v>
      </c>
      <c r="BX455" s="5">
        <f t="shared" si="296"/>
        <v>40713.853058439883</v>
      </c>
      <c r="BY455" s="5">
        <f t="shared" si="297"/>
        <v>122141.55917531965</v>
      </c>
      <c r="BZ455" s="5">
        <f>INDEX('Team forecast'!$R$3:$BH$26,MATCH($B455,'Team forecast'!$B$3:$B$26,0),MATCH(BZ$1,'Team forecast'!$R$2:$BH$2,0))*($BX455-(BY455+CH455)*0.01)</f>
        <v>6060.3450301369503</v>
      </c>
      <c r="CA455" s="5">
        <f>INDEX('Team forecast'!$R$3:$BH$26,MATCH($B455,'Team forecast'!$B$3:$B$26,0),MATCH(CA$1,'Team forecast'!$R$2:$BH$2,0))*($BX455-(BY455+BX455+CH455)*0.01)</f>
        <v>2859.3976964050848</v>
      </c>
      <c r="CB455" s="5">
        <f>INDEX('Team forecast'!$R$3:$BH$26,MATCH($B455,'Team forecast'!$B$3:$B$26,0),MATCH(CB$1,'Team forecast'!$R$2:$BH$2,0))*($BX455-(BY455+BX455*2+CH455)*0.01)</f>
        <v>1328.9433483210826</v>
      </c>
      <c r="CC455" s="5">
        <f>INDEX('Team forecast'!$R$3:$BH$26,MATCH($B455,'Team forecast'!$B$3:$B$26,0),MATCH(CC$1,'Team forecast'!$R$2:$BH$2,0))*($BX455-(BY455+BX455*3+CH455)*0.01)</f>
        <v>588.21082434651896</v>
      </c>
      <c r="CD455" s="5">
        <f>+AK455+BD455*Cockpit!$C$3+BW455*Cockpit!$C$3^2+BZ455*Cockpit!$C$3^3+CA455*Cockpit!$C$3^4+CB455*Cockpit!$C$3^5+CC455*Cockpit!$C$3^6</f>
        <v>91516.010639094733</v>
      </c>
      <c r="CE455" s="5"/>
      <c r="CF455" s="5"/>
      <c r="CG455" s="5">
        <v>0</v>
      </c>
      <c r="CH455" s="5">
        <f t="shared" si="298"/>
        <v>3000000</v>
      </c>
      <c r="CI455" s="5">
        <f t="shared" si="299"/>
        <v>3000000</v>
      </c>
      <c r="CJ455" s="1">
        <f t="shared" si="300"/>
        <v>4.0713853058439886E-2</v>
      </c>
      <c r="CK455" s="5">
        <f>RANK(BY455,$BY$2:$BY$623)+COUNTIF($BY$2:$BY455,$BY455)-1</f>
        <v>131</v>
      </c>
      <c r="CL455" s="5">
        <f>RANK(CJ455,$CJ$2:$CJ$623)+COUNTIF($CJ$2:$CJ455,$CJ455)-1</f>
        <v>70</v>
      </c>
    </row>
    <row r="456" spans="1:90">
      <c r="A456" t="str">
        <f>Players!P457</f>
        <v>Loris Benito</v>
      </c>
      <c r="B456" t="str">
        <f>Players!G457</f>
        <v>Switzerland</v>
      </c>
      <c r="C456" t="str">
        <f>Players!AB457</f>
        <v>Defense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3000000</v>
      </c>
      <c r="H456" s="16">
        <f>INDEX('Team forecast'!$B$2:$AO$26,MATCH('Master data'!$B456,'Team forecast'!$B$2:$B$26,0),MATCH('Master data'!H$1,'Team forecast'!$B$2:$AO$2,0))</f>
        <v>1.162032718107336</v>
      </c>
      <c r="I456" s="16">
        <f>INDEX('Team forecast'!$B$2:$AO$26,MATCH('Master data'!$B456,'Team forecast'!$B$2:$B$26,0),MATCH('Master data'!I$1,'Team forecast'!$B$2:$AO$2,0))</f>
        <v>0.87435064565555498</v>
      </c>
      <c r="J456" s="16">
        <f>INDEX('Team forecast'!$B$2:$AO$26,MATCH('Master data'!$B456,'Team forecast'!$B$2:$B$26,0),MATCH('Master data'!J$1,'Team forecast'!$B$2:$AO$2,0))</f>
        <v>0.41713279874828868</v>
      </c>
      <c r="K456" s="16">
        <f>INDEX('Team forecast'!$B$2:$AO$26,MATCH('Master data'!$B456,'Team forecast'!$B$2:$B$26,0),MATCH('Master data'!K$1,'Team forecast'!$B$2:$AO$2,0))</f>
        <v>3.2487816133000873</v>
      </c>
      <c r="L456" s="16">
        <f>INDEX('Team forecast'!$B$2:$AO$26,MATCH('Master data'!$B456,'Team forecast'!$B$2:$B$26,0),MATCH('Master data'!L$1,'Team forecast'!$B$2:$AO$2,0))</f>
        <v>2.3631098531231216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0.11873350923482849</v>
      </c>
      <c r="R456" s="2">
        <f>Players!BR457</f>
        <v>3.3923859781379573E-2</v>
      </c>
      <c r="S456" s="2">
        <f t="shared" si="259"/>
        <v>1.162032718107336</v>
      </c>
      <c r="T456" s="2">
        <f t="shared" si="260"/>
        <v>0.87435064565555498</v>
      </c>
      <c r="U456" s="16">
        <f>INDEX('Team forecast'!$B$2:$AO$26,MATCH('Master data'!$B456,'Team forecast'!$B$2:$B$26,0),MATCH('Master data'!U$1,'Team forecast'!$B$2:$AO$2,0))</f>
        <v>0.43653432427146488</v>
      </c>
      <c r="V456" s="16">
        <f>INDEX('Team forecast'!$B$2:$AO$26,MATCH('Master data'!$B456,'Team forecast'!$B$2:$B$26,0),MATCH('Master data'!V$1,'Team forecast'!$B$2:$AO$2,0))</f>
        <v>0.30275767651085472</v>
      </c>
      <c r="W456" s="16">
        <f>INDEX('Team forecast'!$B$2:$AO$26,MATCH('Master data'!$B456,'Team forecast'!$B$2:$B$26,0),MATCH('Master data'!W$1,'Team forecast'!$B$2:$AO$2,0))</f>
        <v>0.2607079992176804</v>
      </c>
      <c r="X456" s="5">
        <f t="shared" si="261"/>
        <v>-5000</v>
      </c>
      <c r="Y456" s="5">
        <f t="shared" si="262"/>
        <v>0</v>
      </c>
      <c r="Z456" s="5">
        <f t="shared" si="263"/>
        <v>0</v>
      </c>
      <c r="AA456" s="5">
        <f t="shared" si="264"/>
        <v>0</v>
      </c>
      <c r="AB456" s="5">
        <f t="shared" si="265"/>
        <v>0</v>
      </c>
      <c r="AC456" s="5">
        <f t="shared" si="266"/>
        <v>0</v>
      </c>
      <c r="AD456" s="5">
        <f t="shared" si="267"/>
        <v>0</v>
      </c>
      <c r="AE456" s="5">
        <f t="shared" si="268"/>
        <v>20856.639937414435</v>
      </c>
      <c r="AF456" s="5">
        <f t="shared" si="269"/>
        <v>0</v>
      </c>
      <c r="AG456" s="5">
        <f t="shared" si="270"/>
        <v>0</v>
      </c>
      <c r="AH456" s="5">
        <f t="shared" si="271"/>
        <v>0</v>
      </c>
      <c r="AI456" s="5">
        <f t="shared" si="272"/>
        <v>0</v>
      </c>
      <c r="AJ456" s="5">
        <f t="shared" si="273"/>
        <v>0</v>
      </c>
      <c r="AK456" s="5">
        <f>IFERROR(SUM(X456:AJ456),-5000)*((Cockpit!$C$3)^0)</f>
        <v>15856.639937414435</v>
      </c>
      <c r="AL456" s="16">
        <f>INDEX('Team forecast'!$B$2:$AO$26,MATCH('Master data'!$B456,'Team forecast'!$B$2:$B$26,0),MATCH('Master data'!AL$1,'Team forecast'!$B$2:$AO$2,0))</f>
        <v>0.79620558314709244</v>
      </c>
      <c r="AM456" s="16">
        <f>INDEX('Team forecast'!$B$2:$AO$26,MATCH('Master data'!$B456,'Team forecast'!$B$2:$B$26,0),MATCH('Master data'!AM$1,'Team forecast'!$B$2:$AO$2,0))</f>
        <v>1.5198357804321134</v>
      </c>
      <c r="AN456" s="16">
        <f>INDEX('Team forecast'!$B$2:$AO$26,MATCH('Master data'!$B456,'Team forecast'!$B$2:$B$26,0),MATCH('Master data'!AN$1,'Team forecast'!$B$2:$AO$2,0))</f>
        <v>0.21874780667306151</v>
      </c>
      <c r="AO456" s="16">
        <f>INDEX('Team forecast'!$B$2:$AO$26,MATCH('Master data'!$B456,'Team forecast'!$B$2:$B$26,0),MATCH('Master data'!AO$1,'Team forecast'!$B$2:$AO$2,0))</f>
        <v>2.2260113838689839</v>
      </c>
      <c r="AP456" s="16">
        <f>INDEX('Team forecast'!$B$2:$AO$26,MATCH('Master data'!$B456,'Team forecast'!$B$2:$B$26,0),MATCH('Master data'!AP$1,'Team forecast'!$B$2:$AO$2,0))</f>
        <v>4.1076642714381446</v>
      </c>
      <c r="AQ456" s="5">
        <f t="shared" si="274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275"/>
        <v>0</v>
      </c>
      <c r="AV456" s="5">
        <f t="shared" si="276"/>
        <v>0</v>
      </c>
      <c r="AW456" s="5">
        <f t="shared" si="277"/>
        <v>0</v>
      </c>
      <c r="AX456" s="5">
        <f t="shared" si="278"/>
        <v>10937.390333653075</v>
      </c>
      <c r="AY456" s="5">
        <f t="shared" si="279"/>
        <v>0</v>
      </c>
      <c r="AZ456" s="5">
        <f t="shared" si="280"/>
        <v>0</v>
      </c>
      <c r="BA456" s="5">
        <f t="shared" si="281"/>
        <v>0</v>
      </c>
      <c r="BB456" s="5">
        <f t="shared" si="282"/>
        <v>0</v>
      </c>
      <c r="BC456" s="5">
        <f t="shared" si="283"/>
        <v>0</v>
      </c>
      <c r="BD456" s="5">
        <f t="shared" si="284"/>
        <v>5937.3903336530748</v>
      </c>
      <c r="BE456" s="16">
        <f>INDEX('Team forecast'!$B$2:$AO$26,MATCH('Master data'!$B456,'Team forecast'!$B$2:$B$26,0),MATCH('Master data'!BE$1,'Team forecast'!$B$2:$AO$2,0))</f>
        <v>1.3677883945550393</v>
      </c>
      <c r="BF456" s="16">
        <f>INDEX('Team forecast'!$B$2:$AO$26,MATCH('Master data'!$B456,'Team forecast'!$B$2:$B$26,0),MATCH('Master data'!BF$1,'Team forecast'!$B$2:$AO$2,0))</f>
        <v>1.2246875509143662</v>
      </c>
      <c r="BG456" s="16">
        <f>INDEX('Team forecast'!$B$2:$AO$26,MATCH('Master data'!$B456,'Team forecast'!$B$2:$B$26,0),MATCH('Master data'!BG$1,'Team forecast'!$B$2:$AO$2,0))</f>
        <v>0.29384949898885449</v>
      </c>
      <c r="BH456" s="16">
        <f>INDEX('Team forecast'!$B$2:$AO$26,MATCH('Master data'!$B456,'Team forecast'!$B$2:$B$26,0),MATCH('Master data'!BH$1,'Team forecast'!$B$2:$AO$2,0))</f>
        <v>3.8240281171714834</v>
      </c>
      <c r="BI456" s="16">
        <f>INDEX('Team forecast'!$B$2:$AO$26,MATCH('Master data'!$B456,'Team forecast'!$B$2:$B$26,0),MATCH('Master data'!BI$1,'Team forecast'!$B$2:$AO$2,0))</f>
        <v>3.3099663538226114</v>
      </c>
      <c r="BJ456" s="5">
        <f t="shared" si="285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286"/>
        <v>0</v>
      </c>
      <c r="BO456" s="5">
        <f t="shared" si="287"/>
        <v>0</v>
      </c>
      <c r="BP456" s="5">
        <f t="shared" si="288"/>
        <v>0</v>
      </c>
      <c r="BQ456" s="5">
        <f t="shared" si="289"/>
        <v>14692.474949442725</v>
      </c>
      <c r="BR456" s="5">
        <f t="shared" si="290"/>
        <v>0</v>
      </c>
      <c r="BS456" s="5">
        <f t="shared" si="291"/>
        <v>0</v>
      </c>
      <c r="BT456" s="5">
        <f t="shared" si="292"/>
        <v>0</v>
      </c>
      <c r="BU456" s="5">
        <f t="shared" si="293"/>
        <v>0</v>
      </c>
      <c r="BV456" s="5">
        <f t="shared" si="294"/>
        <v>0</v>
      </c>
      <c r="BW456" s="5">
        <f t="shared" si="295"/>
        <v>9692.4749494427251</v>
      </c>
      <c r="BX456" s="5">
        <f t="shared" si="296"/>
        <v>10495.501740170077</v>
      </c>
      <c r="BY456" s="5">
        <f t="shared" si="297"/>
        <v>31486.505220510233</v>
      </c>
      <c r="BZ456" s="5">
        <f>INDEX('Team forecast'!$R$3:$BH$26,MATCH($B456,'Team forecast'!$B$3:$B$26,0),MATCH(BZ$1,'Team forecast'!$R$2:$BH$2,0))*($BX456-(BY456+CH456)*0.01)</f>
        <v>-12653.460227691652</v>
      </c>
      <c r="CA456" s="5">
        <f>INDEX('Team forecast'!$R$3:$BH$26,MATCH($B456,'Team forecast'!$B$3:$B$26,0),MATCH(CA$1,'Team forecast'!$R$2:$BH$2,0))*($BX456-(BY456+BX456+CH456)*0.01)</f>
        <v>-6270.7402733051449</v>
      </c>
      <c r="CB456" s="5">
        <f>INDEX('Team forecast'!$R$3:$BH$26,MATCH($B456,'Team forecast'!$B$3:$B$26,0),MATCH(CB$1,'Team forecast'!$R$2:$BH$2,0))*($BX456-(BY456+BX456*2+CH456)*0.01)</f>
        <v>-3067.2133657567706</v>
      </c>
      <c r="CC456" s="5">
        <f>INDEX('Team forecast'!$R$3:$BH$26,MATCH($B456,'Team forecast'!$B$3:$B$26,0),MATCH(CC$1,'Team forecast'!$R$2:$BH$2,0))*($BX456-(BY456+BX456*3+CH456)*0.01)</f>
        <v>-1431.8872858507566</v>
      </c>
      <c r="CD456" s="5">
        <f>+AK456+BD456*Cockpit!$C$3+BW456*Cockpit!$C$3^2+BZ456*Cockpit!$C$3^3+CA456*Cockpit!$C$3^4+CB456*Cockpit!$C$3^5+CC456*Cockpit!$C$3^6</f>
        <v>18605.208260912925</v>
      </c>
      <c r="CE456" s="5"/>
      <c r="CF456" s="5"/>
      <c r="CG456" s="5">
        <v>0</v>
      </c>
      <c r="CH456" s="5">
        <f t="shared" si="298"/>
        <v>3000000</v>
      </c>
      <c r="CI456" s="5">
        <f t="shared" si="299"/>
        <v>3000000</v>
      </c>
      <c r="CJ456" s="1">
        <f t="shared" si="300"/>
        <v>1.0495501740170077E-2</v>
      </c>
      <c r="CK456" s="5">
        <f>RANK(BY456,$BY$2:$BY$623)+COUNTIF($BY$2:$BY456,$BY456)-1</f>
        <v>342</v>
      </c>
      <c r="CL456" s="5">
        <f>RANK(CJ456,$CJ$2:$CJ$623)+COUNTIF($CJ$2:$CJ456,$CJ456)-1</f>
        <v>353</v>
      </c>
    </row>
    <row r="457" spans="1:90">
      <c r="A457" t="str">
        <f>Players!P458</f>
        <v>Christian Fassnacht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2500000</v>
      </c>
      <c r="H457" s="16">
        <f>INDEX('Team forecast'!$B$2:$AO$26,MATCH('Master data'!$B457,'Team forecast'!$B$2:$B$26,0),MATCH('Master data'!H$1,'Team forecast'!$B$2:$AO$2,0))</f>
        <v>1.162032718107336</v>
      </c>
      <c r="I457" s="16">
        <f>INDEX('Team forecast'!$B$2:$AO$26,MATCH('Master data'!$B457,'Team forecast'!$B$2:$B$26,0),MATCH('Master data'!I$1,'Team forecast'!$B$2:$AO$2,0))</f>
        <v>0.87435064565555498</v>
      </c>
      <c r="J457" s="16">
        <f>INDEX('Team forecast'!$B$2:$AO$26,MATCH('Master data'!$B457,'Team forecast'!$B$2:$B$26,0),MATCH('Master data'!J$1,'Team forecast'!$B$2:$AO$2,0))</f>
        <v>0.41713279874828868</v>
      </c>
      <c r="K457" s="16">
        <f>INDEX('Team forecast'!$B$2:$AO$26,MATCH('Master data'!$B457,'Team forecast'!$B$2:$B$26,0),MATCH('Master data'!K$1,'Team forecast'!$B$2:$AO$2,0))</f>
        <v>3.2487816133000873</v>
      </c>
      <c r="L457" s="16">
        <f>INDEX('Team forecast'!$B$2:$AO$26,MATCH('Master data'!$B457,'Team forecast'!$B$2:$B$26,0),MATCH('Master data'!L$1,'Team forecast'!$B$2:$AO$2,0))</f>
        <v>2.3631098531231216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0.375</v>
      </c>
      <c r="R457" s="2">
        <f>Players!BR458</f>
        <v>0</v>
      </c>
      <c r="S457" s="2">
        <f t="shared" si="259"/>
        <v>1.162032718107336</v>
      </c>
      <c r="T457" s="2">
        <f t="shared" si="260"/>
        <v>0.87435064565555498</v>
      </c>
      <c r="U457" s="16">
        <f>INDEX('Team forecast'!$B$2:$AO$26,MATCH('Master data'!$B457,'Team forecast'!$B$2:$B$26,0),MATCH('Master data'!U$1,'Team forecast'!$B$2:$AO$2,0))</f>
        <v>0.43653432427146488</v>
      </c>
      <c r="V457" s="16">
        <f>INDEX('Team forecast'!$B$2:$AO$26,MATCH('Master data'!$B457,'Team forecast'!$B$2:$B$26,0),MATCH('Master data'!V$1,'Team forecast'!$B$2:$AO$2,0))</f>
        <v>0.30275767651085472</v>
      </c>
      <c r="W457" s="16">
        <f>INDEX('Team forecast'!$B$2:$AO$26,MATCH('Master data'!$B457,'Team forecast'!$B$2:$B$26,0),MATCH('Master data'!W$1,'Team forecast'!$B$2:$AO$2,0))</f>
        <v>0.2607079992176804</v>
      </c>
      <c r="X457" s="5">
        <f t="shared" si="261"/>
        <v>-5000</v>
      </c>
      <c r="Y457" s="5">
        <f t="shared" si="262"/>
        <v>0</v>
      </c>
      <c r="Z457" s="5">
        <f t="shared" si="263"/>
        <v>0</v>
      </c>
      <c r="AA457" s="5">
        <f t="shared" si="264"/>
        <v>0</v>
      </c>
      <c r="AB457" s="5">
        <f t="shared" si="265"/>
        <v>0</v>
      </c>
      <c r="AC457" s="5">
        <f t="shared" si="266"/>
        <v>0</v>
      </c>
      <c r="AD457" s="5">
        <f t="shared" si="267"/>
        <v>0</v>
      </c>
      <c r="AE457" s="5">
        <f t="shared" si="268"/>
        <v>0</v>
      </c>
      <c r="AF457" s="5">
        <f t="shared" si="269"/>
        <v>0</v>
      </c>
      <c r="AG457" s="5">
        <f t="shared" si="270"/>
        <v>0</v>
      </c>
      <c r="AH457" s="5">
        <f t="shared" si="271"/>
        <v>0</v>
      </c>
      <c r="AI457" s="5">
        <f t="shared" si="272"/>
        <v>0</v>
      </c>
      <c r="AJ457" s="5">
        <f t="shared" si="273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0.79620558314709244</v>
      </c>
      <c r="AM457" s="16">
        <f>INDEX('Team forecast'!$B$2:$AO$26,MATCH('Master data'!$B457,'Team forecast'!$B$2:$B$26,0),MATCH('Master data'!AM$1,'Team forecast'!$B$2:$AO$2,0))</f>
        <v>1.5198357804321134</v>
      </c>
      <c r="AN457" s="16">
        <f>INDEX('Team forecast'!$B$2:$AO$26,MATCH('Master data'!$B457,'Team forecast'!$B$2:$B$26,0),MATCH('Master data'!AN$1,'Team forecast'!$B$2:$AO$2,0))</f>
        <v>0.21874780667306151</v>
      </c>
      <c r="AO457" s="16">
        <f>INDEX('Team forecast'!$B$2:$AO$26,MATCH('Master data'!$B457,'Team forecast'!$B$2:$B$26,0),MATCH('Master data'!AO$1,'Team forecast'!$B$2:$AO$2,0))</f>
        <v>2.2260113838689839</v>
      </c>
      <c r="AP457" s="16">
        <f>INDEX('Team forecast'!$B$2:$AO$26,MATCH('Master data'!$B457,'Team forecast'!$B$2:$B$26,0),MATCH('Master data'!AP$1,'Team forecast'!$B$2:$AO$2,0))</f>
        <v>4.1076642714381446</v>
      </c>
      <c r="AQ457" s="5">
        <f t="shared" si="274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275"/>
        <v>0</v>
      </c>
      <c r="AV457" s="5">
        <f t="shared" si="276"/>
        <v>0</v>
      </c>
      <c r="AW457" s="5">
        <f t="shared" si="277"/>
        <v>0</v>
      </c>
      <c r="AX457" s="5">
        <f t="shared" si="278"/>
        <v>0</v>
      </c>
      <c r="AY457" s="5">
        <f t="shared" si="279"/>
        <v>0</v>
      </c>
      <c r="AZ457" s="5">
        <f t="shared" si="280"/>
        <v>0</v>
      </c>
      <c r="BA457" s="5">
        <f t="shared" si="281"/>
        <v>0</v>
      </c>
      <c r="BB457" s="5">
        <f t="shared" si="282"/>
        <v>0</v>
      </c>
      <c r="BC457" s="5">
        <f t="shared" si="283"/>
        <v>0</v>
      </c>
      <c r="BD457" s="5">
        <f t="shared" si="284"/>
        <v>-5000</v>
      </c>
      <c r="BE457" s="16">
        <f>INDEX('Team forecast'!$B$2:$AO$26,MATCH('Master data'!$B457,'Team forecast'!$B$2:$B$26,0),MATCH('Master data'!BE$1,'Team forecast'!$B$2:$AO$2,0))</f>
        <v>1.3677883945550393</v>
      </c>
      <c r="BF457" s="16">
        <f>INDEX('Team forecast'!$B$2:$AO$26,MATCH('Master data'!$B457,'Team forecast'!$B$2:$B$26,0),MATCH('Master data'!BF$1,'Team forecast'!$B$2:$AO$2,0))</f>
        <v>1.2246875509143662</v>
      </c>
      <c r="BG457" s="16">
        <f>INDEX('Team forecast'!$B$2:$AO$26,MATCH('Master data'!$B457,'Team forecast'!$B$2:$B$26,0),MATCH('Master data'!BG$1,'Team forecast'!$B$2:$AO$2,0))</f>
        <v>0.29384949898885449</v>
      </c>
      <c r="BH457" s="16">
        <f>INDEX('Team forecast'!$B$2:$AO$26,MATCH('Master data'!$B457,'Team forecast'!$B$2:$B$26,0),MATCH('Master data'!BH$1,'Team forecast'!$B$2:$AO$2,0))</f>
        <v>3.8240281171714834</v>
      </c>
      <c r="BI457" s="16">
        <f>INDEX('Team forecast'!$B$2:$AO$26,MATCH('Master data'!$B457,'Team forecast'!$B$2:$B$26,0),MATCH('Master data'!BI$1,'Team forecast'!$B$2:$AO$2,0))</f>
        <v>3.3099663538226114</v>
      </c>
      <c r="BJ457" s="5">
        <f t="shared" si="285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286"/>
        <v>0</v>
      </c>
      <c r="BO457" s="5">
        <f t="shared" si="287"/>
        <v>0</v>
      </c>
      <c r="BP457" s="5">
        <f t="shared" si="288"/>
        <v>0</v>
      </c>
      <c r="BQ457" s="5">
        <f t="shared" si="289"/>
        <v>0</v>
      </c>
      <c r="BR457" s="5">
        <f t="shared" si="290"/>
        <v>0</v>
      </c>
      <c r="BS457" s="5">
        <f t="shared" si="291"/>
        <v>0</v>
      </c>
      <c r="BT457" s="5">
        <f t="shared" si="292"/>
        <v>0</v>
      </c>
      <c r="BU457" s="5">
        <f t="shared" si="293"/>
        <v>0</v>
      </c>
      <c r="BV457" s="5">
        <f t="shared" si="294"/>
        <v>0</v>
      </c>
      <c r="BW457" s="5">
        <f t="shared" si="295"/>
        <v>-5000</v>
      </c>
      <c r="BX457" s="5">
        <f t="shared" si="296"/>
        <v>-5000</v>
      </c>
      <c r="BY457" s="5">
        <f t="shared" si="297"/>
        <v>-15000</v>
      </c>
      <c r="BZ457" s="5">
        <f>INDEX('Team forecast'!$R$3:$BH$26,MATCH($B457,'Team forecast'!$B$3:$B$26,0),MATCH(BZ$1,'Team forecast'!$R$2:$BH$2,0))*($BX457-(BY457+CH457)*0.01)</f>
        <v>-19057.412786173576</v>
      </c>
      <c r="CA457" s="5">
        <f>INDEX('Team forecast'!$R$3:$BH$26,MATCH($B457,'Team forecast'!$B$3:$B$26,0),MATCH(CA$1,'Team forecast'!$R$2:$BH$2,0))*($BX457-(BY457+BX457+CH457)*0.01)</f>
        <v>-9378.8935237201767</v>
      </c>
      <c r="CB457" s="5">
        <f>INDEX('Team forecast'!$R$3:$BH$26,MATCH($B457,'Team forecast'!$B$3:$B$26,0),MATCH(CB$1,'Team forecast'!$R$2:$BH$2,0))*($BX457-(BY457+BX457*2+CH457)*0.01)</f>
        <v>-4555.8116887783881</v>
      </c>
      <c r="CC457" s="5">
        <f>INDEX('Team forecast'!$R$3:$BH$26,MATCH($B457,'Team forecast'!$B$3:$B$26,0),MATCH(CC$1,'Team forecast'!$R$2:$BH$2,0))*($BX457-(BY457+BX457*3+CH457)*0.01)</f>
        <v>-2112.1769168615692</v>
      </c>
      <c r="CD457" s="5">
        <f>+AK457+BD457*Cockpit!$C$3+BW457*Cockpit!$C$3^2+BZ457*Cockpit!$C$3^3+CA457*Cockpit!$C$3^4+CB457*Cockpit!$C$3^5+CC457*Cockpit!$C$3^6</f>
        <v>-18840.190773705162</v>
      </c>
      <c r="CE457" s="5"/>
      <c r="CF457" s="5"/>
      <c r="CG457" s="5">
        <v>0</v>
      </c>
      <c r="CH457" s="5">
        <f t="shared" si="298"/>
        <v>2500000</v>
      </c>
      <c r="CI457" s="5">
        <f t="shared" si="299"/>
        <v>2500000</v>
      </c>
      <c r="CJ457" s="1">
        <f t="shared" si="300"/>
        <v>-6.0000000000000001E-3</v>
      </c>
      <c r="CK457" s="5">
        <f>RANK(BY457,$BY$2:$BY$623)+COUNTIF($BY$2:$BY457,$BY457)-1</f>
        <v>561</v>
      </c>
      <c r="CL457" s="5">
        <f>RANK(CJ457,$CJ$2:$CJ$623)+COUNTIF($CJ$2:$CJ457,$CJ457)-1</f>
        <v>554</v>
      </c>
    </row>
    <row r="458" spans="1:90">
      <c r="A458" t="str">
        <f>Players!P459</f>
        <v>Edimilson Fernandes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3500000</v>
      </c>
      <c r="H458" s="16">
        <f>INDEX('Team forecast'!$B$2:$AO$26,MATCH('Master data'!$B458,'Team forecast'!$B$2:$B$26,0),MATCH('Master data'!H$1,'Team forecast'!$B$2:$AO$2,0))</f>
        <v>1.162032718107336</v>
      </c>
      <c r="I458" s="16">
        <f>INDEX('Team forecast'!$B$2:$AO$26,MATCH('Master data'!$B458,'Team forecast'!$B$2:$B$26,0),MATCH('Master data'!I$1,'Team forecast'!$B$2:$AO$2,0))</f>
        <v>0.87435064565555498</v>
      </c>
      <c r="J458" s="16">
        <f>INDEX('Team forecast'!$B$2:$AO$26,MATCH('Master data'!$B458,'Team forecast'!$B$2:$B$26,0),MATCH('Master data'!J$1,'Team forecast'!$B$2:$AO$2,0))</f>
        <v>0.41713279874828868</v>
      </c>
      <c r="K458" s="16">
        <f>INDEX('Team forecast'!$B$2:$AO$26,MATCH('Master data'!$B458,'Team forecast'!$B$2:$B$26,0),MATCH('Master data'!K$1,'Team forecast'!$B$2:$AO$2,0))</f>
        <v>3.2487816133000873</v>
      </c>
      <c r="L458" s="16">
        <f>INDEX('Team forecast'!$B$2:$AO$26,MATCH('Master data'!$B458,'Team forecast'!$B$2:$B$26,0),MATCH('Master data'!L$1,'Team forecast'!$B$2:$AO$2,0))</f>
        <v>2.3631098531231216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5.3507728894173601E-2</v>
      </c>
      <c r="R458" s="2">
        <f>Players!BR459</f>
        <v>0</v>
      </c>
      <c r="S458" s="2">
        <f t="shared" si="259"/>
        <v>1.162032718107336</v>
      </c>
      <c r="T458" s="2">
        <f t="shared" si="260"/>
        <v>0.87435064565555498</v>
      </c>
      <c r="U458" s="16">
        <f>INDEX('Team forecast'!$B$2:$AO$26,MATCH('Master data'!$B458,'Team forecast'!$B$2:$B$26,0),MATCH('Master data'!U$1,'Team forecast'!$B$2:$AO$2,0))</f>
        <v>0.43653432427146488</v>
      </c>
      <c r="V458" s="16">
        <f>INDEX('Team forecast'!$B$2:$AO$26,MATCH('Master data'!$B458,'Team forecast'!$B$2:$B$26,0),MATCH('Master data'!V$1,'Team forecast'!$B$2:$AO$2,0))</f>
        <v>0.30275767651085472</v>
      </c>
      <c r="W458" s="16">
        <f>INDEX('Team forecast'!$B$2:$AO$26,MATCH('Master data'!$B458,'Team forecast'!$B$2:$B$26,0),MATCH('Master data'!W$1,'Team forecast'!$B$2:$AO$2,0))</f>
        <v>0.2607079992176804</v>
      </c>
      <c r="X458" s="5">
        <f t="shared" si="261"/>
        <v>-5000</v>
      </c>
      <c r="Y458" s="5">
        <f t="shared" si="262"/>
        <v>0</v>
      </c>
      <c r="Z458" s="5">
        <f t="shared" si="263"/>
        <v>0</v>
      </c>
      <c r="AA458" s="5">
        <f t="shared" si="264"/>
        <v>0</v>
      </c>
      <c r="AB458" s="5">
        <f t="shared" si="265"/>
        <v>0</v>
      </c>
      <c r="AC458" s="5">
        <f t="shared" si="266"/>
        <v>0</v>
      </c>
      <c r="AD458" s="5">
        <f t="shared" si="267"/>
        <v>0</v>
      </c>
      <c r="AE458" s="5">
        <f t="shared" si="268"/>
        <v>0</v>
      </c>
      <c r="AF458" s="5">
        <f t="shared" si="269"/>
        <v>0</v>
      </c>
      <c r="AG458" s="5">
        <f t="shared" si="270"/>
        <v>0</v>
      </c>
      <c r="AH458" s="5">
        <f t="shared" si="271"/>
        <v>0</v>
      </c>
      <c r="AI458" s="5">
        <f t="shared" si="272"/>
        <v>0</v>
      </c>
      <c r="AJ458" s="5">
        <f t="shared" si="273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0.79620558314709244</v>
      </c>
      <c r="AM458" s="16">
        <f>INDEX('Team forecast'!$B$2:$AO$26,MATCH('Master data'!$B458,'Team forecast'!$B$2:$B$26,0),MATCH('Master data'!AM$1,'Team forecast'!$B$2:$AO$2,0))</f>
        <v>1.5198357804321134</v>
      </c>
      <c r="AN458" s="16">
        <f>INDEX('Team forecast'!$B$2:$AO$26,MATCH('Master data'!$B458,'Team forecast'!$B$2:$B$26,0),MATCH('Master data'!AN$1,'Team forecast'!$B$2:$AO$2,0))</f>
        <v>0.21874780667306151</v>
      </c>
      <c r="AO458" s="16">
        <f>INDEX('Team forecast'!$B$2:$AO$26,MATCH('Master data'!$B458,'Team forecast'!$B$2:$B$26,0),MATCH('Master data'!AO$1,'Team forecast'!$B$2:$AO$2,0))</f>
        <v>2.2260113838689839</v>
      </c>
      <c r="AP458" s="16">
        <f>INDEX('Team forecast'!$B$2:$AO$26,MATCH('Master data'!$B458,'Team forecast'!$B$2:$B$26,0),MATCH('Master data'!AP$1,'Team forecast'!$B$2:$AO$2,0))</f>
        <v>4.1076642714381446</v>
      </c>
      <c r="AQ458" s="5">
        <f t="shared" si="274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275"/>
        <v>0</v>
      </c>
      <c r="AV458" s="5">
        <f t="shared" si="276"/>
        <v>0</v>
      </c>
      <c r="AW458" s="5">
        <f t="shared" si="277"/>
        <v>0</v>
      </c>
      <c r="AX458" s="5">
        <f t="shared" si="278"/>
        <v>0</v>
      </c>
      <c r="AY458" s="5">
        <f t="shared" si="279"/>
        <v>0</v>
      </c>
      <c r="AZ458" s="5">
        <f t="shared" si="280"/>
        <v>0</v>
      </c>
      <c r="BA458" s="5">
        <f t="shared" si="281"/>
        <v>0</v>
      </c>
      <c r="BB458" s="5">
        <f t="shared" si="282"/>
        <v>0</v>
      </c>
      <c r="BC458" s="5">
        <f t="shared" si="283"/>
        <v>0</v>
      </c>
      <c r="BD458" s="5">
        <f t="shared" si="284"/>
        <v>-5000</v>
      </c>
      <c r="BE458" s="16">
        <f>INDEX('Team forecast'!$B$2:$AO$26,MATCH('Master data'!$B458,'Team forecast'!$B$2:$B$26,0),MATCH('Master data'!BE$1,'Team forecast'!$B$2:$AO$2,0))</f>
        <v>1.3677883945550393</v>
      </c>
      <c r="BF458" s="16">
        <f>INDEX('Team forecast'!$B$2:$AO$26,MATCH('Master data'!$B458,'Team forecast'!$B$2:$B$26,0),MATCH('Master data'!BF$1,'Team forecast'!$B$2:$AO$2,0))</f>
        <v>1.2246875509143662</v>
      </c>
      <c r="BG458" s="16">
        <f>INDEX('Team forecast'!$B$2:$AO$26,MATCH('Master data'!$B458,'Team forecast'!$B$2:$B$26,0),MATCH('Master data'!BG$1,'Team forecast'!$B$2:$AO$2,0))</f>
        <v>0.29384949898885449</v>
      </c>
      <c r="BH458" s="16">
        <f>INDEX('Team forecast'!$B$2:$AO$26,MATCH('Master data'!$B458,'Team forecast'!$B$2:$B$26,0),MATCH('Master data'!BH$1,'Team forecast'!$B$2:$AO$2,0))</f>
        <v>3.8240281171714834</v>
      </c>
      <c r="BI458" s="16">
        <f>INDEX('Team forecast'!$B$2:$AO$26,MATCH('Master data'!$B458,'Team forecast'!$B$2:$B$26,0),MATCH('Master data'!BI$1,'Team forecast'!$B$2:$AO$2,0))</f>
        <v>3.3099663538226114</v>
      </c>
      <c r="BJ458" s="5">
        <f t="shared" si="285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286"/>
        <v>0</v>
      </c>
      <c r="BO458" s="5">
        <f t="shared" si="287"/>
        <v>0</v>
      </c>
      <c r="BP458" s="5">
        <f t="shared" si="288"/>
        <v>0</v>
      </c>
      <c r="BQ458" s="5">
        <f t="shared" si="289"/>
        <v>0</v>
      </c>
      <c r="BR458" s="5">
        <f t="shared" si="290"/>
        <v>0</v>
      </c>
      <c r="BS458" s="5">
        <f t="shared" si="291"/>
        <v>0</v>
      </c>
      <c r="BT458" s="5">
        <f t="shared" si="292"/>
        <v>0</v>
      </c>
      <c r="BU458" s="5">
        <f t="shared" si="293"/>
        <v>0</v>
      </c>
      <c r="BV458" s="5">
        <f t="shared" si="294"/>
        <v>0</v>
      </c>
      <c r="BW458" s="5">
        <f t="shared" si="295"/>
        <v>-5000</v>
      </c>
      <c r="BX458" s="5">
        <f t="shared" si="296"/>
        <v>-5000</v>
      </c>
      <c r="BY458" s="5">
        <f t="shared" si="297"/>
        <v>-15000</v>
      </c>
      <c r="BZ458" s="5">
        <f>INDEX('Team forecast'!$R$3:$BH$26,MATCH($B458,'Team forecast'!$B$3:$B$26,0),MATCH(BZ$1,'Team forecast'!$R$2:$BH$2,0))*($BX458-(BY458+CH458)*0.01)</f>
        <v>-25441.805679364054</v>
      </c>
      <c r="CA458" s="5">
        <f>INDEX('Team forecast'!$R$3:$BH$26,MATCH($B458,'Team forecast'!$B$3:$B$26,0),MATCH(CA$1,'Team forecast'!$R$2:$BH$2,0))*($BX458-(BY458+BX458+CH458)*0.01)</f>
        <v>-12526.173229666545</v>
      </c>
      <c r="CB458" s="5">
        <f>INDEX('Team forecast'!$R$3:$BH$26,MATCH($B458,'Team forecast'!$B$3:$B$26,0),MATCH(CB$1,'Team forecast'!$R$2:$BH$2,0))*($BX458-(BY458+BX458*2+CH458)*0.01)</f>
        <v>-6087.1769623173423</v>
      </c>
      <c r="CC458" s="5">
        <f>INDEX('Team forecast'!$R$3:$BH$26,MATCH($B458,'Team forecast'!$B$3:$B$26,0),MATCH(CC$1,'Team forecast'!$R$2:$BH$2,0))*($BX458-(BY458+BX458*3+CH458)*0.01)</f>
        <v>-2823.3475959395387</v>
      </c>
      <c r="CD458" s="5">
        <f>+AK458+BD458*Cockpit!$C$3+BW458*Cockpit!$C$3^2+BZ458*Cockpit!$C$3^3+CA458*Cockpit!$C$3^4+CB458*Cockpit!$C$3^5+CC458*Cockpit!$C$3^6</f>
        <v>-21617.643630092196</v>
      </c>
      <c r="CE458" s="5"/>
      <c r="CF458" s="5"/>
      <c r="CG458" s="5">
        <v>0</v>
      </c>
      <c r="CH458" s="5">
        <f t="shared" si="298"/>
        <v>3500000</v>
      </c>
      <c r="CI458" s="5">
        <f t="shared" si="299"/>
        <v>3500000</v>
      </c>
      <c r="CJ458" s="1">
        <f t="shared" si="300"/>
        <v>-4.2857142857142859E-3</v>
      </c>
      <c r="CK458" s="5">
        <f>RANK(BY458,$BY$2:$BY$623)+COUNTIF($BY$2:$BY458,$BY458)-1</f>
        <v>562</v>
      </c>
      <c r="CL458" s="5">
        <f>RANK(CJ458,$CJ$2:$CJ$623)+COUNTIF($CJ$2:$CJ458,$CJ458)-1</f>
        <v>478</v>
      </c>
    </row>
    <row r="459" spans="1:90">
      <c r="A459" t="str">
        <f>Players!P460</f>
        <v>Denis Zakaria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1.162032718107336</v>
      </c>
      <c r="I459" s="16">
        <f>INDEX('Team forecast'!$B$2:$AO$26,MATCH('Master data'!$B459,'Team forecast'!$B$2:$B$26,0),MATCH('Master data'!I$1,'Team forecast'!$B$2:$AO$2,0))</f>
        <v>0.87435064565555498</v>
      </c>
      <c r="J459" s="16">
        <f>INDEX('Team forecast'!$B$2:$AO$26,MATCH('Master data'!$B459,'Team forecast'!$B$2:$B$26,0),MATCH('Master data'!J$1,'Team forecast'!$B$2:$AO$2,0))</f>
        <v>0.41713279874828868</v>
      </c>
      <c r="K459" s="16">
        <f>INDEX('Team forecast'!$B$2:$AO$26,MATCH('Master data'!$B459,'Team forecast'!$B$2:$B$26,0),MATCH('Master data'!K$1,'Team forecast'!$B$2:$AO$2,0))</f>
        <v>3.2487816133000873</v>
      </c>
      <c r="L459" s="16">
        <f>INDEX('Team forecast'!$B$2:$AO$26,MATCH('Master data'!$B459,'Team forecast'!$B$2:$B$26,0),MATCH('Master data'!L$1,'Team forecast'!$B$2:$AO$2,0))</f>
        <v>2.3631098531231216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0.28856236786469347</v>
      </c>
      <c r="R459" s="2">
        <f>Players!BR460</f>
        <v>0</v>
      </c>
      <c r="S459" s="2">
        <f t="shared" si="259"/>
        <v>1.162032718107336</v>
      </c>
      <c r="T459" s="2">
        <f t="shared" si="260"/>
        <v>0.87435064565555498</v>
      </c>
      <c r="U459" s="16">
        <f>INDEX('Team forecast'!$B$2:$AO$26,MATCH('Master data'!$B459,'Team forecast'!$B$2:$B$26,0),MATCH('Master data'!U$1,'Team forecast'!$B$2:$AO$2,0))</f>
        <v>0.43653432427146488</v>
      </c>
      <c r="V459" s="16">
        <f>INDEX('Team forecast'!$B$2:$AO$26,MATCH('Master data'!$B459,'Team forecast'!$B$2:$B$26,0),MATCH('Master data'!V$1,'Team forecast'!$B$2:$AO$2,0))</f>
        <v>0.30275767651085472</v>
      </c>
      <c r="W459" s="16">
        <f>INDEX('Team forecast'!$B$2:$AO$26,MATCH('Master data'!$B459,'Team forecast'!$B$2:$B$26,0),MATCH('Master data'!W$1,'Team forecast'!$B$2:$AO$2,0))</f>
        <v>0.2607079992176804</v>
      </c>
      <c r="X459" s="5">
        <f t="shared" si="261"/>
        <v>-5000</v>
      </c>
      <c r="Y459" s="5">
        <f t="shared" si="262"/>
        <v>0</v>
      </c>
      <c r="Z459" s="5">
        <f t="shared" si="263"/>
        <v>0</v>
      </c>
      <c r="AA459" s="5">
        <f t="shared" si="264"/>
        <v>0</v>
      </c>
      <c r="AB459" s="5">
        <f t="shared" si="265"/>
        <v>0</v>
      </c>
      <c r="AC459" s="5">
        <f t="shared" si="266"/>
        <v>0</v>
      </c>
      <c r="AD459" s="5">
        <f t="shared" si="267"/>
        <v>0</v>
      </c>
      <c r="AE459" s="5">
        <f t="shared" si="268"/>
        <v>0</v>
      </c>
      <c r="AF459" s="5">
        <f t="shared" si="269"/>
        <v>0</v>
      </c>
      <c r="AG459" s="5">
        <f t="shared" si="270"/>
        <v>0</v>
      </c>
      <c r="AH459" s="5">
        <f t="shared" si="271"/>
        <v>0</v>
      </c>
      <c r="AI459" s="5">
        <f t="shared" si="272"/>
        <v>0</v>
      </c>
      <c r="AJ459" s="5">
        <f t="shared" si="273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0.79620558314709244</v>
      </c>
      <c r="AM459" s="16">
        <f>INDEX('Team forecast'!$B$2:$AO$26,MATCH('Master data'!$B459,'Team forecast'!$B$2:$B$26,0),MATCH('Master data'!AM$1,'Team forecast'!$B$2:$AO$2,0))</f>
        <v>1.5198357804321134</v>
      </c>
      <c r="AN459" s="16">
        <f>INDEX('Team forecast'!$B$2:$AO$26,MATCH('Master data'!$B459,'Team forecast'!$B$2:$B$26,0),MATCH('Master data'!AN$1,'Team forecast'!$B$2:$AO$2,0))</f>
        <v>0.21874780667306151</v>
      </c>
      <c r="AO459" s="16">
        <f>INDEX('Team forecast'!$B$2:$AO$26,MATCH('Master data'!$B459,'Team forecast'!$B$2:$B$26,0),MATCH('Master data'!AO$1,'Team forecast'!$B$2:$AO$2,0))</f>
        <v>2.2260113838689839</v>
      </c>
      <c r="AP459" s="16">
        <f>INDEX('Team forecast'!$B$2:$AO$26,MATCH('Master data'!$B459,'Team forecast'!$B$2:$B$26,0),MATCH('Master data'!AP$1,'Team forecast'!$B$2:$AO$2,0))</f>
        <v>4.1076642714381446</v>
      </c>
      <c r="AQ459" s="5">
        <f t="shared" si="274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275"/>
        <v>0</v>
      </c>
      <c r="AV459" s="5">
        <f t="shared" si="276"/>
        <v>0</v>
      </c>
      <c r="AW459" s="5">
        <f t="shared" si="277"/>
        <v>0</v>
      </c>
      <c r="AX459" s="5">
        <f t="shared" si="278"/>
        <v>0</v>
      </c>
      <c r="AY459" s="5">
        <f t="shared" si="279"/>
        <v>0</v>
      </c>
      <c r="AZ459" s="5">
        <f t="shared" si="280"/>
        <v>0</v>
      </c>
      <c r="BA459" s="5">
        <f t="shared" si="281"/>
        <v>0</v>
      </c>
      <c r="BB459" s="5">
        <f t="shared" si="282"/>
        <v>0</v>
      </c>
      <c r="BC459" s="5">
        <f t="shared" si="283"/>
        <v>0</v>
      </c>
      <c r="BD459" s="5">
        <f t="shared" si="284"/>
        <v>-5000</v>
      </c>
      <c r="BE459" s="16">
        <f>INDEX('Team forecast'!$B$2:$AO$26,MATCH('Master data'!$B459,'Team forecast'!$B$2:$B$26,0),MATCH('Master data'!BE$1,'Team forecast'!$B$2:$AO$2,0))</f>
        <v>1.3677883945550393</v>
      </c>
      <c r="BF459" s="16">
        <f>INDEX('Team forecast'!$B$2:$AO$26,MATCH('Master data'!$B459,'Team forecast'!$B$2:$B$26,0),MATCH('Master data'!BF$1,'Team forecast'!$B$2:$AO$2,0))</f>
        <v>1.2246875509143662</v>
      </c>
      <c r="BG459" s="16">
        <f>INDEX('Team forecast'!$B$2:$AO$26,MATCH('Master data'!$B459,'Team forecast'!$B$2:$B$26,0),MATCH('Master data'!BG$1,'Team forecast'!$B$2:$AO$2,0))</f>
        <v>0.29384949898885449</v>
      </c>
      <c r="BH459" s="16">
        <f>INDEX('Team forecast'!$B$2:$AO$26,MATCH('Master data'!$B459,'Team forecast'!$B$2:$B$26,0),MATCH('Master data'!BH$1,'Team forecast'!$B$2:$AO$2,0))</f>
        <v>3.8240281171714834</v>
      </c>
      <c r="BI459" s="16">
        <f>INDEX('Team forecast'!$B$2:$AO$26,MATCH('Master data'!$B459,'Team forecast'!$B$2:$B$26,0),MATCH('Master data'!BI$1,'Team forecast'!$B$2:$AO$2,0))</f>
        <v>3.3099663538226114</v>
      </c>
      <c r="BJ459" s="5">
        <f t="shared" si="285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286"/>
        <v>0</v>
      </c>
      <c r="BO459" s="5">
        <f t="shared" si="287"/>
        <v>0</v>
      </c>
      <c r="BP459" s="5">
        <f t="shared" si="288"/>
        <v>0</v>
      </c>
      <c r="BQ459" s="5">
        <f t="shared" si="289"/>
        <v>0</v>
      </c>
      <c r="BR459" s="5">
        <f t="shared" si="290"/>
        <v>0</v>
      </c>
      <c r="BS459" s="5">
        <f t="shared" si="291"/>
        <v>0</v>
      </c>
      <c r="BT459" s="5">
        <f t="shared" si="292"/>
        <v>0</v>
      </c>
      <c r="BU459" s="5">
        <f t="shared" si="293"/>
        <v>0</v>
      </c>
      <c r="BV459" s="5">
        <f t="shared" si="294"/>
        <v>0</v>
      </c>
      <c r="BW459" s="5">
        <f t="shared" si="295"/>
        <v>-5000</v>
      </c>
      <c r="BX459" s="5">
        <f t="shared" si="296"/>
        <v>-5000</v>
      </c>
      <c r="BY459" s="5">
        <f t="shared" si="297"/>
        <v>-15000</v>
      </c>
      <c r="BZ459" s="5">
        <f>INDEX('Team forecast'!$R$3:$BH$26,MATCH($B459,'Team forecast'!$B$3:$B$26,0),MATCH(BZ$1,'Team forecast'!$R$2:$BH$2,0))*($BX459-(BY459+CH459)*0.01)</f>
        <v>-22249.609232768817</v>
      </c>
      <c r="CA459" s="5">
        <f>INDEX('Team forecast'!$R$3:$BH$26,MATCH($B459,'Team forecast'!$B$3:$B$26,0),MATCH(CA$1,'Team forecast'!$R$2:$BH$2,0))*($BX459-(BY459+BX459+CH459)*0.01)</f>
        <v>-10952.533376693362</v>
      </c>
      <c r="CB459" s="5">
        <f>INDEX('Team forecast'!$R$3:$BH$26,MATCH($B459,'Team forecast'!$B$3:$B$26,0),MATCH(CB$1,'Team forecast'!$R$2:$BH$2,0))*($BX459-(BY459+BX459*2+CH459)*0.01)</f>
        <v>-5321.4943255478656</v>
      </c>
      <c r="CC459" s="5">
        <f>INDEX('Team forecast'!$R$3:$BH$26,MATCH($B459,'Team forecast'!$B$3:$B$26,0),MATCH(CC$1,'Team forecast'!$R$2:$BH$2,0))*($BX459-(BY459+BX459*3+CH459)*0.01)</f>
        <v>-2467.7622564005537</v>
      </c>
      <c r="CD459" s="5">
        <f>+AK459+BD459*Cockpit!$C$3+BW459*Cockpit!$C$3^2+BZ459*Cockpit!$C$3^3+CA459*Cockpit!$C$3^4+CB459*Cockpit!$C$3^5+CC459*Cockpit!$C$3^6</f>
        <v>-20228.917201898679</v>
      </c>
      <c r="CE459" s="5"/>
      <c r="CF459" s="5"/>
      <c r="CG459" s="5">
        <v>0</v>
      </c>
      <c r="CH459" s="5">
        <f t="shared" si="298"/>
        <v>3000000</v>
      </c>
      <c r="CI459" s="5">
        <f t="shared" si="299"/>
        <v>3000000</v>
      </c>
      <c r="CJ459" s="1">
        <f t="shared" si="300"/>
        <v>-5.0000000000000001E-3</v>
      </c>
      <c r="CK459" s="5">
        <f>RANK(BY459,$BY$2:$BY$623)+COUNTIF($BY$2:$BY459,$BY459)-1</f>
        <v>563</v>
      </c>
      <c r="CL459" s="5">
        <f>RANK(CJ459,$CJ$2:$CJ$623)+COUNTIF($CJ$2:$CJ459,$CJ459)-1</f>
        <v>518</v>
      </c>
    </row>
    <row r="460" spans="1:90">
      <c r="A460" t="str">
        <f>Players!P461</f>
        <v>Ruben Vargas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3000000</v>
      </c>
      <c r="H460" s="16">
        <f>INDEX('Team forecast'!$B$2:$AO$26,MATCH('Master data'!$B460,'Team forecast'!$B$2:$B$26,0),MATCH('Master data'!H$1,'Team forecast'!$B$2:$AO$2,0))</f>
        <v>1.162032718107336</v>
      </c>
      <c r="I460" s="16">
        <f>INDEX('Team forecast'!$B$2:$AO$26,MATCH('Master data'!$B460,'Team forecast'!$B$2:$B$26,0),MATCH('Master data'!I$1,'Team forecast'!$B$2:$AO$2,0))</f>
        <v>0.87435064565555498</v>
      </c>
      <c r="J460" s="16">
        <f>INDEX('Team forecast'!$B$2:$AO$26,MATCH('Master data'!$B460,'Team forecast'!$B$2:$B$26,0),MATCH('Master data'!J$1,'Team forecast'!$B$2:$AO$2,0))</f>
        <v>0.41713279874828868</v>
      </c>
      <c r="K460" s="16">
        <f>INDEX('Team forecast'!$B$2:$AO$26,MATCH('Master data'!$B460,'Team forecast'!$B$2:$B$26,0),MATCH('Master data'!K$1,'Team forecast'!$B$2:$AO$2,0))</f>
        <v>3.2487816133000873</v>
      </c>
      <c r="L460" s="16">
        <f>INDEX('Team forecast'!$B$2:$AO$26,MATCH('Master data'!$B460,'Team forecast'!$B$2:$B$26,0),MATCH('Master data'!L$1,'Team forecast'!$B$2:$AO$2,0))</f>
        <v>2.3631098531231216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5.5762081784386616E-2</v>
      </c>
      <c r="R460" s="2">
        <f>Players!BR461</f>
        <v>5.5762081784386616E-2</v>
      </c>
      <c r="S460" s="2">
        <f t="shared" si="259"/>
        <v>1.162032718107336</v>
      </c>
      <c r="T460" s="2">
        <f t="shared" si="260"/>
        <v>0.87435064565555498</v>
      </c>
      <c r="U460" s="16">
        <f>INDEX('Team forecast'!$B$2:$AO$26,MATCH('Master data'!$B460,'Team forecast'!$B$2:$B$26,0),MATCH('Master data'!U$1,'Team forecast'!$B$2:$AO$2,0))</f>
        <v>0.43653432427146488</v>
      </c>
      <c r="V460" s="16">
        <f>INDEX('Team forecast'!$B$2:$AO$26,MATCH('Master data'!$B460,'Team forecast'!$B$2:$B$26,0),MATCH('Master data'!V$1,'Team forecast'!$B$2:$AO$2,0))</f>
        <v>0.30275767651085472</v>
      </c>
      <c r="W460" s="16">
        <f>INDEX('Team forecast'!$B$2:$AO$26,MATCH('Master data'!$B460,'Team forecast'!$B$2:$B$26,0),MATCH('Master data'!W$1,'Team forecast'!$B$2:$AO$2,0))</f>
        <v>0.2607079992176804</v>
      </c>
      <c r="X460" s="5">
        <f t="shared" si="261"/>
        <v>-5000</v>
      </c>
      <c r="Y460" s="5">
        <f t="shared" si="262"/>
        <v>0</v>
      </c>
      <c r="Z460" s="5">
        <f t="shared" si="263"/>
        <v>0</v>
      </c>
      <c r="AA460" s="5">
        <f t="shared" si="264"/>
        <v>0</v>
      </c>
      <c r="AB460" s="5">
        <f t="shared" si="265"/>
        <v>0</v>
      </c>
      <c r="AC460" s="5">
        <f t="shared" si="266"/>
        <v>0</v>
      </c>
      <c r="AD460" s="5">
        <f t="shared" si="267"/>
        <v>0</v>
      </c>
      <c r="AE460" s="5">
        <f t="shared" si="268"/>
        <v>0</v>
      </c>
      <c r="AF460" s="5">
        <f t="shared" si="269"/>
        <v>0</v>
      </c>
      <c r="AG460" s="5">
        <f t="shared" si="270"/>
        <v>0</v>
      </c>
      <c r="AH460" s="5">
        <f t="shared" si="271"/>
        <v>0</v>
      </c>
      <c r="AI460" s="5">
        <f t="shared" si="272"/>
        <v>0</v>
      </c>
      <c r="AJ460" s="5">
        <f t="shared" si="273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0.79620558314709244</v>
      </c>
      <c r="AM460" s="16">
        <f>INDEX('Team forecast'!$B$2:$AO$26,MATCH('Master data'!$B460,'Team forecast'!$B$2:$B$26,0),MATCH('Master data'!AM$1,'Team forecast'!$B$2:$AO$2,0))</f>
        <v>1.5198357804321134</v>
      </c>
      <c r="AN460" s="16">
        <f>INDEX('Team forecast'!$B$2:$AO$26,MATCH('Master data'!$B460,'Team forecast'!$B$2:$B$26,0),MATCH('Master data'!AN$1,'Team forecast'!$B$2:$AO$2,0))</f>
        <v>0.21874780667306151</v>
      </c>
      <c r="AO460" s="16">
        <f>INDEX('Team forecast'!$B$2:$AO$26,MATCH('Master data'!$B460,'Team forecast'!$B$2:$B$26,0),MATCH('Master data'!AO$1,'Team forecast'!$B$2:$AO$2,0))</f>
        <v>2.2260113838689839</v>
      </c>
      <c r="AP460" s="16">
        <f>INDEX('Team forecast'!$B$2:$AO$26,MATCH('Master data'!$B460,'Team forecast'!$B$2:$B$26,0),MATCH('Master data'!AP$1,'Team forecast'!$B$2:$AO$2,0))</f>
        <v>4.1076642714381446</v>
      </c>
      <c r="AQ460" s="5">
        <f t="shared" si="274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275"/>
        <v>0</v>
      </c>
      <c r="AV460" s="5">
        <f t="shared" si="276"/>
        <v>0</v>
      </c>
      <c r="AW460" s="5">
        <f t="shared" si="277"/>
        <v>0</v>
      </c>
      <c r="AX460" s="5">
        <f t="shared" si="278"/>
        <v>0</v>
      </c>
      <c r="AY460" s="5">
        <f t="shared" si="279"/>
        <v>0</v>
      </c>
      <c r="AZ460" s="5">
        <f t="shared" si="280"/>
        <v>0</v>
      </c>
      <c r="BA460" s="5">
        <f t="shared" si="281"/>
        <v>0</v>
      </c>
      <c r="BB460" s="5">
        <f t="shared" si="282"/>
        <v>0</v>
      </c>
      <c r="BC460" s="5">
        <f t="shared" si="283"/>
        <v>0</v>
      </c>
      <c r="BD460" s="5">
        <f t="shared" si="284"/>
        <v>-5000</v>
      </c>
      <c r="BE460" s="16">
        <f>INDEX('Team forecast'!$B$2:$AO$26,MATCH('Master data'!$B460,'Team forecast'!$B$2:$B$26,0),MATCH('Master data'!BE$1,'Team forecast'!$B$2:$AO$2,0))</f>
        <v>1.3677883945550393</v>
      </c>
      <c r="BF460" s="16">
        <f>INDEX('Team forecast'!$B$2:$AO$26,MATCH('Master data'!$B460,'Team forecast'!$B$2:$B$26,0),MATCH('Master data'!BF$1,'Team forecast'!$B$2:$AO$2,0))</f>
        <v>1.2246875509143662</v>
      </c>
      <c r="BG460" s="16">
        <f>INDEX('Team forecast'!$B$2:$AO$26,MATCH('Master data'!$B460,'Team forecast'!$B$2:$B$26,0),MATCH('Master data'!BG$1,'Team forecast'!$B$2:$AO$2,0))</f>
        <v>0.29384949898885449</v>
      </c>
      <c r="BH460" s="16">
        <f>INDEX('Team forecast'!$B$2:$AO$26,MATCH('Master data'!$B460,'Team forecast'!$B$2:$B$26,0),MATCH('Master data'!BH$1,'Team forecast'!$B$2:$AO$2,0))</f>
        <v>3.8240281171714834</v>
      </c>
      <c r="BI460" s="16">
        <f>INDEX('Team forecast'!$B$2:$AO$26,MATCH('Master data'!$B460,'Team forecast'!$B$2:$B$26,0),MATCH('Master data'!BI$1,'Team forecast'!$B$2:$AO$2,0))</f>
        <v>3.3099663538226114</v>
      </c>
      <c r="BJ460" s="5">
        <f t="shared" si="285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286"/>
        <v>0</v>
      </c>
      <c r="BO460" s="5">
        <f t="shared" si="287"/>
        <v>0</v>
      </c>
      <c r="BP460" s="5">
        <f t="shared" si="288"/>
        <v>0</v>
      </c>
      <c r="BQ460" s="5">
        <f t="shared" si="289"/>
        <v>0</v>
      </c>
      <c r="BR460" s="5">
        <f t="shared" si="290"/>
        <v>0</v>
      </c>
      <c r="BS460" s="5">
        <f t="shared" si="291"/>
        <v>0</v>
      </c>
      <c r="BT460" s="5">
        <f t="shared" si="292"/>
        <v>0</v>
      </c>
      <c r="BU460" s="5">
        <f t="shared" si="293"/>
        <v>0</v>
      </c>
      <c r="BV460" s="5">
        <f t="shared" si="294"/>
        <v>0</v>
      </c>
      <c r="BW460" s="5">
        <f t="shared" si="295"/>
        <v>-5000</v>
      </c>
      <c r="BX460" s="5">
        <f t="shared" si="296"/>
        <v>-5000</v>
      </c>
      <c r="BY460" s="5">
        <f t="shared" si="297"/>
        <v>-15000</v>
      </c>
      <c r="BZ460" s="5">
        <f>INDEX('Team forecast'!$R$3:$BH$26,MATCH($B460,'Team forecast'!$B$3:$B$26,0),MATCH(BZ$1,'Team forecast'!$R$2:$BH$2,0))*($BX460-(BY460+CH460)*0.01)</f>
        <v>-22249.609232768817</v>
      </c>
      <c r="CA460" s="5">
        <f>INDEX('Team forecast'!$R$3:$BH$26,MATCH($B460,'Team forecast'!$B$3:$B$26,0),MATCH(CA$1,'Team forecast'!$R$2:$BH$2,0))*($BX460-(BY460+BX460+CH460)*0.01)</f>
        <v>-10952.533376693362</v>
      </c>
      <c r="CB460" s="5">
        <f>INDEX('Team forecast'!$R$3:$BH$26,MATCH($B460,'Team forecast'!$B$3:$B$26,0),MATCH(CB$1,'Team forecast'!$R$2:$BH$2,0))*($BX460-(BY460+BX460*2+CH460)*0.01)</f>
        <v>-5321.4943255478656</v>
      </c>
      <c r="CC460" s="5">
        <f>INDEX('Team forecast'!$R$3:$BH$26,MATCH($B460,'Team forecast'!$B$3:$B$26,0),MATCH(CC$1,'Team forecast'!$R$2:$BH$2,0))*($BX460-(BY460+BX460*3+CH460)*0.01)</f>
        <v>-2467.7622564005537</v>
      </c>
      <c r="CD460" s="5">
        <f>+AK460+BD460*Cockpit!$C$3+BW460*Cockpit!$C$3^2+BZ460*Cockpit!$C$3^3+CA460*Cockpit!$C$3^4+CB460*Cockpit!$C$3^5+CC460*Cockpit!$C$3^6</f>
        <v>-20228.917201898679</v>
      </c>
      <c r="CE460" s="5"/>
      <c r="CF460" s="5"/>
      <c r="CG460" s="5">
        <v>0</v>
      </c>
      <c r="CH460" s="5">
        <f t="shared" si="298"/>
        <v>3000000</v>
      </c>
      <c r="CI460" s="5">
        <f t="shared" si="299"/>
        <v>3000000</v>
      </c>
      <c r="CJ460" s="1">
        <f t="shared" si="300"/>
        <v>-5.0000000000000001E-3</v>
      </c>
      <c r="CK460" s="5">
        <f>RANK(BY460,$BY$2:$BY$623)+COUNTIF($BY$2:$BY460,$BY460)-1</f>
        <v>564</v>
      </c>
      <c r="CL460" s="5">
        <f>RANK(CJ460,$CJ$2:$CJ$623)+COUNTIF($CJ$2:$CJ460,$CJ460)-1</f>
        <v>519</v>
      </c>
    </row>
    <row r="461" spans="1:90">
      <c r="A461" t="str">
        <f>Players!P462</f>
        <v>Steven Zuber</v>
      </c>
      <c r="B461" t="str">
        <f>Players!G462</f>
        <v>Switzerland</v>
      </c>
      <c r="C461" t="str">
        <f>Players!AB462</f>
        <v>Midfield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3500000</v>
      </c>
      <c r="H461" s="16">
        <f>INDEX('Team forecast'!$B$2:$AO$26,MATCH('Master data'!$B461,'Team forecast'!$B$2:$B$26,0),MATCH('Master data'!H$1,'Team forecast'!$B$2:$AO$2,0))</f>
        <v>1.162032718107336</v>
      </c>
      <c r="I461" s="16">
        <f>INDEX('Team forecast'!$B$2:$AO$26,MATCH('Master data'!$B461,'Team forecast'!$B$2:$B$26,0),MATCH('Master data'!I$1,'Team forecast'!$B$2:$AO$2,0))</f>
        <v>0.87435064565555498</v>
      </c>
      <c r="J461" s="16">
        <f>INDEX('Team forecast'!$B$2:$AO$26,MATCH('Master data'!$B461,'Team forecast'!$B$2:$B$26,0),MATCH('Master data'!J$1,'Team forecast'!$B$2:$AO$2,0))</f>
        <v>0.41713279874828868</v>
      </c>
      <c r="K461" s="16">
        <f>INDEX('Team forecast'!$B$2:$AO$26,MATCH('Master data'!$B461,'Team forecast'!$B$2:$B$26,0),MATCH('Master data'!K$1,'Team forecast'!$B$2:$AO$2,0))</f>
        <v>3.2487816133000873</v>
      </c>
      <c r="L461" s="16">
        <f>INDEX('Team forecast'!$B$2:$AO$26,MATCH('Master data'!$B461,'Team forecast'!$B$2:$B$26,0),MATCH('Master data'!L$1,'Team forecast'!$B$2:$AO$2,0))</f>
        <v>2.3631098531231216</v>
      </c>
      <c r="M461">
        <f>IF(Players!BC462=1,95,0)</f>
        <v>95</v>
      </c>
      <c r="N461" s="2">
        <f>Players!BN462</f>
        <v>7.909798890048847E-2</v>
      </c>
      <c r="O461" s="2">
        <f>Players!BO462</f>
        <v>0.24956683831159862</v>
      </c>
      <c r="P461" s="2">
        <f>Players!BP462</f>
        <v>9.5613048767920886E-2</v>
      </c>
      <c r="Q461" s="2">
        <f>Players!BQ462</f>
        <v>7.7854671280276816E-2</v>
      </c>
      <c r="R461" s="2">
        <f>Players!BR462</f>
        <v>0</v>
      </c>
      <c r="S461" s="2">
        <f t="shared" si="259"/>
        <v>1.162032718107336</v>
      </c>
      <c r="T461" s="2">
        <f t="shared" si="260"/>
        <v>0.87435064565555498</v>
      </c>
      <c r="U461" s="16">
        <f>INDEX('Team forecast'!$B$2:$AO$26,MATCH('Master data'!$B461,'Team forecast'!$B$2:$B$26,0),MATCH('Master data'!U$1,'Team forecast'!$B$2:$AO$2,0))</f>
        <v>0.43653432427146488</v>
      </c>
      <c r="V461" s="16">
        <f>INDEX('Team forecast'!$B$2:$AO$26,MATCH('Master data'!$B461,'Team forecast'!$B$2:$B$26,0),MATCH('Master data'!V$1,'Team forecast'!$B$2:$AO$2,0))</f>
        <v>0.30275767651085472</v>
      </c>
      <c r="W461" s="16">
        <f>INDEX('Team forecast'!$B$2:$AO$26,MATCH('Master data'!$B461,'Team forecast'!$B$2:$B$26,0),MATCH('Master data'!W$1,'Team forecast'!$B$2:$AO$2,0))</f>
        <v>0.2607079992176804</v>
      </c>
      <c r="X461" s="5">
        <f t="shared" si="261"/>
        <v>7000</v>
      </c>
      <c r="Y461" s="5">
        <f t="shared" si="262"/>
        <v>10913.358106786622</v>
      </c>
      <c r="Z461" s="5">
        <f t="shared" si="263"/>
        <v>1513.7883825542735</v>
      </c>
      <c r="AA461" s="5">
        <f t="shared" si="264"/>
        <v>-3910.6199882652058</v>
      </c>
      <c r="AB461" s="5">
        <f t="shared" si="265"/>
        <v>11489.306379857315</v>
      </c>
      <c r="AC461" s="5">
        <f t="shared" si="266"/>
        <v>14500.24157363405</v>
      </c>
      <c r="AD461" s="5">
        <f t="shared" si="267"/>
        <v>3106.2591482878593</v>
      </c>
      <c r="AE461" s="5">
        <f t="shared" si="268"/>
        <v>0</v>
      </c>
      <c r="AF461" s="5">
        <f t="shared" si="269"/>
        <v>0</v>
      </c>
      <c r="AG461" s="5">
        <f t="shared" si="270"/>
        <v>-1557.0934256055364</v>
      </c>
      <c r="AH461" s="5">
        <f t="shared" si="271"/>
        <v>0</v>
      </c>
      <c r="AI461" s="5">
        <f t="shared" si="272"/>
        <v>11620.32718107336</v>
      </c>
      <c r="AJ461" s="5">
        <f t="shared" si="273"/>
        <v>-6994.8051652444401</v>
      </c>
      <c r="AK461" s="5">
        <f>IFERROR(SUM(X461:AJ461),-5000)*((Cockpit!$C$3)^0)</f>
        <v>47680.762193078292</v>
      </c>
      <c r="AL461" s="16">
        <f>INDEX('Team forecast'!$B$2:$AO$26,MATCH('Master data'!$B461,'Team forecast'!$B$2:$B$26,0),MATCH('Master data'!AL$1,'Team forecast'!$B$2:$AO$2,0))</f>
        <v>0.79620558314709244</v>
      </c>
      <c r="AM461" s="16">
        <f>INDEX('Team forecast'!$B$2:$AO$26,MATCH('Master data'!$B461,'Team forecast'!$B$2:$B$26,0),MATCH('Master data'!AM$1,'Team forecast'!$B$2:$AO$2,0))</f>
        <v>1.5198357804321134</v>
      </c>
      <c r="AN461" s="16">
        <f>INDEX('Team forecast'!$B$2:$AO$26,MATCH('Master data'!$B461,'Team forecast'!$B$2:$B$26,0),MATCH('Master data'!AN$1,'Team forecast'!$B$2:$AO$2,0))</f>
        <v>0.21874780667306151</v>
      </c>
      <c r="AO461" s="16">
        <f>INDEX('Team forecast'!$B$2:$AO$26,MATCH('Master data'!$B461,'Team forecast'!$B$2:$B$26,0),MATCH('Master data'!AO$1,'Team forecast'!$B$2:$AO$2,0))</f>
        <v>2.2260113838689839</v>
      </c>
      <c r="AP461" s="16">
        <f>INDEX('Team forecast'!$B$2:$AO$26,MATCH('Master data'!$B461,'Team forecast'!$B$2:$B$26,0),MATCH('Master data'!AP$1,'Team forecast'!$B$2:$AO$2,0))</f>
        <v>4.1076642714381446</v>
      </c>
      <c r="AQ461" s="5">
        <f t="shared" si="274"/>
        <v>7000</v>
      </c>
      <c r="AR461" s="5">
        <f>INDEX('Team forecast'!$B$2:$AO$26,MATCH('Master data'!$B461,'Team forecast'!$B$2:$B$26,0),MATCH('Master data'!AR$1,'Team forecast'!$B$2:$AO$2,0))*IF(X461&gt;0,25000,0)</f>
        <v>4305.3545586107102</v>
      </c>
      <c r="AS461" s="16">
        <f>INDEX('Team forecast'!$B$2:$AO$26,MATCH('Master data'!$B461,'Team forecast'!$B$2:$B$26,0),MATCH('Master data'!AS$1,'Team forecast'!$B$2:$AO$2,0))*IF(X461&gt;0,5000,0)</f>
        <v>1353.111432706223</v>
      </c>
      <c r="AT461" s="16">
        <f>INDEX('Team forecast'!$B$2:$AO$26,MATCH('Master data'!$B461,'Team forecast'!$B$2:$B$26,0),MATCH('Master data'!AT$1,'Team forecast'!$B$2:$AO$2,0))*IF(X461&gt;0,-15000,0)</f>
        <v>-8357.4529667149072</v>
      </c>
      <c r="AU461" s="5">
        <f t="shared" si="275"/>
        <v>7872.2825472844588</v>
      </c>
      <c r="AV461" s="5">
        <f t="shared" si="276"/>
        <v>9935.3255016031253</v>
      </c>
      <c r="AW461" s="5">
        <f t="shared" si="277"/>
        <v>2128.3573500381221</v>
      </c>
      <c r="AX461" s="5">
        <f t="shared" si="278"/>
        <v>0</v>
      </c>
      <c r="AY461" s="5">
        <f t="shared" si="279"/>
        <v>0</v>
      </c>
      <c r="AZ461" s="5">
        <f t="shared" si="280"/>
        <v>-1557.0934256055364</v>
      </c>
      <c r="BA461" s="5">
        <f t="shared" si="281"/>
        <v>0</v>
      </c>
      <c r="BB461" s="5">
        <f t="shared" si="282"/>
        <v>7962.0558314709242</v>
      </c>
      <c r="BC461" s="5">
        <f t="shared" si="283"/>
        <v>-12158.686243456907</v>
      </c>
      <c r="BD461" s="5">
        <f t="shared" si="284"/>
        <v>18483.254585936207</v>
      </c>
      <c r="BE461" s="16">
        <f>INDEX('Team forecast'!$B$2:$AO$26,MATCH('Master data'!$B461,'Team forecast'!$B$2:$B$26,0),MATCH('Master data'!BE$1,'Team forecast'!$B$2:$AO$2,0))</f>
        <v>1.3677883945550393</v>
      </c>
      <c r="BF461" s="16">
        <f>INDEX('Team forecast'!$B$2:$AO$26,MATCH('Master data'!$B461,'Team forecast'!$B$2:$B$26,0),MATCH('Master data'!BF$1,'Team forecast'!$B$2:$AO$2,0))</f>
        <v>1.2246875509143662</v>
      </c>
      <c r="BG461" s="16">
        <f>INDEX('Team forecast'!$B$2:$AO$26,MATCH('Master data'!$B461,'Team forecast'!$B$2:$B$26,0),MATCH('Master data'!BG$1,'Team forecast'!$B$2:$AO$2,0))</f>
        <v>0.29384949898885449</v>
      </c>
      <c r="BH461" s="16">
        <f>INDEX('Team forecast'!$B$2:$AO$26,MATCH('Master data'!$B461,'Team forecast'!$B$2:$B$26,0),MATCH('Master data'!BH$1,'Team forecast'!$B$2:$AO$2,0))</f>
        <v>3.8240281171714834</v>
      </c>
      <c r="BI461" s="16">
        <f>INDEX('Team forecast'!$B$2:$AO$26,MATCH('Master data'!$B461,'Team forecast'!$B$2:$B$26,0),MATCH('Master data'!BI$1,'Team forecast'!$B$2:$AO$2,0))</f>
        <v>3.3099663538226114</v>
      </c>
      <c r="BJ461" s="5">
        <f t="shared" si="285"/>
        <v>7000</v>
      </c>
      <c r="BK461" s="5">
        <f>INDEX('Team forecast'!$R$3:$BH$26,MATCH($B461,'Team forecast'!$B$3:$B$26,0),MATCH(BK$1,'Team forecast'!$R$2:$BH$2,0))*IF($X461&gt;0,25000,0)</f>
        <v>9745.0088950385434</v>
      </c>
      <c r="BL461" s="5">
        <f>INDEX('Team forecast'!$R$3:$BH$26,MATCH($B461,'Team forecast'!$B$3:$B$26,0),MATCH(BL$1,'Team forecast'!$R$2:$BH$2,0))*IF($X461&gt;0,5000,0)</f>
        <v>1404.4277525202608</v>
      </c>
      <c r="BM461" s="5">
        <f>INDEX('Team forecast'!$R$3:$BH$26,MATCH($B461,'Team forecast'!$B$3:$B$26,0),MATCH(BM$1,'Team forecast'!$R$2:$BH$2,0))*IF($X461&gt;0,-15000,0)</f>
        <v>-4939.7114054160902</v>
      </c>
      <c r="BN461" s="5">
        <f t="shared" si="286"/>
        <v>13523.663906341431</v>
      </c>
      <c r="BO461" s="5">
        <f t="shared" si="287"/>
        <v>17067.731255419927</v>
      </c>
      <c r="BP461" s="5">
        <f t="shared" si="288"/>
        <v>3656.2698685701771</v>
      </c>
      <c r="BQ461" s="5">
        <f t="shared" si="289"/>
        <v>0</v>
      </c>
      <c r="BR461" s="5">
        <f t="shared" si="290"/>
        <v>0</v>
      </c>
      <c r="BS461" s="5">
        <f t="shared" si="291"/>
        <v>-1557.0934256055364</v>
      </c>
      <c r="BT461" s="5">
        <f t="shared" si="292"/>
        <v>0</v>
      </c>
      <c r="BU461" s="5">
        <f t="shared" si="293"/>
        <v>13677.883945550393</v>
      </c>
      <c r="BV461" s="5">
        <f t="shared" si="294"/>
        <v>-9797.5004073149303</v>
      </c>
      <c r="BW461" s="5">
        <f t="shared" si="295"/>
        <v>49780.680385104177</v>
      </c>
      <c r="BX461" s="5">
        <f t="shared" si="296"/>
        <v>38648.232388039556</v>
      </c>
      <c r="BY461" s="5">
        <f t="shared" si="297"/>
        <v>115944.69716411867</v>
      </c>
      <c r="BZ461" s="5">
        <f>INDEX('Team forecast'!$R$3:$BH$26,MATCH($B461,'Team forecast'!$B$3:$B$26,0),MATCH(BZ$1,'Team forecast'!$R$2:$BH$2,0))*($BX461-(BY461+CH461)*0.01)</f>
        <v>1588.9383925129825</v>
      </c>
      <c r="CA461" s="5">
        <f>INDEX('Team forecast'!$R$3:$BH$26,MATCH($B461,'Team forecast'!$B$3:$B$26,0),MATCH(CA$1,'Team forecast'!$R$2:$BH$2,0))*($BX461-(BY461+BX461+CH461)*0.01)</f>
        <v>661.65358588300967</v>
      </c>
      <c r="CB461" s="5">
        <f>INDEX('Team forecast'!$R$3:$BH$26,MATCH($B461,'Team forecast'!$B$3:$B$26,0),MATCH(CB$1,'Team forecast'!$R$2:$BH$2,0))*($BX461-(BY461+BX461*2+CH461)*0.01)</f>
        <v>262.75483407084988</v>
      </c>
      <c r="CC461" s="5">
        <f>INDEX('Team forecast'!$R$3:$BH$26,MATCH($B461,'Team forecast'!$B$3:$B$26,0),MATCH(CC$1,'Team forecast'!$R$2:$BH$2,0))*($BX461-(BY461+BX461*3+CH461)*0.01)</f>
        <v>94.538652448241592</v>
      </c>
      <c r="CD461" s="5">
        <f>+AK461+BD461*Cockpit!$C$3+BW461*Cockpit!$C$3^2+BZ461*Cockpit!$C$3^3+CA461*Cockpit!$C$3^4+CB461*Cockpit!$C$3^5+CC461*Cockpit!$C$3^6</f>
        <v>82772.073469506533</v>
      </c>
      <c r="CE461" s="5"/>
      <c r="CF461" s="5"/>
      <c r="CG461" s="5">
        <v>0</v>
      </c>
      <c r="CH461" s="5">
        <f t="shared" si="298"/>
        <v>3500000</v>
      </c>
      <c r="CI461" s="5">
        <f t="shared" si="299"/>
        <v>3500000</v>
      </c>
      <c r="CJ461" s="1">
        <f t="shared" si="300"/>
        <v>3.3127056332605334E-2</v>
      </c>
      <c r="CK461" s="5">
        <f>RANK(BY461,$BY$2:$BY$623)+COUNTIF($BY$2:$BY461,$BY461)-1</f>
        <v>141</v>
      </c>
      <c r="CL461" s="5">
        <f>RANK(CJ461,$CJ$2:$CJ$623)+COUNTIF($CJ$2:$CJ461,$CJ461)-1</f>
        <v>119</v>
      </c>
    </row>
    <row r="462" spans="1:90">
      <c r="A462" t="str">
        <f>Players!P463</f>
        <v>Mario Gavranović</v>
      </c>
      <c r="B462" t="str">
        <f>Players!G463</f>
        <v>Switzerland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1.162032718107336</v>
      </c>
      <c r="I462" s="16">
        <f>INDEX('Team forecast'!$B$2:$AO$26,MATCH('Master data'!$B462,'Team forecast'!$B$2:$B$26,0),MATCH('Master data'!I$1,'Team forecast'!$B$2:$AO$2,0))</f>
        <v>0.87435064565555498</v>
      </c>
      <c r="J462" s="16">
        <f>INDEX('Team forecast'!$B$2:$AO$26,MATCH('Master data'!$B462,'Team forecast'!$B$2:$B$26,0),MATCH('Master data'!J$1,'Team forecast'!$B$2:$AO$2,0))</f>
        <v>0.41713279874828868</v>
      </c>
      <c r="K462" s="16">
        <f>INDEX('Team forecast'!$B$2:$AO$26,MATCH('Master data'!$B462,'Team forecast'!$B$2:$B$26,0),MATCH('Master data'!K$1,'Team forecast'!$B$2:$AO$2,0))</f>
        <v>3.2487816133000873</v>
      </c>
      <c r="L462" s="16">
        <f>INDEX('Team forecast'!$B$2:$AO$26,MATCH('Master data'!$B462,'Team forecast'!$B$2:$B$26,0),MATCH('Master data'!L$1,'Team forecast'!$B$2:$AO$2,0))</f>
        <v>2.3631098531231216</v>
      </c>
      <c r="M462">
        <f>IF(Players!BC463=1,95,0)</f>
        <v>0</v>
      </c>
      <c r="N462" s="2">
        <f>Players!BN463</f>
        <v>0</v>
      </c>
      <c r="O462" s="2">
        <f>Players!BO463</f>
        <v>0</v>
      </c>
      <c r="P462" s="2">
        <f>Players!BP463</f>
        <v>0</v>
      </c>
      <c r="Q462" s="2">
        <f>Players!BQ463</f>
        <v>6.1475409836065573E-2</v>
      </c>
      <c r="R462" s="2">
        <f>Players!BR463</f>
        <v>0</v>
      </c>
      <c r="S462" s="2">
        <f t="shared" si="259"/>
        <v>1.162032718107336</v>
      </c>
      <c r="T462" s="2">
        <f t="shared" si="260"/>
        <v>0.87435064565555498</v>
      </c>
      <c r="U462" s="16">
        <f>INDEX('Team forecast'!$B$2:$AO$26,MATCH('Master data'!$B462,'Team forecast'!$B$2:$B$26,0),MATCH('Master data'!U$1,'Team forecast'!$B$2:$AO$2,0))</f>
        <v>0.43653432427146488</v>
      </c>
      <c r="V462" s="16">
        <f>INDEX('Team forecast'!$B$2:$AO$26,MATCH('Master data'!$B462,'Team forecast'!$B$2:$B$26,0),MATCH('Master data'!V$1,'Team forecast'!$B$2:$AO$2,0))</f>
        <v>0.30275767651085472</v>
      </c>
      <c r="W462" s="16">
        <f>INDEX('Team forecast'!$B$2:$AO$26,MATCH('Master data'!$B462,'Team forecast'!$B$2:$B$26,0),MATCH('Master data'!W$1,'Team forecast'!$B$2:$AO$2,0))</f>
        <v>0.2607079992176804</v>
      </c>
      <c r="X462" s="5">
        <f t="shared" si="261"/>
        <v>-5000</v>
      </c>
      <c r="Y462" s="5">
        <f t="shared" si="262"/>
        <v>0</v>
      </c>
      <c r="Z462" s="5">
        <f t="shared" si="263"/>
        <v>0</v>
      </c>
      <c r="AA462" s="5">
        <f t="shared" si="264"/>
        <v>0</v>
      </c>
      <c r="AB462" s="5">
        <f t="shared" si="265"/>
        <v>0</v>
      </c>
      <c r="AC462" s="5">
        <f t="shared" si="266"/>
        <v>0</v>
      </c>
      <c r="AD462" s="5">
        <f t="shared" si="267"/>
        <v>0</v>
      </c>
      <c r="AE462" s="5">
        <f t="shared" si="268"/>
        <v>0</v>
      </c>
      <c r="AF462" s="5">
        <f t="shared" si="269"/>
        <v>0</v>
      </c>
      <c r="AG462" s="5">
        <f t="shared" si="270"/>
        <v>0</v>
      </c>
      <c r="AH462" s="5">
        <f t="shared" si="271"/>
        <v>0</v>
      </c>
      <c r="AI462" s="5">
        <f t="shared" si="272"/>
        <v>0</v>
      </c>
      <c r="AJ462" s="5">
        <f t="shared" si="273"/>
        <v>0</v>
      </c>
      <c r="AK462" s="5">
        <f>IFERROR(SUM(X462:AJ462),-5000)*((Cockpit!$C$3)^0)</f>
        <v>-5000</v>
      </c>
      <c r="AL462" s="16">
        <f>INDEX('Team forecast'!$B$2:$AO$26,MATCH('Master data'!$B462,'Team forecast'!$B$2:$B$26,0),MATCH('Master data'!AL$1,'Team forecast'!$B$2:$AO$2,0))</f>
        <v>0.79620558314709244</v>
      </c>
      <c r="AM462" s="16">
        <f>INDEX('Team forecast'!$B$2:$AO$26,MATCH('Master data'!$B462,'Team forecast'!$B$2:$B$26,0),MATCH('Master data'!AM$1,'Team forecast'!$B$2:$AO$2,0))</f>
        <v>1.5198357804321134</v>
      </c>
      <c r="AN462" s="16">
        <f>INDEX('Team forecast'!$B$2:$AO$26,MATCH('Master data'!$B462,'Team forecast'!$B$2:$B$26,0),MATCH('Master data'!AN$1,'Team forecast'!$B$2:$AO$2,0))</f>
        <v>0.21874780667306151</v>
      </c>
      <c r="AO462" s="16">
        <f>INDEX('Team forecast'!$B$2:$AO$26,MATCH('Master data'!$B462,'Team forecast'!$B$2:$B$26,0),MATCH('Master data'!AO$1,'Team forecast'!$B$2:$AO$2,0))</f>
        <v>2.2260113838689839</v>
      </c>
      <c r="AP462" s="16">
        <f>INDEX('Team forecast'!$B$2:$AO$26,MATCH('Master data'!$B462,'Team forecast'!$B$2:$B$26,0),MATCH('Master data'!AP$1,'Team forecast'!$B$2:$AO$2,0))</f>
        <v>4.1076642714381446</v>
      </c>
      <c r="AQ462" s="5">
        <f t="shared" si="274"/>
        <v>-5000</v>
      </c>
      <c r="AR462" s="5">
        <f>INDEX('Team forecast'!$B$2:$AO$26,MATCH('Master data'!$B462,'Team forecast'!$B$2:$B$26,0),MATCH('Master data'!AR$1,'Team forecast'!$B$2:$AO$2,0))*IF(X462&gt;0,25000,0)</f>
        <v>0</v>
      </c>
      <c r="AS462" s="16">
        <f>INDEX('Team forecast'!$B$2:$AO$26,MATCH('Master data'!$B462,'Team forecast'!$B$2:$B$26,0),MATCH('Master data'!AS$1,'Team forecast'!$B$2:$AO$2,0))*IF(X462&gt;0,5000,0)</f>
        <v>0</v>
      </c>
      <c r="AT462" s="16">
        <f>INDEX('Team forecast'!$B$2:$AO$26,MATCH('Master data'!$B462,'Team forecast'!$B$2:$B$26,0),MATCH('Master data'!AT$1,'Team forecast'!$B$2:$AO$2,0))*IF(X462&gt;0,-15000,0)</f>
        <v>0</v>
      </c>
      <c r="AU462" s="5">
        <f t="shared" si="275"/>
        <v>0</v>
      </c>
      <c r="AV462" s="5">
        <f t="shared" si="276"/>
        <v>0</v>
      </c>
      <c r="AW462" s="5">
        <f t="shared" si="277"/>
        <v>0</v>
      </c>
      <c r="AX462" s="5">
        <f t="shared" si="278"/>
        <v>0</v>
      </c>
      <c r="AY462" s="5">
        <f t="shared" si="279"/>
        <v>0</v>
      </c>
      <c r="AZ462" s="5">
        <f t="shared" si="280"/>
        <v>0</v>
      </c>
      <c r="BA462" s="5">
        <f t="shared" si="281"/>
        <v>0</v>
      </c>
      <c r="BB462" s="5">
        <f t="shared" si="282"/>
        <v>0</v>
      </c>
      <c r="BC462" s="5">
        <f t="shared" si="283"/>
        <v>0</v>
      </c>
      <c r="BD462" s="5">
        <f t="shared" si="284"/>
        <v>-5000</v>
      </c>
      <c r="BE462" s="16">
        <f>INDEX('Team forecast'!$B$2:$AO$26,MATCH('Master data'!$B462,'Team forecast'!$B$2:$B$26,0),MATCH('Master data'!BE$1,'Team forecast'!$B$2:$AO$2,0))</f>
        <v>1.3677883945550393</v>
      </c>
      <c r="BF462" s="16">
        <f>INDEX('Team forecast'!$B$2:$AO$26,MATCH('Master data'!$B462,'Team forecast'!$B$2:$B$26,0),MATCH('Master data'!BF$1,'Team forecast'!$B$2:$AO$2,0))</f>
        <v>1.2246875509143662</v>
      </c>
      <c r="BG462" s="16">
        <f>INDEX('Team forecast'!$B$2:$AO$26,MATCH('Master data'!$B462,'Team forecast'!$B$2:$B$26,0),MATCH('Master data'!BG$1,'Team forecast'!$B$2:$AO$2,0))</f>
        <v>0.29384949898885449</v>
      </c>
      <c r="BH462" s="16">
        <f>INDEX('Team forecast'!$B$2:$AO$26,MATCH('Master data'!$B462,'Team forecast'!$B$2:$B$26,0),MATCH('Master data'!BH$1,'Team forecast'!$B$2:$AO$2,0))</f>
        <v>3.8240281171714834</v>
      </c>
      <c r="BI462" s="16">
        <f>INDEX('Team forecast'!$B$2:$AO$26,MATCH('Master data'!$B462,'Team forecast'!$B$2:$B$26,0),MATCH('Master data'!BI$1,'Team forecast'!$B$2:$AO$2,0))</f>
        <v>3.3099663538226114</v>
      </c>
      <c r="BJ462" s="5">
        <f t="shared" si="285"/>
        <v>-5000</v>
      </c>
      <c r="BK462" s="5">
        <f>INDEX('Team forecast'!$R$3:$BH$26,MATCH($B462,'Team forecast'!$B$3:$B$26,0),MATCH(BK$1,'Team forecast'!$R$2:$BH$2,0))*IF($X462&gt;0,25000,0)</f>
        <v>0</v>
      </c>
      <c r="BL462" s="5">
        <f>INDEX('Team forecast'!$R$3:$BH$26,MATCH($B462,'Team forecast'!$B$3:$B$26,0),MATCH(BL$1,'Team forecast'!$R$2:$BH$2,0))*IF($X462&gt;0,5000,0)</f>
        <v>0</v>
      </c>
      <c r="BM462" s="5">
        <f>INDEX('Team forecast'!$R$3:$BH$26,MATCH($B462,'Team forecast'!$B$3:$B$26,0),MATCH(BM$1,'Team forecast'!$R$2:$BH$2,0))*IF($X462&gt;0,-15000,0)</f>
        <v>0</v>
      </c>
      <c r="BN462" s="5">
        <f t="shared" si="286"/>
        <v>0</v>
      </c>
      <c r="BO462" s="5">
        <f t="shared" si="287"/>
        <v>0</v>
      </c>
      <c r="BP462" s="5">
        <f t="shared" si="288"/>
        <v>0</v>
      </c>
      <c r="BQ462" s="5">
        <f t="shared" si="289"/>
        <v>0</v>
      </c>
      <c r="BR462" s="5">
        <f t="shared" si="290"/>
        <v>0</v>
      </c>
      <c r="BS462" s="5">
        <f t="shared" si="291"/>
        <v>0</v>
      </c>
      <c r="BT462" s="5">
        <f t="shared" si="292"/>
        <v>0</v>
      </c>
      <c r="BU462" s="5">
        <f t="shared" si="293"/>
        <v>0</v>
      </c>
      <c r="BV462" s="5">
        <f t="shared" si="294"/>
        <v>0</v>
      </c>
      <c r="BW462" s="5">
        <f t="shared" si="295"/>
        <v>-5000</v>
      </c>
      <c r="BX462" s="5">
        <f t="shared" si="296"/>
        <v>-5000</v>
      </c>
      <c r="BY462" s="5">
        <f t="shared" si="297"/>
        <v>-15000</v>
      </c>
      <c r="BZ462" s="5">
        <f>INDEX('Team forecast'!$R$3:$BH$26,MATCH($B462,'Team forecast'!$B$3:$B$26,0),MATCH(BZ$1,'Team forecast'!$R$2:$BH$2,0))*($BX462-(BY462+CH462)*0.01)</f>
        <v>-22249.609232768817</v>
      </c>
      <c r="CA462" s="5">
        <f>INDEX('Team forecast'!$R$3:$BH$26,MATCH($B462,'Team forecast'!$B$3:$B$26,0),MATCH(CA$1,'Team forecast'!$R$2:$BH$2,0))*($BX462-(BY462+BX462+CH462)*0.01)</f>
        <v>-10952.533376693362</v>
      </c>
      <c r="CB462" s="5">
        <f>INDEX('Team forecast'!$R$3:$BH$26,MATCH($B462,'Team forecast'!$B$3:$B$26,0),MATCH(CB$1,'Team forecast'!$R$2:$BH$2,0))*($BX462-(BY462+BX462*2+CH462)*0.01)</f>
        <v>-5321.4943255478656</v>
      </c>
      <c r="CC462" s="5">
        <f>INDEX('Team forecast'!$R$3:$BH$26,MATCH($B462,'Team forecast'!$B$3:$B$26,0),MATCH(CC$1,'Team forecast'!$R$2:$BH$2,0))*($BX462-(BY462+BX462*3+CH462)*0.01)</f>
        <v>-2467.7622564005537</v>
      </c>
      <c r="CD462" s="5">
        <f>+AK462+BD462*Cockpit!$C$3+BW462*Cockpit!$C$3^2+BZ462*Cockpit!$C$3^3+CA462*Cockpit!$C$3^4+CB462*Cockpit!$C$3^5+CC462*Cockpit!$C$3^6</f>
        <v>-20228.917201898679</v>
      </c>
      <c r="CE462" s="5"/>
      <c r="CF462" s="5"/>
      <c r="CG462" s="5">
        <v>0</v>
      </c>
      <c r="CH462" s="5">
        <f t="shared" si="298"/>
        <v>3000000</v>
      </c>
      <c r="CI462" s="5">
        <f t="shared" si="299"/>
        <v>3000000</v>
      </c>
      <c r="CJ462" s="1">
        <f t="shared" si="300"/>
        <v>-5.0000000000000001E-3</v>
      </c>
      <c r="CK462" s="5">
        <f>RANK(BY462,$BY$2:$BY$623)+COUNTIF($BY$2:$BY462,$BY462)-1</f>
        <v>565</v>
      </c>
      <c r="CL462" s="5">
        <f>RANK(CJ462,$CJ$2:$CJ$623)+COUNTIF($CJ$2:$CJ462,$CJ462)-1</f>
        <v>520</v>
      </c>
    </row>
    <row r="463" spans="1:90">
      <c r="A463" t="str">
        <f>Players!P464</f>
        <v>Kevin K. Varga</v>
      </c>
      <c r="B463" t="str">
        <f>Players!G464</f>
        <v>Hungary</v>
      </c>
      <c r="C463" t="str">
        <f>Players!AB464</f>
        <v>Striker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3000000</v>
      </c>
      <c r="H463" s="16">
        <f>INDEX('Team forecast'!$B$2:$AO$26,MATCH('Master data'!$B463,'Team forecast'!$B$2:$B$26,0),MATCH('Master data'!H$1,'Team forecast'!$B$2:$AO$2,0))</f>
        <v>0.75096675144877167</v>
      </c>
      <c r="I463" s="16">
        <f>INDEX('Team forecast'!$B$2:$AO$26,MATCH('Master data'!$B463,'Team forecast'!$B$2:$B$26,0),MATCH('Master data'!I$1,'Team forecast'!$B$2:$AO$2,0))</f>
        <v>1.7625676631272518</v>
      </c>
      <c r="J463" s="16">
        <f>INDEX('Team forecast'!$B$2:$AO$26,MATCH('Master data'!$B463,'Team forecast'!$B$2:$B$26,0),MATCH('Master data'!J$1,'Team forecast'!$B$2:$AO$2,0))</f>
        <v>0.1716036772216547</v>
      </c>
      <c r="K463" s="16">
        <f>INDEX('Team forecast'!$B$2:$AO$26,MATCH('Master data'!$B463,'Team forecast'!$B$2:$B$26,0),MATCH('Master data'!K$1,'Team forecast'!$B$2:$AO$2,0))</f>
        <v>2.4652948911197052</v>
      </c>
      <c r="L463" s="16">
        <f>INDEX('Team forecast'!$B$2:$AO$26,MATCH('Master data'!$B463,'Team forecast'!$B$2:$B$26,0),MATCH('Master data'!L$1,'Team forecast'!$B$2:$AO$2,0))</f>
        <v>4.8611455183966212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0.14681892332789559</v>
      </c>
      <c r="R463" s="2">
        <f>Players!BR464</f>
        <v>0</v>
      </c>
      <c r="S463" s="2">
        <f t="shared" si="259"/>
        <v>0.75096675144877167</v>
      </c>
      <c r="T463" s="2">
        <f t="shared" si="260"/>
        <v>1.7625676631272518</v>
      </c>
      <c r="U463" s="16">
        <f>INDEX('Team forecast'!$B$2:$AO$26,MATCH('Master data'!$B463,'Team forecast'!$B$2:$B$26,0),MATCH('Master data'!U$1,'Team forecast'!$B$2:$AO$2,0))</f>
        <v>0.1348314606741573</v>
      </c>
      <c r="V463" s="16">
        <f>INDEX('Team forecast'!$B$2:$AO$26,MATCH('Master data'!$B463,'Team forecast'!$B$2:$B$26,0),MATCH('Master data'!V$1,'Team forecast'!$B$2:$AO$2,0))</f>
        <v>0.2359550561797753</v>
      </c>
      <c r="W463" s="16">
        <f>INDEX('Team forecast'!$B$2:$AO$26,MATCH('Master data'!$B463,'Team forecast'!$B$2:$B$26,0),MATCH('Master data'!W$1,'Team forecast'!$B$2:$AO$2,0))</f>
        <v>0.6292134831460674</v>
      </c>
      <c r="X463" s="5">
        <f t="shared" si="261"/>
        <v>-5000</v>
      </c>
      <c r="Y463" s="5">
        <f t="shared" si="262"/>
        <v>0</v>
      </c>
      <c r="Z463" s="5">
        <f t="shared" si="263"/>
        <v>0</v>
      </c>
      <c r="AA463" s="5">
        <f t="shared" si="264"/>
        <v>0</v>
      </c>
      <c r="AB463" s="5">
        <f t="shared" si="265"/>
        <v>0</v>
      </c>
      <c r="AC463" s="5">
        <f t="shared" si="266"/>
        <v>0</v>
      </c>
      <c r="AD463" s="5">
        <f t="shared" si="267"/>
        <v>0</v>
      </c>
      <c r="AE463" s="5">
        <f t="shared" si="268"/>
        <v>0</v>
      </c>
      <c r="AF463" s="5">
        <f t="shared" si="269"/>
        <v>0</v>
      </c>
      <c r="AG463" s="5">
        <f t="shared" si="270"/>
        <v>0</v>
      </c>
      <c r="AH463" s="5">
        <f t="shared" si="271"/>
        <v>0</v>
      </c>
      <c r="AI463" s="5">
        <f t="shared" si="272"/>
        <v>0</v>
      </c>
      <c r="AJ463" s="5">
        <f t="shared" si="273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0.80291922538135296</v>
      </c>
      <c r="AM463" s="16">
        <f>INDEX('Team forecast'!$B$2:$AO$26,MATCH('Master data'!$B463,'Team forecast'!$B$2:$B$26,0),MATCH('Master data'!AM$1,'Team forecast'!$B$2:$AO$2,0))</f>
        <v>2.140423422331811</v>
      </c>
      <c r="AN463" s="16">
        <f>INDEX('Team forecast'!$B$2:$AO$26,MATCH('Master data'!$B463,'Team forecast'!$B$2:$B$26,0),MATCH('Master data'!AN$1,'Team forecast'!$B$2:$AO$2,0))</f>
        <v>0.1176050358792704</v>
      </c>
      <c r="AO463" s="16">
        <f>INDEX('Team forecast'!$B$2:$AO$26,MATCH('Master data'!$B463,'Team forecast'!$B$2:$B$26,0),MATCH('Master data'!AO$1,'Team forecast'!$B$2:$AO$2,0))</f>
        <v>2.6358459419084821</v>
      </c>
      <c r="AP463" s="16">
        <f>INDEX('Team forecast'!$B$2:$AO$26,MATCH('Master data'!$B463,'Team forecast'!$B$2:$B$26,0),MATCH('Master data'!AP$1,'Team forecast'!$B$2:$AO$2,0))</f>
        <v>5.9032682515452688</v>
      </c>
      <c r="AQ463" s="5">
        <f t="shared" si="274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275"/>
        <v>0</v>
      </c>
      <c r="AV463" s="5">
        <f t="shared" si="276"/>
        <v>0</v>
      </c>
      <c r="AW463" s="5">
        <f t="shared" si="277"/>
        <v>0</v>
      </c>
      <c r="AX463" s="5">
        <f t="shared" si="278"/>
        <v>0</v>
      </c>
      <c r="AY463" s="5">
        <f t="shared" si="279"/>
        <v>0</v>
      </c>
      <c r="AZ463" s="5">
        <f t="shared" si="280"/>
        <v>0</v>
      </c>
      <c r="BA463" s="5">
        <f t="shared" si="281"/>
        <v>0</v>
      </c>
      <c r="BB463" s="5">
        <f t="shared" si="282"/>
        <v>0</v>
      </c>
      <c r="BC463" s="5">
        <f t="shared" si="283"/>
        <v>0</v>
      </c>
      <c r="BD463" s="5">
        <f t="shared" si="284"/>
        <v>-5000</v>
      </c>
      <c r="BE463" s="16">
        <f>INDEX('Team forecast'!$B$2:$AO$26,MATCH('Master data'!$B463,'Team forecast'!$B$2:$B$26,0),MATCH('Master data'!BE$1,'Team forecast'!$B$2:$AO$2,0))</f>
        <v>0.68661022841383224</v>
      </c>
      <c r="BF463" s="16">
        <f>INDEX('Team forecast'!$B$2:$AO$26,MATCH('Master data'!$B463,'Team forecast'!$B$2:$B$26,0),MATCH('Master data'!BF$1,'Team forecast'!$B$2:$AO$2,0))</f>
        <v>2.4374022591536644</v>
      </c>
      <c r="BG463" s="16">
        <f>INDEX('Team forecast'!$B$2:$AO$26,MATCH('Master data'!$B463,'Team forecast'!$B$2:$B$26,0),MATCH('Master data'!BG$1,'Team forecast'!$B$2:$AO$2,0))</f>
        <v>8.7387567112784156E-2</v>
      </c>
      <c r="BH463" s="16">
        <f>INDEX('Team forecast'!$B$2:$AO$26,MATCH('Master data'!$B463,'Team forecast'!$B$2:$B$26,0),MATCH('Master data'!BH$1,'Team forecast'!$B$2:$AO$2,0))</f>
        <v>2.2540234771161161</v>
      </c>
      <c r="BI463" s="16">
        <f>INDEX('Team forecast'!$B$2:$AO$26,MATCH('Master data'!$B463,'Team forecast'!$B$2:$B$26,0),MATCH('Master data'!BI$1,'Team forecast'!$B$2:$AO$2,0))</f>
        <v>6.7223331713644443</v>
      </c>
      <c r="BJ463" s="5">
        <f t="shared" si="285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286"/>
        <v>0</v>
      </c>
      <c r="BO463" s="5">
        <f t="shared" si="287"/>
        <v>0</v>
      </c>
      <c r="BP463" s="5">
        <f t="shared" si="288"/>
        <v>0</v>
      </c>
      <c r="BQ463" s="5">
        <f t="shared" si="289"/>
        <v>0</v>
      </c>
      <c r="BR463" s="5">
        <f t="shared" si="290"/>
        <v>0</v>
      </c>
      <c r="BS463" s="5">
        <f t="shared" si="291"/>
        <v>0</v>
      </c>
      <c r="BT463" s="5">
        <f t="shared" si="292"/>
        <v>0</v>
      </c>
      <c r="BU463" s="5">
        <f t="shared" si="293"/>
        <v>0</v>
      </c>
      <c r="BV463" s="5">
        <f t="shared" si="294"/>
        <v>0</v>
      </c>
      <c r="BW463" s="5">
        <f t="shared" si="295"/>
        <v>-5000</v>
      </c>
      <c r="BX463" s="5">
        <f t="shared" si="296"/>
        <v>-5000</v>
      </c>
      <c r="BY463" s="5">
        <f t="shared" si="297"/>
        <v>-15000</v>
      </c>
      <c r="BZ463" s="5">
        <f>INDEX('Team forecast'!$R$3:$BH$26,MATCH($B463,'Team forecast'!$B$3:$B$26,0),MATCH(BZ$1,'Team forecast'!$R$2:$BH$2,0))*($BX463-(BY463+CH463)*0.01)</f>
        <v>-5896.1464466837342</v>
      </c>
      <c r="CA463" s="5">
        <f>INDEX('Team forecast'!$R$3:$BH$26,MATCH($B463,'Team forecast'!$B$3:$B$26,0),MATCH(CA$1,'Team forecast'!$R$2:$BH$2,0))*($BX463-(BY463+BX463+CH463)*0.01)</f>
        <v>-2890.8843087637015</v>
      </c>
      <c r="CB463" s="5">
        <f>INDEX('Team forecast'!$R$3:$BH$26,MATCH($B463,'Team forecast'!$B$3:$B$26,0),MATCH(CB$1,'Team forecast'!$R$2:$BH$2,0))*($BX463-(BY463+BX463*2+CH463)*0.01)</f>
        <v>-1393.5929805913208</v>
      </c>
      <c r="CC463" s="5">
        <f>INDEX('Team forecast'!$R$3:$BH$26,MATCH($B463,'Team forecast'!$B$3:$B$26,0),MATCH(CC$1,'Team forecast'!$R$2:$BH$2,0))*($BX463-(BY463+BX463*3+CH463)*0.01)</f>
        <v>-631.70606508216747</v>
      </c>
      <c r="CD463" s="5">
        <f>+AK463+BD463*Cockpit!$C$3+BW463*Cockpit!$C$3^2+BZ463*Cockpit!$C$3^3+CA463*Cockpit!$C$3^4+CB463*Cockpit!$C$3^5+CC463*Cockpit!$C$3^6</f>
        <v>-13112.577623110677</v>
      </c>
      <c r="CE463" s="5"/>
      <c r="CF463" s="5"/>
      <c r="CG463" s="5">
        <v>0</v>
      </c>
      <c r="CH463" s="5">
        <f t="shared" si="298"/>
        <v>3000000</v>
      </c>
      <c r="CI463" s="5">
        <f t="shared" si="299"/>
        <v>3000000</v>
      </c>
      <c r="CJ463" s="1">
        <f t="shared" si="300"/>
        <v>-5.0000000000000001E-3</v>
      </c>
      <c r="CK463" s="5">
        <f>RANK(BY463,$BY$2:$BY$623)+COUNTIF($BY$2:$BY463,$BY463)-1</f>
        <v>566</v>
      </c>
      <c r="CL463" s="5">
        <f>RANK(CJ463,$CJ$2:$CJ$623)+COUNTIF($CJ$2:$CJ463,$CJ463)-1</f>
        <v>521</v>
      </c>
    </row>
    <row r="464" spans="1:90">
      <c r="A464" t="str">
        <f>Players!P465</f>
        <v>Loïc Négo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2500000</v>
      </c>
      <c r="H464" s="16">
        <f>INDEX('Team forecast'!$B$2:$AO$26,MATCH('Master data'!$B464,'Team forecast'!$B$2:$B$26,0),MATCH('Master data'!H$1,'Team forecast'!$B$2:$AO$2,0))</f>
        <v>0.75096675144877167</v>
      </c>
      <c r="I464" s="16">
        <f>INDEX('Team forecast'!$B$2:$AO$26,MATCH('Master data'!$B464,'Team forecast'!$B$2:$B$26,0),MATCH('Master data'!I$1,'Team forecast'!$B$2:$AO$2,0))</f>
        <v>1.7625676631272518</v>
      </c>
      <c r="J464" s="16">
        <f>INDEX('Team forecast'!$B$2:$AO$26,MATCH('Master data'!$B464,'Team forecast'!$B$2:$B$26,0),MATCH('Master data'!J$1,'Team forecast'!$B$2:$AO$2,0))</f>
        <v>0.1716036772216547</v>
      </c>
      <c r="K464" s="16">
        <f>INDEX('Team forecast'!$B$2:$AO$26,MATCH('Master data'!$B464,'Team forecast'!$B$2:$B$26,0),MATCH('Master data'!K$1,'Team forecast'!$B$2:$AO$2,0))</f>
        <v>2.4652948911197052</v>
      </c>
      <c r="L464" s="16">
        <f>INDEX('Team forecast'!$B$2:$AO$26,MATCH('Master data'!$B464,'Team forecast'!$B$2:$B$26,0),MATCH('Master data'!L$1,'Team forecast'!$B$2:$AO$2,0))</f>
        <v>4.8611455183966212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8.0405002977963075E-2</v>
      </c>
      <c r="R464" s="2">
        <f>Players!BR465</f>
        <v>0</v>
      </c>
      <c r="S464" s="2">
        <f t="shared" si="259"/>
        <v>0.75096675144877167</v>
      </c>
      <c r="T464" s="2">
        <f t="shared" si="260"/>
        <v>1.7625676631272518</v>
      </c>
      <c r="U464" s="16">
        <f>INDEX('Team forecast'!$B$2:$AO$26,MATCH('Master data'!$B464,'Team forecast'!$B$2:$B$26,0),MATCH('Master data'!U$1,'Team forecast'!$B$2:$AO$2,0))</f>
        <v>0.1348314606741573</v>
      </c>
      <c r="V464" s="16">
        <f>INDEX('Team forecast'!$B$2:$AO$26,MATCH('Master data'!$B464,'Team forecast'!$B$2:$B$26,0),MATCH('Master data'!V$1,'Team forecast'!$B$2:$AO$2,0))</f>
        <v>0.2359550561797753</v>
      </c>
      <c r="W464" s="16">
        <f>INDEX('Team forecast'!$B$2:$AO$26,MATCH('Master data'!$B464,'Team forecast'!$B$2:$B$26,0),MATCH('Master data'!W$1,'Team forecast'!$B$2:$AO$2,0))</f>
        <v>0.6292134831460674</v>
      </c>
      <c r="X464" s="5">
        <f t="shared" si="261"/>
        <v>-5000</v>
      </c>
      <c r="Y464" s="5">
        <f t="shared" si="262"/>
        <v>0</v>
      </c>
      <c r="Z464" s="5">
        <f t="shared" si="263"/>
        <v>0</v>
      </c>
      <c r="AA464" s="5">
        <f t="shared" si="264"/>
        <v>0</v>
      </c>
      <c r="AB464" s="5">
        <f t="shared" si="265"/>
        <v>0</v>
      </c>
      <c r="AC464" s="5">
        <f t="shared" si="266"/>
        <v>0</v>
      </c>
      <c r="AD464" s="5">
        <f t="shared" si="267"/>
        <v>0</v>
      </c>
      <c r="AE464" s="5">
        <f t="shared" si="268"/>
        <v>0</v>
      </c>
      <c r="AF464" s="5">
        <f t="shared" si="269"/>
        <v>0</v>
      </c>
      <c r="AG464" s="5">
        <f t="shared" si="270"/>
        <v>0</v>
      </c>
      <c r="AH464" s="5">
        <f t="shared" si="271"/>
        <v>0</v>
      </c>
      <c r="AI464" s="5">
        <f t="shared" si="272"/>
        <v>0</v>
      </c>
      <c r="AJ464" s="5">
        <f t="shared" si="273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0.80291922538135296</v>
      </c>
      <c r="AM464" s="16">
        <f>INDEX('Team forecast'!$B$2:$AO$26,MATCH('Master data'!$B464,'Team forecast'!$B$2:$B$26,0),MATCH('Master data'!AM$1,'Team forecast'!$B$2:$AO$2,0))</f>
        <v>2.140423422331811</v>
      </c>
      <c r="AN464" s="16">
        <f>INDEX('Team forecast'!$B$2:$AO$26,MATCH('Master data'!$B464,'Team forecast'!$B$2:$B$26,0),MATCH('Master data'!AN$1,'Team forecast'!$B$2:$AO$2,0))</f>
        <v>0.1176050358792704</v>
      </c>
      <c r="AO464" s="16">
        <f>INDEX('Team forecast'!$B$2:$AO$26,MATCH('Master data'!$B464,'Team forecast'!$B$2:$B$26,0),MATCH('Master data'!AO$1,'Team forecast'!$B$2:$AO$2,0))</f>
        <v>2.6358459419084821</v>
      </c>
      <c r="AP464" s="16">
        <f>INDEX('Team forecast'!$B$2:$AO$26,MATCH('Master data'!$B464,'Team forecast'!$B$2:$B$26,0),MATCH('Master data'!AP$1,'Team forecast'!$B$2:$AO$2,0))</f>
        <v>5.9032682515452688</v>
      </c>
      <c r="AQ464" s="5">
        <f t="shared" si="274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275"/>
        <v>0</v>
      </c>
      <c r="AV464" s="5">
        <f t="shared" si="276"/>
        <v>0</v>
      </c>
      <c r="AW464" s="5">
        <f t="shared" si="277"/>
        <v>0</v>
      </c>
      <c r="AX464" s="5">
        <f t="shared" si="278"/>
        <v>0</v>
      </c>
      <c r="AY464" s="5">
        <f t="shared" si="279"/>
        <v>0</v>
      </c>
      <c r="AZ464" s="5">
        <f t="shared" si="280"/>
        <v>0</v>
      </c>
      <c r="BA464" s="5">
        <f t="shared" si="281"/>
        <v>0</v>
      </c>
      <c r="BB464" s="5">
        <f t="shared" si="282"/>
        <v>0</v>
      </c>
      <c r="BC464" s="5">
        <f t="shared" si="283"/>
        <v>0</v>
      </c>
      <c r="BD464" s="5">
        <f t="shared" si="284"/>
        <v>-5000</v>
      </c>
      <c r="BE464" s="16">
        <f>INDEX('Team forecast'!$B$2:$AO$26,MATCH('Master data'!$B464,'Team forecast'!$B$2:$B$26,0),MATCH('Master data'!BE$1,'Team forecast'!$B$2:$AO$2,0))</f>
        <v>0.68661022841383224</v>
      </c>
      <c r="BF464" s="16">
        <f>INDEX('Team forecast'!$B$2:$AO$26,MATCH('Master data'!$B464,'Team forecast'!$B$2:$B$26,0),MATCH('Master data'!BF$1,'Team forecast'!$B$2:$AO$2,0))</f>
        <v>2.4374022591536644</v>
      </c>
      <c r="BG464" s="16">
        <f>INDEX('Team forecast'!$B$2:$AO$26,MATCH('Master data'!$B464,'Team forecast'!$B$2:$B$26,0),MATCH('Master data'!BG$1,'Team forecast'!$B$2:$AO$2,0))</f>
        <v>8.7387567112784156E-2</v>
      </c>
      <c r="BH464" s="16">
        <f>INDEX('Team forecast'!$B$2:$AO$26,MATCH('Master data'!$B464,'Team forecast'!$B$2:$B$26,0),MATCH('Master data'!BH$1,'Team forecast'!$B$2:$AO$2,0))</f>
        <v>2.2540234771161161</v>
      </c>
      <c r="BI464" s="16">
        <f>INDEX('Team forecast'!$B$2:$AO$26,MATCH('Master data'!$B464,'Team forecast'!$B$2:$B$26,0),MATCH('Master data'!BI$1,'Team forecast'!$B$2:$AO$2,0))</f>
        <v>6.7223331713644443</v>
      </c>
      <c r="BJ464" s="5">
        <f t="shared" si="285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286"/>
        <v>0</v>
      </c>
      <c r="BO464" s="5">
        <f t="shared" si="287"/>
        <v>0</v>
      </c>
      <c r="BP464" s="5">
        <f t="shared" si="288"/>
        <v>0</v>
      </c>
      <c r="BQ464" s="5">
        <f t="shared" si="289"/>
        <v>0</v>
      </c>
      <c r="BR464" s="5">
        <f t="shared" si="290"/>
        <v>0</v>
      </c>
      <c r="BS464" s="5">
        <f t="shared" si="291"/>
        <v>0</v>
      </c>
      <c r="BT464" s="5">
        <f t="shared" si="292"/>
        <v>0</v>
      </c>
      <c r="BU464" s="5">
        <f t="shared" si="293"/>
        <v>0</v>
      </c>
      <c r="BV464" s="5">
        <f t="shared" si="294"/>
        <v>0</v>
      </c>
      <c r="BW464" s="5">
        <f t="shared" si="295"/>
        <v>-5000</v>
      </c>
      <c r="BX464" s="5">
        <f t="shared" si="296"/>
        <v>-5000</v>
      </c>
      <c r="BY464" s="5">
        <f t="shared" si="297"/>
        <v>-15000</v>
      </c>
      <c r="BZ464" s="5">
        <f>INDEX('Team forecast'!$R$3:$BH$26,MATCH($B464,'Team forecast'!$B$3:$B$26,0),MATCH(BZ$1,'Team forecast'!$R$2:$BH$2,0))*($BX464-(BY464+CH464)*0.01)</f>
        <v>-5050.2143883359968</v>
      </c>
      <c r="CA464" s="5">
        <f>INDEX('Team forecast'!$R$3:$BH$26,MATCH($B464,'Team forecast'!$B$3:$B$26,0),MATCH(CA$1,'Team forecast'!$R$2:$BH$2,0))*($BX464-(BY464+BX464+CH464)*0.01)</f>
        <v>-2475.5273678493763</v>
      </c>
      <c r="CB464" s="5">
        <f>INDEX('Team forecast'!$R$3:$BH$26,MATCH($B464,'Team forecast'!$B$3:$B$26,0),MATCH(CB$1,'Team forecast'!$R$2:$BH$2,0))*($BX464-(BY464+BX464*2+CH464)*0.01)</f>
        <v>-1193.0760049666703</v>
      </c>
      <c r="CC464" s="5">
        <f>INDEX('Team forecast'!$R$3:$BH$26,MATCH($B464,'Team forecast'!$B$3:$B$26,0),MATCH(CC$1,'Team forecast'!$R$2:$BH$2,0))*($BX464-(BY464+BX464*3+CH464)*0.01)</f>
        <v>-540.68213639597616</v>
      </c>
      <c r="CD464" s="5">
        <f>+AK464+BD464*Cockpit!$C$3+BW464*Cockpit!$C$3^2+BZ464*Cockpit!$C$3^3+CA464*Cockpit!$C$3^4+CB464*Cockpit!$C$3^5+CC464*Cockpit!$C$3^6</f>
        <v>-12745.488617362178</v>
      </c>
      <c r="CE464" s="5"/>
      <c r="CF464" s="5"/>
      <c r="CG464" s="5">
        <v>0</v>
      </c>
      <c r="CH464" s="5">
        <f t="shared" si="298"/>
        <v>2500000</v>
      </c>
      <c r="CI464" s="5">
        <f t="shared" si="299"/>
        <v>2500000</v>
      </c>
      <c r="CJ464" s="1">
        <f t="shared" si="300"/>
        <v>-6.0000000000000001E-3</v>
      </c>
      <c r="CK464" s="5">
        <f>RANK(BY464,$BY$2:$BY$623)+COUNTIF($BY$2:$BY464,$BY464)-1</f>
        <v>567</v>
      </c>
      <c r="CL464" s="5">
        <f>RANK(CJ464,$CJ$2:$CJ$623)+COUNTIF($CJ$2:$CJ464,$CJ464)-1</f>
        <v>555</v>
      </c>
    </row>
    <row r="465" spans="1:90">
      <c r="A465" t="str">
        <f>Players!P466</f>
        <v>Roland R. Varga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0.75096675144877167</v>
      </c>
      <c r="I465" s="16">
        <f>INDEX('Team forecast'!$B$2:$AO$26,MATCH('Master data'!$B465,'Team forecast'!$B$2:$B$26,0),MATCH('Master data'!I$1,'Team forecast'!$B$2:$AO$2,0))</f>
        <v>1.7625676631272518</v>
      </c>
      <c r="J465" s="16">
        <f>INDEX('Team forecast'!$B$2:$AO$26,MATCH('Master data'!$B465,'Team forecast'!$B$2:$B$26,0),MATCH('Master data'!J$1,'Team forecast'!$B$2:$AO$2,0))</f>
        <v>0.1716036772216547</v>
      </c>
      <c r="K465" s="16">
        <f>INDEX('Team forecast'!$B$2:$AO$26,MATCH('Master data'!$B465,'Team forecast'!$B$2:$B$26,0),MATCH('Master data'!K$1,'Team forecast'!$B$2:$AO$2,0))</f>
        <v>2.4652948911197052</v>
      </c>
      <c r="L465" s="16">
        <f>INDEX('Team forecast'!$B$2:$AO$26,MATCH('Master data'!$B465,'Team forecast'!$B$2:$B$26,0),MATCH('Master data'!L$1,'Team forecast'!$B$2:$AO$2,0))</f>
        <v>4.8611455183966212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0.13440860215053765</v>
      </c>
      <c r="R465" s="2">
        <f>Players!BR466</f>
        <v>0</v>
      </c>
      <c r="S465" s="2">
        <f t="shared" si="259"/>
        <v>0.75096675144877167</v>
      </c>
      <c r="T465" s="2">
        <f t="shared" si="260"/>
        <v>1.7625676631272518</v>
      </c>
      <c r="U465" s="16">
        <f>INDEX('Team forecast'!$B$2:$AO$26,MATCH('Master data'!$B465,'Team forecast'!$B$2:$B$26,0),MATCH('Master data'!U$1,'Team forecast'!$B$2:$AO$2,0))</f>
        <v>0.1348314606741573</v>
      </c>
      <c r="V465" s="16">
        <f>INDEX('Team forecast'!$B$2:$AO$26,MATCH('Master data'!$B465,'Team forecast'!$B$2:$B$26,0),MATCH('Master data'!V$1,'Team forecast'!$B$2:$AO$2,0))</f>
        <v>0.2359550561797753</v>
      </c>
      <c r="W465" s="16">
        <f>INDEX('Team forecast'!$B$2:$AO$26,MATCH('Master data'!$B465,'Team forecast'!$B$2:$B$26,0),MATCH('Master data'!W$1,'Team forecast'!$B$2:$AO$2,0))</f>
        <v>0.6292134831460674</v>
      </c>
      <c r="X465" s="5">
        <f t="shared" si="261"/>
        <v>-5000</v>
      </c>
      <c r="Y465" s="5">
        <f t="shared" si="262"/>
        <v>0</v>
      </c>
      <c r="Z465" s="5">
        <f t="shared" si="263"/>
        <v>0</v>
      </c>
      <c r="AA465" s="5">
        <f t="shared" si="264"/>
        <v>0</v>
      </c>
      <c r="AB465" s="5">
        <f t="shared" si="265"/>
        <v>0</v>
      </c>
      <c r="AC465" s="5">
        <f t="shared" si="266"/>
        <v>0</v>
      </c>
      <c r="AD465" s="5">
        <f t="shared" si="267"/>
        <v>0</v>
      </c>
      <c r="AE465" s="5">
        <f t="shared" si="268"/>
        <v>0</v>
      </c>
      <c r="AF465" s="5">
        <f t="shared" si="269"/>
        <v>0</v>
      </c>
      <c r="AG465" s="5">
        <f t="shared" si="270"/>
        <v>0</v>
      </c>
      <c r="AH465" s="5">
        <f t="shared" si="271"/>
        <v>0</v>
      </c>
      <c r="AI465" s="5">
        <f t="shared" si="272"/>
        <v>0</v>
      </c>
      <c r="AJ465" s="5">
        <f t="shared" si="273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0.80291922538135296</v>
      </c>
      <c r="AM465" s="16">
        <f>INDEX('Team forecast'!$B$2:$AO$26,MATCH('Master data'!$B465,'Team forecast'!$B$2:$B$26,0),MATCH('Master data'!AM$1,'Team forecast'!$B$2:$AO$2,0))</f>
        <v>2.140423422331811</v>
      </c>
      <c r="AN465" s="16">
        <f>INDEX('Team forecast'!$B$2:$AO$26,MATCH('Master data'!$B465,'Team forecast'!$B$2:$B$26,0),MATCH('Master data'!AN$1,'Team forecast'!$B$2:$AO$2,0))</f>
        <v>0.1176050358792704</v>
      </c>
      <c r="AO465" s="16">
        <f>INDEX('Team forecast'!$B$2:$AO$26,MATCH('Master data'!$B465,'Team forecast'!$B$2:$B$26,0),MATCH('Master data'!AO$1,'Team forecast'!$B$2:$AO$2,0))</f>
        <v>2.6358459419084821</v>
      </c>
      <c r="AP465" s="16">
        <f>INDEX('Team forecast'!$B$2:$AO$26,MATCH('Master data'!$B465,'Team forecast'!$B$2:$B$26,0),MATCH('Master data'!AP$1,'Team forecast'!$B$2:$AO$2,0))</f>
        <v>5.9032682515452688</v>
      </c>
      <c r="AQ465" s="5">
        <f t="shared" si="274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275"/>
        <v>0</v>
      </c>
      <c r="AV465" s="5">
        <f t="shared" si="276"/>
        <v>0</v>
      </c>
      <c r="AW465" s="5">
        <f t="shared" si="277"/>
        <v>0</v>
      </c>
      <c r="AX465" s="5">
        <f t="shared" si="278"/>
        <v>0</v>
      </c>
      <c r="AY465" s="5">
        <f t="shared" si="279"/>
        <v>0</v>
      </c>
      <c r="AZ465" s="5">
        <f t="shared" si="280"/>
        <v>0</v>
      </c>
      <c r="BA465" s="5">
        <f t="shared" si="281"/>
        <v>0</v>
      </c>
      <c r="BB465" s="5">
        <f t="shared" si="282"/>
        <v>0</v>
      </c>
      <c r="BC465" s="5">
        <f t="shared" si="283"/>
        <v>0</v>
      </c>
      <c r="BD465" s="5">
        <f t="shared" si="284"/>
        <v>-5000</v>
      </c>
      <c r="BE465" s="16">
        <f>INDEX('Team forecast'!$B$2:$AO$26,MATCH('Master data'!$B465,'Team forecast'!$B$2:$B$26,0),MATCH('Master data'!BE$1,'Team forecast'!$B$2:$AO$2,0))</f>
        <v>0.68661022841383224</v>
      </c>
      <c r="BF465" s="16">
        <f>INDEX('Team forecast'!$B$2:$AO$26,MATCH('Master data'!$B465,'Team forecast'!$B$2:$B$26,0),MATCH('Master data'!BF$1,'Team forecast'!$B$2:$AO$2,0))</f>
        <v>2.4374022591536644</v>
      </c>
      <c r="BG465" s="16">
        <f>INDEX('Team forecast'!$B$2:$AO$26,MATCH('Master data'!$B465,'Team forecast'!$B$2:$B$26,0),MATCH('Master data'!BG$1,'Team forecast'!$B$2:$AO$2,0))</f>
        <v>8.7387567112784156E-2</v>
      </c>
      <c r="BH465" s="16">
        <f>INDEX('Team forecast'!$B$2:$AO$26,MATCH('Master data'!$B465,'Team forecast'!$B$2:$B$26,0),MATCH('Master data'!BH$1,'Team forecast'!$B$2:$AO$2,0))</f>
        <v>2.2540234771161161</v>
      </c>
      <c r="BI465" s="16">
        <f>INDEX('Team forecast'!$B$2:$AO$26,MATCH('Master data'!$B465,'Team forecast'!$B$2:$B$26,0),MATCH('Master data'!BI$1,'Team forecast'!$B$2:$AO$2,0))</f>
        <v>6.7223331713644443</v>
      </c>
      <c r="BJ465" s="5">
        <f t="shared" si="285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286"/>
        <v>0</v>
      </c>
      <c r="BO465" s="5">
        <f t="shared" si="287"/>
        <v>0</v>
      </c>
      <c r="BP465" s="5">
        <f t="shared" si="288"/>
        <v>0</v>
      </c>
      <c r="BQ465" s="5">
        <f t="shared" si="289"/>
        <v>0</v>
      </c>
      <c r="BR465" s="5">
        <f t="shared" si="290"/>
        <v>0</v>
      </c>
      <c r="BS465" s="5">
        <f t="shared" si="291"/>
        <v>0</v>
      </c>
      <c r="BT465" s="5">
        <f t="shared" si="292"/>
        <v>0</v>
      </c>
      <c r="BU465" s="5">
        <f t="shared" si="293"/>
        <v>0</v>
      </c>
      <c r="BV465" s="5">
        <f t="shared" si="294"/>
        <v>0</v>
      </c>
      <c r="BW465" s="5">
        <f t="shared" si="295"/>
        <v>-5000</v>
      </c>
      <c r="BX465" s="5">
        <f t="shared" si="296"/>
        <v>-5000</v>
      </c>
      <c r="BY465" s="5">
        <f t="shared" si="297"/>
        <v>-15000</v>
      </c>
      <c r="BZ465" s="5">
        <f>INDEX('Team forecast'!$R$3:$BH$26,MATCH($B465,'Team forecast'!$B$3:$B$26,0),MATCH(BZ$1,'Team forecast'!$R$2:$BH$2,0))*($BX465-(BY465+CH465)*0.01)</f>
        <v>-5050.2143883359968</v>
      </c>
      <c r="CA465" s="5">
        <f>INDEX('Team forecast'!$R$3:$BH$26,MATCH($B465,'Team forecast'!$B$3:$B$26,0),MATCH(CA$1,'Team forecast'!$R$2:$BH$2,0))*($BX465-(BY465+BX465+CH465)*0.01)</f>
        <v>-2475.5273678493763</v>
      </c>
      <c r="CB465" s="5">
        <f>INDEX('Team forecast'!$R$3:$BH$26,MATCH($B465,'Team forecast'!$B$3:$B$26,0),MATCH(CB$1,'Team forecast'!$R$2:$BH$2,0))*($BX465-(BY465+BX465*2+CH465)*0.01)</f>
        <v>-1193.0760049666703</v>
      </c>
      <c r="CC465" s="5">
        <f>INDEX('Team forecast'!$R$3:$BH$26,MATCH($B465,'Team forecast'!$B$3:$B$26,0),MATCH(CC$1,'Team forecast'!$R$2:$BH$2,0))*($BX465-(BY465+BX465*3+CH465)*0.01)</f>
        <v>-540.68213639597616</v>
      </c>
      <c r="CD465" s="5">
        <f>+AK465+BD465*Cockpit!$C$3+BW465*Cockpit!$C$3^2+BZ465*Cockpit!$C$3^3+CA465*Cockpit!$C$3^4+CB465*Cockpit!$C$3^5+CC465*Cockpit!$C$3^6</f>
        <v>-12745.488617362178</v>
      </c>
      <c r="CE465" s="5"/>
      <c r="CF465" s="5"/>
      <c r="CG465" s="5">
        <v>0</v>
      </c>
      <c r="CH465" s="5">
        <f t="shared" si="298"/>
        <v>2500000</v>
      </c>
      <c r="CI465" s="5">
        <f t="shared" si="299"/>
        <v>2500000</v>
      </c>
      <c r="CJ465" s="1">
        <f t="shared" si="300"/>
        <v>-6.0000000000000001E-3</v>
      </c>
      <c r="CK465" s="5">
        <f>RANK(BY465,$BY$2:$BY$623)+COUNTIF($BY$2:$BY465,$BY465)-1</f>
        <v>568</v>
      </c>
      <c r="CL465" s="5">
        <f>RANK(CJ465,$CJ$2:$CJ$623)+COUNTIF($CJ$2:$CJ465,$CJ465)-1</f>
        <v>556</v>
      </c>
    </row>
    <row r="466" spans="1:90">
      <c r="A466" t="str">
        <f>Players!P467</f>
        <v>Szabolcs Schön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0.75096675144877167</v>
      </c>
      <c r="I466" s="16">
        <f>INDEX('Team forecast'!$B$2:$AO$26,MATCH('Master data'!$B466,'Team forecast'!$B$2:$B$26,0),MATCH('Master data'!I$1,'Team forecast'!$B$2:$AO$2,0))</f>
        <v>1.7625676631272518</v>
      </c>
      <c r="J466" s="16">
        <f>INDEX('Team forecast'!$B$2:$AO$26,MATCH('Master data'!$B466,'Team forecast'!$B$2:$B$26,0),MATCH('Master data'!J$1,'Team forecast'!$B$2:$AO$2,0))</f>
        <v>0.1716036772216547</v>
      </c>
      <c r="K466" s="16">
        <f>INDEX('Team forecast'!$B$2:$AO$26,MATCH('Master data'!$B466,'Team forecast'!$B$2:$B$26,0),MATCH('Master data'!K$1,'Team forecast'!$B$2:$AO$2,0))</f>
        <v>2.4652948911197052</v>
      </c>
      <c r="L466" s="16">
        <f>INDEX('Team forecast'!$B$2:$AO$26,MATCH('Master data'!$B466,'Team forecast'!$B$2:$B$26,0),MATCH('Master data'!L$1,'Team forecast'!$B$2:$AO$2,0))</f>
        <v>4.8611455183966212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6.1475409836065573E-2</v>
      </c>
      <c r="R466" s="2">
        <f>Players!BR467</f>
        <v>0</v>
      </c>
      <c r="S466" s="2">
        <f t="shared" si="259"/>
        <v>0.75096675144877167</v>
      </c>
      <c r="T466" s="2">
        <f t="shared" si="260"/>
        <v>1.7625676631272518</v>
      </c>
      <c r="U466" s="16">
        <f>INDEX('Team forecast'!$B$2:$AO$26,MATCH('Master data'!$B466,'Team forecast'!$B$2:$B$26,0),MATCH('Master data'!U$1,'Team forecast'!$B$2:$AO$2,0))</f>
        <v>0.1348314606741573</v>
      </c>
      <c r="V466" s="16">
        <f>INDEX('Team forecast'!$B$2:$AO$26,MATCH('Master data'!$B466,'Team forecast'!$B$2:$B$26,0),MATCH('Master data'!V$1,'Team forecast'!$B$2:$AO$2,0))</f>
        <v>0.2359550561797753</v>
      </c>
      <c r="W466" s="16">
        <f>INDEX('Team forecast'!$B$2:$AO$26,MATCH('Master data'!$B466,'Team forecast'!$B$2:$B$26,0),MATCH('Master data'!W$1,'Team forecast'!$B$2:$AO$2,0))</f>
        <v>0.6292134831460674</v>
      </c>
      <c r="X466" s="5">
        <f t="shared" si="261"/>
        <v>-5000</v>
      </c>
      <c r="Y466" s="5">
        <f t="shared" si="262"/>
        <v>0</v>
      </c>
      <c r="Z466" s="5">
        <f t="shared" si="263"/>
        <v>0</v>
      </c>
      <c r="AA466" s="5">
        <f t="shared" si="264"/>
        <v>0</v>
      </c>
      <c r="AB466" s="5">
        <f t="shared" si="265"/>
        <v>0</v>
      </c>
      <c r="AC466" s="5">
        <f t="shared" si="266"/>
        <v>0</v>
      </c>
      <c r="AD466" s="5">
        <f t="shared" si="267"/>
        <v>0</v>
      </c>
      <c r="AE466" s="5">
        <f t="shared" si="268"/>
        <v>0</v>
      </c>
      <c r="AF466" s="5">
        <f t="shared" si="269"/>
        <v>0</v>
      </c>
      <c r="AG466" s="5">
        <f t="shared" si="270"/>
        <v>0</v>
      </c>
      <c r="AH466" s="5">
        <f t="shared" si="271"/>
        <v>0</v>
      </c>
      <c r="AI466" s="5">
        <f t="shared" si="272"/>
        <v>0</v>
      </c>
      <c r="AJ466" s="5">
        <f t="shared" si="273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0.80291922538135296</v>
      </c>
      <c r="AM466" s="16">
        <f>INDEX('Team forecast'!$B$2:$AO$26,MATCH('Master data'!$B466,'Team forecast'!$B$2:$B$26,0),MATCH('Master data'!AM$1,'Team forecast'!$B$2:$AO$2,0))</f>
        <v>2.140423422331811</v>
      </c>
      <c r="AN466" s="16">
        <f>INDEX('Team forecast'!$B$2:$AO$26,MATCH('Master data'!$B466,'Team forecast'!$B$2:$B$26,0),MATCH('Master data'!AN$1,'Team forecast'!$B$2:$AO$2,0))</f>
        <v>0.1176050358792704</v>
      </c>
      <c r="AO466" s="16">
        <f>INDEX('Team forecast'!$B$2:$AO$26,MATCH('Master data'!$B466,'Team forecast'!$B$2:$B$26,0),MATCH('Master data'!AO$1,'Team forecast'!$B$2:$AO$2,0))</f>
        <v>2.6358459419084821</v>
      </c>
      <c r="AP466" s="16">
        <f>INDEX('Team forecast'!$B$2:$AO$26,MATCH('Master data'!$B466,'Team forecast'!$B$2:$B$26,0),MATCH('Master data'!AP$1,'Team forecast'!$B$2:$AO$2,0))</f>
        <v>5.9032682515452688</v>
      </c>
      <c r="AQ466" s="5">
        <f t="shared" si="274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275"/>
        <v>0</v>
      </c>
      <c r="AV466" s="5">
        <f t="shared" si="276"/>
        <v>0</v>
      </c>
      <c r="AW466" s="5">
        <f t="shared" si="277"/>
        <v>0</v>
      </c>
      <c r="AX466" s="5">
        <f t="shared" si="278"/>
        <v>0</v>
      </c>
      <c r="AY466" s="5">
        <f t="shared" si="279"/>
        <v>0</v>
      </c>
      <c r="AZ466" s="5">
        <f t="shared" si="280"/>
        <v>0</v>
      </c>
      <c r="BA466" s="5">
        <f t="shared" si="281"/>
        <v>0</v>
      </c>
      <c r="BB466" s="5">
        <f t="shared" si="282"/>
        <v>0</v>
      </c>
      <c r="BC466" s="5">
        <f t="shared" si="283"/>
        <v>0</v>
      </c>
      <c r="BD466" s="5">
        <f t="shared" si="284"/>
        <v>-5000</v>
      </c>
      <c r="BE466" s="16">
        <f>INDEX('Team forecast'!$B$2:$AO$26,MATCH('Master data'!$B466,'Team forecast'!$B$2:$B$26,0),MATCH('Master data'!BE$1,'Team forecast'!$B$2:$AO$2,0))</f>
        <v>0.68661022841383224</v>
      </c>
      <c r="BF466" s="16">
        <f>INDEX('Team forecast'!$B$2:$AO$26,MATCH('Master data'!$B466,'Team forecast'!$B$2:$B$26,0),MATCH('Master data'!BF$1,'Team forecast'!$B$2:$AO$2,0))</f>
        <v>2.4374022591536644</v>
      </c>
      <c r="BG466" s="16">
        <f>INDEX('Team forecast'!$B$2:$AO$26,MATCH('Master data'!$B466,'Team forecast'!$B$2:$B$26,0),MATCH('Master data'!BG$1,'Team forecast'!$B$2:$AO$2,0))</f>
        <v>8.7387567112784156E-2</v>
      </c>
      <c r="BH466" s="16">
        <f>INDEX('Team forecast'!$B$2:$AO$26,MATCH('Master data'!$B466,'Team forecast'!$B$2:$B$26,0),MATCH('Master data'!BH$1,'Team forecast'!$B$2:$AO$2,0))</f>
        <v>2.2540234771161161</v>
      </c>
      <c r="BI466" s="16">
        <f>INDEX('Team forecast'!$B$2:$AO$26,MATCH('Master data'!$B466,'Team forecast'!$B$2:$B$26,0),MATCH('Master data'!BI$1,'Team forecast'!$B$2:$AO$2,0))</f>
        <v>6.7223331713644443</v>
      </c>
      <c r="BJ466" s="5">
        <f t="shared" si="285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286"/>
        <v>0</v>
      </c>
      <c r="BO466" s="5">
        <f t="shared" si="287"/>
        <v>0</v>
      </c>
      <c r="BP466" s="5">
        <f t="shared" si="288"/>
        <v>0</v>
      </c>
      <c r="BQ466" s="5">
        <f t="shared" si="289"/>
        <v>0</v>
      </c>
      <c r="BR466" s="5">
        <f t="shared" si="290"/>
        <v>0</v>
      </c>
      <c r="BS466" s="5">
        <f t="shared" si="291"/>
        <v>0</v>
      </c>
      <c r="BT466" s="5">
        <f t="shared" si="292"/>
        <v>0</v>
      </c>
      <c r="BU466" s="5">
        <f t="shared" si="293"/>
        <v>0</v>
      </c>
      <c r="BV466" s="5">
        <f t="shared" si="294"/>
        <v>0</v>
      </c>
      <c r="BW466" s="5">
        <f t="shared" si="295"/>
        <v>-5000</v>
      </c>
      <c r="BX466" s="5">
        <f t="shared" si="296"/>
        <v>-5000</v>
      </c>
      <c r="BY466" s="5">
        <f t="shared" si="297"/>
        <v>-15000</v>
      </c>
      <c r="BZ466" s="5">
        <f>INDEX('Team forecast'!$R$3:$BH$26,MATCH($B466,'Team forecast'!$B$3:$B$26,0),MATCH(BZ$1,'Team forecast'!$R$2:$BH$2,0))*($BX466-(BY466+CH466)*0.01)</f>
        <v>-5050.2143883359968</v>
      </c>
      <c r="CA466" s="5">
        <f>INDEX('Team forecast'!$R$3:$BH$26,MATCH($B466,'Team forecast'!$B$3:$B$26,0),MATCH(CA$1,'Team forecast'!$R$2:$BH$2,0))*($BX466-(BY466+BX466+CH466)*0.01)</f>
        <v>-2475.5273678493763</v>
      </c>
      <c r="CB466" s="5">
        <f>INDEX('Team forecast'!$R$3:$BH$26,MATCH($B466,'Team forecast'!$B$3:$B$26,0),MATCH(CB$1,'Team forecast'!$R$2:$BH$2,0))*($BX466-(BY466+BX466*2+CH466)*0.01)</f>
        <v>-1193.0760049666703</v>
      </c>
      <c r="CC466" s="5">
        <f>INDEX('Team forecast'!$R$3:$BH$26,MATCH($B466,'Team forecast'!$B$3:$B$26,0),MATCH(CC$1,'Team forecast'!$R$2:$BH$2,0))*($BX466-(BY466+BX466*3+CH466)*0.01)</f>
        <v>-540.68213639597616</v>
      </c>
      <c r="CD466" s="5">
        <f>+AK466+BD466*Cockpit!$C$3+BW466*Cockpit!$C$3^2+BZ466*Cockpit!$C$3^3+CA466*Cockpit!$C$3^4+CB466*Cockpit!$C$3^5+CC466*Cockpit!$C$3^6</f>
        <v>-12745.488617362178</v>
      </c>
      <c r="CE466" s="5"/>
      <c r="CF466" s="5"/>
      <c r="CG466" s="5">
        <v>0</v>
      </c>
      <c r="CH466" s="5">
        <f t="shared" si="298"/>
        <v>2500000</v>
      </c>
      <c r="CI466" s="5">
        <f t="shared" si="299"/>
        <v>2500000</v>
      </c>
      <c r="CJ466" s="1">
        <f t="shared" si="300"/>
        <v>-6.0000000000000001E-3</v>
      </c>
      <c r="CK466" s="5">
        <f>RANK(BY466,$BY$2:$BY$623)+COUNTIF($BY$2:$BY466,$BY466)-1</f>
        <v>569</v>
      </c>
      <c r="CL466" s="5">
        <f>RANK(CJ466,$CJ$2:$CJ$623)+COUNTIF($CJ$2:$CJ466,$CJ466)-1</f>
        <v>557</v>
      </c>
    </row>
    <row r="467" spans="1:90">
      <c r="A467" t="str">
        <f>Players!P468</f>
        <v>János Hahn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2500000</v>
      </c>
      <c r="H467" s="16">
        <f>INDEX('Team forecast'!$B$2:$AO$26,MATCH('Master data'!$B467,'Team forecast'!$B$2:$B$26,0),MATCH('Master data'!H$1,'Team forecast'!$B$2:$AO$2,0))</f>
        <v>0.75096675144877167</v>
      </c>
      <c r="I467" s="16">
        <f>INDEX('Team forecast'!$B$2:$AO$26,MATCH('Master data'!$B467,'Team forecast'!$B$2:$B$26,0),MATCH('Master data'!I$1,'Team forecast'!$B$2:$AO$2,0))</f>
        <v>1.7625676631272518</v>
      </c>
      <c r="J467" s="16">
        <f>INDEX('Team forecast'!$B$2:$AO$26,MATCH('Master data'!$B467,'Team forecast'!$B$2:$B$26,0),MATCH('Master data'!J$1,'Team forecast'!$B$2:$AO$2,0))</f>
        <v>0.1716036772216547</v>
      </c>
      <c r="K467" s="16">
        <f>INDEX('Team forecast'!$B$2:$AO$26,MATCH('Master data'!$B467,'Team forecast'!$B$2:$B$26,0),MATCH('Master data'!K$1,'Team forecast'!$B$2:$AO$2,0))</f>
        <v>2.4652948911197052</v>
      </c>
      <c r="L467" s="16">
        <f>INDEX('Team forecast'!$B$2:$AO$26,MATCH('Master data'!$B467,'Team forecast'!$B$2:$B$26,0),MATCH('Master data'!L$1,'Team forecast'!$B$2:$AO$2,0))</f>
        <v>4.8611455183966212</v>
      </c>
      <c r="M467">
        <f>IF(Players!BC468=1,95,0)</f>
        <v>0</v>
      </c>
      <c r="N467" s="2">
        <f>Players!BN468</f>
        <v>0</v>
      </c>
      <c r="O467" s="2">
        <f>Players!BO468</f>
        <v>0</v>
      </c>
      <c r="P467" s="2">
        <f>Players!BP468</f>
        <v>0</v>
      </c>
      <c r="Q467" s="2">
        <f>Players!BQ468</f>
        <v>2.4671052631578948E-2</v>
      </c>
      <c r="R467" s="2">
        <f>Players!BR468</f>
        <v>0</v>
      </c>
      <c r="S467" s="2">
        <f t="shared" si="259"/>
        <v>0.75096675144877167</v>
      </c>
      <c r="T467" s="2">
        <f t="shared" si="260"/>
        <v>1.7625676631272518</v>
      </c>
      <c r="U467" s="16">
        <f>INDEX('Team forecast'!$B$2:$AO$26,MATCH('Master data'!$B467,'Team forecast'!$B$2:$B$26,0),MATCH('Master data'!U$1,'Team forecast'!$B$2:$AO$2,0))</f>
        <v>0.1348314606741573</v>
      </c>
      <c r="V467" s="16">
        <f>INDEX('Team forecast'!$B$2:$AO$26,MATCH('Master data'!$B467,'Team forecast'!$B$2:$B$26,0),MATCH('Master data'!V$1,'Team forecast'!$B$2:$AO$2,0))</f>
        <v>0.2359550561797753</v>
      </c>
      <c r="W467" s="16">
        <f>INDEX('Team forecast'!$B$2:$AO$26,MATCH('Master data'!$B467,'Team forecast'!$B$2:$B$26,0),MATCH('Master data'!W$1,'Team forecast'!$B$2:$AO$2,0))</f>
        <v>0.6292134831460674</v>
      </c>
      <c r="X467" s="5">
        <f t="shared" si="261"/>
        <v>-5000</v>
      </c>
      <c r="Y467" s="5">
        <f t="shared" si="262"/>
        <v>0</v>
      </c>
      <c r="Z467" s="5">
        <f t="shared" si="263"/>
        <v>0</v>
      </c>
      <c r="AA467" s="5">
        <f t="shared" si="264"/>
        <v>0</v>
      </c>
      <c r="AB467" s="5">
        <f t="shared" si="265"/>
        <v>0</v>
      </c>
      <c r="AC467" s="5">
        <f t="shared" si="266"/>
        <v>0</v>
      </c>
      <c r="AD467" s="5">
        <f t="shared" si="267"/>
        <v>0</v>
      </c>
      <c r="AE467" s="5">
        <f t="shared" si="268"/>
        <v>0</v>
      </c>
      <c r="AF467" s="5">
        <f t="shared" si="269"/>
        <v>0</v>
      </c>
      <c r="AG467" s="5">
        <f t="shared" si="270"/>
        <v>0</v>
      </c>
      <c r="AH467" s="5">
        <f t="shared" si="271"/>
        <v>0</v>
      </c>
      <c r="AI467" s="5">
        <f t="shared" si="272"/>
        <v>0</v>
      </c>
      <c r="AJ467" s="5">
        <f t="shared" si="273"/>
        <v>0</v>
      </c>
      <c r="AK467" s="5">
        <f>IFERROR(SUM(X467:AJ467),-5000)*((Cockpit!$C$3)^0)</f>
        <v>-5000</v>
      </c>
      <c r="AL467" s="16">
        <f>INDEX('Team forecast'!$B$2:$AO$26,MATCH('Master data'!$B467,'Team forecast'!$B$2:$B$26,0),MATCH('Master data'!AL$1,'Team forecast'!$B$2:$AO$2,0))</f>
        <v>0.80291922538135296</v>
      </c>
      <c r="AM467" s="16">
        <f>INDEX('Team forecast'!$B$2:$AO$26,MATCH('Master data'!$B467,'Team forecast'!$B$2:$B$26,0),MATCH('Master data'!AM$1,'Team forecast'!$B$2:$AO$2,0))</f>
        <v>2.140423422331811</v>
      </c>
      <c r="AN467" s="16">
        <f>INDEX('Team forecast'!$B$2:$AO$26,MATCH('Master data'!$B467,'Team forecast'!$B$2:$B$26,0),MATCH('Master data'!AN$1,'Team forecast'!$B$2:$AO$2,0))</f>
        <v>0.1176050358792704</v>
      </c>
      <c r="AO467" s="16">
        <f>INDEX('Team forecast'!$B$2:$AO$26,MATCH('Master data'!$B467,'Team forecast'!$B$2:$B$26,0),MATCH('Master data'!AO$1,'Team forecast'!$B$2:$AO$2,0))</f>
        <v>2.6358459419084821</v>
      </c>
      <c r="AP467" s="16">
        <f>INDEX('Team forecast'!$B$2:$AO$26,MATCH('Master data'!$B467,'Team forecast'!$B$2:$B$26,0),MATCH('Master data'!AP$1,'Team forecast'!$B$2:$AO$2,0))</f>
        <v>5.9032682515452688</v>
      </c>
      <c r="AQ467" s="5">
        <f t="shared" si="274"/>
        <v>-5000</v>
      </c>
      <c r="AR467" s="5">
        <f>INDEX('Team forecast'!$B$2:$AO$26,MATCH('Master data'!$B467,'Team forecast'!$B$2:$B$26,0),MATCH('Master data'!AR$1,'Team forecast'!$B$2:$AO$2,0))*IF(X467&gt;0,25000,0)</f>
        <v>0</v>
      </c>
      <c r="AS467" s="16">
        <f>INDEX('Team forecast'!$B$2:$AO$26,MATCH('Master data'!$B467,'Team forecast'!$B$2:$B$26,0),MATCH('Master data'!AS$1,'Team forecast'!$B$2:$AO$2,0))*IF(X467&gt;0,5000,0)</f>
        <v>0</v>
      </c>
      <c r="AT467" s="16">
        <f>INDEX('Team forecast'!$B$2:$AO$26,MATCH('Master data'!$B467,'Team forecast'!$B$2:$B$26,0),MATCH('Master data'!AT$1,'Team forecast'!$B$2:$AO$2,0))*IF(X467&gt;0,-15000,0)</f>
        <v>0</v>
      </c>
      <c r="AU467" s="5">
        <f t="shared" si="275"/>
        <v>0</v>
      </c>
      <c r="AV467" s="5">
        <f t="shared" si="276"/>
        <v>0</v>
      </c>
      <c r="AW467" s="5">
        <f t="shared" si="277"/>
        <v>0</v>
      </c>
      <c r="AX467" s="5">
        <f t="shared" si="278"/>
        <v>0</v>
      </c>
      <c r="AY467" s="5">
        <f t="shared" si="279"/>
        <v>0</v>
      </c>
      <c r="AZ467" s="5">
        <f t="shared" si="280"/>
        <v>0</v>
      </c>
      <c r="BA467" s="5">
        <f t="shared" si="281"/>
        <v>0</v>
      </c>
      <c r="BB467" s="5">
        <f t="shared" si="282"/>
        <v>0</v>
      </c>
      <c r="BC467" s="5">
        <f t="shared" si="283"/>
        <v>0</v>
      </c>
      <c r="BD467" s="5">
        <f t="shared" si="284"/>
        <v>-5000</v>
      </c>
      <c r="BE467" s="16">
        <f>INDEX('Team forecast'!$B$2:$AO$26,MATCH('Master data'!$B467,'Team forecast'!$B$2:$B$26,0),MATCH('Master data'!BE$1,'Team forecast'!$B$2:$AO$2,0))</f>
        <v>0.68661022841383224</v>
      </c>
      <c r="BF467" s="16">
        <f>INDEX('Team forecast'!$B$2:$AO$26,MATCH('Master data'!$B467,'Team forecast'!$B$2:$B$26,0),MATCH('Master data'!BF$1,'Team forecast'!$B$2:$AO$2,0))</f>
        <v>2.4374022591536644</v>
      </c>
      <c r="BG467" s="16">
        <f>INDEX('Team forecast'!$B$2:$AO$26,MATCH('Master data'!$B467,'Team forecast'!$B$2:$B$26,0),MATCH('Master data'!BG$1,'Team forecast'!$B$2:$AO$2,0))</f>
        <v>8.7387567112784156E-2</v>
      </c>
      <c r="BH467" s="16">
        <f>INDEX('Team forecast'!$B$2:$AO$26,MATCH('Master data'!$B467,'Team forecast'!$B$2:$B$26,0),MATCH('Master data'!BH$1,'Team forecast'!$B$2:$AO$2,0))</f>
        <v>2.2540234771161161</v>
      </c>
      <c r="BI467" s="16">
        <f>INDEX('Team forecast'!$B$2:$AO$26,MATCH('Master data'!$B467,'Team forecast'!$B$2:$B$26,0),MATCH('Master data'!BI$1,'Team forecast'!$B$2:$AO$2,0))</f>
        <v>6.7223331713644443</v>
      </c>
      <c r="BJ467" s="5">
        <f t="shared" si="285"/>
        <v>-5000</v>
      </c>
      <c r="BK467" s="5">
        <f>INDEX('Team forecast'!$R$3:$BH$26,MATCH($B467,'Team forecast'!$B$3:$B$26,0),MATCH(BK$1,'Team forecast'!$R$2:$BH$2,0))*IF($X467&gt;0,25000,0)</f>
        <v>0</v>
      </c>
      <c r="BL467" s="5">
        <f>INDEX('Team forecast'!$R$3:$BH$26,MATCH($B467,'Team forecast'!$B$3:$B$26,0),MATCH(BL$1,'Team forecast'!$R$2:$BH$2,0))*IF($X467&gt;0,5000,0)</f>
        <v>0</v>
      </c>
      <c r="BM467" s="5">
        <f>INDEX('Team forecast'!$R$3:$BH$26,MATCH($B467,'Team forecast'!$B$3:$B$26,0),MATCH(BM$1,'Team forecast'!$R$2:$BH$2,0))*IF($X467&gt;0,-15000,0)</f>
        <v>0</v>
      </c>
      <c r="BN467" s="5">
        <f t="shared" si="286"/>
        <v>0</v>
      </c>
      <c r="BO467" s="5">
        <f t="shared" si="287"/>
        <v>0</v>
      </c>
      <c r="BP467" s="5">
        <f t="shared" si="288"/>
        <v>0</v>
      </c>
      <c r="BQ467" s="5">
        <f t="shared" si="289"/>
        <v>0</v>
      </c>
      <c r="BR467" s="5">
        <f t="shared" si="290"/>
        <v>0</v>
      </c>
      <c r="BS467" s="5">
        <f t="shared" si="291"/>
        <v>0</v>
      </c>
      <c r="BT467" s="5">
        <f t="shared" si="292"/>
        <v>0</v>
      </c>
      <c r="BU467" s="5">
        <f t="shared" si="293"/>
        <v>0</v>
      </c>
      <c r="BV467" s="5">
        <f t="shared" si="294"/>
        <v>0</v>
      </c>
      <c r="BW467" s="5">
        <f t="shared" si="295"/>
        <v>-5000</v>
      </c>
      <c r="BX467" s="5">
        <f t="shared" si="296"/>
        <v>-5000</v>
      </c>
      <c r="BY467" s="5">
        <f t="shared" si="297"/>
        <v>-15000</v>
      </c>
      <c r="BZ467" s="5">
        <f>INDEX('Team forecast'!$R$3:$BH$26,MATCH($B467,'Team forecast'!$B$3:$B$26,0),MATCH(BZ$1,'Team forecast'!$R$2:$BH$2,0))*($BX467-(BY467+CH467)*0.01)</f>
        <v>-5050.2143883359968</v>
      </c>
      <c r="CA467" s="5">
        <f>INDEX('Team forecast'!$R$3:$BH$26,MATCH($B467,'Team forecast'!$B$3:$B$26,0),MATCH(CA$1,'Team forecast'!$R$2:$BH$2,0))*($BX467-(BY467+BX467+CH467)*0.01)</f>
        <v>-2475.5273678493763</v>
      </c>
      <c r="CB467" s="5">
        <f>INDEX('Team forecast'!$R$3:$BH$26,MATCH($B467,'Team forecast'!$B$3:$B$26,0),MATCH(CB$1,'Team forecast'!$R$2:$BH$2,0))*($BX467-(BY467+BX467*2+CH467)*0.01)</f>
        <v>-1193.0760049666703</v>
      </c>
      <c r="CC467" s="5">
        <f>INDEX('Team forecast'!$R$3:$BH$26,MATCH($B467,'Team forecast'!$B$3:$B$26,0),MATCH(CC$1,'Team forecast'!$R$2:$BH$2,0))*($BX467-(BY467+BX467*3+CH467)*0.01)</f>
        <v>-540.68213639597616</v>
      </c>
      <c r="CD467" s="5">
        <f>+AK467+BD467*Cockpit!$C$3+BW467*Cockpit!$C$3^2+BZ467*Cockpit!$C$3^3+CA467*Cockpit!$C$3^4+CB467*Cockpit!$C$3^5+CC467*Cockpit!$C$3^6</f>
        <v>-12745.488617362178</v>
      </c>
      <c r="CE467" s="5"/>
      <c r="CF467" s="5"/>
      <c r="CG467" s="5">
        <v>0</v>
      </c>
      <c r="CH467" s="5">
        <f t="shared" si="298"/>
        <v>2500000</v>
      </c>
      <c r="CI467" s="5">
        <f t="shared" si="299"/>
        <v>2500000</v>
      </c>
      <c r="CJ467" s="1">
        <f t="shared" si="300"/>
        <v>-6.0000000000000001E-3</v>
      </c>
      <c r="CK467" s="5">
        <f>RANK(BY467,$BY$2:$BY$623)+COUNTIF($BY$2:$BY467,$BY467)-1</f>
        <v>570</v>
      </c>
      <c r="CL467" s="5">
        <f>RANK(CJ467,$CJ$2:$CJ$623)+COUNTIF($CJ$2:$CJ467,$CJ467)-1</f>
        <v>558</v>
      </c>
    </row>
    <row r="468" spans="1:90">
      <c r="A468" t="str">
        <f>Players!P469</f>
        <v>Ádám Ad. Szalai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0.75096675144877167</v>
      </c>
      <c r="I468" s="16">
        <f>INDEX('Team forecast'!$B$2:$AO$26,MATCH('Master data'!$B468,'Team forecast'!$B$2:$B$26,0),MATCH('Master data'!I$1,'Team forecast'!$B$2:$AO$2,0))</f>
        <v>1.7625676631272518</v>
      </c>
      <c r="J468" s="16">
        <f>INDEX('Team forecast'!$B$2:$AO$26,MATCH('Master data'!$B468,'Team forecast'!$B$2:$B$26,0),MATCH('Master data'!J$1,'Team forecast'!$B$2:$AO$2,0))</f>
        <v>0.1716036772216547</v>
      </c>
      <c r="K468" s="16">
        <f>INDEX('Team forecast'!$B$2:$AO$26,MATCH('Master data'!$B468,'Team forecast'!$B$2:$B$26,0),MATCH('Master data'!K$1,'Team forecast'!$B$2:$AO$2,0))</f>
        <v>2.4652948911197052</v>
      </c>
      <c r="L468" s="16">
        <f>INDEX('Team forecast'!$B$2:$AO$26,MATCH('Master data'!$B468,'Team forecast'!$B$2:$B$26,0),MATCH('Master data'!L$1,'Team forecast'!$B$2:$AO$2,0))</f>
        <v>4.8611455183966212</v>
      </c>
      <c r="M468">
        <f>IF(Players!BC469=1,95,0)</f>
        <v>95</v>
      </c>
      <c r="N468" s="2">
        <f>Players!BN469</f>
        <v>0.17707080808796674</v>
      </c>
      <c r="O468" s="2">
        <f>Players!BO469</f>
        <v>7.163038416540797E-2</v>
      </c>
      <c r="P468" s="2">
        <f>Players!BP469</f>
        <v>0.18104594256795825</v>
      </c>
      <c r="Q468" s="2">
        <f>Players!BQ469</f>
        <v>0.11147540983606558</v>
      </c>
      <c r="R468" s="2">
        <f>Players!BR469</f>
        <v>0</v>
      </c>
      <c r="S468" s="2">
        <f t="shared" si="259"/>
        <v>0.75096675144877167</v>
      </c>
      <c r="T468" s="2">
        <f t="shared" si="260"/>
        <v>1.7625676631272518</v>
      </c>
      <c r="U468" s="16">
        <f>INDEX('Team forecast'!$B$2:$AO$26,MATCH('Master data'!$B468,'Team forecast'!$B$2:$B$26,0),MATCH('Master data'!U$1,'Team forecast'!$B$2:$AO$2,0))</f>
        <v>0.1348314606741573</v>
      </c>
      <c r="V468" s="16">
        <f>INDEX('Team forecast'!$B$2:$AO$26,MATCH('Master data'!$B468,'Team forecast'!$B$2:$B$26,0),MATCH('Master data'!V$1,'Team forecast'!$B$2:$AO$2,0))</f>
        <v>0.2359550561797753</v>
      </c>
      <c r="W468" s="16">
        <f>INDEX('Team forecast'!$B$2:$AO$26,MATCH('Master data'!$B468,'Team forecast'!$B$2:$B$26,0),MATCH('Master data'!W$1,'Team forecast'!$B$2:$AO$2,0))</f>
        <v>0.6292134831460674</v>
      </c>
      <c r="X468" s="5">
        <f t="shared" si="261"/>
        <v>7000</v>
      </c>
      <c r="Y468" s="5">
        <f t="shared" si="262"/>
        <v>3370.7865168539324</v>
      </c>
      <c r="Z468" s="5">
        <f t="shared" si="263"/>
        <v>1179.7752808988764</v>
      </c>
      <c r="AA468" s="5">
        <f t="shared" si="264"/>
        <v>-9438.2022471910113</v>
      </c>
      <c r="AB468" s="5">
        <f t="shared" si="265"/>
        <v>13297.428952622926</v>
      </c>
      <c r="AC468" s="5">
        <f t="shared" si="266"/>
        <v>2689.601845086198</v>
      </c>
      <c r="AD468" s="5">
        <f t="shared" si="267"/>
        <v>4463.3163727073907</v>
      </c>
      <c r="AE468" s="5">
        <f t="shared" si="268"/>
        <v>0</v>
      </c>
      <c r="AF468" s="5">
        <f t="shared" si="269"/>
        <v>0</v>
      </c>
      <c r="AG468" s="5">
        <f t="shared" si="270"/>
        <v>-2229.5081967213114</v>
      </c>
      <c r="AH468" s="5">
        <f t="shared" si="271"/>
        <v>0</v>
      </c>
      <c r="AI468" s="5">
        <f t="shared" si="272"/>
        <v>7509.6675144877172</v>
      </c>
      <c r="AJ468" s="5">
        <f t="shared" si="273"/>
        <v>-14100.541305018014</v>
      </c>
      <c r="AK468" s="5">
        <f>IFERROR(SUM(X468:AJ468),-5000)*((Cockpit!$C$3)^0)</f>
        <v>13742.324733726702</v>
      </c>
      <c r="AL468" s="16">
        <f>INDEX('Team forecast'!$B$2:$AO$26,MATCH('Master data'!$B468,'Team forecast'!$B$2:$B$26,0),MATCH('Master data'!AL$1,'Team forecast'!$B$2:$AO$2,0))</f>
        <v>0.80291922538135296</v>
      </c>
      <c r="AM468" s="16">
        <f>INDEX('Team forecast'!$B$2:$AO$26,MATCH('Master data'!$B468,'Team forecast'!$B$2:$B$26,0),MATCH('Master data'!AM$1,'Team forecast'!$B$2:$AO$2,0))</f>
        <v>2.140423422331811</v>
      </c>
      <c r="AN468" s="16">
        <f>INDEX('Team forecast'!$B$2:$AO$26,MATCH('Master data'!$B468,'Team forecast'!$B$2:$B$26,0),MATCH('Master data'!AN$1,'Team forecast'!$B$2:$AO$2,0))</f>
        <v>0.1176050358792704</v>
      </c>
      <c r="AO468" s="16">
        <f>INDEX('Team forecast'!$B$2:$AO$26,MATCH('Master data'!$B468,'Team forecast'!$B$2:$B$26,0),MATCH('Master data'!AO$1,'Team forecast'!$B$2:$AO$2,0))</f>
        <v>2.6358459419084821</v>
      </c>
      <c r="AP468" s="16">
        <f>INDEX('Team forecast'!$B$2:$AO$26,MATCH('Master data'!$B468,'Team forecast'!$B$2:$B$26,0),MATCH('Master data'!AP$1,'Team forecast'!$B$2:$AO$2,0))</f>
        <v>5.9032682515452688</v>
      </c>
      <c r="AQ468" s="5">
        <f t="shared" si="274"/>
        <v>7000</v>
      </c>
      <c r="AR468" s="5">
        <f>INDEX('Team forecast'!$B$2:$AO$26,MATCH('Master data'!$B468,'Team forecast'!$B$2:$B$26,0),MATCH('Master data'!AR$1,'Team forecast'!$B$2:$AO$2,0))*IF(X468&gt;0,25000,0)</f>
        <v>2767.1773148063626</v>
      </c>
      <c r="AS468" s="16">
        <f>INDEX('Team forecast'!$B$2:$AO$26,MATCH('Master data'!$B468,'Team forecast'!$B$2:$B$26,0),MATCH('Master data'!AS$1,'Team forecast'!$B$2:$AO$2,0))*IF(X468&gt;0,5000,0)</f>
        <v>1086.42065477386</v>
      </c>
      <c r="AT468" s="16">
        <f>INDEX('Team forecast'!$B$2:$AO$26,MATCH('Master data'!$B468,'Team forecast'!$B$2:$B$26,0),MATCH('Master data'!AT$1,'Team forecast'!$B$2:$AO$2,0))*IF(X468&gt;0,-15000,0)</f>
        <v>-10080.431646794603</v>
      </c>
      <c r="AU468" s="5">
        <f t="shared" si="275"/>
        <v>14217.355606764046</v>
      </c>
      <c r="AV468" s="5">
        <f t="shared" si="276"/>
        <v>2875.6706283929047</v>
      </c>
      <c r="AW468" s="5">
        <f t="shared" si="277"/>
        <v>4772.0921301674889</v>
      </c>
      <c r="AX468" s="5">
        <f t="shared" si="278"/>
        <v>0</v>
      </c>
      <c r="AY468" s="5">
        <f t="shared" si="279"/>
        <v>0</v>
      </c>
      <c r="AZ468" s="5">
        <f t="shared" si="280"/>
        <v>-2229.5081967213114</v>
      </c>
      <c r="BA468" s="5">
        <f t="shared" si="281"/>
        <v>0</v>
      </c>
      <c r="BB468" s="5">
        <f t="shared" si="282"/>
        <v>8029.1922538135295</v>
      </c>
      <c r="BC468" s="5">
        <f t="shared" si="283"/>
        <v>-17123.38737865449</v>
      </c>
      <c r="BD468" s="5">
        <f t="shared" si="284"/>
        <v>11314.581366547787</v>
      </c>
      <c r="BE468" s="16">
        <f>INDEX('Team forecast'!$B$2:$AO$26,MATCH('Master data'!$B468,'Team forecast'!$B$2:$B$26,0),MATCH('Master data'!BE$1,'Team forecast'!$B$2:$AO$2,0))</f>
        <v>0.68661022841383224</v>
      </c>
      <c r="BF468" s="16">
        <f>INDEX('Team forecast'!$B$2:$AO$26,MATCH('Master data'!$B468,'Team forecast'!$B$2:$B$26,0),MATCH('Master data'!BF$1,'Team forecast'!$B$2:$AO$2,0))</f>
        <v>2.4374022591536644</v>
      </c>
      <c r="BG468" s="16">
        <f>INDEX('Team forecast'!$B$2:$AO$26,MATCH('Master data'!$B468,'Team forecast'!$B$2:$B$26,0),MATCH('Master data'!BG$1,'Team forecast'!$B$2:$AO$2,0))</f>
        <v>8.7387567112784156E-2</v>
      </c>
      <c r="BH468" s="16">
        <f>INDEX('Team forecast'!$B$2:$AO$26,MATCH('Master data'!$B468,'Team forecast'!$B$2:$B$26,0),MATCH('Master data'!BH$1,'Team forecast'!$B$2:$AO$2,0))</f>
        <v>2.2540234771161161</v>
      </c>
      <c r="BI468" s="16">
        <f>INDEX('Team forecast'!$B$2:$AO$26,MATCH('Master data'!$B468,'Team forecast'!$B$2:$B$26,0),MATCH('Master data'!BI$1,'Team forecast'!$B$2:$AO$2,0))</f>
        <v>6.7223331713644443</v>
      </c>
      <c r="BJ468" s="5">
        <f t="shared" si="285"/>
        <v>7000</v>
      </c>
      <c r="BK468" s="5">
        <f>INDEX('Team forecast'!$R$3:$BH$26,MATCH($B468,'Team forecast'!$B$3:$B$26,0),MATCH(BK$1,'Team forecast'!$R$2:$BH$2,0))*IF($X468&gt;0,25000,0)</f>
        <v>1922.5264764812514</v>
      </c>
      <c r="BL468" s="5">
        <f>INDEX('Team forecast'!$R$3:$BH$26,MATCH($B468,'Team forecast'!$B$3:$B$26,0),MATCH(BL$1,'Team forecast'!$R$2:$BH$2,0))*IF($X468&gt;0,5000,0)</f>
        <v>739.43326018509651</v>
      </c>
      <c r="BM468" s="5">
        <f>INDEX('Team forecast'!$R$3:$BH$26,MATCH($B468,'Team forecast'!$B$3:$B$26,0),MATCH(BM$1,'Team forecast'!$R$2:$BH$2,0))*IF($X468&gt;0,-15000,0)</f>
        <v>-11628.184333555957</v>
      </c>
      <c r="BN468" s="5">
        <f t="shared" si="286"/>
        <v>12157.862798670069</v>
      </c>
      <c r="BO468" s="5">
        <f t="shared" si="287"/>
        <v>2459.1077216590656</v>
      </c>
      <c r="BP468" s="5">
        <f t="shared" si="288"/>
        <v>4080.8180498479392</v>
      </c>
      <c r="BQ468" s="5">
        <f t="shared" si="289"/>
        <v>0</v>
      </c>
      <c r="BR468" s="5">
        <f t="shared" si="290"/>
        <v>0</v>
      </c>
      <c r="BS468" s="5">
        <f t="shared" si="291"/>
        <v>-2229.5081967213114</v>
      </c>
      <c r="BT468" s="5">
        <f t="shared" si="292"/>
        <v>0</v>
      </c>
      <c r="BU468" s="5">
        <f t="shared" si="293"/>
        <v>6866.1022841383219</v>
      </c>
      <c r="BV468" s="5">
        <f t="shared" si="294"/>
        <v>-19499.218073229316</v>
      </c>
      <c r="BW468" s="5">
        <f t="shared" si="295"/>
        <v>1868.939987475158</v>
      </c>
      <c r="BX468" s="5">
        <f t="shared" si="296"/>
        <v>8975.2820292498818</v>
      </c>
      <c r="BY468" s="5">
        <f t="shared" si="297"/>
        <v>26925.846087749647</v>
      </c>
      <c r="BZ468" s="5">
        <f>INDEX('Team forecast'!$R$3:$BH$26,MATCH($B468,'Team forecast'!$B$3:$B$26,0),MATCH(BZ$1,'Team forecast'!$R$2:$BH$2,0))*($BX468-(BY468+CH468)*0.01)</f>
        <v>-3602.6514626429939</v>
      </c>
      <c r="CA468" s="5">
        <f>INDEX('Team forecast'!$R$3:$BH$26,MATCH($B468,'Team forecast'!$B$3:$B$26,0),MATCH(CA$1,'Team forecast'!$R$2:$BH$2,0))*($BX468-(BY468+BX468+CH468)*0.01)</f>
        <v>-1776.3760734835409</v>
      </c>
      <c r="CB468" s="5">
        <f>INDEX('Team forecast'!$R$3:$BH$26,MATCH($B468,'Team forecast'!$B$3:$B$26,0),MATCH(CB$1,'Team forecast'!$R$2:$BH$2,0))*($BX468-(BY468+BX468*2+CH468)*0.01)</f>
        <v>-861.15953625004522</v>
      </c>
      <c r="CC468" s="5">
        <f>INDEX('Team forecast'!$R$3:$BH$26,MATCH($B468,'Team forecast'!$B$3:$B$26,0),MATCH(CC$1,'Team forecast'!$R$2:$BH$2,0))*($BX468-(BY468+BX468*3+CH468)*0.01)</f>
        <v>-392.55407101979534</v>
      </c>
      <c r="CD468" s="5">
        <f>+AK468+BD468*Cockpit!$C$3+BW468*Cockpit!$C$3^2+BZ468*Cockpit!$C$3^3+CA468*Cockpit!$C$3^4+CB468*Cockpit!$C$3^5+CC468*Cockpit!$C$3^6</f>
        <v>20549.810952583201</v>
      </c>
      <c r="CE468" s="5"/>
      <c r="CF468" s="5"/>
      <c r="CG468" s="5">
        <v>0</v>
      </c>
      <c r="CH468" s="5">
        <f t="shared" si="298"/>
        <v>3000000</v>
      </c>
      <c r="CI468" s="5">
        <f t="shared" si="299"/>
        <v>3000000</v>
      </c>
      <c r="CJ468" s="1">
        <f t="shared" si="300"/>
        <v>8.9752820292498831E-3</v>
      </c>
      <c r="CK468" s="5">
        <f>RANK(BY468,$BY$2:$BY$623)+COUNTIF($BY$2:$BY468,$BY468)-1</f>
        <v>362</v>
      </c>
      <c r="CL468" s="5">
        <f>RANK(CJ468,$CJ$2:$CJ$623)+COUNTIF($CJ$2:$CJ468,$CJ468)-1</f>
        <v>369</v>
      </c>
    </row>
    <row r="469" spans="1:90">
      <c r="A469" t="str">
        <f>Players!P470</f>
        <v>Nemanja Nikolić</v>
      </c>
      <c r="B469" t="str">
        <f>Players!G470</f>
        <v>Hungary</v>
      </c>
      <c r="C469" t="str">
        <f>Players!AB470</f>
        <v>Striker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3000000</v>
      </c>
      <c r="H469" s="16">
        <f>INDEX('Team forecast'!$B$2:$AO$26,MATCH('Master data'!$B469,'Team forecast'!$B$2:$B$26,0),MATCH('Master data'!H$1,'Team forecast'!$B$2:$AO$2,0))</f>
        <v>0.75096675144877167</v>
      </c>
      <c r="I469" s="16">
        <f>INDEX('Team forecast'!$B$2:$AO$26,MATCH('Master data'!$B469,'Team forecast'!$B$2:$B$26,0),MATCH('Master data'!I$1,'Team forecast'!$B$2:$AO$2,0))</f>
        <v>1.7625676631272518</v>
      </c>
      <c r="J469" s="16">
        <f>INDEX('Team forecast'!$B$2:$AO$26,MATCH('Master data'!$B469,'Team forecast'!$B$2:$B$26,0),MATCH('Master data'!J$1,'Team forecast'!$B$2:$AO$2,0))</f>
        <v>0.1716036772216547</v>
      </c>
      <c r="K469" s="16">
        <f>INDEX('Team forecast'!$B$2:$AO$26,MATCH('Master data'!$B469,'Team forecast'!$B$2:$B$26,0),MATCH('Master data'!K$1,'Team forecast'!$B$2:$AO$2,0))</f>
        <v>2.4652948911197052</v>
      </c>
      <c r="L469" s="16">
        <f>INDEX('Team forecast'!$B$2:$AO$26,MATCH('Master data'!$B469,'Team forecast'!$B$2:$B$26,0),MATCH('Master data'!L$1,'Team forecast'!$B$2:$AO$2,0))</f>
        <v>4.8611455183966212</v>
      </c>
      <c r="M469">
        <f>IF(Players!BC470=1,95,0)</f>
        <v>0</v>
      </c>
      <c r="N469" s="2">
        <f>Players!BN470</f>
        <v>0</v>
      </c>
      <c r="O469" s="2">
        <f>Players!BO470</f>
        <v>0</v>
      </c>
      <c r="P469" s="2">
        <f>Players!BP470</f>
        <v>0</v>
      </c>
      <c r="Q469" s="2">
        <f>Players!BQ470</f>
        <v>0.1347305389221557</v>
      </c>
      <c r="R469" s="2">
        <f>Players!BR470</f>
        <v>0</v>
      </c>
      <c r="S469" s="2">
        <f t="shared" si="259"/>
        <v>0.75096675144877167</v>
      </c>
      <c r="T469" s="2">
        <f t="shared" si="260"/>
        <v>1.7625676631272518</v>
      </c>
      <c r="U469" s="16">
        <f>INDEX('Team forecast'!$B$2:$AO$26,MATCH('Master data'!$B469,'Team forecast'!$B$2:$B$26,0),MATCH('Master data'!U$1,'Team forecast'!$B$2:$AO$2,0))</f>
        <v>0.1348314606741573</v>
      </c>
      <c r="V469" s="16">
        <f>INDEX('Team forecast'!$B$2:$AO$26,MATCH('Master data'!$B469,'Team forecast'!$B$2:$B$26,0),MATCH('Master data'!V$1,'Team forecast'!$B$2:$AO$2,0))</f>
        <v>0.2359550561797753</v>
      </c>
      <c r="W469" s="16">
        <f>INDEX('Team forecast'!$B$2:$AO$26,MATCH('Master data'!$B469,'Team forecast'!$B$2:$B$26,0),MATCH('Master data'!W$1,'Team forecast'!$B$2:$AO$2,0))</f>
        <v>0.6292134831460674</v>
      </c>
      <c r="X469" s="5">
        <f t="shared" si="261"/>
        <v>-5000</v>
      </c>
      <c r="Y469" s="5">
        <f t="shared" si="262"/>
        <v>0</v>
      </c>
      <c r="Z469" s="5">
        <f t="shared" si="263"/>
        <v>0</v>
      </c>
      <c r="AA469" s="5">
        <f t="shared" si="264"/>
        <v>0</v>
      </c>
      <c r="AB469" s="5">
        <f t="shared" si="265"/>
        <v>0</v>
      </c>
      <c r="AC469" s="5">
        <f t="shared" si="266"/>
        <v>0</v>
      </c>
      <c r="AD469" s="5">
        <f t="shared" si="267"/>
        <v>0</v>
      </c>
      <c r="AE469" s="5">
        <f t="shared" si="268"/>
        <v>0</v>
      </c>
      <c r="AF469" s="5">
        <f t="shared" si="269"/>
        <v>0</v>
      </c>
      <c r="AG469" s="5">
        <f t="shared" si="270"/>
        <v>0</v>
      </c>
      <c r="AH469" s="5">
        <f t="shared" si="271"/>
        <v>0</v>
      </c>
      <c r="AI469" s="5">
        <f t="shared" si="272"/>
        <v>0</v>
      </c>
      <c r="AJ469" s="5">
        <f t="shared" si="273"/>
        <v>0</v>
      </c>
      <c r="AK469" s="5">
        <f>IFERROR(SUM(X469:AJ469),-5000)*((Cockpit!$C$3)^0)</f>
        <v>-5000</v>
      </c>
      <c r="AL469" s="16">
        <f>INDEX('Team forecast'!$B$2:$AO$26,MATCH('Master data'!$B469,'Team forecast'!$B$2:$B$26,0),MATCH('Master data'!AL$1,'Team forecast'!$B$2:$AO$2,0))</f>
        <v>0.80291922538135296</v>
      </c>
      <c r="AM469" s="16">
        <f>INDEX('Team forecast'!$B$2:$AO$26,MATCH('Master data'!$B469,'Team forecast'!$B$2:$B$26,0),MATCH('Master data'!AM$1,'Team forecast'!$B$2:$AO$2,0))</f>
        <v>2.140423422331811</v>
      </c>
      <c r="AN469" s="16">
        <f>INDEX('Team forecast'!$B$2:$AO$26,MATCH('Master data'!$B469,'Team forecast'!$B$2:$B$26,0),MATCH('Master data'!AN$1,'Team forecast'!$B$2:$AO$2,0))</f>
        <v>0.1176050358792704</v>
      </c>
      <c r="AO469" s="16">
        <f>INDEX('Team forecast'!$B$2:$AO$26,MATCH('Master data'!$B469,'Team forecast'!$B$2:$B$26,0),MATCH('Master data'!AO$1,'Team forecast'!$B$2:$AO$2,0))</f>
        <v>2.6358459419084821</v>
      </c>
      <c r="AP469" s="16">
        <f>INDEX('Team forecast'!$B$2:$AO$26,MATCH('Master data'!$B469,'Team forecast'!$B$2:$B$26,0),MATCH('Master data'!AP$1,'Team forecast'!$B$2:$AO$2,0))</f>
        <v>5.9032682515452688</v>
      </c>
      <c r="AQ469" s="5">
        <f t="shared" si="274"/>
        <v>-5000</v>
      </c>
      <c r="AR469" s="5">
        <f>INDEX('Team forecast'!$B$2:$AO$26,MATCH('Master data'!$B469,'Team forecast'!$B$2:$B$26,0),MATCH('Master data'!AR$1,'Team forecast'!$B$2:$AO$2,0))*IF(X469&gt;0,25000,0)</f>
        <v>0</v>
      </c>
      <c r="AS469" s="16">
        <f>INDEX('Team forecast'!$B$2:$AO$26,MATCH('Master data'!$B469,'Team forecast'!$B$2:$B$26,0),MATCH('Master data'!AS$1,'Team forecast'!$B$2:$AO$2,0))*IF(X469&gt;0,5000,0)</f>
        <v>0</v>
      </c>
      <c r="AT469" s="16">
        <f>INDEX('Team forecast'!$B$2:$AO$26,MATCH('Master data'!$B469,'Team forecast'!$B$2:$B$26,0),MATCH('Master data'!AT$1,'Team forecast'!$B$2:$AO$2,0))*IF(X469&gt;0,-15000,0)</f>
        <v>0</v>
      </c>
      <c r="AU469" s="5">
        <f t="shared" si="275"/>
        <v>0</v>
      </c>
      <c r="AV469" s="5">
        <f t="shared" si="276"/>
        <v>0</v>
      </c>
      <c r="AW469" s="5">
        <f t="shared" si="277"/>
        <v>0</v>
      </c>
      <c r="AX469" s="5">
        <f t="shared" si="278"/>
        <v>0</v>
      </c>
      <c r="AY469" s="5">
        <f t="shared" si="279"/>
        <v>0</v>
      </c>
      <c r="AZ469" s="5">
        <f t="shared" si="280"/>
        <v>0</v>
      </c>
      <c r="BA469" s="5">
        <f t="shared" si="281"/>
        <v>0</v>
      </c>
      <c r="BB469" s="5">
        <f t="shared" si="282"/>
        <v>0</v>
      </c>
      <c r="BC469" s="5">
        <f t="shared" si="283"/>
        <v>0</v>
      </c>
      <c r="BD469" s="5">
        <f t="shared" si="284"/>
        <v>-5000</v>
      </c>
      <c r="BE469" s="16">
        <f>INDEX('Team forecast'!$B$2:$AO$26,MATCH('Master data'!$B469,'Team forecast'!$B$2:$B$26,0),MATCH('Master data'!BE$1,'Team forecast'!$B$2:$AO$2,0))</f>
        <v>0.68661022841383224</v>
      </c>
      <c r="BF469" s="16">
        <f>INDEX('Team forecast'!$B$2:$AO$26,MATCH('Master data'!$B469,'Team forecast'!$B$2:$B$26,0),MATCH('Master data'!BF$1,'Team forecast'!$B$2:$AO$2,0))</f>
        <v>2.4374022591536644</v>
      </c>
      <c r="BG469" s="16">
        <f>INDEX('Team forecast'!$B$2:$AO$26,MATCH('Master data'!$B469,'Team forecast'!$B$2:$B$26,0),MATCH('Master data'!BG$1,'Team forecast'!$B$2:$AO$2,0))</f>
        <v>8.7387567112784156E-2</v>
      </c>
      <c r="BH469" s="16">
        <f>INDEX('Team forecast'!$B$2:$AO$26,MATCH('Master data'!$B469,'Team forecast'!$B$2:$B$26,0),MATCH('Master data'!BH$1,'Team forecast'!$B$2:$AO$2,0))</f>
        <v>2.2540234771161161</v>
      </c>
      <c r="BI469" s="16">
        <f>INDEX('Team forecast'!$B$2:$AO$26,MATCH('Master data'!$B469,'Team forecast'!$B$2:$B$26,0),MATCH('Master data'!BI$1,'Team forecast'!$B$2:$AO$2,0))</f>
        <v>6.7223331713644443</v>
      </c>
      <c r="BJ469" s="5">
        <f t="shared" si="285"/>
        <v>-5000</v>
      </c>
      <c r="BK469" s="5">
        <f>INDEX('Team forecast'!$R$3:$BH$26,MATCH($B469,'Team forecast'!$B$3:$B$26,0),MATCH(BK$1,'Team forecast'!$R$2:$BH$2,0))*IF($X469&gt;0,25000,0)</f>
        <v>0</v>
      </c>
      <c r="BL469" s="5">
        <f>INDEX('Team forecast'!$R$3:$BH$26,MATCH($B469,'Team forecast'!$B$3:$B$26,0),MATCH(BL$1,'Team forecast'!$R$2:$BH$2,0))*IF($X469&gt;0,5000,0)</f>
        <v>0</v>
      </c>
      <c r="BM469" s="5">
        <f>INDEX('Team forecast'!$R$3:$BH$26,MATCH($B469,'Team forecast'!$B$3:$B$26,0),MATCH(BM$1,'Team forecast'!$R$2:$BH$2,0))*IF($X469&gt;0,-15000,0)</f>
        <v>0</v>
      </c>
      <c r="BN469" s="5">
        <f t="shared" si="286"/>
        <v>0</v>
      </c>
      <c r="BO469" s="5">
        <f t="shared" si="287"/>
        <v>0</v>
      </c>
      <c r="BP469" s="5">
        <f t="shared" si="288"/>
        <v>0</v>
      </c>
      <c r="BQ469" s="5">
        <f t="shared" si="289"/>
        <v>0</v>
      </c>
      <c r="BR469" s="5">
        <f t="shared" si="290"/>
        <v>0</v>
      </c>
      <c r="BS469" s="5">
        <f t="shared" si="291"/>
        <v>0</v>
      </c>
      <c r="BT469" s="5">
        <f t="shared" si="292"/>
        <v>0</v>
      </c>
      <c r="BU469" s="5">
        <f t="shared" si="293"/>
        <v>0</v>
      </c>
      <c r="BV469" s="5">
        <f t="shared" si="294"/>
        <v>0</v>
      </c>
      <c r="BW469" s="5">
        <f t="shared" si="295"/>
        <v>-5000</v>
      </c>
      <c r="BX469" s="5">
        <f t="shared" si="296"/>
        <v>-5000</v>
      </c>
      <c r="BY469" s="5">
        <f t="shared" si="297"/>
        <v>-15000</v>
      </c>
      <c r="BZ469" s="5">
        <f>INDEX('Team forecast'!$R$3:$BH$26,MATCH($B469,'Team forecast'!$B$3:$B$26,0),MATCH(BZ$1,'Team forecast'!$R$2:$BH$2,0))*($BX469-(BY469+CH469)*0.01)</f>
        <v>-5896.1464466837342</v>
      </c>
      <c r="CA469" s="5">
        <f>INDEX('Team forecast'!$R$3:$BH$26,MATCH($B469,'Team forecast'!$B$3:$B$26,0),MATCH(CA$1,'Team forecast'!$R$2:$BH$2,0))*($BX469-(BY469+BX469+CH469)*0.01)</f>
        <v>-2890.8843087637015</v>
      </c>
      <c r="CB469" s="5">
        <f>INDEX('Team forecast'!$R$3:$BH$26,MATCH($B469,'Team forecast'!$B$3:$B$26,0),MATCH(CB$1,'Team forecast'!$R$2:$BH$2,0))*($BX469-(BY469+BX469*2+CH469)*0.01)</f>
        <v>-1393.5929805913208</v>
      </c>
      <c r="CC469" s="5">
        <f>INDEX('Team forecast'!$R$3:$BH$26,MATCH($B469,'Team forecast'!$B$3:$B$26,0),MATCH(CC$1,'Team forecast'!$R$2:$BH$2,0))*($BX469-(BY469+BX469*3+CH469)*0.01)</f>
        <v>-631.70606508216747</v>
      </c>
      <c r="CD469" s="5">
        <f>+AK469+BD469*Cockpit!$C$3+BW469*Cockpit!$C$3^2+BZ469*Cockpit!$C$3^3+CA469*Cockpit!$C$3^4+CB469*Cockpit!$C$3^5+CC469*Cockpit!$C$3^6</f>
        <v>-13112.577623110677</v>
      </c>
      <c r="CE469" s="5"/>
      <c r="CF469" s="5"/>
      <c r="CG469" s="5">
        <v>0</v>
      </c>
      <c r="CH469" s="5">
        <f t="shared" si="298"/>
        <v>3000000</v>
      </c>
      <c r="CI469" s="5">
        <f t="shared" si="299"/>
        <v>3000000</v>
      </c>
      <c r="CJ469" s="1">
        <f t="shared" si="300"/>
        <v>-5.0000000000000001E-3</v>
      </c>
      <c r="CK469" s="5">
        <f>RANK(BY469,$BY$2:$BY$623)+COUNTIF($BY$2:$BY469,$BY469)-1</f>
        <v>571</v>
      </c>
      <c r="CL469" s="5">
        <f>RANK(CJ469,$CJ$2:$CJ$623)+COUNTIF($CJ$2:$CJ469,$CJ469)-1</f>
        <v>522</v>
      </c>
    </row>
    <row r="470" spans="1:90">
      <c r="A470" t="str">
        <f>Players!P471</f>
        <v>Filip Holender</v>
      </c>
      <c r="B470" t="str">
        <f>Players!G471</f>
        <v>Hungary</v>
      </c>
      <c r="C470" t="str">
        <f>Players!AB471</f>
        <v>Midfield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2500000</v>
      </c>
      <c r="H470" s="16">
        <f>INDEX('Team forecast'!$B$2:$AO$26,MATCH('Master data'!$B470,'Team forecast'!$B$2:$B$26,0),MATCH('Master data'!H$1,'Team forecast'!$B$2:$AO$2,0))</f>
        <v>0.75096675144877167</v>
      </c>
      <c r="I470" s="16">
        <f>INDEX('Team forecast'!$B$2:$AO$26,MATCH('Master data'!$B470,'Team forecast'!$B$2:$B$26,0),MATCH('Master data'!I$1,'Team forecast'!$B$2:$AO$2,0))</f>
        <v>1.7625676631272518</v>
      </c>
      <c r="J470" s="16">
        <f>INDEX('Team forecast'!$B$2:$AO$26,MATCH('Master data'!$B470,'Team forecast'!$B$2:$B$26,0),MATCH('Master data'!J$1,'Team forecast'!$B$2:$AO$2,0))</f>
        <v>0.1716036772216547</v>
      </c>
      <c r="K470" s="16">
        <f>INDEX('Team forecast'!$B$2:$AO$26,MATCH('Master data'!$B470,'Team forecast'!$B$2:$B$26,0),MATCH('Master data'!K$1,'Team forecast'!$B$2:$AO$2,0))</f>
        <v>2.4652948911197052</v>
      </c>
      <c r="L470" s="16">
        <f>INDEX('Team forecast'!$B$2:$AO$26,MATCH('Master data'!$B470,'Team forecast'!$B$2:$B$26,0),MATCH('Master data'!L$1,'Team forecast'!$B$2:$AO$2,0))</f>
        <v>4.8611455183966212</v>
      </c>
      <c r="M470">
        <f>IF(Players!BC471=1,95,0)</f>
        <v>0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6.1475409836065573E-2</v>
      </c>
      <c r="R470" s="2">
        <f>Players!BR471</f>
        <v>0</v>
      </c>
      <c r="S470" s="2">
        <f t="shared" si="259"/>
        <v>0.75096675144877167</v>
      </c>
      <c r="T470" s="2">
        <f t="shared" si="260"/>
        <v>1.7625676631272518</v>
      </c>
      <c r="U470" s="16">
        <f>INDEX('Team forecast'!$B$2:$AO$26,MATCH('Master data'!$B470,'Team forecast'!$B$2:$B$26,0),MATCH('Master data'!U$1,'Team forecast'!$B$2:$AO$2,0))</f>
        <v>0.1348314606741573</v>
      </c>
      <c r="V470" s="16">
        <f>INDEX('Team forecast'!$B$2:$AO$26,MATCH('Master data'!$B470,'Team forecast'!$B$2:$B$26,0),MATCH('Master data'!V$1,'Team forecast'!$B$2:$AO$2,0))</f>
        <v>0.2359550561797753</v>
      </c>
      <c r="W470" s="16">
        <f>INDEX('Team forecast'!$B$2:$AO$26,MATCH('Master data'!$B470,'Team forecast'!$B$2:$B$26,0),MATCH('Master data'!W$1,'Team forecast'!$B$2:$AO$2,0))</f>
        <v>0.6292134831460674</v>
      </c>
      <c r="X470" s="5">
        <f t="shared" si="261"/>
        <v>-5000</v>
      </c>
      <c r="Y470" s="5">
        <f t="shared" si="262"/>
        <v>0</v>
      </c>
      <c r="Z470" s="5">
        <f t="shared" si="263"/>
        <v>0</v>
      </c>
      <c r="AA470" s="5">
        <f t="shared" si="264"/>
        <v>0</v>
      </c>
      <c r="AB470" s="5">
        <f t="shared" si="265"/>
        <v>0</v>
      </c>
      <c r="AC470" s="5">
        <f t="shared" si="266"/>
        <v>0</v>
      </c>
      <c r="AD470" s="5">
        <f t="shared" si="267"/>
        <v>0</v>
      </c>
      <c r="AE470" s="5">
        <f t="shared" si="268"/>
        <v>0</v>
      </c>
      <c r="AF470" s="5">
        <f t="shared" si="269"/>
        <v>0</v>
      </c>
      <c r="AG470" s="5">
        <f t="shared" si="270"/>
        <v>0</v>
      </c>
      <c r="AH470" s="5">
        <f t="shared" si="271"/>
        <v>0</v>
      </c>
      <c r="AI470" s="5">
        <f t="shared" si="272"/>
        <v>0</v>
      </c>
      <c r="AJ470" s="5">
        <f t="shared" si="273"/>
        <v>0</v>
      </c>
      <c r="AK470" s="5">
        <f>IFERROR(SUM(X470:AJ470),-5000)*((Cockpit!$C$3)^0)</f>
        <v>-5000</v>
      </c>
      <c r="AL470" s="16">
        <f>INDEX('Team forecast'!$B$2:$AO$26,MATCH('Master data'!$B470,'Team forecast'!$B$2:$B$26,0),MATCH('Master data'!AL$1,'Team forecast'!$B$2:$AO$2,0))</f>
        <v>0.80291922538135296</v>
      </c>
      <c r="AM470" s="16">
        <f>INDEX('Team forecast'!$B$2:$AO$26,MATCH('Master data'!$B470,'Team forecast'!$B$2:$B$26,0),MATCH('Master data'!AM$1,'Team forecast'!$B$2:$AO$2,0))</f>
        <v>2.140423422331811</v>
      </c>
      <c r="AN470" s="16">
        <f>INDEX('Team forecast'!$B$2:$AO$26,MATCH('Master data'!$B470,'Team forecast'!$B$2:$B$26,0),MATCH('Master data'!AN$1,'Team forecast'!$B$2:$AO$2,0))</f>
        <v>0.1176050358792704</v>
      </c>
      <c r="AO470" s="16">
        <f>INDEX('Team forecast'!$B$2:$AO$26,MATCH('Master data'!$B470,'Team forecast'!$B$2:$B$26,0),MATCH('Master data'!AO$1,'Team forecast'!$B$2:$AO$2,0))</f>
        <v>2.6358459419084821</v>
      </c>
      <c r="AP470" s="16">
        <f>INDEX('Team forecast'!$B$2:$AO$26,MATCH('Master data'!$B470,'Team forecast'!$B$2:$B$26,0),MATCH('Master data'!AP$1,'Team forecast'!$B$2:$AO$2,0))</f>
        <v>5.9032682515452688</v>
      </c>
      <c r="AQ470" s="5">
        <f t="shared" si="274"/>
        <v>-5000</v>
      </c>
      <c r="AR470" s="5">
        <f>INDEX('Team forecast'!$B$2:$AO$26,MATCH('Master data'!$B470,'Team forecast'!$B$2:$B$26,0),MATCH('Master data'!AR$1,'Team forecast'!$B$2:$AO$2,0))*IF(X470&gt;0,25000,0)</f>
        <v>0</v>
      </c>
      <c r="AS470" s="16">
        <f>INDEX('Team forecast'!$B$2:$AO$26,MATCH('Master data'!$B470,'Team forecast'!$B$2:$B$26,0),MATCH('Master data'!AS$1,'Team forecast'!$B$2:$AO$2,0))*IF(X470&gt;0,5000,0)</f>
        <v>0</v>
      </c>
      <c r="AT470" s="16">
        <f>INDEX('Team forecast'!$B$2:$AO$26,MATCH('Master data'!$B470,'Team forecast'!$B$2:$B$26,0),MATCH('Master data'!AT$1,'Team forecast'!$B$2:$AO$2,0))*IF(X470&gt;0,-15000,0)</f>
        <v>0</v>
      </c>
      <c r="AU470" s="5">
        <f t="shared" si="275"/>
        <v>0</v>
      </c>
      <c r="AV470" s="5">
        <f t="shared" si="276"/>
        <v>0</v>
      </c>
      <c r="AW470" s="5">
        <f t="shared" si="277"/>
        <v>0</v>
      </c>
      <c r="AX470" s="5">
        <f t="shared" si="278"/>
        <v>0</v>
      </c>
      <c r="AY470" s="5">
        <f t="shared" si="279"/>
        <v>0</v>
      </c>
      <c r="AZ470" s="5">
        <f t="shared" si="280"/>
        <v>0</v>
      </c>
      <c r="BA470" s="5">
        <f t="shared" si="281"/>
        <v>0</v>
      </c>
      <c r="BB470" s="5">
        <f t="shared" si="282"/>
        <v>0</v>
      </c>
      <c r="BC470" s="5">
        <f t="shared" si="283"/>
        <v>0</v>
      </c>
      <c r="BD470" s="5">
        <f t="shared" si="284"/>
        <v>-5000</v>
      </c>
      <c r="BE470" s="16">
        <f>INDEX('Team forecast'!$B$2:$AO$26,MATCH('Master data'!$B470,'Team forecast'!$B$2:$B$26,0),MATCH('Master data'!BE$1,'Team forecast'!$B$2:$AO$2,0))</f>
        <v>0.68661022841383224</v>
      </c>
      <c r="BF470" s="16">
        <f>INDEX('Team forecast'!$B$2:$AO$26,MATCH('Master data'!$B470,'Team forecast'!$B$2:$B$26,0),MATCH('Master data'!BF$1,'Team forecast'!$B$2:$AO$2,0))</f>
        <v>2.4374022591536644</v>
      </c>
      <c r="BG470" s="16">
        <f>INDEX('Team forecast'!$B$2:$AO$26,MATCH('Master data'!$B470,'Team forecast'!$B$2:$B$26,0),MATCH('Master data'!BG$1,'Team forecast'!$B$2:$AO$2,0))</f>
        <v>8.7387567112784156E-2</v>
      </c>
      <c r="BH470" s="16">
        <f>INDEX('Team forecast'!$B$2:$AO$26,MATCH('Master data'!$B470,'Team forecast'!$B$2:$B$26,0),MATCH('Master data'!BH$1,'Team forecast'!$B$2:$AO$2,0))</f>
        <v>2.2540234771161161</v>
      </c>
      <c r="BI470" s="16">
        <f>INDEX('Team forecast'!$B$2:$AO$26,MATCH('Master data'!$B470,'Team forecast'!$B$2:$B$26,0),MATCH('Master data'!BI$1,'Team forecast'!$B$2:$AO$2,0))</f>
        <v>6.7223331713644443</v>
      </c>
      <c r="BJ470" s="5">
        <f t="shared" si="285"/>
        <v>-5000</v>
      </c>
      <c r="BK470" s="5">
        <f>INDEX('Team forecast'!$R$3:$BH$26,MATCH($B470,'Team forecast'!$B$3:$B$26,0),MATCH(BK$1,'Team forecast'!$R$2:$BH$2,0))*IF($X470&gt;0,25000,0)</f>
        <v>0</v>
      </c>
      <c r="BL470" s="5">
        <f>INDEX('Team forecast'!$R$3:$BH$26,MATCH($B470,'Team forecast'!$B$3:$B$26,0),MATCH(BL$1,'Team forecast'!$R$2:$BH$2,0))*IF($X470&gt;0,5000,0)</f>
        <v>0</v>
      </c>
      <c r="BM470" s="5">
        <f>INDEX('Team forecast'!$R$3:$BH$26,MATCH($B470,'Team forecast'!$B$3:$B$26,0),MATCH(BM$1,'Team forecast'!$R$2:$BH$2,0))*IF($X470&gt;0,-15000,0)</f>
        <v>0</v>
      </c>
      <c r="BN470" s="5">
        <f t="shared" si="286"/>
        <v>0</v>
      </c>
      <c r="BO470" s="5">
        <f t="shared" si="287"/>
        <v>0</v>
      </c>
      <c r="BP470" s="5">
        <f t="shared" si="288"/>
        <v>0</v>
      </c>
      <c r="BQ470" s="5">
        <f t="shared" si="289"/>
        <v>0</v>
      </c>
      <c r="BR470" s="5">
        <f t="shared" si="290"/>
        <v>0</v>
      </c>
      <c r="BS470" s="5">
        <f t="shared" si="291"/>
        <v>0</v>
      </c>
      <c r="BT470" s="5">
        <f t="shared" si="292"/>
        <v>0</v>
      </c>
      <c r="BU470" s="5">
        <f t="shared" si="293"/>
        <v>0</v>
      </c>
      <c r="BV470" s="5">
        <f t="shared" si="294"/>
        <v>0</v>
      </c>
      <c r="BW470" s="5">
        <f t="shared" si="295"/>
        <v>-5000</v>
      </c>
      <c r="BX470" s="5">
        <f t="shared" si="296"/>
        <v>-5000</v>
      </c>
      <c r="BY470" s="5">
        <f t="shared" si="297"/>
        <v>-15000</v>
      </c>
      <c r="BZ470" s="5">
        <f>INDEX('Team forecast'!$R$3:$BH$26,MATCH($B470,'Team forecast'!$B$3:$B$26,0),MATCH(BZ$1,'Team forecast'!$R$2:$BH$2,0))*($BX470-(BY470+CH470)*0.01)</f>
        <v>-5050.2143883359968</v>
      </c>
      <c r="CA470" s="5">
        <f>INDEX('Team forecast'!$R$3:$BH$26,MATCH($B470,'Team forecast'!$B$3:$B$26,0),MATCH(CA$1,'Team forecast'!$R$2:$BH$2,0))*($BX470-(BY470+BX470+CH470)*0.01)</f>
        <v>-2475.5273678493763</v>
      </c>
      <c r="CB470" s="5">
        <f>INDEX('Team forecast'!$R$3:$BH$26,MATCH($B470,'Team forecast'!$B$3:$B$26,0),MATCH(CB$1,'Team forecast'!$R$2:$BH$2,0))*($BX470-(BY470+BX470*2+CH470)*0.01)</f>
        <v>-1193.0760049666703</v>
      </c>
      <c r="CC470" s="5">
        <f>INDEX('Team forecast'!$R$3:$BH$26,MATCH($B470,'Team forecast'!$B$3:$B$26,0),MATCH(CC$1,'Team forecast'!$R$2:$BH$2,0))*($BX470-(BY470+BX470*3+CH470)*0.01)</f>
        <v>-540.68213639597616</v>
      </c>
      <c r="CD470" s="5">
        <f>+AK470+BD470*Cockpit!$C$3+BW470*Cockpit!$C$3^2+BZ470*Cockpit!$C$3^3+CA470*Cockpit!$C$3^4+CB470*Cockpit!$C$3^5+CC470*Cockpit!$C$3^6</f>
        <v>-12745.488617362178</v>
      </c>
      <c r="CE470" s="5"/>
      <c r="CF470" s="5"/>
      <c r="CG470" s="5">
        <v>0</v>
      </c>
      <c r="CH470" s="5">
        <f t="shared" si="298"/>
        <v>2500000</v>
      </c>
      <c r="CI470" s="5">
        <f t="shared" si="299"/>
        <v>2500000</v>
      </c>
      <c r="CJ470" s="1">
        <f t="shared" si="300"/>
        <v>-6.0000000000000001E-3</v>
      </c>
      <c r="CK470" s="5">
        <f>RANK(BY470,$BY$2:$BY$623)+COUNTIF($BY$2:$BY470,$BY470)-1</f>
        <v>572</v>
      </c>
      <c r="CL470" s="5">
        <f>RANK(CJ470,$CJ$2:$CJ$623)+COUNTIF($CJ$2:$CJ470,$CJ470)-1</f>
        <v>559</v>
      </c>
    </row>
    <row r="471" spans="1:90">
      <c r="A471" t="str">
        <f>Players!P472</f>
        <v>Alexander Schlager</v>
      </c>
      <c r="B471" t="str">
        <f>Players!G472</f>
        <v>Austria</v>
      </c>
      <c r="C471" t="str">
        <f>Players!AB472</f>
        <v>Goalkeeper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4000000</v>
      </c>
      <c r="H471" s="16">
        <f>INDEX('Team forecast'!$B$2:$AO$26,MATCH('Master data'!$B471,'Team forecast'!$B$2:$B$26,0),MATCH('Master data'!H$1,'Team forecast'!$B$2:$AO$2,0))</f>
        <v>1.5562991347612565</v>
      </c>
      <c r="I471" s="16">
        <f>INDEX('Team forecast'!$B$2:$AO$26,MATCH('Master data'!$B471,'Team forecast'!$B$2:$B$26,0),MATCH('Master data'!I$1,'Team forecast'!$B$2:$AO$2,0))</f>
        <v>0.65653770483831209</v>
      </c>
      <c r="J471" s="16">
        <f>INDEX('Team forecast'!$B$2:$AO$26,MATCH('Master data'!$B471,'Team forecast'!$B$2:$B$26,0),MATCH('Master data'!J$1,'Team forecast'!$B$2:$AO$2,0))</f>
        <v>0.51864392781930047</v>
      </c>
      <c r="K471" s="16">
        <f>INDEX('Team forecast'!$B$2:$AO$26,MATCH('Master data'!$B471,'Team forecast'!$B$2:$B$26,0),MATCH('Master data'!K$1,'Team forecast'!$B$2:$AO$2,0))</f>
        <v>4.6996138345751106</v>
      </c>
      <c r="L471" s="16">
        <f>INDEX('Team forecast'!$B$2:$AO$26,MATCH('Master data'!$B471,'Team forecast'!$B$2:$B$26,0),MATCH('Master data'!L$1,'Team forecast'!$B$2:$AO$2,0))</f>
        <v>1.9825710955314819</v>
      </c>
      <c r="M471">
        <f>IF(Players!BC472=1,95,0)</f>
        <v>95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0</v>
      </c>
      <c r="R471" s="2">
        <f>Players!BR472</f>
        <v>0</v>
      </c>
      <c r="S471" s="2">
        <f t="shared" si="259"/>
        <v>1.5562991347612565</v>
      </c>
      <c r="T471" s="2">
        <f t="shared" si="260"/>
        <v>0.65653770483831209</v>
      </c>
      <c r="U471" s="16">
        <f>INDEX('Team forecast'!$B$2:$AO$26,MATCH('Master data'!$B471,'Team forecast'!$B$2:$B$26,0),MATCH('Master data'!U$1,'Team forecast'!$B$2:$AO$2,0))</f>
        <v>0.60453400503778332</v>
      </c>
      <c r="V471" s="16">
        <f>INDEX('Team forecast'!$B$2:$AO$26,MATCH('Master data'!$B471,'Team forecast'!$B$2:$B$26,0),MATCH('Master data'!V$1,'Team forecast'!$B$2:$AO$2,0))</f>
        <v>0.23727959697733</v>
      </c>
      <c r="W471" s="16">
        <f>INDEX('Team forecast'!$B$2:$AO$26,MATCH('Master data'!$B471,'Team forecast'!$B$2:$B$26,0),MATCH('Master data'!W$1,'Team forecast'!$B$2:$AO$2,0))</f>
        <v>0.15818639798488671</v>
      </c>
      <c r="X471" s="5">
        <f t="shared" si="261"/>
        <v>7000</v>
      </c>
      <c r="Y471" s="5">
        <f t="shared" si="262"/>
        <v>15113.350125944582</v>
      </c>
      <c r="Z471" s="5">
        <f t="shared" si="263"/>
        <v>1186.39798488665</v>
      </c>
      <c r="AA471" s="5">
        <f t="shared" si="264"/>
        <v>-2372.7959697733004</v>
      </c>
      <c r="AB471" s="5">
        <f t="shared" si="265"/>
        <v>0</v>
      </c>
      <c r="AC471" s="5">
        <f t="shared" si="266"/>
        <v>0</v>
      </c>
      <c r="AD471" s="5">
        <f t="shared" si="267"/>
        <v>0</v>
      </c>
      <c r="AE471" s="5">
        <f t="shared" si="268"/>
        <v>38898.294586447533</v>
      </c>
      <c r="AF471" s="5">
        <f t="shared" si="269"/>
        <v>6630.1669534658495</v>
      </c>
      <c r="AG471" s="5">
        <f t="shared" si="270"/>
        <v>0</v>
      </c>
      <c r="AH471" s="5">
        <f t="shared" si="271"/>
        <v>0</v>
      </c>
      <c r="AI471" s="5">
        <f t="shared" si="272"/>
        <v>15562.991347612564</v>
      </c>
      <c r="AJ471" s="5">
        <f t="shared" si="273"/>
        <v>-5252.3016387064963</v>
      </c>
      <c r="AK471" s="5">
        <f>IFERROR(SUM(X471:AJ471),-5000)*((Cockpit!$C$3)^0)</f>
        <v>76766.103389877375</v>
      </c>
      <c r="AL471" s="16">
        <f>INDEX('Team forecast'!$B$2:$AO$26,MATCH('Master data'!$B471,'Team forecast'!$B$2:$B$26,0),MATCH('Master data'!AL$1,'Team forecast'!$B$2:$AO$2,0))</f>
        <v>0.7977891123063281</v>
      </c>
      <c r="AM471" s="16">
        <f>INDEX('Team forecast'!$B$2:$AO$26,MATCH('Master data'!$B471,'Team forecast'!$B$2:$B$26,0),MATCH('Master data'!AM$1,'Team forecast'!$B$2:$AO$2,0))</f>
        <v>1.8476112368050062</v>
      </c>
      <c r="AN471" s="16">
        <f>INDEX('Team forecast'!$B$2:$AO$26,MATCH('Master data'!$B471,'Team forecast'!$B$2:$B$26,0),MATCH('Master data'!AN$1,'Team forecast'!$B$2:$AO$2,0))</f>
        <v>0.15761321763936759</v>
      </c>
      <c r="AO471" s="16">
        <f>INDEX('Team forecast'!$B$2:$AO$26,MATCH('Master data'!$B471,'Team forecast'!$B$2:$B$26,0),MATCH('Master data'!AO$1,'Team forecast'!$B$2:$AO$2,0))</f>
        <v>2.4091131746618726</v>
      </c>
      <c r="AP471" s="16">
        <f>INDEX('Team forecast'!$B$2:$AO$26,MATCH('Master data'!$B471,'Team forecast'!$B$2:$B$26,0),MATCH('Master data'!AP$1,'Team forecast'!$B$2:$AO$2,0))</f>
        <v>5.5792997216677493</v>
      </c>
      <c r="AQ471" s="5">
        <f t="shared" si="274"/>
        <v>7000</v>
      </c>
      <c r="AR471" s="5">
        <f>INDEX('Team forecast'!$B$2:$AO$26,MATCH('Master data'!$B471,'Team forecast'!$B$2:$B$26,0),MATCH('Master data'!AR$1,'Team forecast'!$B$2:$AO$2,0))*IF(X471&gt;0,25000,0)</f>
        <v>3637.2280993700224</v>
      </c>
      <c r="AS471" s="16">
        <f>INDEX('Team forecast'!$B$2:$AO$26,MATCH('Master data'!$B471,'Team forecast'!$B$2:$B$26,0),MATCH('Master data'!AS$1,'Team forecast'!$B$2:$AO$2,0))*IF(X471&gt;0,5000,0)</f>
        <v>1182.0991322952575</v>
      </c>
      <c r="AT471" s="16">
        <f>INDEX('Team forecast'!$B$2:$AO$26,MATCH('Master data'!$B471,'Team forecast'!$B$2:$B$26,0),MATCH('Master data'!AT$1,'Team forecast'!$B$2:$AO$2,0))*IF(X471&gt;0,-15000,0)</f>
        <v>-9271.3657434922134</v>
      </c>
      <c r="AU471" s="5">
        <f t="shared" si="275"/>
        <v>0</v>
      </c>
      <c r="AV471" s="5">
        <f t="shared" si="276"/>
        <v>0</v>
      </c>
      <c r="AW471" s="5">
        <f t="shared" si="277"/>
        <v>0</v>
      </c>
      <c r="AX471" s="5">
        <f t="shared" si="278"/>
        <v>11820.991322952568</v>
      </c>
      <c r="AY471" s="5">
        <f t="shared" si="279"/>
        <v>18658.442424313715</v>
      </c>
      <c r="AZ471" s="5">
        <f t="shared" si="280"/>
        <v>0</v>
      </c>
      <c r="BA471" s="5">
        <f t="shared" si="281"/>
        <v>0</v>
      </c>
      <c r="BB471" s="5">
        <f t="shared" si="282"/>
        <v>7977.8911230632812</v>
      </c>
      <c r="BC471" s="5">
        <f t="shared" si="283"/>
        <v>-14780.88989444005</v>
      </c>
      <c r="BD471" s="5">
        <f t="shared" si="284"/>
        <v>26224.396464062578</v>
      </c>
      <c r="BE471" s="16">
        <f>INDEX('Team forecast'!$B$2:$AO$26,MATCH('Master data'!$B471,'Team forecast'!$B$2:$B$26,0),MATCH('Master data'!BE$1,'Team forecast'!$B$2:$AO$2,0))</f>
        <v>1.1461513485277883</v>
      </c>
      <c r="BF471" s="16">
        <f>INDEX('Team forecast'!$B$2:$AO$26,MATCH('Master data'!$B471,'Team forecast'!$B$2:$B$26,0),MATCH('Master data'!BF$1,'Team forecast'!$B$2:$AO$2,0))</f>
        <v>1.1461513485277883</v>
      </c>
      <c r="BG471" s="16">
        <f>INDEX('Team forecast'!$B$2:$AO$26,MATCH('Master data'!$B471,'Team forecast'!$B$2:$B$26,0),MATCH('Master data'!BG$1,'Team forecast'!$B$2:$AO$2,0))</f>
        <v>0.31785774198959899</v>
      </c>
      <c r="BH471" s="16">
        <f>INDEX('Team forecast'!$B$2:$AO$26,MATCH('Master data'!$B471,'Team forecast'!$B$2:$B$26,0),MATCH('Master data'!BH$1,'Team forecast'!$B$2:$AO$2,0))</f>
        <v>3.4610754537779926</v>
      </c>
      <c r="BI471" s="16">
        <f>INDEX('Team forecast'!$B$2:$AO$26,MATCH('Master data'!$B471,'Team forecast'!$B$2:$B$26,0),MATCH('Master data'!BI$1,'Team forecast'!$B$2:$AO$2,0))</f>
        <v>3.4610754537779926</v>
      </c>
      <c r="BJ471" s="5">
        <f t="shared" si="285"/>
        <v>7000</v>
      </c>
      <c r="BK471" s="5">
        <f>INDEX('Team forecast'!$R$3:$BH$26,MATCH($B471,'Team forecast'!$B$3:$B$26,0),MATCH(BK$1,'Team forecast'!$R$2:$BH$2,0))*IF($X471&gt;0,25000,0)</f>
        <v>8995.9738298943139</v>
      </c>
      <c r="BL471" s="5">
        <f>INDEX('Team forecast'!$R$3:$BH$26,MATCH($B471,'Team forecast'!$B$3:$B$26,0),MATCH(BL$1,'Team forecast'!$R$2:$BH$2,0))*IF($X471&gt;0,5000,0)</f>
        <v>1467.0357322596881</v>
      </c>
      <c r="BM471" s="5">
        <f>INDEX('Team forecast'!$R$3:$BH$26,MATCH($B471,'Team forecast'!$B$3:$B$26,0),MATCH(BM$1,'Team forecast'!$R$2:$BH$2,0))*IF($X471&gt;0,-15000,0)</f>
        <v>-5201.3085052843489</v>
      </c>
      <c r="BN471" s="5">
        <f t="shared" si="286"/>
        <v>0</v>
      </c>
      <c r="BO471" s="5">
        <f t="shared" si="287"/>
        <v>0</v>
      </c>
      <c r="BP471" s="5">
        <f t="shared" si="288"/>
        <v>0</v>
      </c>
      <c r="BQ471" s="5">
        <f t="shared" si="289"/>
        <v>23839.330649219923</v>
      </c>
      <c r="BR471" s="5">
        <f t="shared" si="290"/>
        <v>11574.620526251023</v>
      </c>
      <c r="BS471" s="5">
        <f t="shared" si="291"/>
        <v>0</v>
      </c>
      <c r="BT471" s="5">
        <f t="shared" si="292"/>
        <v>0</v>
      </c>
      <c r="BU471" s="5">
        <f t="shared" si="293"/>
        <v>11461.513485277883</v>
      </c>
      <c r="BV471" s="5">
        <f t="shared" si="294"/>
        <v>-9169.2107882223063</v>
      </c>
      <c r="BW471" s="5">
        <f t="shared" si="295"/>
        <v>49967.954929396175</v>
      </c>
      <c r="BX471" s="5">
        <f t="shared" si="296"/>
        <v>50986.151594445379</v>
      </c>
      <c r="BY471" s="5">
        <f t="shared" si="297"/>
        <v>152958.45478333614</v>
      </c>
      <c r="BZ471" s="5">
        <f>INDEX('Team forecast'!$R$3:$BH$26,MATCH($B471,'Team forecast'!$B$3:$B$26,0),MATCH(BZ$1,'Team forecast'!$R$2:$BH$2,0))*($BX471-(BY471+CH471)*0.01)</f>
        <v>6760.2365295582204</v>
      </c>
      <c r="CA471" s="5">
        <f>INDEX('Team forecast'!$R$3:$BH$26,MATCH($B471,'Team forecast'!$B$3:$B$26,0),MATCH(CA$1,'Team forecast'!$R$2:$BH$2,0))*($BX471-(BY471+BX471+CH471)*0.01)</f>
        <v>3139.5937578391427</v>
      </c>
      <c r="CB471" s="5">
        <f>INDEX('Team forecast'!$R$3:$BH$26,MATCH($B471,'Team forecast'!$B$3:$B$26,0),MATCH(CB$1,'Team forecast'!$R$2:$BH$2,0))*($BX471-(BY471+BX471*2+CH471)*0.01)</f>
        <v>1428.60886975786</v>
      </c>
      <c r="CC471" s="5">
        <f>INDEX('Team forecast'!$R$3:$BH$26,MATCH($B471,'Team forecast'!$B$3:$B$26,0),MATCH(CC$1,'Team forecast'!$R$2:$BH$2,0))*($BX471-(BY471+BX471*3+CH471)*0.01)</f>
        <v>608.4670522909496</v>
      </c>
      <c r="CD471" s="5">
        <f>+AK471+BD471*Cockpit!$C$3+BW471*Cockpit!$C$3^2+BZ471*Cockpit!$C$3^3+CA471*Cockpit!$C$3^4+CB471*Cockpit!$C$3^5+CC471*Cockpit!$C$3^6</f>
        <v>119321.76184394538</v>
      </c>
      <c r="CE471" s="5"/>
      <c r="CF471" s="5"/>
      <c r="CG471" s="5">
        <v>0</v>
      </c>
      <c r="CH471" s="5">
        <f t="shared" si="298"/>
        <v>4000000</v>
      </c>
      <c r="CI471" s="5">
        <f t="shared" si="299"/>
        <v>4000000</v>
      </c>
      <c r="CJ471" s="1">
        <f t="shared" si="300"/>
        <v>3.8239613695834035E-2</v>
      </c>
      <c r="CK471" s="5">
        <f>RANK(BY471,$BY$2:$BY$623)+COUNTIF($BY$2:$BY471,$BY471)-1</f>
        <v>94</v>
      </c>
      <c r="CL471" s="5">
        <f>RANK(CJ471,$CJ$2:$CJ$623)+COUNTIF($CJ$2:$CJ471,$CJ471)-1</f>
        <v>83</v>
      </c>
    </row>
    <row r="472" spans="1:90">
      <c r="A472" t="str">
        <f>Players!P473</f>
        <v>Philipp Lienhart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2000000</v>
      </c>
      <c r="H472" s="16">
        <f>INDEX('Team forecast'!$B$2:$AO$26,MATCH('Master data'!$B472,'Team forecast'!$B$2:$B$26,0),MATCH('Master data'!H$1,'Team forecast'!$B$2:$AO$2,0))</f>
        <v>1.5562991347612565</v>
      </c>
      <c r="I472" s="16">
        <f>INDEX('Team forecast'!$B$2:$AO$26,MATCH('Master data'!$B472,'Team forecast'!$B$2:$B$26,0),MATCH('Master data'!I$1,'Team forecast'!$B$2:$AO$2,0))</f>
        <v>0.65653770483831209</v>
      </c>
      <c r="J472" s="16">
        <f>INDEX('Team forecast'!$B$2:$AO$26,MATCH('Master data'!$B472,'Team forecast'!$B$2:$B$26,0),MATCH('Master data'!J$1,'Team forecast'!$B$2:$AO$2,0))</f>
        <v>0.51864392781930047</v>
      </c>
      <c r="K472" s="16">
        <f>INDEX('Team forecast'!$B$2:$AO$26,MATCH('Master data'!$B472,'Team forecast'!$B$2:$B$26,0),MATCH('Master data'!K$1,'Team forecast'!$B$2:$AO$2,0))</f>
        <v>4.6996138345751106</v>
      </c>
      <c r="L472" s="16">
        <f>INDEX('Team forecast'!$B$2:$AO$26,MATCH('Master data'!$B472,'Team forecast'!$B$2:$B$26,0),MATCH('Master data'!L$1,'Team forecast'!$B$2:$AO$2,0))</f>
        <v>1.9825710955314819</v>
      </c>
      <c r="M472">
        <f>IF(Players!BC473=1,95,0)</f>
        <v>95</v>
      </c>
      <c r="N472" s="2">
        <f>Players!BN473</f>
        <v>5.6059631762544179E-2</v>
      </c>
      <c r="O472" s="2">
        <f>Players!BO473</f>
        <v>4.8084266210302214E-2</v>
      </c>
      <c r="P472" s="2">
        <f>Players!BP473</f>
        <v>3.3753593662514965E-2</v>
      </c>
      <c r="Q472" s="2">
        <f>Players!BQ473</f>
        <v>6.0140327430671568E-2</v>
      </c>
      <c r="R472" s="2">
        <f>Players!BR473</f>
        <v>0</v>
      </c>
      <c r="S472" s="2">
        <f t="shared" si="259"/>
        <v>1.5562991347612565</v>
      </c>
      <c r="T472" s="2">
        <f t="shared" si="260"/>
        <v>0.65653770483831209</v>
      </c>
      <c r="U472" s="16">
        <f>INDEX('Team forecast'!$B$2:$AO$26,MATCH('Master data'!$B472,'Team forecast'!$B$2:$B$26,0),MATCH('Master data'!U$1,'Team forecast'!$B$2:$AO$2,0))</f>
        <v>0.60453400503778332</v>
      </c>
      <c r="V472" s="16">
        <f>INDEX('Team forecast'!$B$2:$AO$26,MATCH('Master data'!$B472,'Team forecast'!$B$2:$B$26,0),MATCH('Master data'!V$1,'Team forecast'!$B$2:$AO$2,0))</f>
        <v>0.23727959697733</v>
      </c>
      <c r="W472" s="16">
        <f>INDEX('Team forecast'!$B$2:$AO$26,MATCH('Master data'!$B472,'Team forecast'!$B$2:$B$26,0),MATCH('Master data'!W$1,'Team forecast'!$B$2:$AO$2,0))</f>
        <v>0.15818639798488671</v>
      </c>
      <c r="X472" s="5">
        <f t="shared" si="261"/>
        <v>7000</v>
      </c>
      <c r="Y472" s="5">
        <f t="shared" si="262"/>
        <v>15113.350125944582</v>
      </c>
      <c r="Z472" s="5">
        <f t="shared" si="263"/>
        <v>1186.39798488665</v>
      </c>
      <c r="AA472" s="5">
        <f t="shared" si="264"/>
        <v>-2372.7959697733004</v>
      </c>
      <c r="AB472" s="5">
        <f t="shared" si="265"/>
        <v>13086.833461062324</v>
      </c>
      <c r="AC472" s="5">
        <f t="shared" si="266"/>
        <v>3741.6750949361626</v>
      </c>
      <c r="AD472" s="5">
        <f t="shared" si="267"/>
        <v>1586.2885574298211</v>
      </c>
      <c r="AE472" s="5">
        <f t="shared" si="268"/>
        <v>25932.196390965022</v>
      </c>
      <c r="AF472" s="5">
        <f t="shared" si="269"/>
        <v>0</v>
      </c>
      <c r="AG472" s="5">
        <f t="shared" si="270"/>
        <v>-1202.8065486134315</v>
      </c>
      <c r="AH472" s="5">
        <f t="shared" si="271"/>
        <v>0</v>
      </c>
      <c r="AI472" s="5">
        <f t="shared" si="272"/>
        <v>15562.991347612564</v>
      </c>
      <c r="AJ472" s="5">
        <f t="shared" si="273"/>
        <v>-5252.3016387064963</v>
      </c>
      <c r="AK472" s="5">
        <f>IFERROR(SUM(X472:AJ472),-5000)*((Cockpit!$C$3)^0)</f>
        <v>74381.828805743891</v>
      </c>
      <c r="AL472" s="16">
        <f>INDEX('Team forecast'!$B$2:$AO$26,MATCH('Master data'!$B472,'Team forecast'!$B$2:$B$26,0),MATCH('Master data'!AL$1,'Team forecast'!$B$2:$AO$2,0))</f>
        <v>0.7977891123063281</v>
      </c>
      <c r="AM472" s="16">
        <f>INDEX('Team forecast'!$B$2:$AO$26,MATCH('Master data'!$B472,'Team forecast'!$B$2:$B$26,0),MATCH('Master data'!AM$1,'Team forecast'!$B$2:$AO$2,0))</f>
        <v>1.8476112368050062</v>
      </c>
      <c r="AN472" s="16">
        <f>INDEX('Team forecast'!$B$2:$AO$26,MATCH('Master data'!$B472,'Team forecast'!$B$2:$B$26,0),MATCH('Master data'!AN$1,'Team forecast'!$B$2:$AO$2,0))</f>
        <v>0.15761321763936759</v>
      </c>
      <c r="AO472" s="16">
        <f>INDEX('Team forecast'!$B$2:$AO$26,MATCH('Master data'!$B472,'Team forecast'!$B$2:$B$26,0),MATCH('Master data'!AO$1,'Team forecast'!$B$2:$AO$2,0))</f>
        <v>2.4091131746618726</v>
      </c>
      <c r="AP472" s="16">
        <f>INDEX('Team forecast'!$B$2:$AO$26,MATCH('Master data'!$B472,'Team forecast'!$B$2:$B$26,0),MATCH('Master data'!AP$1,'Team forecast'!$B$2:$AO$2,0))</f>
        <v>5.5792997216677493</v>
      </c>
      <c r="AQ472" s="5">
        <f t="shared" si="274"/>
        <v>7000</v>
      </c>
      <c r="AR472" s="5">
        <f>INDEX('Team forecast'!$B$2:$AO$26,MATCH('Master data'!$B472,'Team forecast'!$B$2:$B$26,0),MATCH('Master data'!AR$1,'Team forecast'!$B$2:$AO$2,0))*IF(X472&gt;0,25000,0)</f>
        <v>3637.2280993700224</v>
      </c>
      <c r="AS472" s="16">
        <f>INDEX('Team forecast'!$B$2:$AO$26,MATCH('Master data'!$B472,'Team forecast'!$B$2:$B$26,0),MATCH('Master data'!AS$1,'Team forecast'!$B$2:$AO$2,0))*IF(X472&gt;0,5000,0)</f>
        <v>1182.0991322952575</v>
      </c>
      <c r="AT472" s="16">
        <f>INDEX('Team forecast'!$B$2:$AO$26,MATCH('Master data'!$B472,'Team forecast'!$B$2:$B$26,0),MATCH('Master data'!AT$1,'Team forecast'!$B$2:$AO$2,0))*IF(X472&gt;0,-15000,0)</f>
        <v>-9271.3657434922134</v>
      </c>
      <c r="AU472" s="5">
        <f t="shared" si="275"/>
        <v>6708.5645790089638</v>
      </c>
      <c r="AV472" s="5">
        <f t="shared" si="276"/>
        <v>1918.0552027909084</v>
      </c>
      <c r="AW472" s="5">
        <f t="shared" si="277"/>
        <v>813.16227184548279</v>
      </c>
      <c r="AX472" s="5">
        <f t="shared" si="278"/>
        <v>7880.6608819683797</v>
      </c>
      <c r="AY472" s="5">
        <f t="shared" si="279"/>
        <v>0</v>
      </c>
      <c r="AZ472" s="5">
        <f t="shared" si="280"/>
        <v>-1202.8065486134315</v>
      </c>
      <c r="BA472" s="5">
        <f t="shared" si="281"/>
        <v>0</v>
      </c>
      <c r="BB472" s="5">
        <f t="shared" si="282"/>
        <v>7977.8911230632812</v>
      </c>
      <c r="BC472" s="5">
        <f t="shared" si="283"/>
        <v>-14780.88989444005</v>
      </c>
      <c r="BD472" s="5">
        <f t="shared" si="284"/>
        <v>11862.599103796598</v>
      </c>
      <c r="BE472" s="16">
        <f>INDEX('Team forecast'!$B$2:$AO$26,MATCH('Master data'!$B472,'Team forecast'!$B$2:$B$26,0),MATCH('Master data'!BE$1,'Team forecast'!$B$2:$AO$2,0))</f>
        <v>1.1461513485277883</v>
      </c>
      <c r="BF472" s="16">
        <f>INDEX('Team forecast'!$B$2:$AO$26,MATCH('Master data'!$B472,'Team forecast'!$B$2:$B$26,0),MATCH('Master data'!BF$1,'Team forecast'!$B$2:$AO$2,0))</f>
        <v>1.1461513485277883</v>
      </c>
      <c r="BG472" s="16">
        <f>INDEX('Team forecast'!$B$2:$AO$26,MATCH('Master data'!$B472,'Team forecast'!$B$2:$B$26,0),MATCH('Master data'!BG$1,'Team forecast'!$B$2:$AO$2,0))</f>
        <v>0.31785774198959899</v>
      </c>
      <c r="BH472" s="16">
        <f>INDEX('Team forecast'!$B$2:$AO$26,MATCH('Master data'!$B472,'Team forecast'!$B$2:$B$26,0),MATCH('Master data'!BH$1,'Team forecast'!$B$2:$AO$2,0))</f>
        <v>3.4610754537779926</v>
      </c>
      <c r="BI472" s="16">
        <f>INDEX('Team forecast'!$B$2:$AO$26,MATCH('Master data'!$B472,'Team forecast'!$B$2:$B$26,0),MATCH('Master data'!BI$1,'Team forecast'!$B$2:$AO$2,0))</f>
        <v>3.4610754537779926</v>
      </c>
      <c r="BJ472" s="5">
        <f t="shared" si="285"/>
        <v>7000</v>
      </c>
      <c r="BK472" s="5">
        <f>INDEX('Team forecast'!$R$3:$BH$26,MATCH($B472,'Team forecast'!$B$3:$B$26,0),MATCH(BK$1,'Team forecast'!$R$2:$BH$2,0))*IF($X472&gt;0,25000,0)</f>
        <v>8995.9738298943139</v>
      </c>
      <c r="BL472" s="5">
        <f>INDEX('Team forecast'!$R$3:$BH$26,MATCH($B472,'Team forecast'!$B$3:$B$26,0),MATCH(BL$1,'Team forecast'!$R$2:$BH$2,0))*IF($X472&gt;0,5000,0)</f>
        <v>1467.0357322596881</v>
      </c>
      <c r="BM472" s="5">
        <f>INDEX('Team forecast'!$R$3:$BH$26,MATCH($B472,'Team forecast'!$B$3:$B$26,0),MATCH(BM$1,'Team forecast'!$R$2:$BH$2,0))*IF($X472&gt;0,-15000,0)</f>
        <v>-5201.3085052843489</v>
      </c>
      <c r="BN472" s="5">
        <f t="shared" si="286"/>
        <v>9637.9233813916871</v>
      </c>
      <c r="BO472" s="5">
        <f t="shared" si="287"/>
        <v>2755.5923279953522</v>
      </c>
      <c r="BP472" s="5">
        <f t="shared" si="288"/>
        <v>1168.2373450212697</v>
      </c>
      <c r="BQ472" s="5">
        <f t="shared" si="289"/>
        <v>15892.887099479949</v>
      </c>
      <c r="BR472" s="5">
        <f t="shared" si="290"/>
        <v>0</v>
      </c>
      <c r="BS472" s="5">
        <f t="shared" si="291"/>
        <v>-1202.8065486134315</v>
      </c>
      <c r="BT472" s="5">
        <f t="shared" si="292"/>
        <v>0</v>
      </c>
      <c r="BU472" s="5">
        <f t="shared" si="293"/>
        <v>11461.513485277883</v>
      </c>
      <c r="BV472" s="5">
        <f t="shared" si="294"/>
        <v>-9169.2107882223063</v>
      </c>
      <c r="BW472" s="5">
        <f t="shared" si="295"/>
        <v>42805.837359200057</v>
      </c>
      <c r="BX472" s="5">
        <f t="shared" si="296"/>
        <v>43016.755089580183</v>
      </c>
      <c r="BY472" s="5">
        <f t="shared" si="297"/>
        <v>129050.26526874055</v>
      </c>
      <c r="BZ472" s="5">
        <f>INDEX('Team forecast'!$R$3:$BH$26,MATCH($B472,'Team forecast'!$B$3:$B$26,0),MATCH(BZ$1,'Team forecast'!$R$2:$BH$2,0))*($BX472-(BY472+CH472)*0.01)</f>
        <v>15531.493051371781</v>
      </c>
      <c r="CA472" s="5">
        <f>INDEX('Team forecast'!$R$3:$BH$26,MATCH($B472,'Team forecast'!$B$3:$B$26,0),MATCH(CA$1,'Team forecast'!$R$2:$BH$2,0))*($BX472-(BY472+BX472+CH472)*0.01)</f>
        <v>7473.2598435593918</v>
      </c>
      <c r="CB472" s="5">
        <f>INDEX('Team forecast'!$R$3:$BH$26,MATCH($B472,'Team forecast'!$B$3:$B$26,0),MATCH(CB$1,'Team forecast'!$R$2:$BH$2,0))*($BX472-(BY472+BX472*2+CH472)*0.01)</f>
        <v>3533.2210158845896</v>
      </c>
      <c r="CC472" s="5">
        <f>INDEX('Team forecast'!$R$3:$BH$26,MATCH($B472,'Team forecast'!$B$3:$B$26,0),MATCH(CC$1,'Team forecast'!$R$2:$BH$2,0))*($BX472-(BY472+BX472*3+CH472)*0.01)</f>
        <v>1568.6272089621348</v>
      </c>
      <c r="CD472" s="5">
        <f>+AK472+BD472*Cockpit!$C$3+BW472*Cockpit!$C$3^2+BZ472*Cockpit!$C$3^3+CA472*Cockpit!$C$3^4+CB472*Cockpit!$C$3^5+CC472*Cockpit!$C$3^6</f>
        <v>107996.16041657148</v>
      </c>
      <c r="CE472" s="5"/>
      <c r="CF472" s="5"/>
      <c r="CG472" s="5">
        <v>0</v>
      </c>
      <c r="CH472" s="5">
        <f t="shared" si="298"/>
        <v>2000000</v>
      </c>
      <c r="CI472" s="5">
        <f t="shared" si="299"/>
        <v>2000000</v>
      </c>
      <c r="CJ472" s="1">
        <f t="shared" si="300"/>
        <v>6.4525132634370277E-2</v>
      </c>
      <c r="CK472" s="5">
        <f>RANK(BY472,$BY$2:$BY$623)+COUNTIF($BY$2:$BY472,$BY472)-1</f>
        <v>119</v>
      </c>
      <c r="CL472" s="5">
        <f>RANK(CJ472,$CJ$2:$CJ$623)+COUNTIF($CJ$2:$CJ472,$CJ472)-1</f>
        <v>6</v>
      </c>
    </row>
    <row r="473" spans="1:90">
      <c r="A473" t="str">
        <f>Players!P474</f>
        <v>Christopher  Trimmel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1.5562991347612565</v>
      </c>
      <c r="I473" s="16">
        <f>INDEX('Team forecast'!$B$2:$AO$26,MATCH('Master data'!$B473,'Team forecast'!$B$2:$B$26,0),MATCH('Master data'!I$1,'Team forecast'!$B$2:$AO$2,0))</f>
        <v>0.65653770483831209</v>
      </c>
      <c r="J473" s="16">
        <f>INDEX('Team forecast'!$B$2:$AO$26,MATCH('Master data'!$B473,'Team forecast'!$B$2:$B$26,0),MATCH('Master data'!J$1,'Team forecast'!$B$2:$AO$2,0))</f>
        <v>0.51864392781930047</v>
      </c>
      <c r="K473" s="16">
        <f>INDEX('Team forecast'!$B$2:$AO$26,MATCH('Master data'!$B473,'Team forecast'!$B$2:$B$26,0),MATCH('Master data'!K$1,'Team forecast'!$B$2:$AO$2,0))</f>
        <v>4.6996138345751106</v>
      </c>
      <c r="L473" s="16">
        <f>INDEX('Team forecast'!$B$2:$AO$26,MATCH('Master data'!$B473,'Team forecast'!$B$2:$B$26,0),MATCH('Master data'!L$1,'Team forecast'!$B$2:$AO$2,0))</f>
        <v>1.9825710955314819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0.15697674418604651</v>
      </c>
      <c r="R473" s="2">
        <f>Players!BR474</f>
        <v>0</v>
      </c>
      <c r="S473" s="2">
        <f t="shared" si="259"/>
        <v>1.5562991347612565</v>
      </c>
      <c r="T473" s="2">
        <f t="shared" si="260"/>
        <v>0.65653770483831209</v>
      </c>
      <c r="U473" s="16">
        <f>INDEX('Team forecast'!$B$2:$AO$26,MATCH('Master data'!$B473,'Team forecast'!$B$2:$B$26,0),MATCH('Master data'!U$1,'Team forecast'!$B$2:$AO$2,0))</f>
        <v>0.60453400503778332</v>
      </c>
      <c r="V473" s="16">
        <f>INDEX('Team forecast'!$B$2:$AO$26,MATCH('Master data'!$B473,'Team forecast'!$B$2:$B$26,0),MATCH('Master data'!V$1,'Team forecast'!$B$2:$AO$2,0))</f>
        <v>0.23727959697733</v>
      </c>
      <c r="W473" s="16">
        <f>INDEX('Team forecast'!$B$2:$AO$26,MATCH('Master data'!$B473,'Team forecast'!$B$2:$B$26,0),MATCH('Master data'!W$1,'Team forecast'!$B$2:$AO$2,0))</f>
        <v>0.15818639798488671</v>
      </c>
      <c r="X473" s="5">
        <f t="shared" si="261"/>
        <v>-5000</v>
      </c>
      <c r="Y473" s="5">
        <f t="shared" si="262"/>
        <v>0</v>
      </c>
      <c r="Z473" s="5">
        <f t="shared" si="263"/>
        <v>0</v>
      </c>
      <c r="AA473" s="5">
        <f t="shared" si="264"/>
        <v>0</v>
      </c>
      <c r="AB473" s="5">
        <f t="shared" si="265"/>
        <v>0</v>
      </c>
      <c r="AC473" s="5">
        <f t="shared" si="266"/>
        <v>0</v>
      </c>
      <c r="AD473" s="5">
        <f t="shared" si="267"/>
        <v>0</v>
      </c>
      <c r="AE473" s="5">
        <f t="shared" si="268"/>
        <v>25932.196390965022</v>
      </c>
      <c r="AF473" s="5">
        <f t="shared" si="269"/>
        <v>0</v>
      </c>
      <c r="AG473" s="5">
        <f t="shared" si="270"/>
        <v>0</v>
      </c>
      <c r="AH473" s="5">
        <f t="shared" si="271"/>
        <v>0</v>
      </c>
      <c r="AI473" s="5">
        <f t="shared" si="272"/>
        <v>0</v>
      </c>
      <c r="AJ473" s="5">
        <f t="shared" si="273"/>
        <v>0</v>
      </c>
      <c r="AK473" s="5">
        <f>IFERROR(SUM(X473:AJ473),-5000)*((Cockpit!$C$3)^0)</f>
        <v>20932.196390965022</v>
      </c>
      <c r="AL473" s="16">
        <f>INDEX('Team forecast'!$B$2:$AO$26,MATCH('Master data'!$B473,'Team forecast'!$B$2:$B$26,0),MATCH('Master data'!AL$1,'Team forecast'!$B$2:$AO$2,0))</f>
        <v>0.7977891123063281</v>
      </c>
      <c r="AM473" s="16">
        <f>INDEX('Team forecast'!$B$2:$AO$26,MATCH('Master data'!$B473,'Team forecast'!$B$2:$B$26,0),MATCH('Master data'!AM$1,'Team forecast'!$B$2:$AO$2,0))</f>
        <v>1.8476112368050062</v>
      </c>
      <c r="AN473" s="16">
        <f>INDEX('Team forecast'!$B$2:$AO$26,MATCH('Master data'!$B473,'Team forecast'!$B$2:$B$26,0),MATCH('Master data'!AN$1,'Team forecast'!$B$2:$AO$2,0))</f>
        <v>0.15761321763936759</v>
      </c>
      <c r="AO473" s="16">
        <f>INDEX('Team forecast'!$B$2:$AO$26,MATCH('Master data'!$B473,'Team forecast'!$B$2:$B$26,0),MATCH('Master data'!AO$1,'Team forecast'!$B$2:$AO$2,0))</f>
        <v>2.4091131746618726</v>
      </c>
      <c r="AP473" s="16">
        <f>INDEX('Team forecast'!$B$2:$AO$26,MATCH('Master data'!$B473,'Team forecast'!$B$2:$B$26,0),MATCH('Master data'!AP$1,'Team forecast'!$B$2:$AO$2,0))</f>
        <v>5.5792997216677493</v>
      </c>
      <c r="AQ473" s="5">
        <f t="shared" si="274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275"/>
        <v>0</v>
      </c>
      <c r="AV473" s="5">
        <f t="shared" si="276"/>
        <v>0</v>
      </c>
      <c r="AW473" s="5">
        <f t="shared" si="277"/>
        <v>0</v>
      </c>
      <c r="AX473" s="5">
        <f t="shared" si="278"/>
        <v>7880.6608819683797</v>
      </c>
      <c r="AY473" s="5">
        <f t="shared" si="279"/>
        <v>0</v>
      </c>
      <c r="AZ473" s="5">
        <f t="shared" si="280"/>
        <v>0</v>
      </c>
      <c r="BA473" s="5">
        <f t="shared" si="281"/>
        <v>0</v>
      </c>
      <c r="BB473" s="5">
        <f t="shared" si="282"/>
        <v>0</v>
      </c>
      <c r="BC473" s="5">
        <f t="shared" si="283"/>
        <v>0</v>
      </c>
      <c r="BD473" s="5">
        <f t="shared" si="284"/>
        <v>2880.6608819683797</v>
      </c>
      <c r="BE473" s="16">
        <f>INDEX('Team forecast'!$B$2:$AO$26,MATCH('Master data'!$B473,'Team forecast'!$B$2:$B$26,0),MATCH('Master data'!BE$1,'Team forecast'!$B$2:$AO$2,0))</f>
        <v>1.1461513485277883</v>
      </c>
      <c r="BF473" s="16">
        <f>INDEX('Team forecast'!$B$2:$AO$26,MATCH('Master data'!$B473,'Team forecast'!$B$2:$B$26,0),MATCH('Master data'!BF$1,'Team forecast'!$B$2:$AO$2,0))</f>
        <v>1.1461513485277883</v>
      </c>
      <c r="BG473" s="16">
        <f>INDEX('Team forecast'!$B$2:$AO$26,MATCH('Master data'!$B473,'Team forecast'!$B$2:$B$26,0),MATCH('Master data'!BG$1,'Team forecast'!$B$2:$AO$2,0))</f>
        <v>0.31785774198959899</v>
      </c>
      <c r="BH473" s="16">
        <f>INDEX('Team forecast'!$B$2:$AO$26,MATCH('Master data'!$B473,'Team forecast'!$B$2:$B$26,0),MATCH('Master data'!BH$1,'Team forecast'!$B$2:$AO$2,0))</f>
        <v>3.4610754537779926</v>
      </c>
      <c r="BI473" s="16">
        <f>INDEX('Team forecast'!$B$2:$AO$26,MATCH('Master data'!$B473,'Team forecast'!$B$2:$B$26,0),MATCH('Master data'!BI$1,'Team forecast'!$B$2:$AO$2,0))</f>
        <v>3.4610754537779926</v>
      </c>
      <c r="BJ473" s="5">
        <f t="shared" si="285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286"/>
        <v>0</v>
      </c>
      <c r="BO473" s="5">
        <f t="shared" si="287"/>
        <v>0</v>
      </c>
      <c r="BP473" s="5">
        <f t="shared" si="288"/>
        <v>0</v>
      </c>
      <c r="BQ473" s="5">
        <f t="shared" si="289"/>
        <v>15892.887099479949</v>
      </c>
      <c r="BR473" s="5">
        <f t="shared" si="290"/>
        <v>0</v>
      </c>
      <c r="BS473" s="5">
        <f t="shared" si="291"/>
        <v>0</v>
      </c>
      <c r="BT473" s="5">
        <f t="shared" si="292"/>
        <v>0</v>
      </c>
      <c r="BU473" s="5">
        <f t="shared" si="293"/>
        <v>0</v>
      </c>
      <c r="BV473" s="5">
        <f t="shared" si="294"/>
        <v>0</v>
      </c>
      <c r="BW473" s="5">
        <f t="shared" si="295"/>
        <v>10892.887099479949</v>
      </c>
      <c r="BX473" s="5">
        <f t="shared" si="296"/>
        <v>11568.581457471117</v>
      </c>
      <c r="BY473" s="5">
        <f t="shared" si="297"/>
        <v>34705.744372413348</v>
      </c>
      <c r="BZ473" s="5">
        <f>INDEX('Team forecast'!$R$3:$BH$26,MATCH($B473,'Team forecast'!$B$3:$B$26,0),MATCH(BZ$1,'Team forecast'!$R$2:$BH$2,0))*($BX473-(BY473+CH473)*0.01)</f>
        <v>-9849.8489171373803</v>
      </c>
      <c r="CA473" s="5">
        <f>INDEX('Team forecast'!$R$3:$BH$26,MATCH($B473,'Team forecast'!$B$3:$B$26,0),MATCH(CA$1,'Team forecast'!$R$2:$BH$2,0))*($BX473-(BY473+BX473+CH473)*0.01)</f>
        <v>-4875.7638787549231</v>
      </c>
      <c r="CB473" s="5">
        <f>INDEX('Team forecast'!$R$3:$BH$26,MATCH($B473,'Team forecast'!$B$3:$B$26,0),MATCH(CB$1,'Team forecast'!$R$2:$BH$2,0))*($BX473-(BY473+BX473*2+CH473)*0.01)</f>
        <v>-2372.2842964018905</v>
      </c>
      <c r="CC473" s="5">
        <f>INDEX('Team forecast'!$R$3:$BH$26,MATCH($B473,'Team forecast'!$B$3:$B$26,0),MATCH(CC$1,'Team forecast'!$R$2:$BH$2,0))*($BX473-(BY473+BX473*3+CH473)*0.01)</f>
        <v>-1084.2614689132615</v>
      </c>
      <c r="CD473" s="5">
        <f>+AK473+BD473*Cockpit!$C$3+BW473*Cockpit!$C$3^2+BZ473*Cockpit!$C$3^3+CA473*Cockpit!$C$3^4+CB473*Cockpit!$C$3^5+CC473*Cockpit!$C$3^6</f>
        <v>23404.744014779455</v>
      </c>
      <c r="CE473" s="5"/>
      <c r="CF473" s="5"/>
      <c r="CG473" s="5">
        <v>0</v>
      </c>
      <c r="CH473" s="5">
        <f t="shared" si="298"/>
        <v>2500000</v>
      </c>
      <c r="CI473" s="5">
        <f t="shared" si="299"/>
        <v>2500000</v>
      </c>
      <c r="CJ473" s="1">
        <f t="shared" si="300"/>
        <v>1.3882297748965339E-2</v>
      </c>
      <c r="CK473" s="5">
        <f>RANK(BY473,$BY$2:$BY$623)+COUNTIF($BY$2:$BY473,$BY473)-1</f>
        <v>327</v>
      </c>
      <c r="CL473" s="5">
        <f>RANK(CJ473,$CJ$2:$CJ$623)+COUNTIF($CJ$2:$CJ473,$CJ473)-1</f>
        <v>318</v>
      </c>
    </row>
    <row r="474" spans="1:90">
      <c r="A474" t="str">
        <f>Players!P475</f>
        <v>Marco  Friedl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2500000</v>
      </c>
      <c r="H474" s="16">
        <f>INDEX('Team forecast'!$B$2:$AO$26,MATCH('Master data'!$B474,'Team forecast'!$B$2:$B$26,0),MATCH('Master data'!H$1,'Team forecast'!$B$2:$AO$2,0))</f>
        <v>1.5562991347612565</v>
      </c>
      <c r="I474" s="16">
        <f>INDEX('Team forecast'!$B$2:$AO$26,MATCH('Master data'!$B474,'Team forecast'!$B$2:$B$26,0),MATCH('Master data'!I$1,'Team forecast'!$B$2:$AO$2,0))</f>
        <v>0.65653770483831209</v>
      </c>
      <c r="J474" s="16">
        <f>INDEX('Team forecast'!$B$2:$AO$26,MATCH('Master data'!$B474,'Team forecast'!$B$2:$B$26,0),MATCH('Master data'!J$1,'Team forecast'!$B$2:$AO$2,0))</f>
        <v>0.51864392781930047</v>
      </c>
      <c r="K474" s="16">
        <f>INDEX('Team forecast'!$B$2:$AO$26,MATCH('Master data'!$B474,'Team forecast'!$B$2:$B$26,0),MATCH('Master data'!K$1,'Team forecast'!$B$2:$AO$2,0))</f>
        <v>4.6996138345751106</v>
      </c>
      <c r="L474" s="16">
        <f>INDEX('Team forecast'!$B$2:$AO$26,MATCH('Master data'!$B474,'Team forecast'!$B$2:$B$26,0),MATCH('Master data'!L$1,'Team forecast'!$B$2:$AO$2,0))</f>
        <v>1.9825710955314819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9.6843615494978469E-2</v>
      </c>
      <c r="R474" s="2">
        <f>Players!BR475</f>
        <v>0</v>
      </c>
      <c r="S474" s="2">
        <f t="shared" si="259"/>
        <v>1.5562991347612565</v>
      </c>
      <c r="T474" s="2">
        <f t="shared" si="260"/>
        <v>0.65653770483831209</v>
      </c>
      <c r="U474" s="16">
        <f>INDEX('Team forecast'!$B$2:$AO$26,MATCH('Master data'!$B474,'Team forecast'!$B$2:$B$26,0),MATCH('Master data'!U$1,'Team forecast'!$B$2:$AO$2,0))</f>
        <v>0.60453400503778332</v>
      </c>
      <c r="V474" s="16">
        <f>INDEX('Team forecast'!$B$2:$AO$26,MATCH('Master data'!$B474,'Team forecast'!$B$2:$B$26,0),MATCH('Master data'!V$1,'Team forecast'!$B$2:$AO$2,0))</f>
        <v>0.23727959697733</v>
      </c>
      <c r="W474" s="16">
        <f>INDEX('Team forecast'!$B$2:$AO$26,MATCH('Master data'!$B474,'Team forecast'!$B$2:$B$26,0),MATCH('Master data'!W$1,'Team forecast'!$B$2:$AO$2,0))</f>
        <v>0.15818639798488671</v>
      </c>
      <c r="X474" s="5">
        <f t="shared" si="261"/>
        <v>-5000</v>
      </c>
      <c r="Y474" s="5">
        <f t="shared" si="262"/>
        <v>0</v>
      </c>
      <c r="Z474" s="5">
        <f t="shared" si="263"/>
        <v>0</v>
      </c>
      <c r="AA474" s="5">
        <f t="shared" si="264"/>
        <v>0</v>
      </c>
      <c r="AB474" s="5">
        <f t="shared" si="265"/>
        <v>0</v>
      </c>
      <c r="AC474" s="5">
        <f t="shared" si="266"/>
        <v>0</v>
      </c>
      <c r="AD474" s="5">
        <f t="shared" si="267"/>
        <v>0</v>
      </c>
      <c r="AE474" s="5">
        <f t="shared" si="268"/>
        <v>25932.196390965022</v>
      </c>
      <c r="AF474" s="5">
        <f t="shared" si="269"/>
        <v>0</v>
      </c>
      <c r="AG474" s="5">
        <f t="shared" si="270"/>
        <v>0</v>
      </c>
      <c r="AH474" s="5">
        <f t="shared" si="271"/>
        <v>0</v>
      </c>
      <c r="AI474" s="5">
        <f t="shared" si="272"/>
        <v>0</v>
      </c>
      <c r="AJ474" s="5">
        <f t="shared" si="273"/>
        <v>0</v>
      </c>
      <c r="AK474" s="5">
        <f>IFERROR(SUM(X474:AJ474),-5000)*((Cockpit!$C$3)^0)</f>
        <v>20932.196390965022</v>
      </c>
      <c r="AL474" s="16">
        <f>INDEX('Team forecast'!$B$2:$AO$26,MATCH('Master data'!$B474,'Team forecast'!$B$2:$B$26,0),MATCH('Master data'!AL$1,'Team forecast'!$B$2:$AO$2,0))</f>
        <v>0.7977891123063281</v>
      </c>
      <c r="AM474" s="16">
        <f>INDEX('Team forecast'!$B$2:$AO$26,MATCH('Master data'!$B474,'Team forecast'!$B$2:$B$26,0),MATCH('Master data'!AM$1,'Team forecast'!$B$2:$AO$2,0))</f>
        <v>1.8476112368050062</v>
      </c>
      <c r="AN474" s="16">
        <f>INDEX('Team forecast'!$B$2:$AO$26,MATCH('Master data'!$B474,'Team forecast'!$B$2:$B$26,0),MATCH('Master data'!AN$1,'Team forecast'!$B$2:$AO$2,0))</f>
        <v>0.15761321763936759</v>
      </c>
      <c r="AO474" s="16">
        <f>INDEX('Team forecast'!$B$2:$AO$26,MATCH('Master data'!$B474,'Team forecast'!$B$2:$B$26,0),MATCH('Master data'!AO$1,'Team forecast'!$B$2:$AO$2,0))</f>
        <v>2.4091131746618726</v>
      </c>
      <c r="AP474" s="16">
        <f>INDEX('Team forecast'!$B$2:$AO$26,MATCH('Master data'!$B474,'Team forecast'!$B$2:$B$26,0),MATCH('Master data'!AP$1,'Team forecast'!$B$2:$AO$2,0))</f>
        <v>5.5792997216677493</v>
      </c>
      <c r="AQ474" s="5">
        <f t="shared" si="274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275"/>
        <v>0</v>
      </c>
      <c r="AV474" s="5">
        <f t="shared" si="276"/>
        <v>0</v>
      </c>
      <c r="AW474" s="5">
        <f t="shared" si="277"/>
        <v>0</v>
      </c>
      <c r="AX474" s="5">
        <f t="shared" si="278"/>
        <v>7880.6608819683797</v>
      </c>
      <c r="AY474" s="5">
        <f t="shared" si="279"/>
        <v>0</v>
      </c>
      <c r="AZ474" s="5">
        <f t="shared" si="280"/>
        <v>0</v>
      </c>
      <c r="BA474" s="5">
        <f t="shared" si="281"/>
        <v>0</v>
      </c>
      <c r="BB474" s="5">
        <f t="shared" si="282"/>
        <v>0</v>
      </c>
      <c r="BC474" s="5">
        <f t="shared" si="283"/>
        <v>0</v>
      </c>
      <c r="BD474" s="5">
        <f t="shared" si="284"/>
        <v>2880.6608819683797</v>
      </c>
      <c r="BE474" s="16">
        <f>INDEX('Team forecast'!$B$2:$AO$26,MATCH('Master data'!$B474,'Team forecast'!$B$2:$B$26,0),MATCH('Master data'!BE$1,'Team forecast'!$B$2:$AO$2,0))</f>
        <v>1.1461513485277883</v>
      </c>
      <c r="BF474" s="16">
        <f>INDEX('Team forecast'!$B$2:$AO$26,MATCH('Master data'!$B474,'Team forecast'!$B$2:$B$26,0),MATCH('Master data'!BF$1,'Team forecast'!$B$2:$AO$2,0))</f>
        <v>1.1461513485277883</v>
      </c>
      <c r="BG474" s="16">
        <f>INDEX('Team forecast'!$B$2:$AO$26,MATCH('Master data'!$B474,'Team forecast'!$B$2:$B$26,0),MATCH('Master data'!BG$1,'Team forecast'!$B$2:$AO$2,0))</f>
        <v>0.31785774198959899</v>
      </c>
      <c r="BH474" s="16">
        <f>INDEX('Team forecast'!$B$2:$AO$26,MATCH('Master data'!$B474,'Team forecast'!$B$2:$B$26,0),MATCH('Master data'!BH$1,'Team forecast'!$B$2:$AO$2,0))</f>
        <v>3.4610754537779926</v>
      </c>
      <c r="BI474" s="16">
        <f>INDEX('Team forecast'!$B$2:$AO$26,MATCH('Master data'!$B474,'Team forecast'!$B$2:$B$26,0),MATCH('Master data'!BI$1,'Team forecast'!$B$2:$AO$2,0))</f>
        <v>3.4610754537779926</v>
      </c>
      <c r="BJ474" s="5">
        <f t="shared" si="285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286"/>
        <v>0</v>
      </c>
      <c r="BO474" s="5">
        <f t="shared" si="287"/>
        <v>0</v>
      </c>
      <c r="BP474" s="5">
        <f t="shared" si="288"/>
        <v>0</v>
      </c>
      <c r="BQ474" s="5">
        <f t="shared" si="289"/>
        <v>15892.887099479949</v>
      </c>
      <c r="BR474" s="5">
        <f t="shared" si="290"/>
        <v>0</v>
      </c>
      <c r="BS474" s="5">
        <f t="shared" si="291"/>
        <v>0</v>
      </c>
      <c r="BT474" s="5">
        <f t="shared" si="292"/>
        <v>0</v>
      </c>
      <c r="BU474" s="5">
        <f t="shared" si="293"/>
        <v>0</v>
      </c>
      <c r="BV474" s="5">
        <f t="shared" si="294"/>
        <v>0</v>
      </c>
      <c r="BW474" s="5">
        <f t="shared" si="295"/>
        <v>10892.887099479949</v>
      </c>
      <c r="BX474" s="5">
        <f t="shared" si="296"/>
        <v>11568.581457471117</v>
      </c>
      <c r="BY474" s="5">
        <f t="shared" si="297"/>
        <v>34705.744372413348</v>
      </c>
      <c r="BZ474" s="5">
        <f>INDEX('Team forecast'!$R$3:$BH$26,MATCH($B474,'Team forecast'!$B$3:$B$26,0),MATCH(BZ$1,'Team forecast'!$R$2:$BH$2,0))*($BX474-(BY474+CH474)*0.01)</f>
        <v>-9849.8489171373803</v>
      </c>
      <c r="CA474" s="5">
        <f>INDEX('Team forecast'!$R$3:$BH$26,MATCH($B474,'Team forecast'!$B$3:$B$26,0),MATCH(CA$1,'Team forecast'!$R$2:$BH$2,0))*($BX474-(BY474+BX474+CH474)*0.01)</f>
        <v>-4875.7638787549231</v>
      </c>
      <c r="CB474" s="5">
        <f>INDEX('Team forecast'!$R$3:$BH$26,MATCH($B474,'Team forecast'!$B$3:$B$26,0),MATCH(CB$1,'Team forecast'!$R$2:$BH$2,0))*($BX474-(BY474+BX474*2+CH474)*0.01)</f>
        <v>-2372.2842964018905</v>
      </c>
      <c r="CC474" s="5">
        <f>INDEX('Team forecast'!$R$3:$BH$26,MATCH($B474,'Team forecast'!$B$3:$B$26,0),MATCH(CC$1,'Team forecast'!$R$2:$BH$2,0))*($BX474-(BY474+BX474*3+CH474)*0.01)</f>
        <v>-1084.2614689132615</v>
      </c>
      <c r="CD474" s="5">
        <f>+AK474+BD474*Cockpit!$C$3+BW474*Cockpit!$C$3^2+BZ474*Cockpit!$C$3^3+CA474*Cockpit!$C$3^4+CB474*Cockpit!$C$3^5+CC474*Cockpit!$C$3^6</f>
        <v>23404.744014779455</v>
      </c>
      <c r="CE474" s="5"/>
      <c r="CF474" s="5"/>
      <c r="CG474" s="5">
        <v>0</v>
      </c>
      <c r="CH474" s="5">
        <f t="shared" si="298"/>
        <v>2500000</v>
      </c>
      <c r="CI474" s="5">
        <f t="shared" si="299"/>
        <v>2500000</v>
      </c>
      <c r="CJ474" s="1">
        <f t="shared" si="300"/>
        <v>1.3882297748965339E-2</v>
      </c>
      <c r="CK474" s="5">
        <f>RANK(BY474,$BY$2:$BY$623)+COUNTIF($BY$2:$BY474,$BY474)-1</f>
        <v>328</v>
      </c>
      <c r="CL474" s="5">
        <f>RANK(CJ474,$CJ$2:$CJ$623)+COUNTIF($CJ$2:$CJ474,$CJ474)-1</f>
        <v>319</v>
      </c>
    </row>
    <row r="475" spans="1:90">
      <c r="A475" t="str">
        <f>Players!P476</f>
        <v>Stefan Posch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2000000</v>
      </c>
      <c r="H475" s="16">
        <f>INDEX('Team forecast'!$B$2:$AO$26,MATCH('Master data'!$B475,'Team forecast'!$B$2:$B$26,0),MATCH('Master data'!H$1,'Team forecast'!$B$2:$AO$2,0))</f>
        <v>1.5562991347612565</v>
      </c>
      <c r="I475" s="16">
        <f>INDEX('Team forecast'!$B$2:$AO$26,MATCH('Master data'!$B475,'Team forecast'!$B$2:$B$26,0),MATCH('Master data'!I$1,'Team forecast'!$B$2:$AO$2,0))</f>
        <v>0.65653770483831209</v>
      </c>
      <c r="J475" s="16">
        <f>INDEX('Team forecast'!$B$2:$AO$26,MATCH('Master data'!$B475,'Team forecast'!$B$2:$B$26,0),MATCH('Master data'!J$1,'Team forecast'!$B$2:$AO$2,0))</f>
        <v>0.51864392781930047</v>
      </c>
      <c r="K475" s="16">
        <f>INDEX('Team forecast'!$B$2:$AO$26,MATCH('Master data'!$B475,'Team forecast'!$B$2:$B$26,0),MATCH('Master data'!K$1,'Team forecast'!$B$2:$AO$2,0))</f>
        <v>4.6996138345751106</v>
      </c>
      <c r="L475" s="16">
        <f>INDEX('Team forecast'!$B$2:$AO$26,MATCH('Master data'!$B475,'Team forecast'!$B$2:$B$26,0),MATCH('Master data'!L$1,'Team forecast'!$B$2:$AO$2,0))</f>
        <v>1.9825710955314819</v>
      </c>
      <c r="M475">
        <f>IF(Players!BC476=1,95,0)</f>
        <v>0</v>
      </c>
      <c r="N475" s="2">
        <f>Players!BN476</f>
        <v>0</v>
      </c>
      <c r="O475" s="2">
        <f>Players!BO476</f>
        <v>0</v>
      </c>
      <c r="P475" s="2">
        <f>Players!BP476</f>
        <v>0</v>
      </c>
      <c r="Q475" s="2">
        <f>Players!BQ476</f>
        <v>0.31076778144135658</v>
      </c>
      <c r="R475" s="2">
        <f>Players!BR476</f>
        <v>4.239284032030146E-2</v>
      </c>
      <c r="S475" s="2">
        <f t="shared" si="259"/>
        <v>1.5562991347612565</v>
      </c>
      <c r="T475" s="2">
        <f t="shared" si="260"/>
        <v>0.65653770483831209</v>
      </c>
      <c r="U475" s="16">
        <f>INDEX('Team forecast'!$B$2:$AO$26,MATCH('Master data'!$B475,'Team forecast'!$B$2:$B$26,0),MATCH('Master data'!U$1,'Team forecast'!$B$2:$AO$2,0))</f>
        <v>0.60453400503778332</v>
      </c>
      <c r="V475" s="16">
        <f>INDEX('Team forecast'!$B$2:$AO$26,MATCH('Master data'!$B475,'Team forecast'!$B$2:$B$26,0),MATCH('Master data'!V$1,'Team forecast'!$B$2:$AO$2,0))</f>
        <v>0.23727959697733</v>
      </c>
      <c r="W475" s="16">
        <f>INDEX('Team forecast'!$B$2:$AO$26,MATCH('Master data'!$B475,'Team forecast'!$B$2:$B$26,0),MATCH('Master data'!W$1,'Team forecast'!$B$2:$AO$2,0))</f>
        <v>0.15818639798488671</v>
      </c>
      <c r="X475" s="5">
        <f t="shared" si="261"/>
        <v>-5000</v>
      </c>
      <c r="Y475" s="5">
        <f t="shared" si="262"/>
        <v>0</v>
      </c>
      <c r="Z475" s="5">
        <f t="shared" si="263"/>
        <v>0</v>
      </c>
      <c r="AA475" s="5">
        <f t="shared" si="264"/>
        <v>0</v>
      </c>
      <c r="AB475" s="5">
        <f t="shared" si="265"/>
        <v>0</v>
      </c>
      <c r="AC475" s="5">
        <f t="shared" si="266"/>
        <v>0</v>
      </c>
      <c r="AD475" s="5">
        <f t="shared" si="267"/>
        <v>0</v>
      </c>
      <c r="AE475" s="5">
        <f t="shared" si="268"/>
        <v>25932.196390965022</v>
      </c>
      <c r="AF475" s="5">
        <f t="shared" si="269"/>
        <v>0</v>
      </c>
      <c r="AG475" s="5">
        <f t="shared" si="270"/>
        <v>0</v>
      </c>
      <c r="AH475" s="5">
        <f t="shared" si="271"/>
        <v>0</v>
      </c>
      <c r="AI475" s="5">
        <f t="shared" si="272"/>
        <v>0</v>
      </c>
      <c r="AJ475" s="5">
        <f t="shared" si="273"/>
        <v>0</v>
      </c>
      <c r="AK475" s="5">
        <f>IFERROR(SUM(X475:AJ475),-5000)*((Cockpit!$C$3)^0)</f>
        <v>20932.196390965022</v>
      </c>
      <c r="AL475" s="16">
        <f>INDEX('Team forecast'!$B$2:$AO$26,MATCH('Master data'!$B475,'Team forecast'!$B$2:$B$26,0),MATCH('Master data'!AL$1,'Team forecast'!$B$2:$AO$2,0))</f>
        <v>0.7977891123063281</v>
      </c>
      <c r="AM475" s="16">
        <f>INDEX('Team forecast'!$B$2:$AO$26,MATCH('Master data'!$B475,'Team forecast'!$B$2:$B$26,0),MATCH('Master data'!AM$1,'Team forecast'!$B$2:$AO$2,0))</f>
        <v>1.8476112368050062</v>
      </c>
      <c r="AN475" s="16">
        <f>INDEX('Team forecast'!$B$2:$AO$26,MATCH('Master data'!$B475,'Team forecast'!$B$2:$B$26,0),MATCH('Master data'!AN$1,'Team forecast'!$B$2:$AO$2,0))</f>
        <v>0.15761321763936759</v>
      </c>
      <c r="AO475" s="16">
        <f>INDEX('Team forecast'!$B$2:$AO$26,MATCH('Master data'!$B475,'Team forecast'!$B$2:$B$26,0),MATCH('Master data'!AO$1,'Team forecast'!$B$2:$AO$2,0))</f>
        <v>2.4091131746618726</v>
      </c>
      <c r="AP475" s="16">
        <f>INDEX('Team forecast'!$B$2:$AO$26,MATCH('Master data'!$B475,'Team forecast'!$B$2:$B$26,0),MATCH('Master data'!AP$1,'Team forecast'!$B$2:$AO$2,0))</f>
        <v>5.5792997216677493</v>
      </c>
      <c r="AQ475" s="5">
        <f t="shared" si="274"/>
        <v>-5000</v>
      </c>
      <c r="AR475" s="5">
        <f>INDEX('Team forecast'!$B$2:$AO$26,MATCH('Master data'!$B475,'Team forecast'!$B$2:$B$26,0),MATCH('Master data'!AR$1,'Team forecast'!$B$2:$AO$2,0))*IF(X475&gt;0,25000,0)</f>
        <v>0</v>
      </c>
      <c r="AS475" s="16">
        <f>INDEX('Team forecast'!$B$2:$AO$26,MATCH('Master data'!$B475,'Team forecast'!$B$2:$B$26,0),MATCH('Master data'!AS$1,'Team forecast'!$B$2:$AO$2,0))*IF(X475&gt;0,5000,0)</f>
        <v>0</v>
      </c>
      <c r="AT475" s="16">
        <f>INDEX('Team forecast'!$B$2:$AO$26,MATCH('Master data'!$B475,'Team forecast'!$B$2:$B$26,0),MATCH('Master data'!AT$1,'Team forecast'!$B$2:$AO$2,0))*IF(X475&gt;0,-15000,0)</f>
        <v>0</v>
      </c>
      <c r="AU475" s="5">
        <f t="shared" si="275"/>
        <v>0</v>
      </c>
      <c r="AV475" s="5">
        <f t="shared" si="276"/>
        <v>0</v>
      </c>
      <c r="AW475" s="5">
        <f t="shared" si="277"/>
        <v>0</v>
      </c>
      <c r="AX475" s="5">
        <f t="shared" si="278"/>
        <v>7880.6608819683797</v>
      </c>
      <c r="AY475" s="5">
        <f t="shared" si="279"/>
        <v>0</v>
      </c>
      <c r="AZ475" s="5">
        <f t="shared" si="280"/>
        <v>0</v>
      </c>
      <c r="BA475" s="5">
        <f t="shared" si="281"/>
        <v>0</v>
      </c>
      <c r="BB475" s="5">
        <f t="shared" si="282"/>
        <v>0</v>
      </c>
      <c r="BC475" s="5">
        <f t="shared" si="283"/>
        <v>0</v>
      </c>
      <c r="BD475" s="5">
        <f t="shared" si="284"/>
        <v>2880.6608819683797</v>
      </c>
      <c r="BE475" s="16">
        <f>INDEX('Team forecast'!$B$2:$AO$26,MATCH('Master data'!$B475,'Team forecast'!$B$2:$B$26,0),MATCH('Master data'!BE$1,'Team forecast'!$B$2:$AO$2,0))</f>
        <v>1.1461513485277883</v>
      </c>
      <c r="BF475" s="16">
        <f>INDEX('Team forecast'!$B$2:$AO$26,MATCH('Master data'!$B475,'Team forecast'!$B$2:$B$26,0),MATCH('Master data'!BF$1,'Team forecast'!$B$2:$AO$2,0))</f>
        <v>1.1461513485277883</v>
      </c>
      <c r="BG475" s="16">
        <f>INDEX('Team forecast'!$B$2:$AO$26,MATCH('Master data'!$B475,'Team forecast'!$B$2:$B$26,0),MATCH('Master data'!BG$1,'Team forecast'!$B$2:$AO$2,0))</f>
        <v>0.31785774198959899</v>
      </c>
      <c r="BH475" s="16">
        <f>INDEX('Team forecast'!$B$2:$AO$26,MATCH('Master data'!$B475,'Team forecast'!$B$2:$B$26,0),MATCH('Master data'!BH$1,'Team forecast'!$B$2:$AO$2,0))</f>
        <v>3.4610754537779926</v>
      </c>
      <c r="BI475" s="16">
        <f>INDEX('Team forecast'!$B$2:$AO$26,MATCH('Master data'!$B475,'Team forecast'!$B$2:$B$26,0),MATCH('Master data'!BI$1,'Team forecast'!$B$2:$AO$2,0))</f>
        <v>3.4610754537779926</v>
      </c>
      <c r="BJ475" s="5">
        <f t="shared" si="285"/>
        <v>-5000</v>
      </c>
      <c r="BK475" s="5">
        <f>INDEX('Team forecast'!$R$3:$BH$26,MATCH($B475,'Team forecast'!$B$3:$B$26,0),MATCH(BK$1,'Team forecast'!$R$2:$BH$2,0))*IF($X475&gt;0,25000,0)</f>
        <v>0</v>
      </c>
      <c r="BL475" s="5">
        <f>INDEX('Team forecast'!$R$3:$BH$26,MATCH($B475,'Team forecast'!$B$3:$B$26,0),MATCH(BL$1,'Team forecast'!$R$2:$BH$2,0))*IF($X475&gt;0,5000,0)</f>
        <v>0</v>
      </c>
      <c r="BM475" s="5">
        <f>INDEX('Team forecast'!$R$3:$BH$26,MATCH($B475,'Team forecast'!$B$3:$B$26,0),MATCH(BM$1,'Team forecast'!$R$2:$BH$2,0))*IF($X475&gt;0,-15000,0)</f>
        <v>0</v>
      </c>
      <c r="BN475" s="5">
        <f t="shared" si="286"/>
        <v>0</v>
      </c>
      <c r="BO475" s="5">
        <f t="shared" si="287"/>
        <v>0</v>
      </c>
      <c r="BP475" s="5">
        <f t="shared" si="288"/>
        <v>0</v>
      </c>
      <c r="BQ475" s="5">
        <f t="shared" si="289"/>
        <v>15892.887099479949</v>
      </c>
      <c r="BR475" s="5">
        <f t="shared" si="290"/>
        <v>0</v>
      </c>
      <c r="BS475" s="5">
        <f t="shared" si="291"/>
        <v>0</v>
      </c>
      <c r="BT475" s="5">
        <f t="shared" si="292"/>
        <v>0</v>
      </c>
      <c r="BU475" s="5">
        <f t="shared" si="293"/>
        <v>0</v>
      </c>
      <c r="BV475" s="5">
        <f t="shared" si="294"/>
        <v>0</v>
      </c>
      <c r="BW475" s="5">
        <f t="shared" si="295"/>
        <v>10892.887099479949</v>
      </c>
      <c r="BX475" s="5">
        <f t="shared" si="296"/>
        <v>11568.581457471117</v>
      </c>
      <c r="BY475" s="5">
        <f t="shared" si="297"/>
        <v>34705.744372413348</v>
      </c>
      <c r="BZ475" s="5">
        <f>INDEX('Team forecast'!$R$3:$BH$26,MATCH($B475,'Team forecast'!$B$3:$B$26,0),MATCH(BZ$1,'Team forecast'!$R$2:$BH$2,0))*($BX475-(BY475+CH475)*0.01)</f>
        <v>-6275.4881072173584</v>
      </c>
      <c r="CA475" s="5">
        <f>INDEX('Team forecast'!$R$3:$BH$26,MATCH($B475,'Team forecast'!$B$3:$B$26,0),MATCH(CA$1,'Team forecast'!$R$2:$BH$2,0))*($BX475-(BY475+BX475+CH475)*0.01)</f>
        <v>-3121.1550190594589</v>
      </c>
      <c r="CB475" s="5">
        <f>INDEX('Team forecast'!$R$3:$BH$26,MATCH($B475,'Team forecast'!$B$3:$B$26,0),MATCH(CB$1,'Team forecast'!$R$2:$BH$2,0))*($BX475-(BY475+BX475*2+CH475)*0.01)</f>
        <v>-1525.6354385678483</v>
      </c>
      <c r="CC475" s="5">
        <f>INDEX('Team forecast'!$R$3:$BH$26,MATCH($B475,'Team forecast'!$B$3:$B$26,0),MATCH(CC$1,'Team forecast'!$R$2:$BH$2,0))*($BX475-(BY475+BX475*3+CH475)*0.01)</f>
        <v>-700.46659338231495</v>
      </c>
      <c r="CD475" s="5">
        <f>+AK475+BD475*Cockpit!$C$3+BW475*Cockpit!$C$3^2+BZ475*Cockpit!$C$3^3+CA475*Cockpit!$C$3^4+CB475*Cockpit!$C$3^5+CC475*Cockpit!$C$3^6</f>
        <v>24955.590068448757</v>
      </c>
      <c r="CE475" s="5"/>
      <c r="CF475" s="5"/>
      <c r="CG475" s="5">
        <v>0</v>
      </c>
      <c r="CH475" s="5">
        <f t="shared" si="298"/>
        <v>2000000</v>
      </c>
      <c r="CI475" s="5">
        <f t="shared" si="299"/>
        <v>2000000</v>
      </c>
      <c r="CJ475" s="1">
        <f t="shared" si="300"/>
        <v>1.7352872186206673E-2</v>
      </c>
      <c r="CK475" s="5">
        <f>RANK(BY475,$BY$2:$BY$623)+COUNTIF($BY$2:$BY475,$BY475)-1</f>
        <v>329</v>
      </c>
      <c r="CL475" s="5">
        <f>RANK(CJ475,$CJ$2:$CJ$623)+COUNTIF($CJ$2:$CJ475,$CJ475)-1</f>
        <v>284</v>
      </c>
    </row>
    <row r="476" spans="1:90">
      <c r="A476" t="str">
        <f>Players!P477</f>
        <v>Andreas Ulmer</v>
      </c>
      <c r="B476" t="str">
        <f>Players!G477</f>
        <v>Austria</v>
      </c>
      <c r="C476" t="str">
        <f>Players!AB477</f>
        <v>Defense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1.5562991347612565</v>
      </c>
      <c r="I476" s="16">
        <f>INDEX('Team forecast'!$B$2:$AO$26,MATCH('Master data'!$B476,'Team forecast'!$B$2:$B$26,0),MATCH('Master data'!I$1,'Team forecast'!$B$2:$AO$2,0))</f>
        <v>0.65653770483831209</v>
      </c>
      <c r="J476" s="16">
        <f>INDEX('Team forecast'!$B$2:$AO$26,MATCH('Master data'!$B476,'Team forecast'!$B$2:$B$26,0),MATCH('Master data'!J$1,'Team forecast'!$B$2:$AO$2,0))</f>
        <v>0.51864392781930047</v>
      </c>
      <c r="K476" s="16">
        <f>INDEX('Team forecast'!$B$2:$AO$26,MATCH('Master data'!$B476,'Team forecast'!$B$2:$B$26,0),MATCH('Master data'!K$1,'Team forecast'!$B$2:$AO$2,0))</f>
        <v>4.6996138345751106</v>
      </c>
      <c r="L476" s="16">
        <f>INDEX('Team forecast'!$B$2:$AO$26,MATCH('Master data'!$B476,'Team forecast'!$B$2:$B$26,0),MATCH('Master data'!L$1,'Team forecast'!$B$2:$AO$2,0))</f>
        <v>1.9825710955314819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0.1098654037886341</v>
      </c>
      <c r="R476" s="2">
        <f>Players!BR477</f>
        <v>0</v>
      </c>
      <c r="S476" s="2">
        <f t="shared" si="259"/>
        <v>1.5562991347612565</v>
      </c>
      <c r="T476" s="2">
        <f t="shared" si="260"/>
        <v>0.65653770483831209</v>
      </c>
      <c r="U476" s="16">
        <f>INDEX('Team forecast'!$B$2:$AO$26,MATCH('Master data'!$B476,'Team forecast'!$B$2:$B$26,0),MATCH('Master data'!U$1,'Team forecast'!$B$2:$AO$2,0))</f>
        <v>0.60453400503778332</v>
      </c>
      <c r="V476" s="16">
        <f>INDEX('Team forecast'!$B$2:$AO$26,MATCH('Master data'!$B476,'Team forecast'!$B$2:$B$26,0),MATCH('Master data'!V$1,'Team forecast'!$B$2:$AO$2,0))</f>
        <v>0.23727959697733</v>
      </c>
      <c r="W476" s="16">
        <f>INDEX('Team forecast'!$B$2:$AO$26,MATCH('Master data'!$B476,'Team forecast'!$B$2:$B$26,0),MATCH('Master data'!W$1,'Team forecast'!$B$2:$AO$2,0))</f>
        <v>0.15818639798488671</v>
      </c>
      <c r="X476" s="5">
        <f t="shared" si="261"/>
        <v>-5000</v>
      </c>
      <c r="Y476" s="5">
        <f t="shared" si="262"/>
        <v>0</v>
      </c>
      <c r="Z476" s="5">
        <f t="shared" si="263"/>
        <v>0</v>
      </c>
      <c r="AA476" s="5">
        <f t="shared" si="264"/>
        <v>0</v>
      </c>
      <c r="AB476" s="5">
        <f t="shared" si="265"/>
        <v>0</v>
      </c>
      <c r="AC476" s="5">
        <f t="shared" si="266"/>
        <v>0</v>
      </c>
      <c r="AD476" s="5">
        <f t="shared" si="267"/>
        <v>0</v>
      </c>
      <c r="AE476" s="5">
        <f t="shared" si="268"/>
        <v>25932.196390965022</v>
      </c>
      <c r="AF476" s="5">
        <f t="shared" si="269"/>
        <v>0</v>
      </c>
      <c r="AG476" s="5">
        <f t="shared" si="270"/>
        <v>0</v>
      </c>
      <c r="AH476" s="5">
        <f t="shared" si="271"/>
        <v>0</v>
      </c>
      <c r="AI476" s="5">
        <f t="shared" si="272"/>
        <v>0</v>
      </c>
      <c r="AJ476" s="5">
        <f t="shared" si="273"/>
        <v>0</v>
      </c>
      <c r="AK476" s="5">
        <f>IFERROR(SUM(X476:AJ476),-5000)*((Cockpit!$C$3)^0)</f>
        <v>20932.196390965022</v>
      </c>
      <c r="AL476" s="16">
        <f>INDEX('Team forecast'!$B$2:$AO$26,MATCH('Master data'!$B476,'Team forecast'!$B$2:$B$26,0),MATCH('Master data'!AL$1,'Team forecast'!$B$2:$AO$2,0))</f>
        <v>0.7977891123063281</v>
      </c>
      <c r="AM476" s="16">
        <f>INDEX('Team forecast'!$B$2:$AO$26,MATCH('Master data'!$B476,'Team forecast'!$B$2:$B$26,0),MATCH('Master data'!AM$1,'Team forecast'!$B$2:$AO$2,0))</f>
        <v>1.8476112368050062</v>
      </c>
      <c r="AN476" s="16">
        <f>INDEX('Team forecast'!$B$2:$AO$26,MATCH('Master data'!$B476,'Team forecast'!$B$2:$B$26,0),MATCH('Master data'!AN$1,'Team forecast'!$B$2:$AO$2,0))</f>
        <v>0.15761321763936759</v>
      </c>
      <c r="AO476" s="16">
        <f>INDEX('Team forecast'!$B$2:$AO$26,MATCH('Master data'!$B476,'Team forecast'!$B$2:$B$26,0),MATCH('Master data'!AO$1,'Team forecast'!$B$2:$AO$2,0))</f>
        <v>2.4091131746618726</v>
      </c>
      <c r="AP476" s="16">
        <f>INDEX('Team forecast'!$B$2:$AO$26,MATCH('Master data'!$B476,'Team forecast'!$B$2:$B$26,0),MATCH('Master data'!AP$1,'Team forecast'!$B$2:$AO$2,0))</f>
        <v>5.5792997216677493</v>
      </c>
      <c r="AQ476" s="5">
        <f t="shared" si="274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275"/>
        <v>0</v>
      </c>
      <c r="AV476" s="5">
        <f t="shared" si="276"/>
        <v>0</v>
      </c>
      <c r="AW476" s="5">
        <f t="shared" si="277"/>
        <v>0</v>
      </c>
      <c r="AX476" s="5">
        <f t="shared" si="278"/>
        <v>7880.6608819683797</v>
      </c>
      <c r="AY476" s="5">
        <f t="shared" si="279"/>
        <v>0</v>
      </c>
      <c r="AZ476" s="5">
        <f t="shared" si="280"/>
        <v>0</v>
      </c>
      <c r="BA476" s="5">
        <f t="shared" si="281"/>
        <v>0</v>
      </c>
      <c r="BB476" s="5">
        <f t="shared" si="282"/>
        <v>0</v>
      </c>
      <c r="BC476" s="5">
        <f t="shared" si="283"/>
        <v>0</v>
      </c>
      <c r="BD476" s="5">
        <f t="shared" si="284"/>
        <v>2880.6608819683797</v>
      </c>
      <c r="BE476" s="16">
        <f>INDEX('Team forecast'!$B$2:$AO$26,MATCH('Master data'!$B476,'Team forecast'!$B$2:$B$26,0),MATCH('Master data'!BE$1,'Team forecast'!$B$2:$AO$2,0))</f>
        <v>1.1461513485277883</v>
      </c>
      <c r="BF476" s="16">
        <f>INDEX('Team forecast'!$B$2:$AO$26,MATCH('Master data'!$B476,'Team forecast'!$B$2:$B$26,0),MATCH('Master data'!BF$1,'Team forecast'!$B$2:$AO$2,0))</f>
        <v>1.1461513485277883</v>
      </c>
      <c r="BG476" s="16">
        <f>INDEX('Team forecast'!$B$2:$AO$26,MATCH('Master data'!$B476,'Team forecast'!$B$2:$B$26,0),MATCH('Master data'!BG$1,'Team forecast'!$B$2:$AO$2,0))</f>
        <v>0.31785774198959899</v>
      </c>
      <c r="BH476" s="16">
        <f>INDEX('Team forecast'!$B$2:$AO$26,MATCH('Master data'!$B476,'Team forecast'!$B$2:$B$26,0),MATCH('Master data'!BH$1,'Team forecast'!$B$2:$AO$2,0))</f>
        <v>3.4610754537779926</v>
      </c>
      <c r="BI476" s="16">
        <f>INDEX('Team forecast'!$B$2:$AO$26,MATCH('Master data'!$B476,'Team forecast'!$B$2:$B$26,0),MATCH('Master data'!BI$1,'Team forecast'!$B$2:$AO$2,0))</f>
        <v>3.4610754537779926</v>
      </c>
      <c r="BJ476" s="5">
        <f t="shared" si="285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286"/>
        <v>0</v>
      </c>
      <c r="BO476" s="5">
        <f t="shared" si="287"/>
        <v>0</v>
      </c>
      <c r="BP476" s="5">
        <f t="shared" si="288"/>
        <v>0</v>
      </c>
      <c r="BQ476" s="5">
        <f t="shared" si="289"/>
        <v>15892.887099479949</v>
      </c>
      <c r="BR476" s="5">
        <f t="shared" si="290"/>
        <v>0</v>
      </c>
      <c r="BS476" s="5">
        <f t="shared" si="291"/>
        <v>0</v>
      </c>
      <c r="BT476" s="5">
        <f t="shared" si="292"/>
        <v>0</v>
      </c>
      <c r="BU476" s="5">
        <f t="shared" si="293"/>
        <v>0</v>
      </c>
      <c r="BV476" s="5">
        <f t="shared" si="294"/>
        <v>0</v>
      </c>
      <c r="BW476" s="5">
        <f t="shared" si="295"/>
        <v>10892.887099479949</v>
      </c>
      <c r="BX476" s="5">
        <f t="shared" si="296"/>
        <v>11568.581457471117</v>
      </c>
      <c r="BY476" s="5">
        <f t="shared" si="297"/>
        <v>34705.744372413348</v>
      </c>
      <c r="BZ476" s="5">
        <f>INDEX('Team forecast'!$R$3:$BH$26,MATCH($B476,'Team forecast'!$B$3:$B$26,0),MATCH(BZ$1,'Team forecast'!$R$2:$BH$2,0))*($BX476-(BY476+CH476)*0.01)</f>
        <v>-13424.209727057403</v>
      </c>
      <c r="CA476" s="5">
        <f>INDEX('Team forecast'!$R$3:$BH$26,MATCH($B476,'Team forecast'!$B$3:$B$26,0),MATCH(CA$1,'Team forecast'!$R$2:$BH$2,0))*($BX476-(BY476+BX476+CH476)*0.01)</f>
        <v>-6630.3727384503882</v>
      </c>
      <c r="CB476" s="5">
        <f>INDEX('Team forecast'!$R$3:$BH$26,MATCH($B476,'Team forecast'!$B$3:$B$26,0),MATCH(CB$1,'Team forecast'!$R$2:$BH$2,0))*($BX476-(BY476+BX476*2+CH476)*0.01)</f>
        <v>-3218.9331542359328</v>
      </c>
      <c r="CC476" s="5">
        <f>INDEX('Team forecast'!$R$3:$BH$26,MATCH($B476,'Team forecast'!$B$3:$B$26,0),MATCH(CC$1,'Team forecast'!$R$2:$BH$2,0))*($BX476-(BY476+BX476*3+CH476)*0.01)</f>
        <v>-1468.0563444442084</v>
      </c>
      <c r="CD476" s="5">
        <f>+AK476+BD476*Cockpit!$C$3+BW476*Cockpit!$C$3^2+BZ476*Cockpit!$C$3^3+CA476*Cockpit!$C$3^4+CB476*Cockpit!$C$3^5+CC476*Cockpit!$C$3^6</f>
        <v>21853.897961110157</v>
      </c>
      <c r="CE476" s="5"/>
      <c r="CF476" s="5"/>
      <c r="CG476" s="5">
        <v>0</v>
      </c>
      <c r="CH476" s="5">
        <f t="shared" si="298"/>
        <v>3000000</v>
      </c>
      <c r="CI476" s="5">
        <f t="shared" si="299"/>
        <v>3000000</v>
      </c>
      <c r="CJ476" s="1">
        <f t="shared" si="300"/>
        <v>1.1568581457471116E-2</v>
      </c>
      <c r="CK476" s="5">
        <f>RANK(BY476,$BY$2:$BY$623)+COUNTIF($BY$2:$BY476,$BY476)-1</f>
        <v>330</v>
      </c>
      <c r="CL476" s="5">
        <f>RANK(CJ476,$CJ$2:$CJ$623)+COUNTIF($CJ$2:$CJ476,$CJ476)-1</f>
        <v>339</v>
      </c>
    </row>
    <row r="477" spans="1:90">
      <c r="A477" t="str">
        <f>Players!P478</f>
        <v>Stefan Ilsanker</v>
      </c>
      <c r="B477" t="str">
        <f>Players!G478</f>
        <v>Austria</v>
      </c>
      <c r="C477" t="str">
        <f>Players!AB478</f>
        <v>Midfield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1.5562991347612565</v>
      </c>
      <c r="I477" s="16">
        <f>INDEX('Team forecast'!$B$2:$AO$26,MATCH('Master data'!$B477,'Team forecast'!$B$2:$B$26,0),MATCH('Master data'!I$1,'Team forecast'!$B$2:$AO$2,0))</f>
        <v>0.65653770483831209</v>
      </c>
      <c r="J477" s="16">
        <f>INDEX('Team forecast'!$B$2:$AO$26,MATCH('Master data'!$B477,'Team forecast'!$B$2:$B$26,0),MATCH('Master data'!J$1,'Team forecast'!$B$2:$AO$2,0))</f>
        <v>0.51864392781930047</v>
      </c>
      <c r="K477" s="16">
        <f>INDEX('Team forecast'!$B$2:$AO$26,MATCH('Master data'!$B477,'Team forecast'!$B$2:$B$26,0),MATCH('Master data'!K$1,'Team forecast'!$B$2:$AO$2,0))</f>
        <v>4.6996138345751106</v>
      </c>
      <c r="L477" s="16">
        <f>INDEX('Team forecast'!$B$2:$AO$26,MATCH('Master data'!$B477,'Team forecast'!$B$2:$B$26,0),MATCH('Master data'!L$1,'Team forecast'!$B$2:$AO$2,0))</f>
        <v>1.9825710955314819</v>
      </c>
      <c r="M477">
        <f>IF(Players!BC478=1,95,0)</f>
        <v>95</v>
      </c>
      <c r="N477" s="2">
        <f>Players!BN478</f>
        <v>7.027577370955071E-2</v>
      </c>
      <c r="O477" s="2">
        <f>Players!BO478</f>
        <v>3.0319830923909084E-2</v>
      </c>
      <c r="P477" s="2">
        <f>Players!BP478</f>
        <v>6.4224097795236662E-2</v>
      </c>
      <c r="Q477" s="2">
        <f>Players!BQ478</f>
        <v>0.22943102352193262</v>
      </c>
      <c r="R477" s="2">
        <f>Players!BR478</f>
        <v>0</v>
      </c>
      <c r="S477" s="2">
        <f t="shared" si="259"/>
        <v>1.5562991347612565</v>
      </c>
      <c r="T477" s="2">
        <f t="shared" si="260"/>
        <v>0.65653770483831209</v>
      </c>
      <c r="U477" s="16">
        <f>INDEX('Team forecast'!$B$2:$AO$26,MATCH('Master data'!$B477,'Team forecast'!$B$2:$B$26,0),MATCH('Master data'!U$1,'Team forecast'!$B$2:$AO$2,0))</f>
        <v>0.60453400503778332</v>
      </c>
      <c r="V477" s="16">
        <f>INDEX('Team forecast'!$B$2:$AO$26,MATCH('Master data'!$B477,'Team forecast'!$B$2:$B$26,0),MATCH('Master data'!V$1,'Team forecast'!$B$2:$AO$2,0))</f>
        <v>0.23727959697733</v>
      </c>
      <c r="W477" s="16">
        <f>INDEX('Team forecast'!$B$2:$AO$26,MATCH('Master data'!$B477,'Team forecast'!$B$2:$B$26,0),MATCH('Master data'!W$1,'Team forecast'!$B$2:$AO$2,0))</f>
        <v>0.15818639798488671</v>
      </c>
      <c r="X477" s="5">
        <f t="shared" si="261"/>
        <v>7000</v>
      </c>
      <c r="Y477" s="5">
        <f t="shared" si="262"/>
        <v>15113.350125944582</v>
      </c>
      <c r="Z477" s="5">
        <f t="shared" si="263"/>
        <v>1186.39798488665</v>
      </c>
      <c r="AA477" s="5">
        <f t="shared" si="264"/>
        <v>-2372.7959697733004</v>
      </c>
      <c r="AB477" s="5">
        <f t="shared" si="265"/>
        <v>13671.265727356453</v>
      </c>
      <c r="AC477" s="5">
        <f t="shared" si="266"/>
        <v>2359.3363316493646</v>
      </c>
      <c r="AD477" s="5">
        <f t="shared" si="267"/>
        <v>3018.2845851159905</v>
      </c>
      <c r="AE477" s="5">
        <f t="shared" si="268"/>
        <v>0</v>
      </c>
      <c r="AF477" s="5">
        <f t="shared" si="269"/>
        <v>0</v>
      </c>
      <c r="AG477" s="5">
        <f t="shared" si="270"/>
        <v>-4588.6204704386528</v>
      </c>
      <c r="AH477" s="5">
        <f t="shared" si="271"/>
        <v>0</v>
      </c>
      <c r="AI477" s="5">
        <f t="shared" si="272"/>
        <v>15562.991347612564</v>
      </c>
      <c r="AJ477" s="5">
        <f t="shared" si="273"/>
        <v>-5252.3016387064963</v>
      </c>
      <c r="AK477" s="5">
        <f>IFERROR(SUM(X477:AJ477),-5000)*((Cockpit!$C$3)^0)</f>
        <v>45697.908023647149</v>
      </c>
      <c r="AL477" s="16">
        <f>INDEX('Team forecast'!$B$2:$AO$26,MATCH('Master data'!$B477,'Team forecast'!$B$2:$B$26,0),MATCH('Master data'!AL$1,'Team forecast'!$B$2:$AO$2,0))</f>
        <v>0.7977891123063281</v>
      </c>
      <c r="AM477" s="16">
        <f>INDEX('Team forecast'!$B$2:$AO$26,MATCH('Master data'!$B477,'Team forecast'!$B$2:$B$26,0),MATCH('Master data'!AM$1,'Team forecast'!$B$2:$AO$2,0))</f>
        <v>1.8476112368050062</v>
      </c>
      <c r="AN477" s="16">
        <f>INDEX('Team forecast'!$B$2:$AO$26,MATCH('Master data'!$B477,'Team forecast'!$B$2:$B$26,0),MATCH('Master data'!AN$1,'Team forecast'!$B$2:$AO$2,0))</f>
        <v>0.15761321763936759</v>
      </c>
      <c r="AO477" s="16">
        <f>INDEX('Team forecast'!$B$2:$AO$26,MATCH('Master data'!$B477,'Team forecast'!$B$2:$B$26,0),MATCH('Master data'!AO$1,'Team forecast'!$B$2:$AO$2,0))</f>
        <v>2.4091131746618726</v>
      </c>
      <c r="AP477" s="16">
        <f>INDEX('Team forecast'!$B$2:$AO$26,MATCH('Master data'!$B477,'Team forecast'!$B$2:$B$26,0),MATCH('Master data'!AP$1,'Team forecast'!$B$2:$AO$2,0))</f>
        <v>5.5792997216677493</v>
      </c>
      <c r="AQ477" s="5">
        <f t="shared" si="274"/>
        <v>7000</v>
      </c>
      <c r="AR477" s="5">
        <f>INDEX('Team forecast'!$B$2:$AO$26,MATCH('Master data'!$B477,'Team forecast'!$B$2:$B$26,0),MATCH('Master data'!AR$1,'Team forecast'!$B$2:$AO$2,0))*IF(X477&gt;0,25000,0)</f>
        <v>3637.2280993700224</v>
      </c>
      <c r="AS477" s="16">
        <f>INDEX('Team forecast'!$B$2:$AO$26,MATCH('Master data'!$B477,'Team forecast'!$B$2:$B$26,0),MATCH('Master data'!AS$1,'Team forecast'!$B$2:$AO$2,0))*IF(X477&gt;0,5000,0)</f>
        <v>1182.0991322952575</v>
      </c>
      <c r="AT477" s="16">
        <f>INDEX('Team forecast'!$B$2:$AO$26,MATCH('Master data'!$B477,'Team forecast'!$B$2:$B$26,0),MATCH('Master data'!AT$1,'Team forecast'!$B$2:$AO$2,0))*IF(X477&gt;0,-15000,0)</f>
        <v>-9271.3657434922134</v>
      </c>
      <c r="AU477" s="5">
        <f t="shared" si="275"/>
        <v>7008.155890547856</v>
      </c>
      <c r="AV477" s="5">
        <f t="shared" si="276"/>
        <v>1209.4415499031693</v>
      </c>
      <c r="AW477" s="5">
        <f t="shared" si="277"/>
        <v>1547.2312012927716</v>
      </c>
      <c r="AX477" s="5">
        <f t="shared" si="278"/>
        <v>0</v>
      </c>
      <c r="AY477" s="5">
        <f t="shared" si="279"/>
        <v>0</v>
      </c>
      <c r="AZ477" s="5">
        <f t="shared" si="280"/>
        <v>-4588.6204704386528</v>
      </c>
      <c r="BA477" s="5">
        <f t="shared" si="281"/>
        <v>0</v>
      </c>
      <c r="BB477" s="5">
        <f t="shared" si="282"/>
        <v>7977.8911230632812</v>
      </c>
      <c r="BC477" s="5">
        <f t="shared" si="283"/>
        <v>-14780.88989444005</v>
      </c>
      <c r="BD477" s="5">
        <f t="shared" si="284"/>
        <v>921.17088810144196</v>
      </c>
      <c r="BE477" s="16">
        <f>INDEX('Team forecast'!$B$2:$AO$26,MATCH('Master data'!$B477,'Team forecast'!$B$2:$B$26,0),MATCH('Master data'!BE$1,'Team forecast'!$B$2:$AO$2,0))</f>
        <v>1.1461513485277883</v>
      </c>
      <c r="BF477" s="16">
        <f>INDEX('Team forecast'!$B$2:$AO$26,MATCH('Master data'!$B477,'Team forecast'!$B$2:$B$26,0),MATCH('Master data'!BF$1,'Team forecast'!$B$2:$AO$2,0))</f>
        <v>1.1461513485277883</v>
      </c>
      <c r="BG477" s="16">
        <f>INDEX('Team forecast'!$B$2:$AO$26,MATCH('Master data'!$B477,'Team forecast'!$B$2:$B$26,0),MATCH('Master data'!BG$1,'Team forecast'!$B$2:$AO$2,0))</f>
        <v>0.31785774198959899</v>
      </c>
      <c r="BH477" s="16">
        <f>INDEX('Team forecast'!$B$2:$AO$26,MATCH('Master data'!$B477,'Team forecast'!$B$2:$B$26,0),MATCH('Master data'!BH$1,'Team forecast'!$B$2:$AO$2,0))</f>
        <v>3.4610754537779926</v>
      </c>
      <c r="BI477" s="16">
        <f>INDEX('Team forecast'!$B$2:$AO$26,MATCH('Master data'!$B477,'Team forecast'!$B$2:$B$26,0),MATCH('Master data'!BI$1,'Team forecast'!$B$2:$AO$2,0))</f>
        <v>3.4610754537779926</v>
      </c>
      <c r="BJ477" s="5">
        <f t="shared" si="285"/>
        <v>7000</v>
      </c>
      <c r="BK477" s="5">
        <f>INDEX('Team forecast'!$R$3:$BH$26,MATCH($B477,'Team forecast'!$B$3:$B$26,0),MATCH(BK$1,'Team forecast'!$R$2:$BH$2,0))*IF($X477&gt;0,25000,0)</f>
        <v>8995.9738298943139</v>
      </c>
      <c r="BL477" s="5">
        <f>INDEX('Team forecast'!$R$3:$BH$26,MATCH($B477,'Team forecast'!$B$3:$B$26,0),MATCH(BL$1,'Team forecast'!$R$2:$BH$2,0))*IF($X477&gt;0,5000,0)</f>
        <v>1467.0357322596881</v>
      </c>
      <c r="BM477" s="5">
        <f>INDEX('Team forecast'!$R$3:$BH$26,MATCH($B477,'Team forecast'!$B$3:$B$26,0),MATCH(BM$1,'Team forecast'!$R$2:$BH$2,0))*IF($X477&gt;0,-15000,0)</f>
        <v>-5201.3085052843489</v>
      </c>
      <c r="BN477" s="5">
        <f t="shared" si="286"/>
        <v>10068.334100754404</v>
      </c>
      <c r="BO477" s="5">
        <f t="shared" si="287"/>
        <v>1737.5557550286469</v>
      </c>
      <c r="BP477" s="5">
        <f t="shared" si="288"/>
        <v>2222.8444842013091</v>
      </c>
      <c r="BQ477" s="5">
        <f t="shared" si="289"/>
        <v>0</v>
      </c>
      <c r="BR477" s="5">
        <f t="shared" si="290"/>
        <v>0</v>
      </c>
      <c r="BS477" s="5">
        <f t="shared" si="291"/>
        <v>-4588.6204704386528</v>
      </c>
      <c r="BT477" s="5">
        <f t="shared" si="292"/>
        <v>0</v>
      </c>
      <c r="BU477" s="5">
        <f t="shared" si="293"/>
        <v>11461.513485277883</v>
      </c>
      <c r="BV477" s="5">
        <f t="shared" si="294"/>
        <v>-9169.2107882223063</v>
      </c>
      <c r="BW477" s="5">
        <f t="shared" si="295"/>
        <v>23994.117623470942</v>
      </c>
      <c r="BX477" s="5">
        <f t="shared" si="296"/>
        <v>23537.73217840651</v>
      </c>
      <c r="BY477" s="5">
        <f t="shared" si="297"/>
        <v>70613.196535219526</v>
      </c>
      <c r="BZ477" s="5">
        <f>INDEX('Team forecast'!$R$3:$BH$26,MATCH($B477,'Team forecast'!$B$3:$B$26,0),MATCH(BZ$1,'Team forecast'!$R$2:$BH$2,0))*($BX477-(BY477+CH477)*0.01)</f>
        <v>-5124.4894536595366</v>
      </c>
      <c r="CA477" s="5">
        <f>INDEX('Team forecast'!$R$3:$BH$26,MATCH($B477,'Team forecast'!$B$3:$B$26,0),MATCH(CA$1,'Team forecast'!$R$2:$BH$2,0))*($BX477-(BY477+BX477+CH477)*0.01)</f>
        <v>-2598.1465820375383</v>
      </c>
      <c r="CB477" s="5">
        <f>INDEX('Team forecast'!$R$3:$BH$26,MATCH($B477,'Team forecast'!$B$3:$B$26,0),MATCH(CB$1,'Team forecast'!$R$2:$BH$2,0))*($BX477-(BY477+BX477*2+CH477)*0.01)</f>
        <v>-1293.5362746824769</v>
      </c>
      <c r="CC477" s="5">
        <f>INDEX('Team forecast'!$R$3:$BH$26,MATCH($B477,'Team forecast'!$B$3:$B$26,0),MATCH(CC$1,'Team forecast'!$R$2:$BH$2,0))*($BX477-(BY477+BX477*3+CH477)*0.01)</f>
        <v>-604.44098674753059</v>
      </c>
      <c r="CD477" s="5">
        <f>+AK477+BD477*Cockpit!$C$3+BW477*Cockpit!$C$3^2+BZ477*Cockpit!$C$3^3+CA477*Cockpit!$C$3^4+CB477*Cockpit!$C$3^5+CC477*Cockpit!$C$3^6</f>
        <v>54721.085837497158</v>
      </c>
      <c r="CE477" s="5"/>
      <c r="CF477" s="5"/>
      <c r="CG477" s="5">
        <v>0</v>
      </c>
      <c r="CH477" s="5">
        <f t="shared" si="298"/>
        <v>3000000</v>
      </c>
      <c r="CI477" s="5">
        <f t="shared" si="299"/>
        <v>3000000</v>
      </c>
      <c r="CJ477" s="1">
        <f t="shared" si="300"/>
        <v>2.3537732178406507E-2</v>
      </c>
      <c r="CK477" s="5">
        <f>RANK(BY477,$BY$2:$BY$623)+COUNTIF($BY$2:$BY477,$BY477)-1</f>
        <v>242</v>
      </c>
      <c r="CL477" s="5">
        <f>RANK(CJ477,$CJ$2:$CJ$623)+COUNTIF($CJ$2:$CJ477,$CJ477)-1</f>
        <v>226</v>
      </c>
    </row>
    <row r="478" spans="1:90">
      <c r="A478" t="str">
        <f>Players!P479</f>
        <v>Martin Hinteregger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1.5562991347612565</v>
      </c>
      <c r="I478" s="16">
        <f>INDEX('Team forecast'!$B$2:$AO$26,MATCH('Master data'!$B478,'Team forecast'!$B$2:$B$26,0),MATCH('Master data'!I$1,'Team forecast'!$B$2:$AO$2,0))</f>
        <v>0.65653770483831209</v>
      </c>
      <c r="J478" s="16">
        <f>INDEX('Team forecast'!$B$2:$AO$26,MATCH('Master data'!$B478,'Team forecast'!$B$2:$B$26,0),MATCH('Master data'!J$1,'Team forecast'!$B$2:$AO$2,0))</f>
        <v>0.51864392781930047</v>
      </c>
      <c r="K478" s="16">
        <f>INDEX('Team forecast'!$B$2:$AO$26,MATCH('Master data'!$B478,'Team forecast'!$B$2:$B$26,0),MATCH('Master data'!K$1,'Team forecast'!$B$2:$AO$2,0))</f>
        <v>4.6996138345751106</v>
      </c>
      <c r="L478" s="16">
        <f>INDEX('Team forecast'!$B$2:$AO$26,MATCH('Master data'!$B478,'Team forecast'!$B$2:$B$26,0),MATCH('Master data'!L$1,'Team forecast'!$B$2:$AO$2,0))</f>
        <v>1.9825710955314819</v>
      </c>
      <c r="M478">
        <f>IF(Players!BC479=1,95,0)</f>
        <v>0</v>
      </c>
      <c r="N478" s="2">
        <f>Players!BN479</f>
        <v>0</v>
      </c>
      <c r="O478" s="2">
        <f>Players!BO479</f>
        <v>0</v>
      </c>
      <c r="P478" s="2">
        <f>Players!BP479</f>
        <v>0</v>
      </c>
      <c r="Q478" s="2">
        <f>Players!BQ479</f>
        <v>0.13623070834982193</v>
      </c>
      <c r="R478" s="2">
        <f>Players!BR479</f>
        <v>0</v>
      </c>
      <c r="S478" s="2">
        <f t="shared" si="259"/>
        <v>1.5562991347612565</v>
      </c>
      <c r="T478" s="2">
        <f t="shared" si="260"/>
        <v>0.65653770483831209</v>
      </c>
      <c r="U478" s="16">
        <f>INDEX('Team forecast'!$B$2:$AO$26,MATCH('Master data'!$B478,'Team forecast'!$B$2:$B$26,0),MATCH('Master data'!U$1,'Team forecast'!$B$2:$AO$2,0))</f>
        <v>0.60453400503778332</v>
      </c>
      <c r="V478" s="16">
        <f>INDEX('Team forecast'!$B$2:$AO$26,MATCH('Master data'!$B478,'Team forecast'!$B$2:$B$26,0),MATCH('Master data'!V$1,'Team forecast'!$B$2:$AO$2,0))</f>
        <v>0.23727959697733</v>
      </c>
      <c r="W478" s="16">
        <f>INDEX('Team forecast'!$B$2:$AO$26,MATCH('Master data'!$B478,'Team forecast'!$B$2:$B$26,0),MATCH('Master data'!W$1,'Team forecast'!$B$2:$AO$2,0))</f>
        <v>0.15818639798488671</v>
      </c>
      <c r="X478" s="5">
        <f t="shared" si="261"/>
        <v>-5000</v>
      </c>
      <c r="Y478" s="5">
        <f t="shared" si="262"/>
        <v>0</v>
      </c>
      <c r="Z478" s="5">
        <f t="shared" si="263"/>
        <v>0</v>
      </c>
      <c r="AA478" s="5">
        <f t="shared" si="264"/>
        <v>0</v>
      </c>
      <c r="AB478" s="5">
        <f t="shared" si="265"/>
        <v>0</v>
      </c>
      <c r="AC478" s="5">
        <f t="shared" si="266"/>
        <v>0</v>
      </c>
      <c r="AD478" s="5">
        <f t="shared" si="267"/>
        <v>0</v>
      </c>
      <c r="AE478" s="5">
        <f t="shared" si="268"/>
        <v>25932.196390965022</v>
      </c>
      <c r="AF478" s="5">
        <f t="shared" si="269"/>
        <v>0</v>
      </c>
      <c r="AG478" s="5">
        <f t="shared" si="270"/>
        <v>0</v>
      </c>
      <c r="AH478" s="5">
        <f t="shared" si="271"/>
        <v>0</v>
      </c>
      <c r="AI478" s="5">
        <f t="shared" si="272"/>
        <v>0</v>
      </c>
      <c r="AJ478" s="5">
        <f t="shared" si="273"/>
        <v>0</v>
      </c>
      <c r="AK478" s="5">
        <f>IFERROR(SUM(X478:AJ478),-5000)*((Cockpit!$C$3)^0)</f>
        <v>20932.196390965022</v>
      </c>
      <c r="AL478" s="16">
        <f>INDEX('Team forecast'!$B$2:$AO$26,MATCH('Master data'!$B478,'Team forecast'!$B$2:$B$26,0),MATCH('Master data'!AL$1,'Team forecast'!$B$2:$AO$2,0))</f>
        <v>0.7977891123063281</v>
      </c>
      <c r="AM478" s="16">
        <f>INDEX('Team forecast'!$B$2:$AO$26,MATCH('Master data'!$B478,'Team forecast'!$B$2:$B$26,0),MATCH('Master data'!AM$1,'Team forecast'!$B$2:$AO$2,0))</f>
        <v>1.8476112368050062</v>
      </c>
      <c r="AN478" s="16">
        <f>INDEX('Team forecast'!$B$2:$AO$26,MATCH('Master data'!$B478,'Team forecast'!$B$2:$B$26,0),MATCH('Master data'!AN$1,'Team forecast'!$B$2:$AO$2,0))</f>
        <v>0.15761321763936759</v>
      </c>
      <c r="AO478" s="16">
        <f>INDEX('Team forecast'!$B$2:$AO$26,MATCH('Master data'!$B478,'Team forecast'!$B$2:$B$26,0),MATCH('Master data'!AO$1,'Team forecast'!$B$2:$AO$2,0))</f>
        <v>2.4091131746618726</v>
      </c>
      <c r="AP478" s="16">
        <f>INDEX('Team forecast'!$B$2:$AO$26,MATCH('Master data'!$B478,'Team forecast'!$B$2:$B$26,0),MATCH('Master data'!AP$1,'Team forecast'!$B$2:$AO$2,0))</f>
        <v>5.5792997216677493</v>
      </c>
      <c r="AQ478" s="5">
        <f t="shared" si="274"/>
        <v>-5000</v>
      </c>
      <c r="AR478" s="5">
        <f>INDEX('Team forecast'!$B$2:$AO$26,MATCH('Master data'!$B478,'Team forecast'!$B$2:$B$26,0),MATCH('Master data'!AR$1,'Team forecast'!$B$2:$AO$2,0))*IF(X478&gt;0,25000,0)</f>
        <v>0</v>
      </c>
      <c r="AS478" s="16">
        <f>INDEX('Team forecast'!$B$2:$AO$26,MATCH('Master data'!$B478,'Team forecast'!$B$2:$B$26,0),MATCH('Master data'!AS$1,'Team forecast'!$B$2:$AO$2,0))*IF(X478&gt;0,5000,0)</f>
        <v>0</v>
      </c>
      <c r="AT478" s="16">
        <f>INDEX('Team forecast'!$B$2:$AO$26,MATCH('Master data'!$B478,'Team forecast'!$B$2:$B$26,0),MATCH('Master data'!AT$1,'Team forecast'!$B$2:$AO$2,0))*IF(X478&gt;0,-15000,0)</f>
        <v>0</v>
      </c>
      <c r="AU478" s="5">
        <f t="shared" si="275"/>
        <v>0</v>
      </c>
      <c r="AV478" s="5">
        <f t="shared" si="276"/>
        <v>0</v>
      </c>
      <c r="AW478" s="5">
        <f t="shared" si="277"/>
        <v>0</v>
      </c>
      <c r="AX478" s="5">
        <f t="shared" si="278"/>
        <v>7880.6608819683797</v>
      </c>
      <c r="AY478" s="5">
        <f t="shared" si="279"/>
        <v>0</v>
      </c>
      <c r="AZ478" s="5">
        <f t="shared" si="280"/>
        <v>0</v>
      </c>
      <c r="BA478" s="5">
        <f t="shared" si="281"/>
        <v>0</v>
      </c>
      <c r="BB478" s="5">
        <f t="shared" si="282"/>
        <v>0</v>
      </c>
      <c r="BC478" s="5">
        <f t="shared" si="283"/>
        <v>0</v>
      </c>
      <c r="BD478" s="5">
        <f t="shared" si="284"/>
        <v>2880.6608819683797</v>
      </c>
      <c r="BE478" s="16">
        <f>INDEX('Team forecast'!$B$2:$AO$26,MATCH('Master data'!$B478,'Team forecast'!$B$2:$B$26,0),MATCH('Master data'!BE$1,'Team forecast'!$B$2:$AO$2,0))</f>
        <v>1.1461513485277883</v>
      </c>
      <c r="BF478" s="16">
        <f>INDEX('Team forecast'!$B$2:$AO$26,MATCH('Master data'!$B478,'Team forecast'!$B$2:$B$26,0),MATCH('Master data'!BF$1,'Team forecast'!$B$2:$AO$2,0))</f>
        <v>1.1461513485277883</v>
      </c>
      <c r="BG478" s="16">
        <f>INDEX('Team forecast'!$B$2:$AO$26,MATCH('Master data'!$B478,'Team forecast'!$B$2:$B$26,0),MATCH('Master data'!BG$1,'Team forecast'!$B$2:$AO$2,0))</f>
        <v>0.31785774198959899</v>
      </c>
      <c r="BH478" s="16">
        <f>INDEX('Team forecast'!$B$2:$AO$26,MATCH('Master data'!$B478,'Team forecast'!$B$2:$B$26,0),MATCH('Master data'!BH$1,'Team forecast'!$B$2:$AO$2,0))</f>
        <v>3.4610754537779926</v>
      </c>
      <c r="BI478" s="16">
        <f>INDEX('Team forecast'!$B$2:$AO$26,MATCH('Master data'!$B478,'Team forecast'!$B$2:$B$26,0),MATCH('Master data'!BI$1,'Team forecast'!$B$2:$AO$2,0))</f>
        <v>3.4610754537779926</v>
      </c>
      <c r="BJ478" s="5">
        <f t="shared" si="285"/>
        <v>-5000</v>
      </c>
      <c r="BK478" s="5">
        <f>INDEX('Team forecast'!$R$3:$BH$26,MATCH($B478,'Team forecast'!$B$3:$B$26,0),MATCH(BK$1,'Team forecast'!$R$2:$BH$2,0))*IF($X478&gt;0,25000,0)</f>
        <v>0</v>
      </c>
      <c r="BL478" s="5">
        <f>INDEX('Team forecast'!$R$3:$BH$26,MATCH($B478,'Team forecast'!$B$3:$B$26,0),MATCH(BL$1,'Team forecast'!$R$2:$BH$2,0))*IF($X478&gt;0,5000,0)</f>
        <v>0</v>
      </c>
      <c r="BM478" s="5">
        <f>INDEX('Team forecast'!$R$3:$BH$26,MATCH($B478,'Team forecast'!$B$3:$B$26,0),MATCH(BM$1,'Team forecast'!$R$2:$BH$2,0))*IF($X478&gt;0,-15000,0)</f>
        <v>0</v>
      </c>
      <c r="BN478" s="5">
        <f t="shared" si="286"/>
        <v>0</v>
      </c>
      <c r="BO478" s="5">
        <f t="shared" si="287"/>
        <v>0</v>
      </c>
      <c r="BP478" s="5">
        <f t="shared" si="288"/>
        <v>0</v>
      </c>
      <c r="BQ478" s="5">
        <f t="shared" si="289"/>
        <v>15892.887099479949</v>
      </c>
      <c r="BR478" s="5">
        <f t="shared" si="290"/>
        <v>0</v>
      </c>
      <c r="BS478" s="5">
        <f t="shared" si="291"/>
        <v>0</v>
      </c>
      <c r="BT478" s="5">
        <f t="shared" si="292"/>
        <v>0</v>
      </c>
      <c r="BU478" s="5">
        <f t="shared" si="293"/>
        <v>0</v>
      </c>
      <c r="BV478" s="5">
        <f t="shared" si="294"/>
        <v>0</v>
      </c>
      <c r="BW478" s="5">
        <f t="shared" si="295"/>
        <v>10892.887099479949</v>
      </c>
      <c r="BX478" s="5">
        <f t="shared" si="296"/>
        <v>11568.581457471117</v>
      </c>
      <c r="BY478" s="5">
        <f t="shared" si="297"/>
        <v>34705.744372413348</v>
      </c>
      <c r="BZ478" s="5">
        <f>INDEX('Team forecast'!$R$3:$BH$26,MATCH($B478,'Team forecast'!$B$3:$B$26,0),MATCH(BZ$1,'Team forecast'!$R$2:$BH$2,0))*($BX478-(BY478+CH478)*0.01)</f>
        <v>-13424.209727057403</v>
      </c>
      <c r="CA478" s="5">
        <f>INDEX('Team forecast'!$R$3:$BH$26,MATCH($B478,'Team forecast'!$B$3:$B$26,0),MATCH(CA$1,'Team forecast'!$R$2:$BH$2,0))*($BX478-(BY478+BX478+CH478)*0.01)</f>
        <v>-6630.3727384503882</v>
      </c>
      <c r="CB478" s="5">
        <f>INDEX('Team forecast'!$R$3:$BH$26,MATCH($B478,'Team forecast'!$B$3:$B$26,0),MATCH(CB$1,'Team forecast'!$R$2:$BH$2,0))*($BX478-(BY478+BX478*2+CH478)*0.01)</f>
        <v>-3218.9331542359328</v>
      </c>
      <c r="CC478" s="5">
        <f>INDEX('Team forecast'!$R$3:$BH$26,MATCH($B478,'Team forecast'!$B$3:$B$26,0),MATCH(CC$1,'Team forecast'!$R$2:$BH$2,0))*($BX478-(BY478+BX478*3+CH478)*0.01)</f>
        <v>-1468.0563444442084</v>
      </c>
      <c r="CD478" s="5">
        <f>+AK478+BD478*Cockpit!$C$3+BW478*Cockpit!$C$3^2+BZ478*Cockpit!$C$3^3+CA478*Cockpit!$C$3^4+CB478*Cockpit!$C$3^5+CC478*Cockpit!$C$3^6</f>
        <v>21853.897961110157</v>
      </c>
      <c r="CE478" s="5"/>
      <c r="CF478" s="5"/>
      <c r="CG478" s="5">
        <v>0</v>
      </c>
      <c r="CH478" s="5">
        <f t="shared" si="298"/>
        <v>3000000</v>
      </c>
      <c r="CI478" s="5">
        <f t="shared" si="299"/>
        <v>3000000</v>
      </c>
      <c r="CJ478" s="1">
        <f t="shared" si="300"/>
        <v>1.1568581457471116E-2</v>
      </c>
      <c r="CK478" s="5">
        <f>RANK(BY478,$BY$2:$BY$623)+COUNTIF($BY$2:$BY478,$BY478)-1</f>
        <v>331</v>
      </c>
      <c r="CL478" s="5">
        <f>RANK(CJ478,$CJ$2:$CJ$623)+COUNTIF($CJ$2:$CJ478,$CJ478)-1</f>
        <v>340</v>
      </c>
    </row>
    <row r="479" spans="1:90">
      <c r="A479" t="str">
        <f>Players!P480</f>
        <v>Aleksandar Dragovic</v>
      </c>
      <c r="B479" t="str">
        <f>Players!G480</f>
        <v>Austria</v>
      </c>
      <c r="C479" t="str">
        <f>Players!AB480</f>
        <v>Defense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1.5562991347612565</v>
      </c>
      <c r="I479" s="16">
        <f>INDEX('Team forecast'!$B$2:$AO$26,MATCH('Master data'!$B479,'Team forecast'!$B$2:$B$26,0),MATCH('Master data'!I$1,'Team forecast'!$B$2:$AO$2,0))</f>
        <v>0.65653770483831209</v>
      </c>
      <c r="J479" s="16">
        <f>INDEX('Team forecast'!$B$2:$AO$26,MATCH('Master data'!$B479,'Team forecast'!$B$2:$B$26,0),MATCH('Master data'!J$1,'Team forecast'!$B$2:$AO$2,0))</f>
        <v>0.51864392781930047</v>
      </c>
      <c r="K479" s="16">
        <f>INDEX('Team forecast'!$B$2:$AO$26,MATCH('Master data'!$B479,'Team forecast'!$B$2:$B$26,0),MATCH('Master data'!K$1,'Team forecast'!$B$2:$AO$2,0))</f>
        <v>4.6996138345751106</v>
      </c>
      <c r="L479" s="16">
        <f>INDEX('Team forecast'!$B$2:$AO$26,MATCH('Master data'!$B479,'Team forecast'!$B$2:$B$26,0),MATCH('Master data'!L$1,'Team forecast'!$B$2:$AO$2,0))</f>
        <v>1.9825710955314819</v>
      </c>
      <c r="M479">
        <f>IF(Players!BC480=1,95,0)</f>
        <v>95</v>
      </c>
      <c r="N479" s="2">
        <f>Players!BN480</f>
        <v>4.562803867492618E-2</v>
      </c>
      <c r="O479" s="2">
        <f>Players!BO480</f>
        <v>5.7441391335432891E-2</v>
      </c>
      <c r="P479" s="2">
        <f>Players!BP480</f>
        <v>4.4661585248411705E-2</v>
      </c>
      <c r="Q479" s="2">
        <f>Players!BQ480</f>
        <v>0.22436339522546417</v>
      </c>
      <c r="R479" s="2">
        <f>Players!BR480</f>
        <v>0</v>
      </c>
      <c r="S479" s="2">
        <f t="shared" si="259"/>
        <v>1.5562991347612565</v>
      </c>
      <c r="T479" s="2">
        <f t="shared" si="260"/>
        <v>0.65653770483831209</v>
      </c>
      <c r="U479" s="16">
        <f>INDEX('Team forecast'!$B$2:$AO$26,MATCH('Master data'!$B479,'Team forecast'!$B$2:$B$26,0),MATCH('Master data'!U$1,'Team forecast'!$B$2:$AO$2,0))</f>
        <v>0.60453400503778332</v>
      </c>
      <c r="V479" s="16">
        <f>INDEX('Team forecast'!$B$2:$AO$26,MATCH('Master data'!$B479,'Team forecast'!$B$2:$B$26,0),MATCH('Master data'!V$1,'Team forecast'!$B$2:$AO$2,0))</f>
        <v>0.23727959697733</v>
      </c>
      <c r="W479" s="16">
        <f>INDEX('Team forecast'!$B$2:$AO$26,MATCH('Master data'!$B479,'Team forecast'!$B$2:$B$26,0),MATCH('Master data'!W$1,'Team forecast'!$B$2:$AO$2,0))</f>
        <v>0.15818639798488671</v>
      </c>
      <c r="X479" s="5">
        <f t="shared" si="261"/>
        <v>7000</v>
      </c>
      <c r="Y479" s="5">
        <f t="shared" si="262"/>
        <v>15113.350125944582</v>
      </c>
      <c r="Z479" s="5">
        <f t="shared" si="263"/>
        <v>1186.39798488665</v>
      </c>
      <c r="AA479" s="5">
        <f t="shared" si="264"/>
        <v>-2372.7959697733004</v>
      </c>
      <c r="AB479" s="5">
        <f t="shared" si="265"/>
        <v>10651.631566596114</v>
      </c>
      <c r="AC479" s="5">
        <f t="shared" si="266"/>
        <v>4469.7993817408469</v>
      </c>
      <c r="AD479" s="5">
        <f t="shared" si="267"/>
        <v>2098.9220390749133</v>
      </c>
      <c r="AE479" s="5">
        <f t="shared" si="268"/>
        <v>25932.196390965022</v>
      </c>
      <c r="AF479" s="5">
        <f t="shared" si="269"/>
        <v>0</v>
      </c>
      <c r="AG479" s="5">
        <f t="shared" si="270"/>
        <v>-4487.2679045092837</v>
      </c>
      <c r="AH479" s="5">
        <f t="shared" si="271"/>
        <v>0</v>
      </c>
      <c r="AI479" s="5">
        <f t="shared" si="272"/>
        <v>15562.991347612564</v>
      </c>
      <c r="AJ479" s="5">
        <f t="shared" si="273"/>
        <v>-5252.3016387064963</v>
      </c>
      <c r="AK479" s="5">
        <f>IFERROR(SUM(X479:AJ479),-5000)*((Cockpit!$C$3)^0)</f>
        <v>69902.923323831608</v>
      </c>
      <c r="AL479" s="16">
        <f>INDEX('Team forecast'!$B$2:$AO$26,MATCH('Master data'!$B479,'Team forecast'!$B$2:$B$26,0),MATCH('Master data'!AL$1,'Team forecast'!$B$2:$AO$2,0))</f>
        <v>0.7977891123063281</v>
      </c>
      <c r="AM479" s="16">
        <f>INDEX('Team forecast'!$B$2:$AO$26,MATCH('Master data'!$B479,'Team forecast'!$B$2:$B$26,0),MATCH('Master data'!AM$1,'Team forecast'!$B$2:$AO$2,0))</f>
        <v>1.8476112368050062</v>
      </c>
      <c r="AN479" s="16">
        <f>INDEX('Team forecast'!$B$2:$AO$26,MATCH('Master data'!$B479,'Team forecast'!$B$2:$B$26,0),MATCH('Master data'!AN$1,'Team forecast'!$B$2:$AO$2,0))</f>
        <v>0.15761321763936759</v>
      </c>
      <c r="AO479" s="16">
        <f>INDEX('Team forecast'!$B$2:$AO$26,MATCH('Master data'!$B479,'Team forecast'!$B$2:$B$26,0),MATCH('Master data'!AO$1,'Team forecast'!$B$2:$AO$2,0))</f>
        <v>2.4091131746618726</v>
      </c>
      <c r="AP479" s="16">
        <f>INDEX('Team forecast'!$B$2:$AO$26,MATCH('Master data'!$B479,'Team forecast'!$B$2:$B$26,0),MATCH('Master data'!AP$1,'Team forecast'!$B$2:$AO$2,0))</f>
        <v>5.5792997216677493</v>
      </c>
      <c r="AQ479" s="5">
        <f t="shared" si="274"/>
        <v>7000</v>
      </c>
      <c r="AR479" s="5">
        <f>INDEX('Team forecast'!$B$2:$AO$26,MATCH('Master data'!$B479,'Team forecast'!$B$2:$B$26,0),MATCH('Master data'!AR$1,'Team forecast'!$B$2:$AO$2,0))*IF(X479&gt;0,25000,0)</f>
        <v>3637.2280993700224</v>
      </c>
      <c r="AS479" s="16">
        <f>INDEX('Team forecast'!$B$2:$AO$26,MATCH('Master data'!$B479,'Team forecast'!$B$2:$B$26,0),MATCH('Master data'!AS$1,'Team forecast'!$B$2:$AO$2,0))*IF(X479&gt;0,5000,0)</f>
        <v>1182.0991322952575</v>
      </c>
      <c r="AT479" s="16">
        <f>INDEX('Team forecast'!$B$2:$AO$26,MATCH('Master data'!$B479,'Team forecast'!$B$2:$B$26,0),MATCH('Master data'!AT$1,'Team forecast'!$B$2:$AO$2,0))*IF(X479&gt;0,-15000,0)</f>
        <v>-9271.3657434922134</v>
      </c>
      <c r="AU479" s="5">
        <f t="shared" si="275"/>
        <v>5460.2328706122244</v>
      </c>
      <c r="AV479" s="5">
        <f t="shared" si="276"/>
        <v>2291.3058301567708</v>
      </c>
      <c r="AW479" s="5">
        <f t="shared" si="277"/>
        <v>1075.9481342323297</v>
      </c>
      <c r="AX479" s="5">
        <f t="shared" si="278"/>
        <v>7880.6608819683797</v>
      </c>
      <c r="AY479" s="5">
        <f t="shared" si="279"/>
        <v>0</v>
      </c>
      <c r="AZ479" s="5">
        <f t="shared" si="280"/>
        <v>-4487.2679045092837</v>
      </c>
      <c r="BA479" s="5">
        <f t="shared" si="281"/>
        <v>0</v>
      </c>
      <c r="BB479" s="5">
        <f t="shared" si="282"/>
        <v>7977.8911230632812</v>
      </c>
      <c r="BC479" s="5">
        <f t="shared" si="283"/>
        <v>-14780.88989444005</v>
      </c>
      <c r="BD479" s="5">
        <f t="shared" si="284"/>
        <v>7965.8425292567154</v>
      </c>
      <c r="BE479" s="16">
        <f>INDEX('Team forecast'!$B$2:$AO$26,MATCH('Master data'!$B479,'Team forecast'!$B$2:$B$26,0),MATCH('Master data'!BE$1,'Team forecast'!$B$2:$AO$2,0))</f>
        <v>1.1461513485277883</v>
      </c>
      <c r="BF479" s="16">
        <f>INDEX('Team forecast'!$B$2:$AO$26,MATCH('Master data'!$B479,'Team forecast'!$B$2:$B$26,0),MATCH('Master data'!BF$1,'Team forecast'!$B$2:$AO$2,0))</f>
        <v>1.1461513485277883</v>
      </c>
      <c r="BG479" s="16">
        <f>INDEX('Team forecast'!$B$2:$AO$26,MATCH('Master data'!$B479,'Team forecast'!$B$2:$B$26,0),MATCH('Master data'!BG$1,'Team forecast'!$B$2:$AO$2,0))</f>
        <v>0.31785774198959899</v>
      </c>
      <c r="BH479" s="16">
        <f>INDEX('Team forecast'!$B$2:$AO$26,MATCH('Master data'!$B479,'Team forecast'!$B$2:$B$26,0),MATCH('Master data'!BH$1,'Team forecast'!$B$2:$AO$2,0))</f>
        <v>3.4610754537779926</v>
      </c>
      <c r="BI479" s="16">
        <f>INDEX('Team forecast'!$B$2:$AO$26,MATCH('Master data'!$B479,'Team forecast'!$B$2:$B$26,0),MATCH('Master data'!BI$1,'Team forecast'!$B$2:$AO$2,0))</f>
        <v>3.4610754537779926</v>
      </c>
      <c r="BJ479" s="5">
        <f t="shared" si="285"/>
        <v>7000</v>
      </c>
      <c r="BK479" s="5">
        <f>INDEX('Team forecast'!$R$3:$BH$26,MATCH($B479,'Team forecast'!$B$3:$B$26,0),MATCH(BK$1,'Team forecast'!$R$2:$BH$2,0))*IF($X479&gt;0,25000,0)</f>
        <v>8995.9738298943139</v>
      </c>
      <c r="BL479" s="5">
        <f>INDEX('Team forecast'!$R$3:$BH$26,MATCH($B479,'Team forecast'!$B$3:$B$26,0),MATCH(BL$1,'Team forecast'!$R$2:$BH$2,0))*IF($X479&gt;0,5000,0)</f>
        <v>1467.0357322596881</v>
      </c>
      <c r="BM479" s="5">
        <f>INDEX('Team forecast'!$R$3:$BH$26,MATCH($B479,'Team forecast'!$B$3:$B$26,0),MATCH(BM$1,'Team forecast'!$R$2:$BH$2,0))*IF($X479&gt;0,-15000,0)</f>
        <v>-5201.3085052843489</v>
      </c>
      <c r="BN479" s="5">
        <f t="shared" si="286"/>
        <v>7844.4957086917084</v>
      </c>
      <c r="BO479" s="5">
        <f t="shared" si="287"/>
        <v>3291.8264070209411</v>
      </c>
      <c r="BP479" s="5">
        <f t="shared" si="288"/>
        <v>1545.7711643009104</v>
      </c>
      <c r="BQ479" s="5">
        <f t="shared" si="289"/>
        <v>15892.887099479949</v>
      </c>
      <c r="BR479" s="5">
        <f t="shared" si="290"/>
        <v>0</v>
      </c>
      <c r="BS479" s="5">
        <f t="shared" si="291"/>
        <v>-4487.2679045092837</v>
      </c>
      <c r="BT479" s="5">
        <f t="shared" si="292"/>
        <v>0</v>
      </c>
      <c r="BU479" s="5">
        <f t="shared" si="293"/>
        <v>11461.513485277883</v>
      </c>
      <c r="BV479" s="5">
        <f t="shared" si="294"/>
        <v>-9169.2107882223063</v>
      </c>
      <c r="BW479" s="5">
        <f t="shared" si="295"/>
        <v>38641.716228909456</v>
      </c>
      <c r="BX479" s="5">
        <f t="shared" si="296"/>
        <v>38836.827360665928</v>
      </c>
      <c r="BY479" s="5">
        <f t="shared" si="297"/>
        <v>116510.48208199779</v>
      </c>
      <c r="BZ479" s="5">
        <f>INDEX('Team forecast'!$R$3:$BH$26,MATCH($B479,'Team forecast'!$B$3:$B$26,0),MATCH(BZ$1,'Team forecast'!$R$2:$BH$2,0))*($BX479-(BY479+CH479)*0.01)</f>
        <v>5484.3008782010893</v>
      </c>
      <c r="CA479" s="5">
        <f>INDEX('Team forecast'!$R$3:$BH$26,MATCH($B479,'Team forecast'!$B$3:$B$26,0),MATCH(CA$1,'Team forecast'!$R$2:$BH$2,0))*($BX479-(BY479+BX479+CH479)*0.01)</f>
        <v>2555.8875847688432</v>
      </c>
      <c r="CB479" s="5">
        <f>INDEX('Team forecast'!$R$3:$BH$26,MATCH($B479,'Team forecast'!$B$3:$B$26,0),MATCH(CB$1,'Team forecast'!$R$2:$BH$2,0))*($BX479-(BY479+BX479*2+CH479)*0.01)</f>
        <v>1167.5264030888272</v>
      </c>
      <c r="CC479" s="5">
        <f>INDEX('Team forecast'!$R$3:$BH$26,MATCH($B479,'Team forecast'!$B$3:$B$26,0),MATCH(CC$1,'Team forecast'!$R$2:$BH$2,0))*($BX479-(BY479+BX479*3+CH479)*0.01)</f>
        <v>499.44130752020527</v>
      </c>
      <c r="CD479" s="5">
        <f>+AK479+BD479*Cockpit!$C$3+BW479*Cockpit!$C$3^2+BZ479*Cockpit!$C$3^3+CA479*Cockpit!$C$3^4+CB479*Cockpit!$C$3^5+CC479*Cockpit!$C$3^6</f>
        <v>94715.020865205282</v>
      </c>
      <c r="CE479" s="5"/>
      <c r="CF479" s="5"/>
      <c r="CG479" s="5">
        <v>0</v>
      </c>
      <c r="CH479" s="5">
        <f t="shared" si="298"/>
        <v>3000000</v>
      </c>
      <c r="CI479" s="5">
        <f t="shared" si="299"/>
        <v>3000000</v>
      </c>
      <c r="CJ479" s="1">
        <f t="shared" si="300"/>
        <v>3.8836827360665932E-2</v>
      </c>
      <c r="CK479" s="5">
        <f>RANK(BY479,$BY$2:$BY$623)+COUNTIF($BY$2:$BY479,$BY479)-1</f>
        <v>140</v>
      </c>
      <c r="CL479" s="5">
        <f>RANK(CJ479,$CJ$2:$CJ$623)+COUNTIF($CJ$2:$CJ479,$CJ479)-1</f>
        <v>81</v>
      </c>
    </row>
    <row r="480" spans="1:90">
      <c r="A480" t="str">
        <f>Players!P481</f>
        <v>Louis  Schaub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3000000</v>
      </c>
      <c r="H480" s="16">
        <f>INDEX('Team forecast'!$B$2:$AO$26,MATCH('Master data'!$B480,'Team forecast'!$B$2:$B$26,0),MATCH('Master data'!H$1,'Team forecast'!$B$2:$AO$2,0))</f>
        <v>1.5562991347612565</v>
      </c>
      <c r="I480" s="16">
        <f>INDEX('Team forecast'!$B$2:$AO$26,MATCH('Master data'!$B480,'Team forecast'!$B$2:$B$26,0),MATCH('Master data'!I$1,'Team forecast'!$B$2:$AO$2,0))</f>
        <v>0.65653770483831209</v>
      </c>
      <c r="J480" s="16">
        <f>INDEX('Team forecast'!$B$2:$AO$26,MATCH('Master data'!$B480,'Team forecast'!$B$2:$B$26,0),MATCH('Master data'!J$1,'Team forecast'!$B$2:$AO$2,0))</f>
        <v>0.51864392781930047</v>
      </c>
      <c r="K480" s="16">
        <f>INDEX('Team forecast'!$B$2:$AO$26,MATCH('Master data'!$B480,'Team forecast'!$B$2:$B$26,0),MATCH('Master data'!K$1,'Team forecast'!$B$2:$AO$2,0))</f>
        <v>4.6996138345751106</v>
      </c>
      <c r="L480" s="16">
        <f>INDEX('Team forecast'!$B$2:$AO$26,MATCH('Master data'!$B480,'Team forecast'!$B$2:$B$26,0),MATCH('Master data'!L$1,'Team forecast'!$B$2:$AO$2,0))</f>
        <v>1.9825710955314819</v>
      </c>
      <c r="M480">
        <f>IF(Players!BC481=1,95,0)</f>
        <v>0</v>
      </c>
      <c r="N480" s="2">
        <f>Players!BN481</f>
        <v>0</v>
      </c>
      <c r="O480" s="2">
        <f>Players!BO481</f>
        <v>0</v>
      </c>
      <c r="P480" s="2">
        <f>Players!BP481</f>
        <v>0</v>
      </c>
      <c r="Q480" s="2">
        <f>Players!BQ481</f>
        <v>8.0405002977963075E-2</v>
      </c>
      <c r="R480" s="2">
        <f>Players!BR481</f>
        <v>0</v>
      </c>
      <c r="S480" s="2">
        <f t="shared" si="259"/>
        <v>1.5562991347612565</v>
      </c>
      <c r="T480" s="2">
        <f t="shared" si="260"/>
        <v>0.65653770483831209</v>
      </c>
      <c r="U480" s="16">
        <f>INDEX('Team forecast'!$B$2:$AO$26,MATCH('Master data'!$B480,'Team forecast'!$B$2:$B$26,0),MATCH('Master data'!U$1,'Team forecast'!$B$2:$AO$2,0))</f>
        <v>0.60453400503778332</v>
      </c>
      <c r="V480" s="16">
        <f>INDEX('Team forecast'!$B$2:$AO$26,MATCH('Master data'!$B480,'Team forecast'!$B$2:$B$26,0),MATCH('Master data'!V$1,'Team forecast'!$B$2:$AO$2,0))</f>
        <v>0.23727959697733</v>
      </c>
      <c r="W480" s="16">
        <f>INDEX('Team forecast'!$B$2:$AO$26,MATCH('Master data'!$B480,'Team forecast'!$B$2:$B$26,0),MATCH('Master data'!W$1,'Team forecast'!$B$2:$AO$2,0))</f>
        <v>0.15818639798488671</v>
      </c>
      <c r="X480" s="5">
        <f t="shared" si="261"/>
        <v>-5000</v>
      </c>
      <c r="Y480" s="5">
        <f t="shared" si="262"/>
        <v>0</v>
      </c>
      <c r="Z480" s="5">
        <f t="shared" si="263"/>
        <v>0</v>
      </c>
      <c r="AA480" s="5">
        <f t="shared" si="264"/>
        <v>0</v>
      </c>
      <c r="AB480" s="5">
        <f t="shared" si="265"/>
        <v>0</v>
      </c>
      <c r="AC480" s="5">
        <f t="shared" si="266"/>
        <v>0</v>
      </c>
      <c r="AD480" s="5">
        <f t="shared" si="267"/>
        <v>0</v>
      </c>
      <c r="AE480" s="5">
        <f t="shared" si="268"/>
        <v>0</v>
      </c>
      <c r="AF480" s="5">
        <f t="shared" si="269"/>
        <v>0</v>
      </c>
      <c r="AG480" s="5">
        <f t="shared" si="270"/>
        <v>0</v>
      </c>
      <c r="AH480" s="5">
        <f t="shared" si="271"/>
        <v>0</v>
      </c>
      <c r="AI480" s="5">
        <f t="shared" si="272"/>
        <v>0</v>
      </c>
      <c r="AJ480" s="5">
        <f t="shared" si="273"/>
        <v>0</v>
      </c>
      <c r="AK480" s="5">
        <f>IFERROR(SUM(X480:AJ480),-5000)*((Cockpit!$C$3)^0)</f>
        <v>-5000</v>
      </c>
      <c r="AL480" s="16">
        <f>INDEX('Team forecast'!$B$2:$AO$26,MATCH('Master data'!$B480,'Team forecast'!$B$2:$B$26,0),MATCH('Master data'!AL$1,'Team forecast'!$B$2:$AO$2,0))</f>
        <v>0.7977891123063281</v>
      </c>
      <c r="AM480" s="16">
        <f>INDEX('Team forecast'!$B$2:$AO$26,MATCH('Master data'!$B480,'Team forecast'!$B$2:$B$26,0),MATCH('Master data'!AM$1,'Team forecast'!$B$2:$AO$2,0))</f>
        <v>1.8476112368050062</v>
      </c>
      <c r="AN480" s="16">
        <f>INDEX('Team forecast'!$B$2:$AO$26,MATCH('Master data'!$B480,'Team forecast'!$B$2:$B$26,0),MATCH('Master data'!AN$1,'Team forecast'!$B$2:$AO$2,0))</f>
        <v>0.15761321763936759</v>
      </c>
      <c r="AO480" s="16">
        <f>INDEX('Team forecast'!$B$2:$AO$26,MATCH('Master data'!$B480,'Team forecast'!$B$2:$B$26,0),MATCH('Master data'!AO$1,'Team forecast'!$B$2:$AO$2,0))</f>
        <v>2.4091131746618726</v>
      </c>
      <c r="AP480" s="16">
        <f>INDEX('Team forecast'!$B$2:$AO$26,MATCH('Master data'!$B480,'Team forecast'!$B$2:$B$26,0),MATCH('Master data'!AP$1,'Team forecast'!$B$2:$AO$2,0))</f>
        <v>5.5792997216677493</v>
      </c>
      <c r="AQ480" s="5">
        <f t="shared" si="274"/>
        <v>-5000</v>
      </c>
      <c r="AR480" s="5">
        <f>INDEX('Team forecast'!$B$2:$AO$26,MATCH('Master data'!$B480,'Team forecast'!$B$2:$B$26,0),MATCH('Master data'!AR$1,'Team forecast'!$B$2:$AO$2,0))*IF(X480&gt;0,25000,0)</f>
        <v>0</v>
      </c>
      <c r="AS480" s="16">
        <f>INDEX('Team forecast'!$B$2:$AO$26,MATCH('Master data'!$B480,'Team forecast'!$B$2:$B$26,0),MATCH('Master data'!AS$1,'Team forecast'!$B$2:$AO$2,0))*IF(X480&gt;0,5000,0)</f>
        <v>0</v>
      </c>
      <c r="AT480" s="16">
        <f>INDEX('Team forecast'!$B$2:$AO$26,MATCH('Master data'!$B480,'Team forecast'!$B$2:$B$26,0),MATCH('Master data'!AT$1,'Team forecast'!$B$2:$AO$2,0))*IF(X480&gt;0,-15000,0)</f>
        <v>0</v>
      </c>
      <c r="AU480" s="5">
        <f t="shared" si="275"/>
        <v>0</v>
      </c>
      <c r="AV480" s="5">
        <f t="shared" si="276"/>
        <v>0</v>
      </c>
      <c r="AW480" s="5">
        <f t="shared" si="277"/>
        <v>0</v>
      </c>
      <c r="AX480" s="5">
        <f t="shared" si="278"/>
        <v>0</v>
      </c>
      <c r="AY480" s="5">
        <f t="shared" si="279"/>
        <v>0</v>
      </c>
      <c r="AZ480" s="5">
        <f t="shared" si="280"/>
        <v>0</v>
      </c>
      <c r="BA480" s="5">
        <f t="shared" si="281"/>
        <v>0</v>
      </c>
      <c r="BB480" s="5">
        <f t="shared" si="282"/>
        <v>0</v>
      </c>
      <c r="BC480" s="5">
        <f t="shared" si="283"/>
        <v>0</v>
      </c>
      <c r="BD480" s="5">
        <f t="shared" si="284"/>
        <v>-5000</v>
      </c>
      <c r="BE480" s="16">
        <f>INDEX('Team forecast'!$B$2:$AO$26,MATCH('Master data'!$B480,'Team forecast'!$B$2:$B$26,0),MATCH('Master data'!BE$1,'Team forecast'!$B$2:$AO$2,0))</f>
        <v>1.1461513485277883</v>
      </c>
      <c r="BF480" s="16">
        <f>INDEX('Team forecast'!$B$2:$AO$26,MATCH('Master data'!$B480,'Team forecast'!$B$2:$B$26,0),MATCH('Master data'!BF$1,'Team forecast'!$B$2:$AO$2,0))</f>
        <v>1.1461513485277883</v>
      </c>
      <c r="BG480" s="16">
        <f>INDEX('Team forecast'!$B$2:$AO$26,MATCH('Master data'!$B480,'Team forecast'!$B$2:$B$26,0),MATCH('Master data'!BG$1,'Team forecast'!$B$2:$AO$2,0))</f>
        <v>0.31785774198959899</v>
      </c>
      <c r="BH480" s="16">
        <f>INDEX('Team forecast'!$B$2:$AO$26,MATCH('Master data'!$B480,'Team forecast'!$B$2:$B$26,0),MATCH('Master data'!BH$1,'Team forecast'!$B$2:$AO$2,0))</f>
        <v>3.4610754537779926</v>
      </c>
      <c r="BI480" s="16">
        <f>INDEX('Team forecast'!$B$2:$AO$26,MATCH('Master data'!$B480,'Team forecast'!$B$2:$B$26,0),MATCH('Master data'!BI$1,'Team forecast'!$B$2:$AO$2,0))</f>
        <v>3.4610754537779926</v>
      </c>
      <c r="BJ480" s="5">
        <f t="shared" si="285"/>
        <v>-5000</v>
      </c>
      <c r="BK480" s="5">
        <f>INDEX('Team forecast'!$R$3:$BH$26,MATCH($B480,'Team forecast'!$B$3:$B$26,0),MATCH(BK$1,'Team forecast'!$R$2:$BH$2,0))*IF($X480&gt;0,25000,0)</f>
        <v>0</v>
      </c>
      <c r="BL480" s="5">
        <f>INDEX('Team forecast'!$R$3:$BH$26,MATCH($B480,'Team forecast'!$B$3:$B$26,0),MATCH(BL$1,'Team forecast'!$R$2:$BH$2,0))*IF($X480&gt;0,5000,0)</f>
        <v>0</v>
      </c>
      <c r="BM480" s="5">
        <f>INDEX('Team forecast'!$R$3:$BH$26,MATCH($B480,'Team forecast'!$B$3:$B$26,0),MATCH(BM$1,'Team forecast'!$R$2:$BH$2,0))*IF($X480&gt;0,-15000,0)</f>
        <v>0</v>
      </c>
      <c r="BN480" s="5">
        <f t="shared" si="286"/>
        <v>0</v>
      </c>
      <c r="BO480" s="5">
        <f t="shared" si="287"/>
        <v>0</v>
      </c>
      <c r="BP480" s="5">
        <f t="shared" si="288"/>
        <v>0</v>
      </c>
      <c r="BQ480" s="5">
        <f t="shared" si="289"/>
        <v>0</v>
      </c>
      <c r="BR480" s="5">
        <f t="shared" si="290"/>
        <v>0</v>
      </c>
      <c r="BS480" s="5">
        <f t="shared" si="291"/>
        <v>0</v>
      </c>
      <c r="BT480" s="5">
        <f t="shared" si="292"/>
        <v>0</v>
      </c>
      <c r="BU480" s="5">
        <f t="shared" si="293"/>
        <v>0</v>
      </c>
      <c r="BV480" s="5">
        <f t="shared" si="294"/>
        <v>0</v>
      </c>
      <c r="BW480" s="5">
        <f t="shared" si="295"/>
        <v>-5000</v>
      </c>
      <c r="BX480" s="5">
        <f t="shared" si="296"/>
        <v>-5000</v>
      </c>
      <c r="BY480" s="5">
        <f t="shared" si="297"/>
        <v>-15000</v>
      </c>
      <c r="BZ480" s="5">
        <f>INDEX('Team forecast'!$R$3:$BH$26,MATCH($B480,'Team forecast'!$B$3:$B$26,0),MATCH(BZ$1,'Team forecast'!$R$2:$BH$2,0))*($BX480-(BY480+CH480)*0.01)</f>
        <v>-24913.294845142547</v>
      </c>
      <c r="CA480" s="5">
        <f>INDEX('Team forecast'!$R$3:$BH$26,MATCH($B480,'Team forecast'!$B$3:$B$26,0),MATCH(CA$1,'Team forecast'!$R$2:$BH$2,0))*($BX480-(BY480+BX480+CH480)*0.01)</f>
        <v>-12212.077663480432</v>
      </c>
      <c r="CB480" s="5">
        <f>INDEX('Team forecast'!$R$3:$BH$26,MATCH($B480,'Team forecast'!$B$3:$B$26,0),MATCH(CB$1,'Team forecast'!$R$2:$BH$2,0))*($BX480-(BY480+BX480*2+CH480)*0.01)</f>
        <v>-5884.2095619465927</v>
      </c>
      <c r="CC480" s="5">
        <f>INDEX('Team forecast'!$R$3:$BH$26,MATCH($B480,'Team forecast'!$B$3:$B$26,0),MATCH(CC$1,'Team forecast'!$R$2:$BH$2,0))*($BX480-(BY480+BX480*3+CH480)*0.01)</f>
        <v>-2663.5364361847705</v>
      </c>
      <c r="CD480" s="5">
        <f>+AK480+BD480*Cockpit!$C$3+BW480*Cockpit!$C$3^2+BZ480*Cockpit!$C$3^3+CA480*Cockpit!$C$3^4+CB480*Cockpit!$C$3^5+CC480*Cockpit!$C$3^6</f>
        <v>-21358.245980733427</v>
      </c>
      <c r="CE480" s="5"/>
      <c r="CF480" s="5"/>
      <c r="CG480" s="5">
        <v>0</v>
      </c>
      <c r="CH480" s="5">
        <f t="shared" si="298"/>
        <v>3000000</v>
      </c>
      <c r="CI480" s="5">
        <f t="shared" si="299"/>
        <v>3000000</v>
      </c>
      <c r="CJ480" s="1">
        <f t="shared" si="300"/>
        <v>-5.0000000000000001E-3</v>
      </c>
      <c r="CK480" s="5">
        <f>RANK(BY480,$BY$2:$BY$623)+COUNTIF($BY$2:$BY480,$BY480)-1</f>
        <v>573</v>
      </c>
      <c r="CL480" s="5">
        <f>RANK(CJ480,$CJ$2:$CJ$623)+COUNTIF($CJ$2:$CJ480,$CJ480)-1</f>
        <v>523</v>
      </c>
    </row>
    <row r="481" spans="1:90">
      <c r="A481" t="str">
        <f>Players!P482</f>
        <v>Valentino  Lazaro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2000000</v>
      </c>
      <c r="H481" s="16">
        <f>INDEX('Team forecast'!$B$2:$AO$26,MATCH('Master data'!$B481,'Team forecast'!$B$2:$B$26,0),MATCH('Master data'!H$1,'Team forecast'!$B$2:$AO$2,0))</f>
        <v>1.5562991347612565</v>
      </c>
      <c r="I481" s="16">
        <f>INDEX('Team forecast'!$B$2:$AO$26,MATCH('Master data'!$B481,'Team forecast'!$B$2:$B$26,0),MATCH('Master data'!I$1,'Team forecast'!$B$2:$AO$2,0))</f>
        <v>0.65653770483831209</v>
      </c>
      <c r="J481" s="16">
        <f>INDEX('Team forecast'!$B$2:$AO$26,MATCH('Master data'!$B481,'Team forecast'!$B$2:$B$26,0),MATCH('Master data'!J$1,'Team forecast'!$B$2:$AO$2,0))</f>
        <v>0.51864392781930047</v>
      </c>
      <c r="K481" s="16">
        <f>INDEX('Team forecast'!$B$2:$AO$26,MATCH('Master data'!$B481,'Team forecast'!$B$2:$B$26,0),MATCH('Master data'!K$1,'Team forecast'!$B$2:$AO$2,0))</f>
        <v>4.6996138345751106</v>
      </c>
      <c r="L481" s="16">
        <f>INDEX('Team forecast'!$B$2:$AO$26,MATCH('Master data'!$B481,'Team forecast'!$B$2:$B$26,0),MATCH('Master data'!L$1,'Team forecast'!$B$2:$AO$2,0))</f>
        <v>1.9825710955314819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0.22904684975767364</v>
      </c>
      <c r="R481" s="2">
        <f>Players!BR482</f>
        <v>0</v>
      </c>
      <c r="S481" s="2">
        <f t="shared" si="259"/>
        <v>1.5562991347612565</v>
      </c>
      <c r="T481" s="2">
        <f t="shared" si="260"/>
        <v>0.65653770483831209</v>
      </c>
      <c r="U481" s="16">
        <f>INDEX('Team forecast'!$B$2:$AO$26,MATCH('Master data'!$B481,'Team forecast'!$B$2:$B$26,0),MATCH('Master data'!U$1,'Team forecast'!$B$2:$AO$2,0))</f>
        <v>0.60453400503778332</v>
      </c>
      <c r="V481" s="16">
        <f>INDEX('Team forecast'!$B$2:$AO$26,MATCH('Master data'!$B481,'Team forecast'!$B$2:$B$26,0),MATCH('Master data'!V$1,'Team forecast'!$B$2:$AO$2,0))</f>
        <v>0.23727959697733</v>
      </c>
      <c r="W481" s="16">
        <f>INDEX('Team forecast'!$B$2:$AO$26,MATCH('Master data'!$B481,'Team forecast'!$B$2:$B$26,0),MATCH('Master data'!W$1,'Team forecast'!$B$2:$AO$2,0))</f>
        <v>0.15818639798488671</v>
      </c>
      <c r="X481" s="5">
        <f t="shared" si="261"/>
        <v>-5000</v>
      </c>
      <c r="Y481" s="5">
        <f t="shared" si="262"/>
        <v>0</v>
      </c>
      <c r="Z481" s="5">
        <f t="shared" si="263"/>
        <v>0</v>
      </c>
      <c r="AA481" s="5">
        <f t="shared" si="264"/>
        <v>0</v>
      </c>
      <c r="AB481" s="5">
        <f t="shared" si="265"/>
        <v>0</v>
      </c>
      <c r="AC481" s="5">
        <f t="shared" si="266"/>
        <v>0</v>
      </c>
      <c r="AD481" s="5">
        <f t="shared" si="267"/>
        <v>0</v>
      </c>
      <c r="AE481" s="5">
        <f t="shared" si="268"/>
        <v>0</v>
      </c>
      <c r="AF481" s="5">
        <f t="shared" si="269"/>
        <v>0</v>
      </c>
      <c r="AG481" s="5">
        <f t="shared" si="270"/>
        <v>0</v>
      </c>
      <c r="AH481" s="5">
        <f t="shared" si="271"/>
        <v>0</v>
      </c>
      <c r="AI481" s="5">
        <f t="shared" si="272"/>
        <v>0</v>
      </c>
      <c r="AJ481" s="5">
        <f t="shared" si="273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0.7977891123063281</v>
      </c>
      <c r="AM481" s="16">
        <f>INDEX('Team forecast'!$B$2:$AO$26,MATCH('Master data'!$B481,'Team forecast'!$B$2:$B$26,0),MATCH('Master data'!AM$1,'Team forecast'!$B$2:$AO$2,0))</f>
        <v>1.8476112368050062</v>
      </c>
      <c r="AN481" s="16">
        <f>INDEX('Team forecast'!$B$2:$AO$26,MATCH('Master data'!$B481,'Team forecast'!$B$2:$B$26,0),MATCH('Master data'!AN$1,'Team forecast'!$B$2:$AO$2,0))</f>
        <v>0.15761321763936759</v>
      </c>
      <c r="AO481" s="16">
        <f>INDEX('Team forecast'!$B$2:$AO$26,MATCH('Master data'!$B481,'Team forecast'!$B$2:$B$26,0),MATCH('Master data'!AO$1,'Team forecast'!$B$2:$AO$2,0))</f>
        <v>2.4091131746618726</v>
      </c>
      <c r="AP481" s="16">
        <f>INDEX('Team forecast'!$B$2:$AO$26,MATCH('Master data'!$B481,'Team forecast'!$B$2:$B$26,0),MATCH('Master data'!AP$1,'Team forecast'!$B$2:$AO$2,0))</f>
        <v>5.5792997216677493</v>
      </c>
      <c r="AQ481" s="5">
        <f t="shared" si="274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275"/>
        <v>0</v>
      </c>
      <c r="AV481" s="5">
        <f t="shared" si="276"/>
        <v>0</v>
      </c>
      <c r="AW481" s="5">
        <f t="shared" si="277"/>
        <v>0</v>
      </c>
      <c r="AX481" s="5">
        <f t="shared" si="278"/>
        <v>0</v>
      </c>
      <c r="AY481" s="5">
        <f t="shared" si="279"/>
        <v>0</v>
      </c>
      <c r="AZ481" s="5">
        <f t="shared" si="280"/>
        <v>0</v>
      </c>
      <c r="BA481" s="5">
        <f t="shared" si="281"/>
        <v>0</v>
      </c>
      <c r="BB481" s="5">
        <f t="shared" si="282"/>
        <v>0</v>
      </c>
      <c r="BC481" s="5">
        <f t="shared" si="283"/>
        <v>0</v>
      </c>
      <c r="BD481" s="5">
        <f t="shared" si="284"/>
        <v>-5000</v>
      </c>
      <c r="BE481" s="16">
        <f>INDEX('Team forecast'!$B$2:$AO$26,MATCH('Master data'!$B481,'Team forecast'!$B$2:$B$26,0),MATCH('Master data'!BE$1,'Team forecast'!$B$2:$AO$2,0))</f>
        <v>1.1461513485277883</v>
      </c>
      <c r="BF481" s="16">
        <f>INDEX('Team forecast'!$B$2:$AO$26,MATCH('Master data'!$B481,'Team forecast'!$B$2:$B$26,0),MATCH('Master data'!BF$1,'Team forecast'!$B$2:$AO$2,0))</f>
        <v>1.1461513485277883</v>
      </c>
      <c r="BG481" s="16">
        <f>INDEX('Team forecast'!$B$2:$AO$26,MATCH('Master data'!$B481,'Team forecast'!$B$2:$B$26,0),MATCH('Master data'!BG$1,'Team forecast'!$B$2:$AO$2,0))</f>
        <v>0.31785774198959899</v>
      </c>
      <c r="BH481" s="16">
        <f>INDEX('Team forecast'!$B$2:$AO$26,MATCH('Master data'!$B481,'Team forecast'!$B$2:$B$26,0),MATCH('Master data'!BH$1,'Team forecast'!$B$2:$AO$2,0))</f>
        <v>3.4610754537779926</v>
      </c>
      <c r="BI481" s="16">
        <f>INDEX('Team forecast'!$B$2:$AO$26,MATCH('Master data'!$B481,'Team forecast'!$B$2:$B$26,0),MATCH('Master data'!BI$1,'Team forecast'!$B$2:$AO$2,0))</f>
        <v>3.4610754537779926</v>
      </c>
      <c r="BJ481" s="5">
        <f t="shared" si="285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286"/>
        <v>0</v>
      </c>
      <c r="BO481" s="5">
        <f t="shared" si="287"/>
        <v>0</v>
      </c>
      <c r="BP481" s="5">
        <f t="shared" si="288"/>
        <v>0</v>
      </c>
      <c r="BQ481" s="5">
        <f t="shared" si="289"/>
        <v>0</v>
      </c>
      <c r="BR481" s="5">
        <f t="shared" si="290"/>
        <v>0</v>
      </c>
      <c r="BS481" s="5">
        <f t="shared" si="291"/>
        <v>0</v>
      </c>
      <c r="BT481" s="5">
        <f t="shared" si="292"/>
        <v>0</v>
      </c>
      <c r="BU481" s="5">
        <f t="shared" si="293"/>
        <v>0</v>
      </c>
      <c r="BV481" s="5">
        <f t="shared" si="294"/>
        <v>0</v>
      </c>
      <c r="BW481" s="5">
        <f t="shared" si="295"/>
        <v>-5000</v>
      </c>
      <c r="BX481" s="5">
        <f t="shared" si="296"/>
        <v>-5000</v>
      </c>
      <c r="BY481" s="5">
        <f t="shared" si="297"/>
        <v>-15000</v>
      </c>
      <c r="BZ481" s="5">
        <f>INDEX('Team forecast'!$R$3:$BH$26,MATCH($B481,'Team forecast'!$B$3:$B$26,0),MATCH(BZ$1,'Team forecast'!$R$2:$BH$2,0))*($BX481-(BY481+CH481)*0.01)</f>
        <v>-17764.573225302505</v>
      </c>
      <c r="CA481" s="5">
        <f>INDEX('Team forecast'!$R$3:$BH$26,MATCH($B481,'Team forecast'!$B$3:$B$26,0),MATCH(CA$1,'Team forecast'!$R$2:$BH$2,0))*($BX481-(BY481+BX481+CH481)*0.01)</f>
        <v>-8702.8599440895032</v>
      </c>
      <c r="CB481" s="5">
        <f>INDEX('Team forecast'!$R$3:$BH$26,MATCH($B481,'Team forecast'!$B$3:$B$26,0),MATCH(CB$1,'Team forecast'!$R$2:$BH$2,0))*($BX481-(BY481+BX481*2+CH481)*0.01)</f>
        <v>-4190.9118462785082</v>
      </c>
      <c r="CC481" s="5">
        <f>INDEX('Team forecast'!$R$3:$BH$26,MATCH($B481,'Team forecast'!$B$3:$B$26,0),MATCH(CC$1,'Team forecast'!$R$2:$BH$2,0))*($BX481-(BY481+BX481*3+CH481)*0.01)</f>
        <v>-1895.9466851228772</v>
      </c>
      <c r="CD481" s="5">
        <f>+AK481+BD481*Cockpit!$C$3+BW481*Cockpit!$C$3^2+BZ481*Cockpit!$C$3^3+CA481*Cockpit!$C$3^4+CB481*Cockpit!$C$3^5+CC481*Cockpit!$C$3^6</f>
        <v>-18256.553873394827</v>
      </c>
      <c r="CE481" s="5"/>
      <c r="CF481" s="5"/>
      <c r="CG481" s="5">
        <v>0</v>
      </c>
      <c r="CH481" s="5">
        <f t="shared" si="298"/>
        <v>2000000</v>
      </c>
      <c r="CI481" s="5">
        <f t="shared" si="299"/>
        <v>2000000</v>
      </c>
      <c r="CJ481" s="1">
        <f t="shared" si="300"/>
        <v>-7.4999999999999997E-3</v>
      </c>
      <c r="CK481" s="5">
        <f>RANK(BY481,$BY$2:$BY$623)+COUNTIF($BY$2:$BY481,$BY481)-1</f>
        <v>574</v>
      </c>
      <c r="CL481" s="5">
        <f>RANK(CJ481,$CJ$2:$CJ$623)+COUNTIF($CJ$2:$CJ481,$CJ481)-1</f>
        <v>599</v>
      </c>
    </row>
    <row r="482" spans="1:90">
      <c r="A482" t="str">
        <f>Players!P483</f>
        <v>Konrad  Laimer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2500000</v>
      </c>
      <c r="H482" s="16">
        <f>INDEX('Team forecast'!$B$2:$AO$26,MATCH('Master data'!$B482,'Team forecast'!$B$2:$B$26,0),MATCH('Master data'!H$1,'Team forecast'!$B$2:$AO$2,0))</f>
        <v>1.5562991347612565</v>
      </c>
      <c r="I482" s="16">
        <f>INDEX('Team forecast'!$B$2:$AO$26,MATCH('Master data'!$B482,'Team forecast'!$B$2:$B$26,0),MATCH('Master data'!I$1,'Team forecast'!$B$2:$AO$2,0))</f>
        <v>0.65653770483831209</v>
      </c>
      <c r="J482" s="16">
        <f>INDEX('Team forecast'!$B$2:$AO$26,MATCH('Master data'!$B482,'Team forecast'!$B$2:$B$26,0),MATCH('Master data'!J$1,'Team forecast'!$B$2:$AO$2,0))</f>
        <v>0.51864392781930047</v>
      </c>
      <c r="K482" s="16">
        <f>INDEX('Team forecast'!$B$2:$AO$26,MATCH('Master data'!$B482,'Team forecast'!$B$2:$B$26,0),MATCH('Master data'!K$1,'Team forecast'!$B$2:$AO$2,0))</f>
        <v>4.6996138345751106</v>
      </c>
      <c r="L482" s="16">
        <f>INDEX('Team forecast'!$B$2:$AO$26,MATCH('Master data'!$B482,'Team forecast'!$B$2:$B$26,0),MATCH('Master data'!L$1,'Team forecast'!$B$2:$AO$2,0))</f>
        <v>1.9825710955314819</v>
      </c>
      <c r="M482">
        <f>IF(Players!BC483=1,95,0)</f>
        <v>0</v>
      </c>
      <c r="N482" s="2">
        <f>Players!BN483</f>
        <v>0</v>
      </c>
      <c r="O482" s="2">
        <f>Players!BO483</f>
        <v>0</v>
      </c>
      <c r="P482" s="2">
        <f>Players!BP483</f>
        <v>0</v>
      </c>
      <c r="Q482" s="2">
        <f>Players!BQ483</f>
        <v>0.155</v>
      </c>
      <c r="R482" s="2">
        <f>Players!BR483</f>
        <v>0</v>
      </c>
      <c r="S482" s="2">
        <f t="shared" si="259"/>
        <v>1.5562991347612565</v>
      </c>
      <c r="T482" s="2">
        <f t="shared" si="260"/>
        <v>0.65653770483831209</v>
      </c>
      <c r="U482" s="16">
        <f>INDEX('Team forecast'!$B$2:$AO$26,MATCH('Master data'!$B482,'Team forecast'!$B$2:$B$26,0),MATCH('Master data'!U$1,'Team forecast'!$B$2:$AO$2,0))</f>
        <v>0.60453400503778332</v>
      </c>
      <c r="V482" s="16">
        <f>INDEX('Team forecast'!$B$2:$AO$26,MATCH('Master data'!$B482,'Team forecast'!$B$2:$B$26,0),MATCH('Master data'!V$1,'Team forecast'!$B$2:$AO$2,0))</f>
        <v>0.23727959697733</v>
      </c>
      <c r="W482" s="16">
        <f>INDEX('Team forecast'!$B$2:$AO$26,MATCH('Master data'!$B482,'Team forecast'!$B$2:$B$26,0),MATCH('Master data'!W$1,'Team forecast'!$B$2:$AO$2,0))</f>
        <v>0.15818639798488671</v>
      </c>
      <c r="X482" s="5">
        <f t="shared" si="261"/>
        <v>-5000</v>
      </c>
      <c r="Y482" s="5">
        <f t="shared" si="262"/>
        <v>0</v>
      </c>
      <c r="Z482" s="5">
        <f t="shared" si="263"/>
        <v>0</v>
      </c>
      <c r="AA482" s="5">
        <f t="shared" si="264"/>
        <v>0</v>
      </c>
      <c r="AB482" s="5">
        <f t="shared" si="265"/>
        <v>0</v>
      </c>
      <c r="AC482" s="5">
        <f t="shared" si="266"/>
        <v>0</v>
      </c>
      <c r="AD482" s="5">
        <f t="shared" si="267"/>
        <v>0</v>
      </c>
      <c r="AE482" s="5">
        <f t="shared" si="268"/>
        <v>0</v>
      </c>
      <c r="AF482" s="5">
        <f t="shared" si="269"/>
        <v>0</v>
      </c>
      <c r="AG482" s="5">
        <f t="shared" si="270"/>
        <v>0</v>
      </c>
      <c r="AH482" s="5">
        <f t="shared" si="271"/>
        <v>0</v>
      </c>
      <c r="AI482" s="5">
        <f t="shared" si="272"/>
        <v>0</v>
      </c>
      <c r="AJ482" s="5">
        <f t="shared" si="273"/>
        <v>0</v>
      </c>
      <c r="AK482" s="5">
        <f>IFERROR(SUM(X482:AJ482),-5000)*((Cockpit!$C$3)^0)</f>
        <v>-5000</v>
      </c>
      <c r="AL482" s="16">
        <f>INDEX('Team forecast'!$B$2:$AO$26,MATCH('Master data'!$B482,'Team forecast'!$B$2:$B$26,0),MATCH('Master data'!AL$1,'Team forecast'!$B$2:$AO$2,0))</f>
        <v>0.7977891123063281</v>
      </c>
      <c r="AM482" s="16">
        <f>INDEX('Team forecast'!$B$2:$AO$26,MATCH('Master data'!$B482,'Team forecast'!$B$2:$B$26,0),MATCH('Master data'!AM$1,'Team forecast'!$B$2:$AO$2,0))</f>
        <v>1.8476112368050062</v>
      </c>
      <c r="AN482" s="16">
        <f>INDEX('Team forecast'!$B$2:$AO$26,MATCH('Master data'!$B482,'Team forecast'!$B$2:$B$26,0),MATCH('Master data'!AN$1,'Team forecast'!$B$2:$AO$2,0))</f>
        <v>0.15761321763936759</v>
      </c>
      <c r="AO482" s="16">
        <f>INDEX('Team forecast'!$B$2:$AO$26,MATCH('Master data'!$B482,'Team forecast'!$B$2:$B$26,0),MATCH('Master data'!AO$1,'Team forecast'!$B$2:$AO$2,0))</f>
        <v>2.4091131746618726</v>
      </c>
      <c r="AP482" s="16">
        <f>INDEX('Team forecast'!$B$2:$AO$26,MATCH('Master data'!$B482,'Team forecast'!$B$2:$B$26,0),MATCH('Master data'!AP$1,'Team forecast'!$B$2:$AO$2,0))</f>
        <v>5.5792997216677493</v>
      </c>
      <c r="AQ482" s="5">
        <f t="shared" si="274"/>
        <v>-5000</v>
      </c>
      <c r="AR482" s="5">
        <f>INDEX('Team forecast'!$B$2:$AO$26,MATCH('Master data'!$B482,'Team forecast'!$B$2:$B$26,0),MATCH('Master data'!AR$1,'Team forecast'!$B$2:$AO$2,0))*IF(X482&gt;0,25000,0)</f>
        <v>0</v>
      </c>
      <c r="AS482" s="16">
        <f>INDEX('Team forecast'!$B$2:$AO$26,MATCH('Master data'!$B482,'Team forecast'!$B$2:$B$26,0),MATCH('Master data'!AS$1,'Team forecast'!$B$2:$AO$2,0))*IF(X482&gt;0,5000,0)</f>
        <v>0</v>
      </c>
      <c r="AT482" s="16">
        <f>INDEX('Team forecast'!$B$2:$AO$26,MATCH('Master data'!$B482,'Team forecast'!$B$2:$B$26,0),MATCH('Master data'!AT$1,'Team forecast'!$B$2:$AO$2,0))*IF(X482&gt;0,-15000,0)</f>
        <v>0</v>
      </c>
      <c r="AU482" s="5">
        <f t="shared" si="275"/>
        <v>0</v>
      </c>
      <c r="AV482" s="5">
        <f t="shared" si="276"/>
        <v>0</v>
      </c>
      <c r="AW482" s="5">
        <f t="shared" si="277"/>
        <v>0</v>
      </c>
      <c r="AX482" s="5">
        <f t="shared" si="278"/>
        <v>0</v>
      </c>
      <c r="AY482" s="5">
        <f t="shared" si="279"/>
        <v>0</v>
      </c>
      <c r="AZ482" s="5">
        <f t="shared" si="280"/>
        <v>0</v>
      </c>
      <c r="BA482" s="5">
        <f t="shared" si="281"/>
        <v>0</v>
      </c>
      <c r="BB482" s="5">
        <f t="shared" si="282"/>
        <v>0</v>
      </c>
      <c r="BC482" s="5">
        <f t="shared" si="283"/>
        <v>0</v>
      </c>
      <c r="BD482" s="5">
        <f t="shared" si="284"/>
        <v>-5000</v>
      </c>
      <c r="BE482" s="16">
        <f>INDEX('Team forecast'!$B$2:$AO$26,MATCH('Master data'!$B482,'Team forecast'!$B$2:$B$26,0),MATCH('Master data'!BE$1,'Team forecast'!$B$2:$AO$2,0))</f>
        <v>1.1461513485277883</v>
      </c>
      <c r="BF482" s="16">
        <f>INDEX('Team forecast'!$B$2:$AO$26,MATCH('Master data'!$B482,'Team forecast'!$B$2:$B$26,0),MATCH('Master data'!BF$1,'Team forecast'!$B$2:$AO$2,0))</f>
        <v>1.1461513485277883</v>
      </c>
      <c r="BG482" s="16">
        <f>INDEX('Team forecast'!$B$2:$AO$26,MATCH('Master data'!$B482,'Team forecast'!$B$2:$B$26,0),MATCH('Master data'!BG$1,'Team forecast'!$B$2:$AO$2,0))</f>
        <v>0.31785774198959899</v>
      </c>
      <c r="BH482" s="16">
        <f>INDEX('Team forecast'!$B$2:$AO$26,MATCH('Master data'!$B482,'Team forecast'!$B$2:$B$26,0),MATCH('Master data'!BH$1,'Team forecast'!$B$2:$AO$2,0))</f>
        <v>3.4610754537779926</v>
      </c>
      <c r="BI482" s="16">
        <f>INDEX('Team forecast'!$B$2:$AO$26,MATCH('Master data'!$B482,'Team forecast'!$B$2:$B$26,0),MATCH('Master data'!BI$1,'Team forecast'!$B$2:$AO$2,0))</f>
        <v>3.4610754537779926</v>
      </c>
      <c r="BJ482" s="5">
        <f t="shared" si="285"/>
        <v>-5000</v>
      </c>
      <c r="BK482" s="5">
        <f>INDEX('Team forecast'!$R$3:$BH$26,MATCH($B482,'Team forecast'!$B$3:$B$26,0),MATCH(BK$1,'Team forecast'!$R$2:$BH$2,0))*IF($X482&gt;0,25000,0)</f>
        <v>0</v>
      </c>
      <c r="BL482" s="5">
        <f>INDEX('Team forecast'!$R$3:$BH$26,MATCH($B482,'Team forecast'!$B$3:$B$26,0),MATCH(BL$1,'Team forecast'!$R$2:$BH$2,0))*IF($X482&gt;0,5000,0)</f>
        <v>0</v>
      </c>
      <c r="BM482" s="5">
        <f>INDEX('Team forecast'!$R$3:$BH$26,MATCH($B482,'Team forecast'!$B$3:$B$26,0),MATCH(BM$1,'Team forecast'!$R$2:$BH$2,0))*IF($X482&gt;0,-15000,0)</f>
        <v>0</v>
      </c>
      <c r="BN482" s="5">
        <f t="shared" si="286"/>
        <v>0</v>
      </c>
      <c r="BO482" s="5">
        <f t="shared" si="287"/>
        <v>0</v>
      </c>
      <c r="BP482" s="5">
        <f t="shared" si="288"/>
        <v>0</v>
      </c>
      <c r="BQ482" s="5">
        <f t="shared" si="289"/>
        <v>0</v>
      </c>
      <c r="BR482" s="5">
        <f t="shared" si="290"/>
        <v>0</v>
      </c>
      <c r="BS482" s="5">
        <f t="shared" si="291"/>
        <v>0</v>
      </c>
      <c r="BT482" s="5">
        <f t="shared" si="292"/>
        <v>0</v>
      </c>
      <c r="BU482" s="5">
        <f t="shared" si="293"/>
        <v>0</v>
      </c>
      <c r="BV482" s="5">
        <f t="shared" si="294"/>
        <v>0</v>
      </c>
      <c r="BW482" s="5">
        <f t="shared" si="295"/>
        <v>-5000</v>
      </c>
      <c r="BX482" s="5">
        <f t="shared" si="296"/>
        <v>-5000</v>
      </c>
      <c r="BY482" s="5">
        <f t="shared" si="297"/>
        <v>-15000</v>
      </c>
      <c r="BZ482" s="5">
        <f>INDEX('Team forecast'!$R$3:$BH$26,MATCH($B482,'Team forecast'!$B$3:$B$26,0),MATCH(BZ$1,'Team forecast'!$R$2:$BH$2,0))*($BX482-(BY482+CH482)*0.01)</f>
        <v>-21338.934035222526</v>
      </c>
      <c r="CA482" s="5">
        <f>INDEX('Team forecast'!$R$3:$BH$26,MATCH($B482,'Team forecast'!$B$3:$B$26,0),MATCH(CA$1,'Team forecast'!$R$2:$BH$2,0))*($BX482-(BY482+BX482+CH482)*0.01)</f>
        <v>-10457.468803784966</v>
      </c>
      <c r="CB482" s="5">
        <f>INDEX('Team forecast'!$R$3:$BH$26,MATCH($B482,'Team forecast'!$B$3:$B$26,0),MATCH(CB$1,'Team forecast'!$R$2:$BH$2,0))*($BX482-(BY482+BX482*2+CH482)*0.01)</f>
        <v>-5037.5607041125504</v>
      </c>
      <c r="CC482" s="5">
        <f>INDEX('Team forecast'!$R$3:$BH$26,MATCH($B482,'Team forecast'!$B$3:$B$26,0),MATCH(CC$1,'Team forecast'!$R$2:$BH$2,0))*($BX482-(BY482+BX482*3+CH482)*0.01)</f>
        <v>-2279.7415606538239</v>
      </c>
      <c r="CD482" s="5">
        <f>+AK482+BD482*Cockpit!$C$3+BW482*Cockpit!$C$3^2+BZ482*Cockpit!$C$3^3+CA482*Cockpit!$C$3^4+CB482*Cockpit!$C$3^5+CC482*Cockpit!$C$3^6</f>
        <v>-19807.399927064125</v>
      </c>
      <c r="CE482" s="5"/>
      <c r="CF482" s="5"/>
      <c r="CG482" s="5">
        <v>0</v>
      </c>
      <c r="CH482" s="5">
        <f t="shared" si="298"/>
        <v>2500000</v>
      </c>
      <c r="CI482" s="5">
        <f t="shared" si="299"/>
        <v>2500000</v>
      </c>
      <c r="CJ482" s="1">
        <f t="shared" si="300"/>
        <v>-6.0000000000000001E-3</v>
      </c>
      <c r="CK482" s="5">
        <f>RANK(BY482,$BY$2:$BY$623)+COUNTIF($BY$2:$BY482,$BY482)-1</f>
        <v>575</v>
      </c>
      <c r="CL482" s="5">
        <f>RANK(CJ482,$CJ$2:$CJ$623)+COUNTIF($CJ$2:$CJ482,$CJ482)-1</f>
        <v>560</v>
      </c>
    </row>
    <row r="483" spans="1:90">
      <c r="A483" t="str">
        <f>Players!P484</f>
        <v>Florian  Grillitsch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3000000</v>
      </c>
      <c r="H483" s="16">
        <f>INDEX('Team forecast'!$B$2:$AO$26,MATCH('Master data'!$B483,'Team forecast'!$B$2:$B$26,0),MATCH('Master data'!H$1,'Team forecast'!$B$2:$AO$2,0))</f>
        <v>1.5562991347612565</v>
      </c>
      <c r="I483" s="16">
        <f>INDEX('Team forecast'!$B$2:$AO$26,MATCH('Master data'!$B483,'Team forecast'!$B$2:$B$26,0),MATCH('Master data'!I$1,'Team forecast'!$B$2:$AO$2,0))</f>
        <v>0.65653770483831209</v>
      </c>
      <c r="J483" s="16">
        <f>INDEX('Team forecast'!$B$2:$AO$26,MATCH('Master data'!$B483,'Team forecast'!$B$2:$B$26,0),MATCH('Master data'!J$1,'Team forecast'!$B$2:$AO$2,0))</f>
        <v>0.51864392781930047</v>
      </c>
      <c r="K483" s="16">
        <f>INDEX('Team forecast'!$B$2:$AO$26,MATCH('Master data'!$B483,'Team forecast'!$B$2:$B$26,0),MATCH('Master data'!K$1,'Team forecast'!$B$2:$AO$2,0))</f>
        <v>4.6996138345751106</v>
      </c>
      <c r="L483" s="16">
        <f>INDEX('Team forecast'!$B$2:$AO$26,MATCH('Master data'!$B483,'Team forecast'!$B$2:$B$26,0),MATCH('Master data'!L$1,'Team forecast'!$B$2:$AO$2,0))</f>
        <v>1.9825710955314819</v>
      </c>
      <c r="M483">
        <f>IF(Players!BC484=1,95,0)</f>
        <v>95</v>
      </c>
      <c r="N483" s="2">
        <f>Players!BN484</f>
        <v>7.9899213679415299E-2</v>
      </c>
      <c r="O483" s="2">
        <f>Players!BO484</f>
        <v>9.400530923410079E-2</v>
      </c>
      <c r="P483" s="2">
        <f>Players!BP484</f>
        <v>0.12077850059606345</v>
      </c>
      <c r="Q483" s="2">
        <f>Players!BQ484</f>
        <v>9.5642933049946866E-2</v>
      </c>
      <c r="R483" s="2">
        <f>Players!BR484</f>
        <v>4.7821466524973433E-2</v>
      </c>
      <c r="S483" s="2">
        <f t="shared" si="259"/>
        <v>1.5562991347612565</v>
      </c>
      <c r="T483" s="2">
        <f t="shared" si="260"/>
        <v>0.65653770483831209</v>
      </c>
      <c r="U483" s="16">
        <f>INDEX('Team forecast'!$B$2:$AO$26,MATCH('Master data'!$B483,'Team forecast'!$B$2:$B$26,0),MATCH('Master data'!U$1,'Team forecast'!$B$2:$AO$2,0))</f>
        <v>0.60453400503778332</v>
      </c>
      <c r="V483" s="16">
        <f>INDEX('Team forecast'!$B$2:$AO$26,MATCH('Master data'!$B483,'Team forecast'!$B$2:$B$26,0),MATCH('Master data'!V$1,'Team forecast'!$B$2:$AO$2,0))</f>
        <v>0.23727959697733</v>
      </c>
      <c r="W483" s="16">
        <f>INDEX('Team forecast'!$B$2:$AO$26,MATCH('Master data'!$B483,'Team forecast'!$B$2:$B$26,0),MATCH('Master data'!W$1,'Team forecast'!$B$2:$AO$2,0))</f>
        <v>0.15818639798488671</v>
      </c>
      <c r="X483" s="5">
        <f t="shared" si="261"/>
        <v>7000</v>
      </c>
      <c r="Y483" s="5">
        <f t="shared" si="262"/>
        <v>15113.350125944582</v>
      </c>
      <c r="Z483" s="5">
        <f t="shared" si="263"/>
        <v>1186.39798488665</v>
      </c>
      <c r="AA483" s="5">
        <f t="shared" si="264"/>
        <v>-2372.7959697733004</v>
      </c>
      <c r="AB483" s="5">
        <f t="shared" si="265"/>
        <v>15543.384639672347</v>
      </c>
      <c r="AC483" s="5">
        <f t="shared" si="266"/>
        <v>7315.0190711997702</v>
      </c>
      <c r="AD483" s="5">
        <f t="shared" si="267"/>
        <v>5676.1231232049804</v>
      </c>
      <c r="AE483" s="5">
        <f t="shared" si="268"/>
        <v>0</v>
      </c>
      <c r="AF483" s="5">
        <f t="shared" si="269"/>
        <v>0</v>
      </c>
      <c r="AG483" s="5">
        <f t="shared" si="270"/>
        <v>-1912.8586609989372</v>
      </c>
      <c r="AH483" s="5">
        <f t="shared" si="271"/>
        <v>-2391.0733262486715</v>
      </c>
      <c r="AI483" s="5">
        <f t="shared" si="272"/>
        <v>15562.991347612564</v>
      </c>
      <c r="AJ483" s="5">
        <f t="shared" si="273"/>
        <v>-5252.3016387064963</v>
      </c>
      <c r="AK483" s="5">
        <f>IFERROR(SUM(X483:AJ483),-5000)*((Cockpit!$C$3)^0)</f>
        <v>55468.236696793494</v>
      </c>
      <c r="AL483" s="16">
        <f>INDEX('Team forecast'!$B$2:$AO$26,MATCH('Master data'!$B483,'Team forecast'!$B$2:$B$26,0),MATCH('Master data'!AL$1,'Team forecast'!$B$2:$AO$2,0))</f>
        <v>0.7977891123063281</v>
      </c>
      <c r="AM483" s="16">
        <f>INDEX('Team forecast'!$B$2:$AO$26,MATCH('Master data'!$B483,'Team forecast'!$B$2:$B$26,0),MATCH('Master data'!AM$1,'Team forecast'!$B$2:$AO$2,0))</f>
        <v>1.8476112368050062</v>
      </c>
      <c r="AN483" s="16">
        <f>INDEX('Team forecast'!$B$2:$AO$26,MATCH('Master data'!$B483,'Team forecast'!$B$2:$B$26,0),MATCH('Master data'!AN$1,'Team forecast'!$B$2:$AO$2,0))</f>
        <v>0.15761321763936759</v>
      </c>
      <c r="AO483" s="16">
        <f>INDEX('Team forecast'!$B$2:$AO$26,MATCH('Master data'!$B483,'Team forecast'!$B$2:$B$26,0),MATCH('Master data'!AO$1,'Team forecast'!$B$2:$AO$2,0))</f>
        <v>2.4091131746618726</v>
      </c>
      <c r="AP483" s="16">
        <f>INDEX('Team forecast'!$B$2:$AO$26,MATCH('Master data'!$B483,'Team forecast'!$B$2:$B$26,0),MATCH('Master data'!AP$1,'Team forecast'!$B$2:$AO$2,0))</f>
        <v>5.5792997216677493</v>
      </c>
      <c r="AQ483" s="5">
        <f t="shared" si="274"/>
        <v>7000</v>
      </c>
      <c r="AR483" s="5">
        <f>INDEX('Team forecast'!$B$2:$AO$26,MATCH('Master data'!$B483,'Team forecast'!$B$2:$B$26,0),MATCH('Master data'!AR$1,'Team forecast'!$B$2:$AO$2,0))*IF(X483&gt;0,25000,0)</f>
        <v>3637.2280993700224</v>
      </c>
      <c r="AS483" s="16">
        <f>INDEX('Team forecast'!$B$2:$AO$26,MATCH('Master data'!$B483,'Team forecast'!$B$2:$B$26,0),MATCH('Master data'!AS$1,'Team forecast'!$B$2:$AO$2,0))*IF(X483&gt;0,5000,0)</f>
        <v>1182.0991322952575</v>
      </c>
      <c r="AT483" s="16">
        <f>INDEX('Team forecast'!$B$2:$AO$26,MATCH('Master data'!$B483,'Team forecast'!$B$2:$B$26,0),MATCH('Master data'!AT$1,'Team forecast'!$B$2:$AO$2,0))*IF(X483&gt;0,-15000,0)</f>
        <v>-9271.3657434922134</v>
      </c>
      <c r="AU483" s="5">
        <f t="shared" si="275"/>
        <v>7967.8403444092955</v>
      </c>
      <c r="AV483" s="5">
        <f t="shared" si="276"/>
        <v>3749.8206102977565</v>
      </c>
      <c r="AW483" s="5">
        <f t="shared" si="277"/>
        <v>2909.6907700188331</v>
      </c>
      <c r="AX483" s="5">
        <f t="shared" si="278"/>
        <v>0</v>
      </c>
      <c r="AY483" s="5">
        <f t="shared" si="279"/>
        <v>0</v>
      </c>
      <c r="AZ483" s="5">
        <f t="shared" si="280"/>
        <v>-1912.8586609989372</v>
      </c>
      <c r="BA483" s="5">
        <f t="shared" si="281"/>
        <v>-2391.0733262486715</v>
      </c>
      <c r="BB483" s="5">
        <f t="shared" si="282"/>
        <v>7977.8911230632812</v>
      </c>
      <c r="BC483" s="5">
        <f t="shared" si="283"/>
        <v>-14780.88989444005</v>
      </c>
      <c r="BD483" s="5">
        <f t="shared" si="284"/>
        <v>6068.3824542745751</v>
      </c>
      <c r="BE483" s="16">
        <f>INDEX('Team forecast'!$B$2:$AO$26,MATCH('Master data'!$B483,'Team forecast'!$B$2:$B$26,0),MATCH('Master data'!BE$1,'Team forecast'!$B$2:$AO$2,0))</f>
        <v>1.1461513485277883</v>
      </c>
      <c r="BF483" s="16">
        <f>INDEX('Team forecast'!$B$2:$AO$26,MATCH('Master data'!$B483,'Team forecast'!$B$2:$B$26,0),MATCH('Master data'!BF$1,'Team forecast'!$B$2:$AO$2,0))</f>
        <v>1.1461513485277883</v>
      </c>
      <c r="BG483" s="16">
        <f>INDEX('Team forecast'!$B$2:$AO$26,MATCH('Master data'!$B483,'Team forecast'!$B$2:$B$26,0),MATCH('Master data'!BG$1,'Team forecast'!$B$2:$AO$2,0))</f>
        <v>0.31785774198959899</v>
      </c>
      <c r="BH483" s="16">
        <f>INDEX('Team forecast'!$B$2:$AO$26,MATCH('Master data'!$B483,'Team forecast'!$B$2:$B$26,0),MATCH('Master data'!BH$1,'Team forecast'!$B$2:$AO$2,0))</f>
        <v>3.4610754537779926</v>
      </c>
      <c r="BI483" s="16">
        <f>INDEX('Team forecast'!$B$2:$AO$26,MATCH('Master data'!$B483,'Team forecast'!$B$2:$B$26,0),MATCH('Master data'!BI$1,'Team forecast'!$B$2:$AO$2,0))</f>
        <v>3.4610754537779926</v>
      </c>
      <c r="BJ483" s="5">
        <f t="shared" si="285"/>
        <v>7000</v>
      </c>
      <c r="BK483" s="5">
        <f>INDEX('Team forecast'!$R$3:$BH$26,MATCH($B483,'Team forecast'!$B$3:$B$26,0),MATCH(BK$1,'Team forecast'!$R$2:$BH$2,0))*IF($X483&gt;0,25000,0)</f>
        <v>8995.9738298943139</v>
      </c>
      <c r="BL483" s="5">
        <f>INDEX('Team forecast'!$R$3:$BH$26,MATCH($B483,'Team forecast'!$B$3:$B$26,0),MATCH(BL$1,'Team forecast'!$R$2:$BH$2,0))*IF($X483&gt;0,5000,0)</f>
        <v>1467.0357322596881</v>
      </c>
      <c r="BM483" s="5">
        <f>INDEX('Team forecast'!$R$3:$BH$26,MATCH($B483,'Team forecast'!$B$3:$B$26,0),MATCH(BM$1,'Team forecast'!$R$2:$BH$2,0))*IF($X483&gt;0,-15000,0)</f>
        <v>-5201.3085052843489</v>
      </c>
      <c r="BN483" s="5">
        <f t="shared" si="286"/>
        <v>11447.07393812147</v>
      </c>
      <c r="BO483" s="5">
        <f t="shared" si="287"/>
        <v>5387.2155973718181</v>
      </c>
      <c r="BP483" s="5">
        <f t="shared" si="288"/>
        <v>4180.2350375714586</v>
      </c>
      <c r="BQ483" s="5">
        <f t="shared" si="289"/>
        <v>0</v>
      </c>
      <c r="BR483" s="5">
        <f t="shared" si="290"/>
        <v>0</v>
      </c>
      <c r="BS483" s="5">
        <f t="shared" si="291"/>
        <v>-1912.8586609989372</v>
      </c>
      <c r="BT483" s="5">
        <f t="shared" si="292"/>
        <v>-2391.0733262486715</v>
      </c>
      <c r="BU483" s="5">
        <f t="shared" si="293"/>
        <v>11461.513485277883</v>
      </c>
      <c r="BV483" s="5">
        <f t="shared" si="294"/>
        <v>-9169.2107882223063</v>
      </c>
      <c r="BW483" s="5">
        <f t="shared" si="295"/>
        <v>31264.596339742369</v>
      </c>
      <c r="BX483" s="5">
        <f t="shared" si="296"/>
        <v>30933.73849693681</v>
      </c>
      <c r="BY483" s="5">
        <f t="shared" si="297"/>
        <v>92801.215490810428</v>
      </c>
      <c r="BZ483" s="5">
        <f>INDEX('Team forecast'!$R$3:$BH$26,MATCH($B483,'Team forecast'!$B$3:$B$26,0),MATCH(BZ$1,'Team forecast'!$R$2:$BH$2,0))*($BX483-(BY483+CH483)*0.01)</f>
        <v>4.0936025063205008</v>
      </c>
      <c r="CA483" s="5">
        <f>INDEX('Team forecast'!$R$3:$BH$26,MATCH($B483,'Team forecast'!$B$3:$B$26,0),MATCH(CA$1,'Team forecast'!$R$2:$BH$2,0))*($BX483-(BY483+BX483+CH483)*0.01)</f>
        <v>-106.54372516901429</v>
      </c>
      <c r="CB483" s="5">
        <f>INDEX('Team forecast'!$R$3:$BH$26,MATCH($B483,'Team forecast'!$B$3:$B$26,0),MATCH(CB$1,'Team forecast'!$R$2:$BH$2,0))*($BX483-(BY483+BX483*2+CH483)*0.01)</f>
        <v>-103.79041728024013</v>
      </c>
      <c r="CC483" s="5">
        <f>INDEX('Team forecast'!$R$3:$BH$26,MATCH($B483,'Team forecast'!$B$3:$B$26,0),MATCH(CC$1,'Team forecast'!$R$2:$BH$2,0))*($BX483-(BY483+BX483*3+CH483)*0.01)</f>
        <v>-70.793713751601175</v>
      </c>
      <c r="CD483" s="5">
        <f>+AK483+BD483*Cockpit!$C$3+BW483*Cockpit!$C$3^2+BZ483*Cockpit!$C$3^3+CA483*Cockpit!$C$3^4+CB483*Cockpit!$C$3^5+CC483*Cockpit!$C$3^6</f>
        <v>73369.485435932045</v>
      </c>
      <c r="CE483" s="5"/>
      <c r="CF483" s="5"/>
      <c r="CG483" s="5">
        <v>0</v>
      </c>
      <c r="CH483" s="5">
        <f t="shared" si="298"/>
        <v>3000000</v>
      </c>
      <c r="CI483" s="5">
        <f t="shared" si="299"/>
        <v>3000000</v>
      </c>
      <c r="CJ483" s="1">
        <f t="shared" si="300"/>
        <v>3.093373849693681E-2</v>
      </c>
      <c r="CK483" s="5">
        <f>RANK(BY483,$BY$2:$BY$623)+COUNTIF($BY$2:$BY483,$BY483)-1</f>
        <v>184</v>
      </c>
      <c r="CL483" s="5">
        <f>RANK(CJ483,$CJ$2:$CJ$623)+COUNTIF($CJ$2:$CJ483,$CJ483)-1</f>
        <v>135</v>
      </c>
    </row>
    <row r="484" spans="1:90">
      <c r="A484" t="str">
        <f>Players!P485</f>
        <v>Alessandro Schöpf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2500000</v>
      </c>
      <c r="H484" s="16">
        <f>INDEX('Team forecast'!$B$2:$AO$26,MATCH('Master data'!$B484,'Team forecast'!$B$2:$B$26,0),MATCH('Master data'!H$1,'Team forecast'!$B$2:$AO$2,0))</f>
        <v>1.5562991347612565</v>
      </c>
      <c r="I484" s="16">
        <f>INDEX('Team forecast'!$B$2:$AO$26,MATCH('Master data'!$B484,'Team forecast'!$B$2:$B$26,0),MATCH('Master data'!I$1,'Team forecast'!$B$2:$AO$2,0))</f>
        <v>0.65653770483831209</v>
      </c>
      <c r="J484" s="16">
        <f>INDEX('Team forecast'!$B$2:$AO$26,MATCH('Master data'!$B484,'Team forecast'!$B$2:$B$26,0),MATCH('Master data'!J$1,'Team forecast'!$B$2:$AO$2,0))</f>
        <v>0.51864392781930047</v>
      </c>
      <c r="K484" s="16">
        <f>INDEX('Team forecast'!$B$2:$AO$26,MATCH('Master data'!$B484,'Team forecast'!$B$2:$B$26,0),MATCH('Master data'!K$1,'Team forecast'!$B$2:$AO$2,0))</f>
        <v>4.6996138345751106</v>
      </c>
      <c r="L484" s="16">
        <f>INDEX('Team forecast'!$B$2:$AO$26,MATCH('Master data'!$B484,'Team forecast'!$B$2:$B$26,0),MATCH('Master data'!L$1,'Team forecast'!$B$2:$AO$2,0))</f>
        <v>1.9825710955314819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9.5000000000000001E-2</v>
      </c>
      <c r="R484" s="2">
        <f>Players!BR485</f>
        <v>0</v>
      </c>
      <c r="S484" s="2">
        <f t="shared" si="259"/>
        <v>1.5562991347612565</v>
      </c>
      <c r="T484" s="2">
        <f t="shared" si="260"/>
        <v>0.65653770483831209</v>
      </c>
      <c r="U484" s="16">
        <f>INDEX('Team forecast'!$B$2:$AO$26,MATCH('Master data'!$B484,'Team forecast'!$B$2:$B$26,0),MATCH('Master data'!U$1,'Team forecast'!$B$2:$AO$2,0))</f>
        <v>0.60453400503778332</v>
      </c>
      <c r="V484" s="16">
        <f>INDEX('Team forecast'!$B$2:$AO$26,MATCH('Master data'!$B484,'Team forecast'!$B$2:$B$26,0),MATCH('Master data'!V$1,'Team forecast'!$B$2:$AO$2,0))</f>
        <v>0.23727959697733</v>
      </c>
      <c r="W484" s="16">
        <f>INDEX('Team forecast'!$B$2:$AO$26,MATCH('Master data'!$B484,'Team forecast'!$B$2:$B$26,0),MATCH('Master data'!W$1,'Team forecast'!$B$2:$AO$2,0))</f>
        <v>0.15818639798488671</v>
      </c>
      <c r="X484" s="5">
        <f t="shared" si="261"/>
        <v>-5000</v>
      </c>
      <c r="Y484" s="5">
        <f t="shared" si="262"/>
        <v>0</v>
      </c>
      <c r="Z484" s="5">
        <f t="shared" si="263"/>
        <v>0</v>
      </c>
      <c r="AA484" s="5">
        <f t="shared" si="264"/>
        <v>0</v>
      </c>
      <c r="AB484" s="5">
        <f t="shared" si="265"/>
        <v>0</v>
      </c>
      <c r="AC484" s="5">
        <f t="shared" si="266"/>
        <v>0</v>
      </c>
      <c r="AD484" s="5">
        <f t="shared" si="267"/>
        <v>0</v>
      </c>
      <c r="AE484" s="5">
        <f t="shared" si="268"/>
        <v>0</v>
      </c>
      <c r="AF484" s="5">
        <f t="shared" si="269"/>
        <v>0</v>
      </c>
      <c r="AG484" s="5">
        <f t="shared" si="270"/>
        <v>0</v>
      </c>
      <c r="AH484" s="5">
        <f t="shared" si="271"/>
        <v>0</v>
      </c>
      <c r="AI484" s="5">
        <f t="shared" si="272"/>
        <v>0</v>
      </c>
      <c r="AJ484" s="5">
        <f t="shared" si="273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0.7977891123063281</v>
      </c>
      <c r="AM484" s="16">
        <f>INDEX('Team forecast'!$B$2:$AO$26,MATCH('Master data'!$B484,'Team forecast'!$B$2:$B$26,0),MATCH('Master data'!AM$1,'Team forecast'!$B$2:$AO$2,0))</f>
        <v>1.8476112368050062</v>
      </c>
      <c r="AN484" s="16">
        <f>INDEX('Team forecast'!$B$2:$AO$26,MATCH('Master data'!$B484,'Team forecast'!$B$2:$B$26,0),MATCH('Master data'!AN$1,'Team forecast'!$B$2:$AO$2,0))</f>
        <v>0.15761321763936759</v>
      </c>
      <c r="AO484" s="16">
        <f>INDEX('Team forecast'!$B$2:$AO$26,MATCH('Master data'!$B484,'Team forecast'!$B$2:$B$26,0),MATCH('Master data'!AO$1,'Team forecast'!$B$2:$AO$2,0))</f>
        <v>2.4091131746618726</v>
      </c>
      <c r="AP484" s="16">
        <f>INDEX('Team forecast'!$B$2:$AO$26,MATCH('Master data'!$B484,'Team forecast'!$B$2:$B$26,0),MATCH('Master data'!AP$1,'Team forecast'!$B$2:$AO$2,0))</f>
        <v>5.5792997216677493</v>
      </c>
      <c r="AQ484" s="5">
        <f t="shared" si="274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275"/>
        <v>0</v>
      </c>
      <c r="AV484" s="5">
        <f t="shared" si="276"/>
        <v>0</v>
      </c>
      <c r="AW484" s="5">
        <f t="shared" si="277"/>
        <v>0</v>
      </c>
      <c r="AX484" s="5">
        <f t="shared" si="278"/>
        <v>0</v>
      </c>
      <c r="AY484" s="5">
        <f t="shared" si="279"/>
        <v>0</v>
      </c>
      <c r="AZ484" s="5">
        <f t="shared" si="280"/>
        <v>0</v>
      </c>
      <c r="BA484" s="5">
        <f t="shared" si="281"/>
        <v>0</v>
      </c>
      <c r="BB484" s="5">
        <f t="shared" si="282"/>
        <v>0</v>
      </c>
      <c r="BC484" s="5">
        <f t="shared" si="283"/>
        <v>0</v>
      </c>
      <c r="BD484" s="5">
        <f t="shared" si="284"/>
        <v>-5000</v>
      </c>
      <c r="BE484" s="16">
        <f>INDEX('Team forecast'!$B$2:$AO$26,MATCH('Master data'!$B484,'Team forecast'!$B$2:$B$26,0),MATCH('Master data'!BE$1,'Team forecast'!$B$2:$AO$2,0))</f>
        <v>1.1461513485277883</v>
      </c>
      <c r="BF484" s="16">
        <f>INDEX('Team forecast'!$B$2:$AO$26,MATCH('Master data'!$B484,'Team forecast'!$B$2:$B$26,0),MATCH('Master data'!BF$1,'Team forecast'!$B$2:$AO$2,0))</f>
        <v>1.1461513485277883</v>
      </c>
      <c r="BG484" s="16">
        <f>INDEX('Team forecast'!$B$2:$AO$26,MATCH('Master data'!$B484,'Team forecast'!$B$2:$B$26,0),MATCH('Master data'!BG$1,'Team forecast'!$B$2:$AO$2,0))</f>
        <v>0.31785774198959899</v>
      </c>
      <c r="BH484" s="16">
        <f>INDEX('Team forecast'!$B$2:$AO$26,MATCH('Master data'!$B484,'Team forecast'!$B$2:$B$26,0),MATCH('Master data'!BH$1,'Team forecast'!$B$2:$AO$2,0))</f>
        <v>3.4610754537779926</v>
      </c>
      <c r="BI484" s="16">
        <f>INDEX('Team forecast'!$B$2:$AO$26,MATCH('Master data'!$B484,'Team forecast'!$B$2:$B$26,0),MATCH('Master data'!BI$1,'Team forecast'!$B$2:$AO$2,0))</f>
        <v>3.4610754537779926</v>
      </c>
      <c r="BJ484" s="5">
        <f t="shared" si="285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286"/>
        <v>0</v>
      </c>
      <c r="BO484" s="5">
        <f t="shared" si="287"/>
        <v>0</v>
      </c>
      <c r="BP484" s="5">
        <f t="shared" si="288"/>
        <v>0</v>
      </c>
      <c r="BQ484" s="5">
        <f t="shared" si="289"/>
        <v>0</v>
      </c>
      <c r="BR484" s="5">
        <f t="shared" si="290"/>
        <v>0</v>
      </c>
      <c r="BS484" s="5">
        <f t="shared" si="291"/>
        <v>0</v>
      </c>
      <c r="BT484" s="5">
        <f t="shared" si="292"/>
        <v>0</v>
      </c>
      <c r="BU484" s="5">
        <f t="shared" si="293"/>
        <v>0</v>
      </c>
      <c r="BV484" s="5">
        <f t="shared" si="294"/>
        <v>0</v>
      </c>
      <c r="BW484" s="5">
        <f t="shared" si="295"/>
        <v>-5000</v>
      </c>
      <c r="BX484" s="5">
        <f t="shared" si="296"/>
        <v>-5000</v>
      </c>
      <c r="BY484" s="5">
        <f t="shared" si="297"/>
        <v>-15000</v>
      </c>
      <c r="BZ484" s="5">
        <f>INDEX('Team forecast'!$R$3:$BH$26,MATCH($B484,'Team forecast'!$B$3:$B$26,0),MATCH(BZ$1,'Team forecast'!$R$2:$BH$2,0))*($BX484-(BY484+CH484)*0.01)</f>
        <v>-21338.934035222526</v>
      </c>
      <c r="CA484" s="5">
        <f>INDEX('Team forecast'!$R$3:$BH$26,MATCH($B484,'Team forecast'!$B$3:$B$26,0),MATCH(CA$1,'Team forecast'!$R$2:$BH$2,0))*($BX484-(BY484+BX484+CH484)*0.01)</f>
        <v>-10457.468803784966</v>
      </c>
      <c r="CB484" s="5">
        <f>INDEX('Team forecast'!$R$3:$BH$26,MATCH($B484,'Team forecast'!$B$3:$B$26,0),MATCH(CB$1,'Team forecast'!$R$2:$BH$2,0))*($BX484-(BY484+BX484*2+CH484)*0.01)</f>
        <v>-5037.5607041125504</v>
      </c>
      <c r="CC484" s="5">
        <f>INDEX('Team forecast'!$R$3:$BH$26,MATCH($B484,'Team forecast'!$B$3:$B$26,0),MATCH(CC$1,'Team forecast'!$R$2:$BH$2,0))*($BX484-(BY484+BX484*3+CH484)*0.01)</f>
        <v>-2279.7415606538239</v>
      </c>
      <c r="CD484" s="5">
        <f>+AK484+BD484*Cockpit!$C$3+BW484*Cockpit!$C$3^2+BZ484*Cockpit!$C$3^3+CA484*Cockpit!$C$3^4+CB484*Cockpit!$C$3^5+CC484*Cockpit!$C$3^6</f>
        <v>-19807.399927064125</v>
      </c>
      <c r="CE484" s="5"/>
      <c r="CF484" s="5"/>
      <c r="CG484" s="5">
        <v>0</v>
      </c>
      <c r="CH484" s="5">
        <f t="shared" si="298"/>
        <v>2500000</v>
      </c>
      <c r="CI484" s="5">
        <f t="shared" si="299"/>
        <v>2500000</v>
      </c>
      <c r="CJ484" s="1">
        <f t="shared" si="300"/>
        <v>-6.0000000000000001E-3</v>
      </c>
      <c r="CK484" s="5">
        <f>RANK(BY484,$BY$2:$BY$623)+COUNTIF($BY$2:$BY484,$BY484)-1</f>
        <v>576</v>
      </c>
      <c r="CL484" s="5">
        <f>RANK(CJ484,$CJ$2:$CJ$623)+COUNTIF($CJ$2:$CJ484,$CJ484)-1</f>
        <v>561</v>
      </c>
    </row>
    <row r="485" spans="1:90">
      <c r="A485" t="str">
        <f>Players!P486</f>
        <v>Xaver Schlager</v>
      </c>
      <c r="B485" t="str">
        <f>Players!G486</f>
        <v>Austria</v>
      </c>
      <c r="C485" t="str">
        <f>Players!AB486</f>
        <v>Midfield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3000000</v>
      </c>
      <c r="H485" s="16">
        <f>INDEX('Team forecast'!$B$2:$AO$26,MATCH('Master data'!$B485,'Team forecast'!$B$2:$B$26,0),MATCH('Master data'!H$1,'Team forecast'!$B$2:$AO$2,0))</f>
        <v>1.5562991347612565</v>
      </c>
      <c r="I485" s="16">
        <f>INDEX('Team forecast'!$B$2:$AO$26,MATCH('Master data'!$B485,'Team forecast'!$B$2:$B$26,0),MATCH('Master data'!I$1,'Team forecast'!$B$2:$AO$2,0))</f>
        <v>0.65653770483831209</v>
      </c>
      <c r="J485" s="16">
        <f>INDEX('Team forecast'!$B$2:$AO$26,MATCH('Master data'!$B485,'Team forecast'!$B$2:$B$26,0),MATCH('Master data'!J$1,'Team forecast'!$B$2:$AO$2,0))</f>
        <v>0.51864392781930047</v>
      </c>
      <c r="K485" s="16">
        <f>INDEX('Team forecast'!$B$2:$AO$26,MATCH('Master data'!$B485,'Team forecast'!$B$2:$B$26,0),MATCH('Master data'!K$1,'Team forecast'!$B$2:$AO$2,0))</f>
        <v>4.6996138345751106</v>
      </c>
      <c r="L485" s="16">
        <f>INDEX('Team forecast'!$B$2:$AO$26,MATCH('Master data'!$B485,'Team forecast'!$B$2:$B$26,0),MATCH('Master data'!L$1,'Team forecast'!$B$2:$AO$2,0))</f>
        <v>1.9825710955314819</v>
      </c>
      <c r="M485">
        <f>IF(Players!BC486=1,95,0)</f>
        <v>95</v>
      </c>
      <c r="N485" s="2">
        <f>Players!BN486</f>
        <v>7.3060978138225041E-2</v>
      </c>
      <c r="O485" s="2">
        <f>Players!BO486</f>
        <v>0.14191539472121711</v>
      </c>
      <c r="P485" s="2">
        <f>Players!BP486</f>
        <v>3.8354026511733967E-2</v>
      </c>
      <c r="Q485" s="2">
        <f>Players!BQ486</f>
        <v>0.11958997722095671</v>
      </c>
      <c r="R485" s="2">
        <f>Players!BR486</f>
        <v>0</v>
      </c>
      <c r="S485" s="2">
        <f t="shared" si="259"/>
        <v>1.5562991347612565</v>
      </c>
      <c r="T485" s="2">
        <f t="shared" si="260"/>
        <v>0.65653770483831209</v>
      </c>
      <c r="U485" s="16">
        <f>INDEX('Team forecast'!$B$2:$AO$26,MATCH('Master data'!$B485,'Team forecast'!$B$2:$B$26,0),MATCH('Master data'!U$1,'Team forecast'!$B$2:$AO$2,0))</f>
        <v>0.60453400503778332</v>
      </c>
      <c r="V485" s="16">
        <f>INDEX('Team forecast'!$B$2:$AO$26,MATCH('Master data'!$B485,'Team forecast'!$B$2:$B$26,0),MATCH('Master data'!V$1,'Team forecast'!$B$2:$AO$2,0))</f>
        <v>0.23727959697733</v>
      </c>
      <c r="W485" s="16">
        <f>INDEX('Team forecast'!$B$2:$AO$26,MATCH('Master data'!$B485,'Team forecast'!$B$2:$B$26,0),MATCH('Master data'!W$1,'Team forecast'!$B$2:$AO$2,0))</f>
        <v>0.15818639798488671</v>
      </c>
      <c r="X485" s="5">
        <f t="shared" si="261"/>
        <v>7000</v>
      </c>
      <c r="Y485" s="5">
        <f t="shared" si="262"/>
        <v>15113.350125944582</v>
      </c>
      <c r="Z485" s="5">
        <f t="shared" si="263"/>
        <v>1186.39798488665</v>
      </c>
      <c r="AA485" s="5">
        <f t="shared" si="264"/>
        <v>-2372.7959697733004</v>
      </c>
      <c r="AB485" s="5">
        <f t="shared" si="265"/>
        <v>14213.092132666337</v>
      </c>
      <c r="AC485" s="5">
        <f t="shared" si="266"/>
        <v>11043.140300696619</v>
      </c>
      <c r="AD485" s="5">
        <f t="shared" si="267"/>
        <v>1802.4911360620551</v>
      </c>
      <c r="AE485" s="5">
        <f t="shared" si="268"/>
        <v>0</v>
      </c>
      <c r="AF485" s="5">
        <f t="shared" si="269"/>
        <v>0</v>
      </c>
      <c r="AG485" s="5">
        <f t="shared" si="270"/>
        <v>-2391.7995444191342</v>
      </c>
      <c r="AH485" s="5">
        <f t="shared" si="271"/>
        <v>0</v>
      </c>
      <c r="AI485" s="5">
        <f t="shared" si="272"/>
        <v>15562.991347612564</v>
      </c>
      <c r="AJ485" s="5">
        <f t="shared" si="273"/>
        <v>-5252.3016387064963</v>
      </c>
      <c r="AK485" s="5">
        <f>IFERROR(SUM(X485:AJ485),-5000)*((Cockpit!$C$3)^0)</f>
        <v>55904.565874969878</v>
      </c>
      <c r="AL485" s="16">
        <f>INDEX('Team forecast'!$B$2:$AO$26,MATCH('Master data'!$B485,'Team forecast'!$B$2:$B$26,0),MATCH('Master data'!AL$1,'Team forecast'!$B$2:$AO$2,0))</f>
        <v>0.7977891123063281</v>
      </c>
      <c r="AM485" s="16">
        <f>INDEX('Team forecast'!$B$2:$AO$26,MATCH('Master data'!$B485,'Team forecast'!$B$2:$B$26,0),MATCH('Master data'!AM$1,'Team forecast'!$B$2:$AO$2,0))</f>
        <v>1.8476112368050062</v>
      </c>
      <c r="AN485" s="16">
        <f>INDEX('Team forecast'!$B$2:$AO$26,MATCH('Master data'!$B485,'Team forecast'!$B$2:$B$26,0),MATCH('Master data'!AN$1,'Team forecast'!$B$2:$AO$2,0))</f>
        <v>0.15761321763936759</v>
      </c>
      <c r="AO485" s="16">
        <f>INDEX('Team forecast'!$B$2:$AO$26,MATCH('Master data'!$B485,'Team forecast'!$B$2:$B$26,0),MATCH('Master data'!AO$1,'Team forecast'!$B$2:$AO$2,0))</f>
        <v>2.4091131746618726</v>
      </c>
      <c r="AP485" s="16">
        <f>INDEX('Team forecast'!$B$2:$AO$26,MATCH('Master data'!$B485,'Team forecast'!$B$2:$B$26,0),MATCH('Master data'!AP$1,'Team forecast'!$B$2:$AO$2,0))</f>
        <v>5.5792997216677493</v>
      </c>
      <c r="AQ485" s="5">
        <f t="shared" si="274"/>
        <v>7000</v>
      </c>
      <c r="AR485" s="5">
        <f>INDEX('Team forecast'!$B$2:$AO$26,MATCH('Master data'!$B485,'Team forecast'!$B$2:$B$26,0),MATCH('Master data'!AR$1,'Team forecast'!$B$2:$AO$2,0))*IF(X485&gt;0,25000,0)</f>
        <v>3637.2280993700224</v>
      </c>
      <c r="AS485" s="16">
        <f>INDEX('Team forecast'!$B$2:$AO$26,MATCH('Master data'!$B485,'Team forecast'!$B$2:$B$26,0),MATCH('Master data'!AS$1,'Team forecast'!$B$2:$AO$2,0))*IF(X485&gt;0,5000,0)</f>
        <v>1182.0991322952575</v>
      </c>
      <c r="AT485" s="16">
        <f>INDEX('Team forecast'!$B$2:$AO$26,MATCH('Master data'!$B485,'Team forecast'!$B$2:$B$26,0),MATCH('Master data'!AT$1,'Team forecast'!$B$2:$AO$2,0))*IF(X485&gt;0,-15000,0)</f>
        <v>-9271.3657434922134</v>
      </c>
      <c r="AU485" s="5">
        <f t="shared" si="275"/>
        <v>7285.9066116408248</v>
      </c>
      <c r="AV485" s="5">
        <f t="shared" si="276"/>
        <v>5660.9278388620978</v>
      </c>
      <c r="AW485" s="5">
        <f t="shared" si="277"/>
        <v>923.99190570749033</v>
      </c>
      <c r="AX485" s="5">
        <f t="shared" si="278"/>
        <v>0</v>
      </c>
      <c r="AY485" s="5">
        <f t="shared" si="279"/>
        <v>0</v>
      </c>
      <c r="AZ485" s="5">
        <f t="shared" si="280"/>
        <v>-2391.7995444191342</v>
      </c>
      <c r="BA485" s="5">
        <f t="shared" si="281"/>
        <v>0</v>
      </c>
      <c r="BB485" s="5">
        <f t="shared" si="282"/>
        <v>7977.8911230632812</v>
      </c>
      <c r="BC485" s="5">
        <f t="shared" si="283"/>
        <v>-14780.88989444005</v>
      </c>
      <c r="BD485" s="5">
        <f t="shared" si="284"/>
        <v>7223.9895285875791</v>
      </c>
      <c r="BE485" s="16">
        <f>INDEX('Team forecast'!$B$2:$AO$26,MATCH('Master data'!$B485,'Team forecast'!$B$2:$B$26,0),MATCH('Master data'!BE$1,'Team forecast'!$B$2:$AO$2,0))</f>
        <v>1.1461513485277883</v>
      </c>
      <c r="BF485" s="16">
        <f>INDEX('Team forecast'!$B$2:$AO$26,MATCH('Master data'!$B485,'Team forecast'!$B$2:$B$26,0),MATCH('Master data'!BF$1,'Team forecast'!$B$2:$AO$2,0))</f>
        <v>1.1461513485277883</v>
      </c>
      <c r="BG485" s="16">
        <f>INDEX('Team forecast'!$B$2:$AO$26,MATCH('Master data'!$B485,'Team forecast'!$B$2:$B$26,0),MATCH('Master data'!BG$1,'Team forecast'!$B$2:$AO$2,0))</f>
        <v>0.31785774198959899</v>
      </c>
      <c r="BH485" s="16">
        <f>INDEX('Team forecast'!$B$2:$AO$26,MATCH('Master data'!$B485,'Team forecast'!$B$2:$B$26,0),MATCH('Master data'!BH$1,'Team forecast'!$B$2:$AO$2,0))</f>
        <v>3.4610754537779926</v>
      </c>
      <c r="BI485" s="16">
        <f>INDEX('Team forecast'!$B$2:$AO$26,MATCH('Master data'!$B485,'Team forecast'!$B$2:$B$26,0),MATCH('Master data'!BI$1,'Team forecast'!$B$2:$AO$2,0))</f>
        <v>3.4610754537779926</v>
      </c>
      <c r="BJ485" s="5">
        <f t="shared" si="285"/>
        <v>7000</v>
      </c>
      <c r="BK485" s="5">
        <f>INDEX('Team forecast'!$R$3:$BH$26,MATCH($B485,'Team forecast'!$B$3:$B$26,0),MATCH(BK$1,'Team forecast'!$R$2:$BH$2,0))*IF($X485&gt;0,25000,0)</f>
        <v>8995.9738298943139</v>
      </c>
      <c r="BL485" s="5">
        <f>INDEX('Team forecast'!$R$3:$BH$26,MATCH($B485,'Team forecast'!$B$3:$B$26,0),MATCH(BL$1,'Team forecast'!$R$2:$BH$2,0))*IF($X485&gt;0,5000,0)</f>
        <v>1467.0357322596881</v>
      </c>
      <c r="BM485" s="5">
        <f>INDEX('Team forecast'!$R$3:$BH$26,MATCH($B485,'Team forecast'!$B$3:$B$26,0),MATCH(BM$1,'Team forecast'!$R$2:$BH$2,0))*IF($X485&gt;0,-15000,0)</f>
        <v>-5201.3085052843489</v>
      </c>
      <c r="BN485" s="5">
        <f t="shared" si="286"/>
        <v>10467.367327235736</v>
      </c>
      <c r="BO485" s="5">
        <f t="shared" si="287"/>
        <v>8132.826051828818</v>
      </c>
      <c r="BP485" s="5">
        <f t="shared" si="288"/>
        <v>1327.4617971331279</v>
      </c>
      <c r="BQ485" s="5">
        <f t="shared" si="289"/>
        <v>0</v>
      </c>
      <c r="BR485" s="5">
        <f t="shared" si="290"/>
        <v>0</v>
      </c>
      <c r="BS485" s="5">
        <f t="shared" si="291"/>
        <v>-2391.7995444191342</v>
      </c>
      <c r="BT485" s="5">
        <f t="shared" si="292"/>
        <v>0</v>
      </c>
      <c r="BU485" s="5">
        <f t="shared" si="293"/>
        <v>11461.513485277883</v>
      </c>
      <c r="BV485" s="5">
        <f t="shared" si="294"/>
        <v>-9169.2107882223063</v>
      </c>
      <c r="BW485" s="5">
        <f t="shared" si="295"/>
        <v>32089.859385703778</v>
      </c>
      <c r="BX485" s="5">
        <f t="shared" si="296"/>
        <v>31739.471596420412</v>
      </c>
      <c r="BY485" s="5">
        <f t="shared" si="297"/>
        <v>95218.414789261238</v>
      </c>
      <c r="BZ485" s="5">
        <f>INDEX('Team forecast'!$R$3:$BH$26,MATCH($B485,'Team forecast'!$B$3:$B$26,0),MATCH(BZ$1,'Team forecast'!$R$2:$BH$2,0))*($BX485-(BY485+CH485)*0.01)</f>
        <v>562.80988043193679</v>
      </c>
      <c r="CA485" s="5">
        <f>INDEX('Team forecast'!$R$3:$BH$26,MATCH($B485,'Team forecast'!$B$3:$B$26,0),MATCH(CA$1,'Team forecast'!$R$2:$BH$2,0))*($BX485-(BY485+BX485+CH485)*0.01)</f>
        <v>164.89559033251936</v>
      </c>
      <c r="CB485" s="5">
        <f>INDEX('Team forecast'!$R$3:$BH$26,MATCH($B485,'Team forecast'!$B$3:$B$26,0),MATCH(CB$1,'Team forecast'!$R$2:$BH$2,0))*($BX485-(BY485+BX485*2+CH485)*0.01)</f>
        <v>25.822454315166258</v>
      </c>
      <c r="CC485" s="5">
        <f>INDEX('Team forecast'!$R$3:$BH$26,MATCH($B485,'Team forecast'!$B$3:$B$26,0),MATCH(CC$1,'Team forecast'!$R$2:$BH$2,0))*($BX485-(BY485+BX485*3+CH485)*0.01)</f>
        <v>-12.657301641636524</v>
      </c>
      <c r="CD485" s="5">
        <f>+AK485+BD485*Cockpit!$C$3+BW485*Cockpit!$C$3^2+BZ485*Cockpit!$C$3^3+CA485*Cockpit!$C$3^4+CB485*Cockpit!$C$3^5+CC485*Cockpit!$C$3^6</f>
        <v>75184.338356934168</v>
      </c>
      <c r="CE485" s="5"/>
      <c r="CF485" s="5"/>
      <c r="CG485" s="5">
        <v>0</v>
      </c>
      <c r="CH485" s="5">
        <f t="shared" si="298"/>
        <v>3000000</v>
      </c>
      <c r="CI485" s="5">
        <f t="shared" si="299"/>
        <v>3000000</v>
      </c>
      <c r="CJ485" s="1">
        <f t="shared" si="300"/>
        <v>3.1739471596420411E-2</v>
      </c>
      <c r="CK485" s="5">
        <f>RANK(BY485,$BY$2:$BY$623)+COUNTIF($BY$2:$BY485,$BY485)-1</f>
        <v>181</v>
      </c>
      <c r="CL485" s="5">
        <f>RANK(CJ485,$CJ$2:$CJ$623)+COUNTIF($CJ$2:$CJ485,$CJ485)-1</f>
        <v>129</v>
      </c>
    </row>
    <row r="486" spans="1:90">
      <c r="A486" t="str">
        <f>Players!P487</f>
        <v>Julian Baumgartlinger</v>
      </c>
      <c r="B486" t="str">
        <f>Players!G487</f>
        <v>Austria</v>
      </c>
      <c r="C486" t="str">
        <f>Players!AB487</f>
        <v>Defense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1.5562991347612565</v>
      </c>
      <c r="I486" s="16">
        <f>INDEX('Team forecast'!$B$2:$AO$26,MATCH('Master data'!$B486,'Team forecast'!$B$2:$B$26,0),MATCH('Master data'!I$1,'Team forecast'!$B$2:$AO$2,0))</f>
        <v>0.65653770483831209</v>
      </c>
      <c r="J486" s="16">
        <f>INDEX('Team forecast'!$B$2:$AO$26,MATCH('Master data'!$B486,'Team forecast'!$B$2:$B$26,0),MATCH('Master data'!J$1,'Team forecast'!$B$2:$AO$2,0))</f>
        <v>0.51864392781930047</v>
      </c>
      <c r="K486" s="16">
        <f>INDEX('Team forecast'!$B$2:$AO$26,MATCH('Master data'!$B486,'Team forecast'!$B$2:$B$26,0),MATCH('Master data'!K$1,'Team forecast'!$B$2:$AO$2,0))</f>
        <v>4.6996138345751106</v>
      </c>
      <c r="L486" s="16">
        <f>INDEX('Team forecast'!$B$2:$AO$26,MATCH('Master data'!$B486,'Team forecast'!$B$2:$B$26,0),MATCH('Master data'!L$1,'Team forecast'!$B$2:$AO$2,0))</f>
        <v>1.9825710955314819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0.11197761194029851</v>
      </c>
      <c r="R486" s="2">
        <f>Players!BR487</f>
        <v>0</v>
      </c>
      <c r="S486" s="2">
        <f t="shared" si="259"/>
        <v>1.5562991347612565</v>
      </c>
      <c r="T486" s="2">
        <f t="shared" si="260"/>
        <v>0.65653770483831209</v>
      </c>
      <c r="U486" s="16">
        <f>INDEX('Team forecast'!$B$2:$AO$26,MATCH('Master data'!$B486,'Team forecast'!$B$2:$B$26,0),MATCH('Master data'!U$1,'Team forecast'!$B$2:$AO$2,0))</f>
        <v>0.60453400503778332</v>
      </c>
      <c r="V486" s="16">
        <f>INDEX('Team forecast'!$B$2:$AO$26,MATCH('Master data'!$B486,'Team forecast'!$B$2:$B$26,0),MATCH('Master data'!V$1,'Team forecast'!$B$2:$AO$2,0))</f>
        <v>0.23727959697733</v>
      </c>
      <c r="W486" s="16">
        <f>INDEX('Team forecast'!$B$2:$AO$26,MATCH('Master data'!$B486,'Team forecast'!$B$2:$B$26,0),MATCH('Master data'!W$1,'Team forecast'!$B$2:$AO$2,0))</f>
        <v>0.15818639798488671</v>
      </c>
      <c r="X486" s="5">
        <f t="shared" si="261"/>
        <v>-5000</v>
      </c>
      <c r="Y486" s="5">
        <f t="shared" si="262"/>
        <v>0</v>
      </c>
      <c r="Z486" s="5">
        <f t="shared" si="263"/>
        <v>0</v>
      </c>
      <c r="AA486" s="5">
        <f t="shared" si="264"/>
        <v>0</v>
      </c>
      <c r="AB486" s="5">
        <f t="shared" si="265"/>
        <v>0</v>
      </c>
      <c r="AC486" s="5">
        <f t="shared" si="266"/>
        <v>0</v>
      </c>
      <c r="AD486" s="5">
        <f t="shared" si="267"/>
        <v>0</v>
      </c>
      <c r="AE486" s="5">
        <f t="shared" si="268"/>
        <v>25932.196390965022</v>
      </c>
      <c r="AF486" s="5">
        <f t="shared" si="269"/>
        <v>0</v>
      </c>
      <c r="AG486" s="5">
        <f t="shared" si="270"/>
        <v>0</v>
      </c>
      <c r="AH486" s="5">
        <f t="shared" si="271"/>
        <v>0</v>
      </c>
      <c r="AI486" s="5">
        <f t="shared" si="272"/>
        <v>0</v>
      </c>
      <c r="AJ486" s="5">
        <f t="shared" si="273"/>
        <v>0</v>
      </c>
      <c r="AK486" s="5">
        <f>IFERROR(SUM(X486:AJ486),-5000)*((Cockpit!$C$3)^0)</f>
        <v>20932.196390965022</v>
      </c>
      <c r="AL486" s="16">
        <f>INDEX('Team forecast'!$B$2:$AO$26,MATCH('Master data'!$B486,'Team forecast'!$B$2:$B$26,0),MATCH('Master data'!AL$1,'Team forecast'!$B$2:$AO$2,0))</f>
        <v>0.7977891123063281</v>
      </c>
      <c r="AM486" s="16">
        <f>INDEX('Team forecast'!$B$2:$AO$26,MATCH('Master data'!$B486,'Team forecast'!$B$2:$B$26,0),MATCH('Master data'!AM$1,'Team forecast'!$B$2:$AO$2,0))</f>
        <v>1.8476112368050062</v>
      </c>
      <c r="AN486" s="16">
        <f>INDEX('Team forecast'!$B$2:$AO$26,MATCH('Master data'!$B486,'Team forecast'!$B$2:$B$26,0),MATCH('Master data'!AN$1,'Team forecast'!$B$2:$AO$2,0))</f>
        <v>0.15761321763936759</v>
      </c>
      <c r="AO486" s="16">
        <f>INDEX('Team forecast'!$B$2:$AO$26,MATCH('Master data'!$B486,'Team forecast'!$B$2:$B$26,0),MATCH('Master data'!AO$1,'Team forecast'!$B$2:$AO$2,0))</f>
        <v>2.4091131746618726</v>
      </c>
      <c r="AP486" s="16">
        <f>INDEX('Team forecast'!$B$2:$AO$26,MATCH('Master data'!$B486,'Team forecast'!$B$2:$B$26,0),MATCH('Master data'!AP$1,'Team forecast'!$B$2:$AO$2,0))</f>
        <v>5.5792997216677493</v>
      </c>
      <c r="AQ486" s="5">
        <f t="shared" si="274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275"/>
        <v>0</v>
      </c>
      <c r="AV486" s="5">
        <f t="shared" si="276"/>
        <v>0</v>
      </c>
      <c r="AW486" s="5">
        <f t="shared" si="277"/>
        <v>0</v>
      </c>
      <c r="AX486" s="5">
        <f t="shared" si="278"/>
        <v>7880.6608819683797</v>
      </c>
      <c r="AY486" s="5">
        <f t="shared" si="279"/>
        <v>0</v>
      </c>
      <c r="AZ486" s="5">
        <f t="shared" si="280"/>
        <v>0</v>
      </c>
      <c r="BA486" s="5">
        <f t="shared" si="281"/>
        <v>0</v>
      </c>
      <c r="BB486" s="5">
        <f t="shared" si="282"/>
        <v>0</v>
      </c>
      <c r="BC486" s="5">
        <f t="shared" si="283"/>
        <v>0</v>
      </c>
      <c r="BD486" s="5">
        <f t="shared" si="284"/>
        <v>2880.6608819683797</v>
      </c>
      <c r="BE486" s="16">
        <f>INDEX('Team forecast'!$B$2:$AO$26,MATCH('Master data'!$B486,'Team forecast'!$B$2:$B$26,0),MATCH('Master data'!BE$1,'Team forecast'!$B$2:$AO$2,0))</f>
        <v>1.1461513485277883</v>
      </c>
      <c r="BF486" s="16">
        <f>INDEX('Team forecast'!$B$2:$AO$26,MATCH('Master data'!$B486,'Team forecast'!$B$2:$B$26,0),MATCH('Master data'!BF$1,'Team forecast'!$B$2:$AO$2,0))</f>
        <v>1.1461513485277883</v>
      </c>
      <c r="BG486" s="16">
        <f>INDEX('Team forecast'!$B$2:$AO$26,MATCH('Master data'!$B486,'Team forecast'!$B$2:$B$26,0),MATCH('Master data'!BG$1,'Team forecast'!$B$2:$AO$2,0))</f>
        <v>0.31785774198959899</v>
      </c>
      <c r="BH486" s="16">
        <f>INDEX('Team forecast'!$B$2:$AO$26,MATCH('Master data'!$B486,'Team forecast'!$B$2:$B$26,0),MATCH('Master data'!BH$1,'Team forecast'!$B$2:$AO$2,0))</f>
        <v>3.4610754537779926</v>
      </c>
      <c r="BI486" s="16">
        <f>INDEX('Team forecast'!$B$2:$AO$26,MATCH('Master data'!$B486,'Team forecast'!$B$2:$B$26,0),MATCH('Master data'!BI$1,'Team forecast'!$B$2:$AO$2,0))</f>
        <v>3.4610754537779926</v>
      </c>
      <c r="BJ486" s="5">
        <f t="shared" si="285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286"/>
        <v>0</v>
      </c>
      <c r="BO486" s="5">
        <f t="shared" si="287"/>
        <v>0</v>
      </c>
      <c r="BP486" s="5">
        <f t="shared" si="288"/>
        <v>0</v>
      </c>
      <c r="BQ486" s="5">
        <f t="shared" si="289"/>
        <v>15892.887099479949</v>
      </c>
      <c r="BR486" s="5">
        <f t="shared" si="290"/>
        <v>0</v>
      </c>
      <c r="BS486" s="5">
        <f t="shared" si="291"/>
        <v>0</v>
      </c>
      <c r="BT486" s="5">
        <f t="shared" si="292"/>
        <v>0</v>
      </c>
      <c r="BU486" s="5">
        <f t="shared" si="293"/>
        <v>0</v>
      </c>
      <c r="BV486" s="5">
        <f t="shared" si="294"/>
        <v>0</v>
      </c>
      <c r="BW486" s="5">
        <f t="shared" si="295"/>
        <v>10892.887099479949</v>
      </c>
      <c r="BX486" s="5">
        <f t="shared" si="296"/>
        <v>11568.581457471117</v>
      </c>
      <c r="BY486" s="5">
        <f t="shared" si="297"/>
        <v>34705.744372413348</v>
      </c>
      <c r="BZ486" s="5">
        <f>INDEX('Team forecast'!$R$3:$BH$26,MATCH($B486,'Team forecast'!$B$3:$B$26,0),MATCH(BZ$1,'Team forecast'!$R$2:$BH$2,0))*($BX486-(BY486+CH486)*0.01)</f>
        <v>-9849.8489171373803</v>
      </c>
      <c r="CA486" s="5">
        <f>INDEX('Team forecast'!$R$3:$BH$26,MATCH($B486,'Team forecast'!$B$3:$B$26,0),MATCH(CA$1,'Team forecast'!$R$2:$BH$2,0))*($BX486-(BY486+BX486+CH486)*0.01)</f>
        <v>-4875.7638787549231</v>
      </c>
      <c r="CB486" s="5">
        <f>INDEX('Team forecast'!$R$3:$BH$26,MATCH($B486,'Team forecast'!$B$3:$B$26,0),MATCH(CB$1,'Team forecast'!$R$2:$BH$2,0))*($BX486-(BY486+BX486*2+CH486)*0.01)</f>
        <v>-2372.2842964018905</v>
      </c>
      <c r="CC486" s="5">
        <f>INDEX('Team forecast'!$R$3:$BH$26,MATCH($B486,'Team forecast'!$B$3:$B$26,0),MATCH(CC$1,'Team forecast'!$R$2:$BH$2,0))*($BX486-(BY486+BX486*3+CH486)*0.01)</f>
        <v>-1084.2614689132615</v>
      </c>
      <c r="CD486" s="5">
        <f>+AK486+BD486*Cockpit!$C$3+BW486*Cockpit!$C$3^2+BZ486*Cockpit!$C$3^3+CA486*Cockpit!$C$3^4+CB486*Cockpit!$C$3^5+CC486*Cockpit!$C$3^6</f>
        <v>23404.744014779455</v>
      </c>
      <c r="CE486" s="5"/>
      <c r="CF486" s="5"/>
      <c r="CG486" s="5">
        <v>0</v>
      </c>
      <c r="CH486" s="5">
        <f t="shared" si="298"/>
        <v>2500000</v>
      </c>
      <c r="CI486" s="5">
        <f t="shared" si="299"/>
        <v>2500000</v>
      </c>
      <c r="CJ486" s="1">
        <f t="shared" si="300"/>
        <v>1.3882297748965339E-2</v>
      </c>
      <c r="CK486" s="5">
        <f>RANK(BY486,$BY$2:$BY$623)+COUNTIF($BY$2:$BY486,$BY486)-1</f>
        <v>332</v>
      </c>
      <c r="CL486" s="5">
        <f>RANK(CJ486,$CJ$2:$CJ$623)+COUNTIF($CJ$2:$CJ486,$CJ486)-1</f>
        <v>320</v>
      </c>
    </row>
    <row r="487" spans="1:90">
      <c r="A487" t="str">
        <f>Players!P488</f>
        <v>Karim Onisiwo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2500000</v>
      </c>
      <c r="H487" s="16">
        <f>INDEX('Team forecast'!$B$2:$AO$26,MATCH('Master data'!$B487,'Team forecast'!$B$2:$B$26,0),MATCH('Master data'!H$1,'Team forecast'!$B$2:$AO$2,0))</f>
        <v>1.5562991347612565</v>
      </c>
      <c r="I487" s="16">
        <f>INDEX('Team forecast'!$B$2:$AO$26,MATCH('Master data'!$B487,'Team forecast'!$B$2:$B$26,0),MATCH('Master data'!I$1,'Team forecast'!$B$2:$AO$2,0))</f>
        <v>0.65653770483831209</v>
      </c>
      <c r="J487" s="16">
        <f>INDEX('Team forecast'!$B$2:$AO$26,MATCH('Master data'!$B487,'Team forecast'!$B$2:$B$26,0),MATCH('Master data'!J$1,'Team forecast'!$B$2:$AO$2,0))</f>
        <v>0.51864392781930047</v>
      </c>
      <c r="K487" s="16">
        <f>INDEX('Team forecast'!$B$2:$AO$26,MATCH('Master data'!$B487,'Team forecast'!$B$2:$B$26,0),MATCH('Master data'!K$1,'Team forecast'!$B$2:$AO$2,0))</f>
        <v>4.6996138345751106</v>
      </c>
      <c r="L487" s="16">
        <f>INDEX('Team forecast'!$B$2:$AO$26,MATCH('Master data'!$B487,'Team forecast'!$B$2:$B$26,0),MATCH('Master data'!L$1,'Team forecast'!$B$2:$AO$2,0))</f>
        <v>1.9825710955314819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0.57383342376559954</v>
      </c>
      <c r="R487" s="2">
        <f>Players!BR488</f>
        <v>0</v>
      </c>
      <c r="S487" s="2">
        <f t="shared" si="259"/>
        <v>1.5562991347612565</v>
      </c>
      <c r="T487" s="2">
        <f t="shared" si="260"/>
        <v>0.65653770483831209</v>
      </c>
      <c r="U487" s="16">
        <f>INDEX('Team forecast'!$B$2:$AO$26,MATCH('Master data'!$B487,'Team forecast'!$B$2:$B$26,0),MATCH('Master data'!U$1,'Team forecast'!$B$2:$AO$2,0))</f>
        <v>0.60453400503778332</v>
      </c>
      <c r="V487" s="16">
        <f>INDEX('Team forecast'!$B$2:$AO$26,MATCH('Master data'!$B487,'Team forecast'!$B$2:$B$26,0),MATCH('Master data'!V$1,'Team forecast'!$B$2:$AO$2,0))</f>
        <v>0.23727959697733</v>
      </c>
      <c r="W487" s="16">
        <f>INDEX('Team forecast'!$B$2:$AO$26,MATCH('Master data'!$B487,'Team forecast'!$B$2:$B$26,0),MATCH('Master data'!W$1,'Team forecast'!$B$2:$AO$2,0))</f>
        <v>0.15818639798488671</v>
      </c>
      <c r="X487" s="5">
        <f t="shared" si="261"/>
        <v>-5000</v>
      </c>
      <c r="Y487" s="5">
        <f t="shared" si="262"/>
        <v>0</v>
      </c>
      <c r="Z487" s="5">
        <f t="shared" si="263"/>
        <v>0</v>
      </c>
      <c r="AA487" s="5">
        <f t="shared" si="264"/>
        <v>0</v>
      </c>
      <c r="AB487" s="5">
        <f t="shared" si="265"/>
        <v>0</v>
      </c>
      <c r="AC487" s="5">
        <f t="shared" si="266"/>
        <v>0</v>
      </c>
      <c r="AD487" s="5">
        <f t="shared" si="267"/>
        <v>0</v>
      </c>
      <c r="AE487" s="5">
        <f t="shared" si="268"/>
        <v>0</v>
      </c>
      <c r="AF487" s="5">
        <f t="shared" si="269"/>
        <v>0</v>
      </c>
      <c r="AG487" s="5">
        <f t="shared" si="270"/>
        <v>0</v>
      </c>
      <c r="AH487" s="5">
        <f t="shared" si="271"/>
        <v>0</v>
      </c>
      <c r="AI487" s="5">
        <f t="shared" si="272"/>
        <v>0</v>
      </c>
      <c r="AJ487" s="5">
        <f t="shared" si="273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0.7977891123063281</v>
      </c>
      <c r="AM487" s="16">
        <f>INDEX('Team forecast'!$B$2:$AO$26,MATCH('Master data'!$B487,'Team forecast'!$B$2:$B$26,0),MATCH('Master data'!AM$1,'Team forecast'!$B$2:$AO$2,0))</f>
        <v>1.8476112368050062</v>
      </c>
      <c r="AN487" s="16">
        <f>INDEX('Team forecast'!$B$2:$AO$26,MATCH('Master data'!$B487,'Team forecast'!$B$2:$B$26,0),MATCH('Master data'!AN$1,'Team forecast'!$B$2:$AO$2,0))</f>
        <v>0.15761321763936759</v>
      </c>
      <c r="AO487" s="16">
        <f>INDEX('Team forecast'!$B$2:$AO$26,MATCH('Master data'!$B487,'Team forecast'!$B$2:$B$26,0),MATCH('Master data'!AO$1,'Team forecast'!$B$2:$AO$2,0))</f>
        <v>2.4091131746618726</v>
      </c>
      <c r="AP487" s="16">
        <f>INDEX('Team forecast'!$B$2:$AO$26,MATCH('Master data'!$B487,'Team forecast'!$B$2:$B$26,0),MATCH('Master data'!AP$1,'Team forecast'!$B$2:$AO$2,0))</f>
        <v>5.5792997216677493</v>
      </c>
      <c r="AQ487" s="5">
        <f t="shared" si="274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275"/>
        <v>0</v>
      </c>
      <c r="AV487" s="5">
        <f t="shared" si="276"/>
        <v>0</v>
      </c>
      <c r="AW487" s="5">
        <f t="shared" si="277"/>
        <v>0</v>
      </c>
      <c r="AX487" s="5">
        <f t="shared" si="278"/>
        <v>0</v>
      </c>
      <c r="AY487" s="5">
        <f t="shared" si="279"/>
        <v>0</v>
      </c>
      <c r="AZ487" s="5">
        <f t="shared" si="280"/>
        <v>0</v>
      </c>
      <c r="BA487" s="5">
        <f t="shared" si="281"/>
        <v>0</v>
      </c>
      <c r="BB487" s="5">
        <f t="shared" si="282"/>
        <v>0</v>
      </c>
      <c r="BC487" s="5">
        <f t="shared" si="283"/>
        <v>0</v>
      </c>
      <c r="BD487" s="5">
        <f t="shared" si="284"/>
        <v>-5000</v>
      </c>
      <c r="BE487" s="16">
        <f>INDEX('Team forecast'!$B$2:$AO$26,MATCH('Master data'!$B487,'Team forecast'!$B$2:$B$26,0),MATCH('Master data'!BE$1,'Team forecast'!$B$2:$AO$2,0))</f>
        <v>1.1461513485277883</v>
      </c>
      <c r="BF487" s="16">
        <f>INDEX('Team forecast'!$B$2:$AO$26,MATCH('Master data'!$B487,'Team forecast'!$B$2:$B$26,0),MATCH('Master data'!BF$1,'Team forecast'!$B$2:$AO$2,0))</f>
        <v>1.1461513485277883</v>
      </c>
      <c r="BG487" s="16">
        <f>INDEX('Team forecast'!$B$2:$AO$26,MATCH('Master data'!$B487,'Team forecast'!$B$2:$B$26,0),MATCH('Master data'!BG$1,'Team forecast'!$B$2:$AO$2,0))</f>
        <v>0.31785774198959899</v>
      </c>
      <c r="BH487" s="16">
        <f>INDEX('Team forecast'!$B$2:$AO$26,MATCH('Master data'!$B487,'Team forecast'!$B$2:$B$26,0),MATCH('Master data'!BH$1,'Team forecast'!$B$2:$AO$2,0))</f>
        <v>3.4610754537779926</v>
      </c>
      <c r="BI487" s="16">
        <f>INDEX('Team forecast'!$B$2:$AO$26,MATCH('Master data'!$B487,'Team forecast'!$B$2:$B$26,0),MATCH('Master data'!BI$1,'Team forecast'!$B$2:$AO$2,0))</f>
        <v>3.4610754537779926</v>
      </c>
      <c r="BJ487" s="5">
        <f t="shared" si="285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286"/>
        <v>0</v>
      </c>
      <c r="BO487" s="5">
        <f t="shared" si="287"/>
        <v>0</v>
      </c>
      <c r="BP487" s="5">
        <f t="shared" si="288"/>
        <v>0</v>
      </c>
      <c r="BQ487" s="5">
        <f t="shared" si="289"/>
        <v>0</v>
      </c>
      <c r="BR487" s="5">
        <f t="shared" si="290"/>
        <v>0</v>
      </c>
      <c r="BS487" s="5">
        <f t="shared" si="291"/>
        <v>0</v>
      </c>
      <c r="BT487" s="5">
        <f t="shared" si="292"/>
        <v>0</v>
      </c>
      <c r="BU487" s="5">
        <f t="shared" si="293"/>
        <v>0</v>
      </c>
      <c r="BV487" s="5">
        <f t="shared" si="294"/>
        <v>0</v>
      </c>
      <c r="BW487" s="5">
        <f t="shared" si="295"/>
        <v>-5000</v>
      </c>
      <c r="BX487" s="5">
        <f t="shared" si="296"/>
        <v>-5000</v>
      </c>
      <c r="BY487" s="5">
        <f t="shared" si="297"/>
        <v>-15000</v>
      </c>
      <c r="BZ487" s="5">
        <f>INDEX('Team forecast'!$R$3:$BH$26,MATCH($B487,'Team forecast'!$B$3:$B$26,0),MATCH(BZ$1,'Team forecast'!$R$2:$BH$2,0))*($BX487-(BY487+CH487)*0.01)</f>
        <v>-21338.934035222526</v>
      </c>
      <c r="CA487" s="5">
        <f>INDEX('Team forecast'!$R$3:$BH$26,MATCH($B487,'Team forecast'!$B$3:$B$26,0),MATCH(CA$1,'Team forecast'!$R$2:$BH$2,0))*($BX487-(BY487+BX487+CH487)*0.01)</f>
        <v>-10457.468803784966</v>
      </c>
      <c r="CB487" s="5">
        <f>INDEX('Team forecast'!$R$3:$BH$26,MATCH($B487,'Team forecast'!$B$3:$B$26,0),MATCH(CB$1,'Team forecast'!$R$2:$BH$2,0))*($BX487-(BY487+BX487*2+CH487)*0.01)</f>
        <v>-5037.5607041125504</v>
      </c>
      <c r="CC487" s="5">
        <f>INDEX('Team forecast'!$R$3:$BH$26,MATCH($B487,'Team forecast'!$B$3:$B$26,0),MATCH(CC$1,'Team forecast'!$R$2:$BH$2,0))*($BX487-(BY487+BX487*3+CH487)*0.01)</f>
        <v>-2279.7415606538239</v>
      </c>
      <c r="CD487" s="5">
        <f>+AK487+BD487*Cockpit!$C$3+BW487*Cockpit!$C$3^2+BZ487*Cockpit!$C$3^3+CA487*Cockpit!$C$3^4+CB487*Cockpit!$C$3^5+CC487*Cockpit!$C$3^6</f>
        <v>-19807.399927064125</v>
      </c>
      <c r="CE487" s="5"/>
      <c r="CF487" s="5"/>
      <c r="CG487" s="5">
        <v>0</v>
      </c>
      <c r="CH487" s="5">
        <f t="shared" si="298"/>
        <v>2500000</v>
      </c>
      <c r="CI487" s="5">
        <f t="shared" si="299"/>
        <v>2500000</v>
      </c>
      <c r="CJ487" s="1">
        <f t="shared" si="300"/>
        <v>-6.0000000000000001E-3</v>
      </c>
      <c r="CK487" s="5">
        <f>RANK(BY487,$BY$2:$BY$623)+COUNTIF($BY$2:$BY487,$BY487)-1</f>
        <v>577</v>
      </c>
      <c r="CL487" s="5">
        <f>RANK(CJ487,$CJ$2:$CJ$623)+COUNTIF($CJ$2:$CJ487,$CJ487)-1</f>
        <v>562</v>
      </c>
    </row>
    <row r="488" spans="1:90">
      <c r="A488" t="str">
        <f>Players!P489</f>
        <v>Michael Gregoritsch</v>
      </c>
      <c r="B488" t="str">
        <f>Players!G489</f>
        <v>Austria</v>
      </c>
      <c r="C488" t="str">
        <f>Players!AB489</f>
        <v>Striker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1.5562991347612565</v>
      </c>
      <c r="I488" s="16">
        <f>INDEX('Team forecast'!$B$2:$AO$26,MATCH('Master data'!$B488,'Team forecast'!$B$2:$B$26,0),MATCH('Master data'!I$1,'Team forecast'!$B$2:$AO$2,0))</f>
        <v>0.65653770483831209</v>
      </c>
      <c r="J488" s="16">
        <f>INDEX('Team forecast'!$B$2:$AO$26,MATCH('Master data'!$B488,'Team forecast'!$B$2:$B$26,0),MATCH('Master data'!J$1,'Team forecast'!$B$2:$AO$2,0))</f>
        <v>0.51864392781930047</v>
      </c>
      <c r="K488" s="16">
        <f>INDEX('Team forecast'!$B$2:$AO$26,MATCH('Master data'!$B488,'Team forecast'!$B$2:$B$26,0),MATCH('Master data'!K$1,'Team forecast'!$B$2:$AO$2,0))</f>
        <v>4.6996138345751106</v>
      </c>
      <c r="L488" s="16">
        <f>INDEX('Team forecast'!$B$2:$AO$26,MATCH('Master data'!$B488,'Team forecast'!$B$2:$B$26,0),MATCH('Master data'!L$1,'Team forecast'!$B$2:$AO$2,0))</f>
        <v>1.9825710955314819</v>
      </c>
      <c r="M488">
        <f>IF(Players!BC489=1,95,0)</f>
        <v>0</v>
      </c>
      <c r="N488" s="2">
        <f>Players!BN489</f>
        <v>0</v>
      </c>
      <c r="O488" s="2">
        <f>Players!BO489</f>
        <v>0</v>
      </c>
      <c r="P488" s="2">
        <f>Players!BP489</f>
        <v>0</v>
      </c>
      <c r="Q488" s="2">
        <f>Players!BQ489</f>
        <v>5.4151624548736461E-2</v>
      </c>
      <c r="R488" s="2">
        <f>Players!BR489</f>
        <v>0</v>
      </c>
      <c r="S488" s="2">
        <f t="shared" si="259"/>
        <v>1.5562991347612565</v>
      </c>
      <c r="T488" s="2">
        <f t="shared" si="260"/>
        <v>0.65653770483831209</v>
      </c>
      <c r="U488" s="16">
        <f>INDEX('Team forecast'!$B$2:$AO$26,MATCH('Master data'!$B488,'Team forecast'!$B$2:$B$26,0),MATCH('Master data'!U$1,'Team forecast'!$B$2:$AO$2,0))</f>
        <v>0.60453400503778332</v>
      </c>
      <c r="V488" s="16">
        <f>INDEX('Team forecast'!$B$2:$AO$26,MATCH('Master data'!$B488,'Team forecast'!$B$2:$B$26,0),MATCH('Master data'!V$1,'Team forecast'!$B$2:$AO$2,0))</f>
        <v>0.23727959697733</v>
      </c>
      <c r="W488" s="16">
        <f>INDEX('Team forecast'!$B$2:$AO$26,MATCH('Master data'!$B488,'Team forecast'!$B$2:$B$26,0),MATCH('Master data'!W$1,'Team forecast'!$B$2:$AO$2,0))</f>
        <v>0.15818639798488671</v>
      </c>
      <c r="X488" s="5">
        <f t="shared" si="261"/>
        <v>-5000</v>
      </c>
      <c r="Y488" s="5">
        <f t="shared" si="262"/>
        <v>0</v>
      </c>
      <c r="Z488" s="5">
        <f t="shared" si="263"/>
        <v>0</v>
      </c>
      <c r="AA488" s="5">
        <f t="shared" si="264"/>
        <v>0</v>
      </c>
      <c r="AB488" s="5">
        <f t="shared" si="265"/>
        <v>0</v>
      </c>
      <c r="AC488" s="5">
        <f t="shared" si="266"/>
        <v>0</v>
      </c>
      <c r="AD488" s="5">
        <f t="shared" si="267"/>
        <v>0</v>
      </c>
      <c r="AE488" s="5">
        <f t="shared" si="268"/>
        <v>0</v>
      </c>
      <c r="AF488" s="5">
        <f t="shared" si="269"/>
        <v>0</v>
      </c>
      <c r="AG488" s="5">
        <f t="shared" si="270"/>
        <v>0</v>
      </c>
      <c r="AH488" s="5">
        <f t="shared" si="271"/>
        <v>0</v>
      </c>
      <c r="AI488" s="5">
        <f t="shared" si="272"/>
        <v>0</v>
      </c>
      <c r="AJ488" s="5">
        <f t="shared" si="273"/>
        <v>0</v>
      </c>
      <c r="AK488" s="5">
        <f>IFERROR(SUM(X488:AJ488),-5000)*((Cockpit!$C$3)^0)</f>
        <v>-5000</v>
      </c>
      <c r="AL488" s="16">
        <f>INDEX('Team forecast'!$B$2:$AO$26,MATCH('Master data'!$B488,'Team forecast'!$B$2:$B$26,0),MATCH('Master data'!AL$1,'Team forecast'!$B$2:$AO$2,0))</f>
        <v>0.7977891123063281</v>
      </c>
      <c r="AM488" s="16">
        <f>INDEX('Team forecast'!$B$2:$AO$26,MATCH('Master data'!$B488,'Team forecast'!$B$2:$B$26,0),MATCH('Master data'!AM$1,'Team forecast'!$B$2:$AO$2,0))</f>
        <v>1.8476112368050062</v>
      </c>
      <c r="AN488" s="16">
        <f>INDEX('Team forecast'!$B$2:$AO$26,MATCH('Master data'!$B488,'Team forecast'!$B$2:$B$26,0),MATCH('Master data'!AN$1,'Team forecast'!$B$2:$AO$2,0))</f>
        <v>0.15761321763936759</v>
      </c>
      <c r="AO488" s="16">
        <f>INDEX('Team forecast'!$B$2:$AO$26,MATCH('Master data'!$B488,'Team forecast'!$B$2:$B$26,0),MATCH('Master data'!AO$1,'Team forecast'!$B$2:$AO$2,0))</f>
        <v>2.4091131746618726</v>
      </c>
      <c r="AP488" s="16">
        <f>INDEX('Team forecast'!$B$2:$AO$26,MATCH('Master data'!$B488,'Team forecast'!$B$2:$B$26,0),MATCH('Master data'!AP$1,'Team forecast'!$B$2:$AO$2,0))</f>
        <v>5.5792997216677493</v>
      </c>
      <c r="AQ488" s="5">
        <f t="shared" si="274"/>
        <v>-5000</v>
      </c>
      <c r="AR488" s="5">
        <f>INDEX('Team forecast'!$B$2:$AO$26,MATCH('Master data'!$B488,'Team forecast'!$B$2:$B$26,0),MATCH('Master data'!AR$1,'Team forecast'!$B$2:$AO$2,0))*IF(X488&gt;0,25000,0)</f>
        <v>0</v>
      </c>
      <c r="AS488" s="16">
        <f>INDEX('Team forecast'!$B$2:$AO$26,MATCH('Master data'!$B488,'Team forecast'!$B$2:$B$26,0),MATCH('Master data'!AS$1,'Team forecast'!$B$2:$AO$2,0))*IF(X488&gt;0,5000,0)</f>
        <v>0</v>
      </c>
      <c r="AT488" s="16">
        <f>INDEX('Team forecast'!$B$2:$AO$26,MATCH('Master data'!$B488,'Team forecast'!$B$2:$B$26,0),MATCH('Master data'!AT$1,'Team forecast'!$B$2:$AO$2,0))*IF(X488&gt;0,-15000,0)</f>
        <v>0</v>
      </c>
      <c r="AU488" s="5">
        <f t="shared" si="275"/>
        <v>0</v>
      </c>
      <c r="AV488" s="5">
        <f t="shared" si="276"/>
        <v>0</v>
      </c>
      <c r="AW488" s="5">
        <f t="shared" si="277"/>
        <v>0</v>
      </c>
      <c r="AX488" s="5">
        <f t="shared" si="278"/>
        <v>0</v>
      </c>
      <c r="AY488" s="5">
        <f t="shared" si="279"/>
        <v>0</v>
      </c>
      <c r="AZ488" s="5">
        <f t="shared" si="280"/>
        <v>0</v>
      </c>
      <c r="BA488" s="5">
        <f t="shared" si="281"/>
        <v>0</v>
      </c>
      <c r="BB488" s="5">
        <f t="shared" si="282"/>
        <v>0</v>
      </c>
      <c r="BC488" s="5">
        <f t="shared" si="283"/>
        <v>0</v>
      </c>
      <c r="BD488" s="5">
        <f t="shared" si="284"/>
        <v>-5000</v>
      </c>
      <c r="BE488" s="16">
        <f>INDEX('Team forecast'!$B$2:$AO$26,MATCH('Master data'!$B488,'Team forecast'!$B$2:$B$26,0),MATCH('Master data'!BE$1,'Team forecast'!$B$2:$AO$2,0))</f>
        <v>1.1461513485277883</v>
      </c>
      <c r="BF488" s="16">
        <f>INDEX('Team forecast'!$B$2:$AO$26,MATCH('Master data'!$B488,'Team forecast'!$B$2:$B$26,0),MATCH('Master data'!BF$1,'Team forecast'!$B$2:$AO$2,0))</f>
        <v>1.1461513485277883</v>
      </c>
      <c r="BG488" s="16">
        <f>INDEX('Team forecast'!$B$2:$AO$26,MATCH('Master data'!$B488,'Team forecast'!$B$2:$B$26,0),MATCH('Master data'!BG$1,'Team forecast'!$B$2:$AO$2,0))</f>
        <v>0.31785774198959899</v>
      </c>
      <c r="BH488" s="16">
        <f>INDEX('Team forecast'!$B$2:$AO$26,MATCH('Master data'!$B488,'Team forecast'!$B$2:$B$26,0),MATCH('Master data'!BH$1,'Team forecast'!$B$2:$AO$2,0))</f>
        <v>3.4610754537779926</v>
      </c>
      <c r="BI488" s="16">
        <f>INDEX('Team forecast'!$B$2:$AO$26,MATCH('Master data'!$B488,'Team forecast'!$B$2:$B$26,0),MATCH('Master data'!BI$1,'Team forecast'!$B$2:$AO$2,0))</f>
        <v>3.4610754537779926</v>
      </c>
      <c r="BJ488" s="5">
        <f t="shared" si="285"/>
        <v>-5000</v>
      </c>
      <c r="BK488" s="5">
        <f>INDEX('Team forecast'!$R$3:$BH$26,MATCH($B488,'Team forecast'!$B$3:$B$26,0),MATCH(BK$1,'Team forecast'!$R$2:$BH$2,0))*IF($X488&gt;0,25000,0)</f>
        <v>0</v>
      </c>
      <c r="BL488" s="5">
        <f>INDEX('Team forecast'!$R$3:$BH$26,MATCH($B488,'Team forecast'!$B$3:$B$26,0),MATCH(BL$1,'Team forecast'!$R$2:$BH$2,0))*IF($X488&gt;0,5000,0)</f>
        <v>0</v>
      </c>
      <c r="BM488" s="5">
        <f>INDEX('Team forecast'!$R$3:$BH$26,MATCH($B488,'Team forecast'!$B$3:$B$26,0),MATCH(BM$1,'Team forecast'!$R$2:$BH$2,0))*IF($X488&gt;0,-15000,0)</f>
        <v>0</v>
      </c>
      <c r="BN488" s="5">
        <f t="shared" si="286"/>
        <v>0</v>
      </c>
      <c r="BO488" s="5">
        <f t="shared" si="287"/>
        <v>0</v>
      </c>
      <c r="BP488" s="5">
        <f t="shared" si="288"/>
        <v>0</v>
      </c>
      <c r="BQ488" s="5">
        <f t="shared" si="289"/>
        <v>0</v>
      </c>
      <c r="BR488" s="5">
        <f t="shared" si="290"/>
        <v>0</v>
      </c>
      <c r="BS488" s="5">
        <f t="shared" si="291"/>
        <v>0</v>
      </c>
      <c r="BT488" s="5">
        <f t="shared" si="292"/>
        <v>0</v>
      </c>
      <c r="BU488" s="5">
        <f t="shared" si="293"/>
        <v>0</v>
      </c>
      <c r="BV488" s="5">
        <f t="shared" si="294"/>
        <v>0</v>
      </c>
      <c r="BW488" s="5">
        <f t="shared" si="295"/>
        <v>-5000</v>
      </c>
      <c r="BX488" s="5">
        <f t="shared" si="296"/>
        <v>-5000</v>
      </c>
      <c r="BY488" s="5">
        <f t="shared" si="297"/>
        <v>-15000</v>
      </c>
      <c r="BZ488" s="5">
        <f>INDEX('Team forecast'!$R$3:$BH$26,MATCH($B488,'Team forecast'!$B$3:$B$26,0),MATCH(BZ$1,'Team forecast'!$R$2:$BH$2,0))*($BX488-(BY488+CH488)*0.01)</f>
        <v>-24913.294845142547</v>
      </c>
      <c r="CA488" s="5">
        <f>INDEX('Team forecast'!$R$3:$BH$26,MATCH($B488,'Team forecast'!$B$3:$B$26,0),MATCH(CA$1,'Team forecast'!$R$2:$BH$2,0))*($BX488-(BY488+BX488+CH488)*0.01)</f>
        <v>-12212.077663480432</v>
      </c>
      <c r="CB488" s="5">
        <f>INDEX('Team forecast'!$R$3:$BH$26,MATCH($B488,'Team forecast'!$B$3:$B$26,0),MATCH(CB$1,'Team forecast'!$R$2:$BH$2,0))*($BX488-(BY488+BX488*2+CH488)*0.01)</f>
        <v>-5884.2095619465927</v>
      </c>
      <c r="CC488" s="5">
        <f>INDEX('Team forecast'!$R$3:$BH$26,MATCH($B488,'Team forecast'!$B$3:$B$26,0),MATCH(CC$1,'Team forecast'!$R$2:$BH$2,0))*($BX488-(BY488+BX488*3+CH488)*0.01)</f>
        <v>-2663.5364361847705</v>
      </c>
      <c r="CD488" s="5">
        <f>+AK488+BD488*Cockpit!$C$3+BW488*Cockpit!$C$3^2+BZ488*Cockpit!$C$3^3+CA488*Cockpit!$C$3^4+CB488*Cockpit!$C$3^5+CC488*Cockpit!$C$3^6</f>
        <v>-21358.245980733427</v>
      </c>
      <c r="CE488" s="5"/>
      <c r="CF488" s="5"/>
      <c r="CG488" s="5">
        <v>0</v>
      </c>
      <c r="CH488" s="5">
        <f t="shared" si="298"/>
        <v>3000000</v>
      </c>
      <c r="CI488" s="5">
        <f t="shared" si="299"/>
        <v>3000000</v>
      </c>
      <c r="CJ488" s="1">
        <f t="shared" si="300"/>
        <v>-5.0000000000000001E-3</v>
      </c>
      <c r="CK488" s="5">
        <f>RANK(BY488,$BY$2:$BY$623)+COUNTIF($BY$2:$BY488,$BY488)-1</f>
        <v>578</v>
      </c>
      <c r="CL488" s="5">
        <f>RANK(CJ488,$CJ$2:$CJ$623)+COUNTIF($CJ$2:$CJ488,$CJ488)-1</f>
        <v>524</v>
      </c>
    </row>
    <row r="489" spans="1:90">
      <c r="A489" t="str">
        <f>Players!P490</f>
        <v>Milan Škriniar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3000000</v>
      </c>
      <c r="H489" s="16">
        <f>INDEX('Team forecast'!$B$2:$AO$26,MATCH('Master data'!$B489,'Team forecast'!$B$2:$B$26,0),MATCH('Master data'!H$1,'Team forecast'!$B$2:$AO$2,0))</f>
        <v>0.81328039356128246</v>
      </c>
      <c r="I489" s="16">
        <f>INDEX('Team forecast'!$B$2:$AO$26,MATCH('Master data'!$B489,'Team forecast'!$B$2:$B$26,0),MATCH('Master data'!I$1,'Team forecast'!$B$2:$AO$2,0))</f>
        <v>1.5369105908463034</v>
      </c>
      <c r="J489" s="16">
        <f>INDEX('Team forecast'!$B$2:$AO$26,MATCH('Master data'!$B489,'Team forecast'!$B$2:$B$26,0),MATCH('Master data'!J$1,'Team forecast'!$B$2:$AO$2,0))</f>
        <v>0.21504443649322161</v>
      </c>
      <c r="K489" s="16">
        <f>INDEX('Team forecast'!$B$2:$AO$26,MATCH('Master data'!$B489,'Team forecast'!$B$2:$B$26,0),MATCH('Master data'!K$1,'Team forecast'!$B$2:$AO$2,0))</f>
        <v>2.6698598778526952</v>
      </c>
      <c r="L489" s="16">
        <f>INDEX('Team forecast'!$B$2:$AO$26,MATCH('Master data'!$B489,'Team forecast'!$B$2:$B$26,0),MATCH('Master data'!L$1,'Team forecast'!$B$2:$AO$2,0))</f>
        <v>4.1033306683839106</v>
      </c>
      <c r="M489">
        <f>IF(Players!BC490=1,95,0)</f>
        <v>95</v>
      </c>
      <c r="N489" s="2">
        <f>Players!BN490</f>
        <v>5.0600043676542444E-2</v>
      </c>
      <c r="O489" s="2">
        <f>Players!BO490</f>
        <v>1.2796730471587746E-2</v>
      </c>
      <c r="P489" s="2">
        <f>Players!BP490</f>
        <v>3.081367226084613E-2</v>
      </c>
      <c r="Q489" s="2">
        <f>Players!BQ490</f>
        <v>0.12619287513494062</v>
      </c>
      <c r="R489" s="2">
        <f>Players!BR490</f>
        <v>0</v>
      </c>
      <c r="S489" s="2">
        <f t="shared" si="259"/>
        <v>0.81328039356128246</v>
      </c>
      <c r="T489" s="2">
        <f t="shared" si="260"/>
        <v>1.5369105908463034</v>
      </c>
      <c r="U489" s="16">
        <f>INDEX('Team forecast'!$B$2:$AO$26,MATCH('Master data'!$B489,'Team forecast'!$B$2:$B$26,0),MATCH('Master data'!U$1,'Team forecast'!$B$2:$AO$2,0))</f>
        <v>0.18622848200312991</v>
      </c>
      <c r="V489" s="16">
        <f>INDEX('Team forecast'!$B$2:$AO$26,MATCH('Master data'!$B489,'Team forecast'!$B$2:$B$26,0),MATCH('Master data'!V$1,'Team forecast'!$B$2:$AO$2,0))</f>
        <v>0.2660406885758998</v>
      </c>
      <c r="W489" s="16">
        <f>INDEX('Team forecast'!$B$2:$AO$26,MATCH('Master data'!$B489,'Team forecast'!$B$2:$B$26,0),MATCH('Master data'!W$1,'Team forecast'!$B$2:$AO$2,0))</f>
        <v>0.54773082942097018</v>
      </c>
      <c r="X489" s="5">
        <f t="shared" si="261"/>
        <v>7000</v>
      </c>
      <c r="Y489" s="5">
        <f t="shared" si="262"/>
        <v>4655.7120500782476</v>
      </c>
      <c r="Z489" s="5">
        <f t="shared" si="263"/>
        <v>1330.2034428794989</v>
      </c>
      <c r="AA489" s="5">
        <f t="shared" si="264"/>
        <v>-8215.9624413145521</v>
      </c>
      <c r="AB489" s="5">
        <f t="shared" si="265"/>
        <v>6172.8035153214787</v>
      </c>
      <c r="AC489" s="5">
        <f t="shared" si="266"/>
        <v>520.3664997115269</v>
      </c>
      <c r="AD489" s="5">
        <f t="shared" si="267"/>
        <v>822.68187258535625</v>
      </c>
      <c r="AE489" s="5">
        <f t="shared" si="268"/>
        <v>10752.221824661081</v>
      </c>
      <c r="AF489" s="5">
        <f t="shared" si="269"/>
        <v>0</v>
      </c>
      <c r="AG489" s="5">
        <f t="shared" si="270"/>
        <v>-2523.8575026988124</v>
      </c>
      <c r="AH489" s="5">
        <f t="shared" si="271"/>
        <v>0</v>
      </c>
      <c r="AI489" s="5">
        <f t="shared" si="272"/>
        <v>8132.8039356128247</v>
      </c>
      <c r="AJ489" s="5">
        <f t="shared" si="273"/>
        <v>-12295.284726770427</v>
      </c>
      <c r="AK489" s="5">
        <f>IFERROR(SUM(X489:AJ489),-5000)*((Cockpit!$C$3)^0)</f>
        <v>16351.688470066223</v>
      </c>
      <c r="AL489" s="16">
        <f>INDEX('Team forecast'!$B$2:$AO$26,MATCH('Master data'!$B489,'Team forecast'!$B$2:$B$26,0),MATCH('Master data'!AL$1,'Team forecast'!$B$2:$AO$2,0))</f>
        <v>0.80548012323268336</v>
      </c>
      <c r="AM489" s="16">
        <f>INDEX('Team forecast'!$B$2:$AO$26,MATCH('Master data'!$B489,'Team forecast'!$B$2:$B$26,0),MATCH('Master data'!AM$1,'Team forecast'!$B$2:$AO$2,0))</f>
        <v>1.3852986184856255</v>
      </c>
      <c r="AN489" s="16">
        <f>INDEX('Team forecast'!$B$2:$AO$26,MATCH('Master data'!$B489,'Team forecast'!$B$2:$B$26,0),MATCH('Master data'!AN$1,'Team forecast'!$B$2:$AO$2,0))</f>
        <v>0.25024905963763749</v>
      </c>
      <c r="AO489" s="16">
        <f>INDEX('Team forecast'!$B$2:$AO$26,MATCH('Master data'!$B489,'Team forecast'!$B$2:$B$26,0),MATCH('Master data'!AO$1,'Team forecast'!$B$2:$AO$2,0))</f>
        <v>2.6442529298042636</v>
      </c>
      <c r="AP489" s="16">
        <f>INDEX('Team forecast'!$B$2:$AO$26,MATCH('Master data'!$B489,'Team forecast'!$B$2:$B$26,0),MATCH('Master data'!AP$1,'Team forecast'!$B$2:$AO$2,0))</f>
        <v>3.6985484646649716</v>
      </c>
      <c r="AQ489" s="5">
        <f t="shared" si="274"/>
        <v>7000</v>
      </c>
      <c r="AR489" s="5">
        <f>INDEX('Team forecast'!$B$2:$AO$26,MATCH('Master data'!$B489,'Team forecast'!$B$2:$B$26,0),MATCH('Master data'!AR$1,'Team forecast'!$B$2:$AO$2,0))*IF(X489&gt;0,25000,0)</f>
        <v>5418.2100094754078</v>
      </c>
      <c r="AS489" s="16">
        <f>INDEX('Team forecast'!$B$2:$AO$26,MATCH('Master data'!$B489,'Team forecast'!$B$2:$B$26,0),MATCH('Master data'!AS$1,'Team forecast'!$B$2:$AO$2,0))*IF(X489&gt;0,5000,0)</f>
        <v>1380.0499612369715</v>
      </c>
      <c r="AT489" s="16">
        <f>INDEX('Team forecast'!$B$2:$AO$26,MATCH('Master data'!$B489,'Team forecast'!$B$2:$B$26,0),MATCH('Master data'!AT$1,'Team forecast'!$B$2:$AO$2,0))*IF(X489&gt;0,-15000,0)</f>
        <v>-7608.9241106038426</v>
      </c>
      <c r="AU489" s="5">
        <f t="shared" si="275"/>
        <v>6113.5994124240851</v>
      </c>
      <c r="AV489" s="5">
        <f t="shared" si="276"/>
        <v>515.37560186149653</v>
      </c>
      <c r="AW489" s="5">
        <f t="shared" si="277"/>
        <v>814.79143153770747</v>
      </c>
      <c r="AX489" s="5">
        <f t="shared" si="278"/>
        <v>12512.452981881876</v>
      </c>
      <c r="AY489" s="5">
        <f t="shared" si="279"/>
        <v>0</v>
      </c>
      <c r="AZ489" s="5">
        <f t="shared" si="280"/>
        <v>-2523.8575026988124</v>
      </c>
      <c r="BA489" s="5">
        <f t="shared" si="281"/>
        <v>0</v>
      </c>
      <c r="BB489" s="5">
        <f t="shared" si="282"/>
        <v>8054.801232326834</v>
      </c>
      <c r="BC489" s="5">
        <f t="shared" si="283"/>
        <v>-11082.388947885003</v>
      </c>
      <c r="BD489" s="5">
        <f t="shared" si="284"/>
        <v>20594.110069556722</v>
      </c>
      <c r="BE489" s="16">
        <f>INDEX('Team forecast'!$B$2:$AO$26,MATCH('Master data'!$B489,'Team forecast'!$B$2:$B$26,0),MATCH('Master data'!BE$1,'Team forecast'!$B$2:$AO$2,0))</f>
        <v>0.56161379059809569</v>
      </c>
      <c r="BF489" s="16">
        <f>INDEX('Team forecast'!$B$2:$AO$26,MATCH('Master data'!$B489,'Team forecast'!$B$2:$B$26,0),MATCH('Master data'!BF$1,'Team forecast'!$B$2:$AO$2,0))</f>
        <v>2.3513752571634776</v>
      </c>
      <c r="BG489" s="16">
        <f>INDEX('Team forecast'!$B$2:$AO$26,MATCH('Master data'!$B489,'Team forecast'!$B$2:$B$26,0),MATCH('Master data'!BG$1,'Team forecast'!$B$2:$AO$2,0))</f>
        <v>9.5238095238095233E-2</v>
      </c>
      <c r="BH489" s="16">
        <f>INDEX('Team forecast'!$B$2:$AO$26,MATCH('Master data'!$B489,'Team forecast'!$B$2:$B$26,0),MATCH('Master data'!BH$1,'Team forecast'!$B$2:$AO$2,0))</f>
        <v>1.8436816358018293</v>
      </c>
      <c r="BI489" s="16">
        <f>INDEX('Team forecast'!$B$2:$AO$26,MATCH('Master data'!$B489,'Team forecast'!$B$2:$B$26,0),MATCH('Master data'!BI$1,'Team forecast'!$B$2:$AO$2,0))</f>
        <v>6.2778344186469877</v>
      </c>
      <c r="BJ489" s="5">
        <f t="shared" si="285"/>
        <v>7000</v>
      </c>
      <c r="BK489" s="5">
        <f>INDEX('Team forecast'!$R$3:$BH$26,MATCH($B489,'Team forecast'!$B$3:$B$26,0),MATCH(BK$1,'Team forecast'!$R$2:$BH$2,0))*IF($X489&gt;0,25000,0)</f>
        <v>1700.6802721088434</v>
      </c>
      <c r="BL489" s="5">
        <f>INDEX('Team forecast'!$R$3:$BH$26,MATCH($B489,'Team forecast'!$B$3:$B$26,0),MATCH(BL$1,'Team forecast'!$R$2:$BH$2,0))*IF($X489&gt;0,5000,0)</f>
        <v>850.34013605442146</v>
      </c>
      <c r="BM489" s="5">
        <f>INDEX('Team forecast'!$R$3:$BH$26,MATCH($B489,'Team forecast'!$B$3:$B$26,0),MATCH(BM$1,'Team forecast'!$R$2:$BH$2,0))*IF($X489&gt;0,-15000,0)</f>
        <v>-11428.571428571428</v>
      </c>
      <c r="BN489" s="5">
        <f t="shared" si="286"/>
        <v>4262.6523500418307</v>
      </c>
      <c r="BO489" s="5">
        <f t="shared" si="287"/>
        <v>359.34101537052754</v>
      </c>
      <c r="BP489" s="5">
        <f t="shared" si="288"/>
        <v>568.10601678938247</v>
      </c>
      <c r="BQ489" s="5">
        <f t="shared" si="289"/>
        <v>4761.9047619047615</v>
      </c>
      <c r="BR489" s="5">
        <f t="shared" si="290"/>
        <v>0</v>
      </c>
      <c r="BS489" s="5">
        <f t="shared" si="291"/>
        <v>-2523.8575026988124</v>
      </c>
      <c r="BT489" s="5">
        <f t="shared" si="292"/>
        <v>0</v>
      </c>
      <c r="BU489" s="5">
        <f t="shared" si="293"/>
        <v>5616.1379059809569</v>
      </c>
      <c r="BV489" s="5">
        <f t="shared" si="294"/>
        <v>-18811.002057307822</v>
      </c>
      <c r="BW489" s="5">
        <f t="shared" si="295"/>
        <v>-7644.2685303273392</v>
      </c>
      <c r="BX489" s="5">
        <f t="shared" si="296"/>
        <v>9767.1766697652038</v>
      </c>
      <c r="BY489" s="5">
        <f t="shared" si="297"/>
        <v>29301.530009295609</v>
      </c>
      <c r="BZ489" s="5">
        <f>INDEX('Team forecast'!$R$3:$BH$26,MATCH($B489,'Team forecast'!$B$3:$B$26,0),MATCH(BZ$1,'Team forecast'!$R$2:$BH$2,0))*($BX489-(BY489+CH489)*0.01)</f>
        <v>-6945.3859687466711</v>
      </c>
      <c r="CA489" s="5">
        <f>INDEX('Team forecast'!$R$3:$BH$26,MATCH($B489,'Team forecast'!$B$3:$B$26,0),MATCH(CA$1,'Team forecast'!$R$2:$BH$2,0))*($BX489-(BY489+BX489+CH489)*0.01)</f>
        <v>-3421.8494807330699</v>
      </c>
      <c r="CB489" s="5">
        <f>INDEX('Team forecast'!$R$3:$BH$26,MATCH($B489,'Team forecast'!$B$3:$B$26,0),MATCH(CB$1,'Team forecast'!$R$2:$BH$2,0))*($BX489-(BY489+BX489*2+CH489)*0.01)</f>
        <v>-1655.321896046406</v>
      </c>
      <c r="CC489" s="5">
        <f>INDEX('Team forecast'!$R$3:$BH$26,MATCH($B489,'Team forecast'!$B$3:$B$26,0),MATCH(CC$1,'Team forecast'!$R$2:$BH$2,0))*($BX489-(BY489+BX489*3+CH489)*0.01)</f>
        <v>-749.0282121789337</v>
      </c>
      <c r="CD489" s="5">
        <f>+AK489+BD489*Cockpit!$C$3+BW489*Cockpit!$C$3^2+BZ489*Cockpit!$C$3^3+CA489*Cockpit!$C$3^4+CB489*Cockpit!$C$3^5+CC489*Cockpit!$C$3^6</f>
        <v>23666.086395860126</v>
      </c>
      <c r="CE489" s="5"/>
      <c r="CF489" s="5"/>
      <c r="CG489" s="5">
        <v>0</v>
      </c>
      <c r="CH489" s="5">
        <f t="shared" si="298"/>
        <v>3000000</v>
      </c>
      <c r="CI489" s="5">
        <f t="shared" si="299"/>
        <v>3000000</v>
      </c>
      <c r="CJ489" s="1">
        <f t="shared" si="300"/>
        <v>9.7671766697652023E-3</v>
      </c>
      <c r="CK489" s="5">
        <f>RANK(BY489,$BY$2:$BY$623)+COUNTIF($BY$2:$BY489,$BY489)-1</f>
        <v>354</v>
      </c>
      <c r="CL489" s="5">
        <f>RANK(CJ489,$CJ$2:$CJ$623)+COUNTIF($CJ$2:$CJ489,$CJ489)-1</f>
        <v>365</v>
      </c>
    </row>
    <row r="490" spans="1:90">
      <c r="A490" t="str">
        <f>Players!P491</f>
        <v>Peter Pekarík</v>
      </c>
      <c r="B490" t="str">
        <f>Players!G491</f>
        <v>Slovakia</v>
      </c>
      <c r="C490" t="str">
        <f>Players!AB491</f>
        <v>Defense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2500000</v>
      </c>
      <c r="H490" s="16">
        <f>INDEX('Team forecast'!$B$2:$AO$26,MATCH('Master data'!$B490,'Team forecast'!$B$2:$B$26,0),MATCH('Master data'!H$1,'Team forecast'!$B$2:$AO$2,0))</f>
        <v>0.81328039356128246</v>
      </c>
      <c r="I490" s="16">
        <f>INDEX('Team forecast'!$B$2:$AO$26,MATCH('Master data'!$B490,'Team forecast'!$B$2:$B$26,0),MATCH('Master data'!I$1,'Team forecast'!$B$2:$AO$2,0))</f>
        <v>1.5369105908463034</v>
      </c>
      <c r="J490" s="16">
        <f>INDEX('Team forecast'!$B$2:$AO$26,MATCH('Master data'!$B490,'Team forecast'!$B$2:$B$26,0),MATCH('Master data'!J$1,'Team forecast'!$B$2:$AO$2,0))</f>
        <v>0.21504443649322161</v>
      </c>
      <c r="K490" s="16">
        <f>INDEX('Team forecast'!$B$2:$AO$26,MATCH('Master data'!$B490,'Team forecast'!$B$2:$B$26,0),MATCH('Master data'!K$1,'Team forecast'!$B$2:$AO$2,0))</f>
        <v>2.6698598778526952</v>
      </c>
      <c r="L490" s="16">
        <f>INDEX('Team forecast'!$B$2:$AO$26,MATCH('Master data'!$B490,'Team forecast'!$B$2:$B$26,0),MATCH('Master data'!L$1,'Team forecast'!$B$2:$AO$2,0))</f>
        <v>4.1033306683839106</v>
      </c>
      <c r="M490">
        <f>IF(Players!BC491=1,95,0)</f>
        <v>95</v>
      </c>
      <c r="N490" s="2">
        <f>Players!BN491</f>
        <v>6.6168553978201261E-2</v>
      </c>
      <c r="O490" s="2">
        <f>Players!BO491</f>
        <v>4.7468427836017985E-2</v>
      </c>
      <c r="P490" s="2">
        <f>Players!BP491</f>
        <v>4.2000782427355013E-2</v>
      </c>
      <c r="Q490" s="2">
        <f>Players!BQ491</f>
        <v>0.10594467333725721</v>
      </c>
      <c r="R490" s="2">
        <f>Players!BR491</f>
        <v>0</v>
      </c>
      <c r="S490" s="2">
        <f t="shared" si="259"/>
        <v>0.81328039356128246</v>
      </c>
      <c r="T490" s="2">
        <f t="shared" si="260"/>
        <v>1.5369105908463034</v>
      </c>
      <c r="U490" s="16">
        <f>INDEX('Team forecast'!$B$2:$AO$26,MATCH('Master data'!$B490,'Team forecast'!$B$2:$B$26,0),MATCH('Master data'!U$1,'Team forecast'!$B$2:$AO$2,0))</f>
        <v>0.18622848200312991</v>
      </c>
      <c r="V490" s="16">
        <f>INDEX('Team forecast'!$B$2:$AO$26,MATCH('Master data'!$B490,'Team forecast'!$B$2:$B$26,0),MATCH('Master data'!V$1,'Team forecast'!$B$2:$AO$2,0))</f>
        <v>0.2660406885758998</v>
      </c>
      <c r="W490" s="16">
        <f>INDEX('Team forecast'!$B$2:$AO$26,MATCH('Master data'!$B490,'Team forecast'!$B$2:$B$26,0),MATCH('Master data'!W$1,'Team forecast'!$B$2:$AO$2,0))</f>
        <v>0.54773082942097018</v>
      </c>
      <c r="X490" s="5">
        <f t="shared" si="261"/>
        <v>7000</v>
      </c>
      <c r="Y490" s="5">
        <f t="shared" si="262"/>
        <v>4655.7120500782476</v>
      </c>
      <c r="Z490" s="5">
        <f t="shared" si="263"/>
        <v>1330.2034428794989</v>
      </c>
      <c r="AA490" s="5">
        <f t="shared" si="264"/>
        <v>-8215.9624413145521</v>
      </c>
      <c r="AB490" s="5">
        <f t="shared" si="265"/>
        <v>8072.0381431158721</v>
      </c>
      <c r="AC490" s="5">
        <f t="shared" si="266"/>
        <v>1930.257083610602</v>
      </c>
      <c r="AD490" s="5">
        <f t="shared" si="267"/>
        <v>1121.3620384121568</v>
      </c>
      <c r="AE490" s="5">
        <f t="shared" si="268"/>
        <v>10752.221824661081</v>
      </c>
      <c r="AF490" s="5">
        <f t="shared" si="269"/>
        <v>0</v>
      </c>
      <c r="AG490" s="5">
        <f t="shared" si="270"/>
        <v>-2118.8934667451445</v>
      </c>
      <c r="AH490" s="5">
        <f t="shared" si="271"/>
        <v>0</v>
      </c>
      <c r="AI490" s="5">
        <f t="shared" si="272"/>
        <v>8132.8039356128247</v>
      </c>
      <c r="AJ490" s="5">
        <f t="shared" si="273"/>
        <v>-12295.284726770427</v>
      </c>
      <c r="AK490" s="5">
        <f>IFERROR(SUM(X490:AJ490),-5000)*((Cockpit!$C$3)^0)</f>
        <v>20364.457883540163</v>
      </c>
      <c r="AL490" s="16">
        <f>INDEX('Team forecast'!$B$2:$AO$26,MATCH('Master data'!$B490,'Team forecast'!$B$2:$B$26,0),MATCH('Master data'!AL$1,'Team forecast'!$B$2:$AO$2,0))</f>
        <v>0.80548012323268336</v>
      </c>
      <c r="AM490" s="16">
        <f>INDEX('Team forecast'!$B$2:$AO$26,MATCH('Master data'!$B490,'Team forecast'!$B$2:$B$26,0),MATCH('Master data'!AM$1,'Team forecast'!$B$2:$AO$2,0))</f>
        <v>1.3852986184856255</v>
      </c>
      <c r="AN490" s="16">
        <f>INDEX('Team forecast'!$B$2:$AO$26,MATCH('Master data'!$B490,'Team forecast'!$B$2:$B$26,0),MATCH('Master data'!AN$1,'Team forecast'!$B$2:$AO$2,0))</f>
        <v>0.25024905963763749</v>
      </c>
      <c r="AO490" s="16">
        <f>INDEX('Team forecast'!$B$2:$AO$26,MATCH('Master data'!$B490,'Team forecast'!$B$2:$B$26,0),MATCH('Master data'!AO$1,'Team forecast'!$B$2:$AO$2,0))</f>
        <v>2.6442529298042636</v>
      </c>
      <c r="AP490" s="16">
        <f>INDEX('Team forecast'!$B$2:$AO$26,MATCH('Master data'!$B490,'Team forecast'!$B$2:$B$26,0),MATCH('Master data'!AP$1,'Team forecast'!$B$2:$AO$2,0))</f>
        <v>3.6985484646649716</v>
      </c>
      <c r="AQ490" s="5">
        <f t="shared" si="274"/>
        <v>7000</v>
      </c>
      <c r="AR490" s="5">
        <f>INDEX('Team forecast'!$B$2:$AO$26,MATCH('Master data'!$B490,'Team forecast'!$B$2:$B$26,0),MATCH('Master data'!AR$1,'Team forecast'!$B$2:$AO$2,0))*IF(X490&gt;0,25000,0)</f>
        <v>5418.2100094754078</v>
      </c>
      <c r="AS490" s="16">
        <f>INDEX('Team forecast'!$B$2:$AO$26,MATCH('Master data'!$B490,'Team forecast'!$B$2:$B$26,0),MATCH('Master data'!AS$1,'Team forecast'!$B$2:$AO$2,0))*IF(X490&gt;0,5000,0)</f>
        <v>1380.0499612369715</v>
      </c>
      <c r="AT490" s="16">
        <f>INDEX('Team forecast'!$B$2:$AO$26,MATCH('Master data'!$B490,'Team forecast'!$B$2:$B$26,0),MATCH('Master data'!AT$1,'Team forecast'!$B$2:$AO$2,0))*IF(X490&gt;0,-15000,0)</f>
        <v>-7608.9241106038426</v>
      </c>
      <c r="AU490" s="5">
        <f t="shared" si="275"/>
        <v>7994.6182518735013</v>
      </c>
      <c r="AV490" s="5">
        <f t="shared" si="276"/>
        <v>1911.7437551508751</v>
      </c>
      <c r="AW490" s="5">
        <f t="shared" si="277"/>
        <v>1110.6069198760492</v>
      </c>
      <c r="AX490" s="5">
        <f t="shared" si="278"/>
        <v>12512.452981881876</v>
      </c>
      <c r="AY490" s="5">
        <f t="shared" si="279"/>
        <v>0</v>
      </c>
      <c r="AZ490" s="5">
        <f t="shared" si="280"/>
        <v>-2118.8934667451445</v>
      </c>
      <c r="BA490" s="5">
        <f t="shared" si="281"/>
        <v>0</v>
      </c>
      <c r="BB490" s="5">
        <f t="shared" si="282"/>
        <v>8054.801232326834</v>
      </c>
      <c r="BC490" s="5">
        <f t="shared" si="283"/>
        <v>-11082.388947885003</v>
      </c>
      <c r="BD490" s="5">
        <f t="shared" si="284"/>
        <v>24572.276586587526</v>
      </c>
      <c r="BE490" s="16">
        <f>INDEX('Team forecast'!$B$2:$AO$26,MATCH('Master data'!$B490,'Team forecast'!$B$2:$B$26,0),MATCH('Master data'!BE$1,'Team forecast'!$B$2:$AO$2,0))</f>
        <v>0.56161379059809569</v>
      </c>
      <c r="BF490" s="16">
        <f>INDEX('Team forecast'!$B$2:$AO$26,MATCH('Master data'!$B490,'Team forecast'!$B$2:$B$26,0),MATCH('Master data'!BF$1,'Team forecast'!$B$2:$AO$2,0))</f>
        <v>2.3513752571634776</v>
      </c>
      <c r="BG490" s="16">
        <f>INDEX('Team forecast'!$B$2:$AO$26,MATCH('Master data'!$B490,'Team forecast'!$B$2:$B$26,0),MATCH('Master data'!BG$1,'Team forecast'!$B$2:$AO$2,0))</f>
        <v>9.5238095238095233E-2</v>
      </c>
      <c r="BH490" s="16">
        <f>INDEX('Team forecast'!$B$2:$AO$26,MATCH('Master data'!$B490,'Team forecast'!$B$2:$B$26,0),MATCH('Master data'!BH$1,'Team forecast'!$B$2:$AO$2,0))</f>
        <v>1.8436816358018293</v>
      </c>
      <c r="BI490" s="16">
        <f>INDEX('Team forecast'!$B$2:$AO$26,MATCH('Master data'!$B490,'Team forecast'!$B$2:$B$26,0),MATCH('Master data'!BI$1,'Team forecast'!$B$2:$AO$2,0))</f>
        <v>6.2778344186469877</v>
      </c>
      <c r="BJ490" s="5">
        <f t="shared" si="285"/>
        <v>7000</v>
      </c>
      <c r="BK490" s="5">
        <f>INDEX('Team forecast'!$R$3:$BH$26,MATCH($B490,'Team forecast'!$B$3:$B$26,0),MATCH(BK$1,'Team forecast'!$R$2:$BH$2,0))*IF($X490&gt;0,25000,0)</f>
        <v>1700.6802721088434</v>
      </c>
      <c r="BL490" s="5">
        <f>INDEX('Team forecast'!$R$3:$BH$26,MATCH($B490,'Team forecast'!$B$3:$B$26,0),MATCH(BL$1,'Team forecast'!$R$2:$BH$2,0))*IF($X490&gt;0,5000,0)</f>
        <v>850.34013605442146</v>
      </c>
      <c r="BM490" s="5">
        <f>INDEX('Team forecast'!$R$3:$BH$26,MATCH($B490,'Team forecast'!$B$3:$B$26,0),MATCH(BM$1,'Team forecast'!$R$2:$BH$2,0))*IF($X490&gt;0,-15000,0)</f>
        <v>-11428.571428571428</v>
      </c>
      <c r="BN490" s="5">
        <f t="shared" si="286"/>
        <v>5574.175862713847</v>
      </c>
      <c r="BO490" s="5">
        <f t="shared" si="287"/>
        <v>1332.946184535911</v>
      </c>
      <c r="BP490" s="5">
        <f t="shared" si="288"/>
        <v>774.36071250622615</v>
      </c>
      <c r="BQ490" s="5">
        <f t="shared" si="289"/>
        <v>4761.9047619047615</v>
      </c>
      <c r="BR490" s="5">
        <f t="shared" si="290"/>
        <v>0</v>
      </c>
      <c r="BS490" s="5">
        <f t="shared" si="291"/>
        <v>-2118.8934667451445</v>
      </c>
      <c r="BT490" s="5">
        <f t="shared" si="292"/>
        <v>0</v>
      </c>
      <c r="BU490" s="5">
        <f t="shared" si="293"/>
        <v>5616.1379059809569</v>
      </c>
      <c r="BV490" s="5">
        <f t="shared" si="294"/>
        <v>-18811.002057307822</v>
      </c>
      <c r="BW490" s="5">
        <f t="shared" si="295"/>
        <v>-4747.921116819427</v>
      </c>
      <c r="BX490" s="5">
        <f t="shared" si="296"/>
        <v>13396.27111776942</v>
      </c>
      <c r="BY490" s="5">
        <f t="shared" si="297"/>
        <v>40188.813353308258</v>
      </c>
      <c r="BZ490" s="5">
        <f>INDEX('Team forecast'!$R$3:$BH$26,MATCH($B490,'Team forecast'!$B$3:$B$26,0),MATCH(BZ$1,'Team forecast'!$R$2:$BH$2,0))*($BX490-(BY490+CH490)*0.01)</f>
        <v>-4062.3745255518356</v>
      </c>
      <c r="CA490" s="5">
        <f>INDEX('Team forecast'!$R$3:$BH$26,MATCH($B490,'Team forecast'!$B$3:$B$26,0),MATCH(CA$1,'Team forecast'!$R$2:$BH$2,0))*($BX490-(BY490+BX490+CH490)*0.01)</f>
        <v>-2014.1970879479086</v>
      </c>
      <c r="CB490" s="5">
        <f>INDEX('Team forecast'!$R$3:$BH$26,MATCH($B490,'Team forecast'!$B$3:$B$26,0),MATCH(CB$1,'Team forecast'!$R$2:$BH$2,0))*($BX490-(BY490+BX490*2+CH490)*0.01)</f>
        <v>-980.47801420529049</v>
      </c>
      <c r="CC490" s="5">
        <f>INDEX('Team forecast'!$R$3:$BH$26,MATCH($B490,'Team forecast'!$B$3:$B$26,0),MATCH(CC$1,'Team forecast'!$R$2:$BH$2,0))*($BX490-(BY490+BX490*3+CH490)*0.01)</f>
        <v>-446.40168141046422</v>
      </c>
      <c r="CD490" s="5">
        <f>+AK490+BD490*Cockpit!$C$3+BW490*Cockpit!$C$3^2+BZ490*Cockpit!$C$3^3+CA490*Cockpit!$C$3^4+CB490*Cockpit!$C$3^5+CC490*Cockpit!$C$3^6</f>
        <v>32865.949109979629</v>
      </c>
      <c r="CE490" s="5"/>
      <c r="CF490" s="5"/>
      <c r="CG490" s="5">
        <v>0</v>
      </c>
      <c r="CH490" s="5">
        <f t="shared" si="298"/>
        <v>2500000</v>
      </c>
      <c r="CI490" s="5">
        <f t="shared" si="299"/>
        <v>2500000</v>
      </c>
      <c r="CJ490" s="1">
        <f t="shared" si="300"/>
        <v>1.6075525341323303E-2</v>
      </c>
      <c r="CK490" s="5">
        <f>RANK(BY490,$BY$2:$BY$623)+COUNTIF($BY$2:$BY490,$BY490)-1</f>
        <v>309</v>
      </c>
      <c r="CL490" s="5">
        <f>RANK(CJ490,$CJ$2:$CJ$623)+COUNTIF($CJ$2:$CJ490,$CJ490)-1</f>
        <v>296</v>
      </c>
    </row>
    <row r="491" spans="1:90">
      <c r="A491" t="str">
        <f>Players!P492</f>
        <v>Marek Hamšík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3500000</v>
      </c>
      <c r="H491" s="16">
        <f>INDEX('Team forecast'!$B$2:$AO$26,MATCH('Master data'!$B491,'Team forecast'!$B$2:$B$26,0),MATCH('Master data'!H$1,'Team forecast'!$B$2:$AO$2,0))</f>
        <v>0.81328039356128246</v>
      </c>
      <c r="I491" s="16">
        <f>INDEX('Team forecast'!$B$2:$AO$26,MATCH('Master data'!$B491,'Team forecast'!$B$2:$B$26,0),MATCH('Master data'!I$1,'Team forecast'!$B$2:$AO$2,0))</f>
        <v>1.5369105908463034</v>
      </c>
      <c r="J491" s="16">
        <f>INDEX('Team forecast'!$B$2:$AO$26,MATCH('Master data'!$B491,'Team forecast'!$B$2:$B$26,0),MATCH('Master data'!J$1,'Team forecast'!$B$2:$AO$2,0))</f>
        <v>0.21504443649322161</v>
      </c>
      <c r="K491" s="16">
        <f>INDEX('Team forecast'!$B$2:$AO$26,MATCH('Master data'!$B491,'Team forecast'!$B$2:$B$26,0),MATCH('Master data'!K$1,'Team forecast'!$B$2:$AO$2,0))</f>
        <v>2.6698598778526952</v>
      </c>
      <c r="L491" s="16">
        <f>INDEX('Team forecast'!$B$2:$AO$26,MATCH('Master data'!$B491,'Team forecast'!$B$2:$B$26,0),MATCH('Master data'!L$1,'Team forecast'!$B$2:$AO$2,0))</f>
        <v>4.1033306683839106</v>
      </c>
      <c r="M491">
        <f>IF(Players!BC492=1,95,0)</f>
        <v>0</v>
      </c>
      <c r="N491" s="2">
        <f>Players!BN492</f>
        <v>0</v>
      </c>
      <c r="O491" s="2">
        <f>Players!BO492</f>
        <v>0</v>
      </c>
      <c r="P491" s="2">
        <f>Players!BP492</f>
        <v>0</v>
      </c>
      <c r="Q491" s="2">
        <f>Players!BQ492</f>
        <v>0.14000000000000001</v>
      </c>
      <c r="R491" s="2">
        <f>Players!BR492</f>
        <v>0</v>
      </c>
      <c r="S491" s="2">
        <f t="shared" si="259"/>
        <v>0.81328039356128246</v>
      </c>
      <c r="T491" s="2">
        <f t="shared" si="260"/>
        <v>1.5369105908463034</v>
      </c>
      <c r="U491" s="16">
        <f>INDEX('Team forecast'!$B$2:$AO$26,MATCH('Master data'!$B491,'Team forecast'!$B$2:$B$26,0),MATCH('Master data'!U$1,'Team forecast'!$B$2:$AO$2,0))</f>
        <v>0.18622848200312991</v>
      </c>
      <c r="V491" s="16">
        <f>INDEX('Team forecast'!$B$2:$AO$26,MATCH('Master data'!$B491,'Team forecast'!$B$2:$B$26,0),MATCH('Master data'!V$1,'Team forecast'!$B$2:$AO$2,0))</f>
        <v>0.2660406885758998</v>
      </c>
      <c r="W491" s="16">
        <f>INDEX('Team forecast'!$B$2:$AO$26,MATCH('Master data'!$B491,'Team forecast'!$B$2:$B$26,0),MATCH('Master data'!W$1,'Team forecast'!$B$2:$AO$2,0))</f>
        <v>0.54773082942097018</v>
      </c>
      <c r="X491" s="5">
        <f t="shared" si="261"/>
        <v>-5000</v>
      </c>
      <c r="Y491" s="5">
        <f t="shared" si="262"/>
        <v>0</v>
      </c>
      <c r="Z491" s="5">
        <f t="shared" si="263"/>
        <v>0</v>
      </c>
      <c r="AA491" s="5">
        <f t="shared" si="264"/>
        <v>0</v>
      </c>
      <c r="AB491" s="5">
        <f t="shared" si="265"/>
        <v>0</v>
      </c>
      <c r="AC491" s="5">
        <f t="shared" si="266"/>
        <v>0</v>
      </c>
      <c r="AD491" s="5">
        <f t="shared" si="267"/>
        <v>0</v>
      </c>
      <c r="AE491" s="5">
        <f t="shared" si="268"/>
        <v>0</v>
      </c>
      <c r="AF491" s="5">
        <f t="shared" si="269"/>
        <v>0</v>
      </c>
      <c r="AG491" s="5">
        <f t="shared" si="270"/>
        <v>0</v>
      </c>
      <c r="AH491" s="5">
        <f t="shared" si="271"/>
        <v>0</v>
      </c>
      <c r="AI491" s="5">
        <f t="shared" si="272"/>
        <v>0</v>
      </c>
      <c r="AJ491" s="5">
        <f t="shared" si="273"/>
        <v>0</v>
      </c>
      <c r="AK491" s="5">
        <f>IFERROR(SUM(X491:AJ491),-5000)*((Cockpit!$C$3)^0)</f>
        <v>-5000</v>
      </c>
      <c r="AL491" s="16">
        <f>INDEX('Team forecast'!$B$2:$AO$26,MATCH('Master data'!$B491,'Team forecast'!$B$2:$B$26,0),MATCH('Master data'!AL$1,'Team forecast'!$B$2:$AO$2,0))</f>
        <v>0.80548012323268336</v>
      </c>
      <c r="AM491" s="16">
        <f>INDEX('Team forecast'!$B$2:$AO$26,MATCH('Master data'!$B491,'Team forecast'!$B$2:$B$26,0),MATCH('Master data'!AM$1,'Team forecast'!$B$2:$AO$2,0))</f>
        <v>1.3852986184856255</v>
      </c>
      <c r="AN491" s="16">
        <f>INDEX('Team forecast'!$B$2:$AO$26,MATCH('Master data'!$B491,'Team forecast'!$B$2:$B$26,0),MATCH('Master data'!AN$1,'Team forecast'!$B$2:$AO$2,0))</f>
        <v>0.25024905963763749</v>
      </c>
      <c r="AO491" s="16">
        <f>INDEX('Team forecast'!$B$2:$AO$26,MATCH('Master data'!$B491,'Team forecast'!$B$2:$B$26,0),MATCH('Master data'!AO$1,'Team forecast'!$B$2:$AO$2,0))</f>
        <v>2.6442529298042636</v>
      </c>
      <c r="AP491" s="16">
        <f>INDEX('Team forecast'!$B$2:$AO$26,MATCH('Master data'!$B491,'Team forecast'!$B$2:$B$26,0),MATCH('Master data'!AP$1,'Team forecast'!$B$2:$AO$2,0))</f>
        <v>3.6985484646649716</v>
      </c>
      <c r="AQ491" s="5">
        <f t="shared" si="274"/>
        <v>-5000</v>
      </c>
      <c r="AR491" s="5">
        <f>INDEX('Team forecast'!$B$2:$AO$26,MATCH('Master data'!$B491,'Team forecast'!$B$2:$B$26,0),MATCH('Master data'!AR$1,'Team forecast'!$B$2:$AO$2,0))*IF(X491&gt;0,25000,0)</f>
        <v>0</v>
      </c>
      <c r="AS491" s="16">
        <f>INDEX('Team forecast'!$B$2:$AO$26,MATCH('Master data'!$B491,'Team forecast'!$B$2:$B$26,0),MATCH('Master data'!AS$1,'Team forecast'!$B$2:$AO$2,0))*IF(X491&gt;0,5000,0)</f>
        <v>0</v>
      </c>
      <c r="AT491" s="16">
        <f>INDEX('Team forecast'!$B$2:$AO$26,MATCH('Master data'!$B491,'Team forecast'!$B$2:$B$26,0),MATCH('Master data'!AT$1,'Team forecast'!$B$2:$AO$2,0))*IF(X491&gt;0,-15000,0)</f>
        <v>0</v>
      </c>
      <c r="AU491" s="5">
        <f t="shared" si="275"/>
        <v>0</v>
      </c>
      <c r="AV491" s="5">
        <f t="shared" si="276"/>
        <v>0</v>
      </c>
      <c r="AW491" s="5">
        <f t="shared" si="277"/>
        <v>0</v>
      </c>
      <c r="AX491" s="5">
        <f t="shared" si="278"/>
        <v>0</v>
      </c>
      <c r="AY491" s="5">
        <f t="shared" si="279"/>
        <v>0</v>
      </c>
      <c r="AZ491" s="5">
        <f t="shared" si="280"/>
        <v>0</v>
      </c>
      <c r="BA491" s="5">
        <f t="shared" si="281"/>
        <v>0</v>
      </c>
      <c r="BB491" s="5">
        <f t="shared" si="282"/>
        <v>0</v>
      </c>
      <c r="BC491" s="5">
        <f t="shared" si="283"/>
        <v>0</v>
      </c>
      <c r="BD491" s="5">
        <f t="shared" si="284"/>
        <v>-5000</v>
      </c>
      <c r="BE491" s="16">
        <f>INDEX('Team forecast'!$B$2:$AO$26,MATCH('Master data'!$B491,'Team forecast'!$B$2:$B$26,0),MATCH('Master data'!BE$1,'Team forecast'!$B$2:$AO$2,0))</f>
        <v>0.56161379059809569</v>
      </c>
      <c r="BF491" s="16">
        <f>INDEX('Team forecast'!$B$2:$AO$26,MATCH('Master data'!$B491,'Team forecast'!$B$2:$B$26,0),MATCH('Master data'!BF$1,'Team forecast'!$B$2:$AO$2,0))</f>
        <v>2.3513752571634776</v>
      </c>
      <c r="BG491" s="16">
        <f>INDEX('Team forecast'!$B$2:$AO$26,MATCH('Master data'!$B491,'Team forecast'!$B$2:$B$26,0),MATCH('Master data'!BG$1,'Team forecast'!$B$2:$AO$2,0))</f>
        <v>9.5238095238095233E-2</v>
      </c>
      <c r="BH491" s="16">
        <f>INDEX('Team forecast'!$B$2:$AO$26,MATCH('Master data'!$B491,'Team forecast'!$B$2:$B$26,0),MATCH('Master data'!BH$1,'Team forecast'!$B$2:$AO$2,0))</f>
        <v>1.8436816358018293</v>
      </c>
      <c r="BI491" s="16">
        <f>INDEX('Team forecast'!$B$2:$AO$26,MATCH('Master data'!$B491,'Team forecast'!$B$2:$B$26,0),MATCH('Master data'!BI$1,'Team forecast'!$B$2:$AO$2,0))</f>
        <v>6.2778344186469877</v>
      </c>
      <c r="BJ491" s="5">
        <f t="shared" si="285"/>
        <v>-5000</v>
      </c>
      <c r="BK491" s="5">
        <f>INDEX('Team forecast'!$R$3:$BH$26,MATCH($B491,'Team forecast'!$B$3:$B$26,0),MATCH(BK$1,'Team forecast'!$R$2:$BH$2,0))*IF($X491&gt;0,25000,0)</f>
        <v>0</v>
      </c>
      <c r="BL491" s="5">
        <f>INDEX('Team forecast'!$R$3:$BH$26,MATCH($B491,'Team forecast'!$B$3:$B$26,0),MATCH(BL$1,'Team forecast'!$R$2:$BH$2,0))*IF($X491&gt;0,5000,0)</f>
        <v>0</v>
      </c>
      <c r="BM491" s="5">
        <f>INDEX('Team forecast'!$R$3:$BH$26,MATCH($B491,'Team forecast'!$B$3:$B$26,0),MATCH(BM$1,'Team forecast'!$R$2:$BH$2,0))*IF($X491&gt;0,-15000,0)</f>
        <v>0</v>
      </c>
      <c r="BN491" s="5">
        <f t="shared" si="286"/>
        <v>0</v>
      </c>
      <c r="BO491" s="5">
        <f t="shared" si="287"/>
        <v>0</v>
      </c>
      <c r="BP491" s="5">
        <f t="shared" si="288"/>
        <v>0</v>
      </c>
      <c r="BQ491" s="5">
        <f t="shared" si="289"/>
        <v>0</v>
      </c>
      <c r="BR491" s="5">
        <f t="shared" si="290"/>
        <v>0</v>
      </c>
      <c r="BS491" s="5">
        <f t="shared" si="291"/>
        <v>0</v>
      </c>
      <c r="BT491" s="5">
        <f t="shared" si="292"/>
        <v>0</v>
      </c>
      <c r="BU491" s="5">
        <f t="shared" si="293"/>
        <v>0</v>
      </c>
      <c r="BV491" s="5">
        <f t="shared" si="294"/>
        <v>0</v>
      </c>
      <c r="BW491" s="5">
        <f t="shared" si="295"/>
        <v>-5000</v>
      </c>
      <c r="BX491" s="5">
        <f t="shared" si="296"/>
        <v>-5000</v>
      </c>
      <c r="BY491" s="5">
        <f t="shared" si="297"/>
        <v>-15000</v>
      </c>
      <c r="BZ491" s="5">
        <f>INDEX('Team forecast'!$R$3:$BH$26,MATCH($B491,'Team forecast'!$B$3:$B$26,0),MATCH(BZ$1,'Team forecast'!$R$2:$BH$2,0))*($BX491-(BY491+CH491)*0.01)</f>
        <v>-13484.157010062951</v>
      </c>
      <c r="CA491" s="5">
        <f>INDEX('Team forecast'!$R$3:$BH$26,MATCH($B491,'Team forecast'!$B$3:$B$26,0),MATCH(CA$1,'Team forecast'!$R$2:$BH$2,0))*($BX491-(BY491+BX491+CH491)*0.01)</f>
        <v>-6603.6095073717051</v>
      </c>
      <c r="CB491" s="5">
        <f>INDEX('Team forecast'!$R$3:$BH$26,MATCH($B491,'Team forecast'!$B$3:$B$26,0),MATCH(CB$1,'Team forecast'!$R$2:$BH$2,0))*($BX491-(BY491+BX491*2+CH491)*0.01)</f>
        <v>-3175.4484299182609</v>
      </c>
      <c r="CC491" s="5">
        <f>INDEX('Team forecast'!$R$3:$BH$26,MATCH($B491,'Team forecast'!$B$3:$B$26,0),MATCH(CC$1,'Team forecast'!$R$2:$BH$2,0))*($BX491-(BY491+BX491*3+CH491)*0.01)</f>
        <v>-1428.3408742328763</v>
      </c>
      <c r="CD491" s="5">
        <f>+AK491+BD491*Cockpit!$C$3+BW491*Cockpit!$C$3^2+BZ491*Cockpit!$C$3^3+CA491*Cockpit!$C$3^4+CB491*Cockpit!$C$3^5+CC491*Cockpit!$C$3^6</f>
        <v>-16398.840258516018</v>
      </c>
      <c r="CE491" s="5"/>
      <c r="CF491" s="5"/>
      <c r="CG491" s="5">
        <v>0</v>
      </c>
      <c r="CH491" s="5">
        <f t="shared" si="298"/>
        <v>3500000</v>
      </c>
      <c r="CI491" s="5">
        <f t="shared" si="299"/>
        <v>3500000</v>
      </c>
      <c r="CJ491" s="1">
        <f t="shared" si="300"/>
        <v>-4.2857142857142859E-3</v>
      </c>
      <c r="CK491" s="5">
        <f>RANK(BY491,$BY$2:$BY$623)+COUNTIF($BY$2:$BY491,$BY491)-1</f>
        <v>579</v>
      </c>
      <c r="CL491" s="5">
        <f>RANK(CJ491,$CJ$2:$CJ$623)+COUNTIF($CJ$2:$CJ491,$CJ491)-1</f>
        <v>479</v>
      </c>
    </row>
    <row r="492" spans="1:90">
      <c r="A492" t="str">
        <f>Players!P493</f>
        <v>Róbert Mak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2500000</v>
      </c>
      <c r="H492" s="16">
        <f>INDEX('Team forecast'!$B$2:$AO$26,MATCH('Master data'!$B492,'Team forecast'!$B$2:$B$26,0),MATCH('Master data'!H$1,'Team forecast'!$B$2:$AO$2,0))</f>
        <v>0.81328039356128246</v>
      </c>
      <c r="I492" s="16">
        <f>INDEX('Team forecast'!$B$2:$AO$26,MATCH('Master data'!$B492,'Team forecast'!$B$2:$B$26,0),MATCH('Master data'!I$1,'Team forecast'!$B$2:$AO$2,0))</f>
        <v>1.5369105908463034</v>
      </c>
      <c r="J492" s="16">
        <f>INDEX('Team forecast'!$B$2:$AO$26,MATCH('Master data'!$B492,'Team forecast'!$B$2:$B$26,0),MATCH('Master data'!J$1,'Team forecast'!$B$2:$AO$2,0))</f>
        <v>0.21504443649322161</v>
      </c>
      <c r="K492" s="16">
        <f>INDEX('Team forecast'!$B$2:$AO$26,MATCH('Master data'!$B492,'Team forecast'!$B$2:$B$26,0),MATCH('Master data'!K$1,'Team forecast'!$B$2:$AO$2,0))</f>
        <v>2.6698598778526952</v>
      </c>
      <c r="L492" s="16">
        <f>INDEX('Team forecast'!$B$2:$AO$26,MATCH('Master data'!$B492,'Team forecast'!$B$2:$B$26,0),MATCH('Master data'!L$1,'Team forecast'!$B$2:$AO$2,0))</f>
        <v>4.1033306683839106</v>
      </c>
      <c r="M492">
        <f>IF(Players!BC493=1,95,0)</f>
        <v>95</v>
      </c>
      <c r="N492" s="2">
        <f>Players!BN493</f>
        <v>7.5541995188448702E-2</v>
      </c>
      <c r="O492" s="2">
        <f>Players!BO493</f>
        <v>8.8782170709857722E-2</v>
      </c>
      <c r="P492" s="2">
        <f>Players!BP493</f>
        <v>8.5680155301635183E-2</v>
      </c>
      <c r="Q492" s="2">
        <f>Players!BQ493</f>
        <v>0.22</v>
      </c>
      <c r="R492" s="2">
        <f>Players!BR493</f>
        <v>0.06</v>
      </c>
      <c r="S492" s="2">
        <f t="shared" si="259"/>
        <v>0.81328039356128246</v>
      </c>
      <c r="T492" s="2">
        <f t="shared" si="260"/>
        <v>1.5369105908463034</v>
      </c>
      <c r="U492" s="16">
        <f>INDEX('Team forecast'!$B$2:$AO$26,MATCH('Master data'!$B492,'Team forecast'!$B$2:$B$26,0),MATCH('Master data'!U$1,'Team forecast'!$B$2:$AO$2,0))</f>
        <v>0.18622848200312991</v>
      </c>
      <c r="V492" s="16">
        <f>INDEX('Team forecast'!$B$2:$AO$26,MATCH('Master data'!$B492,'Team forecast'!$B$2:$B$26,0),MATCH('Master data'!V$1,'Team forecast'!$B$2:$AO$2,0))</f>
        <v>0.2660406885758998</v>
      </c>
      <c r="W492" s="16">
        <f>INDEX('Team forecast'!$B$2:$AO$26,MATCH('Master data'!$B492,'Team forecast'!$B$2:$B$26,0),MATCH('Master data'!W$1,'Team forecast'!$B$2:$AO$2,0))</f>
        <v>0.54773082942097018</v>
      </c>
      <c r="X492" s="5">
        <f t="shared" si="261"/>
        <v>7000</v>
      </c>
      <c r="Y492" s="5">
        <f t="shared" si="262"/>
        <v>4655.7120500782476</v>
      </c>
      <c r="Z492" s="5">
        <f t="shared" si="263"/>
        <v>1330.2034428794989</v>
      </c>
      <c r="AA492" s="5">
        <f t="shared" si="264"/>
        <v>-8215.9624413145521</v>
      </c>
      <c r="AB492" s="5">
        <f t="shared" si="265"/>
        <v>7679.6029471582578</v>
      </c>
      <c r="AC492" s="5">
        <f t="shared" si="266"/>
        <v>3610.2399368069027</v>
      </c>
      <c r="AD492" s="5">
        <f t="shared" si="267"/>
        <v>2287.5400896802366</v>
      </c>
      <c r="AE492" s="5">
        <f t="shared" si="268"/>
        <v>0</v>
      </c>
      <c r="AF492" s="5">
        <f t="shared" si="269"/>
        <v>0</v>
      </c>
      <c r="AG492" s="5">
        <f t="shared" si="270"/>
        <v>-4400</v>
      </c>
      <c r="AH492" s="5">
        <f t="shared" si="271"/>
        <v>-3000</v>
      </c>
      <c r="AI492" s="5">
        <f t="shared" si="272"/>
        <v>8132.8039356128247</v>
      </c>
      <c r="AJ492" s="5">
        <f t="shared" si="273"/>
        <v>-12295.284726770427</v>
      </c>
      <c r="AK492" s="5">
        <f>IFERROR(SUM(X492:AJ492),-5000)*((Cockpit!$C$3)^0)</f>
        <v>6784.8552341309878</v>
      </c>
      <c r="AL492" s="16">
        <f>INDEX('Team forecast'!$B$2:$AO$26,MATCH('Master data'!$B492,'Team forecast'!$B$2:$B$26,0),MATCH('Master data'!AL$1,'Team forecast'!$B$2:$AO$2,0))</f>
        <v>0.80548012323268336</v>
      </c>
      <c r="AM492" s="16">
        <f>INDEX('Team forecast'!$B$2:$AO$26,MATCH('Master data'!$B492,'Team forecast'!$B$2:$B$26,0),MATCH('Master data'!AM$1,'Team forecast'!$B$2:$AO$2,0))</f>
        <v>1.3852986184856255</v>
      </c>
      <c r="AN492" s="16">
        <f>INDEX('Team forecast'!$B$2:$AO$26,MATCH('Master data'!$B492,'Team forecast'!$B$2:$B$26,0),MATCH('Master data'!AN$1,'Team forecast'!$B$2:$AO$2,0))</f>
        <v>0.25024905963763749</v>
      </c>
      <c r="AO492" s="16">
        <f>INDEX('Team forecast'!$B$2:$AO$26,MATCH('Master data'!$B492,'Team forecast'!$B$2:$B$26,0),MATCH('Master data'!AO$1,'Team forecast'!$B$2:$AO$2,0))</f>
        <v>2.6442529298042636</v>
      </c>
      <c r="AP492" s="16">
        <f>INDEX('Team forecast'!$B$2:$AO$26,MATCH('Master data'!$B492,'Team forecast'!$B$2:$B$26,0),MATCH('Master data'!AP$1,'Team forecast'!$B$2:$AO$2,0))</f>
        <v>3.6985484646649716</v>
      </c>
      <c r="AQ492" s="5">
        <f t="shared" si="274"/>
        <v>7000</v>
      </c>
      <c r="AR492" s="5">
        <f>INDEX('Team forecast'!$B$2:$AO$26,MATCH('Master data'!$B492,'Team forecast'!$B$2:$B$26,0),MATCH('Master data'!AR$1,'Team forecast'!$B$2:$AO$2,0))*IF(X492&gt;0,25000,0)</f>
        <v>5418.2100094754078</v>
      </c>
      <c r="AS492" s="16">
        <f>INDEX('Team forecast'!$B$2:$AO$26,MATCH('Master data'!$B492,'Team forecast'!$B$2:$B$26,0),MATCH('Master data'!AS$1,'Team forecast'!$B$2:$AO$2,0))*IF(X492&gt;0,5000,0)</f>
        <v>1380.0499612369715</v>
      </c>
      <c r="AT492" s="16">
        <f>INDEX('Team forecast'!$B$2:$AO$26,MATCH('Master data'!$B492,'Team forecast'!$B$2:$B$26,0),MATCH('Master data'!AT$1,'Team forecast'!$B$2:$AO$2,0))*IF(X492&gt;0,-15000,0)</f>
        <v>-7608.9241106038426</v>
      </c>
      <c r="AU492" s="5">
        <f t="shared" si="275"/>
        <v>7605.9469492043036</v>
      </c>
      <c r="AV492" s="5">
        <f t="shared" si="276"/>
        <v>3575.6136902120666</v>
      </c>
      <c r="AW492" s="5">
        <f t="shared" si="277"/>
        <v>2265.6000168243313</v>
      </c>
      <c r="AX492" s="5">
        <f t="shared" si="278"/>
        <v>0</v>
      </c>
      <c r="AY492" s="5">
        <f t="shared" si="279"/>
        <v>0</v>
      </c>
      <c r="AZ492" s="5">
        <f t="shared" si="280"/>
        <v>-4400</v>
      </c>
      <c r="BA492" s="5">
        <f t="shared" si="281"/>
        <v>-3000</v>
      </c>
      <c r="BB492" s="5">
        <f t="shared" si="282"/>
        <v>8054.801232326834</v>
      </c>
      <c r="BC492" s="5">
        <f t="shared" si="283"/>
        <v>-11082.388947885003</v>
      </c>
      <c r="BD492" s="5">
        <f t="shared" si="284"/>
        <v>9208.9088007910686</v>
      </c>
      <c r="BE492" s="16">
        <f>INDEX('Team forecast'!$B$2:$AO$26,MATCH('Master data'!$B492,'Team forecast'!$B$2:$B$26,0),MATCH('Master data'!BE$1,'Team forecast'!$B$2:$AO$2,0))</f>
        <v>0.56161379059809569</v>
      </c>
      <c r="BF492" s="16">
        <f>INDEX('Team forecast'!$B$2:$AO$26,MATCH('Master data'!$B492,'Team forecast'!$B$2:$B$26,0),MATCH('Master data'!BF$1,'Team forecast'!$B$2:$AO$2,0))</f>
        <v>2.3513752571634776</v>
      </c>
      <c r="BG492" s="16">
        <f>INDEX('Team forecast'!$B$2:$AO$26,MATCH('Master data'!$B492,'Team forecast'!$B$2:$B$26,0),MATCH('Master data'!BG$1,'Team forecast'!$B$2:$AO$2,0))</f>
        <v>9.5238095238095233E-2</v>
      </c>
      <c r="BH492" s="16">
        <f>INDEX('Team forecast'!$B$2:$AO$26,MATCH('Master data'!$B492,'Team forecast'!$B$2:$B$26,0),MATCH('Master data'!BH$1,'Team forecast'!$B$2:$AO$2,0))</f>
        <v>1.8436816358018293</v>
      </c>
      <c r="BI492" s="16">
        <f>INDEX('Team forecast'!$B$2:$AO$26,MATCH('Master data'!$B492,'Team forecast'!$B$2:$B$26,0),MATCH('Master data'!BI$1,'Team forecast'!$B$2:$AO$2,0))</f>
        <v>6.2778344186469877</v>
      </c>
      <c r="BJ492" s="5">
        <f t="shared" si="285"/>
        <v>7000</v>
      </c>
      <c r="BK492" s="5">
        <f>INDEX('Team forecast'!$R$3:$BH$26,MATCH($B492,'Team forecast'!$B$3:$B$26,0),MATCH(BK$1,'Team forecast'!$R$2:$BH$2,0))*IF($X492&gt;0,25000,0)</f>
        <v>1700.6802721088434</v>
      </c>
      <c r="BL492" s="5">
        <f>INDEX('Team forecast'!$R$3:$BH$26,MATCH($B492,'Team forecast'!$B$3:$B$26,0),MATCH(BL$1,'Team forecast'!$R$2:$BH$2,0))*IF($X492&gt;0,5000,0)</f>
        <v>850.34013605442146</v>
      </c>
      <c r="BM492" s="5">
        <f>INDEX('Team forecast'!$R$3:$BH$26,MATCH($B492,'Team forecast'!$B$3:$B$26,0),MATCH(BM$1,'Team forecast'!$R$2:$BH$2,0))*IF($X492&gt;0,-15000,0)</f>
        <v>-11428.571428571428</v>
      </c>
      <c r="BN492" s="5">
        <f t="shared" si="286"/>
        <v>5303.178283390972</v>
      </c>
      <c r="BO492" s="5">
        <f t="shared" si="287"/>
        <v>2493.0645714945213</v>
      </c>
      <c r="BP492" s="5">
        <f t="shared" si="288"/>
        <v>1579.6692888227353</v>
      </c>
      <c r="BQ492" s="5">
        <f t="shared" si="289"/>
        <v>0</v>
      </c>
      <c r="BR492" s="5">
        <f t="shared" si="290"/>
        <v>0</v>
      </c>
      <c r="BS492" s="5">
        <f t="shared" si="291"/>
        <v>-4400</v>
      </c>
      <c r="BT492" s="5">
        <f t="shared" si="292"/>
        <v>-3000</v>
      </c>
      <c r="BU492" s="5">
        <f t="shared" si="293"/>
        <v>5616.1379059809569</v>
      </c>
      <c r="BV492" s="5">
        <f t="shared" si="294"/>
        <v>-18811.002057307822</v>
      </c>
      <c r="BW492" s="5">
        <f t="shared" si="295"/>
        <v>-13096.5030280268</v>
      </c>
      <c r="BX492" s="5">
        <f t="shared" si="296"/>
        <v>965.75366896508547</v>
      </c>
      <c r="BY492" s="5">
        <f t="shared" si="297"/>
        <v>2897.2610068952563</v>
      </c>
      <c r="BZ492" s="5">
        <f>INDEX('Team forecast'!$R$3:$BH$26,MATCH($B492,'Team forecast'!$B$3:$B$26,0),MATCH(BZ$1,'Team forecast'!$R$2:$BH$2,0))*($BX492-(BY492+CH492)*0.01)</f>
        <v>-8142.3393317281134</v>
      </c>
      <c r="CA492" s="5">
        <f>INDEX('Team forecast'!$R$3:$BH$26,MATCH($B492,'Team forecast'!$B$3:$B$26,0),MATCH(CA$1,'Team forecast'!$R$2:$BH$2,0))*($BX492-(BY492+BX492+CH492)*0.01)</f>
        <v>-3994.1677381543209</v>
      </c>
      <c r="CB492" s="5">
        <f>INDEX('Team forecast'!$R$3:$BH$26,MATCH($B492,'Team forecast'!$B$3:$B$26,0),MATCH(CB$1,'Team forecast'!$R$2:$BH$2,0))*($BX492-(BY492+BX492*2+CH492)*0.01)</f>
        <v>-1923.8451528237408</v>
      </c>
      <c r="CC492" s="5">
        <f>INDEX('Team forecast'!$R$3:$BH$26,MATCH($B492,'Team forecast'!$B$3:$B$26,0),MATCH(CC$1,'Team forecast'!$R$2:$BH$2,0))*($BX492-(BY492+BX492*3+CH492)*0.01)</f>
        <v>-866.79753003496489</v>
      </c>
      <c r="CD492" s="5">
        <f>+AK492+BD492*Cockpit!$C$3+BW492*Cockpit!$C$3^2+BZ492*Cockpit!$C$3^3+CA492*Cockpit!$C$3^4+CB492*Cockpit!$C$3^5+CC492*Cockpit!$C$3^6</f>
        <v>3572.5000483463027</v>
      </c>
      <c r="CE492" s="5"/>
      <c r="CF492" s="5"/>
      <c r="CG492" s="5">
        <v>0</v>
      </c>
      <c r="CH492" s="5">
        <f t="shared" si="298"/>
        <v>2500000</v>
      </c>
      <c r="CI492" s="5">
        <f t="shared" si="299"/>
        <v>2500000</v>
      </c>
      <c r="CJ492" s="1">
        <f t="shared" si="300"/>
        <v>1.1589044027581026E-3</v>
      </c>
      <c r="CK492" s="5">
        <f>RANK(BY492,$BY$2:$BY$623)+COUNTIF($BY$2:$BY492,$BY492)-1</f>
        <v>410</v>
      </c>
      <c r="CL492" s="5">
        <f>RANK(CJ492,$CJ$2:$CJ$623)+COUNTIF($CJ$2:$CJ492,$CJ492)-1</f>
        <v>411</v>
      </c>
    </row>
    <row r="493" spans="1:90">
      <c r="A493" t="str">
        <f>Players!P494</f>
        <v>Ondrej Duda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0.81328039356128246</v>
      </c>
      <c r="I493" s="16">
        <f>INDEX('Team forecast'!$B$2:$AO$26,MATCH('Master data'!$B493,'Team forecast'!$B$2:$B$26,0),MATCH('Master data'!I$1,'Team forecast'!$B$2:$AO$2,0))</f>
        <v>1.5369105908463034</v>
      </c>
      <c r="J493" s="16">
        <f>INDEX('Team forecast'!$B$2:$AO$26,MATCH('Master data'!$B493,'Team forecast'!$B$2:$B$26,0),MATCH('Master data'!J$1,'Team forecast'!$B$2:$AO$2,0))</f>
        <v>0.21504443649322161</v>
      </c>
      <c r="K493" s="16">
        <f>INDEX('Team forecast'!$B$2:$AO$26,MATCH('Master data'!$B493,'Team forecast'!$B$2:$B$26,0),MATCH('Master data'!K$1,'Team forecast'!$B$2:$AO$2,0))</f>
        <v>2.6698598778526952</v>
      </c>
      <c r="L493" s="16">
        <f>INDEX('Team forecast'!$B$2:$AO$26,MATCH('Master data'!$B493,'Team forecast'!$B$2:$B$26,0),MATCH('Master data'!L$1,'Team forecast'!$B$2:$AO$2,0))</f>
        <v>4.1033306683839106</v>
      </c>
      <c r="M493">
        <f>IF(Players!BC494=1,95,0)</f>
        <v>95</v>
      </c>
      <c r="N493" s="2">
        <f>Players!BN494</f>
        <v>0.11835434964741198</v>
      </c>
      <c r="O493" s="2">
        <f>Players!BO494</f>
        <v>0.25190206893290457</v>
      </c>
      <c r="P493" s="2">
        <f>Players!BP494</f>
        <v>8.947878287658452E-2</v>
      </c>
      <c r="Q493" s="2">
        <f>Players!BQ494</f>
        <v>0.30079937304075238</v>
      </c>
      <c r="R493" s="2">
        <f>Players!BR494</f>
        <v>3.526645768025078E-2</v>
      </c>
      <c r="S493" s="2">
        <f t="shared" si="259"/>
        <v>0.81328039356128246</v>
      </c>
      <c r="T493" s="2">
        <f t="shared" si="260"/>
        <v>1.5369105908463034</v>
      </c>
      <c r="U493" s="16">
        <f>INDEX('Team forecast'!$B$2:$AO$26,MATCH('Master data'!$B493,'Team forecast'!$B$2:$B$26,0),MATCH('Master data'!U$1,'Team forecast'!$B$2:$AO$2,0))</f>
        <v>0.18622848200312991</v>
      </c>
      <c r="V493" s="16">
        <f>INDEX('Team forecast'!$B$2:$AO$26,MATCH('Master data'!$B493,'Team forecast'!$B$2:$B$26,0),MATCH('Master data'!V$1,'Team forecast'!$B$2:$AO$2,0))</f>
        <v>0.2660406885758998</v>
      </c>
      <c r="W493" s="16">
        <f>INDEX('Team forecast'!$B$2:$AO$26,MATCH('Master data'!$B493,'Team forecast'!$B$2:$B$26,0),MATCH('Master data'!W$1,'Team forecast'!$B$2:$AO$2,0))</f>
        <v>0.54773082942097018</v>
      </c>
      <c r="X493" s="5">
        <f t="shared" si="261"/>
        <v>7000</v>
      </c>
      <c r="Y493" s="5">
        <f t="shared" si="262"/>
        <v>4655.7120500782476</v>
      </c>
      <c r="Z493" s="5">
        <f t="shared" si="263"/>
        <v>1330.2034428794989</v>
      </c>
      <c r="AA493" s="5">
        <f t="shared" si="264"/>
        <v>-8215.9624413145521</v>
      </c>
      <c r="AB493" s="5">
        <f t="shared" si="265"/>
        <v>12031.909007617107</v>
      </c>
      <c r="AC493" s="5">
        <f t="shared" si="266"/>
        <v>10243.350688032695</v>
      </c>
      <c r="AD493" s="5">
        <f t="shared" si="267"/>
        <v>2388.958123212858</v>
      </c>
      <c r="AE493" s="5">
        <f t="shared" si="268"/>
        <v>0</v>
      </c>
      <c r="AF493" s="5">
        <f t="shared" si="269"/>
        <v>0</v>
      </c>
      <c r="AG493" s="5">
        <f t="shared" si="270"/>
        <v>-6015.9874608150476</v>
      </c>
      <c r="AH493" s="5">
        <f t="shared" si="271"/>
        <v>-1763.3228840125389</v>
      </c>
      <c r="AI493" s="5">
        <f t="shared" si="272"/>
        <v>8132.8039356128247</v>
      </c>
      <c r="AJ493" s="5">
        <f t="shared" si="273"/>
        <v>-12295.284726770427</v>
      </c>
      <c r="AK493" s="5">
        <f>IFERROR(SUM(X493:AJ493),-5000)*((Cockpit!$C$3)^0)</f>
        <v>17492.379734520673</v>
      </c>
      <c r="AL493" s="16">
        <f>INDEX('Team forecast'!$B$2:$AO$26,MATCH('Master data'!$B493,'Team forecast'!$B$2:$B$26,0),MATCH('Master data'!AL$1,'Team forecast'!$B$2:$AO$2,0))</f>
        <v>0.80548012323268336</v>
      </c>
      <c r="AM493" s="16">
        <f>INDEX('Team forecast'!$B$2:$AO$26,MATCH('Master data'!$B493,'Team forecast'!$B$2:$B$26,0),MATCH('Master data'!AM$1,'Team forecast'!$B$2:$AO$2,0))</f>
        <v>1.3852986184856255</v>
      </c>
      <c r="AN493" s="16">
        <f>INDEX('Team forecast'!$B$2:$AO$26,MATCH('Master data'!$B493,'Team forecast'!$B$2:$B$26,0),MATCH('Master data'!AN$1,'Team forecast'!$B$2:$AO$2,0))</f>
        <v>0.25024905963763749</v>
      </c>
      <c r="AO493" s="16">
        <f>INDEX('Team forecast'!$B$2:$AO$26,MATCH('Master data'!$B493,'Team forecast'!$B$2:$B$26,0),MATCH('Master data'!AO$1,'Team forecast'!$B$2:$AO$2,0))</f>
        <v>2.6442529298042636</v>
      </c>
      <c r="AP493" s="16">
        <f>INDEX('Team forecast'!$B$2:$AO$26,MATCH('Master data'!$B493,'Team forecast'!$B$2:$B$26,0),MATCH('Master data'!AP$1,'Team forecast'!$B$2:$AO$2,0))</f>
        <v>3.6985484646649716</v>
      </c>
      <c r="AQ493" s="5">
        <f t="shared" si="274"/>
        <v>7000</v>
      </c>
      <c r="AR493" s="5">
        <f>INDEX('Team forecast'!$B$2:$AO$26,MATCH('Master data'!$B493,'Team forecast'!$B$2:$B$26,0),MATCH('Master data'!AR$1,'Team forecast'!$B$2:$AO$2,0))*IF(X493&gt;0,25000,0)</f>
        <v>5418.2100094754078</v>
      </c>
      <c r="AS493" s="16">
        <f>INDEX('Team forecast'!$B$2:$AO$26,MATCH('Master data'!$B493,'Team forecast'!$B$2:$B$26,0),MATCH('Master data'!AS$1,'Team forecast'!$B$2:$AO$2,0))*IF(X493&gt;0,5000,0)</f>
        <v>1380.0499612369715</v>
      </c>
      <c r="AT493" s="16">
        <f>INDEX('Team forecast'!$B$2:$AO$26,MATCH('Master data'!$B493,'Team forecast'!$B$2:$B$26,0),MATCH('Master data'!AT$1,'Team forecast'!$B$2:$AO$2,0))*IF(X493&gt;0,-15000,0)</f>
        <v>-7608.9241106038426</v>
      </c>
      <c r="AU493" s="5">
        <f t="shared" si="275"/>
        <v>11916.509517390188</v>
      </c>
      <c r="AV493" s="5">
        <f t="shared" si="276"/>
        <v>10145.105476332194</v>
      </c>
      <c r="AW493" s="5">
        <f t="shared" si="277"/>
        <v>2366.045337767282</v>
      </c>
      <c r="AX493" s="5">
        <f t="shared" si="278"/>
        <v>0</v>
      </c>
      <c r="AY493" s="5">
        <f t="shared" si="279"/>
        <v>0</v>
      </c>
      <c r="AZ493" s="5">
        <f t="shared" si="280"/>
        <v>-6015.9874608150476</v>
      </c>
      <c r="BA493" s="5">
        <f t="shared" si="281"/>
        <v>-1763.3228840125389</v>
      </c>
      <c r="BB493" s="5">
        <f t="shared" si="282"/>
        <v>8054.801232326834</v>
      </c>
      <c r="BC493" s="5">
        <f t="shared" si="283"/>
        <v>-11082.388947885003</v>
      </c>
      <c r="BD493" s="5">
        <f t="shared" si="284"/>
        <v>19810.098131212442</v>
      </c>
      <c r="BE493" s="16">
        <f>INDEX('Team forecast'!$B$2:$AO$26,MATCH('Master data'!$B493,'Team forecast'!$B$2:$B$26,0),MATCH('Master data'!BE$1,'Team forecast'!$B$2:$AO$2,0))</f>
        <v>0.56161379059809569</v>
      </c>
      <c r="BF493" s="16">
        <f>INDEX('Team forecast'!$B$2:$AO$26,MATCH('Master data'!$B493,'Team forecast'!$B$2:$B$26,0),MATCH('Master data'!BF$1,'Team forecast'!$B$2:$AO$2,0))</f>
        <v>2.3513752571634776</v>
      </c>
      <c r="BG493" s="16">
        <f>INDEX('Team forecast'!$B$2:$AO$26,MATCH('Master data'!$B493,'Team forecast'!$B$2:$B$26,0),MATCH('Master data'!BG$1,'Team forecast'!$B$2:$AO$2,0))</f>
        <v>9.5238095238095233E-2</v>
      </c>
      <c r="BH493" s="16">
        <f>INDEX('Team forecast'!$B$2:$AO$26,MATCH('Master data'!$B493,'Team forecast'!$B$2:$B$26,0),MATCH('Master data'!BH$1,'Team forecast'!$B$2:$AO$2,0))</f>
        <v>1.8436816358018293</v>
      </c>
      <c r="BI493" s="16">
        <f>INDEX('Team forecast'!$B$2:$AO$26,MATCH('Master data'!$B493,'Team forecast'!$B$2:$B$26,0),MATCH('Master data'!BI$1,'Team forecast'!$B$2:$AO$2,0))</f>
        <v>6.2778344186469877</v>
      </c>
      <c r="BJ493" s="5">
        <f t="shared" si="285"/>
        <v>7000</v>
      </c>
      <c r="BK493" s="5">
        <f>INDEX('Team forecast'!$R$3:$BH$26,MATCH($B493,'Team forecast'!$B$3:$B$26,0),MATCH(BK$1,'Team forecast'!$R$2:$BH$2,0))*IF($X493&gt;0,25000,0)</f>
        <v>1700.6802721088434</v>
      </c>
      <c r="BL493" s="5">
        <f>INDEX('Team forecast'!$R$3:$BH$26,MATCH($B493,'Team forecast'!$B$3:$B$26,0),MATCH(BL$1,'Team forecast'!$R$2:$BH$2,0))*IF($X493&gt;0,5000,0)</f>
        <v>850.34013605442146</v>
      </c>
      <c r="BM493" s="5">
        <f>INDEX('Team forecast'!$R$3:$BH$26,MATCH($B493,'Team forecast'!$B$3:$B$26,0),MATCH(BM$1,'Team forecast'!$R$2:$BH$2,0))*IF($X493&gt;0,-15000,0)</f>
        <v>-11428.571428571428</v>
      </c>
      <c r="BN493" s="5">
        <f t="shared" si="286"/>
        <v>8308.6793674069304</v>
      </c>
      <c r="BO493" s="5">
        <f t="shared" si="287"/>
        <v>7073.583789645566</v>
      </c>
      <c r="BP493" s="5">
        <f t="shared" si="288"/>
        <v>1649.7038878345807</v>
      </c>
      <c r="BQ493" s="5">
        <f t="shared" si="289"/>
        <v>0</v>
      </c>
      <c r="BR493" s="5">
        <f t="shared" si="290"/>
        <v>0</v>
      </c>
      <c r="BS493" s="5">
        <f t="shared" si="291"/>
        <v>-6015.9874608150476</v>
      </c>
      <c r="BT493" s="5">
        <f t="shared" si="292"/>
        <v>-1763.3228840125389</v>
      </c>
      <c r="BU493" s="5">
        <f t="shared" si="293"/>
        <v>5616.1379059809569</v>
      </c>
      <c r="BV493" s="5">
        <f t="shared" si="294"/>
        <v>-18811.002057307822</v>
      </c>
      <c r="BW493" s="5">
        <f t="shared" si="295"/>
        <v>-5819.7584716755391</v>
      </c>
      <c r="BX493" s="5">
        <f t="shared" si="296"/>
        <v>10494.239798019194</v>
      </c>
      <c r="BY493" s="5">
        <f t="shared" si="297"/>
        <v>31482.719394057582</v>
      </c>
      <c r="BZ493" s="5">
        <f>INDEX('Team forecast'!$R$3:$BH$26,MATCH($B493,'Team forecast'!$B$3:$B$26,0),MATCH(BZ$1,'Team forecast'!$R$2:$BH$2,0))*($BX493-(BY493+CH493)*0.01)</f>
        <v>-8398.6122340926813</v>
      </c>
      <c r="CA493" s="5">
        <f>INDEX('Team forecast'!$R$3:$BH$26,MATCH($B493,'Team forecast'!$B$3:$B$26,0),MATCH(CA$1,'Team forecast'!$R$2:$BH$2,0))*($BX493-(BY493+BX493+CH493)*0.01)</f>
        <v>-4135.6398372684707</v>
      </c>
      <c r="CB493" s="5">
        <f>INDEX('Team forecast'!$R$3:$BH$26,MATCH($B493,'Team forecast'!$B$3:$B$26,0),MATCH(CB$1,'Team forecast'!$R$2:$BH$2,0))*($BX493-(BY493+BX493*2+CH493)*0.01)</f>
        <v>-1999.5716634421044</v>
      </c>
      <c r="CC493" s="5">
        <f>INDEX('Team forecast'!$R$3:$BH$26,MATCH($B493,'Team forecast'!$B$3:$B$26,0),MATCH(CC$1,'Team forecast'!$R$2:$BH$2,0))*($BX493-(BY493+BX493*3+CH493)*0.01)</f>
        <v>-904.33098361433804</v>
      </c>
      <c r="CD493" s="5">
        <f>+AK493+BD493*Cockpit!$C$3+BW493*Cockpit!$C$3^2+BZ493*Cockpit!$C$3^3+CA493*Cockpit!$C$3^4+CB493*Cockpit!$C$3^5+CC493*Cockpit!$C$3^6</f>
        <v>24464.447642852541</v>
      </c>
      <c r="CE493" s="5"/>
      <c r="CF493" s="5"/>
      <c r="CG493" s="5">
        <v>0</v>
      </c>
      <c r="CH493" s="5">
        <f t="shared" si="298"/>
        <v>3500000</v>
      </c>
      <c r="CI493" s="5">
        <f t="shared" si="299"/>
        <v>3500000</v>
      </c>
      <c r="CJ493" s="1">
        <f t="shared" si="300"/>
        <v>8.9950626840164527E-3</v>
      </c>
      <c r="CK493" s="5">
        <f>RANK(BY493,$BY$2:$BY$623)+COUNTIF($BY$2:$BY493,$BY493)-1</f>
        <v>344</v>
      </c>
      <c r="CL493" s="5">
        <f>RANK(CJ493,$CJ$2:$CJ$623)+COUNTIF($CJ$2:$CJ493,$CJ493)-1</f>
        <v>368</v>
      </c>
    </row>
    <row r="494" spans="1:90">
      <c r="A494" t="str">
        <f>Players!P495</f>
        <v>Juraj Kucka</v>
      </c>
      <c r="B494" t="str">
        <f>Players!G495</f>
        <v>Slovakia</v>
      </c>
      <c r="C494" t="str">
        <f>Players!AB495</f>
        <v>Midfield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3500000</v>
      </c>
      <c r="H494" s="16">
        <f>INDEX('Team forecast'!$B$2:$AO$26,MATCH('Master data'!$B494,'Team forecast'!$B$2:$B$26,0),MATCH('Master data'!H$1,'Team forecast'!$B$2:$AO$2,0))</f>
        <v>0.81328039356128246</v>
      </c>
      <c r="I494" s="16">
        <f>INDEX('Team forecast'!$B$2:$AO$26,MATCH('Master data'!$B494,'Team forecast'!$B$2:$B$26,0),MATCH('Master data'!I$1,'Team forecast'!$B$2:$AO$2,0))</f>
        <v>1.5369105908463034</v>
      </c>
      <c r="J494" s="16">
        <f>INDEX('Team forecast'!$B$2:$AO$26,MATCH('Master data'!$B494,'Team forecast'!$B$2:$B$26,0),MATCH('Master data'!J$1,'Team forecast'!$B$2:$AO$2,0))</f>
        <v>0.21504443649322161</v>
      </c>
      <c r="K494" s="16">
        <f>INDEX('Team forecast'!$B$2:$AO$26,MATCH('Master data'!$B494,'Team forecast'!$B$2:$B$26,0),MATCH('Master data'!K$1,'Team forecast'!$B$2:$AO$2,0))</f>
        <v>2.6698598778526952</v>
      </c>
      <c r="L494" s="16">
        <f>INDEX('Team forecast'!$B$2:$AO$26,MATCH('Master data'!$B494,'Team forecast'!$B$2:$B$26,0),MATCH('Master data'!L$1,'Team forecast'!$B$2:$AO$2,0))</f>
        <v>4.1033306683839106</v>
      </c>
      <c r="M494">
        <f>IF(Players!BC495=1,95,0)</f>
        <v>95</v>
      </c>
      <c r="N494" s="2">
        <f>Players!BN495</f>
        <v>0.12409713616406541</v>
      </c>
      <c r="O494" s="2">
        <f>Players!BO495</f>
        <v>6.0235424921776762E-2</v>
      </c>
      <c r="P494" s="2">
        <f>Players!BP495</f>
        <v>0.12182557293056111</v>
      </c>
      <c r="Q494" s="2">
        <f>Players!BQ495</f>
        <v>0.2586491677336748</v>
      </c>
      <c r="R494" s="2">
        <f>Players!BR495</f>
        <v>0</v>
      </c>
      <c r="S494" s="2">
        <f t="shared" si="259"/>
        <v>0.81328039356128246</v>
      </c>
      <c r="T494" s="2">
        <f t="shared" si="260"/>
        <v>1.5369105908463034</v>
      </c>
      <c r="U494" s="16">
        <f>INDEX('Team forecast'!$B$2:$AO$26,MATCH('Master data'!$B494,'Team forecast'!$B$2:$B$26,0),MATCH('Master data'!U$1,'Team forecast'!$B$2:$AO$2,0))</f>
        <v>0.18622848200312991</v>
      </c>
      <c r="V494" s="16">
        <f>INDEX('Team forecast'!$B$2:$AO$26,MATCH('Master data'!$B494,'Team forecast'!$B$2:$B$26,0),MATCH('Master data'!V$1,'Team forecast'!$B$2:$AO$2,0))</f>
        <v>0.2660406885758998</v>
      </c>
      <c r="W494" s="16">
        <f>INDEX('Team forecast'!$B$2:$AO$26,MATCH('Master data'!$B494,'Team forecast'!$B$2:$B$26,0),MATCH('Master data'!W$1,'Team forecast'!$B$2:$AO$2,0))</f>
        <v>0.54773082942097018</v>
      </c>
      <c r="X494" s="5">
        <f t="shared" si="261"/>
        <v>7000</v>
      </c>
      <c r="Y494" s="5">
        <f t="shared" si="262"/>
        <v>4655.7120500782476</v>
      </c>
      <c r="Z494" s="5">
        <f t="shared" si="263"/>
        <v>1330.2034428794989</v>
      </c>
      <c r="AA494" s="5">
        <f t="shared" si="264"/>
        <v>-8215.9624413145521</v>
      </c>
      <c r="AB494" s="5">
        <f t="shared" si="265"/>
        <v>12615.720967417397</v>
      </c>
      <c r="AC494" s="5">
        <f t="shared" si="266"/>
        <v>2449.4145043356843</v>
      </c>
      <c r="AD494" s="5">
        <f t="shared" si="267"/>
        <v>3252.5720926372246</v>
      </c>
      <c r="AE494" s="5">
        <f t="shared" si="268"/>
        <v>0</v>
      </c>
      <c r="AF494" s="5">
        <f t="shared" si="269"/>
        <v>0</v>
      </c>
      <c r="AG494" s="5">
        <f t="shared" si="270"/>
        <v>-5172.9833546734963</v>
      </c>
      <c r="AH494" s="5">
        <f t="shared" si="271"/>
        <v>0</v>
      </c>
      <c r="AI494" s="5">
        <f t="shared" si="272"/>
        <v>8132.8039356128247</v>
      </c>
      <c r="AJ494" s="5">
        <f t="shared" si="273"/>
        <v>-12295.284726770427</v>
      </c>
      <c r="AK494" s="5">
        <f>IFERROR(SUM(X494:AJ494),-5000)*((Cockpit!$C$3)^0)</f>
        <v>13752.196470202402</v>
      </c>
      <c r="AL494" s="16">
        <f>INDEX('Team forecast'!$B$2:$AO$26,MATCH('Master data'!$B494,'Team forecast'!$B$2:$B$26,0),MATCH('Master data'!AL$1,'Team forecast'!$B$2:$AO$2,0))</f>
        <v>0.80548012323268336</v>
      </c>
      <c r="AM494" s="16">
        <f>INDEX('Team forecast'!$B$2:$AO$26,MATCH('Master data'!$B494,'Team forecast'!$B$2:$B$26,0),MATCH('Master data'!AM$1,'Team forecast'!$B$2:$AO$2,0))</f>
        <v>1.3852986184856255</v>
      </c>
      <c r="AN494" s="16">
        <f>INDEX('Team forecast'!$B$2:$AO$26,MATCH('Master data'!$B494,'Team forecast'!$B$2:$B$26,0),MATCH('Master data'!AN$1,'Team forecast'!$B$2:$AO$2,0))</f>
        <v>0.25024905963763749</v>
      </c>
      <c r="AO494" s="16">
        <f>INDEX('Team forecast'!$B$2:$AO$26,MATCH('Master data'!$B494,'Team forecast'!$B$2:$B$26,0),MATCH('Master data'!AO$1,'Team forecast'!$B$2:$AO$2,0))</f>
        <v>2.6442529298042636</v>
      </c>
      <c r="AP494" s="16">
        <f>INDEX('Team forecast'!$B$2:$AO$26,MATCH('Master data'!$B494,'Team forecast'!$B$2:$B$26,0),MATCH('Master data'!AP$1,'Team forecast'!$B$2:$AO$2,0))</f>
        <v>3.6985484646649716</v>
      </c>
      <c r="AQ494" s="5">
        <f t="shared" si="274"/>
        <v>7000</v>
      </c>
      <c r="AR494" s="5">
        <f>INDEX('Team forecast'!$B$2:$AO$26,MATCH('Master data'!$B494,'Team forecast'!$B$2:$B$26,0),MATCH('Master data'!AR$1,'Team forecast'!$B$2:$AO$2,0))*IF(X494&gt;0,25000,0)</f>
        <v>5418.2100094754078</v>
      </c>
      <c r="AS494" s="16">
        <f>INDEX('Team forecast'!$B$2:$AO$26,MATCH('Master data'!$B494,'Team forecast'!$B$2:$B$26,0),MATCH('Master data'!AS$1,'Team forecast'!$B$2:$AO$2,0))*IF(X494&gt;0,5000,0)</f>
        <v>1380.0499612369715</v>
      </c>
      <c r="AT494" s="16">
        <f>INDEX('Team forecast'!$B$2:$AO$26,MATCH('Master data'!$B494,'Team forecast'!$B$2:$B$26,0),MATCH('Master data'!AT$1,'Team forecast'!$B$2:$AO$2,0))*IF(X494&gt;0,-15000,0)</f>
        <v>-7608.9241106038426</v>
      </c>
      <c r="AU494" s="5">
        <f t="shared" si="275"/>
        <v>12494.722066281811</v>
      </c>
      <c r="AV494" s="5">
        <f t="shared" si="276"/>
        <v>2425.9218744482896</v>
      </c>
      <c r="AW494" s="5">
        <f t="shared" si="277"/>
        <v>3221.3762814671918</v>
      </c>
      <c r="AX494" s="5">
        <f t="shared" si="278"/>
        <v>0</v>
      </c>
      <c r="AY494" s="5">
        <f t="shared" si="279"/>
        <v>0</v>
      </c>
      <c r="AZ494" s="5">
        <f t="shared" si="280"/>
        <v>-5172.9833546734963</v>
      </c>
      <c r="BA494" s="5">
        <f t="shared" si="281"/>
        <v>0</v>
      </c>
      <c r="BB494" s="5">
        <f t="shared" si="282"/>
        <v>8054.801232326834</v>
      </c>
      <c r="BC494" s="5">
        <f t="shared" si="283"/>
        <v>-11082.388947885003</v>
      </c>
      <c r="BD494" s="5">
        <f t="shared" si="284"/>
        <v>16130.785012074164</v>
      </c>
      <c r="BE494" s="16">
        <f>INDEX('Team forecast'!$B$2:$AO$26,MATCH('Master data'!$B494,'Team forecast'!$B$2:$B$26,0),MATCH('Master data'!BE$1,'Team forecast'!$B$2:$AO$2,0))</f>
        <v>0.56161379059809569</v>
      </c>
      <c r="BF494" s="16">
        <f>INDEX('Team forecast'!$B$2:$AO$26,MATCH('Master data'!$B494,'Team forecast'!$B$2:$B$26,0),MATCH('Master data'!BF$1,'Team forecast'!$B$2:$AO$2,0))</f>
        <v>2.3513752571634776</v>
      </c>
      <c r="BG494" s="16">
        <f>INDEX('Team forecast'!$B$2:$AO$26,MATCH('Master data'!$B494,'Team forecast'!$B$2:$B$26,0),MATCH('Master data'!BG$1,'Team forecast'!$B$2:$AO$2,0))</f>
        <v>9.5238095238095233E-2</v>
      </c>
      <c r="BH494" s="16">
        <f>INDEX('Team forecast'!$B$2:$AO$26,MATCH('Master data'!$B494,'Team forecast'!$B$2:$B$26,0),MATCH('Master data'!BH$1,'Team forecast'!$B$2:$AO$2,0))</f>
        <v>1.8436816358018293</v>
      </c>
      <c r="BI494" s="16">
        <f>INDEX('Team forecast'!$B$2:$AO$26,MATCH('Master data'!$B494,'Team forecast'!$B$2:$B$26,0),MATCH('Master data'!BI$1,'Team forecast'!$B$2:$AO$2,0))</f>
        <v>6.2778344186469877</v>
      </c>
      <c r="BJ494" s="5">
        <f t="shared" si="285"/>
        <v>7000</v>
      </c>
      <c r="BK494" s="5">
        <f>INDEX('Team forecast'!$R$3:$BH$26,MATCH($B494,'Team forecast'!$B$3:$B$26,0),MATCH(BK$1,'Team forecast'!$R$2:$BH$2,0))*IF($X494&gt;0,25000,0)</f>
        <v>1700.6802721088434</v>
      </c>
      <c r="BL494" s="5">
        <f>INDEX('Team forecast'!$R$3:$BH$26,MATCH($B494,'Team forecast'!$B$3:$B$26,0),MATCH(BL$1,'Team forecast'!$R$2:$BH$2,0))*IF($X494&gt;0,5000,0)</f>
        <v>850.34013605442146</v>
      </c>
      <c r="BM494" s="5">
        <f>INDEX('Team forecast'!$R$3:$BH$26,MATCH($B494,'Team forecast'!$B$3:$B$26,0),MATCH(BM$1,'Team forecast'!$R$2:$BH$2,0))*IF($X494&gt;0,-15000,0)</f>
        <v>-11428.571428571428</v>
      </c>
      <c r="BN494" s="5">
        <f t="shared" si="286"/>
        <v>8711.8328804335997</v>
      </c>
      <c r="BO494" s="5">
        <f t="shared" si="287"/>
        <v>1691.4522659303022</v>
      </c>
      <c r="BP494" s="5">
        <f t="shared" si="288"/>
        <v>2246.0757158311194</v>
      </c>
      <c r="BQ494" s="5">
        <f t="shared" si="289"/>
        <v>0</v>
      </c>
      <c r="BR494" s="5">
        <f t="shared" si="290"/>
        <v>0</v>
      </c>
      <c r="BS494" s="5">
        <f t="shared" si="291"/>
        <v>-5172.9833546734963</v>
      </c>
      <c r="BT494" s="5">
        <f t="shared" si="292"/>
        <v>0</v>
      </c>
      <c r="BU494" s="5">
        <f t="shared" si="293"/>
        <v>5616.1379059809569</v>
      </c>
      <c r="BV494" s="5">
        <f t="shared" si="294"/>
        <v>-18811.002057307822</v>
      </c>
      <c r="BW494" s="5">
        <f t="shared" si="295"/>
        <v>-7596.0376642135052</v>
      </c>
      <c r="BX494" s="5">
        <f t="shared" si="296"/>
        <v>7428.9812726876871</v>
      </c>
      <c r="BY494" s="5">
        <f t="shared" si="297"/>
        <v>22286.94381806306</v>
      </c>
      <c r="BZ494" s="5">
        <f>INDEX('Team forecast'!$R$3:$BH$26,MATCH($B494,'Team forecast'!$B$3:$B$26,0),MATCH(BZ$1,'Team forecast'!$R$2:$BH$2,0))*($BX494-(BY494+CH494)*0.01)</f>
        <v>-9404.6964101289177</v>
      </c>
      <c r="CA494" s="5">
        <f>INDEX('Team forecast'!$R$3:$BH$26,MATCH($B494,'Team forecast'!$B$3:$B$26,0),MATCH(CA$1,'Team forecast'!$R$2:$BH$2,0))*($BX494-(BY494+BX494+CH494)*0.01)</f>
        <v>-4623.8835439723416</v>
      </c>
      <c r="CB494" s="5">
        <f>INDEX('Team forecast'!$R$3:$BH$26,MATCH($B494,'Team forecast'!$B$3:$B$26,0),MATCH(CB$1,'Team forecast'!$R$2:$BH$2,0))*($BX494-(BY494+BX494*2+CH494)*0.01)</f>
        <v>-2232.1978735799562</v>
      </c>
      <c r="CC494" s="5">
        <f>INDEX('Team forecast'!$R$3:$BH$26,MATCH($B494,'Team forecast'!$B$3:$B$26,0),MATCH(CC$1,'Team forecast'!$R$2:$BH$2,0))*($BX494-(BY494+BX494*3+CH494)*0.01)</f>
        <v>-1007.9969785592368</v>
      </c>
      <c r="CD494" s="5">
        <f>+AK494+BD494*Cockpit!$C$3+BW494*Cockpit!$C$3^2+BZ494*Cockpit!$C$3^3+CA494*Cockpit!$C$3^4+CB494*Cockpit!$C$3^5+CC494*Cockpit!$C$3^6</f>
        <v>17047.654433510408</v>
      </c>
      <c r="CE494" s="5"/>
      <c r="CF494" s="5"/>
      <c r="CG494" s="5">
        <v>0</v>
      </c>
      <c r="CH494" s="5">
        <f t="shared" si="298"/>
        <v>3500000</v>
      </c>
      <c r="CI494" s="5">
        <f t="shared" si="299"/>
        <v>3500000</v>
      </c>
      <c r="CJ494" s="1">
        <f t="shared" si="300"/>
        <v>6.3676982337323032E-3</v>
      </c>
      <c r="CK494" s="5">
        <f>RANK(BY494,$BY$2:$BY$623)+COUNTIF($BY$2:$BY494,$BY494)-1</f>
        <v>372</v>
      </c>
      <c r="CL494" s="5">
        <f>RANK(CJ494,$CJ$2:$CJ$623)+COUNTIF($CJ$2:$CJ494,$CJ494)-1</f>
        <v>385</v>
      </c>
    </row>
    <row r="495" spans="1:90">
      <c r="A495" t="str">
        <f>Players!P496</f>
        <v>Ivan Schranz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0.81328039356128246</v>
      </c>
      <c r="I495" s="16">
        <f>INDEX('Team forecast'!$B$2:$AO$26,MATCH('Master data'!$B495,'Team forecast'!$B$2:$B$26,0),MATCH('Master data'!I$1,'Team forecast'!$B$2:$AO$2,0))</f>
        <v>1.5369105908463034</v>
      </c>
      <c r="J495" s="16">
        <f>INDEX('Team forecast'!$B$2:$AO$26,MATCH('Master data'!$B495,'Team forecast'!$B$2:$B$26,0),MATCH('Master data'!J$1,'Team forecast'!$B$2:$AO$2,0))</f>
        <v>0.21504443649322161</v>
      </c>
      <c r="K495" s="16">
        <f>INDEX('Team forecast'!$B$2:$AO$26,MATCH('Master data'!$B495,'Team forecast'!$B$2:$B$26,0),MATCH('Master data'!K$1,'Team forecast'!$B$2:$AO$2,0))</f>
        <v>2.6698598778526952</v>
      </c>
      <c r="L495" s="16">
        <f>INDEX('Team forecast'!$B$2:$AO$26,MATCH('Master data'!$B495,'Team forecast'!$B$2:$B$26,0),MATCH('Master data'!L$1,'Team forecast'!$B$2:$AO$2,0))</f>
        <v>4.1033306683839106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0.23316062176165803</v>
      </c>
      <c r="R495" s="2">
        <f>Players!BR496</f>
        <v>0</v>
      </c>
      <c r="S495" s="2">
        <f t="shared" si="259"/>
        <v>0.81328039356128246</v>
      </c>
      <c r="T495" s="2">
        <f t="shared" si="260"/>
        <v>1.5369105908463034</v>
      </c>
      <c r="U495" s="16">
        <f>INDEX('Team forecast'!$B$2:$AO$26,MATCH('Master data'!$B495,'Team forecast'!$B$2:$B$26,0),MATCH('Master data'!U$1,'Team forecast'!$B$2:$AO$2,0))</f>
        <v>0.18622848200312991</v>
      </c>
      <c r="V495" s="16">
        <f>INDEX('Team forecast'!$B$2:$AO$26,MATCH('Master data'!$B495,'Team forecast'!$B$2:$B$26,0),MATCH('Master data'!V$1,'Team forecast'!$B$2:$AO$2,0))</f>
        <v>0.2660406885758998</v>
      </c>
      <c r="W495" s="16">
        <f>INDEX('Team forecast'!$B$2:$AO$26,MATCH('Master data'!$B495,'Team forecast'!$B$2:$B$26,0),MATCH('Master data'!W$1,'Team forecast'!$B$2:$AO$2,0))</f>
        <v>0.54773082942097018</v>
      </c>
      <c r="X495" s="5">
        <f t="shared" si="261"/>
        <v>-5000</v>
      </c>
      <c r="Y495" s="5">
        <f t="shared" si="262"/>
        <v>0</v>
      </c>
      <c r="Z495" s="5">
        <f t="shared" si="263"/>
        <v>0</v>
      </c>
      <c r="AA495" s="5">
        <f t="shared" si="264"/>
        <v>0</v>
      </c>
      <c r="AB495" s="5">
        <f t="shared" si="265"/>
        <v>0</v>
      </c>
      <c r="AC495" s="5">
        <f t="shared" si="266"/>
        <v>0</v>
      </c>
      <c r="AD495" s="5">
        <f t="shared" si="267"/>
        <v>0</v>
      </c>
      <c r="AE495" s="5">
        <f t="shared" si="268"/>
        <v>0</v>
      </c>
      <c r="AF495" s="5">
        <f t="shared" si="269"/>
        <v>0</v>
      </c>
      <c r="AG495" s="5">
        <f t="shared" si="270"/>
        <v>0</v>
      </c>
      <c r="AH495" s="5">
        <f t="shared" si="271"/>
        <v>0</v>
      </c>
      <c r="AI495" s="5">
        <f t="shared" si="272"/>
        <v>0</v>
      </c>
      <c r="AJ495" s="5">
        <f t="shared" si="273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0.80548012323268336</v>
      </c>
      <c r="AM495" s="16">
        <f>INDEX('Team forecast'!$B$2:$AO$26,MATCH('Master data'!$B495,'Team forecast'!$B$2:$B$26,0),MATCH('Master data'!AM$1,'Team forecast'!$B$2:$AO$2,0))</f>
        <v>1.3852986184856255</v>
      </c>
      <c r="AN495" s="16">
        <f>INDEX('Team forecast'!$B$2:$AO$26,MATCH('Master data'!$B495,'Team forecast'!$B$2:$B$26,0),MATCH('Master data'!AN$1,'Team forecast'!$B$2:$AO$2,0))</f>
        <v>0.25024905963763749</v>
      </c>
      <c r="AO495" s="16">
        <f>INDEX('Team forecast'!$B$2:$AO$26,MATCH('Master data'!$B495,'Team forecast'!$B$2:$B$26,0),MATCH('Master data'!AO$1,'Team forecast'!$B$2:$AO$2,0))</f>
        <v>2.6442529298042636</v>
      </c>
      <c r="AP495" s="16">
        <f>INDEX('Team forecast'!$B$2:$AO$26,MATCH('Master data'!$B495,'Team forecast'!$B$2:$B$26,0),MATCH('Master data'!AP$1,'Team forecast'!$B$2:$AO$2,0))</f>
        <v>3.6985484646649716</v>
      </c>
      <c r="AQ495" s="5">
        <f t="shared" si="274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275"/>
        <v>0</v>
      </c>
      <c r="AV495" s="5">
        <f t="shared" si="276"/>
        <v>0</v>
      </c>
      <c r="AW495" s="5">
        <f t="shared" si="277"/>
        <v>0</v>
      </c>
      <c r="AX495" s="5">
        <f t="shared" si="278"/>
        <v>0</v>
      </c>
      <c r="AY495" s="5">
        <f t="shared" si="279"/>
        <v>0</v>
      </c>
      <c r="AZ495" s="5">
        <f t="shared" si="280"/>
        <v>0</v>
      </c>
      <c r="BA495" s="5">
        <f t="shared" si="281"/>
        <v>0</v>
      </c>
      <c r="BB495" s="5">
        <f t="shared" si="282"/>
        <v>0</v>
      </c>
      <c r="BC495" s="5">
        <f t="shared" si="283"/>
        <v>0</v>
      </c>
      <c r="BD495" s="5">
        <f t="shared" si="284"/>
        <v>-5000</v>
      </c>
      <c r="BE495" s="16">
        <f>INDEX('Team forecast'!$B$2:$AO$26,MATCH('Master data'!$B495,'Team forecast'!$B$2:$B$26,0),MATCH('Master data'!BE$1,'Team forecast'!$B$2:$AO$2,0))</f>
        <v>0.56161379059809569</v>
      </c>
      <c r="BF495" s="16">
        <f>INDEX('Team forecast'!$B$2:$AO$26,MATCH('Master data'!$B495,'Team forecast'!$B$2:$B$26,0),MATCH('Master data'!BF$1,'Team forecast'!$B$2:$AO$2,0))</f>
        <v>2.3513752571634776</v>
      </c>
      <c r="BG495" s="16">
        <f>INDEX('Team forecast'!$B$2:$AO$26,MATCH('Master data'!$B495,'Team forecast'!$B$2:$B$26,0),MATCH('Master data'!BG$1,'Team forecast'!$B$2:$AO$2,0))</f>
        <v>9.5238095238095233E-2</v>
      </c>
      <c r="BH495" s="16">
        <f>INDEX('Team forecast'!$B$2:$AO$26,MATCH('Master data'!$B495,'Team forecast'!$B$2:$B$26,0),MATCH('Master data'!BH$1,'Team forecast'!$B$2:$AO$2,0))</f>
        <v>1.8436816358018293</v>
      </c>
      <c r="BI495" s="16">
        <f>INDEX('Team forecast'!$B$2:$AO$26,MATCH('Master data'!$B495,'Team forecast'!$B$2:$B$26,0),MATCH('Master data'!BI$1,'Team forecast'!$B$2:$AO$2,0))</f>
        <v>6.2778344186469877</v>
      </c>
      <c r="BJ495" s="5">
        <f t="shared" si="285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286"/>
        <v>0</v>
      </c>
      <c r="BO495" s="5">
        <f t="shared" si="287"/>
        <v>0</v>
      </c>
      <c r="BP495" s="5">
        <f t="shared" si="288"/>
        <v>0</v>
      </c>
      <c r="BQ495" s="5">
        <f t="shared" si="289"/>
        <v>0</v>
      </c>
      <c r="BR495" s="5">
        <f t="shared" si="290"/>
        <v>0</v>
      </c>
      <c r="BS495" s="5">
        <f t="shared" si="291"/>
        <v>0</v>
      </c>
      <c r="BT495" s="5">
        <f t="shared" si="292"/>
        <v>0</v>
      </c>
      <c r="BU495" s="5">
        <f t="shared" si="293"/>
        <v>0</v>
      </c>
      <c r="BV495" s="5">
        <f t="shared" si="294"/>
        <v>0</v>
      </c>
      <c r="BW495" s="5">
        <f t="shared" si="295"/>
        <v>-5000</v>
      </c>
      <c r="BX495" s="5">
        <f t="shared" si="296"/>
        <v>-5000</v>
      </c>
      <c r="BY495" s="5">
        <f t="shared" si="297"/>
        <v>-15000</v>
      </c>
      <c r="BZ495" s="5">
        <f>INDEX('Team forecast'!$R$3:$BH$26,MATCH($B495,'Team forecast'!$B$3:$B$26,0),MATCH(BZ$1,'Team forecast'!$R$2:$BH$2,0))*($BX495-(BY495+CH495)*0.01)</f>
        <v>-10100.428776671995</v>
      </c>
      <c r="CA495" s="5">
        <f>INDEX('Team forecast'!$R$3:$BH$26,MATCH($B495,'Team forecast'!$B$3:$B$26,0),MATCH(CA$1,'Team forecast'!$R$2:$BH$2,0))*($BX495-(BY495+BX495+CH495)*0.01)</f>
        <v>-4944.4111386853474</v>
      </c>
      <c r="CB495" s="5">
        <f>INDEX('Team forecast'!$R$3:$BH$26,MATCH($B495,'Team forecast'!$B$3:$B$26,0),MATCH(CB$1,'Team forecast'!$R$2:$BH$2,0))*($BX495-(BY495+BX495*2+CH495)*0.01)</f>
        <v>-2376.5934789954281</v>
      </c>
      <c r="CC495" s="5">
        <f>INDEX('Team forecast'!$R$3:$BH$26,MATCH($B495,'Team forecast'!$B$3:$B$26,0),MATCH(CC$1,'Team forecast'!$R$2:$BH$2,0))*($BX495-(BY495+BX495*3+CH495)*0.01)</f>
        <v>-1068.5572787082224</v>
      </c>
      <c r="CD495" s="5">
        <f>+AK495+BD495*Cockpit!$C$3+BW495*Cockpit!$C$3^2+BZ495*Cockpit!$C$3^3+CA495*Cockpit!$C$3^4+CB495*Cockpit!$C$3^5+CC495*Cockpit!$C$3^6</f>
        <v>-14931.726281965333</v>
      </c>
      <c r="CE495" s="5"/>
      <c r="CF495" s="5"/>
      <c r="CG495" s="5">
        <v>0</v>
      </c>
      <c r="CH495" s="5">
        <f t="shared" si="298"/>
        <v>2500000</v>
      </c>
      <c r="CI495" s="5">
        <f t="shared" si="299"/>
        <v>2500000</v>
      </c>
      <c r="CJ495" s="1">
        <f t="shared" si="300"/>
        <v>-6.0000000000000001E-3</v>
      </c>
      <c r="CK495" s="5">
        <f>RANK(BY495,$BY$2:$BY$623)+COUNTIF($BY$2:$BY495,$BY495)-1</f>
        <v>580</v>
      </c>
      <c r="CL495" s="5">
        <f>RANK(CJ495,$CJ$2:$CJ$623)+COUNTIF($CJ$2:$CJ495,$CJ495)-1</f>
        <v>563</v>
      </c>
    </row>
    <row r="496" spans="1:90">
      <c r="A496" t="str">
        <f>Players!P497</f>
        <v>Michal Ďuriš</v>
      </c>
      <c r="B496" t="str">
        <f>Players!G497</f>
        <v>Slovakia</v>
      </c>
      <c r="C496" t="str">
        <f>Players!AB497</f>
        <v>Striker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0.81328039356128246</v>
      </c>
      <c r="I496" s="16">
        <f>INDEX('Team forecast'!$B$2:$AO$26,MATCH('Master data'!$B496,'Team forecast'!$B$2:$B$26,0),MATCH('Master data'!I$1,'Team forecast'!$B$2:$AO$2,0))</f>
        <v>1.5369105908463034</v>
      </c>
      <c r="J496" s="16">
        <f>INDEX('Team forecast'!$B$2:$AO$26,MATCH('Master data'!$B496,'Team forecast'!$B$2:$B$26,0),MATCH('Master data'!J$1,'Team forecast'!$B$2:$AO$2,0))</f>
        <v>0.21504443649322161</v>
      </c>
      <c r="K496" s="16">
        <f>INDEX('Team forecast'!$B$2:$AO$26,MATCH('Master data'!$B496,'Team forecast'!$B$2:$B$26,0),MATCH('Master data'!K$1,'Team forecast'!$B$2:$AO$2,0))</f>
        <v>2.6698598778526952</v>
      </c>
      <c r="L496" s="16">
        <f>INDEX('Team forecast'!$B$2:$AO$26,MATCH('Master data'!$B496,'Team forecast'!$B$2:$B$26,0),MATCH('Master data'!L$1,'Team forecast'!$B$2:$AO$2,0))</f>
        <v>4.1033306683839106</v>
      </c>
      <c r="M496">
        <f>IF(Players!BC497=1,95,0)</f>
        <v>95</v>
      </c>
      <c r="N496" s="2">
        <f>Players!BN497</f>
        <v>0.18189586983660366</v>
      </c>
      <c r="O496" s="2">
        <f>Players!BO497</f>
        <v>0.145320245764817</v>
      </c>
      <c r="P496" s="2">
        <f>Players!BP497</f>
        <v>0.11181661293231308</v>
      </c>
      <c r="Q496" s="2">
        <f>Players!BQ497</f>
        <v>6.1475409836065573E-2</v>
      </c>
      <c r="R496" s="2">
        <f>Players!BR497</f>
        <v>0</v>
      </c>
      <c r="S496" s="2">
        <f t="shared" si="259"/>
        <v>0.81328039356128246</v>
      </c>
      <c r="T496" s="2">
        <f t="shared" si="260"/>
        <v>1.5369105908463034</v>
      </c>
      <c r="U496" s="16">
        <f>INDEX('Team forecast'!$B$2:$AO$26,MATCH('Master data'!$B496,'Team forecast'!$B$2:$B$26,0),MATCH('Master data'!U$1,'Team forecast'!$B$2:$AO$2,0))</f>
        <v>0.18622848200312991</v>
      </c>
      <c r="V496" s="16">
        <f>INDEX('Team forecast'!$B$2:$AO$26,MATCH('Master data'!$B496,'Team forecast'!$B$2:$B$26,0),MATCH('Master data'!V$1,'Team forecast'!$B$2:$AO$2,0))</f>
        <v>0.2660406885758998</v>
      </c>
      <c r="W496" s="16">
        <f>INDEX('Team forecast'!$B$2:$AO$26,MATCH('Master data'!$B496,'Team forecast'!$B$2:$B$26,0),MATCH('Master data'!W$1,'Team forecast'!$B$2:$AO$2,0))</f>
        <v>0.54773082942097018</v>
      </c>
      <c r="X496" s="5">
        <f t="shared" si="261"/>
        <v>7000</v>
      </c>
      <c r="Y496" s="5">
        <f t="shared" si="262"/>
        <v>4655.7120500782476</v>
      </c>
      <c r="Z496" s="5">
        <f t="shared" si="263"/>
        <v>1330.2034428794989</v>
      </c>
      <c r="AA496" s="5">
        <f t="shared" si="264"/>
        <v>-8215.9624413145521</v>
      </c>
      <c r="AB496" s="5">
        <f t="shared" si="265"/>
        <v>14793.234460788484</v>
      </c>
      <c r="AC496" s="5">
        <f t="shared" si="266"/>
        <v>5909.3053334016331</v>
      </c>
      <c r="AD496" s="5">
        <f t="shared" si="267"/>
        <v>2985.3468854536754</v>
      </c>
      <c r="AE496" s="5">
        <f t="shared" si="268"/>
        <v>0</v>
      </c>
      <c r="AF496" s="5">
        <f t="shared" si="269"/>
        <v>0</v>
      </c>
      <c r="AG496" s="5">
        <f t="shared" si="270"/>
        <v>-1229.5081967213114</v>
      </c>
      <c r="AH496" s="5">
        <f t="shared" si="271"/>
        <v>0</v>
      </c>
      <c r="AI496" s="5">
        <f t="shared" si="272"/>
        <v>8132.8039356128247</v>
      </c>
      <c r="AJ496" s="5">
        <f t="shared" si="273"/>
        <v>-12295.284726770427</v>
      </c>
      <c r="AK496" s="5">
        <f>IFERROR(SUM(X496:AJ496),-5000)*((Cockpit!$C$3)^0)</f>
        <v>23065.850743408075</v>
      </c>
      <c r="AL496" s="16">
        <f>INDEX('Team forecast'!$B$2:$AO$26,MATCH('Master data'!$B496,'Team forecast'!$B$2:$B$26,0),MATCH('Master data'!AL$1,'Team forecast'!$B$2:$AO$2,0))</f>
        <v>0.80548012323268336</v>
      </c>
      <c r="AM496" s="16">
        <f>INDEX('Team forecast'!$B$2:$AO$26,MATCH('Master data'!$B496,'Team forecast'!$B$2:$B$26,0),MATCH('Master data'!AM$1,'Team forecast'!$B$2:$AO$2,0))</f>
        <v>1.3852986184856255</v>
      </c>
      <c r="AN496" s="16">
        <f>INDEX('Team forecast'!$B$2:$AO$26,MATCH('Master data'!$B496,'Team forecast'!$B$2:$B$26,0),MATCH('Master data'!AN$1,'Team forecast'!$B$2:$AO$2,0))</f>
        <v>0.25024905963763749</v>
      </c>
      <c r="AO496" s="16">
        <f>INDEX('Team forecast'!$B$2:$AO$26,MATCH('Master data'!$B496,'Team forecast'!$B$2:$B$26,0),MATCH('Master data'!AO$1,'Team forecast'!$B$2:$AO$2,0))</f>
        <v>2.6442529298042636</v>
      </c>
      <c r="AP496" s="16">
        <f>INDEX('Team forecast'!$B$2:$AO$26,MATCH('Master data'!$B496,'Team forecast'!$B$2:$B$26,0),MATCH('Master data'!AP$1,'Team forecast'!$B$2:$AO$2,0))</f>
        <v>3.6985484646649716</v>
      </c>
      <c r="AQ496" s="5">
        <f t="shared" si="274"/>
        <v>7000</v>
      </c>
      <c r="AR496" s="5">
        <f>INDEX('Team forecast'!$B$2:$AO$26,MATCH('Master data'!$B496,'Team forecast'!$B$2:$B$26,0),MATCH('Master data'!AR$1,'Team forecast'!$B$2:$AO$2,0))*IF(X496&gt;0,25000,0)</f>
        <v>5418.2100094754078</v>
      </c>
      <c r="AS496" s="16">
        <f>INDEX('Team forecast'!$B$2:$AO$26,MATCH('Master data'!$B496,'Team forecast'!$B$2:$B$26,0),MATCH('Master data'!AS$1,'Team forecast'!$B$2:$AO$2,0))*IF(X496&gt;0,5000,0)</f>
        <v>1380.0499612369715</v>
      </c>
      <c r="AT496" s="16">
        <f>INDEX('Team forecast'!$B$2:$AO$26,MATCH('Master data'!$B496,'Team forecast'!$B$2:$B$26,0),MATCH('Master data'!AT$1,'Team forecast'!$B$2:$AO$2,0))*IF(X496&gt;0,-15000,0)</f>
        <v>-7608.9241106038426</v>
      </c>
      <c r="AU496" s="5">
        <f t="shared" si="275"/>
        <v>14651.350765150366</v>
      </c>
      <c r="AV496" s="5">
        <f t="shared" si="276"/>
        <v>5852.6284733424318</v>
      </c>
      <c r="AW496" s="5">
        <f t="shared" si="277"/>
        <v>2956.714063470582</v>
      </c>
      <c r="AX496" s="5">
        <f t="shared" si="278"/>
        <v>0</v>
      </c>
      <c r="AY496" s="5">
        <f t="shared" si="279"/>
        <v>0</v>
      </c>
      <c r="AZ496" s="5">
        <f t="shared" si="280"/>
        <v>-1229.5081967213114</v>
      </c>
      <c r="BA496" s="5">
        <f t="shared" si="281"/>
        <v>0</v>
      </c>
      <c r="BB496" s="5">
        <f t="shared" si="282"/>
        <v>8054.801232326834</v>
      </c>
      <c r="BC496" s="5">
        <f t="shared" si="283"/>
        <v>-11082.388947885003</v>
      </c>
      <c r="BD496" s="5">
        <f t="shared" si="284"/>
        <v>25392.933249792433</v>
      </c>
      <c r="BE496" s="16">
        <f>INDEX('Team forecast'!$B$2:$AO$26,MATCH('Master data'!$B496,'Team forecast'!$B$2:$B$26,0),MATCH('Master data'!BE$1,'Team forecast'!$B$2:$AO$2,0))</f>
        <v>0.56161379059809569</v>
      </c>
      <c r="BF496" s="16">
        <f>INDEX('Team forecast'!$B$2:$AO$26,MATCH('Master data'!$B496,'Team forecast'!$B$2:$B$26,0),MATCH('Master data'!BF$1,'Team forecast'!$B$2:$AO$2,0))</f>
        <v>2.3513752571634776</v>
      </c>
      <c r="BG496" s="16">
        <f>INDEX('Team forecast'!$B$2:$AO$26,MATCH('Master data'!$B496,'Team forecast'!$B$2:$B$26,0),MATCH('Master data'!BG$1,'Team forecast'!$B$2:$AO$2,0))</f>
        <v>9.5238095238095233E-2</v>
      </c>
      <c r="BH496" s="16">
        <f>INDEX('Team forecast'!$B$2:$AO$26,MATCH('Master data'!$B496,'Team forecast'!$B$2:$B$26,0),MATCH('Master data'!BH$1,'Team forecast'!$B$2:$AO$2,0))</f>
        <v>1.8436816358018293</v>
      </c>
      <c r="BI496" s="16">
        <f>INDEX('Team forecast'!$B$2:$AO$26,MATCH('Master data'!$B496,'Team forecast'!$B$2:$B$26,0),MATCH('Master data'!BI$1,'Team forecast'!$B$2:$AO$2,0))</f>
        <v>6.2778344186469877</v>
      </c>
      <c r="BJ496" s="5">
        <f t="shared" si="285"/>
        <v>7000</v>
      </c>
      <c r="BK496" s="5">
        <f>INDEX('Team forecast'!$R$3:$BH$26,MATCH($B496,'Team forecast'!$B$3:$B$26,0),MATCH(BK$1,'Team forecast'!$R$2:$BH$2,0))*IF($X496&gt;0,25000,0)</f>
        <v>1700.6802721088434</v>
      </c>
      <c r="BL496" s="5">
        <f>INDEX('Team forecast'!$R$3:$BH$26,MATCH($B496,'Team forecast'!$B$3:$B$26,0),MATCH(BL$1,'Team forecast'!$R$2:$BH$2,0))*IF($X496&gt;0,5000,0)</f>
        <v>850.34013605442146</v>
      </c>
      <c r="BM496" s="5">
        <f>INDEX('Team forecast'!$R$3:$BH$26,MATCH($B496,'Team forecast'!$B$3:$B$26,0),MATCH(BM$1,'Team forecast'!$R$2:$BH$2,0))*IF($X496&gt;0,-15000,0)</f>
        <v>-11428.571428571428</v>
      </c>
      <c r="BN496" s="5">
        <f t="shared" si="286"/>
        <v>10215.52289530728</v>
      </c>
      <c r="BO496" s="5">
        <f t="shared" si="287"/>
        <v>4080.6927037312871</v>
      </c>
      <c r="BP496" s="5">
        <f t="shared" si="288"/>
        <v>2061.5423584086698</v>
      </c>
      <c r="BQ496" s="5">
        <f t="shared" si="289"/>
        <v>0</v>
      </c>
      <c r="BR496" s="5">
        <f t="shared" si="290"/>
        <v>0</v>
      </c>
      <c r="BS496" s="5">
        <f t="shared" si="291"/>
        <v>-1229.5081967213114</v>
      </c>
      <c r="BT496" s="5">
        <f t="shared" si="292"/>
        <v>0</v>
      </c>
      <c r="BU496" s="5">
        <f t="shared" si="293"/>
        <v>5616.1379059809569</v>
      </c>
      <c r="BV496" s="5">
        <f t="shared" si="294"/>
        <v>-18811.002057307822</v>
      </c>
      <c r="BW496" s="5">
        <f t="shared" si="295"/>
        <v>55.834588990896009</v>
      </c>
      <c r="BX496" s="5">
        <f t="shared" si="296"/>
        <v>16171.539527397135</v>
      </c>
      <c r="BY496" s="5">
        <f t="shared" si="297"/>
        <v>48514.618582191404</v>
      </c>
      <c r="BZ496" s="5">
        <f>INDEX('Team forecast'!$R$3:$BH$26,MATCH($B496,'Team forecast'!$B$3:$B$26,0),MATCH(BZ$1,'Team forecast'!$R$2:$BH$2,0))*($BX496-(BY496+CH496)*0.01)</f>
        <v>-3151.4713804809903</v>
      </c>
      <c r="CA496" s="5">
        <f>INDEX('Team forecast'!$R$3:$BH$26,MATCH($B496,'Team forecast'!$B$3:$B$26,0),MATCH(CA$1,'Team forecast'!$R$2:$BH$2,0))*($BX496-(BY496+BX496+CH496)*0.01)</f>
        <v>-1572.1438894274843</v>
      </c>
      <c r="CB496" s="5">
        <f>INDEX('Team forecast'!$R$3:$BH$26,MATCH($B496,'Team forecast'!$B$3:$B$26,0),MATCH(CB$1,'Team forecast'!$R$2:$BH$2,0))*($BX496-(BY496+BX496*2+CH496)*0.01)</f>
        <v>-769.85950783406088</v>
      </c>
      <c r="CC496" s="5">
        <f>INDEX('Team forecast'!$R$3:$BH$26,MATCH($B496,'Team forecast'!$B$3:$B$26,0),MATCH(CC$1,'Team forecast'!$R$2:$BH$2,0))*($BX496-(BY496+BX496*3+CH496)*0.01)</f>
        <v>-352.54305299605051</v>
      </c>
      <c r="CD496" s="5">
        <f>+AK496+BD496*Cockpit!$C$3+BW496*Cockpit!$C$3^2+BZ496*Cockpit!$C$3^3+CA496*Cockpit!$C$3^4+CB496*Cockpit!$C$3^5+CC496*Cockpit!$C$3^6</f>
        <v>38642.641086106159</v>
      </c>
      <c r="CE496" s="5"/>
      <c r="CF496" s="5"/>
      <c r="CG496" s="5">
        <v>0</v>
      </c>
      <c r="CH496" s="5">
        <f t="shared" si="298"/>
        <v>2500000</v>
      </c>
      <c r="CI496" s="5">
        <f t="shared" si="299"/>
        <v>2500000</v>
      </c>
      <c r="CJ496" s="1">
        <f t="shared" si="300"/>
        <v>1.9405847432876561E-2</v>
      </c>
      <c r="CK496" s="5">
        <f>RANK(BY496,$BY$2:$BY$623)+COUNTIF($BY$2:$BY496,$BY496)-1</f>
        <v>296</v>
      </c>
      <c r="CL496" s="5">
        <f>RANK(CJ496,$CJ$2:$CJ$623)+COUNTIF($CJ$2:$CJ496,$CJ496)-1</f>
        <v>267</v>
      </c>
    </row>
    <row r="497" spans="1:90">
      <c r="A497" t="str">
        <f>Players!P498</f>
        <v>Nicolai  Boilesen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1.6608440904336361</v>
      </c>
      <c r="I497" s="16">
        <f>INDEX('Team forecast'!$B$2:$AO$26,MATCH('Master data'!$B497,'Team forecast'!$B$2:$B$26,0),MATCH('Master data'!I$1,'Team forecast'!$B$2:$AO$2,0))</f>
        <v>0.59952758650922311</v>
      </c>
      <c r="J497" s="16">
        <f>INDEX('Team forecast'!$B$2:$AO$26,MATCH('Master data'!$B497,'Team forecast'!$B$2:$B$26,0),MATCH('Master data'!J$1,'Team forecast'!$B$2:$AO$2,0))</f>
        <v>0.54907096336484029</v>
      </c>
      <c r="K497" s="16">
        <f>INDEX('Team forecast'!$B$2:$AO$26,MATCH('Master data'!$B497,'Team forecast'!$B$2:$B$26,0),MATCH('Master data'!K$1,'Team forecast'!$B$2:$AO$2,0))</f>
        <v>4.1898566826848551</v>
      </c>
      <c r="L497" s="16">
        <f>INDEX('Team forecast'!$B$2:$AO$26,MATCH('Master data'!$B497,'Team forecast'!$B$2:$B$26,0),MATCH('Master data'!L$1,'Team forecast'!$B$2:$AO$2,0))</f>
        <v>1.7709122555349361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0.34326889279437611</v>
      </c>
      <c r="R497" s="2">
        <f>Players!BR498</f>
        <v>0</v>
      </c>
      <c r="S497" s="2">
        <f t="shared" si="259"/>
        <v>1.6608440904336361</v>
      </c>
      <c r="T497" s="2">
        <f t="shared" si="260"/>
        <v>0.59952758650922311</v>
      </c>
      <c r="U497" s="16">
        <f>INDEX('Team forecast'!$B$2:$AO$26,MATCH('Master data'!$B497,'Team forecast'!$B$2:$B$26,0),MATCH('Master data'!U$1,'Team forecast'!$B$2:$AO$2,0))</f>
        <v>0.65509845973874048</v>
      </c>
      <c r="V497" s="16">
        <f>INDEX('Team forecast'!$B$2:$AO$26,MATCH('Master data'!$B497,'Team forecast'!$B$2:$B$26,0),MATCH('Master data'!V$1,'Team forecast'!$B$2:$AO$2,0))</f>
        <v>0.22616494443361279</v>
      </c>
      <c r="W497" s="16">
        <f>INDEX('Team forecast'!$B$2:$AO$26,MATCH('Master data'!$B497,'Team forecast'!$B$2:$B$26,0),MATCH('Master data'!W$1,'Team forecast'!$B$2:$AO$2,0))</f>
        <v>0.1187365958276467</v>
      </c>
      <c r="X497" s="5">
        <f t="shared" si="261"/>
        <v>-5000</v>
      </c>
      <c r="Y497" s="5">
        <f t="shared" si="262"/>
        <v>0</v>
      </c>
      <c r="Z497" s="5">
        <f t="shared" si="263"/>
        <v>0</v>
      </c>
      <c r="AA497" s="5">
        <f t="shared" si="264"/>
        <v>0</v>
      </c>
      <c r="AB497" s="5">
        <f t="shared" si="265"/>
        <v>0</v>
      </c>
      <c r="AC497" s="5">
        <f t="shared" si="266"/>
        <v>0</v>
      </c>
      <c r="AD497" s="5">
        <f t="shared" si="267"/>
        <v>0</v>
      </c>
      <c r="AE497" s="5">
        <f t="shared" si="268"/>
        <v>27453.548168242014</v>
      </c>
      <c r="AF497" s="5">
        <f t="shared" si="269"/>
        <v>0</v>
      </c>
      <c r="AG497" s="5">
        <f t="shared" si="270"/>
        <v>0</v>
      </c>
      <c r="AH497" s="5">
        <f t="shared" si="271"/>
        <v>0</v>
      </c>
      <c r="AI497" s="5">
        <f t="shared" si="272"/>
        <v>0</v>
      </c>
      <c r="AJ497" s="5">
        <f t="shared" si="273"/>
        <v>0</v>
      </c>
      <c r="AK497" s="5">
        <f>IFERROR(SUM(X497:AJ497),-5000)*((Cockpit!$C$3)^0)</f>
        <v>22453.548168242014</v>
      </c>
      <c r="AL497" s="16">
        <f>INDEX('Team forecast'!$B$2:$AO$26,MATCH('Master data'!$B497,'Team forecast'!$B$2:$B$26,0),MATCH('Master data'!AL$1,'Team forecast'!$B$2:$AO$2,0))</f>
        <v>1.1610121970988967</v>
      </c>
      <c r="AM497" s="16">
        <f>INDEX('Team forecast'!$B$2:$AO$26,MATCH('Master data'!$B497,'Team forecast'!$B$2:$B$26,0),MATCH('Master data'!AM$1,'Team forecast'!$B$2:$AO$2,0))</f>
        <v>1.5279674504451852</v>
      </c>
      <c r="AN497" s="16">
        <f>INDEX('Team forecast'!$B$2:$AO$26,MATCH('Master data'!$B497,'Team forecast'!$B$2:$B$26,0),MATCH('Master data'!AN$1,'Team forecast'!$B$2:$AO$2,0))</f>
        <v>0.21697623437572761</v>
      </c>
      <c r="AO497" s="16">
        <f>INDEX('Team forecast'!$B$2:$AO$26,MATCH('Master data'!$B497,'Team forecast'!$B$2:$B$26,0),MATCH('Master data'!AO$1,'Team forecast'!$B$2:$AO$2,0))</f>
        <v>2.9289171335903985</v>
      </c>
      <c r="AP497" s="16">
        <f>INDEX('Team forecast'!$B$2:$AO$26,MATCH('Master data'!$B497,'Team forecast'!$B$2:$B$26,0),MATCH('Master data'!AP$1,'Team forecast'!$B$2:$AO$2,0))</f>
        <v>4.5133807766996243</v>
      </c>
      <c r="AQ497" s="5">
        <f t="shared" si="274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275"/>
        <v>0</v>
      </c>
      <c r="AV497" s="5">
        <f t="shared" si="276"/>
        <v>0</v>
      </c>
      <c r="AW497" s="5">
        <f t="shared" si="277"/>
        <v>0</v>
      </c>
      <c r="AX497" s="5">
        <f t="shared" si="278"/>
        <v>10848.811718786381</v>
      </c>
      <c r="AY497" s="5">
        <f t="shared" si="279"/>
        <v>0</v>
      </c>
      <c r="AZ497" s="5">
        <f t="shared" si="280"/>
        <v>0</v>
      </c>
      <c r="BA497" s="5">
        <f t="shared" si="281"/>
        <v>0</v>
      </c>
      <c r="BB497" s="5">
        <f t="shared" si="282"/>
        <v>0</v>
      </c>
      <c r="BC497" s="5">
        <f t="shared" si="283"/>
        <v>0</v>
      </c>
      <c r="BD497" s="5">
        <f t="shared" si="284"/>
        <v>5848.8117187863809</v>
      </c>
      <c r="BE497" s="16">
        <f>INDEX('Team forecast'!$B$2:$AO$26,MATCH('Master data'!$B497,'Team forecast'!$B$2:$B$26,0),MATCH('Master data'!BE$1,'Team forecast'!$B$2:$AO$2,0))</f>
        <v>1.5053002864585165</v>
      </c>
      <c r="BF497" s="16">
        <f>INDEX('Team forecast'!$B$2:$AO$26,MATCH('Master data'!$B497,'Team forecast'!$B$2:$B$26,0),MATCH('Master data'!BF$1,'Team forecast'!$B$2:$AO$2,0))</f>
        <v>0.95602347631827322</v>
      </c>
      <c r="BG497" s="16">
        <f>INDEX('Team forecast'!$B$2:$AO$26,MATCH('Master data'!$B497,'Team forecast'!$B$2:$B$26,0),MATCH('Master data'!BG$1,'Team forecast'!$B$2:$AO$2,0))</f>
        <v>0.38441849991338989</v>
      </c>
      <c r="BH497" s="16">
        <f>INDEX('Team forecast'!$B$2:$AO$26,MATCH('Master data'!$B497,'Team forecast'!$B$2:$B$26,0),MATCH('Master data'!BH$1,'Team forecast'!$B$2:$AO$2,0))</f>
        <v>3.7974620862930761</v>
      </c>
      <c r="BI497" s="16">
        <f>INDEX('Team forecast'!$B$2:$AO$26,MATCH('Master data'!$B497,'Team forecast'!$B$2:$B$26,0),MATCH('Master data'!BI$1,'Team forecast'!$B$2:$AO$2,0))</f>
        <v>2.8239462685093613</v>
      </c>
      <c r="BJ497" s="5">
        <f t="shared" si="285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286"/>
        <v>0</v>
      </c>
      <c r="BO497" s="5">
        <f t="shared" si="287"/>
        <v>0</v>
      </c>
      <c r="BP497" s="5">
        <f t="shared" si="288"/>
        <v>0</v>
      </c>
      <c r="BQ497" s="5">
        <f t="shared" si="289"/>
        <v>19220.924995669495</v>
      </c>
      <c r="BR497" s="5">
        <f t="shared" si="290"/>
        <v>0</v>
      </c>
      <c r="BS497" s="5">
        <f t="shared" si="291"/>
        <v>0</v>
      </c>
      <c r="BT497" s="5">
        <f t="shared" si="292"/>
        <v>0</v>
      </c>
      <c r="BU497" s="5">
        <f t="shared" si="293"/>
        <v>0</v>
      </c>
      <c r="BV497" s="5">
        <f t="shared" si="294"/>
        <v>0</v>
      </c>
      <c r="BW497" s="5">
        <f t="shared" si="295"/>
        <v>14220.924995669495</v>
      </c>
      <c r="BX497" s="5">
        <f t="shared" si="296"/>
        <v>14174.42829423263</v>
      </c>
      <c r="BY497" s="5">
        <f t="shared" si="297"/>
        <v>42523.284882697888</v>
      </c>
      <c r="BZ497" s="5">
        <f>INDEX('Team forecast'!$R$3:$BH$26,MATCH($B497,'Team forecast'!$B$3:$B$26,0),MATCH(BZ$1,'Team forecast'!$R$2:$BH$2,0))*($BX497-(BY497+CH497)*0.01)</f>
        <v>-9136.7196047386624</v>
      </c>
      <c r="CA497" s="5">
        <f>INDEX('Team forecast'!$R$3:$BH$26,MATCH($B497,'Team forecast'!$B$3:$B$26,0),MATCH(CA$1,'Team forecast'!$R$2:$BH$2,0))*($BX497-(BY497+BX497+CH497)*0.01)</f>
        <v>-4591.7285603664941</v>
      </c>
      <c r="CB497" s="5">
        <f>INDEX('Team forecast'!$R$3:$BH$26,MATCH($B497,'Team forecast'!$B$3:$B$26,0),MATCH(CB$1,'Team forecast'!$R$2:$BH$2,0))*($BX497-(BY497+BX497*2+CH497)*0.01)</f>
        <v>-2291.853551705673</v>
      </c>
      <c r="CC497" s="5">
        <f>INDEX('Team forecast'!$R$3:$BH$26,MATCH($B497,'Team forecast'!$B$3:$B$26,0),MATCH(CC$1,'Team forecast'!$R$2:$BH$2,0))*($BX497-(BY497+BX497*3+CH497)*0.01)</f>
        <v>-1117.4875463910457</v>
      </c>
      <c r="CD497" s="5">
        <f>+AK497+BD497*Cockpit!$C$3+BW497*Cockpit!$C$3^2+BZ497*Cockpit!$C$3^3+CA497*Cockpit!$C$3^4+CB497*Cockpit!$C$3^5+CC497*Cockpit!$C$3^6</f>
        <v>28659.069022395644</v>
      </c>
      <c r="CE497" s="5"/>
      <c r="CF497" s="5"/>
      <c r="CG497" s="5">
        <v>0</v>
      </c>
      <c r="CH497" s="5">
        <f t="shared" si="298"/>
        <v>2500000</v>
      </c>
      <c r="CI497" s="5">
        <f t="shared" si="299"/>
        <v>2500000</v>
      </c>
      <c r="CJ497" s="1">
        <f t="shared" si="300"/>
        <v>1.7009313953079155E-2</v>
      </c>
      <c r="CK497" s="5">
        <f>RANK(BY497,$BY$2:$BY$623)+COUNTIF($BY$2:$BY497,$BY497)-1</f>
        <v>300</v>
      </c>
      <c r="CL497" s="5">
        <f>RANK(CJ497,$CJ$2:$CJ$623)+COUNTIF($CJ$2:$CJ497,$CJ497)-1</f>
        <v>291</v>
      </c>
    </row>
    <row r="498" spans="1:90">
      <c r="A498" t="str">
        <f>Players!P499</f>
        <v xml:space="preserve">Mathias  Jørgensen 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2500000</v>
      </c>
      <c r="H498" s="16">
        <f>INDEX('Team forecast'!$B$2:$AO$26,MATCH('Master data'!$B498,'Team forecast'!$B$2:$B$26,0),MATCH('Master data'!H$1,'Team forecast'!$B$2:$AO$2,0))</f>
        <v>1.6608440904336361</v>
      </c>
      <c r="I498" s="16">
        <f>INDEX('Team forecast'!$B$2:$AO$26,MATCH('Master data'!$B498,'Team forecast'!$B$2:$B$26,0),MATCH('Master data'!I$1,'Team forecast'!$B$2:$AO$2,0))</f>
        <v>0.59952758650922311</v>
      </c>
      <c r="J498" s="16">
        <f>INDEX('Team forecast'!$B$2:$AO$26,MATCH('Master data'!$B498,'Team forecast'!$B$2:$B$26,0),MATCH('Master data'!J$1,'Team forecast'!$B$2:$AO$2,0))</f>
        <v>0.54907096336484029</v>
      </c>
      <c r="K498" s="16">
        <f>INDEX('Team forecast'!$B$2:$AO$26,MATCH('Master data'!$B498,'Team forecast'!$B$2:$B$26,0),MATCH('Master data'!K$1,'Team forecast'!$B$2:$AO$2,0))</f>
        <v>4.1898566826848551</v>
      </c>
      <c r="L498" s="16">
        <f>INDEX('Team forecast'!$B$2:$AO$26,MATCH('Master data'!$B498,'Team forecast'!$B$2:$B$26,0),MATCH('Master data'!L$1,'Team forecast'!$B$2:$AO$2,0))</f>
        <v>1.7709122555349361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259"/>
        <v>1.6608440904336361</v>
      </c>
      <c r="T498" s="2">
        <f t="shared" si="260"/>
        <v>0.59952758650922311</v>
      </c>
      <c r="U498" s="16">
        <f>INDEX('Team forecast'!$B$2:$AO$26,MATCH('Master data'!$B498,'Team forecast'!$B$2:$B$26,0),MATCH('Master data'!U$1,'Team forecast'!$B$2:$AO$2,0))</f>
        <v>0.65509845973874048</v>
      </c>
      <c r="V498" s="16">
        <f>INDEX('Team forecast'!$B$2:$AO$26,MATCH('Master data'!$B498,'Team forecast'!$B$2:$B$26,0),MATCH('Master data'!V$1,'Team forecast'!$B$2:$AO$2,0))</f>
        <v>0.22616494443361279</v>
      </c>
      <c r="W498" s="16">
        <f>INDEX('Team forecast'!$B$2:$AO$26,MATCH('Master data'!$B498,'Team forecast'!$B$2:$B$26,0),MATCH('Master data'!W$1,'Team forecast'!$B$2:$AO$2,0))</f>
        <v>0.1187365958276467</v>
      </c>
      <c r="X498" s="5">
        <f t="shared" si="261"/>
        <v>-5000</v>
      </c>
      <c r="Y498" s="5">
        <f t="shared" si="262"/>
        <v>0</v>
      </c>
      <c r="Z498" s="5">
        <f t="shared" si="263"/>
        <v>0</v>
      </c>
      <c r="AA498" s="5">
        <f t="shared" si="264"/>
        <v>0</v>
      </c>
      <c r="AB498" s="5">
        <f t="shared" si="265"/>
        <v>0</v>
      </c>
      <c r="AC498" s="5">
        <f t="shared" si="266"/>
        <v>0</v>
      </c>
      <c r="AD498" s="5">
        <f t="shared" si="267"/>
        <v>0</v>
      </c>
      <c r="AE498" s="5">
        <f t="shared" si="268"/>
        <v>27453.548168242014</v>
      </c>
      <c r="AF498" s="5">
        <f t="shared" si="269"/>
        <v>0</v>
      </c>
      <c r="AG498" s="5">
        <f t="shared" si="270"/>
        <v>0</v>
      </c>
      <c r="AH498" s="5">
        <f t="shared" si="271"/>
        <v>0</v>
      </c>
      <c r="AI498" s="5">
        <f t="shared" si="272"/>
        <v>0</v>
      </c>
      <c r="AJ498" s="5">
        <f t="shared" si="273"/>
        <v>0</v>
      </c>
      <c r="AK498" s="5">
        <f>IFERROR(SUM(X498:AJ498),-5000)*((Cockpit!$C$3)^0)</f>
        <v>22453.548168242014</v>
      </c>
      <c r="AL498" s="16">
        <f>INDEX('Team forecast'!$B$2:$AO$26,MATCH('Master data'!$B498,'Team forecast'!$B$2:$B$26,0),MATCH('Master data'!AL$1,'Team forecast'!$B$2:$AO$2,0))</f>
        <v>1.1610121970988967</v>
      </c>
      <c r="AM498" s="16">
        <f>INDEX('Team forecast'!$B$2:$AO$26,MATCH('Master data'!$B498,'Team forecast'!$B$2:$B$26,0),MATCH('Master data'!AM$1,'Team forecast'!$B$2:$AO$2,0))</f>
        <v>1.5279674504451852</v>
      </c>
      <c r="AN498" s="16">
        <f>INDEX('Team forecast'!$B$2:$AO$26,MATCH('Master data'!$B498,'Team forecast'!$B$2:$B$26,0),MATCH('Master data'!AN$1,'Team forecast'!$B$2:$AO$2,0))</f>
        <v>0.21697623437572761</v>
      </c>
      <c r="AO498" s="16">
        <f>INDEX('Team forecast'!$B$2:$AO$26,MATCH('Master data'!$B498,'Team forecast'!$B$2:$B$26,0),MATCH('Master data'!AO$1,'Team forecast'!$B$2:$AO$2,0))</f>
        <v>2.9289171335903985</v>
      </c>
      <c r="AP498" s="16">
        <f>INDEX('Team forecast'!$B$2:$AO$26,MATCH('Master data'!$B498,'Team forecast'!$B$2:$B$26,0),MATCH('Master data'!AP$1,'Team forecast'!$B$2:$AO$2,0))</f>
        <v>4.5133807766996243</v>
      </c>
      <c r="AQ498" s="5">
        <f t="shared" si="274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275"/>
        <v>0</v>
      </c>
      <c r="AV498" s="5">
        <f t="shared" si="276"/>
        <v>0</v>
      </c>
      <c r="AW498" s="5">
        <f t="shared" si="277"/>
        <v>0</v>
      </c>
      <c r="AX498" s="5">
        <f t="shared" si="278"/>
        <v>10848.811718786381</v>
      </c>
      <c r="AY498" s="5">
        <f t="shared" si="279"/>
        <v>0</v>
      </c>
      <c r="AZ498" s="5">
        <f t="shared" si="280"/>
        <v>0</v>
      </c>
      <c r="BA498" s="5">
        <f t="shared" si="281"/>
        <v>0</v>
      </c>
      <c r="BB498" s="5">
        <f t="shared" si="282"/>
        <v>0</v>
      </c>
      <c r="BC498" s="5">
        <f t="shared" si="283"/>
        <v>0</v>
      </c>
      <c r="BD498" s="5">
        <f t="shared" si="284"/>
        <v>5848.8117187863809</v>
      </c>
      <c r="BE498" s="16">
        <f>INDEX('Team forecast'!$B$2:$AO$26,MATCH('Master data'!$B498,'Team forecast'!$B$2:$B$26,0),MATCH('Master data'!BE$1,'Team forecast'!$B$2:$AO$2,0))</f>
        <v>1.5053002864585165</v>
      </c>
      <c r="BF498" s="16">
        <f>INDEX('Team forecast'!$B$2:$AO$26,MATCH('Master data'!$B498,'Team forecast'!$B$2:$B$26,0),MATCH('Master data'!BF$1,'Team forecast'!$B$2:$AO$2,0))</f>
        <v>0.95602347631827322</v>
      </c>
      <c r="BG498" s="16">
        <f>INDEX('Team forecast'!$B$2:$AO$26,MATCH('Master data'!$B498,'Team forecast'!$B$2:$B$26,0),MATCH('Master data'!BG$1,'Team forecast'!$B$2:$AO$2,0))</f>
        <v>0.38441849991338989</v>
      </c>
      <c r="BH498" s="16">
        <f>INDEX('Team forecast'!$B$2:$AO$26,MATCH('Master data'!$B498,'Team forecast'!$B$2:$B$26,0),MATCH('Master data'!BH$1,'Team forecast'!$B$2:$AO$2,0))</f>
        <v>3.7974620862930761</v>
      </c>
      <c r="BI498" s="16">
        <f>INDEX('Team forecast'!$B$2:$AO$26,MATCH('Master data'!$B498,'Team forecast'!$B$2:$B$26,0),MATCH('Master data'!BI$1,'Team forecast'!$B$2:$AO$2,0))</f>
        <v>2.8239462685093613</v>
      </c>
      <c r="BJ498" s="5">
        <f t="shared" si="285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286"/>
        <v>0</v>
      </c>
      <c r="BO498" s="5">
        <f t="shared" si="287"/>
        <v>0</v>
      </c>
      <c r="BP498" s="5">
        <f t="shared" si="288"/>
        <v>0</v>
      </c>
      <c r="BQ498" s="5">
        <f t="shared" si="289"/>
        <v>19220.924995669495</v>
      </c>
      <c r="BR498" s="5">
        <f t="shared" si="290"/>
        <v>0</v>
      </c>
      <c r="BS498" s="5">
        <f t="shared" si="291"/>
        <v>0</v>
      </c>
      <c r="BT498" s="5">
        <f t="shared" si="292"/>
        <v>0</v>
      </c>
      <c r="BU498" s="5">
        <f t="shared" si="293"/>
        <v>0</v>
      </c>
      <c r="BV498" s="5">
        <f t="shared" si="294"/>
        <v>0</v>
      </c>
      <c r="BW498" s="5">
        <f t="shared" si="295"/>
        <v>14220.924995669495</v>
      </c>
      <c r="BX498" s="5">
        <f t="shared" si="296"/>
        <v>14174.42829423263</v>
      </c>
      <c r="BY498" s="5">
        <f t="shared" si="297"/>
        <v>42523.284882697888</v>
      </c>
      <c r="BZ498" s="5">
        <f>INDEX('Team forecast'!$R$3:$BH$26,MATCH($B498,'Team forecast'!$B$3:$B$26,0),MATCH(BZ$1,'Team forecast'!$R$2:$BH$2,0))*($BX498-(BY498+CH498)*0.01)</f>
        <v>-9136.7196047386624</v>
      </c>
      <c r="CA498" s="5">
        <f>INDEX('Team forecast'!$R$3:$BH$26,MATCH($B498,'Team forecast'!$B$3:$B$26,0),MATCH(CA$1,'Team forecast'!$R$2:$BH$2,0))*($BX498-(BY498+BX498+CH498)*0.01)</f>
        <v>-4591.7285603664941</v>
      </c>
      <c r="CB498" s="5">
        <f>INDEX('Team forecast'!$R$3:$BH$26,MATCH($B498,'Team forecast'!$B$3:$B$26,0),MATCH(CB$1,'Team forecast'!$R$2:$BH$2,0))*($BX498-(BY498+BX498*2+CH498)*0.01)</f>
        <v>-2291.853551705673</v>
      </c>
      <c r="CC498" s="5">
        <f>INDEX('Team forecast'!$R$3:$BH$26,MATCH($B498,'Team forecast'!$B$3:$B$26,0),MATCH(CC$1,'Team forecast'!$R$2:$BH$2,0))*($BX498-(BY498+BX498*3+CH498)*0.01)</f>
        <v>-1117.4875463910457</v>
      </c>
      <c r="CD498" s="5">
        <f>+AK498+BD498*Cockpit!$C$3+BW498*Cockpit!$C$3^2+BZ498*Cockpit!$C$3^3+CA498*Cockpit!$C$3^4+CB498*Cockpit!$C$3^5+CC498*Cockpit!$C$3^6</f>
        <v>28659.069022395644</v>
      </c>
      <c r="CE498" s="5"/>
      <c r="CF498" s="5"/>
      <c r="CG498" s="5">
        <v>0</v>
      </c>
      <c r="CH498" s="5">
        <f t="shared" si="298"/>
        <v>2500000</v>
      </c>
      <c r="CI498" s="5">
        <f t="shared" si="299"/>
        <v>2500000</v>
      </c>
      <c r="CJ498" s="1">
        <f t="shared" si="300"/>
        <v>1.7009313953079155E-2</v>
      </c>
      <c r="CK498" s="5">
        <f>RANK(BY498,$BY$2:$BY$623)+COUNTIF($BY$2:$BY498,$BY498)-1</f>
        <v>301</v>
      </c>
      <c r="CL498" s="5">
        <f>RANK(CJ498,$CJ$2:$CJ$623)+COUNTIF($CJ$2:$CJ498,$CJ498)-1</f>
        <v>292</v>
      </c>
    </row>
    <row r="499" spans="1:90">
      <c r="A499" t="str">
        <f>Players!P500</f>
        <v>Jens Stryger Larsen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3000000</v>
      </c>
      <c r="H499" s="16">
        <f>INDEX('Team forecast'!$B$2:$AO$26,MATCH('Master data'!$B499,'Team forecast'!$B$2:$B$26,0),MATCH('Master data'!H$1,'Team forecast'!$B$2:$AO$2,0))</f>
        <v>1.6608440904336361</v>
      </c>
      <c r="I499" s="16">
        <f>INDEX('Team forecast'!$B$2:$AO$26,MATCH('Master data'!$B499,'Team forecast'!$B$2:$B$26,0),MATCH('Master data'!I$1,'Team forecast'!$B$2:$AO$2,0))</f>
        <v>0.59952758650922311</v>
      </c>
      <c r="J499" s="16">
        <f>INDEX('Team forecast'!$B$2:$AO$26,MATCH('Master data'!$B499,'Team forecast'!$B$2:$B$26,0),MATCH('Master data'!J$1,'Team forecast'!$B$2:$AO$2,0))</f>
        <v>0.54907096336484029</v>
      </c>
      <c r="K499" s="16">
        <f>INDEX('Team forecast'!$B$2:$AO$26,MATCH('Master data'!$B499,'Team forecast'!$B$2:$B$26,0),MATCH('Master data'!K$1,'Team forecast'!$B$2:$AO$2,0))</f>
        <v>4.1898566826848551</v>
      </c>
      <c r="L499" s="16">
        <f>INDEX('Team forecast'!$B$2:$AO$26,MATCH('Master data'!$B499,'Team forecast'!$B$2:$B$26,0),MATCH('Master data'!L$1,'Team forecast'!$B$2:$AO$2,0))</f>
        <v>1.7709122555349361</v>
      </c>
      <c r="M499">
        <f>IF(Players!BC500=1,95,0)</f>
        <v>0</v>
      </c>
      <c r="N499" s="2">
        <f>Players!BN500</f>
        <v>0</v>
      </c>
      <c r="O499" s="2">
        <f>Players!BO500</f>
        <v>0</v>
      </c>
      <c r="P499" s="2">
        <f>Players!BP500</f>
        <v>0</v>
      </c>
      <c r="Q499" s="2">
        <f>Players!BQ500</f>
        <v>0</v>
      </c>
      <c r="R499" s="2">
        <f>Players!BR500</f>
        <v>0</v>
      </c>
      <c r="S499" s="2">
        <f t="shared" si="259"/>
        <v>1.6608440904336361</v>
      </c>
      <c r="T499" s="2">
        <f t="shared" si="260"/>
        <v>0.59952758650922311</v>
      </c>
      <c r="U499" s="16">
        <f>INDEX('Team forecast'!$B$2:$AO$26,MATCH('Master data'!$B499,'Team forecast'!$B$2:$B$26,0),MATCH('Master data'!U$1,'Team forecast'!$B$2:$AO$2,0))</f>
        <v>0.65509845973874048</v>
      </c>
      <c r="V499" s="16">
        <f>INDEX('Team forecast'!$B$2:$AO$26,MATCH('Master data'!$B499,'Team forecast'!$B$2:$B$26,0),MATCH('Master data'!V$1,'Team forecast'!$B$2:$AO$2,0))</f>
        <v>0.22616494443361279</v>
      </c>
      <c r="W499" s="16">
        <f>INDEX('Team forecast'!$B$2:$AO$26,MATCH('Master data'!$B499,'Team forecast'!$B$2:$B$26,0),MATCH('Master data'!W$1,'Team forecast'!$B$2:$AO$2,0))</f>
        <v>0.1187365958276467</v>
      </c>
      <c r="X499" s="5">
        <f t="shared" si="261"/>
        <v>-5000</v>
      </c>
      <c r="Y499" s="5">
        <f t="shared" si="262"/>
        <v>0</v>
      </c>
      <c r="Z499" s="5">
        <f t="shared" si="263"/>
        <v>0</v>
      </c>
      <c r="AA499" s="5">
        <f t="shared" si="264"/>
        <v>0</v>
      </c>
      <c r="AB499" s="5">
        <f t="shared" si="265"/>
        <v>0</v>
      </c>
      <c r="AC499" s="5">
        <f t="shared" si="266"/>
        <v>0</v>
      </c>
      <c r="AD499" s="5">
        <f t="shared" si="267"/>
        <v>0</v>
      </c>
      <c r="AE499" s="5">
        <f t="shared" si="268"/>
        <v>27453.548168242014</v>
      </c>
      <c r="AF499" s="5">
        <f t="shared" si="269"/>
        <v>0</v>
      </c>
      <c r="AG499" s="5">
        <f t="shared" si="270"/>
        <v>0</v>
      </c>
      <c r="AH499" s="5">
        <f t="shared" si="271"/>
        <v>0</v>
      </c>
      <c r="AI499" s="5">
        <f t="shared" si="272"/>
        <v>0</v>
      </c>
      <c r="AJ499" s="5">
        <f t="shared" si="273"/>
        <v>0</v>
      </c>
      <c r="AK499" s="5">
        <f>IFERROR(SUM(X499:AJ499),-5000)*((Cockpit!$C$3)^0)</f>
        <v>22453.548168242014</v>
      </c>
      <c r="AL499" s="16">
        <f>INDEX('Team forecast'!$B$2:$AO$26,MATCH('Master data'!$B499,'Team forecast'!$B$2:$B$26,0),MATCH('Master data'!AL$1,'Team forecast'!$B$2:$AO$2,0))</f>
        <v>1.1610121970988967</v>
      </c>
      <c r="AM499" s="16">
        <f>INDEX('Team forecast'!$B$2:$AO$26,MATCH('Master data'!$B499,'Team forecast'!$B$2:$B$26,0),MATCH('Master data'!AM$1,'Team forecast'!$B$2:$AO$2,0))</f>
        <v>1.5279674504451852</v>
      </c>
      <c r="AN499" s="16">
        <f>INDEX('Team forecast'!$B$2:$AO$26,MATCH('Master data'!$B499,'Team forecast'!$B$2:$B$26,0),MATCH('Master data'!AN$1,'Team forecast'!$B$2:$AO$2,0))</f>
        <v>0.21697623437572761</v>
      </c>
      <c r="AO499" s="16">
        <f>INDEX('Team forecast'!$B$2:$AO$26,MATCH('Master data'!$B499,'Team forecast'!$B$2:$B$26,0),MATCH('Master data'!AO$1,'Team forecast'!$B$2:$AO$2,0))</f>
        <v>2.9289171335903985</v>
      </c>
      <c r="AP499" s="16">
        <f>INDEX('Team forecast'!$B$2:$AO$26,MATCH('Master data'!$B499,'Team forecast'!$B$2:$B$26,0),MATCH('Master data'!AP$1,'Team forecast'!$B$2:$AO$2,0))</f>
        <v>4.5133807766996243</v>
      </c>
      <c r="AQ499" s="5">
        <f t="shared" si="274"/>
        <v>-5000</v>
      </c>
      <c r="AR499" s="5">
        <f>INDEX('Team forecast'!$B$2:$AO$26,MATCH('Master data'!$B499,'Team forecast'!$B$2:$B$26,0),MATCH('Master data'!AR$1,'Team forecast'!$B$2:$AO$2,0))*IF(X499&gt;0,25000,0)</f>
        <v>0</v>
      </c>
      <c r="AS499" s="16">
        <f>INDEX('Team forecast'!$B$2:$AO$26,MATCH('Master data'!$B499,'Team forecast'!$B$2:$B$26,0),MATCH('Master data'!AS$1,'Team forecast'!$B$2:$AO$2,0))*IF(X499&gt;0,5000,0)</f>
        <v>0</v>
      </c>
      <c r="AT499" s="16">
        <f>INDEX('Team forecast'!$B$2:$AO$26,MATCH('Master data'!$B499,'Team forecast'!$B$2:$B$26,0),MATCH('Master data'!AT$1,'Team forecast'!$B$2:$AO$2,0))*IF(X499&gt;0,-15000,0)</f>
        <v>0</v>
      </c>
      <c r="AU499" s="5">
        <f t="shared" si="275"/>
        <v>0</v>
      </c>
      <c r="AV499" s="5">
        <f t="shared" si="276"/>
        <v>0</v>
      </c>
      <c r="AW499" s="5">
        <f t="shared" si="277"/>
        <v>0</v>
      </c>
      <c r="AX499" s="5">
        <f t="shared" si="278"/>
        <v>10848.811718786381</v>
      </c>
      <c r="AY499" s="5">
        <f t="shared" si="279"/>
        <v>0</v>
      </c>
      <c r="AZ499" s="5">
        <f t="shared" si="280"/>
        <v>0</v>
      </c>
      <c r="BA499" s="5">
        <f t="shared" si="281"/>
        <v>0</v>
      </c>
      <c r="BB499" s="5">
        <f t="shared" si="282"/>
        <v>0</v>
      </c>
      <c r="BC499" s="5">
        <f t="shared" si="283"/>
        <v>0</v>
      </c>
      <c r="BD499" s="5">
        <f t="shared" si="284"/>
        <v>5848.8117187863809</v>
      </c>
      <c r="BE499" s="16">
        <f>INDEX('Team forecast'!$B$2:$AO$26,MATCH('Master data'!$B499,'Team forecast'!$B$2:$B$26,0),MATCH('Master data'!BE$1,'Team forecast'!$B$2:$AO$2,0))</f>
        <v>1.5053002864585165</v>
      </c>
      <c r="BF499" s="16">
        <f>INDEX('Team forecast'!$B$2:$AO$26,MATCH('Master data'!$B499,'Team forecast'!$B$2:$B$26,0),MATCH('Master data'!BF$1,'Team forecast'!$B$2:$AO$2,0))</f>
        <v>0.95602347631827322</v>
      </c>
      <c r="BG499" s="16">
        <f>INDEX('Team forecast'!$B$2:$AO$26,MATCH('Master data'!$B499,'Team forecast'!$B$2:$B$26,0),MATCH('Master data'!BG$1,'Team forecast'!$B$2:$AO$2,0))</f>
        <v>0.38441849991338989</v>
      </c>
      <c r="BH499" s="16">
        <f>INDEX('Team forecast'!$B$2:$AO$26,MATCH('Master data'!$B499,'Team forecast'!$B$2:$B$26,0),MATCH('Master data'!BH$1,'Team forecast'!$B$2:$AO$2,0))</f>
        <v>3.7974620862930761</v>
      </c>
      <c r="BI499" s="16">
        <f>INDEX('Team forecast'!$B$2:$AO$26,MATCH('Master data'!$B499,'Team forecast'!$B$2:$B$26,0),MATCH('Master data'!BI$1,'Team forecast'!$B$2:$AO$2,0))</f>
        <v>2.8239462685093613</v>
      </c>
      <c r="BJ499" s="5">
        <f t="shared" si="285"/>
        <v>-5000</v>
      </c>
      <c r="BK499" s="5">
        <f>INDEX('Team forecast'!$R$3:$BH$26,MATCH($B499,'Team forecast'!$B$3:$B$26,0),MATCH(BK$1,'Team forecast'!$R$2:$BH$2,0))*IF($X499&gt;0,25000,0)</f>
        <v>0</v>
      </c>
      <c r="BL499" s="5">
        <f>INDEX('Team forecast'!$R$3:$BH$26,MATCH($B499,'Team forecast'!$B$3:$B$26,0),MATCH(BL$1,'Team forecast'!$R$2:$BH$2,0))*IF($X499&gt;0,5000,0)</f>
        <v>0</v>
      </c>
      <c r="BM499" s="5">
        <f>INDEX('Team forecast'!$R$3:$BH$26,MATCH($B499,'Team forecast'!$B$3:$B$26,0),MATCH(BM$1,'Team forecast'!$R$2:$BH$2,0))*IF($X499&gt;0,-15000,0)</f>
        <v>0</v>
      </c>
      <c r="BN499" s="5">
        <f t="shared" si="286"/>
        <v>0</v>
      </c>
      <c r="BO499" s="5">
        <f t="shared" si="287"/>
        <v>0</v>
      </c>
      <c r="BP499" s="5">
        <f t="shared" si="288"/>
        <v>0</v>
      </c>
      <c r="BQ499" s="5">
        <f t="shared" si="289"/>
        <v>19220.924995669495</v>
      </c>
      <c r="BR499" s="5">
        <f t="shared" si="290"/>
        <v>0</v>
      </c>
      <c r="BS499" s="5">
        <f t="shared" si="291"/>
        <v>0</v>
      </c>
      <c r="BT499" s="5">
        <f t="shared" si="292"/>
        <v>0</v>
      </c>
      <c r="BU499" s="5">
        <f t="shared" si="293"/>
        <v>0</v>
      </c>
      <c r="BV499" s="5">
        <f t="shared" si="294"/>
        <v>0</v>
      </c>
      <c r="BW499" s="5">
        <f t="shared" si="295"/>
        <v>14220.924995669495</v>
      </c>
      <c r="BX499" s="5">
        <f t="shared" si="296"/>
        <v>14174.42829423263</v>
      </c>
      <c r="BY499" s="5">
        <f t="shared" si="297"/>
        <v>42523.284882697888</v>
      </c>
      <c r="BZ499" s="5">
        <f>INDEX('Team forecast'!$R$3:$BH$26,MATCH($B499,'Team forecast'!$B$3:$B$26,0),MATCH(BZ$1,'Team forecast'!$R$2:$BH$2,0))*($BX499-(BY499+CH499)*0.01)</f>
        <v>-13197.193484807807</v>
      </c>
      <c r="CA499" s="5">
        <f>INDEX('Team forecast'!$R$3:$BH$26,MATCH($B499,'Team forecast'!$B$3:$B$26,0),MATCH(CA$1,'Team forecast'!$R$2:$BH$2,0))*($BX499-(BY499+BX499+CH499)*0.01)</f>
        <v>-6606.9617736916216</v>
      </c>
      <c r="CB499" s="5">
        <f>INDEX('Team forecast'!$R$3:$BH$26,MATCH($B499,'Team forecast'!$B$3:$B$26,0),MATCH(CB$1,'Team forecast'!$R$2:$BH$2,0))*($BX499-(BY499+BX499*2+CH499)*0.01)</f>
        <v>-3285.3490038181712</v>
      </c>
      <c r="CC499" s="5">
        <f>INDEX('Team forecast'!$R$3:$BH$26,MATCH($B499,'Team forecast'!$B$3:$B$26,0),MATCH(CC$1,'Team forecast'!$R$2:$BH$2,0))*($BX499-(BY499+BX499*3+CH499)*0.01)</f>
        <v>-1596.0264152643153</v>
      </c>
      <c r="CD499" s="5">
        <f>+AK499+BD499*Cockpit!$C$3+BW499*Cockpit!$C$3^2+BZ499*Cockpit!$C$3^3+CA499*Cockpit!$C$3^4+CB499*Cockpit!$C$3^5+CC499*Cockpit!$C$3^6</f>
        <v>26885.052572705052</v>
      </c>
      <c r="CE499" s="5"/>
      <c r="CF499" s="5"/>
      <c r="CG499" s="5">
        <v>0</v>
      </c>
      <c r="CH499" s="5">
        <f t="shared" si="298"/>
        <v>3000000</v>
      </c>
      <c r="CI499" s="5">
        <f t="shared" si="299"/>
        <v>3000000</v>
      </c>
      <c r="CJ499" s="1">
        <f t="shared" si="300"/>
        <v>1.4174428294232629E-2</v>
      </c>
      <c r="CK499" s="5">
        <f>RANK(BY499,$BY$2:$BY$623)+COUNTIF($BY$2:$BY499,$BY499)-1</f>
        <v>302</v>
      </c>
      <c r="CL499" s="5">
        <f>RANK(CJ499,$CJ$2:$CJ$623)+COUNTIF($CJ$2:$CJ499,$CJ499)-1</f>
        <v>315</v>
      </c>
    </row>
    <row r="500" spans="1:90">
      <c r="A500" t="str">
        <f>Players!P501</f>
        <v>Joakim Maehle</v>
      </c>
      <c r="B500" t="str">
        <f>Players!G501</f>
        <v>Denmark</v>
      </c>
      <c r="C500" t="str">
        <f>Players!AB501</f>
        <v>Defense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3500000</v>
      </c>
      <c r="H500" s="16">
        <f>INDEX('Team forecast'!$B$2:$AO$26,MATCH('Master data'!$B500,'Team forecast'!$B$2:$B$26,0),MATCH('Master data'!H$1,'Team forecast'!$B$2:$AO$2,0))</f>
        <v>1.6608440904336361</v>
      </c>
      <c r="I500" s="16">
        <f>INDEX('Team forecast'!$B$2:$AO$26,MATCH('Master data'!$B500,'Team forecast'!$B$2:$B$26,0),MATCH('Master data'!I$1,'Team forecast'!$B$2:$AO$2,0))</f>
        <v>0.59952758650922311</v>
      </c>
      <c r="J500" s="16">
        <f>INDEX('Team forecast'!$B$2:$AO$26,MATCH('Master data'!$B500,'Team forecast'!$B$2:$B$26,0),MATCH('Master data'!J$1,'Team forecast'!$B$2:$AO$2,0))</f>
        <v>0.54907096336484029</v>
      </c>
      <c r="K500" s="16">
        <f>INDEX('Team forecast'!$B$2:$AO$26,MATCH('Master data'!$B500,'Team forecast'!$B$2:$B$26,0),MATCH('Master data'!K$1,'Team forecast'!$B$2:$AO$2,0))</f>
        <v>4.1898566826848551</v>
      </c>
      <c r="L500" s="16">
        <f>INDEX('Team forecast'!$B$2:$AO$26,MATCH('Master data'!$B500,'Team forecast'!$B$2:$B$26,0),MATCH('Master data'!L$1,'Team forecast'!$B$2:$AO$2,0))</f>
        <v>1.7709122555349361</v>
      </c>
      <c r="M500">
        <f>IF(Players!BC501=1,95,0)</f>
        <v>95</v>
      </c>
      <c r="N500" s="2">
        <f>Players!BN501</f>
        <v>2.5498865233609481E-2</v>
      </c>
      <c r="O500" s="2">
        <f>Players!BO501</f>
        <v>0.11523784938717234</v>
      </c>
      <c r="P500" s="2">
        <f>Players!BP501</f>
        <v>0.10064633471099055</v>
      </c>
      <c r="Q500" s="2">
        <f>Players!BQ501</f>
        <v>0.27</v>
      </c>
      <c r="R500" s="2">
        <f>Players!BR501</f>
        <v>0</v>
      </c>
      <c r="S500" s="2">
        <f t="shared" si="259"/>
        <v>1.6608440904336361</v>
      </c>
      <c r="T500" s="2">
        <f t="shared" si="260"/>
        <v>0.59952758650922311</v>
      </c>
      <c r="U500" s="16">
        <f>INDEX('Team forecast'!$B$2:$AO$26,MATCH('Master data'!$B500,'Team forecast'!$B$2:$B$26,0),MATCH('Master data'!U$1,'Team forecast'!$B$2:$AO$2,0))</f>
        <v>0.65509845973874048</v>
      </c>
      <c r="V500" s="16">
        <f>INDEX('Team forecast'!$B$2:$AO$26,MATCH('Master data'!$B500,'Team forecast'!$B$2:$B$26,0),MATCH('Master data'!V$1,'Team forecast'!$B$2:$AO$2,0))</f>
        <v>0.22616494443361279</v>
      </c>
      <c r="W500" s="16">
        <f>INDEX('Team forecast'!$B$2:$AO$26,MATCH('Master data'!$B500,'Team forecast'!$B$2:$B$26,0),MATCH('Master data'!W$1,'Team forecast'!$B$2:$AO$2,0))</f>
        <v>0.1187365958276467</v>
      </c>
      <c r="X500" s="5">
        <f t="shared" si="261"/>
        <v>7000</v>
      </c>
      <c r="Y500" s="5">
        <f t="shared" si="262"/>
        <v>16377.461493468512</v>
      </c>
      <c r="Z500" s="5">
        <f t="shared" si="263"/>
        <v>1130.824722168064</v>
      </c>
      <c r="AA500" s="5">
        <f t="shared" si="264"/>
        <v>-1781.0489374147005</v>
      </c>
      <c r="AB500" s="5">
        <f t="shared" si="265"/>
        <v>6352.445945400601</v>
      </c>
      <c r="AC500" s="5">
        <f t="shared" si="266"/>
        <v>9569.6050574483288</v>
      </c>
      <c r="AD500" s="5">
        <f t="shared" si="267"/>
        <v>4216.9371807658044</v>
      </c>
      <c r="AE500" s="5">
        <f t="shared" si="268"/>
        <v>27453.548168242014</v>
      </c>
      <c r="AF500" s="5">
        <f t="shared" si="269"/>
        <v>0</v>
      </c>
      <c r="AG500" s="5">
        <f t="shared" si="270"/>
        <v>-5400</v>
      </c>
      <c r="AH500" s="5">
        <f t="shared" si="271"/>
        <v>0</v>
      </c>
      <c r="AI500" s="5">
        <f t="shared" si="272"/>
        <v>16608.440904336363</v>
      </c>
      <c r="AJ500" s="5">
        <f t="shared" si="273"/>
        <v>-4796.2206920737844</v>
      </c>
      <c r="AK500" s="5">
        <f>IFERROR(SUM(X500:AJ500),-5000)*((Cockpit!$C$3)^0)</f>
        <v>76731.99384234121</v>
      </c>
      <c r="AL500" s="16">
        <f>INDEX('Team forecast'!$B$2:$AO$26,MATCH('Master data'!$B500,'Team forecast'!$B$2:$B$26,0),MATCH('Master data'!AL$1,'Team forecast'!$B$2:$AO$2,0))</f>
        <v>1.1610121970988967</v>
      </c>
      <c r="AM500" s="16">
        <f>INDEX('Team forecast'!$B$2:$AO$26,MATCH('Master data'!$B500,'Team forecast'!$B$2:$B$26,0),MATCH('Master data'!AM$1,'Team forecast'!$B$2:$AO$2,0))</f>
        <v>1.5279674504451852</v>
      </c>
      <c r="AN500" s="16">
        <f>INDEX('Team forecast'!$B$2:$AO$26,MATCH('Master data'!$B500,'Team forecast'!$B$2:$B$26,0),MATCH('Master data'!AN$1,'Team forecast'!$B$2:$AO$2,0))</f>
        <v>0.21697623437572761</v>
      </c>
      <c r="AO500" s="16">
        <f>INDEX('Team forecast'!$B$2:$AO$26,MATCH('Master data'!$B500,'Team forecast'!$B$2:$B$26,0),MATCH('Master data'!AO$1,'Team forecast'!$B$2:$AO$2,0))</f>
        <v>2.9289171335903985</v>
      </c>
      <c r="AP500" s="16">
        <f>INDEX('Team forecast'!$B$2:$AO$26,MATCH('Master data'!$B500,'Team forecast'!$B$2:$B$26,0),MATCH('Master data'!AP$1,'Team forecast'!$B$2:$AO$2,0))</f>
        <v>4.5133807766996243</v>
      </c>
      <c r="AQ500" s="5">
        <f t="shared" si="274"/>
        <v>7000</v>
      </c>
      <c r="AR500" s="5">
        <f>INDEX('Team forecast'!$B$2:$AO$26,MATCH('Master data'!$B500,'Team forecast'!$B$2:$B$26,0),MATCH('Master data'!AR$1,'Team forecast'!$B$2:$AO$2,0))*IF(X500&gt;0,25000,0)</f>
        <v>6348.0209111277081</v>
      </c>
      <c r="AS500" s="16">
        <f>INDEX('Team forecast'!$B$2:$AO$26,MATCH('Master data'!$B500,'Team forecast'!$B$2:$B$26,0),MATCH('Master data'!AS$1,'Team forecast'!$B$2:$AO$2,0))*IF(X500&gt;0,5000,0)</f>
        <v>1381.628080657207</v>
      </c>
      <c r="AT500" s="16">
        <f>INDEX('Team forecast'!$B$2:$AO$26,MATCH('Master data'!$B500,'Team forecast'!$B$2:$B$26,0),MATCH('Master data'!AT$1,'Team forecast'!$B$2:$AO$2,0))*IF(X500&gt;0,-15000,0)</f>
        <v>-7046.3032113517547</v>
      </c>
      <c r="AU500" s="5">
        <f t="shared" si="275"/>
        <v>4440.6740322602427</v>
      </c>
      <c r="AV500" s="5">
        <f t="shared" si="276"/>
        <v>6689.6274352976352</v>
      </c>
      <c r="AW500" s="5">
        <f t="shared" si="277"/>
        <v>2947.8477416809428</v>
      </c>
      <c r="AX500" s="5">
        <f t="shared" si="278"/>
        <v>10848.811718786381</v>
      </c>
      <c r="AY500" s="5">
        <f t="shared" si="279"/>
        <v>0</v>
      </c>
      <c r="AZ500" s="5">
        <f t="shared" si="280"/>
        <v>-5400</v>
      </c>
      <c r="BA500" s="5">
        <f t="shared" si="281"/>
        <v>0</v>
      </c>
      <c r="BB500" s="5">
        <f t="shared" si="282"/>
        <v>11610.121970988966</v>
      </c>
      <c r="BC500" s="5">
        <f t="shared" si="283"/>
        <v>-12223.739603561482</v>
      </c>
      <c r="BD500" s="5">
        <f t="shared" si="284"/>
        <v>26596.68907588585</v>
      </c>
      <c r="BE500" s="16">
        <f>INDEX('Team forecast'!$B$2:$AO$26,MATCH('Master data'!$B500,'Team forecast'!$B$2:$B$26,0),MATCH('Master data'!BE$1,'Team forecast'!$B$2:$AO$2,0))</f>
        <v>1.5053002864585165</v>
      </c>
      <c r="BF500" s="16">
        <f>INDEX('Team forecast'!$B$2:$AO$26,MATCH('Master data'!$B500,'Team forecast'!$B$2:$B$26,0),MATCH('Master data'!BF$1,'Team forecast'!$B$2:$AO$2,0))</f>
        <v>0.95602347631827322</v>
      </c>
      <c r="BG500" s="16">
        <f>INDEX('Team forecast'!$B$2:$AO$26,MATCH('Master data'!$B500,'Team forecast'!$B$2:$B$26,0),MATCH('Master data'!BG$1,'Team forecast'!$B$2:$AO$2,0))</f>
        <v>0.38441849991338989</v>
      </c>
      <c r="BH500" s="16">
        <f>INDEX('Team forecast'!$B$2:$AO$26,MATCH('Master data'!$B500,'Team forecast'!$B$2:$B$26,0),MATCH('Master data'!BH$1,'Team forecast'!$B$2:$AO$2,0))</f>
        <v>3.7974620862930761</v>
      </c>
      <c r="BI500" s="16">
        <f>INDEX('Team forecast'!$B$2:$AO$26,MATCH('Master data'!$B500,'Team forecast'!$B$2:$B$26,0),MATCH('Master data'!BI$1,'Team forecast'!$B$2:$AO$2,0))</f>
        <v>2.8239462685093613</v>
      </c>
      <c r="BJ500" s="5">
        <f t="shared" si="285"/>
        <v>7000</v>
      </c>
      <c r="BK500" s="5">
        <f>INDEX('Team forecast'!$R$3:$BH$26,MATCH($B500,'Team forecast'!$B$3:$B$26,0),MATCH(BK$1,'Team forecast'!$R$2:$BH$2,0))*IF($X500&gt;0,25000,0)</f>
        <v>12073.445349038628</v>
      </c>
      <c r="BL500" s="5">
        <f>INDEX('Team forecast'!$R$3:$BH$26,MATCH($B500,'Team forecast'!$B$3:$B$26,0),MATCH(BL$1,'Team forecast'!$R$2:$BH$2,0))*IF($X500&gt;0,5000,0)</f>
        <v>1413.30330850511</v>
      </c>
      <c r="BM500" s="5">
        <f>INDEX('Team forecast'!$R$3:$BH$26,MATCH($B500,'Team forecast'!$B$3:$B$26,0),MATCH(BM$1,'Team forecast'!$R$2:$BH$2,0))*IF($X500&gt;0,-15000,0)</f>
        <v>-3516.0228650614931</v>
      </c>
      <c r="BN500" s="5">
        <f t="shared" si="286"/>
        <v>5757.5173710779191</v>
      </c>
      <c r="BO500" s="5">
        <f t="shared" si="287"/>
        <v>8673.3783846686947</v>
      </c>
      <c r="BP500" s="5">
        <f t="shared" si="288"/>
        <v>3822.0064018934941</v>
      </c>
      <c r="BQ500" s="5">
        <f t="shared" si="289"/>
        <v>19220.924995669495</v>
      </c>
      <c r="BR500" s="5">
        <f t="shared" si="290"/>
        <v>0</v>
      </c>
      <c r="BS500" s="5">
        <f t="shared" si="291"/>
        <v>-5400</v>
      </c>
      <c r="BT500" s="5">
        <f t="shared" si="292"/>
        <v>0</v>
      </c>
      <c r="BU500" s="5">
        <f t="shared" si="293"/>
        <v>15053.002864585165</v>
      </c>
      <c r="BV500" s="5">
        <f t="shared" si="294"/>
        <v>-7648.1878105461856</v>
      </c>
      <c r="BW500" s="5">
        <f t="shared" si="295"/>
        <v>56449.367999830822</v>
      </c>
      <c r="BX500" s="5">
        <f t="shared" si="296"/>
        <v>53259.350306019296</v>
      </c>
      <c r="BY500" s="5">
        <f t="shared" si="297"/>
        <v>159778.05091805788</v>
      </c>
      <c r="BZ500" s="5">
        <f>INDEX('Team forecast'!$R$3:$BH$26,MATCH($B500,'Team forecast'!$B$3:$B$26,0),MATCH(BZ$1,'Team forecast'!$R$2:$BH$2,0))*($BX500-(BY500+CH500)*0.01)</f>
        <v>13530.773792202514</v>
      </c>
      <c r="CA500" s="5">
        <f>INDEX('Team forecast'!$R$3:$BH$26,MATCH($B500,'Team forecast'!$B$3:$B$26,0),MATCH(CA$1,'Team forecast'!$R$2:$BH$2,0))*($BX500-(BY500+BX500+CH500)*0.01)</f>
        <v>6500.7297448312156</v>
      </c>
      <c r="CB500" s="5">
        <f>INDEX('Team forecast'!$R$3:$BH$26,MATCH($B500,'Team forecast'!$B$3:$B$26,0),MATCH(CB$1,'Team forecast'!$R$2:$BH$2,0))*($BX500-(BY500+BX500*2+CH500)*0.01)</f>
        <v>3098.9870743968577</v>
      </c>
      <c r="CC500" s="5">
        <f>INDEX('Team forecast'!$R$3:$BH$26,MATCH($B500,'Team forecast'!$B$3:$B$26,0),MATCH(CC$1,'Team forecast'!$R$2:$BH$2,0))*($BX500-(BY500+BX500*3+CH500)*0.01)</f>
        <v>1441.7217373322399</v>
      </c>
      <c r="CD500" s="5">
        <f>+AK500+BD500*Cockpit!$C$3+BW500*Cockpit!$C$3^2+BZ500*Cockpit!$C$3^3+CA500*Cockpit!$C$3^4+CB500*Cockpit!$C$3^5+CC500*Cockpit!$C$3^6</f>
        <v>125379.60878819649</v>
      </c>
      <c r="CE500" s="5"/>
      <c r="CF500" s="5"/>
      <c r="CG500" s="5">
        <v>0</v>
      </c>
      <c r="CH500" s="5">
        <f t="shared" si="298"/>
        <v>3500000</v>
      </c>
      <c r="CI500" s="5">
        <f t="shared" si="299"/>
        <v>3500000</v>
      </c>
      <c r="CJ500" s="1">
        <f t="shared" si="300"/>
        <v>4.565087169087368E-2</v>
      </c>
      <c r="CK500" s="5">
        <f>RANK(BY500,$BY$2:$BY$623)+COUNTIF($BY$2:$BY500,$BY500)-1</f>
        <v>89</v>
      </c>
      <c r="CL500" s="5">
        <f>RANK(CJ500,$CJ$2:$CJ$623)+COUNTIF($CJ$2:$CJ500,$CJ500)-1</f>
        <v>51</v>
      </c>
    </row>
    <row r="501" spans="1:90">
      <c r="A501" t="str">
        <f>Players!P502</f>
        <v>Robert Skov</v>
      </c>
      <c r="B501" t="str">
        <f>Players!G502</f>
        <v>Denmark</v>
      </c>
      <c r="C501" t="str">
        <f>Players!AB502</f>
        <v>Striker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3000000</v>
      </c>
      <c r="H501" s="16">
        <f>INDEX('Team forecast'!$B$2:$AO$26,MATCH('Master data'!$B501,'Team forecast'!$B$2:$B$26,0),MATCH('Master data'!H$1,'Team forecast'!$B$2:$AO$2,0))</f>
        <v>1.6608440904336361</v>
      </c>
      <c r="I501" s="16">
        <f>INDEX('Team forecast'!$B$2:$AO$26,MATCH('Master data'!$B501,'Team forecast'!$B$2:$B$26,0),MATCH('Master data'!I$1,'Team forecast'!$B$2:$AO$2,0))</f>
        <v>0.59952758650922311</v>
      </c>
      <c r="J501" s="16">
        <f>INDEX('Team forecast'!$B$2:$AO$26,MATCH('Master data'!$B501,'Team forecast'!$B$2:$B$26,0),MATCH('Master data'!J$1,'Team forecast'!$B$2:$AO$2,0))</f>
        <v>0.54907096336484029</v>
      </c>
      <c r="K501" s="16">
        <f>INDEX('Team forecast'!$B$2:$AO$26,MATCH('Master data'!$B501,'Team forecast'!$B$2:$B$26,0),MATCH('Master data'!K$1,'Team forecast'!$B$2:$AO$2,0))</f>
        <v>4.1898566826848551</v>
      </c>
      <c r="L501" s="16">
        <f>INDEX('Team forecast'!$B$2:$AO$26,MATCH('Master data'!$B501,'Team forecast'!$B$2:$B$26,0),MATCH('Master data'!L$1,'Team forecast'!$B$2:$AO$2,0))</f>
        <v>1.7709122555349361</v>
      </c>
      <c r="M501">
        <f>IF(Players!BC502=1,95,0)</f>
        <v>0</v>
      </c>
      <c r="N501" s="2">
        <f>Players!BN502</f>
        <v>0</v>
      </c>
      <c r="O501" s="2">
        <f>Players!BO502</f>
        <v>0</v>
      </c>
      <c r="P501" s="2">
        <f>Players!BP502</f>
        <v>0</v>
      </c>
      <c r="Q501" s="2">
        <f>Players!BQ502</f>
        <v>0</v>
      </c>
      <c r="R501" s="2">
        <f>Players!BR502</f>
        <v>0.06</v>
      </c>
      <c r="S501" s="2">
        <f t="shared" si="259"/>
        <v>1.6608440904336361</v>
      </c>
      <c r="T501" s="2">
        <f t="shared" si="260"/>
        <v>0.59952758650922311</v>
      </c>
      <c r="U501" s="16">
        <f>INDEX('Team forecast'!$B$2:$AO$26,MATCH('Master data'!$B501,'Team forecast'!$B$2:$B$26,0),MATCH('Master data'!U$1,'Team forecast'!$B$2:$AO$2,0))</f>
        <v>0.65509845973874048</v>
      </c>
      <c r="V501" s="16">
        <f>INDEX('Team forecast'!$B$2:$AO$26,MATCH('Master data'!$B501,'Team forecast'!$B$2:$B$26,0),MATCH('Master data'!V$1,'Team forecast'!$B$2:$AO$2,0))</f>
        <v>0.22616494443361279</v>
      </c>
      <c r="W501" s="16">
        <f>INDEX('Team forecast'!$B$2:$AO$26,MATCH('Master data'!$B501,'Team forecast'!$B$2:$B$26,0),MATCH('Master data'!W$1,'Team forecast'!$B$2:$AO$2,0))</f>
        <v>0.1187365958276467</v>
      </c>
      <c r="X501" s="5">
        <f t="shared" si="261"/>
        <v>-5000</v>
      </c>
      <c r="Y501" s="5">
        <f t="shared" si="262"/>
        <v>0</v>
      </c>
      <c r="Z501" s="5">
        <f t="shared" si="263"/>
        <v>0</v>
      </c>
      <c r="AA501" s="5">
        <f t="shared" si="264"/>
        <v>0</v>
      </c>
      <c r="AB501" s="5">
        <f t="shared" si="265"/>
        <v>0</v>
      </c>
      <c r="AC501" s="5">
        <f t="shared" si="266"/>
        <v>0</v>
      </c>
      <c r="AD501" s="5">
        <f t="shared" si="267"/>
        <v>0</v>
      </c>
      <c r="AE501" s="5">
        <f t="shared" si="268"/>
        <v>0</v>
      </c>
      <c r="AF501" s="5">
        <f t="shared" si="269"/>
        <v>0</v>
      </c>
      <c r="AG501" s="5">
        <f t="shared" si="270"/>
        <v>0</v>
      </c>
      <c r="AH501" s="5">
        <f t="shared" si="271"/>
        <v>0</v>
      </c>
      <c r="AI501" s="5">
        <f t="shared" si="272"/>
        <v>0</v>
      </c>
      <c r="AJ501" s="5">
        <f t="shared" si="273"/>
        <v>0</v>
      </c>
      <c r="AK501" s="5">
        <f>IFERROR(SUM(X501:AJ501),-5000)*((Cockpit!$C$3)^0)</f>
        <v>-5000</v>
      </c>
      <c r="AL501" s="16">
        <f>INDEX('Team forecast'!$B$2:$AO$26,MATCH('Master data'!$B501,'Team forecast'!$B$2:$B$26,0),MATCH('Master data'!AL$1,'Team forecast'!$B$2:$AO$2,0))</f>
        <v>1.1610121970988967</v>
      </c>
      <c r="AM501" s="16">
        <f>INDEX('Team forecast'!$B$2:$AO$26,MATCH('Master data'!$B501,'Team forecast'!$B$2:$B$26,0),MATCH('Master data'!AM$1,'Team forecast'!$B$2:$AO$2,0))</f>
        <v>1.5279674504451852</v>
      </c>
      <c r="AN501" s="16">
        <f>INDEX('Team forecast'!$B$2:$AO$26,MATCH('Master data'!$B501,'Team forecast'!$B$2:$B$26,0),MATCH('Master data'!AN$1,'Team forecast'!$B$2:$AO$2,0))</f>
        <v>0.21697623437572761</v>
      </c>
      <c r="AO501" s="16">
        <f>INDEX('Team forecast'!$B$2:$AO$26,MATCH('Master data'!$B501,'Team forecast'!$B$2:$B$26,0),MATCH('Master data'!AO$1,'Team forecast'!$B$2:$AO$2,0))</f>
        <v>2.9289171335903985</v>
      </c>
      <c r="AP501" s="16">
        <f>INDEX('Team forecast'!$B$2:$AO$26,MATCH('Master data'!$B501,'Team forecast'!$B$2:$B$26,0),MATCH('Master data'!AP$1,'Team forecast'!$B$2:$AO$2,0))</f>
        <v>4.5133807766996243</v>
      </c>
      <c r="AQ501" s="5">
        <f t="shared" si="274"/>
        <v>-5000</v>
      </c>
      <c r="AR501" s="5">
        <f>INDEX('Team forecast'!$B$2:$AO$26,MATCH('Master data'!$B501,'Team forecast'!$B$2:$B$26,0),MATCH('Master data'!AR$1,'Team forecast'!$B$2:$AO$2,0))*IF(X501&gt;0,25000,0)</f>
        <v>0</v>
      </c>
      <c r="AS501" s="16">
        <f>INDEX('Team forecast'!$B$2:$AO$26,MATCH('Master data'!$B501,'Team forecast'!$B$2:$B$26,0),MATCH('Master data'!AS$1,'Team forecast'!$B$2:$AO$2,0))*IF(X501&gt;0,5000,0)</f>
        <v>0</v>
      </c>
      <c r="AT501" s="16">
        <f>INDEX('Team forecast'!$B$2:$AO$26,MATCH('Master data'!$B501,'Team forecast'!$B$2:$B$26,0),MATCH('Master data'!AT$1,'Team forecast'!$B$2:$AO$2,0))*IF(X501&gt;0,-15000,0)</f>
        <v>0</v>
      </c>
      <c r="AU501" s="5">
        <f t="shared" si="275"/>
        <v>0</v>
      </c>
      <c r="AV501" s="5">
        <f t="shared" si="276"/>
        <v>0</v>
      </c>
      <c r="AW501" s="5">
        <f t="shared" si="277"/>
        <v>0</v>
      </c>
      <c r="AX501" s="5">
        <f t="shared" si="278"/>
        <v>0</v>
      </c>
      <c r="AY501" s="5">
        <f t="shared" si="279"/>
        <v>0</v>
      </c>
      <c r="AZ501" s="5">
        <f t="shared" si="280"/>
        <v>0</v>
      </c>
      <c r="BA501" s="5">
        <f t="shared" si="281"/>
        <v>0</v>
      </c>
      <c r="BB501" s="5">
        <f t="shared" si="282"/>
        <v>0</v>
      </c>
      <c r="BC501" s="5">
        <f t="shared" si="283"/>
        <v>0</v>
      </c>
      <c r="BD501" s="5">
        <f t="shared" si="284"/>
        <v>-5000</v>
      </c>
      <c r="BE501" s="16">
        <f>INDEX('Team forecast'!$B$2:$AO$26,MATCH('Master data'!$B501,'Team forecast'!$B$2:$B$26,0),MATCH('Master data'!BE$1,'Team forecast'!$B$2:$AO$2,0))</f>
        <v>1.5053002864585165</v>
      </c>
      <c r="BF501" s="16">
        <f>INDEX('Team forecast'!$B$2:$AO$26,MATCH('Master data'!$B501,'Team forecast'!$B$2:$B$26,0),MATCH('Master data'!BF$1,'Team forecast'!$B$2:$AO$2,0))</f>
        <v>0.95602347631827322</v>
      </c>
      <c r="BG501" s="16">
        <f>INDEX('Team forecast'!$B$2:$AO$26,MATCH('Master data'!$B501,'Team forecast'!$B$2:$B$26,0),MATCH('Master data'!BG$1,'Team forecast'!$B$2:$AO$2,0))</f>
        <v>0.38441849991338989</v>
      </c>
      <c r="BH501" s="16">
        <f>INDEX('Team forecast'!$B$2:$AO$26,MATCH('Master data'!$B501,'Team forecast'!$B$2:$B$26,0),MATCH('Master data'!BH$1,'Team forecast'!$B$2:$AO$2,0))</f>
        <v>3.7974620862930761</v>
      </c>
      <c r="BI501" s="16">
        <f>INDEX('Team forecast'!$B$2:$AO$26,MATCH('Master data'!$B501,'Team forecast'!$B$2:$B$26,0),MATCH('Master data'!BI$1,'Team forecast'!$B$2:$AO$2,0))</f>
        <v>2.8239462685093613</v>
      </c>
      <c r="BJ501" s="5">
        <f t="shared" si="285"/>
        <v>-5000</v>
      </c>
      <c r="BK501" s="5">
        <f>INDEX('Team forecast'!$R$3:$BH$26,MATCH($B501,'Team forecast'!$B$3:$B$26,0),MATCH(BK$1,'Team forecast'!$R$2:$BH$2,0))*IF($X501&gt;0,25000,0)</f>
        <v>0</v>
      </c>
      <c r="BL501" s="5">
        <f>INDEX('Team forecast'!$R$3:$BH$26,MATCH($B501,'Team forecast'!$B$3:$B$26,0),MATCH(BL$1,'Team forecast'!$R$2:$BH$2,0))*IF($X501&gt;0,5000,0)</f>
        <v>0</v>
      </c>
      <c r="BM501" s="5">
        <f>INDEX('Team forecast'!$R$3:$BH$26,MATCH($B501,'Team forecast'!$B$3:$B$26,0),MATCH(BM$1,'Team forecast'!$R$2:$BH$2,0))*IF($X501&gt;0,-15000,0)</f>
        <v>0</v>
      </c>
      <c r="BN501" s="5">
        <f t="shared" si="286"/>
        <v>0</v>
      </c>
      <c r="BO501" s="5">
        <f t="shared" si="287"/>
        <v>0</v>
      </c>
      <c r="BP501" s="5">
        <f t="shared" si="288"/>
        <v>0</v>
      </c>
      <c r="BQ501" s="5">
        <f t="shared" si="289"/>
        <v>0</v>
      </c>
      <c r="BR501" s="5">
        <f t="shared" si="290"/>
        <v>0</v>
      </c>
      <c r="BS501" s="5">
        <f t="shared" si="291"/>
        <v>0</v>
      </c>
      <c r="BT501" s="5">
        <f t="shared" si="292"/>
        <v>0</v>
      </c>
      <c r="BU501" s="5">
        <f t="shared" si="293"/>
        <v>0</v>
      </c>
      <c r="BV501" s="5">
        <f t="shared" si="294"/>
        <v>0</v>
      </c>
      <c r="BW501" s="5">
        <f t="shared" si="295"/>
        <v>-5000</v>
      </c>
      <c r="BX501" s="5">
        <f t="shared" si="296"/>
        <v>-5000</v>
      </c>
      <c r="BY501" s="5">
        <f t="shared" si="297"/>
        <v>-15000</v>
      </c>
      <c r="BZ501" s="5">
        <f>INDEX('Team forecast'!$R$3:$BH$26,MATCH($B501,'Team forecast'!$B$3:$B$26,0),MATCH(BZ$1,'Team forecast'!$R$2:$BH$2,0))*($BX501-(BY501+CH501)*0.01)</f>
        <v>-28301.502944081934</v>
      </c>
      <c r="CA501" s="5">
        <f>INDEX('Team forecast'!$R$3:$BH$26,MATCH($B501,'Team forecast'!$B$3:$B$26,0),MATCH(CA$1,'Team forecast'!$R$2:$BH$2,0))*($BX501-(BY501+BX501+CH501)*0.01)</f>
        <v>-14026.023164742881</v>
      </c>
      <c r="CB501" s="5">
        <f>INDEX('Team forecast'!$R$3:$BH$26,MATCH($B501,'Team forecast'!$B$3:$B$26,0),MATCH(CB$1,'Team forecast'!$R$2:$BH$2,0))*($BX501-(BY501+BX501*2+CH501)*0.01)</f>
        <v>-6904.7933921818603</v>
      </c>
      <c r="CC501" s="5">
        <f>INDEX('Team forecast'!$R$3:$BH$26,MATCH($B501,'Team forecast'!$B$3:$B$26,0),MATCH(CC$1,'Team forecast'!$R$2:$BH$2,0))*($BX501-(BY501+BX501*3+CH501)*0.01)</f>
        <v>-3321.0597499804899</v>
      </c>
      <c r="CD501" s="5">
        <f>+AK501+BD501*Cockpit!$C$3+BW501*Cockpit!$C$3^2+BZ501*Cockpit!$C$3^3+CA501*Cockpit!$C$3^4+CB501*Cockpit!$C$3^5+CC501*Cockpit!$C$3^6</f>
        <v>-22912.592539496411</v>
      </c>
      <c r="CE501" s="5"/>
      <c r="CF501" s="5"/>
      <c r="CG501" s="5">
        <v>0</v>
      </c>
      <c r="CH501" s="5">
        <f t="shared" si="298"/>
        <v>3000000</v>
      </c>
      <c r="CI501" s="5">
        <f t="shared" si="299"/>
        <v>3000000</v>
      </c>
      <c r="CJ501" s="1">
        <f t="shared" si="300"/>
        <v>-5.0000000000000001E-3</v>
      </c>
      <c r="CK501" s="5">
        <f>RANK(BY501,$BY$2:$BY$623)+COUNTIF($BY$2:$BY501,$BY501)-1</f>
        <v>581</v>
      </c>
      <c r="CL501" s="5">
        <f>RANK(CJ501,$CJ$2:$CJ$623)+COUNTIF($CJ$2:$CJ501,$CJ501)-1</f>
        <v>525</v>
      </c>
    </row>
    <row r="502" spans="1:90">
      <c r="A502" t="str">
        <f>Players!P503</f>
        <v>Jere Uronen</v>
      </c>
      <c r="B502" t="str">
        <f>Players!G503</f>
        <v>Finland</v>
      </c>
      <c r="C502" t="str">
        <f>Players!AB503</f>
        <v>Defense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0.59952758650922311</v>
      </c>
      <c r="I502" s="16">
        <f>INDEX('Team forecast'!$B$2:$AO$26,MATCH('Master data'!$B502,'Team forecast'!$B$2:$B$26,0),MATCH('Master data'!I$1,'Team forecast'!$B$2:$AO$2,0))</f>
        <v>1.6608440904336361</v>
      </c>
      <c r="J502" s="16">
        <f>INDEX('Team forecast'!$B$2:$AO$26,MATCH('Master data'!$B502,'Team forecast'!$B$2:$B$26,0),MATCH('Master data'!J$1,'Team forecast'!$B$2:$AO$2,0))</f>
        <v>0.18997855332423469</v>
      </c>
      <c r="K502" s="16">
        <f>INDEX('Team forecast'!$B$2:$AO$26,MATCH('Master data'!$B502,'Team forecast'!$B$2:$B$26,0),MATCH('Master data'!K$1,'Team forecast'!$B$2:$AO$2,0))</f>
        <v>1.9681461173282577</v>
      </c>
      <c r="L502" s="16">
        <f>INDEX('Team forecast'!$B$2:$AO$26,MATCH('Master data'!$B502,'Team forecast'!$B$2:$B$26,0),MATCH('Master data'!L$1,'Team forecast'!$B$2:$AO$2,0))</f>
        <v>4.718659845717994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8.5000000000000006E-2</v>
      </c>
      <c r="R502" s="2">
        <f>Players!BR503</f>
        <v>0</v>
      </c>
      <c r="S502" s="2">
        <f t="shared" si="259"/>
        <v>0.59952758650922311</v>
      </c>
      <c r="T502" s="2">
        <f t="shared" si="260"/>
        <v>1.6608440904336361</v>
      </c>
      <c r="U502" s="16">
        <f>INDEX('Team forecast'!$B$2:$AO$26,MATCH('Master data'!$B502,'Team forecast'!$B$2:$B$26,0),MATCH('Master data'!U$1,'Team forecast'!$B$2:$AO$2,0))</f>
        <v>0.1187365958276467</v>
      </c>
      <c r="V502" s="16">
        <f>INDEX('Team forecast'!$B$2:$AO$26,MATCH('Master data'!$B502,'Team forecast'!$B$2:$B$26,0),MATCH('Master data'!V$1,'Team forecast'!$B$2:$AO$2,0))</f>
        <v>0.22616494443361279</v>
      </c>
      <c r="W502" s="16">
        <f>INDEX('Team forecast'!$B$2:$AO$26,MATCH('Master data'!$B502,'Team forecast'!$B$2:$B$26,0),MATCH('Master data'!W$1,'Team forecast'!$B$2:$AO$2,0))</f>
        <v>0.65509845973874048</v>
      </c>
      <c r="X502" s="5">
        <f t="shared" si="261"/>
        <v>-5000</v>
      </c>
      <c r="Y502" s="5">
        <f t="shared" si="262"/>
        <v>0</v>
      </c>
      <c r="Z502" s="5">
        <f t="shared" si="263"/>
        <v>0</v>
      </c>
      <c r="AA502" s="5">
        <f t="shared" si="264"/>
        <v>0</v>
      </c>
      <c r="AB502" s="5">
        <f t="shared" si="265"/>
        <v>0</v>
      </c>
      <c r="AC502" s="5">
        <f t="shared" si="266"/>
        <v>0</v>
      </c>
      <c r="AD502" s="5">
        <f t="shared" si="267"/>
        <v>0</v>
      </c>
      <c r="AE502" s="5">
        <f t="shared" si="268"/>
        <v>9498.9276662117336</v>
      </c>
      <c r="AF502" s="5">
        <f t="shared" si="269"/>
        <v>0</v>
      </c>
      <c r="AG502" s="5">
        <f t="shared" si="270"/>
        <v>0</v>
      </c>
      <c r="AH502" s="5">
        <f t="shared" si="271"/>
        <v>0</v>
      </c>
      <c r="AI502" s="5">
        <f t="shared" si="272"/>
        <v>0</v>
      </c>
      <c r="AJ502" s="5">
        <f t="shared" si="273"/>
        <v>0</v>
      </c>
      <c r="AK502" s="5">
        <f>IFERROR(SUM(X502:AJ502),-5000)*((Cockpit!$C$3)^0)</f>
        <v>4498.9276662117336</v>
      </c>
      <c r="AL502" s="16">
        <f>INDEX('Team forecast'!$B$2:$AO$26,MATCH('Master data'!$B502,'Team forecast'!$B$2:$B$26,0),MATCH('Master data'!AL$1,'Team forecast'!$B$2:$AO$2,0))</f>
        <v>0.75781731816731412</v>
      </c>
      <c r="AM502" s="16">
        <f>INDEX('Team forecast'!$B$2:$AO$26,MATCH('Master data'!$B502,'Team forecast'!$B$2:$B$26,0),MATCH('Master data'!AM$1,'Team forecast'!$B$2:$AO$2,0))</f>
        <v>1.5687475343836428</v>
      </c>
      <c r="AN502" s="16">
        <f>INDEX('Team forecast'!$B$2:$AO$26,MATCH('Master data'!$B502,'Team forecast'!$B$2:$B$26,0),MATCH('Master data'!AN$1,'Team forecast'!$B$2:$AO$2,0))</f>
        <v>0.20830591503984791</v>
      </c>
      <c r="AO502" s="16">
        <f>INDEX('Team forecast'!$B$2:$AO$26,MATCH('Master data'!$B502,'Team forecast'!$B$2:$B$26,0),MATCH('Master data'!AO$1,'Team forecast'!$B$2:$AO$2,0))</f>
        <v>2.4877841252967383</v>
      </c>
      <c r="AP502" s="16">
        <f>INDEX('Team forecast'!$B$2:$AO$26,MATCH('Master data'!$B502,'Team forecast'!$B$2:$B$26,0),MATCH('Master data'!AP$1,'Team forecast'!$B$2:$AO$2,0))</f>
        <v>4.4570023406787609</v>
      </c>
      <c r="AQ502" s="5">
        <f t="shared" si="274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275"/>
        <v>0</v>
      </c>
      <c r="AV502" s="5">
        <f t="shared" si="276"/>
        <v>0</v>
      </c>
      <c r="AW502" s="5">
        <f t="shared" si="277"/>
        <v>0</v>
      </c>
      <c r="AX502" s="5">
        <f t="shared" si="278"/>
        <v>10415.295751992395</v>
      </c>
      <c r="AY502" s="5">
        <f t="shared" si="279"/>
        <v>0</v>
      </c>
      <c r="AZ502" s="5">
        <f t="shared" si="280"/>
        <v>0</v>
      </c>
      <c r="BA502" s="5">
        <f t="shared" si="281"/>
        <v>0</v>
      </c>
      <c r="BB502" s="5">
        <f t="shared" si="282"/>
        <v>0</v>
      </c>
      <c r="BC502" s="5">
        <f t="shared" si="283"/>
        <v>0</v>
      </c>
      <c r="BD502" s="5">
        <f t="shared" si="284"/>
        <v>5415.2957519923948</v>
      </c>
      <c r="BE502" s="16">
        <f>INDEX('Team forecast'!$B$2:$AO$26,MATCH('Master data'!$B502,'Team forecast'!$B$2:$B$26,0),MATCH('Master data'!BE$1,'Team forecast'!$B$2:$AO$2,0))</f>
        <v>0.62462402002960304</v>
      </c>
      <c r="BF502" s="16">
        <f>INDEX('Team forecast'!$B$2:$AO$26,MATCH('Master data'!$B502,'Team forecast'!$B$2:$B$26,0),MATCH('Master data'!BF$1,'Team forecast'!$B$2:$AO$2,0))</f>
        <v>2.3394224481215296</v>
      </c>
      <c r="BG502" s="16">
        <f>INDEX('Team forecast'!$B$2:$AO$26,MATCH('Master data'!$B502,'Team forecast'!$B$2:$B$26,0),MATCH('Master data'!BG$1,'Team forecast'!$B$2:$AO$2,0))</f>
        <v>9.6383288507815829E-2</v>
      </c>
      <c r="BH502" s="16">
        <f>INDEX('Team forecast'!$B$2:$AO$26,MATCH('Master data'!$B502,'Team forecast'!$B$2:$B$26,0),MATCH('Master data'!BH$1,'Team forecast'!$B$2:$AO$2,0))</f>
        <v>2.0505333990870809</v>
      </c>
      <c r="BI502" s="16">
        <f>INDEX('Team forecast'!$B$2:$AO$26,MATCH('Master data'!$B502,'Team forecast'!$B$2:$B$26,0),MATCH('Master data'!BI$1,'Team forecast'!$B$2:$AO$2,0))</f>
        <v>6.6465834040088314</v>
      </c>
      <c r="BJ502" s="5">
        <f t="shared" si="285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286"/>
        <v>0</v>
      </c>
      <c r="BO502" s="5">
        <f t="shared" si="287"/>
        <v>0</v>
      </c>
      <c r="BP502" s="5">
        <f t="shared" si="288"/>
        <v>0</v>
      </c>
      <c r="BQ502" s="5">
        <f t="shared" si="289"/>
        <v>4819.1644253907916</v>
      </c>
      <c r="BR502" s="5">
        <f t="shared" si="290"/>
        <v>0</v>
      </c>
      <c r="BS502" s="5">
        <f t="shared" si="291"/>
        <v>0</v>
      </c>
      <c r="BT502" s="5">
        <f t="shared" si="292"/>
        <v>0</v>
      </c>
      <c r="BU502" s="5">
        <f t="shared" si="293"/>
        <v>0</v>
      </c>
      <c r="BV502" s="5">
        <f t="shared" si="294"/>
        <v>0</v>
      </c>
      <c r="BW502" s="5">
        <f t="shared" si="295"/>
        <v>-180.83557460920838</v>
      </c>
      <c r="BX502" s="5">
        <f t="shared" si="296"/>
        <v>3244.4626145316397</v>
      </c>
      <c r="BY502" s="5">
        <f t="shared" si="297"/>
        <v>9733.3878435949191</v>
      </c>
      <c r="BZ502" s="5">
        <f>INDEX('Team forecast'!$R$3:$BH$26,MATCH($B502,'Team forecast'!$B$3:$B$26,0),MATCH(BZ$1,'Team forecast'!$R$2:$BH$2,0))*($BX502-(BY502+CH502)*0.01)</f>
        <v>-4562.0429047500866</v>
      </c>
      <c r="CA502" s="5">
        <f>INDEX('Team forecast'!$R$3:$BH$26,MATCH($B502,'Team forecast'!$B$3:$B$26,0),MATCH(CA$1,'Team forecast'!$R$2:$BH$2,0))*($BX502-(BY502+BX502+CH502)*0.01)</f>
        <v>-2242.365097672553</v>
      </c>
      <c r="CB502" s="5">
        <f>INDEX('Team forecast'!$R$3:$BH$26,MATCH($B502,'Team forecast'!$B$3:$B$26,0),MATCH(CB$1,'Team forecast'!$R$2:$BH$2,0))*($BX502-(BY502+BX502*2+CH502)*0.01)</f>
        <v>-1082.7435294913676</v>
      </c>
      <c r="CC502" s="5">
        <f>INDEX('Team forecast'!$R$3:$BH$26,MATCH($B502,'Team forecast'!$B$3:$B$26,0),MATCH(CC$1,'Team forecast'!$R$2:$BH$2,0))*($BX502-(BY502+BX502*3+CH502)*0.01)</f>
        <v>-489.96557382074195</v>
      </c>
      <c r="CD502" s="5">
        <f>+AK502+BD502*Cockpit!$C$3+BW502*Cockpit!$C$3^2+BZ502*Cockpit!$C$3^3+CA502*Cockpit!$C$3^4+CB502*Cockpit!$C$3^5+CC502*Cockpit!$C$3^6</f>
        <v>6048.5024155236051</v>
      </c>
      <c r="CE502" s="5"/>
      <c r="CF502" s="5"/>
      <c r="CG502" s="5">
        <v>0</v>
      </c>
      <c r="CH502" s="5">
        <f t="shared" si="298"/>
        <v>2000000</v>
      </c>
      <c r="CI502" s="5">
        <f t="shared" si="299"/>
        <v>2000000</v>
      </c>
      <c r="CJ502" s="1">
        <f t="shared" si="300"/>
        <v>4.8666939217974596E-3</v>
      </c>
      <c r="CK502" s="5">
        <f>RANK(BY502,$BY$2:$BY$623)+COUNTIF($BY$2:$BY502,$BY502)-1</f>
        <v>395</v>
      </c>
      <c r="CL502" s="5">
        <f>RANK(CJ502,$CJ$2:$CJ$623)+COUNTIF($CJ$2:$CJ502,$CJ502)-1</f>
        <v>393</v>
      </c>
    </row>
    <row r="503" spans="1:90">
      <c r="A503" t="str">
        <f>Players!P504</f>
        <v>Lassi Lappalainen</v>
      </c>
      <c r="B503" t="str">
        <f>Players!G504</f>
        <v>Finland</v>
      </c>
      <c r="C503" t="str">
        <f>Players!AB504</f>
        <v>Midfield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0.59952758650922311</v>
      </c>
      <c r="I503" s="16">
        <f>INDEX('Team forecast'!$B$2:$AO$26,MATCH('Master data'!$B503,'Team forecast'!$B$2:$B$26,0),MATCH('Master data'!I$1,'Team forecast'!$B$2:$AO$2,0))</f>
        <v>1.6608440904336361</v>
      </c>
      <c r="J503" s="16">
        <f>INDEX('Team forecast'!$B$2:$AO$26,MATCH('Master data'!$B503,'Team forecast'!$B$2:$B$26,0),MATCH('Master data'!J$1,'Team forecast'!$B$2:$AO$2,0))</f>
        <v>0.18997855332423469</v>
      </c>
      <c r="K503" s="16">
        <f>INDEX('Team forecast'!$B$2:$AO$26,MATCH('Master data'!$B503,'Team forecast'!$B$2:$B$26,0),MATCH('Master data'!K$1,'Team forecast'!$B$2:$AO$2,0))</f>
        <v>1.9681461173282577</v>
      </c>
      <c r="L503" s="16">
        <f>INDEX('Team forecast'!$B$2:$AO$26,MATCH('Master data'!$B503,'Team forecast'!$B$2:$B$26,0),MATCH('Master data'!L$1,'Team forecast'!$B$2:$AO$2,0))</f>
        <v>4.718659845717994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0</v>
      </c>
      <c r="R503" s="2">
        <f>Players!BR504</f>
        <v>0</v>
      </c>
      <c r="S503" s="2">
        <f t="shared" si="259"/>
        <v>0.59952758650922311</v>
      </c>
      <c r="T503" s="2">
        <f t="shared" si="260"/>
        <v>1.6608440904336361</v>
      </c>
      <c r="U503" s="16">
        <f>INDEX('Team forecast'!$B$2:$AO$26,MATCH('Master data'!$B503,'Team forecast'!$B$2:$B$26,0),MATCH('Master data'!U$1,'Team forecast'!$B$2:$AO$2,0))</f>
        <v>0.1187365958276467</v>
      </c>
      <c r="V503" s="16">
        <f>INDEX('Team forecast'!$B$2:$AO$26,MATCH('Master data'!$B503,'Team forecast'!$B$2:$B$26,0),MATCH('Master data'!V$1,'Team forecast'!$B$2:$AO$2,0))</f>
        <v>0.22616494443361279</v>
      </c>
      <c r="W503" s="16">
        <f>INDEX('Team forecast'!$B$2:$AO$26,MATCH('Master data'!$B503,'Team forecast'!$B$2:$B$26,0),MATCH('Master data'!W$1,'Team forecast'!$B$2:$AO$2,0))</f>
        <v>0.65509845973874048</v>
      </c>
      <c r="X503" s="5">
        <f t="shared" si="261"/>
        <v>-5000</v>
      </c>
      <c r="Y503" s="5">
        <f t="shared" si="262"/>
        <v>0</v>
      </c>
      <c r="Z503" s="5">
        <f t="shared" si="263"/>
        <v>0</v>
      </c>
      <c r="AA503" s="5">
        <f t="shared" si="264"/>
        <v>0</v>
      </c>
      <c r="AB503" s="5">
        <f t="shared" si="265"/>
        <v>0</v>
      </c>
      <c r="AC503" s="5">
        <f t="shared" si="266"/>
        <v>0</v>
      </c>
      <c r="AD503" s="5">
        <f t="shared" si="267"/>
        <v>0</v>
      </c>
      <c r="AE503" s="5">
        <f t="shared" si="268"/>
        <v>0</v>
      </c>
      <c r="AF503" s="5">
        <f t="shared" si="269"/>
        <v>0</v>
      </c>
      <c r="AG503" s="5">
        <f t="shared" si="270"/>
        <v>0</v>
      </c>
      <c r="AH503" s="5">
        <f t="shared" si="271"/>
        <v>0</v>
      </c>
      <c r="AI503" s="5">
        <f t="shared" si="272"/>
        <v>0</v>
      </c>
      <c r="AJ503" s="5">
        <f t="shared" si="273"/>
        <v>0</v>
      </c>
      <c r="AK503" s="5">
        <f>IFERROR(SUM(X503:AJ503),-5000)*((Cockpit!$C$3)^0)</f>
        <v>-5000</v>
      </c>
      <c r="AL503" s="16">
        <f>INDEX('Team forecast'!$B$2:$AO$26,MATCH('Master data'!$B503,'Team forecast'!$B$2:$B$26,0),MATCH('Master data'!AL$1,'Team forecast'!$B$2:$AO$2,0))</f>
        <v>0.75781731816731412</v>
      </c>
      <c r="AM503" s="16">
        <f>INDEX('Team forecast'!$B$2:$AO$26,MATCH('Master data'!$B503,'Team forecast'!$B$2:$B$26,0),MATCH('Master data'!AM$1,'Team forecast'!$B$2:$AO$2,0))</f>
        <v>1.5687475343836428</v>
      </c>
      <c r="AN503" s="16">
        <f>INDEX('Team forecast'!$B$2:$AO$26,MATCH('Master data'!$B503,'Team forecast'!$B$2:$B$26,0),MATCH('Master data'!AN$1,'Team forecast'!$B$2:$AO$2,0))</f>
        <v>0.20830591503984791</v>
      </c>
      <c r="AO503" s="16">
        <f>INDEX('Team forecast'!$B$2:$AO$26,MATCH('Master data'!$B503,'Team forecast'!$B$2:$B$26,0),MATCH('Master data'!AO$1,'Team forecast'!$B$2:$AO$2,0))</f>
        <v>2.4877841252967383</v>
      </c>
      <c r="AP503" s="16">
        <f>INDEX('Team forecast'!$B$2:$AO$26,MATCH('Master data'!$B503,'Team forecast'!$B$2:$B$26,0),MATCH('Master data'!AP$1,'Team forecast'!$B$2:$AO$2,0))</f>
        <v>4.4570023406787609</v>
      </c>
      <c r="AQ503" s="5">
        <f t="shared" si="274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275"/>
        <v>0</v>
      </c>
      <c r="AV503" s="5">
        <f t="shared" si="276"/>
        <v>0</v>
      </c>
      <c r="AW503" s="5">
        <f t="shared" si="277"/>
        <v>0</v>
      </c>
      <c r="AX503" s="5">
        <f t="shared" si="278"/>
        <v>0</v>
      </c>
      <c r="AY503" s="5">
        <f t="shared" si="279"/>
        <v>0</v>
      </c>
      <c r="AZ503" s="5">
        <f t="shared" si="280"/>
        <v>0</v>
      </c>
      <c r="BA503" s="5">
        <f t="shared" si="281"/>
        <v>0</v>
      </c>
      <c r="BB503" s="5">
        <f t="shared" si="282"/>
        <v>0</v>
      </c>
      <c r="BC503" s="5">
        <f t="shared" si="283"/>
        <v>0</v>
      </c>
      <c r="BD503" s="5">
        <f t="shared" si="284"/>
        <v>-5000</v>
      </c>
      <c r="BE503" s="16">
        <f>INDEX('Team forecast'!$B$2:$AO$26,MATCH('Master data'!$B503,'Team forecast'!$B$2:$B$26,0),MATCH('Master data'!BE$1,'Team forecast'!$B$2:$AO$2,0))</f>
        <v>0.62462402002960304</v>
      </c>
      <c r="BF503" s="16">
        <f>INDEX('Team forecast'!$B$2:$AO$26,MATCH('Master data'!$B503,'Team forecast'!$B$2:$B$26,0),MATCH('Master data'!BF$1,'Team forecast'!$B$2:$AO$2,0))</f>
        <v>2.3394224481215296</v>
      </c>
      <c r="BG503" s="16">
        <f>INDEX('Team forecast'!$B$2:$AO$26,MATCH('Master data'!$B503,'Team forecast'!$B$2:$B$26,0),MATCH('Master data'!BG$1,'Team forecast'!$B$2:$AO$2,0))</f>
        <v>9.6383288507815829E-2</v>
      </c>
      <c r="BH503" s="16">
        <f>INDEX('Team forecast'!$B$2:$AO$26,MATCH('Master data'!$B503,'Team forecast'!$B$2:$B$26,0),MATCH('Master data'!BH$1,'Team forecast'!$B$2:$AO$2,0))</f>
        <v>2.0505333990870809</v>
      </c>
      <c r="BI503" s="16">
        <f>INDEX('Team forecast'!$B$2:$AO$26,MATCH('Master data'!$B503,'Team forecast'!$B$2:$B$26,0),MATCH('Master data'!BI$1,'Team forecast'!$B$2:$AO$2,0))</f>
        <v>6.6465834040088314</v>
      </c>
      <c r="BJ503" s="5">
        <f t="shared" si="285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286"/>
        <v>0</v>
      </c>
      <c r="BO503" s="5">
        <f t="shared" si="287"/>
        <v>0</v>
      </c>
      <c r="BP503" s="5">
        <f t="shared" si="288"/>
        <v>0</v>
      </c>
      <c r="BQ503" s="5">
        <f t="shared" si="289"/>
        <v>0</v>
      </c>
      <c r="BR503" s="5">
        <f t="shared" si="290"/>
        <v>0</v>
      </c>
      <c r="BS503" s="5">
        <f t="shared" si="291"/>
        <v>0</v>
      </c>
      <c r="BT503" s="5">
        <f t="shared" si="292"/>
        <v>0</v>
      </c>
      <c r="BU503" s="5">
        <f t="shared" si="293"/>
        <v>0</v>
      </c>
      <c r="BV503" s="5">
        <f t="shared" si="294"/>
        <v>0</v>
      </c>
      <c r="BW503" s="5">
        <f t="shared" si="295"/>
        <v>-5000</v>
      </c>
      <c r="BX503" s="5">
        <f t="shared" si="296"/>
        <v>-5000</v>
      </c>
      <c r="BY503" s="5">
        <f t="shared" si="297"/>
        <v>-15000</v>
      </c>
      <c r="BZ503" s="5">
        <f>INDEX('Team forecast'!$R$3:$BH$26,MATCH($B503,'Team forecast'!$B$3:$B$26,0),MATCH(BZ$1,'Team forecast'!$R$2:$BH$2,0))*($BX503-(BY503+CH503)*0.01)</f>
        <v>-6726.851727981214</v>
      </c>
      <c r="CA503" s="5">
        <f>INDEX('Team forecast'!$R$3:$BH$26,MATCH($B503,'Team forecast'!$B$3:$B$26,0),MATCH(CA$1,'Team forecast'!$R$2:$BH$2,0))*($BX503-(BY503+BX503+CH503)*0.01)</f>
        <v>-3293.4328729408139</v>
      </c>
      <c r="CB503" s="5">
        <f>INDEX('Team forecast'!$R$3:$BH$26,MATCH($B503,'Team forecast'!$B$3:$B$26,0),MATCH(CB$1,'Team forecast'!$R$2:$BH$2,0))*($BX503-(BY503+BX503*2+CH503)*0.01)</f>
        <v>-1584.0100307164412</v>
      </c>
      <c r="CC503" s="5">
        <f>INDEX('Team forecast'!$R$3:$BH$26,MATCH($B503,'Team forecast'!$B$3:$B$26,0),MATCH(CC$1,'Team forecast'!$R$2:$BH$2,0))*($BX503-(BY503+BX503*3+CH503)*0.01)</f>
        <v>-713.98248999017255</v>
      </c>
      <c r="CD503" s="5">
        <f>+AK503+BD503*Cockpit!$C$3+BW503*Cockpit!$C$3^2+BZ503*Cockpit!$C$3^3+CA503*Cockpit!$C$3^4+CB503*Cockpit!$C$3^5+CC503*Cockpit!$C$3^6</f>
        <v>-13470.526953711342</v>
      </c>
      <c r="CE503" s="5"/>
      <c r="CF503" s="5"/>
      <c r="CG503" s="5">
        <v>0</v>
      </c>
      <c r="CH503" s="5">
        <f t="shared" si="298"/>
        <v>2000000</v>
      </c>
      <c r="CI503" s="5">
        <f t="shared" si="299"/>
        <v>2000000</v>
      </c>
      <c r="CJ503" s="1">
        <f t="shared" si="300"/>
        <v>-7.4999999999999997E-3</v>
      </c>
      <c r="CK503" s="5">
        <f>RANK(BY503,$BY$2:$BY$623)+COUNTIF($BY$2:$BY503,$BY503)-1</f>
        <v>582</v>
      </c>
      <c r="CL503" s="5">
        <f>RANK(CJ503,$CJ$2:$CJ$623)+COUNTIF($CJ$2:$CJ503,$CJ503)-1</f>
        <v>600</v>
      </c>
    </row>
    <row r="504" spans="1:90">
      <c r="A504" t="str">
        <f>Players!P505</f>
        <v>Pyry Soiri</v>
      </c>
      <c r="B504" t="str">
        <f>Players!G505</f>
        <v>Finland</v>
      </c>
      <c r="C504" t="str">
        <f>Players!AB505</f>
        <v>Defense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2000000</v>
      </c>
      <c r="H504" s="16">
        <f>INDEX('Team forecast'!$B$2:$AO$26,MATCH('Master data'!$B504,'Team forecast'!$B$2:$B$26,0),MATCH('Master data'!H$1,'Team forecast'!$B$2:$AO$2,0))</f>
        <v>0.59952758650922311</v>
      </c>
      <c r="I504" s="16">
        <f>INDEX('Team forecast'!$B$2:$AO$26,MATCH('Master data'!$B504,'Team forecast'!$B$2:$B$26,0),MATCH('Master data'!I$1,'Team forecast'!$B$2:$AO$2,0))</f>
        <v>1.6608440904336361</v>
      </c>
      <c r="J504" s="16">
        <f>INDEX('Team forecast'!$B$2:$AO$26,MATCH('Master data'!$B504,'Team forecast'!$B$2:$B$26,0),MATCH('Master data'!J$1,'Team forecast'!$B$2:$AO$2,0))</f>
        <v>0.18997855332423469</v>
      </c>
      <c r="K504" s="16">
        <f>INDEX('Team forecast'!$B$2:$AO$26,MATCH('Master data'!$B504,'Team forecast'!$B$2:$B$26,0),MATCH('Master data'!K$1,'Team forecast'!$B$2:$AO$2,0))</f>
        <v>1.9681461173282577</v>
      </c>
      <c r="L504" s="16">
        <f>INDEX('Team forecast'!$B$2:$AO$26,MATCH('Master data'!$B504,'Team forecast'!$B$2:$B$26,0),MATCH('Master data'!L$1,'Team forecast'!$B$2:$AO$2,0))</f>
        <v>4.718659845717994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8.0405002977963075E-2</v>
      </c>
      <c r="R504" s="2">
        <f>Players!BR505</f>
        <v>0</v>
      </c>
      <c r="S504" s="2">
        <f t="shared" si="259"/>
        <v>0.59952758650922311</v>
      </c>
      <c r="T504" s="2">
        <f t="shared" si="260"/>
        <v>1.6608440904336361</v>
      </c>
      <c r="U504" s="16">
        <f>INDEX('Team forecast'!$B$2:$AO$26,MATCH('Master data'!$B504,'Team forecast'!$B$2:$B$26,0),MATCH('Master data'!U$1,'Team forecast'!$B$2:$AO$2,0))</f>
        <v>0.1187365958276467</v>
      </c>
      <c r="V504" s="16">
        <f>INDEX('Team forecast'!$B$2:$AO$26,MATCH('Master data'!$B504,'Team forecast'!$B$2:$B$26,0),MATCH('Master data'!V$1,'Team forecast'!$B$2:$AO$2,0))</f>
        <v>0.22616494443361279</v>
      </c>
      <c r="W504" s="16">
        <f>INDEX('Team forecast'!$B$2:$AO$26,MATCH('Master data'!$B504,'Team forecast'!$B$2:$B$26,0),MATCH('Master data'!W$1,'Team forecast'!$B$2:$AO$2,0))</f>
        <v>0.65509845973874048</v>
      </c>
      <c r="X504" s="5">
        <f t="shared" si="261"/>
        <v>-5000</v>
      </c>
      <c r="Y504" s="5">
        <f t="shared" si="262"/>
        <v>0</v>
      </c>
      <c r="Z504" s="5">
        <f t="shared" si="263"/>
        <v>0</v>
      </c>
      <c r="AA504" s="5">
        <f t="shared" si="264"/>
        <v>0</v>
      </c>
      <c r="AB504" s="5">
        <f t="shared" si="265"/>
        <v>0</v>
      </c>
      <c r="AC504" s="5">
        <f t="shared" si="266"/>
        <v>0</v>
      </c>
      <c r="AD504" s="5">
        <f t="shared" si="267"/>
        <v>0</v>
      </c>
      <c r="AE504" s="5">
        <f t="shared" si="268"/>
        <v>9498.9276662117336</v>
      </c>
      <c r="AF504" s="5">
        <f t="shared" si="269"/>
        <v>0</v>
      </c>
      <c r="AG504" s="5">
        <f t="shared" si="270"/>
        <v>0</v>
      </c>
      <c r="AH504" s="5">
        <f t="shared" si="271"/>
        <v>0</v>
      </c>
      <c r="AI504" s="5">
        <f t="shared" si="272"/>
        <v>0</v>
      </c>
      <c r="AJ504" s="5">
        <f t="shared" si="273"/>
        <v>0</v>
      </c>
      <c r="AK504" s="5">
        <f>IFERROR(SUM(X504:AJ504),-5000)*((Cockpit!$C$3)^0)</f>
        <v>4498.9276662117336</v>
      </c>
      <c r="AL504" s="16">
        <f>INDEX('Team forecast'!$B$2:$AO$26,MATCH('Master data'!$B504,'Team forecast'!$B$2:$B$26,0),MATCH('Master data'!AL$1,'Team forecast'!$B$2:$AO$2,0))</f>
        <v>0.75781731816731412</v>
      </c>
      <c r="AM504" s="16">
        <f>INDEX('Team forecast'!$B$2:$AO$26,MATCH('Master data'!$B504,'Team forecast'!$B$2:$B$26,0),MATCH('Master data'!AM$1,'Team forecast'!$B$2:$AO$2,0))</f>
        <v>1.5687475343836428</v>
      </c>
      <c r="AN504" s="16">
        <f>INDEX('Team forecast'!$B$2:$AO$26,MATCH('Master data'!$B504,'Team forecast'!$B$2:$B$26,0),MATCH('Master data'!AN$1,'Team forecast'!$B$2:$AO$2,0))</f>
        <v>0.20830591503984791</v>
      </c>
      <c r="AO504" s="16">
        <f>INDEX('Team forecast'!$B$2:$AO$26,MATCH('Master data'!$B504,'Team forecast'!$B$2:$B$26,0),MATCH('Master data'!AO$1,'Team forecast'!$B$2:$AO$2,0))</f>
        <v>2.4877841252967383</v>
      </c>
      <c r="AP504" s="16">
        <f>INDEX('Team forecast'!$B$2:$AO$26,MATCH('Master data'!$B504,'Team forecast'!$B$2:$B$26,0),MATCH('Master data'!AP$1,'Team forecast'!$B$2:$AO$2,0))</f>
        <v>4.4570023406787609</v>
      </c>
      <c r="AQ504" s="5">
        <f t="shared" si="274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275"/>
        <v>0</v>
      </c>
      <c r="AV504" s="5">
        <f t="shared" si="276"/>
        <v>0</v>
      </c>
      <c r="AW504" s="5">
        <f t="shared" si="277"/>
        <v>0</v>
      </c>
      <c r="AX504" s="5">
        <f t="shared" si="278"/>
        <v>10415.295751992395</v>
      </c>
      <c r="AY504" s="5">
        <f t="shared" si="279"/>
        <v>0</v>
      </c>
      <c r="AZ504" s="5">
        <f t="shared" si="280"/>
        <v>0</v>
      </c>
      <c r="BA504" s="5">
        <f t="shared" si="281"/>
        <v>0</v>
      </c>
      <c r="BB504" s="5">
        <f t="shared" si="282"/>
        <v>0</v>
      </c>
      <c r="BC504" s="5">
        <f t="shared" si="283"/>
        <v>0</v>
      </c>
      <c r="BD504" s="5">
        <f t="shared" si="284"/>
        <v>5415.2957519923948</v>
      </c>
      <c r="BE504" s="16">
        <f>INDEX('Team forecast'!$B$2:$AO$26,MATCH('Master data'!$B504,'Team forecast'!$B$2:$B$26,0),MATCH('Master data'!BE$1,'Team forecast'!$B$2:$AO$2,0))</f>
        <v>0.62462402002960304</v>
      </c>
      <c r="BF504" s="16">
        <f>INDEX('Team forecast'!$B$2:$AO$26,MATCH('Master data'!$B504,'Team forecast'!$B$2:$B$26,0),MATCH('Master data'!BF$1,'Team forecast'!$B$2:$AO$2,0))</f>
        <v>2.3394224481215296</v>
      </c>
      <c r="BG504" s="16">
        <f>INDEX('Team forecast'!$B$2:$AO$26,MATCH('Master data'!$B504,'Team forecast'!$B$2:$B$26,0),MATCH('Master data'!BG$1,'Team forecast'!$B$2:$AO$2,0))</f>
        <v>9.6383288507815829E-2</v>
      </c>
      <c r="BH504" s="16">
        <f>INDEX('Team forecast'!$B$2:$AO$26,MATCH('Master data'!$B504,'Team forecast'!$B$2:$B$26,0),MATCH('Master data'!BH$1,'Team forecast'!$B$2:$AO$2,0))</f>
        <v>2.0505333990870809</v>
      </c>
      <c r="BI504" s="16">
        <f>INDEX('Team forecast'!$B$2:$AO$26,MATCH('Master data'!$B504,'Team forecast'!$B$2:$B$26,0),MATCH('Master data'!BI$1,'Team forecast'!$B$2:$AO$2,0))</f>
        <v>6.6465834040088314</v>
      </c>
      <c r="BJ504" s="5">
        <f t="shared" si="285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286"/>
        <v>0</v>
      </c>
      <c r="BO504" s="5">
        <f t="shared" si="287"/>
        <v>0</v>
      </c>
      <c r="BP504" s="5">
        <f t="shared" si="288"/>
        <v>0</v>
      </c>
      <c r="BQ504" s="5">
        <f t="shared" si="289"/>
        <v>4819.1644253907916</v>
      </c>
      <c r="BR504" s="5">
        <f t="shared" si="290"/>
        <v>0</v>
      </c>
      <c r="BS504" s="5">
        <f t="shared" si="291"/>
        <v>0</v>
      </c>
      <c r="BT504" s="5">
        <f t="shared" si="292"/>
        <v>0</v>
      </c>
      <c r="BU504" s="5">
        <f t="shared" si="293"/>
        <v>0</v>
      </c>
      <c r="BV504" s="5">
        <f t="shared" si="294"/>
        <v>0</v>
      </c>
      <c r="BW504" s="5">
        <f t="shared" si="295"/>
        <v>-180.83557460920838</v>
      </c>
      <c r="BX504" s="5">
        <f t="shared" si="296"/>
        <v>3244.4626145316397</v>
      </c>
      <c r="BY504" s="5">
        <f t="shared" si="297"/>
        <v>9733.3878435949191</v>
      </c>
      <c r="BZ504" s="5">
        <f>INDEX('Team forecast'!$R$3:$BH$26,MATCH($B504,'Team forecast'!$B$3:$B$26,0),MATCH(BZ$1,'Team forecast'!$R$2:$BH$2,0))*($BX504-(BY504+CH504)*0.01)</f>
        <v>-4562.0429047500866</v>
      </c>
      <c r="CA504" s="5">
        <f>INDEX('Team forecast'!$R$3:$BH$26,MATCH($B504,'Team forecast'!$B$3:$B$26,0),MATCH(CA$1,'Team forecast'!$R$2:$BH$2,0))*($BX504-(BY504+BX504+CH504)*0.01)</f>
        <v>-2242.365097672553</v>
      </c>
      <c r="CB504" s="5">
        <f>INDEX('Team forecast'!$R$3:$BH$26,MATCH($B504,'Team forecast'!$B$3:$B$26,0),MATCH(CB$1,'Team forecast'!$R$2:$BH$2,0))*($BX504-(BY504+BX504*2+CH504)*0.01)</f>
        <v>-1082.7435294913676</v>
      </c>
      <c r="CC504" s="5">
        <f>INDEX('Team forecast'!$R$3:$BH$26,MATCH($B504,'Team forecast'!$B$3:$B$26,0),MATCH(CC$1,'Team forecast'!$R$2:$BH$2,0))*($BX504-(BY504+BX504*3+CH504)*0.01)</f>
        <v>-489.96557382074195</v>
      </c>
      <c r="CD504" s="5">
        <f>+AK504+BD504*Cockpit!$C$3+BW504*Cockpit!$C$3^2+BZ504*Cockpit!$C$3^3+CA504*Cockpit!$C$3^4+CB504*Cockpit!$C$3^5+CC504*Cockpit!$C$3^6</f>
        <v>6048.5024155236051</v>
      </c>
      <c r="CE504" s="5"/>
      <c r="CF504" s="5"/>
      <c r="CG504" s="5">
        <v>0</v>
      </c>
      <c r="CH504" s="5">
        <f t="shared" si="298"/>
        <v>2000000</v>
      </c>
      <c r="CI504" s="5">
        <f t="shared" si="299"/>
        <v>2000000</v>
      </c>
      <c r="CJ504" s="1">
        <f t="shared" si="300"/>
        <v>4.8666939217974596E-3</v>
      </c>
      <c r="CK504" s="5">
        <f>RANK(BY504,$BY$2:$BY$623)+COUNTIF($BY$2:$BY504,$BY504)-1</f>
        <v>396</v>
      </c>
      <c r="CL504" s="5">
        <f>RANK(CJ504,$CJ$2:$CJ$623)+COUNTIF($CJ$2:$CJ504,$CJ504)-1</f>
        <v>394</v>
      </c>
    </row>
    <row r="505" spans="1:90">
      <c r="A505" t="str">
        <f>Players!P506</f>
        <v>Marcus Forss</v>
      </c>
      <c r="B505" t="str">
        <f>Players!G506</f>
        <v>Finland</v>
      </c>
      <c r="C505" t="str">
        <f>Players!AB506</f>
        <v>Striker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2500000</v>
      </c>
      <c r="H505" s="16">
        <f>INDEX('Team forecast'!$B$2:$AO$26,MATCH('Master data'!$B505,'Team forecast'!$B$2:$B$26,0),MATCH('Master data'!H$1,'Team forecast'!$B$2:$AO$2,0))</f>
        <v>0.59952758650922311</v>
      </c>
      <c r="I505" s="16">
        <f>INDEX('Team forecast'!$B$2:$AO$26,MATCH('Master data'!$B505,'Team forecast'!$B$2:$B$26,0),MATCH('Master data'!I$1,'Team forecast'!$B$2:$AO$2,0))</f>
        <v>1.6608440904336361</v>
      </c>
      <c r="J505" s="16">
        <f>INDEX('Team forecast'!$B$2:$AO$26,MATCH('Master data'!$B505,'Team forecast'!$B$2:$B$26,0),MATCH('Master data'!J$1,'Team forecast'!$B$2:$AO$2,0))</f>
        <v>0.18997855332423469</v>
      </c>
      <c r="K505" s="16">
        <f>INDEX('Team forecast'!$B$2:$AO$26,MATCH('Master data'!$B505,'Team forecast'!$B$2:$B$26,0),MATCH('Master data'!K$1,'Team forecast'!$B$2:$AO$2,0))</f>
        <v>1.9681461173282577</v>
      </c>
      <c r="L505" s="16">
        <f>INDEX('Team forecast'!$B$2:$AO$26,MATCH('Master data'!$B505,'Team forecast'!$B$2:$B$26,0),MATCH('Master data'!L$1,'Team forecast'!$B$2:$AO$2,0))</f>
        <v>4.718659845717994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0.24854860639021076</v>
      </c>
      <c r="R505" s="2">
        <f>Players!BR506</f>
        <v>0</v>
      </c>
      <c r="S505" s="2">
        <f t="shared" si="259"/>
        <v>0.59952758650922311</v>
      </c>
      <c r="T505" s="2">
        <f t="shared" si="260"/>
        <v>1.6608440904336361</v>
      </c>
      <c r="U505" s="16">
        <f>INDEX('Team forecast'!$B$2:$AO$26,MATCH('Master data'!$B505,'Team forecast'!$B$2:$B$26,0),MATCH('Master data'!U$1,'Team forecast'!$B$2:$AO$2,0))</f>
        <v>0.1187365958276467</v>
      </c>
      <c r="V505" s="16">
        <f>INDEX('Team forecast'!$B$2:$AO$26,MATCH('Master data'!$B505,'Team forecast'!$B$2:$B$26,0),MATCH('Master data'!V$1,'Team forecast'!$B$2:$AO$2,0))</f>
        <v>0.22616494443361279</v>
      </c>
      <c r="W505" s="16">
        <f>INDEX('Team forecast'!$B$2:$AO$26,MATCH('Master data'!$B505,'Team forecast'!$B$2:$B$26,0),MATCH('Master data'!W$1,'Team forecast'!$B$2:$AO$2,0))</f>
        <v>0.65509845973874048</v>
      </c>
      <c r="X505" s="5">
        <f t="shared" si="261"/>
        <v>-5000</v>
      </c>
      <c r="Y505" s="5">
        <f t="shared" si="262"/>
        <v>0</v>
      </c>
      <c r="Z505" s="5">
        <f t="shared" si="263"/>
        <v>0</v>
      </c>
      <c r="AA505" s="5">
        <f t="shared" si="264"/>
        <v>0</v>
      </c>
      <c r="AB505" s="5">
        <f t="shared" si="265"/>
        <v>0</v>
      </c>
      <c r="AC505" s="5">
        <f t="shared" si="266"/>
        <v>0</v>
      </c>
      <c r="AD505" s="5">
        <f t="shared" si="267"/>
        <v>0</v>
      </c>
      <c r="AE505" s="5">
        <f t="shared" si="268"/>
        <v>0</v>
      </c>
      <c r="AF505" s="5">
        <f t="shared" si="269"/>
        <v>0</v>
      </c>
      <c r="AG505" s="5">
        <f t="shared" si="270"/>
        <v>0</v>
      </c>
      <c r="AH505" s="5">
        <f t="shared" si="271"/>
        <v>0</v>
      </c>
      <c r="AI505" s="5">
        <f t="shared" si="272"/>
        <v>0</v>
      </c>
      <c r="AJ505" s="5">
        <f t="shared" si="273"/>
        <v>0</v>
      </c>
      <c r="AK505" s="5">
        <f>IFERROR(SUM(X505:AJ505),-5000)*((Cockpit!$C$3)^0)</f>
        <v>-5000</v>
      </c>
      <c r="AL505" s="16">
        <f>INDEX('Team forecast'!$B$2:$AO$26,MATCH('Master data'!$B505,'Team forecast'!$B$2:$B$26,0),MATCH('Master data'!AL$1,'Team forecast'!$B$2:$AO$2,0))</f>
        <v>0.75781731816731412</v>
      </c>
      <c r="AM505" s="16">
        <f>INDEX('Team forecast'!$B$2:$AO$26,MATCH('Master data'!$B505,'Team forecast'!$B$2:$B$26,0),MATCH('Master data'!AM$1,'Team forecast'!$B$2:$AO$2,0))</f>
        <v>1.5687475343836428</v>
      </c>
      <c r="AN505" s="16">
        <f>INDEX('Team forecast'!$B$2:$AO$26,MATCH('Master data'!$B505,'Team forecast'!$B$2:$B$26,0),MATCH('Master data'!AN$1,'Team forecast'!$B$2:$AO$2,0))</f>
        <v>0.20830591503984791</v>
      </c>
      <c r="AO505" s="16">
        <f>INDEX('Team forecast'!$B$2:$AO$26,MATCH('Master data'!$B505,'Team forecast'!$B$2:$B$26,0),MATCH('Master data'!AO$1,'Team forecast'!$B$2:$AO$2,0))</f>
        <v>2.4877841252967383</v>
      </c>
      <c r="AP505" s="16">
        <f>INDEX('Team forecast'!$B$2:$AO$26,MATCH('Master data'!$B505,'Team forecast'!$B$2:$B$26,0),MATCH('Master data'!AP$1,'Team forecast'!$B$2:$AO$2,0))</f>
        <v>4.4570023406787609</v>
      </c>
      <c r="AQ505" s="5">
        <f t="shared" si="274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275"/>
        <v>0</v>
      </c>
      <c r="AV505" s="5">
        <f t="shared" si="276"/>
        <v>0</v>
      </c>
      <c r="AW505" s="5">
        <f t="shared" si="277"/>
        <v>0</v>
      </c>
      <c r="AX505" s="5">
        <f t="shared" si="278"/>
        <v>0</v>
      </c>
      <c r="AY505" s="5">
        <f t="shared" si="279"/>
        <v>0</v>
      </c>
      <c r="AZ505" s="5">
        <f t="shared" si="280"/>
        <v>0</v>
      </c>
      <c r="BA505" s="5">
        <f t="shared" si="281"/>
        <v>0</v>
      </c>
      <c r="BB505" s="5">
        <f t="shared" si="282"/>
        <v>0</v>
      </c>
      <c r="BC505" s="5">
        <f t="shared" si="283"/>
        <v>0</v>
      </c>
      <c r="BD505" s="5">
        <f t="shared" si="284"/>
        <v>-5000</v>
      </c>
      <c r="BE505" s="16">
        <f>INDEX('Team forecast'!$B$2:$AO$26,MATCH('Master data'!$B505,'Team forecast'!$B$2:$B$26,0),MATCH('Master data'!BE$1,'Team forecast'!$B$2:$AO$2,0))</f>
        <v>0.62462402002960304</v>
      </c>
      <c r="BF505" s="16">
        <f>INDEX('Team forecast'!$B$2:$AO$26,MATCH('Master data'!$B505,'Team forecast'!$B$2:$B$26,0),MATCH('Master data'!BF$1,'Team forecast'!$B$2:$AO$2,0))</f>
        <v>2.3394224481215296</v>
      </c>
      <c r="BG505" s="16">
        <f>INDEX('Team forecast'!$B$2:$AO$26,MATCH('Master data'!$B505,'Team forecast'!$B$2:$B$26,0),MATCH('Master data'!BG$1,'Team forecast'!$B$2:$AO$2,0))</f>
        <v>9.6383288507815829E-2</v>
      </c>
      <c r="BH505" s="16">
        <f>INDEX('Team forecast'!$B$2:$AO$26,MATCH('Master data'!$B505,'Team forecast'!$B$2:$B$26,0),MATCH('Master data'!BH$1,'Team forecast'!$B$2:$AO$2,0))</f>
        <v>2.0505333990870809</v>
      </c>
      <c r="BI505" s="16">
        <f>INDEX('Team forecast'!$B$2:$AO$26,MATCH('Master data'!$B505,'Team forecast'!$B$2:$B$26,0),MATCH('Master data'!BI$1,'Team forecast'!$B$2:$AO$2,0))</f>
        <v>6.6465834040088314</v>
      </c>
      <c r="BJ505" s="5">
        <f t="shared" si="285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286"/>
        <v>0</v>
      </c>
      <c r="BO505" s="5">
        <f t="shared" si="287"/>
        <v>0</v>
      </c>
      <c r="BP505" s="5">
        <f t="shared" si="288"/>
        <v>0</v>
      </c>
      <c r="BQ505" s="5">
        <f t="shared" si="289"/>
        <v>0</v>
      </c>
      <c r="BR505" s="5">
        <f t="shared" si="290"/>
        <v>0</v>
      </c>
      <c r="BS505" s="5">
        <f t="shared" si="291"/>
        <v>0</v>
      </c>
      <c r="BT505" s="5">
        <f t="shared" si="292"/>
        <v>0</v>
      </c>
      <c r="BU505" s="5">
        <f t="shared" si="293"/>
        <v>0</v>
      </c>
      <c r="BV505" s="5">
        <f t="shared" si="294"/>
        <v>0</v>
      </c>
      <c r="BW505" s="5">
        <f t="shared" si="295"/>
        <v>-5000</v>
      </c>
      <c r="BX505" s="5">
        <f t="shared" si="296"/>
        <v>-5000</v>
      </c>
      <c r="BY505" s="5">
        <f t="shared" si="297"/>
        <v>-15000</v>
      </c>
      <c r="BZ505" s="5">
        <f>INDEX('Team forecast'!$R$3:$BH$26,MATCH($B505,'Team forecast'!$B$3:$B$26,0),MATCH(BZ$1,'Team forecast'!$R$2:$BH$2,0))*($BX505-(BY505+CH505)*0.01)</f>
        <v>-8080.343021337595</v>
      </c>
      <c r="CA505" s="5">
        <f>INDEX('Team forecast'!$R$3:$BH$26,MATCH($B505,'Team forecast'!$B$3:$B$26,0),MATCH(CA$1,'Team forecast'!$R$2:$BH$2,0))*($BX505-(BY505+BX505+CH505)*0.01)</f>
        <v>-3957.4314360337198</v>
      </c>
      <c r="CB505" s="5">
        <f>INDEX('Team forecast'!$R$3:$BH$26,MATCH($B505,'Team forecast'!$B$3:$B$26,0),MATCH(CB$1,'Team forecast'!$R$2:$BH$2,0))*($BX505-(BY505+BX505*2+CH505)*0.01)</f>
        <v>-1904.0120571238031</v>
      </c>
      <c r="CC505" s="5">
        <f>INDEX('Team forecast'!$R$3:$BH$26,MATCH($B505,'Team forecast'!$B$3:$B$26,0),MATCH(CC$1,'Team forecast'!$R$2:$BH$2,0))*($BX505-(BY505+BX505*3+CH505)*0.01)</f>
        <v>-858.51335840923593</v>
      </c>
      <c r="CD505" s="5">
        <f>+AK505+BD505*Cockpit!$C$3+BW505*Cockpit!$C$3^2+BZ505*Cockpit!$C$3^3+CA505*Cockpit!$C$3^4+CB505*Cockpit!$C$3^5+CC505*Cockpit!$C$3^6</f>
        <v>-14057.550386584157</v>
      </c>
      <c r="CE505" s="5"/>
      <c r="CF505" s="5"/>
      <c r="CG505" s="5">
        <v>0</v>
      </c>
      <c r="CH505" s="5">
        <f t="shared" si="298"/>
        <v>2500000</v>
      </c>
      <c r="CI505" s="5">
        <f t="shared" si="299"/>
        <v>2500000</v>
      </c>
      <c r="CJ505" s="1">
        <f t="shared" si="300"/>
        <v>-6.0000000000000001E-3</v>
      </c>
      <c r="CK505" s="5">
        <f>RANK(BY505,$BY$2:$BY$623)+COUNTIF($BY$2:$BY505,$BY505)-1</f>
        <v>583</v>
      </c>
      <c r="CL505" s="5">
        <f>RANK(CJ505,$CJ$2:$CJ$623)+COUNTIF($CJ$2:$CJ505,$CJ505)-1</f>
        <v>564</v>
      </c>
    </row>
    <row r="506" spans="1:90">
      <c r="A506" t="str">
        <f>Players!P507</f>
        <v>Oleksandr Tymchyk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2000000</v>
      </c>
      <c r="H506" s="16">
        <f>INDEX('Team forecast'!$B$2:$AO$26,MATCH('Master data'!$B506,'Team forecast'!$B$2:$B$26,0),MATCH('Master data'!H$1,'Team forecast'!$B$2:$AO$2,0))</f>
        <v>0.76028648339757388</v>
      </c>
      <c r="I506" s="16">
        <f>INDEX('Team forecast'!$B$2:$AO$26,MATCH('Master data'!$B506,'Team forecast'!$B$2:$B$26,0),MATCH('Master data'!I$1,'Team forecast'!$B$2:$AO$2,0))</f>
        <v>1.5712166996139025</v>
      </c>
      <c r="J506" s="16">
        <f>INDEX('Team forecast'!$B$2:$AO$26,MATCH('Master data'!$B506,'Team forecast'!$B$2:$B$26,0),MATCH('Master data'!J$1,'Team forecast'!$B$2:$AO$2,0))</f>
        <v>0.20779220779220781</v>
      </c>
      <c r="K506" s="16">
        <f>INDEX('Team forecast'!$B$2:$AO$26,MATCH('Master data'!$B506,'Team forecast'!$B$2:$B$26,0),MATCH('Master data'!K$1,'Team forecast'!$B$2:$AO$2,0))</f>
        <v>2.0548283335069564</v>
      </c>
      <c r="L506" s="16">
        <f>INDEX('Team forecast'!$B$2:$AO$26,MATCH('Master data'!$B506,'Team forecast'!$B$2:$B$26,0),MATCH('Master data'!L$1,'Team forecast'!$B$2:$AO$2,0))</f>
        <v>5.3509268021816121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0.1</v>
      </c>
      <c r="R506" s="2">
        <f>Players!BR507</f>
        <v>0</v>
      </c>
      <c r="S506" s="2">
        <f t="shared" si="259"/>
        <v>0.76028648339757388</v>
      </c>
      <c r="T506" s="2">
        <f t="shared" si="260"/>
        <v>1.5712166996139025</v>
      </c>
      <c r="U506" s="16">
        <f>INDEX('Team forecast'!$B$2:$AO$26,MATCH('Master data'!$B506,'Team forecast'!$B$2:$B$26,0),MATCH('Master data'!U$1,'Team forecast'!$B$2:$AO$2,0))</f>
        <v>0.15584415584415581</v>
      </c>
      <c r="V506" s="16">
        <f>INDEX('Team forecast'!$B$2:$AO$26,MATCH('Master data'!$B506,'Team forecast'!$B$2:$B$26,0),MATCH('Master data'!V$1,'Team forecast'!$B$2:$AO$2,0))</f>
        <v>0.25974025974025972</v>
      </c>
      <c r="W506" s="16">
        <f>INDEX('Team forecast'!$B$2:$AO$26,MATCH('Master data'!$B506,'Team forecast'!$B$2:$B$26,0),MATCH('Master data'!W$1,'Team forecast'!$B$2:$AO$2,0))</f>
        <v>0.58441558441558439</v>
      </c>
      <c r="X506" s="5">
        <f t="shared" si="261"/>
        <v>-5000</v>
      </c>
      <c r="Y506" s="5">
        <f t="shared" si="262"/>
        <v>0</v>
      </c>
      <c r="Z506" s="5">
        <f t="shared" si="263"/>
        <v>0</v>
      </c>
      <c r="AA506" s="5">
        <f t="shared" si="264"/>
        <v>0</v>
      </c>
      <c r="AB506" s="5">
        <f t="shared" si="265"/>
        <v>0</v>
      </c>
      <c r="AC506" s="5">
        <f t="shared" si="266"/>
        <v>0</v>
      </c>
      <c r="AD506" s="5">
        <f t="shared" si="267"/>
        <v>0</v>
      </c>
      <c r="AE506" s="5">
        <f t="shared" si="268"/>
        <v>10389.61038961039</v>
      </c>
      <c r="AF506" s="5">
        <f t="shared" si="269"/>
        <v>0</v>
      </c>
      <c r="AG506" s="5">
        <f t="shared" si="270"/>
        <v>0</v>
      </c>
      <c r="AH506" s="5">
        <f t="shared" si="271"/>
        <v>0</v>
      </c>
      <c r="AI506" s="5">
        <f t="shared" si="272"/>
        <v>0</v>
      </c>
      <c r="AJ506" s="5">
        <f t="shared" si="273"/>
        <v>0</v>
      </c>
      <c r="AK506" s="5">
        <f>IFERROR(SUM(X506:AJ506),-5000)*((Cockpit!$C$3)^0)</f>
        <v>5389.6103896103905</v>
      </c>
      <c r="AL506" s="16">
        <f>INDEX('Team forecast'!$B$2:$AO$26,MATCH('Master data'!$B506,'Team forecast'!$B$2:$B$26,0),MATCH('Master data'!AL$1,'Team forecast'!$B$2:$AO$2,0))</f>
        <v>1.5712166996139025</v>
      </c>
      <c r="AM506" s="16">
        <f>INDEX('Team forecast'!$B$2:$AO$26,MATCH('Master data'!$B506,'Team forecast'!$B$2:$B$26,0),MATCH('Master data'!AM$1,'Team forecast'!$B$2:$AO$2,0))</f>
        <v>0.76028648339757388</v>
      </c>
      <c r="AN506" s="16">
        <f>INDEX('Team forecast'!$B$2:$AO$26,MATCH('Master data'!$B506,'Team forecast'!$B$2:$B$26,0),MATCH('Master data'!AN$1,'Team forecast'!$B$2:$AO$2,0))</f>
        <v>0.46753246753246752</v>
      </c>
      <c r="AO506" s="16">
        <f>INDEX('Team forecast'!$B$2:$AO$26,MATCH('Master data'!$B506,'Team forecast'!$B$2:$B$26,0),MATCH('Master data'!AO$1,'Team forecast'!$B$2:$AO$2,0))</f>
        <v>4.2465316205781152</v>
      </c>
      <c r="AP506" s="16">
        <f>INDEX('Team forecast'!$B$2:$AO$26,MATCH('Master data'!$B506,'Team forecast'!$B$2:$B$26,0),MATCH('Master data'!AP$1,'Team forecast'!$B$2:$AO$2,0))</f>
        <v>2.5892273945078212</v>
      </c>
      <c r="AQ506" s="5">
        <f t="shared" si="274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275"/>
        <v>0</v>
      </c>
      <c r="AV506" s="5">
        <f t="shared" si="276"/>
        <v>0</v>
      </c>
      <c r="AW506" s="5">
        <f t="shared" si="277"/>
        <v>0</v>
      </c>
      <c r="AX506" s="5">
        <f t="shared" si="278"/>
        <v>23376.623376623374</v>
      </c>
      <c r="AY506" s="5">
        <f t="shared" si="279"/>
        <v>0</v>
      </c>
      <c r="AZ506" s="5">
        <f t="shared" si="280"/>
        <v>0</v>
      </c>
      <c r="BA506" s="5">
        <f t="shared" si="281"/>
        <v>0</v>
      </c>
      <c r="BB506" s="5">
        <f t="shared" si="282"/>
        <v>0</v>
      </c>
      <c r="BC506" s="5">
        <f t="shared" si="283"/>
        <v>0</v>
      </c>
      <c r="BD506" s="5">
        <f t="shared" si="284"/>
        <v>18376.623376623374</v>
      </c>
      <c r="BE506" s="16">
        <f>INDEX('Team forecast'!$B$2:$AO$26,MATCH('Master data'!$B506,'Team forecast'!$B$2:$B$26,0),MATCH('Master data'!BE$1,'Team forecast'!$B$2:$AO$2,0))</f>
        <v>1.1461513485277883</v>
      </c>
      <c r="BF506" s="16">
        <f>INDEX('Team forecast'!$B$2:$AO$26,MATCH('Master data'!$B506,'Team forecast'!$B$2:$B$26,0),MATCH('Master data'!BF$1,'Team forecast'!$B$2:$AO$2,0))</f>
        <v>1.1461513485277883</v>
      </c>
      <c r="BG506" s="16">
        <f>INDEX('Team forecast'!$B$2:$AO$26,MATCH('Master data'!$B506,'Team forecast'!$B$2:$B$26,0),MATCH('Master data'!BG$1,'Team forecast'!$B$2:$AO$2,0))</f>
        <v>0.31785774198959899</v>
      </c>
      <c r="BH506" s="16">
        <f>INDEX('Team forecast'!$B$2:$AO$26,MATCH('Master data'!$B506,'Team forecast'!$B$2:$B$26,0),MATCH('Master data'!BH$1,'Team forecast'!$B$2:$AO$2,0))</f>
        <v>3.0977063473724007</v>
      </c>
      <c r="BI506" s="16">
        <f>INDEX('Team forecast'!$B$2:$AO$26,MATCH('Master data'!$B506,'Team forecast'!$B$2:$B$26,0),MATCH('Master data'!BI$1,'Team forecast'!$B$2:$AO$2,0))</f>
        <v>3.9033266205107195</v>
      </c>
      <c r="BJ506" s="5">
        <f t="shared" si="285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286"/>
        <v>0</v>
      </c>
      <c r="BO506" s="5">
        <f t="shared" si="287"/>
        <v>0</v>
      </c>
      <c r="BP506" s="5">
        <f t="shared" si="288"/>
        <v>0</v>
      </c>
      <c r="BQ506" s="5">
        <f t="shared" si="289"/>
        <v>15892.887099479949</v>
      </c>
      <c r="BR506" s="5">
        <f t="shared" si="290"/>
        <v>0</v>
      </c>
      <c r="BS506" s="5">
        <f t="shared" si="291"/>
        <v>0</v>
      </c>
      <c r="BT506" s="5">
        <f t="shared" si="292"/>
        <v>0</v>
      </c>
      <c r="BU506" s="5">
        <f t="shared" si="293"/>
        <v>0</v>
      </c>
      <c r="BV506" s="5">
        <f t="shared" si="294"/>
        <v>0</v>
      </c>
      <c r="BW506" s="5">
        <f t="shared" si="295"/>
        <v>10892.887099479949</v>
      </c>
      <c r="BX506" s="5">
        <f t="shared" si="296"/>
        <v>11553.040288571239</v>
      </c>
      <c r="BY506" s="5">
        <f t="shared" si="297"/>
        <v>34659.120865713718</v>
      </c>
      <c r="BZ506" s="5">
        <f>INDEX('Team forecast'!$R$3:$BH$26,MATCH($B506,'Team forecast'!$B$3:$B$26,0),MATCH(BZ$1,'Team forecast'!$R$2:$BH$2,0))*($BX506-(BY506+CH506)*0.01)</f>
        <v>-6563.5999676593328</v>
      </c>
      <c r="CA506" s="5">
        <f>INDEX('Team forecast'!$R$3:$BH$26,MATCH($B506,'Team forecast'!$B$3:$B$26,0),MATCH(CA$1,'Team forecast'!$R$2:$BH$2,0))*($BX506-(BY506+BX506+CH506)*0.01)</f>
        <v>-3267.4148487702614</v>
      </c>
      <c r="CB506" s="5">
        <f>INDEX('Team forecast'!$R$3:$BH$26,MATCH($B506,'Team forecast'!$B$3:$B$26,0),MATCH(CB$1,'Team forecast'!$R$2:$BH$2,0))*($BX506-(BY506+BX506*2+CH506)*0.01)</f>
        <v>-1600.0718260543731</v>
      </c>
      <c r="CC506" s="5">
        <f>INDEX('Team forecast'!$R$3:$BH$26,MATCH($B506,'Team forecast'!$B$3:$B$26,0),MATCH(CC$1,'Team forecast'!$R$2:$BH$2,0))*($BX506-(BY506+BX506*3+CH506)*0.01)</f>
        <v>-738.68248303897747</v>
      </c>
      <c r="CD506" s="5">
        <f>+AK506+BD506*Cockpit!$C$3+BW506*Cockpit!$C$3^2+BZ506*Cockpit!$C$3^3+CA506*Cockpit!$C$3^4+CB506*Cockpit!$C$3^5+CC506*Cockpit!$C$3^6</f>
        <v>19616.231069744019</v>
      </c>
      <c r="CE506" s="5"/>
      <c r="CF506" s="5"/>
      <c r="CG506" s="5">
        <v>0</v>
      </c>
      <c r="CH506" s="5">
        <f t="shared" si="298"/>
        <v>2000000</v>
      </c>
      <c r="CI506" s="5">
        <f t="shared" si="299"/>
        <v>2000000</v>
      </c>
      <c r="CJ506" s="1">
        <f t="shared" si="300"/>
        <v>1.7329560432856859E-2</v>
      </c>
      <c r="CK506" s="5">
        <f>RANK(BY506,$BY$2:$BY$623)+COUNTIF($BY$2:$BY506,$BY506)-1</f>
        <v>336</v>
      </c>
      <c r="CL506" s="5">
        <f>RANK(CJ506,$CJ$2:$CJ$623)+COUNTIF($CJ$2:$CJ506,$CJ506)-1</f>
        <v>286</v>
      </c>
    </row>
    <row r="507" spans="1:90">
      <c r="A507" t="str">
        <f>Players!P508</f>
        <v>Ilya Zabarnyi</v>
      </c>
      <c r="B507" t="str">
        <f>Players!G508</f>
        <v>Ukraine</v>
      </c>
      <c r="C507" t="str">
        <f>Players!AB508</f>
        <v>Defense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2500000</v>
      </c>
      <c r="H507" s="16">
        <f>INDEX('Team forecast'!$B$2:$AO$26,MATCH('Master data'!$B507,'Team forecast'!$B$2:$B$26,0),MATCH('Master data'!H$1,'Team forecast'!$B$2:$AO$2,0))</f>
        <v>0.76028648339757388</v>
      </c>
      <c r="I507" s="16">
        <f>INDEX('Team forecast'!$B$2:$AO$26,MATCH('Master data'!$B507,'Team forecast'!$B$2:$B$26,0),MATCH('Master data'!I$1,'Team forecast'!$B$2:$AO$2,0))</f>
        <v>1.5712166996139025</v>
      </c>
      <c r="J507" s="16">
        <f>INDEX('Team forecast'!$B$2:$AO$26,MATCH('Master data'!$B507,'Team forecast'!$B$2:$B$26,0),MATCH('Master data'!J$1,'Team forecast'!$B$2:$AO$2,0))</f>
        <v>0.20779220779220781</v>
      </c>
      <c r="K507" s="16">
        <f>INDEX('Team forecast'!$B$2:$AO$26,MATCH('Master data'!$B507,'Team forecast'!$B$2:$B$26,0),MATCH('Master data'!K$1,'Team forecast'!$B$2:$AO$2,0))</f>
        <v>2.0548283335069564</v>
      </c>
      <c r="L507" s="16">
        <f>INDEX('Team forecast'!$B$2:$AO$26,MATCH('Master data'!$B507,'Team forecast'!$B$2:$B$26,0),MATCH('Master data'!L$1,'Team forecast'!$B$2:$AO$2,0))</f>
        <v>5.3509268021816121</v>
      </c>
      <c r="M507">
        <f>IF(Players!BC508=1,95,0)</f>
        <v>95</v>
      </c>
      <c r="N507" s="2">
        <f>Players!BN508</f>
        <v>3.7364556456689187E-2</v>
      </c>
      <c r="O507" s="2">
        <f>Players!BO508</f>
        <v>2.9242554739792766E-2</v>
      </c>
      <c r="P507" s="2">
        <f>Players!BP508</f>
        <v>2.5661878674404583E-2</v>
      </c>
      <c r="Q507" s="2">
        <f>Players!BQ508</f>
        <v>6.32688927943761E-2</v>
      </c>
      <c r="R507" s="2">
        <f>Players!BR508</f>
        <v>0</v>
      </c>
      <c r="S507" s="2">
        <f t="shared" si="259"/>
        <v>0.76028648339757388</v>
      </c>
      <c r="T507" s="2">
        <f t="shared" si="260"/>
        <v>1.5712166996139025</v>
      </c>
      <c r="U507" s="16">
        <f>INDEX('Team forecast'!$B$2:$AO$26,MATCH('Master data'!$B507,'Team forecast'!$B$2:$B$26,0),MATCH('Master data'!U$1,'Team forecast'!$B$2:$AO$2,0))</f>
        <v>0.15584415584415581</v>
      </c>
      <c r="V507" s="16">
        <f>INDEX('Team forecast'!$B$2:$AO$26,MATCH('Master data'!$B507,'Team forecast'!$B$2:$B$26,0),MATCH('Master data'!V$1,'Team forecast'!$B$2:$AO$2,0))</f>
        <v>0.25974025974025972</v>
      </c>
      <c r="W507" s="16">
        <f>INDEX('Team forecast'!$B$2:$AO$26,MATCH('Master data'!$B507,'Team forecast'!$B$2:$B$26,0),MATCH('Master data'!W$1,'Team forecast'!$B$2:$AO$2,0))</f>
        <v>0.58441558441558439</v>
      </c>
      <c r="X507" s="5">
        <f t="shared" si="261"/>
        <v>7000</v>
      </c>
      <c r="Y507" s="5">
        <f t="shared" si="262"/>
        <v>3896.1038961038953</v>
      </c>
      <c r="Z507" s="5">
        <f t="shared" si="263"/>
        <v>1298.7012987012986</v>
      </c>
      <c r="AA507" s="5">
        <f t="shared" si="264"/>
        <v>-8766.233766233765</v>
      </c>
      <c r="AB507" s="5">
        <f t="shared" si="265"/>
        <v>4261.1650848249501</v>
      </c>
      <c r="AC507" s="5">
        <f t="shared" si="266"/>
        <v>1111.6359554339049</v>
      </c>
      <c r="AD507" s="5">
        <f t="shared" si="267"/>
        <v>527.30755391184471</v>
      </c>
      <c r="AE507" s="5">
        <f t="shared" si="268"/>
        <v>10389.61038961039</v>
      </c>
      <c r="AF507" s="5">
        <f t="shared" si="269"/>
        <v>0</v>
      </c>
      <c r="AG507" s="5">
        <f t="shared" si="270"/>
        <v>-1265.3778558875219</v>
      </c>
      <c r="AH507" s="5">
        <f t="shared" si="271"/>
        <v>0</v>
      </c>
      <c r="AI507" s="5">
        <f t="shared" si="272"/>
        <v>7602.8648339757392</v>
      </c>
      <c r="AJ507" s="5">
        <f t="shared" si="273"/>
        <v>-12569.733596911221</v>
      </c>
      <c r="AK507" s="5">
        <f>IFERROR(SUM(X507:AJ507),-5000)*((Cockpit!$C$3)^0)</f>
        <v>13486.043793529519</v>
      </c>
      <c r="AL507" s="16">
        <f>INDEX('Team forecast'!$B$2:$AO$26,MATCH('Master data'!$B507,'Team forecast'!$B$2:$B$26,0),MATCH('Master data'!AL$1,'Team forecast'!$B$2:$AO$2,0))</f>
        <v>1.5712166996139025</v>
      </c>
      <c r="AM507" s="16">
        <f>INDEX('Team forecast'!$B$2:$AO$26,MATCH('Master data'!$B507,'Team forecast'!$B$2:$B$26,0),MATCH('Master data'!AM$1,'Team forecast'!$B$2:$AO$2,0))</f>
        <v>0.76028648339757388</v>
      </c>
      <c r="AN507" s="16">
        <f>INDEX('Team forecast'!$B$2:$AO$26,MATCH('Master data'!$B507,'Team forecast'!$B$2:$B$26,0),MATCH('Master data'!AN$1,'Team forecast'!$B$2:$AO$2,0))</f>
        <v>0.46753246753246752</v>
      </c>
      <c r="AO507" s="16">
        <f>INDEX('Team forecast'!$B$2:$AO$26,MATCH('Master data'!$B507,'Team forecast'!$B$2:$B$26,0),MATCH('Master data'!AO$1,'Team forecast'!$B$2:$AO$2,0))</f>
        <v>4.2465316205781152</v>
      </c>
      <c r="AP507" s="16">
        <f>INDEX('Team forecast'!$B$2:$AO$26,MATCH('Master data'!$B507,'Team forecast'!$B$2:$B$26,0),MATCH('Master data'!AP$1,'Team forecast'!$B$2:$AO$2,0))</f>
        <v>2.5892273945078212</v>
      </c>
      <c r="AQ507" s="5">
        <f t="shared" si="274"/>
        <v>7000</v>
      </c>
      <c r="AR507" s="5">
        <f>INDEX('Team forecast'!$B$2:$AO$26,MATCH('Master data'!$B507,'Team forecast'!$B$2:$B$26,0),MATCH('Master data'!AR$1,'Team forecast'!$B$2:$AO$2,0))*IF(X507&gt;0,25000,0)</f>
        <v>14610.38961038961</v>
      </c>
      <c r="AS507" s="16">
        <f>INDEX('Team forecast'!$B$2:$AO$26,MATCH('Master data'!$B507,'Team forecast'!$B$2:$B$26,0),MATCH('Master data'!AS$1,'Team forecast'!$B$2:$AO$2,0))*IF(X507&gt;0,5000,0)</f>
        <v>1298.7012987012986</v>
      </c>
      <c r="AT507" s="16">
        <f>INDEX('Team forecast'!$B$2:$AO$26,MATCH('Master data'!$B507,'Team forecast'!$B$2:$B$26,0),MATCH('Master data'!AT$1,'Team forecast'!$B$2:$AO$2,0))*IF(X507&gt;0,-15000,0)</f>
        <v>-2337.662337662337</v>
      </c>
      <c r="AU507" s="5">
        <f t="shared" si="275"/>
        <v>8806.1722617624782</v>
      </c>
      <c r="AV507" s="5">
        <f t="shared" si="276"/>
        <v>2297.3195173268036</v>
      </c>
      <c r="AW507" s="5">
        <f t="shared" si="277"/>
        <v>1089.7397923429828</v>
      </c>
      <c r="AX507" s="5">
        <f t="shared" si="278"/>
        <v>23376.623376623374</v>
      </c>
      <c r="AY507" s="5">
        <f t="shared" si="279"/>
        <v>0</v>
      </c>
      <c r="AZ507" s="5">
        <f t="shared" si="280"/>
        <v>-1265.3778558875219</v>
      </c>
      <c r="BA507" s="5">
        <f t="shared" si="281"/>
        <v>0</v>
      </c>
      <c r="BB507" s="5">
        <f t="shared" si="282"/>
        <v>15712.166996139025</v>
      </c>
      <c r="BC507" s="5">
        <f t="shared" si="283"/>
        <v>-6082.291867180591</v>
      </c>
      <c r="BD507" s="5">
        <f t="shared" si="284"/>
        <v>64505.780792555139</v>
      </c>
      <c r="BE507" s="16">
        <f>INDEX('Team forecast'!$B$2:$AO$26,MATCH('Master data'!$B507,'Team forecast'!$B$2:$B$26,0),MATCH('Master data'!BE$1,'Team forecast'!$B$2:$AO$2,0))</f>
        <v>1.1461513485277883</v>
      </c>
      <c r="BF507" s="16">
        <f>INDEX('Team forecast'!$B$2:$AO$26,MATCH('Master data'!$B507,'Team forecast'!$B$2:$B$26,0),MATCH('Master data'!BF$1,'Team forecast'!$B$2:$AO$2,0))</f>
        <v>1.1461513485277883</v>
      </c>
      <c r="BG507" s="16">
        <f>INDEX('Team forecast'!$B$2:$AO$26,MATCH('Master data'!$B507,'Team forecast'!$B$2:$B$26,0),MATCH('Master data'!BG$1,'Team forecast'!$B$2:$AO$2,0))</f>
        <v>0.31785774198959899</v>
      </c>
      <c r="BH507" s="16">
        <f>INDEX('Team forecast'!$B$2:$AO$26,MATCH('Master data'!$B507,'Team forecast'!$B$2:$B$26,0),MATCH('Master data'!BH$1,'Team forecast'!$B$2:$AO$2,0))</f>
        <v>3.0977063473724007</v>
      </c>
      <c r="BI507" s="16">
        <f>INDEX('Team forecast'!$B$2:$AO$26,MATCH('Master data'!$B507,'Team forecast'!$B$2:$B$26,0),MATCH('Master data'!BI$1,'Team forecast'!$B$2:$AO$2,0))</f>
        <v>3.9033266205107195</v>
      </c>
      <c r="BJ507" s="5">
        <f t="shared" si="285"/>
        <v>7000</v>
      </c>
      <c r="BK507" s="5">
        <f>INDEX('Team forecast'!$R$3:$BH$26,MATCH($B507,'Team forecast'!$B$3:$B$26,0),MATCH(BK$1,'Team forecast'!$R$2:$BH$2,0))*IF($X507&gt;0,25000,0)</f>
        <v>8668.8475088072482</v>
      </c>
      <c r="BL507" s="5">
        <f>INDEX('Team forecast'!$R$3:$BH$26,MATCH($B507,'Team forecast'!$B$3:$B$26,0),MATCH(BL$1,'Team forecast'!$R$2:$BH$2,0))*IF($X507&gt;0,5000,0)</f>
        <v>1467.0357322596881</v>
      </c>
      <c r="BM507" s="5">
        <f>INDEX('Team forecast'!$R$3:$BH$26,MATCH($B507,'Team forecast'!$B$3:$B$26,0),MATCH(BM$1,'Team forecast'!$R$2:$BH$2,0))*IF($X507&gt;0,-15000,0)</f>
        <v>-5397.584297936588</v>
      </c>
      <c r="BN507" s="5">
        <f t="shared" si="286"/>
        <v>6423.8155154965489</v>
      </c>
      <c r="BO507" s="5">
        <f t="shared" si="287"/>
        <v>1675.8196774705575</v>
      </c>
      <c r="BP507" s="5">
        <f t="shared" si="288"/>
        <v>794.92964455203526</v>
      </c>
      <c r="BQ507" s="5">
        <f t="shared" si="289"/>
        <v>15892.887099479949</v>
      </c>
      <c r="BR507" s="5">
        <f t="shared" si="290"/>
        <v>0</v>
      </c>
      <c r="BS507" s="5">
        <f t="shared" si="291"/>
        <v>-1265.3778558875219</v>
      </c>
      <c r="BT507" s="5">
        <f t="shared" si="292"/>
        <v>0</v>
      </c>
      <c r="BU507" s="5">
        <f t="shared" si="293"/>
        <v>11461.513485277883</v>
      </c>
      <c r="BV507" s="5">
        <f t="shared" si="294"/>
        <v>-9169.2107882223063</v>
      </c>
      <c r="BW507" s="5">
        <f t="shared" si="295"/>
        <v>37552.675721297492</v>
      </c>
      <c r="BX507" s="5">
        <f t="shared" si="296"/>
        <v>38514.833435794055</v>
      </c>
      <c r="BY507" s="5">
        <f t="shared" si="297"/>
        <v>115544.50030738217</v>
      </c>
      <c r="BZ507" s="5">
        <f>INDEX('Team forecast'!$R$3:$BH$26,MATCH($B507,'Team forecast'!$B$3:$B$26,0),MATCH(BZ$1,'Team forecast'!$R$2:$BH$2,0))*($BX507-(BY507+CH507)*0.01)</f>
        <v>9225.1790265972813</v>
      </c>
      <c r="CA507" s="5">
        <f>INDEX('Team forecast'!$R$3:$BH$26,MATCH($B507,'Team forecast'!$B$3:$B$26,0),MATCH(CA$1,'Team forecast'!$R$2:$BH$2,0))*($BX507-(BY507+BX507+CH507)*0.01)</f>
        <v>4391.5650202056077</v>
      </c>
      <c r="CB507" s="5">
        <f>INDEX('Team forecast'!$R$3:$BH$26,MATCH($B507,'Team forecast'!$B$3:$B$26,0),MATCH(CB$1,'Team forecast'!$R$2:$BH$2,0))*($BX507-(BY507+BX507*2+CH507)*0.01)</f>
        <v>2054.7564576115383</v>
      </c>
      <c r="CC507" s="5">
        <f>INDEX('Team forecast'!$R$3:$BH$26,MATCH($B507,'Team forecast'!$B$3:$B$26,0),MATCH(CC$1,'Team forecast'!$R$2:$BH$2,0))*($BX507-(BY507+BX507*3+CH507)*0.01)</f>
        <v>905.47352939002906</v>
      </c>
      <c r="CD507" s="5">
        <f>+AK507+BD507*Cockpit!$C$3+BW507*Cockpit!$C$3^2+BZ507*Cockpit!$C$3^3+CA507*Cockpit!$C$3^4+CB507*Cockpit!$C$3^5+CC507*Cockpit!$C$3^6</f>
        <v>77130.909852992438</v>
      </c>
      <c r="CE507" s="5"/>
      <c r="CF507" s="5"/>
      <c r="CG507" s="5">
        <v>0</v>
      </c>
      <c r="CH507" s="5">
        <f t="shared" si="298"/>
        <v>2500000</v>
      </c>
      <c r="CI507" s="5">
        <f t="shared" si="299"/>
        <v>2500000</v>
      </c>
      <c r="CJ507" s="1">
        <f t="shared" si="300"/>
        <v>4.6217800122952866E-2</v>
      </c>
      <c r="CK507" s="5">
        <f>RANK(BY507,$BY$2:$BY$623)+COUNTIF($BY$2:$BY507,$BY507)-1</f>
        <v>142</v>
      </c>
      <c r="CL507" s="5">
        <f>RANK(CJ507,$CJ$2:$CJ$623)+COUNTIF($CJ$2:$CJ507,$CJ507)-1</f>
        <v>44</v>
      </c>
    </row>
    <row r="508" spans="1:90">
      <c r="A508" t="str">
        <f>Players!P509</f>
        <v>Craig Gordon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1.0237318402178264</v>
      </c>
      <c r="I508" s="16">
        <f>INDEX('Team forecast'!$B$2:$AO$26,MATCH('Master data'!$B508,'Team forecast'!$B$2:$B$26,0),MATCH('Master data'!I$1,'Team forecast'!$B$2:$AO$2,0))</f>
        <v>1.0683489057066333</v>
      </c>
      <c r="J508" s="16">
        <f>INDEX('Team forecast'!$B$2:$AO$26,MATCH('Master data'!$B508,'Team forecast'!$B$2:$B$26,0),MATCH('Master data'!J$1,'Team forecast'!$B$2:$AO$2,0))</f>
        <v>0.34357532462169699</v>
      </c>
      <c r="K508" s="16">
        <f>INDEX('Team forecast'!$B$2:$AO$26,MATCH('Master data'!$B508,'Team forecast'!$B$2:$B$26,0),MATCH('Master data'!K$1,'Team forecast'!$B$2:$AO$2,0))</f>
        <v>3.360735839098925</v>
      </c>
      <c r="L508" s="16">
        <f>INDEX('Team forecast'!$B$2:$AO$26,MATCH('Master data'!$B508,'Team forecast'!$B$2:$B$26,0),MATCH('Master data'!L$1,'Team forecast'!$B$2:$AO$2,0))</f>
        <v>2.9193919294978055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259"/>
        <v>1.0237318402178264</v>
      </c>
      <c r="T508" s="2">
        <f t="shared" si="260"/>
        <v>1.0683489057066333</v>
      </c>
      <c r="U508" s="16">
        <f>INDEX('Team forecast'!$B$2:$AO$26,MATCH('Master data'!$B508,'Team forecast'!$B$2:$B$26,0),MATCH('Master data'!U$1,'Team forecast'!$B$2:$AO$2,0))</f>
        <v>0.32580418714126441</v>
      </c>
      <c r="V508" s="16">
        <f>INDEX('Team forecast'!$B$2:$AO$26,MATCH('Master data'!$B508,'Team forecast'!$B$2:$B$26,0),MATCH('Master data'!V$1,'Team forecast'!$B$2:$AO$2,0))</f>
        <v>0.31494404756988892</v>
      </c>
      <c r="W508" s="16">
        <f>INDEX('Team forecast'!$B$2:$AO$26,MATCH('Master data'!$B508,'Team forecast'!$B$2:$B$26,0),MATCH('Master data'!W$1,'Team forecast'!$B$2:$AO$2,0))</f>
        <v>0.35925176528884672</v>
      </c>
      <c r="X508" s="5">
        <f t="shared" si="261"/>
        <v>-5000</v>
      </c>
      <c r="Y508" s="5">
        <f t="shared" si="262"/>
        <v>0</v>
      </c>
      <c r="Z508" s="5">
        <f t="shared" si="263"/>
        <v>0</v>
      </c>
      <c r="AA508" s="5">
        <f t="shared" si="264"/>
        <v>0</v>
      </c>
      <c r="AB508" s="5">
        <f t="shared" si="265"/>
        <v>0</v>
      </c>
      <c r="AC508" s="5">
        <f t="shared" si="266"/>
        <v>0</v>
      </c>
      <c r="AD508" s="5">
        <f t="shared" si="267"/>
        <v>0</v>
      </c>
      <c r="AE508" s="5">
        <f t="shared" si="268"/>
        <v>25768.149346627273</v>
      </c>
      <c r="AF508" s="5">
        <f t="shared" si="269"/>
        <v>9255.2151189558608</v>
      </c>
      <c r="AG508" s="5">
        <f t="shared" si="270"/>
        <v>0</v>
      </c>
      <c r="AH508" s="5">
        <f t="shared" si="271"/>
        <v>0</v>
      </c>
      <c r="AI508" s="5">
        <f t="shared" si="272"/>
        <v>0</v>
      </c>
      <c r="AJ508" s="5">
        <f t="shared" si="273"/>
        <v>0</v>
      </c>
      <c r="AK508" s="5">
        <f>IFERROR(SUM(X508:AJ508),-5000)*((Cockpit!$C$3)^0)</f>
        <v>30023.364465583134</v>
      </c>
      <c r="AL508" s="16">
        <f>INDEX('Team forecast'!$B$2:$AO$26,MATCH('Master data'!$B508,'Team forecast'!$B$2:$B$26,0),MATCH('Master data'!AL$1,'Team forecast'!$B$2:$AO$2,0))</f>
        <v>0.66520361079548807</v>
      </c>
      <c r="AM508" s="16">
        <f>INDEX('Team forecast'!$B$2:$AO$26,MATCH('Master data'!$B508,'Team forecast'!$B$2:$B$26,0),MATCH('Master data'!AM$1,'Team forecast'!$B$2:$AO$2,0))</f>
        <v>2.0067977929974719</v>
      </c>
      <c r="AN508" s="16">
        <f>INDEX('Team forecast'!$B$2:$AO$26,MATCH('Master data'!$B508,'Team forecast'!$B$2:$B$26,0),MATCH('Master data'!AN$1,'Team forecast'!$B$2:$AO$2,0))</f>
        <v>0.1344184218435715</v>
      </c>
      <c r="AO508" s="16">
        <f>INDEX('Team forecast'!$B$2:$AO$26,MATCH('Master data'!$B508,'Team forecast'!$B$2:$B$26,0),MATCH('Master data'!AO$1,'Team forecast'!$B$2:$AO$2,0))</f>
        <v>2.1837492273589256</v>
      </c>
      <c r="AP508" s="16">
        <f>INDEX('Team forecast'!$B$2:$AO$26,MATCH('Master data'!$B508,'Team forecast'!$B$2:$B$26,0),MATCH('Master data'!AP$1,'Team forecast'!$B$2:$AO$2,0))</f>
        <v>5.4838164289930909</v>
      </c>
      <c r="AQ508" s="5">
        <f t="shared" si="274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275"/>
        <v>0</v>
      </c>
      <c r="AV508" s="5">
        <f t="shared" si="276"/>
        <v>0</v>
      </c>
      <c r="AW508" s="5">
        <f t="shared" si="277"/>
        <v>0</v>
      </c>
      <c r="AX508" s="5">
        <f t="shared" si="278"/>
        <v>10081.381638267863</v>
      </c>
      <c r="AY508" s="5">
        <f t="shared" si="279"/>
        <v>17385.093179978096</v>
      </c>
      <c r="AZ508" s="5">
        <f t="shared" si="280"/>
        <v>0</v>
      </c>
      <c r="BA508" s="5">
        <f t="shared" si="281"/>
        <v>0</v>
      </c>
      <c r="BB508" s="5">
        <f t="shared" si="282"/>
        <v>0</v>
      </c>
      <c r="BC508" s="5">
        <f t="shared" si="283"/>
        <v>0</v>
      </c>
      <c r="BD508" s="5">
        <f t="shared" si="284"/>
        <v>22466.474818245959</v>
      </c>
      <c r="BE508" s="16">
        <f>INDEX('Team forecast'!$B$2:$AO$26,MATCH('Master data'!$B508,'Team forecast'!$B$2:$B$26,0),MATCH('Master data'!BE$1,'Team forecast'!$B$2:$AO$2,0))</f>
        <v>0.82681690399773144</v>
      </c>
      <c r="BF508" s="16">
        <f>INDEX('Team forecast'!$B$2:$AO$26,MATCH('Master data'!$B508,'Team forecast'!$B$2:$B$26,0),MATCH('Master data'!BF$1,'Team forecast'!$B$2:$AO$2,0))</f>
        <v>1.5039270856478595</v>
      </c>
      <c r="BG508" s="16">
        <f>INDEX('Team forecast'!$B$2:$AO$26,MATCH('Master data'!$B508,'Team forecast'!$B$2:$B$26,0),MATCH('Master data'!BG$1,'Team forecast'!$B$2:$AO$2,0))</f>
        <v>0.22225562720571071</v>
      </c>
      <c r="BH508" s="16">
        <f>INDEX('Team forecast'!$B$2:$AO$26,MATCH('Master data'!$B508,'Team forecast'!$B$2:$B$26,0),MATCH('Master data'!BH$1,'Team forecast'!$B$2:$AO$2,0))</f>
        <v>2.71429791716427</v>
      </c>
      <c r="BI508" s="16">
        <f>INDEX('Team forecast'!$B$2:$AO$26,MATCH('Master data'!$B508,'Team forecast'!$B$2:$B$26,0),MATCH('Master data'!BI$1,'Team forecast'!$B$2:$AO$2,0))</f>
        <v>4.1096617153265038</v>
      </c>
      <c r="BJ508" s="5">
        <f t="shared" si="285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286"/>
        <v>0</v>
      </c>
      <c r="BO508" s="5">
        <f t="shared" si="287"/>
        <v>0</v>
      </c>
      <c r="BP508" s="5">
        <f t="shared" si="288"/>
        <v>0</v>
      </c>
      <c r="BQ508" s="5">
        <f t="shared" si="289"/>
        <v>16669.172040428304</v>
      </c>
      <c r="BR508" s="5">
        <f t="shared" si="290"/>
        <v>13028.673148393222</v>
      </c>
      <c r="BS508" s="5">
        <f t="shared" si="291"/>
        <v>0</v>
      </c>
      <c r="BT508" s="5">
        <f t="shared" si="292"/>
        <v>0</v>
      </c>
      <c r="BU508" s="5">
        <f t="shared" si="293"/>
        <v>0</v>
      </c>
      <c r="BV508" s="5">
        <f t="shared" si="294"/>
        <v>0</v>
      </c>
      <c r="BW508" s="5">
        <f t="shared" si="295"/>
        <v>24697.845188821528</v>
      </c>
      <c r="BX508" s="5">
        <f t="shared" si="296"/>
        <v>25729.228157550202</v>
      </c>
      <c r="BY508" s="5">
        <f t="shared" si="297"/>
        <v>77187.68447265061</v>
      </c>
      <c r="BZ508" s="5">
        <f>INDEX('Team forecast'!$R$3:$BH$26,MATCH($B508,'Team forecast'!$B$3:$B$26,0),MATCH(BZ$1,'Team forecast'!$R$2:$BH$2,0))*($BX508-(BY508+CH508)*0.01)</f>
        <v>-2080.8478943744253</v>
      </c>
      <c r="CA508" s="5">
        <f>INDEX('Team forecast'!$R$3:$BH$26,MATCH($B508,'Team forecast'!$B$3:$B$26,0),MATCH(CA$1,'Team forecast'!$R$2:$BH$2,0))*($BX508-(BY508+BX508+CH508)*0.01)</f>
        <v>-1074.2838631828486</v>
      </c>
      <c r="CB508" s="5">
        <f>INDEX('Team forecast'!$R$3:$BH$26,MATCH($B508,'Team forecast'!$B$3:$B$26,0),MATCH(CB$1,'Team forecast'!$R$2:$BH$2,0))*($BX508-(BY508+BX508*2+CH508)*0.01)</f>
        <v>-544.24476642272032</v>
      </c>
      <c r="CC508" s="5">
        <f>INDEX('Team forecast'!$R$3:$BH$26,MATCH($B508,'Team forecast'!$B$3:$B$26,0),MATCH(CC$1,'Team forecast'!$R$2:$BH$2,0))*($BX508-(BY508+BX508*3+CH508)*0.01)</f>
        <v>-259.12285634654927</v>
      </c>
      <c r="CD508" s="5">
        <f>+AK508+BD508*Cockpit!$C$3+BW508*Cockpit!$C$3^2+BZ508*Cockpit!$C$3^3+CA508*Cockpit!$C$3^4+CB508*Cockpit!$C$3^5+CC508*Cockpit!$C$3^6</f>
        <v>55054.66380849087</v>
      </c>
      <c r="CE508" s="5"/>
      <c r="CF508" s="5"/>
      <c r="CG508" s="5">
        <v>0</v>
      </c>
      <c r="CH508" s="5">
        <f t="shared" si="298"/>
        <v>3000000</v>
      </c>
      <c r="CI508" s="5">
        <f t="shared" si="299"/>
        <v>3000000</v>
      </c>
      <c r="CJ508" s="1">
        <f t="shared" si="300"/>
        <v>2.5729228157550202E-2</v>
      </c>
      <c r="CK508" s="5">
        <f>RANK(BY508,$BY$2:$BY$623)+COUNTIF($BY$2:$BY508,$BY508)-1</f>
        <v>220</v>
      </c>
      <c r="CL508" s="5">
        <f>RANK(CJ508,$CJ$2:$CJ$623)+COUNTIF($CJ$2:$CJ508,$CJ508)-1</f>
        <v>194</v>
      </c>
    </row>
    <row r="509" spans="1:90">
      <c r="A509" t="str">
        <f>Players!P510</f>
        <v>Jon McLaughlin</v>
      </c>
      <c r="B509" t="str">
        <f>Players!G510</f>
        <v>Scotland</v>
      </c>
      <c r="C509" t="str">
        <f>Players!AB510</f>
        <v>Goalkeeper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3000000</v>
      </c>
      <c r="H509" s="16">
        <f>INDEX('Team forecast'!$B$2:$AO$26,MATCH('Master data'!$B509,'Team forecast'!$B$2:$B$26,0),MATCH('Master data'!H$1,'Team forecast'!$B$2:$AO$2,0))</f>
        <v>1.0237318402178264</v>
      </c>
      <c r="I509" s="16">
        <f>INDEX('Team forecast'!$B$2:$AO$26,MATCH('Master data'!$B509,'Team forecast'!$B$2:$B$26,0),MATCH('Master data'!I$1,'Team forecast'!$B$2:$AO$2,0))</f>
        <v>1.0683489057066333</v>
      </c>
      <c r="J509" s="16">
        <f>INDEX('Team forecast'!$B$2:$AO$26,MATCH('Master data'!$B509,'Team forecast'!$B$2:$B$26,0),MATCH('Master data'!J$1,'Team forecast'!$B$2:$AO$2,0))</f>
        <v>0.34357532462169699</v>
      </c>
      <c r="K509" s="16">
        <f>INDEX('Team forecast'!$B$2:$AO$26,MATCH('Master data'!$B509,'Team forecast'!$B$2:$B$26,0),MATCH('Master data'!K$1,'Team forecast'!$B$2:$AO$2,0))</f>
        <v>3.360735839098925</v>
      </c>
      <c r="L509" s="16">
        <f>INDEX('Team forecast'!$B$2:$AO$26,MATCH('Master data'!$B509,'Team forecast'!$B$2:$B$26,0),MATCH('Master data'!L$1,'Team forecast'!$B$2:$AO$2,0))</f>
        <v>2.9193919294978055</v>
      </c>
      <c r="M509">
        <f>IF(Players!BC510=1,95,0)</f>
        <v>0</v>
      </c>
      <c r="N509" s="2">
        <f>Players!BN510</f>
        <v>0</v>
      </c>
      <c r="O509" s="2">
        <f>Players!BO510</f>
        <v>0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259"/>
        <v>1.0237318402178264</v>
      </c>
      <c r="T509" s="2">
        <f t="shared" si="260"/>
        <v>1.0683489057066333</v>
      </c>
      <c r="U509" s="16">
        <f>INDEX('Team forecast'!$B$2:$AO$26,MATCH('Master data'!$B509,'Team forecast'!$B$2:$B$26,0),MATCH('Master data'!U$1,'Team forecast'!$B$2:$AO$2,0))</f>
        <v>0.32580418714126441</v>
      </c>
      <c r="V509" s="16">
        <f>INDEX('Team forecast'!$B$2:$AO$26,MATCH('Master data'!$B509,'Team forecast'!$B$2:$B$26,0),MATCH('Master data'!V$1,'Team forecast'!$B$2:$AO$2,0))</f>
        <v>0.31494404756988892</v>
      </c>
      <c r="W509" s="16">
        <f>INDEX('Team forecast'!$B$2:$AO$26,MATCH('Master data'!$B509,'Team forecast'!$B$2:$B$26,0),MATCH('Master data'!W$1,'Team forecast'!$B$2:$AO$2,0))</f>
        <v>0.35925176528884672</v>
      </c>
      <c r="X509" s="5">
        <f t="shared" si="261"/>
        <v>-5000</v>
      </c>
      <c r="Y509" s="5">
        <f t="shared" si="262"/>
        <v>0</v>
      </c>
      <c r="Z509" s="5">
        <f t="shared" si="263"/>
        <v>0</v>
      </c>
      <c r="AA509" s="5">
        <f t="shared" si="264"/>
        <v>0</v>
      </c>
      <c r="AB509" s="5">
        <f t="shared" si="265"/>
        <v>0</v>
      </c>
      <c r="AC509" s="5">
        <f t="shared" si="266"/>
        <v>0</v>
      </c>
      <c r="AD509" s="5">
        <f t="shared" si="267"/>
        <v>0</v>
      </c>
      <c r="AE509" s="5">
        <f t="shared" si="268"/>
        <v>25768.149346627273</v>
      </c>
      <c r="AF509" s="5">
        <f t="shared" si="269"/>
        <v>9255.2151189558608</v>
      </c>
      <c r="AG509" s="5">
        <f t="shared" si="270"/>
        <v>0</v>
      </c>
      <c r="AH509" s="5">
        <f t="shared" si="271"/>
        <v>0</v>
      </c>
      <c r="AI509" s="5">
        <f t="shared" si="272"/>
        <v>0</v>
      </c>
      <c r="AJ509" s="5">
        <f t="shared" si="273"/>
        <v>0</v>
      </c>
      <c r="AK509" s="5">
        <f>IFERROR(SUM(X509:AJ509),-5000)*((Cockpit!$C$3)^0)</f>
        <v>30023.364465583134</v>
      </c>
      <c r="AL509" s="16">
        <f>INDEX('Team forecast'!$B$2:$AO$26,MATCH('Master data'!$B509,'Team forecast'!$B$2:$B$26,0),MATCH('Master data'!AL$1,'Team forecast'!$B$2:$AO$2,0))</f>
        <v>0.66520361079548807</v>
      </c>
      <c r="AM509" s="16">
        <f>INDEX('Team forecast'!$B$2:$AO$26,MATCH('Master data'!$B509,'Team forecast'!$B$2:$B$26,0),MATCH('Master data'!AM$1,'Team forecast'!$B$2:$AO$2,0))</f>
        <v>2.0067977929974719</v>
      </c>
      <c r="AN509" s="16">
        <f>INDEX('Team forecast'!$B$2:$AO$26,MATCH('Master data'!$B509,'Team forecast'!$B$2:$B$26,0),MATCH('Master data'!AN$1,'Team forecast'!$B$2:$AO$2,0))</f>
        <v>0.1344184218435715</v>
      </c>
      <c r="AO509" s="16">
        <f>INDEX('Team forecast'!$B$2:$AO$26,MATCH('Master data'!$B509,'Team forecast'!$B$2:$B$26,0),MATCH('Master data'!AO$1,'Team forecast'!$B$2:$AO$2,0))</f>
        <v>2.1837492273589256</v>
      </c>
      <c r="AP509" s="16">
        <f>INDEX('Team forecast'!$B$2:$AO$26,MATCH('Master data'!$B509,'Team forecast'!$B$2:$B$26,0),MATCH('Master data'!AP$1,'Team forecast'!$B$2:$AO$2,0))</f>
        <v>5.4838164289930909</v>
      </c>
      <c r="AQ509" s="5">
        <f t="shared" si="274"/>
        <v>-5000</v>
      </c>
      <c r="AR509" s="5">
        <f>INDEX('Team forecast'!$B$2:$AO$26,MATCH('Master data'!$B509,'Team forecast'!$B$2:$B$26,0),MATCH('Master data'!AR$1,'Team forecast'!$B$2:$AO$2,0))*IF(X509&gt;0,25000,0)</f>
        <v>0</v>
      </c>
      <c r="AS509" s="16">
        <f>INDEX('Team forecast'!$B$2:$AO$26,MATCH('Master data'!$B509,'Team forecast'!$B$2:$B$26,0),MATCH('Master data'!AS$1,'Team forecast'!$B$2:$AO$2,0))*IF(X509&gt;0,5000,0)</f>
        <v>0</v>
      </c>
      <c r="AT509" s="16">
        <f>INDEX('Team forecast'!$B$2:$AO$26,MATCH('Master data'!$B509,'Team forecast'!$B$2:$B$26,0),MATCH('Master data'!AT$1,'Team forecast'!$B$2:$AO$2,0))*IF(X509&gt;0,-15000,0)</f>
        <v>0</v>
      </c>
      <c r="AU509" s="5">
        <f t="shared" si="275"/>
        <v>0</v>
      </c>
      <c r="AV509" s="5">
        <f t="shared" si="276"/>
        <v>0</v>
      </c>
      <c r="AW509" s="5">
        <f t="shared" si="277"/>
        <v>0</v>
      </c>
      <c r="AX509" s="5">
        <f t="shared" si="278"/>
        <v>10081.381638267863</v>
      </c>
      <c r="AY509" s="5">
        <f t="shared" si="279"/>
        <v>17385.093179978096</v>
      </c>
      <c r="AZ509" s="5">
        <f t="shared" si="280"/>
        <v>0</v>
      </c>
      <c r="BA509" s="5">
        <f t="shared" si="281"/>
        <v>0</v>
      </c>
      <c r="BB509" s="5">
        <f t="shared" si="282"/>
        <v>0</v>
      </c>
      <c r="BC509" s="5">
        <f t="shared" si="283"/>
        <v>0</v>
      </c>
      <c r="BD509" s="5">
        <f t="shared" si="284"/>
        <v>22466.474818245959</v>
      </c>
      <c r="BE509" s="16">
        <f>INDEX('Team forecast'!$B$2:$AO$26,MATCH('Master data'!$B509,'Team forecast'!$B$2:$B$26,0),MATCH('Master data'!BE$1,'Team forecast'!$B$2:$AO$2,0))</f>
        <v>0.82681690399773144</v>
      </c>
      <c r="BF509" s="16">
        <f>INDEX('Team forecast'!$B$2:$AO$26,MATCH('Master data'!$B509,'Team forecast'!$B$2:$B$26,0),MATCH('Master data'!BF$1,'Team forecast'!$B$2:$AO$2,0))</f>
        <v>1.5039270856478595</v>
      </c>
      <c r="BG509" s="16">
        <f>INDEX('Team forecast'!$B$2:$AO$26,MATCH('Master data'!$B509,'Team forecast'!$B$2:$B$26,0),MATCH('Master data'!BG$1,'Team forecast'!$B$2:$AO$2,0))</f>
        <v>0.22225562720571071</v>
      </c>
      <c r="BH509" s="16">
        <f>INDEX('Team forecast'!$B$2:$AO$26,MATCH('Master data'!$B509,'Team forecast'!$B$2:$B$26,0),MATCH('Master data'!BH$1,'Team forecast'!$B$2:$AO$2,0))</f>
        <v>2.71429791716427</v>
      </c>
      <c r="BI509" s="16">
        <f>INDEX('Team forecast'!$B$2:$AO$26,MATCH('Master data'!$B509,'Team forecast'!$B$2:$B$26,0),MATCH('Master data'!BI$1,'Team forecast'!$B$2:$AO$2,0))</f>
        <v>4.1096617153265038</v>
      </c>
      <c r="BJ509" s="5">
        <f t="shared" si="285"/>
        <v>-5000</v>
      </c>
      <c r="BK509" s="5">
        <f>INDEX('Team forecast'!$R$3:$BH$26,MATCH($B509,'Team forecast'!$B$3:$B$26,0),MATCH(BK$1,'Team forecast'!$R$2:$BH$2,0))*IF($X509&gt;0,25000,0)</f>
        <v>0</v>
      </c>
      <c r="BL509" s="5">
        <f>INDEX('Team forecast'!$R$3:$BH$26,MATCH($B509,'Team forecast'!$B$3:$B$26,0),MATCH(BL$1,'Team forecast'!$R$2:$BH$2,0))*IF($X509&gt;0,5000,0)</f>
        <v>0</v>
      </c>
      <c r="BM509" s="5">
        <f>INDEX('Team forecast'!$R$3:$BH$26,MATCH($B509,'Team forecast'!$B$3:$B$26,0),MATCH(BM$1,'Team forecast'!$R$2:$BH$2,0))*IF($X509&gt;0,-15000,0)</f>
        <v>0</v>
      </c>
      <c r="BN509" s="5">
        <f t="shared" si="286"/>
        <v>0</v>
      </c>
      <c r="BO509" s="5">
        <f t="shared" si="287"/>
        <v>0</v>
      </c>
      <c r="BP509" s="5">
        <f t="shared" si="288"/>
        <v>0</v>
      </c>
      <c r="BQ509" s="5">
        <f t="shared" si="289"/>
        <v>16669.172040428304</v>
      </c>
      <c r="BR509" s="5">
        <f t="shared" si="290"/>
        <v>13028.673148393222</v>
      </c>
      <c r="BS509" s="5">
        <f t="shared" si="291"/>
        <v>0</v>
      </c>
      <c r="BT509" s="5">
        <f t="shared" si="292"/>
        <v>0</v>
      </c>
      <c r="BU509" s="5">
        <f t="shared" si="293"/>
        <v>0</v>
      </c>
      <c r="BV509" s="5">
        <f t="shared" si="294"/>
        <v>0</v>
      </c>
      <c r="BW509" s="5">
        <f t="shared" si="295"/>
        <v>24697.845188821528</v>
      </c>
      <c r="BX509" s="5">
        <f t="shared" si="296"/>
        <v>25729.228157550202</v>
      </c>
      <c r="BY509" s="5">
        <f t="shared" si="297"/>
        <v>77187.68447265061</v>
      </c>
      <c r="BZ509" s="5">
        <f>INDEX('Team forecast'!$R$3:$BH$26,MATCH($B509,'Team forecast'!$B$3:$B$26,0),MATCH(BZ$1,'Team forecast'!$R$2:$BH$2,0))*($BX509-(BY509+CH509)*0.01)</f>
        <v>-2080.8478943744253</v>
      </c>
      <c r="CA509" s="5">
        <f>INDEX('Team forecast'!$R$3:$BH$26,MATCH($B509,'Team forecast'!$B$3:$B$26,0),MATCH(CA$1,'Team forecast'!$R$2:$BH$2,0))*($BX509-(BY509+BX509+CH509)*0.01)</f>
        <v>-1074.2838631828486</v>
      </c>
      <c r="CB509" s="5">
        <f>INDEX('Team forecast'!$R$3:$BH$26,MATCH($B509,'Team forecast'!$B$3:$B$26,0),MATCH(CB$1,'Team forecast'!$R$2:$BH$2,0))*($BX509-(BY509+BX509*2+CH509)*0.01)</f>
        <v>-544.24476642272032</v>
      </c>
      <c r="CC509" s="5">
        <f>INDEX('Team forecast'!$R$3:$BH$26,MATCH($B509,'Team forecast'!$B$3:$B$26,0),MATCH(CC$1,'Team forecast'!$R$2:$BH$2,0))*($BX509-(BY509+BX509*3+CH509)*0.01)</f>
        <v>-259.12285634654927</v>
      </c>
      <c r="CD509" s="5">
        <f>+AK509+BD509*Cockpit!$C$3+BW509*Cockpit!$C$3^2+BZ509*Cockpit!$C$3^3+CA509*Cockpit!$C$3^4+CB509*Cockpit!$C$3^5+CC509*Cockpit!$C$3^6</f>
        <v>55054.66380849087</v>
      </c>
      <c r="CE509" s="5"/>
      <c r="CF509" s="5"/>
      <c r="CG509" s="5">
        <v>0</v>
      </c>
      <c r="CH509" s="5">
        <f t="shared" si="298"/>
        <v>3000000</v>
      </c>
      <c r="CI509" s="5">
        <f t="shared" si="299"/>
        <v>3000000</v>
      </c>
      <c r="CJ509" s="1">
        <f t="shared" si="300"/>
        <v>2.5729228157550202E-2</v>
      </c>
      <c r="CK509" s="5">
        <f>RANK(BY509,$BY$2:$BY$623)+COUNTIF($BY$2:$BY509,$BY509)-1</f>
        <v>221</v>
      </c>
      <c r="CL509" s="5">
        <f>RANK(CJ509,$CJ$2:$CJ$623)+COUNTIF($CJ$2:$CJ509,$CJ509)-1</f>
        <v>195</v>
      </c>
    </row>
    <row r="510" spans="1:90">
      <c r="A510" t="str">
        <f>Players!P511</f>
        <v>Jack  Hendry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1.0237318402178264</v>
      </c>
      <c r="I510" s="16">
        <f>INDEX('Team forecast'!$B$2:$AO$26,MATCH('Master data'!$B510,'Team forecast'!$B$2:$B$26,0),MATCH('Master data'!I$1,'Team forecast'!$B$2:$AO$2,0))</f>
        <v>1.0683489057066333</v>
      </c>
      <c r="J510" s="16">
        <f>INDEX('Team forecast'!$B$2:$AO$26,MATCH('Master data'!$B510,'Team forecast'!$B$2:$B$26,0),MATCH('Master data'!J$1,'Team forecast'!$B$2:$AO$2,0))</f>
        <v>0.34357532462169699</v>
      </c>
      <c r="K510" s="16">
        <f>INDEX('Team forecast'!$B$2:$AO$26,MATCH('Master data'!$B510,'Team forecast'!$B$2:$B$26,0),MATCH('Master data'!K$1,'Team forecast'!$B$2:$AO$2,0))</f>
        <v>3.360735839098925</v>
      </c>
      <c r="L510" s="16">
        <f>INDEX('Team forecast'!$B$2:$AO$26,MATCH('Master data'!$B510,'Team forecast'!$B$2:$B$26,0),MATCH('Master data'!L$1,'Team forecast'!$B$2:$AO$2,0))</f>
        <v>2.9193919294978055</v>
      </c>
      <c r="M510">
        <f>IF(Players!BC511=1,95,0)</f>
        <v>95</v>
      </c>
      <c r="N510" s="2">
        <f>Players!BN511</f>
        <v>4.1406905977911246E-2</v>
      </c>
      <c r="O510" s="2">
        <f>Players!BO511</f>
        <v>3.2265370529378112E-2</v>
      </c>
      <c r="P510" s="2">
        <f>Players!BP511</f>
        <v>0</v>
      </c>
      <c r="Q510" s="2">
        <f>Players!BQ511</f>
        <v>0</v>
      </c>
      <c r="R510" s="2">
        <f>Players!BR511</f>
        <v>0</v>
      </c>
      <c r="S510" s="2">
        <f t="shared" si="259"/>
        <v>1.0237318402178264</v>
      </c>
      <c r="T510" s="2">
        <f t="shared" si="260"/>
        <v>1.0683489057066333</v>
      </c>
      <c r="U510" s="16">
        <f>INDEX('Team forecast'!$B$2:$AO$26,MATCH('Master data'!$B510,'Team forecast'!$B$2:$B$26,0),MATCH('Master data'!U$1,'Team forecast'!$B$2:$AO$2,0))</f>
        <v>0.32580418714126441</v>
      </c>
      <c r="V510" s="16">
        <f>INDEX('Team forecast'!$B$2:$AO$26,MATCH('Master data'!$B510,'Team forecast'!$B$2:$B$26,0),MATCH('Master data'!V$1,'Team forecast'!$B$2:$AO$2,0))</f>
        <v>0.31494404756988892</v>
      </c>
      <c r="W510" s="16">
        <f>INDEX('Team forecast'!$B$2:$AO$26,MATCH('Master data'!$B510,'Team forecast'!$B$2:$B$26,0),MATCH('Master data'!W$1,'Team forecast'!$B$2:$AO$2,0))</f>
        <v>0.35925176528884672</v>
      </c>
      <c r="X510" s="5">
        <f t="shared" si="261"/>
        <v>7000</v>
      </c>
      <c r="Y510" s="5">
        <f t="shared" si="262"/>
        <v>8145.1046785316103</v>
      </c>
      <c r="Z510" s="5">
        <f t="shared" si="263"/>
        <v>1574.7202378494446</v>
      </c>
      <c r="AA510" s="5">
        <f t="shared" si="264"/>
        <v>-5388.7764793327005</v>
      </c>
      <c r="AB510" s="5">
        <f t="shared" si="265"/>
        <v>6358.435208174039</v>
      </c>
      <c r="AC510" s="5">
        <f t="shared" si="266"/>
        <v>1651.5543573675138</v>
      </c>
      <c r="AD510" s="5">
        <f t="shared" si="267"/>
        <v>0</v>
      </c>
      <c r="AE510" s="5">
        <f t="shared" si="268"/>
        <v>17178.76623108485</v>
      </c>
      <c r="AF510" s="5">
        <f t="shared" si="269"/>
        <v>0</v>
      </c>
      <c r="AG510" s="5">
        <f t="shared" si="270"/>
        <v>0</v>
      </c>
      <c r="AH510" s="5">
        <f t="shared" si="271"/>
        <v>0</v>
      </c>
      <c r="AI510" s="5">
        <f t="shared" si="272"/>
        <v>10237.318402178264</v>
      </c>
      <c r="AJ510" s="5">
        <f t="shared" si="273"/>
        <v>-8546.7912456530667</v>
      </c>
      <c r="AK510" s="5">
        <f>IFERROR(SUM(X510:AJ510),-5000)*((Cockpit!$C$3)^0)</f>
        <v>38210.331390199957</v>
      </c>
      <c r="AL510" s="16">
        <f>INDEX('Team forecast'!$B$2:$AO$26,MATCH('Master data'!$B510,'Team forecast'!$B$2:$B$26,0),MATCH('Master data'!AL$1,'Team forecast'!$B$2:$AO$2,0))</f>
        <v>0.66520361079548807</v>
      </c>
      <c r="AM510" s="16">
        <f>INDEX('Team forecast'!$B$2:$AO$26,MATCH('Master data'!$B510,'Team forecast'!$B$2:$B$26,0),MATCH('Master data'!AM$1,'Team forecast'!$B$2:$AO$2,0))</f>
        <v>2.0067977929974719</v>
      </c>
      <c r="AN510" s="16">
        <f>INDEX('Team forecast'!$B$2:$AO$26,MATCH('Master data'!$B510,'Team forecast'!$B$2:$B$26,0),MATCH('Master data'!AN$1,'Team forecast'!$B$2:$AO$2,0))</f>
        <v>0.1344184218435715</v>
      </c>
      <c r="AO510" s="16">
        <f>INDEX('Team forecast'!$B$2:$AO$26,MATCH('Master data'!$B510,'Team forecast'!$B$2:$B$26,0),MATCH('Master data'!AO$1,'Team forecast'!$B$2:$AO$2,0))</f>
        <v>2.1837492273589256</v>
      </c>
      <c r="AP510" s="16">
        <f>INDEX('Team forecast'!$B$2:$AO$26,MATCH('Master data'!$B510,'Team forecast'!$B$2:$B$26,0),MATCH('Master data'!AP$1,'Team forecast'!$B$2:$AO$2,0))</f>
        <v>5.4838164289930909</v>
      </c>
      <c r="AQ510" s="5">
        <f t="shared" si="274"/>
        <v>7000</v>
      </c>
      <c r="AR510" s="5">
        <f>INDEX('Team forecast'!$B$2:$AO$26,MATCH('Master data'!$B510,'Team forecast'!$B$2:$B$26,0),MATCH('Master data'!AR$1,'Team forecast'!$B$2:$AO$2,0))*IF(X510&gt;0,25000,0)</f>
        <v>2476.1288234342123</v>
      </c>
      <c r="AS510" s="16">
        <f>INDEX('Team forecast'!$B$2:$AO$26,MATCH('Master data'!$B510,'Team forecast'!$B$2:$B$26,0),MATCH('Master data'!AS$1,'Team forecast'!$B$2:$AO$2,0))*IF(X510&gt;0,5000,0)</f>
        <v>1045.4766143388899</v>
      </c>
      <c r="AT510" s="16">
        <f>INDEX('Team forecast'!$B$2:$AO$26,MATCH('Master data'!$B510,'Team forecast'!$B$2:$B$26,0),MATCH('Master data'!AT$1,'Team forecast'!$B$2:$AO$2,0))*IF(X510&gt;0,-15000,0)</f>
        <v>-10377.892862922801</v>
      </c>
      <c r="AU510" s="5">
        <f t="shared" si="275"/>
        <v>4131.6035052563766</v>
      </c>
      <c r="AV510" s="5">
        <f t="shared" si="276"/>
        <v>1073.1520489898323</v>
      </c>
      <c r="AW510" s="5">
        <f t="shared" si="277"/>
        <v>0</v>
      </c>
      <c r="AX510" s="5">
        <f t="shared" si="278"/>
        <v>6720.9210921785752</v>
      </c>
      <c r="AY510" s="5">
        <f t="shared" si="279"/>
        <v>0</v>
      </c>
      <c r="AZ510" s="5">
        <f t="shared" si="280"/>
        <v>0</v>
      </c>
      <c r="BA510" s="5">
        <f t="shared" si="281"/>
        <v>0</v>
      </c>
      <c r="BB510" s="5">
        <f t="shared" si="282"/>
        <v>6652.0361079548802</v>
      </c>
      <c r="BC510" s="5">
        <f t="shared" si="283"/>
        <v>-16054.382343979774</v>
      </c>
      <c r="BD510" s="5">
        <f t="shared" si="284"/>
        <v>2667.0429852501875</v>
      </c>
      <c r="BE510" s="16">
        <f>INDEX('Team forecast'!$B$2:$AO$26,MATCH('Master data'!$B510,'Team forecast'!$B$2:$B$26,0),MATCH('Master data'!BE$1,'Team forecast'!$B$2:$AO$2,0))</f>
        <v>0.82681690399773144</v>
      </c>
      <c r="BF510" s="16">
        <f>INDEX('Team forecast'!$B$2:$AO$26,MATCH('Master data'!$B510,'Team forecast'!$B$2:$B$26,0),MATCH('Master data'!BF$1,'Team forecast'!$B$2:$AO$2,0))</f>
        <v>1.5039270856478595</v>
      </c>
      <c r="BG510" s="16">
        <f>INDEX('Team forecast'!$B$2:$AO$26,MATCH('Master data'!$B510,'Team forecast'!$B$2:$B$26,0),MATCH('Master data'!BG$1,'Team forecast'!$B$2:$AO$2,0))</f>
        <v>0.22225562720571071</v>
      </c>
      <c r="BH510" s="16">
        <f>INDEX('Team forecast'!$B$2:$AO$26,MATCH('Master data'!$B510,'Team forecast'!$B$2:$B$26,0),MATCH('Master data'!BH$1,'Team forecast'!$B$2:$AO$2,0))</f>
        <v>2.71429791716427</v>
      </c>
      <c r="BI510" s="16">
        <f>INDEX('Team forecast'!$B$2:$AO$26,MATCH('Master data'!$B510,'Team forecast'!$B$2:$B$26,0),MATCH('Master data'!BI$1,'Team forecast'!$B$2:$AO$2,0))</f>
        <v>4.1096617153265038</v>
      </c>
      <c r="BJ510" s="5">
        <f t="shared" si="285"/>
        <v>7000</v>
      </c>
      <c r="BK510" s="5">
        <f>INDEX('Team forecast'!$R$3:$BH$26,MATCH($B510,'Team forecast'!$B$3:$B$26,0),MATCH(BK$1,'Team forecast'!$R$2:$BH$2,0))*IF($X510&gt;0,25000,0)</f>
        <v>5287.7300318721273</v>
      </c>
      <c r="BL510" s="5">
        <f>INDEX('Team forecast'!$R$3:$BH$26,MATCH($B510,'Team forecast'!$B$3:$B$26,0),MATCH(BL$1,'Team forecast'!$R$2:$BH$2,0))*IF($X510&gt;0,5000,0)</f>
        <v>1355.4462898601791</v>
      </c>
      <c r="BM510" s="5">
        <f>INDEX('Team forecast'!$R$3:$BH$26,MATCH($B510,'Team forecast'!$B$3:$B$26,0),MATCH(BM$1,'Team forecast'!$R$2:$BH$2,0))*IF($X510&gt;0,-15000,0)</f>
        <v>-7761.0231112961865</v>
      </c>
      <c r="BN510" s="5">
        <f t="shared" si="286"/>
        <v>5135.3894707172603</v>
      </c>
      <c r="BO510" s="5">
        <f t="shared" si="287"/>
        <v>1333.8776883720027</v>
      </c>
      <c r="BP510" s="5">
        <f t="shared" si="288"/>
        <v>0</v>
      </c>
      <c r="BQ510" s="5">
        <f t="shared" si="289"/>
        <v>11112.781360285535</v>
      </c>
      <c r="BR510" s="5">
        <f t="shared" si="290"/>
        <v>0</v>
      </c>
      <c r="BS510" s="5">
        <f t="shared" si="291"/>
        <v>0</v>
      </c>
      <c r="BT510" s="5">
        <f t="shared" si="292"/>
        <v>0</v>
      </c>
      <c r="BU510" s="5">
        <f t="shared" si="293"/>
        <v>8268.1690399773142</v>
      </c>
      <c r="BV510" s="5">
        <f t="shared" si="294"/>
        <v>-12031.416685182876</v>
      </c>
      <c r="BW510" s="5">
        <f t="shared" si="295"/>
        <v>19700.954084605357</v>
      </c>
      <c r="BX510" s="5">
        <f t="shared" si="296"/>
        <v>20192.776153351835</v>
      </c>
      <c r="BY510" s="5">
        <f t="shared" si="297"/>
        <v>60578.328460055505</v>
      </c>
      <c r="BZ510" s="5">
        <f>INDEX('Team forecast'!$R$3:$BH$26,MATCH($B510,'Team forecast'!$B$3:$B$26,0),MATCH(BZ$1,'Team forecast'!$R$2:$BH$2,0))*($BX510-(BY510+CH510)*0.01)</f>
        <v>-2233.6762265308366</v>
      </c>
      <c r="CA510" s="5">
        <f>INDEX('Team forecast'!$R$3:$BH$26,MATCH($B510,'Team forecast'!$B$3:$B$26,0),MATCH(CA$1,'Team forecast'!$R$2:$BH$2,0))*($BX510-(BY510+BX510+CH510)*0.01)</f>
        <v>-1138.1322893411186</v>
      </c>
      <c r="CB510" s="5">
        <f>INDEX('Team forecast'!$R$3:$BH$26,MATCH($B510,'Team forecast'!$B$3:$B$26,0),MATCH(CB$1,'Team forecast'!$R$2:$BH$2,0))*($BX510-(BY510+BX510*2+CH510)*0.01)</f>
        <v>-569.67143792725778</v>
      </c>
      <c r="CC510" s="5">
        <f>INDEX('Team forecast'!$R$3:$BH$26,MATCH($B510,'Team forecast'!$B$3:$B$26,0),MATCH(CC$1,'Team forecast'!$R$2:$BH$2,0))*($BX510-(BY510+BX510*3+CH510)*0.01)</f>
        <v>-268.22586911845877</v>
      </c>
      <c r="CD510" s="5">
        <f>+AK510+BD510*Cockpit!$C$3+BW510*Cockpit!$C$3^2+BZ510*Cockpit!$C$3^3+CA510*Cockpit!$C$3^4+CB510*Cockpit!$C$3^5+CC510*Cockpit!$C$3^6</f>
        <v>47759.126981397967</v>
      </c>
      <c r="CE510" s="5"/>
      <c r="CF510" s="5"/>
      <c r="CG510" s="5">
        <v>0</v>
      </c>
      <c r="CH510" s="5">
        <f t="shared" si="298"/>
        <v>2500000</v>
      </c>
      <c r="CI510" s="5">
        <f t="shared" si="299"/>
        <v>2500000</v>
      </c>
      <c r="CJ510" s="1">
        <f t="shared" si="300"/>
        <v>2.4231331384022201E-2</v>
      </c>
      <c r="CK510" s="5">
        <f>RANK(BY510,$BY$2:$BY$623)+COUNTIF($BY$2:$BY510,$BY510)-1</f>
        <v>267</v>
      </c>
      <c r="CL510" s="5">
        <f>RANK(CJ510,$CJ$2:$CJ$623)+COUNTIF($CJ$2:$CJ510,$CJ510)-1</f>
        <v>217</v>
      </c>
    </row>
    <row r="511" spans="1:90">
      <c r="A511" t="str">
        <f>Players!P512</f>
        <v>Greg  Taylor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2500000</v>
      </c>
      <c r="H511" s="16">
        <f>INDEX('Team forecast'!$B$2:$AO$26,MATCH('Master data'!$B511,'Team forecast'!$B$2:$B$26,0),MATCH('Master data'!H$1,'Team forecast'!$B$2:$AO$2,0))</f>
        <v>1.0237318402178264</v>
      </c>
      <c r="I511" s="16">
        <f>INDEX('Team forecast'!$B$2:$AO$26,MATCH('Master data'!$B511,'Team forecast'!$B$2:$B$26,0),MATCH('Master data'!I$1,'Team forecast'!$B$2:$AO$2,0))</f>
        <v>1.0683489057066333</v>
      </c>
      <c r="J511" s="16">
        <f>INDEX('Team forecast'!$B$2:$AO$26,MATCH('Master data'!$B511,'Team forecast'!$B$2:$B$26,0),MATCH('Master data'!J$1,'Team forecast'!$B$2:$AO$2,0))</f>
        <v>0.34357532462169699</v>
      </c>
      <c r="K511" s="16">
        <f>INDEX('Team forecast'!$B$2:$AO$26,MATCH('Master data'!$B511,'Team forecast'!$B$2:$B$26,0),MATCH('Master data'!K$1,'Team forecast'!$B$2:$AO$2,0))</f>
        <v>3.360735839098925</v>
      </c>
      <c r="L511" s="16">
        <f>INDEX('Team forecast'!$B$2:$AO$26,MATCH('Master data'!$B511,'Team forecast'!$B$2:$B$26,0),MATCH('Master data'!L$1,'Team forecast'!$B$2:$AO$2,0))</f>
        <v>2.9193919294978055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3.165</v>
      </c>
      <c r="R511" s="2">
        <f>Players!BR512</f>
        <v>0</v>
      </c>
      <c r="S511" s="2">
        <f t="shared" si="259"/>
        <v>1.0237318402178264</v>
      </c>
      <c r="T511" s="2">
        <f t="shared" si="260"/>
        <v>1.0683489057066333</v>
      </c>
      <c r="U511" s="16">
        <f>INDEX('Team forecast'!$B$2:$AO$26,MATCH('Master data'!$B511,'Team forecast'!$B$2:$B$26,0),MATCH('Master data'!U$1,'Team forecast'!$B$2:$AO$2,0))</f>
        <v>0.32580418714126441</v>
      </c>
      <c r="V511" s="16">
        <f>INDEX('Team forecast'!$B$2:$AO$26,MATCH('Master data'!$B511,'Team forecast'!$B$2:$B$26,0),MATCH('Master data'!V$1,'Team forecast'!$B$2:$AO$2,0))</f>
        <v>0.31494404756988892</v>
      </c>
      <c r="W511" s="16">
        <f>INDEX('Team forecast'!$B$2:$AO$26,MATCH('Master data'!$B511,'Team forecast'!$B$2:$B$26,0),MATCH('Master data'!W$1,'Team forecast'!$B$2:$AO$2,0))</f>
        <v>0.35925176528884672</v>
      </c>
      <c r="X511" s="5">
        <f t="shared" si="261"/>
        <v>-5000</v>
      </c>
      <c r="Y511" s="5">
        <f t="shared" si="262"/>
        <v>0</v>
      </c>
      <c r="Z511" s="5">
        <f t="shared" si="263"/>
        <v>0</v>
      </c>
      <c r="AA511" s="5">
        <f t="shared" si="264"/>
        <v>0</v>
      </c>
      <c r="AB511" s="5">
        <f t="shared" si="265"/>
        <v>0</v>
      </c>
      <c r="AC511" s="5">
        <f t="shared" si="266"/>
        <v>0</v>
      </c>
      <c r="AD511" s="5">
        <f t="shared" si="267"/>
        <v>0</v>
      </c>
      <c r="AE511" s="5">
        <f t="shared" si="268"/>
        <v>17178.76623108485</v>
      </c>
      <c r="AF511" s="5">
        <f t="shared" si="269"/>
        <v>0</v>
      </c>
      <c r="AG511" s="5">
        <f t="shared" si="270"/>
        <v>0</v>
      </c>
      <c r="AH511" s="5">
        <f t="shared" si="271"/>
        <v>0</v>
      </c>
      <c r="AI511" s="5">
        <f t="shared" si="272"/>
        <v>0</v>
      </c>
      <c r="AJ511" s="5">
        <f t="shared" si="273"/>
        <v>0</v>
      </c>
      <c r="AK511" s="5">
        <f>IFERROR(SUM(X511:AJ511),-5000)*((Cockpit!$C$3)^0)</f>
        <v>12178.76623108485</v>
      </c>
      <c r="AL511" s="16">
        <f>INDEX('Team forecast'!$B$2:$AO$26,MATCH('Master data'!$B511,'Team forecast'!$B$2:$B$26,0),MATCH('Master data'!AL$1,'Team forecast'!$B$2:$AO$2,0))</f>
        <v>0.66520361079548807</v>
      </c>
      <c r="AM511" s="16">
        <f>INDEX('Team forecast'!$B$2:$AO$26,MATCH('Master data'!$B511,'Team forecast'!$B$2:$B$26,0),MATCH('Master data'!AM$1,'Team forecast'!$B$2:$AO$2,0))</f>
        <v>2.0067977929974719</v>
      </c>
      <c r="AN511" s="16">
        <f>INDEX('Team forecast'!$B$2:$AO$26,MATCH('Master data'!$B511,'Team forecast'!$B$2:$B$26,0),MATCH('Master data'!AN$1,'Team forecast'!$B$2:$AO$2,0))</f>
        <v>0.1344184218435715</v>
      </c>
      <c r="AO511" s="16">
        <f>INDEX('Team forecast'!$B$2:$AO$26,MATCH('Master data'!$B511,'Team forecast'!$B$2:$B$26,0),MATCH('Master data'!AO$1,'Team forecast'!$B$2:$AO$2,0))</f>
        <v>2.1837492273589256</v>
      </c>
      <c r="AP511" s="16">
        <f>INDEX('Team forecast'!$B$2:$AO$26,MATCH('Master data'!$B511,'Team forecast'!$B$2:$B$26,0),MATCH('Master data'!AP$1,'Team forecast'!$B$2:$AO$2,0))</f>
        <v>5.4838164289930909</v>
      </c>
      <c r="AQ511" s="5">
        <f t="shared" si="274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275"/>
        <v>0</v>
      </c>
      <c r="AV511" s="5">
        <f t="shared" si="276"/>
        <v>0</v>
      </c>
      <c r="AW511" s="5">
        <f t="shared" si="277"/>
        <v>0</v>
      </c>
      <c r="AX511" s="5">
        <f t="shared" si="278"/>
        <v>6720.9210921785752</v>
      </c>
      <c r="AY511" s="5">
        <f t="shared" si="279"/>
        <v>0</v>
      </c>
      <c r="AZ511" s="5">
        <f t="shared" si="280"/>
        <v>0</v>
      </c>
      <c r="BA511" s="5">
        <f t="shared" si="281"/>
        <v>0</v>
      </c>
      <c r="BB511" s="5">
        <f t="shared" si="282"/>
        <v>0</v>
      </c>
      <c r="BC511" s="5">
        <f t="shared" si="283"/>
        <v>0</v>
      </c>
      <c r="BD511" s="5">
        <f t="shared" si="284"/>
        <v>1720.9210921785752</v>
      </c>
      <c r="BE511" s="16">
        <f>INDEX('Team forecast'!$B$2:$AO$26,MATCH('Master data'!$B511,'Team forecast'!$B$2:$B$26,0),MATCH('Master data'!BE$1,'Team forecast'!$B$2:$AO$2,0))</f>
        <v>0.82681690399773144</v>
      </c>
      <c r="BF511" s="16">
        <f>INDEX('Team forecast'!$B$2:$AO$26,MATCH('Master data'!$B511,'Team forecast'!$B$2:$B$26,0),MATCH('Master data'!BF$1,'Team forecast'!$B$2:$AO$2,0))</f>
        <v>1.5039270856478595</v>
      </c>
      <c r="BG511" s="16">
        <f>INDEX('Team forecast'!$B$2:$AO$26,MATCH('Master data'!$B511,'Team forecast'!$B$2:$B$26,0),MATCH('Master data'!BG$1,'Team forecast'!$B$2:$AO$2,0))</f>
        <v>0.22225562720571071</v>
      </c>
      <c r="BH511" s="16">
        <f>INDEX('Team forecast'!$B$2:$AO$26,MATCH('Master data'!$B511,'Team forecast'!$B$2:$B$26,0),MATCH('Master data'!BH$1,'Team forecast'!$B$2:$AO$2,0))</f>
        <v>2.71429791716427</v>
      </c>
      <c r="BI511" s="16">
        <f>INDEX('Team forecast'!$B$2:$AO$26,MATCH('Master data'!$B511,'Team forecast'!$B$2:$B$26,0),MATCH('Master data'!BI$1,'Team forecast'!$B$2:$AO$2,0))</f>
        <v>4.1096617153265038</v>
      </c>
      <c r="BJ511" s="5">
        <f t="shared" si="285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286"/>
        <v>0</v>
      </c>
      <c r="BO511" s="5">
        <f t="shared" si="287"/>
        <v>0</v>
      </c>
      <c r="BP511" s="5">
        <f t="shared" si="288"/>
        <v>0</v>
      </c>
      <c r="BQ511" s="5">
        <f t="shared" si="289"/>
        <v>11112.781360285535</v>
      </c>
      <c r="BR511" s="5">
        <f t="shared" si="290"/>
        <v>0</v>
      </c>
      <c r="BS511" s="5">
        <f t="shared" si="291"/>
        <v>0</v>
      </c>
      <c r="BT511" s="5">
        <f t="shared" si="292"/>
        <v>0</v>
      </c>
      <c r="BU511" s="5">
        <f t="shared" si="293"/>
        <v>0</v>
      </c>
      <c r="BV511" s="5">
        <f t="shared" si="294"/>
        <v>0</v>
      </c>
      <c r="BW511" s="5">
        <f t="shared" si="295"/>
        <v>6112.7813602855349</v>
      </c>
      <c r="BX511" s="5">
        <f t="shared" si="296"/>
        <v>6670.82289451632</v>
      </c>
      <c r="BY511" s="5">
        <f t="shared" si="297"/>
        <v>20012.468683548959</v>
      </c>
      <c r="BZ511" s="5">
        <f>INDEX('Team forecast'!$R$3:$BH$26,MATCH($B511,'Team forecast'!$B$3:$B$26,0),MATCH(BZ$1,'Team forecast'!$R$2:$BH$2,0))*($BX511-(BY511+CH511)*0.01)</f>
        <v>-7646.1123926453602</v>
      </c>
      <c r="CA511" s="5">
        <f>INDEX('Team forecast'!$R$3:$BH$26,MATCH($B511,'Team forecast'!$B$3:$B$26,0),MATCH(CA$1,'Team forecast'!$R$2:$BH$2,0))*($BX511-(BY511+BX511+CH511)*0.01)</f>
        <v>-3769.3615085935021</v>
      </c>
      <c r="CB511" s="5">
        <f>INDEX('Team forecast'!$R$3:$BH$26,MATCH($B511,'Team forecast'!$B$3:$B$26,0),MATCH(CB$1,'Team forecast'!$R$2:$BH$2,0))*($BX511-(BY511+BX511*2+CH511)*0.01)</f>
        <v>-1827.7236670424224</v>
      </c>
      <c r="CC511" s="5">
        <f>INDEX('Team forecast'!$R$3:$BH$26,MATCH($B511,'Team forecast'!$B$3:$B$26,0),MATCH(CC$1,'Team forecast'!$R$2:$BH$2,0))*($BX511-(BY511+BX511*3+CH511)*0.01)</f>
        <v>-834.67214313237844</v>
      </c>
      <c r="CD511" s="5">
        <f>+AK511+BD511*Cockpit!$C$3+BW511*Cockpit!$C$3^2+BZ511*Cockpit!$C$3^3+CA511*Cockpit!$C$3^4+CB511*Cockpit!$C$3^5+CC511*Cockpit!$C$3^6</f>
        <v>12718.793649858366</v>
      </c>
      <c r="CE511" s="5"/>
      <c r="CF511" s="5"/>
      <c r="CG511" s="5">
        <v>0</v>
      </c>
      <c r="CH511" s="5">
        <f t="shared" si="298"/>
        <v>2500000</v>
      </c>
      <c r="CI511" s="5">
        <f t="shared" si="299"/>
        <v>2500000</v>
      </c>
      <c r="CJ511" s="1">
        <f t="shared" si="300"/>
        <v>8.0049874734195829E-3</v>
      </c>
      <c r="CK511" s="5">
        <f>RANK(BY511,$BY$2:$BY$623)+COUNTIF($BY$2:$BY511,$BY511)-1</f>
        <v>378</v>
      </c>
      <c r="CL511" s="5">
        <f>RANK(CJ511,$CJ$2:$CJ$623)+COUNTIF($CJ$2:$CJ511,$CJ511)-1</f>
        <v>377</v>
      </c>
    </row>
    <row r="512" spans="1:90">
      <c r="A512" t="str">
        <f>Players!P513</f>
        <v>Nathan  Patterson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2000000</v>
      </c>
      <c r="H512" s="16">
        <f>INDEX('Team forecast'!$B$2:$AO$26,MATCH('Master data'!$B512,'Team forecast'!$B$2:$B$26,0),MATCH('Master data'!H$1,'Team forecast'!$B$2:$AO$2,0))</f>
        <v>1.0237318402178264</v>
      </c>
      <c r="I512" s="16">
        <f>INDEX('Team forecast'!$B$2:$AO$26,MATCH('Master data'!$B512,'Team forecast'!$B$2:$B$26,0),MATCH('Master data'!I$1,'Team forecast'!$B$2:$AO$2,0))</f>
        <v>1.0683489057066333</v>
      </c>
      <c r="J512" s="16">
        <f>INDEX('Team forecast'!$B$2:$AO$26,MATCH('Master data'!$B512,'Team forecast'!$B$2:$B$26,0),MATCH('Master data'!J$1,'Team forecast'!$B$2:$AO$2,0))</f>
        <v>0.34357532462169699</v>
      </c>
      <c r="K512" s="16">
        <f>INDEX('Team forecast'!$B$2:$AO$26,MATCH('Master data'!$B512,'Team forecast'!$B$2:$B$26,0),MATCH('Master data'!K$1,'Team forecast'!$B$2:$AO$2,0))</f>
        <v>3.360735839098925</v>
      </c>
      <c r="L512" s="16">
        <f>INDEX('Team forecast'!$B$2:$AO$26,MATCH('Master data'!$B512,'Team forecast'!$B$2:$B$26,0),MATCH('Master data'!L$1,'Team forecast'!$B$2:$AO$2,0))</f>
        <v>2.9193919294978055</v>
      </c>
      <c r="M512">
        <f>IF(Players!BC513=1,95,0)</f>
        <v>0</v>
      </c>
      <c r="N512" s="2">
        <f>Players!BN513</f>
        <v>0</v>
      </c>
      <c r="O512" s="2">
        <f>Players!BO513</f>
        <v>0</v>
      </c>
      <c r="P512" s="2">
        <f>Players!BP513</f>
        <v>0</v>
      </c>
      <c r="Q512" s="2">
        <f>Players!BQ513</f>
        <v>2.6011560693641619E-2</v>
      </c>
      <c r="R512" s="2">
        <f>Players!BR513</f>
        <v>0</v>
      </c>
      <c r="S512" s="2">
        <f t="shared" si="259"/>
        <v>1.0237318402178264</v>
      </c>
      <c r="T512" s="2">
        <f t="shared" si="260"/>
        <v>1.0683489057066333</v>
      </c>
      <c r="U512" s="16">
        <f>INDEX('Team forecast'!$B$2:$AO$26,MATCH('Master data'!$B512,'Team forecast'!$B$2:$B$26,0),MATCH('Master data'!U$1,'Team forecast'!$B$2:$AO$2,0))</f>
        <v>0.32580418714126441</v>
      </c>
      <c r="V512" s="16">
        <f>INDEX('Team forecast'!$B$2:$AO$26,MATCH('Master data'!$B512,'Team forecast'!$B$2:$B$26,0),MATCH('Master data'!V$1,'Team forecast'!$B$2:$AO$2,0))</f>
        <v>0.31494404756988892</v>
      </c>
      <c r="W512" s="16">
        <f>INDEX('Team forecast'!$B$2:$AO$26,MATCH('Master data'!$B512,'Team forecast'!$B$2:$B$26,0),MATCH('Master data'!W$1,'Team forecast'!$B$2:$AO$2,0))</f>
        <v>0.35925176528884672</v>
      </c>
      <c r="X512" s="5">
        <f t="shared" si="261"/>
        <v>-5000</v>
      </c>
      <c r="Y512" s="5">
        <f t="shared" si="262"/>
        <v>0</v>
      </c>
      <c r="Z512" s="5">
        <f t="shared" si="263"/>
        <v>0</v>
      </c>
      <c r="AA512" s="5">
        <f t="shared" si="264"/>
        <v>0</v>
      </c>
      <c r="AB512" s="5">
        <f t="shared" si="265"/>
        <v>0</v>
      </c>
      <c r="AC512" s="5">
        <f t="shared" si="266"/>
        <v>0</v>
      </c>
      <c r="AD512" s="5">
        <f t="shared" si="267"/>
        <v>0</v>
      </c>
      <c r="AE512" s="5">
        <f t="shared" si="268"/>
        <v>17178.76623108485</v>
      </c>
      <c r="AF512" s="5">
        <f t="shared" si="269"/>
        <v>0</v>
      </c>
      <c r="AG512" s="5">
        <f t="shared" si="270"/>
        <v>0</v>
      </c>
      <c r="AH512" s="5">
        <f t="shared" si="271"/>
        <v>0</v>
      </c>
      <c r="AI512" s="5">
        <f t="shared" si="272"/>
        <v>0</v>
      </c>
      <c r="AJ512" s="5">
        <f t="shared" si="273"/>
        <v>0</v>
      </c>
      <c r="AK512" s="5">
        <f>IFERROR(SUM(X512:AJ512),-5000)*((Cockpit!$C$3)^0)</f>
        <v>12178.76623108485</v>
      </c>
      <c r="AL512" s="16">
        <f>INDEX('Team forecast'!$B$2:$AO$26,MATCH('Master data'!$B512,'Team forecast'!$B$2:$B$26,0),MATCH('Master data'!AL$1,'Team forecast'!$B$2:$AO$2,0))</f>
        <v>0.66520361079548807</v>
      </c>
      <c r="AM512" s="16">
        <f>INDEX('Team forecast'!$B$2:$AO$26,MATCH('Master data'!$B512,'Team forecast'!$B$2:$B$26,0),MATCH('Master data'!AM$1,'Team forecast'!$B$2:$AO$2,0))</f>
        <v>2.0067977929974719</v>
      </c>
      <c r="AN512" s="16">
        <f>INDEX('Team forecast'!$B$2:$AO$26,MATCH('Master data'!$B512,'Team forecast'!$B$2:$B$26,0),MATCH('Master data'!AN$1,'Team forecast'!$B$2:$AO$2,0))</f>
        <v>0.1344184218435715</v>
      </c>
      <c r="AO512" s="16">
        <f>INDEX('Team forecast'!$B$2:$AO$26,MATCH('Master data'!$B512,'Team forecast'!$B$2:$B$26,0),MATCH('Master data'!AO$1,'Team forecast'!$B$2:$AO$2,0))</f>
        <v>2.1837492273589256</v>
      </c>
      <c r="AP512" s="16">
        <f>INDEX('Team forecast'!$B$2:$AO$26,MATCH('Master data'!$B512,'Team forecast'!$B$2:$B$26,0),MATCH('Master data'!AP$1,'Team forecast'!$B$2:$AO$2,0))</f>
        <v>5.4838164289930909</v>
      </c>
      <c r="AQ512" s="5">
        <f t="shared" si="274"/>
        <v>-5000</v>
      </c>
      <c r="AR512" s="5">
        <f>INDEX('Team forecast'!$B$2:$AO$26,MATCH('Master data'!$B512,'Team forecast'!$B$2:$B$26,0),MATCH('Master data'!AR$1,'Team forecast'!$B$2:$AO$2,0))*IF(X512&gt;0,25000,0)</f>
        <v>0</v>
      </c>
      <c r="AS512" s="16">
        <f>INDEX('Team forecast'!$B$2:$AO$26,MATCH('Master data'!$B512,'Team forecast'!$B$2:$B$26,0),MATCH('Master data'!AS$1,'Team forecast'!$B$2:$AO$2,0))*IF(X512&gt;0,5000,0)</f>
        <v>0</v>
      </c>
      <c r="AT512" s="16">
        <f>INDEX('Team forecast'!$B$2:$AO$26,MATCH('Master data'!$B512,'Team forecast'!$B$2:$B$26,0),MATCH('Master data'!AT$1,'Team forecast'!$B$2:$AO$2,0))*IF(X512&gt;0,-15000,0)</f>
        <v>0</v>
      </c>
      <c r="AU512" s="5">
        <f t="shared" si="275"/>
        <v>0</v>
      </c>
      <c r="AV512" s="5">
        <f t="shared" si="276"/>
        <v>0</v>
      </c>
      <c r="AW512" s="5">
        <f t="shared" si="277"/>
        <v>0</v>
      </c>
      <c r="AX512" s="5">
        <f t="shared" si="278"/>
        <v>6720.9210921785752</v>
      </c>
      <c r="AY512" s="5">
        <f t="shared" si="279"/>
        <v>0</v>
      </c>
      <c r="AZ512" s="5">
        <f t="shared" si="280"/>
        <v>0</v>
      </c>
      <c r="BA512" s="5">
        <f t="shared" si="281"/>
        <v>0</v>
      </c>
      <c r="BB512" s="5">
        <f t="shared" si="282"/>
        <v>0</v>
      </c>
      <c r="BC512" s="5">
        <f t="shared" si="283"/>
        <v>0</v>
      </c>
      <c r="BD512" s="5">
        <f t="shared" si="284"/>
        <v>1720.9210921785752</v>
      </c>
      <c r="BE512" s="16">
        <f>INDEX('Team forecast'!$B$2:$AO$26,MATCH('Master data'!$B512,'Team forecast'!$B$2:$B$26,0),MATCH('Master data'!BE$1,'Team forecast'!$B$2:$AO$2,0))</f>
        <v>0.82681690399773144</v>
      </c>
      <c r="BF512" s="16">
        <f>INDEX('Team forecast'!$B$2:$AO$26,MATCH('Master data'!$B512,'Team forecast'!$B$2:$B$26,0),MATCH('Master data'!BF$1,'Team forecast'!$B$2:$AO$2,0))</f>
        <v>1.5039270856478595</v>
      </c>
      <c r="BG512" s="16">
        <f>INDEX('Team forecast'!$B$2:$AO$26,MATCH('Master data'!$B512,'Team forecast'!$B$2:$B$26,0),MATCH('Master data'!BG$1,'Team forecast'!$B$2:$AO$2,0))</f>
        <v>0.22225562720571071</v>
      </c>
      <c r="BH512" s="16">
        <f>INDEX('Team forecast'!$B$2:$AO$26,MATCH('Master data'!$B512,'Team forecast'!$B$2:$B$26,0),MATCH('Master data'!BH$1,'Team forecast'!$B$2:$AO$2,0))</f>
        <v>2.71429791716427</v>
      </c>
      <c r="BI512" s="16">
        <f>INDEX('Team forecast'!$B$2:$AO$26,MATCH('Master data'!$B512,'Team forecast'!$B$2:$B$26,0),MATCH('Master data'!BI$1,'Team forecast'!$B$2:$AO$2,0))</f>
        <v>4.1096617153265038</v>
      </c>
      <c r="BJ512" s="5">
        <f t="shared" si="285"/>
        <v>-5000</v>
      </c>
      <c r="BK512" s="5">
        <f>INDEX('Team forecast'!$R$3:$BH$26,MATCH($B512,'Team forecast'!$B$3:$B$26,0),MATCH(BK$1,'Team forecast'!$R$2:$BH$2,0))*IF($X512&gt;0,25000,0)</f>
        <v>0</v>
      </c>
      <c r="BL512" s="5">
        <f>INDEX('Team forecast'!$R$3:$BH$26,MATCH($B512,'Team forecast'!$B$3:$B$26,0),MATCH(BL$1,'Team forecast'!$R$2:$BH$2,0))*IF($X512&gt;0,5000,0)</f>
        <v>0</v>
      </c>
      <c r="BM512" s="5">
        <f>INDEX('Team forecast'!$R$3:$BH$26,MATCH($B512,'Team forecast'!$B$3:$B$26,0),MATCH(BM$1,'Team forecast'!$R$2:$BH$2,0))*IF($X512&gt;0,-15000,0)</f>
        <v>0</v>
      </c>
      <c r="BN512" s="5">
        <f t="shared" si="286"/>
        <v>0</v>
      </c>
      <c r="BO512" s="5">
        <f t="shared" si="287"/>
        <v>0</v>
      </c>
      <c r="BP512" s="5">
        <f t="shared" si="288"/>
        <v>0</v>
      </c>
      <c r="BQ512" s="5">
        <f t="shared" si="289"/>
        <v>11112.781360285535</v>
      </c>
      <c r="BR512" s="5">
        <f t="shared" si="290"/>
        <v>0</v>
      </c>
      <c r="BS512" s="5">
        <f t="shared" si="291"/>
        <v>0</v>
      </c>
      <c r="BT512" s="5">
        <f t="shared" si="292"/>
        <v>0</v>
      </c>
      <c r="BU512" s="5">
        <f t="shared" si="293"/>
        <v>0</v>
      </c>
      <c r="BV512" s="5">
        <f t="shared" si="294"/>
        <v>0</v>
      </c>
      <c r="BW512" s="5">
        <f t="shared" si="295"/>
        <v>6112.7813602855349</v>
      </c>
      <c r="BX512" s="5">
        <f t="shared" si="296"/>
        <v>6670.82289451632</v>
      </c>
      <c r="BY512" s="5">
        <f t="shared" si="297"/>
        <v>20012.468683548959</v>
      </c>
      <c r="BZ512" s="5">
        <f>INDEX('Team forecast'!$R$3:$BH$26,MATCH($B512,'Team forecast'!$B$3:$B$26,0),MATCH(BZ$1,'Team forecast'!$R$2:$BH$2,0))*($BX512-(BY512+CH512)*0.01)</f>
        <v>-5582.863469846</v>
      </c>
      <c r="CA512" s="5">
        <f>INDEX('Team forecast'!$R$3:$BH$26,MATCH($B512,'Team forecast'!$B$3:$B$26,0),MATCH(CA$1,'Team forecast'!$R$2:$BH$2,0))*($BX512-(BY512+BX512+CH512)*0.01)</f>
        <v>-2755.8748777831088</v>
      </c>
      <c r="CB512" s="5">
        <f>INDEX('Team forecast'!$R$3:$BH$26,MATCH($B512,'Team forecast'!$B$3:$B$26,0),MATCH(CB$1,'Team forecast'!$R$2:$BH$2,0))*($BX512-(BY512+BX512*2+CH512)*0.01)</f>
        <v>-1338.0512510153774</v>
      </c>
      <c r="CC512" s="5">
        <f>INDEX('Team forecast'!$R$3:$BH$26,MATCH($B512,'Team forecast'!$B$3:$B$26,0),MATCH(CC$1,'Team forecast'!$R$2:$BH$2,0))*($BX512-(BY512+BX512*3+CH512)*0.01)</f>
        <v>-611.84841063278861</v>
      </c>
      <c r="CD512" s="5">
        <f>+AK512+BD512*Cockpit!$C$3+BW512*Cockpit!$C$3^2+BZ512*Cockpit!$C$3^3+CA512*Cockpit!$C$3^4+CB512*Cockpit!$C$3^5+CC512*Cockpit!$C$3^6</f>
        <v>13614.367193040713</v>
      </c>
      <c r="CE512" s="5"/>
      <c r="CF512" s="5"/>
      <c r="CG512" s="5">
        <v>0</v>
      </c>
      <c r="CH512" s="5">
        <f t="shared" si="298"/>
        <v>2000000</v>
      </c>
      <c r="CI512" s="5">
        <f t="shared" si="299"/>
        <v>2000000</v>
      </c>
      <c r="CJ512" s="1">
        <f t="shared" si="300"/>
        <v>1.000623434177448E-2</v>
      </c>
      <c r="CK512" s="5">
        <f>RANK(BY512,$BY$2:$BY$623)+COUNTIF($BY$2:$BY512,$BY512)-1</f>
        <v>379</v>
      </c>
      <c r="CL512" s="5">
        <f>RANK(CJ512,$CJ$2:$CJ$623)+COUNTIF($CJ$2:$CJ512,$CJ512)-1</f>
        <v>362</v>
      </c>
    </row>
    <row r="513" spans="1:90">
      <c r="A513" t="str">
        <f>Players!P514</f>
        <v>Grant Hanley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3000000</v>
      </c>
      <c r="H513" s="16">
        <f>INDEX('Team forecast'!$B$2:$AO$26,MATCH('Master data'!$B513,'Team forecast'!$B$2:$B$26,0),MATCH('Master data'!H$1,'Team forecast'!$B$2:$AO$2,0))</f>
        <v>1.0237318402178264</v>
      </c>
      <c r="I513" s="16">
        <f>INDEX('Team forecast'!$B$2:$AO$26,MATCH('Master data'!$B513,'Team forecast'!$B$2:$B$26,0),MATCH('Master data'!I$1,'Team forecast'!$B$2:$AO$2,0))</f>
        <v>1.0683489057066333</v>
      </c>
      <c r="J513" s="16">
        <f>INDEX('Team forecast'!$B$2:$AO$26,MATCH('Master data'!$B513,'Team forecast'!$B$2:$B$26,0),MATCH('Master data'!J$1,'Team forecast'!$B$2:$AO$2,0))</f>
        <v>0.34357532462169699</v>
      </c>
      <c r="K513" s="16">
        <f>INDEX('Team forecast'!$B$2:$AO$26,MATCH('Master data'!$B513,'Team forecast'!$B$2:$B$26,0),MATCH('Master data'!K$1,'Team forecast'!$B$2:$AO$2,0))</f>
        <v>3.360735839098925</v>
      </c>
      <c r="L513" s="16">
        <f>INDEX('Team forecast'!$B$2:$AO$26,MATCH('Master data'!$B513,'Team forecast'!$B$2:$B$26,0),MATCH('Master data'!L$1,'Team forecast'!$B$2:$AO$2,0))</f>
        <v>2.9193919294978055</v>
      </c>
      <c r="M513">
        <f>IF(Players!BC514=1,95,0)</f>
        <v>95</v>
      </c>
      <c r="N513" s="2">
        <f>Players!BN514</f>
        <v>4.2084408629170518E-2</v>
      </c>
      <c r="O513" s="2">
        <f>Players!BO514</f>
        <v>6.3168955549660455E-2</v>
      </c>
      <c r="P513" s="2">
        <f>Players!BP514</f>
        <v>4.8015394045207584E-2</v>
      </c>
      <c r="Q513" s="2">
        <f>Players!BQ514</f>
        <v>0.19326889279437609</v>
      </c>
      <c r="R513" s="2">
        <f>Players!BR514</f>
        <v>0</v>
      </c>
      <c r="S513" s="2">
        <f t="shared" si="259"/>
        <v>1.0237318402178264</v>
      </c>
      <c r="T513" s="2">
        <f t="shared" si="260"/>
        <v>1.0683489057066333</v>
      </c>
      <c r="U513" s="16">
        <f>INDEX('Team forecast'!$B$2:$AO$26,MATCH('Master data'!$B513,'Team forecast'!$B$2:$B$26,0),MATCH('Master data'!U$1,'Team forecast'!$B$2:$AO$2,0))</f>
        <v>0.32580418714126441</v>
      </c>
      <c r="V513" s="16">
        <f>INDEX('Team forecast'!$B$2:$AO$26,MATCH('Master data'!$B513,'Team forecast'!$B$2:$B$26,0),MATCH('Master data'!V$1,'Team forecast'!$B$2:$AO$2,0))</f>
        <v>0.31494404756988892</v>
      </c>
      <c r="W513" s="16">
        <f>INDEX('Team forecast'!$B$2:$AO$26,MATCH('Master data'!$B513,'Team forecast'!$B$2:$B$26,0),MATCH('Master data'!W$1,'Team forecast'!$B$2:$AO$2,0))</f>
        <v>0.35925176528884672</v>
      </c>
      <c r="X513" s="5">
        <f t="shared" si="261"/>
        <v>7000</v>
      </c>
      <c r="Y513" s="5">
        <f t="shared" si="262"/>
        <v>8145.1046785316103</v>
      </c>
      <c r="Z513" s="5">
        <f t="shared" si="263"/>
        <v>1574.7202378494446</v>
      </c>
      <c r="AA513" s="5">
        <f t="shared" si="264"/>
        <v>-5388.7764793327005</v>
      </c>
      <c r="AB513" s="5">
        <f t="shared" si="265"/>
        <v>6462.4723635629562</v>
      </c>
      <c r="AC513" s="5">
        <f t="shared" si="266"/>
        <v>3233.4035554745988</v>
      </c>
      <c r="AD513" s="5">
        <f t="shared" si="267"/>
        <v>1613.6705559618624</v>
      </c>
      <c r="AE513" s="5">
        <f t="shared" si="268"/>
        <v>17178.76623108485</v>
      </c>
      <c r="AF513" s="5">
        <f t="shared" si="269"/>
        <v>0</v>
      </c>
      <c r="AG513" s="5">
        <f t="shared" si="270"/>
        <v>-3865.3778558875219</v>
      </c>
      <c r="AH513" s="5">
        <f t="shared" si="271"/>
        <v>0</v>
      </c>
      <c r="AI513" s="5">
        <f t="shared" si="272"/>
        <v>10237.318402178264</v>
      </c>
      <c r="AJ513" s="5">
        <f t="shared" si="273"/>
        <v>-8546.7912456530667</v>
      </c>
      <c r="AK513" s="5">
        <f>IFERROR(SUM(X513:AJ513),-5000)*((Cockpit!$C$3)^0)</f>
        <v>37644.510443770305</v>
      </c>
      <c r="AL513" s="16">
        <f>INDEX('Team forecast'!$B$2:$AO$26,MATCH('Master data'!$B513,'Team forecast'!$B$2:$B$26,0),MATCH('Master data'!AL$1,'Team forecast'!$B$2:$AO$2,0))</f>
        <v>0.66520361079548807</v>
      </c>
      <c r="AM513" s="16">
        <f>INDEX('Team forecast'!$B$2:$AO$26,MATCH('Master data'!$B513,'Team forecast'!$B$2:$B$26,0),MATCH('Master data'!AM$1,'Team forecast'!$B$2:$AO$2,0))</f>
        <v>2.0067977929974719</v>
      </c>
      <c r="AN513" s="16">
        <f>INDEX('Team forecast'!$B$2:$AO$26,MATCH('Master data'!$B513,'Team forecast'!$B$2:$B$26,0),MATCH('Master data'!AN$1,'Team forecast'!$B$2:$AO$2,0))</f>
        <v>0.1344184218435715</v>
      </c>
      <c r="AO513" s="16">
        <f>INDEX('Team forecast'!$B$2:$AO$26,MATCH('Master data'!$B513,'Team forecast'!$B$2:$B$26,0),MATCH('Master data'!AO$1,'Team forecast'!$B$2:$AO$2,0))</f>
        <v>2.1837492273589256</v>
      </c>
      <c r="AP513" s="16">
        <f>INDEX('Team forecast'!$B$2:$AO$26,MATCH('Master data'!$B513,'Team forecast'!$B$2:$B$26,0),MATCH('Master data'!AP$1,'Team forecast'!$B$2:$AO$2,0))</f>
        <v>5.4838164289930909</v>
      </c>
      <c r="AQ513" s="5">
        <f t="shared" si="274"/>
        <v>7000</v>
      </c>
      <c r="AR513" s="5">
        <f>INDEX('Team forecast'!$B$2:$AO$26,MATCH('Master data'!$B513,'Team forecast'!$B$2:$B$26,0),MATCH('Master data'!AR$1,'Team forecast'!$B$2:$AO$2,0))*IF(X513&gt;0,25000,0)</f>
        <v>2476.1288234342123</v>
      </c>
      <c r="AS513" s="16">
        <f>INDEX('Team forecast'!$B$2:$AO$26,MATCH('Master data'!$B513,'Team forecast'!$B$2:$B$26,0),MATCH('Master data'!AS$1,'Team forecast'!$B$2:$AO$2,0))*IF(X513&gt;0,5000,0)</f>
        <v>1045.4766143388899</v>
      </c>
      <c r="AT513" s="16">
        <f>INDEX('Team forecast'!$B$2:$AO$26,MATCH('Master data'!$B513,'Team forecast'!$B$2:$B$26,0),MATCH('Master data'!AT$1,'Team forecast'!$B$2:$AO$2,0))*IF(X513&gt;0,-15000,0)</f>
        <v>-10377.892862922801</v>
      </c>
      <c r="AU513" s="5">
        <f t="shared" si="275"/>
        <v>4199.2050867475537</v>
      </c>
      <c r="AV513" s="5">
        <f t="shared" si="276"/>
        <v>2101.0108660906913</v>
      </c>
      <c r="AW513" s="5">
        <f t="shared" si="277"/>
        <v>1048.5357964755642</v>
      </c>
      <c r="AX513" s="5">
        <f t="shared" si="278"/>
        <v>6720.9210921785752</v>
      </c>
      <c r="AY513" s="5">
        <f t="shared" si="279"/>
        <v>0</v>
      </c>
      <c r="AZ513" s="5">
        <f t="shared" si="280"/>
        <v>-3865.3778558875219</v>
      </c>
      <c r="BA513" s="5">
        <f t="shared" si="281"/>
        <v>0</v>
      </c>
      <c r="BB513" s="5">
        <f t="shared" si="282"/>
        <v>6652.0361079548802</v>
      </c>
      <c r="BC513" s="5">
        <f t="shared" si="283"/>
        <v>-16054.382343979774</v>
      </c>
      <c r="BD513" s="5">
        <f t="shared" si="284"/>
        <v>945.661324430268</v>
      </c>
      <c r="BE513" s="16">
        <f>INDEX('Team forecast'!$B$2:$AO$26,MATCH('Master data'!$B513,'Team forecast'!$B$2:$B$26,0),MATCH('Master data'!BE$1,'Team forecast'!$B$2:$AO$2,0))</f>
        <v>0.82681690399773144</v>
      </c>
      <c r="BF513" s="16">
        <f>INDEX('Team forecast'!$B$2:$AO$26,MATCH('Master data'!$B513,'Team forecast'!$B$2:$B$26,0),MATCH('Master data'!BF$1,'Team forecast'!$B$2:$AO$2,0))</f>
        <v>1.5039270856478595</v>
      </c>
      <c r="BG513" s="16">
        <f>INDEX('Team forecast'!$B$2:$AO$26,MATCH('Master data'!$B513,'Team forecast'!$B$2:$B$26,0),MATCH('Master data'!BG$1,'Team forecast'!$B$2:$AO$2,0))</f>
        <v>0.22225562720571071</v>
      </c>
      <c r="BH513" s="16">
        <f>INDEX('Team forecast'!$B$2:$AO$26,MATCH('Master data'!$B513,'Team forecast'!$B$2:$B$26,0),MATCH('Master data'!BH$1,'Team forecast'!$B$2:$AO$2,0))</f>
        <v>2.71429791716427</v>
      </c>
      <c r="BI513" s="16">
        <f>INDEX('Team forecast'!$B$2:$AO$26,MATCH('Master data'!$B513,'Team forecast'!$B$2:$B$26,0),MATCH('Master data'!BI$1,'Team forecast'!$B$2:$AO$2,0))</f>
        <v>4.1096617153265038</v>
      </c>
      <c r="BJ513" s="5">
        <f t="shared" si="285"/>
        <v>7000</v>
      </c>
      <c r="BK513" s="5">
        <f>INDEX('Team forecast'!$R$3:$BH$26,MATCH($B513,'Team forecast'!$B$3:$B$26,0),MATCH(BK$1,'Team forecast'!$R$2:$BH$2,0))*IF($X513&gt;0,25000,0)</f>
        <v>5287.7300318721273</v>
      </c>
      <c r="BL513" s="5">
        <f>INDEX('Team forecast'!$R$3:$BH$26,MATCH($B513,'Team forecast'!$B$3:$B$26,0),MATCH(BL$1,'Team forecast'!$R$2:$BH$2,0))*IF($X513&gt;0,5000,0)</f>
        <v>1355.4462898601791</v>
      </c>
      <c r="BM513" s="5">
        <f>INDEX('Team forecast'!$R$3:$BH$26,MATCH($B513,'Team forecast'!$B$3:$B$26,0),MATCH(BM$1,'Team forecast'!$R$2:$BH$2,0))*IF($X513&gt;0,-15000,0)</f>
        <v>-7761.0231112961865</v>
      </c>
      <c r="BN513" s="5">
        <f t="shared" si="286"/>
        <v>5219.4150674019274</v>
      </c>
      <c r="BO513" s="5">
        <f t="shared" si="287"/>
        <v>2611.4580128170287</v>
      </c>
      <c r="BP513" s="5">
        <f t="shared" si="288"/>
        <v>1303.2808404872865</v>
      </c>
      <c r="BQ513" s="5">
        <f t="shared" si="289"/>
        <v>11112.781360285535</v>
      </c>
      <c r="BR513" s="5">
        <f t="shared" si="290"/>
        <v>0</v>
      </c>
      <c r="BS513" s="5">
        <f t="shared" si="291"/>
        <v>-3865.3778558875219</v>
      </c>
      <c r="BT513" s="5">
        <f t="shared" si="292"/>
        <v>0</v>
      </c>
      <c r="BU513" s="5">
        <f t="shared" si="293"/>
        <v>8268.1690399773142</v>
      </c>
      <c r="BV513" s="5">
        <f t="shared" si="294"/>
        <v>-12031.416685182876</v>
      </c>
      <c r="BW513" s="5">
        <f t="shared" si="295"/>
        <v>18500.462990334818</v>
      </c>
      <c r="BX513" s="5">
        <f t="shared" si="296"/>
        <v>19030.211586178462</v>
      </c>
      <c r="BY513" s="5">
        <f t="shared" si="297"/>
        <v>57090.634758535387</v>
      </c>
      <c r="BZ513" s="5">
        <f>INDEX('Team forecast'!$R$3:$BH$26,MATCH($B513,'Team forecast'!$B$3:$B$26,0),MATCH(BZ$1,'Team forecast'!$R$2:$BH$2,0))*($BX513-(BY513+CH513)*0.01)</f>
        <v>-4762.2652069658016</v>
      </c>
      <c r="CA513" s="5">
        <f>INDEX('Team forecast'!$R$3:$BH$26,MATCH($B513,'Team forecast'!$B$3:$B$26,0),MATCH(CA$1,'Team forecast'!$R$2:$BH$2,0))*($BX513-(BY513+BX513+CH513)*0.01)</f>
        <v>-2377.841700238057</v>
      </c>
      <c r="CB513" s="5">
        <f>INDEX('Team forecast'!$R$3:$BH$26,MATCH($B513,'Team forecast'!$B$3:$B$26,0),MATCH(CB$1,'Team forecast'!$R$2:$BH$2,0))*($BX513-(BY513+BX513*2+CH513)*0.01)</f>
        <v>-1167.506256029395</v>
      </c>
      <c r="CC513" s="5">
        <f>INDEX('Team forecast'!$R$3:$BH$26,MATCH($B513,'Team forecast'!$B$3:$B$26,0),MATCH(CC$1,'Team forecast'!$R$2:$BH$2,0))*($BX513-(BY513+BX513*3+CH513)*0.01)</f>
        <v>-539.75043313036463</v>
      </c>
      <c r="CD513" s="5">
        <f>+AK513+BD513*Cockpit!$C$3+BW513*Cockpit!$C$3^2+BZ513*Cockpit!$C$3^3+CA513*Cockpit!$C$3^4+CB513*Cockpit!$C$3^5+CC513*Cockpit!$C$3^6</f>
        <v>44415.509476285435</v>
      </c>
      <c r="CE513" s="5"/>
      <c r="CF513" s="5"/>
      <c r="CG513" s="5">
        <v>0</v>
      </c>
      <c r="CH513" s="5">
        <f t="shared" si="298"/>
        <v>3000000</v>
      </c>
      <c r="CI513" s="5">
        <f t="shared" si="299"/>
        <v>3000000</v>
      </c>
      <c r="CJ513" s="1">
        <f t="shared" si="300"/>
        <v>1.9030211586178462E-2</v>
      </c>
      <c r="CK513" s="5">
        <f>RANK(BY513,$BY$2:$BY$623)+COUNTIF($BY$2:$BY513,$BY513)-1</f>
        <v>278</v>
      </c>
      <c r="CL513" s="5">
        <f>RANK(CJ513,$CJ$2:$CJ$623)+COUNTIF($CJ$2:$CJ513,$CJ513)-1</f>
        <v>269</v>
      </c>
    </row>
    <row r="514" spans="1:90">
      <c r="A514" t="str">
        <f>Players!P515</f>
        <v>Scott McKenna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2000000</v>
      </c>
      <c r="H514" s="16">
        <f>INDEX('Team forecast'!$B$2:$AO$26,MATCH('Master data'!$B514,'Team forecast'!$B$2:$B$26,0),MATCH('Master data'!H$1,'Team forecast'!$B$2:$AO$2,0))</f>
        <v>1.0237318402178264</v>
      </c>
      <c r="I514" s="16">
        <f>INDEX('Team forecast'!$B$2:$AO$26,MATCH('Master data'!$B514,'Team forecast'!$B$2:$B$26,0),MATCH('Master data'!I$1,'Team forecast'!$B$2:$AO$2,0))</f>
        <v>1.0683489057066333</v>
      </c>
      <c r="J514" s="16">
        <f>INDEX('Team forecast'!$B$2:$AO$26,MATCH('Master data'!$B514,'Team forecast'!$B$2:$B$26,0),MATCH('Master data'!J$1,'Team forecast'!$B$2:$AO$2,0))</f>
        <v>0.34357532462169699</v>
      </c>
      <c r="K514" s="16">
        <f>INDEX('Team forecast'!$B$2:$AO$26,MATCH('Master data'!$B514,'Team forecast'!$B$2:$B$26,0),MATCH('Master data'!K$1,'Team forecast'!$B$2:$AO$2,0))</f>
        <v>3.360735839098925</v>
      </c>
      <c r="L514" s="16">
        <f>INDEX('Team forecast'!$B$2:$AO$26,MATCH('Master data'!$B514,'Team forecast'!$B$2:$B$26,0),MATCH('Master data'!L$1,'Team forecast'!$B$2:$AO$2,0))</f>
        <v>2.9193919294978055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0.14846967559943583</v>
      </c>
      <c r="R514" s="2">
        <f>Players!BR515</f>
        <v>0</v>
      </c>
      <c r="S514" s="2">
        <f t="shared" si="259"/>
        <v>1.0237318402178264</v>
      </c>
      <c r="T514" s="2">
        <f t="shared" si="260"/>
        <v>1.0683489057066333</v>
      </c>
      <c r="U514" s="16">
        <f>INDEX('Team forecast'!$B$2:$AO$26,MATCH('Master data'!$B514,'Team forecast'!$B$2:$B$26,0),MATCH('Master data'!U$1,'Team forecast'!$B$2:$AO$2,0))</f>
        <v>0.32580418714126441</v>
      </c>
      <c r="V514" s="16">
        <f>INDEX('Team forecast'!$B$2:$AO$26,MATCH('Master data'!$B514,'Team forecast'!$B$2:$B$26,0),MATCH('Master data'!V$1,'Team forecast'!$B$2:$AO$2,0))</f>
        <v>0.31494404756988892</v>
      </c>
      <c r="W514" s="16">
        <f>INDEX('Team forecast'!$B$2:$AO$26,MATCH('Master data'!$B514,'Team forecast'!$B$2:$B$26,0),MATCH('Master data'!W$1,'Team forecast'!$B$2:$AO$2,0))</f>
        <v>0.35925176528884672</v>
      </c>
      <c r="X514" s="5">
        <f t="shared" si="261"/>
        <v>-5000</v>
      </c>
      <c r="Y514" s="5">
        <f t="shared" si="262"/>
        <v>0</v>
      </c>
      <c r="Z514" s="5">
        <f t="shared" si="263"/>
        <v>0</v>
      </c>
      <c r="AA514" s="5">
        <f t="shared" si="264"/>
        <v>0</v>
      </c>
      <c r="AB514" s="5">
        <f t="shared" si="265"/>
        <v>0</v>
      </c>
      <c r="AC514" s="5">
        <f t="shared" si="266"/>
        <v>0</v>
      </c>
      <c r="AD514" s="5">
        <f t="shared" si="267"/>
        <v>0</v>
      </c>
      <c r="AE514" s="5">
        <f t="shared" si="268"/>
        <v>17178.76623108485</v>
      </c>
      <c r="AF514" s="5">
        <f t="shared" si="269"/>
        <v>0</v>
      </c>
      <c r="AG514" s="5">
        <f t="shared" si="270"/>
        <v>0</v>
      </c>
      <c r="AH514" s="5">
        <f t="shared" si="271"/>
        <v>0</v>
      </c>
      <c r="AI514" s="5">
        <f t="shared" si="272"/>
        <v>0</v>
      </c>
      <c r="AJ514" s="5">
        <f t="shared" si="273"/>
        <v>0</v>
      </c>
      <c r="AK514" s="5">
        <f>IFERROR(SUM(X514:AJ514),-5000)*((Cockpit!$C$3)^0)</f>
        <v>12178.76623108485</v>
      </c>
      <c r="AL514" s="16">
        <f>INDEX('Team forecast'!$B$2:$AO$26,MATCH('Master data'!$B514,'Team forecast'!$B$2:$B$26,0),MATCH('Master data'!AL$1,'Team forecast'!$B$2:$AO$2,0))</f>
        <v>0.66520361079548807</v>
      </c>
      <c r="AM514" s="16">
        <f>INDEX('Team forecast'!$B$2:$AO$26,MATCH('Master data'!$B514,'Team forecast'!$B$2:$B$26,0),MATCH('Master data'!AM$1,'Team forecast'!$B$2:$AO$2,0))</f>
        <v>2.0067977929974719</v>
      </c>
      <c r="AN514" s="16">
        <f>INDEX('Team forecast'!$B$2:$AO$26,MATCH('Master data'!$B514,'Team forecast'!$B$2:$B$26,0),MATCH('Master data'!AN$1,'Team forecast'!$B$2:$AO$2,0))</f>
        <v>0.1344184218435715</v>
      </c>
      <c r="AO514" s="16">
        <f>INDEX('Team forecast'!$B$2:$AO$26,MATCH('Master data'!$B514,'Team forecast'!$B$2:$B$26,0),MATCH('Master data'!AO$1,'Team forecast'!$B$2:$AO$2,0))</f>
        <v>2.1837492273589256</v>
      </c>
      <c r="AP514" s="16">
        <f>INDEX('Team forecast'!$B$2:$AO$26,MATCH('Master data'!$B514,'Team forecast'!$B$2:$B$26,0),MATCH('Master data'!AP$1,'Team forecast'!$B$2:$AO$2,0))</f>
        <v>5.4838164289930909</v>
      </c>
      <c r="AQ514" s="5">
        <f t="shared" si="274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275"/>
        <v>0</v>
      </c>
      <c r="AV514" s="5">
        <f t="shared" si="276"/>
        <v>0</v>
      </c>
      <c r="AW514" s="5">
        <f t="shared" si="277"/>
        <v>0</v>
      </c>
      <c r="AX514" s="5">
        <f t="shared" si="278"/>
        <v>6720.9210921785752</v>
      </c>
      <c r="AY514" s="5">
        <f t="shared" si="279"/>
        <v>0</v>
      </c>
      <c r="AZ514" s="5">
        <f t="shared" si="280"/>
        <v>0</v>
      </c>
      <c r="BA514" s="5">
        <f t="shared" si="281"/>
        <v>0</v>
      </c>
      <c r="BB514" s="5">
        <f t="shared" si="282"/>
        <v>0</v>
      </c>
      <c r="BC514" s="5">
        <f t="shared" si="283"/>
        <v>0</v>
      </c>
      <c r="BD514" s="5">
        <f t="shared" si="284"/>
        <v>1720.9210921785752</v>
      </c>
      <c r="BE514" s="16">
        <f>INDEX('Team forecast'!$B$2:$AO$26,MATCH('Master data'!$B514,'Team forecast'!$B$2:$B$26,0),MATCH('Master data'!BE$1,'Team forecast'!$B$2:$AO$2,0))</f>
        <v>0.82681690399773144</v>
      </c>
      <c r="BF514" s="16">
        <f>INDEX('Team forecast'!$B$2:$AO$26,MATCH('Master data'!$B514,'Team forecast'!$B$2:$B$26,0),MATCH('Master data'!BF$1,'Team forecast'!$B$2:$AO$2,0))</f>
        <v>1.5039270856478595</v>
      </c>
      <c r="BG514" s="16">
        <f>INDEX('Team forecast'!$B$2:$AO$26,MATCH('Master data'!$B514,'Team forecast'!$B$2:$B$26,0),MATCH('Master data'!BG$1,'Team forecast'!$B$2:$AO$2,0))</f>
        <v>0.22225562720571071</v>
      </c>
      <c r="BH514" s="16">
        <f>INDEX('Team forecast'!$B$2:$AO$26,MATCH('Master data'!$B514,'Team forecast'!$B$2:$B$26,0),MATCH('Master data'!BH$1,'Team forecast'!$B$2:$AO$2,0))</f>
        <v>2.71429791716427</v>
      </c>
      <c r="BI514" s="16">
        <f>INDEX('Team forecast'!$B$2:$AO$26,MATCH('Master data'!$B514,'Team forecast'!$B$2:$B$26,0),MATCH('Master data'!BI$1,'Team forecast'!$B$2:$AO$2,0))</f>
        <v>4.1096617153265038</v>
      </c>
      <c r="BJ514" s="5">
        <f t="shared" si="285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286"/>
        <v>0</v>
      </c>
      <c r="BO514" s="5">
        <f t="shared" si="287"/>
        <v>0</v>
      </c>
      <c r="BP514" s="5">
        <f t="shared" si="288"/>
        <v>0</v>
      </c>
      <c r="BQ514" s="5">
        <f t="shared" si="289"/>
        <v>11112.781360285535</v>
      </c>
      <c r="BR514" s="5">
        <f t="shared" si="290"/>
        <v>0</v>
      </c>
      <c r="BS514" s="5">
        <f t="shared" si="291"/>
        <v>0</v>
      </c>
      <c r="BT514" s="5">
        <f t="shared" si="292"/>
        <v>0</v>
      </c>
      <c r="BU514" s="5">
        <f t="shared" si="293"/>
        <v>0</v>
      </c>
      <c r="BV514" s="5">
        <f t="shared" si="294"/>
        <v>0</v>
      </c>
      <c r="BW514" s="5">
        <f t="shared" si="295"/>
        <v>6112.7813602855349</v>
      </c>
      <c r="BX514" s="5">
        <f t="shared" si="296"/>
        <v>6670.82289451632</v>
      </c>
      <c r="BY514" s="5">
        <f t="shared" si="297"/>
        <v>20012.468683548959</v>
      </c>
      <c r="BZ514" s="5">
        <f>INDEX('Team forecast'!$R$3:$BH$26,MATCH($B514,'Team forecast'!$B$3:$B$26,0),MATCH(BZ$1,'Team forecast'!$R$2:$BH$2,0))*($BX514-(BY514+CH514)*0.01)</f>
        <v>-5582.863469846</v>
      </c>
      <c r="CA514" s="5">
        <f>INDEX('Team forecast'!$R$3:$BH$26,MATCH($B514,'Team forecast'!$B$3:$B$26,0),MATCH(CA$1,'Team forecast'!$R$2:$BH$2,0))*($BX514-(BY514+BX514+CH514)*0.01)</f>
        <v>-2755.8748777831088</v>
      </c>
      <c r="CB514" s="5">
        <f>INDEX('Team forecast'!$R$3:$BH$26,MATCH($B514,'Team forecast'!$B$3:$B$26,0),MATCH(CB$1,'Team forecast'!$R$2:$BH$2,0))*($BX514-(BY514+BX514*2+CH514)*0.01)</f>
        <v>-1338.0512510153774</v>
      </c>
      <c r="CC514" s="5">
        <f>INDEX('Team forecast'!$R$3:$BH$26,MATCH($B514,'Team forecast'!$B$3:$B$26,0),MATCH(CC$1,'Team forecast'!$R$2:$BH$2,0))*($BX514-(BY514+BX514*3+CH514)*0.01)</f>
        <v>-611.84841063278861</v>
      </c>
      <c r="CD514" s="5">
        <f>+AK514+BD514*Cockpit!$C$3+BW514*Cockpit!$C$3^2+BZ514*Cockpit!$C$3^3+CA514*Cockpit!$C$3^4+CB514*Cockpit!$C$3^5+CC514*Cockpit!$C$3^6</f>
        <v>13614.367193040713</v>
      </c>
      <c r="CE514" s="5"/>
      <c r="CF514" s="5"/>
      <c r="CG514" s="5">
        <v>0</v>
      </c>
      <c r="CH514" s="5">
        <f t="shared" si="298"/>
        <v>2000000</v>
      </c>
      <c r="CI514" s="5">
        <f t="shared" si="299"/>
        <v>2000000</v>
      </c>
      <c r="CJ514" s="1">
        <f t="shared" si="300"/>
        <v>1.000623434177448E-2</v>
      </c>
      <c r="CK514" s="5">
        <f>RANK(BY514,$BY$2:$BY$623)+COUNTIF($BY$2:$BY514,$BY514)-1</f>
        <v>380</v>
      </c>
      <c r="CL514" s="5">
        <f>RANK(CJ514,$CJ$2:$CJ$623)+COUNTIF($CJ$2:$CJ514,$CJ514)-1</f>
        <v>363</v>
      </c>
    </row>
    <row r="515" spans="1:90">
      <c r="A515" t="str">
        <f>Players!P516</f>
        <v>Declan Gallagher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1.0237318402178264</v>
      </c>
      <c r="I515" s="16">
        <f>INDEX('Team forecast'!$B$2:$AO$26,MATCH('Master data'!$B515,'Team forecast'!$B$2:$B$26,0),MATCH('Master data'!I$1,'Team forecast'!$B$2:$AO$2,0))</f>
        <v>1.0683489057066333</v>
      </c>
      <c r="J515" s="16">
        <f>INDEX('Team forecast'!$B$2:$AO$26,MATCH('Master data'!$B515,'Team forecast'!$B$2:$B$26,0),MATCH('Master data'!J$1,'Team forecast'!$B$2:$AO$2,0))</f>
        <v>0.34357532462169699</v>
      </c>
      <c r="K515" s="16">
        <f>INDEX('Team forecast'!$B$2:$AO$26,MATCH('Master data'!$B515,'Team forecast'!$B$2:$B$26,0),MATCH('Master data'!K$1,'Team forecast'!$B$2:$AO$2,0))</f>
        <v>3.360735839098925</v>
      </c>
      <c r="L515" s="16">
        <f>INDEX('Team forecast'!$B$2:$AO$26,MATCH('Master data'!$B515,'Team forecast'!$B$2:$B$26,0),MATCH('Master data'!L$1,'Team forecast'!$B$2:$AO$2,0))</f>
        <v>2.9193919294978055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0.25</v>
      </c>
      <c r="R515" s="2">
        <f>Players!BR516</f>
        <v>0</v>
      </c>
      <c r="S515" s="2">
        <f t="shared" ref="S515:S578" si="301">H515</f>
        <v>1.0237318402178264</v>
      </c>
      <c r="T515" s="2">
        <f t="shared" ref="T515:T578" si="302">I515</f>
        <v>1.0683489057066333</v>
      </c>
      <c r="U515" s="16">
        <f>INDEX('Team forecast'!$B$2:$AO$26,MATCH('Master data'!$B515,'Team forecast'!$B$2:$B$26,0),MATCH('Master data'!U$1,'Team forecast'!$B$2:$AO$2,0))</f>
        <v>0.32580418714126441</v>
      </c>
      <c r="V515" s="16">
        <f>INDEX('Team forecast'!$B$2:$AO$26,MATCH('Master data'!$B515,'Team forecast'!$B$2:$B$26,0),MATCH('Master data'!V$1,'Team forecast'!$B$2:$AO$2,0))</f>
        <v>0.31494404756988892</v>
      </c>
      <c r="W515" s="16">
        <f>INDEX('Team forecast'!$B$2:$AO$26,MATCH('Master data'!$B515,'Team forecast'!$B$2:$B$26,0),MATCH('Master data'!W$1,'Team forecast'!$B$2:$AO$2,0))</f>
        <v>0.35925176528884672</v>
      </c>
      <c r="X515" s="5">
        <f t="shared" ref="X515:X578" si="303">IF(M515&gt;95,7000*2,IF(M515&gt;0,7000,-5000))</f>
        <v>-5000</v>
      </c>
      <c r="Y515" s="5">
        <f t="shared" ref="Y515:Y578" si="304">IF($X515&gt;0,U515*25000,0)</f>
        <v>0</v>
      </c>
      <c r="Z515" s="5">
        <f t="shared" ref="Z515:Z578" si="305">IF($X515&gt;0,V515*5000,0)</f>
        <v>0</v>
      </c>
      <c r="AA515" s="5">
        <f t="shared" ref="AA515:AA578" si="306">IF($X515&gt;0,W515*(-15000),0)</f>
        <v>0</v>
      </c>
      <c r="AB515" s="5">
        <f t="shared" ref="AB515:AB578" si="307">IF($C515="Defense",$N515*150000,IF($C515="Midfield",$N515*125000,IF($C515="Striker",$N515*100000,0)))*$H515</f>
        <v>0</v>
      </c>
      <c r="AC515" s="5">
        <f t="shared" ref="AC515:AC578" si="308">$O515*50000*H515</f>
        <v>0</v>
      </c>
      <c r="AD515" s="5">
        <f t="shared" ref="AD515:AD578" si="309">$P515*K515*10000</f>
        <v>0</v>
      </c>
      <c r="AE515" s="5">
        <f t="shared" ref="AE515:AE578" si="310">IF($C515="Goalkeeper",J515*75000,IF($C515="Defense",J515*50000,0))</f>
        <v>17178.76623108485</v>
      </c>
      <c r="AF515" s="5">
        <f t="shared" ref="AF515:AF578" si="311">IF($C515="Goalkeeper",(L515-I515)*5000,0)</f>
        <v>0</v>
      </c>
      <c r="AG515" s="5">
        <f t="shared" ref="AG515:AG578" si="312">IF(M515&gt;0,Q515*(-20000),0)</f>
        <v>0</v>
      </c>
      <c r="AH515" s="5">
        <f t="shared" ref="AH515:AH578" si="313">IF(M515&gt;0,R515*(-50000),0)</f>
        <v>0</v>
      </c>
      <c r="AI515" s="5">
        <f t="shared" ref="AI515:AI578" si="314">IF(M515&gt;0,S515*10000,0)</f>
        <v>0</v>
      </c>
      <c r="AJ515" s="5">
        <f t="shared" ref="AJ515:AJ578" si="315">IF(M515&gt;0,T515*(-8000),0)</f>
        <v>0</v>
      </c>
      <c r="AK515" s="5">
        <f>IFERROR(SUM(X515:AJ515),-5000)*((Cockpit!$C$3)^0)</f>
        <v>12178.76623108485</v>
      </c>
      <c r="AL515" s="16">
        <f>INDEX('Team forecast'!$B$2:$AO$26,MATCH('Master data'!$B515,'Team forecast'!$B$2:$B$26,0),MATCH('Master data'!AL$1,'Team forecast'!$B$2:$AO$2,0))</f>
        <v>0.66520361079548807</v>
      </c>
      <c r="AM515" s="16">
        <f>INDEX('Team forecast'!$B$2:$AO$26,MATCH('Master data'!$B515,'Team forecast'!$B$2:$B$26,0),MATCH('Master data'!AM$1,'Team forecast'!$B$2:$AO$2,0))</f>
        <v>2.0067977929974719</v>
      </c>
      <c r="AN515" s="16">
        <f>INDEX('Team forecast'!$B$2:$AO$26,MATCH('Master data'!$B515,'Team forecast'!$B$2:$B$26,0),MATCH('Master data'!AN$1,'Team forecast'!$B$2:$AO$2,0))</f>
        <v>0.1344184218435715</v>
      </c>
      <c r="AO515" s="16">
        <f>INDEX('Team forecast'!$B$2:$AO$26,MATCH('Master data'!$B515,'Team forecast'!$B$2:$B$26,0),MATCH('Master data'!AO$1,'Team forecast'!$B$2:$AO$2,0))</f>
        <v>2.1837492273589256</v>
      </c>
      <c r="AP515" s="16">
        <f>INDEX('Team forecast'!$B$2:$AO$26,MATCH('Master data'!$B515,'Team forecast'!$B$2:$B$26,0),MATCH('Master data'!AP$1,'Team forecast'!$B$2:$AO$2,0))</f>
        <v>5.4838164289930909</v>
      </c>
      <c r="AQ515" s="5">
        <f t="shared" ref="AQ515:AQ578" si="316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317">IF($C515="Defense",$N515*150000,IF($C515="Midfield",$N515*125000,IF($C515="Striker",$N515*100000,0)))*$AL515</f>
        <v>0</v>
      </c>
      <c r="AV515" s="5">
        <f t="shared" ref="AV515:AV578" si="318">$O515*50000*AL515</f>
        <v>0</v>
      </c>
      <c r="AW515" s="5">
        <f t="shared" ref="AW515:AW578" si="319">$P515*AO515*10000</f>
        <v>0</v>
      </c>
      <c r="AX515" s="5">
        <f t="shared" ref="AX515:AX578" si="320">IF($C515="Goalkeeper",AN515*75000,IF($C515="Defense",AN515*50000,0))</f>
        <v>6720.9210921785752</v>
      </c>
      <c r="AY515" s="5">
        <f t="shared" ref="AY515:AY578" si="321">IF($C515="Goalkeeper",(AP515-AM515)*5000,0)</f>
        <v>0</v>
      </c>
      <c r="AZ515" s="5">
        <f t="shared" ref="AZ515:AZ578" si="322">$AG515</f>
        <v>0</v>
      </c>
      <c r="BA515" s="5">
        <f t="shared" ref="BA515:BA578" si="323">$AH515</f>
        <v>0</v>
      </c>
      <c r="BB515" s="5">
        <f t="shared" ref="BB515:BB578" si="324">IF(X515&gt;0,AL515*10000,0)</f>
        <v>0</v>
      </c>
      <c r="BC515" s="5">
        <f t="shared" ref="BC515:BC578" si="325">IF(X515&gt;0,AM515*(-8000),0)</f>
        <v>0</v>
      </c>
      <c r="BD515" s="5">
        <f t="shared" ref="BD515:BD578" si="326">IFERROR(SUM(AQ515:BC515),0)</f>
        <v>1720.9210921785752</v>
      </c>
      <c r="BE515" s="16">
        <f>INDEX('Team forecast'!$B$2:$AO$26,MATCH('Master data'!$B515,'Team forecast'!$B$2:$B$26,0),MATCH('Master data'!BE$1,'Team forecast'!$B$2:$AO$2,0))</f>
        <v>0.82681690399773144</v>
      </c>
      <c r="BF515" s="16">
        <f>INDEX('Team forecast'!$B$2:$AO$26,MATCH('Master data'!$B515,'Team forecast'!$B$2:$B$26,0),MATCH('Master data'!BF$1,'Team forecast'!$B$2:$AO$2,0))</f>
        <v>1.5039270856478595</v>
      </c>
      <c r="BG515" s="16">
        <f>INDEX('Team forecast'!$B$2:$AO$26,MATCH('Master data'!$B515,'Team forecast'!$B$2:$B$26,0),MATCH('Master data'!BG$1,'Team forecast'!$B$2:$AO$2,0))</f>
        <v>0.22225562720571071</v>
      </c>
      <c r="BH515" s="16">
        <f>INDEX('Team forecast'!$B$2:$AO$26,MATCH('Master data'!$B515,'Team forecast'!$B$2:$B$26,0),MATCH('Master data'!BH$1,'Team forecast'!$B$2:$AO$2,0))</f>
        <v>2.71429791716427</v>
      </c>
      <c r="BI515" s="16">
        <f>INDEX('Team forecast'!$B$2:$AO$26,MATCH('Master data'!$B515,'Team forecast'!$B$2:$B$26,0),MATCH('Master data'!BI$1,'Team forecast'!$B$2:$AO$2,0))</f>
        <v>4.1096617153265038</v>
      </c>
      <c r="BJ515" s="5">
        <f t="shared" ref="BJ515:BJ578" si="327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328">IF($C515="Defense",$N515*150000,IF($C515="Midfield",$N515*125000,IF($C515="Striker",$N515*100000,0)))*$BE515</f>
        <v>0</v>
      </c>
      <c r="BO515" s="5">
        <f t="shared" ref="BO515:BO578" si="329">$O515*50000*$BE515</f>
        <v>0</v>
      </c>
      <c r="BP515" s="5">
        <f t="shared" ref="BP515:BP578" si="330">$P515*BH515*10000</f>
        <v>0</v>
      </c>
      <c r="BQ515" s="5">
        <f t="shared" ref="BQ515:BQ578" si="331">IF($C515="Goalkeeper",BG515*75000,IF($C515="Defense",BG515*50000,0))</f>
        <v>11112.781360285535</v>
      </c>
      <c r="BR515" s="5">
        <f t="shared" ref="BR515:BR578" si="332">IF($C515="Goalkeeper",(BI515-BF515)*5000,0)</f>
        <v>0</v>
      </c>
      <c r="BS515" s="5">
        <f t="shared" ref="BS515:BS578" si="333">$AG515</f>
        <v>0</v>
      </c>
      <c r="BT515" s="5">
        <f t="shared" ref="BT515:BT578" si="334">$AH515</f>
        <v>0</v>
      </c>
      <c r="BU515" s="5">
        <f t="shared" ref="BU515:BU578" si="335">IF(AQ515&gt;0,BE515*10000,0)</f>
        <v>0</v>
      </c>
      <c r="BV515" s="5">
        <f t="shared" ref="BV515:BV578" si="336">IF(AQ515&gt;0,BF515*(-8000),0)</f>
        <v>0</v>
      </c>
      <c r="BW515" s="5">
        <f t="shared" ref="BW515:BW578" si="337">IFERROR(SUM(BJ515:BV515),0)</f>
        <v>6112.7813602855349</v>
      </c>
      <c r="BX515" s="5">
        <f t="shared" ref="BX515:BX578" si="338">AVERAGE(AK515,BD515,BW515)</f>
        <v>6670.82289451632</v>
      </c>
      <c r="BY515" s="5">
        <f t="shared" ref="BY515:BY578" si="339">BX515*3</f>
        <v>20012.468683548959</v>
      </c>
      <c r="BZ515" s="5">
        <f>INDEX('Team forecast'!$R$3:$BH$26,MATCH($B515,'Team forecast'!$B$3:$B$26,0),MATCH(BZ$1,'Team forecast'!$R$2:$BH$2,0))*($BX515-(BY515+CH515)*0.01)</f>
        <v>-7646.1123926453602</v>
      </c>
      <c r="CA515" s="5">
        <f>INDEX('Team forecast'!$R$3:$BH$26,MATCH($B515,'Team forecast'!$B$3:$B$26,0),MATCH(CA$1,'Team forecast'!$R$2:$BH$2,0))*($BX515-(BY515+BX515+CH515)*0.01)</f>
        <v>-3769.3615085935021</v>
      </c>
      <c r="CB515" s="5">
        <f>INDEX('Team forecast'!$R$3:$BH$26,MATCH($B515,'Team forecast'!$B$3:$B$26,0),MATCH(CB$1,'Team forecast'!$R$2:$BH$2,0))*($BX515-(BY515+BX515*2+CH515)*0.01)</f>
        <v>-1827.7236670424224</v>
      </c>
      <c r="CC515" s="5">
        <f>INDEX('Team forecast'!$R$3:$BH$26,MATCH($B515,'Team forecast'!$B$3:$B$26,0),MATCH(CC$1,'Team forecast'!$R$2:$BH$2,0))*($BX515-(BY515+BX515*3+CH515)*0.01)</f>
        <v>-834.67214313237844</v>
      </c>
      <c r="CD515" s="5">
        <f>+AK515+BD515*Cockpit!$C$3+BW515*Cockpit!$C$3^2+BZ515*Cockpit!$C$3^3+CA515*Cockpit!$C$3^4+CB515*Cockpit!$C$3^5+CC515*Cockpit!$C$3^6</f>
        <v>12718.793649858366</v>
      </c>
      <c r="CE515" s="5"/>
      <c r="CF515" s="5"/>
      <c r="CG515" s="5">
        <v>0</v>
      </c>
      <c r="CH515" s="5">
        <f t="shared" ref="CH515:CH578" si="340">+G515+CG515</f>
        <v>2500000</v>
      </c>
      <c r="CI515" s="5">
        <f t="shared" ref="CI515:CI578" si="341">CH515</f>
        <v>2500000</v>
      </c>
      <c r="CJ515" s="1">
        <f t="shared" ref="CJ515:CJ578" si="342">IFERROR(BY515/CI515,-100%)</f>
        <v>8.0049874734195829E-3</v>
      </c>
      <c r="CK515" s="5">
        <f>RANK(BY515,$BY$2:$BY$623)+COUNTIF($BY$2:$BY515,$BY515)-1</f>
        <v>381</v>
      </c>
      <c r="CL515" s="5">
        <f>RANK(CJ515,$CJ$2:$CJ$623)+COUNTIF($CJ$2:$CJ515,$CJ515)-1</f>
        <v>378</v>
      </c>
    </row>
    <row r="516" spans="1:90">
      <c r="A516" t="str">
        <f>Players!P517</f>
        <v>Liam Cooper</v>
      </c>
      <c r="B516" t="str">
        <f>Players!G517</f>
        <v>Scotland</v>
      </c>
      <c r="C516" t="str">
        <f>Players!AB517</f>
        <v>Defense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1.0237318402178264</v>
      </c>
      <c r="I516" s="16">
        <f>INDEX('Team forecast'!$B$2:$AO$26,MATCH('Master data'!$B516,'Team forecast'!$B$2:$B$26,0),MATCH('Master data'!I$1,'Team forecast'!$B$2:$AO$2,0))</f>
        <v>1.0683489057066333</v>
      </c>
      <c r="J516" s="16">
        <f>INDEX('Team forecast'!$B$2:$AO$26,MATCH('Master data'!$B516,'Team forecast'!$B$2:$B$26,0),MATCH('Master data'!J$1,'Team forecast'!$B$2:$AO$2,0))</f>
        <v>0.34357532462169699</v>
      </c>
      <c r="K516" s="16">
        <f>INDEX('Team forecast'!$B$2:$AO$26,MATCH('Master data'!$B516,'Team forecast'!$B$2:$B$26,0),MATCH('Master data'!K$1,'Team forecast'!$B$2:$AO$2,0))</f>
        <v>3.360735839098925</v>
      </c>
      <c r="L516" s="16">
        <f>INDEX('Team forecast'!$B$2:$AO$26,MATCH('Master data'!$B516,'Team forecast'!$B$2:$B$26,0),MATCH('Master data'!L$1,'Team forecast'!$B$2:$AO$2,0))</f>
        <v>2.9193919294978055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0.24730452674897119</v>
      </c>
      <c r="R516" s="2">
        <f>Players!BR517</f>
        <v>4.1152263374485597E-2</v>
      </c>
      <c r="S516" s="2">
        <f t="shared" si="301"/>
        <v>1.0237318402178264</v>
      </c>
      <c r="T516" s="2">
        <f t="shared" si="302"/>
        <v>1.0683489057066333</v>
      </c>
      <c r="U516" s="16">
        <f>INDEX('Team forecast'!$B$2:$AO$26,MATCH('Master data'!$B516,'Team forecast'!$B$2:$B$26,0),MATCH('Master data'!U$1,'Team forecast'!$B$2:$AO$2,0))</f>
        <v>0.32580418714126441</v>
      </c>
      <c r="V516" s="16">
        <f>INDEX('Team forecast'!$B$2:$AO$26,MATCH('Master data'!$B516,'Team forecast'!$B$2:$B$26,0),MATCH('Master data'!V$1,'Team forecast'!$B$2:$AO$2,0))</f>
        <v>0.31494404756988892</v>
      </c>
      <c r="W516" s="16">
        <f>INDEX('Team forecast'!$B$2:$AO$26,MATCH('Master data'!$B516,'Team forecast'!$B$2:$B$26,0),MATCH('Master data'!W$1,'Team forecast'!$B$2:$AO$2,0))</f>
        <v>0.35925176528884672</v>
      </c>
      <c r="X516" s="5">
        <f t="shared" si="303"/>
        <v>-5000</v>
      </c>
      <c r="Y516" s="5">
        <f t="shared" si="304"/>
        <v>0</v>
      </c>
      <c r="Z516" s="5">
        <f t="shared" si="305"/>
        <v>0</v>
      </c>
      <c r="AA516" s="5">
        <f t="shared" si="306"/>
        <v>0</v>
      </c>
      <c r="AB516" s="5">
        <f t="shared" si="307"/>
        <v>0</v>
      </c>
      <c r="AC516" s="5">
        <f t="shared" si="308"/>
        <v>0</v>
      </c>
      <c r="AD516" s="5">
        <f t="shared" si="309"/>
        <v>0</v>
      </c>
      <c r="AE516" s="5">
        <f t="shared" si="310"/>
        <v>17178.76623108485</v>
      </c>
      <c r="AF516" s="5">
        <f t="shared" si="311"/>
        <v>0</v>
      </c>
      <c r="AG516" s="5">
        <f t="shared" si="312"/>
        <v>0</v>
      </c>
      <c r="AH516" s="5">
        <f t="shared" si="313"/>
        <v>0</v>
      </c>
      <c r="AI516" s="5">
        <f t="shared" si="314"/>
        <v>0</v>
      </c>
      <c r="AJ516" s="5">
        <f t="shared" si="315"/>
        <v>0</v>
      </c>
      <c r="AK516" s="5">
        <f>IFERROR(SUM(X516:AJ516),-5000)*((Cockpit!$C$3)^0)</f>
        <v>12178.76623108485</v>
      </c>
      <c r="AL516" s="16">
        <f>INDEX('Team forecast'!$B$2:$AO$26,MATCH('Master data'!$B516,'Team forecast'!$B$2:$B$26,0),MATCH('Master data'!AL$1,'Team forecast'!$B$2:$AO$2,0))</f>
        <v>0.66520361079548807</v>
      </c>
      <c r="AM516" s="16">
        <f>INDEX('Team forecast'!$B$2:$AO$26,MATCH('Master data'!$B516,'Team forecast'!$B$2:$B$26,0),MATCH('Master data'!AM$1,'Team forecast'!$B$2:$AO$2,0))</f>
        <v>2.0067977929974719</v>
      </c>
      <c r="AN516" s="16">
        <f>INDEX('Team forecast'!$B$2:$AO$26,MATCH('Master data'!$B516,'Team forecast'!$B$2:$B$26,0),MATCH('Master data'!AN$1,'Team forecast'!$B$2:$AO$2,0))</f>
        <v>0.1344184218435715</v>
      </c>
      <c r="AO516" s="16">
        <f>INDEX('Team forecast'!$B$2:$AO$26,MATCH('Master data'!$B516,'Team forecast'!$B$2:$B$26,0),MATCH('Master data'!AO$1,'Team forecast'!$B$2:$AO$2,0))</f>
        <v>2.1837492273589256</v>
      </c>
      <c r="AP516" s="16">
        <f>INDEX('Team forecast'!$B$2:$AO$26,MATCH('Master data'!$B516,'Team forecast'!$B$2:$B$26,0),MATCH('Master data'!AP$1,'Team forecast'!$B$2:$AO$2,0))</f>
        <v>5.4838164289930909</v>
      </c>
      <c r="AQ516" s="5">
        <f t="shared" si="316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317"/>
        <v>0</v>
      </c>
      <c r="AV516" s="5">
        <f t="shared" si="318"/>
        <v>0</v>
      </c>
      <c r="AW516" s="5">
        <f t="shared" si="319"/>
        <v>0</v>
      </c>
      <c r="AX516" s="5">
        <f t="shared" si="320"/>
        <v>6720.9210921785752</v>
      </c>
      <c r="AY516" s="5">
        <f t="shared" si="321"/>
        <v>0</v>
      </c>
      <c r="AZ516" s="5">
        <f t="shared" si="322"/>
        <v>0</v>
      </c>
      <c r="BA516" s="5">
        <f t="shared" si="323"/>
        <v>0</v>
      </c>
      <c r="BB516" s="5">
        <f t="shared" si="324"/>
        <v>0</v>
      </c>
      <c r="BC516" s="5">
        <f t="shared" si="325"/>
        <v>0</v>
      </c>
      <c r="BD516" s="5">
        <f t="shared" si="326"/>
        <v>1720.9210921785752</v>
      </c>
      <c r="BE516" s="16">
        <f>INDEX('Team forecast'!$B$2:$AO$26,MATCH('Master data'!$B516,'Team forecast'!$B$2:$B$26,0),MATCH('Master data'!BE$1,'Team forecast'!$B$2:$AO$2,0))</f>
        <v>0.82681690399773144</v>
      </c>
      <c r="BF516" s="16">
        <f>INDEX('Team forecast'!$B$2:$AO$26,MATCH('Master data'!$B516,'Team forecast'!$B$2:$B$26,0),MATCH('Master data'!BF$1,'Team forecast'!$B$2:$AO$2,0))</f>
        <v>1.5039270856478595</v>
      </c>
      <c r="BG516" s="16">
        <f>INDEX('Team forecast'!$B$2:$AO$26,MATCH('Master data'!$B516,'Team forecast'!$B$2:$B$26,0),MATCH('Master data'!BG$1,'Team forecast'!$B$2:$AO$2,0))</f>
        <v>0.22225562720571071</v>
      </c>
      <c r="BH516" s="16">
        <f>INDEX('Team forecast'!$B$2:$AO$26,MATCH('Master data'!$B516,'Team forecast'!$B$2:$B$26,0),MATCH('Master data'!BH$1,'Team forecast'!$B$2:$AO$2,0))</f>
        <v>2.71429791716427</v>
      </c>
      <c r="BI516" s="16">
        <f>INDEX('Team forecast'!$B$2:$AO$26,MATCH('Master data'!$B516,'Team forecast'!$B$2:$B$26,0),MATCH('Master data'!BI$1,'Team forecast'!$B$2:$AO$2,0))</f>
        <v>4.1096617153265038</v>
      </c>
      <c r="BJ516" s="5">
        <f t="shared" si="327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328"/>
        <v>0</v>
      </c>
      <c r="BO516" s="5">
        <f t="shared" si="329"/>
        <v>0</v>
      </c>
      <c r="BP516" s="5">
        <f t="shared" si="330"/>
        <v>0</v>
      </c>
      <c r="BQ516" s="5">
        <f t="shared" si="331"/>
        <v>11112.781360285535</v>
      </c>
      <c r="BR516" s="5">
        <f t="shared" si="332"/>
        <v>0</v>
      </c>
      <c r="BS516" s="5">
        <f t="shared" si="333"/>
        <v>0</v>
      </c>
      <c r="BT516" s="5">
        <f t="shared" si="334"/>
        <v>0</v>
      </c>
      <c r="BU516" s="5">
        <f t="shared" si="335"/>
        <v>0</v>
      </c>
      <c r="BV516" s="5">
        <f t="shared" si="336"/>
        <v>0</v>
      </c>
      <c r="BW516" s="5">
        <f t="shared" si="337"/>
        <v>6112.7813602855349</v>
      </c>
      <c r="BX516" s="5">
        <f t="shared" si="338"/>
        <v>6670.82289451632</v>
      </c>
      <c r="BY516" s="5">
        <f t="shared" si="339"/>
        <v>20012.468683548959</v>
      </c>
      <c r="BZ516" s="5">
        <f>INDEX('Team forecast'!$R$3:$BH$26,MATCH($B516,'Team forecast'!$B$3:$B$26,0),MATCH(BZ$1,'Team forecast'!$R$2:$BH$2,0))*($BX516-(BY516+CH516)*0.01)</f>
        <v>-7646.1123926453602</v>
      </c>
      <c r="CA516" s="5">
        <f>INDEX('Team forecast'!$R$3:$BH$26,MATCH($B516,'Team forecast'!$B$3:$B$26,0),MATCH(CA$1,'Team forecast'!$R$2:$BH$2,0))*($BX516-(BY516+BX516+CH516)*0.01)</f>
        <v>-3769.3615085935021</v>
      </c>
      <c r="CB516" s="5">
        <f>INDEX('Team forecast'!$R$3:$BH$26,MATCH($B516,'Team forecast'!$B$3:$B$26,0),MATCH(CB$1,'Team forecast'!$R$2:$BH$2,0))*($BX516-(BY516+BX516*2+CH516)*0.01)</f>
        <v>-1827.7236670424224</v>
      </c>
      <c r="CC516" s="5">
        <f>INDEX('Team forecast'!$R$3:$BH$26,MATCH($B516,'Team forecast'!$B$3:$B$26,0),MATCH(CC$1,'Team forecast'!$R$2:$BH$2,0))*($BX516-(BY516+BX516*3+CH516)*0.01)</f>
        <v>-834.67214313237844</v>
      </c>
      <c r="CD516" s="5">
        <f>+AK516+BD516*Cockpit!$C$3+BW516*Cockpit!$C$3^2+BZ516*Cockpit!$C$3^3+CA516*Cockpit!$C$3^4+CB516*Cockpit!$C$3^5+CC516*Cockpit!$C$3^6</f>
        <v>12718.793649858366</v>
      </c>
      <c r="CE516" s="5"/>
      <c r="CF516" s="5"/>
      <c r="CG516" s="5">
        <v>0</v>
      </c>
      <c r="CH516" s="5">
        <f t="shared" si="340"/>
        <v>2500000</v>
      </c>
      <c r="CI516" s="5">
        <f t="shared" si="341"/>
        <v>2500000</v>
      </c>
      <c r="CJ516" s="1">
        <f t="shared" si="342"/>
        <v>8.0049874734195829E-3</v>
      </c>
      <c r="CK516" s="5">
        <f>RANK(BY516,$BY$2:$BY$623)+COUNTIF($BY$2:$BY516,$BY516)-1</f>
        <v>382</v>
      </c>
      <c r="CL516" s="5">
        <f>RANK(CJ516,$CJ$2:$CJ$623)+COUNTIF($CJ$2:$CJ516,$CJ516)-1</f>
        <v>379</v>
      </c>
    </row>
    <row r="517" spans="1:90">
      <c r="A517" t="str">
        <f>Players!P518</f>
        <v>James Forrest</v>
      </c>
      <c r="B517" t="str">
        <f>Players!G518</f>
        <v>Scotland</v>
      </c>
      <c r="C517" t="str">
        <f>Players!AB518</f>
        <v>Striker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2500000</v>
      </c>
      <c r="H517" s="16">
        <f>INDEX('Team forecast'!$B$2:$AO$26,MATCH('Master data'!$B517,'Team forecast'!$B$2:$B$26,0),MATCH('Master data'!H$1,'Team forecast'!$B$2:$AO$2,0))</f>
        <v>1.0237318402178264</v>
      </c>
      <c r="I517" s="16">
        <f>INDEX('Team forecast'!$B$2:$AO$26,MATCH('Master data'!$B517,'Team forecast'!$B$2:$B$26,0),MATCH('Master data'!I$1,'Team forecast'!$B$2:$AO$2,0))</f>
        <v>1.0683489057066333</v>
      </c>
      <c r="J517" s="16">
        <f>INDEX('Team forecast'!$B$2:$AO$26,MATCH('Master data'!$B517,'Team forecast'!$B$2:$B$26,0),MATCH('Master data'!J$1,'Team forecast'!$B$2:$AO$2,0))</f>
        <v>0.34357532462169699</v>
      </c>
      <c r="K517" s="16">
        <f>INDEX('Team forecast'!$B$2:$AO$26,MATCH('Master data'!$B517,'Team forecast'!$B$2:$B$26,0),MATCH('Master data'!K$1,'Team forecast'!$B$2:$AO$2,0))</f>
        <v>3.360735839098925</v>
      </c>
      <c r="L517" s="16">
        <f>INDEX('Team forecast'!$B$2:$AO$26,MATCH('Master data'!$B517,'Team forecast'!$B$2:$B$26,0),MATCH('Master data'!L$1,'Team forecast'!$B$2:$AO$2,0))</f>
        <v>2.9193919294978055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0.1308139534883721</v>
      </c>
      <c r="R517" s="2">
        <f>Players!BR518</f>
        <v>0</v>
      </c>
      <c r="S517" s="2">
        <f t="shared" si="301"/>
        <v>1.0237318402178264</v>
      </c>
      <c r="T517" s="2">
        <f t="shared" si="302"/>
        <v>1.0683489057066333</v>
      </c>
      <c r="U517" s="16">
        <f>INDEX('Team forecast'!$B$2:$AO$26,MATCH('Master data'!$B517,'Team forecast'!$B$2:$B$26,0),MATCH('Master data'!U$1,'Team forecast'!$B$2:$AO$2,0))</f>
        <v>0.32580418714126441</v>
      </c>
      <c r="V517" s="16">
        <f>INDEX('Team forecast'!$B$2:$AO$26,MATCH('Master data'!$B517,'Team forecast'!$B$2:$B$26,0),MATCH('Master data'!V$1,'Team forecast'!$B$2:$AO$2,0))</f>
        <v>0.31494404756988892</v>
      </c>
      <c r="W517" s="16">
        <f>INDEX('Team forecast'!$B$2:$AO$26,MATCH('Master data'!$B517,'Team forecast'!$B$2:$B$26,0),MATCH('Master data'!W$1,'Team forecast'!$B$2:$AO$2,0))</f>
        <v>0.35925176528884672</v>
      </c>
      <c r="X517" s="5">
        <f t="shared" si="303"/>
        <v>-5000</v>
      </c>
      <c r="Y517" s="5">
        <f t="shared" si="304"/>
        <v>0</v>
      </c>
      <c r="Z517" s="5">
        <f t="shared" si="305"/>
        <v>0</v>
      </c>
      <c r="AA517" s="5">
        <f t="shared" si="306"/>
        <v>0</v>
      </c>
      <c r="AB517" s="5">
        <f t="shared" si="307"/>
        <v>0</v>
      </c>
      <c r="AC517" s="5">
        <f t="shared" si="308"/>
        <v>0</v>
      </c>
      <c r="AD517" s="5">
        <f t="shared" si="309"/>
        <v>0</v>
      </c>
      <c r="AE517" s="5">
        <f t="shared" si="310"/>
        <v>0</v>
      </c>
      <c r="AF517" s="5">
        <f t="shared" si="311"/>
        <v>0</v>
      </c>
      <c r="AG517" s="5">
        <f t="shared" si="312"/>
        <v>0</v>
      </c>
      <c r="AH517" s="5">
        <f t="shared" si="313"/>
        <v>0</v>
      </c>
      <c r="AI517" s="5">
        <f t="shared" si="314"/>
        <v>0</v>
      </c>
      <c r="AJ517" s="5">
        <f t="shared" si="315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0.66520361079548807</v>
      </c>
      <c r="AM517" s="16">
        <f>INDEX('Team forecast'!$B$2:$AO$26,MATCH('Master data'!$B517,'Team forecast'!$B$2:$B$26,0),MATCH('Master data'!AM$1,'Team forecast'!$B$2:$AO$2,0))</f>
        <v>2.0067977929974719</v>
      </c>
      <c r="AN517" s="16">
        <f>INDEX('Team forecast'!$B$2:$AO$26,MATCH('Master data'!$B517,'Team forecast'!$B$2:$B$26,0),MATCH('Master data'!AN$1,'Team forecast'!$B$2:$AO$2,0))</f>
        <v>0.1344184218435715</v>
      </c>
      <c r="AO517" s="16">
        <f>INDEX('Team forecast'!$B$2:$AO$26,MATCH('Master data'!$B517,'Team forecast'!$B$2:$B$26,0),MATCH('Master data'!AO$1,'Team forecast'!$B$2:$AO$2,0))</f>
        <v>2.1837492273589256</v>
      </c>
      <c r="AP517" s="16">
        <f>INDEX('Team forecast'!$B$2:$AO$26,MATCH('Master data'!$B517,'Team forecast'!$B$2:$B$26,0),MATCH('Master data'!AP$1,'Team forecast'!$B$2:$AO$2,0))</f>
        <v>5.4838164289930909</v>
      </c>
      <c r="AQ517" s="5">
        <f t="shared" si="316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317"/>
        <v>0</v>
      </c>
      <c r="AV517" s="5">
        <f t="shared" si="318"/>
        <v>0</v>
      </c>
      <c r="AW517" s="5">
        <f t="shared" si="319"/>
        <v>0</v>
      </c>
      <c r="AX517" s="5">
        <f t="shared" si="320"/>
        <v>0</v>
      </c>
      <c r="AY517" s="5">
        <f t="shared" si="321"/>
        <v>0</v>
      </c>
      <c r="AZ517" s="5">
        <f t="shared" si="322"/>
        <v>0</v>
      </c>
      <c r="BA517" s="5">
        <f t="shared" si="323"/>
        <v>0</v>
      </c>
      <c r="BB517" s="5">
        <f t="shared" si="324"/>
        <v>0</v>
      </c>
      <c r="BC517" s="5">
        <f t="shared" si="325"/>
        <v>0</v>
      </c>
      <c r="BD517" s="5">
        <f t="shared" si="326"/>
        <v>-5000</v>
      </c>
      <c r="BE517" s="16">
        <f>INDEX('Team forecast'!$B$2:$AO$26,MATCH('Master data'!$B517,'Team forecast'!$B$2:$B$26,0),MATCH('Master data'!BE$1,'Team forecast'!$B$2:$AO$2,0))</f>
        <v>0.82681690399773144</v>
      </c>
      <c r="BF517" s="16">
        <f>INDEX('Team forecast'!$B$2:$AO$26,MATCH('Master data'!$B517,'Team forecast'!$B$2:$B$26,0),MATCH('Master data'!BF$1,'Team forecast'!$B$2:$AO$2,0))</f>
        <v>1.5039270856478595</v>
      </c>
      <c r="BG517" s="16">
        <f>INDEX('Team forecast'!$B$2:$AO$26,MATCH('Master data'!$B517,'Team forecast'!$B$2:$B$26,0),MATCH('Master data'!BG$1,'Team forecast'!$B$2:$AO$2,0))</f>
        <v>0.22225562720571071</v>
      </c>
      <c r="BH517" s="16">
        <f>INDEX('Team forecast'!$B$2:$AO$26,MATCH('Master data'!$B517,'Team forecast'!$B$2:$B$26,0),MATCH('Master data'!BH$1,'Team forecast'!$B$2:$AO$2,0))</f>
        <v>2.71429791716427</v>
      </c>
      <c r="BI517" s="16">
        <f>INDEX('Team forecast'!$B$2:$AO$26,MATCH('Master data'!$B517,'Team forecast'!$B$2:$B$26,0),MATCH('Master data'!BI$1,'Team forecast'!$B$2:$AO$2,0))</f>
        <v>4.1096617153265038</v>
      </c>
      <c r="BJ517" s="5">
        <f t="shared" si="327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328"/>
        <v>0</v>
      </c>
      <c r="BO517" s="5">
        <f t="shared" si="329"/>
        <v>0</v>
      </c>
      <c r="BP517" s="5">
        <f t="shared" si="330"/>
        <v>0</v>
      </c>
      <c r="BQ517" s="5">
        <f t="shared" si="331"/>
        <v>0</v>
      </c>
      <c r="BR517" s="5">
        <f t="shared" si="332"/>
        <v>0</v>
      </c>
      <c r="BS517" s="5">
        <f t="shared" si="333"/>
        <v>0</v>
      </c>
      <c r="BT517" s="5">
        <f t="shared" si="334"/>
        <v>0</v>
      </c>
      <c r="BU517" s="5">
        <f t="shared" si="335"/>
        <v>0</v>
      </c>
      <c r="BV517" s="5">
        <f t="shared" si="336"/>
        <v>0</v>
      </c>
      <c r="BW517" s="5">
        <f t="shared" si="337"/>
        <v>-5000</v>
      </c>
      <c r="BX517" s="5">
        <f t="shared" si="338"/>
        <v>-5000</v>
      </c>
      <c r="BY517" s="5">
        <f t="shared" si="339"/>
        <v>-15000</v>
      </c>
      <c r="BZ517" s="5">
        <f>INDEX('Team forecast'!$R$3:$BH$26,MATCH($B517,'Team forecast'!$B$3:$B$26,0),MATCH(BZ$1,'Team forecast'!$R$2:$BH$2,0))*($BX517-(BY517+CH517)*0.01)</f>
        <v>-12317.596069112189</v>
      </c>
      <c r="CA517" s="5">
        <f>INDEX('Team forecast'!$R$3:$BH$26,MATCH($B517,'Team forecast'!$B$3:$B$26,0),MATCH(CA$1,'Team forecast'!$R$2:$BH$2,0))*($BX517-(BY517+BX517+CH517)*0.01)</f>
        <v>-6040.3803196299486</v>
      </c>
      <c r="CB517" s="5">
        <f>INDEX('Team forecast'!$R$3:$BH$26,MATCH($B517,'Team forecast'!$B$3:$B$26,0),MATCH(CB$1,'Team forecast'!$R$2:$BH$2,0))*($BX517-(BY517+BX517*2+CH517)*0.01)</f>
        <v>-2913.5508753609188</v>
      </c>
      <c r="CC517" s="5">
        <f>INDEX('Team forecast'!$R$3:$BH$26,MATCH($B517,'Team forecast'!$B$3:$B$26,0),MATCH(CC$1,'Team forecast'!$R$2:$BH$2,0))*($BX517-(BY517+BX517*3+CH517)*0.01)</f>
        <v>-1323.5729710475634</v>
      </c>
      <c r="CD517" s="5">
        <f>+AK517+BD517*Cockpit!$C$3+BW517*Cockpit!$C$3^2+BZ517*Cockpit!$C$3^3+CA517*Cockpit!$C$3^4+CB517*Cockpit!$C$3^5+CC517*Cockpit!$C$3^6</f>
        <v>-15898.251126387706</v>
      </c>
      <c r="CE517" s="5"/>
      <c r="CF517" s="5"/>
      <c r="CG517" s="5">
        <v>0</v>
      </c>
      <c r="CH517" s="5">
        <f t="shared" si="340"/>
        <v>2500000</v>
      </c>
      <c r="CI517" s="5">
        <f t="shared" si="341"/>
        <v>2500000</v>
      </c>
      <c r="CJ517" s="1">
        <f t="shared" si="342"/>
        <v>-6.0000000000000001E-3</v>
      </c>
      <c r="CK517" s="5">
        <f>RANK(BY517,$BY$2:$BY$623)+COUNTIF($BY$2:$BY517,$BY517)-1</f>
        <v>584</v>
      </c>
      <c r="CL517" s="5">
        <f>RANK(CJ517,$CJ$2:$CJ$623)+COUNTIF($CJ$2:$CJ517,$CJ517)-1</f>
        <v>565</v>
      </c>
    </row>
    <row r="518" spans="1:90">
      <c r="A518" t="str">
        <f>Players!P519</f>
        <v>David  Turnbull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2000000</v>
      </c>
      <c r="H518" s="16">
        <f>INDEX('Team forecast'!$B$2:$AO$26,MATCH('Master data'!$B518,'Team forecast'!$B$2:$B$26,0),MATCH('Master data'!H$1,'Team forecast'!$B$2:$AO$2,0))</f>
        <v>1.0237318402178264</v>
      </c>
      <c r="I518" s="16">
        <f>INDEX('Team forecast'!$B$2:$AO$26,MATCH('Master data'!$B518,'Team forecast'!$B$2:$B$26,0),MATCH('Master data'!I$1,'Team forecast'!$B$2:$AO$2,0))</f>
        <v>1.0683489057066333</v>
      </c>
      <c r="J518" s="16">
        <f>INDEX('Team forecast'!$B$2:$AO$26,MATCH('Master data'!$B518,'Team forecast'!$B$2:$B$26,0),MATCH('Master data'!J$1,'Team forecast'!$B$2:$AO$2,0))</f>
        <v>0.34357532462169699</v>
      </c>
      <c r="K518" s="16">
        <f>INDEX('Team forecast'!$B$2:$AO$26,MATCH('Master data'!$B518,'Team forecast'!$B$2:$B$26,0),MATCH('Master data'!K$1,'Team forecast'!$B$2:$AO$2,0))</f>
        <v>3.360735839098925</v>
      </c>
      <c r="L518" s="16">
        <f>INDEX('Team forecast'!$B$2:$AO$26,MATCH('Master data'!$B518,'Team forecast'!$B$2:$B$26,0),MATCH('Master data'!L$1,'Team forecast'!$B$2:$AO$2,0))</f>
        <v>2.9193919294978055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8.0405002977963075E-2</v>
      </c>
      <c r="R518" s="2">
        <f>Players!BR519</f>
        <v>0</v>
      </c>
      <c r="S518" s="2">
        <f t="shared" si="301"/>
        <v>1.0237318402178264</v>
      </c>
      <c r="T518" s="2">
        <f t="shared" si="302"/>
        <v>1.0683489057066333</v>
      </c>
      <c r="U518" s="16">
        <f>INDEX('Team forecast'!$B$2:$AO$26,MATCH('Master data'!$B518,'Team forecast'!$B$2:$B$26,0),MATCH('Master data'!U$1,'Team forecast'!$B$2:$AO$2,0))</f>
        <v>0.32580418714126441</v>
      </c>
      <c r="V518" s="16">
        <f>INDEX('Team forecast'!$B$2:$AO$26,MATCH('Master data'!$B518,'Team forecast'!$B$2:$B$26,0),MATCH('Master data'!V$1,'Team forecast'!$B$2:$AO$2,0))</f>
        <v>0.31494404756988892</v>
      </c>
      <c r="W518" s="16">
        <f>INDEX('Team forecast'!$B$2:$AO$26,MATCH('Master data'!$B518,'Team forecast'!$B$2:$B$26,0),MATCH('Master data'!W$1,'Team forecast'!$B$2:$AO$2,0))</f>
        <v>0.35925176528884672</v>
      </c>
      <c r="X518" s="5">
        <f t="shared" si="303"/>
        <v>-5000</v>
      </c>
      <c r="Y518" s="5">
        <f t="shared" si="304"/>
        <v>0</v>
      </c>
      <c r="Z518" s="5">
        <f t="shared" si="305"/>
        <v>0</v>
      </c>
      <c r="AA518" s="5">
        <f t="shared" si="306"/>
        <v>0</v>
      </c>
      <c r="AB518" s="5">
        <f t="shared" si="307"/>
        <v>0</v>
      </c>
      <c r="AC518" s="5">
        <f t="shared" si="308"/>
        <v>0</v>
      </c>
      <c r="AD518" s="5">
        <f t="shared" si="309"/>
        <v>0</v>
      </c>
      <c r="AE518" s="5">
        <f t="shared" si="310"/>
        <v>0</v>
      </c>
      <c r="AF518" s="5">
        <f t="shared" si="311"/>
        <v>0</v>
      </c>
      <c r="AG518" s="5">
        <f t="shared" si="312"/>
        <v>0</v>
      </c>
      <c r="AH518" s="5">
        <f t="shared" si="313"/>
        <v>0</v>
      </c>
      <c r="AI518" s="5">
        <f t="shared" si="314"/>
        <v>0</v>
      </c>
      <c r="AJ518" s="5">
        <f t="shared" si="315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0.66520361079548807</v>
      </c>
      <c r="AM518" s="16">
        <f>INDEX('Team forecast'!$B$2:$AO$26,MATCH('Master data'!$B518,'Team forecast'!$B$2:$B$26,0),MATCH('Master data'!AM$1,'Team forecast'!$B$2:$AO$2,0))</f>
        <v>2.0067977929974719</v>
      </c>
      <c r="AN518" s="16">
        <f>INDEX('Team forecast'!$B$2:$AO$26,MATCH('Master data'!$B518,'Team forecast'!$B$2:$B$26,0),MATCH('Master data'!AN$1,'Team forecast'!$B$2:$AO$2,0))</f>
        <v>0.1344184218435715</v>
      </c>
      <c r="AO518" s="16">
        <f>INDEX('Team forecast'!$B$2:$AO$26,MATCH('Master data'!$B518,'Team forecast'!$B$2:$B$26,0),MATCH('Master data'!AO$1,'Team forecast'!$B$2:$AO$2,0))</f>
        <v>2.1837492273589256</v>
      </c>
      <c r="AP518" s="16">
        <f>INDEX('Team forecast'!$B$2:$AO$26,MATCH('Master data'!$B518,'Team forecast'!$B$2:$B$26,0),MATCH('Master data'!AP$1,'Team forecast'!$B$2:$AO$2,0))</f>
        <v>5.4838164289930909</v>
      </c>
      <c r="AQ518" s="5">
        <f t="shared" si="316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317"/>
        <v>0</v>
      </c>
      <c r="AV518" s="5">
        <f t="shared" si="318"/>
        <v>0</v>
      </c>
      <c r="AW518" s="5">
        <f t="shared" si="319"/>
        <v>0</v>
      </c>
      <c r="AX518" s="5">
        <f t="shared" si="320"/>
        <v>0</v>
      </c>
      <c r="AY518" s="5">
        <f t="shared" si="321"/>
        <v>0</v>
      </c>
      <c r="AZ518" s="5">
        <f t="shared" si="322"/>
        <v>0</v>
      </c>
      <c r="BA518" s="5">
        <f t="shared" si="323"/>
        <v>0</v>
      </c>
      <c r="BB518" s="5">
        <f t="shared" si="324"/>
        <v>0</v>
      </c>
      <c r="BC518" s="5">
        <f t="shared" si="325"/>
        <v>0</v>
      </c>
      <c r="BD518" s="5">
        <f t="shared" si="326"/>
        <v>-5000</v>
      </c>
      <c r="BE518" s="16">
        <f>INDEX('Team forecast'!$B$2:$AO$26,MATCH('Master data'!$B518,'Team forecast'!$B$2:$B$26,0),MATCH('Master data'!BE$1,'Team forecast'!$B$2:$AO$2,0))</f>
        <v>0.82681690399773144</v>
      </c>
      <c r="BF518" s="16">
        <f>INDEX('Team forecast'!$B$2:$AO$26,MATCH('Master data'!$B518,'Team forecast'!$B$2:$B$26,0),MATCH('Master data'!BF$1,'Team forecast'!$B$2:$AO$2,0))</f>
        <v>1.5039270856478595</v>
      </c>
      <c r="BG518" s="16">
        <f>INDEX('Team forecast'!$B$2:$AO$26,MATCH('Master data'!$B518,'Team forecast'!$B$2:$B$26,0),MATCH('Master data'!BG$1,'Team forecast'!$B$2:$AO$2,0))</f>
        <v>0.22225562720571071</v>
      </c>
      <c r="BH518" s="16">
        <f>INDEX('Team forecast'!$B$2:$AO$26,MATCH('Master data'!$B518,'Team forecast'!$B$2:$B$26,0),MATCH('Master data'!BH$1,'Team forecast'!$B$2:$AO$2,0))</f>
        <v>2.71429791716427</v>
      </c>
      <c r="BI518" s="16">
        <f>INDEX('Team forecast'!$B$2:$AO$26,MATCH('Master data'!$B518,'Team forecast'!$B$2:$B$26,0),MATCH('Master data'!BI$1,'Team forecast'!$B$2:$AO$2,0))</f>
        <v>4.1096617153265038</v>
      </c>
      <c r="BJ518" s="5">
        <f t="shared" si="327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328"/>
        <v>0</v>
      </c>
      <c r="BO518" s="5">
        <f t="shared" si="329"/>
        <v>0</v>
      </c>
      <c r="BP518" s="5">
        <f t="shared" si="330"/>
        <v>0</v>
      </c>
      <c r="BQ518" s="5">
        <f t="shared" si="331"/>
        <v>0</v>
      </c>
      <c r="BR518" s="5">
        <f t="shared" si="332"/>
        <v>0</v>
      </c>
      <c r="BS518" s="5">
        <f t="shared" si="333"/>
        <v>0</v>
      </c>
      <c r="BT518" s="5">
        <f t="shared" si="334"/>
        <v>0</v>
      </c>
      <c r="BU518" s="5">
        <f t="shared" si="335"/>
        <v>0</v>
      </c>
      <c r="BV518" s="5">
        <f t="shared" si="336"/>
        <v>0</v>
      </c>
      <c r="BW518" s="5">
        <f t="shared" si="337"/>
        <v>-5000</v>
      </c>
      <c r="BX518" s="5">
        <f t="shared" si="338"/>
        <v>-5000</v>
      </c>
      <c r="BY518" s="5">
        <f t="shared" si="339"/>
        <v>-15000</v>
      </c>
      <c r="BZ518" s="5">
        <f>INDEX('Team forecast'!$R$3:$BH$26,MATCH($B518,'Team forecast'!$B$3:$B$26,0),MATCH(BZ$1,'Team forecast'!$R$2:$BH$2,0))*($BX518-(BY518+CH518)*0.01)</f>
        <v>-10254.347146312828</v>
      </c>
      <c r="CA518" s="5">
        <f>INDEX('Team forecast'!$R$3:$BH$26,MATCH($B518,'Team forecast'!$B$3:$B$26,0),MATCH(CA$1,'Team forecast'!$R$2:$BH$2,0))*($BX518-(BY518+BX518+CH518)*0.01)</f>
        <v>-5026.893688819554</v>
      </c>
      <c r="CB518" s="5">
        <f>INDEX('Team forecast'!$R$3:$BH$26,MATCH($B518,'Team forecast'!$B$3:$B$26,0),MATCH(CB$1,'Team forecast'!$R$2:$BH$2,0))*($BX518-(BY518+BX518*2+CH518)*0.01)</f>
        <v>-2423.8784593338737</v>
      </c>
      <c r="CC518" s="5">
        <f>INDEX('Team forecast'!$R$3:$BH$26,MATCH($B518,'Team forecast'!$B$3:$B$26,0),MATCH(CC$1,'Team forecast'!$R$2:$BH$2,0))*($BX518-(BY518+BX518*3+CH518)*0.01)</f>
        <v>-1100.7492385479736</v>
      </c>
      <c r="CD518" s="5">
        <f>+AK518+BD518*Cockpit!$C$3+BW518*Cockpit!$C$3^2+BZ518*Cockpit!$C$3^3+CA518*Cockpit!$C$3^4+CB518*Cockpit!$C$3^5+CC518*Cockpit!$C$3^6</f>
        <v>-15002.677583205361</v>
      </c>
      <c r="CE518" s="5"/>
      <c r="CF518" s="5"/>
      <c r="CG518" s="5">
        <v>0</v>
      </c>
      <c r="CH518" s="5">
        <f t="shared" si="340"/>
        <v>2000000</v>
      </c>
      <c r="CI518" s="5">
        <f t="shared" si="341"/>
        <v>2000000</v>
      </c>
      <c r="CJ518" s="1">
        <f t="shared" si="342"/>
        <v>-7.4999999999999997E-3</v>
      </c>
      <c r="CK518" s="5">
        <f>RANK(BY518,$BY$2:$BY$623)+COUNTIF($BY$2:$BY518,$BY518)-1</f>
        <v>585</v>
      </c>
      <c r="CL518" s="5">
        <f>RANK(CJ518,$CJ$2:$CJ$623)+COUNTIF($CJ$2:$CJ518,$CJ518)-1</f>
        <v>601</v>
      </c>
    </row>
    <row r="519" spans="1:90">
      <c r="A519" t="str">
        <f>Players!P520</f>
        <v>Billy  Gilmour</v>
      </c>
      <c r="B519" t="str">
        <f>Players!G520</f>
        <v>Scotland</v>
      </c>
      <c r="C519" t="str">
        <f>Players!AB520</f>
        <v>Midfield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2500000</v>
      </c>
      <c r="H519" s="16">
        <f>INDEX('Team forecast'!$B$2:$AO$26,MATCH('Master data'!$B519,'Team forecast'!$B$2:$B$26,0),MATCH('Master data'!H$1,'Team forecast'!$B$2:$AO$2,0))</f>
        <v>1.0237318402178264</v>
      </c>
      <c r="I519" s="16">
        <f>INDEX('Team forecast'!$B$2:$AO$26,MATCH('Master data'!$B519,'Team forecast'!$B$2:$B$26,0),MATCH('Master data'!I$1,'Team forecast'!$B$2:$AO$2,0))</f>
        <v>1.0683489057066333</v>
      </c>
      <c r="J519" s="16">
        <f>INDEX('Team forecast'!$B$2:$AO$26,MATCH('Master data'!$B519,'Team forecast'!$B$2:$B$26,0),MATCH('Master data'!J$1,'Team forecast'!$B$2:$AO$2,0))</f>
        <v>0.34357532462169699</v>
      </c>
      <c r="K519" s="16">
        <f>INDEX('Team forecast'!$B$2:$AO$26,MATCH('Master data'!$B519,'Team forecast'!$B$2:$B$26,0),MATCH('Master data'!K$1,'Team forecast'!$B$2:$AO$2,0))</f>
        <v>3.360735839098925</v>
      </c>
      <c r="L519" s="16">
        <f>INDEX('Team forecast'!$B$2:$AO$26,MATCH('Master data'!$B519,'Team forecast'!$B$2:$B$26,0),MATCH('Master data'!L$1,'Team forecast'!$B$2:$AO$2,0))</f>
        <v>2.9193919294978055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0</v>
      </c>
      <c r="R519" s="2">
        <f>Players!BR520</f>
        <v>0</v>
      </c>
      <c r="S519" s="2">
        <f t="shared" si="301"/>
        <v>1.0237318402178264</v>
      </c>
      <c r="T519" s="2">
        <f t="shared" si="302"/>
        <v>1.0683489057066333</v>
      </c>
      <c r="U519" s="16">
        <f>INDEX('Team forecast'!$B$2:$AO$26,MATCH('Master data'!$B519,'Team forecast'!$B$2:$B$26,0),MATCH('Master data'!U$1,'Team forecast'!$B$2:$AO$2,0))</f>
        <v>0.32580418714126441</v>
      </c>
      <c r="V519" s="16">
        <f>INDEX('Team forecast'!$B$2:$AO$26,MATCH('Master data'!$B519,'Team forecast'!$B$2:$B$26,0),MATCH('Master data'!V$1,'Team forecast'!$B$2:$AO$2,0))</f>
        <v>0.31494404756988892</v>
      </c>
      <c r="W519" s="16">
        <f>INDEX('Team forecast'!$B$2:$AO$26,MATCH('Master data'!$B519,'Team forecast'!$B$2:$B$26,0),MATCH('Master data'!W$1,'Team forecast'!$B$2:$AO$2,0))</f>
        <v>0.35925176528884672</v>
      </c>
      <c r="X519" s="5">
        <f t="shared" si="303"/>
        <v>-5000</v>
      </c>
      <c r="Y519" s="5">
        <f t="shared" si="304"/>
        <v>0</v>
      </c>
      <c r="Z519" s="5">
        <f t="shared" si="305"/>
        <v>0</v>
      </c>
      <c r="AA519" s="5">
        <f t="shared" si="306"/>
        <v>0</v>
      </c>
      <c r="AB519" s="5">
        <f t="shared" si="307"/>
        <v>0</v>
      </c>
      <c r="AC519" s="5">
        <f t="shared" si="308"/>
        <v>0</v>
      </c>
      <c r="AD519" s="5">
        <f t="shared" si="309"/>
        <v>0</v>
      </c>
      <c r="AE519" s="5">
        <f t="shared" si="310"/>
        <v>0</v>
      </c>
      <c r="AF519" s="5">
        <f t="shared" si="311"/>
        <v>0</v>
      </c>
      <c r="AG519" s="5">
        <f t="shared" si="312"/>
        <v>0</v>
      </c>
      <c r="AH519" s="5">
        <f t="shared" si="313"/>
        <v>0</v>
      </c>
      <c r="AI519" s="5">
        <f t="shared" si="314"/>
        <v>0</v>
      </c>
      <c r="AJ519" s="5">
        <f t="shared" si="315"/>
        <v>0</v>
      </c>
      <c r="AK519" s="5">
        <f>IFERROR(SUM(X519:AJ519),-5000)*((Cockpit!$C$3)^0)</f>
        <v>-5000</v>
      </c>
      <c r="AL519" s="16">
        <f>INDEX('Team forecast'!$B$2:$AO$26,MATCH('Master data'!$B519,'Team forecast'!$B$2:$B$26,0),MATCH('Master data'!AL$1,'Team forecast'!$B$2:$AO$2,0))</f>
        <v>0.66520361079548807</v>
      </c>
      <c r="AM519" s="16">
        <f>INDEX('Team forecast'!$B$2:$AO$26,MATCH('Master data'!$B519,'Team forecast'!$B$2:$B$26,0),MATCH('Master data'!AM$1,'Team forecast'!$B$2:$AO$2,0))</f>
        <v>2.0067977929974719</v>
      </c>
      <c r="AN519" s="16">
        <f>INDEX('Team forecast'!$B$2:$AO$26,MATCH('Master data'!$B519,'Team forecast'!$B$2:$B$26,0),MATCH('Master data'!AN$1,'Team forecast'!$B$2:$AO$2,0))</f>
        <v>0.1344184218435715</v>
      </c>
      <c r="AO519" s="16">
        <f>INDEX('Team forecast'!$B$2:$AO$26,MATCH('Master data'!$B519,'Team forecast'!$B$2:$B$26,0),MATCH('Master data'!AO$1,'Team forecast'!$B$2:$AO$2,0))</f>
        <v>2.1837492273589256</v>
      </c>
      <c r="AP519" s="16">
        <f>INDEX('Team forecast'!$B$2:$AO$26,MATCH('Master data'!$B519,'Team forecast'!$B$2:$B$26,0),MATCH('Master data'!AP$1,'Team forecast'!$B$2:$AO$2,0))</f>
        <v>5.4838164289930909</v>
      </c>
      <c r="AQ519" s="5">
        <f t="shared" si="316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317"/>
        <v>0</v>
      </c>
      <c r="AV519" s="5">
        <f t="shared" si="318"/>
        <v>0</v>
      </c>
      <c r="AW519" s="5">
        <f t="shared" si="319"/>
        <v>0</v>
      </c>
      <c r="AX519" s="5">
        <f t="shared" si="320"/>
        <v>0</v>
      </c>
      <c r="AY519" s="5">
        <f t="shared" si="321"/>
        <v>0</v>
      </c>
      <c r="AZ519" s="5">
        <f t="shared" si="322"/>
        <v>0</v>
      </c>
      <c r="BA519" s="5">
        <f t="shared" si="323"/>
        <v>0</v>
      </c>
      <c r="BB519" s="5">
        <f t="shared" si="324"/>
        <v>0</v>
      </c>
      <c r="BC519" s="5">
        <f t="shared" si="325"/>
        <v>0</v>
      </c>
      <c r="BD519" s="5">
        <f t="shared" si="326"/>
        <v>-5000</v>
      </c>
      <c r="BE519" s="16">
        <f>INDEX('Team forecast'!$B$2:$AO$26,MATCH('Master data'!$B519,'Team forecast'!$B$2:$B$26,0),MATCH('Master data'!BE$1,'Team forecast'!$B$2:$AO$2,0))</f>
        <v>0.82681690399773144</v>
      </c>
      <c r="BF519" s="16">
        <f>INDEX('Team forecast'!$B$2:$AO$26,MATCH('Master data'!$B519,'Team forecast'!$B$2:$B$26,0),MATCH('Master data'!BF$1,'Team forecast'!$B$2:$AO$2,0))</f>
        <v>1.5039270856478595</v>
      </c>
      <c r="BG519" s="16">
        <f>INDEX('Team forecast'!$B$2:$AO$26,MATCH('Master data'!$B519,'Team forecast'!$B$2:$B$26,0),MATCH('Master data'!BG$1,'Team forecast'!$B$2:$AO$2,0))</f>
        <v>0.22225562720571071</v>
      </c>
      <c r="BH519" s="16">
        <f>INDEX('Team forecast'!$B$2:$AO$26,MATCH('Master data'!$B519,'Team forecast'!$B$2:$B$26,0),MATCH('Master data'!BH$1,'Team forecast'!$B$2:$AO$2,0))</f>
        <v>2.71429791716427</v>
      </c>
      <c r="BI519" s="16">
        <f>INDEX('Team forecast'!$B$2:$AO$26,MATCH('Master data'!$B519,'Team forecast'!$B$2:$B$26,0),MATCH('Master data'!BI$1,'Team forecast'!$B$2:$AO$2,0))</f>
        <v>4.1096617153265038</v>
      </c>
      <c r="BJ519" s="5">
        <f t="shared" si="327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328"/>
        <v>0</v>
      </c>
      <c r="BO519" s="5">
        <f t="shared" si="329"/>
        <v>0</v>
      </c>
      <c r="BP519" s="5">
        <f t="shared" si="330"/>
        <v>0</v>
      </c>
      <c r="BQ519" s="5">
        <f t="shared" si="331"/>
        <v>0</v>
      </c>
      <c r="BR519" s="5">
        <f t="shared" si="332"/>
        <v>0</v>
      </c>
      <c r="BS519" s="5">
        <f t="shared" si="333"/>
        <v>0</v>
      </c>
      <c r="BT519" s="5">
        <f t="shared" si="334"/>
        <v>0</v>
      </c>
      <c r="BU519" s="5">
        <f t="shared" si="335"/>
        <v>0</v>
      </c>
      <c r="BV519" s="5">
        <f t="shared" si="336"/>
        <v>0</v>
      </c>
      <c r="BW519" s="5">
        <f t="shared" si="337"/>
        <v>-5000</v>
      </c>
      <c r="BX519" s="5">
        <f t="shared" si="338"/>
        <v>-5000</v>
      </c>
      <c r="BY519" s="5">
        <f t="shared" si="339"/>
        <v>-15000</v>
      </c>
      <c r="BZ519" s="5">
        <f>INDEX('Team forecast'!$R$3:$BH$26,MATCH($B519,'Team forecast'!$B$3:$B$26,0),MATCH(BZ$1,'Team forecast'!$R$2:$BH$2,0))*($BX519-(BY519+CH519)*0.01)</f>
        <v>-12317.596069112189</v>
      </c>
      <c r="CA519" s="5">
        <f>INDEX('Team forecast'!$R$3:$BH$26,MATCH($B519,'Team forecast'!$B$3:$B$26,0),MATCH(CA$1,'Team forecast'!$R$2:$BH$2,0))*($BX519-(BY519+BX519+CH519)*0.01)</f>
        <v>-6040.3803196299486</v>
      </c>
      <c r="CB519" s="5">
        <f>INDEX('Team forecast'!$R$3:$BH$26,MATCH($B519,'Team forecast'!$B$3:$B$26,0),MATCH(CB$1,'Team forecast'!$R$2:$BH$2,0))*($BX519-(BY519+BX519*2+CH519)*0.01)</f>
        <v>-2913.5508753609188</v>
      </c>
      <c r="CC519" s="5">
        <f>INDEX('Team forecast'!$R$3:$BH$26,MATCH($B519,'Team forecast'!$B$3:$B$26,0),MATCH(CC$1,'Team forecast'!$R$2:$BH$2,0))*($BX519-(BY519+BX519*3+CH519)*0.01)</f>
        <v>-1323.5729710475634</v>
      </c>
      <c r="CD519" s="5">
        <f>+AK519+BD519*Cockpit!$C$3+BW519*Cockpit!$C$3^2+BZ519*Cockpit!$C$3^3+CA519*Cockpit!$C$3^4+CB519*Cockpit!$C$3^5+CC519*Cockpit!$C$3^6</f>
        <v>-15898.251126387706</v>
      </c>
      <c r="CE519" s="5"/>
      <c r="CF519" s="5"/>
      <c r="CG519" s="5">
        <v>0</v>
      </c>
      <c r="CH519" s="5">
        <f t="shared" si="340"/>
        <v>2500000</v>
      </c>
      <c r="CI519" s="5">
        <f t="shared" si="341"/>
        <v>2500000</v>
      </c>
      <c r="CJ519" s="1">
        <f t="shared" si="342"/>
        <v>-6.0000000000000001E-3</v>
      </c>
      <c r="CK519" s="5">
        <f>RANK(BY519,$BY$2:$BY$623)+COUNTIF($BY$2:$BY519,$BY519)-1</f>
        <v>586</v>
      </c>
      <c r="CL519" s="5">
        <f>RANK(CJ519,$CJ$2:$CJ$623)+COUNTIF($CJ$2:$CJ519,$CJ519)-1</f>
        <v>566</v>
      </c>
    </row>
    <row r="520" spans="1:90">
      <c r="A520" t="str">
        <f>Players!P521</f>
        <v>Ales Mandous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3000000</v>
      </c>
      <c r="H520" s="16">
        <f>INDEX('Team forecast'!$B$2:$AO$26,MATCH('Master data'!$B520,'Team forecast'!$B$2:$B$26,0),MATCH('Master data'!H$1,'Team forecast'!$B$2:$AO$2,0))</f>
        <v>1.0683489057066333</v>
      </c>
      <c r="I520" s="16">
        <f>INDEX('Team forecast'!$B$2:$AO$26,MATCH('Master data'!$B520,'Team forecast'!$B$2:$B$26,0),MATCH('Master data'!I$1,'Team forecast'!$B$2:$AO$2,0))</f>
        <v>1.0237318402178264</v>
      </c>
      <c r="J520" s="16">
        <f>INDEX('Team forecast'!$B$2:$AO$26,MATCH('Master data'!$B520,'Team forecast'!$B$2:$B$26,0),MATCH('Master data'!J$1,'Team forecast'!$B$2:$AO$2,0))</f>
        <v>0.35925176528884672</v>
      </c>
      <c r="K520" s="16">
        <f>INDEX('Team forecast'!$B$2:$AO$26,MATCH('Master data'!$B520,'Team forecast'!$B$2:$B$26,0),MATCH('Master data'!K$1,'Team forecast'!$B$2:$AO$2,0))</f>
        <v>3.1557383060872861</v>
      </c>
      <c r="L520" s="16">
        <f>INDEX('Team forecast'!$B$2:$AO$26,MATCH('Master data'!$B520,'Team forecast'!$B$2:$B$26,0),MATCH('Master data'!L$1,'Team forecast'!$B$2:$AO$2,0))</f>
        <v>2.685366937656811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4.843918191603875E-2</v>
      </c>
      <c r="R520" s="2">
        <f>Players!BR521</f>
        <v>0</v>
      </c>
      <c r="S520" s="2">
        <f t="shared" si="301"/>
        <v>1.0683489057066333</v>
      </c>
      <c r="T520" s="2">
        <f t="shared" si="302"/>
        <v>1.0237318402178264</v>
      </c>
      <c r="U520" s="16">
        <f>INDEX('Team forecast'!$B$2:$AO$26,MATCH('Master data'!$B520,'Team forecast'!$B$2:$B$26,0),MATCH('Master data'!U$1,'Team forecast'!$B$2:$AO$2,0))</f>
        <v>0.35925176528884672</v>
      </c>
      <c r="V520" s="16">
        <f>INDEX('Team forecast'!$B$2:$AO$26,MATCH('Master data'!$B520,'Team forecast'!$B$2:$B$26,0),MATCH('Master data'!V$1,'Team forecast'!$B$2:$AO$2,0))</f>
        <v>0.31494404756988892</v>
      </c>
      <c r="W520" s="16">
        <f>INDEX('Team forecast'!$B$2:$AO$26,MATCH('Master data'!$B520,'Team forecast'!$B$2:$B$26,0),MATCH('Master data'!W$1,'Team forecast'!$B$2:$AO$2,0))</f>
        <v>0.32580418714126441</v>
      </c>
      <c r="X520" s="5">
        <f t="shared" si="303"/>
        <v>-5000</v>
      </c>
      <c r="Y520" s="5">
        <f t="shared" si="304"/>
        <v>0</v>
      </c>
      <c r="Z520" s="5">
        <f t="shared" si="305"/>
        <v>0</v>
      </c>
      <c r="AA520" s="5">
        <f t="shared" si="306"/>
        <v>0</v>
      </c>
      <c r="AB520" s="5">
        <f t="shared" si="307"/>
        <v>0</v>
      </c>
      <c r="AC520" s="5">
        <f t="shared" si="308"/>
        <v>0</v>
      </c>
      <c r="AD520" s="5">
        <f t="shared" si="309"/>
        <v>0</v>
      </c>
      <c r="AE520" s="5">
        <f t="shared" si="310"/>
        <v>26943.882396663503</v>
      </c>
      <c r="AF520" s="5">
        <f t="shared" si="311"/>
        <v>8308.1754871949233</v>
      </c>
      <c r="AG520" s="5">
        <f t="shared" si="312"/>
        <v>0</v>
      </c>
      <c r="AH520" s="5">
        <f t="shared" si="313"/>
        <v>0</v>
      </c>
      <c r="AI520" s="5">
        <f t="shared" si="314"/>
        <v>0</v>
      </c>
      <c r="AJ520" s="5">
        <f t="shared" si="315"/>
        <v>0</v>
      </c>
      <c r="AK520" s="5">
        <f>IFERROR(SUM(X520:AJ520),-5000)*((Cockpit!$C$3)^0)</f>
        <v>30252.057883858426</v>
      </c>
      <c r="AL520" s="16">
        <f>INDEX('Team forecast'!$B$2:$AO$26,MATCH('Master data'!$B520,'Team forecast'!$B$2:$B$26,0),MATCH('Master data'!AL$1,'Team forecast'!$B$2:$AO$2,0))</f>
        <v>0.97920455728472433</v>
      </c>
      <c r="AM520" s="16">
        <f>INDEX('Team forecast'!$B$2:$AO$26,MATCH('Master data'!$B520,'Team forecast'!$B$2:$B$26,0),MATCH('Master data'!AM$1,'Team forecast'!$B$2:$AO$2,0))</f>
        <v>1.3846696653928885</v>
      </c>
      <c r="AN520" s="16">
        <f>INDEX('Team forecast'!$B$2:$AO$26,MATCH('Master data'!$B520,'Team forecast'!$B$2:$B$26,0),MATCH('Master data'!AN$1,'Team forecast'!$B$2:$AO$2,0))</f>
        <v>0.25040650406504072</v>
      </c>
      <c r="AO520" s="16">
        <f>INDEX('Team forecast'!$B$2:$AO$26,MATCH('Master data'!$B520,'Team forecast'!$B$2:$B$26,0),MATCH('Master data'!AO$1,'Team forecast'!$B$2:$AO$2,0))</f>
        <v>2.8924196153641089</v>
      </c>
      <c r="AP520" s="16">
        <f>INDEX('Team forecast'!$B$2:$AO$26,MATCH('Master data'!$B520,'Team forecast'!$B$2:$B$26,0),MATCH('Master data'!AP$1,'Team forecast'!$B$2:$AO$2,0))</f>
        <v>3.6321485695230544</v>
      </c>
      <c r="AQ520" s="5">
        <f t="shared" si="316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317"/>
        <v>0</v>
      </c>
      <c r="AV520" s="5">
        <f t="shared" si="318"/>
        <v>0</v>
      </c>
      <c r="AW520" s="5">
        <f t="shared" si="319"/>
        <v>0</v>
      </c>
      <c r="AX520" s="5">
        <f t="shared" si="320"/>
        <v>18780.487804878056</v>
      </c>
      <c r="AY520" s="5">
        <f t="shared" si="321"/>
        <v>11237.394520650829</v>
      </c>
      <c r="AZ520" s="5">
        <f t="shared" si="322"/>
        <v>0</v>
      </c>
      <c r="BA520" s="5">
        <f t="shared" si="323"/>
        <v>0</v>
      </c>
      <c r="BB520" s="5">
        <f t="shared" si="324"/>
        <v>0</v>
      </c>
      <c r="BC520" s="5">
        <f t="shared" si="325"/>
        <v>0</v>
      </c>
      <c r="BD520" s="5">
        <f t="shared" si="326"/>
        <v>25017.882325528884</v>
      </c>
      <c r="BE520" s="16">
        <f>INDEX('Team forecast'!$B$2:$AO$26,MATCH('Master data'!$B520,'Team forecast'!$B$2:$B$26,0),MATCH('Master data'!BE$1,'Team forecast'!$B$2:$AO$2,0))</f>
        <v>0.82586154259115363</v>
      </c>
      <c r="BF520" s="16">
        <f>INDEX('Team forecast'!$B$2:$AO$26,MATCH('Master data'!$B520,'Team forecast'!$B$2:$B$26,0),MATCH('Master data'!BF$1,'Team forecast'!$B$2:$AO$2,0))</f>
        <v>2.2346287595631029</v>
      </c>
      <c r="BG520" s="16">
        <f>INDEX('Team forecast'!$B$2:$AO$26,MATCH('Master data'!$B520,'Team forecast'!$B$2:$B$26,0),MATCH('Master data'!BG$1,'Team forecast'!$B$2:$AO$2,0))</f>
        <v>0.107031857031857</v>
      </c>
      <c r="BH520" s="16">
        <f>INDEX('Team forecast'!$B$2:$AO$26,MATCH('Master data'!$B520,'Team forecast'!$B$2:$B$26,0),MATCH('Master data'!BH$1,'Team forecast'!$B$2:$AO$2,0))</f>
        <v>2.4394679411923308</v>
      </c>
      <c r="BI520" s="16">
        <f>INDEX('Team forecast'!$B$2:$AO$26,MATCH('Master data'!$B520,'Team forecast'!$B$2:$B$26,0),MATCH('Master data'!BI$1,'Team forecast'!$B$2:$AO$2,0))</f>
        <v>5.8616895100097475</v>
      </c>
      <c r="BJ520" s="5">
        <f t="shared" si="327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328"/>
        <v>0</v>
      </c>
      <c r="BO520" s="5">
        <f t="shared" si="329"/>
        <v>0</v>
      </c>
      <c r="BP520" s="5">
        <f t="shared" si="330"/>
        <v>0</v>
      </c>
      <c r="BQ520" s="5">
        <f t="shared" si="331"/>
        <v>8027.3892773892749</v>
      </c>
      <c r="BR520" s="5">
        <f t="shared" si="332"/>
        <v>18135.303752233223</v>
      </c>
      <c r="BS520" s="5">
        <f t="shared" si="333"/>
        <v>0</v>
      </c>
      <c r="BT520" s="5">
        <f t="shared" si="334"/>
        <v>0</v>
      </c>
      <c r="BU520" s="5">
        <f t="shared" si="335"/>
        <v>0</v>
      </c>
      <c r="BV520" s="5">
        <f t="shared" si="336"/>
        <v>0</v>
      </c>
      <c r="BW520" s="5">
        <f t="shared" si="337"/>
        <v>21162.693029622496</v>
      </c>
      <c r="BX520" s="5">
        <f t="shared" si="338"/>
        <v>25477.544413003267</v>
      </c>
      <c r="BY520" s="5">
        <f t="shared" si="339"/>
        <v>76432.633239009796</v>
      </c>
      <c r="BZ520" s="5">
        <f>INDEX('Team forecast'!$R$3:$BH$26,MATCH($B520,'Team forecast'!$B$3:$B$26,0),MATCH(BZ$1,'Team forecast'!$R$2:$BH$2,0))*($BX520-(BY520+CH520)*0.01)</f>
        <v>-2683.3549866615067</v>
      </c>
      <c r="CA520" s="5">
        <f>INDEX('Team forecast'!$R$3:$BH$26,MATCH($B520,'Team forecast'!$B$3:$B$26,0),MATCH(CA$1,'Team forecast'!$R$2:$BH$2,0))*($BX520-(BY520+BX520+CH520)*0.01)</f>
        <v>-1382.6783959952309</v>
      </c>
      <c r="CB520" s="5">
        <f>INDEX('Team forecast'!$R$3:$BH$26,MATCH($B520,'Team forecast'!$B$3:$B$26,0),MATCH(CB$1,'Team forecast'!$R$2:$BH$2,0))*($BX520-(BY520+BX520*2+CH520)*0.01)</f>
        <v>-699.83580758899916</v>
      </c>
      <c r="CC520" s="5">
        <f>INDEX('Team forecast'!$R$3:$BH$26,MATCH($B520,'Team forecast'!$B$3:$B$26,0),MATCH(CC$1,'Team forecast'!$R$2:$BH$2,0))*($BX520-(BY520+BX520*3+CH520)*0.01)</f>
        <v>-333.94921197401442</v>
      </c>
      <c r="CD520" s="5">
        <f>+AK520+BD520*Cockpit!$C$3+BW520*Cockpit!$C$3^2+BZ520*Cockpit!$C$3^3+CA520*Cockpit!$C$3^4+CB520*Cockpit!$C$3^5+CC520*Cockpit!$C$3^6</f>
        <v>55146.620296159716</v>
      </c>
      <c r="CE520" s="5"/>
      <c r="CF520" s="5"/>
      <c r="CG520" s="5">
        <v>0</v>
      </c>
      <c r="CH520" s="5">
        <f t="shared" si="340"/>
        <v>3000000</v>
      </c>
      <c r="CI520" s="5">
        <f t="shared" si="341"/>
        <v>3000000</v>
      </c>
      <c r="CJ520" s="1">
        <f t="shared" si="342"/>
        <v>2.5477544413003265E-2</v>
      </c>
      <c r="CK520" s="5">
        <f>RANK(BY520,$BY$2:$BY$623)+COUNTIF($BY$2:$BY520,$BY520)-1</f>
        <v>226</v>
      </c>
      <c r="CL520" s="5">
        <f>RANK(CJ520,$CJ$2:$CJ$623)+COUNTIF($CJ$2:$CJ520,$CJ520)-1</f>
        <v>200</v>
      </c>
    </row>
    <row r="521" spans="1:90">
      <c r="A521" t="str">
        <f>Players!P522</f>
        <v>Jiri Pavlenka</v>
      </c>
      <c r="B521" t="str">
        <f>Players!G522</f>
        <v>Czech Republic</v>
      </c>
      <c r="C521" t="str">
        <f>Players!AB522</f>
        <v>Goalkeeper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3500000</v>
      </c>
      <c r="H521" s="16">
        <f>INDEX('Team forecast'!$B$2:$AO$26,MATCH('Master data'!$B521,'Team forecast'!$B$2:$B$26,0),MATCH('Master data'!H$1,'Team forecast'!$B$2:$AO$2,0))</f>
        <v>1.0683489057066333</v>
      </c>
      <c r="I521" s="16">
        <f>INDEX('Team forecast'!$B$2:$AO$26,MATCH('Master data'!$B521,'Team forecast'!$B$2:$B$26,0),MATCH('Master data'!I$1,'Team forecast'!$B$2:$AO$2,0))</f>
        <v>1.0237318402178264</v>
      </c>
      <c r="J521" s="16">
        <f>INDEX('Team forecast'!$B$2:$AO$26,MATCH('Master data'!$B521,'Team forecast'!$B$2:$B$26,0),MATCH('Master data'!J$1,'Team forecast'!$B$2:$AO$2,0))</f>
        <v>0.35925176528884672</v>
      </c>
      <c r="K521" s="16">
        <f>INDEX('Team forecast'!$B$2:$AO$26,MATCH('Master data'!$B521,'Team forecast'!$B$2:$B$26,0),MATCH('Master data'!K$1,'Team forecast'!$B$2:$AO$2,0))</f>
        <v>3.1557383060872861</v>
      </c>
      <c r="L521" s="16">
        <f>INDEX('Team forecast'!$B$2:$AO$26,MATCH('Master data'!$B521,'Team forecast'!$B$2:$B$26,0),MATCH('Master data'!L$1,'Team forecast'!$B$2:$AO$2,0))</f>
        <v>2.685366937656811</v>
      </c>
      <c r="M521">
        <f>IF(Players!BC522=1,95,0)</f>
        <v>95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2.9411764705882353E-2</v>
      </c>
      <c r="R521" s="2">
        <f>Players!BR522</f>
        <v>0</v>
      </c>
      <c r="S521" s="2">
        <f t="shared" si="301"/>
        <v>1.0683489057066333</v>
      </c>
      <c r="T521" s="2">
        <f t="shared" si="302"/>
        <v>1.0237318402178264</v>
      </c>
      <c r="U521" s="16">
        <f>INDEX('Team forecast'!$B$2:$AO$26,MATCH('Master data'!$B521,'Team forecast'!$B$2:$B$26,0),MATCH('Master data'!U$1,'Team forecast'!$B$2:$AO$2,0))</f>
        <v>0.35925176528884672</v>
      </c>
      <c r="V521" s="16">
        <f>INDEX('Team forecast'!$B$2:$AO$26,MATCH('Master data'!$B521,'Team forecast'!$B$2:$B$26,0),MATCH('Master data'!V$1,'Team forecast'!$B$2:$AO$2,0))</f>
        <v>0.31494404756988892</v>
      </c>
      <c r="W521" s="16">
        <f>INDEX('Team forecast'!$B$2:$AO$26,MATCH('Master data'!$B521,'Team forecast'!$B$2:$B$26,0),MATCH('Master data'!W$1,'Team forecast'!$B$2:$AO$2,0))</f>
        <v>0.32580418714126441</v>
      </c>
      <c r="X521" s="5">
        <f t="shared" si="303"/>
        <v>7000</v>
      </c>
      <c r="Y521" s="5">
        <f t="shared" si="304"/>
        <v>8981.2941322211682</v>
      </c>
      <c r="Z521" s="5">
        <f t="shared" si="305"/>
        <v>1574.7202378494446</v>
      </c>
      <c r="AA521" s="5">
        <f t="shared" si="306"/>
        <v>-4887.0628071189658</v>
      </c>
      <c r="AB521" s="5">
        <f t="shared" si="307"/>
        <v>0</v>
      </c>
      <c r="AC521" s="5">
        <f t="shared" si="308"/>
        <v>0</v>
      </c>
      <c r="AD521" s="5">
        <f t="shared" si="309"/>
        <v>0</v>
      </c>
      <c r="AE521" s="5">
        <f t="shared" si="310"/>
        <v>26943.882396663503</v>
      </c>
      <c r="AF521" s="5">
        <f t="shared" si="311"/>
        <v>8308.1754871949233</v>
      </c>
      <c r="AG521" s="5">
        <f t="shared" si="312"/>
        <v>-588.23529411764707</v>
      </c>
      <c r="AH521" s="5">
        <f t="shared" si="313"/>
        <v>0</v>
      </c>
      <c r="AI521" s="5">
        <f t="shared" si="314"/>
        <v>10683.489057066334</v>
      </c>
      <c r="AJ521" s="5">
        <f t="shared" si="315"/>
        <v>-8189.8547217426112</v>
      </c>
      <c r="AK521" s="5">
        <f>IFERROR(SUM(X521:AJ521),-5000)*((Cockpit!$C$3)^0)</f>
        <v>49826.408488016146</v>
      </c>
      <c r="AL521" s="16">
        <f>INDEX('Team forecast'!$B$2:$AO$26,MATCH('Master data'!$B521,'Team forecast'!$B$2:$B$26,0),MATCH('Master data'!AL$1,'Team forecast'!$B$2:$AO$2,0))</f>
        <v>0.97920455728472433</v>
      </c>
      <c r="AM521" s="16">
        <f>INDEX('Team forecast'!$B$2:$AO$26,MATCH('Master data'!$B521,'Team forecast'!$B$2:$B$26,0),MATCH('Master data'!AM$1,'Team forecast'!$B$2:$AO$2,0))</f>
        <v>1.3846696653928885</v>
      </c>
      <c r="AN521" s="16">
        <f>INDEX('Team forecast'!$B$2:$AO$26,MATCH('Master data'!$B521,'Team forecast'!$B$2:$B$26,0),MATCH('Master data'!AN$1,'Team forecast'!$B$2:$AO$2,0))</f>
        <v>0.25040650406504072</v>
      </c>
      <c r="AO521" s="16">
        <f>INDEX('Team forecast'!$B$2:$AO$26,MATCH('Master data'!$B521,'Team forecast'!$B$2:$B$26,0),MATCH('Master data'!AO$1,'Team forecast'!$B$2:$AO$2,0))</f>
        <v>2.8924196153641089</v>
      </c>
      <c r="AP521" s="16">
        <f>INDEX('Team forecast'!$B$2:$AO$26,MATCH('Master data'!$B521,'Team forecast'!$B$2:$B$26,0),MATCH('Master data'!AP$1,'Team forecast'!$B$2:$AO$2,0))</f>
        <v>3.6321485695230544</v>
      </c>
      <c r="AQ521" s="5">
        <f t="shared" si="316"/>
        <v>7000</v>
      </c>
      <c r="AR521" s="5">
        <f>INDEX('Team forecast'!$B$2:$AO$26,MATCH('Master data'!$B521,'Team forecast'!$B$2:$B$26,0),MATCH('Master data'!AR$1,'Team forecast'!$B$2:$AO$2,0))*IF(X521&gt;0,25000,0)</f>
        <v>6707.3170731707323</v>
      </c>
      <c r="AS521" s="16">
        <f>INDEX('Team forecast'!$B$2:$AO$26,MATCH('Master data'!$B521,'Team forecast'!$B$2:$B$26,0),MATCH('Master data'!AS$1,'Team forecast'!$B$2:$AO$2,0))*IF(X521&gt;0,5000,0)</f>
        <v>1422.7642276422764</v>
      </c>
      <c r="AT521" s="16">
        <f>INDEX('Team forecast'!$B$2:$AO$26,MATCH('Master data'!$B521,'Team forecast'!$B$2:$B$26,0),MATCH('Master data'!AT$1,'Team forecast'!$B$2:$AO$2,0))*IF(X521&gt;0,-15000,0)</f>
        <v>-6707.3170731707305</v>
      </c>
      <c r="AU521" s="5">
        <f t="shared" si="317"/>
        <v>0</v>
      </c>
      <c r="AV521" s="5">
        <f t="shared" si="318"/>
        <v>0</v>
      </c>
      <c r="AW521" s="5">
        <f t="shared" si="319"/>
        <v>0</v>
      </c>
      <c r="AX521" s="5">
        <f t="shared" si="320"/>
        <v>18780.487804878056</v>
      </c>
      <c r="AY521" s="5">
        <f t="shared" si="321"/>
        <v>11237.394520650829</v>
      </c>
      <c r="AZ521" s="5">
        <f t="shared" si="322"/>
        <v>-588.23529411764707</v>
      </c>
      <c r="BA521" s="5">
        <f t="shared" si="323"/>
        <v>0</v>
      </c>
      <c r="BB521" s="5">
        <f t="shared" si="324"/>
        <v>9792.0455728472425</v>
      </c>
      <c r="BC521" s="5">
        <f t="shared" si="325"/>
        <v>-11077.357323143107</v>
      </c>
      <c r="BD521" s="5">
        <f t="shared" si="326"/>
        <v>36567.099508757645</v>
      </c>
      <c r="BE521" s="16">
        <f>INDEX('Team forecast'!$B$2:$AO$26,MATCH('Master data'!$B521,'Team forecast'!$B$2:$B$26,0),MATCH('Master data'!BE$1,'Team forecast'!$B$2:$AO$2,0))</f>
        <v>0.82586154259115363</v>
      </c>
      <c r="BF521" s="16">
        <f>INDEX('Team forecast'!$B$2:$AO$26,MATCH('Master data'!$B521,'Team forecast'!$B$2:$B$26,0),MATCH('Master data'!BF$1,'Team forecast'!$B$2:$AO$2,0))</f>
        <v>2.2346287595631029</v>
      </c>
      <c r="BG521" s="16">
        <f>INDEX('Team forecast'!$B$2:$AO$26,MATCH('Master data'!$B521,'Team forecast'!$B$2:$B$26,0),MATCH('Master data'!BG$1,'Team forecast'!$B$2:$AO$2,0))</f>
        <v>0.107031857031857</v>
      </c>
      <c r="BH521" s="16">
        <f>INDEX('Team forecast'!$B$2:$AO$26,MATCH('Master data'!$B521,'Team forecast'!$B$2:$B$26,0),MATCH('Master data'!BH$1,'Team forecast'!$B$2:$AO$2,0))</f>
        <v>2.4394679411923308</v>
      </c>
      <c r="BI521" s="16">
        <f>INDEX('Team forecast'!$B$2:$AO$26,MATCH('Master data'!$B521,'Team forecast'!$B$2:$B$26,0),MATCH('Master data'!BI$1,'Team forecast'!$B$2:$AO$2,0))</f>
        <v>5.8616895100097475</v>
      </c>
      <c r="BJ521" s="5">
        <f t="shared" si="327"/>
        <v>7000</v>
      </c>
      <c r="BK521" s="5">
        <f>INDEX('Team forecast'!$R$3:$BH$26,MATCH($B521,'Team forecast'!$B$3:$B$26,0),MATCH(BK$1,'Team forecast'!$R$2:$BH$2,0))*IF($X521&gt;0,25000,0)</f>
        <v>3321.6783216783224</v>
      </c>
      <c r="BL521" s="5">
        <f>INDEX('Team forecast'!$R$3:$BH$26,MATCH($B521,'Team forecast'!$B$3:$B$26,0),MATCH(BL$1,'Team forecast'!$R$2:$BH$2,0))*IF($X521&gt;0,5000,0)</f>
        <v>1013.9860139860141</v>
      </c>
      <c r="BM521" s="5">
        <f>INDEX('Team forecast'!$R$3:$BH$26,MATCH($B521,'Team forecast'!$B$3:$B$26,0),MATCH(BM$1,'Team forecast'!$R$2:$BH$2,0))*IF($X521&gt;0,-15000,0)</f>
        <v>-9965.0349650349635</v>
      </c>
      <c r="BN521" s="5">
        <f t="shared" si="328"/>
        <v>0</v>
      </c>
      <c r="BO521" s="5">
        <f t="shared" si="329"/>
        <v>0</v>
      </c>
      <c r="BP521" s="5">
        <f t="shared" si="330"/>
        <v>0</v>
      </c>
      <c r="BQ521" s="5">
        <f t="shared" si="331"/>
        <v>8027.3892773892749</v>
      </c>
      <c r="BR521" s="5">
        <f t="shared" si="332"/>
        <v>18135.303752233223</v>
      </c>
      <c r="BS521" s="5">
        <f t="shared" si="333"/>
        <v>-588.23529411764707</v>
      </c>
      <c r="BT521" s="5">
        <f t="shared" si="334"/>
        <v>0</v>
      </c>
      <c r="BU521" s="5">
        <f t="shared" si="335"/>
        <v>8258.6154259115356</v>
      </c>
      <c r="BV521" s="5">
        <f t="shared" si="336"/>
        <v>-17877.030076504823</v>
      </c>
      <c r="BW521" s="5">
        <f t="shared" si="337"/>
        <v>17326.672455540938</v>
      </c>
      <c r="BX521" s="5">
        <f t="shared" si="338"/>
        <v>34573.393484104912</v>
      </c>
      <c r="BY521" s="5">
        <f t="shared" si="339"/>
        <v>103720.18045231473</v>
      </c>
      <c r="BZ521" s="5">
        <f>INDEX('Team forecast'!$R$3:$BH$26,MATCH($B521,'Team forecast'!$B$3:$B$26,0),MATCH(BZ$1,'Team forecast'!$R$2:$BH$2,0))*($BX521-(BY521+CH521)*0.01)</f>
        <v>-742.96943131076489</v>
      </c>
      <c r="CA521" s="5">
        <f>INDEX('Team forecast'!$R$3:$BH$26,MATCH($B521,'Team forecast'!$B$3:$B$26,0),MATCH(CA$1,'Team forecast'!$R$2:$BH$2,0))*($BX521-(BY521+BX521+CH521)*0.01)</f>
        <v>-451.50033083833972</v>
      </c>
      <c r="CB521" s="5">
        <f>INDEX('Team forecast'!$R$3:$BH$26,MATCH($B521,'Team forecast'!$B$3:$B$26,0),MATCH(CB$1,'Team forecast'!$R$2:$BH$2,0))*($BX521-(BY521+BX521*2+CH521)*0.01)</f>
        <v>-260.2230588082017</v>
      </c>
      <c r="CC521" s="5">
        <f>INDEX('Team forecast'!$R$3:$BH$26,MATCH($B521,'Team forecast'!$B$3:$B$26,0),MATCH(CC$1,'Team forecast'!$R$2:$BH$2,0))*($BX521-(BY521+BX521*3+CH521)*0.01)</f>
        <v>-138.02601533660288</v>
      </c>
      <c r="CD521" s="5">
        <f>+AK521+BD521*Cockpit!$C$3+BW521*Cockpit!$C$3^2+BZ521*Cockpit!$C$3^3+CA521*Cockpit!$C$3^4+CB521*Cockpit!$C$3^5+CC521*Cockpit!$C$3^6</f>
        <v>81549.508232077191</v>
      </c>
      <c r="CE521" s="5"/>
      <c r="CF521" s="5"/>
      <c r="CG521" s="5">
        <v>0</v>
      </c>
      <c r="CH521" s="5">
        <f t="shared" si="340"/>
        <v>3500000</v>
      </c>
      <c r="CI521" s="5">
        <f t="shared" si="341"/>
        <v>3500000</v>
      </c>
      <c r="CJ521" s="1">
        <f t="shared" si="342"/>
        <v>2.9634337272089924E-2</v>
      </c>
      <c r="CK521" s="5">
        <f>RANK(BY521,$BY$2:$BY$623)+COUNTIF($BY$2:$BY521,$BY521)-1</f>
        <v>161</v>
      </c>
      <c r="CL521" s="5">
        <f>RANK(CJ521,$CJ$2:$CJ$623)+COUNTIF($CJ$2:$CJ521,$CJ521)-1</f>
        <v>148</v>
      </c>
    </row>
    <row r="522" spans="1:90">
      <c r="A522" t="str">
        <f>Players!P523</f>
        <v>Jakub Brabec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1.0683489057066333</v>
      </c>
      <c r="I522" s="16">
        <f>INDEX('Team forecast'!$B$2:$AO$26,MATCH('Master data'!$B522,'Team forecast'!$B$2:$B$26,0),MATCH('Master data'!I$1,'Team forecast'!$B$2:$AO$2,0))</f>
        <v>1.0237318402178264</v>
      </c>
      <c r="J522" s="16">
        <f>INDEX('Team forecast'!$B$2:$AO$26,MATCH('Master data'!$B522,'Team forecast'!$B$2:$B$26,0),MATCH('Master data'!J$1,'Team forecast'!$B$2:$AO$2,0))</f>
        <v>0.35925176528884672</v>
      </c>
      <c r="K522" s="16">
        <f>INDEX('Team forecast'!$B$2:$AO$26,MATCH('Master data'!$B522,'Team forecast'!$B$2:$B$26,0),MATCH('Master data'!K$1,'Team forecast'!$B$2:$AO$2,0))</f>
        <v>3.1557383060872861</v>
      </c>
      <c r="L522" s="16">
        <f>INDEX('Team forecast'!$B$2:$AO$26,MATCH('Master data'!$B522,'Team forecast'!$B$2:$B$26,0),MATCH('Master data'!L$1,'Team forecast'!$B$2:$AO$2,0))</f>
        <v>2.685366937656811</v>
      </c>
      <c r="M522">
        <f>IF(Players!BC523=1,95,0)</f>
        <v>0</v>
      </c>
      <c r="N522" s="2">
        <f>Players!BN523</f>
        <v>0</v>
      </c>
      <c r="O522" s="2">
        <f>Players!BO523</f>
        <v>0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301"/>
        <v>1.0683489057066333</v>
      </c>
      <c r="T522" s="2">
        <f t="shared" si="302"/>
        <v>1.0237318402178264</v>
      </c>
      <c r="U522" s="16">
        <f>INDEX('Team forecast'!$B$2:$AO$26,MATCH('Master data'!$B522,'Team forecast'!$B$2:$B$26,0),MATCH('Master data'!U$1,'Team forecast'!$B$2:$AO$2,0))</f>
        <v>0.35925176528884672</v>
      </c>
      <c r="V522" s="16">
        <f>INDEX('Team forecast'!$B$2:$AO$26,MATCH('Master data'!$B522,'Team forecast'!$B$2:$B$26,0),MATCH('Master data'!V$1,'Team forecast'!$B$2:$AO$2,0))</f>
        <v>0.31494404756988892</v>
      </c>
      <c r="W522" s="16">
        <f>INDEX('Team forecast'!$B$2:$AO$26,MATCH('Master data'!$B522,'Team forecast'!$B$2:$B$26,0),MATCH('Master data'!W$1,'Team forecast'!$B$2:$AO$2,0))</f>
        <v>0.32580418714126441</v>
      </c>
      <c r="X522" s="5">
        <f t="shared" si="303"/>
        <v>-5000</v>
      </c>
      <c r="Y522" s="5">
        <f t="shared" si="304"/>
        <v>0</v>
      </c>
      <c r="Z522" s="5">
        <f t="shared" si="305"/>
        <v>0</v>
      </c>
      <c r="AA522" s="5">
        <f t="shared" si="306"/>
        <v>0</v>
      </c>
      <c r="AB522" s="5">
        <f t="shared" si="307"/>
        <v>0</v>
      </c>
      <c r="AC522" s="5">
        <f t="shared" si="308"/>
        <v>0</v>
      </c>
      <c r="AD522" s="5">
        <f t="shared" si="309"/>
        <v>0</v>
      </c>
      <c r="AE522" s="5">
        <f t="shared" si="310"/>
        <v>17962.588264442336</v>
      </c>
      <c r="AF522" s="5">
        <f t="shared" si="311"/>
        <v>0</v>
      </c>
      <c r="AG522" s="5">
        <f t="shared" si="312"/>
        <v>0</v>
      </c>
      <c r="AH522" s="5">
        <f t="shared" si="313"/>
        <v>0</v>
      </c>
      <c r="AI522" s="5">
        <f t="shared" si="314"/>
        <v>0</v>
      </c>
      <c r="AJ522" s="5">
        <f t="shared" si="315"/>
        <v>0</v>
      </c>
      <c r="AK522" s="5">
        <f>IFERROR(SUM(X522:AJ522),-5000)*((Cockpit!$C$3)^0)</f>
        <v>12962.588264442336</v>
      </c>
      <c r="AL522" s="16">
        <f>INDEX('Team forecast'!$B$2:$AO$26,MATCH('Master data'!$B522,'Team forecast'!$B$2:$B$26,0),MATCH('Master data'!AL$1,'Team forecast'!$B$2:$AO$2,0))</f>
        <v>0.97920455728472433</v>
      </c>
      <c r="AM522" s="16">
        <f>INDEX('Team forecast'!$B$2:$AO$26,MATCH('Master data'!$B522,'Team forecast'!$B$2:$B$26,0),MATCH('Master data'!AM$1,'Team forecast'!$B$2:$AO$2,0))</f>
        <v>1.3846696653928885</v>
      </c>
      <c r="AN522" s="16">
        <f>INDEX('Team forecast'!$B$2:$AO$26,MATCH('Master data'!$B522,'Team forecast'!$B$2:$B$26,0),MATCH('Master data'!AN$1,'Team forecast'!$B$2:$AO$2,0))</f>
        <v>0.25040650406504072</v>
      </c>
      <c r="AO522" s="16">
        <f>INDEX('Team forecast'!$B$2:$AO$26,MATCH('Master data'!$B522,'Team forecast'!$B$2:$B$26,0),MATCH('Master data'!AO$1,'Team forecast'!$B$2:$AO$2,0))</f>
        <v>2.8924196153641089</v>
      </c>
      <c r="AP522" s="16">
        <f>INDEX('Team forecast'!$B$2:$AO$26,MATCH('Master data'!$B522,'Team forecast'!$B$2:$B$26,0),MATCH('Master data'!AP$1,'Team forecast'!$B$2:$AO$2,0))</f>
        <v>3.6321485695230544</v>
      </c>
      <c r="AQ522" s="5">
        <f t="shared" si="316"/>
        <v>-5000</v>
      </c>
      <c r="AR522" s="5">
        <f>INDEX('Team forecast'!$B$2:$AO$26,MATCH('Master data'!$B522,'Team forecast'!$B$2:$B$26,0),MATCH('Master data'!AR$1,'Team forecast'!$B$2:$AO$2,0))*IF(X522&gt;0,25000,0)</f>
        <v>0</v>
      </c>
      <c r="AS522" s="16">
        <f>INDEX('Team forecast'!$B$2:$AO$26,MATCH('Master data'!$B522,'Team forecast'!$B$2:$B$26,0),MATCH('Master data'!AS$1,'Team forecast'!$B$2:$AO$2,0))*IF(X522&gt;0,5000,0)</f>
        <v>0</v>
      </c>
      <c r="AT522" s="16">
        <f>INDEX('Team forecast'!$B$2:$AO$26,MATCH('Master data'!$B522,'Team forecast'!$B$2:$B$26,0),MATCH('Master data'!AT$1,'Team forecast'!$B$2:$AO$2,0))*IF(X522&gt;0,-15000,0)</f>
        <v>0</v>
      </c>
      <c r="AU522" s="5">
        <f t="shared" si="317"/>
        <v>0</v>
      </c>
      <c r="AV522" s="5">
        <f t="shared" si="318"/>
        <v>0</v>
      </c>
      <c r="AW522" s="5">
        <f t="shared" si="319"/>
        <v>0</v>
      </c>
      <c r="AX522" s="5">
        <f t="shared" si="320"/>
        <v>12520.325203252036</v>
      </c>
      <c r="AY522" s="5">
        <f t="shared" si="321"/>
        <v>0</v>
      </c>
      <c r="AZ522" s="5">
        <f t="shared" si="322"/>
        <v>0</v>
      </c>
      <c r="BA522" s="5">
        <f t="shared" si="323"/>
        <v>0</v>
      </c>
      <c r="BB522" s="5">
        <f t="shared" si="324"/>
        <v>0</v>
      </c>
      <c r="BC522" s="5">
        <f t="shared" si="325"/>
        <v>0</v>
      </c>
      <c r="BD522" s="5">
        <f t="shared" si="326"/>
        <v>7520.3252032520359</v>
      </c>
      <c r="BE522" s="16">
        <f>INDEX('Team forecast'!$B$2:$AO$26,MATCH('Master data'!$B522,'Team forecast'!$B$2:$B$26,0),MATCH('Master data'!BE$1,'Team forecast'!$B$2:$AO$2,0))</f>
        <v>0.82586154259115363</v>
      </c>
      <c r="BF522" s="16">
        <f>INDEX('Team forecast'!$B$2:$AO$26,MATCH('Master data'!$B522,'Team forecast'!$B$2:$B$26,0),MATCH('Master data'!BF$1,'Team forecast'!$B$2:$AO$2,0))</f>
        <v>2.2346287595631029</v>
      </c>
      <c r="BG522" s="16">
        <f>INDEX('Team forecast'!$B$2:$AO$26,MATCH('Master data'!$B522,'Team forecast'!$B$2:$B$26,0),MATCH('Master data'!BG$1,'Team forecast'!$B$2:$AO$2,0))</f>
        <v>0.107031857031857</v>
      </c>
      <c r="BH522" s="16">
        <f>INDEX('Team forecast'!$B$2:$AO$26,MATCH('Master data'!$B522,'Team forecast'!$B$2:$B$26,0),MATCH('Master data'!BH$1,'Team forecast'!$B$2:$AO$2,0))</f>
        <v>2.4394679411923308</v>
      </c>
      <c r="BI522" s="16">
        <f>INDEX('Team forecast'!$B$2:$AO$26,MATCH('Master data'!$B522,'Team forecast'!$B$2:$B$26,0),MATCH('Master data'!BI$1,'Team forecast'!$B$2:$AO$2,0))</f>
        <v>5.8616895100097475</v>
      </c>
      <c r="BJ522" s="5">
        <f t="shared" si="327"/>
        <v>-5000</v>
      </c>
      <c r="BK522" s="5">
        <f>INDEX('Team forecast'!$R$3:$BH$26,MATCH($B522,'Team forecast'!$B$3:$B$26,0),MATCH(BK$1,'Team forecast'!$R$2:$BH$2,0))*IF($X522&gt;0,25000,0)</f>
        <v>0</v>
      </c>
      <c r="BL522" s="5">
        <f>INDEX('Team forecast'!$R$3:$BH$26,MATCH($B522,'Team forecast'!$B$3:$B$26,0),MATCH(BL$1,'Team forecast'!$R$2:$BH$2,0))*IF($X522&gt;0,5000,0)</f>
        <v>0</v>
      </c>
      <c r="BM522" s="5">
        <f>INDEX('Team forecast'!$R$3:$BH$26,MATCH($B522,'Team forecast'!$B$3:$B$26,0),MATCH(BM$1,'Team forecast'!$R$2:$BH$2,0))*IF($X522&gt;0,-15000,0)</f>
        <v>0</v>
      </c>
      <c r="BN522" s="5">
        <f t="shared" si="328"/>
        <v>0</v>
      </c>
      <c r="BO522" s="5">
        <f t="shared" si="329"/>
        <v>0</v>
      </c>
      <c r="BP522" s="5">
        <f t="shared" si="330"/>
        <v>0</v>
      </c>
      <c r="BQ522" s="5">
        <f t="shared" si="331"/>
        <v>5351.5928515928499</v>
      </c>
      <c r="BR522" s="5">
        <f t="shared" si="332"/>
        <v>0</v>
      </c>
      <c r="BS522" s="5">
        <f t="shared" si="333"/>
        <v>0</v>
      </c>
      <c r="BT522" s="5">
        <f t="shared" si="334"/>
        <v>0</v>
      </c>
      <c r="BU522" s="5">
        <f t="shared" si="335"/>
        <v>0</v>
      </c>
      <c r="BV522" s="5">
        <f t="shared" si="336"/>
        <v>0</v>
      </c>
      <c r="BW522" s="5">
        <f t="shared" si="337"/>
        <v>351.59285159284991</v>
      </c>
      <c r="BX522" s="5">
        <f t="shared" si="338"/>
        <v>6944.8354397624071</v>
      </c>
      <c r="BY522" s="5">
        <f t="shared" si="339"/>
        <v>20834.506319287222</v>
      </c>
      <c r="BZ522" s="5">
        <f>INDEX('Team forecast'!$R$3:$BH$26,MATCH($B522,'Team forecast'!$B$3:$B$26,0),MATCH(BZ$1,'Team forecast'!$R$2:$BH$2,0))*($BX522-(BY522+CH522)*0.01)</f>
        <v>-6732.0167979981416</v>
      </c>
      <c r="CA522" s="5">
        <f>INDEX('Team forecast'!$R$3:$BH$26,MATCH($B522,'Team forecast'!$B$3:$B$26,0),MATCH(CA$1,'Team forecast'!$R$2:$BH$2,0))*($BX522-(BY522+BX522+CH522)*0.01)</f>
        <v>-3326.7169752720097</v>
      </c>
      <c r="CB522" s="5">
        <f>INDEX('Team forecast'!$R$3:$BH$26,MATCH($B522,'Team forecast'!$B$3:$B$26,0),MATCH(CB$1,'Team forecast'!$R$2:$BH$2,0))*($BX522-(BY522+BX522*2+CH522)*0.01)</f>
        <v>-1618.1755206973414</v>
      </c>
      <c r="CC522" s="5">
        <f>INDEX('Team forecast'!$R$3:$BH$26,MATCH($B522,'Team forecast'!$B$3:$B$26,0),MATCH(CC$1,'Team forecast'!$R$2:$BH$2,0))*($BX522-(BY522+BX522*3+CH522)*0.01)</f>
        <v>-743.48616306858708</v>
      </c>
      <c r="CD522" s="5">
        <f>+AK522+BD522*Cockpit!$C$3+BW522*Cockpit!$C$3^2+BZ522*Cockpit!$C$3^3+CA522*Cockpit!$C$3^4+CB522*Cockpit!$C$3^5+CC522*Cockpit!$C$3^6</f>
        <v>15202.23613202323</v>
      </c>
      <c r="CE522" s="5"/>
      <c r="CF522" s="5"/>
      <c r="CG522" s="5">
        <v>0</v>
      </c>
      <c r="CH522" s="5">
        <f t="shared" si="340"/>
        <v>2000000</v>
      </c>
      <c r="CI522" s="5">
        <f t="shared" si="341"/>
        <v>2000000</v>
      </c>
      <c r="CJ522" s="1">
        <f t="shared" si="342"/>
        <v>1.041725315964361E-2</v>
      </c>
      <c r="CK522" s="5">
        <f>RANK(BY522,$BY$2:$BY$623)+COUNTIF($BY$2:$BY522,$BY522)-1</f>
        <v>377</v>
      </c>
      <c r="CL522" s="5">
        <f>RANK(CJ522,$CJ$2:$CJ$623)+COUNTIF($CJ$2:$CJ522,$CJ522)-1</f>
        <v>357</v>
      </c>
    </row>
    <row r="523" spans="1:90">
      <c r="A523" t="str">
        <f>Players!P524</f>
        <v>Tomas Kalas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2000000</v>
      </c>
      <c r="H523" s="16">
        <f>INDEX('Team forecast'!$B$2:$AO$26,MATCH('Master data'!$B523,'Team forecast'!$B$2:$B$26,0),MATCH('Master data'!H$1,'Team forecast'!$B$2:$AO$2,0))</f>
        <v>1.0683489057066333</v>
      </c>
      <c r="I523" s="16">
        <f>INDEX('Team forecast'!$B$2:$AO$26,MATCH('Master data'!$B523,'Team forecast'!$B$2:$B$26,0),MATCH('Master data'!I$1,'Team forecast'!$B$2:$AO$2,0))</f>
        <v>1.0237318402178264</v>
      </c>
      <c r="J523" s="16">
        <f>INDEX('Team forecast'!$B$2:$AO$26,MATCH('Master data'!$B523,'Team forecast'!$B$2:$B$26,0),MATCH('Master data'!J$1,'Team forecast'!$B$2:$AO$2,0))</f>
        <v>0.35925176528884672</v>
      </c>
      <c r="K523" s="16">
        <f>INDEX('Team forecast'!$B$2:$AO$26,MATCH('Master data'!$B523,'Team forecast'!$B$2:$B$26,0),MATCH('Master data'!K$1,'Team forecast'!$B$2:$AO$2,0))</f>
        <v>3.1557383060872861</v>
      </c>
      <c r="L523" s="16">
        <f>INDEX('Team forecast'!$B$2:$AO$26,MATCH('Master data'!$B523,'Team forecast'!$B$2:$B$26,0),MATCH('Master data'!L$1,'Team forecast'!$B$2:$AO$2,0))</f>
        <v>2.685366937656811</v>
      </c>
      <c r="M523">
        <f>IF(Players!BC524=1,95,0)</f>
        <v>95</v>
      </c>
      <c r="N523" s="2">
        <f>Players!BN524</f>
        <v>3.3730365695539506E-2</v>
      </c>
      <c r="O523" s="2">
        <f>Players!BO524</f>
        <v>3.7071680532908949E-2</v>
      </c>
      <c r="P523" s="2">
        <f>Players!BP524</f>
        <v>0</v>
      </c>
      <c r="Q523" s="2">
        <f>Players!BQ524</f>
        <v>0</v>
      </c>
      <c r="R523" s="2">
        <f>Players!BR524</f>
        <v>0</v>
      </c>
      <c r="S523" s="2">
        <f t="shared" si="301"/>
        <v>1.0683489057066333</v>
      </c>
      <c r="T523" s="2">
        <f t="shared" si="302"/>
        <v>1.0237318402178264</v>
      </c>
      <c r="U523" s="16">
        <f>INDEX('Team forecast'!$B$2:$AO$26,MATCH('Master data'!$B523,'Team forecast'!$B$2:$B$26,0),MATCH('Master data'!U$1,'Team forecast'!$B$2:$AO$2,0))</f>
        <v>0.35925176528884672</v>
      </c>
      <c r="V523" s="16">
        <f>INDEX('Team forecast'!$B$2:$AO$26,MATCH('Master data'!$B523,'Team forecast'!$B$2:$B$26,0),MATCH('Master data'!V$1,'Team forecast'!$B$2:$AO$2,0))</f>
        <v>0.31494404756988892</v>
      </c>
      <c r="W523" s="16">
        <f>INDEX('Team forecast'!$B$2:$AO$26,MATCH('Master data'!$B523,'Team forecast'!$B$2:$B$26,0),MATCH('Master data'!W$1,'Team forecast'!$B$2:$AO$2,0))</f>
        <v>0.32580418714126441</v>
      </c>
      <c r="X523" s="5">
        <f t="shared" si="303"/>
        <v>7000</v>
      </c>
      <c r="Y523" s="5">
        <f t="shared" si="304"/>
        <v>8981.2941322211682</v>
      </c>
      <c r="Z523" s="5">
        <f t="shared" si="305"/>
        <v>1574.7202378494446</v>
      </c>
      <c r="AA523" s="5">
        <f t="shared" si="306"/>
        <v>-4887.0628071189658</v>
      </c>
      <c r="AB523" s="5">
        <f t="shared" si="307"/>
        <v>5405.3698919871294</v>
      </c>
      <c r="AC523" s="5">
        <f t="shared" si="308"/>
        <v>1980.2744665019588</v>
      </c>
      <c r="AD523" s="5">
        <f t="shared" si="309"/>
        <v>0</v>
      </c>
      <c r="AE523" s="5">
        <f t="shared" si="310"/>
        <v>17962.588264442336</v>
      </c>
      <c r="AF523" s="5">
        <f t="shared" si="311"/>
        <v>0</v>
      </c>
      <c r="AG523" s="5">
        <f t="shared" si="312"/>
        <v>0</v>
      </c>
      <c r="AH523" s="5">
        <f t="shared" si="313"/>
        <v>0</v>
      </c>
      <c r="AI523" s="5">
        <f t="shared" si="314"/>
        <v>10683.489057066334</v>
      </c>
      <c r="AJ523" s="5">
        <f t="shared" si="315"/>
        <v>-8189.8547217426112</v>
      </c>
      <c r="AK523" s="5">
        <f>IFERROR(SUM(X523:AJ523),-5000)*((Cockpit!$C$3)^0)</f>
        <v>40510.818521206798</v>
      </c>
      <c r="AL523" s="16">
        <f>INDEX('Team forecast'!$B$2:$AO$26,MATCH('Master data'!$B523,'Team forecast'!$B$2:$B$26,0),MATCH('Master data'!AL$1,'Team forecast'!$B$2:$AO$2,0))</f>
        <v>0.97920455728472433</v>
      </c>
      <c r="AM523" s="16">
        <f>INDEX('Team forecast'!$B$2:$AO$26,MATCH('Master data'!$B523,'Team forecast'!$B$2:$B$26,0),MATCH('Master data'!AM$1,'Team forecast'!$B$2:$AO$2,0))</f>
        <v>1.3846696653928885</v>
      </c>
      <c r="AN523" s="16">
        <f>INDEX('Team forecast'!$B$2:$AO$26,MATCH('Master data'!$B523,'Team forecast'!$B$2:$B$26,0),MATCH('Master data'!AN$1,'Team forecast'!$B$2:$AO$2,0))</f>
        <v>0.25040650406504072</v>
      </c>
      <c r="AO523" s="16">
        <f>INDEX('Team forecast'!$B$2:$AO$26,MATCH('Master data'!$B523,'Team forecast'!$B$2:$B$26,0),MATCH('Master data'!AO$1,'Team forecast'!$B$2:$AO$2,0))</f>
        <v>2.8924196153641089</v>
      </c>
      <c r="AP523" s="16">
        <f>INDEX('Team forecast'!$B$2:$AO$26,MATCH('Master data'!$B523,'Team forecast'!$B$2:$B$26,0),MATCH('Master data'!AP$1,'Team forecast'!$B$2:$AO$2,0))</f>
        <v>3.6321485695230544</v>
      </c>
      <c r="AQ523" s="5">
        <f t="shared" si="316"/>
        <v>7000</v>
      </c>
      <c r="AR523" s="5">
        <f>INDEX('Team forecast'!$B$2:$AO$26,MATCH('Master data'!$B523,'Team forecast'!$B$2:$B$26,0),MATCH('Master data'!AR$1,'Team forecast'!$B$2:$AO$2,0))*IF(X523&gt;0,25000,0)</f>
        <v>6707.3170731707323</v>
      </c>
      <c r="AS523" s="16">
        <f>INDEX('Team forecast'!$B$2:$AO$26,MATCH('Master data'!$B523,'Team forecast'!$B$2:$B$26,0),MATCH('Master data'!AS$1,'Team forecast'!$B$2:$AO$2,0))*IF(X523&gt;0,5000,0)</f>
        <v>1422.7642276422764</v>
      </c>
      <c r="AT523" s="16">
        <f>INDEX('Team forecast'!$B$2:$AO$26,MATCH('Master data'!$B523,'Team forecast'!$B$2:$B$26,0),MATCH('Master data'!AT$1,'Team forecast'!$B$2:$AO$2,0))*IF(X523&gt;0,-15000,0)</f>
        <v>-6707.3170731707305</v>
      </c>
      <c r="AU523" s="5">
        <f t="shared" si="317"/>
        <v>4954.3391711928925</v>
      </c>
      <c r="AV523" s="5">
        <f t="shared" si="318"/>
        <v>1815.0379262013921</v>
      </c>
      <c r="AW523" s="5">
        <f t="shared" si="319"/>
        <v>0</v>
      </c>
      <c r="AX523" s="5">
        <f t="shared" si="320"/>
        <v>12520.325203252036</v>
      </c>
      <c r="AY523" s="5">
        <f t="shared" si="321"/>
        <v>0</v>
      </c>
      <c r="AZ523" s="5">
        <f t="shared" si="322"/>
        <v>0</v>
      </c>
      <c r="BA523" s="5">
        <f t="shared" si="323"/>
        <v>0</v>
      </c>
      <c r="BB523" s="5">
        <f t="shared" si="324"/>
        <v>9792.0455728472425</v>
      </c>
      <c r="BC523" s="5">
        <f t="shared" si="325"/>
        <v>-11077.357323143107</v>
      </c>
      <c r="BD523" s="5">
        <f t="shared" si="326"/>
        <v>26427.154777992735</v>
      </c>
      <c r="BE523" s="16">
        <f>INDEX('Team forecast'!$B$2:$AO$26,MATCH('Master data'!$B523,'Team forecast'!$B$2:$B$26,0),MATCH('Master data'!BE$1,'Team forecast'!$B$2:$AO$2,0))</f>
        <v>0.82586154259115363</v>
      </c>
      <c r="BF523" s="16">
        <f>INDEX('Team forecast'!$B$2:$AO$26,MATCH('Master data'!$B523,'Team forecast'!$B$2:$B$26,0),MATCH('Master data'!BF$1,'Team forecast'!$B$2:$AO$2,0))</f>
        <v>2.2346287595631029</v>
      </c>
      <c r="BG523" s="16">
        <f>INDEX('Team forecast'!$B$2:$AO$26,MATCH('Master data'!$B523,'Team forecast'!$B$2:$B$26,0),MATCH('Master data'!BG$1,'Team forecast'!$B$2:$AO$2,0))</f>
        <v>0.107031857031857</v>
      </c>
      <c r="BH523" s="16">
        <f>INDEX('Team forecast'!$B$2:$AO$26,MATCH('Master data'!$B523,'Team forecast'!$B$2:$B$26,0),MATCH('Master data'!BH$1,'Team forecast'!$B$2:$AO$2,0))</f>
        <v>2.4394679411923308</v>
      </c>
      <c r="BI523" s="16">
        <f>INDEX('Team forecast'!$B$2:$AO$26,MATCH('Master data'!$B523,'Team forecast'!$B$2:$B$26,0),MATCH('Master data'!BI$1,'Team forecast'!$B$2:$AO$2,0))</f>
        <v>5.8616895100097475</v>
      </c>
      <c r="BJ523" s="5">
        <f t="shared" si="327"/>
        <v>7000</v>
      </c>
      <c r="BK523" s="5">
        <f>INDEX('Team forecast'!$R$3:$BH$26,MATCH($B523,'Team forecast'!$B$3:$B$26,0),MATCH(BK$1,'Team forecast'!$R$2:$BH$2,0))*IF($X523&gt;0,25000,0)</f>
        <v>3321.6783216783224</v>
      </c>
      <c r="BL523" s="5">
        <f>INDEX('Team forecast'!$R$3:$BH$26,MATCH($B523,'Team forecast'!$B$3:$B$26,0),MATCH(BL$1,'Team forecast'!$R$2:$BH$2,0))*IF($X523&gt;0,5000,0)</f>
        <v>1013.9860139860141</v>
      </c>
      <c r="BM523" s="5">
        <f>INDEX('Team forecast'!$R$3:$BH$26,MATCH($B523,'Team forecast'!$B$3:$B$26,0),MATCH(BM$1,'Team forecast'!$R$2:$BH$2,0))*IF($X523&gt;0,-15000,0)</f>
        <v>-9965.0349650349635</v>
      </c>
      <c r="BN523" s="5">
        <f t="shared" si="328"/>
        <v>4178.4917768222986</v>
      </c>
      <c r="BO523" s="5">
        <f t="shared" si="329"/>
        <v>1530.8037635677313</v>
      </c>
      <c r="BP523" s="5">
        <f t="shared" si="330"/>
        <v>0</v>
      </c>
      <c r="BQ523" s="5">
        <f t="shared" si="331"/>
        <v>5351.5928515928499</v>
      </c>
      <c r="BR523" s="5">
        <f t="shared" si="332"/>
        <v>0</v>
      </c>
      <c r="BS523" s="5">
        <f t="shared" si="333"/>
        <v>0</v>
      </c>
      <c r="BT523" s="5">
        <f t="shared" si="334"/>
        <v>0</v>
      </c>
      <c r="BU523" s="5">
        <f t="shared" si="335"/>
        <v>8258.6154259115356</v>
      </c>
      <c r="BV523" s="5">
        <f t="shared" si="336"/>
        <v>-17877.030076504823</v>
      </c>
      <c r="BW523" s="5">
        <f t="shared" si="337"/>
        <v>2813.1031120189655</v>
      </c>
      <c r="BX523" s="5">
        <f t="shared" si="338"/>
        <v>23250.358803739498</v>
      </c>
      <c r="BY523" s="5">
        <f t="shared" si="339"/>
        <v>69751.076411218499</v>
      </c>
      <c r="BZ523" s="5">
        <f>INDEX('Team forecast'!$R$3:$BH$26,MATCH($B523,'Team forecast'!$B$3:$B$26,0),MATCH(BZ$1,'Team forecast'!$R$2:$BH$2,0))*($BX523-(BY523+CH523)*0.01)</f>
        <v>1295.721598086554</v>
      </c>
      <c r="CA523" s="5">
        <f>INDEX('Team forecast'!$R$3:$BH$26,MATCH($B523,'Team forecast'!$B$3:$B$26,0),MATCH(CA$1,'Team forecast'!$R$2:$BH$2,0))*($BX523-(BY523+BX523+CH523)*0.01)</f>
        <v>578.95099410189766</v>
      </c>
      <c r="CB523" s="5">
        <f>INDEX('Team forecast'!$R$3:$BH$26,MATCH($B523,'Team forecast'!$B$3:$B$26,0),MATCH(CB$1,'Team forecast'!$R$2:$BH$2,0))*($BX523-(BY523+BX523*2+CH523)*0.01)</f>
        <v>252.08107355981272</v>
      </c>
      <c r="CC523" s="5">
        <f>INDEX('Team forecast'!$R$3:$BH$26,MATCH($B523,'Team forecast'!$B$3:$B$26,0),MATCH(CC$1,'Team forecast'!$R$2:$BH$2,0))*($BX523-(BY523+BX523*3+CH523)*0.01)</f>
        <v>102.39255278937499</v>
      </c>
      <c r="CD523" s="5">
        <f>+AK523+BD523*Cockpit!$C$3+BW523*Cockpit!$C$3^2+BZ523*Cockpit!$C$3^3+CA523*Cockpit!$C$3^4+CB523*Cockpit!$C$3^5+CC523*Cockpit!$C$3^6</f>
        <v>59919.653013903975</v>
      </c>
      <c r="CE523" s="5"/>
      <c r="CF523" s="5"/>
      <c r="CG523" s="5">
        <v>0</v>
      </c>
      <c r="CH523" s="5">
        <f t="shared" si="340"/>
        <v>2000000</v>
      </c>
      <c r="CI523" s="5">
        <f t="shared" si="341"/>
        <v>2000000</v>
      </c>
      <c r="CJ523" s="1">
        <f t="shared" si="342"/>
        <v>3.4875538205609249E-2</v>
      </c>
      <c r="CK523" s="5">
        <f>RANK(BY523,$BY$2:$BY$623)+COUNTIF($BY$2:$BY523,$BY523)-1</f>
        <v>245</v>
      </c>
      <c r="CL523" s="5">
        <f>RANK(CJ523,$CJ$2:$CJ$623)+COUNTIF($CJ$2:$CJ523,$CJ523)-1</f>
        <v>105</v>
      </c>
    </row>
    <row r="524" spans="1:90">
      <c r="A524" t="str">
        <f>Players!P525</f>
        <v>Tomáš Holeš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3000000</v>
      </c>
      <c r="H524" s="16">
        <f>INDEX('Team forecast'!$B$2:$AO$26,MATCH('Master data'!$B524,'Team forecast'!$B$2:$B$26,0),MATCH('Master data'!H$1,'Team forecast'!$B$2:$AO$2,0))</f>
        <v>1.0683489057066333</v>
      </c>
      <c r="I524" s="16">
        <f>INDEX('Team forecast'!$B$2:$AO$26,MATCH('Master data'!$B524,'Team forecast'!$B$2:$B$26,0),MATCH('Master data'!I$1,'Team forecast'!$B$2:$AO$2,0))</f>
        <v>1.0237318402178264</v>
      </c>
      <c r="J524" s="16">
        <f>INDEX('Team forecast'!$B$2:$AO$26,MATCH('Master data'!$B524,'Team forecast'!$B$2:$B$26,0),MATCH('Master data'!J$1,'Team forecast'!$B$2:$AO$2,0))</f>
        <v>0.35925176528884672</v>
      </c>
      <c r="K524" s="16">
        <f>INDEX('Team forecast'!$B$2:$AO$26,MATCH('Master data'!$B524,'Team forecast'!$B$2:$B$26,0),MATCH('Master data'!K$1,'Team forecast'!$B$2:$AO$2,0))</f>
        <v>3.1557383060872861</v>
      </c>
      <c r="L524" s="16">
        <f>INDEX('Team forecast'!$B$2:$AO$26,MATCH('Master data'!$B524,'Team forecast'!$B$2:$B$26,0),MATCH('Master data'!L$1,'Team forecast'!$B$2:$AO$2,0))</f>
        <v>2.685366937656811</v>
      </c>
      <c r="M524">
        <f>IF(Players!BC525=1,95,0)</f>
        <v>95</v>
      </c>
      <c r="N524" s="2">
        <f>Players!BN525</f>
        <v>3.3393062038584116E-2</v>
      </c>
      <c r="O524" s="2">
        <f>Players!BO525</f>
        <v>5.0926060890023626E-2</v>
      </c>
      <c r="P524" s="2">
        <f>Players!BP525</f>
        <v>2.707769049155883E-2</v>
      </c>
      <c r="Q524" s="2">
        <f>Players!BQ525</f>
        <v>0.18326889279437608</v>
      </c>
      <c r="R524" s="2">
        <f>Players!BR525</f>
        <v>0</v>
      </c>
      <c r="S524" s="2">
        <f t="shared" si="301"/>
        <v>1.0683489057066333</v>
      </c>
      <c r="T524" s="2">
        <f t="shared" si="302"/>
        <v>1.0237318402178264</v>
      </c>
      <c r="U524" s="16">
        <f>INDEX('Team forecast'!$B$2:$AO$26,MATCH('Master data'!$B524,'Team forecast'!$B$2:$B$26,0),MATCH('Master data'!U$1,'Team forecast'!$B$2:$AO$2,0))</f>
        <v>0.35925176528884672</v>
      </c>
      <c r="V524" s="16">
        <f>INDEX('Team forecast'!$B$2:$AO$26,MATCH('Master data'!$B524,'Team forecast'!$B$2:$B$26,0),MATCH('Master data'!V$1,'Team forecast'!$B$2:$AO$2,0))</f>
        <v>0.31494404756988892</v>
      </c>
      <c r="W524" s="16">
        <f>INDEX('Team forecast'!$B$2:$AO$26,MATCH('Master data'!$B524,'Team forecast'!$B$2:$B$26,0),MATCH('Master data'!W$1,'Team forecast'!$B$2:$AO$2,0))</f>
        <v>0.32580418714126441</v>
      </c>
      <c r="X524" s="5">
        <f t="shared" si="303"/>
        <v>7000</v>
      </c>
      <c r="Y524" s="5">
        <f t="shared" si="304"/>
        <v>8981.2941322211682</v>
      </c>
      <c r="Z524" s="5">
        <f t="shared" si="305"/>
        <v>1574.7202378494446</v>
      </c>
      <c r="AA524" s="5">
        <f t="shared" si="306"/>
        <v>-4887.0628071189658</v>
      </c>
      <c r="AB524" s="5">
        <f t="shared" si="307"/>
        <v>5351.3161930672586</v>
      </c>
      <c r="AC524" s="5">
        <f t="shared" si="308"/>
        <v>2720.3400711903059</v>
      </c>
      <c r="AD524" s="5">
        <f t="shared" si="309"/>
        <v>854.50105124587674</v>
      </c>
      <c r="AE524" s="5">
        <f t="shared" si="310"/>
        <v>17962.588264442336</v>
      </c>
      <c r="AF524" s="5">
        <f t="shared" si="311"/>
        <v>0</v>
      </c>
      <c r="AG524" s="5">
        <f t="shared" si="312"/>
        <v>-3665.3778558875215</v>
      </c>
      <c r="AH524" s="5">
        <f t="shared" si="313"/>
        <v>0</v>
      </c>
      <c r="AI524" s="5">
        <f t="shared" si="314"/>
        <v>10683.489057066334</v>
      </c>
      <c r="AJ524" s="5">
        <f t="shared" si="315"/>
        <v>-8189.8547217426112</v>
      </c>
      <c r="AK524" s="5">
        <f>IFERROR(SUM(X524:AJ524),-5000)*((Cockpit!$C$3)^0)</f>
        <v>38385.953622333625</v>
      </c>
      <c r="AL524" s="16">
        <f>INDEX('Team forecast'!$B$2:$AO$26,MATCH('Master data'!$B524,'Team forecast'!$B$2:$B$26,0),MATCH('Master data'!AL$1,'Team forecast'!$B$2:$AO$2,0))</f>
        <v>0.97920455728472433</v>
      </c>
      <c r="AM524" s="16">
        <f>INDEX('Team forecast'!$B$2:$AO$26,MATCH('Master data'!$B524,'Team forecast'!$B$2:$B$26,0),MATCH('Master data'!AM$1,'Team forecast'!$B$2:$AO$2,0))</f>
        <v>1.3846696653928885</v>
      </c>
      <c r="AN524" s="16">
        <f>INDEX('Team forecast'!$B$2:$AO$26,MATCH('Master data'!$B524,'Team forecast'!$B$2:$B$26,0),MATCH('Master data'!AN$1,'Team forecast'!$B$2:$AO$2,0))</f>
        <v>0.25040650406504072</v>
      </c>
      <c r="AO524" s="16">
        <f>INDEX('Team forecast'!$B$2:$AO$26,MATCH('Master data'!$B524,'Team forecast'!$B$2:$B$26,0),MATCH('Master data'!AO$1,'Team forecast'!$B$2:$AO$2,0))</f>
        <v>2.8924196153641089</v>
      </c>
      <c r="AP524" s="16">
        <f>INDEX('Team forecast'!$B$2:$AO$26,MATCH('Master data'!$B524,'Team forecast'!$B$2:$B$26,0),MATCH('Master data'!AP$1,'Team forecast'!$B$2:$AO$2,0))</f>
        <v>3.6321485695230544</v>
      </c>
      <c r="AQ524" s="5">
        <f t="shared" si="316"/>
        <v>7000</v>
      </c>
      <c r="AR524" s="5">
        <f>INDEX('Team forecast'!$B$2:$AO$26,MATCH('Master data'!$B524,'Team forecast'!$B$2:$B$26,0),MATCH('Master data'!AR$1,'Team forecast'!$B$2:$AO$2,0))*IF(X524&gt;0,25000,0)</f>
        <v>6707.3170731707323</v>
      </c>
      <c r="AS524" s="16">
        <f>INDEX('Team forecast'!$B$2:$AO$26,MATCH('Master data'!$B524,'Team forecast'!$B$2:$B$26,0),MATCH('Master data'!AS$1,'Team forecast'!$B$2:$AO$2,0))*IF(X524&gt;0,5000,0)</f>
        <v>1422.7642276422764</v>
      </c>
      <c r="AT524" s="16">
        <f>INDEX('Team forecast'!$B$2:$AO$26,MATCH('Master data'!$B524,'Team forecast'!$B$2:$B$26,0),MATCH('Master data'!AT$1,'Team forecast'!$B$2:$AO$2,0))*IF(X524&gt;0,-15000,0)</f>
        <v>-6707.3170731707305</v>
      </c>
      <c r="AU524" s="5">
        <f t="shared" si="317"/>
        <v>4904.7957794809636</v>
      </c>
      <c r="AV524" s="5">
        <f t="shared" si="318"/>
        <v>2493.3515454035251</v>
      </c>
      <c r="AW524" s="5">
        <f t="shared" si="319"/>
        <v>783.20043116542979</v>
      </c>
      <c r="AX524" s="5">
        <f t="shared" si="320"/>
        <v>12520.325203252036</v>
      </c>
      <c r="AY524" s="5">
        <f t="shared" si="321"/>
        <v>0</v>
      </c>
      <c r="AZ524" s="5">
        <f t="shared" si="322"/>
        <v>-3665.3778558875215</v>
      </c>
      <c r="BA524" s="5">
        <f t="shared" si="323"/>
        <v>0</v>
      </c>
      <c r="BB524" s="5">
        <f t="shared" si="324"/>
        <v>9792.0455728472425</v>
      </c>
      <c r="BC524" s="5">
        <f t="shared" si="325"/>
        <v>-11077.357323143107</v>
      </c>
      <c r="BD524" s="5">
        <f t="shared" si="326"/>
        <v>24173.74758076085</v>
      </c>
      <c r="BE524" s="16">
        <f>INDEX('Team forecast'!$B$2:$AO$26,MATCH('Master data'!$B524,'Team forecast'!$B$2:$B$26,0),MATCH('Master data'!BE$1,'Team forecast'!$B$2:$AO$2,0))</f>
        <v>0.82586154259115363</v>
      </c>
      <c r="BF524" s="16">
        <f>INDEX('Team forecast'!$B$2:$AO$26,MATCH('Master data'!$B524,'Team forecast'!$B$2:$B$26,0),MATCH('Master data'!BF$1,'Team forecast'!$B$2:$AO$2,0))</f>
        <v>2.2346287595631029</v>
      </c>
      <c r="BG524" s="16">
        <f>INDEX('Team forecast'!$B$2:$AO$26,MATCH('Master data'!$B524,'Team forecast'!$B$2:$B$26,0),MATCH('Master data'!BG$1,'Team forecast'!$B$2:$AO$2,0))</f>
        <v>0.107031857031857</v>
      </c>
      <c r="BH524" s="16">
        <f>INDEX('Team forecast'!$B$2:$AO$26,MATCH('Master data'!$B524,'Team forecast'!$B$2:$B$26,0),MATCH('Master data'!BH$1,'Team forecast'!$B$2:$AO$2,0))</f>
        <v>2.4394679411923308</v>
      </c>
      <c r="BI524" s="16">
        <f>INDEX('Team forecast'!$B$2:$AO$26,MATCH('Master data'!$B524,'Team forecast'!$B$2:$B$26,0),MATCH('Master data'!BI$1,'Team forecast'!$B$2:$AO$2,0))</f>
        <v>5.8616895100097475</v>
      </c>
      <c r="BJ524" s="5">
        <f t="shared" si="327"/>
        <v>7000</v>
      </c>
      <c r="BK524" s="5">
        <f>INDEX('Team forecast'!$R$3:$BH$26,MATCH($B524,'Team forecast'!$B$3:$B$26,0),MATCH(BK$1,'Team forecast'!$R$2:$BH$2,0))*IF($X524&gt;0,25000,0)</f>
        <v>3321.6783216783224</v>
      </c>
      <c r="BL524" s="5">
        <f>INDEX('Team forecast'!$R$3:$BH$26,MATCH($B524,'Team forecast'!$B$3:$B$26,0),MATCH(BL$1,'Team forecast'!$R$2:$BH$2,0))*IF($X524&gt;0,5000,0)</f>
        <v>1013.9860139860141</v>
      </c>
      <c r="BM524" s="5">
        <f>INDEX('Team forecast'!$R$3:$BH$26,MATCH($B524,'Team forecast'!$B$3:$B$26,0),MATCH(BM$1,'Team forecast'!$R$2:$BH$2,0))*IF($X524&gt;0,-15000,0)</f>
        <v>-9965.0349650349635</v>
      </c>
      <c r="BN524" s="5">
        <f t="shared" si="328"/>
        <v>4136.7068590540757</v>
      </c>
      <c r="BO524" s="5">
        <f t="shared" si="329"/>
        <v>2102.8937602362967</v>
      </c>
      <c r="BP524" s="5">
        <f t="shared" si="330"/>
        <v>660.55157875686166</v>
      </c>
      <c r="BQ524" s="5">
        <f t="shared" si="331"/>
        <v>5351.5928515928499</v>
      </c>
      <c r="BR524" s="5">
        <f t="shared" si="332"/>
        <v>0</v>
      </c>
      <c r="BS524" s="5">
        <f t="shared" si="333"/>
        <v>-3665.3778558875215</v>
      </c>
      <c r="BT524" s="5">
        <f t="shared" si="334"/>
        <v>0</v>
      </c>
      <c r="BU524" s="5">
        <f t="shared" si="335"/>
        <v>8258.6154259115356</v>
      </c>
      <c r="BV524" s="5">
        <f t="shared" si="336"/>
        <v>-17877.030076504823</v>
      </c>
      <c r="BW524" s="5">
        <f t="shared" si="337"/>
        <v>338.58191378864649</v>
      </c>
      <c r="BX524" s="5">
        <f t="shared" si="338"/>
        <v>20966.094372294374</v>
      </c>
      <c r="BY524" s="5">
        <f t="shared" si="339"/>
        <v>62898.283116883118</v>
      </c>
      <c r="BZ524" s="5">
        <f>INDEX('Team forecast'!$R$3:$BH$26,MATCH($B524,'Team forecast'!$B$3:$B$26,0),MATCH(BZ$1,'Team forecast'!$R$2:$BH$2,0))*($BX524-(BY524+CH524)*0.01)</f>
        <v>-4904.488274160165</v>
      </c>
      <c r="CA524" s="5">
        <f>INDEX('Team forecast'!$R$3:$BH$26,MATCH($B524,'Team forecast'!$B$3:$B$26,0),MATCH(CA$1,'Team forecast'!$R$2:$BH$2,0))*($BX524-(BY524+BX524+CH524)*0.01)</f>
        <v>-2463.307672719628</v>
      </c>
      <c r="CB524" s="5">
        <f>INDEX('Team forecast'!$R$3:$BH$26,MATCH($B524,'Team forecast'!$B$3:$B$26,0),MATCH(CB$1,'Team forecast'!$R$2:$BH$2,0))*($BX524-(BY524+BX524*2+CH524)*0.01)</f>
        <v>-1217.3027419493017</v>
      </c>
      <c r="CC524" s="5">
        <f>INDEX('Team forecast'!$R$3:$BH$26,MATCH($B524,'Team forecast'!$B$3:$B$26,0),MATCH(CC$1,'Team forecast'!$R$2:$BH$2,0))*($BX524-(BY524+BX524*3+CH524)*0.01)</f>
        <v>-567.98889790786063</v>
      </c>
      <c r="CD524" s="5">
        <f>+AK524+BD524*Cockpit!$C$3+BW524*Cockpit!$C$3^2+BZ524*Cockpit!$C$3^3+CA524*Cockpit!$C$3^4+CB524*Cockpit!$C$3^5+CC524*Cockpit!$C$3^6</f>
        <v>52502.337352832721</v>
      </c>
      <c r="CE524" s="5"/>
      <c r="CF524" s="5"/>
      <c r="CG524" s="5">
        <v>0</v>
      </c>
      <c r="CH524" s="5">
        <f t="shared" si="340"/>
        <v>3000000</v>
      </c>
      <c r="CI524" s="5">
        <f t="shared" si="341"/>
        <v>3000000</v>
      </c>
      <c r="CJ524" s="1">
        <f t="shared" si="342"/>
        <v>2.0966094372294374E-2</v>
      </c>
      <c r="CK524" s="5">
        <f>RANK(BY524,$BY$2:$BY$623)+COUNTIF($BY$2:$BY524,$BY524)-1</f>
        <v>261</v>
      </c>
      <c r="CL524" s="5">
        <f>RANK(CJ524,$CJ$2:$CJ$623)+COUNTIF($CJ$2:$CJ524,$CJ524)-1</f>
        <v>252</v>
      </c>
    </row>
    <row r="525" spans="1:90">
      <c r="A525" t="str">
        <f>Players!P526</f>
        <v>Pavel Kaderabek</v>
      </c>
      <c r="B525" t="str">
        <f>Players!G526</f>
        <v>Czech Republic</v>
      </c>
      <c r="C525" t="str">
        <f>Players!AB526</f>
        <v>Defense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2500000</v>
      </c>
      <c r="H525" s="16">
        <f>INDEX('Team forecast'!$B$2:$AO$26,MATCH('Master data'!$B525,'Team forecast'!$B$2:$B$26,0),MATCH('Master data'!H$1,'Team forecast'!$B$2:$AO$2,0))</f>
        <v>1.0683489057066333</v>
      </c>
      <c r="I525" s="16">
        <f>INDEX('Team forecast'!$B$2:$AO$26,MATCH('Master data'!$B525,'Team forecast'!$B$2:$B$26,0),MATCH('Master data'!I$1,'Team forecast'!$B$2:$AO$2,0))</f>
        <v>1.0237318402178264</v>
      </c>
      <c r="J525" s="16">
        <f>INDEX('Team forecast'!$B$2:$AO$26,MATCH('Master data'!$B525,'Team forecast'!$B$2:$B$26,0),MATCH('Master data'!J$1,'Team forecast'!$B$2:$AO$2,0))</f>
        <v>0.35925176528884672</v>
      </c>
      <c r="K525" s="16">
        <f>INDEX('Team forecast'!$B$2:$AO$26,MATCH('Master data'!$B525,'Team forecast'!$B$2:$B$26,0),MATCH('Master data'!K$1,'Team forecast'!$B$2:$AO$2,0))</f>
        <v>3.1557383060872861</v>
      </c>
      <c r="L525" s="16">
        <f>INDEX('Team forecast'!$B$2:$AO$26,MATCH('Master data'!$B525,'Team forecast'!$B$2:$B$26,0),MATCH('Master data'!L$1,'Team forecast'!$B$2:$AO$2,0))</f>
        <v>2.685366937656811</v>
      </c>
      <c r="M525">
        <f>IF(Players!BC526=1,95,0)</f>
        <v>95</v>
      </c>
      <c r="N525" s="2">
        <f>Players!BN526</f>
        <v>3.3730365695539506E-2</v>
      </c>
      <c r="O525" s="2">
        <f>Players!BO526</f>
        <v>0.1074875234935062</v>
      </c>
      <c r="P525" s="2">
        <f>Players!BP526</f>
        <v>7.6184832129503874E-2</v>
      </c>
      <c r="Q525" s="2">
        <f>Players!BQ526</f>
        <v>8.5066162570888476E-2</v>
      </c>
      <c r="R525" s="2">
        <f>Players!BR526</f>
        <v>0</v>
      </c>
      <c r="S525" s="2">
        <f t="shared" si="301"/>
        <v>1.0683489057066333</v>
      </c>
      <c r="T525" s="2">
        <f t="shared" si="302"/>
        <v>1.0237318402178264</v>
      </c>
      <c r="U525" s="16">
        <f>INDEX('Team forecast'!$B$2:$AO$26,MATCH('Master data'!$B525,'Team forecast'!$B$2:$B$26,0),MATCH('Master data'!U$1,'Team forecast'!$B$2:$AO$2,0))</f>
        <v>0.35925176528884672</v>
      </c>
      <c r="V525" s="16">
        <f>INDEX('Team forecast'!$B$2:$AO$26,MATCH('Master data'!$B525,'Team forecast'!$B$2:$B$26,0),MATCH('Master data'!V$1,'Team forecast'!$B$2:$AO$2,0))</f>
        <v>0.31494404756988892</v>
      </c>
      <c r="W525" s="16">
        <f>INDEX('Team forecast'!$B$2:$AO$26,MATCH('Master data'!$B525,'Team forecast'!$B$2:$B$26,0),MATCH('Master data'!W$1,'Team forecast'!$B$2:$AO$2,0))</f>
        <v>0.32580418714126441</v>
      </c>
      <c r="X525" s="5">
        <f t="shared" si="303"/>
        <v>7000</v>
      </c>
      <c r="Y525" s="5">
        <f t="shared" si="304"/>
        <v>8981.2941322211682</v>
      </c>
      <c r="Z525" s="5">
        <f t="shared" si="305"/>
        <v>1574.7202378494446</v>
      </c>
      <c r="AA525" s="5">
        <f t="shared" si="306"/>
        <v>-4887.0628071189658</v>
      </c>
      <c r="AB525" s="5">
        <f t="shared" si="307"/>
        <v>5405.3698919871294</v>
      </c>
      <c r="AC525" s="5">
        <f t="shared" si="308"/>
        <v>5741.7089050701688</v>
      </c>
      <c r="AD525" s="5">
        <f t="shared" si="309"/>
        <v>2404.1939309390482</v>
      </c>
      <c r="AE525" s="5">
        <f t="shared" si="310"/>
        <v>17962.588264442336</v>
      </c>
      <c r="AF525" s="5">
        <f t="shared" si="311"/>
        <v>0</v>
      </c>
      <c r="AG525" s="5">
        <f t="shared" si="312"/>
        <v>-1701.3232514177696</v>
      </c>
      <c r="AH525" s="5">
        <f t="shared" si="313"/>
        <v>0</v>
      </c>
      <c r="AI525" s="5">
        <f t="shared" si="314"/>
        <v>10683.489057066334</v>
      </c>
      <c r="AJ525" s="5">
        <f t="shared" si="315"/>
        <v>-8189.8547217426112</v>
      </c>
      <c r="AK525" s="5">
        <f>IFERROR(SUM(X525:AJ525),-5000)*((Cockpit!$C$3)^0)</f>
        <v>44975.123639296282</v>
      </c>
      <c r="AL525" s="16">
        <f>INDEX('Team forecast'!$B$2:$AO$26,MATCH('Master data'!$B525,'Team forecast'!$B$2:$B$26,0),MATCH('Master data'!AL$1,'Team forecast'!$B$2:$AO$2,0))</f>
        <v>0.97920455728472433</v>
      </c>
      <c r="AM525" s="16">
        <f>INDEX('Team forecast'!$B$2:$AO$26,MATCH('Master data'!$B525,'Team forecast'!$B$2:$B$26,0),MATCH('Master data'!AM$1,'Team forecast'!$B$2:$AO$2,0))</f>
        <v>1.3846696653928885</v>
      </c>
      <c r="AN525" s="16">
        <f>INDEX('Team forecast'!$B$2:$AO$26,MATCH('Master data'!$B525,'Team forecast'!$B$2:$B$26,0),MATCH('Master data'!AN$1,'Team forecast'!$B$2:$AO$2,0))</f>
        <v>0.25040650406504072</v>
      </c>
      <c r="AO525" s="16">
        <f>INDEX('Team forecast'!$B$2:$AO$26,MATCH('Master data'!$B525,'Team forecast'!$B$2:$B$26,0),MATCH('Master data'!AO$1,'Team forecast'!$B$2:$AO$2,0))</f>
        <v>2.8924196153641089</v>
      </c>
      <c r="AP525" s="16">
        <f>INDEX('Team forecast'!$B$2:$AO$26,MATCH('Master data'!$B525,'Team forecast'!$B$2:$B$26,0),MATCH('Master data'!AP$1,'Team forecast'!$B$2:$AO$2,0))</f>
        <v>3.6321485695230544</v>
      </c>
      <c r="AQ525" s="5">
        <f t="shared" si="316"/>
        <v>7000</v>
      </c>
      <c r="AR525" s="5">
        <f>INDEX('Team forecast'!$B$2:$AO$26,MATCH('Master data'!$B525,'Team forecast'!$B$2:$B$26,0),MATCH('Master data'!AR$1,'Team forecast'!$B$2:$AO$2,0))*IF(X525&gt;0,25000,0)</f>
        <v>6707.3170731707323</v>
      </c>
      <c r="AS525" s="16">
        <f>INDEX('Team forecast'!$B$2:$AO$26,MATCH('Master data'!$B525,'Team forecast'!$B$2:$B$26,0),MATCH('Master data'!AS$1,'Team forecast'!$B$2:$AO$2,0))*IF(X525&gt;0,5000,0)</f>
        <v>1422.7642276422764</v>
      </c>
      <c r="AT525" s="16">
        <f>INDEX('Team forecast'!$B$2:$AO$26,MATCH('Master data'!$B525,'Team forecast'!$B$2:$B$26,0),MATCH('Master data'!AT$1,'Team forecast'!$B$2:$AO$2,0))*IF(X525&gt;0,-15000,0)</f>
        <v>-6707.3170731707305</v>
      </c>
      <c r="AU525" s="5">
        <f t="shared" si="317"/>
        <v>4954.3391711928925</v>
      </c>
      <c r="AV525" s="5">
        <f t="shared" si="318"/>
        <v>5262.6136428045074</v>
      </c>
      <c r="AW525" s="5">
        <f t="shared" si="319"/>
        <v>2203.585028445988</v>
      </c>
      <c r="AX525" s="5">
        <f t="shared" si="320"/>
        <v>12520.325203252036</v>
      </c>
      <c r="AY525" s="5">
        <f t="shared" si="321"/>
        <v>0</v>
      </c>
      <c r="AZ525" s="5">
        <f t="shared" si="322"/>
        <v>-1701.3232514177696</v>
      </c>
      <c r="BA525" s="5">
        <f t="shared" si="323"/>
        <v>0</v>
      </c>
      <c r="BB525" s="5">
        <f t="shared" si="324"/>
        <v>9792.0455728472425</v>
      </c>
      <c r="BC525" s="5">
        <f t="shared" si="325"/>
        <v>-11077.357323143107</v>
      </c>
      <c r="BD525" s="5">
        <f t="shared" si="326"/>
        <v>30376.992271624062</v>
      </c>
      <c r="BE525" s="16">
        <f>INDEX('Team forecast'!$B$2:$AO$26,MATCH('Master data'!$B525,'Team forecast'!$B$2:$B$26,0),MATCH('Master data'!BE$1,'Team forecast'!$B$2:$AO$2,0))</f>
        <v>0.82586154259115363</v>
      </c>
      <c r="BF525" s="16">
        <f>INDEX('Team forecast'!$B$2:$AO$26,MATCH('Master data'!$B525,'Team forecast'!$B$2:$B$26,0),MATCH('Master data'!BF$1,'Team forecast'!$B$2:$AO$2,0))</f>
        <v>2.2346287595631029</v>
      </c>
      <c r="BG525" s="16">
        <f>INDEX('Team forecast'!$B$2:$AO$26,MATCH('Master data'!$B525,'Team forecast'!$B$2:$B$26,0),MATCH('Master data'!BG$1,'Team forecast'!$B$2:$AO$2,0))</f>
        <v>0.107031857031857</v>
      </c>
      <c r="BH525" s="16">
        <f>INDEX('Team forecast'!$B$2:$AO$26,MATCH('Master data'!$B525,'Team forecast'!$B$2:$B$26,0),MATCH('Master data'!BH$1,'Team forecast'!$B$2:$AO$2,0))</f>
        <v>2.4394679411923308</v>
      </c>
      <c r="BI525" s="16">
        <f>INDEX('Team forecast'!$B$2:$AO$26,MATCH('Master data'!$B525,'Team forecast'!$B$2:$B$26,0),MATCH('Master data'!BI$1,'Team forecast'!$B$2:$AO$2,0))</f>
        <v>5.8616895100097475</v>
      </c>
      <c r="BJ525" s="5">
        <f t="shared" si="327"/>
        <v>7000</v>
      </c>
      <c r="BK525" s="5">
        <f>INDEX('Team forecast'!$R$3:$BH$26,MATCH($B525,'Team forecast'!$B$3:$B$26,0),MATCH(BK$1,'Team forecast'!$R$2:$BH$2,0))*IF($X525&gt;0,25000,0)</f>
        <v>3321.6783216783224</v>
      </c>
      <c r="BL525" s="5">
        <f>INDEX('Team forecast'!$R$3:$BH$26,MATCH($B525,'Team forecast'!$B$3:$B$26,0),MATCH(BL$1,'Team forecast'!$R$2:$BH$2,0))*IF($X525&gt;0,5000,0)</f>
        <v>1013.9860139860141</v>
      </c>
      <c r="BM525" s="5">
        <f>INDEX('Team forecast'!$R$3:$BH$26,MATCH($B525,'Team forecast'!$B$3:$B$26,0),MATCH(BM$1,'Team forecast'!$R$2:$BH$2,0))*IF($X525&gt;0,-15000,0)</f>
        <v>-9965.0349650349635</v>
      </c>
      <c r="BN525" s="5">
        <f t="shared" si="328"/>
        <v>4178.4917768222986</v>
      </c>
      <c r="BO525" s="5">
        <f t="shared" si="329"/>
        <v>4438.4905980824951</v>
      </c>
      <c r="BP525" s="5">
        <f t="shared" si="330"/>
        <v>1858.5045558504414</v>
      </c>
      <c r="BQ525" s="5">
        <f t="shared" si="331"/>
        <v>5351.5928515928499</v>
      </c>
      <c r="BR525" s="5">
        <f t="shared" si="332"/>
        <v>0</v>
      </c>
      <c r="BS525" s="5">
        <f t="shared" si="333"/>
        <v>-1701.3232514177696</v>
      </c>
      <c r="BT525" s="5">
        <f t="shared" si="334"/>
        <v>0</v>
      </c>
      <c r="BU525" s="5">
        <f t="shared" si="335"/>
        <v>8258.6154259115356</v>
      </c>
      <c r="BV525" s="5">
        <f t="shared" si="336"/>
        <v>-17877.030076504823</v>
      </c>
      <c r="BW525" s="5">
        <f t="shared" si="337"/>
        <v>5877.9712509663987</v>
      </c>
      <c r="BX525" s="5">
        <f t="shared" si="338"/>
        <v>27076.695720628912</v>
      </c>
      <c r="BY525" s="5">
        <f t="shared" si="339"/>
        <v>81230.087161886739</v>
      </c>
      <c r="BZ525" s="5">
        <f>INDEX('Team forecast'!$R$3:$BH$26,MATCH($B525,'Team forecast'!$B$3:$B$26,0),MATCH(BZ$1,'Team forecast'!$R$2:$BH$2,0))*($BX525-(BY525+CH525)*0.01)</f>
        <v>641.75528231240696</v>
      </c>
      <c r="CA525" s="5">
        <f>INDEX('Team forecast'!$R$3:$BH$26,MATCH($B525,'Team forecast'!$B$3:$B$26,0),MATCH(CA$1,'Team forecast'!$R$2:$BH$2,0))*($BX525-(BY525+BX525+CH525)*0.01)</f>
        <v>247.92088749279534</v>
      </c>
      <c r="CB525" s="5">
        <f>INDEX('Team forecast'!$R$3:$BH$26,MATCH($B525,'Team forecast'!$B$3:$B$26,0),MATCH(CB$1,'Team forecast'!$R$2:$BH$2,0))*($BX525-(BY525+BX525*2+CH525)*0.01)</f>
        <v>87.276556182412634</v>
      </c>
      <c r="CC525" s="5">
        <f>INDEX('Team forecast'!$R$3:$BH$26,MATCH($B525,'Team forecast'!$B$3:$B$26,0),MATCH(CC$1,'Team forecast'!$R$2:$BH$2,0))*($BX525-(BY525+BX525*3+CH525)*0.01)</f>
        <v>24.950210970634494</v>
      </c>
      <c r="CD525" s="5">
        <f>+AK525+BD525*Cockpit!$C$3+BW525*Cockpit!$C$3^2+BZ525*Cockpit!$C$3^3+CA525*Cockpit!$C$3^4+CB525*Cockpit!$C$3^5+CC525*Cockpit!$C$3^6</f>
        <v>68091.688853283224</v>
      </c>
      <c r="CE525" s="5"/>
      <c r="CF525" s="5"/>
      <c r="CG525" s="5">
        <v>0</v>
      </c>
      <c r="CH525" s="5">
        <f t="shared" si="340"/>
        <v>2500000</v>
      </c>
      <c r="CI525" s="5">
        <f t="shared" si="341"/>
        <v>2500000</v>
      </c>
      <c r="CJ525" s="1">
        <f t="shared" si="342"/>
        <v>3.2492034864754694E-2</v>
      </c>
      <c r="CK525" s="5">
        <f>RANK(BY525,$BY$2:$BY$623)+COUNTIF($BY$2:$BY525,$BY525)-1</f>
        <v>212</v>
      </c>
      <c r="CL525" s="5">
        <f>RANK(CJ525,$CJ$2:$CJ$623)+COUNTIF($CJ$2:$CJ525,$CJ525)-1</f>
        <v>123</v>
      </c>
    </row>
    <row r="526" spans="1:90">
      <c r="A526" t="str">
        <f>Players!P527</f>
        <v>Michal Sadilek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2000000</v>
      </c>
      <c r="H526" s="16">
        <f>INDEX('Team forecast'!$B$2:$AO$26,MATCH('Master data'!$B526,'Team forecast'!$B$2:$B$26,0),MATCH('Master data'!H$1,'Team forecast'!$B$2:$AO$2,0))</f>
        <v>1.0683489057066333</v>
      </c>
      <c r="I526" s="16">
        <f>INDEX('Team forecast'!$B$2:$AO$26,MATCH('Master data'!$B526,'Team forecast'!$B$2:$B$26,0),MATCH('Master data'!I$1,'Team forecast'!$B$2:$AO$2,0))</f>
        <v>1.0237318402178264</v>
      </c>
      <c r="J526" s="16">
        <f>INDEX('Team forecast'!$B$2:$AO$26,MATCH('Master data'!$B526,'Team forecast'!$B$2:$B$26,0),MATCH('Master data'!J$1,'Team forecast'!$B$2:$AO$2,0))</f>
        <v>0.35925176528884672</v>
      </c>
      <c r="K526" s="16">
        <f>INDEX('Team forecast'!$B$2:$AO$26,MATCH('Master data'!$B526,'Team forecast'!$B$2:$B$26,0),MATCH('Master data'!K$1,'Team forecast'!$B$2:$AO$2,0))</f>
        <v>3.1557383060872861</v>
      </c>
      <c r="L526" s="16">
        <f>INDEX('Team forecast'!$B$2:$AO$26,MATCH('Master data'!$B526,'Team forecast'!$B$2:$B$26,0),MATCH('Master data'!L$1,'Team forecast'!$B$2:$AO$2,0))</f>
        <v>2.685366937656811</v>
      </c>
      <c r="M526">
        <f>IF(Players!BC527=1,95,0)</f>
        <v>0</v>
      </c>
      <c r="N526" s="2">
        <f>Players!BN527</f>
        <v>0</v>
      </c>
      <c r="O526" s="2">
        <f>Players!BO527</f>
        <v>0</v>
      </c>
      <c r="P526" s="2">
        <f>Players!BP527</f>
        <v>0</v>
      </c>
      <c r="Q526" s="2">
        <f>Players!BQ527</f>
        <v>7.0921985815602842E-2</v>
      </c>
      <c r="R526" s="2">
        <f>Players!BR527</f>
        <v>0</v>
      </c>
      <c r="S526" s="2">
        <f t="shared" si="301"/>
        <v>1.0683489057066333</v>
      </c>
      <c r="T526" s="2">
        <f t="shared" si="302"/>
        <v>1.0237318402178264</v>
      </c>
      <c r="U526" s="16">
        <f>INDEX('Team forecast'!$B$2:$AO$26,MATCH('Master data'!$B526,'Team forecast'!$B$2:$B$26,0),MATCH('Master data'!U$1,'Team forecast'!$B$2:$AO$2,0))</f>
        <v>0.35925176528884672</v>
      </c>
      <c r="V526" s="16">
        <f>INDEX('Team forecast'!$B$2:$AO$26,MATCH('Master data'!$B526,'Team forecast'!$B$2:$B$26,0),MATCH('Master data'!V$1,'Team forecast'!$B$2:$AO$2,0))</f>
        <v>0.31494404756988892</v>
      </c>
      <c r="W526" s="16">
        <f>INDEX('Team forecast'!$B$2:$AO$26,MATCH('Master data'!$B526,'Team forecast'!$B$2:$B$26,0),MATCH('Master data'!W$1,'Team forecast'!$B$2:$AO$2,0))</f>
        <v>0.32580418714126441</v>
      </c>
      <c r="X526" s="5">
        <f t="shared" si="303"/>
        <v>-5000</v>
      </c>
      <c r="Y526" s="5">
        <f t="shared" si="304"/>
        <v>0</v>
      </c>
      <c r="Z526" s="5">
        <f t="shared" si="305"/>
        <v>0</v>
      </c>
      <c r="AA526" s="5">
        <f t="shared" si="306"/>
        <v>0</v>
      </c>
      <c r="AB526" s="5">
        <f t="shared" si="307"/>
        <v>0</v>
      </c>
      <c r="AC526" s="5">
        <f t="shared" si="308"/>
        <v>0</v>
      </c>
      <c r="AD526" s="5">
        <f t="shared" si="309"/>
        <v>0</v>
      </c>
      <c r="AE526" s="5">
        <f t="shared" si="310"/>
        <v>0</v>
      </c>
      <c r="AF526" s="5">
        <f t="shared" si="311"/>
        <v>0</v>
      </c>
      <c r="AG526" s="5">
        <f t="shared" si="312"/>
        <v>0</v>
      </c>
      <c r="AH526" s="5">
        <f t="shared" si="313"/>
        <v>0</v>
      </c>
      <c r="AI526" s="5">
        <f t="shared" si="314"/>
        <v>0</v>
      </c>
      <c r="AJ526" s="5">
        <f t="shared" si="315"/>
        <v>0</v>
      </c>
      <c r="AK526" s="5">
        <f>IFERROR(SUM(X526:AJ526),-5000)*((Cockpit!$C$3)^0)</f>
        <v>-5000</v>
      </c>
      <c r="AL526" s="16">
        <f>INDEX('Team forecast'!$B$2:$AO$26,MATCH('Master data'!$B526,'Team forecast'!$B$2:$B$26,0),MATCH('Master data'!AL$1,'Team forecast'!$B$2:$AO$2,0))</f>
        <v>0.97920455728472433</v>
      </c>
      <c r="AM526" s="16">
        <f>INDEX('Team forecast'!$B$2:$AO$26,MATCH('Master data'!$B526,'Team forecast'!$B$2:$B$26,0),MATCH('Master data'!AM$1,'Team forecast'!$B$2:$AO$2,0))</f>
        <v>1.3846696653928885</v>
      </c>
      <c r="AN526" s="16">
        <f>INDEX('Team forecast'!$B$2:$AO$26,MATCH('Master data'!$B526,'Team forecast'!$B$2:$B$26,0),MATCH('Master data'!AN$1,'Team forecast'!$B$2:$AO$2,0))</f>
        <v>0.25040650406504072</v>
      </c>
      <c r="AO526" s="16">
        <f>INDEX('Team forecast'!$B$2:$AO$26,MATCH('Master data'!$B526,'Team forecast'!$B$2:$B$26,0),MATCH('Master data'!AO$1,'Team forecast'!$B$2:$AO$2,0))</f>
        <v>2.8924196153641089</v>
      </c>
      <c r="AP526" s="16">
        <f>INDEX('Team forecast'!$B$2:$AO$26,MATCH('Master data'!$B526,'Team forecast'!$B$2:$B$26,0),MATCH('Master data'!AP$1,'Team forecast'!$B$2:$AO$2,0))</f>
        <v>3.6321485695230544</v>
      </c>
      <c r="AQ526" s="5">
        <f t="shared" si="316"/>
        <v>-5000</v>
      </c>
      <c r="AR526" s="5">
        <f>INDEX('Team forecast'!$B$2:$AO$26,MATCH('Master data'!$B526,'Team forecast'!$B$2:$B$26,0),MATCH('Master data'!AR$1,'Team forecast'!$B$2:$AO$2,0))*IF(X526&gt;0,25000,0)</f>
        <v>0</v>
      </c>
      <c r="AS526" s="16">
        <f>INDEX('Team forecast'!$B$2:$AO$26,MATCH('Master data'!$B526,'Team forecast'!$B$2:$B$26,0),MATCH('Master data'!AS$1,'Team forecast'!$B$2:$AO$2,0))*IF(X526&gt;0,5000,0)</f>
        <v>0</v>
      </c>
      <c r="AT526" s="16">
        <f>INDEX('Team forecast'!$B$2:$AO$26,MATCH('Master data'!$B526,'Team forecast'!$B$2:$B$26,0),MATCH('Master data'!AT$1,'Team forecast'!$B$2:$AO$2,0))*IF(X526&gt;0,-15000,0)</f>
        <v>0</v>
      </c>
      <c r="AU526" s="5">
        <f t="shared" si="317"/>
        <v>0</v>
      </c>
      <c r="AV526" s="5">
        <f t="shared" si="318"/>
        <v>0</v>
      </c>
      <c r="AW526" s="5">
        <f t="shared" si="319"/>
        <v>0</v>
      </c>
      <c r="AX526" s="5">
        <f t="shared" si="320"/>
        <v>0</v>
      </c>
      <c r="AY526" s="5">
        <f t="shared" si="321"/>
        <v>0</v>
      </c>
      <c r="AZ526" s="5">
        <f t="shared" si="322"/>
        <v>0</v>
      </c>
      <c r="BA526" s="5">
        <f t="shared" si="323"/>
        <v>0</v>
      </c>
      <c r="BB526" s="5">
        <f t="shared" si="324"/>
        <v>0</v>
      </c>
      <c r="BC526" s="5">
        <f t="shared" si="325"/>
        <v>0</v>
      </c>
      <c r="BD526" s="5">
        <f t="shared" si="326"/>
        <v>-5000</v>
      </c>
      <c r="BE526" s="16">
        <f>INDEX('Team forecast'!$B$2:$AO$26,MATCH('Master data'!$B526,'Team forecast'!$B$2:$B$26,0),MATCH('Master data'!BE$1,'Team forecast'!$B$2:$AO$2,0))</f>
        <v>0.82586154259115363</v>
      </c>
      <c r="BF526" s="16">
        <f>INDEX('Team forecast'!$B$2:$AO$26,MATCH('Master data'!$B526,'Team forecast'!$B$2:$B$26,0),MATCH('Master data'!BF$1,'Team forecast'!$B$2:$AO$2,0))</f>
        <v>2.2346287595631029</v>
      </c>
      <c r="BG526" s="16">
        <f>INDEX('Team forecast'!$B$2:$AO$26,MATCH('Master data'!$B526,'Team forecast'!$B$2:$B$26,0),MATCH('Master data'!BG$1,'Team forecast'!$B$2:$AO$2,0))</f>
        <v>0.107031857031857</v>
      </c>
      <c r="BH526" s="16">
        <f>INDEX('Team forecast'!$B$2:$AO$26,MATCH('Master data'!$B526,'Team forecast'!$B$2:$B$26,0),MATCH('Master data'!BH$1,'Team forecast'!$B$2:$AO$2,0))</f>
        <v>2.4394679411923308</v>
      </c>
      <c r="BI526" s="16">
        <f>INDEX('Team forecast'!$B$2:$AO$26,MATCH('Master data'!$B526,'Team forecast'!$B$2:$B$26,0),MATCH('Master data'!BI$1,'Team forecast'!$B$2:$AO$2,0))</f>
        <v>5.8616895100097475</v>
      </c>
      <c r="BJ526" s="5">
        <f t="shared" si="327"/>
        <v>-5000</v>
      </c>
      <c r="BK526" s="5">
        <f>INDEX('Team forecast'!$R$3:$BH$26,MATCH($B526,'Team forecast'!$B$3:$B$26,0),MATCH(BK$1,'Team forecast'!$R$2:$BH$2,0))*IF($X526&gt;0,25000,0)</f>
        <v>0</v>
      </c>
      <c r="BL526" s="5">
        <f>INDEX('Team forecast'!$R$3:$BH$26,MATCH($B526,'Team forecast'!$B$3:$B$26,0),MATCH(BL$1,'Team forecast'!$R$2:$BH$2,0))*IF($X526&gt;0,5000,0)</f>
        <v>0</v>
      </c>
      <c r="BM526" s="5">
        <f>INDEX('Team forecast'!$R$3:$BH$26,MATCH($B526,'Team forecast'!$B$3:$B$26,0),MATCH(BM$1,'Team forecast'!$R$2:$BH$2,0))*IF($X526&gt;0,-15000,0)</f>
        <v>0</v>
      </c>
      <c r="BN526" s="5">
        <f t="shared" si="328"/>
        <v>0</v>
      </c>
      <c r="BO526" s="5">
        <f t="shared" si="329"/>
        <v>0</v>
      </c>
      <c r="BP526" s="5">
        <f t="shared" si="330"/>
        <v>0</v>
      </c>
      <c r="BQ526" s="5">
        <f t="shared" si="331"/>
        <v>0</v>
      </c>
      <c r="BR526" s="5">
        <f t="shared" si="332"/>
        <v>0</v>
      </c>
      <c r="BS526" s="5">
        <f t="shared" si="333"/>
        <v>0</v>
      </c>
      <c r="BT526" s="5">
        <f t="shared" si="334"/>
        <v>0</v>
      </c>
      <c r="BU526" s="5">
        <f t="shared" si="335"/>
        <v>0</v>
      </c>
      <c r="BV526" s="5">
        <f t="shared" si="336"/>
        <v>0</v>
      </c>
      <c r="BW526" s="5">
        <f t="shared" si="337"/>
        <v>-5000</v>
      </c>
      <c r="BX526" s="5">
        <f t="shared" si="338"/>
        <v>-5000</v>
      </c>
      <c r="BY526" s="5">
        <f t="shared" si="339"/>
        <v>-15000</v>
      </c>
      <c r="BZ526" s="5">
        <f>INDEX('Team forecast'!$R$3:$BH$26,MATCH($B526,'Team forecast'!$B$3:$B$26,0),MATCH(BZ$1,'Team forecast'!$R$2:$BH$2,0))*($BX526-(BY526+CH526)*0.01)</f>
        <v>-12612.846989964777</v>
      </c>
      <c r="CA526" s="5">
        <f>INDEX('Team forecast'!$R$3:$BH$26,MATCH($B526,'Team forecast'!$B$3:$B$26,0),MATCH(CA$1,'Team forecast'!$R$2:$BH$2,0))*($BX526-(BY526+BX526+CH526)*0.01)</f>
        <v>-6187.8677727735048</v>
      </c>
      <c r="CB526" s="5">
        <f>INDEX('Team forecast'!$R$3:$BH$26,MATCH($B526,'Team forecast'!$B$3:$B$26,0),MATCH(CB$1,'Team forecast'!$R$2:$BH$2,0))*($BX526-(BY526+BX526*2+CH526)*0.01)</f>
        <v>-2988.2577161506028</v>
      </c>
      <c r="CC526" s="5">
        <f>INDEX('Team forecast'!$R$3:$BH$26,MATCH($B526,'Team forecast'!$B$3:$B$26,0),MATCH(CC$1,'Team forecast'!$R$2:$BH$2,0))*($BX526-(BY526+BX526*3+CH526)*0.01)</f>
        <v>-1363.1462523143489</v>
      </c>
      <c r="CD526" s="5">
        <f>+AK526+BD526*Cockpit!$C$3+BW526*Cockpit!$C$3^2+BZ526*Cockpit!$C$3^3+CA526*Cockpit!$C$3^4+CB526*Cockpit!$C$3^5+CC526*Cockpit!$C$3^6</f>
        <v>-16028.178340206243</v>
      </c>
      <c r="CE526" s="5"/>
      <c r="CF526" s="5"/>
      <c r="CG526" s="5">
        <v>0</v>
      </c>
      <c r="CH526" s="5">
        <f t="shared" si="340"/>
        <v>2000000</v>
      </c>
      <c r="CI526" s="5">
        <f t="shared" si="341"/>
        <v>2000000</v>
      </c>
      <c r="CJ526" s="1">
        <f t="shared" si="342"/>
        <v>-7.4999999999999997E-3</v>
      </c>
      <c r="CK526" s="5">
        <f>RANK(BY526,$BY$2:$BY$623)+COUNTIF($BY$2:$BY526,$BY526)-1</f>
        <v>587</v>
      </c>
      <c r="CL526" s="5">
        <f>RANK(CJ526,$CJ$2:$CJ$623)+COUNTIF($CJ$2:$CJ526,$CJ526)-1</f>
        <v>602</v>
      </c>
    </row>
    <row r="527" spans="1:90">
      <c r="A527" t="str">
        <f>Players!P528</f>
        <v>Alex Kral</v>
      </c>
      <c r="B527" t="str">
        <f>Players!G528</f>
        <v>Czech Republic</v>
      </c>
      <c r="C527" t="str">
        <f>Players!AB528</f>
        <v>Midfield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1.0683489057066333</v>
      </c>
      <c r="I527" s="16">
        <f>INDEX('Team forecast'!$B$2:$AO$26,MATCH('Master data'!$B527,'Team forecast'!$B$2:$B$26,0),MATCH('Master data'!I$1,'Team forecast'!$B$2:$AO$2,0))</f>
        <v>1.0237318402178264</v>
      </c>
      <c r="J527" s="16">
        <f>INDEX('Team forecast'!$B$2:$AO$26,MATCH('Master data'!$B527,'Team forecast'!$B$2:$B$26,0),MATCH('Master data'!J$1,'Team forecast'!$B$2:$AO$2,0))</f>
        <v>0.35925176528884672</v>
      </c>
      <c r="K527" s="16">
        <f>INDEX('Team forecast'!$B$2:$AO$26,MATCH('Master data'!$B527,'Team forecast'!$B$2:$B$26,0),MATCH('Master data'!K$1,'Team forecast'!$B$2:$AO$2,0))</f>
        <v>3.1557383060872861</v>
      </c>
      <c r="L527" s="16">
        <f>INDEX('Team forecast'!$B$2:$AO$26,MATCH('Master data'!$B527,'Team forecast'!$B$2:$B$26,0),MATCH('Master data'!L$1,'Team forecast'!$B$2:$AO$2,0))</f>
        <v>2.685366937656811</v>
      </c>
      <c r="M527">
        <f>IF(Players!BC528=1,95,0)</f>
        <v>95</v>
      </c>
      <c r="N527" s="2">
        <f>Players!BN528</f>
        <v>7.2457441440575476E-2</v>
      </c>
      <c r="O527" s="2">
        <f>Players!BO528</f>
        <v>7.1557895418172979E-2</v>
      </c>
      <c r="P527" s="2">
        <f>Players!BP528</f>
        <v>0</v>
      </c>
      <c r="Q527" s="2">
        <f>Players!BQ528</f>
        <v>1.3888888888888888E-2</v>
      </c>
      <c r="R527" s="2">
        <f>Players!BR528</f>
        <v>0</v>
      </c>
      <c r="S527" s="2">
        <f t="shared" si="301"/>
        <v>1.0683489057066333</v>
      </c>
      <c r="T527" s="2">
        <f t="shared" si="302"/>
        <v>1.0237318402178264</v>
      </c>
      <c r="U527" s="16">
        <f>INDEX('Team forecast'!$B$2:$AO$26,MATCH('Master data'!$B527,'Team forecast'!$B$2:$B$26,0),MATCH('Master data'!U$1,'Team forecast'!$B$2:$AO$2,0))</f>
        <v>0.35925176528884672</v>
      </c>
      <c r="V527" s="16">
        <f>INDEX('Team forecast'!$B$2:$AO$26,MATCH('Master data'!$B527,'Team forecast'!$B$2:$B$26,0),MATCH('Master data'!V$1,'Team forecast'!$B$2:$AO$2,0))</f>
        <v>0.31494404756988892</v>
      </c>
      <c r="W527" s="16">
        <f>INDEX('Team forecast'!$B$2:$AO$26,MATCH('Master data'!$B527,'Team forecast'!$B$2:$B$26,0),MATCH('Master data'!W$1,'Team forecast'!$B$2:$AO$2,0))</f>
        <v>0.32580418714126441</v>
      </c>
      <c r="X527" s="5">
        <f t="shared" si="303"/>
        <v>7000</v>
      </c>
      <c r="Y527" s="5">
        <f t="shared" si="304"/>
        <v>8981.2941322211682</v>
      </c>
      <c r="Z527" s="5">
        <f t="shared" si="305"/>
        <v>1574.7202378494446</v>
      </c>
      <c r="AA527" s="5">
        <f t="shared" si="306"/>
        <v>-4887.0628071189658</v>
      </c>
      <c r="AB527" s="5">
        <f t="shared" si="307"/>
        <v>9676.2285341676597</v>
      </c>
      <c r="AC527" s="5">
        <f t="shared" si="308"/>
        <v>3822.4399632337404</v>
      </c>
      <c r="AD527" s="5">
        <f t="shared" si="309"/>
        <v>0</v>
      </c>
      <c r="AE527" s="5">
        <f t="shared" si="310"/>
        <v>0</v>
      </c>
      <c r="AF527" s="5">
        <f t="shared" si="311"/>
        <v>0</v>
      </c>
      <c r="AG527" s="5">
        <f t="shared" si="312"/>
        <v>-277.77777777777777</v>
      </c>
      <c r="AH527" s="5">
        <f t="shared" si="313"/>
        <v>0</v>
      </c>
      <c r="AI527" s="5">
        <f t="shared" si="314"/>
        <v>10683.489057066334</v>
      </c>
      <c r="AJ527" s="5">
        <f t="shared" si="315"/>
        <v>-8189.8547217426112</v>
      </c>
      <c r="AK527" s="5">
        <f>IFERROR(SUM(X527:AJ527),-5000)*((Cockpit!$C$3)^0)</f>
        <v>28383.476617898996</v>
      </c>
      <c r="AL527" s="16">
        <f>INDEX('Team forecast'!$B$2:$AO$26,MATCH('Master data'!$B527,'Team forecast'!$B$2:$B$26,0),MATCH('Master data'!AL$1,'Team forecast'!$B$2:$AO$2,0))</f>
        <v>0.97920455728472433</v>
      </c>
      <c r="AM527" s="16">
        <f>INDEX('Team forecast'!$B$2:$AO$26,MATCH('Master data'!$B527,'Team forecast'!$B$2:$B$26,0),MATCH('Master data'!AM$1,'Team forecast'!$B$2:$AO$2,0))</f>
        <v>1.3846696653928885</v>
      </c>
      <c r="AN527" s="16">
        <f>INDEX('Team forecast'!$B$2:$AO$26,MATCH('Master data'!$B527,'Team forecast'!$B$2:$B$26,0),MATCH('Master data'!AN$1,'Team forecast'!$B$2:$AO$2,0))</f>
        <v>0.25040650406504072</v>
      </c>
      <c r="AO527" s="16">
        <f>INDEX('Team forecast'!$B$2:$AO$26,MATCH('Master data'!$B527,'Team forecast'!$B$2:$B$26,0),MATCH('Master data'!AO$1,'Team forecast'!$B$2:$AO$2,0))</f>
        <v>2.8924196153641089</v>
      </c>
      <c r="AP527" s="16">
        <f>INDEX('Team forecast'!$B$2:$AO$26,MATCH('Master data'!$B527,'Team forecast'!$B$2:$B$26,0),MATCH('Master data'!AP$1,'Team forecast'!$B$2:$AO$2,0))</f>
        <v>3.6321485695230544</v>
      </c>
      <c r="AQ527" s="5">
        <f t="shared" si="316"/>
        <v>7000</v>
      </c>
      <c r="AR527" s="5">
        <f>INDEX('Team forecast'!$B$2:$AO$26,MATCH('Master data'!$B527,'Team forecast'!$B$2:$B$26,0),MATCH('Master data'!AR$1,'Team forecast'!$B$2:$AO$2,0))*IF(X527&gt;0,25000,0)</f>
        <v>6707.3170731707323</v>
      </c>
      <c r="AS527" s="16">
        <f>INDEX('Team forecast'!$B$2:$AO$26,MATCH('Master data'!$B527,'Team forecast'!$B$2:$B$26,0),MATCH('Master data'!AS$1,'Team forecast'!$B$2:$AO$2,0))*IF(X527&gt;0,5000,0)</f>
        <v>1422.7642276422764</v>
      </c>
      <c r="AT527" s="16">
        <f>INDEX('Team forecast'!$B$2:$AO$26,MATCH('Master data'!$B527,'Team forecast'!$B$2:$B$26,0),MATCH('Master data'!AT$1,'Team forecast'!$B$2:$AO$2,0))*IF(X527&gt;0,-15000,0)</f>
        <v>-6707.3170731707305</v>
      </c>
      <c r="AU527" s="5">
        <f t="shared" si="317"/>
        <v>8868.8321084753188</v>
      </c>
      <c r="AV527" s="5">
        <f t="shared" si="318"/>
        <v>3503.4908651589335</v>
      </c>
      <c r="AW527" s="5">
        <f t="shared" si="319"/>
        <v>0</v>
      </c>
      <c r="AX527" s="5">
        <f t="shared" si="320"/>
        <v>0</v>
      </c>
      <c r="AY527" s="5">
        <f t="shared" si="321"/>
        <v>0</v>
      </c>
      <c r="AZ527" s="5">
        <f t="shared" si="322"/>
        <v>-277.77777777777777</v>
      </c>
      <c r="BA527" s="5">
        <f t="shared" si="323"/>
        <v>0</v>
      </c>
      <c r="BB527" s="5">
        <f t="shared" si="324"/>
        <v>9792.0455728472425</v>
      </c>
      <c r="BC527" s="5">
        <f t="shared" si="325"/>
        <v>-11077.357323143107</v>
      </c>
      <c r="BD527" s="5">
        <f t="shared" si="326"/>
        <v>19231.997673202888</v>
      </c>
      <c r="BE527" s="16">
        <f>INDEX('Team forecast'!$B$2:$AO$26,MATCH('Master data'!$B527,'Team forecast'!$B$2:$B$26,0),MATCH('Master data'!BE$1,'Team forecast'!$B$2:$AO$2,0))</f>
        <v>0.82586154259115363</v>
      </c>
      <c r="BF527" s="16">
        <f>INDEX('Team forecast'!$B$2:$AO$26,MATCH('Master data'!$B527,'Team forecast'!$B$2:$B$26,0),MATCH('Master data'!BF$1,'Team forecast'!$B$2:$AO$2,0))</f>
        <v>2.2346287595631029</v>
      </c>
      <c r="BG527" s="16">
        <f>INDEX('Team forecast'!$B$2:$AO$26,MATCH('Master data'!$B527,'Team forecast'!$B$2:$B$26,0),MATCH('Master data'!BG$1,'Team forecast'!$B$2:$AO$2,0))</f>
        <v>0.107031857031857</v>
      </c>
      <c r="BH527" s="16">
        <f>INDEX('Team forecast'!$B$2:$AO$26,MATCH('Master data'!$B527,'Team forecast'!$B$2:$B$26,0),MATCH('Master data'!BH$1,'Team forecast'!$B$2:$AO$2,0))</f>
        <v>2.4394679411923308</v>
      </c>
      <c r="BI527" s="16">
        <f>INDEX('Team forecast'!$B$2:$AO$26,MATCH('Master data'!$B527,'Team forecast'!$B$2:$B$26,0),MATCH('Master data'!BI$1,'Team forecast'!$B$2:$AO$2,0))</f>
        <v>5.8616895100097475</v>
      </c>
      <c r="BJ527" s="5">
        <f t="shared" si="327"/>
        <v>7000</v>
      </c>
      <c r="BK527" s="5">
        <f>INDEX('Team forecast'!$R$3:$BH$26,MATCH($B527,'Team forecast'!$B$3:$B$26,0),MATCH(BK$1,'Team forecast'!$R$2:$BH$2,0))*IF($X527&gt;0,25000,0)</f>
        <v>3321.6783216783224</v>
      </c>
      <c r="BL527" s="5">
        <f>INDEX('Team forecast'!$R$3:$BH$26,MATCH($B527,'Team forecast'!$B$3:$B$26,0),MATCH(BL$1,'Team forecast'!$R$2:$BH$2,0))*IF($X527&gt;0,5000,0)</f>
        <v>1013.9860139860141</v>
      </c>
      <c r="BM527" s="5">
        <f>INDEX('Team forecast'!$R$3:$BH$26,MATCH($B527,'Team forecast'!$B$3:$B$26,0),MATCH(BM$1,'Team forecast'!$R$2:$BH$2,0))*IF($X527&gt;0,-15000,0)</f>
        <v>-9965.0349650349635</v>
      </c>
      <c r="BN527" s="5">
        <f t="shared" si="328"/>
        <v>7479.9767950402311</v>
      </c>
      <c r="BO527" s="5">
        <f t="shared" si="329"/>
        <v>2954.8456947314389</v>
      </c>
      <c r="BP527" s="5">
        <f t="shared" si="330"/>
        <v>0</v>
      </c>
      <c r="BQ527" s="5">
        <f t="shared" si="331"/>
        <v>0</v>
      </c>
      <c r="BR527" s="5">
        <f t="shared" si="332"/>
        <v>0</v>
      </c>
      <c r="BS527" s="5">
        <f t="shared" si="333"/>
        <v>-277.77777777777777</v>
      </c>
      <c r="BT527" s="5">
        <f t="shared" si="334"/>
        <v>0</v>
      </c>
      <c r="BU527" s="5">
        <f t="shared" si="335"/>
        <v>8258.6154259115356</v>
      </c>
      <c r="BV527" s="5">
        <f t="shared" si="336"/>
        <v>-17877.030076504823</v>
      </c>
      <c r="BW527" s="5">
        <f t="shared" si="337"/>
        <v>1909.2594320299759</v>
      </c>
      <c r="BX527" s="5">
        <f t="shared" si="338"/>
        <v>16508.244574377288</v>
      </c>
      <c r="BY527" s="5">
        <f t="shared" si="339"/>
        <v>49524.733723131867</v>
      </c>
      <c r="BZ527" s="5">
        <f>INDEX('Team forecast'!$R$3:$BH$26,MATCH($B527,'Team forecast'!$B$3:$B$26,0),MATCH(BZ$1,'Team forecast'!$R$2:$BH$2,0))*($BX527-(BY527+CH527)*0.01)</f>
        <v>-4561.4362473347546</v>
      </c>
      <c r="CA527" s="5">
        <f>INDEX('Team forecast'!$R$3:$BH$26,MATCH($B527,'Team forecast'!$B$3:$B$26,0),MATCH(CA$1,'Team forecast'!$R$2:$BH$2,0))*($BX527-(BY527+BX527+CH527)*0.01)</f>
        <v>-2283.5440772564289</v>
      </c>
      <c r="CB527" s="5">
        <f>INDEX('Team forecast'!$R$3:$BH$26,MATCH($B527,'Team forecast'!$B$3:$B$26,0),MATCH(CB$1,'Team forecast'!$R$2:$BH$2,0))*($BX527-(BY527+BX527*2+CH527)*0.01)</f>
        <v>-1124.9332580103044</v>
      </c>
      <c r="CC527" s="5">
        <f>INDEX('Team forecast'!$R$3:$BH$26,MATCH($B527,'Team forecast'!$B$3:$B$26,0),MATCH(CC$1,'Team forecast'!$R$2:$BH$2,0))*($BX527-(BY527+BX527*3+CH527)*0.01)</f>
        <v>-523.30743673840925</v>
      </c>
      <c r="CD527" s="5">
        <f>+AK527+BD527*Cockpit!$C$3+BW527*Cockpit!$C$3^2+BZ527*Cockpit!$C$3^3+CA527*Cockpit!$C$3^4+CB527*Cockpit!$C$3^5+CC527*Cockpit!$C$3^6</f>
        <v>40056.679745313028</v>
      </c>
      <c r="CE527" s="5"/>
      <c r="CF527" s="5"/>
      <c r="CG527" s="5">
        <v>0</v>
      </c>
      <c r="CH527" s="5">
        <f t="shared" si="340"/>
        <v>2500000</v>
      </c>
      <c r="CI527" s="5">
        <f t="shared" si="341"/>
        <v>2500000</v>
      </c>
      <c r="CJ527" s="1">
        <f t="shared" si="342"/>
        <v>1.9809893489252748E-2</v>
      </c>
      <c r="CK527" s="5">
        <f>RANK(BY527,$BY$2:$BY$623)+COUNTIF($BY$2:$BY527,$BY527)-1</f>
        <v>292</v>
      </c>
      <c r="CL527" s="5">
        <f>RANK(CJ527,$CJ$2:$CJ$623)+COUNTIF($CJ$2:$CJ527,$CJ527)-1</f>
        <v>263</v>
      </c>
    </row>
    <row r="528" spans="1:90">
      <c r="A528" t="str">
        <f>Players!P529</f>
        <v>Zeki Çelik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0.65422581624273402</v>
      </c>
      <c r="I528" s="16">
        <f>INDEX('Team forecast'!$B$2:$AO$26,MATCH('Master data'!$B528,'Team forecast'!$B$2:$B$26,0),MATCH('Master data'!I$1,'Team forecast'!$B$2:$AO$2,0))</f>
        <v>1.6593477618235051</v>
      </c>
      <c r="J528" s="16">
        <f>INDEX('Team forecast'!$B$2:$AO$26,MATCH('Master data'!$B528,'Team forecast'!$B$2:$B$26,0),MATCH('Master data'!J$1,'Team forecast'!$B$2:$AO$2,0))</f>
        <v>0.19026303645592979</v>
      </c>
      <c r="K528" s="16">
        <f>INDEX('Team forecast'!$B$2:$AO$26,MATCH('Master data'!$B528,'Team forecast'!$B$2:$B$26,0),MATCH('Master data'!K$1,'Team forecast'!$B$2:$AO$2,0))</f>
        <v>1.7429374799138486</v>
      </c>
      <c r="L528" s="16">
        <f>INDEX('Team forecast'!$B$2:$AO$26,MATCH('Master data'!$B528,'Team forecast'!$B$2:$B$26,0),MATCH('Master data'!L$1,'Team forecast'!$B$2:$AO$2,0))</f>
        <v>4.1860818536911157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0.27569066555043953</v>
      </c>
      <c r="R528" s="2">
        <f>Players!BR529</f>
        <v>0</v>
      </c>
      <c r="S528" s="2">
        <f t="shared" si="301"/>
        <v>0.65422581624273402</v>
      </c>
      <c r="T528" s="2">
        <f t="shared" si="302"/>
        <v>1.6593477618235051</v>
      </c>
      <c r="U528" s="16">
        <f>INDEX('Team forecast'!$B$2:$AO$26,MATCH('Master data'!$B528,'Team forecast'!$B$2:$B$26,0),MATCH('Master data'!U$1,'Team forecast'!$B$2:$AO$2,0))</f>
        <v>0.13590216889709281</v>
      </c>
      <c r="V528" s="16">
        <f>INDEX('Team forecast'!$B$2:$AO$26,MATCH('Master data'!$B528,'Team forecast'!$B$2:$B$26,0),MATCH('Master data'!V$1,'Team forecast'!$B$2:$AO$2,0))</f>
        <v>0.25034610059990769</v>
      </c>
      <c r="W528" s="16">
        <f>INDEX('Team forecast'!$B$2:$AO$26,MATCH('Master data'!$B528,'Team forecast'!$B$2:$B$26,0),MATCH('Master data'!W$1,'Team forecast'!$B$2:$AO$2,0))</f>
        <v>0.61375173050299947</v>
      </c>
      <c r="X528" s="5">
        <f t="shared" si="303"/>
        <v>-5000</v>
      </c>
      <c r="Y528" s="5">
        <f t="shared" si="304"/>
        <v>0</v>
      </c>
      <c r="Z528" s="5">
        <f t="shared" si="305"/>
        <v>0</v>
      </c>
      <c r="AA528" s="5">
        <f t="shared" si="306"/>
        <v>0</v>
      </c>
      <c r="AB528" s="5">
        <f t="shared" si="307"/>
        <v>0</v>
      </c>
      <c r="AC528" s="5">
        <f t="shared" si="308"/>
        <v>0</v>
      </c>
      <c r="AD528" s="5">
        <f t="shared" si="309"/>
        <v>0</v>
      </c>
      <c r="AE528" s="5">
        <f t="shared" si="310"/>
        <v>9513.1518227964898</v>
      </c>
      <c r="AF528" s="5">
        <f t="shared" si="311"/>
        <v>0</v>
      </c>
      <c r="AG528" s="5">
        <f t="shared" si="312"/>
        <v>0</v>
      </c>
      <c r="AH528" s="5">
        <f t="shared" si="313"/>
        <v>0</v>
      </c>
      <c r="AI528" s="5">
        <f t="shared" si="314"/>
        <v>0</v>
      </c>
      <c r="AJ528" s="5">
        <f t="shared" si="315"/>
        <v>0</v>
      </c>
      <c r="AK528" s="5">
        <f>IFERROR(SUM(X528:AJ528),-5000)*((Cockpit!$C$3)^0)</f>
        <v>4513.1518227964898</v>
      </c>
      <c r="AL528" s="16">
        <f>INDEX('Team forecast'!$B$2:$AO$26,MATCH('Master data'!$B528,'Team forecast'!$B$2:$B$26,0),MATCH('Master data'!AL$1,'Team forecast'!$B$2:$AO$2,0))</f>
        <v>1.2847203648825669</v>
      </c>
      <c r="AM528" s="16">
        <f>INDEX('Team forecast'!$B$2:$AO$26,MATCH('Master data'!$B528,'Team forecast'!$B$2:$B$26,0),MATCH('Master data'!AM$1,'Team forecast'!$B$2:$AO$2,0))</f>
        <v>1.0279287794501248</v>
      </c>
      <c r="AN528" s="16">
        <f>INDEX('Team forecast'!$B$2:$AO$26,MATCH('Master data'!$B528,'Team forecast'!$B$2:$B$26,0),MATCH('Master data'!AN$1,'Team forecast'!$B$2:$AO$2,0))</f>
        <v>0.35774716702311499</v>
      </c>
      <c r="AO528" s="16">
        <f>INDEX('Team forecast'!$B$2:$AO$26,MATCH('Master data'!$B528,'Team forecast'!$B$2:$B$26,0),MATCH('Master data'!AO$1,'Team forecast'!$B$2:$AO$2,0))</f>
        <v>3.4226519644581361</v>
      </c>
      <c r="AP528" s="16">
        <f>INDEX('Team forecast'!$B$2:$AO$26,MATCH('Master data'!$B528,'Team forecast'!$B$2:$B$26,0),MATCH('Master data'!AP$1,'Team forecast'!$B$2:$AO$2,0))</f>
        <v>2.5931839663400877</v>
      </c>
      <c r="AQ528" s="5">
        <f t="shared" si="316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317"/>
        <v>0</v>
      </c>
      <c r="AV528" s="5">
        <f t="shared" si="318"/>
        <v>0</v>
      </c>
      <c r="AW528" s="5">
        <f t="shared" si="319"/>
        <v>0</v>
      </c>
      <c r="AX528" s="5">
        <f t="shared" si="320"/>
        <v>17887.358351155748</v>
      </c>
      <c r="AY528" s="5">
        <f t="shared" si="321"/>
        <v>0</v>
      </c>
      <c r="AZ528" s="5">
        <f t="shared" si="322"/>
        <v>0</v>
      </c>
      <c r="BA528" s="5">
        <f t="shared" si="323"/>
        <v>0</v>
      </c>
      <c r="BB528" s="5">
        <f t="shared" si="324"/>
        <v>0</v>
      </c>
      <c r="BC528" s="5">
        <f t="shared" si="325"/>
        <v>0</v>
      </c>
      <c r="BD528" s="5">
        <f t="shared" si="326"/>
        <v>12887.358351155748</v>
      </c>
      <c r="BE528" s="16">
        <f>INDEX('Team forecast'!$B$2:$AO$26,MATCH('Master data'!$B528,'Team forecast'!$B$2:$B$26,0),MATCH('Master data'!BE$1,'Team forecast'!$B$2:$AO$2,0))</f>
        <v>1.2246875509143662</v>
      </c>
      <c r="BF528" s="16">
        <f>INDEX('Team forecast'!$B$2:$AO$26,MATCH('Master data'!$B528,'Team forecast'!$B$2:$B$26,0),MATCH('Master data'!BF$1,'Team forecast'!$B$2:$AO$2,0))</f>
        <v>1.3677883945550393</v>
      </c>
      <c r="BG528" s="16">
        <f>INDEX('Team forecast'!$B$2:$AO$26,MATCH('Master data'!$B528,'Team forecast'!$B$2:$B$26,0),MATCH('Master data'!BG$1,'Team forecast'!$B$2:$AO$2,0))</f>
        <v>0.25466956579034061</v>
      </c>
      <c r="BH528" s="16">
        <f>INDEX('Team forecast'!$B$2:$AO$26,MATCH('Master data'!$B528,'Team forecast'!$B$2:$B$26,0),MATCH('Master data'!BH$1,'Team forecast'!$B$2:$AO$2,0))</f>
        <v>3.2627172157947619</v>
      </c>
      <c r="BI528" s="16">
        <f>INDEX('Team forecast'!$B$2:$AO$26,MATCH('Master data'!$B528,'Team forecast'!$B$2:$B$26,0),MATCH('Master data'!BI$1,'Team forecast'!$B$2:$AO$2,0))</f>
        <v>3.4505570862638493</v>
      </c>
      <c r="BJ528" s="5">
        <f t="shared" si="327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328"/>
        <v>0</v>
      </c>
      <c r="BO528" s="5">
        <f t="shared" si="329"/>
        <v>0</v>
      </c>
      <c r="BP528" s="5">
        <f t="shared" si="330"/>
        <v>0</v>
      </c>
      <c r="BQ528" s="5">
        <f t="shared" si="331"/>
        <v>12733.47828951703</v>
      </c>
      <c r="BR528" s="5">
        <f t="shared" si="332"/>
        <v>0</v>
      </c>
      <c r="BS528" s="5">
        <f t="shared" si="333"/>
        <v>0</v>
      </c>
      <c r="BT528" s="5">
        <f t="shared" si="334"/>
        <v>0</v>
      </c>
      <c r="BU528" s="5">
        <f t="shared" si="335"/>
        <v>0</v>
      </c>
      <c r="BV528" s="5">
        <f t="shared" si="336"/>
        <v>0</v>
      </c>
      <c r="BW528" s="5">
        <f t="shared" si="337"/>
        <v>7733.4782895170301</v>
      </c>
      <c r="BX528" s="5">
        <f t="shared" si="338"/>
        <v>8377.9961544897542</v>
      </c>
      <c r="BY528" s="5">
        <f t="shared" si="339"/>
        <v>25133.988463469264</v>
      </c>
      <c r="BZ528" s="5">
        <f>INDEX('Team forecast'!$R$3:$BH$26,MATCH($B528,'Team forecast'!$B$3:$B$26,0),MATCH(BZ$1,'Team forecast'!$R$2:$BH$2,0))*($BX528-(BY528+CH528)*0.01)</f>
        <v>-10195.501709178865</v>
      </c>
      <c r="CA528" s="5">
        <f>INDEX('Team forecast'!$R$3:$BH$26,MATCH($B528,'Team forecast'!$B$3:$B$26,0),MATCH(CA$1,'Team forecast'!$R$2:$BH$2,0))*($BX528-(BY528+BX528+CH528)*0.01)</f>
        <v>-5051.2001920312978</v>
      </c>
      <c r="CB528" s="5">
        <f>INDEX('Team forecast'!$R$3:$BH$26,MATCH($B528,'Team forecast'!$B$3:$B$26,0),MATCH(CB$1,'Team forecast'!$R$2:$BH$2,0))*($BX528-(BY528+BX528*2+CH528)*0.01)</f>
        <v>-2470.1091884299817</v>
      </c>
      <c r="CC528" s="5">
        <f>INDEX('Team forecast'!$R$3:$BH$26,MATCH($B528,'Team forecast'!$B$3:$B$26,0),MATCH(CC$1,'Team forecast'!$R$2:$BH$2,0))*($BX528-(BY528+BX528*3+CH528)*0.01)</f>
        <v>-1153.0513276952543</v>
      </c>
      <c r="CD528" s="5">
        <f>+AK528+BD528*Cockpit!$C$3+BW528*Cockpit!$C$3^2+BZ528*Cockpit!$C$3^3+CA528*Cockpit!$C$3^4+CB528*Cockpit!$C$3^5+CC528*Cockpit!$C$3^6</f>
        <v>12096.658215894286</v>
      </c>
      <c r="CE528" s="5"/>
      <c r="CF528" s="5"/>
      <c r="CG528" s="5">
        <v>0</v>
      </c>
      <c r="CH528" s="5">
        <f t="shared" si="340"/>
        <v>2500000</v>
      </c>
      <c r="CI528" s="5">
        <f t="shared" si="341"/>
        <v>2500000</v>
      </c>
      <c r="CJ528" s="1">
        <f t="shared" si="342"/>
        <v>1.0053595385387706E-2</v>
      </c>
      <c r="CK528" s="5">
        <f>RANK(BY528,$BY$2:$BY$623)+COUNTIF($BY$2:$BY528,$BY528)-1</f>
        <v>366</v>
      </c>
      <c r="CL528" s="5">
        <f>RANK(CJ528,$CJ$2:$CJ$623)+COUNTIF($CJ$2:$CJ528,$CJ528)-1</f>
        <v>361</v>
      </c>
    </row>
    <row r="529" spans="1:90">
      <c r="A529" t="str">
        <f>Players!P530</f>
        <v>Kaan Ayhan</v>
      </c>
      <c r="B529" t="str">
        <f>Players!G530</f>
        <v>Turkey</v>
      </c>
      <c r="C529" t="str">
        <f>Players!AB530</f>
        <v>Defense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0.65422581624273402</v>
      </c>
      <c r="I529" s="16">
        <f>INDEX('Team forecast'!$B$2:$AO$26,MATCH('Master data'!$B529,'Team forecast'!$B$2:$B$26,0),MATCH('Master data'!I$1,'Team forecast'!$B$2:$AO$2,0))</f>
        <v>1.6593477618235051</v>
      </c>
      <c r="J529" s="16">
        <f>INDEX('Team forecast'!$B$2:$AO$26,MATCH('Master data'!$B529,'Team forecast'!$B$2:$B$26,0),MATCH('Master data'!J$1,'Team forecast'!$B$2:$AO$2,0))</f>
        <v>0.19026303645592979</v>
      </c>
      <c r="K529" s="16">
        <f>INDEX('Team forecast'!$B$2:$AO$26,MATCH('Master data'!$B529,'Team forecast'!$B$2:$B$26,0),MATCH('Master data'!K$1,'Team forecast'!$B$2:$AO$2,0))</f>
        <v>1.7429374799138486</v>
      </c>
      <c r="L529" s="16">
        <f>INDEX('Team forecast'!$B$2:$AO$26,MATCH('Master data'!$B529,'Team forecast'!$B$2:$B$26,0),MATCH('Master data'!L$1,'Team forecast'!$B$2:$AO$2,0))</f>
        <v>4.1860818536911157</v>
      </c>
      <c r="M529">
        <f>IF(Players!BC530=1,95,0)</f>
        <v>95</v>
      </c>
      <c r="N529" s="2">
        <f>Players!BN530</f>
        <v>2.2808652923184302E-2</v>
      </c>
      <c r="O529" s="2">
        <f>Players!BO530</f>
        <v>9.3491595246492053E-3</v>
      </c>
      <c r="P529" s="2">
        <f>Players!BP530</f>
        <v>0</v>
      </c>
      <c r="Q529" s="2">
        <f>Players!BQ530</f>
        <v>0.32921319796954313</v>
      </c>
      <c r="R529" s="2">
        <f>Players!BR530</f>
        <v>0</v>
      </c>
      <c r="S529" s="2">
        <f t="shared" si="301"/>
        <v>0.65422581624273402</v>
      </c>
      <c r="T529" s="2">
        <f t="shared" si="302"/>
        <v>1.6593477618235051</v>
      </c>
      <c r="U529" s="16">
        <f>INDEX('Team forecast'!$B$2:$AO$26,MATCH('Master data'!$B529,'Team forecast'!$B$2:$B$26,0),MATCH('Master data'!U$1,'Team forecast'!$B$2:$AO$2,0))</f>
        <v>0.13590216889709281</v>
      </c>
      <c r="V529" s="16">
        <f>INDEX('Team forecast'!$B$2:$AO$26,MATCH('Master data'!$B529,'Team forecast'!$B$2:$B$26,0),MATCH('Master data'!V$1,'Team forecast'!$B$2:$AO$2,0))</f>
        <v>0.25034610059990769</v>
      </c>
      <c r="W529" s="16">
        <f>INDEX('Team forecast'!$B$2:$AO$26,MATCH('Master data'!$B529,'Team forecast'!$B$2:$B$26,0),MATCH('Master data'!W$1,'Team forecast'!$B$2:$AO$2,0))</f>
        <v>0.61375173050299947</v>
      </c>
      <c r="X529" s="5">
        <f t="shared" si="303"/>
        <v>7000</v>
      </c>
      <c r="Y529" s="5">
        <f t="shared" si="304"/>
        <v>3397.5542224273204</v>
      </c>
      <c r="Z529" s="5">
        <f t="shared" si="305"/>
        <v>1251.7305029995384</v>
      </c>
      <c r="AA529" s="5">
        <f t="shared" si="306"/>
        <v>-9206.2759575449927</v>
      </c>
      <c r="AB529" s="5">
        <f t="shared" si="307"/>
        <v>2238.3014364101209</v>
      </c>
      <c r="AC529" s="5">
        <f t="shared" si="308"/>
        <v>305.8230760598579</v>
      </c>
      <c r="AD529" s="5">
        <f t="shared" si="309"/>
        <v>0</v>
      </c>
      <c r="AE529" s="5">
        <f t="shared" si="310"/>
        <v>9513.1518227964898</v>
      </c>
      <c r="AF529" s="5">
        <f t="shared" si="311"/>
        <v>0</v>
      </c>
      <c r="AG529" s="5">
        <f t="shared" si="312"/>
        <v>-6584.2639593908625</v>
      </c>
      <c r="AH529" s="5">
        <f t="shared" si="313"/>
        <v>0</v>
      </c>
      <c r="AI529" s="5">
        <f t="shared" si="314"/>
        <v>6542.2581624273398</v>
      </c>
      <c r="AJ529" s="5">
        <f t="shared" si="315"/>
        <v>-13274.782094588041</v>
      </c>
      <c r="AK529" s="5">
        <f>IFERROR(SUM(X529:AJ529),-5000)*((Cockpit!$C$3)^0)</f>
        <v>1183.4972115967685</v>
      </c>
      <c r="AL529" s="16">
        <f>INDEX('Team forecast'!$B$2:$AO$26,MATCH('Master data'!$B529,'Team forecast'!$B$2:$B$26,0),MATCH('Master data'!AL$1,'Team forecast'!$B$2:$AO$2,0))</f>
        <v>1.2847203648825669</v>
      </c>
      <c r="AM529" s="16">
        <f>INDEX('Team forecast'!$B$2:$AO$26,MATCH('Master data'!$B529,'Team forecast'!$B$2:$B$26,0),MATCH('Master data'!AM$1,'Team forecast'!$B$2:$AO$2,0))</f>
        <v>1.0279287794501248</v>
      </c>
      <c r="AN529" s="16">
        <f>INDEX('Team forecast'!$B$2:$AO$26,MATCH('Master data'!$B529,'Team forecast'!$B$2:$B$26,0),MATCH('Master data'!AN$1,'Team forecast'!$B$2:$AO$2,0))</f>
        <v>0.35774716702311499</v>
      </c>
      <c r="AO529" s="16">
        <f>INDEX('Team forecast'!$B$2:$AO$26,MATCH('Master data'!$B529,'Team forecast'!$B$2:$B$26,0),MATCH('Master data'!AO$1,'Team forecast'!$B$2:$AO$2,0))</f>
        <v>3.4226519644581361</v>
      </c>
      <c r="AP529" s="16">
        <f>INDEX('Team forecast'!$B$2:$AO$26,MATCH('Master data'!$B529,'Team forecast'!$B$2:$B$26,0),MATCH('Master data'!AP$1,'Team forecast'!$B$2:$AO$2,0))</f>
        <v>2.5931839663400877</v>
      </c>
      <c r="AQ529" s="5">
        <f t="shared" si="316"/>
        <v>7000</v>
      </c>
      <c r="AR529" s="5">
        <f>INDEX('Team forecast'!$B$2:$AO$26,MATCH('Master data'!$B529,'Team forecast'!$B$2:$B$26,0),MATCH('Master data'!AR$1,'Team forecast'!$B$2:$AO$2,0))*IF(X529&gt;0,25000,0)</f>
        <v>10691.761923531732</v>
      </c>
      <c r="AS529" s="16">
        <f>INDEX('Team forecast'!$B$2:$AO$26,MATCH('Master data'!$B529,'Team forecast'!$B$2:$B$26,0),MATCH('Master data'!AS$1,'Team forecast'!$B$2:$AO$2,0))*IF(X529&gt;0,5000,0)</f>
        <v>1517.5404020496649</v>
      </c>
      <c r="AT529" s="16">
        <f>INDEX('Team forecast'!$B$2:$AO$26,MATCH('Master data'!$B529,'Team forecast'!$B$2:$B$26,0),MATCH('Master data'!AT$1,'Team forecast'!$B$2:$AO$2,0))*IF(X529&gt;0,-15000,0)</f>
        <v>-4032.3216397319688</v>
      </c>
      <c r="AU529" s="5">
        <f t="shared" si="317"/>
        <v>4395.4111358929749</v>
      </c>
      <c r="AV529" s="5">
        <f t="shared" si="318"/>
        <v>600.55278179263269</v>
      </c>
      <c r="AW529" s="5">
        <f t="shared" si="319"/>
        <v>0</v>
      </c>
      <c r="AX529" s="5">
        <f t="shared" si="320"/>
        <v>17887.358351155748</v>
      </c>
      <c r="AY529" s="5">
        <f t="shared" si="321"/>
        <v>0</v>
      </c>
      <c r="AZ529" s="5">
        <f t="shared" si="322"/>
        <v>-6584.2639593908625</v>
      </c>
      <c r="BA529" s="5">
        <f t="shared" si="323"/>
        <v>0</v>
      </c>
      <c r="BB529" s="5">
        <f t="shared" si="324"/>
        <v>12847.203648825669</v>
      </c>
      <c r="BC529" s="5">
        <f t="shared" si="325"/>
        <v>-8223.4302356009994</v>
      </c>
      <c r="BD529" s="5">
        <f t="shared" si="326"/>
        <v>36099.812408524595</v>
      </c>
      <c r="BE529" s="16">
        <f>INDEX('Team forecast'!$B$2:$AO$26,MATCH('Master data'!$B529,'Team forecast'!$B$2:$B$26,0),MATCH('Master data'!BE$1,'Team forecast'!$B$2:$AO$2,0))</f>
        <v>1.2246875509143662</v>
      </c>
      <c r="BF529" s="16">
        <f>INDEX('Team forecast'!$B$2:$AO$26,MATCH('Master data'!$B529,'Team forecast'!$B$2:$B$26,0),MATCH('Master data'!BF$1,'Team forecast'!$B$2:$AO$2,0))</f>
        <v>1.3677883945550393</v>
      </c>
      <c r="BG529" s="16">
        <f>INDEX('Team forecast'!$B$2:$AO$26,MATCH('Master data'!$B529,'Team forecast'!$B$2:$B$26,0),MATCH('Master data'!BG$1,'Team forecast'!$B$2:$AO$2,0))</f>
        <v>0.25466956579034061</v>
      </c>
      <c r="BH529" s="16">
        <f>INDEX('Team forecast'!$B$2:$AO$26,MATCH('Master data'!$B529,'Team forecast'!$B$2:$B$26,0),MATCH('Master data'!BH$1,'Team forecast'!$B$2:$AO$2,0))</f>
        <v>3.2627172157947619</v>
      </c>
      <c r="BI529" s="16">
        <f>INDEX('Team forecast'!$B$2:$AO$26,MATCH('Master data'!$B529,'Team forecast'!$B$2:$B$26,0),MATCH('Master data'!BI$1,'Team forecast'!$B$2:$AO$2,0))</f>
        <v>3.4505570862638493</v>
      </c>
      <c r="BJ529" s="5">
        <f t="shared" si="327"/>
        <v>7000</v>
      </c>
      <c r="BK529" s="5">
        <f>INDEX('Team forecast'!$R$3:$BH$26,MATCH($B529,'Team forecast'!$B$3:$B$26,0),MATCH(BK$1,'Team forecast'!$R$2:$BH$2,0))*IF($X529&gt;0,25000,0)</f>
        <v>8232.8523423601509</v>
      </c>
      <c r="BL529" s="5">
        <f>INDEX('Team forecast'!$R$3:$BH$26,MATCH($B529,'Team forecast'!$B$3:$B$26,0),MATCH(BL$1,'Team forecast'!$R$2:$BH$2,0))*IF($X529&gt;0,5000,0)</f>
        <v>1404.4277525202608</v>
      </c>
      <c r="BM529" s="5">
        <f>INDEX('Team forecast'!$R$3:$BH$26,MATCH($B529,'Team forecast'!$B$3:$B$26,0),MATCH(BM$1,'Team forecast'!$R$2:$BH$2,0))*IF($X529&gt;0,-15000,0)</f>
        <v>-5847.0053370231253</v>
      </c>
      <c r="BN529" s="5">
        <f t="shared" si="328"/>
        <v>4190.0209932225571</v>
      </c>
      <c r="BO529" s="5">
        <f t="shared" si="329"/>
        <v>572.4899640675178</v>
      </c>
      <c r="BP529" s="5">
        <f t="shared" si="330"/>
        <v>0</v>
      </c>
      <c r="BQ529" s="5">
        <f t="shared" si="331"/>
        <v>12733.47828951703</v>
      </c>
      <c r="BR529" s="5">
        <f t="shared" si="332"/>
        <v>0</v>
      </c>
      <c r="BS529" s="5">
        <f t="shared" si="333"/>
        <v>-6584.2639593908625</v>
      </c>
      <c r="BT529" s="5">
        <f t="shared" si="334"/>
        <v>0</v>
      </c>
      <c r="BU529" s="5">
        <f t="shared" si="335"/>
        <v>12246.875509143661</v>
      </c>
      <c r="BV529" s="5">
        <f t="shared" si="336"/>
        <v>-10942.307156440314</v>
      </c>
      <c r="BW529" s="5">
        <f t="shared" si="337"/>
        <v>23006.568397976873</v>
      </c>
      <c r="BX529" s="5">
        <f t="shared" si="338"/>
        <v>20096.626006032744</v>
      </c>
      <c r="BY529" s="5">
        <f t="shared" si="339"/>
        <v>60289.878018098228</v>
      </c>
      <c r="BZ529" s="5">
        <f>INDEX('Team forecast'!$R$3:$BH$26,MATCH($B529,'Team forecast'!$B$3:$B$26,0),MATCH(BZ$1,'Team forecast'!$R$2:$BH$2,0))*($BX529-(BY529+CH529)*0.01)</f>
        <v>-3327.0947583280949</v>
      </c>
      <c r="CA529" s="5">
        <f>INDEX('Team forecast'!$R$3:$BH$26,MATCH($B529,'Team forecast'!$B$3:$B$26,0),MATCH(CA$1,'Team forecast'!$R$2:$BH$2,0))*($BX529-(BY529+BX529+CH529)*0.01)</f>
        <v>-1700.0764651903037</v>
      </c>
      <c r="CB529" s="5">
        <f>INDEX('Team forecast'!$R$3:$BH$26,MATCH($B529,'Team forecast'!$B$3:$B$26,0),MATCH(CB$1,'Team forecast'!$R$2:$BH$2,0))*($BX529-(BY529+BX529*2+CH529)*0.01)</f>
        <v>-856.40482931396764</v>
      </c>
      <c r="CC529" s="5">
        <f>INDEX('Team forecast'!$R$3:$BH$26,MATCH($B529,'Team forecast'!$B$3:$B$26,0),MATCH(CC$1,'Team forecast'!$R$2:$BH$2,0))*($BX529-(BY529+BX529*3+CH529)*0.01)</f>
        <v>-411.3470666259683</v>
      </c>
      <c r="CD529" s="5">
        <f>+AK529+BD529*Cockpit!$C$3+BW529*Cockpit!$C$3^2+BZ529*Cockpit!$C$3^3+CA529*Cockpit!$C$3^4+CB529*Cockpit!$C$3^5+CC529*Cockpit!$C$3^6</f>
        <v>34004.666535085096</v>
      </c>
      <c r="CE529" s="5"/>
      <c r="CF529" s="5"/>
      <c r="CG529" s="5">
        <v>0</v>
      </c>
      <c r="CH529" s="5">
        <f t="shared" si="340"/>
        <v>2500000</v>
      </c>
      <c r="CI529" s="5">
        <f t="shared" si="341"/>
        <v>2500000</v>
      </c>
      <c r="CJ529" s="1">
        <f t="shared" si="342"/>
        <v>2.4115951207239292E-2</v>
      </c>
      <c r="CK529" s="5">
        <f>RANK(BY529,$BY$2:$BY$623)+COUNTIF($BY$2:$BY529,$BY529)-1</f>
        <v>269</v>
      </c>
      <c r="CL529" s="5">
        <f>RANK(CJ529,$CJ$2:$CJ$623)+COUNTIF($CJ$2:$CJ529,$CJ529)-1</f>
        <v>218</v>
      </c>
    </row>
    <row r="530" spans="1:90">
      <c r="A530" t="str">
        <f>Players!P531</f>
        <v>Taylan Antalyalı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2500000</v>
      </c>
      <c r="H530" s="16">
        <f>INDEX('Team forecast'!$B$2:$AO$26,MATCH('Master data'!$B530,'Team forecast'!$B$2:$B$26,0),MATCH('Master data'!H$1,'Team forecast'!$B$2:$AO$2,0))</f>
        <v>0.65422581624273402</v>
      </c>
      <c r="I530" s="16">
        <f>INDEX('Team forecast'!$B$2:$AO$26,MATCH('Master data'!$B530,'Team forecast'!$B$2:$B$26,0),MATCH('Master data'!I$1,'Team forecast'!$B$2:$AO$2,0))</f>
        <v>1.6593477618235051</v>
      </c>
      <c r="J530" s="16">
        <f>INDEX('Team forecast'!$B$2:$AO$26,MATCH('Master data'!$B530,'Team forecast'!$B$2:$B$26,0),MATCH('Master data'!J$1,'Team forecast'!$B$2:$AO$2,0))</f>
        <v>0.19026303645592979</v>
      </c>
      <c r="K530" s="16">
        <f>INDEX('Team forecast'!$B$2:$AO$26,MATCH('Master data'!$B530,'Team forecast'!$B$2:$B$26,0),MATCH('Master data'!K$1,'Team forecast'!$B$2:$AO$2,0))</f>
        <v>1.7429374799138486</v>
      </c>
      <c r="L530" s="16">
        <f>INDEX('Team forecast'!$B$2:$AO$26,MATCH('Master data'!$B530,'Team forecast'!$B$2:$B$26,0),MATCH('Master data'!L$1,'Team forecast'!$B$2:$AO$2,0))</f>
        <v>4.1860818536911157</v>
      </c>
      <c r="M530">
        <f>IF(Players!BC531=1,95,0)</f>
        <v>0</v>
      </c>
      <c r="N530" s="2">
        <f>Players!BN531</f>
        <v>0</v>
      </c>
      <c r="O530" s="2">
        <f>Players!BO531</f>
        <v>0</v>
      </c>
      <c r="P530" s="2">
        <f>Players!BP531</f>
        <v>0</v>
      </c>
      <c r="Q530" s="2">
        <f>Players!BQ531</f>
        <v>8.0405002977963075E-2</v>
      </c>
      <c r="R530" s="2">
        <f>Players!BR531</f>
        <v>0</v>
      </c>
      <c r="S530" s="2">
        <f t="shared" si="301"/>
        <v>0.65422581624273402</v>
      </c>
      <c r="T530" s="2">
        <f t="shared" si="302"/>
        <v>1.6593477618235051</v>
      </c>
      <c r="U530" s="16">
        <f>INDEX('Team forecast'!$B$2:$AO$26,MATCH('Master data'!$B530,'Team forecast'!$B$2:$B$26,0),MATCH('Master data'!U$1,'Team forecast'!$B$2:$AO$2,0))</f>
        <v>0.13590216889709281</v>
      </c>
      <c r="V530" s="16">
        <f>INDEX('Team forecast'!$B$2:$AO$26,MATCH('Master data'!$B530,'Team forecast'!$B$2:$B$26,0),MATCH('Master data'!V$1,'Team forecast'!$B$2:$AO$2,0))</f>
        <v>0.25034610059990769</v>
      </c>
      <c r="W530" s="16">
        <f>INDEX('Team forecast'!$B$2:$AO$26,MATCH('Master data'!$B530,'Team forecast'!$B$2:$B$26,0),MATCH('Master data'!W$1,'Team forecast'!$B$2:$AO$2,0))</f>
        <v>0.61375173050299947</v>
      </c>
      <c r="X530" s="5">
        <f t="shared" si="303"/>
        <v>-5000</v>
      </c>
      <c r="Y530" s="5">
        <f t="shared" si="304"/>
        <v>0</v>
      </c>
      <c r="Z530" s="5">
        <f t="shared" si="305"/>
        <v>0</v>
      </c>
      <c r="AA530" s="5">
        <f t="shared" si="306"/>
        <v>0</v>
      </c>
      <c r="AB530" s="5">
        <f t="shared" si="307"/>
        <v>0</v>
      </c>
      <c r="AC530" s="5">
        <f t="shared" si="308"/>
        <v>0</v>
      </c>
      <c r="AD530" s="5">
        <f t="shared" si="309"/>
        <v>0</v>
      </c>
      <c r="AE530" s="5">
        <f t="shared" si="310"/>
        <v>0</v>
      </c>
      <c r="AF530" s="5">
        <f t="shared" si="311"/>
        <v>0</v>
      </c>
      <c r="AG530" s="5">
        <f t="shared" si="312"/>
        <v>0</v>
      </c>
      <c r="AH530" s="5">
        <f t="shared" si="313"/>
        <v>0</v>
      </c>
      <c r="AI530" s="5">
        <f t="shared" si="314"/>
        <v>0</v>
      </c>
      <c r="AJ530" s="5">
        <f t="shared" si="315"/>
        <v>0</v>
      </c>
      <c r="AK530" s="5">
        <f>IFERROR(SUM(X530:AJ530),-5000)*((Cockpit!$C$3)^0)</f>
        <v>-5000</v>
      </c>
      <c r="AL530" s="16">
        <f>INDEX('Team forecast'!$B$2:$AO$26,MATCH('Master data'!$B530,'Team forecast'!$B$2:$B$26,0),MATCH('Master data'!AL$1,'Team forecast'!$B$2:$AO$2,0))</f>
        <v>1.2847203648825669</v>
      </c>
      <c r="AM530" s="16">
        <f>INDEX('Team forecast'!$B$2:$AO$26,MATCH('Master data'!$B530,'Team forecast'!$B$2:$B$26,0),MATCH('Master data'!AM$1,'Team forecast'!$B$2:$AO$2,0))</f>
        <v>1.0279287794501248</v>
      </c>
      <c r="AN530" s="16">
        <f>INDEX('Team forecast'!$B$2:$AO$26,MATCH('Master data'!$B530,'Team forecast'!$B$2:$B$26,0),MATCH('Master data'!AN$1,'Team forecast'!$B$2:$AO$2,0))</f>
        <v>0.35774716702311499</v>
      </c>
      <c r="AO530" s="16">
        <f>INDEX('Team forecast'!$B$2:$AO$26,MATCH('Master data'!$B530,'Team forecast'!$B$2:$B$26,0),MATCH('Master data'!AO$1,'Team forecast'!$B$2:$AO$2,0))</f>
        <v>3.4226519644581361</v>
      </c>
      <c r="AP530" s="16">
        <f>INDEX('Team forecast'!$B$2:$AO$26,MATCH('Master data'!$B530,'Team forecast'!$B$2:$B$26,0),MATCH('Master data'!AP$1,'Team forecast'!$B$2:$AO$2,0))</f>
        <v>2.5931839663400877</v>
      </c>
      <c r="AQ530" s="5">
        <f t="shared" si="316"/>
        <v>-5000</v>
      </c>
      <c r="AR530" s="5">
        <f>INDEX('Team forecast'!$B$2:$AO$26,MATCH('Master data'!$B530,'Team forecast'!$B$2:$B$26,0),MATCH('Master data'!AR$1,'Team forecast'!$B$2:$AO$2,0))*IF(X530&gt;0,25000,0)</f>
        <v>0</v>
      </c>
      <c r="AS530" s="16">
        <f>INDEX('Team forecast'!$B$2:$AO$26,MATCH('Master data'!$B530,'Team forecast'!$B$2:$B$26,0),MATCH('Master data'!AS$1,'Team forecast'!$B$2:$AO$2,0))*IF(X530&gt;0,5000,0)</f>
        <v>0</v>
      </c>
      <c r="AT530" s="16">
        <f>INDEX('Team forecast'!$B$2:$AO$26,MATCH('Master data'!$B530,'Team forecast'!$B$2:$B$26,0),MATCH('Master data'!AT$1,'Team forecast'!$B$2:$AO$2,0))*IF(X530&gt;0,-15000,0)</f>
        <v>0</v>
      </c>
      <c r="AU530" s="5">
        <f t="shared" si="317"/>
        <v>0</v>
      </c>
      <c r="AV530" s="5">
        <f t="shared" si="318"/>
        <v>0</v>
      </c>
      <c r="AW530" s="5">
        <f t="shared" si="319"/>
        <v>0</v>
      </c>
      <c r="AX530" s="5">
        <f t="shared" si="320"/>
        <v>0</v>
      </c>
      <c r="AY530" s="5">
        <f t="shared" si="321"/>
        <v>0</v>
      </c>
      <c r="AZ530" s="5">
        <f t="shared" si="322"/>
        <v>0</v>
      </c>
      <c r="BA530" s="5">
        <f t="shared" si="323"/>
        <v>0</v>
      </c>
      <c r="BB530" s="5">
        <f t="shared" si="324"/>
        <v>0</v>
      </c>
      <c r="BC530" s="5">
        <f t="shared" si="325"/>
        <v>0</v>
      </c>
      <c r="BD530" s="5">
        <f t="shared" si="326"/>
        <v>-5000</v>
      </c>
      <c r="BE530" s="16">
        <f>INDEX('Team forecast'!$B$2:$AO$26,MATCH('Master data'!$B530,'Team forecast'!$B$2:$B$26,0),MATCH('Master data'!BE$1,'Team forecast'!$B$2:$AO$2,0))</f>
        <v>1.2246875509143662</v>
      </c>
      <c r="BF530" s="16">
        <f>INDEX('Team forecast'!$B$2:$AO$26,MATCH('Master data'!$B530,'Team forecast'!$B$2:$B$26,0),MATCH('Master data'!BF$1,'Team forecast'!$B$2:$AO$2,0))</f>
        <v>1.3677883945550393</v>
      </c>
      <c r="BG530" s="16">
        <f>INDEX('Team forecast'!$B$2:$AO$26,MATCH('Master data'!$B530,'Team forecast'!$B$2:$B$26,0),MATCH('Master data'!BG$1,'Team forecast'!$B$2:$AO$2,0))</f>
        <v>0.25466956579034061</v>
      </c>
      <c r="BH530" s="16">
        <f>INDEX('Team forecast'!$B$2:$AO$26,MATCH('Master data'!$B530,'Team forecast'!$B$2:$B$26,0),MATCH('Master data'!BH$1,'Team forecast'!$B$2:$AO$2,0))</f>
        <v>3.2627172157947619</v>
      </c>
      <c r="BI530" s="16">
        <f>INDEX('Team forecast'!$B$2:$AO$26,MATCH('Master data'!$B530,'Team forecast'!$B$2:$B$26,0),MATCH('Master data'!BI$1,'Team forecast'!$B$2:$AO$2,0))</f>
        <v>3.4505570862638493</v>
      </c>
      <c r="BJ530" s="5">
        <f t="shared" si="327"/>
        <v>-5000</v>
      </c>
      <c r="BK530" s="5">
        <f>INDEX('Team forecast'!$R$3:$BH$26,MATCH($B530,'Team forecast'!$B$3:$B$26,0),MATCH(BK$1,'Team forecast'!$R$2:$BH$2,0))*IF($X530&gt;0,25000,0)</f>
        <v>0</v>
      </c>
      <c r="BL530" s="5">
        <f>INDEX('Team forecast'!$R$3:$BH$26,MATCH($B530,'Team forecast'!$B$3:$B$26,0),MATCH(BL$1,'Team forecast'!$R$2:$BH$2,0))*IF($X530&gt;0,5000,0)</f>
        <v>0</v>
      </c>
      <c r="BM530" s="5">
        <f>INDEX('Team forecast'!$R$3:$BH$26,MATCH($B530,'Team forecast'!$B$3:$B$26,0),MATCH(BM$1,'Team forecast'!$R$2:$BH$2,0))*IF($X530&gt;0,-15000,0)</f>
        <v>0</v>
      </c>
      <c r="BN530" s="5">
        <f t="shared" si="328"/>
        <v>0</v>
      </c>
      <c r="BO530" s="5">
        <f t="shared" si="329"/>
        <v>0</v>
      </c>
      <c r="BP530" s="5">
        <f t="shared" si="330"/>
        <v>0</v>
      </c>
      <c r="BQ530" s="5">
        <f t="shared" si="331"/>
        <v>0</v>
      </c>
      <c r="BR530" s="5">
        <f t="shared" si="332"/>
        <v>0</v>
      </c>
      <c r="BS530" s="5">
        <f t="shared" si="333"/>
        <v>0</v>
      </c>
      <c r="BT530" s="5">
        <f t="shared" si="334"/>
        <v>0</v>
      </c>
      <c r="BU530" s="5">
        <f t="shared" si="335"/>
        <v>0</v>
      </c>
      <c r="BV530" s="5">
        <f t="shared" si="336"/>
        <v>0</v>
      </c>
      <c r="BW530" s="5">
        <f t="shared" si="337"/>
        <v>-5000</v>
      </c>
      <c r="BX530" s="5">
        <f t="shared" si="338"/>
        <v>-5000</v>
      </c>
      <c r="BY530" s="5">
        <f t="shared" si="339"/>
        <v>-15000</v>
      </c>
      <c r="BZ530" s="5">
        <f>INDEX('Team forecast'!$R$3:$BH$26,MATCH($B530,'Team forecast'!$B$3:$B$26,0),MATCH(BZ$1,'Team forecast'!$R$2:$BH$2,0))*($BX530-(BY530+CH530)*0.01)</f>
        <v>-18036.47995834285</v>
      </c>
      <c r="CA530" s="5">
        <f>INDEX('Team forecast'!$R$3:$BH$26,MATCH($B530,'Team forecast'!$B$3:$B$26,0),MATCH(CA$1,'Team forecast'!$R$2:$BH$2,0))*($BX530-(BY530+BX530+CH530)*0.01)</f>
        <v>-8876.8454166729152</v>
      </c>
      <c r="CB530" s="5">
        <f>INDEX('Team forecast'!$R$3:$BH$26,MATCH($B530,'Team forecast'!$B$3:$B$26,0),MATCH(CB$1,'Team forecast'!$R$2:$BH$2,0))*($BX530-(BY530+BX530*2+CH530)*0.01)</f>
        <v>-4312.3152299404483</v>
      </c>
      <c r="CC530" s="5">
        <f>INDEX('Team forecast'!$R$3:$BH$26,MATCH($B530,'Team forecast'!$B$3:$B$26,0),MATCH(CC$1,'Team forecast'!$R$2:$BH$2,0))*($BX530-(BY530+BX530*3+CH530)*0.01)</f>
        <v>-1999.781438472417</v>
      </c>
      <c r="CD530" s="5">
        <f>+AK530+BD530*Cockpit!$C$3+BW530*Cockpit!$C$3^2+BZ530*Cockpit!$C$3^3+CA530*Cockpit!$C$3^4+CB530*Cockpit!$C$3^5+CC530*Cockpit!$C$3^6</f>
        <v>-18396.589417200921</v>
      </c>
      <c r="CE530" s="5"/>
      <c r="CF530" s="5"/>
      <c r="CG530" s="5">
        <v>0</v>
      </c>
      <c r="CH530" s="5">
        <f t="shared" si="340"/>
        <v>2500000</v>
      </c>
      <c r="CI530" s="5">
        <f t="shared" si="341"/>
        <v>2500000</v>
      </c>
      <c r="CJ530" s="1">
        <f t="shared" si="342"/>
        <v>-6.0000000000000001E-3</v>
      </c>
      <c r="CK530" s="5">
        <f>RANK(BY530,$BY$2:$BY$623)+COUNTIF($BY$2:$BY530,$BY530)-1</f>
        <v>588</v>
      </c>
      <c r="CL530" s="5">
        <f>RANK(CJ530,$CJ$2:$CJ$623)+COUNTIF($CJ$2:$CJ530,$CJ530)-1</f>
        <v>567</v>
      </c>
    </row>
    <row r="531" spans="1:90">
      <c r="A531" t="str">
        <f>Players!P532</f>
        <v>Okay Yokuslu</v>
      </c>
      <c r="B531" t="str">
        <f>Players!G532</f>
        <v>Turkey</v>
      </c>
      <c r="C531" t="str">
        <f>Players!AB532</f>
        <v>Midfield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3000000</v>
      </c>
      <c r="H531" s="16">
        <f>INDEX('Team forecast'!$B$2:$AO$26,MATCH('Master data'!$B531,'Team forecast'!$B$2:$B$26,0),MATCH('Master data'!H$1,'Team forecast'!$B$2:$AO$2,0))</f>
        <v>0.65422581624273402</v>
      </c>
      <c r="I531" s="16">
        <f>INDEX('Team forecast'!$B$2:$AO$26,MATCH('Master data'!$B531,'Team forecast'!$B$2:$B$26,0),MATCH('Master data'!I$1,'Team forecast'!$B$2:$AO$2,0))</f>
        <v>1.6593477618235051</v>
      </c>
      <c r="J531" s="16">
        <f>INDEX('Team forecast'!$B$2:$AO$26,MATCH('Master data'!$B531,'Team forecast'!$B$2:$B$26,0),MATCH('Master data'!J$1,'Team forecast'!$B$2:$AO$2,0))</f>
        <v>0.19026303645592979</v>
      </c>
      <c r="K531" s="16">
        <f>INDEX('Team forecast'!$B$2:$AO$26,MATCH('Master data'!$B531,'Team forecast'!$B$2:$B$26,0),MATCH('Master data'!K$1,'Team forecast'!$B$2:$AO$2,0))</f>
        <v>1.7429374799138486</v>
      </c>
      <c r="L531" s="16">
        <f>INDEX('Team forecast'!$B$2:$AO$26,MATCH('Master data'!$B531,'Team forecast'!$B$2:$B$26,0),MATCH('Master data'!L$1,'Team forecast'!$B$2:$AO$2,0))</f>
        <v>4.1860818536911157</v>
      </c>
      <c r="M531">
        <f>IF(Players!BC532=1,95,0)</f>
        <v>95</v>
      </c>
      <c r="N531" s="2">
        <f>Players!BN532</f>
        <v>5.724201066542537E-2</v>
      </c>
      <c r="O531" s="2">
        <f>Players!BO532</f>
        <v>6.6655379948551696E-2</v>
      </c>
      <c r="P531" s="2">
        <f>Players!BP532</f>
        <v>3.8985606514693578E-2</v>
      </c>
      <c r="Q531" s="2">
        <f>Players!BQ532</f>
        <v>0.48040500297796307</v>
      </c>
      <c r="R531" s="2">
        <f>Players!BR532</f>
        <v>0</v>
      </c>
      <c r="S531" s="2">
        <f t="shared" si="301"/>
        <v>0.65422581624273402</v>
      </c>
      <c r="T531" s="2">
        <f t="shared" si="302"/>
        <v>1.6593477618235051</v>
      </c>
      <c r="U531" s="16">
        <f>INDEX('Team forecast'!$B$2:$AO$26,MATCH('Master data'!$B531,'Team forecast'!$B$2:$B$26,0),MATCH('Master data'!U$1,'Team forecast'!$B$2:$AO$2,0))</f>
        <v>0.13590216889709281</v>
      </c>
      <c r="V531" s="16">
        <f>INDEX('Team forecast'!$B$2:$AO$26,MATCH('Master data'!$B531,'Team forecast'!$B$2:$B$26,0),MATCH('Master data'!V$1,'Team forecast'!$B$2:$AO$2,0))</f>
        <v>0.25034610059990769</v>
      </c>
      <c r="W531" s="16">
        <f>INDEX('Team forecast'!$B$2:$AO$26,MATCH('Master data'!$B531,'Team forecast'!$B$2:$B$26,0),MATCH('Master data'!W$1,'Team forecast'!$B$2:$AO$2,0))</f>
        <v>0.61375173050299947</v>
      </c>
      <c r="X531" s="5">
        <f t="shared" si="303"/>
        <v>7000</v>
      </c>
      <c r="Y531" s="5">
        <f t="shared" si="304"/>
        <v>3397.5542224273204</v>
      </c>
      <c r="Z531" s="5">
        <f t="shared" si="305"/>
        <v>1251.7305029995384</v>
      </c>
      <c r="AA531" s="5">
        <f t="shared" si="306"/>
        <v>-9206.2759575449927</v>
      </c>
      <c r="AB531" s="5">
        <f t="shared" si="307"/>
        <v>4681.1501438703999</v>
      </c>
      <c r="AC531" s="5">
        <f t="shared" si="308"/>
        <v>2180.38351769054</v>
      </c>
      <c r="AD531" s="5">
        <f t="shared" si="309"/>
        <v>679.49474771632947</v>
      </c>
      <c r="AE531" s="5">
        <f t="shared" si="310"/>
        <v>0</v>
      </c>
      <c r="AF531" s="5">
        <f t="shared" si="311"/>
        <v>0</v>
      </c>
      <c r="AG531" s="5">
        <f t="shared" si="312"/>
        <v>-9608.1000595592614</v>
      </c>
      <c r="AH531" s="5">
        <f t="shared" si="313"/>
        <v>0</v>
      </c>
      <c r="AI531" s="5">
        <f t="shared" si="314"/>
        <v>6542.2581624273398</v>
      </c>
      <c r="AJ531" s="5">
        <f t="shared" si="315"/>
        <v>-13274.782094588041</v>
      </c>
      <c r="AK531" s="5">
        <f>IFERROR(SUM(X531:AJ531),-5000)*((Cockpit!$C$3)^0)</f>
        <v>-6356.5868145608283</v>
      </c>
      <c r="AL531" s="16">
        <f>INDEX('Team forecast'!$B$2:$AO$26,MATCH('Master data'!$B531,'Team forecast'!$B$2:$B$26,0),MATCH('Master data'!AL$1,'Team forecast'!$B$2:$AO$2,0))</f>
        <v>1.2847203648825669</v>
      </c>
      <c r="AM531" s="16">
        <f>INDEX('Team forecast'!$B$2:$AO$26,MATCH('Master data'!$B531,'Team forecast'!$B$2:$B$26,0),MATCH('Master data'!AM$1,'Team forecast'!$B$2:$AO$2,0))</f>
        <v>1.0279287794501248</v>
      </c>
      <c r="AN531" s="16">
        <f>INDEX('Team forecast'!$B$2:$AO$26,MATCH('Master data'!$B531,'Team forecast'!$B$2:$B$26,0),MATCH('Master data'!AN$1,'Team forecast'!$B$2:$AO$2,0))</f>
        <v>0.35774716702311499</v>
      </c>
      <c r="AO531" s="16">
        <f>INDEX('Team forecast'!$B$2:$AO$26,MATCH('Master data'!$B531,'Team forecast'!$B$2:$B$26,0),MATCH('Master data'!AO$1,'Team forecast'!$B$2:$AO$2,0))</f>
        <v>3.4226519644581361</v>
      </c>
      <c r="AP531" s="16">
        <f>INDEX('Team forecast'!$B$2:$AO$26,MATCH('Master data'!$B531,'Team forecast'!$B$2:$B$26,0),MATCH('Master data'!AP$1,'Team forecast'!$B$2:$AO$2,0))</f>
        <v>2.5931839663400877</v>
      </c>
      <c r="AQ531" s="5">
        <f t="shared" si="316"/>
        <v>7000</v>
      </c>
      <c r="AR531" s="5">
        <f>INDEX('Team forecast'!$B$2:$AO$26,MATCH('Master data'!$B531,'Team forecast'!$B$2:$B$26,0),MATCH('Master data'!AR$1,'Team forecast'!$B$2:$AO$2,0))*IF(X531&gt;0,25000,0)</f>
        <v>10691.761923531732</v>
      </c>
      <c r="AS531" s="16">
        <f>INDEX('Team forecast'!$B$2:$AO$26,MATCH('Master data'!$B531,'Team forecast'!$B$2:$B$26,0),MATCH('Master data'!AS$1,'Team forecast'!$B$2:$AO$2,0))*IF(X531&gt;0,5000,0)</f>
        <v>1517.5404020496649</v>
      </c>
      <c r="AT531" s="16">
        <f>INDEX('Team forecast'!$B$2:$AO$26,MATCH('Master data'!$B531,'Team forecast'!$B$2:$B$26,0),MATCH('Master data'!AT$1,'Team forecast'!$B$2:$AO$2,0))*IF(X531&gt;0,-15000,0)</f>
        <v>-4032.3216397319688</v>
      </c>
      <c r="AU531" s="5">
        <f t="shared" si="317"/>
        <v>9192.4971035871331</v>
      </c>
      <c r="AV531" s="5">
        <f t="shared" si="318"/>
        <v>4281.6762024444733</v>
      </c>
      <c r="AW531" s="5">
        <f t="shared" si="319"/>
        <v>1334.3416272310787</v>
      </c>
      <c r="AX531" s="5">
        <f t="shared" si="320"/>
        <v>0</v>
      </c>
      <c r="AY531" s="5">
        <f t="shared" si="321"/>
        <v>0</v>
      </c>
      <c r="AZ531" s="5">
        <f t="shared" si="322"/>
        <v>-9608.1000595592614</v>
      </c>
      <c r="BA531" s="5">
        <f t="shared" si="323"/>
        <v>0</v>
      </c>
      <c r="BB531" s="5">
        <f t="shared" si="324"/>
        <v>12847.203648825669</v>
      </c>
      <c r="BC531" s="5">
        <f t="shared" si="325"/>
        <v>-8223.4302356009994</v>
      </c>
      <c r="BD531" s="5">
        <f t="shared" si="326"/>
        <v>25001.168972777523</v>
      </c>
      <c r="BE531" s="16">
        <f>INDEX('Team forecast'!$B$2:$AO$26,MATCH('Master data'!$B531,'Team forecast'!$B$2:$B$26,0),MATCH('Master data'!BE$1,'Team forecast'!$B$2:$AO$2,0))</f>
        <v>1.2246875509143662</v>
      </c>
      <c r="BF531" s="16">
        <f>INDEX('Team forecast'!$B$2:$AO$26,MATCH('Master data'!$B531,'Team forecast'!$B$2:$B$26,0),MATCH('Master data'!BF$1,'Team forecast'!$B$2:$AO$2,0))</f>
        <v>1.3677883945550393</v>
      </c>
      <c r="BG531" s="16">
        <f>INDEX('Team forecast'!$B$2:$AO$26,MATCH('Master data'!$B531,'Team forecast'!$B$2:$B$26,0),MATCH('Master data'!BG$1,'Team forecast'!$B$2:$AO$2,0))</f>
        <v>0.25466956579034061</v>
      </c>
      <c r="BH531" s="16">
        <f>INDEX('Team forecast'!$B$2:$AO$26,MATCH('Master data'!$B531,'Team forecast'!$B$2:$B$26,0),MATCH('Master data'!BH$1,'Team forecast'!$B$2:$AO$2,0))</f>
        <v>3.2627172157947619</v>
      </c>
      <c r="BI531" s="16">
        <f>INDEX('Team forecast'!$B$2:$AO$26,MATCH('Master data'!$B531,'Team forecast'!$B$2:$B$26,0),MATCH('Master data'!BI$1,'Team forecast'!$B$2:$AO$2,0))</f>
        <v>3.4505570862638493</v>
      </c>
      <c r="BJ531" s="5">
        <f t="shared" si="327"/>
        <v>7000</v>
      </c>
      <c r="BK531" s="5">
        <f>INDEX('Team forecast'!$R$3:$BH$26,MATCH($B531,'Team forecast'!$B$3:$B$26,0),MATCH(BK$1,'Team forecast'!$R$2:$BH$2,0))*IF($X531&gt;0,25000,0)</f>
        <v>8232.8523423601509</v>
      </c>
      <c r="BL531" s="5">
        <f>INDEX('Team forecast'!$R$3:$BH$26,MATCH($B531,'Team forecast'!$B$3:$B$26,0),MATCH(BL$1,'Team forecast'!$R$2:$BH$2,0))*IF($X531&gt;0,5000,0)</f>
        <v>1404.4277525202608</v>
      </c>
      <c r="BM531" s="5">
        <f>INDEX('Team forecast'!$R$3:$BH$26,MATCH($B531,'Team forecast'!$B$3:$B$26,0),MATCH(BM$1,'Team forecast'!$R$2:$BH$2,0))*IF($X531&gt;0,-15000,0)</f>
        <v>-5847.0053370231253</v>
      </c>
      <c r="BN531" s="5">
        <f t="shared" si="328"/>
        <v>8762.947231406728</v>
      </c>
      <c r="BO531" s="5">
        <f t="shared" si="329"/>
        <v>4081.6007012229165</v>
      </c>
      <c r="BP531" s="5">
        <f t="shared" si="330"/>
        <v>1271.9900954369118</v>
      </c>
      <c r="BQ531" s="5">
        <f t="shared" si="331"/>
        <v>0</v>
      </c>
      <c r="BR531" s="5">
        <f t="shared" si="332"/>
        <v>0</v>
      </c>
      <c r="BS531" s="5">
        <f t="shared" si="333"/>
        <v>-9608.1000595592614</v>
      </c>
      <c r="BT531" s="5">
        <f t="shared" si="334"/>
        <v>0</v>
      </c>
      <c r="BU531" s="5">
        <f t="shared" si="335"/>
        <v>12246.875509143661</v>
      </c>
      <c r="BV531" s="5">
        <f t="shared" si="336"/>
        <v>-10942.307156440314</v>
      </c>
      <c r="BW531" s="5">
        <f t="shared" si="337"/>
        <v>16603.281079067929</v>
      </c>
      <c r="BX531" s="5">
        <f t="shared" si="338"/>
        <v>11749.28774576154</v>
      </c>
      <c r="BY531" s="5">
        <f t="shared" si="339"/>
        <v>35247.863237284619</v>
      </c>
      <c r="BZ531" s="5">
        <f>INDEX('Team forecast'!$R$3:$BH$26,MATCH($B531,'Team forecast'!$B$3:$B$26,0),MATCH(BZ$1,'Team forecast'!$R$2:$BH$2,0))*($BX531-(BY531+CH531)*0.01)</f>
        <v>-11240.739684676422</v>
      </c>
      <c r="CA531" s="5">
        <f>INDEX('Team forecast'!$R$3:$BH$26,MATCH($B531,'Team forecast'!$B$3:$B$26,0),MATCH(CA$1,'Team forecast'!$R$2:$BH$2,0))*($BX531-(BY531+BX531+CH531)*0.01)</f>
        <v>-5576.5307338274597</v>
      </c>
      <c r="CB531" s="5">
        <f>INDEX('Team forecast'!$R$3:$BH$26,MATCH($B531,'Team forecast'!$B$3:$B$26,0),MATCH(CB$1,'Team forecast'!$R$2:$BH$2,0))*($BX531-(BY531+BX531*2+CH531)*0.01)</f>
        <v>-2730.6270936323799</v>
      </c>
      <c r="CC531" s="5">
        <f>INDEX('Team forecast'!$R$3:$BH$26,MATCH($B531,'Team forecast'!$B$3:$B$26,0),MATCH(CC$1,'Team forecast'!$R$2:$BH$2,0))*($BX531-(BY531+BX531*3+CH531)*0.01)</f>
        <v>-1276.3365676054505</v>
      </c>
      <c r="CD531" s="5">
        <f>+AK531+BD531*Cockpit!$C$3+BW531*Cockpit!$C$3^2+BZ531*Cockpit!$C$3^3+CA531*Cockpit!$C$3^4+CB531*Cockpit!$C$3^5+CC531*Cockpit!$C$3^6</f>
        <v>12786.328482436653</v>
      </c>
      <c r="CE531" s="5"/>
      <c r="CF531" s="5"/>
      <c r="CG531" s="5">
        <v>0</v>
      </c>
      <c r="CH531" s="5">
        <f t="shared" si="340"/>
        <v>3000000</v>
      </c>
      <c r="CI531" s="5">
        <f t="shared" si="341"/>
        <v>3000000</v>
      </c>
      <c r="CJ531" s="1">
        <f t="shared" si="342"/>
        <v>1.174928774576154E-2</v>
      </c>
      <c r="CK531" s="5">
        <f>RANK(BY531,$BY$2:$BY$623)+COUNTIF($BY$2:$BY531,$BY531)-1</f>
        <v>323</v>
      </c>
      <c r="CL531" s="5">
        <f>RANK(CJ531,$CJ$2:$CJ$623)+COUNTIF($CJ$2:$CJ531,$CJ531)-1</f>
        <v>338</v>
      </c>
    </row>
    <row r="532" spans="1:90">
      <c r="A532" t="str">
        <f>Players!P533</f>
        <v>Anton Shunin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4000000</v>
      </c>
      <c r="H532" s="16">
        <f>INDEX('Team forecast'!$B$2:$AO$26,MATCH('Master data'!$B532,'Team forecast'!$B$2:$B$26,0),MATCH('Master data'!H$1,'Team forecast'!$B$2:$AO$2,0))</f>
        <v>0.84461095835632183</v>
      </c>
      <c r="I532" s="16">
        <f>INDEX('Team forecast'!$B$2:$AO$26,MATCH('Master data'!$B532,'Team forecast'!$B$2:$B$26,0),MATCH('Master data'!I$1,'Team forecast'!$B$2:$AO$2,0))</f>
        <v>1.5602309947683257</v>
      </c>
      <c r="J532" s="16">
        <f>INDEX('Team forecast'!$B$2:$AO$26,MATCH('Master data'!$B532,'Team forecast'!$B$2:$B$26,0),MATCH('Master data'!J$1,'Team forecast'!$B$2:$AO$2,0))</f>
        <v>0.21008753647353071</v>
      </c>
      <c r="K532" s="16">
        <f>INDEX('Team forecast'!$B$2:$AO$26,MATCH('Master data'!$B532,'Team forecast'!$B$2:$B$26,0),MATCH('Master data'!K$1,'Team forecast'!$B$2:$AO$2,0))</f>
        <v>2.876402354682019</v>
      </c>
      <c r="L532" s="16">
        <f>INDEX('Team forecast'!$B$2:$AO$26,MATCH('Master data'!$B532,'Team forecast'!$B$2:$B$26,0),MATCH('Master data'!L$1,'Team forecast'!$B$2:$AO$2,0))</f>
        <v>4.4253824578883423</v>
      </c>
      <c r="M532">
        <f>IF(Players!BC533=1,95,0)</f>
        <v>95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0</v>
      </c>
      <c r="R532" s="2">
        <f>Players!BR533</f>
        <v>0</v>
      </c>
      <c r="S532" s="2">
        <f t="shared" si="301"/>
        <v>0.84461095835632183</v>
      </c>
      <c r="T532" s="2">
        <f t="shared" si="302"/>
        <v>1.5602309947683257</v>
      </c>
      <c r="U532" s="16">
        <f>INDEX('Team forecast'!$B$2:$AO$26,MATCH('Master data'!$B532,'Team forecast'!$B$2:$B$26,0),MATCH('Master data'!U$1,'Team forecast'!$B$2:$AO$2,0))</f>
        <v>0.18007503126302629</v>
      </c>
      <c r="V532" s="16">
        <f>INDEX('Team forecast'!$B$2:$AO$26,MATCH('Master data'!$B532,'Team forecast'!$B$2:$B$26,0),MATCH('Master data'!V$1,'Team forecast'!$B$2:$AO$2,0))</f>
        <v>0.23634847853272201</v>
      </c>
      <c r="W532" s="16">
        <f>INDEX('Team forecast'!$B$2:$AO$26,MATCH('Master data'!$B532,'Team forecast'!$B$2:$B$26,0),MATCH('Master data'!W$1,'Team forecast'!$B$2:$AO$2,0))</f>
        <v>0.58357649020425184</v>
      </c>
      <c r="X532" s="5">
        <f t="shared" si="303"/>
        <v>7000</v>
      </c>
      <c r="Y532" s="5">
        <f t="shared" si="304"/>
        <v>4501.8757815756571</v>
      </c>
      <c r="Z532" s="5">
        <f t="shared" si="305"/>
        <v>1181.74239266361</v>
      </c>
      <c r="AA532" s="5">
        <f t="shared" si="306"/>
        <v>-8753.6473530637777</v>
      </c>
      <c r="AB532" s="5">
        <f t="shared" si="307"/>
        <v>0</v>
      </c>
      <c r="AC532" s="5">
        <f t="shared" si="308"/>
        <v>0</v>
      </c>
      <c r="AD532" s="5">
        <f t="shared" si="309"/>
        <v>0</v>
      </c>
      <c r="AE532" s="5">
        <f t="shared" si="310"/>
        <v>15756.565235514803</v>
      </c>
      <c r="AF532" s="5">
        <f t="shared" si="311"/>
        <v>14325.757315600084</v>
      </c>
      <c r="AG532" s="5">
        <f t="shared" si="312"/>
        <v>0</v>
      </c>
      <c r="AH532" s="5">
        <f t="shared" si="313"/>
        <v>0</v>
      </c>
      <c r="AI532" s="5">
        <f t="shared" si="314"/>
        <v>8446.1095835632186</v>
      </c>
      <c r="AJ532" s="5">
        <f t="shared" si="315"/>
        <v>-12481.847958146605</v>
      </c>
      <c r="AK532" s="5">
        <f>IFERROR(SUM(X532:AJ532),-5000)*((Cockpit!$C$3)^0)</f>
        <v>29976.554997706993</v>
      </c>
      <c r="AL532" s="16">
        <f>INDEX('Team forecast'!$B$2:$AO$26,MATCH('Master data'!$B532,'Team forecast'!$B$2:$B$26,0),MATCH('Master data'!AL$1,'Team forecast'!$B$2:$AO$2,0))</f>
        <v>1.5687475343836428</v>
      </c>
      <c r="AM532" s="16">
        <f>INDEX('Team forecast'!$B$2:$AO$26,MATCH('Master data'!$B532,'Team forecast'!$B$2:$B$26,0),MATCH('Master data'!AM$1,'Team forecast'!$B$2:$AO$2,0))</f>
        <v>0.75781731816731412</v>
      </c>
      <c r="AN532" s="16">
        <f>INDEX('Team forecast'!$B$2:$AO$26,MATCH('Master data'!$B532,'Team forecast'!$B$2:$B$26,0),MATCH('Master data'!AN$1,'Team forecast'!$B$2:$AO$2,0))</f>
        <v>0.46868830883965779</v>
      </c>
      <c r="AO532" s="16">
        <f>INDEX('Team forecast'!$B$2:$AO$26,MATCH('Master data'!$B532,'Team forecast'!$B$2:$B$26,0),MATCH('Master data'!AO$1,'Team forecast'!$B$2:$AO$2,0))</f>
        <v>5.3425178268869509</v>
      </c>
      <c r="AP532" s="16">
        <f>INDEX('Team forecast'!$B$2:$AO$26,MATCH('Master data'!$B532,'Team forecast'!$B$2:$B$26,0),MATCH('Master data'!AP$1,'Team forecast'!$B$2:$AO$2,0))</f>
        <v>2.1494454842563817</v>
      </c>
      <c r="AQ532" s="5">
        <f t="shared" si="316"/>
        <v>7000</v>
      </c>
      <c r="AR532" s="5">
        <f>INDEX('Team forecast'!$B$2:$AO$26,MATCH('Master data'!$B532,'Team forecast'!$B$2:$B$26,0),MATCH('Master data'!AR$1,'Team forecast'!$B$2:$AO$2,0))*IF(X532&gt;0,25000,0)</f>
        <v>14202.676025444174</v>
      </c>
      <c r="AS532" s="16">
        <f>INDEX('Team forecast'!$B$2:$AO$26,MATCH('Master data'!$B532,'Team forecast'!$B$2:$B$26,0),MATCH('Master data'!AS$1,'Team forecast'!$B$2:$AO$2,0))*IF(X532&gt;0,5000,0)</f>
        <v>1266.7251590261019</v>
      </c>
      <c r="AT532" s="16">
        <f>INDEX('Team forecast'!$B$2:$AO$26,MATCH('Master data'!$B532,'Team forecast'!$B$2:$B$26,0),MATCH('Master data'!AT$1,'Team forecast'!$B$2:$AO$2,0))*IF(X532&gt;0,-15000,0)</f>
        <v>-2678.2189076551876</v>
      </c>
      <c r="AU532" s="5">
        <f t="shared" si="317"/>
        <v>0</v>
      </c>
      <c r="AV532" s="5">
        <f t="shared" si="318"/>
        <v>0</v>
      </c>
      <c r="AW532" s="5">
        <f t="shared" si="319"/>
        <v>0</v>
      </c>
      <c r="AX532" s="5">
        <f t="shared" si="320"/>
        <v>35151.623162974334</v>
      </c>
      <c r="AY532" s="5">
        <f t="shared" si="321"/>
        <v>6958.1408304453389</v>
      </c>
      <c r="AZ532" s="5">
        <f t="shared" si="322"/>
        <v>0</v>
      </c>
      <c r="BA532" s="5">
        <f t="shared" si="323"/>
        <v>0</v>
      </c>
      <c r="BB532" s="5">
        <f t="shared" si="324"/>
        <v>15687.475343836428</v>
      </c>
      <c r="BC532" s="5">
        <f t="shared" si="325"/>
        <v>-6062.5385453385134</v>
      </c>
      <c r="BD532" s="5">
        <f t="shared" si="326"/>
        <v>71525.88306873267</v>
      </c>
      <c r="BE532" s="16">
        <f>INDEX('Team forecast'!$B$2:$AO$26,MATCH('Master data'!$B532,'Team forecast'!$B$2:$B$26,0),MATCH('Master data'!BE$1,'Team forecast'!$B$2:$AO$2,0))</f>
        <v>0.95602347631827322</v>
      </c>
      <c r="BF532" s="16">
        <f>INDEX('Team forecast'!$B$2:$AO$26,MATCH('Master data'!$B532,'Team forecast'!$B$2:$B$26,0),MATCH('Master data'!BF$1,'Team forecast'!$B$2:$AO$2,0))</f>
        <v>1.5053002864585165</v>
      </c>
      <c r="BG532" s="16">
        <f>INDEX('Team forecast'!$B$2:$AO$26,MATCH('Master data'!$B532,'Team forecast'!$B$2:$B$26,0),MATCH('Master data'!BG$1,'Team forecast'!$B$2:$AO$2,0))</f>
        <v>0.22195063505392029</v>
      </c>
      <c r="BH532" s="16">
        <f>INDEX('Team forecast'!$B$2:$AO$26,MATCH('Master data'!$B532,'Team forecast'!$B$2:$B$26,0),MATCH('Master data'!BH$1,'Team forecast'!$B$2:$AO$2,0))</f>
        <v>3.2558282025664269</v>
      </c>
      <c r="BI532" s="16">
        <f>INDEX('Team forecast'!$B$2:$AO$26,MATCH('Master data'!$B532,'Team forecast'!$B$2:$B$26,0),MATCH('Master data'!BI$1,'Team forecast'!$B$2:$AO$2,0))</f>
        <v>4.2695789943187012</v>
      </c>
      <c r="BJ532" s="5">
        <f t="shared" si="327"/>
        <v>7000</v>
      </c>
      <c r="BK532" s="5">
        <f>INDEX('Team forecast'!$R$3:$BH$26,MATCH($B532,'Team forecast'!$B$3:$B$26,0),MATCH(BK$1,'Team forecast'!$R$2:$BH$2,0))*IF($X532&gt;0,25000,0)</f>
        <v>5860.0381084358223</v>
      </c>
      <c r="BL532" s="5">
        <f>INDEX('Team forecast'!$R$3:$BH$26,MATCH($B532,'Team forecast'!$B$3:$B$26,0),MATCH(BL$1,'Team forecast'!$R$2:$BH$2,0))*IF($X532&gt;0,5000,0)</f>
        <v>1413.30330850511</v>
      </c>
      <c r="BM532" s="5">
        <f>INDEX('Team forecast'!$R$3:$BH$26,MATCH($B532,'Team forecast'!$B$3:$B$26,0),MATCH(BM$1,'Team forecast'!$R$2:$BH$2,0))*IF($X532&gt;0,-15000,0)</f>
        <v>-7244.0672094231768</v>
      </c>
      <c r="BN532" s="5">
        <f t="shared" si="328"/>
        <v>0</v>
      </c>
      <c r="BO532" s="5">
        <f t="shared" si="329"/>
        <v>0</v>
      </c>
      <c r="BP532" s="5">
        <f t="shared" si="330"/>
        <v>0</v>
      </c>
      <c r="BQ532" s="5">
        <f t="shared" si="331"/>
        <v>16646.29762904402</v>
      </c>
      <c r="BR532" s="5">
        <f t="shared" si="332"/>
        <v>13821.393539300923</v>
      </c>
      <c r="BS532" s="5">
        <f t="shared" si="333"/>
        <v>0</v>
      </c>
      <c r="BT532" s="5">
        <f t="shared" si="334"/>
        <v>0</v>
      </c>
      <c r="BU532" s="5">
        <f t="shared" si="335"/>
        <v>9560.2347631827324</v>
      </c>
      <c r="BV532" s="5">
        <f t="shared" si="336"/>
        <v>-12042.402291668132</v>
      </c>
      <c r="BW532" s="5">
        <f t="shared" si="337"/>
        <v>35014.797847377296</v>
      </c>
      <c r="BX532" s="5">
        <f t="shared" si="338"/>
        <v>45505.745304605654</v>
      </c>
      <c r="BY532" s="5">
        <f t="shared" si="339"/>
        <v>136517.23591381696</v>
      </c>
      <c r="BZ532" s="5">
        <f>INDEX('Team forecast'!$R$3:$BH$26,MATCH($B532,'Team forecast'!$B$3:$B$26,0),MATCH(BZ$1,'Team forecast'!$R$2:$BH$2,0))*($BX532-(BY532+CH532)*0.01)</f>
        <v>2660.2354894923565</v>
      </c>
      <c r="CA532" s="5">
        <f>INDEX('Team forecast'!$R$3:$BH$26,MATCH($B532,'Team forecast'!$B$3:$B$26,0),MATCH(CA$1,'Team forecast'!$R$2:$BH$2,0))*($BX532-(BY532+BX532+CH532)*0.01)</f>
        <v>1162.2894854656327</v>
      </c>
      <c r="CB532" s="5">
        <f>INDEX('Team forecast'!$R$3:$BH$26,MATCH($B532,'Team forecast'!$B$3:$B$26,0),MATCH(CB$1,'Team forecast'!$R$2:$BH$2,0))*($BX532-(BY532+BX532*2+CH532)*0.01)</f>
        <v>491.53280618094038</v>
      </c>
      <c r="CC532" s="5">
        <f>INDEX('Team forecast'!$R$3:$BH$26,MATCH($B532,'Team forecast'!$B$3:$B$26,0),MATCH(CC$1,'Team forecast'!$R$2:$BH$2,0))*($BX532-(BY532+BX532*3+CH532)*0.01)</f>
        <v>191.36412843709743</v>
      </c>
      <c r="CD532" s="5">
        <f>+AK532+BD532*Cockpit!$C$3+BW532*Cockpit!$C$3^2+BZ532*Cockpit!$C$3^3+CA532*Cockpit!$C$3^4+CB532*Cockpit!$C$3^5+CC532*Cockpit!$C$3^6</f>
        <v>94321.944132419012</v>
      </c>
      <c r="CE532" s="5"/>
      <c r="CF532" s="5"/>
      <c r="CG532" s="5">
        <v>0</v>
      </c>
      <c r="CH532" s="5">
        <f t="shared" si="340"/>
        <v>4000000</v>
      </c>
      <c r="CI532" s="5">
        <f t="shared" si="341"/>
        <v>4000000</v>
      </c>
      <c r="CJ532" s="1">
        <f t="shared" si="342"/>
        <v>3.4129308978454238E-2</v>
      </c>
      <c r="CK532" s="5">
        <f>RANK(BY532,$BY$2:$BY$623)+COUNTIF($BY$2:$BY532,$BY532)-1</f>
        <v>109</v>
      </c>
      <c r="CL532" s="5">
        <f>RANK(CJ532,$CJ$2:$CJ$623)+COUNTIF($CJ$2:$CJ532,$CJ532)-1</f>
        <v>111</v>
      </c>
    </row>
    <row r="533" spans="1:90">
      <c r="A533" t="str">
        <f>Players!P534</f>
        <v>Yuri Dyupin</v>
      </c>
      <c r="B533" t="str">
        <f>Players!G534</f>
        <v>Russia</v>
      </c>
      <c r="C533" t="str">
        <f>Players!AB534</f>
        <v>Goalkeeper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3500000</v>
      </c>
      <c r="H533" s="16">
        <f>INDEX('Team forecast'!$B$2:$AO$26,MATCH('Master data'!$B533,'Team forecast'!$B$2:$B$26,0),MATCH('Master data'!H$1,'Team forecast'!$B$2:$AO$2,0))</f>
        <v>0.84461095835632183</v>
      </c>
      <c r="I533" s="16">
        <f>INDEX('Team forecast'!$B$2:$AO$26,MATCH('Master data'!$B533,'Team forecast'!$B$2:$B$26,0),MATCH('Master data'!I$1,'Team forecast'!$B$2:$AO$2,0))</f>
        <v>1.5602309947683257</v>
      </c>
      <c r="J533" s="16">
        <f>INDEX('Team forecast'!$B$2:$AO$26,MATCH('Master data'!$B533,'Team forecast'!$B$2:$B$26,0),MATCH('Master data'!J$1,'Team forecast'!$B$2:$AO$2,0))</f>
        <v>0.21008753647353071</v>
      </c>
      <c r="K533" s="16">
        <f>INDEX('Team forecast'!$B$2:$AO$26,MATCH('Master data'!$B533,'Team forecast'!$B$2:$B$26,0),MATCH('Master data'!K$1,'Team forecast'!$B$2:$AO$2,0))</f>
        <v>2.876402354682019</v>
      </c>
      <c r="L533" s="16">
        <f>INDEX('Team forecast'!$B$2:$AO$26,MATCH('Master data'!$B533,'Team forecast'!$B$2:$B$26,0),MATCH('Master data'!L$1,'Team forecast'!$B$2:$AO$2,0))</f>
        <v>4.4253824578883423</v>
      </c>
      <c r="M533">
        <f>IF(Players!BC534=1,95,0)</f>
        <v>0</v>
      </c>
      <c r="N533" s="2">
        <f>Players!BN534</f>
        <v>0</v>
      </c>
      <c r="O533" s="2">
        <f>Players!BO534</f>
        <v>0</v>
      </c>
      <c r="P533" s="2">
        <f>Players!BP534</f>
        <v>0</v>
      </c>
      <c r="Q533" s="2">
        <f>Players!BQ534</f>
        <v>0</v>
      </c>
      <c r="R533" s="2">
        <f>Players!BR534</f>
        <v>0</v>
      </c>
      <c r="S533" s="2">
        <f t="shared" si="301"/>
        <v>0.84461095835632183</v>
      </c>
      <c r="T533" s="2">
        <f t="shared" si="302"/>
        <v>1.5602309947683257</v>
      </c>
      <c r="U533" s="16">
        <f>INDEX('Team forecast'!$B$2:$AO$26,MATCH('Master data'!$B533,'Team forecast'!$B$2:$B$26,0),MATCH('Master data'!U$1,'Team forecast'!$B$2:$AO$2,0))</f>
        <v>0.18007503126302629</v>
      </c>
      <c r="V533" s="16">
        <f>INDEX('Team forecast'!$B$2:$AO$26,MATCH('Master data'!$B533,'Team forecast'!$B$2:$B$26,0),MATCH('Master data'!V$1,'Team forecast'!$B$2:$AO$2,0))</f>
        <v>0.23634847853272201</v>
      </c>
      <c r="W533" s="16">
        <f>INDEX('Team forecast'!$B$2:$AO$26,MATCH('Master data'!$B533,'Team forecast'!$B$2:$B$26,0),MATCH('Master data'!W$1,'Team forecast'!$B$2:$AO$2,0))</f>
        <v>0.58357649020425184</v>
      </c>
      <c r="X533" s="5">
        <f t="shared" si="303"/>
        <v>-5000</v>
      </c>
      <c r="Y533" s="5">
        <f t="shared" si="304"/>
        <v>0</v>
      </c>
      <c r="Z533" s="5">
        <f t="shared" si="305"/>
        <v>0</v>
      </c>
      <c r="AA533" s="5">
        <f t="shared" si="306"/>
        <v>0</v>
      </c>
      <c r="AB533" s="5">
        <f t="shared" si="307"/>
        <v>0</v>
      </c>
      <c r="AC533" s="5">
        <f t="shared" si="308"/>
        <v>0</v>
      </c>
      <c r="AD533" s="5">
        <f t="shared" si="309"/>
        <v>0</v>
      </c>
      <c r="AE533" s="5">
        <f t="shared" si="310"/>
        <v>15756.565235514803</v>
      </c>
      <c r="AF533" s="5">
        <f t="shared" si="311"/>
        <v>14325.757315600084</v>
      </c>
      <c r="AG533" s="5">
        <f t="shared" si="312"/>
        <v>0</v>
      </c>
      <c r="AH533" s="5">
        <f t="shared" si="313"/>
        <v>0</v>
      </c>
      <c r="AI533" s="5">
        <f t="shared" si="314"/>
        <v>0</v>
      </c>
      <c r="AJ533" s="5">
        <f t="shared" si="315"/>
        <v>0</v>
      </c>
      <c r="AK533" s="5">
        <f>IFERROR(SUM(X533:AJ533),-5000)*((Cockpit!$C$3)^0)</f>
        <v>25082.322551114885</v>
      </c>
      <c r="AL533" s="16">
        <f>INDEX('Team forecast'!$B$2:$AO$26,MATCH('Master data'!$B533,'Team forecast'!$B$2:$B$26,0),MATCH('Master data'!AL$1,'Team forecast'!$B$2:$AO$2,0))</f>
        <v>1.5687475343836428</v>
      </c>
      <c r="AM533" s="16">
        <f>INDEX('Team forecast'!$B$2:$AO$26,MATCH('Master data'!$B533,'Team forecast'!$B$2:$B$26,0),MATCH('Master data'!AM$1,'Team forecast'!$B$2:$AO$2,0))</f>
        <v>0.75781731816731412</v>
      </c>
      <c r="AN533" s="16">
        <f>INDEX('Team forecast'!$B$2:$AO$26,MATCH('Master data'!$B533,'Team forecast'!$B$2:$B$26,0),MATCH('Master data'!AN$1,'Team forecast'!$B$2:$AO$2,0))</f>
        <v>0.46868830883965779</v>
      </c>
      <c r="AO533" s="16">
        <f>INDEX('Team forecast'!$B$2:$AO$26,MATCH('Master data'!$B533,'Team forecast'!$B$2:$B$26,0),MATCH('Master data'!AO$1,'Team forecast'!$B$2:$AO$2,0))</f>
        <v>5.3425178268869509</v>
      </c>
      <c r="AP533" s="16">
        <f>INDEX('Team forecast'!$B$2:$AO$26,MATCH('Master data'!$B533,'Team forecast'!$B$2:$B$26,0),MATCH('Master data'!AP$1,'Team forecast'!$B$2:$AO$2,0))</f>
        <v>2.1494454842563817</v>
      </c>
      <c r="AQ533" s="5">
        <f t="shared" si="316"/>
        <v>-5000</v>
      </c>
      <c r="AR533" s="5">
        <f>INDEX('Team forecast'!$B$2:$AO$26,MATCH('Master data'!$B533,'Team forecast'!$B$2:$B$26,0),MATCH('Master data'!AR$1,'Team forecast'!$B$2:$AO$2,0))*IF(X533&gt;0,25000,0)</f>
        <v>0</v>
      </c>
      <c r="AS533" s="16">
        <f>INDEX('Team forecast'!$B$2:$AO$26,MATCH('Master data'!$B533,'Team forecast'!$B$2:$B$26,0),MATCH('Master data'!AS$1,'Team forecast'!$B$2:$AO$2,0))*IF(X533&gt;0,5000,0)</f>
        <v>0</v>
      </c>
      <c r="AT533" s="16">
        <f>INDEX('Team forecast'!$B$2:$AO$26,MATCH('Master data'!$B533,'Team forecast'!$B$2:$B$26,0),MATCH('Master data'!AT$1,'Team forecast'!$B$2:$AO$2,0))*IF(X533&gt;0,-15000,0)</f>
        <v>0</v>
      </c>
      <c r="AU533" s="5">
        <f t="shared" si="317"/>
        <v>0</v>
      </c>
      <c r="AV533" s="5">
        <f t="shared" si="318"/>
        <v>0</v>
      </c>
      <c r="AW533" s="5">
        <f t="shared" si="319"/>
        <v>0</v>
      </c>
      <c r="AX533" s="5">
        <f t="shared" si="320"/>
        <v>35151.623162974334</v>
      </c>
      <c r="AY533" s="5">
        <f t="shared" si="321"/>
        <v>6958.1408304453389</v>
      </c>
      <c r="AZ533" s="5">
        <f t="shared" si="322"/>
        <v>0</v>
      </c>
      <c r="BA533" s="5">
        <f t="shared" si="323"/>
        <v>0</v>
      </c>
      <c r="BB533" s="5">
        <f t="shared" si="324"/>
        <v>0</v>
      </c>
      <c r="BC533" s="5">
        <f t="shared" si="325"/>
        <v>0</v>
      </c>
      <c r="BD533" s="5">
        <f t="shared" si="326"/>
        <v>37109.76399341967</v>
      </c>
      <c r="BE533" s="16">
        <f>INDEX('Team forecast'!$B$2:$AO$26,MATCH('Master data'!$B533,'Team forecast'!$B$2:$B$26,0),MATCH('Master data'!BE$1,'Team forecast'!$B$2:$AO$2,0))</f>
        <v>0.95602347631827322</v>
      </c>
      <c r="BF533" s="16">
        <f>INDEX('Team forecast'!$B$2:$AO$26,MATCH('Master data'!$B533,'Team forecast'!$B$2:$B$26,0),MATCH('Master data'!BF$1,'Team forecast'!$B$2:$AO$2,0))</f>
        <v>1.5053002864585165</v>
      </c>
      <c r="BG533" s="16">
        <f>INDEX('Team forecast'!$B$2:$AO$26,MATCH('Master data'!$B533,'Team forecast'!$B$2:$B$26,0),MATCH('Master data'!BG$1,'Team forecast'!$B$2:$AO$2,0))</f>
        <v>0.22195063505392029</v>
      </c>
      <c r="BH533" s="16">
        <f>INDEX('Team forecast'!$B$2:$AO$26,MATCH('Master data'!$B533,'Team forecast'!$B$2:$B$26,0),MATCH('Master data'!BH$1,'Team forecast'!$B$2:$AO$2,0))</f>
        <v>3.2558282025664269</v>
      </c>
      <c r="BI533" s="16">
        <f>INDEX('Team forecast'!$B$2:$AO$26,MATCH('Master data'!$B533,'Team forecast'!$B$2:$B$26,0),MATCH('Master data'!BI$1,'Team forecast'!$B$2:$AO$2,0))</f>
        <v>4.2695789943187012</v>
      </c>
      <c r="BJ533" s="5">
        <f t="shared" si="327"/>
        <v>-5000</v>
      </c>
      <c r="BK533" s="5">
        <f>INDEX('Team forecast'!$R$3:$BH$26,MATCH($B533,'Team forecast'!$B$3:$B$26,0),MATCH(BK$1,'Team forecast'!$R$2:$BH$2,0))*IF($X533&gt;0,25000,0)</f>
        <v>0</v>
      </c>
      <c r="BL533" s="5">
        <f>INDEX('Team forecast'!$R$3:$BH$26,MATCH($B533,'Team forecast'!$B$3:$B$26,0),MATCH(BL$1,'Team forecast'!$R$2:$BH$2,0))*IF($X533&gt;0,5000,0)</f>
        <v>0</v>
      </c>
      <c r="BM533" s="5">
        <f>INDEX('Team forecast'!$R$3:$BH$26,MATCH($B533,'Team forecast'!$B$3:$B$26,0),MATCH(BM$1,'Team forecast'!$R$2:$BH$2,0))*IF($X533&gt;0,-15000,0)</f>
        <v>0</v>
      </c>
      <c r="BN533" s="5">
        <f t="shared" si="328"/>
        <v>0</v>
      </c>
      <c r="BO533" s="5">
        <f t="shared" si="329"/>
        <v>0</v>
      </c>
      <c r="BP533" s="5">
        <f t="shared" si="330"/>
        <v>0</v>
      </c>
      <c r="BQ533" s="5">
        <f t="shared" si="331"/>
        <v>16646.29762904402</v>
      </c>
      <c r="BR533" s="5">
        <f t="shared" si="332"/>
        <v>13821.393539300923</v>
      </c>
      <c r="BS533" s="5">
        <f t="shared" si="333"/>
        <v>0</v>
      </c>
      <c r="BT533" s="5">
        <f t="shared" si="334"/>
        <v>0</v>
      </c>
      <c r="BU533" s="5">
        <f t="shared" si="335"/>
        <v>0</v>
      </c>
      <c r="BV533" s="5">
        <f t="shared" si="336"/>
        <v>0</v>
      </c>
      <c r="BW533" s="5">
        <f t="shared" si="337"/>
        <v>25467.691168344943</v>
      </c>
      <c r="BX533" s="5">
        <f t="shared" si="338"/>
        <v>29219.925904293166</v>
      </c>
      <c r="BY533" s="5">
        <f t="shared" si="339"/>
        <v>87659.777712879499</v>
      </c>
      <c r="BZ533" s="5">
        <f>INDEX('Team forecast'!$R$3:$BH$26,MATCH($B533,'Team forecast'!$B$3:$B$26,0),MATCH(BZ$1,'Team forecast'!$R$2:$BH$2,0))*($BX533-(BY533+CH533)*0.01)</f>
        <v>-4276.7788398481043</v>
      </c>
      <c r="CA533" s="5">
        <f>INDEX('Team forecast'!$R$3:$BH$26,MATCH($B533,'Team forecast'!$B$3:$B$26,0),MATCH(CA$1,'Team forecast'!$R$2:$BH$2,0))*($BX533-(BY533+BX533+CH533)*0.01)</f>
        <v>-2191.4437394297042</v>
      </c>
      <c r="CB533" s="5">
        <f>INDEX('Team forecast'!$R$3:$BH$26,MATCH($B533,'Team forecast'!$B$3:$B$26,0),MATCH(CB$1,'Team forecast'!$R$2:$BH$2,0))*($BX533-(BY533+BX533*2+CH533)*0.01)</f>
        <v>-1101.7705865919763</v>
      </c>
      <c r="CC533" s="5">
        <f>INDEX('Team forecast'!$R$3:$BH$26,MATCH($B533,'Team forecast'!$B$3:$B$26,0),MATCH(CC$1,'Team forecast'!$R$2:$BH$2,0))*($BX533-(BY533+BX533*3+CH533)*0.01)</f>
        <v>-519.41964268073696</v>
      </c>
      <c r="CD533" s="5">
        <f>+AK533+BD533*Cockpit!$C$3+BW533*Cockpit!$C$3^2+BZ533*Cockpit!$C$3^3+CA533*Cockpit!$C$3^4+CB533*Cockpit!$C$3^5+CC533*Cockpit!$C$3^6</f>
        <v>59250.377802165989</v>
      </c>
      <c r="CE533" s="5"/>
      <c r="CF533" s="5"/>
      <c r="CG533" s="5">
        <v>0</v>
      </c>
      <c r="CH533" s="5">
        <f t="shared" si="340"/>
        <v>3500000</v>
      </c>
      <c r="CI533" s="5">
        <f t="shared" si="341"/>
        <v>3500000</v>
      </c>
      <c r="CJ533" s="1">
        <f t="shared" si="342"/>
        <v>2.5045650775108428E-2</v>
      </c>
      <c r="CK533" s="5">
        <f>RANK(BY533,$BY$2:$BY$623)+COUNTIF($BY$2:$BY533,$BY533)-1</f>
        <v>197</v>
      </c>
      <c r="CL533" s="5">
        <f>RANK(CJ533,$CJ$2:$CJ$623)+COUNTIF($CJ$2:$CJ533,$CJ533)-1</f>
        <v>208</v>
      </c>
    </row>
    <row r="534" spans="1:90">
      <c r="A534" t="str">
        <f>Players!P535</f>
        <v>Andrei Semenov</v>
      </c>
      <c r="B534" t="str">
        <f>Players!G535</f>
        <v>Russia</v>
      </c>
      <c r="C534" t="str">
        <f>Players!AB535</f>
        <v>Defense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3000000</v>
      </c>
      <c r="H534" s="16">
        <f>INDEX('Team forecast'!$B$2:$AO$26,MATCH('Master data'!$B534,'Team forecast'!$B$2:$B$26,0),MATCH('Master data'!H$1,'Team forecast'!$B$2:$AO$2,0))</f>
        <v>0.84461095835632183</v>
      </c>
      <c r="I534" s="16">
        <f>INDEX('Team forecast'!$B$2:$AO$26,MATCH('Master data'!$B534,'Team forecast'!$B$2:$B$26,0),MATCH('Master data'!I$1,'Team forecast'!$B$2:$AO$2,0))</f>
        <v>1.5602309947683257</v>
      </c>
      <c r="J534" s="16">
        <f>INDEX('Team forecast'!$B$2:$AO$26,MATCH('Master data'!$B534,'Team forecast'!$B$2:$B$26,0),MATCH('Master data'!J$1,'Team forecast'!$B$2:$AO$2,0))</f>
        <v>0.21008753647353071</v>
      </c>
      <c r="K534" s="16">
        <f>INDEX('Team forecast'!$B$2:$AO$26,MATCH('Master data'!$B534,'Team forecast'!$B$2:$B$26,0),MATCH('Master data'!K$1,'Team forecast'!$B$2:$AO$2,0))</f>
        <v>2.876402354682019</v>
      </c>
      <c r="L534" s="16">
        <f>INDEX('Team forecast'!$B$2:$AO$26,MATCH('Master data'!$B534,'Team forecast'!$B$2:$B$26,0),MATCH('Master data'!L$1,'Team forecast'!$B$2:$AO$2,0))</f>
        <v>4.4253824578883423</v>
      </c>
      <c r="M534">
        <f>IF(Players!BC535=1,95,0)</f>
        <v>95</v>
      </c>
      <c r="N534" s="2">
        <f>Players!BN535</f>
        <v>3.4486555336679298E-2</v>
      </c>
      <c r="O534" s="2">
        <f>Players!BO535</f>
        <v>8.3855590458609727E-2</v>
      </c>
      <c r="P534" s="2">
        <f>Players!BP535</f>
        <v>0.14103624658821312</v>
      </c>
      <c r="Q534" s="2">
        <f>Players!BQ535</f>
        <v>0.37190082644628097</v>
      </c>
      <c r="R534" s="2">
        <f>Players!BR535</f>
        <v>0</v>
      </c>
      <c r="S534" s="2">
        <f t="shared" si="301"/>
        <v>0.84461095835632183</v>
      </c>
      <c r="T534" s="2">
        <f t="shared" si="302"/>
        <v>1.5602309947683257</v>
      </c>
      <c r="U534" s="16">
        <f>INDEX('Team forecast'!$B$2:$AO$26,MATCH('Master data'!$B534,'Team forecast'!$B$2:$B$26,0),MATCH('Master data'!U$1,'Team forecast'!$B$2:$AO$2,0))</f>
        <v>0.18007503126302629</v>
      </c>
      <c r="V534" s="16">
        <f>INDEX('Team forecast'!$B$2:$AO$26,MATCH('Master data'!$B534,'Team forecast'!$B$2:$B$26,0),MATCH('Master data'!V$1,'Team forecast'!$B$2:$AO$2,0))</f>
        <v>0.23634847853272201</v>
      </c>
      <c r="W534" s="16">
        <f>INDEX('Team forecast'!$B$2:$AO$26,MATCH('Master data'!$B534,'Team forecast'!$B$2:$B$26,0),MATCH('Master data'!W$1,'Team forecast'!$B$2:$AO$2,0))</f>
        <v>0.58357649020425184</v>
      </c>
      <c r="X534" s="5">
        <f t="shared" si="303"/>
        <v>7000</v>
      </c>
      <c r="Y534" s="5">
        <f t="shared" si="304"/>
        <v>4501.8757815756571</v>
      </c>
      <c r="Z534" s="5">
        <f t="shared" si="305"/>
        <v>1181.74239266361</v>
      </c>
      <c r="AA534" s="5">
        <f t="shared" si="306"/>
        <v>-8753.6473530637777</v>
      </c>
      <c r="AB534" s="5">
        <f t="shared" si="307"/>
        <v>4369.1583829981537</v>
      </c>
      <c r="AC534" s="5">
        <f t="shared" si="308"/>
        <v>3541.26753103908</v>
      </c>
      <c r="AD534" s="5">
        <f t="shared" si="309"/>
        <v>4056.7699178185007</v>
      </c>
      <c r="AE534" s="5">
        <f t="shared" si="310"/>
        <v>10504.376823676535</v>
      </c>
      <c r="AF534" s="5">
        <f t="shared" si="311"/>
        <v>0</v>
      </c>
      <c r="AG534" s="5">
        <f t="shared" si="312"/>
        <v>-7438.0165289256192</v>
      </c>
      <c r="AH534" s="5">
        <f t="shared" si="313"/>
        <v>0</v>
      </c>
      <c r="AI534" s="5">
        <f t="shared" si="314"/>
        <v>8446.1095835632186</v>
      </c>
      <c r="AJ534" s="5">
        <f t="shared" si="315"/>
        <v>-12481.847958146605</v>
      </c>
      <c r="AK534" s="5">
        <f>IFERROR(SUM(X534:AJ534),-5000)*((Cockpit!$C$3)^0)</f>
        <v>14927.788573198755</v>
      </c>
      <c r="AL534" s="16">
        <f>INDEX('Team forecast'!$B$2:$AO$26,MATCH('Master data'!$B534,'Team forecast'!$B$2:$B$26,0),MATCH('Master data'!AL$1,'Team forecast'!$B$2:$AO$2,0))</f>
        <v>1.5687475343836428</v>
      </c>
      <c r="AM534" s="16">
        <f>INDEX('Team forecast'!$B$2:$AO$26,MATCH('Master data'!$B534,'Team forecast'!$B$2:$B$26,0),MATCH('Master data'!AM$1,'Team forecast'!$B$2:$AO$2,0))</f>
        <v>0.75781731816731412</v>
      </c>
      <c r="AN534" s="16">
        <f>INDEX('Team forecast'!$B$2:$AO$26,MATCH('Master data'!$B534,'Team forecast'!$B$2:$B$26,0),MATCH('Master data'!AN$1,'Team forecast'!$B$2:$AO$2,0))</f>
        <v>0.46868830883965779</v>
      </c>
      <c r="AO534" s="16">
        <f>INDEX('Team forecast'!$B$2:$AO$26,MATCH('Master data'!$B534,'Team forecast'!$B$2:$B$26,0),MATCH('Master data'!AO$1,'Team forecast'!$B$2:$AO$2,0))</f>
        <v>5.3425178268869509</v>
      </c>
      <c r="AP534" s="16">
        <f>INDEX('Team forecast'!$B$2:$AO$26,MATCH('Master data'!$B534,'Team forecast'!$B$2:$B$26,0),MATCH('Master data'!AP$1,'Team forecast'!$B$2:$AO$2,0))</f>
        <v>2.1494454842563817</v>
      </c>
      <c r="AQ534" s="5">
        <f t="shared" si="316"/>
        <v>7000</v>
      </c>
      <c r="AR534" s="5">
        <f>INDEX('Team forecast'!$B$2:$AO$26,MATCH('Master data'!$B534,'Team forecast'!$B$2:$B$26,0),MATCH('Master data'!AR$1,'Team forecast'!$B$2:$AO$2,0))*IF(X534&gt;0,25000,0)</f>
        <v>14202.676025444174</v>
      </c>
      <c r="AS534" s="16">
        <f>INDEX('Team forecast'!$B$2:$AO$26,MATCH('Master data'!$B534,'Team forecast'!$B$2:$B$26,0),MATCH('Master data'!AS$1,'Team forecast'!$B$2:$AO$2,0))*IF(X534&gt;0,5000,0)</f>
        <v>1266.7251590261019</v>
      </c>
      <c r="AT534" s="16">
        <f>INDEX('Team forecast'!$B$2:$AO$26,MATCH('Master data'!$B534,'Team forecast'!$B$2:$B$26,0),MATCH('Master data'!AT$1,'Team forecast'!$B$2:$AO$2,0))*IF(X534&gt;0,-15000,0)</f>
        <v>-2678.2189076551876</v>
      </c>
      <c r="AU534" s="5">
        <f t="shared" si="317"/>
        <v>8115.104798070106</v>
      </c>
      <c r="AV534" s="5">
        <f t="shared" si="318"/>
        <v>6577.4125388114271</v>
      </c>
      <c r="AW534" s="5">
        <f t="shared" si="319"/>
        <v>7534.886616347525</v>
      </c>
      <c r="AX534" s="5">
        <f t="shared" si="320"/>
        <v>23434.415441982888</v>
      </c>
      <c r="AY534" s="5">
        <f t="shared" si="321"/>
        <v>0</v>
      </c>
      <c r="AZ534" s="5">
        <f t="shared" si="322"/>
        <v>-7438.0165289256192</v>
      </c>
      <c r="BA534" s="5">
        <f t="shared" si="323"/>
        <v>0</v>
      </c>
      <c r="BB534" s="5">
        <f t="shared" si="324"/>
        <v>15687.475343836428</v>
      </c>
      <c r="BC534" s="5">
        <f t="shared" si="325"/>
        <v>-6062.5385453385134</v>
      </c>
      <c r="BD534" s="5">
        <f t="shared" si="326"/>
        <v>67639.921941599328</v>
      </c>
      <c r="BE534" s="16">
        <f>INDEX('Team forecast'!$B$2:$AO$26,MATCH('Master data'!$B534,'Team forecast'!$B$2:$B$26,0),MATCH('Master data'!BE$1,'Team forecast'!$B$2:$AO$2,0))</f>
        <v>0.95602347631827322</v>
      </c>
      <c r="BF534" s="16">
        <f>INDEX('Team forecast'!$B$2:$AO$26,MATCH('Master data'!$B534,'Team forecast'!$B$2:$B$26,0),MATCH('Master data'!BF$1,'Team forecast'!$B$2:$AO$2,0))</f>
        <v>1.5053002864585165</v>
      </c>
      <c r="BG534" s="16">
        <f>INDEX('Team forecast'!$B$2:$AO$26,MATCH('Master data'!$B534,'Team forecast'!$B$2:$B$26,0),MATCH('Master data'!BG$1,'Team forecast'!$B$2:$AO$2,0))</f>
        <v>0.22195063505392029</v>
      </c>
      <c r="BH534" s="16">
        <f>INDEX('Team forecast'!$B$2:$AO$26,MATCH('Master data'!$B534,'Team forecast'!$B$2:$B$26,0),MATCH('Master data'!BH$1,'Team forecast'!$B$2:$AO$2,0))</f>
        <v>3.2558282025664269</v>
      </c>
      <c r="BI534" s="16">
        <f>INDEX('Team forecast'!$B$2:$AO$26,MATCH('Master data'!$B534,'Team forecast'!$B$2:$B$26,0),MATCH('Master data'!BI$1,'Team forecast'!$B$2:$AO$2,0))</f>
        <v>4.2695789943187012</v>
      </c>
      <c r="BJ534" s="5">
        <f t="shared" si="327"/>
        <v>7000</v>
      </c>
      <c r="BK534" s="5">
        <f>INDEX('Team forecast'!$R$3:$BH$26,MATCH($B534,'Team forecast'!$B$3:$B$26,0),MATCH(BK$1,'Team forecast'!$R$2:$BH$2,0))*IF($X534&gt;0,25000,0)</f>
        <v>5860.0381084358223</v>
      </c>
      <c r="BL534" s="5">
        <f>INDEX('Team forecast'!$R$3:$BH$26,MATCH($B534,'Team forecast'!$B$3:$B$26,0),MATCH(BL$1,'Team forecast'!$R$2:$BH$2,0))*IF($X534&gt;0,5000,0)</f>
        <v>1413.30330850511</v>
      </c>
      <c r="BM534" s="5">
        <f>INDEX('Team forecast'!$R$3:$BH$26,MATCH($B534,'Team forecast'!$B$3:$B$26,0),MATCH(BM$1,'Team forecast'!$R$2:$BH$2,0))*IF($X534&gt;0,-15000,0)</f>
        <v>-7244.0672094231768</v>
      </c>
      <c r="BN534" s="5">
        <f t="shared" si="328"/>
        <v>4945.4934778821962</v>
      </c>
      <c r="BO534" s="5">
        <f t="shared" si="329"/>
        <v>4008.3956549480749</v>
      </c>
      <c r="BP534" s="5">
        <f t="shared" si="330"/>
        <v>4591.8978922601727</v>
      </c>
      <c r="BQ534" s="5">
        <f t="shared" si="331"/>
        <v>11097.531752696015</v>
      </c>
      <c r="BR534" s="5">
        <f t="shared" si="332"/>
        <v>0</v>
      </c>
      <c r="BS534" s="5">
        <f t="shared" si="333"/>
        <v>-7438.0165289256192</v>
      </c>
      <c r="BT534" s="5">
        <f t="shared" si="334"/>
        <v>0</v>
      </c>
      <c r="BU534" s="5">
        <f t="shared" si="335"/>
        <v>9560.2347631827324</v>
      </c>
      <c r="BV534" s="5">
        <f t="shared" si="336"/>
        <v>-12042.402291668132</v>
      </c>
      <c r="BW534" s="5">
        <f t="shared" si="337"/>
        <v>21752.408927893204</v>
      </c>
      <c r="BX534" s="5">
        <f t="shared" si="338"/>
        <v>34773.373147563769</v>
      </c>
      <c r="BY534" s="5">
        <f t="shared" si="339"/>
        <v>104320.1194426913</v>
      </c>
      <c r="BZ534" s="5">
        <f>INDEX('Team forecast'!$R$3:$BH$26,MATCH($B534,'Team forecast'!$B$3:$B$26,0),MATCH(BZ$1,'Team forecast'!$R$2:$BH$2,0))*($BX534-(BY534+CH534)*0.01)</f>
        <v>2396.561041752961</v>
      </c>
      <c r="CA534" s="5">
        <f>INDEX('Team forecast'!$R$3:$BH$26,MATCH($B534,'Team forecast'!$B$3:$B$26,0),MATCH(CA$1,'Team forecast'!$R$2:$BH$2,0))*($BX534-(BY534+BX534+CH534)*0.01)</f>
        <v>1066.708955194473</v>
      </c>
      <c r="CB534" s="5">
        <f>INDEX('Team forecast'!$R$3:$BH$26,MATCH($B534,'Team forecast'!$B$3:$B$26,0),MATCH(CB$1,'Team forecast'!$R$2:$BH$2,0))*($BX534-(BY534+BX534*2+CH534)*0.01)</f>
        <v>461.74777564337057</v>
      </c>
      <c r="CC534" s="5">
        <f>INDEX('Team forecast'!$R$3:$BH$26,MATCH($B534,'Team forecast'!$B$3:$B$26,0),MATCH(CC$1,'Team forecast'!$R$2:$BH$2,0))*($BX534-(BY534+BX534*3+CH534)*0.01)</f>
        <v>185.26688360203556</v>
      </c>
      <c r="CD534" s="5">
        <f>+AK534+BD534*Cockpit!$C$3+BW534*Cockpit!$C$3^2+BZ534*Cockpit!$C$3^3+CA534*Cockpit!$C$3^4+CB534*Cockpit!$C$3^5+CC534*Cockpit!$C$3^6</f>
        <v>70686.678419335396</v>
      </c>
      <c r="CE534" s="5"/>
      <c r="CF534" s="5"/>
      <c r="CG534" s="5">
        <v>0</v>
      </c>
      <c r="CH534" s="5">
        <f t="shared" si="340"/>
        <v>3000000</v>
      </c>
      <c r="CI534" s="5">
        <f t="shared" si="341"/>
        <v>3000000</v>
      </c>
      <c r="CJ534" s="1">
        <f t="shared" si="342"/>
        <v>3.4773373147563763E-2</v>
      </c>
      <c r="CK534" s="5">
        <f>RANK(BY534,$BY$2:$BY$623)+COUNTIF($BY$2:$BY534,$BY534)-1</f>
        <v>159</v>
      </c>
      <c r="CL534" s="5">
        <f>RANK(CJ534,$CJ$2:$CJ$623)+COUNTIF($CJ$2:$CJ534,$CJ534)-1</f>
        <v>106</v>
      </c>
    </row>
    <row r="535" spans="1:90">
      <c r="A535" t="str">
        <f>Players!P536</f>
        <v>Maksim Mukhin</v>
      </c>
      <c r="B535" t="str">
        <f>Players!G536</f>
        <v>Russia</v>
      </c>
      <c r="C535" t="str">
        <f>Players!AB536</f>
        <v>Midfield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2000000</v>
      </c>
      <c r="H535" s="16">
        <f>INDEX('Team forecast'!$B$2:$AO$26,MATCH('Master data'!$B535,'Team forecast'!$B$2:$B$26,0),MATCH('Master data'!H$1,'Team forecast'!$B$2:$AO$2,0))</f>
        <v>0.84461095835632183</v>
      </c>
      <c r="I535" s="16">
        <f>INDEX('Team forecast'!$B$2:$AO$26,MATCH('Master data'!$B535,'Team forecast'!$B$2:$B$26,0),MATCH('Master data'!I$1,'Team forecast'!$B$2:$AO$2,0))</f>
        <v>1.5602309947683257</v>
      </c>
      <c r="J535" s="16">
        <f>INDEX('Team forecast'!$B$2:$AO$26,MATCH('Master data'!$B535,'Team forecast'!$B$2:$B$26,0),MATCH('Master data'!J$1,'Team forecast'!$B$2:$AO$2,0))</f>
        <v>0.21008753647353071</v>
      </c>
      <c r="K535" s="16">
        <f>INDEX('Team forecast'!$B$2:$AO$26,MATCH('Master data'!$B535,'Team forecast'!$B$2:$B$26,0),MATCH('Master data'!K$1,'Team forecast'!$B$2:$AO$2,0))</f>
        <v>2.876402354682019</v>
      </c>
      <c r="L535" s="16">
        <f>INDEX('Team forecast'!$B$2:$AO$26,MATCH('Master data'!$B535,'Team forecast'!$B$2:$B$26,0),MATCH('Master data'!L$1,'Team forecast'!$B$2:$AO$2,0))</f>
        <v>4.4253824578883423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0.27540500297796311</v>
      </c>
      <c r="R535" s="2">
        <f>Players!BR536</f>
        <v>0</v>
      </c>
      <c r="S535" s="2">
        <f t="shared" si="301"/>
        <v>0.84461095835632183</v>
      </c>
      <c r="T535" s="2">
        <f t="shared" si="302"/>
        <v>1.5602309947683257</v>
      </c>
      <c r="U535" s="16">
        <f>INDEX('Team forecast'!$B$2:$AO$26,MATCH('Master data'!$B535,'Team forecast'!$B$2:$B$26,0),MATCH('Master data'!U$1,'Team forecast'!$B$2:$AO$2,0))</f>
        <v>0.18007503126302629</v>
      </c>
      <c r="V535" s="16">
        <f>INDEX('Team forecast'!$B$2:$AO$26,MATCH('Master data'!$B535,'Team forecast'!$B$2:$B$26,0),MATCH('Master data'!V$1,'Team forecast'!$B$2:$AO$2,0))</f>
        <v>0.23634847853272201</v>
      </c>
      <c r="W535" s="16">
        <f>INDEX('Team forecast'!$B$2:$AO$26,MATCH('Master data'!$B535,'Team forecast'!$B$2:$B$26,0),MATCH('Master data'!W$1,'Team forecast'!$B$2:$AO$2,0))</f>
        <v>0.58357649020425184</v>
      </c>
      <c r="X535" s="5">
        <f t="shared" si="303"/>
        <v>-5000</v>
      </c>
      <c r="Y535" s="5">
        <f t="shared" si="304"/>
        <v>0</v>
      </c>
      <c r="Z535" s="5">
        <f t="shared" si="305"/>
        <v>0</v>
      </c>
      <c r="AA535" s="5">
        <f t="shared" si="306"/>
        <v>0</v>
      </c>
      <c r="AB535" s="5">
        <f t="shared" si="307"/>
        <v>0</v>
      </c>
      <c r="AC535" s="5">
        <f t="shared" si="308"/>
        <v>0</v>
      </c>
      <c r="AD535" s="5">
        <f t="shared" si="309"/>
        <v>0</v>
      </c>
      <c r="AE535" s="5">
        <f t="shared" si="310"/>
        <v>0</v>
      </c>
      <c r="AF535" s="5">
        <f t="shared" si="311"/>
        <v>0</v>
      </c>
      <c r="AG535" s="5">
        <f t="shared" si="312"/>
        <v>0</v>
      </c>
      <c r="AH535" s="5">
        <f t="shared" si="313"/>
        <v>0</v>
      </c>
      <c r="AI535" s="5">
        <f t="shared" si="314"/>
        <v>0</v>
      </c>
      <c r="AJ535" s="5">
        <f t="shared" si="315"/>
        <v>0</v>
      </c>
      <c r="AK535" s="5">
        <f>IFERROR(SUM(X535:AJ535),-5000)*((Cockpit!$C$3)^0)</f>
        <v>-5000</v>
      </c>
      <c r="AL535" s="16">
        <f>INDEX('Team forecast'!$B$2:$AO$26,MATCH('Master data'!$B535,'Team forecast'!$B$2:$B$26,0),MATCH('Master data'!AL$1,'Team forecast'!$B$2:$AO$2,0))</f>
        <v>1.5687475343836428</v>
      </c>
      <c r="AM535" s="16">
        <f>INDEX('Team forecast'!$B$2:$AO$26,MATCH('Master data'!$B535,'Team forecast'!$B$2:$B$26,0),MATCH('Master data'!AM$1,'Team forecast'!$B$2:$AO$2,0))</f>
        <v>0.75781731816731412</v>
      </c>
      <c r="AN535" s="16">
        <f>INDEX('Team forecast'!$B$2:$AO$26,MATCH('Master data'!$B535,'Team forecast'!$B$2:$B$26,0),MATCH('Master data'!AN$1,'Team forecast'!$B$2:$AO$2,0))</f>
        <v>0.46868830883965779</v>
      </c>
      <c r="AO535" s="16">
        <f>INDEX('Team forecast'!$B$2:$AO$26,MATCH('Master data'!$B535,'Team forecast'!$B$2:$B$26,0),MATCH('Master data'!AO$1,'Team forecast'!$B$2:$AO$2,0))</f>
        <v>5.3425178268869509</v>
      </c>
      <c r="AP535" s="16">
        <f>INDEX('Team forecast'!$B$2:$AO$26,MATCH('Master data'!$B535,'Team forecast'!$B$2:$B$26,0),MATCH('Master data'!AP$1,'Team forecast'!$B$2:$AO$2,0))</f>
        <v>2.1494454842563817</v>
      </c>
      <c r="AQ535" s="5">
        <f t="shared" si="316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317"/>
        <v>0</v>
      </c>
      <c r="AV535" s="5">
        <f t="shared" si="318"/>
        <v>0</v>
      </c>
      <c r="AW535" s="5">
        <f t="shared" si="319"/>
        <v>0</v>
      </c>
      <c r="AX535" s="5">
        <f t="shared" si="320"/>
        <v>0</v>
      </c>
      <c r="AY535" s="5">
        <f t="shared" si="321"/>
        <v>0</v>
      </c>
      <c r="AZ535" s="5">
        <f t="shared" si="322"/>
        <v>0</v>
      </c>
      <c r="BA535" s="5">
        <f t="shared" si="323"/>
        <v>0</v>
      </c>
      <c r="BB535" s="5">
        <f t="shared" si="324"/>
        <v>0</v>
      </c>
      <c r="BC535" s="5">
        <f t="shared" si="325"/>
        <v>0</v>
      </c>
      <c r="BD535" s="5">
        <f t="shared" si="326"/>
        <v>-5000</v>
      </c>
      <c r="BE535" s="16">
        <f>INDEX('Team forecast'!$B$2:$AO$26,MATCH('Master data'!$B535,'Team forecast'!$B$2:$B$26,0),MATCH('Master data'!BE$1,'Team forecast'!$B$2:$AO$2,0))</f>
        <v>0.95602347631827322</v>
      </c>
      <c r="BF535" s="16">
        <f>INDEX('Team forecast'!$B$2:$AO$26,MATCH('Master data'!$B535,'Team forecast'!$B$2:$B$26,0),MATCH('Master data'!BF$1,'Team forecast'!$B$2:$AO$2,0))</f>
        <v>1.5053002864585165</v>
      </c>
      <c r="BG535" s="16">
        <f>INDEX('Team forecast'!$B$2:$AO$26,MATCH('Master data'!$B535,'Team forecast'!$B$2:$B$26,0),MATCH('Master data'!BG$1,'Team forecast'!$B$2:$AO$2,0))</f>
        <v>0.22195063505392029</v>
      </c>
      <c r="BH535" s="16">
        <f>INDEX('Team forecast'!$B$2:$AO$26,MATCH('Master data'!$B535,'Team forecast'!$B$2:$B$26,0),MATCH('Master data'!BH$1,'Team forecast'!$B$2:$AO$2,0))</f>
        <v>3.2558282025664269</v>
      </c>
      <c r="BI535" s="16">
        <f>INDEX('Team forecast'!$B$2:$AO$26,MATCH('Master data'!$B535,'Team forecast'!$B$2:$B$26,0),MATCH('Master data'!BI$1,'Team forecast'!$B$2:$AO$2,0))</f>
        <v>4.2695789943187012</v>
      </c>
      <c r="BJ535" s="5">
        <f t="shared" si="327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328"/>
        <v>0</v>
      </c>
      <c r="BO535" s="5">
        <f t="shared" si="329"/>
        <v>0</v>
      </c>
      <c r="BP535" s="5">
        <f t="shared" si="330"/>
        <v>0</v>
      </c>
      <c r="BQ535" s="5">
        <f t="shared" si="331"/>
        <v>0</v>
      </c>
      <c r="BR535" s="5">
        <f t="shared" si="332"/>
        <v>0</v>
      </c>
      <c r="BS535" s="5">
        <f t="shared" si="333"/>
        <v>0</v>
      </c>
      <c r="BT535" s="5">
        <f t="shared" si="334"/>
        <v>0</v>
      </c>
      <c r="BU535" s="5">
        <f t="shared" si="335"/>
        <v>0</v>
      </c>
      <c r="BV535" s="5">
        <f t="shared" si="336"/>
        <v>0</v>
      </c>
      <c r="BW535" s="5">
        <f t="shared" si="337"/>
        <v>-5000</v>
      </c>
      <c r="BX535" s="5">
        <f t="shared" si="338"/>
        <v>-5000</v>
      </c>
      <c r="BY535" s="5">
        <f t="shared" si="339"/>
        <v>-15000</v>
      </c>
      <c r="BZ535" s="5">
        <f>INDEX('Team forecast'!$R$3:$BH$26,MATCH($B535,'Team forecast'!$B$3:$B$26,0),MATCH(BZ$1,'Team forecast'!$R$2:$BH$2,0))*($BX535-(BY535+CH535)*0.01)</f>
        <v>-15965.629101221237</v>
      </c>
      <c r="CA535" s="5">
        <f>INDEX('Team forecast'!$R$3:$BH$26,MATCH($B535,'Team forecast'!$B$3:$B$26,0),MATCH(CA$1,'Team forecast'!$R$2:$BH$2,0))*($BX535-(BY535+BX535+CH535)*0.01)</f>
        <v>-7821.0983779122453</v>
      </c>
      <c r="CB535" s="5">
        <f>INDEX('Team forecast'!$R$3:$BH$26,MATCH($B535,'Team forecast'!$B$3:$B$26,0),MATCH(CB$1,'Team forecast'!$R$2:$BH$2,0))*($BX535-(BY535+BX535*2+CH535)*0.01)</f>
        <v>-3765.8551216874998</v>
      </c>
      <c r="CC535" s="5">
        <f>INDEX('Team forecast'!$R$3:$BH$26,MATCH($B535,'Team forecast'!$B$3:$B$26,0),MATCH(CC$1,'Team forecast'!$R$2:$BH$2,0))*($BX535-(BY535+BX535*3+CH535)*0.01)</f>
        <v>-1703.0672961872265</v>
      </c>
      <c r="CD535" s="5">
        <f>+AK535+BD535*Cockpit!$C$3+BW535*Cockpit!$C$3^2+BZ535*Cockpit!$C$3^3+CA535*Cockpit!$C$3^4+CB535*Cockpit!$C$3^5+CC535*Cockpit!$C$3^6</f>
        <v>-17476.450549960402</v>
      </c>
      <c r="CE535" s="5"/>
      <c r="CF535" s="5"/>
      <c r="CG535" s="5">
        <v>0</v>
      </c>
      <c r="CH535" s="5">
        <f t="shared" si="340"/>
        <v>2000000</v>
      </c>
      <c r="CI535" s="5">
        <f t="shared" si="341"/>
        <v>2000000</v>
      </c>
      <c r="CJ535" s="1">
        <f t="shared" si="342"/>
        <v>-7.4999999999999997E-3</v>
      </c>
      <c r="CK535" s="5">
        <f>RANK(BY535,$BY$2:$BY$623)+COUNTIF($BY$2:$BY535,$BY535)-1</f>
        <v>589</v>
      </c>
      <c r="CL535" s="5">
        <f>RANK(CJ535,$CJ$2:$CJ$623)+COUNTIF($CJ$2:$CJ535,$CJ535)-1</f>
        <v>603</v>
      </c>
    </row>
    <row r="536" spans="1:90">
      <c r="A536" t="str">
        <f>Players!P537</f>
        <v>Adam A. Davies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3000000</v>
      </c>
      <c r="H536" s="16">
        <f>INDEX('Team forecast'!$B$2:$AO$26,MATCH('Master data'!$B536,'Team forecast'!$B$2:$B$26,0),MATCH('Master data'!H$1,'Team forecast'!$B$2:$AO$2,0))</f>
        <v>0.87435064565555498</v>
      </c>
      <c r="I536" s="16">
        <f>INDEX('Team forecast'!$B$2:$AO$26,MATCH('Master data'!$B536,'Team forecast'!$B$2:$B$26,0),MATCH('Master data'!I$1,'Team forecast'!$B$2:$AO$2,0))</f>
        <v>1.162032718107336</v>
      </c>
      <c r="J536" s="16">
        <f>INDEX('Team forecast'!$B$2:$AO$26,MATCH('Master data'!$B536,'Team forecast'!$B$2:$B$26,0),MATCH('Master data'!J$1,'Team forecast'!$B$2:$AO$2,0))</f>
        <v>0.31284959906121651</v>
      </c>
      <c r="K536" s="16">
        <f>INDEX('Team forecast'!$B$2:$AO$26,MATCH('Master data'!$B536,'Team forecast'!$B$2:$B$26,0),MATCH('Master data'!K$1,'Team forecast'!$B$2:$AO$2,0))</f>
        <v>2.6542787457400774</v>
      </c>
      <c r="L536" s="16">
        <f>INDEX('Team forecast'!$B$2:$AO$26,MATCH('Master data'!$B536,'Team forecast'!$B$2:$B$26,0),MATCH('Master data'!L$1,'Team forecast'!$B$2:$AO$2,0))</f>
        <v>3.0401288408862195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9.4670406732117809E-2</v>
      </c>
      <c r="R536" s="2">
        <f>Players!BR537</f>
        <v>0</v>
      </c>
      <c r="S536" s="2">
        <f t="shared" si="301"/>
        <v>0.87435064565555498</v>
      </c>
      <c r="T536" s="2">
        <f t="shared" si="302"/>
        <v>1.162032718107336</v>
      </c>
      <c r="U536" s="16">
        <f>INDEX('Team forecast'!$B$2:$AO$26,MATCH('Master data'!$B536,'Team forecast'!$B$2:$B$26,0),MATCH('Master data'!U$1,'Team forecast'!$B$2:$AO$2,0))</f>
        <v>0.2607079992176804</v>
      </c>
      <c r="V536" s="16">
        <f>INDEX('Team forecast'!$B$2:$AO$26,MATCH('Master data'!$B536,'Team forecast'!$B$2:$B$26,0),MATCH('Master data'!V$1,'Team forecast'!$B$2:$AO$2,0))</f>
        <v>0.30275767651085472</v>
      </c>
      <c r="W536" s="16">
        <f>INDEX('Team forecast'!$B$2:$AO$26,MATCH('Master data'!$B536,'Team forecast'!$B$2:$B$26,0),MATCH('Master data'!W$1,'Team forecast'!$B$2:$AO$2,0))</f>
        <v>0.43653432427146488</v>
      </c>
      <c r="X536" s="5">
        <f t="shared" si="303"/>
        <v>-5000</v>
      </c>
      <c r="Y536" s="5">
        <f t="shared" si="304"/>
        <v>0</v>
      </c>
      <c r="Z536" s="5">
        <f t="shared" si="305"/>
        <v>0</v>
      </c>
      <c r="AA536" s="5">
        <f t="shared" si="306"/>
        <v>0</v>
      </c>
      <c r="AB536" s="5">
        <f t="shared" si="307"/>
        <v>0</v>
      </c>
      <c r="AC536" s="5">
        <f t="shared" si="308"/>
        <v>0</v>
      </c>
      <c r="AD536" s="5">
        <f t="shared" si="309"/>
        <v>0</v>
      </c>
      <c r="AE536" s="5">
        <f t="shared" si="310"/>
        <v>23463.71992959124</v>
      </c>
      <c r="AF536" s="5">
        <f t="shared" si="311"/>
        <v>9390.4806138944168</v>
      </c>
      <c r="AG536" s="5">
        <f t="shared" si="312"/>
        <v>0</v>
      </c>
      <c r="AH536" s="5">
        <f t="shared" si="313"/>
        <v>0</v>
      </c>
      <c r="AI536" s="5">
        <f t="shared" si="314"/>
        <v>0</v>
      </c>
      <c r="AJ536" s="5">
        <f t="shared" si="315"/>
        <v>0</v>
      </c>
      <c r="AK536" s="5">
        <f>IFERROR(SUM(X536:AJ536),-5000)*((Cockpit!$C$3)^0)</f>
        <v>27854.200543485655</v>
      </c>
      <c r="AL536" s="16">
        <f>INDEX('Team forecast'!$B$2:$AO$26,MATCH('Master data'!$B536,'Team forecast'!$B$2:$B$26,0),MATCH('Master data'!AL$1,'Team forecast'!$B$2:$AO$2,0))</f>
        <v>1.0279287794501248</v>
      </c>
      <c r="AM536" s="16">
        <f>INDEX('Team forecast'!$B$2:$AO$26,MATCH('Master data'!$B536,'Team forecast'!$B$2:$B$26,0),MATCH('Master data'!AM$1,'Team forecast'!$B$2:$AO$2,0))</f>
        <v>1.2847203648825669</v>
      </c>
      <c r="AN536" s="16">
        <f>INDEX('Team forecast'!$B$2:$AO$26,MATCH('Master data'!$B536,'Team forecast'!$B$2:$B$26,0),MATCH('Master data'!AN$1,'Team forecast'!$B$2:$AO$2,0))</f>
        <v>0.27672795566788022</v>
      </c>
      <c r="AO536" s="16">
        <f>INDEX('Team forecast'!$B$2:$AO$26,MATCH('Master data'!$B536,'Team forecast'!$B$2:$B$26,0),MATCH('Master data'!AO$1,'Team forecast'!$B$2:$AO$2,0))</f>
        <v>3.1204980804735931</v>
      </c>
      <c r="AP536" s="16">
        <f>INDEX('Team forecast'!$B$2:$AO$26,MATCH('Master data'!$B536,'Team forecast'!$B$2:$B$26,0),MATCH('Master data'!AP$1,'Team forecast'!$B$2:$AO$2,0))</f>
        <v>3.3611062519089856</v>
      </c>
      <c r="AQ536" s="5">
        <f t="shared" si="316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317"/>
        <v>0</v>
      </c>
      <c r="AV536" s="5">
        <f t="shared" si="318"/>
        <v>0</v>
      </c>
      <c r="AW536" s="5">
        <f t="shared" si="319"/>
        <v>0</v>
      </c>
      <c r="AX536" s="5">
        <f t="shared" si="320"/>
        <v>20754.596675091016</v>
      </c>
      <c r="AY536" s="5">
        <f t="shared" si="321"/>
        <v>10381.929435132093</v>
      </c>
      <c r="AZ536" s="5">
        <f t="shared" si="322"/>
        <v>0</v>
      </c>
      <c r="BA536" s="5">
        <f t="shared" si="323"/>
        <v>0</v>
      </c>
      <c r="BB536" s="5">
        <f t="shared" si="324"/>
        <v>0</v>
      </c>
      <c r="BC536" s="5">
        <f t="shared" si="325"/>
        <v>0</v>
      </c>
      <c r="BD536" s="5">
        <f t="shared" si="326"/>
        <v>26136.526110223109</v>
      </c>
      <c r="BE536" s="16">
        <f>INDEX('Team forecast'!$B$2:$AO$26,MATCH('Master data'!$B536,'Team forecast'!$B$2:$B$26,0),MATCH('Master data'!BE$1,'Team forecast'!$B$2:$AO$2,0))</f>
        <v>0.65281467345965161</v>
      </c>
      <c r="BF536" s="16">
        <f>INDEX('Team forecast'!$B$2:$AO$26,MATCH('Master data'!$B536,'Team forecast'!$B$2:$B$26,0),MATCH('Master data'!BF$1,'Team forecast'!$B$2:$AO$2,0))</f>
        <v>1.8402581758343768</v>
      </c>
      <c r="BG536" s="16">
        <f>INDEX('Team forecast'!$B$2:$AO$26,MATCH('Master data'!$B536,'Team forecast'!$B$2:$B$26,0),MATCH('Master data'!BG$1,'Team forecast'!$B$2:$AO$2,0))</f>
        <v>0.15877642857793531</v>
      </c>
      <c r="BH536" s="16">
        <f>INDEX('Team forecast'!$B$2:$AO$26,MATCH('Master data'!$B536,'Team forecast'!$B$2:$B$26,0),MATCH('Master data'!BH$1,'Team forecast'!$B$2:$AO$2,0))</f>
        <v>1.9817588301453708</v>
      </c>
      <c r="BI536" s="16">
        <f>INDEX('Team forecast'!$B$2:$AO$26,MATCH('Master data'!$B536,'Team forecast'!$B$2:$B$26,0),MATCH('Master data'!BI$1,'Team forecast'!$B$2:$AO$2,0))</f>
        <v>4.8145132816423697</v>
      </c>
      <c r="BJ536" s="5">
        <f t="shared" si="327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328"/>
        <v>0</v>
      </c>
      <c r="BO536" s="5">
        <f t="shared" si="329"/>
        <v>0</v>
      </c>
      <c r="BP536" s="5">
        <f t="shared" si="330"/>
        <v>0</v>
      </c>
      <c r="BQ536" s="5">
        <f t="shared" si="331"/>
        <v>11908.232143345149</v>
      </c>
      <c r="BR536" s="5">
        <f t="shared" si="332"/>
        <v>14871.275529039964</v>
      </c>
      <c r="BS536" s="5">
        <f t="shared" si="333"/>
        <v>0</v>
      </c>
      <c r="BT536" s="5">
        <f t="shared" si="334"/>
        <v>0</v>
      </c>
      <c r="BU536" s="5">
        <f t="shared" si="335"/>
        <v>0</v>
      </c>
      <c r="BV536" s="5">
        <f t="shared" si="336"/>
        <v>0</v>
      </c>
      <c r="BW536" s="5">
        <f t="shared" si="337"/>
        <v>21779.507672385113</v>
      </c>
      <c r="BX536" s="5">
        <f t="shared" si="338"/>
        <v>25256.744775364627</v>
      </c>
      <c r="BY536" s="5">
        <f t="shared" si="339"/>
        <v>75770.23432609388</v>
      </c>
      <c r="BZ536" s="5">
        <f>INDEX('Team forecast'!$R$3:$BH$26,MATCH($B536,'Team forecast'!$B$3:$B$26,0),MATCH(BZ$1,'Team forecast'!$R$2:$BH$2,0))*($BX536-(BY536+CH536)*0.01)</f>
        <v>-2710.7396261907352</v>
      </c>
      <c r="CA536" s="5">
        <f>INDEX('Team forecast'!$R$3:$BH$26,MATCH($B536,'Team forecast'!$B$3:$B$26,0),MATCH(CA$1,'Team forecast'!$R$2:$BH$2,0))*($BX536-(BY536+BX536+CH536)*0.01)</f>
        <v>-1392.580811429955</v>
      </c>
      <c r="CB536" s="5">
        <f>INDEX('Team forecast'!$R$3:$BH$26,MATCH($B536,'Team forecast'!$B$3:$B$26,0),MATCH(CB$1,'Team forecast'!$R$2:$BH$2,0))*($BX536-(BY536+BX536*2+CH536)*0.01)</f>
        <v>-702.2755042007318</v>
      </c>
      <c r="CC536" s="5">
        <f>INDEX('Team forecast'!$R$3:$BH$26,MATCH($B536,'Team forecast'!$B$3:$B$26,0),MATCH(CC$1,'Team forecast'!$R$2:$BH$2,0))*($BX536-(BY536+BX536*3+CH536)*0.01)</f>
        <v>-332.87488966907176</v>
      </c>
      <c r="CD536" s="5">
        <f>+AK536+BD536*Cockpit!$C$3+BW536*Cockpit!$C$3^2+BZ536*Cockpit!$C$3^3+CA536*Cockpit!$C$3^4+CB536*Cockpit!$C$3^5+CC536*Cockpit!$C$3^6</f>
        <v>53758.368359639288</v>
      </c>
      <c r="CE536" s="5"/>
      <c r="CF536" s="5"/>
      <c r="CG536" s="5">
        <v>0</v>
      </c>
      <c r="CH536" s="5">
        <f t="shared" si="340"/>
        <v>3000000</v>
      </c>
      <c r="CI536" s="5">
        <f t="shared" si="341"/>
        <v>3000000</v>
      </c>
      <c r="CJ536" s="1">
        <f t="shared" si="342"/>
        <v>2.5256744775364628E-2</v>
      </c>
      <c r="CK536" s="5">
        <f>RANK(BY536,$BY$2:$BY$623)+COUNTIF($BY$2:$BY536,$BY536)-1</f>
        <v>230</v>
      </c>
      <c r="CL536" s="5">
        <f>RANK(CJ536,$CJ$2:$CJ$623)+COUNTIF($CJ$2:$CJ536,$CJ536)-1</f>
        <v>206</v>
      </c>
    </row>
    <row r="537" spans="1:90">
      <c r="A537" t="str">
        <f>Players!P538</f>
        <v>Wayne Hennessey</v>
      </c>
      <c r="B537" t="str">
        <f>Players!G538</f>
        <v>Wales</v>
      </c>
      <c r="C537" t="str">
        <f>Players!AB538</f>
        <v>Goalkeeper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3500000</v>
      </c>
      <c r="H537" s="16">
        <f>INDEX('Team forecast'!$B$2:$AO$26,MATCH('Master data'!$B537,'Team forecast'!$B$2:$B$26,0),MATCH('Master data'!H$1,'Team forecast'!$B$2:$AO$2,0))</f>
        <v>0.87435064565555498</v>
      </c>
      <c r="I537" s="16">
        <f>INDEX('Team forecast'!$B$2:$AO$26,MATCH('Master data'!$B537,'Team forecast'!$B$2:$B$26,0),MATCH('Master data'!I$1,'Team forecast'!$B$2:$AO$2,0))</f>
        <v>1.162032718107336</v>
      </c>
      <c r="J537" s="16">
        <f>INDEX('Team forecast'!$B$2:$AO$26,MATCH('Master data'!$B537,'Team forecast'!$B$2:$B$26,0),MATCH('Master data'!J$1,'Team forecast'!$B$2:$AO$2,0))</f>
        <v>0.31284959906121651</v>
      </c>
      <c r="K537" s="16">
        <f>INDEX('Team forecast'!$B$2:$AO$26,MATCH('Master data'!$B537,'Team forecast'!$B$2:$B$26,0),MATCH('Master data'!K$1,'Team forecast'!$B$2:$AO$2,0))</f>
        <v>2.6542787457400774</v>
      </c>
      <c r="L537" s="16">
        <f>INDEX('Team forecast'!$B$2:$AO$26,MATCH('Master data'!$B537,'Team forecast'!$B$2:$B$26,0),MATCH('Master data'!L$1,'Team forecast'!$B$2:$AO$2,0))</f>
        <v>3.0401288408862195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</v>
      </c>
      <c r="R537" s="2">
        <f>Players!BR538</f>
        <v>0</v>
      </c>
      <c r="S537" s="2">
        <f t="shared" si="301"/>
        <v>0.87435064565555498</v>
      </c>
      <c r="T537" s="2">
        <f t="shared" si="302"/>
        <v>1.162032718107336</v>
      </c>
      <c r="U537" s="16">
        <f>INDEX('Team forecast'!$B$2:$AO$26,MATCH('Master data'!$B537,'Team forecast'!$B$2:$B$26,0),MATCH('Master data'!U$1,'Team forecast'!$B$2:$AO$2,0))</f>
        <v>0.2607079992176804</v>
      </c>
      <c r="V537" s="16">
        <f>INDEX('Team forecast'!$B$2:$AO$26,MATCH('Master data'!$B537,'Team forecast'!$B$2:$B$26,0),MATCH('Master data'!V$1,'Team forecast'!$B$2:$AO$2,0))</f>
        <v>0.30275767651085472</v>
      </c>
      <c r="W537" s="16">
        <f>INDEX('Team forecast'!$B$2:$AO$26,MATCH('Master data'!$B537,'Team forecast'!$B$2:$B$26,0),MATCH('Master data'!W$1,'Team forecast'!$B$2:$AO$2,0))</f>
        <v>0.43653432427146488</v>
      </c>
      <c r="X537" s="5">
        <f t="shared" si="303"/>
        <v>-5000</v>
      </c>
      <c r="Y537" s="5">
        <f t="shared" si="304"/>
        <v>0</v>
      </c>
      <c r="Z537" s="5">
        <f t="shared" si="305"/>
        <v>0</v>
      </c>
      <c r="AA537" s="5">
        <f t="shared" si="306"/>
        <v>0</v>
      </c>
      <c r="AB537" s="5">
        <f t="shared" si="307"/>
        <v>0</v>
      </c>
      <c r="AC537" s="5">
        <f t="shared" si="308"/>
        <v>0</v>
      </c>
      <c r="AD537" s="5">
        <f t="shared" si="309"/>
        <v>0</v>
      </c>
      <c r="AE537" s="5">
        <f t="shared" si="310"/>
        <v>23463.71992959124</v>
      </c>
      <c r="AF537" s="5">
        <f t="shared" si="311"/>
        <v>9390.4806138944168</v>
      </c>
      <c r="AG537" s="5">
        <f t="shared" si="312"/>
        <v>0</v>
      </c>
      <c r="AH537" s="5">
        <f t="shared" si="313"/>
        <v>0</v>
      </c>
      <c r="AI537" s="5">
        <f t="shared" si="314"/>
        <v>0</v>
      </c>
      <c r="AJ537" s="5">
        <f t="shared" si="315"/>
        <v>0</v>
      </c>
      <c r="AK537" s="5">
        <f>IFERROR(SUM(X537:AJ537),-5000)*((Cockpit!$C$3)^0)</f>
        <v>27854.200543485655</v>
      </c>
      <c r="AL537" s="16">
        <f>INDEX('Team forecast'!$B$2:$AO$26,MATCH('Master data'!$B537,'Team forecast'!$B$2:$B$26,0),MATCH('Master data'!AL$1,'Team forecast'!$B$2:$AO$2,0))</f>
        <v>1.0279287794501248</v>
      </c>
      <c r="AM537" s="16">
        <f>INDEX('Team forecast'!$B$2:$AO$26,MATCH('Master data'!$B537,'Team forecast'!$B$2:$B$26,0),MATCH('Master data'!AM$1,'Team forecast'!$B$2:$AO$2,0))</f>
        <v>1.2847203648825669</v>
      </c>
      <c r="AN537" s="16">
        <f>INDEX('Team forecast'!$B$2:$AO$26,MATCH('Master data'!$B537,'Team forecast'!$B$2:$B$26,0),MATCH('Master data'!AN$1,'Team forecast'!$B$2:$AO$2,0))</f>
        <v>0.27672795566788022</v>
      </c>
      <c r="AO537" s="16">
        <f>INDEX('Team forecast'!$B$2:$AO$26,MATCH('Master data'!$B537,'Team forecast'!$B$2:$B$26,0),MATCH('Master data'!AO$1,'Team forecast'!$B$2:$AO$2,0))</f>
        <v>3.1204980804735931</v>
      </c>
      <c r="AP537" s="16">
        <f>INDEX('Team forecast'!$B$2:$AO$26,MATCH('Master data'!$B537,'Team forecast'!$B$2:$B$26,0),MATCH('Master data'!AP$1,'Team forecast'!$B$2:$AO$2,0))</f>
        <v>3.3611062519089856</v>
      </c>
      <c r="AQ537" s="5">
        <f t="shared" si="316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317"/>
        <v>0</v>
      </c>
      <c r="AV537" s="5">
        <f t="shared" si="318"/>
        <v>0</v>
      </c>
      <c r="AW537" s="5">
        <f t="shared" si="319"/>
        <v>0</v>
      </c>
      <c r="AX537" s="5">
        <f t="shared" si="320"/>
        <v>20754.596675091016</v>
      </c>
      <c r="AY537" s="5">
        <f t="shared" si="321"/>
        <v>10381.929435132093</v>
      </c>
      <c r="AZ537" s="5">
        <f t="shared" si="322"/>
        <v>0</v>
      </c>
      <c r="BA537" s="5">
        <f t="shared" si="323"/>
        <v>0</v>
      </c>
      <c r="BB537" s="5">
        <f t="shared" si="324"/>
        <v>0</v>
      </c>
      <c r="BC537" s="5">
        <f t="shared" si="325"/>
        <v>0</v>
      </c>
      <c r="BD537" s="5">
        <f t="shared" si="326"/>
        <v>26136.526110223109</v>
      </c>
      <c r="BE537" s="16">
        <f>INDEX('Team forecast'!$B$2:$AO$26,MATCH('Master data'!$B537,'Team forecast'!$B$2:$B$26,0),MATCH('Master data'!BE$1,'Team forecast'!$B$2:$AO$2,0))</f>
        <v>0.65281467345965161</v>
      </c>
      <c r="BF537" s="16">
        <f>INDEX('Team forecast'!$B$2:$AO$26,MATCH('Master data'!$B537,'Team forecast'!$B$2:$B$26,0),MATCH('Master data'!BF$1,'Team forecast'!$B$2:$AO$2,0))</f>
        <v>1.8402581758343768</v>
      </c>
      <c r="BG537" s="16">
        <f>INDEX('Team forecast'!$B$2:$AO$26,MATCH('Master data'!$B537,'Team forecast'!$B$2:$B$26,0),MATCH('Master data'!BG$1,'Team forecast'!$B$2:$AO$2,0))</f>
        <v>0.15877642857793531</v>
      </c>
      <c r="BH537" s="16">
        <f>INDEX('Team forecast'!$B$2:$AO$26,MATCH('Master data'!$B537,'Team forecast'!$B$2:$B$26,0),MATCH('Master data'!BH$1,'Team forecast'!$B$2:$AO$2,0))</f>
        <v>1.9817588301453708</v>
      </c>
      <c r="BI537" s="16">
        <f>INDEX('Team forecast'!$B$2:$AO$26,MATCH('Master data'!$B537,'Team forecast'!$B$2:$B$26,0),MATCH('Master data'!BI$1,'Team forecast'!$B$2:$AO$2,0))</f>
        <v>4.8145132816423697</v>
      </c>
      <c r="BJ537" s="5">
        <f t="shared" si="327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328"/>
        <v>0</v>
      </c>
      <c r="BO537" s="5">
        <f t="shared" si="329"/>
        <v>0</v>
      </c>
      <c r="BP537" s="5">
        <f t="shared" si="330"/>
        <v>0</v>
      </c>
      <c r="BQ537" s="5">
        <f t="shared" si="331"/>
        <v>11908.232143345149</v>
      </c>
      <c r="BR537" s="5">
        <f t="shared" si="332"/>
        <v>14871.275529039964</v>
      </c>
      <c r="BS537" s="5">
        <f t="shared" si="333"/>
        <v>0</v>
      </c>
      <c r="BT537" s="5">
        <f t="shared" si="334"/>
        <v>0</v>
      </c>
      <c r="BU537" s="5">
        <f t="shared" si="335"/>
        <v>0</v>
      </c>
      <c r="BV537" s="5">
        <f t="shared" si="336"/>
        <v>0</v>
      </c>
      <c r="BW537" s="5">
        <f t="shared" si="337"/>
        <v>21779.507672385113</v>
      </c>
      <c r="BX537" s="5">
        <f t="shared" si="338"/>
        <v>25256.744775364627</v>
      </c>
      <c r="BY537" s="5">
        <f t="shared" si="339"/>
        <v>75770.23432609388</v>
      </c>
      <c r="BZ537" s="5">
        <f>INDEX('Team forecast'!$R$3:$BH$26,MATCH($B537,'Team forecast'!$B$3:$B$26,0),MATCH(BZ$1,'Team forecast'!$R$2:$BH$2,0))*($BX537-(BY537+CH537)*0.01)</f>
        <v>-5174.619407786091</v>
      </c>
      <c r="CA537" s="5">
        <f>INDEX('Team forecast'!$R$3:$BH$26,MATCH($B537,'Team forecast'!$B$3:$B$26,0),MATCH(CA$1,'Team forecast'!$R$2:$BH$2,0))*($BX537-(BY537+BX537+CH537)*0.01)</f>
        <v>-2602.7787402145218</v>
      </c>
      <c r="CB537" s="5">
        <f>INDEX('Team forecast'!$R$3:$BH$26,MATCH($B537,'Team forecast'!$B$3:$B$26,0),MATCH(CB$1,'Team forecast'!$R$2:$BH$2,0))*($BX537-(BY537+BX537*2+CH537)*0.01)</f>
        <v>-1286.911445521853</v>
      </c>
      <c r="CC537" s="5">
        <f>INDEX('Team forecast'!$R$3:$BH$26,MATCH($B537,'Team forecast'!$B$3:$B$26,0),MATCH(CC$1,'Team forecast'!$R$2:$BH$2,0))*($BX537-(BY537+BX537*3+CH537)*0.01)</f>
        <v>-598.80633057997557</v>
      </c>
      <c r="CD537" s="5">
        <f>+AK537+BD537*Cockpit!$C$3+BW537*Cockpit!$C$3^2+BZ537*Cockpit!$C$3^3+CA537*Cockpit!$C$3^4+CB537*Cockpit!$C$3^5+CC537*Cockpit!$C$3^6</f>
        <v>52688.942849139014</v>
      </c>
      <c r="CE537" s="5"/>
      <c r="CF537" s="5"/>
      <c r="CG537" s="5">
        <v>0</v>
      </c>
      <c r="CH537" s="5">
        <f t="shared" si="340"/>
        <v>3500000</v>
      </c>
      <c r="CI537" s="5">
        <f t="shared" si="341"/>
        <v>3500000</v>
      </c>
      <c r="CJ537" s="1">
        <f t="shared" si="342"/>
        <v>2.1648638378883967E-2</v>
      </c>
      <c r="CK537" s="5">
        <f>RANK(BY537,$BY$2:$BY$623)+COUNTIF($BY$2:$BY537,$BY537)-1</f>
        <v>231</v>
      </c>
      <c r="CL537" s="5">
        <f>RANK(CJ537,$CJ$2:$CJ$623)+COUNTIF($CJ$2:$CJ537,$CJ537)-1</f>
        <v>249</v>
      </c>
    </row>
    <row r="538" spans="1:90">
      <c r="A538" t="str">
        <f>Players!P539</f>
        <v>Tom Lockyer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2000000</v>
      </c>
      <c r="H538" s="16">
        <f>INDEX('Team forecast'!$B$2:$AO$26,MATCH('Master data'!$B538,'Team forecast'!$B$2:$B$26,0),MATCH('Master data'!H$1,'Team forecast'!$B$2:$AO$2,0))</f>
        <v>0.87435064565555498</v>
      </c>
      <c r="I538" s="16">
        <f>INDEX('Team forecast'!$B$2:$AO$26,MATCH('Master data'!$B538,'Team forecast'!$B$2:$B$26,0),MATCH('Master data'!I$1,'Team forecast'!$B$2:$AO$2,0))</f>
        <v>1.162032718107336</v>
      </c>
      <c r="J538" s="16">
        <f>INDEX('Team forecast'!$B$2:$AO$26,MATCH('Master data'!$B538,'Team forecast'!$B$2:$B$26,0),MATCH('Master data'!J$1,'Team forecast'!$B$2:$AO$2,0))</f>
        <v>0.31284959906121651</v>
      </c>
      <c r="K538" s="16">
        <f>INDEX('Team forecast'!$B$2:$AO$26,MATCH('Master data'!$B538,'Team forecast'!$B$2:$B$26,0),MATCH('Master data'!K$1,'Team forecast'!$B$2:$AO$2,0))</f>
        <v>2.6542787457400774</v>
      </c>
      <c r="L538" s="16">
        <f>INDEX('Team forecast'!$B$2:$AO$26,MATCH('Master data'!$B538,'Team forecast'!$B$2:$B$26,0),MATCH('Master data'!L$1,'Team forecast'!$B$2:$AO$2,0))</f>
        <v>3.0401288408862195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0.1524390243902439</v>
      </c>
      <c r="R538" s="2">
        <f>Players!BR539</f>
        <v>0</v>
      </c>
      <c r="S538" s="2">
        <f t="shared" si="301"/>
        <v>0.87435064565555498</v>
      </c>
      <c r="T538" s="2">
        <f t="shared" si="302"/>
        <v>1.162032718107336</v>
      </c>
      <c r="U538" s="16">
        <f>INDEX('Team forecast'!$B$2:$AO$26,MATCH('Master data'!$B538,'Team forecast'!$B$2:$B$26,0),MATCH('Master data'!U$1,'Team forecast'!$B$2:$AO$2,0))</f>
        <v>0.2607079992176804</v>
      </c>
      <c r="V538" s="16">
        <f>INDEX('Team forecast'!$B$2:$AO$26,MATCH('Master data'!$B538,'Team forecast'!$B$2:$B$26,0),MATCH('Master data'!V$1,'Team forecast'!$B$2:$AO$2,0))</f>
        <v>0.30275767651085472</v>
      </c>
      <c r="W538" s="16">
        <f>INDEX('Team forecast'!$B$2:$AO$26,MATCH('Master data'!$B538,'Team forecast'!$B$2:$B$26,0),MATCH('Master data'!W$1,'Team forecast'!$B$2:$AO$2,0))</f>
        <v>0.43653432427146488</v>
      </c>
      <c r="X538" s="5">
        <f t="shared" si="303"/>
        <v>-5000</v>
      </c>
      <c r="Y538" s="5">
        <f t="shared" si="304"/>
        <v>0</v>
      </c>
      <c r="Z538" s="5">
        <f t="shared" si="305"/>
        <v>0</v>
      </c>
      <c r="AA538" s="5">
        <f t="shared" si="306"/>
        <v>0</v>
      </c>
      <c r="AB538" s="5">
        <f t="shared" si="307"/>
        <v>0</v>
      </c>
      <c r="AC538" s="5">
        <f t="shared" si="308"/>
        <v>0</v>
      </c>
      <c r="AD538" s="5">
        <f t="shared" si="309"/>
        <v>0</v>
      </c>
      <c r="AE538" s="5">
        <f t="shared" si="310"/>
        <v>15642.479953060825</v>
      </c>
      <c r="AF538" s="5">
        <f t="shared" si="311"/>
        <v>0</v>
      </c>
      <c r="AG538" s="5">
        <f t="shared" si="312"/>
        <v>0</v>
      </c>
      <c r="AH538" s="5">
        <f t="shared" si="313"/>
        <v>0</v>
      </c>
      <c r="AI538" s="5">
        <f t="shared" si="314"/>
        <v>0</v>
      </c>
      <c r="AJ538" s="5">
        <f t="shared" si="315"/>
        <v>0</v>
      </c>
      <c r="AK538" s="5">
        <f>IFERROR(SUM(X538:AJ538),-5000)*((Cockpit!$C$3)^0)</f>
        <v>10642.479953060825</v>
      </c>
      <c r="AL538" s="16">
        <f>INDEX('Team forecast'!$B$2:$AO$26,MATCH('Master data'!$B538,'Team forecast'!$B$2:$B$26,0),MATCH('Master data'!AL$1,'Team forecast'!$B$2:$AO$2,0))</f>
        <v>1.0279287794501248</v>
      </c>
      <c r="AM538" s="16">
        <f>INDEX('Team forecast'!$B$2:$AO$26,MATCH('Master data'!$B538,'Team forecast'!$B$2:$B$26,0),MATCH('Master data'!AM$1,'Team forecast'!$B$2:$AO$2,0))</f>
        <v>1.2847203648825669</v>
      </c>
      <c r="AN538" s="16">
        <f>INDEX('Team forecast'!$B$2:$AO$26,MATCH('Master data'!$B538,'Team forecast'!$B$2:$B$26,0),MATCH('Master data'!AN$1,'Team forecast'!$B$2:$AO$2,0))</f>
        <v>0.27672795566788022</v>
      </c>
      <c r="AO538" s="16">
        <f>INDEX('Team forecast'!$B$2:$AO$26,MATCH('Master data'!$B538,'Team forecast'!$B$2:$B$26,0),MATCH('Master data'!AO$1,'Team forecast'!$B$2:$AO$2,0))</f>
        <v>3.1204980804735931</v>
      </c>
      <c r="AP538" s="16">
        <f>INDEX('Team forecast'!$B$2:$AO$26,MATCH('Master data'!$B538,'Team forecast'!$B$2:$B$26,0),MATCH('Master data'!AP$1,'Team forecast'!$B$2:$AO$2,0))</f>
        <v>3.3611062519089856</v>
      </c>
      <c r="AQ538" s="5">
        <f t="shared" si="316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317"/>
        <v>0</v>
      </c>
      <c r="AV538" s="5">
        <f t="shared" si="318"/>
        <v>0</v>
      </c>
      <c r="AW538" s="5">
        <f t="shared" si="319"/>
        <v>0</v>
      </c>
      <c r="AX538" s="5">
        <f t="shared" si="320"/>
        <v>13836.397783394012</v>
      </c>
      <c r="AY538" s="5">
        <f t="shared" si="321"/>
        <v>0</v>
      </c>
      <c r="AZ538" s="5">
        <f t="shared" si="322"/>
        <v>0</v>
      </c>
      <c r="BA538" s="5">
        <f t="shared" si="323"/>
        <v>0</v>
      </c>
      <c r="BB538" s="5">
        <f t="shared" si="324"/>
        <v>0</v>
      </c>
      <c r="BC538" s="5">
        <f t="shared" si="325"/>
        <v>0</v>
      </c>
      <c r="BD538" s="5">
        <f t="shared" si="326"/>
        <v>8836.3977833940116</v>
      </c>
      <c r="BE538" s="16">
        <f>INDEX('Team forecast'!$B$2:$AO$26,MATCH('Master data'!$B538,'Team forecast'!$B$2:$B$26,0),MATCH('Master data'!BE$1,'Team forecast'!$B$2:$AO$2,0))</f>
        <v>0.65281467345965161</v>
      </c>
      <c r="BF538" s="16">
        <f>INDEX('Team forecast'!$B$2:$AO$26,MATCH('Master data'!$B538,'Team forecast'!$B$2:$B$26,0),MATCH('Master data'!BF$1,'Team forecast'!$B$2:$AO$2,0))</f>
        <v>1.8402581758343768</v>
      </c>
      <c r="BG538" s="16">
        <f>INDEX('Team forecast'!$B$2:$AO$26,MATCH('Master data'!$B538,'Team forecast'!$B$2:$B$26,0),MATCH('Master data'!BG$1,'Team forecast'!$B$2:$AO$2,0))</f>
        <v>0.15877642857793531</v>
      </c>
      <c r="BH538" s="16">
        <f>INDEX('Team forecast'!$B$2:$AO$26,MATCH('Master data'!$B538,'Team forecast'!$B$2:$B$26,0),MATCH('Master data'!BH$1,'Team forecast'!$B$2:$AO$2,0))</f>
        <v>1.9817588301453708</v>
      </c>
      <c r="BI538" s="16">
        <f>INDEX('Team forecast'!$B$2:$AO$26,MATCH('Master data'!$B538,'Team forecast'!$B$2:$B$26,0),MATCH('Master data'!BI$1,'Team forecast'!$B$2:$AO$2,0))</f>
        <v>4.8145132816423697</v>
      </c>
      <c r="BJ538" s="5">
        <f t="shared" si="327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328"/>
        <v>0</v>
      </c>
      <c r="BO538" s="5">
        <f t="shared" si="329"/>
        <v>0</v>
      </c>
      <c r="BP538" s="5">
        <f t="shared" si="330"/>
        <v>0</v>
      </c>
      <c r="BQ538" s="5">
        <f t="shared" si="331"/>
        <v>7938.8214288967656</v>
      </c>
      <c r="BR538" s="5">
        <f t="shared" si="332"/>
        <v>0</v>
      </c>
      <c r="BS538" s="5">
        <f t="shared" si="333"/>
        <v>0</v>
      </c>
      <c r="BT538" s="5">
        <f t="shared" si="334"/>
        <v>0</v>
      </c>
      <c r="BU538" s="5">
        <f t="shared" si="335"/>
        <v>0</v>
      </c>
      <c r="BV538" s="5">
        <f t="shared" si="336"/>
        <v>0</v>
      </c>
      <c r="BW538" s="5">
        <f t="shared" si="337"/>
        <v>2938.8214288967656</v>
      </c>
      <c r="BX538" s="5">
        <f t="shared" si="338"/>
        <v>7472.5663884505339</v>
      </c>
      <c r="BY538" s="5">
        <f t="shared" si="339"/>
        <v>22417.699165351602</v>
      </c>
      <c r="BZ538" s="5">
        <f>INDEX('Team forecast'!$R$3:$BH$26,MATCH($B538,'Team forecast'!$B$3:$B$26,0),MATCH(BZ$1,'Team forecast'!$R$2:$BH$2,0))*($BX538-(BY538+CH538)*0.01)</f>
        <v>-6283.687109601753</v>
      </c>
      <c r="CA538" s="5">
        <f>INDEX('Team forecast'!$R$3:$BH$26,MATCH($B538,'Team forecast'!$B$3:$B$26,0),MATCH(CA$1,'Team forecast'!$R$2:$BH$2,0))*($BX538-(BY538+BX538+CH538)*0.01)</f>
        <v>-3104.4811168647302</v>
      </c>
      <c r="CB538" s="5">
        <f>INDEX('Team forecast'!$R$3:$BH$26,MATCH($B538,'Team forecast'!$B$3:$B$26,0),MATCH(CB$1,'Team forecast'!$R$2:$BH$2,0))*($BX538-(BY538+BX538*2+CH538)*0.01)</f>
        <v>-1508.4848972111786</v>
      </c>
      <c r="CC538" s="5">
        <f>INDEX('Team forecast'!$R$3:$BH$26,MATCH($B538,'Team forecast'!$B$3:$B$26,0),MATCH(CC$1,'Team forecast'!$R$2:$BH$2,0))*($BX538-(BY538+BX538*3+CH538)*0.01)</f>
        <v>-690.13397841080439</v>
      </c>
      <c r="CD538" s="5">
        <f>+AK538+BD538*Cockpit!$C$3+BW538*Cockpit!$C$3^2+BZ538*Cockpit!$C$3^3+CA538*Cockpit!$C$3^4+CB538*Cockpit!$C$3^5+CC538*Cockpit!$C$3^6</f>
        <v>15105.254499616352</v>
      </c>
      <c r="CE538" s="5"/>
      <c r="CF538" s="5"/>
      <c r="CG538" s="5">
        <v>0</v>
      </c>
      <c r="CH538" s="5">
        <f t="shared" si="340"/>
        <v>2000000</v>
      </c>
      <c r="CI538" s="5">
        <f t="shared" si="341"/>
        <v>2000000</v>
      </c>
      <c r="CJ538" s="1">
        <f t="shared" si="342"/>
        <v>1.1208849582675802E-2</v>
      </c>
      <c r="CK538" s="5">
        <f>RANK(BY538,$BY$2:$BY$623)+COUNTIF($BY$2:$BY538,$BY538)-1</f>
        <v>370</v>
      </c>
      <c r="CL538" s="5">
        <f>RANK(CJ538,$CJ$2:$CJ$623)+COUNTIF($CJ$2:$CJ538,$CJ538)-1</f>
        <v>351</v>
      </c>
    </row>
    <row r="539" spans="1:90">
      <c r="A539" t="str">
        <f>Players!P540</f>
        <v>Chris Gunter</v>
      </c>
      <c r="B539" t="str">
        <f>Players!G540</f>
        <v>Wales</v>
      </c>
      <c r="C539" t="str">
        <f>Players!AB540</f>
        <v>Defense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2500000</v>
      </c>
      <c r="H539" s="16">
        <f>INDEX('Team forecast'!$B$2:$AO$26,MATCH('Master data'!$B539,'Team forecast'!$B$2:$B$26,0),MATCH('Master data'!H$1,'Team forecast'!$B$2:$AO$2,0))</f>
        <v>0.87435064565555498</v>
      </c>
      <c r="I539" s="16">
        <f>INDEX('Team forecast'!$B$2:$AO$26,MATCH('Master data'!$B539,'Team forecast'!$B$2:$B$26,0),MATCH('Master data'!I$1,'Team forecast'!$B$2:$AO$2,0))</f>
        <v>1.162032718107336</v>
      </c>
      <c r="J539" s="16">
        <f>INDEX('Team forecast'!$B$2:$AO$26,MATCH('Master data'!$B539,'Team forecast'!$B$2:$B$26,0),MATCH('Master data'!J$1,'Team forecast'!$B$2:$AO$2,0))</f>
        <v>0.31284959906121651</v>
      </c>
      <c r="K539" s="16">
        <f>INDEX('Team forecast'!$B$2:$AO$26,MATCH('Master data'!$B539,'Team forecast'!$B$2:$B$26,0),MATCH('Master data'!K$1,'Team forecast'!$B$2:$AO$2,0))</f>
        <v>2.6542787457400774</v>
      </c>
      <c r="L539" s="16">
        <f>INDEX('Team forecast'!$B$2:$AO$26,MATCH('Master data'!$B539,'Team forecast'!$B$2:$B$26,0),MATCH('Master data'!L$1,'Team forecast'!$B$2:$AO$2,0))</f>
        <v>3.0401288408862195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0.52941176470588236</v>
      </c>
      <c r="R539" s="2">
        <f>Players!BR540</f>
        <v>0</v>
      </c>
      <c r="S539" s="2">
        <f t="shared" si="301"/>
        <v>0.87435064565555498</v>
      </c>
      <c r="T539" s="2">
        <f t="shared" si="302"/>
        <v>1.162032718107336</v>
      </c>
      <c r="U539" s="16">
        <f>INDEX('Team forecast'!$B$2:$AO$26,MATCH('Master data'!$B539,'Team forecast'!$B$2:$B$26,0),MATCH('Master data'!U$1,'Team forecast'!$B$2:$AO$2,0))</f>
        <v>0.2607079992176804</v>
      </c>
      <c r="V539" s="16">
        <f>INDEX('Team forecast'!$B$2:$AO$26,MATCH('Master data'!$B539,'Team forecast'!$B$2:$B$26,0),MATCH('Master data'!V$1,'Team forecast'!$B$2:$AO$2,0))</f>
        <v>0.30275767651085472</v>
      </c>
      <c r="W539" s="16">
        <f>INDEX('Team forecast'!$B$2:$AO$26,MATCH('Master data'!$B539,'Team forecast'!$B$2:$B$26,0),MATCH('Master data'!W$1,'Team forecast'!$B$2:$AO$2,0))</f>
        <v>0.43653432427146488</v>
      </c>
      <c r="X539" s="5">
        <f t="shared" si="303"/>
        <v>-5000</v>
      </c>
      <c r="Y539" s="5">
        <f t="shared" si="304"/>
        <v>0</v>
      </c>
      <c r="Z539" s="5">
        <f t="shared" si="305"/>
        <v>0</v>
      </c>
      <c r="AA539" s="5">
        <f t="shared" si="306"/>
        <v>0</v>
      </c>
      <c r="AB539" s="5">
        <f t="shared" si="307"/>
        <v>0</v>
      </c>
      <c r="AC539" s="5">
        <f t="shared" si="308"/>
        <v>0</v>
      </c>
      <c r="AD539" s="5">
        <f t="shared" si="309"/>
        <v>0</v>
      </c>
      <c r="AE539" s="5">
        <f t="shared" si="310"/>
        <v>15642.479953060825</v>
      </c>
      <c r="AF539" s="5">
        <f t="shared" si="311"/>
        <v>0</v>
      </c>
      <c r="AG539" s="5">
        <f t="shared" si="312"/>
        <v>0</v>
      </c>
      <c r="AH539" s="5">
        <f t="shared" si="313"/>
        <v>0</v>
      </c>
      <c r="AI539" s="5">
        <f t="shared" si="314"/>
        <v>0</v>
      </c>
      <c r="AJ539" s="5">
        <f t="shared" si="315"/>
        <v>0</v>
      </c>
      <c r="AK539" s="5">
        <f>IFERROR(SUM(X539:AJ539),-5000)*((Cockpit!$C$3)^0)</f>
        <v>10642.479953060825</v>
      </c>
      <c r="AL539" s="16">
        <f>INDEX('Team forecast'!$B$2:$AO$26,MATCH('Master data'!$B539,'Team forecast'!$B$2:$B$26,0),MATCH('Master data'!AL$1,'Team forecast'!$B$2:$AO$2,0))</f>
        <v>1.0279287794501248</v>
      </c>
      <c r="AM539" s="16">
        <f>INDEX('Team forecast'!$B$2:$AO$26,MATCH('Master data'!$B539,'Team forecast'!$B$2:$B$26,0),MATCH('Master data'!AM$1,'Team forecast'!$B$2:$AO$2,0))</f>
        <v>1.2847203648825669</v>
      </c>
      <c r="AN539" s="16">
        <f>INDEX('Team forecast'!$B$2:$AO$26,MATCH('Master data'!$B539,'Team forecast'!$B$2:$B$26,0),MATCH('Master data'!AN$1,'Team forecast'!$B$2:$AO$2,0))</f>
        <v>0.27672795566788022</v>
      </c>
      <c r="AO539" s="16">
        <f>INDEX('Team forecast'!$B$2:$AO$26,MATCH('Master data'!$B539,'Team forecast'!$B$2:$B$26,0),MATCH('Master data'!AO$1,'Team forecast'!$B$2:$AO$2,0))</f>
        <v>3.1204980804735931</v>
      </c>
      <c r="AP539" s="16">
        <f>INDEX('Team forecast'!$B$2:$AO$26,MATCH('Master data'!$B539,'Team forecast'!$B$2:$B$26,0),MATCH('Master data'!AP$1,'Team forecast'!$B$2:$AO$2,0))</f>
        <v>3.3611062519089856</v>
      </c>
      <c r="AQ539" s="5">
        <f t="shared" si="316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317"/>
        <v>0</v>
      </c>
      <c r="AV539" s="5">
        <f t="shared" si="318"/>
        <v>0</v>
      </c>
      <c r="AW539" s="5">
        <f t="shared" si="319"/>
        <v>0</v>
      </c>
      <c r="AX539" s="5">
        <f t="shared" si="320"/>
        <v>13836.397783394012</v>
      </c>
      <c r="AY539" s="5">
        <f t="shared" si="321"/>
        <v>0</v>
      </c>
      <c r="AZ539" s="5">
        <f t="shared" si="322"/>
        <v>0</v>
      </c>
      <c r="BA539" s="5">
        <f t="shared" si="323"/>
        <v>0</v>
      </c>
      <c r="BB539" s="5">
        <f t="shared" si="324"/>
        <v>0</v>
      </c>
      <c r="BC539" s="5">
        <f t="shared" si="325"/>
        <v>0</v>
      </c>
      <c r="BD539" s="5">
        <f t="shared" si="326"/>
        <v>8836.3977833940116</v>
      </c>
      <c r="BE539" s="16">
        <f>INDEX('Team forecast'!$B$2:$AO$26,MATCH('Master data'!$B539,'Team forecast'!$B$2:$B$26,0),MATCH('Master data'!BE$1,'Team forecast'!$B$2:$AO$2,0))</f>
        <v>0.65281467345965161</v>
      </c>
      <c r="BF539" s="16">
        <f>INDEX('Team forecast'!$B$2:$AO$26,MATCH('Master data'!$B539,'Team forecast'!$B$2:$B$26,0),MATCH('Master data'!BF$1,'Team forecast'!$B$2:$AO$2,0))</f>
        <v>1.8402581758343768</v>
      </c>
      <c r="BG539" s="16">
        <f>INDEX('Team forecast'!$B$2:$AO$26,MATCH('Master data'!$B539,'Team forecast'!$B$2:$B$26,0),MATCH('Master data'!BG$1,'Team forecast'!$B$2:$AO$2,0))</f>
        <v>0.15877642857793531</v>
      </c>
      <c r="BH539" s="16">
        <f>INDEX('Team forecast'!$B$2:$AO$26,MATCH('Master data'!$B539,'Team forecast'!$B$2:$B$26,0),MATCH('Master data'!BH$1,'Team forecast'!$B$2:$AO$2,0))</f>
        <v>1.9817588301453708</v>
      </c>
      <c r="BI539" s="16">
        <f>INDEX('Team forecast'!$B$2:$AO$26,MATCH('Master data'!$B539,'Team forecast'!$B$2:$B$26,0),MATCH('Master data'!BI$1,'Team forecast'!$B$2:$AO$2,0))</f>
        <v>4.8145132816423697</v>
      </c>
      <c r="BJ539" s="5">
        <f t="shared" si="327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328"/>
        <v>0</v>
      </c>
      <c r="BO539" s="5">
        <f t="shared" si="329"/>
        <v>0</v>
      </c>
      <c r="BP539" s="5">
        <f t="shared" si="330"/>
        <v>0</v>
      </c>
      <c r="BQ539" s="5">
        <f t="shared" si="331"/>
        <v>7938.8214288967656</v>
      </c>
      <c r="BR539" s="5">
        <f t="shared" si="332"/>
        <v>0</v>
      </c>
      <c r="BS539" s="5">
        <f t="shared" si="333"/>
        <v>0</v>
      </c>
      <c r="BT539" s="5">
        <f t="shared" si="334"/>
        <v>0</v>
      </c>
      <c r="BU539" s="5">
        <f t="shared" si="335"/>
        <v>0</v>
      </c>
      <c r="BV539" s="5">
        <f t="shared" si="336"/>
        <v>0</v>
      </c>
      <c r="BW539" s="5">
        <f t="shared" si="337"/>
        <v>2938.8214288967656</v>
      </c>
      <c r="BX539" s="5">
        <f t="shared" si="338"/>
        <v>7472.5663884505339</v>
      </c>
      <c r="BY539" s="5">
        <f t="shared" si="339"/>
        <v>22417.699165351602</v>
      </c>
      <c r="BZ539" s="5">
        <f>INDEX('Team forecast'!$R$3:$BH$26,MATCH($B539,'Team forecast'!$B$3:$B$26,0),MATCH(BZ$1,'Team forecast'!$R$2:$BH$2,0))*($BX539-(BY539+CH539)*0.01)</f>
        <v>-8747.5668911971079</v>
      </c>
      <c r="CA539" s="5">
        <f>INDEX('Team forecast'!$R$3:$BH$26,MATCH($B539,'Team forecast'!$B$3:$B$26,0),MATCH(CA$1,'Team forecast'!$R$2:$BH$2,0))*($BX539-(BY539+BX539+CH539)*0.01)</f>
        <v>-4314.6790456492972</v>
      </c>
      <c r="CB539" s="5">
        <f>INDEX('Team forecast'!$R$3:$BH$26,MATCH($B539,'Team forecast'!$B$3:$B$26,0),MATCH(CB$1,'Team forecast'!$R$2:$BH$2,0))*($BX539-(BY539+BX539*2+CH539)*0.01)</f>
        <v>-2093.1208385323002</v>
      </c>
      <c r="CC539" s="5">
        <f>INDEX('Team forecast'!$R$3:$BH$26,MATCH($B539,'Team forecast'!$B$3:$B$26,0),MATCH(CC$1,'Team forecast'!$R$2:$BH$2,0))*($BX539-(BY539+BX539*3+CH539)*0.01)</f>
        <v>-956.06541932170853</v>
      </c>
      <c r="CD539" s="5">
        <f>+AK539+BD539*Cockpit!$C$3+BW539*Cockpit!$C$3^2+BZ539*Cockpit!$C$3^3+CA539*Cockpit!$C$3^4+CB539*Cockpit!$C$3^5+CC539*Cockpit!$C$3^6</f>
        <v>14035.828989116077</v>
      </c>
      <c r="CE539" s="5"/>
      <c r="CF539" s="5"/>
      <c r="CG539" s="5">
        <v>0</v>
      </c>
      <c r="CH539" s="5">
        <f t="shared" si="340"/>
        <v>2500000</v>
      </c>
      <c r="CI539" s="5">
        <f t="shared" si="341"/>
        <v>2500000</v>
      </c>
      <c r="CJ539" s="1">
        <f t="shared" si="342"/>
        <v>8.9670796661406402E-3</v>
      </c>
      <c r="CK539" s="5">
        <f>RANK(BY539,$BY$2:$BY$623)+COUNTIF($BY$2:$BY539,$BY539)-1</f>
        <v>371</v>
      </c>
      <c r="CL539" s="5">
        <f>RANK(CJ539,$CJ$2:$CJ$623)+COUNTIF($CJ$2:$CJ539,$CJ539)-1</f>
        <v>370</v>
      </c>
    </row>
    <row r="540" spans="1:90">
      <c r="A540" t="str">
        <f>Players!P541</f>
        <v>Rubin Colwill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2000000</v>
      </c>
      <c r="H540" s="16">
        <f>INDEX('Team forecast'!$B$2:$AO$26,MATCH('Master data'!$B540,'Team forecast'!$B$2:$B$26,0),MATCH('Master data'!H$1,'Team forecast'!$B$2:$AO$2,0))</f>
        <v>0.87435064565555498</v>
      </c>
      <c r="I540" s="16">
        <f>INDEX('Team forecast'!$B$2:$AO$26,MATCH('Master data'!$B540,'Team forecast'!$B$2:$B$26,0),MATCH('Master data'!I$1,'Team forecast'!$B$2:$AO$2,0))</f>
        <v>1.162032718107336</v>
      </c>
      <c r="J540" s="16">
        <f>INDEX('Team forecast'!$B$2:$AO$26,MATCH('Master data'!$B540,'Team forecast'!$B$2:$B$26,0),MATCH('Master data'!J$1,'Team forecast'!$B$2:$AO$2,0))</f>
        <v>0.31284959906121651</v>
      </c>
      <c r="K540" s="16">
        <f>INDEX('Team forecast'!$B$2:$AO$26,MATCH('Master data'!$B540,'Team forecast'!$B$2:$B$26,0),MATCH('Master data'!K$1,'Team forecast'!$B$2:$AO$2,0))</f>
        <v>2.6542787457400774</v>
      </c>
      <c r="L540" s="16">
        <f>INDEX('Team forecast'!$B$2:$AO$26,MATCH('Master data'!$B540,'Team forecast'!$B$2:$B$26,0),MATCH('Master data'!L$1,'Team forecast'!$B$2:$AO$2,0))</f>
        <v>3.0401288408862195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8.0405002977963075E-2</v>
      </c>
      <c r="R540" s="2">
        <f>Players!BR541</f>
        <v>0</v>
      </c>
      <c r="S540" s="2">
        <f t="shared" si="301"/>
        <v>0.87435064565555498</v>
      </c>
      <c r="T540" s="2">
        <f t="shared" si="302"/>
        <v>1.162032718107336</v>
      </c>
      <c r="U540" s="16">
        <f>INDEX('Team forecast'!$B$2:$AO$26,MATCH('Master data'!$B540,'Team forecast'!$B$2:$B$26,0),MATCH('Master data'!U$1,'Team forecast'!$B$2:$AO$2,0))</f>
        <v>0.2607079992176804</v>
      </c>
      <c r="V540" s="16">
        <f>INDEX('Team forecast'!$B$2:$AO$26,MATCH('Master data'!$B540,'Team forecast'!$B$2:$B$26,0),MATCH('Master data'!V$1,'Team forecast'!$B$2:$AO$2,0))</f>
        <v>0.30275767651085472</v>
      </c>
      <c r="W540" s="16">
        <f>INDEX('Team forecast'!$B$2:$AO$26,MATCH('Master data'!$B540,'Team forecast'!$B$2:$B$26,0),MATCH('Master data'!W$1,'Team forecast'!$B$2:$AO$2,0))</f>
        <v>0.43653432427146488</v>
      </c>
      <c r="X540" s="5">
        <f t="shared" si="303"/>
        <v>-5000</v>
      </c>
      <c r="Y540" s="5">
        <f t="shared" si="304"/>
        <v>0</v>
      </c>
      <c r="Z540" s="5">
        <f t="shared" si="305"/>
        <v>0</v>
      </c>
      <c r="AA540" s="5">
        <f t="shared" si="306"/>
        <v>0</v>
      </c>
      <c r="AB540" s="5">
        <f t="shared" si="307"/>
        <v>0</v>
      </c>
      <c r="AC540" s="5">
        <f t="shared" si="308"/>
        <v>0</v>
      </c>
      <c r="AD540" s="5">
        <f t="shared" si="309"/>
        <v>0</v>
      </c>
      <c r="AE540" s="5">
        <f t="shared" si="310"/>
        <v>0</v>
      </c>
      <c r="AF540" s="5">
        <f t="shared" si="311"/>
        <v>0</v>
      </c>
      <c r="AG540" s="5">
        <f t="shared" si="312"/>
        <v>0</v>
      </c>
      <c r="AH540" s="5">
        <f t="shared" si="313"/>
        <v>0</v>
      </c>
      <c r="AI540" s="5">
        <f t="shared" si="314"/>
        <v>0</v>
      </c>
      <c r="AJ540" s="5">
        <f t="shared" si="315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1.0279287794501248</v>
      </c>
      <c r="AM540" s="16">
        <f>INDEX('Team forecast'!$B$2:$AO$26,MATCH('Master data'!$B540,'Team forecast'!$B$2:$B$26,0),MATCH('Master data'!AM$1,'Team forecast'!$B$2:$AO$2,0))</f>
        <v>1.2847203648825669</v>
      </c>
      <c r="AN540" s="16">
        <f>INDEX('Team forecast'!$B$2:$AO$26,MATCH('Master data'!$B540,'Team forecast'!$B$2:$B$26,0),MATCH('Master data'!AN$1,'Team forecast'!$B$2:$AO$2,0))</f>
        <v>0.27672795566788022</v>
      </c>
      <c r="AO540" s="16">
        <f>INDEX('Team forecast'!$B$2:$AO$26,MATCH('Master data'!$B540,'Team forecast'!$B$2:$B$26,0),MATCH('Master data'!AO$1,'Team forecast'!$B$2:$AO$2,0))</f>
        <v>3.1204980804735931</v>
      </c>
      <c r="AP540" s="16">
        <f>INDEX('Team forecast'!$B$2:$AO$26,MATCH('Master data'!$B540,'Team forecast'!$B$2:$B$26,0),MATCH('Master data'!AP$1,'Team forecast'!$B$2:$AO$2,0))</f>
        <v>3.3611062519089856</v>
      </c>
      <c r="AQ540" s="5">
        <f t="shared" si="316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317"/>
        <v>0</v>
      </c>
      <c r="AV540" s="5">
        <f t="shared" si="318"/>
        <v>0</v>
      </c>
      <c r="AW540" s="5">
        <f t="shared" si="319"/>
        <v>0</v>
      </c>
      <c r="AX540" s="5">
        <f t="shared" si="320"/>
        <v>0</v>
      </c>
      <c r="AY540" s="5">
        <f t="shared" si="321"/>
        <v>0</v>
      </c>
      <c r="AZ540" s="5">
        <f t="shared" si="322"/>
        <v>0</v>
      </c>
      <c r="BA540" s="5">
        <f t="shared" si="323"/>
        <v>0</v>
      </c>
      <c r="BB540" s="5">
        <f t="shared" si="324"/>
        <v>0</v>
      </c>
      <c r="BC540" s="5">
        <f t="shared" si="325"/>
        <v>0</v>
      </c>
      <c r="BD540" s="5">
        <f t="shared" si="326"/>
        <v>-5000</v>
      </c>
      <c r="BE540" s="16">
        <f>INDEX('Team forecast'!$B$2:$AO$26,MATCH('Master data'!$B540,'Team forecast'!$B$2:$B$26,0),MATCH('Master data'!BE$1,'Team forecast'!$B$2:$AO$2,0))</f>
        <v>0.65281467345965161</v>
      </c>
      <c r="BF540" s="16">
        <f>INDEX('Team forecast'!$B$2:$AO$26,MATCH('Master data'!$B540,'Team forecast'!$B$2:$B$26,0),MATCH('Master data'!BF$1,'Team forecast'!$B$2:$AO$2,0))</f>
        <v>1.8402581758343768</v>
      </c>
      <c r="BG540" s="16">
        <f>INDEX('Team forecast'!$B$2:$AO$26,MATCH('Master data'!$B540,'Team forecast'!$B$2:$B$26,0),MATCH('Master data'!BG$1,'Team forecast'!$B$2:$AO$2,0))</f>
        <v>0.15877642857793531</v>
      </c>
      <c r="BH540" s="16">
        <f>INDEX('Team forecast'!$B$2:$AO$26,MATCH('Master data'!$B540,'Team forecast'!$B$2:$B$26,0),MATCH('Master data'!BH$1,'Team forecast'!$B$2:$AO$2,0))</f>
        <v>1.9817588301453708</v>
      </c>
      <c r="BI540" s="16">
        <f>INDEX('Team forecast'!$B$2:$AO$26,MATCH('Master data'!$B540,'Team forecast'!$B$2:$B$26,0),MATCH('Master data'!BI$1,'Team forecast'!$B$2:$AO$2,0))</f>
        <v>4.8145132816423697</v>
      </c>
      <c r="BJ540" s="5">
        <f t="shared" si="327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328"/>
        <v>0</v>
      </c>
      <c r="BO540" s="5">
        <f t="shared" si="329"/>
        <v>0</v>
      </c>
      <c r="BP540" s="5">
        <f t="shared" si="330"/>
        <v>0</v>
      </c>
      <c r="BQ540" s="5">
        <f t="shared" si="331"/>
        <v>0</v>
      </c>
      <c r="BR540" s="5">
        <f t="shared" si="332"/>
        <v>0</v>
      </c>
      <c r="BS540" s="5">
        <f t="shared" si="333"/>
        <v>0</v>
      </c>
      <c r="BT540" s="5">
        <f t="shared" si="334"/>
        <v>0</v>
      </c>
      <c r="BU540" s="5">
        <f t="shared" si="335"/>
        <v>0</v>
      </c>
      <c r="BV540" s="5">
        <f t="shared" si="336"/>
        <v>0</v>
      </c>
      <c r="BW540" s="5">
        <f t="shared" si="337"/>
        <v>-5000</v>
      </c>
      <c r="BX540" s="5">
        <f t="shared" si="338"/>
        <v>-5000</v>
      </c>
      <c r="BY540" s="5">
        <f t="shared" si="339"/>
        <v>-15000</v>
      </c>
      <c r="BZ540" s="5">
        <f>INDEX('Team forecast'!$R$3:$BH$26,MATCH($B540,'Team forecast'!$B$3:$B$26,0),MATCH(BZ$1,'Team forecast'!$R$2:$BH$2,0))*($BX540-(BY540+CH540)*0.01)</f>
        <v>-12245.482514528911</v>
      </c>
      <c r="CA540" s="5">
        <f>INDEX('Team forecast'!$R$3:$BH$26,MATCH($B540,'Team forecast'!$B$3:$B$26,0),MATCH(CA$1,'Team forecast'!$R$2:$BH$2,0))*($BX540-(BY540+BX540+CH540)*0.01)</f>
        <v>-6002.5817267714519</v>
      </c>
      <c r="CB540" s="5">
        <f>INDEX('Team forecast'!$R$3:$BH$26,MATCH($B540,'Team forecast'!$B$3:$B$26,0),MATCH(CB$1,'Team forecast'!$R$2:$BH$2,0))*($BX540-(BY540+BX540*2+CH540)*0.01)</f>
        <v>-2893.9479095395504</v>
      </c>
      <c r="CC540" s="5">
        <f>INDEX('Team forecast'!$R$3:$BH$26,MATCH($B540,'Team forecast'!$B$3:$B$26,0),MATCH(CC$1,'Team forecast'!$R$2:$BH$2,0))*($BX540-(BY540+BX540*3+CH540)*0.01)</f>
        <v>-1313.7013180998656</v>
      </c>
      <c r="CD540" s="5">
        <f>+AK540+BD540*Cockpit!$C$3+BW540*Cockpit!$C$3^2+BZ540*Cockpit!$C$3^3+CA540*Cockpit!$C$3^4+CB540*Cockpit!$C$3^5+CC540*Cockpit!$C$3^6</f>
        <v>-15865.969650847081</v>
      </c>
      <c r="CE540" s="5"/>
      <c r="CF540" s="5"/>
      <c r="CG540" s="5">
        <v>0</v>
      </c>
      <c r="CH540" s="5">
        <f t="shared" si="340"/>
        <v>2000000</v>
      </c>
      <c r="CI540" s="5">
        <f t="shared" si="341"/>
        <v>2000000</v>
      </c>
      <c r="CJ540" s="1">
        <f t="shared" si="342"/>
        <v>-7.4999999999999997E-3</v>
      </c>
      <c r="CK540" s="5">
        <f>RANK(BY540,$BY$2:$BY$623)+COUNTIF($BY$2:$BY540,$BY540)-1</f>
        <v>590</v>
      </c>
      <c r="CL540" s="5">
        <f>RANK(CJ540,$CJ$2:$CJ$623)+COUNTIF($CJ$2:$CJ540,$CJ540)-1</f>
        <v>604</v>
      </c>
    </row>
    <row r="541" spans="1:90">
      <c r="A541" t="str">
        <f>Players!P542</f>
        <v>Dylan Levitt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2500000</v>
      </c>
      <c r="H541" s="16">
        <f>INDEX('Team forecast'!$B$2:$AO$26,MATCH('Master data'!$B541,'Team forecast'!$B$2:$B$26,0),MATCH('Master data'!H$1,'Team forecast'!$B$2:$AO$2,0))</f>
        <v>0.87435064565555498</v>
      </c>
      <c r="I541" s="16">
        <f>INDEX('Team forecast'!$B$2:$AO$26,MATCH('Master data'!$B541,'Team forecast'!$B$2:$B$26,0),MATCH('Master data'!I$1,'Team forecast'!$B$2:$AO$2,0))</f>
        <v>1.162032718107336</v>
      </c>
      <c r="J541" s="16">
        <f>INDEX('Team forecast'!$B$2:$AO$26,MATCH('Master data'!$B541,'Team forecast'!$B$2:$B$26,0),MATCH('Master data'!J$1,'Team forecast'!$B$2:$AO$2,0))</f>
        <v>0.31284959906121651</v>
      </c>
      <c r="K541" s="16">
        <f>INDEX('Team forecast'!$B$2:$AO$26,MATCH('Master data'!$B541,'Team forecast'!$B$2:$B$26,0),MATCH('Master data'!K$1,'Team forecast'!$B$2:$AO$2,0))</f>
        <v>2.6542787457400774</v>
      </c>
      <c r="L541" s="16">
        <f>INDEX('Team forecast'!$B$2:$AO$26,MATCH('Master data'!$B541,'Team forecast'!$B$2:$B$26,0),MATCH('Master data'!L$1,'Team forecast'!$B$2:$AO$2,0))</f>
        <v>3.0401288408862195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7.9155672823219003E-2</v>
      </c>
      <c r="R541" s="2">
        <f>Players!BR542</f>
        <v>0</v>
      </c>
      <c r="S541" s="2">
        <f t="shared" si="301"/>
        <v>0.87435064565555498</v>
      </c>
      <c r="T541" s="2">
        <f t="shared" si="302"/>
        <v>1.162032718107336</v>
      </c>
      <c r="U541" s="16">
        <f>INDEX('Team forecast'!$B$2:$AO$26,MATCH('Master data'!$B541,'Team forecast'!$B$2:$B$26,0),MATCH('Master data'!U$1,'Team forecast'!$B$2:$AO$2,0))</f>
        <v>0.2607079992176804</v>
      </c>
      <c r="V541" s="16">
        <f>INDEX('Team forecast'!$B$2:$AO$26,MATCH('Master data'!$B541,'Team forecast'!$B$2:$B$26,0),MATCH('Master data'!V$1,'Team forecast'!$B$2:$AO$2,0))</f>
        <v>0.30275767651085472</v>
      </c>
      <c r="W541" s="16">
        <f>INDEX('Team forecast'!$B$2:$AO$26,MATCH('Master data'!$B541,'Team forecast'!$B$2:$B$26,0),MATCH('Master data'!W$1,'Team forecast'!$B$2:$AO$2,0))</f>
        <v>0.43653432427146488</v>
      </c>
      <c r="X541" s="5">
        <f t="shared" si="303"/>
        <v>-5000</v>
      </c>
      <c r="Y541" s="5">
        <f t="shared" si="304"/>
        <v>0</v>
      </c>
      <c r="Z541" s="5">
        <f t="shared" si="305"/>
        <v>0</v>
      </c>
      <c r="AA541" s="5">
        <f t="shared" si="306"/>
        <v>0</v>
      </c>
      <c r="AB541" s="5">
        <f t="shared" si="307"/>
        <v>0</v>
      </c>
      <c r="AC541" s="5">
        <f t="shared" si="308"/>
        <v>0</v>
      </c>
      <c r="AD541" s="5">
        <f t="shared" si="309"/>
        <v>0</v>
      </c>
      <c r="AE541" s="5">
        <f t="shared" si="310"/>
        <v>0</v>
      </c>
      <c r="AF541" s="5">
        <f t="shared" si="311"/>
        <v>0</v>
      </c>
      <c r="AG541" s="5">
        <f t="shared" si="312"/>
        <v>0</v>
      </c>
      <c r="AH541" s="5">
        <f t="shared" si="313"/>
        <v>0</v>
      </c>
      <c r="AI541" s="5">
        <f t="shared" si="314"/>
        <v>0</v>
      </c>
      <c r="AJ541" s="5">
        <f t="shared" si="315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1.0279287794501248</v>
      </c>
      <c r="AM541" s="16">
        <f>INDEX('Team forecast'!$B$2:$AO$26,MATCH('Master data'!$B541,'Team forecast'!$B$2:$B$26,0),MATCH('Master data'!AM$1,'Team forecast'!$B$2:$AO$2,0))</f>
        <v>1.2847203648825669</v>
      </c>
      <c r="AN541" s="16">
        <f>INDEX('Team forecast'!$B$2:$AO$26,MATCH('Master data'!$B541,'Team forecast'!$B$2:$B$26,0),MATCH('Master data'!AN$1,'Team forecast'!$B$2:$AO$2,0))</f>
        <v>0.27672795566788022</v>
      </c>
      <c r="AO541" s="16">
        <f>INDEX('Team forecast'!$B$2:$AO$26,MATCH('Master data'!$B541,'Team forecast'!$B$2:$B$26,0),MATCH('Master data'!AO$1,'Team forecast'!$B$2:$AO$2,0))</f>
        <v>3.1204980804735931</v>
      </c>
      <c r="AP541" s="16">
        <f>INDEX('Team forecast'!$B$2:$AO$26,MATCH('Master data'!$B541,'Team forecast'!$B$2:$B$26,0),MATCH('Master data'!AP$1,'Team forecast'!$B$2:$AO$2,0))</f>
        <v>3.3611062519089856</v>
      </c>
      <c r="AQ541" s="5">
        <f t="shared" si="316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317"/>
        <v>0</v>
      </c>
      <c r="AV541" s="5">
        <f t="shared" si="318"/>
        <v>0</v>
      </c>
      <c r="AW541" s="5">
        <f t="shared" si="319"/>
        <v>0</v>
      </c>
      <c r="AX541" s="5">
        <f t="shared" si="320"/>
        <v>0</v>
      </c>
      <c r="AY541" s="5">
        <f t="shared" si="321"/>
        <v>0</v>
      </c>
      <c r="AZ541" s="5">
        <f t="shared" si="322"/>
        <v>0</v>
      </c>
      <c r="BA541" s="5">
        <f t="shared" si="323"/>
        <v>0</v>
      </c>
      <c r="BB541" s="5">
        <f t="shared" si="324"/>
        <v>0</v>
      </c>
      <c r="BC541" s="5">
        <f t="shared" si="325"/>
        <v>0</v>
      </c>
      <c r="BD541" s="5">
        <f t="shared" si="326"/>
        <v>-5000</v>
      </c>
      <c r="BE541" s="16">
        <f>INDEX('Team forecast'!$B$2:$AO$26,MATCH('Master data'!$B541,'Team forecast'!$B$2:$B$26,0),MATCH('Master data'!BE$1,'Team forecast'!$B$2:$AO$2,0))</f>
        <v>0.65281467345965161</v>
      </c>
      <c r="BF541" s="16">
        <f>INDEX('Team forecast'!$B$2:$AO$26,MATCH('Master data'!$B541,'Team forecast'!$B$2:$B$26,0),MATCH('Master data'!BF$1,'Team forecast'!$B$2:$AO$2,0))</f>
        <v>1.8402581758343768</v>
      </c>
      <c r="BG541" s="16">
        <f>INDEX('Team forecast'!$B$2:$AO$26,MATCH('Master data'!$B541,'Team forecast'!$B$2:$B$26,0),MATCH('Master data'!BG$1,'Team forecast'!$B$2:$AO$2,0))</f>
        <v>0.15877642857793531</v>
      </c>
      <c r="BH541" s="16">
        <f>INDEX('Team forecast'!$B$2:$AO$26,MATCH('Master data'!$B541,'Team forecast'!$B$2:$B$26,0),MATCH('Master data'!BH$1,'Team forecast'!$B$2:$AO$2,0))</f>
        <v>1.9817588301453708</v>
      </c>
      <c r="BI541" s="16">
        <f>INDEX('Team forecast'!$B$2:$AO$26,MATCH('Master data'!$B541,'Team forecast'!$B$2:$B$26,0),MATCH('Master data'!BI$1,'Team forecast'!$B$2:$AO$2,0))</f>
        <v>4.8145132816423697</v>
      </c>
      <c r="BJ541" s="5">
        <f t="shared" si="327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328"/>
        <v>0</v>
      </c>
      <c r="BO541" s="5">
        <f t="shared" si="329"/>
        <v>0</v>
      </c>
      <c r="BP541" s="5">
        <f t="shared" si="330"/>
        <v>0</v>
      </c>
      <c r="BQ541" s="5">
        <f t="shared" si="331"/>
        <v>0</v>
      </c>
      <c r="BR541" s="5">
        <f t="shared" si="332"/>
        <v>0</v>
      </c>
      <c r="BS541" s="5">
        <f t="shared" si="333"/>
        <v>0</v>
      </c>
      <c r="BT541" s="5">
        <f t="shared" si="334"/>
        <v>0</v>
      </c>
      <c r="BU541" s="5">
        <f t="shared" si="335"/>
        <v>0</v>
      </c>
      <c r="BV541" s="5">
        <f t="shared" si="336"/>
        <v>0</v>
      </c>
      <c r="BW541" s="5">
        <f t="shared" si="337"/>
        <v>-5000</v>
      </c>
      <c r="BX541" s="5">
        <f t="shared" si="338"/>
        <v>-5000</v>
      </c>
      <c r="BY541" s="5">
        <f t="shared" si="339"/>
        <v>-15000</v>
      </c>
      <c r="BZ541" s="5">
        <f>INDEX('Team forecast'!$R$3:$BH$26,MATCH($B541,'Team forecast'!$B$3:$B$26,0),MATCH(BZ$1,'Team forecast'!$R$2:$BH$2,0))*($BX541-(BY541+CH541)*0.01)</f>
        <v>-14709.362296124265</v>
      </c>
      <c r="CA541" s="5">
        <f>INDEX('Team forecast'!$R$3:$BH$26,MATCH($B541,'Team forecast'!$B$3:$B$26,0),MATCH(CA$1,'Team forecast'!$R$2:$BH$2,0))*($BX541-(BY541+BX541+CH541)*0.01)</f>
        <v>-7212.779655556018</v>
      </c>
      <c r="CB541" s="5">
        <f>INDEX('Team forecast'!$R$3:$BH$26,MATCH($B541,'Team forecast'!$B$3:$B$26,0),MATCH(CB$1,'Team forecast'!$R$2:$BH$2,0))*($BX541-(BY541+BX541*2+CH541)*0.01)</f>
        <v>-3478.5838508606716</v>
      </c>
      <c r="CC541" s="5">
        <f>INDEX('Team forecast'!$R$3:$BH$26,MATCH($B541,'Team forecast'!$B$3:$B$26,0),MATCH(CC$1,'Team forecast'!$R$2:$BH$2,0))*($BX541-(BY541+BX541*3+CH541)*0.01)</f>
        <v>-1579.6327590107696</v>
      </c>
      <c r="CD541" s="5">
        <f>+AK541+BD541*Cockpit!$C$3+BW541*Cockpit!$C$3^2+BZ541*Cockpit!$C$3^3+CA541*Cockpit!$C$3^4+CB541*Cockpit!$C$3^5+CC541*Cockpit!$C$3^6</f>
        <v>-16935.395161347355</v>
      </c>
      <c r="CE541" s="5"/>
      <c r="CF541" s="5"/>
      <c r="CG541" s="5">
        <v>0</v>
      </c>
      <c r="CH541" s="5">
        <f t="shared" si="340"/>
        <v>2500000</v>
      </c>
      <c r="CI541" s="5">
        <f t="shared" si="341"/>
        <v>2500000</v>
      </c>
      <c r="CJ541" s="1">
        <f t="shared" si="342"/>
        <v>-6.0000000000000001E-3</v>
      </c>
      <c r="CK541" s="5">
        <f>RANK(BY541,$BY$2:$BY$623)+COUNTIF($BY$2:$BY541,$BY541)-1</f>
        <v>591</v>
      </c>
      <c r="CL541" s="5">
        <f>RANK(CJ541,$CJ$2:$CJ$623)+COUNTIF($CJ$2:$CJ541,$CJ541)-1</f>
        <v>568</v>
      </c>
    </row>
    <row r="542" spans="1:90">
      <c r="A542" t="str">
        <f>Players!P543</f>
        <v>Matthew Smith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2000000</v>
      </c>
      <c r="H542" s="16">
        <f>INDEX('Team forecast'!$B$2:$AO$26,MATCH('Master data'!$B542,'Team forecast'!$B$2:$B$26,0),MATCH('Master data'!H$1,'Team forecast'!$B$2:$AO$2,0))</f>
        <v>0.87435064565555498</v>
      </c>
      <c r="I542" s="16">
        <f>INDEX('Team forecast'!$B$2:$AO$26,MATCH('Master data'!$B542,'Team forecast'!$B$2:$B$26,0),MATCH('Master data'!I$1,'Team forecast'!$B$2:$AO$2,0))</f>
        <v>1.162032718107336</v>
      </c>
      <c r="J542" s="16">
        <f>INDEX('Team forecast'!$B$2:$AO$26,MATCH('Master data'!$B542,'Team forecast'!$B$2:$B$26,0),MATCH('Master data'!J$1,'Team forecast'!$B$2:$AO$2,0))</f>
        <v>0.31284959906121651</v>
      </c>
      <c r="K542" s="16">
        <f>INDEX('Team forecast'!$B$2:$AO$26,MATCH('Master data'!$B542,'Team forecast'!$B$2:$B$26,0),MATCH('Master data'!K$1,'Team forecast'!$B$2:$AO$2,0))</f>
        <v>2.6542787457400774</v>
      </c>
      <c r="L542" s="16">
        <f>INDEX('Team forecast'!$B$2:$AO$26,MATCH('Master data'!$B542,'Team forecast'!$B$2:$B$26,0),MATCH('Master data'!L$1,'Team forecast'!$B$2:$AO$2,0))</f>
        <v>3.0401288408862195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7.3529411764705885E-2</v>
      </c>
      <c r="R542" s="2">
        <f>Players!BR543</f>
        <v>0</v>
      </c>
      <c r="S542" s="2">
        <f t="shared" si="301"/>
        <v>0.87435064565555498</v>
      </c>
      <c r="T542" s="2">
        <f t="shared" si="302"/>
        <v>1.162032718107336</v>
      </c>
      <c r="U542" s="16">
        <f>INDEX('Team forecast'!$B$2:$AO$26,MATCH('Master data'!$B542,'Team forecast'!$B$2:$B$26,0),MATCH('Master data'!U$1,'Team forecast'!$B$2:$AO$2,0))</f>
        <v>0.2607079992176804</v>
      </c>
      <c r="V542" s="16">
        <f>INDEX('Team forecast'!$B$2:$AO$26,MATCH('Master data'!$B542,'Team forecast'!$B$2:$B$26,0),MATCH('Master data'!V$1,'Team forecast'!$B$2:$AO$2,0))</f>
        <v>0.30275767651085472</v>
      </c>
      <c r="W542" s="16">
        <f>INDEX('Team forecast'!$B$2:$AO$26,MATCH('Master data'!$B542,'Team forecast'!$B$2:$B$26,0),MATCH('Master data'!W$1,'Team forecast'!$B$2:$AO$2,0))</f>
        <v>0.43653432427146488</v>
      </c>
      <c r="X542" s="5">
        <f t="shared" si="303"/>
        <v>-5000</v>
      </c>
      <c r="Y542" s="5">
        <f t="shared" si="304"/>
        <v>0</v>
      </c>
      <c r="Z542" s="5">
        <f t="shared" si="305"/>
        <v>0</v>
      </c>
      <c r="AA542" s="5">
        <f t="shared" si="306"/>
        <v>0</v>
      </c>
      <c r="AB542" s="5">
        <f t="shared" si="307"/>
        <v>0</v>
      </c>
      <c r="AC542" s="5">
        <f t="shared" si="308"/>
        <v>0</v>
      </c>
      <c r="AD542" s="5">
        <f t="shared" si="309"/>
        <v>0</v>
      </c>
      <c r="AE542" s="5">
        <f t="shared" si="310"/>
        <v>0</v>
      </c>
      <c r="AF542" s="5">
        <f t="shared" si="311"/>
        <v>0</v>
      </c>
      <c r="AG542" s="5">
        <f t="shared" si="312"/>
        <v>0</v>
      </c>
      <c r="AH542" s="5">
        <f t="shared" si="313"/>
        <v>0</v>
      </c>
      <c r="AI542" s="5">
        <f t="shared" si="314"/>
        <v>0</v>
      </c>
      <c r="AJ542" s="5">
        <f t="shared" si="315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1.0279287794501248</v>
      </c>
      <c r="AM542" s="16">
        <f>INDEX('Team forecast'!$B$2:$AO$26,MATCH('Master data'!$B542,'Team forecast'!$B$2:$B$26,0),MATCH('Master data'!AM$1,'Team forecast'!$B$2:$AO$2,0))</f>
        <v>1.2847203648825669</v>
      </c>
      <c r="AN542" s="16">
        <f>INDEX('Team forecast'!$B$2:$AO$26,MATCH('Master data'!$B542,'Team forecast'!$B$2:$B$26,0),MATCH('Master data'!AN$1,'Team forecast'!$B$2:$AO$2,0))</f>
        <v>0.27672795566788022</v>
      </c>
      <c r="AO542" s="16">
        <f>INDEX('Team forecast'!$B$2:$AO$26,MATCH('Master data'!$B542,'Team forecast'!$B$2:$B$26,0),MATCH('Master data'!AO$1,'Team forecast'!$B$2:$AO$2,0))</f>
        <v>3.1204980804735931</v>
      </c>
      <c r="AP542" s="16">
        <f>INDEX('Team forecast'!$B$2:$AO$26,MATCH('Master data'!$B542,'Team forecast'!$B$2:$B$26,0),MATCH('Master data'!AP$1,'Team forecast'!$B$2:$AO$2,0))</f>
        <v>3.3611062519089856</v>
      </c>
      <c r="AQ542" s="5">
        <f t="shared" si="316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317"/>
        <v>0</v>
      </c>
      <c r="AV542" s="5">
        <f t="shared" si="318"/>
        <v>0</v>
      </c>
      <c r="AW542" s="5">
        <f t="shared" si="319"/>
        <v>0</v>
      </c>
      <c r="AX542" s="5">
        <f t="shared" si="320"/>
        <v>0</v>
      </c>
      <c r="AY542" s="5">
        <f t="shared" si="321"/>
        <v>0</v>
      </c>
      <c r="AZ542" s="5">
        <f t="shared" si="322"/>
        <v>0</v>
      </c>
      <c r="BA542" s="5">
        <f t="shared" si="323"/>
        <v>0</v>
      </c>
      <c r="BB542" s="5">
        <f t="shared" si="324"/>
        <v>0</v>
      </c>
      <c r="BC542" s="5">
        <f t="shared" si="325"/>
        <v>0</v>
      </c>
      <c r="BD542" s="5">
        <f t="shared" si="326"/>
        <v>-5000</v>
      </c>
      <c r="BE542" s="16">
        <f>INDEX('Team forecast'!$B$2:$AO$26,MATCH('Master data'!$B542,'Team forecast'!$B$2:$B$26,0),MATCH('Master data'!BE$1,'Team forecast'!$B$2:$AO$2,0))</f>
        <v>0.65281467345965161</v>
      </c>
      <c r="BF542" s="16">
        <f>INDEX('Team forecast'!$B$2:$AO$26,MATCH('Master data'!$B542,'Team forecast'!$B$2:$B$26,0),MATCH('Master data'!BF$1,'Team forecast'!$B$2:$AO$2,0))</f>
        <v>1.8402581758343768</v>
      </c>
      <c r="BG542" s="16">
        <f>INDEX('Team forecast'!$B$2:$AO$26,MATCH('Master data'!$B542,'Team forecast'!$B$2:$B$26,0),MATCH('Master data'!BG$1,'Team forecast'!$B$2:$AO$2,0))</f>
        <v>0.15877642857793531</v>
      </c>
      <c r="BH542" s="16">
        <f>INDEX('Team forecast'!$B$2:$AO$26,MATCH('Master data'!$B542,'Team forecast'!$B$2:$B$26,0),MATCH('Master data'!BH$1,'Team forecast'!$B$2:$AO$2,0))</f>
        <v>1.9817588301453708</v>
      </c>
      <c r="BI542" s="16">
        <f>INDEX('Team forecast'!$B$2:$AO$26,MATCH('Master data'!$B542,'Team forecast'!$B$2:$B$26,0),MATCH('Master data'!BI$1,'Team forecast'!$B$2:$AO$2,0))</f>
        <v>4.8145132816423697</v>
      </c>
      <c r="BJ542" s="5">
        <f t="shared" si="327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328"/>
        <v>0</v>
      </c>
      <c r="BO542" s="5">
        <f t="shared" si="329"/>
        <v>0</v>
      </c>
      <c r="BP542" s="5">
        <f t="shared" si="330"/>
        <v>0</v>
      </c>
      <c r="BQ542" s="5">
        <f t="shared" si="331"/>
        <v>0</v>
      </c>
      <c r="BR542" s="5">
        <f t="shared" si="332"/>
        <v>0</v>
      </c>
      <c r="BS542" s="5">
        <f t="shared" si="333"/>
        <v>0</v>
      </c>
      <c r="BT542" s="5">
        <f t="shared" si="334"/>
        <v>0</v>
      </c>
      <c r="BU542" s="5">
        <f t="shared" si="335"/>
        <v>0</v>
      </c>
      <c r="BV542" s="5">
        <f t="shared" si="336"/>
        <v>0</v>
      </c>
      <c r="BW542" s="5">
        <f t="shared" si="337"/>
        <v>-5000</v>
      </c>
      <c r="BX542" s="5">
        <f t="shared" si="338"/>
        <v>-5000</v>
      </c>
      <c r="BY542" s="5">
        <f t="shared" si="339"/>
        <v>-15000</v>
      </c>
      <c r="BZ542" s="5">
        <f>INDEX('Team forecast'!$R$3:$BH$26,MATCH($B542,'Team forecast'!$B$3:$B$26,0),MATCH(BZ$1,'Team forecast'!$R$2:$BH$2,0))*($BX542-(BY542+CH542)*0.01)</f>
        <v>-12245.482514528911</v>
      </c>
      <c r="CA542" s="5">
        <f>INDEX('Team forecast'!$R$3:$BH$26,MATCH($B542,'Team forecast'!$B$3:$B$26,0),MATCH(CA$1,'Team forecast'!$R$2:$BH$2,0))*($BX542-(BY542+BX542+CH542)*0.01)</f>
        <v>-6002.5817267714519</v>
      </c>
      <c r="CB542" s="5">
        <f>INDEX('Team forecast'!$R$3:$BH$26,MATCH($B542,'Team forecast'!$B$3:$B$26,0),MATCH(CB$1,'Team forecast'!$R$2:$BH$2,0))*($BX542-(BY542+BX542*2+CH542)*0.01)</f>
        <v>-2893.9479095395504</v>
      </c>
      <c r="CC542" s="5">
        <f>INDEX('Team forecast'!$R$3:$BH$26,MATCH($B542,'Team forecast'!$B$3:$B$26,0),MATCH(CC$1,'Team forecast'!$R$2:$BH$2,0))*($BX542-(BY542+BX542*3+CH542)*0.01)</f>
        <v>-1313.7013180998656</v>
      </c>
      <c r="CD542" s="5">
        <f>+AK542+BD542*Cockpit!$C$3+BW542*Cockpit!$C$3^2+BZ542*Cockpit!$C$3^3+CA542*Cockpit!$C$3^4+CB542*Cockpit!$C$3^5+CC542*Cockpit!$C$3^6</f>
        <v>-15865.969650847081</v>
      </c>
      <c r="CE542" s="5"/>
      <c r="CF542" s="5"/>
      <c r="CG542" s="5">
        <v>0</v>
      </c>
      <c r="CH542" s="5">
        <f t="shared" si="340"/>
        <v>2000000</v>
      </c>
      <c r="CI542" s="5">
        <f t="shared" si="341"/>
        <v>2000000</v>
      </c>
      <c r="CJ542" s="1">
        <f t="shared" si="342"/>
        <v>-7.4999999999999997E-3</v>
      </c>
      <c r="CK542" s="5">
        <f>RANK(BY542,$BY$2:$BY$623)+COUNTIF($BY$2:$BY542,$BY542)-1</f>
        <v>592</v>
      </c>
      <c r="CL542" s="5">
        <f>RANK(CJ542,$CJ$2:$CJ$623)+COUNTIF($CJ$2:$CJ542,$CJ542)-1</f>
        <v>605</v>
      </c>
    </row>
    <row r="543" spans="1:90">
      <c r="A543" t="str">
        <f>Players!P544</f>
        <v>Joe Morrell</v>
      </c>
      <c r="B543" t="str">
        <f>Players!G544</f>
        <v>Wales</v>
      </c>
      <c r="C543" t="str">
        <f>Players!AB544</f>
        <v>Midfield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2500000</v>
      </c>
      <c r="H543" s="16">
        <f>INDEX('Team forecast'!$B$2:$AO$26,MATCH('Master data'!$B543,'Team forecast'!$B$2:$B$26,0),MATCH('Master data'!H$1,'Team forecast'!$B$2:$AO$2,0))</f>
        <v>0.87435064565555498</v>
      </c>
      <c r="I543" s="16">
        <f>INDEX('Team forecast'!$B$2:$AO$26,MATCH('Master data'!$B543,'Team forecast'!$B$2:$B$26,0),MATCH('Master data'!I$1,'Team forecast'!$B$2:$AO$2,0))</f>
        <v>1.162032718107336</v>
      </c>
      <c r="J543" s="16">
        <f>INDEX('Team forecast'!$B$2:$AO$26,MATCH('Master data'!$B543,'Team forecast'!$B$2:$B$26,0),MATCH('Master data'!J$1,'Team forecast'!$B$2:$AO$2,0))</f>
        <v>0.31284959906121651</v>
      </c>
      <c r="K543" s="16">
        <f>INDEX('Team forecast'!$B$2:$AO$26,MATCH('Master data'!$B543,'Team forecast'!$B$2:$B$26,0),MATCH('Master data'!K$1,'Team forecast'!$B$2:$AO$2,0))</f>
        <v>2.6542787457400774</v>
      </c>
      <c r="L543" s="16">
        <f>INDEX('Team forecast'!$B$2:$AO$26,MATCH('Master data'!$B543,'Team forecast'!$B$2:$B$26,0),MATCH('Master data'!L$1,'Team forecast'!$B$2:$AO$2,0))</f>
        <v>3.0401288408862195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0.30911894273127755</v>
      </c>
      <c r="R543" s="2">
        <f>Players!BR544</f>
        <v>0</v>
      </c>
      <c r="S543" s="2">
        <f t="shared" si="301"/>
        <v>0.87435064565555498</v>
      </c>
      <c r="T543" s="2">
        <f t="shared" si="302"/>
        <v>1.162032718107336</v>
      </c>
      <c r="U543" s="16">
        <f>INDEX('Team forecast'!$B$2:$AO$26,MATCH('Master data'!$B543,'Team forecast'!$B$2:$B$26,0),MATCH('Master data'!U$1,'Team forecast'!$B$2:$AO$2,0))</f>
        <v>0.2607079992176804</v>
      </c>
      <c r="V543" s="16">
        <f>INDEX('Team forecast'!$B$2:$AO$26,MATCH('Master data'!$B543,'Team forecast'!$B$2:$B$26,0),MATCH('Master data'!V$1,'Team forecast'!$B$2:$AO$2,0))</f>
        <v>0.30275767651085472</v>
      </c>
      <c r="W543" s="16">
        <f>INDEX('Team forecast'!$B$2:$AO$26,MATCH('Master data'!$B543,'Team forecast'!$B$2:$B$26,0),MATCH('Master data'!W$1,'Team forecast'!$B$2:$AO$2,0))</f>
        <v>0.43653432427146488</v>
      </c>
      <c r="X543" s="5">
        <f t="shared" si="303"/>
        <v>-5000</v>
      </c>
      <c r="Y543" s="5">
        <f t="shared" si="304"/>
        <v>0</v>
      </c>
      <c r="Z543" s="5">
        <f t="shared" si="305"/>
        <v>0</v>
      </c>
      <c r="AA543" s="5">
        <f t="shared" si="306"/>
        <v>0</v>
      </c>
      <c r="AB543" s="5">
        <f t="shared" si="307"/>
        <v>0</v>
      </c>
      <c r="AC543" s="5">
        <f t="shared" si="308"/>
        <v>0</v>
      </c>
      <c r="AD543" s="5">
        <f t="shared" si="309"/>
        <v>0</v>
      </c>
      <c r="AE543" s="5">
        <f t="shared" si="310"/>
        <v>0</v>
      </c>
      <c r="AF543" s="5">
        <f t="shared" si="311"/>
        <v>0</v>
      </c>
      <c r="AG543" s="5">
        <f t="shared" si="312"/>
        <v>0</v>
      </c>
      <c r="AH543" s="5">
        <f t="shared" si="313"/>
        <v>0</v>
      </c>
      <c r="AI543" s="5">
        <f t="shared" si="314"/>
        <v>0</v>
      </c>
      <c r="AJ543" s="5">
        <f t="shared" si="315"/>
        <v>0</v>
      </c>
      <c r="AK543" s="5">
        <f>IFERROR(SUM(X543:AJ543),-5000)*((Cockpit!$C$3)^0)</f>
        <v>-5000</v>
      </c>
      <c r="AL543" s="16">
        <f>INDEX('Team forecast'!$B$2:$AO$26,MATCH('Master data'!$B543,'Team forecast'!$B$2:$B$26,0),MATCH('Master data'!AL$1,'Team forecast'!$B$2:$AO$2,0))</f>
        <v>1.0279287794501248</v>
      </c>
      <c r="AM543" s="16">
        <f>INDEX('Team forecast'!$B$2:$AO$26,MATCH('Master data'!$B543,'Team forecast'!$B$2:$B$26,0),MATCH('Master data'!AM$1,'Team forecast'!$B$2:$AO$2,0))</f>
        <v>1.2847203648825669</v>
      </c>
      <c r="AN543" s="16">
        <f>INDEX('Team forecast'!$B$2:$AO$26,MATCH('Master data'!$B543,'Team forecast'!$B$2:$B$26,0),MATCH('Master data'!AN$1,'Team forecast'!$B$2:$AO$2,0))</f>
        <v>0.27672795566788022</v>
      </c>
      <c r="AO543" s="16">
        <f>INDEX('Team forecast'!$B$2:$AO$26,MATCH('Master data'!$B543,'Team forecast'!$B$2:$B$26,0),MATCH('Master data'!AO$1,'Team forecast'!$B$2:$AO$2,0))</f>
        <v>3.1204980804735931</v>
      </c>
      <c r="AP543" s="16">
        <f>INDEX('Team forecast'!$B$2:$AO$26,MATCH('Master data'!$B543,'Team forecast'!$B$2:$B$26,0),MATCH('Master data'!AP$1,'Team forecast'!$B$2:$AO$2,0))</f>
        <v>3.3611062519089856</v>
      </c>
      <c r="AQ543" s="5">
        <f t="shared" si="316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317"/>
        <v>0</v>
      </c>
      <c r="AV543" s="5">
        <f t="shared" si="318"/>
        <v>0</v>
      </c>
      <c r="AW543" s="5">
        <f t="shared" si="319"/>
        <v>0</v>
      </c>
      <c r="AX543" s="5">
        <f t="shared" si="320"/>
        <v>0</v>
      </c>
      <c r="AY543" s="5">
        <f t="shared" si="321"/>
        <v>0</v>
      </c>
      <c r="AZ543" s="5">
        <f t="shared" si="322"/>
        <v>0</v>
      </c>
      <c r="BA543" s="5">
        <f t="shared" si="323"/>
        <v>0</v>
      </c>
      <c r="BB543" s="5">
        <f t="shared" si="324"/>
        <v>0</v>
      </c>
      <c r="BC543" s="5">
        <f t="shared" si="325"/>
        <v>0</v>
      </c>
      <c r="BD543" s="5">
        <f t="shared" si="326"/>
        <v>-5000</v>
      </c>
      <c r="BE543" s="16">
        <f>INDEX('Team forecast'!$B$2:$AO$26,MATCH('Master data'!$B543,'Team forecast'!$B$2:$B$26,0),MATCH('Master data'!BE$1,'Team forecast'!$B$2:$AO$2,0))</f>
        <v>0.65281467345965161</v>
      </c>
      <c r="BF543" s="16">
        <f>INDEX('Team forecast'!$B$2:$AO$26,MATCH('Master data'!$B543,'Team forecast'!$B$2:$B$26,0),MATCH('Master data'!BF$1,'Team forecast'!$B$2:$AO$2,0))</f>
        <v>1.8402581758343768</v>
      </c>
      <c r="BG543" s="16">
        <f>INDEX('Team forecast'!$B$2:$AO$26,MATCH('Master data'!$B543,'Team forecast'!$B$2:$B$26,0),MATCH('Master data'!BG$1,'Team forecast'!$B$2:$AO$2,0))</f>
        <v>0.15877642857793531</v>
      </c>
      <c r="BH543" s="16">
        <f>INDEX('Team forecast'!$B$2:$AO$26,MATCH('Master data'!$B543,'Team forecast'!$B$2:$B$26,0),MATCH('Master data'!BH$1,'Team forecast'!$B$2:$AO$2,0))</f>
        <v>1.9817588301453708</v>
      </c>
      <c r="BI543" s="16">
        <f>INDEX('Team forecast'!$B$2:$AO$26,MATCH('Master data'!$B543,'Team forecast'!$B$2:$B$26,0),MATCH('Master data'!BI$1,'Team forecast'!$B$2:$AO$2,0))</f>
        <v>4.8145132816423697</v>
      </c>
      <c r="BJ543" s="5">
        <f t="shared" si="327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328"/>
        <v>0</v>
      </c>
      <c r="BO543" s="5">
        <f t="shared" si="329"/>
        <v>0</v>
      </c>
      <c r="BP543" s="5">
        <f t="shared" si="330"/>
        <v>0</v>
      </c>
      <c r="BQ543" s="5">
        <f t="shared" si="331"/>
        <v>0</v>
      </c>
      <c r="BR543" s="5">
        <f t="shared" si="332"/>
        <v>0</v>
      </c>
      <c r="BS543" s="5">
        <f t="shared" si="333"/>
        <v>0</v>
      </c>
      <c r="BT543" s="5">
        <f t="shared" si="334"/>
        <v>0</v>
      </c>
      <c r="BU543" s="5">
        <f t="shared" si="335"/>
        <v>0</v>
      </c>
      <c r="BV543" s="5">
        <f t="shared" si="336"/>
        <v>0</v>
      </c>
      <c r="BW543" s="5">
        <f t="shared" si="337"/>
        <v>-5000</v>
      </c>
      <c r="BX543" s="5">
        <f t="shared" si="338"/>
        <v>-5000</v>
      </c>
      <c r="BY543" s="5">
        <f t="shared" si="339"/>
        <v>-15000</v>
      </c>
      <c r="BZ543" s="5">
        <f>INDEX('Team forecast'!$R$3:$BH$26,MATCH($B543,'Team forecast'!$B$3:$B$26,0),MATCH(BZ$1,'Team forecast'!$R$2:$BH$2,0))*($BX543-(BY543+CH543)*0.01)</f>
        <v>-14709.362296124265</v>
      </c>
      <c r="CA543" s="5">
        <f>INDEX('Team forecast'!$R$3:$BH$26,MATCH($B543,'Team forecast'!$B$3:$B$26,0),MATCH(CA$1,'Team forecast'!$R$2:$BH$2,0))*($BX543-(BY543+BX543+CH543)*0.01)</f>
        <v>-7212.779655556018</v>
      </c>
      <c r="CB543" s="5">
        <f>INDEX('Team forecast'!$R$3:$BH$26,MATCH($B543,'Team forecast'!$B$3:$B$26,0),MATCH(CB$1,'Team forecast'!$R$2:$BH$2,0))*($BX543-(BY543+BX543*2+CH543)*0.01)</f>
        <v>-3478.5838508606716</v>
      </c>
      <c r="CC543" s="5">
        <f>INDEX('Team forecast'!$R$3:$BH$26,MATCH($B543,'Team forecast'!$B$3:$B$26,0),MATCH(CC$1,'Team forecast'!$R$2:$BH$2,0))*($BX543-(BY543+BX543*3+CH543)*0.01)</f>
        <v>-1579.6327590107696</v>
      </c>
      <c r="CD543" s="5">
        <f>+AK543+BD543*Cockpit!$C$3+BW543*Cockpit!$C$3^2+BZ543*Cockpit!$C$3^3+CA543*Cockpit!$C$3^4+CB543*Cockpit!$C$3^5+CC543*Cockpit!$C$3^6</f>
        <v>-16935.395161347355</v>
      </c>
      <c r="CE543" s="5"/>
      <c r="CF543" s="5"/>
      <c r="CG543" s="5">
        <v>0</v>
      </c>
      <c r="CH543" s="5">
        <f t="shared" si="340"/>
        <v>2500000</v>
      </c>
      <c r="CI543" s="5">
        <f t="shared" si="341"/>
        <v>2500000</v>
      </c>
      <c r="CJ543" s="1">
        <f t="shared" si="342"/>
        <v>-6.0000000000000001E-3</v>
      </c>
      <c r="CK543" s="5">
        <f>RANK(BY543,$BY$2:$BY$623)+COUNTIF($BY$2:$BY543,$BY543)-1</f>
        <v>593</v>
      </c>
      <c r="CL543" s="5">
        <f>RANK(CJ543,$CJ$2:$CJ$623)+COUNTIF($CJ$2:$CJ543,$CJ543)-1</f>
        <v>569</v>
      </c>
    </row>
    <row r="544" spans="1:90">
      <c r="A544" t="str">
        <f>Players!P545</f>
        <v>Karl-Johan Johnsson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3500000</v>
      </c>
      <c r="H544" s="16">
        <f>INDEX('Team forecast'!$B$2:$AO$26,MATCH('Master data'!$B544,'Team forecast'!$B$2:$B$26,0),MATCH('Master data'!H$1,'Team forecast'!$B$2:$AO$2,0))</f>
        <v>0.63639779406972985</v>
      </c>
      <c r="I544" s="16">
        <f>INDEX('Team forecast'!$B$2:$AO$26,MATCH('Master data'!$B544,'Team forecast'!$B$2:$B$26,0),MATCH('Master data'!I$1,'Team forecast'!$B$2:$AO$2,0))</f>
        <v>1.7533592214060363</v>
      </c>
      <c r="J544" s="16">
        <f>INDEX('Team forecast'!$B$2:$AO$26,MATCH('Master data'!$B544,'Team forecast'!$B$2:$B$26,0),MATCH('Master data'!J$1,'Team forecast'!$B$2:$AO$2,0))</f>
        <v>0.1731911776674534</v>
      </c>
      <c r="K544" s="16">
        <f>INDEX('Team forecast'!$B$2:$AO$26,MATCH('Master data'!$B544,'Team forecast'!$B$2:$B$26,0),MATCH('Master data'!K$1,'Team forecast'!$B$2:$AO$2,0))</f>
        <v>2.0682928307266222</v>
      </c>
      <c r="L544" s="16">
        <f>INDEX('Team forecast'!$B$2:$AO$26,MATCH('Master data'!$B544,'Team forecast'!$B$2:$B$26,0),MATCH('Master data'!L$1,'Team forecast'!$B$2:$AO$2,0))</f>
        <v>5.2600776642181089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1.8987341772151899E-2</v>
      </c>
      <c r="R544" s="2">
        <f>Players!BR545</f>
        <v>0</v>
      </c>
      <c r="S544" s="2">
        <f t="shared" si="301"/>
        <v>0.63639779406972985</v>
      </c>
      <c r="T544" s="2">
        <f t="shared" si="302"/>
        <v>1.7533592214060363</v>
      </c>
      <c r="U544" s="16">
        <f>INDEX('Team forecast'!$B$2:$AO$26,MATCH('Master data'!$B544,'Team forecast'!$B$2:$B$26,0),MATCH('Master data'!U$1,'Team forecast'!$B$2:$AO$2,0))</f>
        <v>0.11906893464637421</v>
      </c>
      <c r="V544" s="16">
        <f>INDEX('Team forecast'!$B$2:$AO$26,MATCH('Master data'!$B544,'Team forecast'!$B$2:$B$26,0),MATCH('Master data'!V$1,'Team forecast'!$B$2:$AO$2,0))</f>
        <v>0.20053715308863029</v>
      </c>
      <c r="W544" s="16">
        <f>INDEX('Team forecast'!$B$2:$AO$26,MATCH('Master data'!$B544,'Team forecast'!$B$2:$B$26,0),MATCH('Master data'!W$1,'Team forecast'!$B$2:$AO$2,0))</f>
        <v>0.68039391226499568</v>
      </c>
      <c r="X544" s="5">
        <f t="shared" si="303"/>
        <v>-5000</v>
      </c>
      <c r="Y544" s="5">
        <f t="shared" si="304"/>
        <v>0</v>
      </c>
      <c r="Z544" s="5">
        <f t="shared" si="305"/>
        <v>0</v>
      </c>
      <c r="AA544" s="5">
        <f t="shared" si="306"/>
        <v>0</v>
      </c>
      <c r="AB544" s="5">
        <f t="shared" si="307"/>
        <v>0</v>
      </c>
      <c r="AC544" s="5">
        <f t="shared" si="308"/>
        <v>0</v>
      </c>
      <c r="AD544" s="5">
        <f t="shared" si="309"/>
        <v>0</v>
      </c>
      <c r="AE544" s="5">
        <f t="shared" si="310"/>
        <v>12989.338325059005</v>
      </c>
      <c r="AF544" s="5">
        <f t="shared" si="311"/>
        <v>17533.592214060362</v>
      </c>
      <c r="AG544" s="5">
        <f t="shared" si="312"/>
        <v>0</v>
      </c>
      <c r="AH544" s="5">
        <f t="shared" si="313"/>
        <v>0</v>
      </c>
      <c r="AI544" s="5">
        <f t="shared" si="314"/>
        <v>0</v>
      </c>
      <c r="AJ544" s="5">
        <f t="shared" si="315"/>
        <v>0</v>
      </c>
      <c r="AK544" s="5">
        <f>IFERROR(SUM(X544:AJ544),-5000)*((Cockpit!$C$3)^0)</f>
        <v>25522.930539119367</v>
      </c>
      <c r="AL544" s="16">
        <f>INDEX('Team forecast'!$B$2:$AO$26,MATCH('Master data'!$B544,'Team forecast'!$B$2:$B$26,0),MATCH('Master data'!AL$1,'Team forecast'!$B$2:$AO$2,0))</f>
        <v>1.3852986184856255</v>
      </c>
      <c r="AM544" s="16">
        <f>INDEX('Team forecast'!$B$2:$AO$26,MATCH('Master data'!$B544,'Team forecast'!$B$2:$B$26,0),MATCH('Master data'!AM$1,'Team forecast'!$B$2:$AO$2,0))</f>
        <v>0.80548012323268336</v>
      </c>
      <c r="AN544" s="16">
        <f>INDEX('Team forecast'!$B$2:$AO$26,MATCH('Master data'!$B544,'Team forecast'!$B$2:$B$26,0),MATCH('Master data'!AN$1,'Team forecast'!$B$2:$AO$2,0))</f>
        <v>0.4468733207814955</v>
      </c>
      <c r="AO544" s="16">
        <f>INDEX('Team forecast'!$B$2:$AO$26,MATCH('Master data'!$B544,'Team forecast'!$B$2:$B$26,0),MATCH('Master data'!AO$1,'Team forecast'!$B$2:$AO$2,0))</f>
        <v>4.5022205100782831</v>
      </c>
      <c r="AP544" s="16">
        <f>INDEX('Team forecast'!$B$2:$AO$26,MATCH('Master data'!$B544,'Team forecast'!$B$2:$B$26,0),MATCH('Master data'!AP$1,'Team forecast'!$B$2:$AO$2,0))</f>
        <v>2.4164403696980501</v>
      </c>
      <c r="AQ544" s="5">
        <f t="shared" si="316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317"/>
        <v>0</v>
      </c>
      <c r="AV544" s="5">
        <f t="shared" si="318"/>
        <v>0</v>
      </c>
      <c r="AW544" s="5">
        <f t="shared" si="319"/>
        <v>0</v>
      </c>
      <c r="AX544" s="5">
        <f t="shared" si="320"/>
        <v>33515.499058612164</v>
      </c>
      <c r="AY544" s="5">
        <f t="shared" si="321"/>
        <v>8054.801232326834</v>
      </c>
      <c r="AZ544" s="5">
        <f t="shared" si="322"/>
        <v>0</v>
      </c>
      <c r="BA544" s="5">
        <f t="shared" si="323"/>
        <v>0</v>
      </c>
      <c r="BB544" s="5">
        <f t="shared" si="324"/>
        <v>0</v>
      </c>
      <c r="BC544" s="5">
        <f t="shared" si="325"/>
        <v>0</v>
      </c>
      <c r="BD544" s="5">
        <f t="shared" si="326"/>
        <v>36570.300290938998</v>
      </c>
      <c r="BE544" s="16">
        <f>INDEX('Team forecast'!$B$2:$AO$26,MATCH('Master data'!$B544,'Team forecast'!$B$2:$B$26,0),MATCH('Master data'!BE$1,'Team forecast'!$B$2:$AO$2,0))</f>
        <v>1.2688103238212438</v>
      </c>
      <c r="BF544" s="16">
        <f>INDEX('Team forecast'!$B$2:$AO$26,MATCH('Master data'!$B544,'Team forecast'!$B$2:$B$26,0),MATCH('Master data'!BF$1,'Team forecast'!$B$2:$AO$2,0))</f>
        <v>1.2236898885407743</v>
      </c>
      <c r="BG544" s="16">
        <f>INDEX('Team forecast'!$B$2:$AO$26,MATCH('Master data'!$B544,'Team forecast'!$B$2:$B$26,0),MATCH('Master data'!BG$1,'Team forecast'!$B$2:$AO$2,0))</f>
        <v>0.29414280786478092</v>
      </c>
      <c r="BH544" s="16">
        <f>INDEX('Team forecast'!$B$2:$AO$26,MATCH('Master data'!$B544,'Team forecast'!$B$2:$B$26,0),MATCH('Master data'!BH$1,'Team forecast'!$B$2:$AO$2,0))</f>
        <v>4.1236335524190419</v>
      </c>
      <c r="BI544" s="16">
        <f>INDEX('Team forecast'!$B$2:$AO$26,MATCH('Master data'!$B544,'Team forecast'!$B$2:$B$26,0),MATCH('Master data'!BI$1,'Team forecast'!$B$2:$AO$2,0))</f>
        <v>3.6710696656223227</v>
      </c>
      <c r="BJ544" s="5">
        <f t="shared" si="327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328"/>
        <v>0</v>
      </c>
      <c r="BO544" s="5">
        <f t="shared" si="329"/>
        <v>0</v>
      </c>
      <c r="BP544" s="5">
        <f t="shared" si="330"/>
        <v>0</v>
      </c>
      <c r="BQ544" s="5">
        <f t="shared" si="331"/>
        <v>22060.710589858569</v>
      </c>
      <c r="BR544" s="5">
        <f t="shared" si="332"/>
        <v>12236.898885407742</v>
      </c>
      <c r="BS544" s="5">
        <f t="shared" si="333"/>
        <v>0</v>
      </c>
      <c r="BT544" s="5">
        <f t="shared" si="334"/>
        <v>0</v>
      </c>
      <c r="BU544" s="5">
        <f t="shared" si="335"/>
        <v>0</v>
      </c>
      <c r="BV544" s="5">
        <f t="shared" si="336"/>
        <v>0</v>
      </c>
      <c r="BW544" s="5">
        <f t="shared" si="337"/>
        <v>29297.609475266312</v>
      </c>
      <c r="BX544" s="5">
        <f t="shared" si="338"/>
        <v>30463.613435108226</v>
      </c>
      <c r="BY544" s="5">
        <f t="shared" si="339"/>
        <v>91390.840305324673</v>
      </c>
      <c r="BZ544" s="5">
        <f>INDEX('Team forecast'!$R$3:$BH$26,MATCH($B544,'Team forecast'!$B$3:$B$26,0),MATCH(BZ$1,'Team forecast'!$R$2:$BH$2,0))*($BX544-(BY544+CH544)*0.01)</f>
        <v>-3569.4807025827495</v>
      </c>
      <c r="CA544" s="5">
        <f>INDEX('Team forecast'!$R$3:$BH$26,MATCH($B544,'Team forecast'!$B$3:$B$26,0),MATCH(CA$1,'Team forecast'!$R$2:$BH$2,0))*($BX544-(BY544+BX544+CH544)*0.01)</f>
        <v>-1853.8952138232844</v>
      </c>
      <c r="CB544" s="5">
        <f>INDEX('Team forecast'!$R$3:$BH$26,MATCH($B544,'Team forecast'!$B$3:$B$26,0),MATCH(CB$1,'Team forecast'!$R$2:$BH$2,0))*($BX544-(BY544+BX544*2+CH544)*0.01)</f>
        <v>-945.69033087716275</v>
      </c>
      <c r="CC544" s="5">
        <f>INDEX('Team forecast'!$R$3:$BH$26,MATCH($B544,'Team forecast'!$B$3:$B$26,0),MATCH(CC$1,'Team forecast'!$R$2:$BH$2,0))*($BX544-(BY544+BX544*3+CH544)*0.01)</f>
        <v>-455.54754670481725</v>
      </c>
      <c r="CD544" s="5">
        <f>+AK544+BD544*Cockpit!$C$3+BW544*Cockpit!$C$3^2+BZ544*Cockpit!$C$3^3+CA544*Cockpit!$C$3^4+CB544*Cockpit!$C$3^5+CC544*Cockpit!$C$3^6</f>
        <v>61335.936511795495</v>
      </c>
      <c r="CE544" s="5"/>
      <c r="CF544" s="5"/>
      <c r="CG544" s="5">
        <v>0</v>
      </c>
      <c r="CH544" s="5">
        <f t="shared" si="340"/>
        <v>3500000</v>
      </c>
      <c r="CI544" s="5">
        <f t="shared" si="341"/>
        <v>3500000</v>
      </c>
      <c r="CJ544" s="1">
        <f t="shared" si="342"/>
        <v>2.6111668658664194E-2</v>
      </c>
      <c r="CK544" s="5">
        <f>RANK(BY544,$BY$2:$BY$623)+COUNTIF($BY$2:$BY544,$BY544)-1</f>
        <v>189</v>
      </c>
      <c r="CL544" s="5">
        <f>RANK(CJ544,$CJ$2:$CJ$623)+COUNTIF($CJ$2:$CJ544,$CJ544)-1</f>
        <v>192</v>
      </c>
    </row>
    <row r="545" spans="1:90">
      <c r="A545" t="str">
        <f>Players!P546</f>
        <v>Kristoffer Nordfeldt</v>
      </c>
      <c r="B545" t="str">
        <f>Players!G546</f>
        <v>Sweden</v>
      </c>
      <c r="C545" t="str">
        <f>Players!AB546</f>
        <v>Goalkeeper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4500000</v>
      </c>
      <c r="H545" s="16">
        <f>INDEX('Team forecast'!$B$2:$AO$26,MATCH('Master data'!$B545,'Team forecast'!$B$2:$B$26,0),MATCH('Master data'!H$1,'Team forecast'!$B$2:$AO$2,0))</f>
        <v>0.63639779406972985</v>
      </c>
      <c r="I545" s="16">
        <f>INDEX('Team forecast'!$B$2:$AO$26,MATCH('Master data'!$B545,'Team forecast'!$B$2:$B$26,0),MATCH('Master data'!I$1,'Team forecast'!$B$2:$AO$2,0))</f>
        <v>1.7533592214060363</v>
      </c>
      <c r="J545" s="16">
        <f>INDEX('Team forecast'!$B$2:$AO$26,MATCH('Master data'!$B545,'Team forecast'!$B$2:$B$26,0),MATCH('Master data'!J$1,'Team forecast'!$B$2:$AO$2,0))</f>
        <v>0.1731911776674534</v>
      </c>
      <c r="K545" s="16">
        <f>INDEX('Team forecast'!$B$2:$AO$26,MATCH('Master data'!$B545,'Team forecast'!$B$2:$B$26,0),MATCH('Master data'!K$1,'Team forecast'!$B$2:$AO$2,0))</f>
        <v>2.0682928307266222</v>
      </c>
      <c r="L545" s="16">
        <f>INDEX('Team forecast'!$B$2:$AO$26,MATCH('Master data'!$B545,'Team forecast'!$B$2:$B$26,0),MATCH('Master data'!L$1,'Team forecast'!$B$2:$AO$2,0))</f>
        <v>5.2600776642181089</v>
      </c>
      <c r="M545">
        <f>IF(Players!BC546=1,95,0)</f>
        <v>95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</v>
      </c>
      <c r="R545" s="2">
        <f>Players!BR546</f>
        <v>0</v>
      </c>
      <c r="S545" s="2">
        <f t="shared" si="301"/>
        <v>0.63639779406972985</v>
      </c>
      <c r="T545" s="2">
        <f t="shared" si="302"/>
        <v>1.7533592214060363</v>
      </c>
      <c r="U545" s="16">
        <f>INDEX('Team forecast'!$B$2:$AO$26,MATCH('Master data'!$B545,'Team forecast'!$B$2:$B$26,0),MATCH('Master data'!U$1,'Team forecast'!$B$2:$AO$2,0))</f>
        <v>0.11906893464637421</v>
      </c>
      <c r="V545" s="16">
        <f>INDEX('Team forecast'!$B$2:$AO$26,MATCH('Master data'!$B545,'Team forecast'!$B$2:$B$26,0),MATCH('Master data'!V$1,'Team forecast'!$B$2:$AO$2,0))</f>
        <v>0.20053715308863029</v>
      </c>
      <c r="W545" s="16">
        <f>INDEX('Team forecast'!$B$2:$AO$26,MATCH('Master data'!$B545,'Team forecast'!$B$2:$B$26,0),MATCH('Master data'!W$1,'Team forecast'!$B$2:$AO$2,0))</f>
        <v>0.68039391226499568</v>
      </c>
      <c r="X545" s="5">
        <f t="shared" si="303"/>
        <v>7000</v>
      </c>
      <c r="Y545" s="5">
        <f t="shared" si="304"/>
        <v>2976.723366159355</v>
      </c>
      <c r="Z545" s="5">
        <f t="shared" si="305"/>
        <v>1002.6857654431515</v>
      </c>
      <c r="AA545" s="5">
        <f t="shared" si="306"/>
        <v>-10205.908683974934</v>
      </c>
      <c r="AB545" s="5">
        <f t="shared" si="307"/>
        <v>0</v>
      </c>
      <c r="AC545" s="5">
        <f t="shared" si="308"/>
        <v>0</v>
      </c>
      <c r="AD545" s="5">
        <f t="shared" si="309"/>
        <v>0</v>
      </c>
      <c r="AE545" s="5">
        <f t="shared" si="310"/>
        <v>12989.338325059005</v>
      </c>
      <c r="AF545" s="5">
        <f t="shared" si="311"/>
        <v>17533.592214060362</v>
      </c>
      <c r="AG545" s="5">
        <f t="shared" si="312"/>
        <v>0</v>
      </c>
      <c r="AH545" s="5">
        <f t="shared" si="313"/>
        <v>0</v>
      </c>
      <c r="AI545" s="5">
        <f t="shared" si="314"/>
        <v>6363.9779406972984</v>
      </c>
      <c r="AJ545" s="5">
        <f t="shared" si="315"/>
        <v>-14026.873771248291</v>
      </c>
      <c r="AK545" s="5">
        <f>IFERROR(SUM(X545:AJ545),-5000)*((Cockpit!$C$3)^0)</f>
        <v>23633.535156195947</v>
      </c>
      <c r="AL545" s="16">
        <f>INDEX('Team forecast'!$B$2:$AO$26,MATCH('Master data'!$B545,'Team forecast'!$B$2:$B$26,0),MATCH('Master data'!AL$1,'Team forecast'!$B$2:$AO$2,0))</f>
        <v>1.3852986184856255</v>
      </c>
      <c r="AM545" s="16">
        <f>INDEX('Team forecast'!$B$2:$AO$26,MATCH('Master data'!$B545,'Team forecast'!$B$2:$B$26,0),MATCH('Master data'!AM$1,'Team forecast'!$B$2:$AO$2,0))</f>
        <v>0.80548012323268336</v>
      </c>
      <c r="AN545" s="16">
        <f>INDEX('Team forecast'!$B$2:$AO$26,MATCH('Master data'!$B545,'Team forecast'!$B$2:$B$26,0),MATCH('Master data'!AN$1,'Team forecast'!$B$2:$AO$2,0))</f>
        <v>0.4468733207814955</v>
      </c>
      <c r="AO545" s="16">
        <f>INDEX('Team forecast'!$B$2:$AO$26,MATCH('Master data'!$B545,'Team forecast'!$B$2:$B$26,0),MATCH('Master data'!AO$1,'Team forecast'!$B$2:$AO$2,0))</f>
        <v>4.5022205100782831</v>
      </c>
      <c r="AP545" s="16">
        <f>INDEX('Team forecast'!$B$2:$AO$26,MATCH('Master data'!$B545,'Team forecast'!$B$2:$B$26,0),MATCH('Master data'!AP$1,'Team forecast'!$B$2:$AO$2,0))</f>
        <v>2.4164403696980501</v>
      </c>
      <c r="AQ545" s="5">
        <f t="shared" si="316"/>
        <v>7000</v>
      </c>
      <c r="AR545" s="5">
        <f>INDEX('Team forecast'!$B$2:$AO$26,MATCH('Master data'!$B545,'Team forecast'!$B$2:$B$26,0),MATCH('Master data'!AR$1,'Team forecast'!$B$2:$AO$2,0))*IF(X545&gt;0,25000,0)</f>
        <v>12681.540184339738</v>
      </c>
      <c r="AS545" s="16">
        <f>INDEX('Team forecast'!$B$2:$AO$26,MATCH('Master data'!$B545,'Team forecast'!$B$2:$B$26,0),MATCH('Master data'!AS$1,'Team forecast'!$B$2:$AO$2,0))*IF(X545&gt;0,5000,0)</f>
        <v>1380.0499612369715</v>
      </c>
      <c r="AT545" s="16">
        <f>INDEX('Team forecast'!$B$2:$AO$26,MATCH('Master data'!$B545,'Team forecast'!$B$2:$B$26,0),MATCH('Master data'!AT$1,'Team forecast'!$B$2:$AO$2,0))*IF(X545&gt;0,-15000,0)</f>
        <v>-3250.9260056852445</v>
      </c>
      <c r="AU545" s="5">
        <f t="shared" si="317"/>
        <v>0</v>
      </c>
      <c r="AV545" s="5">
        <f t="shared" si="318"/>
        <v>0</v>
      </c>
      <c r="AW545" s="5">
        <f t="shared" si="319"/>
        <v>0</v>
      </c>
      <c r="AX545" s="5">
        <f t="shared" si="320"/>
        <v>33515.499058612164</v>
      </c>
      <c r="AY545" s="5">
        <f t="shared" si="321"/>
        <v>8054.801232326834</v>
      </c>
      <c r="AZ545" s="5">
        <f t="shared" si="322"/>
        <v>0</v>
      </c>
      <c r="BA545" s="5">
        <f t="shared" si="323"/>
        <v>0</v>
      </c>
      <c r="BB545" s="5">
        <f t="shared" si="324"/>
        <v>13852.986184856256</v>
      </c>
      <c r="BC545" s="5">
        <f t="shared" si="325"/>
        <v>-6443.8409858614668</v>
      </c>
      <c r="BD545" s="5">
        <f t="shared" si="326"/>
        <v>66790.109629825252</v>
      </c>
      <c r="BE545" s="16">
        <f>INDEX('Team forecast'!$B$2:$AO$26,MATCH('Master data'!$B545,'Team forecast'!$B$2:$B$26,0),MATCH('Master data'!BE$1,'Team forecast'!$B$2:$AO$2,0))</f>
        <v>1.2688103238212438</v>
      </c>
      <c r="BF545" s="16">
        <f>INDEX('Team forecast'!$B$2:$AO$26,MATCH('Master data'!$B545,'Team forecast'!$B$2:$B$26,0),MATCH('Master data'!BF$1,'Team forecast'!$B$2:$AO$2,0))</f>
        <v>1.2236898885407743</v>
      </c>
      <c r="BG545" s="16">
        <f>INDEX('Team forecast'!$B$2:$AO$26,MATCH('Master data'!$B545,'Team forecast'!$B$2:$B$26,0),MATCH('Master data'!BG$1,'Team forecast'!$B$2:$AO$2,0))</f>
        <v>0.29414280786478092</v>
      </c>
      <c r="BH545" s="16">
        <f>INDEX('Team forecast'!$B$2:$AO$26,MATCH('Master data'!$B545,'Team forecast'!$B$2:$B$26,0),MATCH('Master data'!BH$1,'Team forecast'!$B$2:$AO$2,0))</f>
        <v>4.1236335524190419</v>
      </c>
      <c r="BI545" s="16">
        <f>INDEX('Team forecast'!$B$2:$AO$26,MATCH('Master data'!$B545,'Team forecast'!$B$2:$B$26,0),MATCH('Master data'!BI$1,'Team forecast'!$B$2:$AO$2,0))</f>
        <v>3.6710696656223227</v>
      </c>
      <c r="BJ545" s="5">
        <f t="shared" si="327"/>
        <v>7000</v>
      </c>
      <c r="BK545" s="5">
        <f>INDEX('Team forecast'!$R$3:$BH$26,MATCH($B545,'Team forecast'!$B$3:$B$26,0),MATCH(BK$1,'Team forecast'!$R$2:$BH$2,0))*IF($X545&gt;0,25000,0)</f>
        <v>9372.1973094170389</v>
      </c>
      <c r="BL545" s="5">
        <f>INDEX('Team forecast'!$R$3:$BH$26,MATCH($B545,'Team forecast'!$B$3:$B$26,0),MATCH(BL$1,'Team forecast'!$R$2:$BH$2,0))*IF($X545&gt;0,5000,0)</f>
        <v>1448.4304932735427</v>
      </c>
      <c r="BM545" s="5">
        <f>INDEX('Team forecast'!$R$3:$BH$26,MATCH($B545,'Team forecast'!$B$3:$B$26,0),MATCH(BM$1,'Team forecast'!$R$2:$BH$2,0))*IF($X545&gt;0,-15000,0)</f>
        <v>-5031.390134529147</v>
      </c>
      <c r="BN545" s="5">
        <f t="shared" si="328"/>
        <v>0</v>
      </c>
      <c r="BO545" s="5">
        <f t="shared" si="329"/>
        <v>0</v>
      </c>
      <c r="BP545" s="5">
        <f t="shared" si="330"/>
        <v>0</v>
      </c>
      <c r="BQ545" s="5">
        <f t="shared" si="331"/>
        <v>22060.710589858569</v>
      </c>
      <c r="BR545" s="5">
        <f t="shared" si="332"/>
        <v>12236.898885407742</v>
      </c>
      <c r="BS545" s="5">
        <f t="shared" si="333"/>
        <v>0</v>
      </c>
      <c r="BT545" s="5">
        <f t="shared" si="334"/>
        <v>0</v>
      </c>
      <c r="BU545" s="5">
        <f t="shared" si="335"/>
        <v>12688.103238212438</v>
      </c>
      <c r="BV545" s="5">
        <f t="shared" si="336"/>
        <v>-9789.5191083261943</v>
      </c>
      <c r="BW545" s="5">
        <f t="shared" si="337"/>
        <v>49985.431273313989</v>
      </c>
      <c r="BX545" s="5">
        <f t="shared" si="338"/>
        <v>46803.025353111734</v>
      </c>
      <c r="BY545" s="5">
        <f t="shared" si="339"/>
        <v>140409.0760593352</v>
      </c>
      <c r="BZ545" s="5">
        <f>INDEX('Team forecast'!$R$3:$BH$26,MATCH($B545,'Team forecast'!$B$3:$B$26,0),MATCH(BZ$1,'Team forecast'!$R$2:$BH$2,0))*($BX545-(BY545+CH545)*0.01)</f>
        <v>261.26830528659866</v>
      </c>
      <c r="CA545" s="5">
        <f>INDEX('Team forecast'!$R$3:$BH$26,MATCH($B545,'Team forecast'!$B$3:$B$26,0),MATCH(CA$1,'Team forecast'!$R$2:$BH$2,0))*($BX545-(BY545+BX545+CH545)*0.01)</f>
        <v>-22.258496751831881</v>
      </c>
      <c r="CB545" s="5">
        <f>INDEX('Team forecast'!$R$3:$BH$26,MATCH($B545,'Team forecast'!$B$3:$B$26,0),MATCH(CB$1,'Team forecast'!$R$2:$BH$2,0))*($BX545-(BY545+BX545*2+CH545)*0.01)</f>
        <v>-83.826907765896905</v>
      </c>
      <c r="CC545" s="5">
        <f>INDEX('Team forecast'!$R$3:$BH$26,MATCH($B545,'Team forecast'!$B$3:$B$26,0),MATCH(CC$1,'Team forecast'!$R$2:$BH$2,0))*($BX545-(BY545+BX545*3+CH545)*0.01)</f>
        <v>-71.948742007272571</v>
      </c>
      <c r="CD545" s="5">
        <f>+AK545+BD545*Cockpit!$C$3+BW545*Cockpit!$C$3^2+BZ545*Cockpit!$C$3^3+CA545*Cockpit!$C$3^4+CB545*Cockpit!$C$3^5+CC545*Cockpit!$C$3^6</f>
        <v>90431.682811099163</v>
      </c>
      <c r="CE545" s="5"/>
      <c r="CF545" s="5"/>
      <c r="CG545" s="5">
        <v>0</v>
      </c>
      <c r="CH545" s="5">
        <f t="shared" si="340"/>
        <v>4500000</v>
      </c>
      <c r="CI545" s="5">
        <f t="shared" si="341"/>
        <v>4500000</v>
      </c>
      <c r="CJ545" s="1">
        <f t="shared" si="342"/>
        <v>3.1202016902074491E-2</v>
      </c>
      <c r="CK545" s="5">
        <f>RANK(BY545,$BY$2:$BY$623)+COUNTIF($BY$2:$BY545,$BY545)-1</f>
        <v>104</v>
      </c>
      <c r="CL545" s="5">
        <f>RANK(CJ545,$CJ$2:$CJ$623)+COUNTIF($CJ$2:$CJ545,$CJ545)-1</f>
        <v>131</v>
      </c>
    </row>
    <row r="546" spans="1:90">
      <c r="A546" t="str">
        <f>Players!P547</f>
        <v>Gustav Svensson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2000000</v>
      </c>
      <c r="H546" s="16">
        <f>INDEX('Team forecast'!$B$2:$AO$26,MATCH('Master data'!$B546,'Team forecast'!$B$2:$B$26,0),MATCH('Master data'!H$1,'Team forecast'!$B$2:$AO$2,0))</f>
        <v>0.63639779406972985</v>
      </c>
      <c r="I546" s="16">
        <f>INDEX('Team forecast'!$B$2:$AO$26,MATCH('Master data'!$B546,'Team forecast'!$B$2:$B$26,0),MATCH('Master data'!I$1,'Team forecast'!$B$2:$AO$2,0))</f>
        <v>1.7533592214060363</v>
      </c>
      <c r="J546" s="16">
        <f>INDEX('Team forecast'!$B$2:$AO$26,MATCH('Master data'!$B546,'Team forecast'!$B$2:$B$26,0),MATCH('Master data'!J$1,'Team forecast'!$B$2:$AO$2,0))</f>
        <v>0.1731911776674534</v>
      </c>
      <c r="K546" s="16">
        <f>INDEX('Team forecast'!$B$2:$AO$26,MATCH('Master data'!$B546,'Team forecast'!$B$2:$B$26,0),MATCH('Master data'!K$1,'Team forecast'!$B$2:$AO$2,0))</f>
        <v>2.0682928307266222</v>
      </c>
      <c r="L546" s="16">
        <f>INDEX('Team forecast'!$B$2:$AO$26,MATCH('Master data'!$B546,'Team forecast'!$B$2:$B$26,0),MATCH('Master data'!L$1,'Team forecast'!$B$2:$AO$2,0))</f>
        <v>5.2600776642181089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0.34</v>
      </c>
      <c r="R546" s="2">
        <f>Players!BR547</f>
        <v>0</v>
      </c>
      <c r="S546" s="2">
        <f t="shared" si="301"/>
        <v>0.63639779406972985</v>
      </c>
      <c r="T546" s="2">
        <f t="shared" si="302"/>
        <v>1.7533592214060363</v>
      </c>
      <c r="U546" s="16">
        <f>INDEX('Team forecast'!$B$2:$AO$26,MATCH('Master data'!$B546,'Team forecast'!$B$2:$B$26,0),MATCH('Master data'!U$1,'Team forecast'!$B$2:$AO$2,0))</f>
        <v>0.11906893464637421</v>
      </c>
      <c r="V546" s="16">
        <f>INDEX('Team forecast'!$B$2:$AO$26,MATCH('Master data'!$B546,'Team forecast'!$B$2:$B$26,0),MATCH('Master data'!V$1,'Team forecast'!$B$2:$AO$2,0))</f>
        <v>0.20053715308863029</v>
      </c>
      <c r="W546" s="16">
        <f>INDEX('Team forecast'!$B$2:$AO$26,MATCH('Master data'!$B546,'Team forecast'!$B$2:$B$26,0),MATCH('Master data'!W$1,'Team forecast'!$B$2:$AO$2,0))</f>
        <v>0.68039391226499568</v>
      </c>
      <c r="X546" s="5">
        <f t="shared" si="303"/>
        <v>-5000</v>
      </c>
      <c r="Y546" s="5">
        <f t="shared" si="304"/>
        <v>0</v>
      </c>
      <c r="Z546" s="5">
        <f t="shared" si="305"/>
        <v>0</v>
      </c>
      <c r="AA546" s="5">
        <f t="shared" si="306"/>
        <v>0</v>
      </c>
      <c r="AB546" s="5">
        <f t="shared" si="307"/>
        <v>0</v>
      </c>
      <c r="AC546" s="5">
        <f t="shared" si="308"/>
        <v>0</v>
      </c>
      <c r="AD546" s="5">
        <f t="shared" si="309"/>
        <v>0</v>
      </c>
      <c r="AE546" s="5">
        <f t="shared" si="310"/>
        <v>0</v>
      </c>
      <c r="AF546" s="5">
        <f t="shared" si="311"/>
        <v>0</v>
      </c>
      <c r="AG546" s="5">
        <f t="shared" si="312"/>
        <v>0</v>
      </c>
      <c r="AH546" s="5">
        <f t="shared" si="313"/>
        <v>0</v>
      </c>
      <c r="AI546" s="5">
        <f t="shared" si="314"/>
        <v>0</v>
      </c>
      <c r="AJ546" s="5">
        <f t="shared" si="315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1.3852986184856255</v>
      </c>
      <c r="AM546" s="16">
        <f>INDEX('Team forecast'!$B$2:$AO$26,MATCH('Master data'!$B546,'Team forecast'!$B$2:$B$26,0),MATCH('Master data'!AM$1,'Team forecast'!$B$2:$AO$2,0))</f>
        <v>0.80548012323268336</v>
      </c>
      <c r="AN546" s="16">
        <f>INDEX('Team forecast'!$B$2:$AO$26,MATCH('Master data'!$B546,'Team forecast'!$B$2:$B$26,0),MATCH('Master data'!AN$1,'Team forecast'!$B$2:$AO$2,0))</f>
        <v>0.4468733207814955</v>
      </c>
      <c r="AO546" s="16">
        <f>INDEX('Team forecast'!$B$2:$AO$26,MATCH('Master data'!$B546,'Team forecast'!$B$2:$B$26,0),MATCH('Master data'!AO$1,'Team forecast'!$B$2:$AO$2,0))</f>
        <v>4.5022205100782831</v>
      </c>
      <c r="AP546" s="16">
        <f>INDEX('Team forecast'!$B$2:$AO$26,MATCH('Master data'!$B546,'Team forecast'!$B$2:$B$26,0),MATCH('Master data'!AP$1,'Team forecast'!$B$2:$AO$2,0))</f>
        <v>2.4164403696980501</v>
      </c>
      <c r="AQ546" s="5">
        <f t="shared" si="316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317"/>
        <v>0</v>
      </c>
      <c r="AV546" s="5">
        <f t="shared" si="318"/>
        <v>0</v>
      </c>
      <c r="AW546" s="5">
        <f t="shared" si="319"/>
        <v>0</v>
      </c>
      <c r="AX546" s="5">
        <f t="shared" si="320"/>
        <v>0</v>
      </c>
      <c r="AY546" s="5">
        <f t="shared" si="321"/>
        <v>0</v>
      </c>
      <c r="AZ546" s="5">
        <f t="shared" si="322"/>
        <v>0</v>
      </c>
      <c r="BA546" s="5">
        <f t="shared" si="323"/>
        <v>0</v>
      </c>
      <c r="BB546" s="5">
        <f t="shared" si="324"/>
        <v>0</v>
      </c>
      <c r="BC546" s="5">
        <f t="shared" si="325"/>
        <v>0</v>
      </c>
      <c r="BD546" s="5">
        <f t="shared" si="326"/>
        <v>-5000</v>
      </c>
      <c r="BE546" s="16">
        <f>INDEX('Team forecast'!$B$2:$AO$26,MATCH('Master data'!$B546,'Team forecast'!$B$2:$B$26,0),MATCH('Master data'!BE$1,'Team forecast'!$B$2:$AO$2,0))</f>
        <v>1.2688103238212438</v>
      </c>
      <c r="BF546" s="16">
        <f>INDEX('Team forecast'!$B$2:$AO$26,MATCH('Master data'!$B546,'Team forecast'!$B$2:$B$26,0),MATCH('Master data'!BF$1,'Team forecast'!$B$2:$AO$2,0))</f>
        <v>1.2236898885407743</v>
      </c>
      <c r="BG546" s="16">
        <f>INDEX('Team forecast'!$B$2:$AO$26,MATCH('Master data'!$B546,'Team forecast'!$B$2:$B$26,0),MATCH('Master data'!BG$1,'Team forecast'!$B$2:$AO$2,0))</f>
        <v>0.29414280786478092</v>
      </c>
      <c r="BH546" s="16">
        <f>INDEX('Team forecast'!$B$2:$AO$26,MATCH('Master data'!$B546,'Team forecast'!$B$2:$B$26,0),MATCH('Master data'!BH$1,'Team forecast'!$B$2:$AO$2,0))</f>
        <v>4.1236335524190419</v>
      </c>
      <c r="BI546" s="16">
        <f>INDEX('Team forecast'!$B$2:$AO$26,MATCH('Master data'!$B546,'Team forecast'!$B$2:$B$26,0),MATCH('Master data'!BI$1,'Team forecast'!$B$2:$AO$2,0))</f>
        <v>3.6710696656223227</v>
      </c>
      <c r="BJ546" s="5">
        <f t="shared" si="327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328"/>
        <v>0</v>
      </c>
      <c r="BO546" s="5">
        <f t="shared" si="329"/>
        <v>0</v>
      </c>
      <c r="BP546" s="5">
        <f t="shared" si="330"/>
        <v>0</v>
      </c>
      <c r="BQ546" s="5">
        <f t="shared" si="331"/>
        <v>0</v>
      </c>
      <c r="BR546" s="5">
        <f t="shared" si="332"/>
        <v>0</v>
      </c>
      <c r="BS546" s="5">
        <f t="shared" si="333"/>
        <v>0</v>
      </c>
      <c r="BT546" s="5">
        <f t="shared" si="334"/>
        <v>0</v>
      </c>
      <c r="BU546" s="5">
        <f t="shared" si="335"/>
        <v>0</v>
      </c>
      <c r="BV546" s="5">
        <f t="shared" si="336"/>
        <v>0</v>
      </c>
      <c r="BW546" s="5">
        <f t="shared" si="337"/>
        <v>-5000</v>
      </c>
      <c r="BX546" s="5">
        <f t="shared" si="338"/>
        <v>-5000</v>
      </c>
      <c r="BY546" s="5">
        <f t="shared" si="339"/>
        <v>-15000</v>
      </c>
      <c r="BZ546" s="5">
        <f>INDEX('Team forecast'!$R$3:$BH$26,MATCH($B546,'Team forecast'!$B$3:$B$26,0),MATCH(BZ$1,'Team forecast'!$R$2:$BH$2,0))*($BX546-(BY546+CH546)*0.01)</f>
        <v>-16274.641277373905</v>
      </c>
      <c r="CA546" s="5">
        <f>INDEX('Team forecast'!$R$3:$BH$26,MATCH($B546,'Team forecast'!$B$3:$B$26,0),MATCH(CA$1,'Team forecast'!$R$2:$BH$2,0))*($BX546-(BY546+BX546+CH546)*0.01)</f>
        <v>-7989.0793626484456</v>
      </c>
      <c r="CB546" s="5">
        <f>INDEX('Team forecast'!$R$3:$BH$26,MATCH($B546,'Team forecast'!$B$3:$B$26,0),MATCH(CB$1,'Team forecast'!$R$2:$BH$2,0))*($BX546-(BY546+BX546*2+CH546)*0.01)</f>
        <v>-3862.6249656337559</v>
      </c>
      <c r="CC546" s="5">
        <f>INDEX('Team forecast'!$R$3:$BH$26,MATCH($B546,'Team forecast'!$B$3:$B$26,0),MATCH(CC$1,'Team forecast'!$R$2:$BH$2,0))*($BX546-(BY546+BX546*3+CH546)*0.01)</f>
        <v>-1768.0177309990693</v>
      </c>
      <c r="CD546" s="5">
        <f>+AK546+BD546*Cockpit!$C$3+BW546*Cockpit!$C$3^2+BZ546*Cockpit!$C$3^3+CA546*Cockpit!$C$3^4+CB546*Cockpit!$C$3^5+CC546*Cockpit!$C$3^6</f>
        <v>-17619.636592069848</v>
      </c>
      <c r="CE546" s="5"/>
      <c r="CF546" s="5"/>
      <c r="CG546" s="5">
        <v>0</v>
      </c>
      <c r="CH546" s="5">
        <f t="shared" si="340"/>
        <v>2000000</v>
      </c>
      <c r="CI546" s="5">
        <f t="shared" si="341"/>
        <v>2000000</v>
      </c>
      <c r="CJ546" s="1">
        <f t="shared" si="342"/>
        <v>-7.4999999999999997E-3</v>
      </c>
      <c r="CK546" s="5">
        <f>RANK(BY546,$BY$2:$BY$623)+COUNTIF($BY$2:$BY546,$BY546)-1</f>
        <v>594</v>
      </c>
      <c r="CL546" s="5">
        <f>RANK(CJ546,$CJ$2:$CJ$623)+COUNTIF($CJ$2:$CJ546,$CJ546)-1</f>
        <v>606</v>
      </c>
    </row>
    <row r="547" spans="1:90">
      <c r="A547" t="str">
        <f>Players!P548</f>
        <v>Albin Ekdal</v>
      </c>
      <c r="B547" t="str">
        <f>Players!G548</f>
        <v>Sweden</v>
      </c>
      <c r="C547" t="str">
        <f>Players!AB548</f>
        <v>Midfield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0.63639779406972985</v>
      </c>
      <c r="I547" s="16">
        <f>INDEX('Team forecast'!$B$2:$AO$26,MATCH('Master data'!$B547,'Team forecast'!$B$2:$B$26,0),MATCH('Master data'!I$1,'Team forecast'!$B$2:$AO$2,0))</f>
        <v>1.7533592214060363</v>
      </c>
      <c r="J547" s="16">
        <f>INDEX('Team forecast'!$B$2:$AO$26,MATCH('Master data'!$B547,'Team forecast'!$B$2:$B$26,0),MATCH('Master data'!J$1,'Team forecast'!$B$2:$AO$2,0))</f>
        <v>0.1731911776674534</v>
      </c>
      <c r="K547" s="16">
        <f>INDEX('Team forecast'!$B$2:$AO$26,MATCH('Master data'!$B547,'Team forecast'!$B$2:$B$26,0),MATCH('Master data'!K$1,'Team forecast'!$B$2:$AO$2,0))</f>
        <v>2.0682928307266222</v>
      </c>
      <c r="L547" s="16">
        <f>INDEX('Team forecast'!$B$2:$AO$26,MATCH('Master data'!$B547,'Team forecast'!$B$2:$B$26,0),MATCH('Master data'!L$1,'Team forecast'!$B$2:$AO$2,0))</f>
        <v>5.2600776642181089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0.25093397046046917</v>
      </c>
      <c r="R547" s="2">
        <f>Players!BR548</f>
        <v>0</v>
      </c>
      <c r="S547" s="2">
        <f t="shared" si="301"/>
        <v>0.63639779406972985</v>
      </c>
      <c r="T547" s="2">
        <f t="shared" si="302"/>
        <v>1.7533592214060363</v>
      </c>
      <c r="U547" s="16">
        <f>INDEX('Team forecast'!$B$2:$AO$26,MATCH('Master data'!$B547,'Team forecast'!$B$2:$B$26,0),MATCH('Master data'!U$1,'Team forecast'!$B$2:$AO$2,0))</f>
        <v>0.11906893464637421</v>
      </c>
      <c r="V547" s="16">
        <f>INDEX('Team forecast'!$B$2:$AO$26,MATCH('Master data'!$B547,'Team forecast'!$B$2:$B$26,0),MATCH('Master data'!V$1,'Team forecast'!$B$2:$AO$2,0))</f>
        <v>0.20053715308863029</v>
      </c>
      <c r="W547" s="16">
        <f>INDEX('Team forecast'!$B$2:$AO$26,MATCH('Master data'!$B547,'Team forecast'!$B$2:$B$26,0),MATCH('Master data'!W$1,'Team forecast'!$B$2:$AO$2,0))</f>
        <v>0.68039391226499568</v>
      </c>
      <c r="X547" s="5">
        <f t="shared" si="303"/>
        <v>-5000</v>
      </c>
      <c r="Y547" s="5">
        <f t="shared" si="304"/>
        <v>0</v>
      </c>
      <c r="Z547" s="5">
        <f t="shared" si="305"/>
        <v>0</v>
      </c>
      <c r="AA547" s="5">
        <f t="shared" si="306"/>
        <v>0</v>
      </c>
      <c r="AB547" s="5">
        <f t="shared" si="307"/>
        <v>0</v>
      </c>
      <c r="AC547" s="5">
        <f t="shared" si="308"/>
        <v>0</v>
      </c>
      <c r="AD547" s="5">
        <f t="shared" si="309"/>
        <v>0</v>
      </c>
      <c r="AE547" s="5">
        <f t="shared" si="310"/>
        <v>0</v>
      </c>
      <c r="AF547" s="5">
        <f t="shared" si="311"/>
        <v>0</v>
      </c>
      <c r="AG547" s="5">
        <f t="shared" si="312"/>
        <v>0</v>
      </c>
      <c r="AH547" s="5">
        <f t="shared" si="313"/>
        <v>0</v>
      </c>
      <c r="AI547" s="5">
        <f t="shared" si="314"/>
        <v>0</v>
      </c>
      <c r="AJ547" s="5">
        <f t="shared" si="315"/>
        <v>0</v>
      </c>
      <c r="AK547" s="5">
        <f>IFERROR(SUM(X547:AJ547),-5000)*((Cockpit!$C$3)^0)</f>
        <v>-5000</v>
      </c>
      <c r="AL547" s="16">
        <f>INDEX('Team forecast'!$B$2:$AO$26,MATCH('Master data'!$B547,'Team forecast'!$B$2:$B$26,0),MATCH('Master data'!AL$1,'Team forecast'!$B$2:$AO$2,0))</f>
        <v>1.3852986184856255</v>
      </c>
      <c r="AM547" s="16">
        <f>INDEX('Team forecast'!$B$2:$AO$26,MATCH('Master data'!$B547,'Team forecast'!$B$2:$B$26,0),MATCH('Master data'!AM$1,'Team forecast'!$B$2:$AO$2,0))</f>
        <v>0.80548012323268336</v>
      </c>
      <c r="AN547" s="16">
        <f>INDEX('Team forecast'!$B$2:$AO$26,MATCH('Master data'!$B547,'Team forecast'!$B$2:$B$26,0),MATCH('Master data'!AN$1,'Team forecast'!$B$2:$AO$2,0))</f>
        <v>0.4468733207814955</v>
      </c>
      <c r="AO547" s="16">
        <f>INDEX('Team forecast'!$B$2:$AO$26,MATCH('Master data'!$B547,'Team forecast'!$B$2:$B$26,0),MATCH('Master data'!AO$1,'Team forecast'!$B$2:$AO$2,0))</f>
        <v>4.5022205100782831</v>
      </c>
      <c r="AP547" s="16">
        <f>INDEX('Team forecast'!$B$2:$AO$26,MATCH('Master data'!$B547,'Team forecast'!$B$2:$B$26,0),MATCH('Master data'!AP$1,'Team forecast'!$B$2:$AO$2,0))</f>
        <v>2.4164403696980501</v>
      </c>
      <c r="AQ547" s="5">
        <f t="shared" si="316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317"/>
        <v>0</v>
      </c>
      <c r="AV547" s="5">
        <f t="shared" si="318"/>
        <v>0</v>
      </c>
      <c r="AW547" s="5">
        <f t="shared" si="319"/>
        <v>0</v>
      </c>
      <c r="AX547" s="5">
        <f t="shared" si="320"/>
        <v>0</v>
      </c>
      <c r="AY547" s="5">
        <f t="shared" si="321"/>
        <v>0</v>
      </c>
      <c r="AZ547" s="5">
        <f t="shared" si="322"/>
        <v>0</v>
      </c>
      <c r="BA547" s="5">
        <f t="shared" si="323"/>
        <v>0</v>
      </c>
      <c r="BB547" s="5">
        <f t="shared" si="324"/>
        <v>0</v>
      </c>
      <c r="BC547" s="5">
        <f t="shared" si="325"/>
        <v>0</v>
      </c>
      <c r="BD547" s="5">
        <f t="shared" si="326"/>
        <v>-5000</v>
      </c>
      <c r="BE547" s="16">
        <f>INDEX('Team forecast'!$B$2:$AO$26,MATCH('Master data'!$B547,'Team forecast'!$B$2:$B$26,0),MATCH('Master data'!BE$1,'Team forecast'!$B$2:$AO$2,0))</f>
        <v>1.2688103238212438</v>
      </c>
      <c r="BF547" s="16">
        <f>INDEX('Team forecast'!$B$2:$AO$26,MATCH('Master data'!$B547,'Team forecast'!$B$2:$B$26,0),MATCH('Master data'!BF$1,'Team forecast'!$B$2:$AO$2,0))</f>
        <v>1.2236898885407743</v>
      </c>
      <c r="BG547" s="16">
        <f>INDEX('Team forecast'!$B$2:$AO$26,MATCH('Master data'!$B547,'Team forecast'!$B$2:$B$26,0),MATCH('Master data'!BG$1,'Team forecast'!$B$2:$AO$2,0))</f>
        <v>0.29414280786478092</v>
      </c>
      <c r="BH547" s="16">
        <f>INDEX('Team forecast'!$B$2:$AO$26,MATCH('Master data'!$B547,'Team forecast'!$B$2:$B$26,0),MATCH('Master data'!BH$1,'Team forecast'!$B$2:$AO$2,0))</f>
        <v>4.1236335524190419</v>
      </c>
      <c r="BI547" s="16">
        <f>INDEX('Team forecast'!$B$2:$AO$26,MATCH('Master data'!$B547,'Team forecast'!$B$2:$B$26,0),MATCH('Master data'!BI$1,'Team forecast'!$B$2:$AO$2,0))</f>
        <v>3.6710696656223227</v>
      </c>
      <c r="BJ547" s="5">
        <f t="shared" si="327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328"/>
        <v>0</v>
      </c>
      <c r="BO547" s="5">
        <f t="shared" si="329"/>
        <v>0</v>
      </c>
      <c r="BP547" s="5">
        <f t="shared" si="330"/>
        <v>0</v>
      </c>
      <c r="BQ547" s="5">
        <f t="shared" si="331"/>
        <v>0</v>
      </c>
      <c r="BR547" s="5">
        <f t="shared" si="332"/>
        <v>0</v>
      </c>
      <c r="BS547" s="5">
        <f t="shared" si="333"/>
        <v>0</v>
      </c>
      <c r="BT547" s="5">
        <f t="shared" si="334"/>
        <v>0</v>
      </c>
      <c r="BU547" s="5">
        <f t="shared" si="335"/>
        <v>0</v>
      </c>
      <c r="BV547" s="5">
        <f t="shared" si="336"/>
        <v>0</v>
      </c>
      <c r="BW547" s="5">
        <f t="shared" si="337"/>
        <v>-5000</v>
      </c>
      <c r="BX547" s="5">
        <f t="shared" si="338"/>
        <v>-5000</v>
      </c>
      <c r="BY547" s="5">
        <f t="shared" si="339"/>
        <v>-15000</v>
      </c>
      <c r="BZ547" s="5">
        <f>INDEX('Team forecast'!$R$3:$BH$26,MATCH($B547,'Team forecast'!$B$3:$B$26,0),MATCH(BZ$1,'Team forecast'!$R$2:$BH$2,0))*($BX547-(BY547+CH547)*0.01)</f>
        <v>-22823.792696840264</v>
      </c>
      <c r="CA547" s="5">
        <f>INDEX('Team forecast'!$R$3:$BH$26,MATCH($B547,'Team forecast'!$B$3:$B$26,0),MATCH(CA$1,'Team forecast'!$R$2:$BH$2,0))*($BX547-(BY547+BX547+CH547)*0.01)</f>
        <v>-11210.482331458303</v>
      </c>
      <c r="CB547" s="5">
        <f>INDEX('Team forecast'!$R$3:$BH$26,MATCH($B547,'Team forecast'!$B$3:$B$26,0),MATCH(CB$1,'Team forecast'!$R$2:$BH$2,0))*($BX547-(BY547+BX547*2+CH547)*0.01)</f>
        <v>-5423.2815174049701</v>
      </c>
      <c r="CC547" s="5">
        <f>INDEX('Team forecast'!$R$3:$BH$26,MATCH($B547,'Team forecast'!$B$3:$B$26,0),MATCH(CC$1,'Team forecast'!$R$2:$BH$2,0))*($BX547-(BY547+BX547*3+CH547)*0.01)</f>
        <v>-2483.8143832254132</v>
      </c>
      <c r="CD547" s="5">
        <f>+AK547+BD547*Cockpit!$C$3+BW547*Cockpit!$C$3^2+BZ547*Cockpit!$C$3^3+CA547*Cockpit!$C$3^4+CB547*Cockpit!$C$3^5+CC547*Cockpit!$C$3^6</f>
        <v>-20464.811830514125</v>
      </c>
      <c r="CE547" s="5"/>
      <c r="CF547" s="5"/>
      <c r="CG547" s="5">
        <v>0</v>
      </c>
      <c r="CH547" s="5">
        <f t="shared" si="340"/>
        <v>3000000</v>
      </c>
      <c r="CI547" s="5">
        <f t="shared" si="341"/>
        <v>3000000</v>
      </c>
      <c r="CJ547" s="1">
        <f t="shared" si="342"/>
        <v>-5.0000000000000001E-3</v>
      </c>
      <c r="CK547" s="5">
        <f>RANK(BY547,$BY$2:$BY$623)+COUNTIF($BY$2:$BY547,$BY547)-1</f>
        <v>595</v>
      </c>
      <c r="CL547" s="5">
        <f>RANK(CJ547,$CJ$2:$CJ$623)+COUNTIF($CJ$2:$CJ547,$CJ547)-1</f>
        <v>526</v>
      </c>
    </row>
    <row r="548" spans="1:90">
      <c r="A548" t="str">
        <f>Players!P549</f>
        <v>Lukasz Skorupski</v>
      </c>
      <c r="B548" t="str">
        <f>Players!G549</f>
        <v>Poland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3000000</v>
      </c>
      <c r="H548" s="16">
        <f>INDEX('Team forecast'!$B$2:$AO$26,MATCH('Master data'!$B548,'Team forecast'!$B$2:$B$26,0),MATCH('Master data'!H$1,'Team forecast'!$B$2:$AO$2,0))</f>
        <v>1.5369105908463034</v>
      </c>
      <c r="I548" s="16">
        <f>INDEX('Team forecast'!$B$2:$AO$26,MATCH('Master data'!$B548,'Team forecast'!$B$2:$B$26,0),MATCH('Master data'!I$1,'Team forecast'!$B$2:$AO$2,0))</f>
        <v>0.81328039356128246</v>
      </c>
      <c r="J548" s="16">
        <f>INDEX('Team forecast'!$B$2:$AO$26,MATCH('Master data'!$B548,'Team forecast'!$B$2:$B$26,0),MATCH('Master data'!J$1,'Team forecast'!$B$2:$AO$2,0))</f>
        <v>0.44340114762649968</v>
      </c>
      <c r="K548" s="16">
        <f>INDEX('Team forecast'!$B$2:$AO$26,MATCH('Master data'!$B548,'Team forecast'!$B$2:$B$26,0),MATCH('Master data'!K$1,'Team forecast'!$B$2:$AO$2,0))</f>
        <v>4.6107317725389105</v>
      </c>
      <c r="L548" s="16">
        <f>INDEX('Team forecast'!$B$2:$AO$26,MATCH('Master data'!$B548,'Team forecast'!$B$2:$B$26,0),MATCH('Master data'!L$1,'Team forecast'!$B$2:$AO$2,0))</f>
        <v>2.0723952197374849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1.7857142857142856E-2</v>
      </c>
      <c r="R548" s="2">
        <f>Players!BR549</f>
        <v>0</v>
      </c>
      <c r="S548" s="2">
        <f t="shared" si="301"/>
        <v>1.5369105908463034</v>
      </c>
      <c r="T548" s="2">
        <f t="shared" si="302"/>
        <v>0.81328039356128246</v>
      </c>
      <c r="U548" s="16">
        <f>INDEX('Team forecast'!$B$2:$AO$26,MATCH('Master data'!$B548,'Team forecast'!$B$2:$B$26,0),MATCH('Master data'!U$1,'Team forecast'!$B$2:$AO$2,0))</f>
        <v>0.54773082942097018</v>
      </c>
      <c r="V548" s="16">
        <f>INDEX('Team forecast'!$B$2:$AO$26,MATCH('Master data'!$B548,'Team forecast'!$B$2:$B$26,0),MATCH('Master data'!V$1,'Team forecast'!$B$2:$AO$2,0))</f>
        <v>0.2660406885758998</v>
      </c>
      <c r="W548" s="16">
        <f>INDEX('Team forecast'!$B$2:$AO$26,MATCH('Master data'!$B548,'Team forecast'!$B$2:$B$26,0),MATCH('Master data'!W$1,'Team forecast'!$B$2:$AO$2,0))</f>
        <v>0.18622848200312991</v>
      </c>
      <c r="X548" s="5">
        <f t="shared" si="303"/>
        <v>-5000</v>
      </c>
      <c r="Y548" s="5">
        <f t="shared" si="304"/>
        <v>0</v>
      </c>
      <c r="Z548" s="5">
        <f t="shared" si="305"/>
        <v>0</v>
      </c>
      <c r="AA548" s="5">
        <f t="shared" si="306"/>
        <v>0</v>
      </c>
      <c r="AB548" s="5">
        <f t="shared" si="307"/>
        <v>0</v>
      </c>
      <c r="AC548" s="5">
        <f t="shared" si="308"/>
        <v>0</v>
      </c>
      <c r="AD548" s="5">
        <f t="shared" si="309"/>
        <v>0</v>
      </c>
      <c r="AE548" s="5">
        <f t="shared" si="310"/>
        <v>33255.086071987476</v>
      </c>
      <c r="AF548" s="5">
        <f t="shared" si="311"/>
        <v>6295.574130881012</v>
      </c>
      <c r="AG548" s="5">
        <f t="shared" si="312"/>
        <v>0</v>
      </c>
      <c r="AH548" s="5">
        <f t="shared" si="313"/>
        <v>0</v>
      </c>
      <c r="AI548" s="5">
        <f t="shared" si="314"/>
        <v>0</v>
      </c>
      <c r="AJ548" s="5">
        <f t="shared" si="315"/>
        <v>0</v>
      </c>
      <c r="AK548" s="5">
        <f>IFERROR(SUM(X548:AJ548),-5000)*((Cockpit!$C$3)^0)</f>
        <v>34550.660202868487</v>
      </c>
      <c r="AL548" s="16">
        <f>INDEX('Team forecast'!$B$2:$AO$26,MATCH('Master data'!$B548,'Team forecast'!$B$2:$B$26,0),MATCH('Master data'!AL$1,'Team forecast'!$B$2:$AO$2,0))</f>
        <v>0.77817916464933856</v>
      </c>
      <c r="AM548" s="16">
        <f>INDEX('Team forecast'!$B$2:$AO$26,MATCH('Master data'!$B548,'Team forecast'!$B$2:$B$26,0),MATCH('Master data'!AM$1,'Team forecast'!$B$2:$AO$2,0))</f>
        <v>1.9080439968215523</v>
      </c>
      <c r="AN548" s="16">
        <f>INDEX('Team forecast'!$B$2:$AO$26,MATCH('Master data'!$B548,'Team forecast'!$B$2:$B$26,0),MATCH('Master data'!AN$1,'Team forecast'!$B$2:$AO$2,0))</f>
        <v>0.1483703157610558</v>
      </c>
      <c r="AO548" s="16">
        <f>INDEX('Team forecast'!$B$2:$AO$26,MATCH('Master data'!$B548,'Team forecast'!$B$2:$B$26,0),MATCH('Master data'!AO$1,'Team forecast'!$B$2:$AO$2,0))</f>
        <v>2.3345374939480159</v>
      </c>
      <c r="AP548" s="16">
        <f>INDEX('Team forecast'!$B$2:$AO$26,MATCH('Master data'!$B548,'Team forecast'!$B$2:$B$26,0),MATCH('Master data'!AP$1,'Team forecast'!$B$2:$AO$2,0))</f>
        <v>4.862063919611546</v>
      </c>
      <c r="AQ548" s="5">
        <f t="shared" si="316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317"/>
        <v>0</v>
      </c>
      <c r="AV548" s="5">
        <f t="shared" si="318"/>
        <v>0</v>
      </c>
      <c r="AW548" s="5">
        <f t="shared" si="319"/>
        <v>0</v>
      </c>
      <c r="AX548" s="5">
        <f t="shared" si="320"/>
        <v>11127.773682079185</v>
      </c>
      <c r="AY548" s="5">
        <f t="shared" si="321"/>
        <v>14770.099613949968</v>
      </c>
      <c r="AZ548" s="5">
        <f t="shared" si="322"/>
        <v>0</v>
      </c>
      <c r="BA548" s="5">
        <f t="shared" si="323"/>
        <v>0</v>
      </c>
      <c r="BB548" s="5">
        <f t="shared" si="324"/>
        <v>0</v>
      </c>
      <c r="BC548" s="5">
        <f t="shared" si="325"/>
        <v>0</v>
      </c>
      <c r="BD548" s="5">
        <f t="shared" si="326"/>
        <v>20897.873296029153</v>
      </c>
      <c r="BE548" s="16">
        <f>INDEX('Team forecast'!$B$2:$AO$26,MATCH('Master data'!$B548,'Team forecast'!$B$2:$B$26,0),MATCH('Master data'!BE$1,'Team forecast'!$B$2:$AO$2,0))</f>
        <v>1.2236898885407743</v>
      </c>
      <c r="BF548" s="16">
        <f>INDEX('Team forecast'!$B$2:$AO$26,MATCH('Master data'!$B548,'Team forecast'!$B$2:$B$26,0),MATCH('Master data'!BF$1,'Team forecast'!$B$2:$AO$2,0))</f>
        <v>1.2688103238212438</v>
      </c>
      <c r="BG548" s="16">
        <f>INDEX('Team forecast'!$B$2:$AO$26,MATCH('Master data'!$B548,'Team forecast'!$B$2:$B$26,0),MATCH('Master data'!BG$1,'Team forecast'!$B$2:$AO$2,0))</f>
        <v>0.28116591928251122</v>
      </c>
      <c r="BH548" s="16">
        <f>INDEX('Team forecast'!$B$2:$AO$26,MATCH('Master data'!$B548,'Team forecast'!$B$2:$B$26,0),MATCH('Master data'!BH$1,'Team forecast'!$B$2:$AO$2,0))</f>
        <v>3.6710696656223227</v>
      </c>
      <c r="BI548" s="16">
        <f>INDEX('Team forecast'!$B$2:$AO$26,MATCH('Master data'!$B548,'Team forecast'!$B$2:$B$26,0),MATCH('Master data'!BI$1,'Team forecast'!$B$2:$AO$2,0))</f>
        <v>3.2331732950384708</v>
      </c>
      <c r="BJ548" s="5">
        <f t="shared" si="327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328"/>
        <v>0</v>
      </c>
      <c r="BO548" s="5">
        <f t="shared" si="329"/>
        <v>0</v>
      </c>
      <c r="BP548" s="5">
        <f t="shared" si="330"/>
        <v>0</v>
      </c>
      <c r="BQ548" s="5">
        <f t="shared" si="331"/>
        <v>21087.443946188341</v>
      </c>
      <c r="BR548" s="5">
        <f t="shared" si="332"/>
        <v>9821.8148560861355</v>
      </c>
      <c r="BS548" s="5">
        <f t="shared" si="333"/>
        <v>0</v>
      </c>
      <c r="BT548" s="5">
        <f t="shared" si="334"/>
        <v>0</v>
      </c>
      <c r="BU548" s="5">
        <f t="shared" si="335"/>
        <v>0</v>
      </c>
      <c r="BV548" s="5">
        <f t="shared" si="336"/>
        <v>0</v>
      </c>
      <c r="BW548" s="5">
        <f t="shared" si="337"/>
        <v>25909.258802274475</v>
      </c>
      <c r="BX548" s="5">
        <f t="shared" si="338"/>
        <v>27119.264100390705</v>
      </c>
      <c r="BY548" s="5">
        <f t="shared" si="339"/>
        <v>81357.792301172114</v>
      </c>
      <c r="BZ548" s="5">
        <f>INDEX('Team forecast'!$R$3:$BH$26,MATCH($B548,'Team forecast'!$B$3:$B$26,0),MATCH(BZ$1,'Team forecast'!$R$2:$BH$2,0))*($BX548-(BY548+CH548)*0.01)</f>
        <v>-2451.089016590036</v>
      </c>
      <c r="CA548" s="5">
        <f>INDEX('Team forecast'!$R$3:$BH$26,MATCH($B548,'Team forecast'!$B$3:$B$26,0),MATCH(CA$1,'Team forecast'!$R$2:$BH$2,0))*($BX548-(BY548+BX548+CH548)*0.01)</f>
        <v>-1295.1603364654472</v>
      </c>
      <c r="CB548" s="5">
        <f>INDEX('Team forecast'!$R$3:$BH$26,MATCH($B548,'Team forecast'!$B$3:$B$26,0),MATCH(CB$1,'Team forecast'!$R$2:$BH$2,0))*($BX548-(BY548+BX548*2+CH548)*0.01)</f>
        <v>-671.40495450379763</v>
      </c>
      <c r="CC548" s="5">
        <f>INDEX('Team forecast'!$R$3:$BH$26,MATCH($B548,'Team forecast'!$B$3:$B$26,0),MATCH(CC$1,'Team forecast'!$R$2:$BH$2,0))*($BX548-(BY548+BX548*3+CH548)*0.01)</f>
        <v>-329.11697091099012</v>
      </c>
      <c r="CD548" s="5">
        <f>+AK548+BD548*Cockpit!$C$3+BW548*Cockpit!$C$3^2+BZ548*Cockpit!$C$3^3+CA548*Cockpit!$C$3^4+CB548*Cockpit!$C$3^5+CC548*Cockpit!$C$3^6</f>
        <v>58898.409991622888</v>
      </c>
      <c r="CE548" s="5"/>
      <c r="CF548" s="5"/>
      <c r="CG548" s="5">
        <v>0</v>
      </c>
      <c r="CH548" s="5">
        <f t="shared" si="340"/>
        <v>3000000</v>
      </c>
      <c r="CI548" s="5">
        <f t="shared" si="341"/>
        <v>3000000</v>
      </c>
      <c r="CJ548" s="1">
        <f t="shared" si="342"/>
        <v>2.7119264100390703E-2</v>
      </c>
      <c r="CK548" s="5">
        <f>RANK(BY548,$BY$2:$BY$623)+COUNTIF($BY$2:$BY548,$BY548)-1</f>
        <v>210</v>
      </c>
      <c r="CL548" s="5">
        <f>RANK(CJ548,$CJ$2:$CJ$623)+COUNTIF($CJ$2:$CJ548,$CJ548)-1</f>
        <v>180</v>
      </c>
    </row>
    <row r="549" spans="1:90">
      <c r="A549" t="str">
        <f>Players!P550</f>
        <v>Risto Jankov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2500000</v>
      </c>
      <c r="H549" s="16">
        <f>INDEX('Team forecast'!$B$2:$AO$26,MATCH('Master data'!$B549,'Team forecast'!$B$2:$B$26,0),MATCH('Master data'!H$1,'Team forecast'!$B$2:$AO$2,0))</f>
        <v>0.65653770483831209</v>
      </c>
      <c r="I549" s="16">
        <f>INDEX('Team forecast'!$B$2:$AO$26,MATCH('Master data'!$B549,'Team forecast'!$B$2:$B$26,0),MATCH('Master data'!I$1,'Team forecast'!$B$2:$AO$2,0))</f>
        <v>1.5562991347612565</v>
      </c>
      <c r="J549" s="16">
        <f>INDEX('Team forecast'!$B$2:$AO$26,MATCH('Master data'!$B549,'Team forecast'!$B$2:$B$26,0),MATCH('Master data'!J$1,'Team forecast'!$B$2:$AO$2,0))</f>
        <v>0.2109151973131822</v>
      </c>
      <c r="K549" s="16">
        <f>INDEX('Team forecast'!$B$2:$AO$26,MATCH('Master data'!$B549,'Team forecast'!$B$2:$B$26,0),MATCH('Master data'!K$1,'Team forecast'!$B$2:$AO$2,0))</f>
        <v>2.1553005461863779</v>
      </c>
      <c r="L549" s="16">
        <f>INDEX('Team forecast'!$B$2:$AO$26,MATCH('Master data'!$B549,'Team forecast'!$B$2:$B$26,0),MATCH('Master data'!L$1,'Team forecast'!$B$2:$AO$2,0))</f>
        <v>3.8246785340123335</v>
      </c>
      <c r="M549">
        <f>IF(Players!BC550=1,95,0)</f>
        <v>0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0.36205882352941177</v>
      </c>
      <c r="R549" s="2">
        <f>Players!BR550</f>
        <v>0</v>
      </c>
      <c r="S549" s="2">
        <f t="shared" si="301"/>
        <v>0.65653770483831209</v>
      </c>
      <c r="T549" s="2">
        <f t="shared" si="302"/>
        <v>1.5562991347612565</v>
      </c>
      <c r="U549" s="16">
        <f>INDEX('Team forecast'!$B$2:$AO$26,MATCH('Master data'!$B549,'Team forecast'!$B$2:$B$26,0),MATCH('Master data'!U$1,'Team forecast'!$B$2:$AO$2,0))</f>
        <v>0.15818639798488671</v>
      </c>
      <c r="V549" s="16">
        <f>INDEX('Team forecast'!$B$2:$AO$26,MATCH('Master data'!$B549,'Team forecast'!$B$2:$B$26,0),MATCH('Master data'!V$1,'Team forecast'!$B$2:$AO$2,0))</f>
        <v>0.23727959697733</v>
      </c>
      <c r="W549" s="16">
        <f>INDEX('Team forecast'!$B$2:$AO$26,MATCH('Master data'!$B549,'Team forecast'!$B$2:$B$26,0),MATCH('Master data'!W$1,'Team forecast'!$B$2:$AO$2,0))</f>
        <v>0.60453400503778332</v>
      </c>
      <c r="X549" s="5">
        <f t="shared" si="303"/>
        <v>-5000</v>
      </c>
      <c r="Y549" s="5">
        <f t="shared" si="304"/>
        <v>0</v>
      </c>
      <c r="Z549" s="5">
        <f t="shared" si="305"/>
        <v>0</v>
      </c>
      <c r="AA549" s="5">
        <f t="shared" si="306"/>
        <v>0</v>
      </c>
      <c r="AB549" s="5">
        <f t="shared" si="307"/>
        <v>0</v>
      </c>
      <c r="AC549" s="5">
        <f t="shared" si="308"/>
        <v>0</v>
      </c>
      <c r="AD549" s="5">
        <f t="shared" si="309"/>
        <v>0</v>
      </c>
      <c r="AE549" s="5">
        <f t="shared" si="310"/>
        <v>15818.639798488664</v>
      </c>
      <c r="AF549" s="5">
        <f t="shared" si="311"/>
        <v>11341.896996255386</v>
      </c>
      <c r="AG549" s="5">
        <f t="shared" si="312"/>
        <v>0</v>
      </c>
      <c r="AH549" s="5">
        <f t="shared" si="313"/>
        <v>0</v>
      </c>
      <c r="AI549" s="5">
        <f t="shared" si="314"/>
        <v>0</v>
      </c>
      <c r="AJ549" s="5">
        <f t="shared" si="315"/>
        <v>0</v>
      </c>
      <c r="AK549" s="5">
        <f>IFERROR(SUM(X549:AJ549),-5000)*((Cockpit!$C$3)^0)</f>
        <v>22160.53679474405</v>
      </c>
      <c r="AL549" s="16">
        <f>INDEX('Team forecast'!$B$2:$AO$26,MATCH('Master data'!$B549,'Team forecast'!$B$2:$B$26,0),MATCH('Master data'!AL$1,'Team forecast'!$B$2:$AO$2,0))</f>
        <v>0.76028648339757388</v>
      </c>
      <c r="AM549" s="16">
        <f>INDEX('Team forecast'!$B$2:$AO$26,MATCH('Master data'!$B549,'Team forecast'!$B$2:$B$26,0),MATCH('Master data'!AM$1,'Team forecast'!$B$2:$AO$2,0))</f>
        <v>1.5712166996139025</v>
      </c>
      <c r="AN549" s="16">
        <f>INDEX('Team forecast'!$B$2:$AO$26,MATCH('Master data'!$B549,'Team forecast'!$B$2:$B$26,0),MATCH('Master data'!AN$1,'Team forecast'!$B$2:$AO$2,0))</f>
        <v>0.20779220779220781</v>
      </c>
      <c r="AO549" s="16">
        <f>INDEX('Team forecast'!$B$2:$AO$26,MATCH('Master data'!$B549,'Team forecast'!$B$2:$B$26,0),MATCH('Master data'!AO$1,'Team forecast'!$B$2:$AO$2,0))</f>
        <v>2.4958899707496114</v>
      </c>
      <c r="AP549" s="16">
        <f>INDEX('Team forecast'!$B$2:$AO$26,MATCH('Master data'!$B549,'Team forecast'!$B$2:$B$26,0),MATCH('Master data'!AP$1,'Team forecast'!$B$2:$AO$2,0))</f>
        <v>3.8613391532964307</v>
      </c>
      <c r="AQ549" s="5">
        <f t="shared" si="316"/>
        <v>-5000</v>
      </c>
      <c r="AR549" s="5">
        <f>INDEX('Team forecast'!$B$2:$AO$26,MATCH('Master data'!$B549,'Team forecast'!$B$2:$B$26,0),MATCH('Master data'!AR$1,'Team forecast'!$B$2:$AO$2,0))*IF(X549&gt;0,25000,0)</f>
        <v>0</v>
      </c>
      <c r="AS549" s="16">
        <f>INDEX('Team forecast'!$B$2:$AO$26,MATCH('Master data'!$B549,'Team forecast'!$B$2:$B$26,0),MATCH('Master data'!AS$1,'Team forecast'!$B$2:$AO$2,0))*IF(X549&gt;0,5000,0)</f>
        <v>0</v>
      </c>
      <c r="AT549" s="16">
        <f>INDEX('Team forecast'!$B$2:$AO$26,MATCH('Master data'!$B549,'Team forecast'!$B$2:$B$26,0),MATCH('Master data'!AT$1,'Team forecast'!$B$2:$AO$2,0))*IF(X549&gt;0,-15000,0)</f>
        <v>0</v>
      </c>
      <c r="AU549" s="5">
        <f t="shared" si="317"/>
        <v>0</v>
      </c>
      <c r="AV549" s="5">
        <f t="shared" si="318"/>
        <v>0</v>
      </c>
      <c r="AW549" s="5">
        <f t="shared" si="319"/>
        <v>0</v>
      </c>
      <c r="AX549" s="5">
        <f t="shared" si="320"/>
        <v>15584.415584415585</v>
      </c>
      <c r="AY549" s="5">
        <f t="shared" si="321"/>
        <v>11450.61226841264</v>
      </c>
      <c r="AZ549" s="5">
        <f t="shared" si="322"/>
        <v>0</v>
      </c>
      <c r="BA549" s="5">
        <f t="shared" si="323"/>
        <v>0</v>
      </c>
      <c r="BB549" s="5">
        <f t="shared" si="324"/>
        <v>0</v>
      </c>
      <c r="BC549" s="5">
        <f t="shared" si="325"/>
        <v>0</v>
      </c>
      <c r="BD549" s="5">
        <f t="shared" si="326"/>
        <v>22035.027852828225</v>
      </c>
      <c r="BE549" s="16">
        <f>INDEX('Team forecast'!$B$2:$AO$26,MATCH('Master data'!$B549,'Team forecast'!$B$2:$B$26,0),MATCH('Master data'!BE$1,'Team forecast'!$B$2:$AO$2,0))</f>
        <v>0.49102780480244929</v>
      </c>
      <c r="BF549" s="16">
        <f>INDEX('Team forecast'!$B$2:$AO$26,MATCH('Master data'!$B549,'Team forecast'!$B$2:$B$26,0),MATCH('Master data'!BF$1,'Team forecast'!$B$2:$AO$2,0))</f>
        <v>2.3683451623921505</v>
      </c>
      <c r="BG549" s="16">
        <f>INDEX('Team forecast'!$B$2:$AO$26,MATCH('Master data'!$B549,'Team forecast'!$B$2:$B$26,0),MATCH('Master data'!BG$1,'Team forecast'!$B$2:$AO$2,0))</f>
        <v>9.3635549768047527E-2</v>
      </c>
      <c r="BH549" s="16">
        <f>INDEX('Team forecast'!$B$2:$AO$26,MATCH('Master data'!$B549,'Team forecast'!$B$2:$B$26,0),MATCH('Master data'!BH$1,'Team forecast'!$B$2:$AO$2,0))</f>
        <v>1.6119599652605658</v>
      </c>
      <c r="BI549" s="16">
        <f>INDEX('Team forecast'!$B$2:$AO$26,MATCH('Master data'!$B549,'Team forecast'!$B$2:$B$26,0),MATCH('Master data'!BI$1,'Team forecast'!$B$2:$AO$2,0))</f>
        <v>5.8203199509731629</v>
      </c>
      <c r="BJ549" s="5">
        <f t="shared" si="327"/>
        <v>-5000</v>
      </c>
      <c r="BK549" s="5">
        <f>INDEX('Team forecast'!$R$3:$BH$26,MATCH($B549,'Team forecast'!$B$3:$B$26,0),MATCH(BK$1,'Team forecast'!$R$2:$BH$2,0))*IF($X549&gt;0,25000,0)</f>
        <v>0</v>
      </c>
      <c r="BL549" s="5">
        <f>INDEX('Team forecast'!$R$3:$BH$26,MATCH($B549,'Team forecast'!$B$3:$B$26,0),MATCH(BL$1,'Team forecast'!$R$2:$BH$2,0))*IF($X549&gt;0,5000,0)</f>
        <v>0</v>
      </c>
      <c r="BM549" s="5">
        <f>INDEX('Team forecast'!$R$3:$BH$26,MATCH($B549,'Team forecast'!$B$3:$B$26,0),MATCH(BM$1,'Team forecast'!$R$2:$BH$2,0))*IF($X549&gt;0,-15000,0)</f>
        <v>0</v>
      </c>
      <c r="BN549" s="5">
        <f t="shared" si="328"/>
        <v>0</v>
      </c>
      <c r="BO549" s="5">
        <f t="shared" si="329"/>
        <v>0</v>
      </c>
      <c r="BP549" s="5">
        <f t="shared" si="330"/>
        <v>0</v>
      </c>
      <c r="BQ549" s="5">
        <f t="shared" si="331"/>
        <v>7022.6662326035648</v>
      </c>
      <c r="BR549" s="5">
        <f t="shared" si="332"/>
        <v>17259.873942905062</v>
      </c>
      <c r="BS549" s="5">
        <f t="shared" si="333"/>
        <v>0</v>
      </c>
      <c r="BT549" s="5">
        <f t="shared" si="334"/>
        <v>0</v>
      </c>
      <c r="BU549" s="5">
        <f t="shared" si="335"/>
        <v>0</v>
      </c>
      <c r="BV549" s="5">
        <f t="shared" si="336"/>
        <v>0</v>
      </c>
      <c r="BW549" s="5">
        <f t="shared" si="337"/>
        <v>19282.540175508628</v>
      </c>
      <c r="BX549" s="5">
        <f t="shared" si="338"/>
        <v>21159.368274360302</v>
      </c>
      <c r="BY549" s="5">
        <f t="shared" si="339"/>
        <v>63478.10482308091</v>
      </c>
      <c r="BZ549" s="5">
        <f>INDEX('Team forecast'!$R$3:$BH$26,MATCH($B549,'Team forecast'!$B$3:$B$26,0),MATCH(BZ$1,'Team forecast'!$R$2:$BH$2,0))*($BX549-(BY549+CH549)*0.01)</f>
        <v>-1135.7685419268116</v>
      </c>
      <c r="CA549" s="5">
        <f>INDEX('Team forecast'!$R$3:$BH$26,MATCH($B549,'Team forecast'!$B$3:$B$26,0),MATCH(CA$1,'Team forecast'!$R$2:$BH$2,0))*($BX549-(BY549+BX549+CH549)*0.01)</f>
        <v>-583.69156051275331</v>
      </c>
      <c r="CB549" s="5">
        <f>INDEX('Team forecast'!$R$3:$BH$26,MATCH($B549,'Team forecast'!$B$3:$B$26,0),MATCH(CB$1,'Team forecast'!$R$2:$BH$2,0))*($BX549-(BY549+BX549*2+CH549)*0.01)</f>
        <v>-294.15965006950347</v>
      </c>
      <c r="CC549" s="5">
        <f>INDEX('Team forecast'!$R$3:$BH$26,MATCH($B549,'Team forecast'!$B$3:$B$26,0),MATCH(CC$1,'Team forecast'!$R$2:$BH$2,0))*($BX549-(BY549+BX549*3+CH549)*0.01)</f>
        <v>-138.82240211134152</v>
      </c>
      <c r="CD549" s="5">
        <f>+AK549+BD549*Cockpit!$C$3+BW549*Cockpit!$C$3^2+BZ549*Cockpit!$C$3^3+CA549*Cockpit!$C$3^4+CB549*Cockpit!$C$3^5+CC549*Cockpit!$C$3^6</f>
        <v>44917.827608773521</v>
      </c>
      <c r="CE549" s="5"/>
      <c r="CF549" s="5"/>
      <c r="CG549" s="5">
        <v>0</v>
      </c>
      <c r="CH549" s="5">
        <f t="shared" si="340"/>
        <v>2500000</v>
      </c>
      <c r="CI549" s="5">
        <f t="shared" si="341"/>
        <v>2500000</v>
      </c>
      <c r="CJ549" s="1">
        <f t="shared" si="342"/>
        <v>2.5391241929232363E-2</v>
      </c>
      <c r="CK549" s="5">
        <f>RANK(BY549,$BY$2:$BY$623)+COUNTIF($BY$2:$BY549,$BY549)-1</f>
        <v>255</v>
      </c>
      <c r="CL549" s="5">
        <f>RANK(CJ549,$CJ$2:$CJ$623)+COUNTIF($CJ$2:$CJ549,$CJ549)-1</f>
        <v>203</v>
      </c>
    </row>
    <row r="550" spans="1:90">
      <c r="A550" t="str">
        <f>Players!P551</f>
        <v>Stole Dimitrievski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3000000</v>
      </c>
      <c r="H550" s="16">
        <f>INDEX('Team forecast'!$B$2:$AO$26,MATCH('Master data'!$B550,'Team forecast'!$B$2:$B$26,0),MATCH('Master data'!H$1,'Team forecast'!$B$2:$AO$2,0))</f>
        <v>0.65653770483831209</v>
      </c>
      <c r="I550" s="16">
        <f>INDEX('Team forecast'!$B$2:$AO$26,MATCH('Master data'!$B550,'Team forecast'!$B$2:$B$26,0),MATCH('Master data'!I$1,'Team forecast'!$B$2:$AO$2,0))</f>
        <v>1.5562991347612565</v>
      </c>
      <c r="J550" s="16">
        <f>INDEX('Team forecast'!$B$2:$AO$26,MATCH('Master data'!$B550,'Team forecast'!$B$2:$B$26,0),MATCH('Master data'!J$1,'Team forecast'!$B$2:$AO$2,0))</f>
        <v>0.2109151973131822</v>
      </c>
      <c r="K550" s="16">
        <f>INDEX('Team forecast'!$B$2:$AO$26,MATCH('Master data'!$B550,'Team forecast'!$B$2:$B$26,0),MATCH('Master data'!K$1,'Team forecast'!$B$2:$AO$2,0))</f>
        <v>2.1553005461863779</v>
      </c>
      <c r="L550" s="16">
        <f>INDEX('Team forecast'!$B$2:$AO$26,MATCH('Master data'!$B550,'Team forecast'!$B$2:$B$26,0),MATCH('Master data'!L$1,'Team forecast'!$B$2:$AO$2,0))</f>
        <v>3.8246785340123335</v>
      </c>
      <c r="M550">
        <f>IF(Players!BC551=1,95,0)</f>
        <v>95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0.04</v>
      </c>
      <c r="R550" s="2">
        <f>Players!BR551</f>
        <v>0</v>
      </c>
      <c r="S550" s="2">
        <f t="shared" si="301"/>
        <v>0.65653770483831209</v>
      </c>
      <c r="T550" s="2">
        <f t="shared" si="302"/>
        <v>1.5562991347612565</v>
      </c>
      <c r="U550" s="16">
        <f>INDEX('Team forecast'!$B$2:$AO$26,MATCH('Master data'!$B550,'Team forecast'!$B$2:$B$26,0),MATCH('Master data'!U$1,'Team forecast'!$B$2:$AO$2,0))</f>
        <v>0.15818639798488671</v>
      </c>
      <c r="V550" s="16">
        <f>INDEX('Team forecast'!$B$2:$AO$26,MATCH('Master data'!$B550,'Team forecast'!$B$2:$B$26,0),MATCH('Master data'!V$1,'Team forecast'!$B$2:$AO$2,0))</f>
        <v>0.23727959697733</v>
      </c>
      <c r="W550" s="16">
        <f>INDEX('Team forecast'!$B$2:$AO$26,MATCH('Master data'!$B550,'Team forecast'!$B$2:$B$26,0),MATCH('Master data'!W$1,'Team forecast'!$B$2:$AO$2,0))</f>
        <v>0.60453400503778332</v>
      </c>
      <c r="X550" s="5">
        <f t="shared" si="303"/>
        <v>7000</v>
      </c>
      <c r="Y550" s="5">
        <f t="shared" si="304"/>
        <v>3954.6599496221675</v>
      </c>
      <c r="Z550" s="5">
        <f t="shared" si="305"/>
        <v>1186.39798488665</v>
      </c>
      <c r="AA550" s="5">
        <f t="shared" si="306"/>
        <v>-9068.0100755667499</v>
      </c>
      <c r="AB550" s="5">
        <f t="shared" si="307"/>
        <v>0</v>
      </c>
      <c r="AC550" s="5">
        <f t="shared" si="308"/>
        <v>0</v>
      </c>
      <c r="AD550" s="5">
        <f t="shared" si="309"/>
        <v>0</v>
      </c>
      <c r="AE550" s="5">
        <f t="shared" si="310"/>
        <v>15818.639798488664</v>
      </c>
      <c r="AF550" s="5">
        <f t="shared" si="311"/>
        <v>11341.896996255386</v>
      </c>
      <c r="AG550" s="5">
        <f t="shared" si="312"/>
        <v>-800</v>
      </c>
      <c r="AH550" s="5">
        <f t="shared" si="313"/>
        <v>0</v>
      </c>
      <c r="AI550" s="5">
        <f t="shared" si="314"/>
        <v>6565.3770483831213</v>
      </c>
      <c r="AJ550" s="5">
        <f t="shared" si="315"/>
        <v>-12450.393078090052</v>
      </c>
      <c r="AK550" s="5">
        <f>IFERROR(SUM(X550:AJ550),-5000)*((Cockpit!$C$3)^0)</f>
        <v>23548.568623979187</v>
      </c>
      <c r="AL550" s="16">
        <f>INDEX('Team forecast'!$B$2:$AO$26,MATCH('Master data'!$B550,'Team forecast'!$B$2:$B$26,0),MATCH('Master data'!AL$1,'Team forecast'!$B$2:$AO$2,0))</f>
        <v>0.76028648339757388</v>
      </c>
      <c r="AM550" s="16">
        <f>INDEX('Team forecast'!$B$2:$AO$26,MATCH('Master data'!$B550,'Team forecast'!$B$2:$B$26,0),MATCH('Master data'!AM$1,'Team forecast'!$B$2:$AO$2,0))</f>
        <v>1.5712166996139025</v>
      </c>
      <c r="AN550" s="16">
        <f>INDEX('Team forecast'!$B$2:$AO$26,MATCH('Master data'!$B550,'Team forecast'!$B$2:$B$26,0),MATCH('Master data'!AN$1,'Team forecast'!$B$2:$AO$2,0))</f>
        <v>0.20779220779220781</v>
      </c>
      <c r="AO550" s="16">
        <f>INDEX('Team forecast'!$B$2:$AO$26,MATCH('Master data'!$B550,'Team forecast'!$B$2:$B$26,0),MATCH('Master data'!AO$1,'Team forecast'!$B$2:$AO$2,0))</f>
        <v>2.4958899707496114</v>
      </c>
      <c r="AP550" s="16">
        <f>INDEX('Team forecast'!$B$2:$AO$26,MATCH('Master data'!$B550,'Team forecast'!$B$2:$B$26,0),MATCH('Master data'!AP$1,'Team forecast'!$B$2:$AO$2,0))</f>
        <v>3.8613391532964307</v>
      </c>
      <c r="AQ550" s="5">
        <f t="shared" si="316"/>
        <v>7000</v>
      </c>
      <c r="AR550" s="5">
        <f>INDEX('Team forecast'!$B$2:$AO$26,MATCH('Master data'!$B550,'Team forecast'!$B$2:$B$26,0),MATCH('Master data'!AR$1,'Team forecast'!$B$2:$AO$2,0))*IF(X550&gt;0,25000,0)</f>
        <v>3896.1038961038953</v>
      </c>
      <c r="AS550" s="16">
        <f>INDEX('Team forecast'!$B$2:$AO$26,MATCH('Master data'!$B550,'Team forecast'!$B$2:$B$26,0),MATCH('Master data'!AS$1,'Team forecast'!$B$2:$AO$2,0))*IF(X550&gt;0,5000,0)</f>
        <v>1298.7012987012986</v>
      </c>
      <c r="AT550" s="16">
        <f>INDEX('Team forecast'!$B$2:$AO$26,MATCH('Master data'!$B550,'Team forecast'!$B$2:$B$26,0),MATCH('Master data'!AT$1,'Team forecast'!$B$2:$AO$2,0))*IF(X550&gt;0,-15000,0)</f>
        <v>-8766.233766233765</v>
      </c>
      <c r="AU550" s="5">
        <f t="shared" si="317"/>
        <v>0</v>
      </c>
      <c r="AV550" s="5">
        <f t="shared" si="318"/>
        <v>0</v>
      </c>
      <c r="AW550" s="5">
        <f t="shared" si="319"/>
        <v>0</v>
      </c>
      <c r="AX550" s="5">
        <f t="shared" si="320"/>
        <v>15584.415584415585</v>
      </c>
      <c r="AY550" s="5">
        <f t="shared" si="321"/>
        <v>11450.61226841264</v>
      </c>
      <c r="AZ550" s="5">
        <f t="shared" si="322"/>
        <v>-800</v>
      </c>
      <c r="BA550" s="5">
        <f t="shared" si="323"/>
        <v>0</v>
      </c>
      <c r="BB550" s="5">
        <f t="shared" si="324"/>
        <v>7602.8648339757392</v>
      </c>
      <c r="BC550" s="5">
        <f t="shared" si="325"/>
        <v>-12569.733596911221</v>
      </c>
      <c r="BD550" s="5">
        <f t="shared" si="326"/>
        <v>24696.730518464177</v>
      </c>
      <c r="BE550" s="16">
        <f>INDEX('Team forecast'!$B$2:$AO$26,MATCH('Master data'!$B550,'Team forecast'!$B$2:$B$26,0),MATCH('Master data'!BE$1,'Team forecast'!$B$2:$AO$2,0))</f>
        <v>0.49102780480244929</v>
      </c>
      <c r="BF550" s="16">
        <f>INDEX('Team forecast'!$B$2:$AO$26,MATCH('Master data'!$B550,'Team forecast'!$B$2:$B$26,0),MATCH('Master data'!BF$1,'Team forecast'!$B$2:$AO$2,0))</f>
        <v>2.3683451623921505</v>
      </c>
      <c r="BG550" s="16">
        <f>INDEX('Team forecast'!$B$2:$AO$26,MATCH('Master data'!$B550,'Team forecast'!$B$2:$B$26,0),MATCH('Master data'!BG$1,'Team forecast'!$B$2:$AO$2,0))</f>
        <v>9.3635549768047527E-2</v>
      </c>
      <c r="BH550" s="16">
        <f>INDEX('Team forecast'!$B$2:$AO$26,MATCH('Master data'!$B550,'Team forecast'!$B$2:$B$26,0),MATCH('Master data'!BH$1,'Team forecast'!$B$2:$AO$2,0))</f>
        <v>1.6119599652605658</v>
      </c>
      <c r="BI550" s="16">
        <f>INDEX('Team forecast'!$B$2:$AO$26,MATCH('Master data'!$B550,'Team forecast'!$B$2:$B$26,0),MATCH('Master data'!BI$1,'Team forecast'!$B$2:$AO$2,0))</f>
        <v>5.8203199509731629</v>
      </c>
      <c r="BJ550" s="5">
        <f t="shared" si="327"/>
        <v>7000</v>
      </c>
      <c r="BK550" s="5">
        <f>INDEX('Team forecast'!$R$3:$BH$26,MATCH($B550,'Team forecast'!$B$3:$B$26,0),MATCH(BK$1,'Team forecast'!$R$2:$BH$2,0))*IF($X550&gt;0,25000,0)</f>
        <v>1560.5924961341254</v>
      </c>
      <c r="BL550" s="5">
        <f>INDEX('Team forecast'!$R$3:$BH$26,MATCH($B550,'Team forecast'!$B$3:$B$26,0),MATCH(BL$1,'Team forecast'!$R$2:$BH$2,0))*IF($X550&gt;0,5000,0)</f>
        <v>720.27345975421156</v>
      </c>
      <c r="BM550" s="5">
        <f>INDEX('Team forecast'!$R$3:$BH$26,MATCH($B550,'Team forecast'!$B$3:$B$26,0),MATCH(BM$1,'Team forecast'!$R$2:$BH$2,0))*IF($X550&gt;0,-15000,0)</f>
        <v>-11902.824123056889</v>
      </c>
      <c r="BN550" s="5">
        <f t="shared" si="328"/>
        <v>0</v>
      </c>
      <c r="BO550" s="5">
        <f t="shared" si="329"/>
        <v>0</v>
      </c>
      <c r="BP550" s="5">
        <f t="shared" si="330"/>
        <v>0</v>
      </c>
      <c r="BQ550" s="5">
        <f t="shared" si="331"/>
        <v>7022.6662326035648</v>
      </c>
      <c r="BR550" s="5">
        <f t="shared" si="332"/>
        <v>17259.873942905062</v>
      </c>
      <c r="BS550" s="5">
        <f t="shared" si="333"/>
        <v>-800</v>
      </c>
      <c r="BT550" s="5">
        <f t="shared" si="334"/>
        <v>0</v>
      </c>
      <c r="BU550" s="5">
        <f t="shared" si="335"/>
        <v>4910.2780480244928</v>
      </c>
      <c r="BV550" s="5">
        <f t="shared" si="336"/>
        <v>-18946.761299137204</v>
      </c>
      <c r="BW550" s="5">
        <f t="shared" si="337"/>
        <v>6824.0987572273625</v>
      </c>
      <c r="BX550" s="5">
        <f t="shared" si="338"/>
        <v>18356.465966556909</v>
      </c>
      <c r="BY550" s="5">
        <f t="shared" si="339"/>
        <v>55069.39789967073</v>
      </c>
      <c r="BZ550" s="5">
        <f>INDEX('Team forecast'!$R$3:$BH$26,MATCH($B550,'Team forecast'!$B$3:$B$26,0),MATCH(BZ$1,'Team forecast'!$R$2:$BH$2,0))*($BX550-(BY550+CH550)*0.01)</f>
        <v>-3094.6465207574547</v>
      </c>
      <c r="CA550" s="5">
        <f>INDEX('Team forecast'!$R$3:$BH$26,MATCH($B550,'Team forecast'!$B$3:$B$26,0),MATCH(CA$1,'Team forecast'!$R$2:$BH$2,0))*($BX550-(BY550+BX550+CH550)*0.01)</f>
        <v>-1541.4557644334254</v>
      </c>
      <c r="CB550" s="5">
        <f>INDEX('Team forecast'!$R$3:$BH$26,MATCH($B550,'Team forecast'!$B$3:$B$26,0),MATCH(CB$1,'Team forecast'!$R$2:$BH$2,0))*($BX550-(BY550+BX550*2+CH550)*0.01)</f>
        <v>-754.30620422025515</v>
      </c>
      <c r="CC550" s="5">
        <f>INDEX('Team forecast'!$R$3:$BH$26,MATCH($B550,'Team forecast'!$B$3:$B$26,0),MATCH(CC$1,'Team forecast'!$R$2:$BH$2,0))*($BX550-(BY550+BX550*3+CH550)*0.01)</f>
        <v>-346.2257493875934</v>
      </c>
      <c r="CD550" s="5">
        <f>+AK550+BD550*Cockpit!$C$3+BW550*Cockpit!$C$3^2+BZ550*Cockpit!$C$3^3+CA550*Cockpit!$C$3^4+CB550*Cockpit!$C$3^5+CC550*Cockpit!$C$3^6</f>
        <v>41694.842845086576</v>
      </c>
      <c r="CE550" s="5"/>
      <c r="CF550" s="5"/>
      <c r="CG550" s="5">
        <v>0</v>
      </c>
      <c r="CH550" s="5">
        <f t="shared" si="340"/>
        <v>3000000</v>
      </c>
      <c r="CI550" s="5">
        <f t="shared" si="341"/>
        <v>3000000</v>
      </c>
      <c r="CJ550" s="1">
        <f t="shared" si="342"/>
        <v>1.835646596655691E-2</v>
      </c>
      <c r="CK550" s="5">
        <f>RANK(BY550,$BY$2:$BY$623)+COUNTIF($BY$2:$BY550,$BY550)-1</f>
        <v>287</v>
      </c>
      <c r="CL550" s="5">
        <f>RANK(CJ550,$CJ$2:$CJ$623)+COUNTIF($CJ$2:$CJ550,$CJ550)-1</f>
        <v>274</v>
      </c>
    </row>
    <row r="551" spans="1:90">
      <c r="A551" t="str">
        <f>Players!P552</f>
        <v>Damjan Shishkovski</v>
      </c>
      <c r="B551" t="str">
        <f>Players!G552</f>
        <v>North Macedonia</v>
      </c>
      <c r="C551" t="str">
        <f>Players!AB552</f>
        <v>Goalkeeper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2500000</v>
      </c>
      <c r="H551" s="16">
        <f>INDEX('Team forecast'!$B$2:$AO$26,MATCH('Master data'!$B551,'Team forecast'!$B$2:$B$26,0),MATCH('Master data'!H$1,'Team forecast'!$B$2:$AO$2,0))</f>
        <v>0.65653770483831209</v>
      </c>
      <c r="I551" s="16">
        <f>INDEX('Team forecast'!$B$2:$AO$26,MATCH('Master data'!$B551,'Team forecast'!$B$2:$B$26,0),MATCH('Master data'!I$1,'Team forecast'!$B$2:$AO$2,0))</f>
        <v>1.5562991347612565</v>
      </c>
      <c r="J551" s="16">
        <f>INDEX('Team forecast'!$B$2:$AO$26,MATCH('Master data'!$B551,'Team forecast'!$B$2:$B$26,0),MATCH('Master data'!J$1,'Team forecast'!$B$2:$AO$2,0))</f>
        <v>0.2109151973131822</v>
      </c>
      <c r="K551" s="16">
        <f>INDEX('Team forecast'!$B$2:$AO$26,MATCH('Master data'!$B551,'Team forecast'!$B$2:$B$26,0),MATCH('Master data'!K$1,'Team forecast'!$B$2:$AO$2,0))</f>
        <v>2.1553005461863779</v>
      </c>
      <c r="L551" s="16">
        <f>INDEX('Team forecast'!$B$2:$AO$26,MATCH('Master data'!$B551,'Team forecast'!$B$2:$B$26,0),MATCH('Master data'!L$1,'Team forecast'!$B$2:$AO$2,0))</f>
        <v>3.8246785340123335</v>
      </c>
      <c r="M551">
        <f>IF(Players!BC552=1,95,0)</f>
        <v>0</v>
      </c>
      <c r="N551" s="2">
        <f>Players!BN552</f>
        <v>0</v>
      </c>
      <c r="O551" s="2">
        <f>Players!BO552</f>
        <v>0</v>
      </c>
      <c r="P551" s="2">
        <f>Players!BP552</f>
        <v>0</v>
      </c>
      <c r="Q551" s="2">
        <f>Players!BQ552</f>
        <v>0</v>
      </c>
      <c r="R551" s="2">
        <f>Players!BR552</f>
        <v>0</v>
      </c>
      <c r="S551" s="2">
        <f t="shared" si="301"/>
        <v>0.65653770483831209</v>
      </c>
      <c r="T551" s="2">
        <f t="shared" si="302"/>
        <v>1.5562991347612565</v>
      </c>
      <c r="U551" s="16">
        <f>INDEX('Team forecast'!$B$2:$AO$26,MATCH('Master data'!$B551,'Team forecast'!$B$2:$B$26,0),MATCH('Master data'!U$1,'Team forecast'!$B$2:$AO$2,0))</f>
        <v>0.15818639798488671</v>
      </c>
      <c r="V551" s="16">
        <f>INDEX('Team forecast'!$B$2:$AO$26,MATCH('Master data'!$B551,'Team forecast'!$B$2:$B$26,0),MATCH('Master data'!V$1,'Team forecast'!$B$2:$AO$2,0))</f>
        <v>0.23727959697733</v>
      </c>
      <c r="W551" s="16">
        <f>INDEX('Team forecast'!$B$2:$AO$26,MATCH('Master data'!$B551,'Team forecast'!$B$2:$B$26,0),MATCH('Master data'!W$1,'Team forecast'!$B$2:$AO$2,0))</f>
        <v>0.60453400503778332</v>
      </c>
      <c r="X551" s="5">
        <f t="shared" si="303"/>
        <v>-5000</v>
      </c>
      <c r="Y551" s="5">
        <f t="shared" si="304"/>
        <v>0</v>
      </c>
      <c r="Z551" s="5">
        <f t="shared" si="305"/>
        <v>0</v>
      </c>
      <c r="AA551" s="5">
        <f t="shared" si="306"/>
        <v>0</v>
      </c>
      <c r="AB551" s="5">
        <f t="shared" si="307"/>
        <v>0</v>
      </c>
      <c r="AC551" s="5">
        <f t="shared" si="308"/>
        <v>0</v>
      </c>
      <c r="AD551" s="5">
        <f t="shared" si="309"/>
        <v>0</v>
      </c>
      <c r="AE551" s="5">
        <f t="shared" si="310"/>
        <v>15818.639798488664</v>
      </c>
      <c r="AF551" s="5">
        <f t="shared" si="311"/>
        <v>11341.896996255386</v>
      </c>
      <c r="AG551" s="5">
        <f t="shared" si="312"/>
        <v>0</v>
      </c>
      <c r="AH551" s="5">
        <f t="shared" si="313"/>
        <v>0</v>
      </c>
      <c r="AI551" s="5">
        <f t="shared" si="314"/>
        <v>0</v>
      </c>
      <c r="AJ551" s="5">
        <f t="shared" si="315"/>
        <v>0</v>
      </c>
      <c r="AK551" s="5">
        <f>IFERROR(SUM(X551:AJ551),-5000)*((Cockpit!$C$3)^0)</f>
        <v>22160.53679474405</v>
      </c>
      <c r="AL551" s="16">
        <f>INDEX('Team forecast'!$B$2:$AO$26,MATCH('Master data'!$B551,'Team forecast'!$B$2:$B$26,0),MATCH('Master data'!AL$1,'Team forecast'!$B$2:$AO$2,0))</f>
        <v>0.76028648339757388</v>
      </c>
      <c r="AM551" s="16">
        <f>INDEX('Team forecast'!$B$2:$AO$26,MATCH('Master data'!$B551,'Team forecast'!$B$2:$B$26,0),MATCH('Master data'!AM$1,'Team forecast'!$B$2:$AO$2,0))</f>
        <v>1.5712166996139025</v>
      </c>
      <c r="AN551" s="16">
        <f>INDEX('Team forecast'!$B$2:$AO$26,MATCH('Master data'!$B551,'Team forecast'!$B$2:$B$26,0),MATCH('Master data'!AN$1,'Team forecast'!$B$2:$AO$2,0))</f>
        <v>0.20779220779220781</v>
      </c>
      <c r="AO551" s="16">
        <f>INDEX('Team forecast'!$B$2:$AO$26,MATCH('Master data'!$B551,'Team forecast'!$B$2:$B$26,0),MATCH('Master data'!AO$1,'Team forecast'!$B$2:$AO$2,0))</f>
        <v>2.4958899707496114</v>
      </c>
      <c r="AP551" s="16">
        <f>INDEX('Team forecast'!$B$2:$AO$26,MATCH('Master data'!$B551,'Team forecast'!$B$2:$B$26,0),MATCH('Master data'!AP$1,'Team forecast'!$B$2:$AO$2,0))</f>
        <v>3.8613391532964307</v>
      </c>
      <c r="AQ551" s="5">
        <f t="shared" si="316"/>
        <v>-5000</v>
      </c>
      <c r="AR551" s="5">
        <f>INDEX('Team forecast'!$B$2:$AO$26,MATCH('Master data'!$B551,'Team forecast'!$B$2:$B$26,0),MATCH('Master data'!AR$1,'Team forecast'!$B$2:$AO$2,0))*IF(X551&gt;0,25000,0)</f>
        <v>0</v>
      </c>
      <c r="AS551" s="16">
        <f>INDEX('Team forecast'!$B$2:$AO$26,MATCH('Master data'!$B551,'Team forecast'!$B$2:$B$26,0),MATCH('Master data'!AS$1,'Team forecast'!$B$2:$AO$2,0))*IF(X551&gt;0,5000,0)</f>
        <v>0</v>
      </c>
      <c r="AT551" s="16">
        <f>INDEX('Team forecast'!$B$2:$AO$26,MATCH('Master data'!$B551,'Team forecast'!$B$2:$B$26,0),MATCH('Master data'!AT$1,'Team forecast'!$B$2:$AO$2,0))*IF(X551&gt;0,-15000,0)</f>
        <v>0</v>
      </c>
      <c r="AU551" s="5">
        <f t="shared" si="317"/>
        <v>0</v>
      </c>
      <c r="AV551" s="5">
        <f t="shared" si="318"/>
        <v>0</v>
      </c>
      <c r="AW551" s="5">
        <f t="shared" si="319"/>
        <v>0</v>
      </c>
      <c r="AX551" s="5">
        <f t="shared" si="320"/>
        <v>15584.415584415585</v>
      </c>
      <c r="AY551" s="5">
        <f t="shared" si="321"/>
        <v>11450.61226841264</v>
      </c>
      <c r="AZ551" s="5">
        <f t="shared" si="322"/>
        <v>0</v>
      </c>
      <c r="BA551" s="5">
        <f t="shared" si="323"/>
        <v>0</v>
      </c>
      <c r="BB551" s="5">
        <f t="shared" si="324"/>
        <v>0</v>
      </c>
      <c r="BC551" s="5">
        <f t="shared" si="325"/>
        <v>0</v>
      </c>
      <c r="BD551" s="5">
        <f t="shared" si="326"/>
        <v>22035.027852828225</v>
      </c>
      <c r="BE551" s="16">
        <f>INDEX('Team forecast'!$B$2:$AO$26,MATCH('Master data'!$B551,'Team forecast'!$B$2:$B$26,0),MATCH('Master data'!BE$1,'Team forecast'!$B$2:$AO$2,0))</f>
        <v>0.49102780480244929</v>
      </c>
      <c r="BF551" s="16">
        <f>INDEX('Team forecast'!$B$2:$AO$26,MATCH('Master data'!$B551,'Team forecast'!$B$2:$B$26,0),MATCH('Master data'!BF$1,'Team forecast'!$B$2:$AO$2,0))</f>
        <v>2.3683451623921505</v>
      </c>
      <c r="BG551" s="16">
        <f>INDEX('Team forecast'!$B$2:$AO$26,MATCH('Master data'!$B551,'Team forecast'!$B$2:$B$26,0),MATCH('Master data'!BG$1,'Team forecast'!$B$2:$AO$2,0))</f>
        <v>9.3635549768047527E-2</v>
      </c>
      <c r="BH551" s="16">
        <f>INDEX('Team forecast'!$B$2:$AO$26,MATCH('Master data'!$B551,'Team forecast'!$B$2:$B$26,0),MATCH('Master data'!BH$1,'Team forecast'!$B$2:$AO$2,0))</f>
        <v>1.6119599652605658</v>
      </c>
      <c r="BI551" s="16">
        <f>INDEX('Team forecast'!$B$2:$AO$26,MATCH('Master data'!$B551,'Team forecast'!$B$2:$B$26,0),MATCH('Master data'!BI$1,'Team forecast'!$B$2:$AO$2,0))</f>
        <v>5.8203199509731629</v>
      </c>
      <c r="BJ551" s="5">
        <f t="shared" si="327"/>
        <v>-5000</v>
      </c>
      <c r="BK551" s="5">
        <f>INDEX('Team forecast'!$R$3:$BH$26,MATCH($B551,'Team forecast'!$B$3:$B$26,0),MATCH(BK$1,'Team forecast'!$R$2:$BH$2,0))*IF($X551&gt;0,25000,0)</f>
        <v>0</v>
      </c>
      <c r="BL551" s="5">
        <f>INDEX('Team forecast'!$R$3:$BH$26,MATCH($B551,'Team forecast'!$B$3:$B$26,0),MATCH(BL$1,'Team forecast'!$R$2:$BH$2,0))*IF($X551&gt;0,5000,0)</f>
        <v>0</v>
      </c>
      <c r="BM551" s="5">
        <f>INDEX('Team forecast'!$R$3:$BH$26,MATCH($B551,'Team forecast'!$B$3:$B$26,0),MATCH(BM$1,'Team forecast'!$R$2:$BH$2,0))*IF($X551&gt;0,-15000,0)</f>
        <v>0</v>
      </c>
      <c r="BN551" s="5">
        <f t="shared" si="328"/>
        <v>0</v>
      </c>
      <c r="BO551" s="5">
        <f t="shared" si="329"/>
        <v>0</v>
      </c>
      <c r="BP551" s="5">
        <f t="shared" si="330"/>
        <v>0</v>
      </c>
      <c r="BQ551" s="5">
        <f t="shared" si="331"/>
        <v>7022.6662326035648</v>
      </c>
      <c r="BR551" s="5">
        <f t="shared" si="332"/>
        <v>17259.873942905062</v>
      </c>
      <c r="BS551" s="5">
        <f t="shared" si="333"/>
        <v>0</v>
      </c>
      <c r="BT551" s="5">
        <f t="shared" si="334"/>
        <v>0</v>
      </c>
      <c r="BU551" s="5">
        <f t="shared" si="335"/>
        <v>0</v>
      </c>
      <c r="BV551" s="5">
        <f t="shared" si="336"/>
        <v>0</v>
      </c>
      <c r="BW551" s="5">
        <f t="shared" si="337"/>
        <v>19282.540175508628</v>
      </c>
      <c r="BX551" s="5">
        <f t="shared" si="338"/>
        <v>21159.368274360302</v>
      </c>
      <c r="BY551" s="5">
        <f t="shared" si="339"/>
        <v>63478.10482308091</v>
      </c>
      <c r="BZ551" s="5">
        <f>INDEX('Team forecast'!$R$3:$BH$26,MATCH($B551,'Team forecast'!$B$3:$B$26,0),MATCH(BZ$1,'Team forecast'!$R$2:$BH$2,0))*($BX551-(BY551+CH551)*0.01)</f>
        <v>-1135.7685419268116</v>
      </c>
      <c r="CA551" s="5">
        <f>INDEX('Team forecast'!$R$3:$BH$26,MATCH($B551,'Team forecast'!$B$3:$B$26,0),MATCH(CA$1,'Team forecast'!$R$2:$BH$2,0))*($BX551-(BY551+BX551+CH551)*0.01)</f>
        <v>-583.69156051275331</v>
      </c>
      <c r="CB551" s="5">
        <f>INDEX('Team forecast'!$R$3:$BH$26,MATCH($B551,'Team forecast'!$B$3:$B$26,0),MATCH(CB$1,'Team forecast'!$R$2:$BH$2,0))*($BX551-(BY551+BX551*2+CH551)*0.01)</f>
        <v>-294.15965006950347</v>
      </c>
      <c r="CC551" s="5">
        <f>INDEX('Team forecast'!$R$3:$BH$26,MATCH($B551,'Team forecast'!$B$3:$B$26,0),MATCH(CC$1,'Team forecast'!$R$2:$BH$2,0))*($BX551-(BY551+BX551*3+CH551)*0.01)</f>
        <v>-138.82240211134152</v>
      </c>
      <c r="CD551" s="5">
        <f>+AK551+BD551*Cockpit!$C$3+BW551*Cockpit!$C$3^2+BZ551*Cockpit!$C$3^3+CA551*Cockpit!$C$3^4+CB551*Cockpit!$C$3^5+CC551*Cockpit!$C$3^6</f>
        <v>44917.827608773521</v>
      </c>
      <c r="CE551" s="5"/>
      <c r="CF551" s="5"/>
      <c r="CG551" s="5">
        <v>0</v>
      </c>
      <c r="CH551" s="5">
        <f t="shared" si="340"/>
        <v>2500000</v>
      </c>
      <c r="CI551" s="5">
        <f t="shared" si="341"/>
        <v>2500000</v>
      </c>
      <c r="CJ551" s="1">
        <f t="shared" si="342"/>
        <v>2.5391241929232363E-2</v>
      </c>
      <c r="CK551" s="5">
        <f>RANK(BY551,$BY$2:$BY$623)+COUNTIF($BY$2:$BY551,$BY551)-1</f>
        <v>256</v>
      </c>
      <c r="CL551" s="5">
        <f>RANK(CJ551,$CJ$2:$CJ$623)+COUNTIF($CJ$2:$CJ551,$CJ551)-1</f>
        <v>204</v>
      </c>
    </row>
    <row r="552" spans="1:90">
      <c r="A552" t="str">
        <f>Players!P553</f>
        <v>Kire Ristevski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0.65653770483831209</v>
      </c>
      <c r="I552" s="16">
        <f>INDEX('Team forecast'!$B$2:$AO$26,MATCH('Master data'!$B552,'Team forecast'!$B$2:$B$26,0),MATCH('Master data'!I$1,'Team forecast'!$B$2:$AO$2,0))</f>
        <v>1.5562991347612565</v>
      </c>
      <c r="J552" s="16">
        <f>INDEX('Team forecast'!$B$2:$AO$26,MATCH('Master data'!$B552,'Team forecast'!$B$2:$B$26,0),MATCH('Master data'!J$1,'Team forecast'!$B$2:$AO$2,0))</f>
        <v>0.2109151973131822</v>
      </c>
      <c r="K552" s="16">
        <f>INDEX('Team forecast'!$B$2:$AO$26,MATCH('Master data'!$B552,'Team forecast'!$B$2:$B$26,0),MATCH('Master data'!K$1,'Team forecast'!$B$2:$AO$2,0))</f>
        <v>2.1553005461863779</v>
      </c>
      <c r="L552" s="16">
        <f>INDEX('Team forecast'!$B$2:$AO$26,MATCH('Master data'!$B552,'Team forecast'!$B$2:$B$26,0),MATCH('Master data'!L$1,'Team forecast'!$B$2:$AO$2,0))</f>
        <v>3.8246785340123335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6.32688927943761E-2</v>
      </c>
      <c r="R552" s="2">
        <f>Players!BR553</f>
        <v>0</v>
      </c>
      <c r="S552" s="2">
        <f t="shared" si="301"/>
        <v>0.65653770483831209</v>
      </c>
      <c r="T552" s="2">
        <f t="shared" si="302"/>
        <v>1.5562991347612565</v>
      </c>
      <c r="U552" s="16">
        <f>INDEX('Team forecast'!$B$2:$AO$26,MATCH('Master data'!$B552,'Team forecast'!$B$2:$B$26,0),MATCH('Master data'!U$1,'Team forecast'!$B$2:$AO$2,0))</f>
        <v>0.15818639798488671</v>
      </c>
      <c r="V552" s="16">
        <f>INDEX('Team forecast'!$B$2:$AO$26,MATCH('Master data'!$B552,'Team forecast'!$B$2:$B$26,0),MATCH('Master data'!V$1,'Team forecast'!$B$2:$AO$2,0))</f>
        <v>0.23727959697733</v>
      </c>
      <c r="W552" s="16">
        <f>INDEX('Team forecast'!$B$2:$AO$26,MATCH('Master data'!$B552,'Team forecast'!$B$2:$B$26,0),MATCH('Master data'!W$1,'Team forecast'!$B$2:$AO$2,0))</f>
        <v>0.60453400503778332</v>
      </c>
      <c r="X552" s="5">
        <f t="shared" si="303"/>
        <v>-5000</v>
      </c>
      <c r="Y552" s="5">
        <f t="shared" si="304"/>
        <v>0</v>
      </c>
      <c r="Z552" s="5">
        <f t="shared" si="305"/>
        <v>0</v>
      </c>
      <c r="AA552" s="5">
        <f t="shared" si="306"/>
        <v>0</v>
      </c>
      <c r="AB552" s="5">
        <f t="shared" si="307"/>
        <v>0</v>
      </c>
      <c r="AC552" s="5">
        <f t="shared" si="308"/>
        <v>0</v>
      </c>
      <c r="AD552" s="5">
        <f t="shared" si="309"/>
        <v>0</v>
      </c>
      <c r="AE552" s="5">
        <f t="shared" si="310"/>
        <v>10545.759865659111</v>
      </c>
      <c r="AF552" s="5">
        <f t="shared" si="311"/>
        <v>0</v>
      </c>
      <c r="AG552" s="5">
        <f t="shared" si="312"/>
        <v>0</v>
      </c>
      <c r="AH552" s="5">
        <f t="shared" si="313"/>
        <v>0</v>
      </c>
      <c r="AI552" s="5">
        <f t="shared" si="314"/>
        <v>0</v>
      </c>
      <c r="AJ552" s="5">
        <f t="shared" si="315"/>
        <v>0</v>
      </c>
      <c r="AK552" s="5">
        <f>IFERROR(SUM(X552:AJ552),-5000)*((Cockpit!$C$3)^0)</f>
        <v>5545.7598656591108</v>
      </c>
      <c r="AL552" s="16">
        <f>INDEX('Team forecast'!$B$2:$AO$26,MATCH('Master data'!$B552,'Team forecast'!$B$2:$B$26,0),MATCH('Master data'!AL$1,'Team forecast'!$B$2:$AO$2,0))</f>
        <v>0.76028648339757388</v>
      </c>
      <c r="AM552" s="16">
        <f>INDEX('Team forecast'!$B$2:$AO$26,MATCH('Master data'!$B552,'Team forecast'!$B$2:$B$26,0),MATCH('Master data'!AM$1,'Team forecast'!$B$2:$AO$2,0))</f>
        <v>1.5712166996139025</v>
      </c>
      <c r="AN552" s="16">
        <f>INDEX('Team forecast'!$B$2:$AO$26,MATCH('Master data'!$B552,'Team forecast'!$B$2:$B$26,0),MATCH('Master data'!AN$1,'Team forecast'!$B$2:$AO$2,0))</f>
        <v>0.20779220779220781</v>
      </c>
      <c r="AO552" s="16">
        <f>INDEX('Team forecast'!$B$2:$AO$26,MATCH('Master data'!$B552,'Team forecast'!$B$2:$B$26,0),MATCH('Master data'!AO$1,'Team forecast'!$B$2:$AO$2,0))</f>
        <v>2.4958899707496114</v>
      </c>
      <c r="AP552" s="16">
        <f>INDEX('Team forecast'!$B$2:$AO$26,MATCH('Master data'!$B552,'Team forecast'!$B$2:$B$26,0),MATCH('Master data'!AP$1,'Team forecast'!$B$2:$AO$2,0))</f>
        <v>3.8613391532964307</v>
      </c>
      <c r="AQ552" s="5">
        <f t="shared" si="316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317"/>
        <v>0</v>
      </c>
      <c r="AV552" s="5">
        <f t="shared" si="318"/>
        <v>0</v>
      </c>
      <c r="AW552" s="5">
        <f t="shared" si="319"/>
        <v>0</v>
      </c>
      <c r="AX552" s="5">
        <f t="shared" si="320"/>
        <v>10389.61038961039</v>
      </c>
      <c r="AY552" s="5">
        <f t="shared" si="321"/>
        <v>0</v>
      </c>
      <c r="AZ552" s="5">
        <f t="shared" si="322"/>
        <v>0</v>
      </c>
      <c r="BA552" s="5">
        <f t="shared" si="323"/>
        <v>0</v>
      </c>
      <c r="BB552" s="5">
        <f t="shared" si="324"/>
        <v>0</v>
      </c>
      <c r="BC552" s="5">
        <f t="shared" si="325"/>
        <v>0</v>
      </c>
      <c r="BD552" s="5">
        <f t="shared" si="326"/>
        <v>5389.6103896103905</v>
      </c>
      <c r="BE552" s="16">
        <f>INDEX('Team forecast'!$B$2:$AO$26,MATCH('Master data'!$B552,'Team forecast'!$B$2:$B$26,0),MATCH('Master data'!BE$1,'Team forecast'!$B$2:$AO$2,0))</f>
        <v>0.49102780480244929</v>
      </c>
      <c r="BF552" s="16">
        <f>INDEX('Team forecast'!$B$2:$AO$26,MATCH('Master data'!$B552,'Team forecast'!$B$2:$B$26,0),MATCH('Master data'!BF$1,'Team forecast'!$B$2:$AO$2,0))</f>
        <v>2.3683451623921505</v>
      </c>
      <c r="BG552" s="16">
        <f>INDEX('Team forecast'!$B$2:$AO$26,MATCH('Master data'!$B552,'Team forecast'!$B$2:$B$26,0),MATCH('Master data'!BG$1,'Team forecast'!$B$2:$AO$2,0))</f>
        <v>9.3635549768047527E-2</v>
      </c>
      <c r="BH552" s="16">
        <f>INDEX('Team forecast'!$B$2:$AO$26,MATCH('Master data'!$B552,'Team forecast'!$B$2:$B$26,0),MATCH('Master data'!BH$1,'Team forecast'!$B$2:$AO$2,0))</f>
        <v>1.6119599652605658</v>
      </c>
      <c r="BI552" s="16">
        <f>INDEX('Team forecast'!$B$2:$AO$26,MATCH('Master data'!$B552,'Team forecast'!$B$2:$B$26,0),MATCH('Master data'!BI$1,'Team forecast'!$B$2:$AO$2,0))</f>
        <v>5.8203199509731629</v>
      </c>
      <c r="BJ552" s="5">
        <f t="shared" si="327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328"/>
        <v>0</v>
      </c>
      <c r="BO552" s="5">
        <f t="shared" si="329"/>
        <v>0</v>
      </c>
      <c r="BP552" s="5">
        <f t="shared" si="330"/>
        <v>0</v>
      </c>
      <c r="BQ552" s="5">
        <f t="shared" si="331"/>
        <v>4681.7774884023765</v>
      </c>
      <c r="BR552" s="5">
        <f t="shared" si="332"/>
        <v>0</v>
      </c>
      <c r="BS552" s="5">
        <f t="shared" si="333"/>
        <v>0</v>
      </c>
      <c r="BT552" s="5">
        <f t="shared" si="334"/>
        <v>0</v>
      </c>
      <c r="BU552" s="5">
        <f t="shared" si="335"/>
        <v>0</v>
      </c>
      <c r="BV552" s="5">
        <f t="shared" si="336"/>
        <v>0</v>
      </c>
      <c r="BW552" s="5">
        <f t="shared" si="337"/>
        <v>-318.22251159762345</v>
      </c>
      <c r="BX552" s="5">
        <f t="shared" si="338"/>
        <v>3539.0492478906258</v>
      </c>
      <c r="BY552" s="5">
        <f t="shared" si="339"/>
        <v>10617.147743671878</v>
      </c>
      <c r="BZ552" s="5">
        <f>INDEX('Team forecast'!$R$3:$BH$26,MATCH($B552,'Team forecast'!$B$3:$B$26,0),MATCH(BZ$1,'Team forecast'!$R$2:$BH$2,0))*($BX552-(BY552+CH552)*0.01)</f>
        <v>-4204.3979425615498</v>
      </c>
      <c r="CA552" s="5">
        <f>INDEX('Team forecast'!$R$3:$BH$26,MATCH($B552,'Team forecast'!$B$3:$B$26,0),MATCH(CA$1,'Team forecast'!$R$2:$BH$2,0))*($BX552-(BY552+BX552+CH552)*0.01)</f>
        <v>-2067.5769595914312</v>
      </c>
      <c r="CB552" s="5">
        <f>INDEX('Team forecast'!$R$3:$BH$26,MATCH($B552,'Team forecast'!$B$3:$B$26,0),MATCH(CB$1,'Team forecast'!$R$2:$BH$2,0))*($BX552-(BY552+BX552*2+CH552)*0.01)</f>
        <v>-999.10171237418979</v>
      </c>
      <c r="CC552" s="5">
        <f>INDEX('Team forecast'!$R$3:$BH$26,MATCH($B552,'Team forecast'!$B$3:$B$26,0),MATCH(CC$1,'Team forecast'!$R$2:$BH$2,0))*($BX552-(BY552+BX552*3+CH552)*0.01)</f>
        <v>-452.94303192584027</v>
      </c>
      <c r="CD552" s="5">
        <f>+AK552+BD552*Cockpit!$C$3+BW552*Cockpit!$C$3^2+BZ552*Cockpit!$C$3^3+CA552*Cockpit!$C$3^4+CB552*Cockpit!$C$3^5+CC552*Cockpit!$C$3^6</f>
        <v>7171.9099334058637</v>
      </c>
      <c r="CE552" s="5"/>
      <c r="CF552" s="5"/>
      <c r="CG552" s="5">
        <v>0</v>
      </c>
      <c r="CH552" s="5">
        <f t="shared" si="340"/>
        <v>2000000</v>
      </c>
      <c r="CI552" s="5">
        <f t="shared" si="341"/>
        <v>2000000</v>
      </c>
      <c r="CJ552" s="1">
        <f t="shared" si="342"/>
        <v>5.308573871835939E-3</v>
      </c>
      <c r="CK552" s="5">
        <f>RANK(BY552,$BY$2:$BY$623)+COUNTIF($BY$2:$BY552,$BY552)-1</f>
        <v>392</v>
      </c>
      <c r="CL552" s="5">
        <f>RANK(CJ552,$CJ$2:$CJ$623)+COUNTIF($CJ$2:$CJ552,$CJ552)-1</f>
        <v>390</v>
      </c>
    </row>
    <row r="553" spans="1:90">
      <c r="A553" t="str">
        <f>Players!P554</f>
        <v>Gjoko Zajkov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2000000</v>
      </c>
      <c r="H553" s="16">
        <f>INDEX('Team forecast'!$B$2:$AO$26,MATCH('Master data'!$B553,'Team forecast'!$B$2:$B$26,0),MATCH('Master data'!H$1,'Team forecast'!$B$2:$AO$2,0))</f>
        <v>0.65653770483831209</v>
      </c>
      <c r="I553" s="16">
        <f>INDEX('Team forecast'!$B$2:$AO$26,MATCH('Master data'!$B553,'Team forecast'!$B$2:$B$26,0),MATCH('Master data'!I$1,'Team forecast'!$B$2:$AO$2,0))</f>
        <v>1.5562991347612565</v>
      </c>
      <c r="J553" s="16">
        <f>INDEX('Team forecast'!$B$2:$AO$26,MATCH('Master data'!$B553,'Team forecast'!$B$2:$B$26,0),MATCH('Master data'!J$1,'Team forecast'!$B$2:$AO$2,0))</f>
        <v>0.2109151973131822</v>
      </c>
      <c r="K553" s="16">
        <f>INDEX('Team forecast'!$B$2:$AO$26,MATCH('Master data'!$B553,'Team forecast'!$B$2:$B$26,0),MATCH('Master data'!K$1,'Team forecast'!$B$2:$AO$2,0))</f>
        <v>2.1553005461863779</v>
      </c>
      <c r="L553" s="16">
        <f>INDEX('Team forecast'!$B$2:$AO$26,MATCH('Master data'!$B553,'Team forecast'!$B$2:$B$26,0),MATCH('Master data'!L$1,'Team forecast'!$B$2:$AO$2,0))</f>
        <v>3.8246785340123335</v>
      </c>
      <c r="M553">
        <f>IF(Players!BC554=1,95,0)</f>
        <v>0</v>
      </c>
      <c r="N553" s="2">
        <f>Players!BN554</f>
        <v>0</v>
      </c>
      <c r="O553" s="2">
        <f>Players!BO554</f>
        <v>0</v>
      </c>
      <c r="P553" s="2">
        <f>Players!BP554</f>
        <v>0</v>
      </c>
      <c r="Q553" s="2">
        <f>Players!BQ554</f>
        <v>0.69826889279437609</v>
      </c>
      <c r="R553" s="2">
        <f>Players!BR554</f>
        <v>0</v>
      </c>
      <c r="S553" s="2">
        <f t="shared" si="301"/>
        <v>0.65653770483831209</v>
      </c>
      <c r="T553" s="2">
        <f t="shared" si="302"/>
        <v>1.5562991347612565</v>
      </c>
      <c r="U553" s="16">
        <f>INDEX('Team forecast'!$B$2:$AO$26,MATCH('Master data'!$B553,'Team forecast'!$B$2:$B$26,0),MATCH('Master data'!U$1,'Team forecast'!$B$2:$AO$2,0))</f>
        <v>0.15818639798488671</v>
      </c>
      <c r="V553" s="16">
        <f>INDEX('Team forecast'!$B$2:$AO$26,MATCH('Master data'!$B553,'Team forecast'!$B$2:$B$26,0),MATCH('Master data'!V$1,'Team forecast'!$B$2:$AO$2,0))</f>
        <v>0.23727959697733</v>
      </c>
      <c r="W553" s="16">
        <f>INDEX('Team forecast'!$B$2:$AO$26,MATCH('Master data'!$B553,'Team forecast'!$B$2:$B$26,0),MATCH('Master data'!W$1,'Team forecast'!$B$2:$AO$2,0))</f>
        <v>0.60453400503778332</v>
      </c>
      <c r="X553" s="5">
        <f t="shared" si="303"/>
        <v>-5000</v>
      </c>
      <c r="Y553" s="5">
        <f t="shared" si="304"/>
        <v>0</v>
      </c>
      <c r="Z553" s="5">
        <f t="shared" si="305"/>
        <v>0</v>
      </c>
      <c r="AA553" s="5">
        <f t="shared" si="306"/>
        <v>0</v>
      </c>
      <c r="AB553" s="5">
        <f t="shared" si="307"/>
        <v>0</v>
      </c>
      <c r="AC553" s="5">
        <f t="shared" si="308"/>
        <v>0</v>
      </c>
      <c r="AD553" s="5">
        <f t="shared" si="309"/>
        <v>0</v>
      </c>
      <c r="AE553" s="5">
        <f t="shared" si="310"/>
        <v>10545.759865659111</v>
      </c>
      <c r="AF553" s="5">
        <f t="shared" si="311"/>
        <v>0</v>
      </c>
      <c r="AG553" s="5">
        <f t="shared" si="312"/>
        <v>0</v>
      </c>
      <c r="AH553" s="5">
        <f t="shared" si="313"/>
        <v>0</v>
      </c>
      <c r="AI553" s="5">
        <f t="shared" si="314"/>
        <v>0</v>
      </c>
      <c r="AJ553" s="5">
        <f t="shared" si="315"/>
        <v>0</v>
      </c>
      <c r="AK553" s="5">
        <f>IFERROR(SUM(X553:AJ553),-5000)*((Cockpit!$C$3)^0)</f>
        <v>5545.7598656591108</v>
      </c>
      <c r="AL553" s="16">
        <f>INDEX('Team forecast'!$B$2:$AO$26,MATCH('Master data'!$B553,'Team forecast'!$B$2:$B$26,0),MATCH('Master data'!AL$1,'Team forecast'!$B$2:$AO$2,0))</f>
        <v>0.76028648339757388</v>
      </c>
      <c r="AM553" s="16">
        <f>INDEX('Team forecast'!$B$2:$AO$26,MATCH('Master data'!$B553,'Team forecast'!$B$2:$B$26,0),MATCH('Master data'!AM$1,'Team forecast'!$B$2:$AO$2,0))</f>
        <v>1.5712166996139025</v>
      </c>
      <c r="AN553" s="16">
        <f>INDEX('Team forecast'!$B$2:$AO$26,MATCH('Master data'!$B553,'Team forecast'!$B$2:$B$26,0),MATCH('Master data'!AN$1,'Team forecast'!$B$2:$AO$2,0))</f>
        <v>0.20779220779220781</v>
      </c>
      <c r="AO553" s="16">
        <f>INDEX('Team forecast'!$B$2:$AO$26,MATCH('Master data'!$B553,'Team forecast'!$B$2:$B$26,0),MATCH('Master data'!AO$1,'Team forecast'!$B$2:$AO$2,0))</f>
        <v>2.4958899707496114</v>
      </c>
      <c r="AP553" s="16">
        <f>INDEX('Team forecast'!$B$2:$AO$26,MATCH('Master data'!$B553,'Team forecast'!$B$2:$B$26,0),MATCH('Master data'!AP$1,'Team forecast'!$B$2:$AO$2,0))</f>
        <v>3.8613391532964307</v>
      </c>
      <c r="AQ553" s="5">
        <f t="shared" si="316"/>
        <v>-5000</v>
      </c>
      <c r="AR553" s="5">
        <f>INDEX('Team forecast'!$B$2:$AO$26,MATCH('Master data'!$B553,'Team forecast'!$B$2:$B$26,0),MATCH('Master data'!AR$1,'Team forecast'!$B$2:$AO$2,0))*IF(X553&gt;0,25000,0)</f>
        <v>0</v>
      </c>
      <c r="AS553" s="16">
        <f>INDEX('Team forecast'!$B$2:$AO$26,MATCH('Master data'!$B553,'Team forecast'!$B$2:$B$26,0),MATCH('Master data'!AS$1,'Team forecast'!$B$2:$AO$2,0))*IF(X553&gt;0,5000,0)</f>
        <v>0</v>
      </c>
      <c r="AT553" s="16">
        <f>INDEX('Team forecast'!$B$2:$AO$26,MATCH('Master data'!$B553,'Team forecast'!$B$2:$B$26,0),MATCH('Master data'!AT$1,'Team forecast'!$B$2:$AO$2,0))*IF(X553&gt;0,-15000,0)</f>
        <v>0</v>
      </c>
      <c r="AU553" s="5">
        <f t="shared" si="317"/>
        <v>0</v>
      </c>
      <c r="AV553" s="5">
        <f t="shared" si="318"/>
        <v>0</v>
      </c>
      <c r="AW553" s="5">
        <f t="shared" si="319"/>
        <v>0</v>
      </c>
      <c r="AX553" s="5">
        <f t="shared" si="320"/>
        <v>10389.61038961039</v>
      </c>
      <c r="AY553" s="5">
        <f t="shared" si="321"/>
        <v>0</v>
      </c>
      <c r="AZ553" s="5">
        <f t="shared" si="322"/>
        <v>0</v>
      </c>
      <c r="BA553" s="5">
        <f t="shared" si="323"/>
        <v>0</v>
      </c>
      <c r="BB553" s="5">
        <f t="shared" si="324"/>
        <v>0</v>
      </c>
      <c r="BC553" s="5">
        <f t="shared" si="325"/>
        <v>0</v>
      </c>
      <c r="BD553" s="5">
        <f t="shared" si="326"/>
        <v>5389.6103896103905</v>
      </c>
      <c r="BE553" s="16">
        <f>INDEX('Team forecast'!$B$2:$AO$26,MATCH('Master data'!$B553,'Team forecast'!$B$2:$B$26,0),MATCH('Master data'!BE$1,'Team forecast'!$B$2:$AO$2,0))</f>
        <v>0.49102780480244929</v>
      </c>
      <c r="BF553" s="16">
        <f>INDEX('Team forecast'!$B$2:$AO$26,MATCH('Master data'!$B553,'Team forecast'!$B$2:$B$26,0),MATCH('Master data'!BF$1,'Team forecast'!$B$2:$AO$2,0))</f>
        <v>2.3683451623921505</v>
      </c>
      <c r="BG553" s="16">
        <f>INDEX('Team forecast'!$B$2:$AO$26,MATCH('Master data'!$B553,'Team forecast'!$B$2:$B$26,0),MATCH('Master data'!BG$1,'Team forecast'!$B$2:$AO$2,0))</f>
        <v>9.3635549768047527E-2</v>
      </c>
      <c r="BH553" s="16">
        <f>INDEX('Team forecast'!$B$2:$AO$26,MATCH('Master data'!$B553,'Team forecast'!$B$2:$B$26,0),MATCH('Master data'!BH$1,'Team forecast'!$B$2:$AO$2,0))</f>
        <v>1.6119599652605658</v>
      </c>
      <c r="BI553" s="16">
        <f>INDEX('Team forecast'!$B$2:$AO$26,MATCH('Master data'!$B553,'Team forecast'!$B$2:$B$26,0),MATCH('Master data'!BI$1,'Team forecast'!$B$2:$AO$2,0))</f>
        <v>5.8203199509731629</v>
      </c>
      <c r="BJ553" s="5">
        <f t="shared" si="327"/>
        <v>-5000</v>
      </c>
      <c r="BK553" s="5">
        <f>INDEX('Team forecast'!$R$3:$BH$26,MATCH($B553,'Team forecast'!$B$3:$B$26,0),MATCH(BK$1,'Team forecast'!$R$2:$BH$2,0))*IF($X553&gt;0,25000,0)</f>
        <v>0</v>
      </c>
      <c r="BL553" s="5">
        <f>INDEX('Team forecast'!$R$3:$BH$26,MATCH($B553,'Team forecast'!$B$3:$B$26,0),MATCH(BL$1,'Team forecast'!$R$2:$BH$2,0))*IF($X553&gt;0,5000,0)</f>
        <v>0</v>
      </c>
      <c r="BM553" s="5">
        <f>INDEX('Team forecast'!$R$3:$BH$26,MATCH($B553,'Team forecast'!$B$3:$B$26,0),MATCH(BM$1,'Team forecast'!$R$2:$BH$2,0))*IF($X553&gt;0,-15000,0)</f>
        <v>0</v>
      </c>
      <c r="BN553" s="5">
        <f t="shared" si="328"/>
        <v>0</v>
      </c>
      <c r="BO553" s="5">
        <f t="shared" si="329"/>
        <v>0</v>
      </c>
      <c r="BP553" s="5">
        <f t="shared" si="330"/>
        <v>0</v>
      </c>
      <c r="BQ553" s="5">
        <f t="shared" si="331"/>
        <v>4681.7774884023765</v>
      </c>
      <c r="BR553" s="5">
        <f t="shared" si="332"/>
        <v>0</v>
      </c>
      <c r="BS553" s="5">
        <f t="shared" si="333"/>
        <v>0</v>
      </c>
      <c r="BT553" s="5">
        <f t="shared" si="334"/>
        <v>0</v>
      </c>
      <c r="BU553" s="5">
        <f t="shared" si="335"/>
        <v>0</v>
      </c>
      <c r="BV553" s="5">
        <f t="shared" si="336"/>
        <v>0</v>
      </c>
      <c r="BW553" s="5">
        <f t="shared" si="337"/>
        <v>-318.22251159762345</v>
      </c>
      <c r="BX553" s="5">
        <f t="shared" si="338"/>
        <v>3539.0492478906258</v>
      </c>
      <c r="BY553" s="5">
        <f t="shared" si="339"/>
        <v>10617.147743671878</v>
      </c>
      <c r="BZ553" s="5">
        <f>INDEX('Team forecast'!$R$3:$BH$26,MATCH($B553,'Team forecast'!$B$3:$B$26,0),MATCH(BZ$1,'Team forecast'!$R$2:$BH$2,0))*($BX553-(BY553+CH553)*0.01)</f>
        <v>-4204.3979425615498</v>
      </c>
      <c r="CA553" s="5">
        <f>INDEX('Team forecast'!$R$3:$BH$26,MATCH($B553,'Team forecast'!$B$3:$B$26,0),MATCH(CA$1,'Team forecast'!$R$2:$BH$2,0))*($BX553-(BY553+BX553+CH553)*0.01)</f>
        <v>-2067.5769595914312</v>
      </c>
      <c r="CB553" s="5">
        <f>INDEX('Team forecast'!$R$3:$BH$26,MATCH($B553,'Team forecast'!$B$3:$B$26,0),MATCH(CB$1,'Team forecast'!$R$2:$BH$2,0))*($BX553-(BY553+BX553*2+CH553)*0.01)</f>
        <v>-999.10171237418979</v>
      </c>
      <c r="CC553" s="5">
        <f>INDEX('Team forecast'!$R$3:$BH$26,MATCH($B553,'Team forecast'!$B$3:$B$26,0),MATCH(CC$1,'Team forecast'!$R$2:$BH$2,0))*($BX553-(BY553+BX553*3+CH553)*0.01)</f>
        <v>-452.94303192584027</v>
      </c>
      <c r="CD553" s="5">
        <f>+AK553+BD553*Cockpit!$C$3+BW553*Cockpit!$C$3^2+BZ553*Cockpit!$C$3^3+CA553*Cockpit!$C$3^4+CB553*Cockpit!$C$3^5+CC553*Cockpit!$C$3^6</f>
        <v>7171.9099334058637</v>
      </c>
      <c r="CE553" s="5"/>
      <c r="CF553" s="5"/>
      <c r="CG553" s="5">
        <v>0</v>
      </c>
      <c r="CH553" s="5">
        <f t="shared" si="340"/>
        <v>2000000</v>
      </c>
      <c r="CI553" s="5">
        <f t="shared" si="341"/>
        <v>2000000</v>
      </c>
      <c r="CJ553" s="1">
        <f t="shared" si="342"/>
        <v>5.308573871835939E-3</v>
      </c>
      <c r="CK553" s="5">
        <f>RANK(BY553,$BY$2:$BY$623)+COUNTIF($BY$2:$BY553,$BY553)-1</f>
        <v>393</v>
      </c>
      <c r="CL553" s="5">
        <f>RANK(CJ553,$CJ$2:$CJ$623)+COUNTIF($CJ$2:$CJ553,$CJ553)-1</f>
        <v>391</v>
      </c>
    </row>
    <row r="554" spans="1:90">
      <c r="A554" t="str">
        <f>Players!P555</f>
        <v>Visar Musliu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2500000</v>
      </c>
      <c r="H554" s="16">
        <f>INDEX('Team forecast'!$B$2:$AO$26,MATCH('Master data'!$B554,'Team forecast'!$B$2:$B$26,0),MATCH('Master data'!H$1,'Team forecast'!$B$2:$AO$2,0))</f>
        <v>0.65653770483831209</v>
      </c>
      <c r="I554" s="16">
        <f>INDEX('Team forecast'!$B$2:$AO$26,MATCH('Master data'!$B554,'Team forecast'!$B$2:$B$26,0),MATCH('Master data'!I$1,'Team forecast'!$B$2:$AO$2,0))</f>
        <v>1.5562991347612565</v>
      </c>
      <c r="J554" s="16">
        <f>INDEX('Team forecast'!$B$2:$AO$26,MATCH('Master data'!$B554,'Team forecast'!$B$2:$B$26,0),MATCH('Master data'!J$1,'Team forecast'!$B$2:$AO$2,0))</f>
        <v>0.2109151973131822</v>
      </c>
      <c r="K554" s="16">
        <f>INDEX('Team forecast'!$B$2:$AO$26,MATCH('Master data'!$B554,'Team forecast'!$B$2:$B$26,0),MATCH('Master data'!K$1,'Team forecast'!$B$2:$AO$2,0))</f>
        <v>2.1553005461863779</v>
      </c>
      <c r="L554" s="16">
        <f>INDEX('Team forecast'!$B$2:$AO$26,MATCH('Master data'!$B554,'Team forecast'!$B$2:$B$26,0),MATCH('Master data'!L$1,'Team forecast'!$B$2:$AO$2,0))</f>
        <v>3.8246785340123335</v>
      </c>
      <c r="M554">
        <f>IF(Players!BC555=1,95,0)</f>
        <v>95</v>
      </c>
      <c r="N554" s="2">
        <f>Players!BN555</f>
        <v>3.2117094866749386E-2</v>
      </c>
      <c r="O554" s="2">
        <f>Players!BO555</f>
        <v>9.1778114601986909E-3</v>
      </c>
      <c r="P554" s="2">
        <f>Players!BP555</f>
        <v>2.4489260729854054E-2</v>
      </c>
      <c r="Q554" s="2">
        <f>Players!BQ555</f>
        <v>0.31326889279437609</v>
      </c>
      <c r="R554" s="2">
        <f>Players!BR555</f>
        <v>0</v>
      </c>
      <c r="S554" s="2">
        <f t="shared" si="301"/>
        <v>0.65653770483831209</v>
      </c>
      <c r="T554" s="2">
        <f t="shared" si="302"/>
        <v>1.5562991347612565</v>
      </c>
      <c r="U554" s="16">
        <f>INDEX('Team forecast'!$B$2:$AO$26,MATCH('Master data'!$B554,'Team forecast'!$B$2:$B$26,0),MATCH('Master data'!U$1,'Team forecast'!$B$2:$AO$2,0))</f>
        <v>0.15818639798488671</v>
      </c>
      <c r="V554" s="16">
        <f>INDEX('Team forecast'!$B$2:$AO$26,MATCH('Master data'!$B554,'Team forecast'!$B$2:$B$26,0),MATCH('Master data'!V$1,'Team forecast'!$B$2:$AO$2,0))</f>
        <v>0.23727959697733</v>
      </c>
      <c r="W554" s="16">
        <f>INDEX('Team forecast'!$B$2:$AO$26,MATCH('Master data'!$B554,'Team forecast'!$B$2:$B$26,0),MATCH('Master data'!W$1,'Team forecast'!$B$2:$AO$2,0))</f>
        <v>0.60453400503778332</v>
      </c>
      <c r="X554" s="5">
        <f t="shared" si="303"/>
        <v>7000</v>
      </c>
      <c r="Y554" s="5">
        <f t="shared" si="304"/>
        <v>3954.6599496221675</v>
      </c>
      <c r="Z554" s="5">
        <f t="shared" si="305"/>
        <v>1186.39798488665</v>
      </c>
      <c r="AA554" s="5">
        <f t="shared" si="306"/>
        <v>-9068.0100755667499</v>
      </c>
      <c r="AB554" s="5">
        <f t="shared" si="307"/>
        <v>3162.9125624834965</v>
      </c>
      <c r="AC554" s="5">
        <f t="shared" si="308"/>
        <v>301.27896357588031</v>
      </c>
      <c r="AD554" s="5">
        <f t="shared" si="309"/>
        <v>527.81717026755064</v>
      </c>
      <c r="AE554" s="5">
        <f t="shared" si="310"/>
        <v>10545.759865659111</v>
      </c>
      <c r="AF554" s="5">
        <f t="shared" si="311"/>
        <v>0</v>
      </c>
      <c r="AG554" s="5">
        <f t="shared" si="312"/>
        <v>-6265.3778558875219</v>
      </c>
      <c r="AH554" s="5">
        <f t="shared" si="313"/>
        <v>0</v>
      </c>
      <c r="AI554" s="5">
        <f t="shared" si="314"/>
        <v>6565.3770483831213</v>
      </c>
      <c r="AJ554" s="5">
        <f t="shared" si="315"/>
        <v>-12450.393078090052</v>
      </c>
      <c r="AK554" s="5">
        <f>IFERROR(SUM(X554:AJ554),-5000)*((Cockpit!$C$3)^0)</f>
        <v>5460.4225353336551</v>
      </c>
      <c r="AL554" s="16">
        <f>INDEX('Team forecast'!$B$2:$AO$26,MATCH('Master data'!$B554,'Team forecast'!$B$2:$B$26,0),MATCH('Master data'!AL$1,'Team forecast'!$B$2:$AO$2,0))</f>
        <v>0.76028648339757388</v>
      </c>
      <c r="AM554" s="16">
        <f>INDEX('Team forecast'!$B$2:$AO$26,MATCH('Master data'!$B554,'Team forecast'!$B$2:$B$26,0),MATCH('Master data'!AM$1,'Team forecast'!$B$2:$AO$2,0))</f>
        <v>1.5712166996139025</v>
      </c>
      <c r="AN554" s="16">
        <f>INDEX('Team forecast'!$B$2:$AO$26,MATCH('Master data'!$B554,'Team forecast'!$B$2:$B$26,0),MATCH('Master data'!AN$1,'Team forecast'!$B$2:$AO$2,0))</f>
        <v>0.20779220779220781</v>
      </c>
      <c r="AO554" s="16">
        <f>INDEX('Team forecast'!$B$2:$AO$26,MATCH('Master data'!$B554,'Team forecast'!$B$2:$B$26,0),MATCH('Master data'!AO$1,'Team forecast'!$B$2:$AO$2,0))</f>
        <v>2.4958899707496114</v>
      </c>
      <c r="AP554" s="16">
        <f>INDEX('Team forecast'!$B$2:$AO$26,MATCH('Master data'!$B554,'Team forecast'!$B$2:$B$26,0),MATCH('Master data'!AP$1,'Team forecast'!$B$2:$AO$2,0))</f>
        <v>3.8613391532964307</v>
      </c>
      <c r="AQ554" s="5">
        <f t="shared" si="316"/>
        <v>7000</v>
      </c>
      <c r="AR554" s="5">
        <f>INDEX('Team forecast'!$B$2:$AO$26,MATCH('Master data'!$B554,'Team forecast'!$B$2:$B$26,0),MATCH('Master data'!AR$1,'Team forecast'!$B$2:$AO$2,0))*IF(X554&gt;0,25000,0)</f>
        <v>3896.1038961038953</v>
      </c>
      <c r="AS554" s="16">
        <f>INDEX('Team forecast'!$B$2:$AO$26,MATCH('Master data'!$B554,'Team forecast'!$B$2:$B$26,0),MATCH('Master data'!AS$1,'Team forecast'!$B$2:$AO$2,0))*IF(X554&gt;0,5000,0)</f>
        <v>1298.7012987012986</v>
      </c>
      <c r="AT554" s="16">
        <f>INDEX('Team forecast'!$B$2:$AO$26,MATCH('Master data'!$B554,'Team forecast'!$B$2:$B$26,0),MATCH('Master data'!AT$1,'Team forecast'!$B$2:$AO$2,0))*IF(X554&gt;0,-15000,0)</f>
        <v>-8766.233766233765</v>
      </c>
      <c r="AU554" s="5">
        <f t="shared" si="317"/>
        <v>3662.7289669780744</v>
      </c>
      <c r="AV554" s="5">
        <f t="shared" si="318"/>
        <v>348.88830001802074</v>
      </c>
      <c r="AW554" s="5">
        <f t="shared" si="319"/>
        <v>611.22500246715038</v>
      </c>
      <c r="AX554" s="5">
        <f t="shared" si="320"/>
        <v>10389.61038961039</v>
      </c>
      <c r="AY554" s="5">
        <f t="shared" si="321"/>
        <v>0</v>
      </c>
      <c r="AZ554" s="5">
        <f t="shared" si="322"/>
        <v>-6265.3778558875219</v>
      </c>
      <c r="BA554" s="5">
        <f t="shared" si="323"/>
        <v>0</v>
      </c>
      <c r="BB554" s="5">
        <f t="shared" si="324"/>
        <v>7602.8648339757392</v>
      </c>
      <c r="BC554" s="5">
        <f t="shared" si="325"/>
        <v>-12569.733596911221</v>
      </c>
      <c r="BD554" s="5">
        <f t="shared" si="326"/>
        <v>7208.7774688220634</v>
      </c>
      <c r="BE554" s="16">
        <f>INDEX('Team forecast'!$B$2:$AO$26,MATCH('Master data'!$B554,'Team forecast'!$B$2:$B$26,0),MATCH('Master data'!BE$1,'Team forecast'!$B$2:$AO$2,0))</f>
        <v>0.49102780480244929</v>
      </c>
      <c r="BF554" s="16">
        <f>INDEX('Team forecast'!$B$2:$AO$26,MATCH('Master data'!$B554,'Team forecast'!$B$2:$B$26,0),MATCH('Master data'!BF$1,'Team forecast'!$B$2:$AO$2,0))</f>
        <v>2.3683451623921505</v>
      </c>
      <c r="BG554" s="16">
        <f>INDEX('Team forecast'!$B$2:$AO$26,MATCH('Master data'!$B554,'Team forecast'!$B$2:$B$26,0),MATCH('Master data'!BG$1,'Team forecast'!$B$2:$AO$2,0))</f>
        <v>9.3635549768047527E-2</v>
      </c>
      <c r="BH554" s="16">
        <f>INDEX('Team forecast'!$B$2:$AO$26,MATCH('Master data'!$B554,'Team forecast'!$B$2:$B$26,0),MATCH('Master data'!BH$1,'Team forecast'!$B$2:$AO$2,0))</f>
        <v>1.6119599652605658</v>
      </c>
      <c r="BI554" s="16">
        <f>INDEX('Team forecast'!$B$2:$AO$26,MATCH('Master data'!$B554,'Team forecast'!$B$2:$B$26,0),MATCH('Master data'!BI$1,'Team forecast'!$B$2:$AO$2,0))</f>
        <v>5.8203199509731629</v>
      </c>
      <c r="BJ554" s="5">
        <f t="shared" si="327"/>
        <v>7000</v>
      </c>
      <c r="BK554" s="5">
        <f>INDEX('Team forecast'!$R$3:$BH$26,MATCH($B554,'Team forecast'!$B$3:$B$26,0),MATCH(BK$1,'Team forecast'!$R$2:$BH$2,0))*IF($X554&gt;0,25000,0)</f>
        <v>1560.5924961341254</v>
      </c>
      <c r="BL554" s="5">
        <f>INDEX('Team forecast'!$R$3:$BH$26,MATCH($B554,'Team forecast'!$B$3:$B$26,0),MATCH(BL$1,'Team forecast'!$R$2:$BH$2,0))*IF($X554&gt;0,5000,0)</f>
        <v>720.27345975421156</v>
      </c>
      <c r="BM554" s="5">
        <f>INDEX('Team forecast'!$R$3:$BH$26,MATCH($B554,'Team forecast'!$B$3:$B$26,0),MATCH(BM$1,'Team forecast'!$R$2:$BH$2,0))*IF($X554&gt;0,-15000,0)</f>
        <v>-11902.824123056889</v>
      </c>
      <c r="BN554" s="5">
        <f t="shared" si="328"/>
        <v>2365.5579883577948</v>
      </c>
      <c r="BO554" s="5">
        <f t="shared" si="329"/>
        <v>225.32803070960625</v>
      </c>
      <c r="BP554" s="5">
        <f t="shared" si="330"/>
        <v>394.75707875352487</v>
      </c>
      <c r="BQ554" s="5">
        <f t="shared" si="331"/>
        <v>4681.7774884023765</v>
      </c>
      <c r="BR554" s="5">
        <f t="shared" si="332"/>
        <v>0</v>
      </c>
      <c r="BS554" s="5">
        <f t="shared" si="333"/>
        <v>-6265.3778558875219</v>
      </c>
      <c r="BT554" s="5">
        <f t="shared" si="334"/>
        <v>0</v>
      </c>
      <c r="BU554" s="5">
        <f t="shared" si="335"/>
        <v>4910.2780480244928</v>
      </c>
      <c r="BV554" s="5">
        <f t="shared" si="336"/>
        <v>-18946.761299137204</v>
      </c>
      <c r="BW554" s="5">
        <f t="shared" si="337"/>
        <v>-15256.398687945482</v>
      </c>
      <c r="BX554" s="5">
        <f t="shared" si="338"/>
        <v>-862.39956126325467</v>
      </c>
      <c r="BY554" s="5">
        <f t="shared" si="339"/>
        <v>-2587.1986837897639</v>
      </c>
      <c r="BZ554" s="5">
        <f>INDEX('Team forecast'!$R$3:$BH$26,MATCH($B554,'Team forecast'!$B$3:$B$26,0),MATCH(BZ$1,'Team forecast'!$R$2:$BH$2,0))*($BX554-(BY554+CH554)*0.01)</f>
        <v>-6556.7840854775222</v>
      </c>
      <c r="CA554" s="5">
        <f>INDEX('Team forecast'!$R$3:$BH$26,MATCH($B554,'Team forecast'!$B$3:$B$26,0),MATCH(CA$1,'Team forecast'!$R$2:$BH$2,0))*($BX554-(BY554+BX554+CH554)*0.01)</f>
        <v>-3216.4515846604295</v>
      </c>
      <c r="CB554" s="5">
        <f>INDEX('Team forecast'!$R$3:$BH$26,MATCH($B554,'Team forecast'!$B$3:$B$26,0),MATCH(CB$1,'Team forecast'!$R$2:$BH$2,0))*($BX554-(BY554+BX554*2+CH554)*0.01)</f>
        <v>-1550.4409486740924</v>
      </c>
      <c r="CC554" s="5">
        <f>INDEX('Team forecast'!$R$3:$BH$26,MATCH($B554,'Team forecast'!$B$3:$B$26,0),MATCH(CC$1,'Team forecast'!$R$2:$BH$2,0))*($BX554-(BY554+BX554*3+CH554)*0.01)</f>
        <v>-701.166596312004</v>
      </c>
      <c r="CD554" s="5">
        <f>+AK554+BD554*Cockpit!$C$3+BW554*Cockpit!$C$3^2+BZ554*Cockpit!$C$3^3+CA554*Cockpit!$C$3^4+CB554*Cockpit!$C$3^5+CC554*Cockpit!$C$3^6</f>
        <v>641.82348329285855</v>
      </c>
      <c r="CE554" s="5"/>
      <c r="CF554" s="5"/>
      <c r="CG554" s="5">
        <v>0</v>
      </c>
      <c r="CH554" s="5">
        <f t="shared" si="340"/>
        <v>2500000</v>
      </c>
      <c r="CI554" s="5">
        <f t="shared" si="341"/>
        <v>2500000</v>
      </c>
      <c r="CJ554" s="1">
        <f t="shared" si="342"/>
        <v>-1.0348794735159056E-3</v>
      </c>
      <c r="CK554" s="5">
        <f>RANK(BY554,$BY$2:$BY$623)+COUNTIF($BY$2:$BY554,$BY554)-1</f>
        <v>413</v>
      </c>
      <c r="CL554" s="5">
        <f>RANK(CJ554,$CJ$2:$CJ$623)+COUNTIF($CJ$2:$CJ554,$CJ554)-1</f>
        <v>413</v>
      </c>
    </row>
    <row r="555" spans="1:90">
      <c r="A555" t="str">
        <f>Players!P556</f>
        <v>Egzon Bejtulai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2000000</v>
      </c>
      <c r="H555" s="16">
        <f>INDEX('Team forecast'!$B$2:$AO$26,MATCH('Master data'!$B555,'Team forecast'!$B$2:$B$26,0),MATCH('Master data'!H$1,'Team forecast'!$B$2:$AO$2,0))</f>
        <v>0.65653770483831209</v>
      </c>
      <c r="I555" s="16">
        <f>INDEX('Team forecast'!$B$2:$AO$26,MATCH('Master data'!$B555,'Team forecast'!$B$2:$B$26,0),MATCH('Master data'!I$1,'Team forecast'!$B$2:$AO$2,0))</f>
        <v>1.5562991347612565</v>
      </c>
      <c r="J555" s="16">
        <f>INDEX('Team forecast'!$B$2:$AO$26,MATCH('Master data'!$B555,'Team forecast'!$B$2:$B$26,0),MATCH('Master data'!J$1,'Team forecast'!$B$2:$AO$2,0))</f>
        <v>0.2109151973131822</v>
      </c>
      <c r="K555" s="16">
        <f>INDEX('Team forecast'!$B$2:$AO$26,MATCH('Master data'!$B555,'Team forecast'!$B$2:$B$26,0),MATCH('Master data'!K$1,'Team forecast'!$B$2:$AO$2,0))</f>
        <v>2.1553005461863779</v>
      </c>
      <c r="L555" s="16">
        <f>INDEX('Team forecast'!$B$2:$AO$26,MATCH('Master data'!$B555,'Team forecast'!$B$2:$B$26,0),MATCH('Master data'!L$1,'Team forecast'!$B$2:$AO$2,0))</f>
        <v>3.8246785340123335</v>
      </c>
      <c r="M555">
        <f>IF(Players!BC556=1,95,0)</f>
        <v>95</v>
      </c>
      <c r="N555" s="2">
        <f>Players!BN556</f>
        <v>3.2117094866749386E-2</v>
      </c>
      <c r="O555" s="2">
        <f>Players!BO556</f>
        <v>1.8355622920397382E-2</v>
      </c>
      <c r="P555" s="2">
        <f>Players!BP556</f>
        <v>2.4489260729854054E-2</v>
      </c>
      <c r="Q555" s="2">
        <f>Players!BQ556</f>
        <v>0.3282688927943761</v>
      </c>
      <c r="R555" s="2">
        <f>Players!BR556</f>
        <v>0</v>
      </c>
      <c r="S555" s="2">
        <f t="shared" si="301"/>
        <v>0.65653770483831209</v>
      </c>
      <c r="T555" s="2">
        <f t="shared" si="302"/>
        <v>1.5562991347612565</v>
      </c>
      <c r="U555" s="16">
        <f>INDEX('Team forecast'!$B$2:$AO$26,MATCH('Master data'!$B555,'Team forecast'!$B$2:$B$26,0),MATCH('Master data'!U$1,'Team forecast'!$B$2:$AO$2,0))</f>
        <v>0.15818639798488671</v>
      </c>
      <c r="V555" s="16">
        <f>INDEX('Team forecast'!$B$2:$AO$26,MATCH('Master data'!$B555,'Team forecast'!$B$2:$B$26,0),MATCH('Master data'!V$1,'Team forecast'!$B$2:$AO$2,0))</f>
        <v>0.23727959697733</v>
      </c>
      <c r="W555" s="16">
        <f>INDEX('Team forecast'!$B$2:$AO$26,MATCH('Master data'!$B555,'Team forecast'!$B$2:$B$26,0),MATCH('Master data'!W$1,'Team forecast'!$B$2:$AO$2,0))</f>
        <v>0.60453400503778332</v>
      </c>
      <c r="X555" s="5">
        <f t="shared" si="303"/>
        <v>7000</v>
      </c>
      <c r="Y555" s="5">
        <f t="shared" si="304"/>
        <v>3954.6599496221675</v>
      </c>
      <c r="Z555" s="5">
        <f t="shared" si="305"/>
        <v>1186.39798488665</v>
      </c>
      <c r="AA555" s="5">
        <f t="shared" si="306"/>
        <v>-9068.0100755667499</v>
      </c>
      <c r="AB555" s="5">
        <f t="shared" si="307"/>
        <v>3162.9125624834965</v>
      </c>
      <c r="AC555" s="5">
        <f t="shared" si="308"/>
        <v>602.55792715176062</v>
      </c>
      <c r="AD555" s="5">
        <f t="shared" si="309"/>
        <v>527.81717026755064</v>
      </c>
      <c r="AE555" s="5">
        <f t="shared" si="310"/>
        <v>10545.759865659111</v>
      </c>
      <c r="AF555" s="5">
        <f t="shared" si="311"/>
        <v>0</v>
      </c>
      <c r="AG555" s="5">
        <f t="shared" si="312"/>
        <v>-6565.3778558875219</v>
      </c>
      <c r="AH555" s="5">
        <f t="shared" si="313"/>
        <v>0</v>
      </c>
      <c r="AI555" s="5">
        <f t="shared" si="314"/>
        <v>6565.3770483831213</v>
      </c>
      <c r="AJ555" s="5">
        <f t="shared" si="315"/>
        <v>-12450.393078090052</v>
      </c>
      <c r="AK555" s="5">
        <f>IFERROR(SUM(X555:AJ555),-5000)*((Cockpit!$C$3)^0)</f>
        <v>5461.7014989095296</v>
      </c>
      <c r="AL555" s="16">
        <f>INDEX('Team forecast'!$B$2:$AO$26,MATCH('Master data'!$B555,'Team forecast'!$B$2:$B$26,0),MATCH('Master data'!AL$1,'Team forecast'!$B$2:$AO$2,0))</f>
        <v>0.76028648339757388</v>
      </c>
      <c r="AM555" s="16">
        <f>INDEX('Team forecast'!$B$2:$AO$26,MATCH('Master data'!$B555,'Team forecast'!$B$2:$B$26,0),MATCH('Master data'!AM$1,'Team forecast'!$B$2:$AO$2,0))</f>
        <v>1.5712166996139025</v>
      </c>
      <c r="AN555" s="16">
        <f>INDEX('Team forecast'!$B$2:$AO$26,MATCH('Master data'!$B555,'Team forecast'!$B$2:$B$26,0),MATCH('Master data'!AN$1,'Team forecast'!$B$2:$AO$2,0))</f>
        <v>0.20779220779220781</v>
      </c>
      <c r="AO555" s="16">
        <f>INDEX('Team forecast'!$B$2:$AO$26,MATCH('Master data'!$B555,'Team forecast'!$B$2:$B$26,0),MATCH('Master data'!AO$1,'Team forecast'!$B$2:$AO$2,0))</f>
        <v>2.4958899707496114</v>
      </c>
      <c r="AP555" s="16">
        <f>INDEX('Team forecast'!$B$2:$AO$26,MATCH('Master data'!$B555,'Team forecast'!$B$2:$B$26,0),MATCH('Master data'!AP$1,'Team forecast'!$B$2:$AO$2,0))</f>
        <v>3.8613391532964307</v>
      </c>
      <c r="AQ555" s="5">
        <f t="shared" si="316"/>
        <v>7000</v>
      </c>
      <c r="AR555" s="5">
        <f>INDEX('Team forecast'!$B$2:$AO$26,MATCH('Master data'!$B555,'Team forecast'!$B$2:$B$26,0),MATCH('Master data'!AR$1,'Team forecast'!$B$2:$AO$2,0))*IF(X555&gt;0,25000,0)</f>
        <v>3896.1038961038953</v>
      </c>
      <c r="AS555" s="16">
        <f>INDEX('Team forecast'!$B$2:$AO$26,MATCH('Master data'!$B555,'Team forecast'!$B$2:$B$26,0),MATCH('Master data'!AS$1,'Team forecast'!$B$2:$AO$2,0))*IF(X555&gt;0,5000,0)</f>
        <v>1298.7012987012986</v>
      </c>
      <c r="AT555" s="16">
        <f>INDEX('Team forecast'!$B$2:$AO$26,MATCH('Master data'!$B555,'Team forecast'!$B$2:$B$26,0),MATCH('Master data'!AT$1,'Team forecast'!$B$2:$AO$2,0))*IF(X555&gt;0,-15000,0)</f>
        <v>-8766.233766233765</v>
      </c>
      <c r="AU555" s="5">
        <f t="shared" si="317"/>
        <v>3662.7289669780744</v>
      </c>
      <c r="AV555" s="5">
        <f t="shared" si="318"/>
        <v>697.77660003604149</v>
      </c>
      <c r="AW555" s="5">
        <f t="shared" si="319"/>
        <v>611.22500246715038</v>
      </c>
      <c r="AX555" s="5">
        <f t="shared" si="320"/>
        <v>10389.61038961039</v>
      </c>
      <c r="AY555" s="5">
        <f t="shared" si="321"/>
        <v>0</v>
      </c>
      <c r="AZ555" s="5">
        <f t="shared" si="322"/>
        <v>-6565.3778558875219</v>
      </c>
      <c r="BA555" s="5">
        <f t="shared" si="323"/>
        <v>0</v>
      </c>
      <c r="BB555" s="5">
        <f t="shared" si="324"/>
        <v>7602.8648339757392</v>
      </c>
      <c r="BC555" s="5">
        <f t="shared" si="325"/>
        <v>-12569.733596911221</v>
      </c>
      <c r="BD555" s="5">
        <f t="shared" si="326"/>
        <v>7257.6657688400846</v>
      </c>
      <c r="BE555" s="16">
        <f>INDEX('Team forecast'!$B$2:$AO$26,MATCH('Master data'!$B555,'Team forecast'!$B$2:$B$26,0),MATCH('Master data'!BE$1,'Team forecast'!$B$2:$AO$2,0))</f>
        <v>0.49102780480244929</v>
      </c>
      <c r="BF555" s="16">
        <f>INDEX('Team forecast'!$B$2:$AO$26,MATCH('Master data'!$B555,'Team forecast'!$B$2:$B$26,0),MATCH('Master data'!BF$1,'Team forecast'!$B$2:$AO$2,0))</f>
        <v>2.3683451623921505</v>
      </c>
      <c r="BG555" s="16">
        <f>INDEX('Team forecast'!$B$2:$AO$26,MATCH('Master data'!$B555,'Team forecast'!$B$2:$B$26,0),MATCH('Master data'!BG$1,'Team forecast'!$B$2:$AO$2,0))</f>
        <v>9.3635549768047527E-2</v>
      </c>
      <c r="BH555" s="16">
        <f>INDEX('Team forecast'!$B$2:$AO$26,MATCH('Master data'!$B555,'Team forecast'!$B$2:$B$26,0),MATCH('Master data'!BH$1,'Team forecast'!$B$2:$AO$2,0))</f>
        <v>1.6119599652605658</v>
      </c>
      <c r="BI555" s="16">
        <f>INDEX('Team forecast'!$B$2:$AO$26,MATCH('Master data'!$B555,'Team forecast'!$B$2:$B$26,0),MATCH('Master data'!BI$1,'Team forecast'!$B$2:$AO$2,0))</f>
        <v>5.8203199509731629</v>
      </c>
      <c r="BJ555" s="5">
        <f t="shared" si="327"/>
        <v>7000</v>
      </c>
      <c r="BK555" s="5">
        <f>INDEX('Team forecast'!$R$3:$BH$26,MATCH($B555,'Team forecast'!$B$3:$B$26,0),MATCH(BK$1,'Team forecast'!$R$2:$BH$2,0))*IF($X555&gt;0,25000,0)</f>
        <v>1560.5924961341254</v>
      </c>
      <c r="BL555" s="5">
        <f>INDEX('Team forecast'!$R$3:$BH$26,MATCH($B555,'Team forecast'!$B$3:$B$26,0),MATCH(BL$1,'Team forecast'!$R$2:$BH$2,0))*IF($X555&gt;0,5000,0)</f>
        <v>720.27345975421156</v>
      </c>
      <c r="BM555" s="5">
        <f>INDEX('Team forecast'!$R$3:$BH$26,MATCH($B555,'Team forecast'!$B$3:$B$26,0),MATCH(BM$1,'Team forecast'!$R$2:$BH$2,0))*IF($X555&gt;0,-15000,0)</f>
        <v>-11902.824123056889</v>
      </c>
      <c r="BN555" s="5">
        <f t="shared" si="328"/>
        <v>2365.5579883577948</v>
      </c>
      <c r="BO555" s="5">
        <f t="shared" si="329"/>
        <v>450.65606141921251</v>
      </c>
      <c r="BP555" s="5">
        <f t="shared" si="330"/>
        <v>394.75707875352487</v>
      </c>
      <c r="BQ555" s="5">
        <f t="shared" si="331"/>
        <v>4681.7774884023765</v>
      </c>
      <c r="BR555" s="5">
        <f t="shared" si="332"/>
        <v>0</v>
      </c>
      <c r="BS555" s="5">
        <f t="shared" si="333"/>
        <v>-6565.3778558875219</v>
      </c>
      <c r="BT555" s="5">
        <f t="shared" si="334"/>
        <v>0</v>
      </c>
      <c r="BU555" s="5">
        <f t="shared" si="335"/>
        <v>4910.2780480244928</v>
      </c>
      <c r="BV555" s="5">
        <f t="shared" si="336"/>
        <v>-18946.761299137204</v>
      </c>
      <c r="BW555" s="5">
        <f t="shared" si="337"/>
        <v>-15331.070657235876</v>
      </c>
      <c r="BX555" s="5">
        <f t="shared" si="338"/>
        <v>-870.56779649542057</v>
      </c>
      <c r="BY555" s="5">
        <f t="shared" si="339"/>
        <v>-2611.7033894862616</v>
      </c>
      <c r="BZ555" s="5">
        <f>INDEX('Team forecast'!$R$3:$BH$26,MATCH($B555,'Team forecast'!$B$3:$B$26,0),MATCH(BZ$1,'Team forecast'!$R$2:$BH$2,0))*($BX555-(BY555+CH555)*0.01)</f>
        <v>-5289.8967416204323</v>
      </c>
      <c r="CA555" s="5">
        <f>INDEX('Team forecast'!$R$3:$BH$26,MATCH($B555,'Team forecast'!$B$3:$B$26,0),MATCH(CA$1,'Team forecast'!$R$2:$BH$2,0))*($BX555-(BY555+BX555+CH555)*0.01)</f>
        <v>-2594.7582269136551</v>
      </c>
      <c r="CB555" s="5">
        <f>INDEX('Team forecast'!$R$3:$BH$26,MATCH($B555,'Team forecast'!$B$3:$B$26,0),MATCH(CB$1,'Team forecast'!$R$2:$BH$2,0))*($BX555-(BY555+BX555*2+CH555)*0.01)</f>
        <v>-1250.6582389991274</v>
      </c>
      <c r="CC555" s="5">
        <f>INDEX('Team forecast'!$R$3:$BH$26,MATCH($B555,'Team forecast'!$B$3:$B$26,0),MATCH(CC$1,'Team forecast'!$R$2:$BH$2,0))*($BX555-(BY555+BX555*3+CH555)*0.01)</f>
        <v>-565.54627804432175</v>
      </c>
      <c r="CD555" s="5">
        <f>+AK555+BD555*Cockpit!$C$3+BW555*Cockpit!$C$3^2+BZ555*Cockpit!$C$3^3+CA555*Cockpit!$C$3^4+CB555*Cockpit!$C$3^5+CC555*Cockpit!$C$3^6</f>
        <v>1192.0686280007842</v>
      </c>
      <c r="CE555" s="5"/>
      <c r="CF555" s="5"/>
      <c r="CG555" s="5">
        <v>0</v>
      </c>
      <c r="CH555" s="5">
        <f t="shared" si="340"/>
        <v>2000000</v>
      </c>
      <c r="CI555" s="5">
        <f t="shared" si="341"/>
        <v>2000000</v>
      </c>
      <c r="CJ555" s="1">
        <f t="shared" si="342"/>
        <v>-1.3058516947431309E-3</v>
      </c>
      <c r="CK555" s="5">
        <f>RANK(BY555,$BY$2:$BY$623)+COUNTIF($BY$2:$BY555,$BY555)-1</f>
        <v>414</v>
      </c>
      <c r="CL555" s="5">
        <f>RANK(CJ555,$CJ$2:$CJ$623)+COUNTIF($CJ$2:$CJ555,$CJ555)-1</f>
        <v>414</v>
      </c>
    </row>
    <row r="556" spans="1:90">
      <c r="A556" t="str">
        <f>Players!P557</f>
        <v>Stefan Ristovski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0.65653770483831209</v>
      </c>
      <c r="I556" s="16">
        <f>INDEX('Team forecast'!$B$2:$AO$26,MATCH('Master data'!$B556,'Team forecast'!$B$2:$B$26,0),MATCH('Master data'!I$1,'Team forecast'!$B$2:$AO$2,0))</f>
        <v>1.5562991347612565</v>
      </c>
      <c r="J556" s="16">
        <f>INDEX('Team forecast'!$B$2:$AO$26,MATCH('Master data'!$B556,'Team forecast'!$B$2:$B$26,0),MATCH('Master data'!J$1,'Team forecast'!$B$2:$AO$2,0))</f>
        <v>0.2109151973131822</v>
      </c>
      <c r="K556" s="16">
        <f>INDEX('Team forecast'!$B$2:$AO$26,MATCH('Master data'!$B556,'Team forecast'!$B$2:$B$26,0),MATCH('Master data'!K$1,'Team forecast'!$B$2:$AO$2,0))</f>
        <v>2.1553005461863779</v>
      </c>
      <c r="L556" s="16">
        <f>INDEX('Team forecast'!$B$2:$AO$26,MATCH('Master data'!$B556,'Team forecast'!$B$2:$B$26,0),MATCH('Master data'!L$1,'Team forecast'!$B$2:$AO$2,0))</f>
        <v>3.8246785340123335</v>
      </c>
      <c r="M556">
        <f>IF(Players!BC557=1,95,0)</f>
        <v>95</v>
      </c>
      <c r="N556" s="2">
        <f>Players!BN557</f>
        <v>5.2159211888778347E-2</v>
      </c>
      <c r="O556" s="2">
        <f>Players!BO557</f>
        <v>9.1778114601986909E-3</v>
      </c>
      <c r="P556" s="2">
        <f>Players!BP557</f>
        <v>3.9263073900367908E-2</v>
      </c>
      <c r="Q556" s="2">
        <f>Players!BQ557</f>
        <v>0.15347396768402155</v>
      </c>
      <c r="R556" s="2">
        <f>Players!BR557</f>
        <v>3.2315978456014367E-2</v>
      </c>
      <c r="S556" s="2">
        <f t="shared" si="301"/>
        <v>0.65653770483831209</v>
      </c>
      <c r="T556" s="2">
        <f t="shared" si="302"/>
        <v>1.5562991347612565</v>
      </c>
      <c r="U556" s="16">
        <f>INDEX('Team forecast'!$B$2:$AO$26,MATCH('Master data'!$B556,'Team forecast'!$B$2:$B$26,0),MATCH('Master data'!U$1,'Team forecast'!$B$2:$AO$2,0))</f>
        <v>0.15818639798488671</v>
      </c>
      <c r="V556" s="16">
        <f>INDEX('Team forecast'!$B$2:$AO$26,MATCH('Master data'!$B556,'Team forecast'!$B$2:$B$26,0),MATCH('Master data'!V$1,'Team forecast'!$B$2:$AO$2,0))</f>
        <v>0.23727959697733</v>
      </c>
      <c r="W556" s="16">
        <f>INDEX('Team forecast'!$B$2:$AO$26,MATCH('Master data'!$B556,'Team forecast'!$B$2:$B$26,0),MATCH('Master data'!W$1,'Team forecast'!$B$2:$AO$2,0))</f>
        <v>0.60453400503778332</v>
      </c>
      <c r="X556" s="5">
        <f t="shared" si="303"/>
        <v>7000</v>
      </c>
      <c r="Y556" s="5">
        <f t="shared" si="304"/>
        <v>3954.6599496221675</v>
      </c>
      <c r="Z556" s="5">
        <f t="shared" si="305"/>
        <v>1186.39798488665</v>
      </c>
      <c r="AA556" s="5">
        <f t="shared" si="306"/>
        <v>-9068.0100755667499</v>
      </c>
      <c r="AB556" s="5">
        <f t="shared" si="307"/>
        <v>5136.6733889450607</v>
      </c>
      <c r="AC556" s="5">
        <f t="shared" si="308"/>
        <v>301.27896357588031</v>
      </c>
      <c r="AD556" s="5">
        <f t="shared" si="309"/>
        <v>846.2372462241907</v>
      </c>
      <c r="AE556" s="5">
        <f t="shared" si="310"/>
        <v>10545.759865659111</v>
      </c>
      <c r="AF556" s="5">
        <f t="shared" si="311"/>
        <v>0</v>
      </c>
      <c r="AG556" s="5">
        <f t="shared" si="312"/>
        <v>-3069.4793536804309</v>
      </c>
      <c r="AH556" s="5">
        <f t="shared" si="313"/>
        <v>-1615.7989228007184</v>
      </c>
      <c r="AI556" s="5">
        <f t="shared" si="314"/>
        <v>6565.3770483831213</v>
      </c>
      <c r="AJ556" s="5">
        <f t="shared" si="315"/>
        <v>-12450.393078090052</v>
      </c>
      <c r="AK556" s="5">
        <f>IFERROR(SUM(X556:AJ556),-5000)*((Cockpit!$C$3)^0)</f>
        <v>9332.7030171582264</v>
      </c>
      <c r="AL556" s="16">
        <f>INDEX('Team forecast'!$B$2:$AO$26,MATCH('Master data'!$B556,'Team forecast'!$B$2:$B$26,0),MATCH('Master data'!AL$1,'Team forecast'!$B$2:$AO$2,0))</f>
        <v>0.76028648339757388</v>
      </c>
      <c r="AM556" s="16">
        <f>INDEX('Team forecast'!$B$2:$AO$26,MATCH('Master data'!$B556,'Team forecast'!$B$2:$B$26,0),MATCH('Master data'!AM$1,'Team forecast'!$B$2:$AO$2,0))</f>
        <v>1.5712166996139025</v>
      </c>
      <c r="AN556" s="16">
        <f>INDEX('Team forecast'!$B$2:$AO$26,MATCH('Master data'!$B556,'Team forecast'!$B$2:$B$26,0),MATCH('Master data'!AN$1,'Team forecast'!$B$2:$AO$2,0))</f>
        <v>0.20779220779220781</v>
      </c>
      <c r="AO556" s="16">
        <f>INDEX('Team forecast'!$B$2:$AO$26,MATCH('Master data'!$B556,'Team forecast'!$B$2:$B$26,0),MATCH('Master data'!AO$1,'Team forecast'!$B$2:$AO$2,0))</f>
        <v>2.4958899707496114</v>
      </c>
      <c r="AP556" s="16">
        <f>INDEX('Team forecast'!$B$2:$AO$26,MATCH('Master data'!$B556,'Team forecast'!$B$2:$B$26,0),MATCH('Master data'!AP$1,'Team forecast'!$B$2:$AO$2,0))</f>
        <v>3.8613391532964307</v>
      </c>
      <c r="AQ556" s="5">
        <f t="shared" si="316"/>
        <v>7000</v>
      </c>
      <c r="AR556" s="5">
        <f>INDEX('Team forecast'!$B$2:$AO$26,MATCH('Master data'!$B556,'Team forecast'!$B$2:$B$26,0),MATCH('Master data'!AR$1,'Team forecast'!$B$2:$AO$2,0))*IF(X556&gt;0,25000,0)</f>
        <v>3896.1038961038953</v>
      </c>
      <c r="AS556" s="16">
        <f>INDEX('Team forecast'!$B$2:$AO$26,MATCH('Master data'!$B556,'Team forecast'!$B$2:$B$26,0),MATCH('Master data'!AS$1,'Team forecast'!$B$2:$AO$2,0))*IF(X556&gt;0,5000,0)</f>
        <v>1298.7012987012986</v>
      </c>
      <c r="AT556" s="16">
        <f>INDEX('Team forecast'!$B$2:$AO$26,MATCH('Master data'!$B556,'Team forecast'!$B$2:$B$26,0),MATCH('Master data'!AT$1,'Team forecast'!$B$2:$AO$2,0))*IF(X556&gt;0,-15000,0)</f>
        <v>-8766.233766233765</v>
      </c>
      <c r="AU556" s="5">
        <f t="shared" si="317"/>
        <v>5948.391567556233</v>
      </c>
      <c r="AV556" s="5">
        <f t="shared" si="318"/>
        <v>348.88830001802074</v>
      </c>
      <c r="AW556" s="5">
        <f t="shared" si="319"/>
        <v>979.96312368729093</v>
      </c>
      <c r="AX556" s="5">
        <f t="shared" si="320"/>
        <v>10389.61038961039</v>
      </c>
      <c r="AY556" s="5">
        <f t="shared" si="321"/>
        <v>0</v>
      </c>
      <c r="AZ556" s="5">
        <f t="shared" si="322"/>
        <v>-3069.4793536804309</v>
      </c>
      <c r="BA556" s="5">
        <f t="shared" si="323"/>
        <v>-1615.7989228007184</v>
      </c>
      <c r="BB556" s="5">
        <f t="shared" si="324"/>
        <v>7602.8648339757392</v>
      </c>
      <c r="BC556" s="5">
        <f t="shared" si="325"/>
        <v>-12569.733596911221</v>
      </c>
      <c r="BD556" s="5">
        <f t="shared" si="326"/>
        <v>11443.277770026732</v>
      </c>
      <c r="BE556" s="16">
        <f>INDEX('Team forecast'!$B$2:$AO$26,MATCH('Master data'!$B556,'Team forecast'!$B$2:$B$26,0),MATCH('Master data'!BE$1,'Team forecast'!$B$2:$AO$2,0))</f>
        <v>0.49102780480244929</v>
      </c>
      <c r="BF556" s="16">
        <f>INDEX('Team forecast'!$B$2:$AO$26,MATCH('Master data'!$B556,'Team forecast'!$B$2:$B$26,0),MATCH('Master data'!BF$1,'Team forecast'!$B$2:$AO$2,0))</f>
        <v>2.3683451623921505</v>
      </c>
      <c r="BG556" s="16">
        <f>INDEX('Team forecast'!$B$2:$AO$26,MATCH('Master data'!$B556,'Team forecast'!$B$2:$B$26,0),MATCH('Master data'!BG$1,'Team forecast'!$B$2:$AO$2,0))</f>
        <v>9.3635549768047527E-2</v>
      </c>
      <c r="BH556" s="16">
        <f>INDEX('Team forecast'!$B$2:$AO$26,MATCH('Master data'!$B556,'Team forecast'!$B$2:$B$26,0),MATCH('Master data'!BH$1,'Team forecast'!$B$2:$AO$2,0))</f>
        <v>1.6119599652605658</v>
      </c>
      <c r="BI556" s="16">
        <f>INDEX('Team forecast'!$B$2:$AO$26,MATCH('Master data'!$B556,'Team forecast'!$B$2:$B$26,0),MATCH('Master data'!BI$1,'Team forecast'!$B$2:$AO$2,0))</f>
        <v>5.8203199509731629</v>
      </c>
      <c r="BJ556" s="5">
        <f t="shared" si="327"/>
        <v>7000</v>
      </c>
      <c r="BK556" s="5">
        <f>INDEX('Team forecast'!$R$3:$BH$26,MATCH($B556,'Team forecast'!$B$3:$B$26,0),MATCH(BK$1,'Team forecast'!$R$2:$BH$2,0))*IF($X556&gt;0,25000,0)</f>
        <v>1560.5924961341254</v>
      </c>
      <c r="BL556" s="5">
        <f>INDEX('Team forecast'!$R$3:$BH$26,MATCH($B556,'Team forecast'!$B$3:$B$26,0),MATCH(BL$1,'Team forecast'!$R$2:$BH$2,0))*IF($X556&gt;0,5000,0)</f>
        <v>720.27345975421156</v>
      </c>
      <c r="BM556" s="5">
        <f>INDEX('Team forecast'!$R$3:$BH$26,MATCH($B556,'Team forecast'!$B$3:$B$26,0),MATCH(BM$1,'Team forecast'!$R$2:$BH$2,0))*IF($X556&gt;0,-15000,0)</f>
        <v>-11902.824123056889</v>
      </c>
      <c r="BN556" s="5">
        <f t="shared" si="328"/>
        <v>3841.7434970958971</v>
      </c>
      <c r="BO556" s="5">
        <f t="shared" si="329"/>
        <v>225.32803070960625</v>
      </c>
      <c r="BP556" s="5">
        <f t="shared" si="330"/>
        <v>632.90503240460077</v>
      </c>
      <c r="BQ556" s="5">
        <f t="shared" si="331"/>
        <v>4681.7774884023765</v>
      </c>
      <c r="BR556" s="5">
        <f t="shared" si="332"/>
        <v>0</v>
      </c>
      <c r="BS556" s="5">
        <f t="shared" si="333"/>
        <v>-3069.4793536804309</v>
      </c>
      <c r="BT556" s="5">
        <f t="shared" si="334"/>
        <v>-1615.7989228007184</v>
      </c>
      <c r="BU556" s="5">
        <f t="shared" si="335"/>
        <v>4910.2780480244928</v>
      </c>
      <c r="BV556" s="5">
        <f t="shared" si="336"/>
        <v>-18946.761299137204</v>
      </c>
      <c r="BW556" s="5">
        <f t="shared" si="337"/>
        <v>-11961.965646149933</v>
      </c>
      <c r="BX556" s="5">
        <f t="shared" si="338"/>
        <v>2938.0050470116753</v>
      </c>
      <c r="BY556" s="5">
        <f t="shared" si="339"/>
        <v>8814.0151410350263</v>
      </c>
      <c r="BZ556" s="5">
        <f>INDEX('Team forecast'!$R$3:$BH$26,MATCH($B556,'Team forecast'!$B$3:$B$26,0),MATCH(BZ$1,'Team forecast'!$R$2:$BH$2,0))*($BX556-(BY556+CH556)*0.01)</f>
        <v>-5621.2528144633388</v>
      </c>
      <c r="CA556" s="5">
        <f>INDEX('Team forecast'!$R$3:$BH$26,MATCH($B556,'Team forecast'!$B$3:$B$26,0),MATCH(CA$1,'Team forecast'!$R$2:$BH$2,0))*($BX556-(BY556+BX556+CH556)*0.01)</f>
        <v>-2762.1032597240755</v>
      </c>
      <c r="CB556" s="5">
        <f>INDEX('Team forecast'!$R$3:$BH$26,MATCH($B556,'Team forecast'!$B$3:$B$26,0),MATCH(CB$1,'Team forecast'!$R$2:$BH$2,0))*($BX556-(BY556+BX556*2+CH556)*0.01)</f>
        <v>-1333.6383162903646</v>
      </c>
      <c r="CC556" s="5">
        <f>INDEX('Team forecast'!$R$3:$BH$26,MATCH($B556,'Team forecast'!$B$3:$B$26,0),MATCH(CC$1,'Team forecast'!$R$2:$BH$2,0))*($BX556-(BY556+BX556*3+CH556)*0.01)</f>
        <v>-604.12009745555395</v>
      </c>
      <c r="CD556" s="5">
        <f>+AK556+BD556*Cockpit!$C$3+BW556*Cockpit!$C$3^2+BZ556*Cockpit!$C$3^3+CA556*Cockpit!$C$3^4+CB556*Cockpit!$C$3^5+CC556*Cockpit!$C$3^6</f>
        <v>9205.308895011498</v>
      </c>
      <c r="CE556" s="5"/>
      <c r="CF556" s="5"/>
      <c r="CG556" s="5">
        <v>0</v>
      </c>
      <c r="CH556" s="5">
        <f t="shared" si="340"/>
        <v>2500000</v>
      </c>
      <c r="CI556" s="5">
        <f t="shared" si="341"/>
        <v>2500000</v>
      </c>
      <c r="CJ556" s="1">
        <f t="shared" si="342"/>
        <v>3.5256060564140103E-3</v>
      </c>
      <c r="CK556" s="5">
        <f>RANK(BY556,$BY$2:$BY$623)+COUNTIF($BY$2:$BY556,$BY556)-1</f>
        <v>401</v>
      </c>
      <c r="CL556" s="5">
        <f>RANK(CJ556,$CJ$2:$CJ$623)+COUNTIF($CJ$2:$CJ556,$CJ556)-1</f>
        <v>401</v>
      </c>
    </row>
    <row r="557" spans="1:90">
      <c r="A557" t="str">
        <f>Players!P558</f>
        <v>Darko Velkovski</v>
      </c>
      <c r="B557" t="str">
        <f>Players!G558</f>
        <v>North Macedonia</v>
      </c>
      <c r="C557" t="str">
        <f>Players!AB558</f>
        <v>Defense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2500000</v>
      </c>
      <c r="H557" s="16">
        <f>INDEX('Team forecast'!$B$2:$AO$26,MATCH('Master data'!$B557,'Team forecast'!$B$2:$B$26,0),MATCH('Master data'!H$1,'Team forecast'!$B$2:$AO$2,0))</f>
        <v>0.65653770483831209</v>
      </c>
      <c r="I557" s="16">
        <f>INDEX('Team forecast'!$B$2:$AO$26,MATCH('Master data'!$B557,'Team forecast'!$B$2:$B$26,0),MATCH('Master data'!I$1,'Team forecast'!$B$2:$AO$2,0))</f>
        <v>1.5562991347612565</v>
      </c>
      <c r="J557" s="16">
        <f>INDEX('Team forecast'!$B$2:$AO$26,MATCH('Master data'!$B557,'Team forecast'!$B$2:$B$26,0),MATCH('Master data'!J$1,'Team forecast'!$B$2:$AO$2,0))</f>
        <v>0.2109151973131822</v>
      </c>
      <c r="K557" s="16">
        <f>INDEX('Team forecast'!$B$2:$AO$26,MATCH('Master data'!$B557,'Team forecast'!$B$2:$B$26,0),MATCH('Master data'!K$1,'Team forecast'!$B$2:$AO$2,0))</f>
        <v>2.1553005461863779</v>
      </c>
      <c r="L557" s="16">
        <f>INDEX('Team forecast'!$B$2:$AO$26,MATCH('Master data'!$B557,'Team forecast'!$B$2:$B$26,0),MATCH('Master data'!L$1,'Team forecast'!$B$2:$AO$2,0))</f>
        <v>3.8246785340123335</v>
      </c>
      <c r="M557">
        <f>IF(Players!BC558=1,95,0)</f>
        <v>95</v>
      </c>
      <c r="N557" s="2">
        <f>Players!BN558</f>
        <v>6.5567332125848851E-2</v>
      </c>
      <c r="O557" s="2">
        <f>Players!BO558</f>
        <v>0.14239987626647213</v>
      </c>
      <c r="P557" s="2">
        <f>Players!BP558</f>
        <v>0.12013826098060033</v>
      </c>
      <c r="Q557" s="2">
        <f>Players!BQ558</f>
        <v>0.10393527766679983</v>
      </c>
      <c r="R557" s="2">
        <f>Players!BR558</f>
        <v>0</v>
      </c>
      <c r="S557" s="2">
        <f t="shared" si="301"/>
        <v>0.65653770483831209</v>
      </c>
      <c r="T557" s="2">
        <f t="shared" si="302"/>
        <v>1.5562991347612565</v>
      </c>
      <c r="U557" s="16">
        <f>INDEX('Team forecast'!$B$2:$AO$26,MATCH('Master data'!$B557,'Team forecast'!$B$2:$B$26,0),MATCH('Master data'!U$1,'Team forecast'!$B$2:$AO$2,0))</f>
        <v>0.15818639798488671</v>
      </c>
      <c r="V557" s="16">
        <f>INDEX('Team forecast'!$B$2:$AO$26,MATCH('Master data'!$B557,'Team forecast'!$B$2:$B$26,0),MATCH('Master data'!V$1,'Team forecast'!$B$2:$AO$2,0))</f>
        <v>0.23727959697733</v>
      </c>
      <c r="W557" s="16">
        <f>INDEX('Team forecast'!$B$2:$AO$26,MATCH('Master data'!$B557,'Team forecast'!$B$2:$B$26,0),MATCH('Master data'!W$1,'Team forecast'!$B$2:$AO$2,0))</f>
        <v>0.60453400503778332</v>
      </c>
      <c r="X557" s="5">
        <f t="shared" si="303"/>
        <v>7000</v>
      </c>
      <c r="Y557" s="5">
        <f t="shared" si="304"/>
        <v>3954.6599496221675</v>
      </c>
      <c r="Z557" s="5">
        <f t="shared" si="305"/>
        <v>1186.39798488665</v>
      </c>
      <c r="AA557" s="5">
        <f t="shared" si="306"/>
        <v>-9068.0100755667499</v>
      </c>
      <c r="AB557" s="5">
        <f t="shared" si="307"/>
        <v>6457.1138619414196</v>
      </c>
      <c r="AC557" s="5">
        <f t="shared" si="308"/>
        <v>4674.5443966624616</v>
      </c>
      <c r="AD557" s="5">
        <f t="shared" si="309"/>
        <v>2589.3405950936949</v>
      </c>
      <c r="AE557" s="5">
        <f t="shared" si="310"/>
        <v>10545.759865659111</v>
      </c>
      <c r="AF557" s="5">
        <f t="shared" si="311"/>
        <v>0</v>
      </c>
      <c r="AG557" s="5">
        <f t="shared" si="312"/>
        <v>-2078.7055533359967</v>
      </c>
      <c r="AH557" s="5">
        <f t="shared" si="313"/>
        <v>0</v>
      </c>
      <c r="AI557" s="5">
        <f t="shared" si="314"/>
        <v>6565.3770483831213</v>
      </c>
      <c r="AJ557" s="5">
        <f t="shared" si="315"/>
        <v>-12450.393078090052</v>
      </c>
      <c r="AK557" s="5">
        <f>IFERROR(SUM(X557:AJ557),-5000)*((Cockpit!$C$3)^0)</f>
        <v>19376.084995255827</v>
      </c>
      <c r="AL557" s="16">
        <f>INDEX('Team forecast'!$B$2:$AO$26,MATCH('Master data'!$B557,'Team forecast'!$B$2:$B$26,0),MATCH('Master data'!AL$1,'Team forecast'!$B$2:$AO$2,0))</f>
        <v>0.76028648339757388</v>
      </c>
      <c r="AM557" s="16">
        <f>INDEX('Team forecast'!$B$2:$AO$26,MATCH('Master data'!$B557,'Team forecast'!$B$2:$B$26,0),MATCH('Master data'!AM$1,'Team forecast'!$B$2:$AO$2,0))</f>
        <v>1.5712166996139025</v>
      </c>
      <c r="AN557" s="16">
        <f>INDEX('Team forecast'!$B$2:$AO$26,MATCH('Master data'!$B557,'Team forecast'!$B$2:$B$26,0),MATCH('Master data'!AN$1,'Team forecast'!$B$2:$AO$2,0))</f>
        <v>0.20779220779220781</v>
      </c>
      <c r="AO557" s="16">
        <f>INDEX('Team forecast'!$B$2:$AO$26,MATCH('Master data'!$B557,'Team forecast'!$B$2:$B$26,0),MATCH('Master data'!AO$1,'Team forecast'!$B$2:$AO$2,0))</f>
        <v>2.4958899707496114</v>
      </c>
      <c r="AP557" s="16">
        <f>INDEX('Team forecast'!$B$2:$AO$26,MATCH('Master data'!$B557,'Team forecast'!$B$2:$B$26,0),MATCH('Master data'!AP$1,'Team forecast'!$B$2:$AO$2,0))</f>
        <v>3.8613391532964307</v>
      </c>
      <c r="AQ557" s="5">
        <f t="shared" si="316"/>
        <v>7000</v>
      </c>
      <c r="AR557" s="5">
        <f>INDEX('Team forecast'!$B$2:$AO$26,MATCH('Master data'!$B557,'Team forecast'!$B$2:$B$26,0),MATCH('Master data'!AR$1,'Team forecast'!$B$2:$AO$2,0))*IF(X557&gt;0,25000,0)</f>
        <v>3896.1038961038953</v>
      </c>
      <c r="AS557" s="16">
        <f>INDEX('Team forecast'!$B$2:$AO$26,MATCH('Master data'!$B557,'Team forecast'!$B$2:$B$26,0),MATCH('Master data'!AS$1,'Team forecast'!$B$2:$AO$2,0))*IF(X557&gt;0,5000,0)</f>
        <v>1298.7012987012986</v>
      </c>
      <c r="AT557" s="16">
        <f>INDEX('Team forecast'!$B$2:$AO$26,MATCH('Master data'!$B557,'Team forecast'!$B$2:$B$26,0),MATCH('Master data'!AT$1,'Team forecast'!$B$2:$AO$2,0))*IF(X557&gt;0,-15000,0)</f>
        <v>-8766.233766233765</v>
      </c>
      <c r="AU557" s="5">
        <f t="shared" si="317"/>
        <v>7477.4934551583601</v>
      </c>
      <c r="AV557" s="5">
        <f t="shared" si="318"/>
        <v>5413.235058144287</v>
      </c>
      <c r="AW557" s="5">
        <f t="shared" si="319"/>
        <v>2998.5188068477974</v>
      </c>
      <c r="AX557" s="5">
        <f t="shared" si="320"/>
        <v>10389.61038961039</v>
      </c>
      <c r="AY557" s="5">
        <f t="shared" si="321"/>
        <v>0</v>
      </c>
      <c r="AZ557" s="5">
        <f t="shared" si="322"/>
        <v>-2078.7055533359967</v>
      </c>
      <c r="BA557" s="5">
        <f t="shared" si="323"/>
        <v>0</v>
      </c>
      <c r="BB557" s="5">
        <f t="shared" si="324"/>
        <v>7602.8648339757392</v>
      </c>
      <c r="BC557" s="5">
        <f t="shared" si="325"/>
        <v>-12569.733596911221</v>
      </c>
      <c r="BD557" s="5">
        <f t="shared" si="326"/>
        <v>22661.854822060788</v>
      </c>
      <c r="BE557" s="16">
        <f>INDEX('Team forecast'!$B$2:$AO$26,MATCH('Master data'!$B557,'Team forecast'!$B$2:$B$26,0),MATCH('Master data'!BE$1,'Team forecast'!$B$2:$AO$2,0))</f>
        <v>0.49102780480244929</v>
      </c>
      <c r="BF557" s="16">
        <f>INDEX('Team forecast'!$B$2:$AO$26,MATCH('Master data'!$B557,'Team forecast'!$B$2:$B$26,0),MATCH('Master data'!BF$1,'Team forecast'!$B$2:$AO$2,0))</f>
        <v>2.3683451623921505</v>
      </c>
      <c r="BG557" s="16">
        <f>INDEX('Team forecast'!$B$2:$AO$26,MATCH('Master data'!$B557,'Team forecast'!$B$2:$B$26,0),MATCH('Master data'!BG$1,'Team forecast'!$B$2:$AO$2,0))</f>
        <v>9.3635549768047527E-2</v>
      </c>
      <c r="BH557" s="16">
        <f>INDEX('Team forecast'!$B$2:$AO$26,MATCH('Master data'!$B557,'Team forecast'!$B$2:$B$26,0),MATCH('Master data'!BH$1,'Team forecast'!$B$2:$AO$2,0))</f>
        <v>1.6119599652605658</v>
      </c>
      <c r="BI557" s="16">
        <f>INDEX('Team forecast'!$B$2:$AO$26,MATCH('Master data'!$B557,'Team forecast'!$B$2:$B$26,0),MATCH('Master data'!BI$1,'Team forecast'!$B$2:$AO$2,0))</f>
        <v>5.8203199509731629</v>
      </c>
      <c r="BJ557" s="5">
        <f t="shared" si="327"/>
        <v>7000</v>
      </c>
      <c r="BK557" s="5">
        <f>INDEX('Team forecast'!$R$3:$BH$26,MATCH($B557,'Team forecast'!$B$3:$B$26,0),MATCH(BK$1,'Team forecast'!$R$2:$BH$2,0))*IF($X557&gt;0,25000,0)</f>
        <v>1560.5924961341254</v>
      </c>
      <c r="BL557" s="5">
        <f>INDEX('Team forecast'!$R$3:$BH$26,MATCH($B557,'Team forecast'!$B$3:$B$26,0),MATCH(BL$1,'Team forecast'!$R$2:$BH$2,0))*IF($X557&gt;0,5000,0)</f>
        <v>720.27345975421156</v>
      </c>
      <c r="BM557" s="5">
        <f>INDEX('Team forecast'!$R$3:$BH$26,MATCH($B557,'Team forecast'!$B$3:$B$26,0),MATCH(BM$1,'Team forecast'!$R$2:$BH$2,0))*IF($X557&gt;0,-15000,0)</f>
        <v>-11902.824123056889</v>
      </c>
      <c r="BN557" s="5">
        <f t="shared" si="328"/>
        <v>4829.3074740763013</v>
      </c>
      <c r="BO557" s="5">
        <f t="shared" si="329"/>
        <v>3496.1149323633103</v>
      </c>
      <c r="BP557" s="5">
        <f t="shared" si="330"/>
        <v>1936.5806699675331</v>
      </c>
      <c r="BQ557" s="5">
        <f t="shared" si="331"/>
        <v>4681.7774884023765</v>
      </c>
      <c r="BR557" s="5">
        <f t="shared" si="332"/>
        <v>0</v>
      </c>
      <c r="BS557" s="5">
        <f t="shared" si="333"/>
        <v>-2078.7055533359967</v>
      </c>
      <c r="BT557" s="5">
        <f t="shared" si="334"/>
        <v>0</v>
      </c>
      <c r="BU557" s="5">
        <f t="shared" si="335"/>
        <v>4910.2780480244928</v>
      </c>
      <c r="BV557" s="5">
        <f t="shared" si="336"/>
        <v>-18946.761299137204</v>
      </c>
      <c r="BW557" s="5">
        <f t="shared" si="337"/>
        <v>-3793.3664068077396</v>
      </c>
      <c r="BX557" s="5">
        <f t="shared" si="338"/>
        <v>12748.191136836291</v>
      </c>
      <c r="BY557" s="5">
        <f t="shared" si="339"/>
        <v>38244.57341050887</v>
      </c>
      <c r="BZ557" s="5">
        <f>INDEX('Team forecast'!$R$3:$BH$26,MATCH($B557,'Team forecast'!$B$3:$B$26,0),MATCH(BZ$1,'Team forecast'!$R$2:$BH$2,0))*($BX557-(BY557+CH557)*0.01)</f>
        <v>-3206.3162991470904</v>
      </c>
      <c r="CA557" s="5">
        <f>INDEX('Team forecast'!$R$3:$BH$26,MATCH($B557,'Team forecast'!$B$3:$B$26,0),MATCH(CA$1,'Team forecast'!$R$2:$BH$2,0))*($BX557-(BY557+BX557+CH557)*0.01)</f>
        <v>-1589.2698178530122</v>
      </c>
      <c r="CB557" s="5">
        <f>INDEX('Team forecast'!$R$3:$BH$26,MATCH($B557,'Team forecast'!$B$3:$B$26,0),MATCH(CB$1,'Team forecast'!$R$2:$BH$2,0))*($BX557-(BY557+BX557*2+CH557)*0.01)</f>
        <v>-773.99417634347856</v>
      </c>
      <c r="CC557" s="5">
        <f>INDEX('Team forecast'!$R$3:$BH$26,MATCH($B557,'Team forecast'!$B$3:$B$26,0),MATCH(CC$1,'Team forecast'!$R$2:$BH$2,0))*($BX557-(BY557+BX557*3+CH557)*0.01)</f>
        <v>-353.60882003136521</v>
      </c>
      <c r="CD557" s="5">
        <f>+AK557+BD557*Cockpit!$C$3+BW557*Cockpit!$C$3^2+BZ557*Cockpit!$C$3^3+CA557*Cockpit!$C$3^4+CB557*Cockpit!$C$3^5+CC557*Cockpit!$C$3^6</f>
        <v>31401.129093909116</v>
      </c>
      <c r="CE557" s="5"/>
      <c r="CF557" s="5"/>
      <c r="CG557" s="5">
        <v>0</v>
      </c>
      <c r="CH557" s="5">
        <f t="shared" si="340"/>
        <v>2500000</v>
      </c>
      <c r="CI557" s="5">
        <f t="shared" si="341"/>
        <v>2500000</v>
      </c>
      <c r="CJ557" s="1">
        <f t="shared" si="342"/>
        <v>1.5297829364203548E-2</v>
      </c>
      <c r="CK557" s="5">
        <f>RANK(BY557,$BY$2:$BY$623)+COUNTIF($BY$2:$BY557,$BY557)-1</f>
        <v>316</v>
      </c>
      <c r="CL557" s="5">
        <f>RANK(CJ557,$CJ$2:$CJ$623)+COUNTIF($CJ$2:$CJ557,$CJ557)-1</f>
        <v>305</v>
      </c>
    </row>
    <row r="558" spans="1:90">
      <c r="A558" t="str">
        <f>Players!P559</f>
        <v>Darko Churlinov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0.65653770483831209</v>
      </c>
      <c r="I558" s="16">
        <f>INDEX('Team forecast'!$B$2:$AO$26,MATCH('Master data'!$B558,'Team forecast'!$B$2:$B$26,0),MATCH('Master data'!I$1,'Team forecast'!$B$2:$AO$2,0))</f>
        <v>1.5562991347612565</v>
      </c>
      <c r="J558" s="16">
        <f>INDEX('Team forecast'!$B$2:$AO$26,MATCH('Master data'!$B558,'Team forecast'!$B$2:$B$26,0),MATCH('Master data'!J$1,'Team forecast'!$B$2:$AO$2,0))</f>
        <v>0.2109151973131822</v>
      </c>
      <c r="K558" s="16">
        <f>INDEX('Team forecast'!$B$2:$AO$26,MATCH('Master data'!$B558,'Team forecast'!$B$2:$B$26,0),MATCH('Master data'!K$1,'Team forecast'!$B$2:$AO$2,0))</f>
        <v>2.1553005461863779</v>
      </c>
      <c r="L558" s="16">
        <f>INDEX('Team forecast'!$B$2:$AO$26,MATCH('Master data'!$B558,'Team forecast'!$B$2:$B$26,0),MATCH('Master data'!L$1,'Team forecast'!$B$2:$AO$2,0))</f>
        <v>3.8246785340123335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301"/>
        <v>0.65653770483831209</v>
      </c>
      <c r="T558" s="2">
        <f t="shared" si="302"/>
        <v>1.5562991347612565</v>
      </c>
      <c r="U558" s="16">
        <f>INDEX('Team forecast'!$B$2:$AO$26,MATCH('Master data'!$B558,'Team forecast'!$B$2:$B$26,0),MATCH('Master data'!U$1,'Team forecast'!$B$2:$AO$2,0))</f>
        <v>0.15818639798488671</v>
      </c>
      <c r="V558" s="16">
        <f>INDEX('Team forecast'!$B$2:$AO$26,MATCH('Master data'!$B558,'Team forecast'!$B$2:$B$26,0),MATCH('Master data'!V$1,'Team forecast'!$B$2:$AO$2,0))</f>
        <v>0.23727959697733</v>
      </c>
      <c r="W558" s="16">
        <f>INDEX('Team forecast'!$B$2:$AO$26,MATCH('Master data'!$B558,'Team forecast'!$B$2:$B$26,0),MATCH('Master data'!W$1,'Team forecast'!$B$2:$AO$2,0))</f>
        <v>0.60453400503778332</v>
      </c>
      <c r="X558" s="5">
        <f t="shared" si="303"/>
        <v>-5000</v>
      </c>
      <c r="Y558" s="5">
        <f t="shared" si="304"/>
        <v>0</v>
      </c>
      <c r="Z558" s="5">
        <f t="shared" si="305"/>
        <v>0</v>
      </c>
      <c r="AA558" s="5">
        <f t="shared" si="306"/>
        <v>0</v>
      </c>
      <c r="AB558" s="5">
        <f t="shared" si="307"/>
        <v>0</v>
      </c>
      <c r="AC558" s="5">
        <f t="shared" si="308"/>
        <v>0</v>
      </c>
      <c r="AD558" s="5">
        <f t="shared" si="309"/>
        <v>0</v>
      </c>
      <c r="AE558" s="5">
        <f t="shared" si="310"/>
        <v>0</v>
      </c>
      <c r="AF558" s="5">
        <f t="shared" si="311"/>
        <v>0</v>
      </c>
      <c r="AG558" s="5">
        <f t="shared" si="312"/>
        <v>0</v>
      </c>
      <c r="AH558" s="5">
        <f t="shared" si="313"/>
        <v>0</v>
      </c>
      <c r="AI558" s="5">
        <f t="shared" si="314"/>
        <v>0</v>
      </c>
      <c r="AJ558" s="5">
        <f t="shared" si="315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0.76028648339757388</v>
      </c>
      <c r="AM558" s="16">
        <f>INDEX('Team forecast'!$B$2:$AO$26,MATCH('Master data'!$B558,'Team forecast'!$B$2:$B$26,0),MATCH('Master data'!AM$1,'Team forecast'!$B$2:$AO$2,0))</f>
        <v>1.5712166996139025</v>
      </c>
      <c r="AN558" s="16">
        <f>INDEX('Team forecast'!$B$2:$AO$26,MATCH('Master data'!$B558,'Team forecast'!$B$2:$B$26,0),MATCH('Master data'!AN$1,'Team forecast'!$B$2:$AO$2,0))</f>
        <v>0.20779220779220781</v>
      </c>
      <c r="AO558" s="16">
        <f>INDEX('Team forecast'!$B$2:$AO$26,MATCH('Master data'!$B558,'Team forecast'!$B$2:$B$26,0),MATCH('Master data'!AO$1,'Team forecast'!$B$2:$AO$2,0))</f>
        <v>2.4958899707496114</v>
      </c>
      <c r="AP558" s="16">
        <f>INDEX('Team forecast'!$B$2:$AO$26,MATCH('Master data'!$B558,'Team forecast'!$B$2:$B$26,0),MATCH('Master data'!AP$1,'Team forecast'!$B$2:$AO$2,0))</f>
        <v>3.8613391532964307</v>
      </c>
      <c r="AQ558" s="5">
        <f t="shared" si="316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317"/>
        <v>0</v>
      </c>
      <c r="AV558" s="5">
        <f t="shared" si="318"/>
        <v>0</v>
      </c>
      <c r="AW558" s="5">
        <f t="shared" si="319"/>
        <v>0</v>
      </c>
      <c r="AX558" s="5">
        <f t="shared" si="320"/>
        <v>0</v>
      </c>
      <c r="AY558" s="5">
        <f t="shared" si="321"/>
        <v>0</v>
      </c>
      <c r="AZ558" s="5">
        <f t="shared" si="322"/>
        <v>0</v>
      </c>
      <c r="BA558" s="5">
        <f t="shared" si="323"/>
        <v>0</v>
      </c>
      <c r="BB558" s="5">
        <f t="shared" si="324"/>
        <v>0</v>
      </c>
      <c r="BC558" s="5">
        <f t="shared" si="325"/>
        <v>0</v>
      </c>
      <c r="BD558" s="5">
        <f t="shared" si="326"/>
        <v>-5000</v>
      </c>
      <c r="BE558" s="16">
        <f>INDEX('Team forecast'!$B$2:$AO$26,MATCH('Master data'!$B558,'Team forecast'!$B$2:$B$26,0),MATCH('Master data'!BE$1,'Team forecast'!$B$2:$AO$2,0))</f>
        <v>0.49102780480244929</v>
      </c>
      <c r="BF558" s="16">
        <f>INDEX('Team forecast'!$B$2:$AO$26,MATCH('Master data'!$B558,'Team forecast'!$B$2:$B$26,0),MATCH('Master data'!BF$1,'Team forecast'!$B$2:$AO$2,0))</f>
        <v>2.3683451623921505</v>
      </c>
      <c r="BG558" s="16">
        <f>INDEX('Team forecast'!$B$2:$AO$26,MATCH('Master data'!$B558,'Team forecast'!$B$2:$B$26,0),MATCH('Master data'!BG$1,'Team forecast'!$B$2:$AO$2,0))</f>
        <v>9.3635549768047527E-2</v>
      </c>
      <c r="BH558" s="16">
        <f>INDEX('Team forecast'!$B$2:$AO$26,MATCH('Master data'!$B558,'Team forecast'!$B$2:$B$26,0),MATCH('Master data'!BH$1,'Team forecast'!$B$2:$AO$2,0))</f>
        <v>1.6119599652605658</v>
      </c>
      <c r="BI558" s="16">
        <f>INDEX('Team forecast'!$B$2:$AO$26,MATCH('Master data'!$B558,'Team forecast'!$B$2:$B$26,0),MATCH('Master data'!BI$1,'Team forecast'!$B$2:$AO$2,0))</f>
        <v>5.8203199509731629</v>
      </c>
      <c r="BJ558" s="5">
        <f t="shared" si="327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328"/>
        <v>0</v>
      </c>
      <c r="BO558" s="5">
        <f t="shared" si="329"/>
        <v>0</v>
      </c>
      <c r="BP558" s="5">
        <f t="shared" si="330"/>
        <v>0</v>
      </c>
      <c r="BQ558" s="5">
        <f t="shared" si="331"/>
        <v>0</v>
      </c>
      <c r="BR558" s="5">
        <f t="shared" si="332"/>
        <v>0</v>
      </c>
      <c r="BS558" s="5">
        <f t="shared" si="333"/>
        <v>0</v>
      </c>
      <c r="BT558" s="5">
        <f t="shared" si="334"/>
        <v>0</v>
      </c>
      <c r="BU558" s="5">
        <f t="shared" si="335"/>
        <v>0</v>
      </c>
      <c r="BV558" s="5">
        <f t="shared" si="336"/>
        <v>0</v>
      </c>
      <c r="BW558" s="5">
        <f t="shared" si="337"/>
        <v>-5000</v>
      </c>
      <c r="BX558" s="5">
        <f t="shared" si="338"/>
        <v>-5000</v>
      </c>
      <c r="BY558" s="5">
        <f t="shared" si="339"/>
        <v>-15000</v>
      </c>
      <c r="BZ558" s="5">
        <f>INDEX('Team forecast'!$R$3:$BH$26,MATCH($B558,'Team forecast'!$B$3:$B$26,0),MATCH(BZ$1,'Team forecast'!$R$2:$BH$2,0))*($BX558-(BY558+CH558)*0.01)</f>
        <v>-6306.4234949823885</v>
      </c>
      <c r="CA558" s="5">
        <f>INDEX('Team forecast'!$R$3:$BH$26,MATCH($B558,'Team forecast'!$B$3:$B$26,0),MATCH(CA$1,'Team forecast'!$R$2:$BH$2,0))*($BX558-(BY558+BX558+CH558)*0.01)</f>
        <v>-3088.4426626485606</v>
      </c>
      <c r="CB558" s="5">
        <f>INDEX('Team forecast'!$R$3:$BH$26,MATCH($B558,'Team forecast'!$B$3:$B$26,0),MATCH(CB$1,'Team forecast'!$R$2:$BH$2,0))*($BX558-(BY558+BX558*2+CH558)*0.01)</f>
        <v>-1486.2309909162739</v>
      </c>
      <c r="CC558" s="5">
        <f>INDEX('Team forecast'!$R$3:$BH$26,MATCH($B558,'Team forecast'!$B$3:$B$26,0),MATCH(CC$1,'Team forecast'!$R$2:$BH$2,0))*($BX558-(BY558+BX558*3+CH558)*0.01)</f>
        <v>-670.99477075023424</v>
      </c>
      <c r="CD558" s="5">
        <f>+AK558+BD558*Cockpit!$C$3+BW558*Cockpit!$C$3^2+BZ558*Cockpit!$C$3^3+CA558*Cockpit!$C$3^4+CB558*Cockpit!$C$3^5+CC558*Cockpit!$C$3^6</f>
        <v>-13288.81352372231</v>
      </c>
      <c r="CE558" s="5"/>
      <c r="CF558" s="5"/>
      <c r="CG558" s="5">
        <v>0</v>
      </c>
      <c r="CH558" s="5">
        <f t="shared" si="340"/>
        <v>2000000</v>
      </c>
      <c r="CI558" s="5">
        <f t="shared" si="341"/>
        <v>2000000</v>
      </c>
      <c r="CJ558" s="1">
        <f t="shared" si="342"/>
        <v>-7.4999999999999997E-3</v>
      </c>
      <c r="CK558" s="5">
        <f>RANK(BY558,$BY$2:$BY$623)+COUNTIF($BY$2:$BY558,$BY558)-1</f>
        <v>596</v>
      </c>
      <c r="CL558" s="5">
        <f>RANK(CJ558,$CJ$2:$CJ$623)+COUNTIF($CJ$2:$CJ558,$CJ558)-1</f>
        <v>607</v>
      </c>
    </row>
    <row r="559" spans="1:90">
      <c r="A559" t="str">
        <f>Players!P560</f>
        <v>Daniel Avramovski</v>
      </c>
      <c r="B559" t="str">
        <f>Players!G560</f>
        <v>North Macedonia</v>
      </c>
      <c r="C559" t="str">
        <f>Players!AB560</f>
        <v>Midfield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0.65653770483831209</v>
      </c>
      <c r="I559" s="16">
        <f>INDEX('Team forecast'!$B$2:$AO$26,MATCH('Master data'!$B559,'Team forecast'!$B$2:$B$26,0),MATCH('Master data'!I$1,'Team forecast'!$B$2:$AO$2,0))</f>
        <v>1.5562991347612565</v>
      </c>
      <c r="J559" s="16">
        <f>INDEX('Team forecast'!$B$2:$AO$26,MATCH('Master data'!$B559,'Team forecast'!$B$2:$B$26,0),MATCH('Master data'!J$1,'Team forecast'!$B$2:$AO$2,0))</f>
        <v>0.2109151973131822</v>
      </c>
      <c r="K559" s="16">
        <f>INDEX('Team forecast'!$B$2:$AO$26,MATCH('Master data'!$B559,'Team forecast'!$B$2:$B$26,0),MATCH('Master data'!K$1,'Team forecast'!$B$2:$AO$2,0))</f>
        <v>2.1553005461863779</v>
      </c>
      <c r="L559" s="16">
        <f>INDEX('Team forecast'!$B$2:$AO$26,MATCH('Master data'!$B559,'Team forecast'!$B$2:$B$26,0),MATCH('Master data'!L$1,'Team forecast'!$B$2:$AO$2,0))</f>
        <v>3.8246785340123335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301"/>
        <v>0.65653770483831209</v>
      </c>
      <c r="T559" s="2">
        <f t="shared" si="302"/>
        <v>1.5562991347612565</v>
      </c>
      <c r="U559" s="16">
        <f>INDEX('Team forecast'!$B$2:$AO$26,MATCH('Master data'!$B559,'Team forecast'!$B$2:$B$26,0),MATCH('Master data'!U$1,'Team forecast'!$B$2:$AO$2,0))</f>
        <v>0.15818639798488671</v>
      </c>
      <c r="V559" s="16">
        <f>INDEX('Team forecast'!$B$2:$AO$26,MATCH('Master data'!$B559,'Team forecast'!$B$2:$B$26,0),MATCH('Master data'!V$1,'Team forecast'!$B$2:$AO$2,0))</f>
        <v>0.23727959697733</v>
      </c>
      <c r="W559" s="16">
        <f>INDEX('Team forecast'!$B$2:$AO$26,MATCH('Master data'!$B559,'Team forecast'!$B$2:$B$26,0),MATCH('Master data'!W$1,'Team forecast'!$B$2:$AO$2,0))</f>
        <v>0.60453400503778332</v>
      </c>
      <c r="X559" s="5">
        <f t="shared" si="303"/>
        <v>-5000</v>
      </c>
      <c r="Y559" s="5">
        <f t="shared" si="304"/>
        <v>0</v>
      </c>
      <c r="Z559" s="5">
        <f t="shared" si="305"/>
        <v>0</v>
      </c>
      <c r="AA559" s="5">
        <f t="shared" si="306"/>
        <v>0</v>
      </c>
      <c r="AB559" s="5">
        <f t="shared" si="307"/>
        <v>0</v>
      </c>
      <c r="AC559" s="5">
        <f t="shared" si="308"/>
        <v>0</v>
      </c>
      <c r="AD559" s="5">
        <f t="shared" si="309"/>
        <v>0</v>
      </c>
      <c r="AE559" s="5">
        <f t="shared" si="310"/>
        <v>0</v>
      </c>
      <c r="AF559" s="5">
        <f t="shared" si="311"/>
        <v>0</v>
      </c>
      <c r="AG559" s="5">
        <f t="shared" si="312"/>
        <v>0</v>
      </c>
      <c r="AH559" s="5">
        <f t="shared" si="313"/>
        <v>0</v>
      </c>
      <c r="AI559" s="5">
        <f t="shared" si="314"/>
        <v>0</v>
      </c>
      <c r="AJ559" s="5">
        <f t="shared" si="315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0.76028648339757388</v>
      </c>
      <c r="AM559" s="16">
        <f>INDEX('Team forecast'!$B$2:$AO$26,MATCH('Master data'!$B559,'Team forecast'!$B$2:$B$26,0),MATCH('Master data'!AM$1,'Team forecast'!$B$2:$AO$2,0))</f>
        <v>1.5712166996139025</v>
      </c>
      <c r="AN559" s="16">
        <f>INDEX('Team forecast'!$B$2:$AO$26,MATCH('Master data'!$B559,'Team forecast'!$B$2:$B$26,0),MATCH('Master data'!AN$1,'Team forecast'!$B$2:$AO$2,0))</f>
        <v>0.20779220779220781</v>
      </c>
      <c r="AO559" s="16">
        <f>INDEX('Team forecast'!$B$2:$AO$26,MATCH('Master data'!$B559,'Team forecast'!$B$2:$B$26,0),MATCH('Master data'!AO$1,'Team forecast'!$B$2:$AO$2,0))</f>
        <v>2.4958899707496114</v>
      </c>
      <c r="AP559" s="16">
        <f>INDEX('Team forecast'!$B$2:$AO$26,MATCH('Master data'!$B559,'Team forecast'!$B$2:$B$26,0),MATCH('Master data'!AP$1,'Team forecast'!$B$2:$AO$2,0))</f>
        <v>3.8613391532964307</v>
      </c>
      <c r="AQ559" s="5">
        <f t="shared" si="316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317"/>
        <v>0</v>
      </c>
      <c r="AV559" s="5">
        <f t="shared" si="318"/>
        <v>0</v>
      </c>
      <c r="AW559" s="5">
        <f t="shared" si="319"/>
        <v>0</v>
      </c>
      <c r="AX559" s="5">
        <f t="shared" si="320"/>
        <v>0</v>
      </c>
      <c r="AY559" s="5">
        <f t="shared" si="321"/>
        <v>0</v>
      </c>
      <c r="AZ559" s="5">
        <f t="shared" si="322"/>
        <v>0</v>
      </c>
      <c r="BA559" s="5">
        <f t="shared" si="323"/>
        <v>0</v>
      </c>
      <c r="BB559" s="5">
        <f t="shared" si="324"/>
        <v>0</v>
      </c>
      <c r="BC559" s="5">
        <f t="shared" si="325"/>
        <v>0</v>
      </c>
      <c r="BD559" s="5">
        <f t="shared" si="326"/>
        <v>-5000</v>
      </c>
      <c r="BE559" s="16">
        <f>INDEX('Team forecast'!$B$2:$AO$26,MATCH('Master data'!$B559,'Team forecast'!$B$2:$B$26,0),MATCH('Master data'!BE$1,'Team forecast'!$B$2:$AO$2,0))</f>
        <v>0.49102780480244929</v>
      </c>
      <c r="BF559" s="16">
        <f>INDEX('Team forecast'!$B$2:$AO$26,MATCH('Master data'!$B559,'Team forecast'!$B$2:$B$26,0),MATCH('Master data'!BF$1,'Team forecast'!$B$2:$AO$2,0))</f>
        <v>2.3683451623921505</v>
      </c>
      <c r="BG559" s="16">
        <f>INDEX('Team forecast'!$B$2:$AO$26,MATCH('Master data'!$B559,'Team forecast'!$B$2:$B$26,0),MATCH('Master data'!BG$1,'Team forecast'!$B$2:$AO$2,0))</f>
        <v>9.3635549768047527E-2</v>
      </c>
      <c r="BH559" s="16">
        <f>INDEX('Team forecast'!$B$2:$AO$26,MATCH('Master data'!$B559,'Team forecast'!$B$2:$B$26,0),MATCH('Master data'!BH$1,'Team forecast'!$B$2:$AO$2,0))</f>
        <v>1.6119599652605658</v>
      </c>
      <c r="BI559" s="16">
        <f>INDEX('Team forecast'!$B$2:$AO$26,MATCH('Master data'!$B559,'Team forecast'!$B$2:$B$26,0),MATCH('Master data'!BI$1,'Team forecast'!$B$2:$AO$2,0))</f>
        <v>5.8203199509731629</v>
      </c>
      <c r="BJ559" s="5">
        <f t="shared" si="327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328"/>
        <v>0</v>
      </c>
      <c r="BO559" s="5">
        <f t="shared" si="329"/>
        <v>0</v>
      </c>
      <c r="BP559" s="5">
        <f t="shared" si="330"/>
        <v>0</v>
      </c>
      <c r="BQ559" s="5">
        <f t="shared" si="331"/>
        <v>0</v>
      </c>
      <c r="BR559" s="5">
        <f t="shared" si="332"/>
        <v>0</v>
      </c>
      <c r="BS559" s="5">
        <f t="shared" si="333"/>
        <v>0</v>
      </c>
      <c r="BT559" s="5">
        <f t="shared" si="334"/>
        <v>0</v>
      </c>
      <c r="BU559" s="5">
        <f t="shared" si="335"/>
        <v>0</v>
      </c>
      <c r="BV559" s="5">
        <f t="shared" si="336"/>
        <v>0</v>
      </c>
      <c r="BW559" s="5">
        <f t="shared" si="337"/>
        <v>-5000</v>
      </c>
      <c r="BX559" s="5">
        <f t="shared" si="338"/>
        <v>-5000</v>
      </c>
      <c r="BY559" s="5">
        <f t="shared" si="339"/>
        <v>-15000</v>
      </c>
      <c r="BZ559" s="5">
        <f>INDEX('Team forecast'!$R$3:$BH$26,MATCH($B559,'Team forecast'!$B$3:$B$26,0),MATCH(BZ$1,'Team forecast'!$R$2:$BH$2,0))*($BX559-(BY559+CH559)*0.01)</f>
        <v>-6306.4234949823885</v>
      </c>
      <c r="CA559" s="5">
        <f>INDEX('Team forecast'!$R$3:$BH$26,MATCH($B559,'Team forecast'!$B$3:$B$26,0),MATCH(CA$1,'Team forecast'!$R$2:$BH$2,0))*($BX559-(BY559+BX559+CH559)*0.01)</f>
        <v>-3088.4426626485606</v>
      </c>
      <c r="CB559" s="5">
        <f>INDEX('Team forecast'!$R$3:$BH$26,MATCH($B559,'Team forecast'!$B$3:$B$26,0),MATCH(CB$1,'Team forecast'!$R$2:$BH$2,0))*($BX559-(BY559+BX559*2+CH559)*0.01)</f>
        <v>-1486.2309909162739</v>
      </c>
      <c r="CC559" s="5">
        <f>INDEX('Team forecast'!$R$3:$BH$26,MATCH($B559,'Team forecast'!$B$3:$B$26,0),MATCH(CC$1,'Team forecast'!$R$2:$BH$2,0))*($BX559-(BY559+BX559*3+CH559)*0.01)</f>
        <v>-670.99477075023424</v>
      </c>
      <c r="CD559" s="5">
        <f>+AK559+BD559*Cockpit!$C$3+BW559*Cockpit!$C$3^2+BZ559*Cockpit!$C$3^3+CA559*Cockpit!$C$3^4+CB559*Cockpit!$C$3^5+CC559*Cockpit!$C$3^6</f>
        <v>-13288.81352372231</v>
      </c>
      <c r="CE559" s="5"/>
      <c r="CF559" s="5"/>
      <c r="CG559" s="5">
        <v>0</v>
      </c>
      <c r="CH559" s="5">
        <f t="shared" si="340"/>
        <v>2000000</v>
      </c>
      <c r="CI559" s="5">
        <f t="shared" si="341"/>
        <v>2000000</v>
      </c>
      <c r="CJ559" s="1">
        <f t="shared" si="342"/>
        <v>-7.4999999999999997E-3</v>
      </c>
      <c r="CK559" s="5">
        <f>RANK(BY559,$BY$2:$BY$623)+COUNTIF($BY$2:$BY559,$BY559)-1</f>
        <v>597</v>
      </c>
      <c r="CL559" s="5">
        <f>RANK(CJ559,$CJ$2:$CJ$623)+COUNTIF($CJ$2:$CJ559,$CJ559)-1</f>
        <v>608</v>
      </c>
    </row>
    <row r="560" spans="1:90">
      <c r="A560" t="str">
        <f>Players!P561</f>
        <v>Marjan Radeski</v>
      </c>
      <c r="B560" t="str">
        <f>Players!G561</f>
        <v>North Macedonia</v>
      </c>
      <c r="C560" t="str">
        <f>Players!AB561</f>
        <v>Striker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2000000</v>
      </c>
      <c r="H560" s="16">
        <f>INDEX('Team forecast'!$B$2:$AO$26,MATCH('Master data'!$B560,'Team forecast'!$B$2:$B$26,0),MATCH('Master data'!H$1,'Team forecast'!$B$2:$AO$2,0))</f>
        <v>0.65653770483831209</v>
      </c>
      <c r="I560" s="16">
        <f>INDEX('Team forecast'!$B$2:$AO$26,MATCH('Master data'!$B560,'Team forecast'!$B$2:$B$26,0),MATCH('Master data'!I$1,'Team forecast'!$B$2:$AO$2,0))</f>
        <v>1.5562991347612565</v>
      </c>
      <c r="J560" s="16">
        <f>INDEX('Team forecast'!$B$2:$AO$26,MATCH('Master data'!$B560,'Team forecast'!$B$2:$B$26,0),MATCH('Master data'!J$1,'Team forecast'!$B$2:$AO$2,0))</f>
        <v>0.2109151973131822</v>
      </c>
      <c r="K560" s="16">
        <f>INDEX('Team forecast'!$B$2:$AO$26,MATCH('Master data'!$B560,'Team forecast'!$B$2:$B$26,0),MATCH('Master data'!K$1,'Team forecast'!$B$2:$AO$2,0))</f>
        <v>2.1553005461863779</v>
      </c>
      <c r="L560" s="16">
        <f>INDEX('Team forecast'!$B$2:$AO$26,MATCH('Master data'!$B560,'Team forecast'!$B$2:$B$26,0),MATCH('Master data'!L$1,'Team forecast'!$B$2:$AO$2,0))</f>
        <v>3.8246785340123335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</v>
      </c>
      <c r="R560" s="2">
        <f>Players!BR561</f>
        <v>0</v>
      </c>
      <c r="S560" s="2">
        <f t="shared" si="301"/>
        <v>0.65653770483831209</v>
      </c>
      <c r="T560" s="2">
        <f t="shared" si="302"/>
        <v>1.5562991347612565</v>
      </c>
      <c r="U560" s="16">
        <f>INDEX('Team forecast'!$B$2:$AO$26,MATCH('Master data'!$B560,'Team forecast'!$B$2:$B$26,0),MATCH('Master data'!U$1,'Team forecast'!$B$2:$AO$2,0))</f>
        <v>0.15818639798488671</v>
      </c>
      <c r="V560" s="16">
        <f>INDEX('Team forecast'!$B$2:$AO$26,MATCH('Master data'!$B560,'Team forecast'!$B$2:$B$26,0),MATCH('Master data'!V$1,'Team forecast'!$B$2:$AO$2,0))</f>
        <v>0.23727959697733</v>
      </c>
      <c r="W560" s="16">
        <f>INDEX('Team forecast'!$B$2:$AO$26,MATCH('Master data'!$B560,'Team forecast'!$B$2:$B$26,0),MATCH('Master data'!W$1,'Team forecast'!$B$2:$AO$2,0))</f>
        <v>0.60453400503778332</v>
      </c>
      <c r="X560" s="5">
        <f t="shared" si="303"/>
        <v>-5000</v>
      </c>
      <c r="Y560" s="5">
        <f t="shared" si="304"/>
        <v>0</v>
      </c>
      <c r="Z560" s="5">
        <f t="shared" si="305"/>
        <v>0</v>
      </c>
      <c r="AA560" s="5">
        <f t="shared" si="306"/>
        <v>0</v>
      </c>
      <c r="AB560" s="5">
        <f t="shared" si="307"/>
        <v>0</v>
      </c>
      <c r="AC560" s="5">
        <f t="shared" si="308"/>
        <v>0</v>
      </c>
      <c r="AD560" s="5">
        <f t="shared" si="309"/>
        <v>0</v>
      </c>
      <c r="AE560" s="5">
        <f t="shared" si="310"/>
        <v>0</v>
      </c>
      <c r="AF560" s="5">
        <f t="shared" si="311"/>
        <v>0</v>
      </c>
      <c r="AG560" s="5">
        <f t="shared" si="312"/>
        <v>0</v>
      </c>
      <c r="AH560" s="5">
        <f t="shared" si="313"/>
        <v>0</v>
      </c>
      <c r="AI560" s="5">
        <f t="shared" si="314"/>
        <v>0</v>
      </c>
      <c r="AJ560" s="5">
        <f t="shared" si="315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0.76028648339757388</v>
      </c>
      <c r="AM560" s="16">
        <f>INDEX('Team forecast'!$B$2:$AO$26,MATCH('Master data'!$B560,'Team forecast'!$B$2:$B$26,0),MATCH('Master data'!AM$1,'Team forecast'!$B$2:$AO$2,0))</f>
        <v>1.5712166996139025</v>
      </c>
      <c r="AN560" s="16">
        <f>INDEX('Team forecast'!$B$2:$AO$26,MATCH('Master data'!$B560,'Team forecast'!$B$2:$B$26,0),MATCH('Master data'!AN$1,'Team forecast'!$B$2:$AO$2,0))</f>
        <v>0.20779220779220781</v>
      </c>
      <c r="AO560" s="16">
        <f>INDEX('Team forecast'!$B$2:$AO$26,MATCH('Master data'!$B560,'Team forecast'!$B$2:$B$26,0),MATCH('Master data'!AO$1,'Team forecast'!$B$2:$AO$2,0))</f>
        <v>2.4958899707496114</v>
      </c>
      <c r="AP560" s="16">
        <f>INDEX('Team forecast'!$B$2:$AO$26,MATCH('Master data'!$B560,'Team forecast'!$B$2:$B$26,0),MATCH('Master data'!AP$1,'Team forecast'!$B$2:$AO$2,0))</f>
        <v>3.8613391532964307</v>
      </c>
      <c r="AQ560" s="5">
        <f t="shared" si="316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317"/>
        <v>0</v>
      </c>
      <c r="AV560" s="5">
        <f t="shared" si="318"/>
        <v>0</v>
      </c>
      <c r="AW560" s="5">
        <f t="shared" si="319"/>
        <v>0</v>
      </c>
      <c r="AX560" s="5">
        <f t="shared" si="320"/>
        <v>0</v>
      </c>
      <c r="AY560" s="5">
        <f t="shared" si="321"/>
        <v>0</v>
      </c>
      <c r="AZ560" s="5">
        <f t="shared" si="322"/>
        <v>0</v>
      </c>
      <c r="BA560" s="5">
        <f t="shared" si="323"/>
        <v>0</v>
      </c>
      <c r="BB560" s="5">
        <f t="shared" si="324"/>
        <v>0</v>
      </c>
      <c r="BC560" s="5">
        <f t="shared" si="325"/>
        <v>0</v>
      </c>
      <c r="BD560" s="5">
        <f t="shared" si="326"/>
        <v>-5000</v>
      </c>
      <c r="BE560" s="16">
        <f>INDEX('Team forecast'!$B$2:$AO$26,MATCH('Master data'!$B560,'Team forecast'!$B$2:$B$26,0),MATCH('Master data'!BE$1,'Team forecast'!$B$2:$AO$2,0))</f>
        <v>0.49102780480244929</v>
      </c>
      <c r="BF560" s="16">
        <f>INDEX('Team forecast'!$B$2:$AO$26,MATCH('Master data'!$B560,'Team forecast'!$B$2:$B$26,0),MATCH('Master data'!BF$1,'Team forecast'!$B$2:$AO$2,0))</f>
        <v>2.3683451623921505</v>
      </c>
      <c r="BG560" s="16">
        <f>INDEX('Team forecast'!$B$2:$AO$26,MATCH('Master data'!$B560,'Team forecast'!$B$2:$B$26,0),MATCH('Master data'!BG$1,'Team forecast'!$B$2:$AO$2,0))</f>
        <v>9.3635549768047527E-2</v>
      </c>
      <c r="BH560" s="16">
        <f>INDEX('Team forecast'!$B$2:$AO$26,MATCH('Master data'!$B560,'Team forecast'!$B$2:$B$26,0),MATCH('Master data'!BH$1,'Team forecast'!$B$2:$AO$2,0))</f>
        <v>1.6119599652605658</v>
      </c>
      <c r="BI560" s="16">
        <f>INDEX('Team forecast'!$B$2:$AO$26,MATCH('Master data'!$B560,'Team forecast'!$B$2:$B$26,0),MATCH('Master data'!BI$1,'Team forecast'!$B$2:$AO$2,0))</f>
        <v>5.8203199509731629</v>
      </c>
      <c r="BJ560" s="5">
        <f t="shared" si="327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328"/>
        <v>0</v>
      </c>
      <c r="BO560" s="5">
        <f t="shared" si="329"/>
        <v>0</v>
      </c>
      <c r="BP560" s="5">
        <f t="shared" si="330"/>
        <v>0</v>
      </c>
      <c r="BQ560" s="5">
        <f t="shared" si="331"/>
        <v>0</v>
      </c>
      <c r="BR560" s="5">
        <f t="shared" si="332"/>
        <v>0</v>
      </c>
      <c r="BS560" s="5">
        <f t="shared" si="333"/>
        <v>0</v>
      </c>
      <c r="BT560" s="5">
        <f t="shared" si="334"/>
        <v>0</v>
      </c>
      <c r="BU560" s="5">
        <f t="shared" si="335"/>
        <v>0</v>
      </c>
      <c r="BV560" s="5">
        <f t="shared" si="336"/>
        <v>0</v>
      </c>
      <c r="BW560" s="5">
        <f t="shared" si="337"/>
        <v>-5000</v>
      </c>
      <c r="BX560" s="5">
        <f t="shared" si="338"/>
        <v>-5000</v>
      </c>
      <c r="BY560" s="5">
        <f t="shared" si="339"/>
        <v>-15000</v>
      </c>
      <c r="BZ560" s="5">
        <f>INDEX('Team forecast'!$R$3:$BH$26,MATCH($B560,'Team forecast'!$B$3:$B$26,0),MATCH(BZ$1,'Team forecast'!$R$2:$BH$2,0))*($BX560-(BY560+CH560)*0.01)</f>
        <v>-6306.4234949823885</v>
      </c>
      <c r="CA560" s="5">
        <f>INDEX('Team forecast'!$R$3:$BH$26,MATCH($B560,'Team forecast'!$B$3:$B$26,0),MATCH(CA$1,'Team forecast'!$R$2:$BH$2,0))*($BX560-(BY560+BX560+CH560)*0.01)</f>
        <v>-3088.4426626485606</v>
      </c>
      <c r="CB560" s="5">
        <f>INDEX('Team forecast'!$R$3:$BH$26,MATCH($B560,'Team forecast'!$B$3:$B$26,0),MATCH(CB$1,'Team forecast'!$R$2:$BH$2,0))*($BX560-(BY560+BX560*2+CH560)*0.01)</f>
        <v>-1486.2309909162739</v>
      </c>
      <c r="CC560" s="5">
        <f>INDEX('Team forecast'!$R$3:$BH$26,MATCH($B560,'Team forecast'!$B$3:$B$26,0),MATCH(CC$1,'Team forecast'!$R$2:$BH$2,0))*($BX560-(BY560+BX560*3+CH560)*0.01)</f>
        <v>-670.99477075023424</v>
      </c>
      <c r="CD560" s="5">
        <f>+AK560+BD560*Cockpit!$C$3+BW560*Cockpit!$C$3^2+BZ560*Cockpit!$C$3^3+CA560*Cockpit!$C$3^4+CB560*Cockpit!$C$3^5+CC560*Cockpit!$C$3^6</f>
        <v>-13288.81352372231</v>
      </c>
      <c r="CE560" s="5"/>
      <c r="CF560" s="5"/>
      <c r="CG560" s="5">
        <v>0</v>
      </c>
      <c r="CH560" s="5">
        <f t="shared" si="340"/>
        <v>2000000</v>
      </c>
      <c r="CI560" s="5">
        <f t="shared" si="341"/>
        <v>2000000</v>
      </c>
      <c r="CJ560" s="1">
        <f t="shared" si="342"/>
        <v>-7.4999999999999997E-3</v>
      </c>
      <c r="CK560" s="5">
        <f>RANK(BY560,$BY$2:$BY$623)+COUNTIF($BY$2:$BY560,$BY560)-1</f>
        <v>598</v>
      </c>
      <c r="CL560" s="5">
        <f>RANK(CJ560,$CJ$2:$CJ$623)+COUNTIF($CJ$2:$CJ560,$CJ560)-1</f>
        <v>609</v>
      </c>
    </row>
    <row r="561" spans="1:90">
      <c r="A561" t="str">
        <f>Players!P562</f>
        <v>Boban Nikolov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0.65653770483831209</v>
      </c>
      <c r="I561" s="16">
        <f>INDEX('Team forecast'!$B$2:$AO$26,MATCH('Master data'!$B561,'Team forecast'!$B$2:$B$26,0),MATCH('Master data'!I$1,'Team forecast'!$B$2:$AO$2,0))</f>
        <v>1.5562991347612565</v>
      </c>
      <c r="J561" s="16">
        <f>INDEX('Team forecast'!$B$2:$AO$26,MATCH('Master data'!$B561,'Team forecast'!$B$2:$B$26,0),MATCH('Master data'!J$1,'Team forecast'!$B$2:$AO$2,0))</f>
        <v>0.2109151973131822</v>
      </c>
      <c r="K561" s="16">
        <f>INDEX('Team forecast'!$B$2:$AO$26,MATCH('Master data'!$B561,'Team forecast'!$B$2:$B$26,0),MATCH('Master data'!K$1,'Team forecast'!$B$2:$AO$2,0))</f>
        <v>2.1553005461863779</v>
      </c>
      <c r="L561" s="16">
        <f>INDEX('Team forecast'!$B$2:$AO$26,MATCH('Master data'!$B561,'Team forecast'!$B$2:$B$26,0),MATCH('Master data'!L$1,'Team forecast'!$B$2:$AO$2,0))</f>
        <v>3.8246785340123335</v>
      </c>
      <c r="M561">
        <f>IF(Players!BC562=1,95,0)</f>
        <v>0</v>
      </c>
      <c r="N561" s="2">
        <f>Players!BN562</f>
        <v>0</v>
      </c>
      <c r="O561" s="2">
        <f>Players!BO562</f>
        <v>0</v>
      </c>
      <c r="P561" s="2">
        <f>Players!BP562</f>
        <v>0</v>
      </c>
      <c r="Q561" s="2">
        <f>Players!BQ562</f>
        <v>0.35040500297796306</v>
      </c>
      <c r="R561" s="2">
        <f>Players!BR562</f>
        <v>0</v>
      </c>
      <c r="S561" s="2">
        <f t="shared" si="301"/>
        <v>0.65653770483831209</v>
      </c>
      <c r="T561" s="2">
        <f t="shared" si="302"/>
        <v>1.5562991347612565</v>
      </c>
      <c r="U561" s="16">
        <f>INDEX('Team forecast'!$B$2:$AO$26,MATCH('Master data'!$B561,'Team forecast'!$B$2:$B$26,0),MATCH('Master data'!U$1,'Team forecast'!$B$2:$AO$2,0))</f>
        <v>0.15818639798488671</v>
      </c>
      <c r="V561" s="16">
        <f>INDEX('Team forecast'!$B$2:$AO$26,MATCH('Master data'!$B561,'Team forecast'!$B$2:$B$26,0),MATCH('Master data'!V$1,'Team forecast'!$B$2:$AO$2,0))</f>
        <v>0.23727959697733</v>
      </c>
      <c r="W561" s="16">
        <f>INDEX('Team forecast'!$B$2:$AO$26,MATCH('Master data'!$B561,'Team forecast'!$B$2:$B$26,0),MATCH('Master data'!W$1,'Team forecast'!$B$2:$AO$2,0))</f>
        <v>0.60453400503778332</v>
      </c>
      <c r="X561" s="5">
        <f t="shared" si="303"/>
        <v>-5000</v>
      </c>
      <c r="Y561" s="5">
        <f t="shared" si="304"/>
        <v>0</v>
      </c>
      <c r="Z561" s="5">
        <f t="shared" si="305"/>
        <v>0</v>
      </c>
      <c r="AA561" s="5">
        <f t="shared" si="306"/>
        <v>0</v>
      </c>
      <c r="AB561" s="5">
        <f t="shared" si="307"/>
        <v>0</v>
      </c>
      <c r="AC561" s="5">
        <f t="shared" si="308"/>
        <v>0</v>
      </c>
      <c r="AD561" s="5">
        <f t="shared" si="309"/>
        <v>0</v>
      </c>
      <c r="AE561" s="5">
        <f t="shared" si="310"/>
        <v>0</v>
      </c>
      <c r="AF561" s="5">
        <f t="shared" si="311"/>
        <v>0</v>
      </c>
      <c r="AG561" s="5">
        <f t="shared" si="312"/>
        <v>0</v>
      </c>
      <c r="AH561" s="5">
        <f t="shared" si="313"/>
        <v>0</v>
      </c>
      <c r="AI561" s="5">
        <f t="shared" si="314"/>
        <v>0</v>
      </c>
      <c r="AJ561" s="5">
        <f t="shared" si="315"/>
        <v>0</v>
      </c>
      <c r="AK561" s="5">
        <f>IFERROR(SUM(X561:AJ561),-5000)*((Cockpit!$C$3)^0)</f>
        <v>-5000</v>
      </c>
      <c r="AL561" s="16">
        <f>INDEX('Team forecast'!$B$2:$AO$26,MATCH('Master data'!$B561,'Team forecast'!$B$2:$B$26,0),MATCH('Master data'!AL$1,'Team forecast'!$B$2:$AO$2,0))</f>
        <v>0.76028648339757388</v>
      </c>
      <c r="AM561" s="16">
        <f>INDEX('Team forecast'!$B$2:$AO$26,MATCH('Master data'!$B561,'Team forecast'!$B$2:$B$26,0),MATCH('Master data'!AM$1,'Team forecast'!$B$2:$AO$2,0))</f>
        <v>1.5712166996139025</v>
      </c>
      <c r="AN561" s="16">
        <f>INDEX('Team forecast'!$B$2:$AO$26,MATCH('Master data'!$B561,'Team forecast'!$B$2:$B$26,0),MATCH('Master data'!AN$1,'Team forecast'!$B$2:$AO$2,0))</f>
        <v>0.20779220779220781</v>
      </c>
      <c r="AO561" s="16">
        <f>INDEX('Team forecast'!$B$2:$AO$26,MATCH('Master data'!$B561,'Team forecast'!$B$2:$B$26,0),MATCH('Master data'!AO$1,'Team forecast'!$B$2:$AO$2,0))</f>
        <v>2.4958899707496114</v>
      </c>
      <c r="AP561" s="16">
        <f>INDEX('Team forecast'!$B$2:$AO$26,MATCH('Master data'!$B561,'Team forecast'!$B$2:$B$26,0),MATCH('Master data'!AP$1,'Team forecast'!$B$2:$AO$2,0))</f>
        <v>3.8613391532964307</v>
      </c>
      <c r="AQ561" s="5">
        <f t="shared" si="316"/>
        <v>-5000</v>
      </c>
      <c r="AR561" s="5">
        <f>INDEX('Team forecast'!$B$2:$AO$26,MATCH('Master data'!$B561,'Team forecast'!$B$2:$B$26,0),MATCH('Master data'!AR$1,'Team forecast'!$B$2:$AO$2,0))*IF(X561&gt;0,25000,0)</f>
        <v>0</v>
      </c>
      <c r="AS561" s="16">
        <f>INDEX('Team forecast'!$B$2:$AO$26,MATCH('Master data'!$B561,'Team forecast'!$B$2:$B$26,0),MATCH('Master data'!AS$1,'Team forecast'!$B$2:$AO$2,0))*IF(X561&gt;0,5000,0)</f>
        <v>0</v>
      </c>
      <c r="AT561" s="16">
        <f>INDEX('Team forecast'!$B$2:$AO$26,MATCH('Master data'!$B561,'Team forecast'!$B$2:$B$26,0),MATCH('Master data'!AT$1,'Team forecast'!$B$2:$AO$2,0))*IF(X561&gt;0,-15000,0)</f>
        <v>0</v>
      </c>
      <c r="AU561" s="5">
        <f t="shared" si="317"/>
        <v>0</v>
      </c>
      <c r="AV561" s="5">
        <f t="shared" si="318"/>
        <v>0</v>
      </c>
      <c r="AW561" s="5">
        <f t="shared" si="319"/>
        <v>0</v>
      </c>
      <c r="AX561" s="5">
        <f t="shared" si="320"/>
        <v>0</v>
      </c>
      <c r="AY561" s="5">
        <f t="shared" si="321"/>
        <v>0</v>
      </c>
      <c r="AZ561" s="5">
        <f t="shared" si="322"/>
        <v>0</v>
      </c>
      <c r="BA561" s="5">
        <f t="shared" si="323"/>
        <v>0</v>
      </c>
      <c r="BB561" s="5">
        <f t="shared" si="324"/>
        <v>0</v>
      </c>
      <c r="BC561" s="5">
        <f t="shared" si="325"/>
        <v>0</v>
      </c>
      <c r="BD561" s="5">
        <f t="shared" si="326"/>
        <v>-5000</v>
      </c>
      <c r="BE561" s="16">
        <f>INDEX('Team forecast'!$B$2:$AO$26,MATCH('Master data'!$B561,'Team forecast'!$B$2:$B$26,0),MATCH('Master data'!BE$1,'Team forecast'!$B$2:$AO$2,0))</f>
        <v>0.49102780480244929</v>
      </c>
      <c r="BF561" s="16">
        <f>INDEX('Team forecast'!$B$2:$AO$26,MATCH('Master data'!$B561,'Team forecast'!$B$2:$B$26,0),MATCH('Master data'!BF$1,'Team forecast'!$B$2:$AO$2,0))</f>
        <v>2.3683451623921505</v>
      </c>
      <c r="BG561" s="16">
        <f>INDEX('Team forecast'!$B$2:$AO$26,MATCH('Master data'!$B561,'Team forecast'!$B$2:$B$26,0),MATCH('Master data'!BG$1,'Team forecast'!$B$2:$AO$2,0))</f>
        <v>9.3635549768047527E-2</v>
      </c>
      <c r="BH561" s="16">
        <f>INDEX('Team forecast'!$B$2:$AO$26,MATCH('Master data'!$B561,'Team forecast'!$B$2:$B$26,0),MATCH('Master data'!BH$1,'Team forecast'!$B$2:$AO$2,0))</f>
        <v>1.6119599652605658</v>
      </c>
      <c r="BI561" s="16">
        <f>INDEX('Team forecast'!$B$2:$AO$26,MATCH('Master data'!$B561,'Team forecast'!$B$2:$B$26,0),MATCH('Master data'!BI$1,'Team forecast'!$B$2:$AO$2,0))</f>
        <v>5.8203199509731629</v>
      </c>
      <c r="BJ561" s="5">
        <f t="shared" si="327"/>
        <v>-5000</v>
      </c>
      <c r="BK561" s="5">
        <f>INDEX('Team forecast'!$R$3:$BH$26,MATCH($B561,'Team forecast'!$B$3:$B$26,0),MATCH(BK$1,'Team forecast'!$R$2:$BH$2,0))*IF($X561&gt;0,25000,0)</f>
        <v>0</v>
      </c>
      <c r="BL561" s="5">
        <f>INDEX('Team forecast'!$R$3:$BH$26,MATCH($B561,'Team forecast'!$B$3:$B$26,0),MATCH(BL$1,'Team forecast'!$R$2:$BH$2,0))*IF($X561&gt;0,5000,0)</f>
        <v>0</v>
      </c>
      <c r="BM561" s="5">
        <f>INDEX('Team forecast'!$R$3:$BH$26,MATCH($B561,'Team forecast'!$B$3:$B$26,0),MATCH(BM$1,'Team forecast'!$R$2:$BH$2,0))*IF($X561&gt;0,-15000,0)</f>
        <v>0</v>
      </c>
      <c r="BN561" s="5">
        <f t="shared" si="328"/>
        <v>0</v>
      </c>
      <c r="BO561" s="5">
        <f t="shared" si="329"/>
        <v>0</v>
      </c>
      <c r="BP561" s="5">
        <f t="shared" si="330"/>
        <v>0</v>
      </c>
      <c r="BQ561" s="5">
        <f t="shared" si="331"/>
        <v>0</v>
      </c>
      <c r="BR561" s="5">
        <f t="shared" si="332"/>
        <v>0</v>
      </c>
      <c r="BS561" s="5">
        <f t="shared" si="333"/>
        <v>0</v>
      </c>
      <c r="BT561" s="5">
        <f t="shared" si="334"/>
        <v>0</v>
      </c>
      <c r="BU561" s="5">
        <f t="shared" si="335"/>
        <v>0</v>
      </c>
      <c r="BV561" s="5">
        <f t="shared" si="336"/>
        <v>0</v>
      </c>
      <c r="BW561" s="5">
        <f t="shared" si="337"/>
        <v>-5000</v>
      </c>
      <c r="BX561" s="5">
        <f t="shared" si="338"/>
        <v>-5000</v>
      </c>
      <c r="BY561" s="5">
        <f t="shared" si="339"/>
        <v>-15000</v>
      </c>
      <c r="BZ561" s="5">
        <f>INDEX('Team forecast'!$R$3:$BH$26,MATCH($B561,'Team forecast'!$B$3:$B$26,0),MATCH(BZ$1,'Team forecast'!$R$2:$BH$2,0))*($BX561-(BY561+CH561)*0.01)</f>
        <v>-7575.3215825039961</v>
      </c>
      <c r="CA561" s="5">
        <f>INDEX('Team forecast'!$R$3:$BH$26,MATCH($B561,'Team forecast'!$B$3:$B$26,0),MATCH(CA$1,'Team forecast'!$R$2:$BH$2,0))*($BX561-(BY561+BX561+CH561)*0.01)</f>
        <v>-3711.1125543115768</v>
      </c>
      <c r="CB561" s="5">
        <f>INDEX('Team forecast'!$R$3:$BH$26,MATCH($B561,'Team forecast'!$B$3:$B$26,0),MATCH(CB$1,'Team forecast'!$R$2:$BH$2,0))*($BX561-(BY561+BX561*2+CH561)*0.01)</f>
        <v>-1786.4796759498645</v>
      </c>
      <c r="CC561" s="5">
        <f>INDEX('Team forecast'!$R$3:$BH$26,MATCH($B561,'Team forecast'!$B$3:$B$26,0),MATCH(CC$1,'Team forecast'!$R$2:$BH$2,0))*($BX561-(BY561+BX561*3+CH561)*0.01)</f>
        <v>-806.82367171182011</v>
      </c>
      <c r="CD561" s="5">
        <f>+AK561+BD561*Cockpit!$C$3+BW561*Cockpit!$C$3^2+BZ561*Cockpit!$C$3^3+CA561*Cockpit!$C$3^4+CB561*Cockpit!$C$3^5+CC561*Cockpit!$C$3^6</f>
        <v>-13839.243393034943</v>
      </c>
      <c r="CE561" s="5"/>
      <c r="CF561" s="5"/>
      <c r="CG561" s="5">
        <v>0</v>
      </c>
      <c r="CH561" s="5">
        <f t="shared" si="340"/>
        <v>2500000</v>
      </c>
      <c r="CI561" s="5">
        <f t="shared" si="341"/>
        <v>2500000</v>
      </c>
      <c r="CJ561" s="1">
        <f t="shared" si="342"/>
        <v>-6.0000000000000001E-3</v>
      </c>
      <c r="CK561" s="5">
        <f>RANK(BY561,$BY$2:$BY$623)+COUNTIF($BY$2:$BY561,$BY561)-1</f>
        <v>599</v>
      </c>
      <c r="CL561" s="5">
        <f>RANK(CJ561,$CJ$2:$CJ$623)+COUNTIF($CJ$2:$CJ561,$CJ561)-1</f>
        <v>570</v>
      </c>
    </row>
    <row r="562" spans="1:90">
      <c r="A562" t="str">
        <f>Players!P563</f>
        <v>Arijan Ademi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2500000</v>
      </c>
      <c r="H562" s="16">
        <f>INDEX('Team forecast'!$B$2:$AO$26,MATCH('Master data'!$B562,'Team forecast'!$B$2:$B$26,0),MATCH('Master data'!H$1,'Team forecast'!$B$2:$AO$2,0))</f>
        <v>0.65653770483831209</v>
      </c>
      <c r="I562" s="16">
        <f>INDEX('Team forecast'!$B$2:$AO$26,MATCH('Master data'!$B562,'Team forecast'!$B$2:$B$26,0),MATCH('Master data'!I$1,'Team forecast'!$B$2:$AO$2,0))</f>
        <v>1.5562991347612565</v>
      </c>
      <c r="J562" s="16">
        <f>INDEX('Team forecast'!$B$2:$AO$26,MATCH('Master data'!$B562,'Team forecast'!$B$2:$B$26,0),MATCH('Master data'!J$1,'Team forecast'!$B$2:$AO$2,0))</f>
        <v>0.2109151973131822</v>
      </c>
      <c r="K562" s="16">
        <f>INDEX('Team forecast'!$B$2:$AO$26,MATCH('Master data'!$B562,'Team forecast'!$B$2:$B$26,0),MATCH('Master data'!K$1,'Team forecast'!$B$2:$AO$2,0))</f>
        <v>2.1553005461863779</v>
      </c>
      <c r="L562" s="16">
        <f>INDEX('Team forecast'!$B$2:$AO$26,MATCH('Master data'!$B562,'Team forecast'!$B$2:$B$26,0),MATCH('Master data'!L$1,'Team forecast'!$B$2:$AO$2,0))</f>
        <v>3.8246785340123335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0.17499999999999999</v>
      </c>
      <c r="R562" s="2">
        <f>Players!BR563</f>
        <v>0</v>
      </c>
      <c r="S562" s="2">
        <f t="shared" si="301"/>
        <v>0.65653770483831209</v>
      </c>
      <c r="T562" s="2">
        <f t="shared" si="302"/>
        <v>1.5562991347612565</v>
      </c>
      <c r="U562" s="16">
        <f>INDEX('Team forecast'!$B$2:$AO$26,MATCH('Master data'!$B562,'Team forecast'!$B$2:$B$26,0),MATCH('Master data'!U$1,'Team forecast'!$B$2:$AO$2,0))</f>
        <v>0.15818639798488671</v>
      </c>
      <c r="V562" s="16">
        <f>INDEX('Team forecast'!$B$2:$AO$26,MATCH('Master data'!$B562,'Team forecast'!$B$2:$B$26,0),MATCH('Master data'!V$1,'Team forecast'!$B$2:$AO$2,0))</f>
        <v>0.23727959697733</v>
      </c>
      <c r="W562" s="16">
        <f>INDEX('Team forecast'!$B$2:$AO$26,MATCH('Master data'!$B562,'Team forecast'!$B$2:$B$26,0),MATCH('Master data'!W$1,'Team forecast'!$B$2:$AO$2,0))</f>
        <v>0.60453400503778332</v>
      </c>
      <c r="X562" s="5">
        <f t="shared" si="303"/>
        <v>-5000</v>
      </c>
      <c r="Y562" s="5">
        <f t="shared" si="304"/>
        <v>0</v>
      </c>
      <c r="Z562" s="5">
        <f t="shared" si="305"/>
        <v>0</v>
      </c>
      <c r="AA562" s="5">
        <f t="shared" si="306"/>
        <v>0</v>
      </c>
      <c r="AB562" s="5">
        <f t="shared" si="307"/>
        <v>0</v>
      </c>
      <c r="AC562" s="5">
        <f t="shared" si="308"/>
        <v>0</v>
      </c>
      <c r="AD562" s="5">
        <f t="shared" si="309"/>
        <v>0</v>
      </c>
      <c r="AE562" s="5">
        <f t="shared" si="310"/>
        <v>0</v>
      </c>
      <c r="AF562" s="5">
        <f t="shared" si="311"/>
        <v>0</v>
      </c>
      <c r="AG562" s="5">
        <f t="shared" si="312"/>
        <v>0</v>
      </c>
      <c r="AH562" s="5">
        <f t="shared" si="313"/>
        <v>0</v>
      </c>
      <c r="AI562" s="5">
        <f t="shared" si="314"/>
        <v>0</v>
      </c>
      <c r="AJ562" s="5">
        <f t="shared" si="315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0.76028648339757388</v>
      </c>
      <c r="AM562" s="16">
        <f>INDEX('Team forecast'!$B$2:$AO$26,MATCH('Master data'!$B562,'Team forecast'!$B$2:$B$26,0),MATCH('Master data'!AM$1,'Team forecast'!$B$2:$AO$2,0))</f>
        <v>1.5712166996139025</v>
      </c>
      <c r="AN562" s="16">
        <f>INDEX('Team forecast'!$B$2:$AO$26,MATCH('Master data'!$B562,'Team forecast'!$B$2:$B$26,0),MATCH('Master data'!AN$1,'Team forecast'!$B$2:$AO$2,0))</f>
        <v>0.20779220779220781</v>
      </c>
      <c r="AO562" s="16">
        <f>INDEX('Team forecast'!$B$2:$AO$26,MATCH('Master data'!$B562,'Team forecast'!$B$2:$B$26,0),MATCH('Master data'!AO$1,'Team forecast'!$B$2:$AO$2,0))</f>
        <v>2.4958899707496114</v>
      </c>
      <c r="AP562" s="16">
        <f>INDEX('Team forecast'!$B$2:$AO$26,MATCH('Master data'!$B562,'Team forecast'!$B$2:$B$26,0),MATCH('Master data'!AP$1,'Team forecast'!$B$2:$AO$2,0))</f>
        <v>3.8613391532964307</v>
      </c>
      <c r="AQ562" s="5">
        <f t="shared" si="316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317"/>
        <v>0</v>
      </c>
      <c r="AV562" s="5">
        <f t="shared" si="318"/>
        <v>0</v>
      </c>
      <c r="AW562" s="5">
        <f t="shared" si="319"/>
        <v>0</v>
      </c>
      <c r="AX562" s="5">
        <f t="shared" si="320"/>
        <v>0</v>
      </c>
      <c r="AY562" s="5">
        <f t="shared" si="321"/>
        <v>0</v>
      </c>
      <c r="AZ562" s="5">
        <f t="shared" si="322"/>
        <v>0</v>
      </c>
      <c r="BA562" s="5">
        <f t="shared" si="323"/>
        <v>0</v>
      </c>
      <c r="BB562" s="5">
        <f t="shared" si="324"/>
        <v>0</v>
      </c>
      <c r="BC562" s="5">
        <f t="shared" si="325"/>
        <v>0</v>
      </c>
      <c r="BD562" s="5">
        <f t="shared" si="326"/>
        <v>-5000</v>
      </c>
      <c r="BE562" s="16">
        <f>INDEX('Team forecast'!$B$2:$AO$26,MATCH('Master data'!$B562,'Team forecast'!$B$2:$B$26,0),MATCH('Master data'!BE$1,'Team forecast'!$B$2:$AO$2,0))</f>
        <v>0.49102780480244929</v>
      </c>
      <c r="BF562" s="16">
        <f>INDEX('Team forecast'!$B$2:$AO$26,MATCH('Master data'!$B562,'Team forecast'!$B$2:$B$26,0),MATCH('Master data'!BF$1,'Team forecast'!$B$2:$AO$2,0))</f>
        <v>2.3683451623921505</v>
      </c>
      <c r="BG562" s="16">
        <f>INDEX('Team forecast'!$B$2:$AO$26,MATCH('Master data'!$B562,'Team forecast'!$B$2:$B$26,0),MATCH('Master data'!BG$1,'Team forecast'!$B$2:$AO$2,0))</f>
        <v>9.3635549768047527E-2</v>
      </c>
      <c r="BH562" s="16">
        <f>INDEX('Team forecast'!$B$2:$AO$26,MATCH('Master data'!$B562,'Team forecast'!$B$2:$B$26,0),MATCH('Master data'!BH$1,'Team forecast'!$B$2:$AO$2,0))</f>
        <v>1.6119599652605658</v>
      </c>
      <c r="BI562" s="16">
        <f>INDEX('Team forecast'!$B$2:$AO$26,MATCH('Master data'!$B562,'Team forecast'!$B$2:$B$26,0),MATCH('Master data'!BI$1,'Team forecast'!$B$2:$AO$2,0))</f>
        <v>5.8203199509731629</v>
      </c>
      <c r="BJ562" s="5">
        <f t="shared" si="327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328"/>
        <v>0</v>
      </c>
      <c r="BO562" s="5">
        <f t="shared" si="329"/>
        <v>0</v>
      </c>
      <c r="BP562" s="5">
        <f t="shared" si="330"/>
        <v>0</v>
      </c>
      <c r="BQ562" s="5">
        <f t="shared" si="331"/>
        <v>0</v>
      </c>
      <c r="BR562" s="5">
        <f t="shared" si="332"/>
        <v>0</v>
      </c>
      <c r="BS562" s="5">
        <f t="shared" si="333"/>
        <v>0</v>
      </c>
      <c r="BT562" s="5">
        <f t="shared" si="334"/>
        <v>0</v>
      </c>
      <c r="BU562" s="5">
        <f t="shared" si="335"/>
        <v>0</v>
      </c>
      <c r="BV562" s="5">
        <f t="shared" si="336"/>
        <v>0</v>
      </c>
      <c r="BW562" s="5">
        <f t="shared" si="337"/>
        <v>-5000</v>
      </c>
      <c r="BX562" s="5">
        <f t="shared" si="338"/>
        <v>-5000</v>
      </c>
      <c r="BY562" s="5">
        <f t="shared" si="339"/>
        <v>-15000</v>
      </c>
      <c r="BZ562" s="5">
        <f>INDEX('Team forecast'!$R$3:$BH$26,MATCH($B562,'Team forecast'!$B$3:$B$26,0),MATCH(BZ$1,'Team forecast'!$R$2:$BH$2,0))*($BX562-(BY562+CH562)*0.01)</f>
        <v>-7575.3215825039961</v>
      </c>
      <c r="CA562" s="5">
        <f>INDEX('Team forecast'!$R$3:$BH$26,MATCH($B562,'Team forecast'!$B$3:$B$26,0),MATCH(CA$1,'Team forecast'!$R$2:$BH$2,0))*($BX562-(BY562+BX562+CH562)*0.01)</f>
        <v>-3711.1125543115768</v>
      </c>
      <c r="CB562" s="5">
        <f>INDEX('Team forecast'!$R$3:$BH$26,MATCH($B562,'Team forecast'!$B$3:$B$26,0),MATCH(CB$1,'Team forecast'!$R$2:$BH$2,0))*($BX562-(BY562+BX562*2+CH562)*0.01)</f>
        <v>-1786.4796759498645</v>
      </c>
      <c r="CC562" s="5">
        <f>INDEX('Team forecast'!$R$3:$BH$26,MATCH($B562,'Team forecast'!$B$3:$B$26,0),MATCH(CC$1,'Team forecast'!$R$2:$BH$2,0))*($BX562-(BY562+BX562*3+CH562)*0.01)</f>
        <v>-806.82367171182011</v>
      </c>
      <c r="CD562" s="5">
        <f>+AK562+BD562*Cockpit!$C$3+BW562*Cockpit!$C$3^2+BZ562*Cockpit!$C$3^3+CA562*Cockpit!$C$3^4+CB562*Cockpit!$C$3^5+CC562*Cockpit!$C$3^6</f>
        <v>-13839.243393034943</v>
      </c>
      <c r="CE562" s="5"/>
      <c r="CF562" s="5"/>
      <c r="CG562" s="5">
        <v>0</v>
      </c>
      <c r="CH562" s="5">
        <f t="shared" si="340"/>
        <v>2500000</v>
      </c>
      <c r="CI562" s="5">
        <f t="shared" si="341"/>
        <v>2500000</v>
      </c>
      <c r="CJ562" s="1">
        <f t="shared" si="342"/>
        <v>-6.0000000000000001E-3</v>
      </c>
      <c r="CK562" s="5">
        <f>RANK(BY562,$BY$2:$BY$623)+COUNTIF($BY$2:$BY562,$BY562)-1</f>
        <v>600</v>
      </c>
      <c r="CL562" s="5">
        <f>RANK(CJ562,$CJ$2:$CJ$623)+COUNTIF($CJ$2:$CJ562,$CJ562)-1</f>
        <v>571</v>
      </c>
    </row>
    <row r="563" spans="1:90">
      <c r="A563" t="str">
        <f>Players!P564</f>
        <v>Stefan Spirovski</v>
      </c>
      <c r="B563" t="str">
        <f>Players!G564</f>
        <v>North Macedonia</v>
      </c>
      <c r="C563" t="str">
        <f>Players!AB564</f>
        <v>Midfield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0.65653770483831209</v>
      </c>
      <c r="I563" s="16">
        <f>INDEX('Team forecast'!$B$2:$AO$26,MATCH('Master data'!$B563,'Team forecast'!$B$2:$B$26,0),MATCH('Master data'!I$1,'Team forecast'!$B$2:$AO$2,0))</f>
        <v>1.5562991347612565</v>
      </c>
      <c r="J563" s="16">
        <f>INDEX('Team forecast'!$B$2:$AO$26,MATCH('Master data'!$B563,'Team forecast'!$B$2:$B$26,0),MATCH('Master data'!J$1,'Team forecast'!$B$2:$AO$2,0))</f>
        <v>0.2109151973131822</v>
      </c>
      <c r="K563" s="16">
        <f>INDEX('Team forecast'!$B$2:$AO$26,MATCH('Master data'!$B563,'Team forecast'!$B$2:$B$26,0),MATCH('Master data'!K$1,'Team forecast'!$B$2:$AO$2,0))</f>
        <v>2.1553005461863779</v>
      </c>
      <c r="L563" s="16">
        <f>INDEX('Team forecast'!$B$2:$AO$26,MATCH('Master data'!$B563,'Team forecast'!$B$2:$B$26,0),MATCH('Master data'!L$1,'Team forecast'!$B$2:$AO$2,0))</f>
        <v>3.8246785340123335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0.19347396768402153</v>
      </c>
      <c r="R563" s="2">
        <f>Players!BR564</f>
        <v>3.2315978456014367E-2</v>
      </c>
      <c r="S563" s="2">
        <f t="shared" si="301"/>
        <v>0.65653770483831209</v>
      </c>
      <c r="T563" s="2">
        <f t="shared" si="302"/>
        <v>1.5562991347612565</v>
      </c>
      <c r="U563" s="16">
        <f>INDEX('Team forecast'!$B$2:$AO$26,MATCH('Master data'!$B563,'Team forecast'!$B$2:$B$26,0),MATCH('Master data'!U$1,'Team forecast'!$B$2:$AO$2,0))</f>
        <v>0.15818639798488671</v>
      </c>
      <c r="V563" s="16">
        <f>INDEX('Team forecast'!$B$2:$AO$26,MATCH('Master data'!$B563,'Team forecast'!$B$2:$B$26,0),MATCH('Master data'!V$1,'Team forecast'!$B$2:$AO$2,0))</f>
        <v>0.23727959697733</v>
      </c>
      <c r="W563" s="16">
        <f>INDEX('Team forecast'!$B$2:$AO$26,MATCH('Master data'!$B563,'Team forecast'!$B$2:$B$26,0),MATCH('Master data'!W$1,'Team forecast'!$B$2:$AO$2,0))</f>
        <v>0.60453400503778332</v>
      </c>
      <c r="X563" s="5">
        <f t="shared" si="303"/>
        <v>-5000</v>
      </c>
      <c r="Y563" s="5">
        <f t="shared" si="304"/>
        <v>0</v>
      </c>
      <c r="Z563" s="5">
        <f t="shared" si="305"/>
        <v>0</v>
      </c>
      <c r="AA563" s="5">
        <f t="shared" si="306"/>
        <v>0</v>
      </c>
      <c r="AB563" s="5">
        <f t="shared" si="307"/>
        <v>0</v>
      </c>
      <c r="AC563" s="5">
        <f t="shared" si="308"/>
        <v>0</v>
      </c>
      <c r="AD563" s="5">
        <f t="shared" si="309"/>
        <v>0</v>
      </c>
      <c r="AE563" s="5">
        <f t="shared" si="310"/>
        <v>0</v>
      </c>
      <c r="AF563" s="5">
        <f t="shared" si="311"/>
        <v>0</v>
      </c>
      <c r="AG563" s="5">
        <f t="shared" si="312"/>
        <v>0</v>
      </c>
      <c r="AH563" s="5">
        <f t="shared" si="313"/>
        <v>0</v>
      </c>
      <c r="AI563" s="5">
        <f t="shared" si="314"/>
        <v>0</v>
      </c>
      <c r="AJ563" s="5">
        <f t="shared" si="315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0.76028648339757388</v>
      </c>
      <c r="AM563" s="16">
        <f>INDEX('Team forecast'!$B$2:$AO$26,MATCH('Master data'!$B563,'Team forecast'!$B$2:$B$26,0),MATCH('Master data'!AM$1,'Team forecast'!$B$2:$AO$2,0))</f>
        <v>1.5712166996139025</v>
      </c>
      <c r="AN563" s="16">
        <f>INDEX('Team forecast'!$B$2:$AO$26,MATCH('Master data'!$B563,'Team forecast'!$B$2:$B$26,0),MATCH('Master data'!AN$1,'Team forecast'!$B$2:$AO$2,0))</f>
        <v>0.20779220779220781</v>
      </c>
      <c r="AO563" s="16">
        <f>INDEX('Team forecast'!$B$2:$AO$26,MATCH('Master data'!$B563,'Team forecast'!$B$2:$B$26,0),MATCH('Master data'!AO$1,'Team forecast'!$B$2:$AO$2,0))</f>
        <v>2.4958899707496114</v>
      </c>
      <c r="AP563" s="16">
        <f>INDEX('Team forecast'!$B$2:$AO$26,MATCH('Master data'!$B563,'Team forecast'!$B$2:$B$26,0),MATCH('Master data'!AP$1,'Team forecast'!$B$2:$AO$2,0))</f>
        <v>3.8613391532964307</v>
      </c>
      <c r="AQ563" s="5">
        <f t="shared" si="316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317"/>
        <v>0</v>
      </c>
      <c r="AV563" s="5">
        <f t="shared" si="318"/>
        <v>0</v>
      </c>
      <c r="AW563" s="5">
        <f t="shared" si="319"/>
        <v>0</v>
      </c>
      <c r="AX563" s="5">
        <f t="shared" si="320"/>
        <v>0</v>
      </c>
      <c r="AY563" s="5">
        <f t="shared" si="321"/>
        <v>0</v>
      </c>
      <c r="AZ563" s="5">
        <f t="shared" si="322"/>
        <v>0</v>
      </c>
      <c r="BA563" s="5">
        <f t="shared" si="323"/>
        <v>0</v>
      </c>
      <c r="BB563" s="5">
        <f t="shared" si="324"/>
        <v>0</v>
      </c>
      <c r="BC563" s="5">
        <f t="shared" si="325"/>
        <v>0</v>
      </c>
      <c r="BD563" s="5">
        <f t="shared" si="326"/>
        <v>-5000</v>
      </c>
      <c r="BE563" s="16">
        <f>INDEX('Team forecast'!$B$2:$AO$26,MATCH('Master data'!$B563,'Team forecast'!$B$2:$B$26,0),MATCH('Master data'!BE$1,'Team forecast'!$B$2:$AO$2,0))</f>
        <v>0.49102780480244929</v>
      </c>
      <c r="BF563" s="16">
        <f>INDEX('Team forecast'!$B$2:$AO$26,MATCH('Master data'!$B563,'Team forecast'!$B$2:$B$26,0),MATCH('Master data'!BF$1,'Team forecast'!$B$2:$AO$2,0))</f>
        <v>2.3683451623921505</v>
      </c>
      <c r="BG563" s="16">
        <f>INDEX('Team forecast'!$B$2:$AO$26,MATCH('Master data'!$B563,'Team forecast'!$B$2:$B$26,0),MATCH('Master data'!BG$1,'Team forecast'!$B$2:$AO$2,0))</f>
        <v>9.3635549768047527E-2</v>
      </c>
      <c r="BH563" s="16">
        <f>INDEX('Team forecast'!$B$2:$AO$26,MATCH('Master data'!$B563,'Team forecast'!$B$2:$B$26,0),MATCH('Master data'!BH$1,'Team forecast'!$B$2:$AO$2,0))</f>
        <v>1.6119599652605658</v>
      </c>
      <c r="BI563" s="16">
        <f>INDEX('Team forecast'!$B$2:$AO$26,MATCH('Master data'!$B563,'Team forecast'!$B$2:$B$26,0),MATCH('Master data'!BI$1,'Team forecast'!$B$2:$AO$2,0))</f>
        <v>5.8203199509731629</v>
      </c>
      <c r="BJ563" s="5">
        <f t="shared" si="327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328"/>
        <v>0</v>
      </c>
      <c r="BO563" s="5">
        <f t="shared" si="329"/>
        <v>0</v>
      </c>
      <c r="BP563" s="5">
        <f t="shared" si="330"/>
        <v>0</v>
      </c>
      <c r="BQ563" s="5">
        <f t="shared" si="331"/>
        <v>0</v>
      </c>
      <c r="BR563" s="5">
        <f t="shared" si="332"/>
        <v>0</v>
      </c>
      <c r="BS563" s="5">
        <f t="shared" si="333"/>
        <v>0</v>
      </c>
      <c r="BT563" s="5">
        <f t="shared" si="334"/>
        <v>0</v>
      </c>
      <c r="BU563" s="5">
        <f t="shared" si="335"/>
        <v>0</v>
      </c>
      <c r="BV563" s="5">
        <f t="shared" si="336"/>
        <v>0</v>
      </c>
      <c r="BW563" s="5">
        <f t="shared" si="337"/>
        <v>-5000</v>
      </c>
      <c r="BX563" s="5">
        <f t="shared" si="338"/>
        <v>-5000</v>
      </c>
      <c r="BY563" s="5">
        <f t="shared" si="339"/>
        <v>-15000</v>
      </c>
      <c r="BZ563" s="5">
        <f>INDEX('Team forecast'!$R$3:$BH$26,MATCH($B563,'Team forecast'!$B$3:$B$26,0),MATCH(BZ$1,'Team forecast'!$R$2:$BH$2,0))*($BX563-(BY563+CH563)*0.01)</f>
        <v>-6306.4234949823885</v>
      </c>
      <c r="CA563" s="5">
        <f>INDEX('Team forecast'!$R$3:$BH$26,MATCH($B563,'Team forecast'!$B$3:$B$26,0),MATCH(CA$1,'Team forecast'!$R$2:$BH$2,0))*($BX563-(BY563+BX563+CH563)*0.01)</f>
        <v>-3088.4426626485606</v>
      </c>
      <c r="CB563" s="5">
        <f>INDEX('Team forecast'!$R$3:$BH$26,MATCH($B563,'Team forecast'!$B$3:$B$26,0),MATCH(CB$1,'Team forecast'!$R$2:$BH$2,0))*($BX563-(BY563+BX563*2+CH563)*0.01)</f>
        <v>-1486.2309909162739</v>
      </c>
      <c r="CC563" s="5">
        <f>INDEX('Team forecast'!$R$3:$BH$26,MATCH($B563,'Team forecast'!$B$3:$B$26,0),MATCH(CC$1,'Team forecast'!$R$2:$BH$2,0))*($BX563-(BY563+BX563*3+CH563)*0.01)</f>
        <v>-670.99477075023424</v>
      </c>
      <c r="CD563" s="5">
        <f>+AK563+BD563*Cockpit!$C$3+BW563*Cockpit!$C$3^2+BZ563*Cockpit!$C$3^3+CA563*Cockpit!$C$3^4+CB563*Cockpit!$C$3^5+CC563*Cockpit!$C$3^6</f>
        <v>-13288.81352372231</v>
      </c>
      <c r="CE563" s="5"/>
      <c r="CF563" s="5"/>
      <c r="CG563" s="5">
        <v>0</v>
      </c>
      <c r="CH563" s="5">
        <f t="shared" si="340"/>
        <v>2000000</v>
      </c>
      <c r="CI563" s="5">
        <f t="shared" si="341"/>
        <v>2000000</v>
      </c>
      <c r="CJ563" s="1">
        <f t="shared" si="342"/>
        <v>-7.4999999999999997E-3</v>
      </c>
      <c r="CK563" s="5">
        <f>RANK(BY563,$BY$2:$BY$623)+COUNTIF($BY$2:$BY563,$BY563)-1</f>
        <v>601</v>
      </c>
      <c r="CL563" s="5">
        <f>RANK(CJ563,$CJ$2:$CJ$623)+COUNTIF($CJ$2:$CJ563,$CJ563)-1</f>
        <v>610</v>
      </c>
    </row>
    <row r="564" spans="1:90">
      <c r="A564" t="str">
        <f>Players!P565</f>
        <v>Milan Ristovski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0.65653770483831209</v>
      </c>
      <c r="I564" s="16">
        <f>INDEX('Team forecast'!$B$2:$AO$26,MATCH('Master data'!$B564,'Team forecast'!$B$2:$B$26,0),MATCH('Master data'!I$1,'Team forecast'!$B$2:$AO$2,0))</f>
        <v>1.5562991347612565</v>
      </c>
      <c r="J564" s="16">
        <f>INDEX('Team forecast'!$B$2:$AO$26,MATCH('Master data'!$B564,'Team forecast'!$B$2:$B$26,0),MATCH('Master data'!J$1,'Team forecast'!$B$2:$AO$2,0))</f>
        <v>0.2109151973131822</v>
      </c>
      <c r="K564" s="16">
        <f>INDEX('Team forecast'!$B$2:$AO$26,MATCH('Master data'!$B564,'Team forecast'!$B$2:$B$26,0),MATCH('Master data'!K$1,'Team forecast'!$B$2:$AO$2,0))</f>
        <v>2.1553005461863779</v>
      </c>
      <c r="L564" s="16">
        <f>INDEX('Team forecast'!$B$2:$AO$26,MATCH('Master data'!$B564,'Team forecast'!$B$2:$B$26,0),MATCH('Master data'!L$1,'Team forecast'!$B$2:$AO$2,0))</f>
        <v>3.8246785340123335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0.105</v>
      </c>
      <c r="R564" s="2">
        <f>Players!BR565</f>
        <v>0</v>
      </c>
      <c r="S564" s="2">
        <f t="shared" si="301"/>
        <v>0.65653770483831209</v>
      </c>
      <c r="T564" s="2">
        <f t="shared" si="302"/>
        <v>1.5562991347612565</v>
      </c>
      <c r="U564" s="16">
        <f>INDEX('Team forecast'!$B$2:$AO$26,MATCH('Master data'!$B564,'Team forecast'!$B$2:$B$26,0),MATCH('Master data'!U$1,'Team forecast'!$B$2:$AO$2,0))</f>
        <v>0.15818639798488671</v>
      </c>
      <c r="V564" s="16">
        <f>INDEX('Team forecast'!$B$2:$AO$26,MATCH('Master data'!$B564,'Team forecast'!$B$2:$B$26,0),MATCH('Master data'!V$1,'Team forecast'!$B$2:$AO$2,0))</f>
        <v>0.23727959697733</v>
      </c>
      <c r="W564" s="16">
        <f>INDEX('Team forecast'!$B$2:$AO$26,MATCH('Master data'!$B564,'Team forecast'!$B$2:$B$26,0),MATCH('Master data'!W$1,'Team forecast'!$B$2:$AO$2,0))</f>
        <v>0.60453400503778332</v>
      </c>
      <c r="X564" s="5">
        <f t="shared" si="303"/>
        <v>-5000</v>
      </c>
      <c r="Y564" s="5">
        <f t="shared" si="304"/>
        <v>0</v>
      </c>
      <c r="Z564" s="5">
        <f t="shared" si="305"/>
        <v>0</v>
      </c>
      <c r="AA564" s="5">
        <f t="shared" si="306"/>
        <v>0</v>
      </c>
      <c r="AB564" s="5">
        <f t="shared" si="307"/>
        <v>0</v>
      </c>
      <c r="AC564" s="5">
        <f t="shared" si="308"/>
        <v>0</v>
      </c>
      <c r="AD564" s="5">
        <f t="shared" si="309"/>
        <v>0</v>
      </c>
      <c r="AE564" s="5">
        <f t="shared" si="310"/>
        <v>0</v>
      </c>
      <c r="AF564" s="5">
        <f t="shared" si="311"/>
        <v>0</v>
      </c>
      <c r="AG564" s="5">
        <f t="shared" si="312"/>
        <v>0</v>
      </c>
      <c r="AH564" s="5">
        <f t="shared" si="313"/>
        <v>0</v>
      </c>
      <c r="AI564" s="5">
        <f t="shared" si="314"/>
        <v>0</v>
      </c>
      <c r="AJ564" s="5">
        <f t="shared" si="315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0.76028648339757388</v>
      </c>
      <c r="AM564" s="16">
        <f>INDEX('Team forecast'!$B$2:$AO$26,MATCH('Master data'!$B564,'Team forecast'!$B$2:$B$26,0),MATCH('Master data'!AM$1,'Team forecast'!$B$2:$AO$2,0))</f>
        <v>1.5712166996139025</v>
      </c>
      <c r="AN564" s="16">
        <f>INDEX('Team forecast'!$B$2:$AO$26,MATCH('Master data'!$B564,'Team forecast'!$B$2:$B$26,0),MATCH('Master data'!AN$1,'Team forecast'!$B$2:$AO$2,0))</f>
        <v>0.20779220779220781</v>
      </c>
      <c r="AO564" s="16">
        <f>INDEX('Team forecast'!$B$2:$AO$26,MATCH('Master data'!$B564,'Team forecast'!$B$2:$B$26,0),MATCH('Master data'!AO$1,'Team forecast'!$B$2:$AO$2,0))</f>
        <v>2.4958899707496114</v>
      </c>
      <c r="AP564" s="16">
        <f>INDEX('Team forecast'!$B$2:$AO$26,MATCH('Master data'!$B564,'Team forecast'!$B$2:$B$26,0),MATCH('Master data'!AP$1,'Team forecast'!$B$2:$AO$2,0))</f>
        <v>3.8613391532964307</v>
      </c>
      <c r="AQ564" s="5">
        <f t="shared" si="316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317"/>
        <v>0</v>
      </c>
      <c r="AV564" s="5">
        <f t="shared" si="318"/>
        <v>0</v>
      </c>
      <c r="AW564" s="5">
        <f t="shared" si="319"/>
        <v>0</v>
      </c>
      <c r="AX564" s="5">
        <f t="shared" si="320"/>
        <v>0</v>
      </c>
      <c r="AY564" s="5">
        <f t="shared" si="321"/>
        <v>0</v>
      </c>
      <c r="AZ564" s="5">
        <f t="shared" si="322"/>
        <v>0</v>
      </c>
      <c r="BA564" s="5">
        <f t="shared" si="323"/>
        <v>0</v>
      </c>
      <c r="BB564" s="5">
        <f t="shared" si="324"/>
        <v>0</v>
      </c>
      <c r="BC564" s="5">
        <f t="shared" si="325"/>
        <v>0</v>
      </c>
      <c r="BD564" s="5">
        <f t="shared" si="326"/>
        <v>-5000</v>
      </c>
      <c r="BE564" s="16">
        <f>INDEX('Team forecast'!$B$2:$AO$26,MATCH('Master data'!$B564,'Team forecast'!$B$2:$B$26,0),MATCH('Master data'!BE$1,'Team forecast'!$B$2:$AO$2,0))</f>
        <v>0.49102780480244929</v>
      </c>
      <c r="BF564" s="16">
        <f>INDEX('Team forecast'!$B$2:$AO$26,MATCH('Master data'!$B564,'Team forecast'!$B$2:$B$26,0),MATCH('Master data'!BF$1,'Team forecast'!$B$2:$AO$2,0))</f>
        <v>2.3683451623921505</v>
      </c>
      <c r="BG564" s="16">
        <f>INDEX('Team forecast'!$B$2:$AO$26,MATCH('Master data'!$B564,'Team forecast'!$B$2:$B$26,0),MATCH('Master data'!BG$1,'Team forecast'!$B$2:$AO$2,0))</f>
        <v>9.3635549768047527E-2</v>
      </c>
      <c r="BH564" s="16">
        <f>INDEX('Team forecast'!$B$2:$AO$26,MATCH('Master data'!$B564,'Team forecast'!$B$2:$B$26,0),MATCH('Master data'!BH$1,'Team forecast'!$B$2:$AO$2,0))</f>
        <v>1.6119599652605658</v>
      </c>
      <c r="BI564" s="16">
        <f>INDEX('Team forecast'!$B$2:$AO$26,MATCH('Master data'!$B564,'Team forecast'!$B$2:$B$26,0),MATCH('Master data'!BI$1,'Team forecast'!$B$2:$AO$2,0))</f>
        <v>5.8203199509731629</v>
      </c>
      <c r="BJ564" s="5">
        <f t="shared" si="327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328"/>
        <v>0</v>
      </c>
      <c r="BO564" s="5">
        <f t="shared" si="329"/>
        <v>0</v>
      </c>
      <c r="BP564" s="5">
        <f t="shared" si="330"/>
        <v>0</v>
      </c>
      <c r="BQ564" s="5">
        <f t="shared" si="331"/>
        <v>0</v>
      </c>
      <c r="BR564" s="5">
        <f t="shared" si="332"/>
        <v>0</v>
      </c>
      <c r="BS564" s="5">
        <f t="shared" si="333"/>
        <v>0</v>
      </c>
      <c r="BT564" s="5">
        <f t="shared" si="334"/>
        <v>0</v>
      </c>
      <c r="BU564" s="5">
        <f t="shared" si="335"/>
        <v>0</v>
      </c>
      <c r="BV564" s="5">
        <f t="shared" si="336"/>
        <v>0</v>
      </c>
      <c r="BW564" s="5">
        <f t="shared" si="337"/>
        <v>-5000</v>
      </c>
      <c r="BX564" s="5">
        <f t="shared" si="338"/>
        <v>-5000</v>
      </c>
      <c r="BY564" s="5">
        <f t="shared" si="339"/>
        <v>-15000</v>
      </c>
      <c r="BZ564" s="5">
        <f>INDEX('Team forecast'!$R$3:$BH$26,MATCH($B564,'Team forecast'!$B$3:$B$26,0),MATCH(BZ$1,'Team forecast'!$R$2:$BH$2,0))*($BX564-(BY564+CH564)*0.01)</f>
        <v>-6306.4234949823885</v>
      </c>
      <c r="CA564" s="5">
        <f>INDEX('Team forecast'!$R$3:$BH$26,MATCH($B564,'Team forecast'!$B$3:$B$26,0),MATCH(CA$1,'Team forecast'!$R$2:$BH$2,0))*($BX564-(BY564+BX564+CH564)*0.01)</f>
        <v>-3088.4426626485606</v>
      </c>
      <c r="CB564" s="5">
        <f>INDEX('Team forecast'!$R$3:$BH$26,MATCH($B564,'Team forecast'!$B$3:$B$26,0),MATCH(CB$1,'Team forecast'!$R$2:$BH$2,0))*($BX564-(BY564+BX564*2+CH564)*0.01)</f>
        <v>-1486.2309909162739</v>
      </c>
      <c r="CC564" s="5">
        <f>INDEX('Team forecast'!$R$3:$BH$26,MATCH($B564,'Team forecast'!$B$3:$B$26,0),MATCH(CC$1,'Team forecast'!$R$2:$BH$2,0))*($BX564-(BY564+BX564*3+CH564)*0.01)</f>
        <v>-670.99477075023424</v>
      </c>
      <c r="CD564" s="5">
        <f>+AK564+BD564*Cockpit!$C$3+BW564*Cockpit!$C$3^2+BZ564*Cockpit!$C$3^3+CA564*Cockpit!$C$3^4+CB564*Cockpit!$C$3^5+CC564*Cockpit!$C$3^6</f>
        <v>-13288.81352372231</v>
      </c>
      <c r="CE564" s="5"/>
      <c r="CF564" s="5"/>
      <c r="CG564" s="5">
        <v>0</v>
      </c>
      <c r="CH564" s="5">
        <f t="shared" si="340"/>
        <v>2000000</v>
      </c>
      <c r="CI564" s="5">
        <f t="shared" si="341"/>
        <v>2000000</v>
      </c>
      <c r="CJ564" s="1">
        <f t="shared" si="342"/>
        <v>-7.4999999999999997E-3</v>
      </c>
      <c r="CK564" s="5">
        <f>RANK(BY564,$BY$2:$BY$623)+COUNTIF($BY$2:$BY564,$BY564)-1</f>
        <v>602</v>
      </c>
      <c r="CL564" s="5">
        <f>RANK(CJ564,$CJ$2:$CJ$623)+COUNTIF($CJ$2:$CJ564,$CJ564)-1</f>
        <v>611</v>
      </c>
    </row>
    <row r="565" spans="1:90">
      <c r="A565" t="str">
        <f>Players!P566</f>
        <v>Krste Velkovski</v>
      </c>
      <c r="B565" t="str">
        <f>Players!G566</f>
        <v>North Macedonia</v>
      </c>
      <c r="C565" t="str">
        <f>Players!AB566</f>
        <v>Striker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0.65653770483831209</v>
      </c>
      <c r="I565" s="16">
        <f>INDEX('Team forecast'!$B$2:$AO$26,MATCH('Master data'!$B565,'Team forecast'!$B$2:$B$26,0),MATCH('Master data'!I$1,'Team forecast'!$B$2:$AO$2,0))</f>
        <v>1.5562991347612565</v>
      </c>
      <c r="J565" s="16">
        <f>INDEX('Team forecast'!$B$2:$AO$26,MATCH('Master data'!$B565,'Team forecast'!$B$2:$B$26,0),MATCH('Master data'!J$1,'Team forecast'!$B$2:$AO$2,0))</f>
        <v>0.2109151973131822</v>
      </c>
      <c r="K565" s="16">
        <f>INDEX('Team forecast'!$B$2:$AO$26,MATCH('Master data'!$B565,'Team forecast'!$B$2:$B$26,0),MATCH('Master data'!K$1,'Team forecast'!$B$2:$AO$2,0))</f>
        <v>2.1553005461863779</v>
      </c>
      <c r="L565" s="16">
        <f>INDEX('Team forecast'!$B$2:$AO$26,MATCH('Master data'!$B565,'Team forecast'!$B$2:$B$26,0),MATCH('Master data'!L$1,'Team forecast'!$B$2:$AO$2,0))</f>
        <v>3.8246785340123335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2.6147588611272515E-2</v>
      </c>
      <c r="R565" s="2">
        <f>Players!BR566</f>
        <v>0</v>
      </c>
      <c r="S565" s="2">
        <f t="shared" si="301"/>
        <v>0.65653770483831209</v>
      </c>
      <c r="T565" s="2">
        <f t="shared" si="302"/>
        <v>1.5562991347612565</v>
      </c>
      <c r="U565" s="16">
        <f>INDEX('Team forecast'!$B$2:$AO$26,MATCH('Master data'!$B565,'Team forecast'!$B$2:$B$26,0),MATCH('Master data'!U$1,'Team forecast'!$B$2:$AO$2,0))</f>
        <v>0.15818639798488671</v>
      </c>
      <c r="V565" s="16">
        <f>INDEX('Team forecast'!$B$2:$AO$26,MATCH('Master data'!$B565,'Team forecast'!$B$2:$B$26,0),MATCH('Master data'!V$1,'Team forecast'!$B$2:$AO$2,0))</f>
        <v>0.23727959697733</v>
      </c>
      <c r="W565" s="16">
        <f>INDEX('Team forecast'!$B$2:$AO$26,MATCH('Master data'!$B565,'Team forecast'!$B$2:$B$26,0),MATCH('Master data'!W$1,'Team forecast'!$B$2:$AO$2,0))</f>
        <v>0.60453400503778332</v>
      </c>
      <c r="X565" s="5">
        <f t="shared" si="303"/>
        <v>-5000</v>
      </c>
      <c r="Y565" s="5">
        <f t="shared" si="304"/>
        <v>0</v>
      </c>
      <c r="Z565" s="5">
        <f t="shared" si="305"/>
        <v>0</v>
      </c>
      <c r="AA565" s="5">
        <f t="shared" si="306"/>
        <v>0</v>
      </c>
      <c r="AB565" s="5">
        <f t="shared" si="307"/>
        <v>0</v>
      </c>
      <c r="AC565" s="5">
        <f t="shared" si="308"/>
        <v>0</v>
      </c>
      <c r="AD565" s="5">
        <f t="shared" si="309"/>
        <v>0</v>
      </c>
      <c r="AE565" s="5">
        <f t="shared" si="310"/>
        <v>0</v>
      </c>
      <c r="AF565" s="5">
        <f t="shared" si="311"/>
        <v>0</v>
      </c>
      <c r="AG565" s="5">
        <f t="shared" si="312"/>
        <v>0</v>
      </c>
      <c r="AH565" s="5">
        <f t="shared" si="313"/>
        <v>0</v>
      </c>
      <c r="AI565" s="5">
        <f t="shared" si="314"/>
        <v>0</v>
      </c>
      <c r="AJ565" s="5">
        <f t="shared" si="315"/>
        <v>0</v>
      </c>
      <c r="AK565" s="5">
        <f>IFERROR(SUM(X565:AJ565),-5000)*((Cockpit!$C$3)^0)</f>
        <v>-5000</v>
      </c>
      <c r="AL565" s="16">
        <f>INDEX('Team forecast'!$B$2:$AO$26,MATCH('Master data'!$B565,'Team forecast'!$B$2:$B$26,0),MATCH('Master data'!AL$1,'Team forecast'!$B$2:$AO$2,0))</f>
        <v>0.76028648339757388</v>
      </c>
      <c r="AM565" s="16">
        <f>INDEX('Team forecast'!$B$2:$AO$26,MATCH('Master data'!$B565,'Team forecast'!$B$2:$B$26,0),MATCH('Master data'!AM$1,'Team forecast'!$B$2:$AO$2,0))</f>
        <v>1.5712166996139025</v>
      </c>
      <c r="AN565" s="16">
        <f>INDEX('Team forecast'!$B$2:$AO$26,MATCH('Master data'!$B565,'Team forecast'!$B$2:$B$26,0),MATCH('Master data'!AN$1,'Team forecast'!$B$2:$AO$2,0))</f>
        <v>0.20779220779220781</v>
      </c>
      <c r="AO565" s="16">
        <f>INDEX('Team forecast'!$B$2:$AO$26,MATCH('Master data'!$B565,'Team forecast'!$B$2:$B$26,0),MATCH('Master data'!AO$1,'Team forecast'!$B$2:$AO$2,0))</f>
        <v>2.4958899707496114</v>
      </c>
      <c r="AP565" s="16">
        <f>INDEX('Team forecast'!$B$2:$AO$26,MATCH('Master data'!$B565,'Team forecast'!$B$2:$B$26,0),MATCH('Master data'!AP$1,'Team forecast'!$B$2:$AO$2,0))</f>
        <v>3.8613391532964307</v>
      </c>
      <c r="AQ565" s="5">
        <f t="shared" si="316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317"/>
        <v>0</v>
      </c>
      <c r="AV565" s="5">
        <f t="shared" si="318"/>
        <v>0</v>
      </c>
      <c r="AW565" s="5">
        <f t="shared" si="319"/>
        <v>0</v>
      </c>
      <c r="AX565" s="5">
        <f t="shared" si="320"/>
        <v>0</v>
      </c>
      <c r="AY565" s="5">
        <f t="shared" si="321"/>
        <v>0</v>
      </c>
      <c r="AZ565" s="5">
        <f t="shared" si="322"/>
        <v>0</v>
      </c>
      <c r="BA565" s="5">
        <f t="shared" si="323"/>
        <v>0</v>
      </c>
      <c r="BB565" s="5">
        <f t="shared" si="324"/>
        <v>0</v>
      </c>
      <c r="BC565" s="5">
        <f t="shared" si="325"/>
        <v>0</v>
      </c>
      <c r="BD565" s="5">
        <f t="shared" si="326"/>
        <v>-5000</v>
      </c>
      <c r="BE565" s="16">
        <f>INDEX('Team forecast'!$B$2:$AO$26,MATCH('Master data'!$B565,'Team forecast'!$B$2:$B$26,0),MATCH('Master data'!BE$1,'Team forecast'!$B$2:$AO$2,0))</f>
        <v>0.49102780480244929</v>
      </c>
      <c r="BF565" s="16">
        <f>INDEX('Team forecast'!$B$2:$AO$26,MATCH('Master data'!$B565,'Team forecast'!$B$2:$B$26,0),MATCH('Master data'!BF$1,'Team forecast'!$B$2:$AO$2,0))</f>
        <v>2.3683451623921505</v>
      </c>
      <c r="BG565" s="16">
        <f>INDEX('Team forecast'!$B$2:$AO$26,MATCH('Master data'!$B565,'Team forecast'!$B$2:$B$26,0),MATCH('Master data'!BG$1,'Team forecast'!$B$2:$AO$2,0))</f>
        <v>9.3635549768047527E-2</v>
      </c>
      <c r="BH565" s="16">
        <f>INDEX('Team forecast'!$B$2:$AO$26,MATCH('Master data'!$B565,'Team forecast'!$B$2:$B$26,0),MATCH('Master data'!BH$1,'Team forecast'!$B$2:$AO$2,0))</f>
        <v>1.6119599652605658</v>
      </c>
      <c r="BI565" s="16">
        <f>INDEX('Team forecast'!$B$2:$AO$26,MATCH('Master data'!$B565,'Team forecast'!$B$2:$B$26,0),MATCH('Master data'!BI$1,'Team forecast'!$B$2:$AO$2,0))</f>
        <v>5.8203199509731629</v>
      </c>
      <c r="BJ565" s="5">
        <f t="shared" si="327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328"/>
        <v>0</v>
      </c>
      <c r="BO565" s="5">
        <f t="shared" si="329"/>
        <v>0</v>
      </c>
      <c r="BP565" s="5">
        <f t="shared" si="330"/>
        <v>0</v>
      </c>
      <c r="BQ565" s="5">
        <f t="shared" si="331"/>
        <v>0</v>
      </c>
      <c r="BR565" s="5">
        <f t="shared" si="332"/>
        <v>0</v>
      </c>
      <c r="BS565" s="5">
        <f t="shared" si="333"/>
        <v>0</v>
      </c>
      <c r="BT565" s="5">
        <f t="shared" si="334"/>
        <v>0</v>
      </c>
      <c r="BU565" s="5">
        <f t="shared" si="335"/>
        <v>0</v>
      </c>
      <c r="BV565" s="5">
        <f t="shared" si="336"/>
        <v>0</v>
      </c>
      <c r="BW565" s="5">
        <f t="shared" si="337"/>
        <v>-5000</v>
      </c>
      <c r="BX565" s="5">
        <f t="shared" si="338"/>
        <v>-5000</v>
      </c>
      <c r="BY565" s="5">
        <f t="shared" si="339"/>
        <v>-15000</v>
      </c>
      <c r="BZ565" s="5">
        <f>INDEX('Team forecast'!$R$3:$BH$26,MATCH($B565,'Team forecast'!$B$3:$B$26,0),MATCH(BZ$1,'Team forecast'!$R$2:$BH$2,0))*($BX565-(BY565+CH565)*0.01)</f>
        <v>-6306.4234949823885</v>
      </c>
      <c r="CA565" s="5">
        <f>INDEX('Team forecast'!$R$3:$BH$26,MATCH($B565,'Team forecast'!$B$3:$B$26,0),MATCH(CA$1,'Team forecast'!$R$2:$BH$2,0))*($BX565-(BY565+BX565+CH565)*0.01)</f>
        <v>-3088.4426626485606</v>
      </c>
      <c r="CB565" s="5">
        <f>INDEX('Team forecast'!$R$3:$BH$26,MATCH($B565,'Team forecast'!$B$3:$B$26,0),MATCH(CB$1,'Team forecast'!$R$2:$BH$2,0))*($BX565-(BY565+BX565*2+CH565)*0.01)</f>
        <v>-1486.2309909162739</v>
      </c>
      <c r="CC565" s="5">
        <f>INDEX('Team forecast'!$R$3:$BH$26,MATCH($B565,'Team forecast'!$B$3:$B$26,0),MATCH(CC$1,'Team forecast'!$R$2:$BH$2,0))*($BX565-(BY565+BX565*3+CH565)*0.01)</f>
        <v>-670.99477075023424</v>
      </c>
      <c r="CD565" s="5">
        <f>+AK565+BD565*Cockpit!$C$3+BW565*Cockpit!$C$3^2+BZ565*Cockpit!$C$3^3+CA565*Cockpit!$C$3^4+CB565*Cockpit!$C$3^5+CC565*Cockpit!$C$3^6</f>
        <v>-13288.81352372231</v>
      </c>
      <c r="CE565" s="5"/>
      <c r="CF565" s="5"/>
      <c r="CG565" s="5">
        <v>0</v>
      </c>
      <c r="CH565" s="5">
        <f t="shared" si="340"/>
        <v>2000000</v>
      </c>
      <c r="CI565" s="5">
        <f t="shared" si="341"/>
        <v>2000000</v>
      </c>
      <c r="CJ565" s="1">
        <f t="shared" si="342"/>
        <v>-7.4999999999999997E-3</v>
      </c>
      <c r="CK565" s="5">
        <f>RANK(BY565,$BY$2:$BY$623)+COUNTIF($BY$2:$BY565,$BY565)-1</f>
        <v>603</v>
      </c>
      <c r="CL565" s="5">
        <f>RANK(CJ565,$CJ$2:$CJ$623)+COUNTIF($CJ$2:$CJ565,$CJ565)-1</f>
        <v>612</v>
      </c>
    </row>
    <row r="566" spans="1:90">
      <c r="A566" t="str">
        <f>Players!P567</f>
        <v>Becir Omeragic</v>
      </c>
      <c r="B566" t="str">
        <f>Players!G567</f>
        <v>Switzerland</v>
      </c>
      <c r="C566" t="str">
        <f>Players!AB567</f>
        <v>Defense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2000000</v>
      </c>
      <c r="H566" s="16">
        <f>INDEX('Team forecast'!$B$2:$AO$26,MATCH('Master data'!$B566,'Team forecast'!$B$2:$B$26,0),MATCH('Master data'!H$1,'Team forecast'!$B$2:$AO$2,0))</f>
        <v>1.162032718107336</v>
      </c>
      <c r="I566" s="16">
        <f>INDEX('Team forecast'!$B$2:$AO$26,MATCH('Master data'!$B566,'Team forecast'!$B$2:$B$26,0),MATCH('Master data'!I$1,'Team forecast'!$B$2:$AO$2,0))</f>
        <v>0.87435064565555498</v>
      </c>
      <c r="J566" s="16">
        <f>INDEX('Team forecast'!$B$2:$AO$26,MATCH('Master data'!$B566,'Team forecast'!$B$2:$B$26,0),MATCH('Master data'!J$1,'Team forecast'!$B$2:$AO$2,0))</f>
        <v>0.41713279874828868</v>
      </c>
      <c r="K566" s="16">
        <f>INDEX('Team forecast'!$B$2:$AO$26,MATCH('Master data'!$B566,'Team forecast'!$B$2:$B$26,0),MATCH('Master data'!K$1,'Team forecast'!$B$2:$AO$2,0))</f>
        <v>3.2487816133000873</v>
      </c>
      <c r="L566" s="16">
        <f>INDEX('Team forecast'!$B$2:$AO$26,MATCH('Master data'!$B566,'Team forecast'!$B$2:$B$26,0),MATCH('Master data'!L$1,'Team forecast'!$B$2:$AO$2,0))</f>
        <v>2.3631098531231216</v>
      </c>
      <c r="M566">
        <f>IF(Players!BC567=1,95,0)</f>
        <v>0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6.32688927943761E-2</v>
      </c>
      <c r="R566" s="2">
        <f>Players!BR567</f>
        <v>0</v>
      </c>
      <c r="S566" s="2">
        <f t="shared" si="301"/>
        <v>1.162032718107336</v>
      </c>
      <c r="T566" s="2">
        <f t="shared" si="302"/>
        <v>0.87435064565555498</v>
      </c>
      <c r="U566" s="16">
        <f>INDEX('Team forecast'!$B$2:$AO$26,MATCH('Master data'!$B566,'Team forecast'!$B$2:$B$26,0),MATCH('Master data'!U$1,'Team forecast'!$B$2:$AO$2,0))</f>
        <v>0.43653432427146488</v>
      </c>
      <c r="V566" s="16">
        <f>INDEX('Team forecast'!$B$2:$AO$26,MATCH('Master data'!$B566,'Team forecast'!$B$2:$B$26,0),MATCH('Master data'!V$1,'Team forecast'!$B$2:$AO$2,0))</f>
        <v>0.30275767651085472</v>
      </c>
      <c r="W566" s="16">
        <f>INDEX('Team forecast'!$B$2:$AO$26,MATCH('Master data'!$B566,'Team forecast'!$B$2:$B$26,0),MATCH('Master data'!W$1,'Team forecast'!$B$2:$AO$2,0))</f>
        <v>0.2607079992176804</v>
      </c>
      <c r="X566" s="5">
        <f t="shared" si="303"/>
        <v>-5000</v>
      </c>
      <c r="Y566" s="5">
        <f t="shared" si="304"/>
        <v>0</v>
      </c>
      <c r="Z566" s="5">
        <f t="shared" si="305"/>
        <v>0</v>
      </c>
      <c r="AA566" s="5">
        <f t="shared" si="306"/>
        <v>0</v>
      </c>
      <c r="AB566" s="5">
        <f t="shared" si="307"/>
        <v>0</v>
      </c>
      <c r="AC566" s="5">
        <f t="shared" si="308"/>
        <v>0</v>
      </c>
      <c r="AD566" s="5">
        <f t="shared" si="309"/>
        <v>0</v>
      </c>
      <c r="AE566" s="5">
        <f t="shared" si="310"/>
        <v>20856.639937414435</v>
      </c>
      <c r="AF566" s="5">
        <f t="shared" si="311"/>
        <v>0</v>
      </c>
      <c r="AG566" s="5">
        <f t="shared" si="312"/>
        <v>0</v>
      </c>
      <c r="AH566" s="5">
        <f t="shared" si="313"/>
        <v>0</v>
      </c>
      <c r="AI566" s="5">
        <f t="shared" si="314"/>
        <v>0</v>
      </c>
      <c r="AJ566" s="5">
        <f t="shared" si="315"/>
        <v>0</v>
      </c>
      <c r="AK566" s="5">
        <f>IFERROR(SUM(X566:AJ566),-5000)*((Cockpit!$C$3)^0)</f>
        <v>15856.639937414435</v>
      </c>
      <c r="AL566" s="16">
        <f>INDEX('Team forecast'!$B$2:$AO$26,MATCH('Master data'!$B566,'Team forecast'!$B$2:$B$26,0),MATCH('Master data'!AL$1,'Team forecast'!$B$2:$AO$2,0))</f>
        <v>0.79620558314709244</v>
      </c>
      <c r="AM566" s="16">
        <f>INDEX('Team forecast'!$B$2:$AO$26,MATCH('Master data'!$B566,'Team forecast'!$B$2:$B$26,0),MATCH('Master data'!AM$1,'Team forecast'!$B$2:$AO$2,0))</f>
        <v>1.5198357804321134</v>
      </c>
      <c r="AN566" s="16">
        <f>INDEX('Team forecast'!$B$2:$AO$26,MATCH('Master data'!$B566,'Team forecast'!$B$2:$B$26,0),MATCH('Master data'!AN$1,'Team forecast'!$B$2:$AO$2,0))</f>
        <v>0.21874780667306151</v>
      </c>
      <c r="AO566" s="16">
        <f>INDEX('Team forecast'!$B$2:$AO$26,MATCH('Master data'!$B566,'Team forecast'!$B$2:$B$26,0),MATCH('Master data'!AO$1,'Team forecast'!$B$2:$AO$2,0))</f>
        <v>2.2260113838689839</v>
      </c>
      <c r="AP566" s="16">
        <f>INDEX('Team forecast'!$B$2:$AO$26,MATCH('Master data'!$B566,'Team forecast'!$B$2:$B$26,0),MATCH('Master data'!AP$1,'Team forecast'!$B$2:$AO$2,0))</f>
        <v>4.1076642714381446</v>
      </c>
      <c r="AQ566" s="5">
        <f t="shared" si="316"/>
        <v>-5000</v>
      </c>
      <c r="AR566" s="5">
        <f>INDEX('Team forecast'!$B$2:$AO$26,MATCH('Master data'!$B566,'Team forecast'!$B$2:$B$26,0),MATCH('Master data'!AR$1,'Team forecast'!$B$2:$AO$2,0))*IF(X566&gt;0,25000,0)</f>
        <v>0</v>
      </c>
      <c r="AS566" s="16">
        <f>INDEX('Team forecast'!$B$2:$AO$26,MATCH('Master data'!$B566,'Team forecast'!$B$2:$B$26,0),MATCH('Master data'!AS$1,'Team forecast'!$B$2:$AO$2,0))*IF(X566&gt;0,5000,0)</f>
        <v>0</v>
      </c>
      <c r="AT566" s="16">
        <f>INDEX('Team forecast'!$B$2:$AO$26,MATCH('Master data'!$B566,'Team forecast'!$B$2:$B$26,0),MATCH('Master data'!AT$1,'Team forecast'!$B$2:$AO$2,0))*IF(X566&gt;0,-15000,0)</f>
        <v>0</v>
      </c>
      <c r="AU566" s="5">
        <f t="shared" si="317"/>
        <v>0</v>
      </c>
      <c r="AV566" s="5">
        <f t="shared" si="318"/>
        <v>0</v>
      </c>
      <c r="AW566" s="5">
        <f t="shared" si="319"/>
        <v>0</v>
      </c>
      <c r="AX566" s="5">
        <f t="shared" si="320"/>
        <v>10937.390333653075</v>
      </c>
      <c r="AY566" s="5">
        <f t="shared" si="321"/>
        <v>0</v>
      </c>
      <c r="AZ566" s="5">
        <f t="shared" si="322"/>
        <v>0</v>
      </c>
      <c r="BA566" s="5">
        <f t="shared" si="323"/>
        <v>0</v>
      </c>
      <c r="BB566" s="5">
        <f t="shared" si="324"/>
        <v>0</v>
      </c>
      <c r="BC566" s="5">
        <f t="shared" si="325"/>
        <v>0</v>
      </c>
      <c r="BD566" s="5">
        <f t="shared" si="326"/>
        <v>5937.3903336530748</v>
      </c>
      <c r="BE566" s="16">
        <f>INDEX('Team forecast'!$B$2:$AO$26,MATCH('Master data'!$B566,'Team forecast'!$B$2:$B$26,0),MATCH('Master data'!BE$1,'Team forecast'!$B$2:$AO$2,0))</f>
        <v>1.3677883945550393</v>
      </c>
      <c r="BF566" s="16">
        <f>INDEX('Team forecast'!$B$2:$AO$26,MATCH('Master data'!$B566,'Team forecast'!$B$2:$B$26,0),MATCH('Master data'!BF$1,'Team forecast'!$B$2:$AO$2,0))</f>
        <v>1.2246875509143662</v>
      </c>
      <c r="BG566" s="16">
        <f>INDEX('Team forecast'!$B$2:$AO$26,MATCH('Master data'!$B566,'Team forecast'!$B$2:$B$26,0),MATCH('Master data'!BG$1,'Team forecast'!$B$2:$AO$2,0))</f>
        <v>0.29384949898885449</v>
      </c>
      <c r="BH566" s="16">
        <f>INDEX('Team forecast'!$B$2:$AO$26,MATCH('Master data'!$B566,'Team forecast'!$B$2:$B$26,0),MATCH('Master data'!BH$1,'Team forecast'!$B$2:$AO$2,0))</f>
        <v>3.8240281171714834</v>
      </c>
      <c r="BI566" s="16">
        <f>INDEX('Team forecast'!$B$2:$AO$26,MATCH('Master data'!$B566,'Team forecast'!$B$2:$B$26,0),MATCH('Master data'!BI$1,'Team forecast'!$B$2:$AO$2,0))</f>
        <v>3.3099663538226114</v>
      </c>
      <c r="BJ566" s="5">
        <f t="shared" si="327"/>
        <v>-5000</v>
      </c>
      <c r="BK566" s="5">
        <f>INDEX('Team forecast'!$R$3:$BH$26,MATCH($B566,'Team forecast'!$B$3:$B$26,0),MATCH(BK$1,'Team forecast'!$R$2:$BH$2,0))*IF($X566&gt;0,25000,0)</f>
        <v>0</v>
      </c>
      <c r="BL566" s="5">
        <f>INDEX('Team forecast'!$R$3:$BH$26,MATCH($B566,'Team forecast'!$B$3:$B$26,0),MATCH(BL$1,'Team forecast'!$R$2:$BH$2,0))*IF($X566&gt;0,5000,0)</f>
        <v>0</v>
      </c>
      <c r="BM566" s="5">
        <f>INDEX('Team forecast'!$R$3:$BH$26,MATCH($B566,'Team forecast'!$B$3:$B$26,0),MATCH(BM$1,'Team forecast'!$R$2:$BH$2,0))*IF($X566&gt;0,-15000,0)</f>
        <v>0</v>
      </c>
      <c r="BN566" s="5">
        <f t="shared" si="328"/>
        <v>0</v>
      </c>
      <c r="BO566" s="5">
        <f t="shared" si="329"/>
        <v>0</v>
      </c>
      <c r="BP566" s="5">
        <f t="shared" si="330"/>
        <v>0</v>
      </c>
      <c r="BQ566" s="5">
        <f t="shared" si="331"/>
        <v>14692.474949442725</v>
      </c>
      <c r="BR566" s="5">
        <f t="shared" si="332"/>
        <v>0</v>
      </c>
      <c r="BS566" s="5">
        <f t="shared" si="333"/>
        <v>0</v>
      </c>
      <c r="BT566" s="5">
        <f t="shared" si="334"/>
        <v>0</v>
      </c>
      <c r="BU566" s="5">
        <f t="shared" si="335"/>
        <v>0</v>
      </c>
      <c r="BV566" s="5">
        <f t="shared" si="336"/>
        <v>0</v>
      </c>
      <c r="BW566" s="5">
        <f t="shared" si="337"/>
        <v>9692.4749494427251</v>
      </c>
      <c r="BX566" s="5">
        <f t="shared" si="338"/>
        <v>10495.501740170077</v>
      </c>
      <c r="BY566" s="5">
        <f t="shared" si="339"/>
        <v>31486.505220510233</v>
      </c>
      <c r="BZ566" s="5">
        <f>INDEX('Team forecast'!$R$3:$BH$26,MATCH($B566,'Team forecast'!$B$3:$B$26,0),MATCH(BZ$1,'Team forecast'!$R$2:$BH$2,0))*($BX566-(BY566+CH566)*0.01)</f>
        <v>-6269.0673345011737</v>
      </c>
      <c r="CA566" s="5">
        <f>INDEX('Team forecast'!$R$3:$BH$26,MATCH($B566,'Team forecast'!$B$3:$B$26,0),MATCH(CA$1,'Team forecast'!$R$2:$BH$2,0))*($BX566-(BY566+BX566+CH566)*0.01)</f>
        <v>-3123.4605673587766</v>
      </c>
      <c r="CB566" s="5">
        <f>INDEX('Team forecast'!$R$3:$BH$26,MATCH($B566,'Team forecast'!$B$3:$B$26,0),MATCH(CB$1,'Team forecast'!$R$2:$BH$2,0))*($BX566-(BY566+BX566*2+CH566)*0.01)</f>
        <v>-1535.8480922178169</v>
      </c>
      <c r="CC566" s="5">
        <f>INDEX('Team forecast'!$R$3:$BH$26,MATCH($B566,'Team forecast'!$B$3:$B$26,0),MATCH(CC$1,'Team forecast'!$R$2:$BH$2,0))*($BX566-(BY566+BX566*3+CH566)*0.01)</f>
        <v>-720.71660677278692</v>
      </c>
      <c r="CD566" s="5">
        <f>+AK566+BD566*Cockpit!$C$3+BW566*Cockpit!$C$3^2+BZ566*Cockpit!$C$3^3+CA566*Cockpit!$C$3^4+CB566*Cockpit!$C$3^5+CC566*Cockpit!$C$3^6</f>
        <v>21382.661117299966</v>
      </c>
      <c r="CE566" s="5"/>
      <c r="CF566" s="5"/>
      <c r="CG566" s="5">
        <v>0</v>
      </c>
      <c r="CH566" s="5">
        <f t="shared" si="340"/>
        <v>2000000</v>
      </c>
      <c r="CI566" s="5">
        <f t="shared" si="341"/>
        <v>2000000</v>
      </c>
      <c r="CJ566" s="1">
        <f t="shared" si="342"/>
        <v>1.5743252610255117E-2</v>
      </c>
      <c r="CK566" s="5">
        <f>RANK(BY566,$BY$2:$BY$623)+COUNTIF($BY$2:$BY566,$BY566)-1</f>
        <v>343</v>
      </c>
      <c r="CL566" s="5">
        <f>RANK(CJ566,$CJ$2:$CJ$623)+COUNTIF($CJ$2:$CJ566,$CJ566)-1</f>
        <v>301</v>
      </c>
    </row>
    <row r="567" spans="1:90">
      <c r="A567" t="str">
        <f>Players!P568</f>
        <v>Péter Gulácsi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3000000</v>
      </c>
      <c r="H567" s="16">
        <f>INDEX('Team forecast'!$B$2:$AO$26,MATCH('Master data'!$B567,'Team forecast'!$B$2:$B$26,0),MATCH('Master data'!H$1,'Team forecast'!$B$2:$AO$2,0))</f>
        <v>0.75096675144877167</v>
      </c>
      <c r="I567" s="16">
        <f>INDEX('Team forecast'!$B$2:$AO$26,MATCH('Master data'!$B567,'Team forecast'!$B$2:$B$26,0),MATCH('Master data'!I$1,'Team forecast'!$B$2:$AO$2,0))</f>
        <v>1.7625676631272518</v>
      </c>
      <c r="J567" s="16">
        <f>INDEX('Team forecast'!$B$2:$AO$26,MATCH('Master data'!$B567,'Team forecast'!$B$2:$B$26,0),MATCH('Master data'!J$1,'Team forecast'!$B$2:$AO$2,0))</f>
        <v>0.1716036772216547</v>
      </c>
      <c r="K567" s="16">
        <f>INDEX('Team forecast'!$B$2:$AO$26,MATCH('Master data'!$B567,'Team forecast'!$B$2:$B$26,0),MATCH('Master data'!K$1,'Team forecast'!$B$2:$AO$2,0))</f>
        <v>2.4652948911197052</v>
      </c>
      <c r="L567" s="16">
        <f>INDEX('Team forecast'!$B$2:$AO$26,MATCH('Master data'!$B567,'Team forecast'!$B$2:$B$26,0),MATCH('Master data'!L$1,'Team forecast'!$B$2:$AO$2,0))</f>
        <v>4.8611455183966212</v>
      </c>
      <c r="M567">
        <f>IF(Players!BC568=1,95,0)</f>
        <v>95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0</v>
      </c>
      <c r="R567" s="2">
        <f>Players!BR568</f>
        <v>0</v>
      </c>
      <c r="S567" s="2">
        <f t="shared" si="301"/>
        <v>0.75096675144877167</v>
      </c>
      <c r="T567" s="2">
        <f t="shared" si="302"/>
        <v>1.7625676631272518</v>
      </c>
      <c r="U567" s="16">
        <f>INDEX('Team forecast'!$B$2:$AO$26,MATCH('Master data'!$B567,'Team forecast'!$B$2:$B$26,0),MATCH('Master data'!U$1,'Team forecast'!$B$2:$AO$2,0))</f>
        <v>0.1348314606741573</v>
      </c>
      <c r="V567" s="16">
        <f>INDEX('Team forecast'!$B$2:$AO$26,MATCH('Master data'!$B567,'Team forecast'!$B$2:$B$26,0),MATCH('Master data'!V$1,'Team forecast'!$B$2:$AO$2,0))</f>
        <v>0.2359550561797753</v>
      </c>
      <c r="W567" s="16">
        <f>INDEX('Team forecast'!$B$2:$AO$26,MATCH('Master data'!$B567,'Team forecast'!$B$2:$B$26,0),MATCH('Master data'!W$1,'Team forecast'!$B$2:$AO$2,0))</f>
        <v>0.6292134831460674</v>
      </c>
      <c r="X567" s="5">
        <f t="shared" si="303"/>
        <v>7000</v>
      </c>
      <c r="Y567" s="5">
        <f t="shared" si="304"/>
        <v>3370.7865168539324</v>
      </c>
      <c r="Z567" s="5">
        <f t="shared" si="305"/>
        <v>1179.7752808988764</v>
      </c>
      <c r="AA567" s="5">
        <f t="shared" si="306"/>
        <v>-9438.2022471910113</v>
      </c>
      <c r="AB567" s="5">
        <f t="shared" si="307"/>
        <v>0</v>
      </c>
      <c r="AC567" s="5">
        <f t="shared" si="308"/>
        <v>0</v>
      </c>
      <c r="AD567" s="5">
        <f t="shared" si="309"/>
        <v>0</v>
      </c>
      <c r="AE567" s="5">
        <f t="shared" si="310"/>
        <v>12870.275791624103</v>
      </c>
      <c r="AF567" s="5">
        <f t="shared" si="311"/>
        <v>15492.889276346848</v>
      </c>
      <c r="AG567" s="5">
        <f t="shared" si="312"/>
        <v>0</v>
      </c>
      <c r="AH567" s="5">
        <f t="shared" si="313"/>
        <v>0</v>
      </c>
      <c r="AI567" s="5">
        <f t="shared" si="314"/>
        <v>7509.6675144877172</v>
      </c>
      <c r="AJ567" s="5">
        <f t="shared" si="315"/>
        <v>-14100.541305018014</v>
      </c>
      <c r="AK567" s="5">
        <f>IFERROR(SUM(X567:AJ567),-5000)*((Cockpit!$C$3)^0)</f>
        <v>23884.65082800245</v>
      </c>
      <c r="AL567" s="16">
        <f>INDEX('Team forecast'!$B$2:$AO$26,MATCH('Master data'!$B567,'Team forecast'!$B$2:$B$26,0),MATCH('Master data'!AL$1,'Team forecast'!$B$2:$AO$2,0))</f>
        <v>0.80291922538135296</v>
      </c>
      <c r="AM567" s="16">
        <f>INDEX('Team forecast'!$B$2:$AO$26,MATCH('Master data'!$B567,'Team forecast'!$B$2:$B$26,0),MATCH('Master data'!AM$1,'Team forecast'!$B$2:$AO$2,0))</f>
        <v>2.140423422331811</v>
      </c>
      <c r="AN567" s="16">
        <f>INDEX('Team forecast'!$B$2:$AO$26,MATCH('Master data'!$B567,'Team forecast'!$B$2:$B$26,0),MATCH('Master data'!AN$1,'Team forecast'!$B$2:$AO$2,0))</f>
        <v>0.1176050358792704</v>
      </c>
      <c r="AO567" s="16">
        <f>INDEX('Team forecast'!$B$2:$AO$26,MATCH('Master data'!$B567,'Team forecast'!$B$2:$B$26,0),MATCH('Master data'!AO$1,'Team forecast'!$B$2:$AO$2,0))</f>
        <v>2.6358459419084821</v>
      </c>
      <c r="AP567" s="16">
        <f>INDEX('Team forecast'!$B$2:$AO$26,MATCH('Master data'!$B567,'Team forecast'!$B$2:$B$26,0),MATCH('Master data'!AP$1,'Team forecast'!$B$2:$AO$2,0))</f>
        <v>5.9032682515452688</v>
      </c>
      <c r="AQ567" s="5">
        <f t="shared" si="316"/>
        <v>7000</v>
      </c>
      <c r="AR567" s="5">
        <f>INDEX('Team forecast'!$B$2:$AO$26,MATCH('Master data'!$B567,'Team forecast'!$B$2:$B$26,0),MATCH('Master data'!AR$1,'Team forecast'!$B$2:$AO$2,0))*IF(X567&gt;0,25000,0)</f>
        <v>2767.1773148063626</v>
      </c>
      <c r="AS567" s="16">
        <f>INDEX('Team forecast'!$B$2:$AO$26,MATCH('Master data'!$B567,'Team forecast'!$B$2:$B$26,0),MATCH('Master data'!AS$1,'Team forecast'!$B$2:$AO$2,0))*IF(X567&gt;0,5000,0)</f>
        <v>1086.42065477386</v>
      </c>
      <c r="AT567" s="16">
        <f>INDEX('Team forecast'!$B$2:$AO$26,MATCH('Master data'!$B567,'Team forecast'!$B$2:$B$26,0),MATCH('Master data'!AT$1,'Team forecast'!$B$2:$AO$2,0))*IF(X567&gt;0,-15000,0)</f>
        <v>-10080.431646794603</v>
      </c>
      <c r="AU567" s="5">
        <f t="shared" si="317"/>
        <v>0</v>
      </c>
      <c r="AV567" s="5">
        <f t="shared" si="318"/>
        <v>0</v>
      </c>
      <c r="AW567" s="5">
        <f t="shared" si="319"/>
        <v>0</v>
      </c>
      <c r="AX567" s="5">
        <f t="shared" si="320"/>
        <v>8820.3776909452808</v>
      </c>
      <c r="AY567" s="5">
        <f t="shared" si="321"/>
        <v>18814.224146067289</v>
      </c>
      <c r="AZ567" s="5">
        <f t="shared" si="322"/>
        <v>0</v>
      </c>
      <c r="BA567" s="5">
        <f t="shared" si="323"/>
        <v>0</v>
      </c>
      <c r="BB567" s="5">
        <f t="shared" si="324"/>
        <v>8029.1922538135295</v>
      </c>
      <c r="BC567" s="5">
        <f t="shared" si="325"/>
        <v>-17123.38737865449</v>
      </c>
      <c r="BD567" s="5">
        <f t="shared" si="326"/>
        <v>19313.573034957222</v>
      </c>
      <c r="BE567" s="16">
        <f>INDEX('Team forecast'!$B$2:$AO$26,MATCH('Master data'!$B567,'Team forecast'!$B$2:$B$26,0),MATCH('Master data'!BE$1,'Team forecast'!$B$2:$AO$2,0))</f>
        <v>0.68661022841383224</v>
      </c>
      <c r="BF567" s="16">
        <f>INDEX('Team forecast'!$B$2:$AO$26,MATCH('Master data'!$B567,'Team forecast'!$B$2:$B$26,0),MATCH('Master data'!BF$1,'Team forecast'!$B$2:$AO$2,0))</f>
        <v>2.4374022591536644</v>
      </c>
      <c r="BG567" s="16">
        <f>INDEX('Team forecast'!$B$2:$AO$26,MATCH('Master data'!$B567,'Team forecast'!$B$2:$B$26,0),MATCH('Master data'!BG$1,'Team forecast'!$B$2:$AO$2,0))</f>
        <v>8.7387567112784156E-2</v>
      </c>
      <c r="BH567" s="16">
        <f>INDEX('Team forecast'!$B$2:$AO$26,MATCH('Master data'!$B567,'Team forecast'!$B$2:$B$26,0),MATCH('Master data'!BH$1,'Team forecast'!$B$2:$AO$2,0))</f>
        <v>2.2540234771161161</v>
      </c>
      <c r="BI567" s="16">
        <f>INDEX('Team forecast'!$B$2:$AO$26,MATCH('Master data'!$B567,'Team forecast'!$B$2:$B$26,0),MATCH('Master data'!BI$1,'Team forecast'!$B$2:$AO$2,0))</f>
        <v>6.7223331713644443</v>
      </c>
      <c r="BJ567" s="5">
        <f t="shared" si="327"/>
        <v>7000</v>
      </c>
      <c r="BK567" s="5">
        <f>INDEX('Team forecast'!$R$3:$BH$26,MATCH($B567,'Team forecast'!$B$3:$B$26,0),MATCH(BK$1,'Team forecast'!$R$2:$BH$2,0))*IF($X567&gt;0,25000,0)</f>
        <v>1922.5264764812514</v>
      </c>
      <c r="BL567" s="5">
        <f>INDEX('Team forecast'!$R$3:$BH$26,MATCH($B567,'Team forecast'!$B$3:$B$26,0),MATCH(BL$1,'Team forecast'!$R$2:$BH$2,0))*IF($X567&gt;0,5000,0)</f>
        <v>739.43326018509651</v>
      </c>
      <c r="BM567" s="5">
        <f>INDEX('Team forecast'!$R$3:$BH$26,MATCH($B567,'Team forecast'!$B$3:$B$26,0),MATCH(BM$1,'Team forecast'!$R$2:$BH$2,0))*IF($X567&gt;0,-15000,0)</f>
        <v>-11628.184333555957</v>
      </c>
      <c r="BN567" s="5">
        <f t="shared" si="328"/>
        <v>0</v>
      </c>
      <c r="BO567" s="5">
        <f t="shared" si="329"/>
        <v>0</v>
      </c>
      <c r="BP567" s="5">
        <f t="shared" si="330"/>
        <v>0</v>
      </c>
      <c r="BQ567" s="5">
        <f t="shared" si="331"/>
        <v>6554.0675334588113</v>
      </c>
      <c r="BR567" s="5">
        <f t="shared" si="332"/>
        <v>21424.6545610539</v>
      </c>
      <c r="BS567" s="5">
        <f t="shared" si="333"/>
        <v>0</v>
      </c>
      <c r="BT567" s="5">
        <f t="shared" si="334"/>
        <v>0</v>
      </c>
      <c r="BU567" s="5">
        <f t="shared" si="335"/>
        <v>6866.1022841383219</v>
      </c>
      <c r="BV567" s="5">
        <f t="shared" si="336"/>
        <v>-19499.218073229316</v>
      </c>
      <c r="BW567" s="5">
        <f t="shared" si="337"/>
        <v>13379.38170853211</v>
      </c>
      <c r="BX567" s="5">
        <f t="shared" si="338"/>
        <v>18859.201857163924</v>
      </c>
      <c r="BY567" s="5">
        <f t="shared" si="339"/>
        <v>56577.605571491775</v>
      </c>
      <c r="BZ567" s="5">
        <f>INDEX('Team forecast'!$R$3:$BH$26,MATCH($B567,'Team forecast'!$B$3:$B$26,0),MATCH(BZ$1,'Team forecast'!$R$2:$BH$2,0))*($BX567-(BY567+CH567)*0.01)</f>
        <v>-1980.5932815961526</v>
      </c>
      <c r="CA567" s="5">
        <f>INDEX('Team forecast'!$R$3:$BH$26,MATCH($B567,'Team forecast'!$B$3:$B$26,0),MATCH(CA$1,'Team forecast'!$R$2:$BH$2,0))*($BX567-(BY567+BX567+CH567)*0.01)</f>
        <v>-988.14797032229592</v>
      </c>
      <c r="CB567" s="5">
        <f>INDEX('Team forecast'!$R$3:$BH$26,MATCH($B567,'Team forecast'!$B$3:$B$26,0),MATCH(CB$1,'Team forecast'!$R$2:$BH$2,0))*($BX567-(BY567+BX567*2+CH567)*0.01)</f>
        <v>-484.59973112017559</v>
      </c>
      <c r="CC567" s="5">
        <f>INDEX('Team forecast'!$R$3:$BH$26,MATCH($B567,'Team forecast'!$B$3:$B$26,0),MATCH(CC$1,'Team forecast'!$R$2:$BH$2,0))*($BX567-(BY567+BX567*3+CH567)*0.01)</f>
        <v>-223.4155068712524</v>
      </c>
      <c r="CD567" s="5">
        <f>+AK567+BD567*Cockpit!$C$3+BW567*Cockpit!$C$3^2+BZ567*Cockpit!$C$3^3+CA567*Cockpit!$C$3^4+CB567*Cockpit!$C$3^5+CC567*Cockpit!$C$3^6</f>
        <v>41841.296294909349</v>
      </c>
      <c r="CE567" s="5"/>
      <c r="CF567" s="5"/>
      <c r="CG567" s="5">
        <v>0</v>
      </c>
      <c r="CH567" s="5">
        <f t="shared" si="340"/>
        <v>3000000</v>
      </c>
      <c r="CI567" s="5">
        <f t="shared" si="341"/>
        <v>3000000</v>
      </c>
      <c r="CJ567" s="1">
        <f t="shared" si="342"/>
        <v>1.8859201857163926E-2</v>
      </c>
      <c r="CK567" s="5">
        <f>RANK(BY567,$BY$2:$BY$623)+COUNTIF($BY$2:$BY567,$BY567)-1</f>
        <v>279</v>
      </c>
      <c r="CL567" s="5">
        <f>RANK(CJ567,$CJ$2:$CJ$623)+COUNTIF($CJ$2:$CJ567,$CJ567)-1</f>
        <v>270</v>
      </c>
    </row>
    <row r="568" spans="1:90">
      <c r="A568" t="str">
        <f>Players!P569</f>
        <v>Ádám Bogdán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2500000</v>
      </c>
      <c r="H568" s="16">
        <f>INDEX('Team forecast'!$B$2:$AO$26,MATCH('Master data'!$B568,'Team forecast'!$B$2:$B$26,0),MATCH('Master data'!H$1,'Team forecast'!$B$2:$AO$2,0))</f>
        <v>0.75096675144877167</v>
      </c>
      <c r="I568" s="16">
        <f>INDEX('Team forecast'!$B$2:$AO$26,MATCH('Master data'!$B568,'Team forecast'!$B$2:$B$26,0),MATCH('Master data'!I$1,'Team forecast'!$B$2:$AO$2,0))</f>
        <v>1.7625676631272518</v>
      </c>
      <c r="J568" s="16">
        <f>INDEX('Team forecast'!$B$2:$AO$26,MATCH('Master data'!$B568,'Team forecast'!$B$2:$B$26,0),MATCH('Master data'!J$1,'Team forecast'!$B$2:$AO$2,0))</f>
        <v>0.1716036772216547</v>
      </c>
      <c r="K568" s="16">
        <f>INDEX('Team forecast'!$B$2:$AO$26,MATCH('Master data'!$B568,'Team forecast'!$B$2:$B$26,0),MATCH('Master data'!K$1,'Team forecast'!$B$2:$AO$2,0))</f>
        <v>2.4652948911197052</v>
      </c>
      <c r="L568" s="16">
        <f>INDEX('Team forecast'!$B$2:$AO$26,MATCH('Master data'!$B568,'Team forecast'!$B$2:$B$26,0),MATCH('Master data'!L$1,'Team forecast'!$B$2:$AO$2,0))</f>
        <v>4.8611455183966212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0</v>
      </c>
      <c r="R568" s="2">
        <f>Players!BR569</f>
        <v>0</v>
      </c>
      <c r="S568" s="2">
        <f t="shared" si="301"/>
        <v>0.75096675144877167</v>
      </c>
      <c r="T568" s="2">
        <f t="shared" si="302"/>
        <v>1.7625676631272518</v>
      </c>
      <c r="U568" s="16">
        <f>INDEX('Team forecast'!$B$2:$AO$26,MATCH('Master data'!$B568,'Team forecast'!$B$2:$B$26,0),MATCH('Master data'!U$1,'Team forecast'!$B$2:$AO$2,0))</f>
        <v>0.1348314606741573</v>
      </c>
      <c r="V568" s="16">
        <f>INDEX('Team forecast'!$B$2:$AO$26,MATCH('Master data'!$B568,'Team forecast'!$B$2:$B$26,0),MATCH('Master data'!V$1,'Team forecast'!$B$2:$AO$2,0))</f>
        <v>0.2359550561797753</v>
      </c>
      <c r="W568" s="16">
        <f>INDEX('Team forecast'!$B$2:$AO$26,MATCH('Master data'!$B568,'Team forecast'!$B$2:$B$26,0),MATCH('Master data'!W$1,'Team forecast'!$B$2:$AO$2,0))</f>
        <v>0.6292134831460674</v>
      </c>
      <c r="X568" s="5">
        <f t="shared" si="303"/>
        <v>-5000</v>
      </c>
      <c r="Y568" s="5">
        <f t="shared" si="304"/>
        <v>0</v>
      </c>
      <c r="Z568" s="5">
        <f t="shared" si="305"/>
        <v>0</v>
      </c>
      <c r="AA568" s="5">
        <f t="shared" si="306"/>
        <v>0</v>
      </c>
      <c r="AB568" s="5">
        <f t="shared" si="307"/>
        <v>0</v>
      </c>
      <c r="AC568" s="5">
        <f t="shared" si="308"/>
        <v>0</v>
      </c>
      <c r="AD568" s="5">
        <f t="shared" si="309"/>
        <v>0</v>
      </c>
      <c r="AE568" s="5">
        <f t="shared" si="310"/>
        <v>12870.275791624103</v>
      </c>
      <c r="AF568" s="5">
        <f t="shared" si="311"/>
        <v>15492.889276346848</v>
      </c>
      <c r="AG568" s="5">
        <f t="shared" si="312"/>
        <v>0</v>
      </c>
      <c r="AH568" s="5">
        <f t="shared" si="313"/>
        <v>0</v>
      </c>
      <c r="AI568" s="5">
        <f t="shared" si="314"/>
        <v>0</v>
      </c>
      <c r="AJ568" s="5">
        <f t="shared" si="315"/>
        <v>0</v>
      </c>
      <c r="AK568" s="5">
        <f>IFERROR(SUM(X568:AJ568),-5000)*((Cockpit!$C$3)^0)</f>
        <v>23363.165067970949</v>
      </c>
      <c r="AL568" s="16">
        <f>INDEX('Team forecast'!$B$2:$AO$26,MATCH('Master data'!$B568,'Team forecast'!$B$2:$B$26,0),MATCH('Master data'!AL$1,'Team forecast'!$B$2:$AO$2,0))</f>
        <v>0.80291922538135296</v>
      </c>
      <c r="AM568" s="16">
        <f>INDEX('Team forecast'!$B$2:$AO$26,MATCH('Master data'!$B568,'Team forecast'!$B$2:$B$26,0),MATCH('Master data'!AM$1,'Team forecast'!$B$2:$AO$2,0))</f>
        <v>2.140423422331811</v>
      </c>
      <c r="AN568" s="16">
        <f>INDEX('Team forecast'!$B$2:$AO$26,MATCH('Master data'!$B568,'Team forecast'!$B$2:$B$26,0),MATCH('Master data'!AN$1,'Team forecast'!$B$2:$AO$2,0))</f>
        <v>0.1176050358792704</v>
      </c>
      <c r="AO568" s="16">
        <f>INDEX('Team forecast'!$B$2:$AO$26,MATCH('Master data'!$B568,'Team forecast'!$B$2:$B$26,0),MATCH('Master data'!AO$1,'Team forecast'!$B$2:$AO$2,0))</f>
        <v>2.6358459419084821</v>
      </c>
      <c r="AP568" s="16">
        <f>INDEX('Team forecast'!$B$2:$AO$26,MATCH('Master data'!$B568,'Team forecast'!$B$2:$B$26,0),MATCH('Master data'!AP$1,'Team forecast'!$B$2:$AO$2,0))</f>
        <v>5.9032682515452688</v>
      </c>
      <c r="AQ568" s="5">
        <f t="shared" si="316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317"/>
        <v>0</v>
      </c>
      <c r="AV568" s="5">
        <f t="shared" si="318"/>
        <v>0</v>
      </c>
      <c r="AW568" s="5">
        <f t="shared" si="319"/>
        <v>0</v>
      </c>
      <c r="AX568" s="5">
        <f t="shared" si="320"/>
        <v>8820.3776909452808</v>
      </c>
      <c r="AY568" s="5">
        <f t="shared" si="321"/>
        <v>18814.224146067289</v>
      </c>
      <c r="AZ568" s="5">
        <f t="shared" si="322"/>
        <v>0</v>
      </c>
      <c r="BA568" s="5">
        <f t="shared" si="323"/>
        <v>0</v>
      </c>
      <c r="BB568" s="5">
        <f t="shared" si="324"/>
        <v>0</v>
      </c>
      <c r="BC568" s="5">
        <f t="shared" si="325"/>
        <v>0</v>
      </c>
      <c r="BD568" s="5">
        <f t="shared" si="326"/>
        <v>22634.601837012568</v>
      </c>
      <c r="BE568" s="16">
        <f>INDEX('Team forecast'!$B$2:$AO$26,MATCH('Master data'!$B568,'Team forecast'!$B$2:$B$26,0),MATCH('Master data'!BE$1,'Team forecast'!$B$2:$AO$2,0))</f>
        <v>0.68661022841383224</v>
      </c>
      <c r="BF568" s="16">
        <f>INDEX('Team forecast'!$B$2:$AO$26,MATCH('Master data'!$B568,'Team forecast'!$B$2:$B$26,0),MATCH('Master data'!BF$1,'Team forecast'!$B$2:$AO$2,0))</f>
        <v>2.4374022591536644</v>
      </c>
      <c r="BG568" s="16">
        <f>INDEX('Team forecast'!$B$2:$AO$26,MATCH('Master data'!$B568,'Team forecast'!$B$2:$B$26,0),MATCH('Master data'!BG$1,'Team forecast'!$B$2:$AO$2,0))</f>
        <v>8.7387567112784156E-2</v>
      </c>
      <c r="BH568" s="16">
        <f>INDEX('Team forecast'!$B$2:$AO$26,MATCH('Master data'!$B568,'Team forecast'!$B$2:$B$26,0),MATCH('Master data'!BH$1,'Team forecast'!$B$2:$AO$2,0))</f>
        <v>2.2540234771161161</v>
      </c>
      <c r="BI568" s="16">
        <f>INDEX('Team forecast'!$B$2:$AO$26,MATCH('Master data'!$B568,'Team forecast'!$B$2:$B$26,0),MATCH('Master data'!BI$1,'Team forecast'!$B$2:$AO$2,0))</f>
        <v>6.7223331713644443</v>
      </c>
      <c r="BJ568" s="5">
        <f t="shared" si="327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328"/>
        <v>0</v>
      </c>
      <c r="BO568" s="5">
        <f t="shared" si="329"/>
        <v>0</v>
      </c>
      <c r="BP568" s="5">
        <f t="shared" si="330"/>
        <v>0</v>
      </c>
      <c r="BQ568" s="5">
        <f t="shared" si="331"/>
        <v>6554.0675334588113</v>
      </c>
      <c r="BR568" s="5">
        <f t="shared" si="332"/>
        <v>21424.6545610539</v>
      </c>
      <c r="BS568" s="5">
        <f t="shared" si="333"/>
        <v>0</v>
      </c>
      <c r="BT568" s="5">
        <f t="shared" si="334"/>
        <v>0</v>
      </c>
      <c r="BU568" s="5">
        <f t="shared" si="335"/>
        <v>0</v>
      </c>
      <c r="BV568" s="5">
        <f t="shared" si="336"/>
        <v>0</v>
      </c>
      <c r="BW568" s="5">
        <f t="shared" si="337"/>
        <v>22978.722094512712</v>
      </c>
      <c r="BX568" s="5">
        <f t="shared" si="338"/>
        <v>22992.162999832075</v>
      </c>
      <c r="BY568" s="5">
        <f t="shared" si="339"/>
        <v>68976.488999496229</v>
      </c>
      <c r="BZ568" s="5">
        <f>INDEX('Team forecast'!$R$3:$BH$26,MATCH($B568,'Team forecast'!$B$3:$B$26,0),MATCH(BZ$1,'Team forecast'!$R$2:$BH$2,0))*($BX568-(BY568+CH568)*0.01)</f>
        <v>-456.39758390964823</v>
      </c>
      <c r="CA568" s="5">
        <f>INDEX('Team forecast'!$R$3:$BH$26,MATCH($B568,'Team forecast'!$B$3:$B$26,0),MATCH(CA$1,'Team forecast'!$R$2:$BH$2,0))*($BX568-(BY568+BX568+CH568)*0.01)</f>
        <v>-243.19344275777911</v>
      </c>
      <c r="CB568" s="5">
        <f>INDEX('Team forecast'!$R$3:$BH$26,MATCH($B568,'Team forecast'!$B$3:$B$26,0),MATCH(CB$1,'Team forecast'!$R$2:$BH$2,0))*($BX568-(BY568+BX568*2+CH568)*0.01)</f>
        <v>-126.62427044214181</v>
      </c>
      <c r="CC568" s="5">
        <f>INDEX('Team forecast'!$R$3:$BH$26,MATCH($B568,'Team forecast'!$B$3:$B$26,0),MATCH(CC$1,'Team forecast'!$R$2:$BH$2,0))*($BX568-(BY568+BX568*3+CH568)*0.01)</f>
        <v>-61.666286446212268</v>
      </c>
      <c r="CD568" s="5">
        <f>+AK568+BD568*Cockpit!$C$3+BW568*Cockpit!$C$3^2+BZ568*Cockpit!$C$3^3+CA568*Cockpit!$C$3^4+CB568*Cockpit!$C$3^5+CC568*Cockpit!$C$3^6</f>
        <v>48460.309300115834</v>
      </c>
      <c r="CE568" s="5"/>
      <c r="CF568" s="5"/>
      <c r="CG568" s="5">
        <v>0</v>
      </c>
      <c r="CH568" s="5">
        <f t="shared" si="340"/>
        <v>2500000</v>
      </c>
      <c r="CI568" s="5">
        <f t="shared" si="341"/>
        <v>2500000</v>
      </c>
      <c r="CJ568" s="1">
        <f t="shared" si="342"/>
        <v>2.7590595599798491E-2</v>
      </c>
      <c r="CK568" s="5">
        <f>RANK(BY568,$BY$2:$BY$623)+COUNTIF($BY$2:$BY568,$BY568)-1</f>
        <v>247</v>
      </c>
      <c r="CL568" s="5">
        <f>RANK(CJ568,$CJ$2:$CJ$623)+COUNTIF($CJ$2:$CJ568,$CJ568)-1</f>
        <v>174</v>
      </c>
    </row>
    <row r="569" spans="1:90">
      <c r="A569" t="str">
        <f>Players!P570</f>
        <v>Dénes Dibusz</v>
      </c>
      <c r="B569" t="str">
        <f>Players!G570</f>
        <v>Hungary</v>
      </c>
      <c r="C569" t="str">
        <f>Players!AB570</f>
        <v>Goalkeeper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3000000</v>
      </c>
      <c r="H569" s="16">
        <f>INDEX('Team forecast'!$B$2:$AO$26,MATCH('Master data'!$B569,'Team forecast'!$B$2:$B$26,0),MATCH('Master data'!H$1,'Team forecast'!$B$2:$AO$2,0))</f>
        <v>0.75096675144877167</v>
      </c>
      <c r="I569" s="16">
        <f>INDEX('Team forecast'!$B$2:$AO$26,MATCH('Master data'!$B569,'Team forecast'!$B$2:$B$26,0),MATCH('Master data'!I$1,'Team forecast'!$B$2:$AO$2,0))</f>
        <v>1.7625676631272518</v>
      </c>
      <c r="J569" s="16">
        <f>INDEX('Team forecast'!$B$2:$AO$26,MATCH('Master data'!$B569,'Team forecast'!$B$2:$B$26,0),MATCH('Master data'!J$1,'Team forecast'!$B$2:$AO$2,0))</f>
        <v>0.1716036772216547</v>
      </c>
      <c r="K569" s="16">
        <f>INDEX('Team forecast'!$B$2:$AO$26,MATCH('Master data'!$B569,'Team forecast'!$B$2:$B$26,0),MATCH('Master data'!K$1,'Team forecast'!$B$2:$AO$2,0))</f>
        <v>2.4652948911197052</v>
      </c>
      <c r="L569" s="16">
        <f>INDEX('Team forecast'!$B$2:$AO$26,MATCH('Master data'!$B569,'Team forecast'!$B$2:$B$26,0),MATCH('Master data'!L$1,'Team forecast'!$B$2:$AO$2,0))</f>
        <v>4.8611455183966212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0</v>
      </c>
      <c r="R569" s="2">
        <f>Players!BR570</f>
        <v>0</v>
      </c>
      <c r="S569" s="2">
        <f t="shared" si="301"/>
        <v>0.75096675144877167</v>
      </c>
      <c r="T569" s="2">
        <f t="shared" si="302"/>
        <v>1.7625676631272518</v>
      </c>
      <c r="U569" s="16">
        <f>INDEX('Team forecast'!$B$2:$AO$26,MATCH('Master data'!$B569,'Team forecast'!$B$2:$B$26,0),MATCH('Master data'!U$1,'Team forecast'!$B$2:$AO$2,0))</f>
        <v>0.1348314606741573</v>
      </c>
      <c r="V569" s="16">
        <f>INDEX('Team forecast'!$B$2:$AO$26,MATCH('Master data'!$B569,'Team forecast'!$B$2:$B$26,0),MATCH('Master data'!V$1,'Team forecast'!$B$2:$AO$2,0))</f>
        <v>0.2359550561797753</v>
      </c>
      <c r="W569" s="16">
        <f>INDEX('Team forecast'!$B$2:$AO$26,MATCH('Master data'!$B569,'Team forecast'!$B$2:$B$26,0),MATCH('Master data'!W$1,'Team forecast'!$B$2:$AO$2,0))</f>
        <v>0.6292134831460674</v>
      </c>
      <c r="X569" s="5">
        <f t="shared" si="303"/>
        <v>-5000</v>
      </c>
      <c r="Y569" s="5">
        <f t="shared" si="304"/>
        <v>0</v>
      </c>
      <c r="Z569" s="5">
        <f t="shared" si="305"/>
        <v>0</v>
      </c>
      <c r="AA569" s="5">
        <f t="shared" si="306"/>
        <v>0</v>
      </c>
      <c r="AB569" s="5">
        <f t="shared" si="307"/>
        <v>0</v>
      </c>
      <c r="AC569" s="5">
        <f t="shared" si="308"/>
        <v>0</v>
      </c>
      <c r="AD569" s="5">
        <f t="shared" si="309"/>
        <v>0</v>
      </c>
      <c r="AE569" s="5">
        <f t="shared" si="310"/>
        <v>12870.275791624103</v>
      </c>
      <c r="AF569" s="5">
        <f t="shared" si="311"/>
        <v>15492.889276346848</v>
      </c>
      <c r="AG569" s="5">
        <f t="shared" si="312"/>
        <v>0</v>
      </c>
      <c r="AH569" s="5">
        <f t="shared" si="313"/>
        <v>0</v>
      </c>
      <c r="AI569" s="5">
        <f t="shared" si="314"/>
        <v>0</v>
      </c>
      <c r="AJ569" s="5">
        <f t="shared" si="315"/>
        <v>0</v>
      </c>
      <c r="AK569" s="5">
        <f>IFERROR(SUM(X569:AJ569),-5000)*((Cockpit!$C$3)^0)</f>
        <v>23363.165067970949</v>
      </c>
      <c r="AL569" s="16">
        <f>INDEX('Team forecast'!$B$2:$AO$26,MATCH('Master data'!$B569,'Team forecast'!$B$2:$B$26,0),MATCH('Master data'!AL$1,'Team forecast'!$B$2:$AO$2,0))</f>
        <v>0.80291922538135296</v>
      </c>
      <c r="AM569" s="16">
        <f>INDEX('Team forecast'!$B$2:$AO$26,MATCH('Master data'!$B569,'Team forecast'!$B$2:$B$26,0),MATCH('Master data'!AM$1,'Team forecast'!$B$2:$AO$2,0))</f>
        <v>2.140423422331811</v>
      </c>
      <c r="AN569" s="16">
        <f>INDEX('Team forecast'!$B$2:$AO$26,MATCH('Master data'!$B569,'Team forecast'!$B$2:$B$26,0),MATCH('Master data'!AN$1,'Team forecast'!$B$2:$AO$2,0))</f>
        <v>0.1176050358792704</v>
      </c>
      <c r="AO569" s="16">
        <f>INDEX('Team forecast'!$B$2:$AO$26,MATCH('Master data'!$B569,'Team forecast'!$B$2:$B$26,0),MATCH('Master data'!AO$1,'Team forecast'!$B$2:$AO$2,0))</f>
        <v>2.6358459419084821</v>
      </c>
      <c r="AP569" s="16">
        <f>INDEX('Team forecast'!$B$2:$AO$26,MATCH('Master data'!$B569,'Team forecast'!$B$2:$B$26,0),MATCH('Master data'!AP$1,'Team forecast'!$B$2:$AO$2,0))</f>
        <v>5.9032682515452688</v>
      </c>
      <c r="AQ569" s="5">
        <f t="shared" si="316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317"/>
        <v>0</v>
      </c>
      <c r="AV569" s="5">
        <f t="shared" si="318"/>
        <v>0</v>
      </c>
      <c r="AW569" s="5">
        <f t="shared" si="319"/>
        <v>0</v>
      </c>
      <c r="AX569" s="5">
        <f t="shared" si="320"/>
        <v>8820.3776909452808</v>
      </c>
      <c r="AY569" s="5">
        <f t="shared" si="321"/>
        <v>18814.224146067289</v>
      </c>
      <c r="AZ569" s="5">
        <f t="shared" si="322"/>
        <v>0</v>
      </c>
      <c r="BA569" s="5">
        <f t="shared" si="323"/>
        <v>0</v>
      </c>
      <c r="BB569" s="5">
        <f t="shared" si="324"/>
        <v>0</v>
      </c>
      <c r="BC569" s="5">
        <f t="shared" si="325"/>
        <v>0</v>
      </c>
      <c r="BD569" s="5">
        <f t="shared" si="326"/>
        <v>22634.601837012568</v>
      </c>
      <c r="BE569" s="16">
        <f>INDEX('Team forecast'!$B$2:$AO$26,MATCH('Master data'!$B569,'Team forecast'!$B$2:$B$26,0),MATCH('Master data'!BE$1,'Team forecast'!$B$2:$AO$2,0))</f>
        <v>0.68661022841383224</v>
      </c>
      <c r="BF569" s="16">
        <f>INDEX('Team forecast'!$B$2:$AO$26,MATCH('Master data'!$B569,'Team forecast'!$B$2:$B$26,0),MATCH('Master data'!BF$1,'Team forecast'!$B$2:$AO$2,0))</f>
        <v>2.4374022591536644</v>
      </c>
      <c r="BG569" s="16">
        <f>INDEX('Team forecast'!$B$2:$AO$26,MATCH('Master data'!$B569,'Team forecast'!$B$2:$B$26,0),MATCH('Master data'!BG$1,'Team forecast'!$B$2:$AO$2,0))</f>
        <v>8.7387567112784156E-2</v>
      </c>
      <c r="BH569" s="16">
        <f>INDEX('Team forecast'!$B$2:$AO$26,MATCH('Master data'!$B569,'Team forecast'!$B$2:$B$26,0),MATCH('Master data'!BH$1,'Team forecast'!$B$2:$AO$2,0))</f>
        <v>2.2540234771161161</v>
      </c>
      <c r="BI569" s="16">
        <f>INDEX('Team forecast'!$B$2:$AO$26,MATCH('Master data'!$B569,'Team forecast'!$B$2:$B$26,0),MATCH('Master data'!BI$1,'Team forecast'!$B$2:$AO$2,0))</f>
        <v>6.7223331713644443</v>
      </c>
      <c r="BJ569" s="5">
        <f t="shared" si="327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328"/>
        <v>0</v>
      </c>
      <c r="BO569" s="5">
        <f t="shared" si="329"/>
        <v>0</v>
      </c>
      <c r="BP569" s="5">
        <f t="shared" si="330"/>
        <v>0</v>
      </c>
      <c r="BQ569" s="5">
        <f t="shared" si="331"/>
        <v>6554.0675334588113</v>
      </c>
      <c r="BR569" s="5">
        <f t="shared" si="332"/>
        <v>21424.6545610539</v>
      </c>
      <c r="BS569" s="5">
        <f t="shared" si="333"/>
        <v>0</v>
      </c>
      <c r="BT569" s="5">
        <f t="shared" si="334"/>
        <v>0</v>
      </c>
      <c r="BU569" s="5">
        <f t="shared" si="335"/>
        <v>0</v>
      </c>
      <c r="BV569" s="5">
        <f t="shared" si="336"/>
        <v>0</v>
      </c>
      <c r="BW569" s="5">
        <f t="shared" si="337"/>
        <v>22978.722094512712</v>
      </c>
      <c r="BX569" s="5">
        <f t="shared" si="338"/>
        <v>22992.162999832075</v>
      </c>
      <c r="BY569" s="5">
        <f t="shared" si="339"/>
        <v>68976.488999496229</v>
      </c>
      <c r="BZ569" s="5">
        <f>INDEX('Team forecast'!$R$3:$BH$26,MATCH($B569,'Team forecast'!$B$3:$B$26,0),MATCH(BZ$1,'Team forecast'!$R$2:$BH$2,0))*($BX569-(BY569+CH569)*0.01)</f>
        <v>-1302.3296422573865</v>
      </c>
      <c r="CA569" s="5">
        <f>INDEX('Team forecast'!$R$3:$BH$26,MATCH($B569,'Team forecast'!$B$3:$B$26,0),MATCH(CA$1,'Team forecast'!$R$2:$BH$2,0))*($BX569-(BY569+BX569+CH569)*0.01)</f>
        <v>-658.55038367210409</v>
      </c>
      <c r="CB569" s="5">
        <f>INDEX('Team forecast'!$R$3:$BH$26,MATCH($B569,'Team forecast'!$B$3:$B$26,0),MATCH(CB$1,'Team forecast'!$R$2:$BH$2,0))*($BX569-(BY569+BX569*2+CH569)*0.01)</f>
        <v>-327.14124606679229</v>
      </c>
      <c r="CC569" s="5">
        <f>INDEX('Team forecast'!$R$3:$BH$26,MATCH($B569,'Team forecast'!$B$3:$B$26,0),MATCH(CC$1,'Team forecast'!$R$2:$BH$2,0))*($BX569-(BY569+BX569*3+CH569)*0.01)</f>
        <v>-152.69021513240355</v>
      </c>
      <c r="CD569" s="5">
        <f>+AK569+BD569*Cockpit!$C$3+BW569*Cockpit!$C$3^2+BZ569*Cockpit!$C$3^3+CA569*Cockpit!$C$3^4+CB569*Cockpit!$C$3^5+CC569*Cockpit!$C$3^6</f>
        <v>48093.220294367326</v>
      </c>
      <c r="CE569" s="5"/>
      <c r="CF569" s="5"/>
      <c r="CG569" s="5">
        <v>0</v>
      </c>
      <c r="CH569" s="5">
        <f t="shared" si="340"/>
        <v>3000000</v>
      </c>
      <c r="CI569" s="5">
        <f t="shared" si="341"/>
        <v>3000000</v>
      </c>
      <c r="CJ569" s="1">
        <f t="shared" si="342"/>
        <v>2.2992162999832075E-2</v>
      </c>
      <c r="CK569" s="5">
        <f>RANK(BY569,$BY$2:$BY$623)+COUNTIF($BY$2:$BY569,$BY569)-1</f>
        <v>248</v>
      </c>
      <c r="CL569" s="5">
        <f>RANK(CJ569,$CJ$2:$CJ$623)+COUNTIF($CJ$2:$CJ569,$CJ569)-1</f>
        <v>233</v>
      </c>
    </row>
    <row r="570" spans="1:90">
      <c r="A570" t="str">
        <f>Players!P571</f>
        <v>Bendegúz Bolla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2000000</v>
      </c>
      <c r="H570" s="16">
        <f>INDEX('Team forecast'!$B$2:$AO$26,MATCH('Master data'!$B570,'Team forecast'!$B$2:$B$26,0),MATCH('Master data'!H$1,'Team forecast'!$B$2:$AO$2,0))</f>
        <v>0.75096675144877167</v>
      </c>
      <c r="I570" s="16">
        <f>INDEX('Team forecast'!$B$2:$AO$26,MATCH('Master data'!$B570,'Team forecast'!$B$2:$B$26,0),MATCH('Master data'!I$1,'Team forecast'!$B$2:$AO$2,0))</f>
        <v>1.7625676631272518</v>
      </c>
      <c r="J570" s="16">
        <f>INDEX('Team forecast'!$B$2:$AO$26,MATCH('Master data'!$B570,'Team forecast'!$B$2:$B$26,0),MATCH('Master data'!J$1,'Team forecast'!$B$2:$AO$2,0))</f>
        <v>0.1716036772216547</v>
      </c>
      <c r="K570" s="16">
        <f>INDEX('Team forecast'!$B$2:$AO$26,MATCH('Master data'!$B570,'Team forecast'!$B$2:$B$26,0),MATCH('Master data'!K$1,'Team forecast'!$B$2:$AO$2,0))</f>
        <v>2.4652948911197052</v>
      </c>
      <c r="L570" s="16">
        <f>INDEX('Team forecast'!$B$2:$AO$26,MATCH('Master data'!$B570,'Team forecast'!$B$2:$B$26,0),MATCH('Master data'!L$1,'Team forecast'!$B$2:$AO$2,0))</f>
        <v>4.8611455183966212</v>
      </c>
      <c r="M570">
        <f>IF(Players!BC571=1,95,0)</f>
        <v>0</v>
      </c>
      <c r="N570" s="2">
        <f>Players!BN571</f>
        <v>0</v>
      </c>
      <c r="O570" s="2">
        <f>Players!BO571</f>
        <v>0</v>
      </c>
      <c r="P570" s="2">
        <f>Players!BP571</f>
        <v>0</v>
      </c>
      <c r="Q570" s="2">
        <f>Players!BQ571</f>
        <v>6.32688927943761E-2</v>
      </c>
      <c r="R570" s="2">
        <f>Players!BR571</f>
        <v>0</v>
      </c>
      <c r="S570" s="2">
        <f t="shared" si="301"/>
        <v>0.75096675144877167</v>
      </c>
      <c r="T570" s="2">
        <f t="shared" si="302"/>
        <v>1.7625676631272518</v>
      </c>
      <c r="U570" s="16">
        <f>INDEX('Team forecast'!$B$2:$AO$26,MATCH('Master data'!$B570,'Team forecast'!$B$2:$B$26,0),MATCH('Master data'!U$1,'Team forecast'!$B$2:$AO$2,0))</f>
        <v>0.1348314606741573</v>
      </c>
      <c r="V570" s="16">
        <f>INDEX('Team forecast'!$B$2:$AO$26,MATCH('Master data'!$B570,'Team forecast'!$B$2:$B$26,0),MATCH('Master data'!V$1,'Team forecast'!$B$2:$AO$2,0))</f>
        <v>0.2359550561797753</v>
      </c>
      <c r="W570" s="16">
        <f>INDEX('Team forecast'!$B$2:$AO$26,MATCH('Master data'!$B570,'Team forecast'!$B$2:$B$26,0),MATCH('Master data'!W$1,'Team forecast'!$B$2:$AO$2,0))</f>
        <v>0.6292134831460674</v>
      </c>
      <c r="X570" s="5">
        <f t="shared" si="303"/>
        <v>-5000</v>
      </c>
      <c r="Y570" s="5">
        <f t="shared" si="304"/>
        <v>0</v>
      </c>
      <c r="Z570" s="5">
        <f t="shared" si="305"/>
        <v>0</v>
      </c>
      <c r="AA570" s="5">
        <f t="shared" si="306"/>
        <v>0</v>
      </c>
      <c r="AB570" s="5">
        <f t="shared" si="307"/>
        <v>0</v>
      </c>
      <c r="AC570" s="5">
        <f t="shared" si="308"/>
        <v>0</v>
      </c>
      <c r="AD570" s="5">
        <f t="shared" si="309"/>
        <v>0</v>
      </c>
      <c r="AE570" s="5">
        <f t="shared" si="310"/>
        <v>8580.1838610827344</v>
      </c>
      <c r="AF570" s="5">
        <f t="shared" si="311"/>
        <v>0</v>
      </c>
      <c r="AG570" s="5">
        <f t="shared" si="312"/>
        <v>0</v>
      </c>
      <c r="AH570" s="5">
        <f t="shared" si="313"/>
        <v>0</v>
      </c>
      <c r="AI570" s="5">
        <f t="shared" si="314"/>
        <v>0</v>
      </c>
      <c r="AJ570" s="5">
        <f t="shared" si="315"/>
        <v>0</v>
      </c>
      <c r="AK570" s="5">
        <f>IFERROR(SUM(X570:AJ570),-5000)*((Cockpit!$C$3)^0)</f>
        <v>3580.1838610827344</v>
      </c>
      <c r="AL570" s="16">
        <f>INDEX('Team forecast'!$B$2:$AO$26,MATCH('Master data'!$B570,'Team forecast'!$B$2:$B$26,0),MATCH('Master data'!AL$1,'Team forecast'!$B$2:$AO$2,0))</f>
        <v>0.80291922538135296</v>
      </c>
      <c r="AM570" s="16">
        <f>INDEX('Team forecast'!$B$2:$AO$26,MATCH('Master data'!$B570,'Team forecast'!$B$2:$B$26,0),MATCH('Master data'!AM$1,'Team forecast'!$B$2:$AO$2,0))</f>
        <v>2.140423422331811</v>
      </c>
      <c r="AN570" s="16">
        <f>INDEX('Team forecast'!$B$2:$AO$26,MATCH('Master data'!$B570,'Team forecast'!$B$2:$B$26,0),MATCH('Master data'!AN$1,'Team forecast'!$B$2:$AO$2,0))</f>
        <v>0.1176050358792704</v>
      </c>
      <c r="AO570" s="16">
        <f>INDEX('Team forecast'!$B$2:$AO$26,MATCH('Master data'!$B570,'Team forecast'!$B$2:$B$26,0),MATCH('Master data'!AO$1,'Team forecast'!$B$2:$AO$2,0))</f>
        <v>2.6358459419084821</v>
      </c>
      <c r="AP570" s="16">
        <f>INDEX('Team forecast'!$B$2:$AO$26,MATCH('Master data'!$B570,'Team forecast'!$B$2:$B$26,0),MATCH('Master data'!AP$1,'Team forecast'!$B$2:$AO$2,0))</f>
        <v>5.9032682515452688</v>
      </c>
      <c r="AQ570" s="5">
        <f t="shared" si="316"/>
        <v>-5000</v>
      </c>
      <c r="AR570" s="5">
        <f>INDEX('Team forecast'!$B$2:$AO$26,MATCH('Master data'!$B570,'Team forecast'!$B$2:$B$26,0),MATCH('Master data'!AR$1,'Team forecast'!$B$2:$AO$2,0))*IF(X570&gt;0,25000,0)</f>
        <v>0</v>
      </c>
      <c r="AS570" s="16">
        <f>INDEX('Team forecast'!$B$2:$AO$26,MATCH('Master data'!$B570,'Team forecast'!$B$2:$B$26,0),MATCH('Master data'!AS$1,'Team forecast'!$B$2:$AO$2,0))*IF(X570&gt;0,5000,0)</f>
        <v>0</v>
      </c>
      <c r="AT570" s="16">
        <f>INDEX('Team forecast'!$B$2:$AO$26,MATCH('Master data'!$B570,'Team forecast'!$B$2:$B$26,0),MATCH('Master data'!AT$1,'Team forecast'!$B$2:$AO$2,0))*IF(X570&gt;0,-15000,0)</f>
        <v>0</v>
      </c>
      <c r="AU570" s="5">
        <f t="shared" si="317"/>
        <v>0</v>
      </c>
      <c r="AV570" s="5">
        <f t="shared" si="318"/>
        <v>0</v>
      </c>
      <c r="AW570" s="5">
        <f t="shared" si="319"/>
        <v>0</v>
      </c>
      <c r="AX570" s="5">
        <f t="shared" si="320"/>
        <v>5880.25179396352</v>
      </c>
      <c r="AY570" s="5">
        <f t="shared" si="321"/>
        <v>0</v>
      </c>
      <c r="AZ570" s="5">
        <f t="shared" si="322"/>
        <v>0</v>
      </c>
      <c r="BA570" s="5">
        <f t="shared" si="323"/>
        <v>0</v>
      </c>
      <c r="BB570" s="5">
        <f t="shared" si="324"/>
        <v>0</v>
      </c>
      <c r="BC570" s="5">
        <f t="shared" si="325"/>
        <v>0</v>
      </c>
      <c r="BD570" s="5">
        <f t="shared" si="326"/>
        <v>880.25179396351996</v>
      </c>
      <c r="BE570" s="16">
        <f>INDEX('Team forecast'!$B$2:$AO$26,MATCH('Master data'!$B570,'Team forecast'!$B$2:$B$26,0),MATCH('Master data'!BE$1,'Team forecast'!$B$2:$AO$2,0))</f>
        <v>0.68661022841383224</v>
      </c>
      <c r="BF570" s="16">
        <f>INDEX('Team forecast'!$B$2:$AO$26,MATCH('Master data'!$B570,'Team forecast'!$B$2:$B$26,0),MATCH('Master data'!BF$1,'Team forecast'!$B$2:$AO$2,0))</f>
        <v>2.4374022591536644</v>
      </c>
      <c r="BG570" s="16">
        <f>INDEX('Team forecast'!$B$2:$AO$26,MATCH('Master data'!$B570,'Team forecast'!$B$2:$B$26,0),MATCH('Master data'!BG$1,'Team forecast'!$B$2:$AO$2,0))</f>
        <v>8.7387567112784156E-2</v>
      </c>
      <c r="BH570" s="16">
        <f>INDEX('Team forecast'!$B$2:$AO$26,MATCH('Master data'!$B570,'Team forecast'!$B$2:$B$26,0),MATCH('Master data'!BH$1,'Team forecast'!$B$2:$AO$2,0))</f>
        <v>2.2540234771161161</v>
      </c>
      <c r="BI570" s="16">
        <f>INDEX('Team forecast'!$B$2:$AO$26,MATCH('Master data'!$B570,'Team forecast'!$B$2:$B$26,0),MATCH('Master data'!BI$1,'Team forecast'!$B$2:$AO$2,0))</f>
        <v>6.7223331713644443</v>
      </c>
      <c r="BJ570" s="5">
        <f t="shared" si="327"/>
        <v>-5000</v>
      </c>
      <c r="BK570" s="5">
        <f>INDEX('Team forecast'!$R$3:$BH$26,MATCH($B570,'Team forecast'!$B$3:$B$26,0),MATCH(BK$1,'Team forecast'!$R$2:$BH$2,0))*IF($X570&gt;0,25000,0)</f>
        <v>0</v>
      </c>
      <c r="BL570" s="5">
        <f>INDEX('Team forecast'!$R$3:$BH$26,MATCH($B570,'Team forecast'!$B$3:$B$26,0),MATCH(BL$1,'Team forecast'!$R$2:$BH$2,0))*IF($X570&gt;0,5000,0)</f>
        <v>0</v>
      </c>
      <c r="BM570" s="5">
        <f>INDEX('Team forecast'!$R$3:$BH$26,MATCH($B570,'Team forecast'!$B$3:$B$26,0),MATCH(BM$1,'Team forecast'!$R$2:$BH$2,0))*IF($X570&gt;0,-15000,0)</f>
        <v>0</v>
      </c>
      <c r="BN570" s="5">
        <f t="shared" si="328"/>
        <v>0</v>
      </c>
      <c r="BO570" s="5">
        <f t="shared" si="329"/>
        <v>0</v>
      </c>
      <c r="BP570" s="5">
        <f t="shared" si="330"/>
        <v>0</v>
      </c>
      <c r="BQ570" s="5">
        <f t="shared" si="331"/>
        <v>4369.3783556392082</v>
      </c>
      <c r="BR570" s="5">
        <f t="shared" si="332"/>
        <v>0</v>
      </c>
      <c r="BS570" s="5">
        <f t="shared" si="333"/>
        <v>0</v>
      </c>
      <c r="BT570" s="5">
        <f t="shared" si="334"/>
        <v>0</v>
      </c>
      <c r="BU570" s="5">
        <f t="shared" si="335"/>
        <v>0</v>
      </c>
      <c r="BV570" s="5">
        <f t="shared" si="336"/>
        <v>0</v>
      </c>
      <c r="BW570" s="5">
        <f t="shared" si="337"/>
        <v>-630.62164436079183</v>
      </c>
      <c r="BX570" s="5">
        <f t="shared" si="338"/>
        <v>1276.6046702284875</v>
      </c>
      <c r="BY570" s="5">
        <f t="shared" si="339"/>
        <v>3829.8140106854626</v>
      </c>
      <c r="BZ570" s="5">
        <f>INDEX('Team forecast'!$R$3:$BH$26,MATCH($B570,'Team forecast'!$B$3:$B$26,0),MATCH(BZ$1,'Team forecast'!$R$2:$BH$2,0))*($BX570-(BY570+CH570)*0.01)</f>
        <v>-3174.2235950127051</v>
      </c>
      <c r="CA570" s="5">
        <f>INDEX('Team forecast'!$R$3:$BH$26,MATCH($B570,'Team forecast'!$B$3:$B$26,0),MATCH(CA$1,'Team forecast'!$R$2:$BH$2,0))*($BX570-(BY570+BX570+CH570)*0.01)</f>
        <v>-1559.6204144253552</v>
      </c>
      <c r="CB570" s="5">
        <f>INDEX('Team forecast'!$R$3:$BH$26,MATCH($B570,'Team forecast'!$B$3:$B$26,0),MATCH(CB$1,'Team forecast'!$R$2:$BH$2,0))*($BX570-(BY570+BX570*2+CH570)*0.01)</f>
        <v>-753.43153006552291</v>
      </c>
      <c r="CC570" s="5">
        <f>INDEX('Team forecast'!$R$3:$BH$26,MATCH($B570,'Team forecast'!$B$3:$B$26,0),MATCH(CC$1,'Team forecast'!$R$2:$BH$2,0))*($BX570-(BY570+BX570*3+CH570)*0.01)</f>
        <v>-342.24981912165777</v>
      </c>
      <c r="CD570" s="5">
        <f>+AK570+BD570*Cockpit!$C$3+BW570*Cockpit!$C$3^2+BZ570*Cockpit!$C$3^3+CA570*Cockpit!$C$3^4+CB570*Cockpit!$C$3^5+CC570*Cockpit!$C$3^6</f>
        <v>2508.8942967251241</v>
      </c>
      <c r="CE570" s="5"/>
      <c r="CF570" s="5"/>
      <c r="CG570" s="5">
        <v>0</v>
      </c>
      <c r="CH570" s="5">
        <f t="shared" si="340"/>
        <v>2000000</v>
      </c>
      <c r="CI570" s="5">
        <f t="shared" si="341"/>
        <v>2000000</v>
      </c>
      <c r="CJ570" s="1">
        <f t="shared" si="342"/>
        <v>1.9149070053427312E-3</v>
      </c>
      <c r="CK570" s="5">
        <f>RANK(BY570,$BY$2:$BY$623)+COUNTIF($BY$2:$BY570,$BY570)-1</f>
        <v>407</v>
      </c>
      <c r="CL570" s="5">
        <f>RANK(CJ570,$CJ$2:$CJ$623)+COUNTIF($CJ$2:$CJ570,$CJ570)-1</f>
        <v>407</v>
      </c>
    </row>
    <row r="571" spans="1:90">
      <c r="A571" t="str">
        <f>Players!P572</f>
        <v>Willi Orbán</v>
      </c>
      <c r="B571" t="str">
        <f>Players!G572</f>
        <v>Hungary</v>
      </c>
      <c r="C571" t="str">
        <f>Players!AB572</f>
        <v>Defense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3000000</v>
      </c>
      <c r="H571" s="16">
        <f>INDEX('Team forecast'!$B$2:$AO$26,MATCH('Master data'!$B571,'Team forecast'!$B$2:$B$26,0),MATCH('Master data'!H$1,'Team forecast'!$B$2:$AO$2,0))</f>
        <v>0.75096675144877167</v>
      </c>
      <c r="I571" s="16">
        <f>INDEX('Team forecast'!$B$2:$AO$26,MATCH('Master data'!$B571,'Team forecast'!$B$2:$B$26,0),MATCH('Master data'!I$1,'Team forecast'!$B$2:$AO$2,0))</f>
        <v>1.7625676631272518</v>
      </c>
      <c r="J571" s="16">
        <f>INDEX('Team forecast'!$B$2:$AO$26,MATCH('Master data'!$B571,'Team forecast'!$B$2:$B$26,0),MATCH('Master data'!J$1,'Team forecast'!$B$2:$AO$2,0))</f>
        <v>0.1716036772216547</v>
      </c>
      <c r="K571" s="16">
        <f>INDEX('Team forecast'!$B$2:$AO$26,MATCH('Master data'!$B571,'Team forecast'!$B$2:$B$26,0),MATCH('Master data'!K$1,'Team forecast'!$B$2:$AO$2,0))</f>
        <v>2.4652948911197052</v>
      </c>
      <c r="L571" s="16">
        <f>INDEX('Team forecast'!$B$2:$AO$26,MATCH('Master data'!$B571,'Team forecast'!$B$2:$B$26,0),MATCH('Master data'!L$1,'Team forecast'!$B$2:$AO$2,0))</f>
        <v>4.8611455183966212</v>
      </c>
      <c r="M571">
        <f>IF(Players!BC572=1,95,0)</f>
        <v>95</v>
      </c>
      <c r="N571" s="2">
        <f>Players!BN572</f>
        <v>6.9408807556334176E-2</v>
      </c>
      <c r="O571" s="2">
        <f>Players!BO572</f>
        <v>3.6833736623417351E-2</v>
      </c>
      <c r="P571" s="2">
        <f>Players!BP572</f>
        <v>6.5486334160540602E-2</v>
      </c>
      <c r="Q571" s="2">
        <f>Players!BQ572</f>
        <v>7.6238881829733166E-2</v>
      </c>
      <c r="R571" s="2">
        <f>Players!BR572</f>
        <v>0</v>
      </c>
      <c r="S571" s="2">
        <f t="shared" si="301"/>
        <v>0.75096675144877167</v>
      </c>
      <c r="T571" s="2">
        <f t="shared" si="302"/>
        <v>1.7625676631272518</v>
      </c>
      <c r="U571" s="16">
        <f>INDEX('Team forecast'!$B$2:$AO$26,MATCH('Master data'!$B571,'Team forecast'!$B$2:$B$26,0),MATCH('Master data'!U$1,'Team forecast'!$B$2:$AO$2,0))</f>
        <v>0.1348314606741573</v>
      </c>
      <c r="V571" s="16">
        <f>INDEX('Team forecast'!$B$2:$AO$26,MATCH('Master data'!$B571,'Team forecast'!$B$2:$B$26,0),MATCH('Master data'!V$1,'Team forecast'!$B$2:$AO$2,0))</f>
        <v>0.2359550561797753</v>
      </c>
      <c r="W571" s="16">
        <f>INDEX('Team forecast'!$B$2:$AO$26,MATCH('Master data'!$B571,'Team forecast'!$B$2:$B$26,0),MATCH('Master data'!W$1,'Team forecast'!$B$2:$AO$2,0))</f>
        <v>0.6292134831460674</v>
      </c>
      <c r="X571" s="5">
        <f t="shared" si="303"/>
        <v>7000</v>
      </c>
      <c r="Y571" s="5">
        <f t="shared" si="304"/>
        <v>3370.7865168539324</v>
      </c>
      <c r="Z571" s="5">
        <f t="shared" si="305"/>
        <v>1179.7752808988764</v>
      </c>
      <c r="AA571" s="5">
        <f t="shared" si="306"/>
        <v>-9438.2022471910113</v>
      </c>
      <c r="AB571" s="5">
        <f t="shared" si="307"/>
        <v>7818.5560098769847</v>
      </c>
      <c r="AC571" s="5">
        <f t="shared" si="308"/>
        <v>1383.0455767903688</v>
      </c>
      <c r="AD571" s="5">
        <f t="shared" si="309"/>
        <v>1614.4312504413858</v>
      </c>
      <c r="AE571" s="5">
        <f t="shared" si="310"/>
        <v>8580.1838610827344</v>
      </c>
      <c r="AF571" s="5">
        <f t="shared" si="311"/>
        <v>0</v>
      </c>
      <c r="AG571" s="5">
        <f t="shared" si="312"/>
        <v>-1524.7776365946634</v>
      </c>
      <c r="AH571" s="5">
        <f t="shared" si="313"/>
        <v>0</v>
      </c>
      <c r="AI571" s="5">
        <f t="shared" si="314"/>
        <v>7509.6675144877172</v>
      </c>
      <c r="AJ571" s="5">
        <f t="shared" si="315"/>
        <v>-14100.541305018014</v>
      </c>
      <c r="AK571" s="5">
        <f>IFERROR(SUM(X571:AJ571),-5000)*((Cockpit!$C$3)^0)</f>
        <v>13392.924821628309</v>
      </c>
      <c r="AL571" s="16">
        <f>INDEX('Team forecast'!$B$2:$AO$26,MATCH('Master data'!$B571,'Team forecast'!$B$2:$B$26,0),MATCH('Master data'!AL$1,'Team forecast'!$B$2:$AO$2,0))</f>
        <v>0.80291922538135296</v>
      </c>
      <c r="AM571" s="16">
        <f>INDEX('Team forecast'!$B$2:$AO$26,MATCH('Master data'!$B571,'Team forecast'!$B$2:$B$26,0),MATCH('Master data'!AM$1,'Team forecast'!$B$2:$AO$2,0))</f>
        <v>2.140423422331811</v>
      </c>
      <c r="AN571" s="16">
        <f>INDEX('Team forecast'!$B$2:$AO$26,MATCH('Master data'!$B571,'Team forecast'!$B$2:$B$26,0),MATCH('Master data'!AN$1,'Team forecast'!$B$2:$AO$2,0))</f>
        <v>0.1176050358792704</v>
      </c>
      <c r="AO571" s="16">
        <f>INDEX('Team forecast'!$B$2:$AO$26,MATCH('Master data'!$B571,'Team forecast'!$B$2:$B$26,0),MATCH('Master data'!AO$1,'Team forecast'!$B$2:$AO$2,0))</f>
        <v>2.6358459419084821</v>
      </c>
      <c r="AP571" s="16">
        <f>INDEX('Team forecast'!$B$2:$AO$26,MATCH('Master data'!$B571,'Team forecast'!$B$2:$B$26,0),MATCH('Master data'!AP$1,'Team forecast'!$B$2:$AO$2,0))</f>
        <v>5.9032682515452688</v>
      </c>
      <c r="AQ571" s="5">
        <f t="shared" si="316"/>
        <v>7000</v>
      </c>
      <c r="AR571" s="5">
        <f>INDEX('Team forecast'!$B$2:$AO$26,MATCH('Master data'!$B571,'Team forecast'!$B$2:$B$26,0),MATCH('Master data'!AR$1,'Team forecast'!$B$2:$AO$2,0))*IF(X571&gt;0,25000,0)</f>
        <v>2767.1773148063626</v>
      </c>
      <c r="AS571" s="16">
        <f>INDEX('Team forecast'!$B$2:$AO$26,MATCH('Master data'!$B571,'Team forecast'!$B$2:$B$26,0),MATCH('Master data'!AS$1,'Team forecast'!$B$2:$AO$2,0))*IF(X571&gt;0,5000,0)</f>
        <v>1086.42065477386</v>
      </c>
      <c r="AT571" s="16">
        <f>INDEX('Team forecast'!$B$2:$AO$26,MATCH('Master data'!$B571,'Team forecast'!$B$2:$B$26,0),MATCH('Master data'!AT$1,'Team forecast'!$B$2:$AO$2,0))*IF(X571&gt;0,-15000,0)</f>
        <v>-10080.431646794603</v>
      </c>
      <c r="AU571" s="5">
        <f t="shared" si="317"/>
        <v>8359.449899666286</v>
      </c>
      <c r="AV571" s="5">
        <f t="shared" si="318"/>
        <v>1478.7257638787516</v>
      </c>
      <c r="AW571" s="5">
        <f t="shared" si="319"/>
        <v>1726.1188814752377</v>
      </c>
      <c r="AX571" s="5">
        <f t="shared" si="320"/>
        <v>5880.25179396352</v>
      </c>
      <c r="AY571" s="5">
        <f t="shared" si="321"/>
        <v>0</v>
      </c>
      <c r="AZ571" s="5">
        <f t="shared" si="322"/>
        <v>-1524.7776365946634</v>
      </c>
      <c r="BA571" s="5">
        <f t="shared" si="323"/>
        <v>0</v>
      </c>
      <c r="BB571" s="5">
        <f t="shared" si="324"/>
        <v>8029.1922538135295</v>
      </c>
      <c r="BC571" s="5">
        <f t="shared" si="325"/>
        <v>-17123.38737865449</v>
      </c>
      <c r="BD571" s="5">
        <f t="shared" si="326"/>
        <v>7598.7399003337923</v>
      </c>
      <c r="BE571" s="16">
        <f>INDEX('Team forecast'!$B$2:$AO$26,MATCH('Master data'!$B571,'Team forecast'!$B$2:$B$26,0),MATCH('Master data'!BE$1,'Team forecast'!$B$2:$AO$2,0))</f>
        <v>0.68661022841383224</v>
      </c>
      <c r="BF571" s="16">
        <f>INDEX('Team forecast'!$B$2:$AO$26,MATCH('Master data'!$B571,'Team forecast'!$B$2:$B$26,0),MATCH('Master data'!BF$1,'Team forecast'!$B$2:$AO$2,0))</f>
        <v>2.4374022591536644</v>
      </c>
      <c r="BG571" s="16">
        <f>INDEX('Team forecast'!$B$2:$AO$26,MATCH('Master data'!$B571,'Team forecast'!$B$2:$B$26,0),MATCH('Master data'!BG$1,'Team forecast'!$B$2:$AO$2,0))</f>
        <v>8.7387567112784156E-2</v>
      </c>
      <c r="BH571" s="16">
        <f>INDEX('Team forecast'!$B$2:$AO$26,MATCH('Master data'!$B571,'Team forecast'!$B$2:$B$26,0),MATCH('Master data'!BH$1,'Team forecast'!$B$2:$AO$2,0))</f>
        <v>2.2540234771161161</v>
      </c>
      <c r="BI571" s="16">
        <f>INDEX('Team forecast'!$B$2:$AO$26,MATCH('Master data'!$B571,'Team forecast'!$B$2:$B$26,0),MATCH('Master data'!BI$1,'Team forecast'!$B$2:$AO$2,0))</f>
        <v>6.7223331713644443</v>
      </c>
      <c r="BJ571" s="5">
        <f t="shared" si="327"/>
        <v>7000</v>
      </c>
      <c r="BK571" s="5">
        <f>INDEX('Team forecast'!$R$3:$BH$26,MATCH($B571,'Team forecast'!$B$3:$B$26,0),MATCH(BK$1,'Team forecast'!$R$2:$BH$2,0))*IF($X571&gt;0,25000,0)</f>
        <v>1922.5264764812514</v>
      </c>
      <c r="BL571" s="5">
        <f>INDEX('Team forecast'!$R$3:$BH$26,MATCH($B571,'Team forecast'!$B$3:$B$26,0),MATCH(BL$1,'Team forecast'!$R$2:$BH$2,0))*IF($X571&gt;0,5000,0)</f>
        <v>739.43326018509651</v>
      </c>
      <c r="BM571" s="5">
        <f>INDEX('Team forecast'!$R$3:$BH$26,MATCH($B571,'Team forecast'!$B$3:$B$26,0),MATCH(BM$1,'Team forecast'!$R$2:$BH$2,0))*IF($X571&gt;0,-15000,0)</f>
        <v>-11628.184333555957</v>
      </c>
      <c r="BN571" s="5">
        <f t="shared" si="328"/>
        <v>7148.5195815279503</v>
      </c>
      <c r="BO571" s="5">
        <f t="shared" si="329"/>
        <v>1264.5210158169764</v>
      </c>
      <c r="BP571" s="5">
        <f t="shared" si="330"/>
        <v>1476.0773462812963</v>
      </c>
      <c r="BQ571" s="5">
        <f t="shared" si="331"/>
        <v>4369.3783556392082</v>
      </c>
      <c r="BR571" s="5">
        <f t="shared" si="332"/>
        <v>0</v>
      </c>
      <c r="BS571" s="5">
        <f t="shared" si="333"/>
        <v>-1524.7776365946634</v>
      </c>
      <c r="BT571" s="5">
        <f t="shared" si="334"/>
        <v>0</v>
      </c>
      <c r="BU571" s="5">
        <f t="shared" si="335"/>
        <v>6866.1022841383219</v>
      </c>
      <c r="BV571" s="5">
        <f t="shared" si="336"/>
        <v>-19499.218073229316</v>
      </c>
      <c r="BW571" s="5">
        <f t="shared" si="337"/>
        <v>-1865.6217233098359</v>
      </c>
      <c r="BX571" s="5">
        <f t="shared" si="338"/>
        <v>6375.3476662174216</v>
      </c>
      <c r="BY571" s="5">
        <f t="shared" si="339"/>
        <v>19126.042998652265</v>
      </c>
      <c r="BZ571" s="5">
        <f>INDEX('Team forecast'!$R$3:$BH$26,MATCH($B571,'Team forecast'!$B$3:$B$26,0),MATCH(BZ$1,'Team forecast'!$R$2:$BH$2,0))*($BX571-(BY571+CH571)*0.01)</f>
        <v>-4029.3288211370727</v>
      </c>
      <c r="CA571" s="5">
        <f>INDEX('Team forecast'!$R$3:$BH$26,MATCH($B571,'Team forecast'!$B$3:$B$26,0),MATCH(CA$1,'Team forecast'!$R$2:$BH$2,0))*($BX571-(BY571+BX571+CH571)*0.01)</f>
        <v>-1983.7170239361226</v>
      </c>
      <c r="CB571" s="5">
        <f>INDEX('Team forecast'!$R$3:$BH$26,MATCH($B571,'Team forecast'!$B$3:$B$26,0),MATCH(CB$1,'Team forecast'!$R$2:$BH$2,0))*($BX571-(BY571+BX571*2+CH571)*0.01)</f>
        <v>-960.21242155664049</v>
      </c>
      <c r="CC571" s="5">
        <f>INDEX('Team forecast'!$R$3:$BH$26,MATCH($B571,'Team forecast'!$B$3:$B$26,0),MATCH(CC$1,'Team forecast'!$R$2:$BH$2,0))*($BX571-(BY571+BX571*3+CH571)*0.01)</f>
        <v>-437.04544414909088</v>
      </c>
      <c r="CD571" s="5">
        <f>+AK571+BD571*Cockpit!$C$3+BW571*Cockpit!$C$3^2+BZ571*Cockpit!$C$3^3+CA571*Cockpit!$C$3^4+CB571*Cockpit!$C$3^5+CC571*Cockpit!$C$3^6</f>
        <v>15879.049067859376</v>
      </c>
      <c r="CE571" s="5"/>
      <c r="CF571" s="5"/>
      <c r="CG571" s="5">
        <v>0</v>
      </c>
      <c r="CH571" s="5">
        <f t="shared" si="340"/>
        <v>3000000</v>
      </c>
      <c r="CI571" s="5">
        <f t="shared" si="341"/>
        <v>3000000</v>
      </c>
      <c r="CJ571" s="1">
        <f t="shared" si="342"/>
        <v>6.3753476662174215E-3</v>
      </c>
      <c r="CK571" s="5">
        <f>RANK(BY571,$BY$2:$BY$623)+COUNTIF($BY$2:$BY571,$BY571)-1</f>
        <v>383</v>
      </c>
      <c r="CL571" s="5">
        <f>RANK(CJ571,$CJ$2:$CJ$623)+COUNTIF($CJ$2:$CJ571,$CJ571)-1</f>
        <v>384</v>
      </c>
    </row>
    <row r="572" spans="1:90">
      <c r="A572" t="str">
        <f>Players!P573</f>
        <v>Gergő Lovrencsics</v>
      </c>
      <c r="B572" t="str">
        <f>Players!G573</f>
        <v>Hungary</v>
      </c>
      <c r="C572" t="str">
        <f>Players!AB573</f>
        <v>Midfield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0.75096675144877167</v>
      </c>
      <c r="I572" s="16">
        <f>INDEX('Team forecast'!$B$2:$AO$26,MATCH('Master data'!$B572,'Team forecast'!$B$2:$B$26,0),MATCH('Master data'!I$1,'Team forecast'!$B$2:$AO$2,0))</f>
        <v>1.7625676631272518</v>
      </c>
      <c r="J572" s="16">
        <f>INDEX('Team forecast'!$B$2:$AO$26,MATCH('Master data'!$B572,'Team forecast'!$B$2:$B$26,0),MATCH('Master data'!J$1,'Team forecast'!$B$2:$AO$2,0))</f>
        <v>0.1716036772216547</v>
      </c>
      <c r="K572" s="16">
        <f>INDEX('Team forecast'!$B$2:$AO$26,MATCH('Master data'!$B572,'Team forecast'!$B$2:$B$26,0),MATCH('Master data'!K$1,'Team forecast'!$B$2:$AO$2,0))</f>
        <v>2.4652948911197052</v>
      </c>
      <c r="L572" s="16">
        <f>INDEX('Team forecast'!$B$2:$AO$26,MATCH('Master data'!$B572,'Team forecast'!$B$2:$B$26,0),MATCH('Master data'!L$1,'Team forecast'!$B$2:$AO$2,0))</f>
        <v>4.8611455183966212</v>
      </c>
      <c r="M572">
        <f>IF(Players!BC573=1,95,0)</f>
        <v>95</v>
      </c>
      <c r="N572" s="2">
        <f>Players!BN573</f>
        <v>6.0559244538608628E-2</v>
      </c>
      <c r="O572" s="2">
        <f>Players!BO573</f>
        <v>2.5712523387258688E-2</v>
      </c>
      <c r="P572" s="2">
        <f>Players!BP573</f>
        <v>1.978676502302542E-2</v>
      </c>
      <c r="Q572" s="2">
        <f>Players!BQ573</f>
        <v>0.19326889279437609</v>
      </c>
      <c r="R572" s="2">
        <f>Players!BR573</f>
        <v>0</v>
      </c>
      <c r="S572" s="2">
        <f t="shared" si="301"/>
        <v>0.75096675144877167</v>
      </c>
      <c r="T572" s="2">
        <f t="shared" si="302"/>
        <v>1.7625676631272518</v>
      </c>
      <c r="U572" s="16">
        <f>INDEX('Team forecast'!$B$2:$AO$26,MATCH('Master data'!$B572,'Team forecast'!$B$2:$B$26,0),MATCH('Master data'!U$1,'Team forecast'!$B$2:$AO$2,0))</f>
        <v>0.1348314606741573</v>
      </c>
      <c r="V572" s="16">
        <f>INDEX('Team forecast'!$B$2:$AO$26,MATCH('Master data'!$B572,'Team forecast'!$B$2:$B$26,0),MATCH('Master data'!V$1,'Team forecast'!$B$2:$AO$2,0))</f>
        <v>0.2359550561797753</v>
      </c>
      <c r="W572" s="16">
        <f>INDEX('Team forecast'!$B$2:$AO$26,MATCH('Master data'!$B572,'Team forecast'!$B$2:$B$26,0),MATCH('Master data'!W$1,'Team forecast'!$B$2:$AO$2,0))</f>
        <v>0.6292134831460674</v>
      </c>
      <c r="X572" s="5">
        <f t="shared" si="303"/>
        <v>7000</v>
      </c>
      <c r="Y572" s="5">
        <f t="shared" si="304"/>
        <v>3370.7865168539324</v>
      </c>
      <c r="Z572" s="5">
        <f t="shared" si="305"/>
        <v>1179.7752808988764</v>
      </c>
      <c r="AA572" s="5">
        <f t="shared" si="306"/>
        <v>-9438.2022471910113</v>
      </c>
      <c r="AB572" s="5">
        <f t="shared" si="307"/>
        <v>5684.7473926688363</v>
      </c>
      <c r="AC572" s="5">
        <f t="shared" si="308"/>
        <v>965.46250798401127</v>
      </c>
      <c r="AD572" s="5">
        <f t="shared" si="309"/>
        <v>487.80210723050646</v>
      </c>
      <c r="AE572" s="5">
        <f t="shared" si="310"/>
        <v>0</v>
      </c>
      <c r="AF572" s="5">
        <f t="shared" si="311"/>
        <v>0</v>
      </c>
      <c r="AG572" s="5">
        <f t="shared" si="312"/>
        <v>-3865.3778558875219</v>
      </c>
      <c r="AH572" s="5">
        <f t="shared" si="313"/>
        <v>0</v>
      </c>
      <c r="AI572" s="5">
        <f t="shared" si="314"/>
        <v>7509.6675144877172</v>
      </c>
      <c r="AJ572" s="5">
        <f t="shared" si="315"/>
        <v>-14100.541305018014</v>
      </c>
      <c r="AK572" s="5">
        <f>IFERROR(SUM(X572:AJ572),-5000)*((Cockpit!$C$3)^0)</f>
        <v>-1205.8800879726659</v>
      </c>
      <c r="AL572" s="16">
        <f>INDEX('Team forecast'!$B$2:$AO$26,MATCH('Master data'!$B572,'Team forecast'!$B$2:$B$26,0),MATCH('Master data'!AL$1,'Team forecast'!$B$2:$AO$2,0))</f>
        <v>0.80291922538135296</v>
      </c>
      <c r="AM572" s="16">
        <f>INDEX('Team forecast'!$B$2:$AO$26,MATCH('Master data'!$B572,'Team forecast'!$B$2:$B$26,0),MATCH('Master data'!AM$1,'Team forecast'!$B$2:$AO$2,0))</f>
        <v>2.140423422331811</v>
      </c>
      <c r="AN572" s="16">
        <f>INDEX('Team forecast'!$B$2:$AO$26,MATCH('Master data'!$B572,'Team forecast'!$B$2:$B$26,0),MATCH('Master data'!AN$1,'Team forecast'!$B$2:$AO$2,0))</f>
        <v>0.1176050358792704</v>
      </c>
      <c r="AO572" s="16">
        <f>INDEX('Team forecast'!$B$2:$AO$26,MATCH('Master data'!$B572,'Team forecast'!$B$2:$B$26,0),MATCH('Master data'!AO$1,'Team forecast'!$B$2:$AO$2,0))</f>
        <v>2.6358459419084821</v>
      </c>
      <c r="AP572" s="16">
        <f>INDEX('Team forecast'!$B$2:$AO$26,MATCH('Master data'!$B572,'Team forecast'!$B$2:$B$26,0),MATCH('Master data'!AP$1,'Team forecast'!$B$2:$AO$2,0))</f>
        <v>5.9032682515452688</v>
      </c>
      <c r="AQ572" s="5">
        <f t="shared" si="316"/>
        <v>7000</v>
      </c>
      <c r="AR572" s="5">
        <f>INDEX('Team forecast'!$B$2:$AO$26,MATCH('Master data'!$B572,'Team forecast'!$B$2:$B$26,0),MATCH('Master data'!AR$1,'Team forecast'!$B$2:$AO$2,0))*IF(X572&gt;0,25000,0)</f>
        <v>2767.1773148063626</v>
      </c>
      <c r="AS572" s="16">
        <f>INDEX('Team forecast'!$B$2:$AO$26,MATCH('Master data'!$B572,'Team forecast'!$B$2:$B$26,0),MATCH('Master data'!AS$1,'Team forecast'!$B$2:$AO$2,0))*IF(X572&gt;0,5000,0)</f>
        <v>1086.42065477386</v>
      </c>
      <c r="AT572" s="16">
        <f>INDEX('Team forecast'!$B$2:$AO$26,MATCH('Master data'!$B572,'Team forecast'!$B$2:$B$26,0),MATCH('Master data'!AT$1,'Team forecast'!$B$2:$AO$2,0))*IF(X572&gt;0,-15000,0)</f>
        <v>-10080.431646794603</v>
      </c>
      <c r="AU572" s="5">
        <f t="shared" si="317"/>
        <v>6078.022714327446</v>
      </c>
      <c r="AV572" s="5">
        <f t="shared" si="318"/>
        <v>1032.2539680348834</v>
      </c>
      <c r="AW572" s="5">
        <f t="shared" si="319"/>
        <v>521.54864289438251</v>
      </c>
      <c r="AX572" s="5">
        <f t="shared" si="320"/>
        <v>0</v>
      </c>
      <c r="AY572" s="5">
        <f t="shared" si="321"/>
        <v>0</v>
      </c>
      <c r="AZ572" s="5">
        <f t="shared" si="322"/>
        <v>-3865.3778558875219</v>
      </c>
      <c r="BA572" s="5">
        <f t="shared" si="323"/>
        <v>0</v>
      </c>
      <c r="BB572" s="5">
        <f t="shared" si="324"/>
        <v>8029.1922538135295</v>
      </c>
      <c r="BC572" s="5">
        <f t="shared" si="325"/>
        <v>-17123.38737865449</v>
      </c>
      <c r="BD572" s="5">
        <f t="shared" si="326"/>
        <v>-4554.5813326861517</v>
      </c>
      <c r="BE572" s="16">
        <f>INDEX('Team forecast'!$B$2:$AO$26,MATCH('Master data'!$B572,'Team forecast'!$B$2:$B$26,0),MATCH('Master data'!BE$1,'Team forecast'!$B$2:$AO$2,0))</f>
        <v>0.68661022841383224</v>
      </c>
      <c r="BF572" s="16">
        <f>INDEX('Team forecast'!$B$2:$AO$26,MATCH('Master data'!$B572,'Team forecast'!$B$2:$B$26,0),MATCH('Master data'!BF$1,'Team forecast'!$B$2:$AO$2,0))</f>
        <v>2.4374022591536644</v>
      </c>
      <c r="BG572" s="16">
        <f>INDEX('Team forecast'!$B$2:$AO$26,MATCH('Master data'!$B572,'Team forecast'!$B$2:$B$26,0),MATCH('Master data'!BG$1,'Team forecast'!$B$2:$AO$2,0))</f>
        <v>8.7387567112784156E-2</v>
      </c>
      <c r="BH572" s="16">
        <f>INDEX('Team forecast'!$B$2:$AO$26,MATCH('Master data'!$B572,'Team forecast'!$B$2:$B$26,0),MATCH('Master data'!BH$1,'Team forecast'!$B$2:$AO$2,0))</f>
        <v>2.2540234771161161</v>
      </c>
      <c r="BI572" s="16">
        <f>INDEX('Team forecast'!$B$2:$AO$26,MATCH('Master data'!$B572,'Team forecast'!$B$2:$B$26,0),MATCH('Master data'!BI$1,'Team forecast'!$B$2:$AO$2,0))</f>
        <v>6.7223331713644443</v>
      </c>
      <c r="BJ572" s="5">
        <f t="shared" si="327"/>
        <v>7000</v>
      </c>
      <c r="BK572" s="5">
        <f>INDEX('Team forecast'!$R$3:$BH$26,MATCH($B572,'Team forecast'!$B$3:$B$26,0),MATCH(BK$1,'Team forecast'!$R$2:$BH$2,0))*IF($X572&gt;0,25000,0)</f>
        <v>1922.5264764812514</v>
      </c>
      <c r="BL572" s="5">
        <f>INDEX('Team forecast'!$R$3:$BH$26,MATCH($B572,'Team forecast'!$B$3:$B$26,0),MATCH(BL$1,'Team forecast'!$R$2:$BH$2,0))*IF($X572&gt;0,5000,0)</f>
        <v>739.43326018509651</v>
      </c>
      <c r="BM572" s="5">
        <f>INDEX('Team forecast'!$R$3:$BH$26,MATCH($B572,'Team forecast'!$B$3:$B$26,0),MATCH(BM$1,'Team forecast'!$R$2:$BH$2,0))*IF($X572&gt;0,-15000,0)</f>
        <v>-11628.184333555957</v>
      </c>
      <c r="BN572" s="5">
        <f t="shared" si="328"/>
        <v>5197.5745906528991</v>
      </c>
      <c r="BO572" s="5">
        <f t="shared" si="329"/>
        <v>882.7240778010846</v>
      </c>
      <c r="BP572" s="5">
        <f t="shared" si="330"/>
        <v>445.99832898079302</v>
      </c>
      <c r="BQ572" s="5">
        <f t="shared" si="331"/>
        <v>0</v>
      </c>
      <c r="BR572" s="5">
        <f t="shared" si="332"/>
        <v>0</v>
      </c>
      <c r="BS572" s="5">
        <f t="shared" si="333"/>
        <v>-3865.3778558875219</v>
      </c>
      <c r="BT572" s="5">
        <f t="shared" si="334"/>
        <v>0</v>
      </c>
      <c r="BU572" s="5">
        <f t="shared" si="335"/>
        <v>6866.1022841383219</v>
      </c>
      <c r="BV572" s="5">
        <f t="shared" si="336"/>
        <v>-19499.218073229316</v>
      </c>
      <c r="BW572" s="5">
        <f t="shared" si="337"/>
        <v>-11938.42124443335</v>
      </c>
      <c r="BX572" s="5">
        <f t="shared" si="338"/>
        <v>-5899.6275550307228</v>
      </c>
      <c r="BY572" s="5">
        <f t="shared" si="339"/>
        <v>-17698.882665092169</v>
      </c>
      <c r="BZ572" s="5">
        <f>INDEX('Team forecast'!$R$3:$BH$26,MATCH($B572,'Team forecast'!$B$3:$B$26,0),MATCH(BZ$1,'Team forecast'!$R$2:$BH$2,0))*($BX572-(BY572+CH572)*0.01)</f>
        <v>-5197.8530034744517</v>
      </c>
      <c r="CA572" s="5">
        <f>INDEX('Team forecast'!$R$3:$BH$26,MATCH($B572,'Team forecast'!$B$3:$B$26,0),MATCH(CA$1,'Team forecast'!$R$2:$BH$2,0))*($BX572-(BY572+BX572+CH572)*0.01)</f>
        <v>-2547.2713452995768</v>
      </c>
      <c r="CB572" s="5">
        <f>INDEX('Team forecast'!$R$3:$BH$26,MATCH($B572,'Team forecast'!$B$3:$B$26,0),MATCH(CB$1,'Team forecast'!$R$2:$BH$2,0))*($BX572-(BY572+BX572*2+CH572)*0.01)</f>
        <v>-1227.3502183061087</v>
      </c>
      <c r="CC572" s="5">
        <f>INDEX('Team forecast'!$R$3:$BH$26,MATCH($B572,'Team forecast'!$B$3:$B$26,0),MATCH(CC$1,'Team forecast'!$R$2:$BH$2,0))*($BX572-(BY572+BX572*3+CH572)*0.01)</f>
        <v>-556.07701166566699</v>
      </c>
      <c r="CD572" s="5">
        <f>+AK572+BD572*Cockpit!$C$3+BW572*Cockpit!$C$3^2+BZ572*Cockpit!$C$3^3+CA572*Cockpit!$C$3^4+CB572*Cockpit!$C$3^5+CC572*Cockpit!$C$3^6</f>
        <v>-11801.947142923949</v>
      </c>
      <c r="CE572" s="5"/>
      <c r="CF572" s="5"/>
      <c r="CG572" s="5">
        <v>0</v>
      </c>
      <c r="CH572" s="5">
        <f t="shared" si="340"/>
        <v>2500000</v>
      </c>
      <c r="CI572" s="5">
        <f t="shared" si="341"/>
        <v>2500000</v>
      </c>
      <c r="CJ572" s="1">
        <f t="shared" si="342"/>
        <v>-7.0795530660368675E-3</v>
      </c>
      <c r="CK572" s="5">
        <f>RANK(BY572,$BY$2:$BY$623)+COUNTIF($BY$2:$BY572,$BY572)-1</f>
        <v>618</v>
      </c>
      <c r="CL572" s="5">
        <f>RANK(CJ572,$CJ$2:$CJ$623)+COUNTIF($CJ$2:$CJ572,$CJ572)-1</f>
        <v>579</v>
      </c>
    </row>
    <row r="573" spans="1:90">
      <c r="A573" t="str">
        <f>Players!P574</f>
        <v>Attila At. Szalai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2500000</v>
      </c>
      <c r="H573" s="16">
        <f>INDEX('Team forecast'!$B$2:$AO$26,MATCH('Master data'!$B573,'Team forecast'!$B$2:$B$26,0),MATCH('Master data'!H$1,'Team forecast'!$B$2:$AO$2,0))</f>
        <v>0.75096675144877167</v>
      </c>
      <c r="I573" s="16">
        <f>INDEX('Team forecast'!$B$2:$AO$26,MATCH('Master data'!$B573,'Team forecast'!$B$2:$B$26,0),MATCH('Master data'!I$1,'Team forecast'!$B$2:$AO$2,0))</f>
        <v>1.7625676631272518</v>
      </c>
      <c r="J573" s="16">
        <f>INDEX('Team forecast'!$B$2:$AO$26,MATCH('Master data'!$B573,'Team forecast'!$B$2:$B$26,0),MATCH('Master data'!J$1,'Team forecast'!$B$2:$AO$2,0))</f>
        <v>0.1716036772216547</v>
      </c>
      <c r="K573" s="16">
        <f>INDEX('Team forecast'!$B$2:$AO$26,MATCH('Master data'!$B573,'Team forecast'!$B$2:$B$26,0),MATCH('Master data'!K$1,'Team forecast'!$B$2:$AO$2,0))</f>
        <v>2.4652948911197052</v>
      </c>
      <c r="L573" s="16">
        <f>INDEX('Team forecast'!$B$2:$AO$26,MATCH('Master data'!$B573,'Team forecast'!$B$2:$B$26,0),MATCH('Master data'!L$1,'Team forecast'!$B$2:$AO$2,0))</f>
        <v>4.8611455183966212</v>
      </c>
      <c r="M573">
        <f>IF(Players!BC574=1,95,0)</f>
        <v>95</v>
      </c>
      <c r="N573" s="2">
        <f>Players!BN574</f>
        <v>6.1404759759551772E-2</v>
      </c>
      <c r="O573" s="2">
        <f>Players!BO574</f>
        <v>4.5308366827798395E-2</v>
      </c>
      <c r="P573" s="2">
        <f>Players!BP574</f>
        <v>0.18104594256795825</v>
      </c>
      <c r="Q573" s="2">
        <f>Players!BQ574</f>
        <v>0.31147540983606559</v>
      </c>
      <c r="R573" s="2">
        <f>Players!BR574</f>
        <v>0</v>
      </c>
      <c r="S573" s="2">
        <f t="shared" si="301"/>
        <v>0.75096675144877167</v>
      </c>
      <c r="T573" s="2">
        <f t="shared" si="302"/>
        <v>1.7625676631272518</v>
      </c>
      <c r="U573" s="16">
        <f>INDEX('Team forecast'!$B$2:$AO$26,MATCH('Master data'!$B573,'Team forecast'!$B$2:$B$26,0),MATCH('Master data'!U$1,'Team forecast'!$B$2:$AO$2,0))</f>
        <v>0.1348314606741573</v>
      </c>
      <c r="V573" s="16">
        <f>INDEX('Team forecast'!$B$2:$AO$26,MATCH('Master data'!$B573,'Team forecast'!$B$2:$B$26,0),MATCH('Master data'!V$1,'Team forecast'!$B$2:$AO$2,0))</f>
        <v>0.2359550561797753</v>
      </c>
      <c r="W573" s="16">
        <f>INDEX('Team forecast'!$B$2:$AO$26,MATCH('Master data'!$B573,'Team forecast'!$B$2:$B$26,0),MATCH('Master data'!W$1,'Team forecast'!$B$2:$AO$2,0))</f>
        <v>0.6292134831460674</v>
      </c>
      <c r="X573" s="5">
        <f t="shared" si="303"/>
        <v>7000</v>
      </c>
      <c r="Y573" s="5">
        <f t="shared" si="304"/>
        <v>3370.7865168539324</v>
      </c>
      <c r="Z573" s="5">
        <f t="shared" si="305"/>
        <v>1179.7752808988764</v>
      </c>
      <c r="AA573" s="5">
        <f t="shared" si="306"/>
        <v>-9438.2022471910113</v>
      </c>
      <c r="AB573" s="5">
        <f t="shared" si="307"/>
        <v>6916.939944018427</v>
      </c>
      <c r="AC573" s="5">
        <f t="shared" si="308"/>
        <v>1701.2538525060522</v>
      </c>
      <c r="AD573" s="5">
        <f t="shared" si="309"/>
        <v>4463.3163727073907</v>
      </c>
      <c r="AE573" s="5">
        <f t="shared" si="310"/>
        <v>8580.1838610827344</v>
      </c>
      <c r="AF573" s="5">
        <f t="shared" si="311"/>
        <v>0</v>
      </c>
      <c r="AG573" s="5">
        <f t="shared" si="312"/>
        <v>-6229.5081967213118</v>
      </c>
      <c r="AH573" s="5">
        <f t="shared" si="313"/>
        <v>0</v>
      </c>
      <c r="AI573" s="5">
        <f t="shared" si="314"/>
        <v>7509.6675144877172</v>
      </c>
      <c r="AJ573" s="5">
        <f t="shared" si="315"/>
        <v>-14100.541305018014</v>
      </c>
      <c r="AK573" s="5">
        <f>IFERROR(SUM(X573:AJ573),-5000)*((Cockpit!$C$3)^0)</f>
        <v>10953.671593624793</v>
      </c>
      <c r="AL573" s="16">
        <f>INDEX('Team forecast'!$B$2:$AO$26,MATCH('Master data'!$B573,'Team forecast'!$B$2:$B$26,0),MATCH('Master data'!AL$1,'Team forecast'!$B$2:$AO$2,0))</f>
        <v>0.80291922538135296</v>
      </c>
      <c r="AM573" s="16">
        <f>INDEX('Team forecast'!$B$2:$AO$26,MATCH('Master data'!$B573,'Team forecast'!$B$2:$B$26,0),MATCH('Master data'!AM$1,'Team forecast'!$B$2:$AO$2,0))</f>
        <v>2.140423422331811</v>
      </c>
      <c r="AN573" s="16">
        <f>INDEX('Team forecast'!$B$2:$AO$26,MATCH('Master data'!$B573,'Team forecast'!$B$2:$B$26,0),MATCH('Master data'!AN$1,'Team forecast'!$B$2:$AO$2,0))</f>
        <v>0.1176050358792704</v>
      </c>
      <c r="AO573" s="16">
        <f>INDEX('Team forecast'!$B$2:$AO$26,MATCH('Master data'!$B573,'Team forecast'!$B$2:$B$26,0),MATCH('Master data'!AO$1,'Team forecast'!$B$2:$AO$2,0))</f>
        <v>2.6358459419084821</v>
      </c>
      <c r="AP573" s="16">
        <f>INDEX('Team forecast'!$B$2:$AO$26,MATCH('Master data'!$B573,'Team forecast'!$B$2:$B$26,0),MATCH('Master data'!AP$1,'Team forecast'!$B$2:$AO$2,0))</f>
        <v>5.9032682515452688</v>
      </c>
      <c r="AQ573" s="5">
        <f t="shared" si="316"/>
        <v>7000</v>
      </c>
      <c r="AR573" s="5">
        <f>INDEX('Team forecast'!$B$2:$AO$26,MATCH('Master data'!$B573,'Team forecast'!$B$2:$B$26,0),MATCH('Master data'!AR$1,'Team forecast'!$B$2:$AO$2,0))*IF(X573&gt;0,25000,0)</f>
        <v>2767.1773148063626</v>
      </c>
      <c r="AS573" s="16">
        <f>INDEX('Team forecast'!$B$2:$AO$26,MATCH('Master data'!$B573,'Team forecast'!$B$2:$B$26,0),MATCH('Master data'!AS$1,'Team forecast'!$B$2:$AO$2,0))*IF(X573&gt;0,5000,0)</f>
        <v>1086.42065477386</v>
      </c>
      <c r="AT573" s="16">
        <f>INDEX('Team forecast'!$B$2:$AO$26,MATCH('Master data'!$B573,'Team forecast'!$B$2:$B$26,0),MATCH('Master data'!AT$1,'Team forecast'!$B$2:$AO$2,0))*IF(X573&gt;0,-15000,0)</f>
        <v>-10080.431646794603</v>
      </c>
      <c r="AU573" s="5">
        <f t="shared" si="317"/>
        <v>7395.4593211301071</v>
      </c>
      <c r="AV573" s="5">
        <f t="shared" si="318"/>
        <v>1818.9479398335036</v>
      </c>
      <c r="AW573" s="5">
        <f t="shared" si="319"/>
        <v>4772.0921301674889</v>
      </c>
      <c r="AX573" s="5">
        <f t="shared" si="320"/>
        <v>5880.25179396352</v>
      </c>
      <c r="AY573" s="5">
        <f t="shared" si="321"/>
        <v>0</v>
      </c>
      <c r="AZ573" s="5">
        <f t="shared" si="322"/>
        <v>-6229.5081967213118</v>
      </c>
      <c r="BA573" s="5">
        <f t="shared" si="323"/>
        <v>0</v>
      </c>
      <c r="BB573" s="5">
        <f t="shared" si="324"/>
        <v>8029.1922538135295</v>
      </c>
      <c r="BC573" s="5">
        <f t="shared" si="325"/>
        <v>-17123.38737865449</v>
      </c>
      <c r="BD573" s="5">
        <f t="shared" si="326"/>
        <v>5316.214186317964</v>
      </c>
      <c r="BE573" s="16">
        <f>INDEX('Team forecast'!$B$2:$AO$26,MATCH('Master data'!$B573,'Team forecast'!$B$2:$B$26,0),MATCH('Master data'!BE$1,'Team forecast'!$B$2:$AO$2,0))</f>
        <v>0.68661022841383224</v>
      </c>
      <c r="BF573" s="16">
        <f>INDEX('Team forecast'!$B$2:$AO$26,MATCH('Master data'!$B573,'Team forecast'!$B$2:$B$26,0),MATCH('Master data'!BF$1,'Team forecast'!$B$2:$AO$2,0))</f>
        <v>2.4374022591536644</v>
      </c>
      <c r="BG573" s="16">
        <f>INDEX('Team forecast'!$B$2:$AO$26,MATCH('Master data'!$B573,'Team forecast'!$B$2:$B$26,0),MATCH('Master data'!BG$1,'Team forecast'!$B$2:$AO$2,0))</f>
        <v>8.7387567112784156E-2</v>
      </c>
      <c r="BH573" s="16">
        <f>INDEX('Team forecast'!$B$2:$AO$26,MATCH('Master data'!$B573,'Team forecast'!$B$2:$B$26,0),MATCH('Master data'!BH$1,'Team forecast'!$B$2:$AO$2,0))</f>
        <v>2.2540234771161161</v>
      </c>
      <c r="BI573" s="16">
        <f>INDEX('Team forecast'!$B$2:$AO$26,MATCH('Master data'!$B573,'Team forecast'!$B$2:$B$26,0),MATCH('Master data'!BI$1,'Team forecast'!$B$2:$AO$2,0))</f>
        <v>6.7223331713644443</v>
      </c>
      <c r="BJ573" s="5">
        <f t="shared" si="327"/>
        <v>7000</v>
      </c>
      <c r="BK573" s="5">
        <f>INDEX('Team forecast'!$R$3:$BH$26,MATCH($B573,'Team forecast'!$B$3:$B$26,0),MATCH(BK$1,'Team forecast'!$R$2:$BH$2,0))*IF($X573&gt;0,25000,0)</f>
        <v>1922.5264764812514</v>
      </c>
      <c r="BL573" s="5">
        <f>INDEX('Team forecast'!$R$3:$BH$26,MATCH($B573,'Team forecast'!$B$3:$B$26,0),MATCH(BL$1,'Team forecast'!$R$2:$BH$2,0))*IF($X573&gt;0,5000,0)</f>
        <v>739.43326018509651</v>
      </c>
      <c r="BM573" s="5">
        <f>INDEX('Team forecast'!$R$3:$BH$26,MATCH($B573,'Team forecast'!$B$3:$B$26,0),MATCH(BM$1,'Team forecast'!$R$2:$BH$2,0))*IF($X573&gt;0,-15000,0)</f>
        <v>-11628.184333555957</v>
      </c>
      <c r="BN573" s="5">
        <f t="shared" si="328"/>
        <v>6324.1704186303505</v>
      </c>
      <c r="BO573" s="5">
        <f t="shared" si="329"/>
        <v>1555.4594048346175</v>
      </c>
      <c r="BP573" s="5">
        <f t="shared" si="330"/>
        <v>4080.8180498479392</v>
      </c>
      <c r="BQ573" s="5">
        <f t="shared" si="331"/>
        <v>4369.3783556392082</v>
      </c>
      <c r="BR573" s="5">
        <f t="shared" si="332"/>
        <v>0</v>
      </c>
      <c r="BS573" s="5">
        <f t="shared" si="333"/>
        <v>-6229.5081967213118</v>
      </c>
      <c r="BT573" s="5">
        <f t="shared" si="334"/>
        <v>0</v>
      </c>
      <c r="BU573" s="5">
        <f t="shared" si="335"/>
        <v>6866.1022841383219</v>
      </c>
      <c r="BV573" s="5">
        <f t="shared" si="336"/>
        <v>-19499.218073229316</v>
      </c>
      <c r="BW573" s="5">
        <f t="shared" si="337"/>
        <v>-4499.0223537498005</v>
      </c>
      <c r="BX573" s="5">
        <f t="shared" si="338"/>
        <v>3923.621142064319</v>
      </c>
      <c r="BY573" s="5">
        <f t="shared" si="339"/>
        <v>11770.863426192956</v>
      </c>
      <c r="BZ573" s="5">
        <f>INDEX('Team forecast'!$R$3:$BH$26,MATCH($B573,'Team forecast'!$B$3:$B$26,0),MATCH(BZ$1,'Team forecast'!$R$2:$BH$2,0))*($BX573-(BY573+CH573)*0.01)</f>
        <v>-3585.7516114153555</v>
      </c>
      <c r="CA573" s="5">
        <f>INDEX('Team forecast'!$R$3:$BH$26,MATCH($B573,'Team forecast'!$B$3:$B$26,0),MATCH(CA$1,'Team forecast'!$R$2:$BH$2,0))*($BX573-(BY573+BX573+CH573)*0.01)</f>
        <v>-1763.8816757957004</v>
      </c>
      <c r="CB573" s="5">
        <f>INDEX('Team forecast'!$R$3:$BH$26,MATCH($B573,'Team forecast'!$B$3:$B$26,0),MATCH(CB$1,'Team forecast'!$R$2:$BH$2,0))*($BX573-(BY573+BX573*2+CH573)*0.01)</f>
        <v>-853.10187559155418</v>
      </c>
      <c r="CC573" s="5">
        <f>INDEX('Team forecast'!$R$3:$BH$26,MATCH($B573,'Team forecast'!$B$3:$B$26,0),MATCH(CC$1,'Team forecast'!$R$2:$BH$2,0))*($BX573-(BY573+BX573*3+CH573)*0.01)</f>
        <v>-387.97668215790009</v>
      </c>
      <c r="CD573" s="5">
        <f>+AK573+BD573*Cockpit!$C$3+BW573*Cockpit!$C$3^2+BZ573*Cockpit!$C$3^3+CA573*Cockpit!$C$3^4+CB573*Cockpit!$C$3^5+CC573*Cockpit!$C$3^6</f>
        <v>10940.9792134333</v>
      </c>
      <c r="CE573" s="5"/>
      <c r="CF573" s="5"/>
      <c r="CG573" s="5">
        <v>0</v>
      </c>
      <c r="CH573" s="5">
        <f t="shared" si="340"/>
        <v>2500000</v>
      </c>
      <c r="CI573" s="5">
        <f t="shared" si="341"/>
        <v>2500000</v>
      </c>
      <c r="CJ573" s="1">
        <f t="shared" si="342"/>
        <v>4.7083453704771829E-3</v>
      </c>
      <c r="CK573" s="5">
        <f>RANK(BY573,$BY$2:$BY$623)+COUNTIF($BY$2:$BY573,$BY573)-1</f>
        <v>391</v>
      </c>
      <c r="CL573" s="5">
        <f>RANK(CJ573,$CJ$2:$CJ$623)+COUNTIF($CJ$2:$CJ573,$CJ573)-1</f>
        <v>399</v>
      </c>
    </row>
    <row r="574" spans="1:90">
      <c r="A574" t="str">
        <f>Players!P575</f>
        <v>Endre Botka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0.75096675144877167</v>
      </c>
      <c r="I574" s="16">
        <f>INDEX('Team forecast'!$B$2:$AO$26,MATCH('Master data'!$B574,'Team forecast'!$B$2:$B$26,0),MATCH('Master data'!I$1,'Team forecast'!$B$2:$AO$2,0))</f>
        <v>1.7625676631272518</v>
      </c>
      <c r="J574" s="16">
        <f>INDEX('Team forecast'!$B$2:$AO$26,MATCH('Master data'!$B574,'Team forecast'!$B$2:$B$26,0),MATCH('Master data'!J$1,'Team forecast'!$B$2:$AO$2,0))</f>
        <v>0.1716036772216547</v>
      </c>
      <c r="K574" s="16">
        <f>INDEX('Team forecast'!$B$2:$AO$26,MATCH('Master data'!$B574,'Team forecast'!$B$2:$B$26,0),MATCH('Master data'!K$1,'Team forecast'!$B$2:$AO$2,0))</f>
        <v>2.4652948911197052</v>
      </c>
      <c r="L574" s="16">
        <f>INDEX('Team forecast'!$B$2:$AO$26,MATCH('Master data'!$B574,'Team forecast'!$B$2:$B$26,0),MATCH('Master data'!L$1,'Team forecast'!$B$2:$AO$2,0))</f>
        <v>4.8611455183966212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0</v>
      </c>
      <c r="R574" s="2">
        <f>Players!BR575</f>
        <v>0</v>
      </c>
      <c r="S574" s="2">
        <f t="shared" si="301"/>
        <v>0.75096675144877167</v>
      </c>
      <c r="T574" s="2">
        <f t="shared" si="302"/>
        <v>1.7625676631272518</v>
      </c>
      <c r="U574" s="16">
        <f>INDEX('Team forecast'!$B$2:$AO$26,MATCH('Master data'!$B574,'Team forecast'!$B$2:$B$26,0),MATCH('Master data'!U$1,'Team forecast'!$B$2:$AO$2,0))</f>
        <v>0.1348314606741573</v>
      </c>
      <c r="V574" s="16">
        <f>INDEX('Team forecast'!$B$2:$AO$26,MATCH('Master data'!$B574,'Team forecast'!$B$2:$B$26,0),MATCH('Master data'!V$1,'Team forecast'!$B$2:$AO$2,0))</f>
        <v>0.2359550561797753</v>
      </c>
      <c r="W574" s="16">
        <f>INDEX('Team forecast'!$B$2:$AO$26,MATCH('Master data'!$B574,'Team forecast'!$B$2:$B$26,0),MATCH('Master data'!W$1,'Team forecast'!$B$2:$AO$2,0))</f>
        <v>0.6292134831460674</v>
      </c>
      <c r="X574" s="5">
        <f t="shared" si="303"/>
        <v>-5000</v>
      </c>
      <c r="Y574" s="5">
        <f t="shared" si="304"/>
        <v>0</v>
      </c>
      <c r="Z574" s="5">
        <f t="shared" si="305"/>
        <v>0</v>
      </c>
      <c r="AA574" s="5">
        <f t="shared" si="306"/>
        <v>0</v>
      </c>
      <c r="AB574" s="5">
        <f t="shared" si="307"/>
        <v>0</v>
      </c>
      <c r="AC574" s="5">
        <f t="shared" si="308"/>
        <v>0</v>
      </c>
      <c r="AD574" s="5">
        <f t="shared" si="309"/>
        <v>0</v>
      </c>
      <c r="AE574" s="5">
        <f t="shared" si="310"/>
        <v>8580.1838610827344</v>
      </c>
      <c r="AF574" s="5">
        <f t="shared" si="311"/>
        <v>0</v>
      </c>
      <c r="AG574" s="5">
        <f t="shared" si="312"/>
        <v>0</v>
      </c>
      <c r="AH574" s="5">
        <f t="shared" si="313"/>
        <v>0</v>
      </c>
      <c r="AI574" s="5">
        <f t="shared" si="314"/>
        <v>0</v>
      </c>
      <c r="AJ574" s="5">
        <f t="shared" si="315"/>
        <v>0</v>
      </c>
      <c r="AK574" s="5">
        <f>IFERROR(SUM(X574:AJ574),-5000)*((Cockpit!$C$3)^0)</f>
        <v>3580.1838610827344</v>
      </c>
      <c r="AL574" s="16">
        <f>INDEX('Team forecast'!$B$2:$AO$26,MATCH('Master data'!$B574,'Team forecast'!$B$2:$B$26,0),MATCH('Master data'!AL$1,'Team forecast'!$B$2:$AO$2,0))</f>
        <v>0.80291922538135296</v>
      </c>
      <c r="AM574" s="16">
        <f>INDEX('Team forecast'!$B$2:$AO$26,MATCH('Master data'!$B574,'Team forecast'!$B$2:$B$26,0),MATCH('Master data'!AM$1,'Team forecast'!$B$2:$AO$2,0))</f>
        <v>2.140423422331811</v>
      </c>
      <c r="AN574" s="16">
        <f>INDEX('Team forecast'!$B$2:$AO$26,MATCH('Master data'!$B574,'Team forecast'!$B$2:$B$26,0),MATCH('Master data'!AN$1,'Team forecast'!$B$2:$AO$2,0))</f>
        <v>0.1176050358792704</v>
      </c>
      <c r="AO574" s="16">
        <f>INDEX('Team forecast'!$B$2:$AO$26,MATCH('Master data'!$B574,'Team forecast'!$B$2:$B$26,0),MATCH('Master data'!AO$1,'Team forecast'!$B$2:$AO$2,0))</f>
        <v>2.6358459419084821</v>
      </c>
      <c r="AP574" s="16">
        <f>INDEX('Team forecast'!$B$2:$AO$26,MATCH('Master data'!$B574,'Team forecast'!$B$2:$B$26,0),MATCH('Master data'!AP$1,'Team forecast'!$B$2:$AO$2,0))</f>
        <v>5.9032682515452688</v>
      </c>
      <c r="AQ574" s="5">
        <f t="shared" si="316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317"/>
        <v>0</v>
      </c>
      <c r="AV574" s="5">
        <f t="shared" si="318"/>
        <v>0</v>
      </c>
      <c r="AW574" s="5">
        <f t="shared" si="319"/>
        <v>0</v>
      </c>
      <c r="AX574" s="5">
        <f t="shared" si="320"/>
        <v>5880.25179396352</v>
      </c>
      <c r="AY574" s="5">
        <f t="shared" si="321"/>
        <v>0</v>
      </c>
      <c r="AZ574" s="5">
        <f t="shared" si="322"/>
        <v>0</v>
      </c>
      <c r="BA574" s="5">
        <f t="shared" si="323"/>
        <v>0</v>
      </c>
      <c r="BB574" s="5">
        <f t="shared" si="324"/>
        <v>0</v>
      </c>
      <c r="BC574" s="5">
        <f t="shared" si="325"/>
        <v>0</v>
      </c>
      <c r="BD574" s="5">
        <f t="shared" si="326"/>
        <v>880.25179396351996</v>
      </c>
      <c r="BE574" s="16">
        <f>INDEX('Team forecast'!$B$2:$AO$26,MATCH('Master data'!$B574,'Team forecast'!$B$2:$B$26,0),MATCH('Master data'!BE$1,'Team forecast'!$B$2:$AO$2,0))</f>
        <v>0.68661022841383224</v>
      </c>
      <c r="BF574" s="16">
        <f>INDEX('Team forecast'!$B$2:$AO$26,MATCH('Master data'!$B574,'Team forecast'!$B$2:$B$26,0),MATCH('Master data'!BF$1,'Team forecast'!$B$2:$AO$2,0))</f>
        <v>2.4374022591536644</v>
      </c>
      <c r="BG574" s="16">
        <f>INDEX('Team forecast'!$B$2:$AO$26,MATCH('Master data'!$B574,'Team forecast'!$B$2:$B$26,0),MATCH('Master data'!BG$1,'Team forecast'!$B$2:$AO$2,0))</f>
        <v>8.7387567112784156E-2</v>
      </c>
      <c r="BH574" s="16">
        <f>INDEX('Team forecast'!$B$2:$AO$26,MATCH('Master data'!$B574,'Team forecast'!$B$2:$B$26,0),MATCH('Master data'!BH$1,'Team forecast'!$B$2:$AO$2,0))</f>
        <v>2.2540234771161161</v>
      </c>
      <c r="BI574" s="16">
        <f>INDEX('Team forecast'!$B$2:$AO$26,MATCH('Master data'!$B574,'Team forecast'!$B$2:$B$26,0),MATCH('Master data'!BI$1,'Team forecast'!$B$2:$AO$2,0))</f>
        <v>6.7223331713644443</v>
      </c>
      <c r="BJ574" s="5">
        <f t="shared" si="327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328"/>
        <v>0</v>
      </c>
      <c r="BO574" s="5">
        <f t="shared" si="329"/>
        <v>0</v>
      </c>
      <c r="BP574" s="5">
        <f t="shared" si="330"/>
        <v>0</v>
      </c>
      <c r="BQ574" s="5">
        <f t="shared" si="331"/>
        <v>4369.3783556392082</v>
      </c>
      <c r="BR574" s="5">
        <f t="shared" si="332"/>
        <v>0</v>
      </c>
      <c r="BS574" s="5">
        <f t="shared" si="333"/>
        <v>0</v>
      </c>
      <c r="BT574" s="5">
        <f t="shared" si="334"/>
        <v>0</v>
      </c>
      <c r="BU574" s="5">
        <f t="shared" si="335"/>
        <v>0</v>
      </c>
      <c r="BV574" s="5">
        <f t="shared" si="336"/>
        <v>0</v>
      </c>
      <c r="BW574" s="5">
        <f t="shared" si="337"/>
        <v>-630.62164436079183</v>
      </c>
      <c r="BX574" s="5">
        <f t="shared" si="338"/>
        <v>1276.6046702284875</v>
      </c>
      <c r="BY574" s="5">
        <f t="shared" si="339"/>
        <v>3829.8140106854626</v>
      </c>
      <c r="BZ574" s="5">
        <f>INDEX('Team forecast'!$R$3:$BH$26,MATCH($B574,'Team forecast'!$B$3:$B$26,0),MATCH(BZ$1,'Team forecast'!$R$2:$BH$2,0))*($BX574-(BY574+CH574)*0.01)</f>
        <v>-3174.2235950127051</v>
      </c>
      <c r="CA574" s="5">
        <f>INDEX('Team forecast'!$R$3:$BH$26,MATCH($B574,'Team forecast'!$B$3:$B$26,0),MATCH(CA$1,'Team forecast'!$R$2:$BH$2,0))*($BX574-(BY574+BX574+CH574)*0.01)</f>
        <v>-1559.6204144253552</v>
      </c>
      <c r="CB574" s="5">
        <f>INDEX('Team forecast'!$R$3:$BH$26,MATCH($B574,'Team forecast'!$B$3:$B$26,0),MATCH(CB$1,'Team forecast'!$R$2:$BH$2,0))*($BX574-(BY574+BX574*2+CH574)*0.01)</f>
        <v>-753.43153006552291</v>
      </c>
      <c r="CC574" s="5">
        <f>INDEX('Team forecast'!$R$3:$BH$26,MATCH($B574,'Team forecast'!$B$3:$B$26,0),MATCH(CC$1,'Team forecast'!$R$2:$BH$2,0))*($BX574-(BY574+BX574*3+CH574)*0.01)</f>
        <v>-342.24981912165777</v>
      </c>
      <c r="CD574" s="5">
        <f>+AK574+BD574*Cockpit!$C$3+BW574*Cockpit!$C$3^2+BZ574*Cockpit!$C$3^3+CA574*Cockpit!$C$3^4+CB574*Cockpit!$C$3^5+CC574*Cockpit!$C$3^6</f>
        <v>2508.8942967251241</v>
      </c>
      <c r="CE574" s="5"/>
      <c r="CF574" s="5"/>
      <c r="CG574" s="5">
        <v>0</v>
      </c>
      <c r="CH574" s="5">
        <f t="shared" si="340"/>
        <v>2000000</v>
      </c>
      <c r="CI574" s="5">
        <f t="shared" si="341"/>
        <v>2000000</v>
      </c>
      <c r="CJ574" s="1">
        <f t="shared" si="342"/>
        <v>1.9149070053427312E-3</v>
      </c>
      <c r="CK574" s="5">
        <f>RANK(BY574,$BY$2:$BY$623)+COUNTIF($BY$2:$BY574,$BY574)-1</f>
        <v>408</v>
      </c>
      <c r="CL574" s="5">
        <f>RANK(CJ574,$CJ$2:$CJ$623)+COUNTIF($CJ$2:$CJ574,$CJ574)-1</f>
        <v>408</v>
      </c>
    </row>
    <row r="575" spans="1:90">
      <c r="A575" t="str">
        <f>Players!P576</f>
        <v>Ákos Kecskés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0.75096675144877167</v>
      </c>
      <c r="I575" s="16">
        <f>INDEX('Team forecast'!$B$2:$AO$26,MATCH('Master data'!$B575,'Team forecast'!$B$2:$B$26,0),MATCH('Master data'!I$1,'Team forecast'!$B$2:$AO$2,0))</f>
        <v>1.7625676631272518</v>
      </c>
      <c r="J575" s="16">
        <f>INDEX('Team forecast'!$B$2:$AO$26,MATCH('Master data'!$B575,'Team forecast'!$B$2:$B$26,0),MATCH('Master data'!J$1,'Team forecast'!$B$2:$AO$2,0))</f>
        <v>0.1716036772216547</v>
      </c>
      <c r="K575" s="16">
        <f>INDEX('Team forecast'!$B$2:$AO$26,MATCH('Master data'!$B575,'Team forecast'!$B$2:$B$26,0),MATCH('Master data'!K$1,'Team forecast'!$B$2:$AO$2,0))</f>
        <v>2.4652948911197052</v>
      </c>
      <c r="L575" s="16">
        <f>INDEX('Team forecast'!$B$2:$AO$26,MATCH('Master data'!$B575,'Team forecast'!$B$2:$B$26,0),MATCH('Master data'!L$1,'Team forecast'!$B$2:$AO$2,0))</f>
        <v>4.8611455183966212</v>
      </c>
      <c r="M575">
        <f>IF(Players!BC576=1,95,0)</f>
        <v>95</v>
      </c>
      <c r="N575" s="2">
        <f>Players!BN576</f>
        <v>2.8075735335912923E-2</v>
      </c>
      <c r="O575" s="2">
        <f>Players!BO576</f>
        <v>5.4370040193358067E-2</v>
      </c>
      <c r="P575" s="2">
        <f>Players!BP576</f>
        <v>1.978676502302542E-2</v>
      </c>
      <c r="Q575" s="2">
        <f>Players!BQ576</f>
        <v>6.32688927943761E-2</v>
      </c>
      <c r="R575" s="2">
        <f>Players!BR576</f>
        <v>0</v>
      </c>
      <c r="S575" s="2">
        <f t="shared" si="301"/>
        <v>0.75096675144877167</v>
      </c>
      <c r="T575" s="2">
        <f t="shared" si="302"/>
        <v>1.7625676631272518</v>
      </c>
      <c r="U575" s="16">
        <f>INDEX('Team forecast'!$B$2:$AO$26,MATCH('Master data'!$B575,'Team forecast'!$B$2:$B$26,0),MATCH('Master data'!U$1,'Team forecast'!$B$2:$AO$2,0))</f>
        <v>0.1348314606741573</v>
      </c>
      <c r="V575" s="16">
        <f>INDEX('Team forecast'!$B$2:$AO$26,MATCH('Master data'!$B575,'Team forecast'!$B$2:$B$26,0),MATCH('Master data'!V$1,'Team forecast'!$B$2:$AO$2,0))</f>
        <v>0.2359550561797753</v>
      </c>
      <c r="W575" s="16">
        <f>INDEX('Team forecast'!$B$2:$AO$26,MATCH('Master data'!$B575,'Team forecast'!$B$2:$B$26,0),MATCH('Master data'!W$1,'Team forecast'!$B$2:$AO$2,0))</f>
        <v>0.6292134831460674</v>
      </c>
      <c r="X575" s="5">
        <f t="shared" si="303"/>
        <v>7000</v>
      </c>
      <c r="Y575" s="5">
        <f t="shared" si="304"/>
        <v>3370.7865168539324</v>
      </c>
      <c r="Z575" s="5">
        <f t="shared" si="305"/>
        <v>1179.7752808988764</v>
      </c>
      <c r="AA575" s="5">
        <f t="shared" si="306"/>
        <v>-9438.2022471910113</v>
      </c>
      <c r="AB575" s="5">
        <f t="shared" si="307"/>
        <v>3162.5915639619025</v>
      </c>
      <c r="AC575" s="5">
        <f t="shared" si="308"/>
        <v>2041.5046230072626</v>
      </c>
      <c r="AD575" s="5">
        <f t="shared" si="309"/>
        <v>487.80210723050646</v>
      </c>
      <c r="AE575" s="5">
        <f t="shared" si="310"/>
        <v>8580.1838610827344</v>
      </c>
      <c r="AF575" s="5">
        <f t="shared" si="311"/>
        <v>0</v>
      </c>
      <c r="AG575" s="5">
        <f t="shared" si="312"/>
        <v>-1265.3778558875219</v>
      </c>
      <c r="AH575" s="5">
        <f t="shared" si="313"/>
        <v>0</v>
      </c>
      <c r="AI575" s="5">
        <f t="shared" si="314"/>
        <v>7509.6675144877172</v>
      </c>
      <c r="AJ575" s="5">
        <f t="shared" si="315"/>
        <v>-14100.541305018014</v>
      </c>
      <c r="AK575" s="5">
        <f>IFERROR(SUM(X575:AJ575),-5000)*((Cockpit!$C$3)^0)</f>
        <v>8528.1900594263861</v>
      </c>
      <c r="AL575" s="16">
        <f>INDEX('Team forecast'!$B$2:$AO$26,MATCH('Master data'!$B575,'Team forecast'!$B$2:$B$26,0),MATCH('Master data'!AL$1,'Team forecast'!$B$2:$AO$2,0))</f>
        <v>0.80291922538135296</v>
      </c>
      <c r="AM575" s="16">
        <f>INDEX('Team forecast'!$B$2:$AO$26,MATCH('Master data'!$B575,'Team forecast'!$B$2:$B$26,0),MATCH('Master data'!AM$1,'Team forecast'!$B$2:$AO$2,0))</f>
        <v>2.140423422331811</v>
      </c>
      <c r="AN575" s="16">
        <f>INDEX('Team forecast'!$B$2:$AO$26,MATCH('Master data'!$B575,'Team forecast'!$B$2:$B$26,0),MATCH('Master data'!AN$1,'Team forecast'!$B$2:$AO$2,0))</f>
        <v>0.1176050358792704</v>
      </c>
      <c r="AO575" s="16">
        <f>INDEX('Team forecast'!$B$2:$AO$26,MATCH('Master data'!$B575,'Team forecast'!$B$2:$B$26,0),MATCH('Master data'!AO$1,'Team forecast'!$B$2:$AO$2,0))</f>
        <v>2.6358459419084821</v>
      </c>
      <c r="AP575" s="16">
        <f>INDEX('Team forecast'!$B$2:$AO$26,MATCH('Master data'!$B575,'Team forecast'!$B$2:$B$26,0),MATCH('Master data'!AP$1,'Team forecast'!$B$2:$AO$2,0))</f>
        <v>5.9032682515452688</v>
      </c>
      <c r="AQ575" s="5">
        <f t="shared" si="316"/>
        <v>7000</v>
      </c>
      <c r="AR575" s="5">
        <f>INDEX('Team forecast'!$B$2:$AO$26,MATCH('Master data'!$B575,'Team forecast'!$B$2:$B$26,0),MATCH('Master data'!AR$1,'Team forecast'!$B$2:$AO$2,0))*IF(X575&gt;0,25000,0)</f>
        <v>2767.1773148063626</v>
      </c>
      <c r="AS575" s="16">
        <f>INDEX('Team forecast'!$B$2:$AO$26,MATCH('Master data'!$B575,'Team forecast'!$B$2:$B$26,0),MATCH('Master data'!AS$1,'Team forecast'!$B$2:$AO$2,0))*IF(X575&gt;0,5000,0)</f>
        <v>1086.42065477386</v>
      </c>
      <c r="AT575" s="16">
        <f>INDEX('Team forecast'!$B$2:$AO$26,MATCH('Master data'!$B575,'Team forecast'!$B$2:$B$26,0),MATCH('Master data'!AT$1,'Team forecast'!$B$2:$AO$2,0))*IF(X575&gt;0,-15000,0)</f>
        <v>-10080.431646794603</v>
      </c>
      <c r="AU575" s="5">
        <f t="shared" si="317"/>
        <v>3381.3821501884627</v>
      </c>
      <c r="AV575" s="5">
        <f t="shared" si="318"/>
        <v>2182.7375278002041</v>
      </c>
      <c r="AW575" s="5">
        <f t="shared" si="319"/>
        <v>521.54864289438251</v>
      </c>
      <c r="AX575" s="5">
        <f t="shared" si="320"/>
        <v>5880.25179396352</v>
      </c>
      <c r="AY575" s="5">
        <f t="shared" si="321"/>
        <v>0</v>
      </c>
      <c r="AZ575" s="5">
        <f t="shared" si="322"/>
        <v>-1265.3778558875219</v>
      </c>
      <c r="BA575" s="5">
        <f t="shared" si="323"/>
        <v>0</v>
      </c>
      <c r="BB575" s="5">
        <f t="shared" si="324"/>
        <v>8029.1922538135295</v>
      </c>
      <c r="BC575" s="5">
        <f t="shared" si="325"/>
        <v>-17123.38737865449</v>
      </c>
      <c r="BD575" s="5">
        <f t="shared" si="326"/>
        <v>2379.5134569037073</v>
      </c>
      <c r="BE575" s="16">
        <f>INDEX('Team forecast'!$B$2:$AO$26,MATCH('Master data'!$B575,'Team forecast'!$B$2:$B$26,0),MATCH('Master data'!BE$1,'Team forecast'!$B$2:$AO$2,0))</f>
        <v>0.68661022841383224</v>
      </c>
      <c r="BF575" s="16">
        <f>INDEX('Team forecast'!$B$2:$AO$26,MATCH('Master data'!$B575,'Team forecast'!$B$2:$B$26,0),MATCH('Master data'!BF$1,'Team forecast'!$B$2:$AO$2,0))</f>
        <v>2.4374022591536644</v>
      </c>
      <c r="BG575" s="16">
        <f>INDEX('Team forecast'!$B$2:$AO$26,MATCH('Master data'!$B575,'Team forecast'!$B$2:$B$26,0),MATCH('Master data'!BG$1,'Team forecast'!$B$2:$AO$2,0))</f>
        <v>8.7387567112784156E-2</v>
      </c>
      <c r="BH575" s="16">
        <f>INDEX('Team forecast'!$B$2:$AO$26,MATCH('Master data'!$B575,'Team forecast'!$B$2:$B$26,0),MATCH('Master data'!BH$1,'Team forecast'!$B$2:$AO$2,0))</f>
        <v>2.2540234771161161</v>
      </c>
      <c r="BI575" s="16">
        <f>INDEX('Team forecast'!$B$2:$AO$26,MATCH('Master data'!$B575,'Team forecast'!$B$2:$B$26,0),MATCH('Master data'!BI$1,'Team forecast'!$B$2:$AO$2,0))</f>
        <v>6.7223331713644443</v>
      </c>
      <c r="BJ575" s="5">
        <f t="shared" si="327"/>
        <v>7000</v>
      </c>
      <c r="BK575" s="5">
        <f>INDEX('Team forecast'!$R$3:$BH$26,MATCH($B575,'Team forecast'!$B$3:$B$26,0),MATCH(BK$1,'Team forecast'!$R$2:$BH$2,0))*IF($X575&gt;0,25000,0)</f>
        <v>1922.5264764812514</v>
      </c>
      <c r="BL575" s="5">
        <f>INDEX('Team forecast'!$R$3:$BH$26,MATCH($B575,'Team forecast'!$B$3:$B$26,0),MATCH(BL$1,'Team forecast'!$R$2:$BH$2,0))*IF($X575&gt;0,5000,0)</f>
        <v>739.43326018509651</v>
      </c>
      <c r="BM575" s="5">
        <f>INDEX('Team forecast'!$R$3:$BH$26,MATCH($B575,'Team forecast'!$B$3:$B$26,0),MATCH(BM$1,'Team forecast'!$R$2:$BH$2,0))*IF($X575&gt;0,-15000,0)</f>
        <v>-11628.184333555957</v>
      </c>
      <c r="BN575" s="5">
        <f t="shared" si="328"/>
        <v>2891.563057781621</v>
      </c>
      <c r="BO575" s="5">
        <f t="shared" si="329"/>
        <v>1866.5512858015409</v>
      </c>
      <c r="BP575" s="5">
        <f t="shared" si="330"/>
        <v>445.99832898079302</v>
      </c>
      <c r="BQ575" s="5">
        <f t="shared" si="331"/>
        <v>4369.3783556392082</v>
      </c>
      <c r="BR575" s="5">
        <f t="shared" si="332"/>
        <v>0</v>
      </c>
      <c r="BS575" s="5">
        <f t="shared" si="333"/>
        <v>-1265.3778558875219</v>
      </c>
      <c r="BT575" s="5">
        <f t="shared" si="334"/>
        <v>0</v>
      </c>
      <c r="BU575" s="5">
        <f t="shared" si="335"/>
        <v>6866.1022841383219</v>
      </c>
      <c r="BV575" s="5">
        <f t="shared" si="336"/>
        <v>-19499.218073229316</v>
      </c>
      <c r="BW575" s="5">
        <f t="shared" si="337"/>
        <v>-6291.2272136649626</v>
      </c>
      <c r="BX575" s="5">
        <f t="shared" si="338"/>
        <v>1538.8254342217103</v>
      </c>
      <c r="BY575" s="5">
        <f t="shared" si="339"/>
        <v>4616.4763026651308</v>
      </c>
      <c r="BZ575" s="5">
        <f>INDEX('Team forecast'!$R$3:$BH$26,MATCH($B575,'Team forecast'!$B$3:$B$26,0),MATCH(BZ$1,'Team forecast'!$R$2:$BH$2,0))*($BX575-(BY575+CH575)*0.01)</f>
        <v>-3131.1903305912019</v>
      </c>
      <c r="CA575" s="5">
        <f>INDEX('Team forecast'!$R$3:$BH$26,MATCH($B575,'Team forecast'!$B$3:$B$26,0),MATCH(CA$1,'Team forecast'!$R$2:$BH$2,0))*($BX575-(BY575+BX575+CH575)*0.01)</f>
        <v>-1538.708693265078</v>
      </c>
      <c r="CB575" s="5">
        <f>INDEX('Team forecast'!$R$3:$BH$26,MATCH($B575,'Team forecast'!$B$3:$B$26,0),MATCH(CB$1,'Team forecast'!$R$2:$BH$2,0))*($BX575-(BY575+BX575*2+CH575)*0.01)</f>
        <v>-743.44138430256078</v>
      </c>
      <c r="CC575" s="5">
        <f>INDEX('Team forecast'!$R$3:$BH$26,MATCH($B575,'Team forecast'!$B$3:$B$26,0),MATCH(CC$1,'Team forecast'!$R$2:$BH$2,0))*($BX575-(BY575+BX575*3+CH575)*0.01)</f>
        <v>-337.76256666676733</v>
      </c>
      <c r="CD575" s="5">
        <f>+AK575+BD575*Cockpit!$C$3+BW575*Cockpit!$C$3^2+BZ575*Cockpit!$C$3^3+CA575*Cockpit!$C$3^4+CB575*Cockpit!$C$3^5+CC575*Cockpit!$C$3^6</f>
        <v>5959.174397465019</v>
      </c>
      <c r="CE575" s="5"/>
      <c r="CF575" s="5"/>
      <c r="CG575" s="5">
        <v>0</v>
      </c>
      <c r="CH575" s="5">
        <f t="shared" si="340"/>
        <v>2000000</v>
      </c>
      <c r="CI575" s="5">
        <f t="shared" si="341"/>
        <v>2000000</v>
      </c>
      <c r="CJ575" s="1">
        <f t="shared" si="342"/>
        <v>2.3082381513325652E-3</v>
      </c>
      <c r="CK575" s="5">
        <f>RANK(BY575,$BY$2:$BY$623)+COUNTIF($BY$2:$BY575,$BY575)-1</f>
        <v>406</v>
      </c>
      <c r="CL575" s="5">
        <f>RANK(CJ575,$CJ$2:$CJ$623)+COUNTIF($CJ$2:$CJ575,$CJ575)-1</f>
        <v>406</v>
      </c>
    </row>
    <row r="576" spans="1:90">
      <c r="A576" t="str">
        <f>Players!P577</f>
        <v>Ádám Lang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2000000</v>
      </c>
      <c r="H576" s="16">
        <f>INDEX('Team forecast'!$B$2:$AO$26,MATCH('Master data'!$B576,'Team forecast'!$B$2:$B$26,0),MATCH('Master data'!H$1,'Team forecast'!$B$2:$AO$2,0))</f>
        <v>0.75096675144877167</v>
      </c>
      <c r="I576" s="16">
        <f>INDEX('Team forecast'!$B$2:$AO$26,MATCH('Master data'!$B576,'Team forecast'!$B$2:$B$26,0),MATCH('Master data'!I$1,'Team forecast'!$B$2:$AO$2,0))</f>
        <v>1.7625676631272518</v>
      </c>
      <c r="J576" s="16">
        <f>INDEX('Team forecast'!$B$2:$AO$26,MATCH('Master data'!$B576,'Team forecast'!$B$2:$B$26,0),MATCH('Master data'!J$1,'Team forecast'!$B$2:$AO$2,0))</f>
        <v>0.1716036772216547</v>
      </c>
      <c r="K576" s="16">
        <f>INDEX('Team forecast'!$B$2:$AO$26,MATCH('Master data'!$B576,'Team forecast'!$B$2:$B$26,0),MATCH('Master data'!K$1,'Team forecast'!$B$2:$AO$2,0))</f>
        <v>2.4652948911197052</v>
      </c>
      <c r="L576" s="16">
        <f>INDEX('Team forecast'!$B$2:$AO$26,MATCH('Master data'!$B576,'Team forecast'!$B$2:$B$26,0),MATCH('Master data'!L$1,'Team forecast'!$B$2:$AO$2,0))</f>
        <v>4.8611455183966212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0.21326889279437611</v>
      </c>
      <c r="R576" s="2">
        <f>Players!BR577</f>
        <v>0</v>
      </c>
      <c r="S576" s="2">
        <f t="shared" si="301"/>
        <v>0.75096675144877167</v>
      </c>
      <c r="T576" s="2">
        <f t="shared" si="302"/>
        <v>1.7625676631272518</v>
      </c>
      <c r="U576" s="16">
        <f>INDEX('Team forecast'!$B$2:$AO$26,MATCH('Master data'!$B576,'Team forecast'!$B$2:$B$26,0),MATCH('Master data'!U$1,'Team forecast'!$B$2:$AO$2,0))</f>
        <v>0.1348314606741573</v>
      </c>
      <c r="V576" s="16">
        <f>INDEX('Team forecast'!$B$2:$AO$26,MATCH('Master data'!$B576,'Team forecast'!$B$2:$B$26,0),MATCH('Master data'!V$1,'Team forecast'!$B$2:$AO$2,0))</f>
        <v>0.2359550561797753</v>
      </c>
      <c r="W576" s="16">
        <f>INDEX('Team forecast'!$B$2:$AO$26,MATCH('Master data'!$B576,'Team forecast'!$B$2:$B$26,0),MATCH('Master data'!W$1,'Team forecast'!$B$2:$AO$2,0))</f>
        <v>0.6292134831460674</v>
      </c>
      <c r="X576" s="5">
        <f t="shared" si="303"/>
        <v>-5000</v>
      </c>
      <c r="Y576" s="5">
        <f t="shared" si="304"/>
        <v>0</v>
      </c>
      <c r="Z576" s="5">
        <f t="shared" si="305"/>
        <v>0</v>
      </c>
      <c r="AA576" s="5">
        <f t="shared" si="306"/>
        <v>0</v>
      </c>
      <c r="AB576" s="5">
        <f t="shared" si="307"/>
        <v>0</v>
      </c>
      <c r="AC576" s="5">
        <f t="shared" si="308"/>
        <v>0</v>
      </c>
      <c r="AD576" s="5">
        <f t="shared" si="309"/>
        <v>0</v>
      </c>
      <c r="AE576" s="5">
        <f t="shared" si="310"/>
        <v>8580.1838610827344</v>
      </c>
      <c r="AF576" s="5">
        <f t="shared" si="311"/>
        <v>0</v>
      </c>
      <c r="AG576" s="5">
        <f t="shared" si="312"/>
        <v>0</v>
      </c>
      <c r="AH576" s="5">
        <f t="shared" si="313"/>
        <v>0</v>
      </c>
      <c r="AI576" s="5">
        <f t="shared" si="314"/>
        <v>0</v>
      </c>
      <c r="AJ576" s="5">
        <f t="shared" si="315"/>
        <v>0</v>
      </c>
      <c r="AK576" s="5">
        <f>IFERROR(SUM(X576:AJ576),-5000)*((Cockpit!$C$3)^0)</f>
        <v>3580.1838610827344</v>
      </c>
      <c r="AL576" s="16">
        <f>INDEX('Team forecast'!$B$2:$AO$26,MATCH('Master data'!$B576,'Team forecast'!$B$2:$B$26,0),MATCH('Master data'!AL$1,'Team forecast'!$B$2:$AO$2,0))</f>
        <v>0.80291922538135296</v>
      </c>
      <c r="AM576" s="16">
        <f>INDEX('Team forecast'!$B$2:$AO$26,MATCH('Master data'!$B576,'Team forecast'!$B$2:$B$26,0),MATCH('Master data'!AM$1,'Team forecast'!$B$2:$AO$2,0))</f>
        <v>2.140423422331811</v>
      </c>
      <c r="AN576" s="16">
        <f>INDEX('Team forecast'!$B$2:$AO$26,MATCH('Master data'!$B576,'Team forecast'!$B$2:$B$26,0),MATCH('Master data'!AN$1,'Team forecast'!$B$2:$AO$2,0))</f>
        <v>0.1176050358792704</v>
      </c>
      <c r="AO576" s="16">
        <f>INDEX('Team forecast'!$B$2:$AO$26,MATCH('Master data'!$B576,'Team forecast'!$B$2:$B$26,0),MATCH('Master data'!AO$1,'Team forecast'!$B$2:$AO$2,0))</f>
        <v>2.6358459419084821</v>
      </c>
      <c r="AP576" s="16">
        <f>INDEX('Team forecast'!$B$2:$AO$26,MATCH('Master data'!$B576,'Team forecast'!$B$2:$B$26,0),MATCH('Master data'!AP$1,'Team forecast'!$B$2:$AO$2,0))</f>
        <v>5.9032682515452688</v>
      </c>
      <c r="AQ576" s="5">
        <f t="shared" si="316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317"/>
        <v>0</v>
      </c>
      <c r="AV576" s="5">
        <f t="shared" si="318"/>
        <v>0</v>
      </c>
      <c r="AW576" s="5">
        <f t="shared" si="319"/>
        <v>0</v>
      </c>
      <c r="AX576" s="5">
        <f t="shared" si="320"/>
        <v>5880.25179396352</v>
      </c>
      <c r="AY576" s="5">
        <f t="shared" si="321"/>
        <v>0</v>
      </c>
      <c r="AZ576" s="5">
        <f t="shared" si="322"/>
        <v>0</v>
      </c>
      <c r="BA576" s="5">
        <f t="shared" si="323"/>
        <v>0</v>
      </c>
      <c r="BB576" s="5">
        <f t="shared" si="324"/>
        <v>0</v>
      </c>
      <c r="BC576" s="5">
        <f t="shared" si="325"/>
        <v>0</v>
      </c>
      <c r="BD576" s="5">
        <f t="shared" si="326"/>
        <v>880.25179396351996</v>
      </c>
      <c r="BE576" s="16">
        <f>INDEX('Team forecast'!$B$2:$AO$26,MATCH('Master data'!$B576,'Team forecast'!$B$2:$B$26,0),MATCH('Master data'!BE$1,'Team forecast'!$B$2:$AO$2,0))</f>
        <v>0.68661022841383224</v>
      </c>
      <c r="BF576" s="16">
        <f>INDEX('Team forecast'!$B$2:$AO$26,MATCH('Master data'!$B576,'Team forecast'!$B$2:$B$26,0),MATCH('Master data'!BF$1,'Team forecast'!$B$2:$AO$2,0))</f>
        <v>2.4374022591536644</v>
      </c>
      <c r="BG576" s="16">
        <f>INDEX('Team forecast'!$B$2:$AO$26,MATCH('Master data'!$B576,'Team forecast'!$B$2:$B$26,0),MATCH('Master data'!BG$1,'Team forecast'!$B$2:$AO$2,0))</f>
        <v>8.7387567112784156E-2</v>
      </c>
      <c r="BH576" s="16">
        <f>INDEX('Team forecast'!$B$2:$AO$26,MATCH('Master data'!$B576,'Team forecast'!$B$2:$B$26,0),MATCH('Master data'!BH$1,'Team forecast'!$B$2:$AO$2,0))</f>
        <v>2.2540234771161161</v>
      </c>
      <c r="BI576" s="16">
        <f>INDEX('Team forecast'!$B$2:$AO$26,MATCH('Master data'!$B576,'Team forecast'!$B$2:$B$26,0),MATCH('Master data'!BI$1,'Team forecast'!$B$2:$AO$2,0))</f>
        <v>6.7223331713644443</v>
      </c>
      <c r="BJ576" s="5">
        <f t="shared" si="327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328"/>
        <v>0</v>
      </c>
      <c r="BO576" s="5">
        <f t="shared" si="329"/>
        <v>0</v>
      </c>
      <c r="BP576" s="5">
        <f t="shared" si="330"/>
        <v>0</v>
      </c>
      <c r="BQ576" s="5">
        <f t="shared" si="331"/>
        <v>4369.3783556392082</v>
      </c>
      <c r="BR576" s="5">
        <f t="shared" si="332"/>
        <v>0</v>
      </c>
      <c r="BS576" s="5">
        <f t="shared" si="333"/>
        <v>0</v>
      </c>
      <c r="BT576" s="5">
        <f t="shared" si="334"/>
        <v>0</v>
      </c>
      <c r="BU576" s="5">
        <f t="shared" si="335"/>
        <v>0</v>
      </c>
      <c r="BV576" s="5">
        <f t="shared" si="336"/>
        <v>0</v>
      </c>
      <c r="BW576" s="5">
        <f t="shared" si="337"/>
        <v>-630.62164436079183</v>
      </c>
      <c r="BX576" s="5">
        <f t="shared" si="338"/>
        <v>1276.6046702284875</v>
      </c>
      <c r="BY576" s="5">
        <f t="shared" si="339"/>
        <v>3829.8140106854626</v>
      </c>
      <c r="BZ576" s="5">
        <f>INDEX('Team forecast'!$R$3:$BH$26,MATCH($B576,'Team forecast'!$B$3:$B$26,0),MATCH(BZ$1,'Team forecast'!$R$2:$BH$2,0))*($BX576-(BY576+CH576)*0.01)</f>
        <v>-3174.2235950127051</v>
      </c>
      <c r="CA576" s="5">
        <f>INDEX('Team forecast'!$R$3:$BH$26,MATCH($B576,'Team forecast'!$B$3:$B$26,0),MATCH(CA$1,'Team forecast'!$R$2:$BH$2,0))*($BX576-(BY576+BX576+CH576)*0.01)</f>
        <v>-1559.6204144253552</v>
      </c>
      <c r="CB576" s="5">
        <f>INDEX('Team forecast'!$R$3:$BH$26,MATCH($B576,'Team forecast'!$B$3:$B$26,0),MATCH(CB$1,'Team forecast'!$R$2:$BH$2,0))*($BX576-(BY576+BX576*2+CH576)*0.01)</f>
        <v>-753.43153006552291</v>
      </c>
      <c r="CC576" s="5">
        <f>INDEX('Team forecast'!$R$3:$BH$26,MATCH($B576,'Team forecast'!$B$3:$B$26,0),MATCH(CC$1,'Team forecast'!$R$2:$BH$2,0))*($BX576-(BY576+BX576*3+CH576)*0.01)</f>
        <v>-342.24981912165777</v>
      </c>
      <c r="CD576" s="5">
        <f>+AK576+BD576*Cockpit!$C$3+BW576*Cockpit!$C$3^2+BZ576*Cockpit!$C$3^3+CA576*Cockpit!$C$3^4+CB576*Cockpit!$C$3^5+CC576*Cockpit!$C$3^6</f>
        <v>2508.8942967251241</v>
      </c>
      <c r="CE576" s="5"/>
      <c r="CF576" s="5"/>
      <c r="CG576" s="5">
        <v>0</v>
      </c>
      <c r="CH576" s="5">
        <f t="shared" si="340"/>
        <v>2000000</v>
      </c>
      <c r="CI576" s="5">
        <f t="shared" si="341"/>
        <v>2000000</v>
      </c>
      <c r="CJ576" s="1">
        <f t="shared" si="342"/>
        <v>1.9149070053427312E-3</v>
      </c>
      <c r="CK576" s="5">
        <f>RANK(BY576,$BY$2:$BY$623)+COUNTIF($BY$2:$BY576,$BY576)-1</f>
        <v>409</v>
      </c>
      <c r="CL576" s="5">
        <f>RANK(CJ576,$CJ$2:$CJ$623)+COUNTIF($CJ$2:$CJ576,$CJ576)-1</f>
        <v>409</v>
      </c>
    </row>
    <row r="577" spans="1:90">
      <c r="A577" t="str">
        <f>Players!P578</f>
        <v>Attila Fiola</v>
      </c>
      <c r="B577" t="str">
        <f>Players!G578</f>
        <v>Hungary</v>
      </c>
      <c r="C577" t="str">
        <f>Players!AB578</f>
        <v>Defense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0.75096675144877167</v>
      </c>
      <c r="I577" s="16">
        <f>INDEX('Team forecast'!$B$2:$AO$26,MATCH('Master data'!$B577,'Team forecast'!$B$2:$B$26,0),MATCH('Master data'!I$1,'Team forecast'!$B$2:$AO$2,0))</f>
        <v>1.7625676631272518</v>
      </c>
      <c r="J577" s="16">
        <f>INDEX('Team forecast'!$B$2:$AO$26,MATCH('Master data'!$B577,'Team forecast'!$B$2:$B$26,0),MATCH('Master data'!J$1,'Team forecast'!$B$2:$AO$2,0))</f>
        <v>0.1716036772216547</v>
      </c>
      <c r="K577" s="16">
        <f>INDEX('Team forecast'!$B$2:$AO$26,MATCH('Master data'!$B577,'Team forecast'!$B$2:$B$26,0),MATCH('Master data'!K$1,'Team forecast'!$B$2:$AO$2,0))</f>
        <v>2.4652948911197052</v>
      </c>
      <c r="L577" s="16">
        <f>INDEX('Team forecast'!$B$2:$AO$26,MATCH('Master data'!$B577,'Team forecast'!$B$2:$B$26,0),MATCH('Master data'!L$1,'Team forecast'!$B$2:$AO$2,0))</f>
        <v>4.8611455183966212</v>
      </c>
      <c r="M577">
        <f>IF(Players!BC578=1,95,0)</f>
        <v>95</v>
      </c>
      <c r="N577" s="2">
        <f>Players!BN578</f>
        <v>0.14593489416733149</v>
      </c>
      <c r="O577" s="2">
        <f>Players!BO578</f>
        <v>0.20435919565028757</v>
      </c>
      <c r="P577" s="2">
        <f>Players!BP578</f>
        <v>0.17072544922350458</v>
      </c>
      <c r="Q577" s="2">
        <f>Players!BQ578</f>
        <v>4.3478260869565216E-2</v>
      </c>
      <c r="R577" s="2">
        <f>Players!BR578</f>
        <v>0</v>
      </c>
      <c r="S577" s="2">
        <f t="shared" si="301"/>
        <v>0.75096675144877167</v>
      </c>
      <c r="T577" s="2">
        <f t="shared" si="302"/>
        <v>1.7625676631272518</v>
      </c>
      <c r="U577" s="16">
        <f>INDEX('Team forecast'!$B$2:$AO$26,MATCH('Master data'!$B577,'Team forecast'!$B$2:$B$26,0),MATCH('Master data'!U$1,'Team forecast'!$B$2:$AO$2,0))</f>
        <v>0.1348314606741573</v>
      </c>
      <c r="V577" s="16">
        <f>INDEX('Team forecast'!$B$2:$AO$26,MATCH('Master data'!$B577,'Team forecast'!$B$2:$B$26,0),MATCH('Master data'!V$1,'Team forecast'!$B$2:$AO$2,0))</f>
        <v>0.2359550561797753</v>
      </c>
      <c r="W577" s="16">
        <f>INDEX('Team forecast'!$B$2:$AO$26,MATCH('Master data'!$B577,'Team forecast'!$B$2:$B$26,0),MATCH('Master data'!W$1,'Team forecast'!$B$2:$AO$2,0))</f>
        <v>0.6292134831460674</v>
      </c>
      <c r="X577" s="5">
        <f t="shared" si="303"/>
        <v>7000</v>
      </c>
      <c r="Y577" s="5">
        <f t="shared" si="304"/>
        <v>3370.7865168539324</v>
      </c>
      <c r="Z577" s="5">
        <f t="shared" si="305"/>
        <v>1179.7752808988764</v>
      </c>
      <c r="AA577" s="5">
        <f t="shared" si="306"/>
        <v>-9438.2022471910113</v>
      </c>
      <c r="AB577" s="5">
        <f t="shared" si="307"/>
        <v>16438.838009379182</v>
      </c>
      <c r="AC577" s="5">
        <f t="shared" si="308"/>
        <v>7673.3480643090206</v>
      </c>
      <c r="AD577" s="5">
        <f t="shared" si="309"/>
        <v>4208.8857775482247</v>
      </c>
      <c r="AE577" s="5">
        <f t="shared" si="310"/>
        <v>8580.1838610827344</v>
      </c>
      <c r="AF577" s="5">
        <f t="shared" si="311"/>
        <v>0</v>
      </c>
      <c r="AG577" s="5">
        <f t="shared" si="312"/>
        <v>-869.56521739130437</v>
      </c>
      <c r="AH577" s="5">
        <f t="shared" si="313"/>
        <v>0</v>
      </c>
      <c r="AI577" s="5">
        <f t="shared" si="314"/>
        <v>7509.6675144877172</v>
      </c>
      <c r="AJ577" s="5">
        <f t="shared" si="315"/>
        <v>-14100.541305018014</v>
      </c>
      <c r="AK577" s="5">
        <f>IFERROR(SUM(X577:AJ577),-5000)*((Cockpit!$C$3)^0)</f>
        <v>31553.176254959355</v>
      </c>
      <c r="AL577" s="16">
        <f>INDEX('Team forecast'!$B$2:$AO$26,MATCH('Master data'!$B577,'Team forecast'!$B$2:$B$26,0),MATCH('Master data'!AL$1,'Team forecast'!$B$2:$AO$2,0))</f>
        <v>0.80291922538135296</v>
      </c>
      <c r="AM577" s="16">
        <f>INDEX('Team forecast'!$B$2:$AO$26,MATCH('Master data'!$B577,'Team forecast'!$B$2:$B$26,0),MATCH('Master data'!AM$1,'Team forecast'!$B$2:$AO$2,0))</f>
        <v>2.140423422331811</v>
      </c>
      <c r="AN577" s="16">
        <f>INDEX('Team forecast'!$B$2:$AO$26,MATCH('Master data'!$B577,'Team forecast'!$B$2:$B$26,0),MATCH('Master data'!AN$1,'Team forecast'!$B$2:$AO$2,0))</f>
        <v>0.1176050358792704</v>
      </c>
      <c r="AO577" s="16">
        <f>INDEX('Team forecast'!$B$2:$AO$26,MATCH('Master data'!$B577,'Team forecast'!$B$2:$B$26,0),MATCH('Master data'!AO$1,'Team forecast'!$B$2:$AO$2,0))</f>
        <v>2.6358459419084821</v>
      </c>
      <c r="AP577" s="16">
        <f>INDEX('Team forecast'!$B$2:$AO$26,MATCH('Master data'!$B577,'Team forecast'!$B$2:$B$26,0),MATCH('Master data'!AP$1,'Team forecast'!$B$2:$AO$2,0))</f>
        <v>5.9032682515452688</v>
      </c>
      <c r="AQ577" s="5">
        <f t="shared" si="316"/>
        <v>7000</v>
      </c>
      <c r="AR577" s="5">
        <f>INDEX('Team forecast'!$B$2:$AO$26,MATCH('Master data'!$B577,'Team forecast'!$B$2:$B$26,0),MATCH('Master data'!AR$1,'Team forecast'!$B$2:$AO$2,0))*IF(X577&gt;0,25000,0)</f>
        <v>2767.1773148063626</v>
      </c>
      <c r="AS577" s="16">
        <f>INDEX('Team forecast'!$B$2:$AO$26,MATCH('Master data'!$B577,'Team forecast'!$B$2:$B$26,0),MATCH('Master data'!AS$1,'Team forecast'!$B$2:$AO$2,0))*IF(X577&gt;0,5000,0)</f>
        <v>1086.42065477386</v>
      </c>
      <c r="AT577" s="16">
        <f>INDEX('Team forecast'!$B$2:$AO$26,MATCH('Master data'!$B577,'Team forecast'!$B$2:$B$26,0),MATCH('Master data'!AT$1,'Team forecast'!$B$2:$AO$2,0))*IF(X577&gt;0,-15000,0)</f>
        <v>-10080.431646794603</v>
      </c>
      <c r="AU577" s="5">
        <f t="shared" si="317"/>
        <v>17576.089827141528</v>
      </c>
      <c r="AV577" s="5">
        <f t="shared" si="318"/>
        <v>8204.1963535542636</v>
      </c>
      <c r="AW577" s="5">
        <f t="shared" si="319"/>
        <v>4500.0598251627716</v>
      </c>
      <c r="AX577" s="5">
        <f t="shared" si="320"/>
        <v>5880.25179396352</v>
      </c>
      <c r="AY577" s="5">
        <f t="shared" si="321"/>
        <v>0</v>
      </c>
      <c r="AZ577" s="5">
        <f t="shared" si="322"/>
        <v>-869.56521739130437</v>
      </c>
      <c r="BA577" s="5">
        <f t="shared" si="323"/>
        <v>0</v>
      </c>
      <c r="BB577" s="5">
        <f t="shared" si="324"/>
        <v>8029.1922538135295</v>
      </c>
      <c r="BC577" s="5">
        <f t="shared" si="325"/>
        <v>-17123.38737865449</v>
      </c>
      <c r="BD577" s="5">
        <f t="shared" si="326"/>
        <v>26970.003780375435</v>
      </c>
      <c r="BE577" s="16">
        <f>INDEX('Team forecast'!$B$2:$AO$26,MATCH('Master data'!$B577,'Team forecast'!$B$2:$B$26,0),MATCH('Master data'!BE$1,'Team forecast'!$B$2:$AO$2,0))</f>
        <v>0.68661022841383224</v>
      </c>
      <c r="BF577" s="16">
        <f>INDEX('Team forecast'!$B$2:$AO$26,MATCH('Master data'!$B577,'Team forecast'!$B$2:$B$26,0),MATCH('Master data'!BF$1,'Team forecast'!$B$2:$AO$2,0))</f>
        <v>2.4374022591536644</v>
      </c>
      <c r="BG577" s="16">
        <f>INDEX('Team forecast'!$B$2:$AO$26,MATCH('Master data'!$B577,'Team forecast'!$B$2:$B$26,0),MATCH('Master data'!BG$1,'Team forecast'!$B$2:$AO$2,0))</f>
        <v>8.7387567112784156E-2</v>
      </c>
      <c r="BH577" s="16">
        <f>INDEX('Team forecast'!$B$2:$AO$26,MATCH('Master data'!$B577,'Team forecast'!$B$2:$B$26,0),MATCH('Master data'!BH$1,'Team forecast'!$B$2:$AO$2,0))</f>
        <v>2.2540234771161161</v>
      </c>
      <c r="BI577" s="16">
        <f>INDEX('Team forecast'!$B$2:$AO$26,MATCH('Master data'!$B577,'Team forecast'!$B$2:$B$26,0),MATCH('Master data'!BI$1,'Team forecast'!$B$2:$AO$2,0))</f>
        <v>6.7223331713644443</v>
      </c>
      <c r="BJ577" s="5">
        <f t="shared" si="327"/>
        <v>7000</v>
      </c>
      <c r="BK577" s="5">
        <f>INDEX('Team forecast'!$R$3:$BH$26,MATCH($B577,'Team forecast'!$B$3:$B$26,0),MATCH(BK$1,'Team forecast'!$R$2:$BH$2,0))*IF($X577&gt;0,25000,0)</f>
        <v>1922.5264764812514</v>
      </c>
      <c r="BL577" s="5">
        <f>INDEX('Team forecast'!$R$3:$BH$26,MATCH($B577,'Team forecast'!$B$3:$B$26,0),MATCH(BL$1,'Team forecast'!$R$2:$BH$2,0))*IF($X577&gt;0,5000,0)</f>
        <v>739.43326018509651</v>
      </c>
      <c r="BM577" s="5">
        <f>INDEX('Team forecast'!$R$3:$BH$26,MATCH($B577,'Team forecast'!$B$3:$B$26,0),MATCH(BM$1,'Team forecast'!$R$2:$BH$2,0))*IF($X577&gt;0,-15000,0)</f>
        <v>-11628.184333555957</v>
      </c>
      <c r="BN577" s="5">
        <f t="shared" si="328"/>
        <v>15030.058652666987</v>
      </c>
      <c r="BO577" s="5">
        <f t="shared" si="329"/>
        <v>7015.7557001955493</v>
      </c>
      <c r="BP577" s="5">
        <f t="shared" si="330"/>
        <v>3848.1917069097472</v>
      </c>
      <c r="BQ577" s="5">
        <f t="shared" si="331"/>
        <v>4369.3783556392082</v>
      </c>
      <c r="BR577" s="5">
        <f t="shared" si="332"/>
        <v>0</v>
      </c>
      <c r="BS577" s="5">
        <f t="shared" si="333"/>
        <v>-869.56521739130437</v>
      </c>
      <c r="BT577" s="5">
        <f t="shared" si="334"/>
        <v>0</v>
      </c>
      <c r="BU577" s="5">
        <f t="shared" si="335"/>
        <v>6866.1022841383219</v>
      </c>
      <c r="BV577" s="5">
        <f t="shared" si="336"/>
        <v>-19499.218073229316</v>
      </c>
      <c r="BW577" s="5">
        <f t="shared" si="337"/>
        <v>14794.478812039586</v>
      </c>
      <c r="BX577" s="5">
        <f t="shared" si="338"/>
        <v>24439.219615791459</v>
      </c>
      <c r="BY577" s="5">
        <f t="shared" si="339"/>
        <v>73317.658847374376</v>
      </c>
      <c r="BZ577" s="5">
        <f>INDEX('Team forecast'!$R$3:$BH$26,MATCH($B577,'Team forecast'!$B$3:$B$26,0),MATCH(BZ$1,'Team forecast'!$R$2:$BH$2,0))*($BX577-(BY577+CH577)*0.01)</f>
        <v>-218.9199370629066</v>
      </c>
      <c r="CA577" s="5">
        <f>INDEX('Team forecast'!$R$3:$BH$26,MATCH($B577,'Team forecast'!$B$3:$B$26,0),MATCH(CA$1,'Team forecast'!$R$2:$BH$2,0))*($BX577-(BY577+BX577+CH577)*0.01)</f>
        <v>-127.79280096551189</v>
      </c>
      <c r="CB577" s="5">
        <f>INDEX('Team forecast'!$R$3:$BH$26,MATCH($B577,'Team forecast'!$B$3:$B$26,0),MATCH(CB$1,'Team forecast'!$R$2:$BH$2,0))*($BX577-(BY577+BX577*2+CH577)*0.01)</f>
        <v>-71.493981366076568</v>
      </c>
      <c r="CC577" s="5">
        <f>INDEX('Team forecast'!$R$3:$BH$26,MATCH($B577,'Team forecast'!$B$3:$B$26,0),MATCH(CC$1,'Team forecast'!$R$2:$BH$2,0))*($BX577-(BY577+BX577*3+CH577)*0.01)</f>
        <v>-36.903532141610249</v>
      </c>
      <c r="CD577" s="5">
        <f>+AK577+BD577*Cockpit!$C$3+BW577*Cockpit!$C$3^2+BZ577*Cockpit!$C$3^3+CA577*Cockpit!$C$3^4+CB577*Cockpit!$C$3^5+CC577*Cockpit!$C$3^6</f>
        <v>56005.739841173978</v>
      </c>
      <c r="CE577" s="5"/>
      <c r="CF577" s="5"/>
      <c r="CG577" s="5">
        <v>0</v>
      </c>
      <c r="CH577" s="5">
        <f t="shared" si="340"/>
        <v>2500000</v>
      </c>
      <c r="CI577" s="5">
        <f t="shared" si="341"/>
        <v>2500000</v>
      </c>
      <c r="CJ577" s="1">
        <f t="shared" si="342"/>
        <v>2.932706353894975E-2</v>
      </c>
      <c r="CK577" s="5">
        <f>RANK(BY577,$BY$2:$BY$623)+COUNTIF($BY$2:$BY577,$BY577)-1</f>
        <v>234</v>
      </c>
      <c r="CL577" s="5">
        <f>RANK(CJ577,$CJ$2:$CJ$623)+COUNTIF($CJ$2:$CJ577,$CJ577)-1</f>
        <v>150</v>
      </c>
    </row>
    <row r="578" spans="1:90">
      <c r="A578" t="str">
        <f>Players!P579</f>
        <v>Dániel Gazdag</v>
      </c>
      <c r="B578" t="str">
        <f>Players!G579</f>
        <v>Hungary</v>
      </c>
      <c r="C578" t="str">
        <f>Players!AB579</f>
        <v>Midfield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2500000</v>
      </c>
      <c r="H578" s="16">
        <f>INDEX('Team forecast'!$B$2:$AO$26,MATCH('Master data'!$B578,'Team forecast'!$B$2:$B$26,0),MATCH('Master data'!H$1,'Team forecast'!$B$2:$AO$2,0))</f>
        <v>0.75096675144877167</v>
      </c>
      <c r="I578" s="16">
        <f>INDEX('Team forecast'!$B$2:$AO$26,MATCH('Master data'!$B578,'Team forecast'!$B$2:$B$26,0),MATCH('Master data'!I$1,'Team forecast'!$B$2:$AO$2,0))</f>
        <v>1.7625676631272518</v>
      </c>
      <c r="J578" s="16">
        <f>INDEX('Team forecast'!$B$2:$AO$26,MATCH('Master data'!$B578,'Team forecast'!$B$2:$B$26,0),MATCH('Master data'!J$1,'Team forecast'!$B$2:$AO$2,0))</f>
        <v>0.1716036772216547</v>
      </c>
      <c r="K578" s="16">
        <f>INDEX('Team forecast'!$B$2:$AO$26,MATCH('Master data'!$B578,'Team forecast'!$B$2:$B$26,0),MATCH('Master data'!K$1,'Team forecast'!$B$2:$AO$2,0))</f>
        <v>2.4652948911197052</v>
      </c>
      <c r="L578" s="16">
        <f>INDEX('Team forecast'!$B$2:$AO$26,MATCH('Master data'!$B578,'Team forecast'!$B$2:$B$26,0),MATCH('Master data'!L$1,'Team forecast'!$B$2:$AO$2,0))</f>
        <v>4.8611455183966212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5.6875</v>
      </c>
      <c r="R578" s="2">
        <f>Players!BR579</f>
        <v>0</v>
      </c>
      <c r="S578" s="2">
        <f t="shared" si="301"/>
        <v>0.75096675144877167</v>
      </c>
      <c r="T578" s="2">
        <f t="shared" si="302"/>
        <v>1.7625676631272518</v>
      </c>
      <c r="U578" s="16">
        <f>INDEX('Team forecast'!$B$2:$AO$26,MATCH('Master data'!$B578,'Team forecast'!$B$2:$B$26,0),MATCH('Master data'!U$1,'Team forecast'!$B$2:$AO$2,0))</f>
        <v>0.1348314606741573</v>
      </c>
      <c r="V578" s="16">
        <f>INDEX('Team forecast'!$B$2:$AO$26,MATCH('Master data'!$B578,'Team forecast'!$B$2:$B$26,0),MATCH('Master data'!V$1,'Team forecast'!$B$2:$AO$2,0))</f>
        <v>0.2359550561797753</v>
      </c>
      <c r="W578" s="16">
        <f>INDEX('Team forecast'!$B$2:$AO$26,MATCH('Master data'!$B578,'Team forecast'!$B$2:$B$26,0),MATCH('Master data'!W$1,'Team forecast'!$B$2:$AO$2,0))</f>
        <v>0.6292134831460674</v>
      </c>
      <c r="X578" s="5">
        <f t="shared" si="303"/>
        <v>-5000</v>
      </c>
      <c r="Y578" s="5">
        <f t="shared" si="304"/>
        <v>0</v>
      </c>
      <c r="Z578" s="5">
        <f t="shared" si="305"/>
        <v>0</v>
      </c>
      <c r="AA578" s="5">
        <f t="shared" si="306"/>
        <v>0</v>
      </c>
      <c r="AB578" s="5">
        <f t="shared" si="307"/>
        <v>0</v>
      </c>
      <c r="AC578" s="5">
        <f t="shared" si="308"/>
        <v>0</v>
      </c>
      <c r="AD578" s="5">
        <f t="shared" si="309"/>
        <v>0</v>
      </c>
      <c r="AE578" s="5">
        <f t="shared" si="310"/>
        <v>0</v>
      </c>
      <c r="AF578" s="5">
        <f t="shared" si="311"/>
        <v>0</v>
      </c>
      <c r="AG578" s="5">
        <f t="shared" si="312"/>
        <v>0</v>
      </c>
      <c r="AH578" s="5">
        <f t="shared" si="313"/>
        <v>0</v>
      </c>
      <c r="AI578" s="5">
        <f t="shared" si="314"/>
        <v>0</v>
      </c>
      <c r="AJ578" s="5">
        <f t="shared" si="315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0.80291922538135296</v>
      </c>
      <c r="AM578" s="16">
        <f>INDEX('Team forecast'!$B$2:$AO$26,MATCH('Master data'!$B578,'Team forecast'!$B$2:$B$26,0),MATCH('Master data'!AM$1,'Team forecast'!$B$2:$AO$2,0))</f>
        <v>2.140423422331811</v>
      </c>
      <c r="AN578" s="16">
        <f>INDEX('Team forecast'!$B$2:$AO$26,MATCH('Master data'!$B578,'Team forecast'!$B$2:$B$26,0),MATCH('Master data'!AN$1,'Team forecast'!$B$2:$AO$2,0))</f>
        <v>0.1176050358792704</v>
      </c>
      <c r="AO578" s="16">
        <f>INDEX('Team forecast'!$B$2:$AO$26,MATCH('Master data'!$B578,'Team forecast'!$B$2:$B$26,0),MATCH('Master data'!AO$1,'Team forecast'!$B$2:$AO$2,0))</f>
        <v>2.6358459419084821</v>
      </c>
      <c r="AP578" s="16">
        <f>INDEX('Team forecast'!$B$2:$AO$26,MATCH('Master data'!$B578,'Team forecast'!$B$2:$B$26,0),MATCH('Master data'!AP$1,'Team forecast'!$B$2:$AO$2,0))</f>
        <v>5.9032682515452688</v>
      </c>
      <c r="AQ578" s="5">
        <f t="shared" si="316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317"/>
        <v>0</v>
      </c>
      <c r="AV578" s="5">
        <f t="shared" si="318"/>
        <v>0</v>
      </c>
      <c r="AW578" s="5">
        <f t="shared" si="319"/>
        <v>0</v>
      </c>
      <c r="AX578" s="5">
        <f t="shared" si="320"/>
        <v>0</v>
      </c>
      <c r="AY578" s="5">
        <f t="shared" si="321"/>
        <v>0</v>
      </c>
      <c r="AZ578" s="5">
        <f t="shared" si="322"/>
        <v>0</v>
      </c>
      <c r="BA578" s="5">
        <f t="shared" si="323"/>
        <v>0</v>
      </c>
      <c r="BB578" s="5">
        <f t="shared" si="324"/>
        <v>0</v>
      </c>
      <c r="BC578" s="5">
        <f t="shared" si="325"/>
        <v>0</v>
      </c>
      <c r="BD578" s="5">
        <f t="shared" si="326"/>
        <v>-5000</v>
      </c>
      <c r="BE578" s="16">
        <f>INDEX('Team forecast'!$B$2:$AO$26,MATCH('Master data'!$B578,'Team forecast'!$B$2:$B$26,0),MATCH('Master data'!BE$1,'Team forecast'!$B$2:$AO$2,0))</f>
        <v>0.68661022841383224</v>
      </c>
      <c r="BF578" s="16">
        <f>INDEX('Team forecast'!$B$2:$AO$26,MATCH('Master data'!$B578,'Team forecast'!$B$2:$B$26,0),MATCH('Master data'!BF$1,'Team forecast'!$B$2:$AO$2,0))</f>
        <v>2.4374022591536644</v>
      </c>
      <c r="BG578" s="16">
        <f>INDEX('Team forecast'!$B$2:$AO$26,MATCH('Master data'!$B578,'Team forecast'!$B$2:$B$26,0),MATCH('Master data'!BG$1,'Team forecast'!$B$2:$AO$2,0))</f>
        <v>8.7387567112784156E-2</v>
      </c>
      <c r="BH578" s="16">
        <f>INDEX('Team forecast'!$B$2:$AO$26,MATCH('Master data'!$B578,'Team forecast'!$B$2:$B$26,0),MATCH('Master data'!BH$1,'Team forecast'!$B$2:$AO$2,0))</f>
        <v>2.2540234771161161</v>
      </c>
      <c r="BI578" s="16">
        <f>INDEX('Team forecast'!$B$2:$AO$26,MATCH('Master data'!$B578,'Team forecast'!$B$2:$B$26,0),MATCH('Master data'!BI$1,'Team forecast'!$B$2:$AO$2,0))</f>
        <v>6.7223331713644443</v>
      </c>
      <c r="BJ578" s="5">
        <f t="shared" si="327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328"/>
        <v>0</v>
      </c>
      <c r="BO578" s="5">
        <f t="shared" si="329"/>
        <v>0</v>
      </c>
      <c r="BP578" s="5">
        <f t="shared" si="330"/>
        <v>0</v>
      </c>
      <c r="BQ578" s="5">
        <f t="shared" si="331"/>
        <v>0</v>
      </c>
      <c r="BR578" s="5">
        <f t="shared" si="332"/>
        <v>0</v>
      </c>
      <c r="BS578" s="5">
        <f t="shared" si="333"/>
        <v>0</v>
      </c>
      <c r="BT578" s="5">
        <f t="shared" si="334"/>
        <v>0</v>
      </c>
      <c r="BU578" s="5">
        <f t="shared" si="335"/>
        <v>0</v>
      </c>
      <c r="BV578" s="5">
        <f t="shared" si="336"/>
        <v>0</v>
      </c>
      <c r="BW578" s="5">
        <f t="shared" si="337"/>
        <v>-5000</v>
      </c>
      <c r="BX578" s="5">
        <f t="shared" si="338"/>
        <v>-5000</v>
      </c>
      <c r="BY578" s="5">
        <f t="shared" si="339"/>
        <v>-15000</v>
      </c>
      <c r="BZ578" s="5">
        <f>INDEX('Team forecast'!$R$3:$BH$26,MATCH($B578,'Team forecast'!$B$3:$B$26,0),MATCH(BZ$1,'Team forecast'!$R$2:$BH$2,0))*($BX578-(BY578+CH578)*0.01)</f>
        <v>-5050.2143883359968</v>
      </c>
      <c r="CA578" s="5">
        <f>INDEX('Team forecast'!$R$3:$BH$26,MATCH($B578,'Team forecast'!$B$3:$B$26,0),MATCH(CA$1,'Team forecast'!$R$2:$BH$2,0))*($BX578-(BY578+BX578+CH578)*0.01)</f>
        <v>-2475.5273678493763</v>
      </c>
      <c r="CB578" s="5">
        <f>INDEX('Team forecast'!$R$3:$BH$26,MATCH($B578,'Team forecast'!$B$3:$B$26,0),MATCH(CB$1,'Team forecast'!$R$2:$BH$2,0))*($BX578-(BY578+BX578*2+CH578)*0.01)</f>
        <v>-1193.0760049666703</v>
      </c>
      <c r="CC578" s="5">
        <f>INDEX('Team forecast'!$R$3:$BH$26,MATCH($B578,'Team forecast'!$B$3:$B$26,0),MATCH(CC$1,'Team forecast'!$R$2:$BH$2,0))*($BX578-(BY578+BX578*3+CH578)*0.01)</f>
        <v>-540.68213639597616</v>
      </c>
      <c r="CD578" s="5">
        <f>+AK578+BD578*Cockpit!$C$3+BW578*Cockpit!$C$3^2+BZ578*Cockpit!$C$3^3+CA578*Cockpit!$C$3^4+CB578*Cockpit!$C$3^5+CC578*Cockpit!$C$3^6</f>
        <v>-12745.488617362178</v>
      </c>
      <c r="CE578" s="5"/>
      <c r="CF578" s="5"/>
      <c r="CG578" s="5">
        <v>0</v>
      </c>
      <c r="CH578" s="5">
        <f t="shared" si="340"/>
        <v>2500000</v>
      </c>
      <c r="CI578" s="5">
        <f t="shared" si="341"/>
        <v>2500000</v>
      </c>
      <c r="CJ578" s="1">
        <f t="shared" si="342"/>
        <v>-6.0000000000000001E-3</v>
      </c>
      <c r="CK578" s="5">
        <f>RANK(BY578,$BY$2:$BY$623)+COUNTIF($BY$2:$BY578,$BY578)-1</f>
        <v>604</v>
      </c>
      <c r="CL578" s="5">
        <f>RANK(CJ578,$CJ$2:$CJ$623)+COUNTIF($CJ$2:$CJ578,$CJ578)-1</f>
        <v>572</v>
      </c>
    </row>
    <row r="579" spans="1:90">
      <c r="A579" t="str">
        <f>Players!P580</f>
        <v>Roland Sallai</v>
      </c>
      <c r="B579" t="str">
        <f>Players!G580</f>
        <v>Hungary</v>
      </c>
      <c r="C579" t="str">
        <f>Players!AB580</f>
        <v>Striker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3500000</v>
      </c>
      <c r="H579" s="16">
        <f>INDEX('Team forecast'!$B$2:$AO$26,MATCH('Master data'!$B579,'Team forecast'!$B$2:$B$26,0),MATCH('Master data'!H$1,'Team forecast'!$B$2:$AO$2,0))</f>
        <v>0.75096675144877167</v>
      </c>
      <c r="I579" s="16">
        <f>INDEX('Team forecast'!$B$2:$AO$26,MATCH('Master data'!$B579,'Team forecast'!$B$2:$B$26,0),MATCH('Master data'!I$1,'Team forecast'!$B$2:$AO$2,0))</f>
        <v>1.7625676631272518</v>
      </c>
      <c r="J579" s="16">
        <f>INDEX('Team forecast'!$B$2:$AO$26,MATCH('Master data'!$B579,'Team forecast'!$B$2:$B$26,0),MATCH('Master data'!J$1,'Team forecast'!$B$2:$AO$2,0))</f>
        <v>0.1716036772216547</v>
      </c>
      <c r="K579" s="16">
        <f>INDEX('Team forecast'!$B$2:$AO$26,MATCH('Master data'!$B579,'Team forecast'!$B$2:$B$26,0),MATCH('Master data'!K$1,'Team forecast'!$B$2:$AO$2,0))</f>
        <v>2.4652948911197052</v>
      </c>
      <c r="L579" s="16">
        <f>INDEX('Team forecast'!$B$2:$AO$26,MATCH('Master data'!$B579,'Team forecast'!$B$2:$B$26,0),MATCH('Master data'!L$1,'Team forecast'!$B$2:$AO$2,0))</f>
        <v>4.8611455183966212</v>
      </c>
      <c r="M579">
        <f>IF(Players!BC580=1,95,0)</f>
        <v>95</v>
      </c>
      <c r="N579" s="2">
        <f>Players!BN580</f>
        <v>0.2613137588481852</v>
      </c>
      <c r="O579" s="2">
        <f>Players!BO580</f>
        <v>0.1608053195767484</v>
      </c>
      <c r="P579" s="2">
        <f>Players!BP580</f>
        <v>0.26389014328901922</v>
      </c>
      <c r="Q579" s="2">
        <f>Players!BQ580</f>
        <v>0.13440860215053765</v>
      </c>
      <c r="R579" s="2">
        <f>Players!BR580</f>
        <v>0</v>
      </c>
      <c r="S579" s="2">
        <f t="shared" ref="S579:S622" si="343">H579</f>
        <v>0.75096675144877167</v>
      </c>
      <c r="T579" s="2">
        <f t="shared" ref="T579:T622" si="344">I579</f>
        <v>1.7625676631272518</v>
      </c>
      <c r="U579" s="16">
        <f>INDEX('Team forecast'!$B$2:$AO$26,MATCH('Master data'!$B579,'Team forecast'!$B$2:$B$26,0),MATCH('Master data'!U$1,'Team forecast'!$B$2:$AO$2,0))</f>
        <v>0.1348314606741573</v>
      </c>
      <c r="V579" s="16">
        <f>INDEX('Team forecast'!$B$2:$AO$26,MATCH('Master data'!$B579,'Team forecast'!$B$2:$B$26,0),MATCH('Master data'!V$1,'Team forecast'!$B$2:$AO$2,0))</f>
        <v>0.2359550561797753</v>
      </c>
      <c r="W579" s="16">
        <f>INDEX('Team forecast'!$B$2:$AO$26,MATCH('Master data'!$B579,'Team forecast'!$B$2:$B$26,0),MATCH('Master data'!W$1,'Team forecast'!$B$2:$AO$2,0))</f>
        <v>0.6292134831460674</v>
      </c>
      <c r="X579" s="5">
        <f t="shared" ref="X579:X622" si="345">IF(M579&gt;95,7000*2,IF(M579&gt;0,7000,-5000))</f>
        <v>7000</v>
      </c>
      <c r="Y579" s="5">
        <f t="shared" ref="Y579:Y622" si="346">IF($X579&gt;0,U579*25000,0)</f>
        <v>3370.7865168539324</v>
      </c>
      <c r="Z579" s="5">
        <f t="shared" ref="Z579:Z622" si="347">IF($X579&gt;0,V579*5000,0)</f>
        <v>1179.7752808988764</v>
      </c>
      <c r="AA579" s="5">
        <f t="shared" ref="AA579:AA622" si="348">IF($X579&gt;0,W579*(-15000),0)</f>
        <v>-9438.2022471910113</v>
      </c>
      <c r="AB579" s="5">
        <f t="shared" ref="AB579:AB622" si="349">IF($C579="Defense",$N579*150000,IF($C579="Midfield",$N579*125000,IF($C579="Striker",$N579*100000,0)))*$H579</f>
        <v>19623.794459108936</v>
      </c>
      <c r="AC579" s="5">
        <f t="shared" ref="AC579:AC622" si="350">$O579*50000*H579</f>
        <v>6037.9724229116164</v>
      </c>
      <c r="AD579" s="5">
        <f t="shared" ref="AD579:AD622" si="351">$P579*K579*10000</f>
        <v>6505.6702206726604</v>
      </c>
      <c r="AE579" s="5">
        <f t="shared" ref="AE579:AE622" si="352">IF($C579="Goalkeeper",J579*75000,IF($C579="Defense",J579*50000,0))</f>
        <v>0</v>
      </c>
      <c r="AF579" s="5">
        <f t="shared" ref="AF579:AF622" si="353">IF($C579="Goalkeeper",(L579-I579)*5000,0)</f>
        <v>0</v>
      </c>
      <c r="AG579" s="5">
        <f t="shared" ref="AG579:AG622" si="354">IF(M579&gt;0,Q579*(-20000),0)</f>
        <v>-2688.172043010753</v>
      </c>
      <c r="AH579" s="5">
        <f t="shared" ref="AH579:AH622" si="355">IF(M579&gt;0,R579*(-50000),0)</f>
        <v>0</v>
      </c>
      <c r="AI579" s="5">
        <f t="shared" ref="AI579:AI622" si="356">IF(M579&gt;0,S579*10000,0)</f>
        <v>7509.6675144877172</v>
      </c>
      <c r="AJ579" s="5">
        <f t="shared" ref="AJ579:AJ622" si="357">IF(M579&gt;0,T579*(-8000),0)</f>
        <v>-14100.541305018014</v>
      </c>
      <c r="AK579" s="5">
        <f>IFERROR(SUM(X579:AJ579),-5000)*((Cockpit!$C$3)^0)</f>
        <v>25000.750819713961</v>
      </c>
      <c r="AL579" s="16">
        <f>INDEX('Team forecast'!$B$2:$AO$26,MATCH('Master data'!$B579,'Team forecast'!$B$2:$B$26,0),MATCH('Master data'!AL$1,'Team forecast'!$B$2:$AO$2,0))</f>
        <v>0.80291922538135296</v>
      </c>
      <c r="AM579" s="16">
        <f>INDEX('Team forecast'!$B$2:$AO$26,MATCH('Master data'!$B579,'Team forecast'!$B$2:$B$26,0),MATCH('Master data'!AM$1,'Team forecast'!$B$2:$AO$2,0))</f>
        <v>2.140423422331811</v>
      </c>
      <c r="AN579" s="16">
        <f>INDEX('Team forecast'!$B$2:$AO$26,MATCH('Master data'!$B579,'Team forecast'!$B$2:$B$26,0),MATCH('Master data'!AN$1,'Team forecast'!$B$2:$AO$2,0))</f>
        <v>0.1176050358792704</v>
      </c>
      <c r="AO579" s="16">
        <f>INDEX('Team forecast'!$B$2:$AO$26,MATCH('Master data'!$B579,'Team forecast'!$B$2:$B$26,0),MATCH('Master data'!AO$1,'Team forecast'!$B$2:$AO$2,0))</f>
        <v>2.6358459419084821</v>
      </c>
      <c r="AP579" s="16">
        <f>INDEX('Team forecast'!$B$2:$AO$26,MATCH('Master data'!$B579,'Team forecast'!$B$2:$B$26,0),MATCH('Master data'!AP$1,'Team forecast'!$B$2:$AO$2,0))</f>
        <v>5.9032682515452688</v>
      </c>
      <c r="AQ579" s="5">
        <f t="shared" ref="AQ579:AQ622" si="358">X579</f>
        <v>7000</v>
      </c>
      <c r="AR579" s="5">
        <f>INDEX('Team forecast'!$B$2:$AO$26,MATCH('Master data'!$B579,'Team forecast'!$B$2:$B$26,0),MATCH('Master data'!AR$1,'Team forecast'!$B$2:$AO$2,0))*IF(X579&gt;0,25000,0)</f>
        <v>2767.1773148063626</v>
      </c>
      <c r="AS579" s="16">
        <f>INDEX('Team forecast'!$B$2:$AO$26,MATCH('Master data'!$B579,'Team forecast'!$B$2:$B$26,0),MATCH('Master data'!AS$1,'Team forecast'!$B$2:$AO$2,0))*IF(X579&gt;0,5000,0)</f>
        <v>1086.42065477386</v>
      </c>
      <c r="AT579" s="16">
        <f>INDEX('Team forecast'!$B$2:$AO$26,MATCH('Master data'!$B579,'Team forecast'!$B$2:$B$26,0),MATCH('Master data'!AT$1,'Team forecast'!$B$2:$AO$2,0))*IF(X579&gt;0,-15000,0)</f>
        <v>-10080.431646794603</v>
      </c>
      <c r="AU579" s="5">
        <f t="shared" ref="AU579:AU622" si="359">IF($C579="Defense",$N579*150000,IF($C579="Midfield",$N579*125000,IF($C579="Striker",$N579*100000,0)))*$AL579</f>
        <v>20981.384083587454</v>
      </c>
      <c r="AV579" s="5">
        <f t="shared" ref="AV579:AV622" si="360">$O579*50000*AL579</f>
        <v>6455.6841315881875</v>
      </c>
      <c r="AW579" s="5">
        <f t="shared" ref="AW579:AW622" si="361">$P579*AO579*10000</f>
        <v>6955.7376329800909</v>
      </c>
      <c r="AX579" s="5">
        <f t="shared" ref="AX579:AX622" si="362">IF($C579="Goalkeeper",AN579*75000,IF($C579="Defense",AN579*50000,0))</f>
        <v>0</v>
      </c>
      <c r="AY579" s="5">
        <f t="shared" ref="AY579:AY622" si="363">IF($C579="Goalkeeper",(AP579-AM579)*5000,0)</f>
        <v>0</v>
      </c>
      <c r="AZ579" s="5">
        <f t="shared" ref="AZ579:AZ622" si="364">$AG579</f>
        <v>-2688.172043010753</v>
      </c>
      <c r="BA579" s="5">
        <f t="shared" ref="BA579:BA622" si="365">$AH579</f>
        <v>0</v>
      </c>
      <c r="BB579" s="5">
        <f t="shared" ref="BB579:BB622" si="366">IF(X579&gt;0,AL579*10000,0)</f>
        <v>8029.1922538135295</v>
      </c>
      <c r="BC579" s="5">
        <f t="shared" ref="BC579:BC622" si="367">IF(X579&gt;0,AM579*(-8000),0)</f>
        <v>-17123.38737865449</v>
      </c>
      <c r="BD579" s="5">
        <f t="shared" ref="BD579:BD622" si="368">IFERROR(SUM(AQ579:BC579),0)</f>
        <v>23383.60500308964</v>
      </c>
      <c r="BE579" s="16">
        <f>INDEX('Team forecast'!$B$2:$AO$26,MATCH('Master data'!$B579,'Team forecast'!$B$2:$B$26,0),MATCH('Master data'!BE$1,'Team forecast'!$B$2:$AO$2,0))</f>
        <v>0.68661022841383224</v>
      </c>
      <c r="BF579" s="16">
        <f>INDEX('Team forecast'!$B$2:$AO$26,MATCH('Master data'!$B579,'Team forecast'!$B$2:$B$26,0),MATCH('Master data'!BF$1,'Team forecast'!$B$2:$AO$2,0))</f>
        <v>2.4374022591536644</v>
      </c>
      <c r="BG579" s="16">
        <f>INDEX('Team forecast'!$B$2:$AO$26,MATCH('Master data'!$B579,'Team forecast'!$B$2:$B$26,0),MATCH('Master data'!BG$1,'Team forecast'!$B$2:$AO$2,0))</f>
        <v>8.7387567112784156E-2</v>
      </c>
      <c r="BH579" s="16">
        <f>INDEX('Team forecast'!$B$2:$AO$26,MATCH('Master data'!$B579,'Team forecast'!$B$2:$B$26,0),MATCH('Master data'!BH$1,'Team forecast'!$B$2:$AO$2,0))</f>
        <v>2.2540234771161161</v>
      </c>
      <c r="BI579" s="16">
        <f>INDEX('Team forecast'!$B$2:$AO$26,MATCH('Master data'!$B579,'Team forecast'!$B$2:$B$26,0),MATCH('Master data'!BI$1,'Team forecast'!$B$2:$AO$2,0))</f>
        <v>6.7223331713644443</v>
      </c>
      <c r="BJ579" s="5">
        <f t="shared" ref="BJ579:BJ622" si="369">AQ579</f>
        <v>7000</v>
      </c>
      <c r="BK579" s="5">
        <f>INDEX('Team forecast'!$R$3:$BH$26,MATCH($B579,'Team forecast'!$B$3:$B$26,0),MATCH(BK$1,'Team forecast'!$R$2:$BH$2,0))*IF($X579&gt;0,25000,0)</f>
        <v>1922.5264764812514</v>
      </c>
      <c r="BL579" s="5">
        <f>INDEX('Team forecast'!$R$3:$BH$26,MATCH($B579,'Team forecast'!$B$3:$B$26,0),MATCH(BL$1,'Team forecast'!$R$2:$BH$2,0))*IF($X579&gt;0,5000,0)</f>
        <v>739.43326018509651</v>
      </c>
      <c r="BM579" s="5">
        <f>INDEX('Team forecast'!$R$3:$BH$26,MATCH($B579,'Team forecast'!$B$3:$B$26,0),MATCH(BM$1,'Team forecast'!$R$2:$BH$2,0))*IF($X579&gt;0,-15000,0)</f>
        <v>-11628.184333555957</v>
      </c>
      <c r="BN579" s="5">
        <f t="shared" ref="BN579:BN622" si="370">IF($C579="Defense",$N579*150000,IF($C579="Midfield",$N579*125000,IF($C579="Striker",$N579*100000,0)))*$BE579</f>
        <v>17942.069965042952</v>
      </c>
      <c r="BO579" s="5">
        <f t="shared" ref="BO579:BO622" si="371">$O579*50000*$BE579</f>
        <v>5520.5288602375258</v>
      </c>
      <c r="BP579" s="5">
        <f t="shared" ref="BP579:BP622" si="372">$P579*BH579*10000</f>
        <v>5948.1457835298525</v>
      </c>
      <c r="BQ579" s="5">
        <f t="shared" ref="BQ579:BQ622" si="373">IF($C579="Goalkeeper",BG579*75000,IF($C579="Defense",BG579*50000,0))</f>
        <v>0</v>
      </c>
      <c r="BR579" s="5">
        <f t="shared" ref="BR579:BR622" si="374">IF($C579="Goalkeeper",(BI579-BF579)*5000,0)</f>
        <v>0</v>
      </c>
      <c r="BS579" s="5">
        <f t="shared" ref="BS579:BS622" si="375">$AG579</f>
        <v>-2688.172043010753</v>
      </c>
      <c r="BT579" s="5">
        <f t="shared" ref="BT579:BT622" si="376">$AH579</f>
        <v>0</v>
      </c>
      <c r="BU579" s="5">
        <f t="shared" ref="BU579:BU622" si="377">IF(AQ579&gt;0,BE579*10000,0)</f>
        <v>6866.1022841383219</v>
      </c>
      <c r="BV579" s="5">
        <f t="shared" ref="BV579:BV622" si="378">IF(AQ579&gt;0,BF579*(-8000),0)</f>
        <v>-19499.218073229316</v>
      </c>
      <c r="BW579" s="5">
        <f t="shared" ref="BW579:BW622" si="379">IFERROR(SUM(BJ579:BV579),0)</f>
        <v>12123.232179818977</v>
      </c>
      <c r="BX579" s="5">
        <f t="shared" ref="BX579:BX622" si="380">AVERAGE(AK579,BD579,BW579)</f>
        <v>20169.196000874192</v>
      </c>
      <c r="BY579" s="5">
        <f t="shared" ref="BY579:BY622" si="381">BX579*3</f>
        <v>60507.588002622579</v>
      </c>
      <c r="BZ579" s="5">
        <f>INDEX('Team forecast'!$R$3:$BH$26,MATCH($B579,'Team forecast'!$B$3:$B$26,0),MATCH(BZ$1,'Team forecast'!$R$2:$BH$2,0))*($BX579-(BY579+CH579)*0.01)</f>
        <v>-2611.5411277159033</v>
      </c>
      <c r="CA579" s="5">
        <f>INDEX('Team forecast'!$R$3:$BH$26,MATCH($B579,'Team forecast'!$B$3:$B$26,0),MATCH(CA$1,'Team forecast'!$R$2:$BH$2,0))*($BX579-(BY579+BX579+CH579)*0.01)</f>
        <v>-1299.0348004883629</v>
      </c>
      <c r="CB579" s="5">
        <f>INDEX('Team forecast'!$R$3:$BH$26,MATCH($B579,'Team forecast'!$B$3:$B$26,0),MATCH(CB$1,'Team forecast'!$R$2:$BH$2,0))*($BX579-(BY579+BX579*2+CH579)*0.01)</f>
        <v>-635.20825462609662</v>
      </c>
      <c r="CC579" s="5">
        <f>INDEX('Team forecast'!$R$3:$BH$26,MATCH($B579,'Team forecast'!$B$3:$B$26,0),MATCH(CC$1,'Team forecast'!$R$2:$BH$2,0))*($BX579-(BY579+BX579*3+CH579)*0.01)</f>
        <v>-292.02216261635823</v>
      </c>
      <c r="CD579" s="5">
        <f>+AK579+BD579*Cockpit!$C$3+BW579*Cockpit!$C$3^2+BZ579*Cockpit!$C$3^3+CA579*Cockpit!$C$3^4+CB579*Cockpit!$C$3^5+CC579*Cockpit!$C$3^6</f>
        <v>44838.248696331793</v>
      </c>
      <c r="CE579" s="5"/>
      <c r="CF579" s="5"/>
      <c r="CG579" s="5">
        <v>0</v>
      </c>
      <c r="CH579" s="5">
        <f t="shared" ref="CH579:CH622" si="382">+G579+CG579</f>
        <v>3500000</v>
      </c>
      <c r="CI579" s="5">
        <f t="shared" ref="CI579:CI622" si="383">CH579</f>
        <v>3500000</v>
      </c>
      <c r="CJ579" s="1">
        <f t="shared" ref="CJ579:CJ622" si="384">IFERROR(BY579/CI579,-100%)</f>
        <v>1.7287882286463593E-2</v>
      </c>
      <c r="CK579" s="5">
        <f>RANK(BY579,$BY$2:$BY$623)+COUNTIF($BY$2:$BY579,$BY579)-1</f>
        <v>268</v>
      </c>
      <c r="CL579" s="5">
        <f>RANK(CJ579,$CJ$2:$CJ$623)+COUNTIF($CJ$2:$CJ579,$CJ579)-1</f>
        <v>287</v>
      </c>
    </row>
    <row r="580" spans="1:90">
      <c r="A580" t="str">
        <f>Players!P581</f>
        <v>László Kleinheisler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2500000</v>
      </c>
      <c r="H580" s="16">
        <f>INDEX('Team forecast'!$B$2:$AO$26,MATCH('Master data'!$B580,'Team forecast'!$B$2:$B$26,0),MATCH('Master data'!H$1,'Team forecast'!$B$2:$AO$2,0))</f>
        <v>0.75096675144877167</v>
      </c>
      <c r="I580" s="16">
        <f>INDEX('Team forecast'!$B$2:$AO$26,MATCH('Master data'!$B580,'Team forecast'!$B$2:$B$26,0),MATCH('Master data'!I$1,'Team forecast'!$B$2:$AO$2,0))</f>
        <v>1.7625676631272518</v>
      </c>
      <c r="J580" s="16">
        <f>INDEX('Team forecast'!$B$2:$AO$26,MATCH('Master data'!$B580,'Team forecast'!$B$2:$B$26,0),MATCH('Master data'!J$1,'Team forecast'!$B$2:$AO$2,0))</f>
        <v>0.1716036772216547</v>
      </c>
      <c r="K580" s="16">
        <f>INDEX('Team forecast'!$B$2:$AO$26,MATCH('Master data'!$B580,'Team forecast'!$B$2:$B$26,0),MATCH('Master data'!K$1,'Team forecast'!$B$2:$AO$2,0))</f>
        <v>2.4652948911197052</v>
      </c>
      <c r="L580" s="16">
        <f>INDEX('Team forecast'!$B$2:$AO$26,MATCH('Master data'!$B580,'Team forecast'!$B$2:$B$26,0),MATCH('Master data'!L$1,'Team forecast'!$B$2:$AO$2,0))</f>
        <v>4.8611455183966212</v>
      </c>
      <c r="M580">
        <f>IF(Players!BC581=1,95,0)</f>
        <v>95</v>
      </c>
      <c r="N580" s="2">
        <f>Players!BN581</f>
        <v>6.8896160363175932E-2</v>
      </c>
      <c r="O580" s="2">
        <f>Players!BO581</f>
        <v>0.15851916423208195</v>
      </c>
      <c r="P580" s="2">
        <f>Players!BP581</f>
        <v>4.9116329072484075E-2</v>
      </c>
      <c r="Q580" s="2">
        <f>Players!BQ581</f>
        <v>0.55040500297796302</v>
      </c>
      <c r="R580" s="2">
        <f>Players!BR581</f>
        <v>0</v>
      </c>
      <c r="S580" s="2">
        <f t="shared" si="343"/>
        <v>0.75096675144877167</v>
      </c>
      <c r="T580" s="2">
        <f t="shared" si="344"/>
        <v>1.7625676631272518</v>
      </c>
      <c r="U580" s="16">
        <f>INDEX('Team forecast'!$B$2:$AO$26,MATCH('Master data'!$B580,'Team forecast'!$B$2:$B$26,0),MATCH('Master data'!U$1,'Team forecast'!$B$2:$AO$2,0))</f>
        <v>0.1348314606741573</v>
      </c>
      <c r="V580" s="16">
        <f>INDEX('Team forecast'!$B$2:$AO$26,MATCH('Master data'!$B580,'Team forecast'!$B$2:$B$26,0),MATCH('Master data'!V$1,'Team forecast'!$B$2:$AO$2,0))</f>
        <v>0.2359550561797753</v>
      </c>
      <c r="W580" s="16">
        <f>INDEX('Team forecast'!$B$2:$AO$26,MATCH('Master data'!$B580,'Team forecast'!$B$2:$B$26,0),MATCH('Master data'!W$1,'Team forecast'!$B$2:$AO$2,0))</f>
        <v>0.6292134831460674</v>
      </c>
      <c r="X580" s="5">
        <f t="shared" si="345"/>
        <v>7000</v>
      </c>
      <c r="Y580" s="5">
        <f t="shared" si="346"/>
        <v>3370.7865168539324</v>
      </c>
      <c r="Z580" s="5">
        <f t="shared" si="347"/>
        <v>1179.7752808988764</v>
      </c>
      <c r="AA580" s="5">
        <f t="shared" si="348"/>
        <v>-9438.2022471910113</v>
      </c>
      <c r="AB580" s="5">
        <f t="shared" si="349"/>
        <v>6467.3407169034817</v>
      </c>
      <c r="AC580" s="5">
        <f t="shared" si="350"/>
        <v>5952.1310902870455</v>
      </c>
      <c r="AD580" s="5">
        <f t="shared" si="351"/>
        <v>1210.8623513294924</v>
      </c>
      <c r="AE580" s="5">
        <f t="shared" si="352"/>
        <v>0</v>
      </c>
      <c r="AF580" s="5">
        <f t="shared" si="353"/>
        <v>0</v>
      </c>
      <c r="AG580" s="5">
        <f t="shared" si="354"/>
        <v>-11008.10005955926</v>
      </c>
      <c r="AH580" s="5">
        <f t="shared" si="355"/>
        <v>0</v>
      </c>
      <c r="AI580" s="5">
        <f t="shared" si="356"/>
        <v>7509.6675144877172</v>
      </c>
      <c r="AJ580" s="5">
        <f t="shared" si="357"/>
        <v>-14100.541305018014</v>
      </c>
      <c r="AK580" s="5">
        <f>IFERROR(SUM(X580:AJ580),-5000)*((Cockpit!$C$3)^0)</f>
        <v>-1856.2801410077391</v>
      </c>
      <c r="AL580" s="16">
        <f>INDEX('Team forecast'!$B$2:$AO$26,MATCH('Master data'!$B580,'Team forecast'!$B$2:$B$26,0),MATCH('Master data'!AL$1,'Team forecast'!$B$2:$AO$2,0))</f>
        <v>0.80291922538135296</v>
      </c>
      <c r="AM580" s="16">
        <f>INDEX('Team forecast'!$B$2:$AO$26,MATCH('Master data'!$B580,'Team forecast'!$B$2:$B$26,0),MATCH('Master data'!AM$1,'Team forecast'!$B$2:$AO$2,0))</f>
        <v>2.140423422331811</v>
      </c>
      <c r="AN580" s="16">
        <f>INDEX('Team forecast'!$B$2:$AO$26,MATCH('Master data'!$B580,'Team forecast'!$B$2:$B$26,0),MATCH('Master data'!AN$1,'Team forecast'!$B$2:$AO$2,0))</f>
        <v>0.1176050358792704</v>
      </c>
      <c r="AO580" s="16">
        <f>INDEX('Team forecast'!$B$2:$AO$26,MATCH('Master data'!$B580,'Team forecast'!$B$2:$B$26,0),MATCH('Master data'!AO$1,'Team forecast'!$B$2:$AO$2,0))</f>
        <v>2.6358459419084821</v>
      </c>
      <c r="AP580" s="16">
        <f>INDEX('Team forecast'!$B$2:$AO$26,MATCH('Master data'!$B580,'Team forecast'!$B$2:$B$26,0),MATCH('Master data'!AP$1,'Team forecast'!$B$2:$AO$2,0))</f>
        <v>5.9032682515452688</v>
      </c>
      <c r="AQ580" s="5">
        <f t="shared" si="358"/>
        <v>7000</v>
      </c>
      <c r="AR580" s="5">
        <f>INDEX('Team forecast'!$B$2:$AO$26,MATCH('Master data'!$B580,'Team forecast'!$B$2:$B$26,0),MATCH('Master data'!AR$1,'Team forecast'!$B$2:$AO$2,0))*IF(X580&gt;0,25000,0)</f>
        <v>2767.1773148063626</v>
      </c>
      <c r="AS580" s="16">
        <f>INDEX('Team forecast'!$B$2:$AO$26,MATCH('Master data'!$B580,'Team forecast'!$B$2:$B$26,0),MATCH('Master data'!AS$1,'Team forecast'!$B$2:$AO$2,0))*IF(X580&gt;0,5000,0)</f>
        <v>1086.42065477386</v>
      </c>
      <c r="AT580" s="16">
        <f>INDEX('Team forecast'!$B$2:$AO$26,MATCH('Master data'!$B580,'Team forecast'!$B$2:$B$26,0),MATCH('Master data'!AT$1,'Team forecast'!$B$2:$AO$2,0))*IF(X580&gt;0,-15000,0)</f>
        <v>-10080.431646794603</v>
      </c>
      <c r="AU580" s="5">
        <f t="shared" si="359"/>
        <v>6914.7564638188369</v>
      </c>
      <c r="AV580" s="5">
        <f t="shared" si="360"/>
        <v>6363.9042276661357</v>
      </c>
      <c r="AW580" s="5">
        <f t="shared" si="361"/>
        <v>1294.6307666714874</v>
      </c>
      <c r="AX580" s="5">
        <f t="shared" si="362"/>
        <v>0</v>
      </c>
      <c r="AY580" s="5">
        <f t="shared" si="363"/>
        <v>0</v>
      </c>
      <c r="AZ580" s="5">
        <f t="shared" si="364"/>
        <v>-11008.10005955926</v>
      </c>
      <c r="BA580" s="5">
        <f t="shared" si="365"/>
        <v>0</v>
      </c>
      <c r="BB580" s="5">
        <f t="shared" si="366"/>
        <v>8029.1922538135295</v>
      </c>
      <c r="BC580" s="5">
        <f t="shared" si="367"/>
        <v>-17123.38737865449</v>
      </c>
      <c r="BD580" s="5">
        <f t="shared" si="368"/>
        <v>-4755.8374034581411</v>
      </c>
      <c r="BE580" s="16">
        <f>INDEX('Team forecast'!$B$2:$AO$26,MATCH('Master data'!$B580,'Team forecast'!$B$2:$B$26,0),MATCH('Master data'!BE$1,'Team forecast'!$B$2:$AO$2,0))</f>
        <v>0.68661022841383224</v>
      </c>
      <c r="BF580" s="16">
        <f>INDEX('Team forecast'!$B$2:$AO$26,MATCH('Master data'!$B580,'Team forecast'!$B$2:$B$26,0),MATCH('Master data'!BF$1,'Team forecast'!$B$2:$AO$2,0))</f>
        <v>2.4374022591536644</v>
      </c>
      <c r="BG580" s="16">
        <f>INDEX('Team forecast'!$B$2:$AO$26,MATCH('Master data'!$B580,'Team forecast'!$B$2:$B$26,0),MATCH('Master data'!BG$1,'Team forecast'!$B$2:$AO$2,0))</f>
        <v>8.7387567112784156E-2</v>
      </c>
      <c r="BH580" s="16">
        <f>INDEX('Team forecast'!$B$2:$AO$26,MATCH('Master data'!$B580,'Team forecast'!$B$2:$B$26,0),MATCH('Master data'!BH$1,'Team forecast'!$B$2:$AO$2,0))</f>
        <v>2.2540234771161161</v>
      </c>
      <c r="BI580" s="16">
        <f>INDEX('Team forecast'!$B$2:$AO$26,MATCH('Master data'!$B580,'Team forecast'!$B$2:$B$26,0),MATCH('Master data'!BI$1,'Team forecast'!$B$2:$AO$2,0))</f>
        <v>6.7223331713644443</v>
      </c>
      <c r="BJ580" s="5">
        <f t="shared" si="369"/>
        <v>7000</v>
      </c>
      <c r="BK580" s="5">
        <f>INDEX('Team forecast'!$R$3:$BH$26,MATCH($B580,'Team forecast'!$B$3:$B$26,0),MATCH(BK$1,'Team forecast'!$R$2:$BH$2,0))*IF($X580&gt;0,25000,0)</f>
        <v>1922.5264764812514</v>
      </c>
      <c r="BL580" s="5">
        <f>INDEX('Team forecast'!$R$3:$BH$26,MATCH($B580,'Team forecast'!$B$3:$B$26,0),MATCH(BL$1,'Team forecast'!$R$2:$BH$2,0))*IF($X580&gt;0,5000,0)</f>
        <v>739.43326018509651</v>
      </c>
      <c r="BM580" s="5">
        <f>INDEX('Team forecast'!$R$3:$BH$26,MATCH($B580,'Team forecast'!$B$3:$B$26,0),MATCH(BM$1,'Team forecast'!$R$2:$BH$2,0))*IF($X580&gt;0,-15000,0)</f>
        <v>-11628.184333555957</v>
      </c>
      <c r="BN580" s="5">
        <f t="shared" si="370"/>
        <v>5913.1010504745309</v>
      </c>
      <c r="BO580" s="5">
        <f t="shared" si="371"/>
        <v>5442.043978067979</v>
      </c>
      <c r="BP580" s="5">
        <f t="shared" si="372"/>
        <v>1107.0935883913994</v>
      </c>
      <c r="BQ580" s="5">
        <f t="shared" si="373"/>
        <v>0</v>
      </c>
      <c r="BR580" s="5">
        <f t="shared" si="374"/>
        <v>0</v>
      </c>
      <c r="BS580" s="5">
        <f t="shared" si="375"/>
        <v>-11008.10005955926</v>
      </c>
      <c r="BT580" s="5">
        <f t="shared" si="376"/>
        <v>0</v>
      </c>
      <c r="BU580" s="5">
        <f t="shared" si="377"/>
        <v>6866.1022841383219</v>
      </c>
      <c r="BV580" s="5">
        <f t="shared" si="378"/>
        <v>-19499.218073229316</v>
      </c>
      <c r="BW580" s="5">
        <f t="shared" si="379"/>
        <v>-13145.201828605956</v>
      </c>
      <c r="BX580" s="5">
        <f t="shared" si="380"/>
        <v>-6585.773124357278</v>
      </c>
      <c r="BY580" s="5">
        <f t="shared" si="381"/>
        <v>-19757.319373071834</v>
      </c>
      <c r="BZ580" s="5">
        <f>INDEX('Team forecast'!$R$3:$BH$26,MATCH($B580,'Team forecast'!$B$3:$B$26,0),MATCH(BZ$1,'Team forecast'!$R$2:$BH$2,0))*($BX580-(BY580+CH580)*0.01)</f>
        <v>-5310.4569150290517</v>
      </c>
      <c r="CA580" s="5">
        <f>INDEX('Team forecast'!$R$3:$BH$26,MATCH($B580,'Team forecast'!$B$3:$B$26,0),MATCH(CA$1,'Team forecast'!$R$2:$BH$2,0))*($BX580-(BY580+BX580+CH580)*0.01)</f>
        <v>-2601.9904476414772</v>
      </c>
      <c r="CB580" s="5">
        <f>INDEX('Team forecast'!$R$3:$BH$26,MATCH($B580,'Team forecast'!$B$3:$B$26,0),MATCH(CB$1,'Team forecast'!$R$2:$BH$2,0))*($BX580-(BY580+BX580*2+CH580)*0.01)</f>
        <v>-1253.4911468420353</v>
      </c>
      <c r="CC580" s="5">
        <f>INDEX('Team forecast'!$R$3:$BH$26,MATCH($B580,'Team forecast'!$B$3:$B$26,0),MATCH(CC$1,'Team forecast'!$R$2:$BH$2,0))*($BX580-(BY580+BX580*3+CH580)*0.01)</f>
        <v>-567.81867675536353</v>
      </c>
      <c r="CD580" s="5">
        <f>+AK580+BD580*Cockpit!$C$3+BW580*Cockpit!$C$3^2+BZ580*Cockpit!$C$3^3+CA580*Cockpit!$C$3^4+CB580*Cockpit!$C$3^5+CC580*Cockpit!$C$3^6</f>
        <v>-13171.510914759199</v>
      </c>
      <c r="CE580" s="5"/>
      <c r="CF580" s="5"/>
      <c r="CG580" s="5">
        <v>0</v>
      </c>
      <c r="CH580" s="5">
        <f t="shared" si="382"/>
        <v>2500000</v>
      </c>
      <c r="CI580" s="5">
        <f t="shared" si="383"/>
        <v>2500000</v>
      </c>
      <c r="CJ580" s="1">
        <f t="shared" si="384"/>
        <v>-7.9029277492287334E-3</v>
      </c>
      <c r="CK580" s="5">
        <f>RANK(BY580,$BY$2:$BY$623)+COUNTIF($BY$2:$BY580,$BY580)-1</f>
        <v>620</v>
      </c>
      <c r="CL580" s="5">
        <f>RANK(CJ580,$CJ$2:$CJ$623)+COUNTIF($CJ$2:$CJ580,$CJ580)-1</f>
        <v>619</v>
      </c>
    </row>
    <row r="581" spans="1:90">
      <c r="A581" t="str">
        <f>Players!P582</f>
        <v>Tamás Cseri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2000000</v>
      </c>
      <c r="H581" s="16">
        <f>INDEX('Team forecast'!$B$2:$AO$26,MATCH('Master data'!$B581,'Team forecast'!$B$2:$B$26,0),MATCH('Master data'!H$1,'Team forecast'!$B$2:$AO$2,0))</f>
        <v>0.75096675144877167</v>
      </c>
      <c r="I581" s="16">
        <f>INDEX('Team forecast'!$B$2:$AO$26,MATCH('Master data'!$B581,'Team forecast'!$B$2:$B$26,0),MATCH('Master data'!I$1,'Team forecast'!$B$2:$AO$2,0))</f>
        <v>1.7625676631272518</v>
      </c>
      <c r="J581" s="16">
        <f>INDEX('Team forecast'!$B$2:$AO$26,MATCH('Master data'!$B581,'Team forecast'!$B$2:$B$26,0),MATCH('Master data'!J$1,'Team forecast'!$B$2:$AO$2,0))</f>
        <v>0.1716036772216547</v>
      </c>
      <c r="K581" s="16">
        <f>INDEX('Team forecast'!$B$2:$AO$26,MATCH('Master data'!$B581,'Team forecast'!$B$2:$B$26,0),MATCH('Master data'!K$1,'Team forecast'!$B$2:$AO$2,0))</f>
        <v>2.4652948911197052</v>
      </c>
      <c r="L581" s="16">
        <f>INDEX('Team forecast'!$B$2:$AO$26,MATCH('Master data'!$B581,'Team forecast'!$B$2:$B$26,0),MATCH('Master data'!L$1,'Team forecast'!$B$2:$AO$2,0))</f>
        <v>4.8611455183966212</v>
      </c>
      <c r="M581">
        <f>IF(Players!BC582=1,95,0)</f>
        <v>0</v>
      </c>
      <c r="N581" s="2">
        <f>Players!BN582</f>
        <v>0</v>
      </c>
      <c r="O581" s="2">
        <f>Players!BO582</f>
        <v>0</v>
      </c>
      <c r="P581" s="2">
        <f>Players!BP582</f>
        <v>0</v>
      </c>
      <c r="Q581" s="2">
        <f>Players!BQ582</f>
        <v>8.0405002977963075E-2</v>
      </c>
      <c r="R581" s="2">
        <f>Players!BR582</f>
        <v>0</v>
      </c>
      <c r="S581" s="2">
        <f t="shared" si="343"/>
        <v>0.75096675144877167</v>
      </c>
      <c r="T581" s="2">
        <f t="shared" si="344"/>
        <v>1.7625676631272518</v>
      </c>
      <c r="U581" s="16">
        <f>INDEX('Team forecast'!$B$2:$AO$26,MATCH('Master data'!$B581,'Team forecast'!$B$2:$B$26,0),MATCH('Master data'!U$1,'Team forecast'!$B$2:$AO$2,0))</f>
        <v>0.1348314606741573</v>
      </c>
      <c r="V581" s="16">
        <f>INDEX('Team forecast'!$B$2:$AO$26,MATCH('Master data'!$B581,'Team forecast'!$B$2:$B$26,0),MATCH('Master data'!V$1,'Team forecast'!$B$2:$AO$2,0))</f>
        <v>0.2359550561797753</v>
      </c>
      <c r="W581" s="16">
        <f>INDEX('Team forecast'!$B$2:$AO$26,MATCH('Master data'!$B581,'Team forecast'!$B$2:$B$26,0),MATCH('Master data'!W$1,'Team forecast'!$B$2:$AO$2,0))</f>
        <v>0.6292134831460674</v>
      </c>
      <c r="X581" s="5">
        <f t="shared" si="345"/>
        <v>-5000</v>
      </c>
      <c r="Y581" s="5">
        <f t="shared" si="346"/>
        <v>0</v>
      </c>
      <c r="Z581" s="5">
        <f t="shared" si="347"/>
        <v>0</v>
      </c>
      <c r="AA581" s="5">
        <f t="shared" si="348"/>
        <v>0</v>
      </c>
      <c r="AB581" s="5">
        <f t="shared" si="349"/>
        <v>0</v>
      </c>
      <c r="AC581" s="5">
        <f t="shared" si="350"/>
        <v>0</v>
      </c>
      <c r="AD581" s="5">
        <f t="shared" si="351"/>
        <v>0</v>
      </c>
      <c r="AE581" s="5">
        <f t="shared" si="352"/>
        <v>0</v>
      </c>
      <c r="AF581" s="5">
        <f t="shared" si="353"/>
        <v>0</v>
      </c>
      <c r="AG581" s="5">
        <f t="shared" si="354"/>
        <v>0</v>
      </c>
      <c r="AH581" s="5">
        <f t="shared" si="355"/>
        <v>0</v>
      </c>
      <c r="AI581" s="5">
        <f t="shared" si="356"/>
        <v>0</v>
      </c>
      <c r="AJ581" s="5">
        <f t="shared" si="357"/>
        <v>0</v>
      </c>
      <c r="AK581" s="5">
        <f>IFERROR(SUM(X581:AJ581),-5000)*((Cockpit!$C$3)^0)</f>
        <v>-5000</v>
      </c>
      <c r="AL581" s="16">
        <f>INDEX('Team forecast'!$B$2:$AO$26,MATCH('Master data'!$B581,'Team forecast'!$B$2:$B$26,0),MATCH('Master data'!AL$1,'Team forecast'!$B$2:$AO$2,0))</f>
        <v>0.80291922538135296</v>
      </c>
      <c r="AM581" s="16">
        <f>INDEX('Team forecast'!$B$2:$AO$26,MATCH('Master data'!$B581,'Team forecast'!$B$2:$B$26,0),MATCH('Master data'!AM$1,'Team forecast'!$B$2:$AO$2,0))</f>
        <v>2.140423422331811</v>
      </c>
      <c r="AN581" s="16">
        <f>INDEX('Team forecast'!$B$2:$AO$26,MATCH('Master data'!$B581,'Team forecast'!$B$2:$B$26,0),MATCH('Master data'!AN$1,'Team forecast'!$B$2:$AO$2,0))</f>
        <v>0.1176050358792704</v>
      </c>
      <c r="AO581" s="16">
        <f>INDEX('Team forecast'!$B$2:$AO$26,MATCH('Master data'!$B581,'Team forecast'!$B$2:$B$26,0),MATCH('Master data'!AO$1,'Team forecast'!$B$2:$AO$2,0))</f>
        <v>2.6358459419084821</v>
      </c>
      <c r="AP581" s="16">
        <f>INDEX('Team forecast'!$B$2:$AO$26,MATCH('Master data'!$B581,'Team forecast'!$B$2:$B$26,0),MATCH('Master data'!AP$1,'Team forecast'!$B$2:$AO$2,0))</f>
        <v>5.9032682515452688</v>
      </c>
      <c r="AQ581" s="5">
        <f t="shared" si="358"/>
        <v>-5000</v>
      </c>
      <c r="AR581" s="5">
        <f>INDEX('Team forecast'!$B$2:$AO$26,MATCH('Master data'!$B581,'Team forecast'!$B$2:$B$26,0),MATCH('Master data'!AR$1,'Team forecast'!$B$2:$AO$2,0))*IF(X581&gt;0,25000,0)</f>
        <v>0</v>
      </c>
      <c r="AS581" s="16">
        <f>INDEX('Team forecast'!$B$2:$AO$26,MATCH('Master data'!$B581,'Team forecast'!$B$2:$B$26,0),MATCH('Master data'!AS$1,'Team forecast'!$B$2:$AO$2,0))*IF(X581&gt;0,5000,0)</f>
        <v>0</v>
      </c>
      <c r="AT581" s="16">
        <f>INDEX('Team forecast'!$B$2:$AO$26,MATCH('Master data'!$B581,'Team forecast'!$B$2:$B$26,0),MATCH('Master data'!AT$1,'Team forecast'!$B$2:$AO$2,0))*IF(X581&gt;0,-15000,0)</f>
        <v>0</v>
      </c>
      <c r="AU581" s="5">
        <f t="shared" si="359"/>
        <v>0</v>
      </c>
      <c r="AV581" s="5">
        <f t="shared" si="360"/>
        <v>0</v>
      </c>
      <c r="AW581" s="5">
        <f t="shared" si="361"/>
        <v>0</v>
      </c>
      <c r="AX581" s="5">
        <f t="shared" si="362"/>
        <v>0</v>
      </c>
      <c r="AY581" s="5">
        <f t="shared" si="363"/>
        <v>0</v>
      </c>
      <c r="AZ581" s="5">
        <f t="shared" si="364"/>
        <v>0</v>
      </c>
      <c r="BA581" s="5">
        <f t="shared" si="365"/>
        <v>0</v>
      </c>
      <c r="BB581" s="5">
        <f t="shared" si="366"/>
        <v>0</v>
      </c>
      <c r="BC581" s="5">
        <f t="shared" si="367"/>
        <v>0</v>
      </c>
      <c r="BD581" s="5">
        <f t="shared" si="368"/>
        <v>-5000</v>
      </c>
      <c r="BE581" s="16">
        <f>INDEX('Team forecast'!$B$2:$AO$26,MATCH('Master data'!$B581,'Team forecast'!$B$2:$B$26,0),MATCH('Master data'!BE$1,'Team forecast'!$B$2:$AO$2,0))</f>
        <v>0.68661022841383224</v>
      </c>
      <c r="BF581" s="16">
        <f>INDEX('Team forecast'!$B$2:$AO$26,MATCH('Master data'!$B581,'Team forecast'!$B$2:$B$26,0),MATCH('Master data'!BF$1,'Team forecast'!$B$2:$AO$2,0))</f>
        <v>2.4374022591536644</v>
      </c>
      <c r="BG581" s="16">
        <f>INDEX('Team forecast'!$B$2:$AO$26,MATCH('Master data'!$B581,'Team forecast'!$B$2:$B$26,0),MATCH('Master data'!BG$1,'Team forecast'!$B$2:$AO$2,0))</f>
        <v>8.7387567112784156E-2</v>
      </c>
      <c r="BH581" s="16">
        <f>INDEX('Team forecast'!$B$2:$AO$26,MATCH('Master data'!$B581,'Team forecast'!$B$2:$B$26,0),MATCH('Master data'!BH$1,'Team forecast'!$B$2:$AO$2,0))</f>
        <v>2.2540234771161161</v>
      </c>
      <c r="BI581" s="16">
        <f>INDEX('Team forecast'!$B$2:$AO$26,MATCH('Master data'!$B581,'Team forecast'!$B$2:$B$26,0),MATCH('Master data'!BI$1,'Team forecast'!$B$2:$AO$2,0))</f>
        <v>6.7223331713644443</v>
      </c>
      <c r="BJ581" s="5">
        <f t="shared" si="369"/>
        <v>-5000</v>
      </c>
      <c r="BK581" s="5">
        <f>INDEX('Team forecast'!$R$3:$BH$26,MATCH($B581,'Team forecast'!$B$3:$B$26,0),MATCH(BK$1,'Team forecast'!$R$2:$BH$2,0))*IF($X581&gt;0,25000,0)</f>
        <v>0</v>
      </c>
      <c r="BL581" s="5">
        <f>INDEX('Team forecast'!$R$3:$BH$26,MATCH($B581,'Team forecast'!$B$3:$B$26,0),MATCH(BL$1,'Team forecast'!$R$2:$BH$2,0))*IF($X581&gt;0,5000,0)</f>
        <v>0</v>
      </c>
      <c r="BM581" s="5">
        <f>INDEX('Team forecast'!$R$3:$BH$26,MATCH($B581,'Team forecast'!$B$3:$B$26,0),MATCH(BM$1,'Team forecast'!$R$2:$BH$2,0))*IF($X581&gt;0,-15000,0)</f>
        <v>0</v>
      </c>
      <c r="BN581" s="5">
        <f t="shared" si="370"/>
        <v>0</v>
      </c>
      <c r="BO581" s="5">
        <f t="shared" si="371"/>
        <v>0</v>
      </c>
      <c r="BP581" s="5">
        <f t="shared" si="372"/>
        <v>0</v>
      </c>
      <c r="BQ581" s="5">
        <f t="shared" si="373"/>
        <v>0</v>
      </c>
      <c r="BR581" s="5">
        <f t="shared" si="374"/>
        <v>0</v>
      </c>
      <c r="BS581" s="5">
        <f t="shared" si="375"/>
        <v>0</v>
      </c>
      <c r="BT581" s="5">
        <f t="shared" si="376"/>
        <v>0</v>
      </c>
      <c r="BU581" s="5">
        <f t="shared" si="377"/>
        <v>0</v>
      </c>
      <c r="BV581" s="5">
        <f t="shared" si="378"/>
        <v>0</v>
      </c>
      <c r="BW581" s="5">
        <f t="shared" si="379"/>
        <v>-5000</v>
      </c>
      <c r="BX581" s="5">
        <f t="shared" si="380"/>
        <v>-5000</v>
      </c>
      <c r="BY581" s="5">
        <f t="shared" si="381"/>
        <v>-15000</v>
      </c>
      <c r="BZ581" s="5">
        <f>INDEX('Team forecast'!$R$3:$BH$26,MATCH($B581,'Team forecast'!$B$3:$B$26,0),MATCH(BZ$1,'Team forecast'!$R$2:$BH$2,0))*($BX581-(BY581+CH581)*0.01)</f>
        <v>-4204.2823299882584</v>
      </c>
      <c r="CA581" s="5">
        <f>INDEX('Team forecast'!$R$3:$BH$26,MATCH($B581,'Team forecast'!$B$3:$B$26,0),MATCH(CA$1,'Team forecast'!$R$2:$BH$2,0))*($BX581-(BY581+BX581+CH581)*0.01)</f>
        <v>-2060.1704269350516</v>
      </c>
      <c r="CB581" s="5">
        <f>INDEX('Team forecast'!$R$3:$BH$26,MATCH($B581,'Team forecast'!$B$3:$B$26,0),MATCH(CB$1,'Team forecast'!$R$2:$BH$2,0))*($BX581-(BY581+BX581*2+CH581)*0.01)</f>
        <v>-992.55902934201981</v>
      </c>
      <c r="CC581" s="5">
        <f>INDEX('Team forecast'!$R$3:$BH$26,MATCH($B581,'Team forecast'!$B$3:$B$26,0),MATCH(CC$1,'Team forecast'!$R$2:$BH$2,0))*($BX581-(BY581+BX581*3+CH581)*0.01)</f>
        <v>-449.6582077097849</v>
      </c>
      <c r="CD581" s="5">
        <f>+AK581+BD581*Cockpit!$C$3+BW581*Cockpit!$C$3^2+BZ581*Cockpit!$C$3^3+CA581*Cockpit!$C$3^4+CB581*Cockpit!$C$3^5+CC581*Cockpit!$C$3^6</f>
        <v>-12378.399611613679</v>
      </c>
      <c r="CE581" s="5"/>
      <c r="CF581" s="5"/>
      <c r="CG581" s="5">
        <v>0</v>
      </c>
      <c r="CH581" s="5">
        <f t="shared" si="382"/>
        <v>2000000</v>
      </c>
      <c r="CI581" s="5">
        <f t="shared" si="383"/>
        <v>2000000</v>
      </c>
      <c r="CJ581" s="1">
        <f t="shared" si="384"/>
        <v>-7.4999999999999997E-3</v>
      </c>
      <c r="CK581" s="5">
        <f>RANK(BY581,$BY$2:$BY$623)+COUNTIF($BY$2:$BY581,$BY581)-1</f>
        <v>605</v>
      </c>
      <c r="CL581" s="5">
        <f>RANK(CJ581,$CJ$2:$CJ$623)+COUNTIF($CJ$2:$CJ581,$CJ581)-1</f>
        <v>613</v>
      </c>
    </row>
    <row r="582" spans="1:90">
      <c r="A582" t="str">
        <f>Players!P583</f>
        <v>András Schäfer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0.75096675144877167</v>
      </c>
      <c r="I582" s="16">
        <f>INDEX('Team forecast'!$B$2:$AO$26,MATCH('Master data'!$B582,'Team forecast'!$B$2:$B$26,0),MATCH('Master data'!I$1,'Team forecast'!$B$2:$AO$2,0))</f>
        <v>1.7625676631272518</v>
      </c>
      <c r="J582" s="16">
        <f>INDEX('Team forecast'!$B$2:$AO$26,MATCH('Master data'!$B582,'Team forecast'!$B$2:$B$26,0),MATCH('Master data'!J$1,'Team forecast'!$B$2:$AO$2,0))</f>
        <v>0.1716036772216547</v>
      </c>
      <c r="K582" s="16">
        <f>INDEX('Team forecast'!$B$2:$AO$26,MATCH('Master data'!$B582,'Team forecast'!$B$2:$B$26,0),MATCH('Master data'!K$1,'Team forecast'!$B$2:$AO$2,0))</f>
        <v>2.4652948911197052</v>
      </c>
      <c r="L582" s="16">
        <f>INDEX('Team forecast'!$B$2:$AO$26,MATCH('Master data'!$B582,'Team forecast'!$B$2:$B$26,0),MATCH('Master data'!L$1,'Team forecast'!$B$2:$AO$2,0))</f>
        <v>4.8611455183966212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0.1744186046511628</v>
      </c>
      <c r="R582" s="2">
        <f>Players!BR583</f>
        <v>0</v>
      </c>
      <c r="S582" s="2">
        <f t="shared" si="343"/>
        <v>0.75096675144877167</v>
      </c>
      <c r="T582" s="2">
        <f t="shared" si="344"/>
        <v>1.7625676631272518</v>
      </c>
      <c r="U582" s="16">
        <f>INDEX('Team forecast'!$B$2:$AO$26,MATCH('Master data'!$B582,'Team forecast'!$B$2:$B$26,0),MATCH('Master data'!U$1,'Team forecast'!$B$2:$AO$2,0))</f>
        <v>0.1348314606741573</v>
      </c>
      <c r="V582" s="16">
        <f>INDEX('Team forecast'!$B$2:$AO$26,MATCH('Master data'!$B582,'Team forecast'!$B$2:$B$26,0),MATCH('Master data'!V$1,'Team forecast'!$B$2:$AO$2,0))</f>
        <v>0.2359550561797753</v>
      </c>
      <c r="W582" s="16">
        <f>INDEX('Team forecast'!$B$2:$AO$26,MATCH('Master data'!$B582,'Team forecast'!$B$2:$B$26,0),MATCH('Master data'!W$1,'Team forecast'!$B$2:$AO$2,0))</f>
        <v>0.6292134831460674</v>
      </c>
      <c r="X582" s="5">
        <f t="shared" si="345"/>
        <v>-5000</v>
      </c>
      <c r="Y582" s="5">
        <f t="shared" si="346"/>
        <v>0</v>
      </c>
      <c r="Z582" s="5">
        <f t="shared" si="347"/>
        <v>0</v>
      </c>
      <c r="AA582" s="5">
        <f t="shared" si="348"/>
        <v>0</v>
      </c>
      <c r="AB582" s="5">
        <f t="shared" si="349"/>
        <v>0</v>
      </c>
      <c r="AC582" s="5">
        <f t="shared" si="350"/>
        <v>0</v>
      </c>
      <c r="AD582" s="5">
        <f t="shared" si="351"/>
        <v>0</v>
      </c>
      <c r="AE582" s="5">
        <f t="shared" si="352"/>
        <v>0</v>
      </c>
      <c r="AF582" s="5">
        <f t="shared" si="353"/>
        <v>0</v>
      </c>
      <c r="AG582" s="5">
        <f t="shared" si="354"/>
        <v>0</v>
      </c>
      <c r="AH582" s="5">
        <f t="shared" si="355"/>
        <v>0</v>
      </c>
      <c r="AI582" s="5">
        <f t="shared" si="356"/>
        <v>0</v>
      </c>
      <c r="AJ582" s="5">
        <f t="shared" si="357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0.80291922538135296</v>
      </c>
      <c r="AM582" s="16">
        <f>INDEX('Team forecast'!$B$2:$AO$26,MATCH('Master data'!$B582,'Team forecast'!$B$2:$B$26,0),MATCH('Master data'!AM$1,'Team forecast'!$B$2:$AO$2,0))</f>
        <v>2.140423422331811</v>
      </c>
      <c r="AN582" s="16">
        <f>INDEX('Team forecast'!$B$2:$AO$26,MATCH('Master data'!$B582,'Team forecast'!$B$2:$B$26,0),MATCH('Master data'!AN$1,'Team forecast'!$B$2:$AO$2,0))</f>
        <v>0.1176050358792704</v>
      </c>
      <c r="AO582" s="16">
        <f>INDEX('Team forecast'!$B$2:$AO$26,MATCH('Master data'!$B582,'Team forecast'!$B$2:$B$26,0),MATCH('Master data'!AO$1,'Team forecast'!$B$2:$AO$2,0))</f>
        <v>2.6358459419084821</v>
      </c>
      <c r="AP582" s="16">
        <f>INDEX('Team forecast'!$B$2:$AO$26,MATCH('Master data'!$B582,'Team forecast'!$B$2:$B$26,0),MATCH('Master data'!AP$1,'Team forecast'!$B$2:$AO$2,0))</f>
        <v>5.9032682515452688</v>
      </c>
      <c r="AQ582" s="5">
        <f t="shared" si="358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359"/>
        <v>0</v>
      </c>
      <c r="AV582" s="5">
        <f t="shared" si="360"/>
        <v>0</v>
      </c>
      <c r="AW582" s="5">
        <f t="shared" si="361"/>
        <v>0</v>
      </c>
      <c r="AX582" s="5">
        <f t="shared" si="362"/>
        <v>0</v>
      </c>
      <c r="AY582" s="5">
        <f t="shared" si="363"/>
        <v>0</v>
      </c>
      <c r="AZ582" s="5">
        <f t="shared" si="364"/>
        <v>0</v>
      </c>
      <c r="BA582" s="5">
        <f t="shared" si="365"/>
        <v>0</v>
      </c>
      <c r="BB582" s="5">
        <f t="shared" si="366"/>
        <v>0</v>
      </c>
      <c r="BC582" s="5">
        <f t="shared" si="367"/>
        <v>0</v>
      </c>
      <c r="BD582" s="5">
        <f t="shared" si="368"/>
        <v>-5000</v>
      </c>
      <c r="BE582" s="16">
        <f>INDEX('Team forecast'!$B$2:$AO$26,MATCH('Master data'!$B582,'Team forecast'!$B$2:$B$26,0),MATCH('Master data'!BE$1,'Team forecast'!$B$2:$AO$2,0))</f>
        <v>0.68661022841383224</v>
      </c>
      <c r="BF582" s="16">
        <f>INDEX('Team forecast'!$B$2:$AO$26,MATCH('Master data'!$B582,'Team forecast'!$B$2:$B$26,0),MATCH('Master data'!BF$1,'Team forecast'!$B$2:$AO$2,0))</f>
        <v>2.4374022591536644</v>
      </c>
      <c r="BG582" s="16">
        <f>INDEX('Team forecast'!$B$2:$AO$26,MATCH('Master data'!$B582,'Team forecast'!$B$2:$B$26,0),MATCH('Master data'!BG$1,'Team forecast'!$B$2:$AO$2,0))</f>
        <v>8.7387567112784156E-2</v>
      </c>
      <c r="BH582" s="16">
        <f>INDEX('Team forecast'!$B$2:$AO$26,MATCH('Master data'!$B582,'Team forecast'!$B$2:$B$26,0),MATCH('Master data'!BH$1,'Team forecast'!$B$2:$AO$2,0))</f>
        <v>2.2540234771161161</v>
      </c>
      <c r="BI582" s="16">
        <f>INDEX('Team forecast'!$B$2:$AO$26,MATCH('Master data'!$B582,'Team forecast'!$B$2:$B$26,0),MATCH('Master data'!BI$1,'Team forecast'!$B$2:$AO$2,0))</f>
        <v>6.7223331713644443</v>
      </c>
      <c r="BJ582" s="5">
        <f t="shared" si="369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370"/>
        <v>0</v>
      </c>
      <c r="BO582" s="5">
        <f t="shared" si="371"/>
        <v>0</v>
      </c>
      <c r="BP582" s="5">
        <f t="shared" si="372"/>
        <v>0</v>
      </c>
      <c r="BQ582" s="5">
        <f t="shared" si="373"/>
        <v>0</v>
      </c>
      <c r="BR582" s="5">
        <f t="shared" si="374"/>
        <v>0</v>
      </c>
      <c r="BS582" s="5">
        <f t="shared" si="375"/>
        <v>0</v>
      </c>
      <c r="BT582" s="5">
        <f t="shared" si="376"/>
        <v>0</v>
      </c>
      <c r="BU582" s="5">
        <f t="shared" si="377"/>
        <v>0</v>
      </c>
      <c r="BV582" s="5">
        <f t="shared" si="378"/>
        <v>0</v>
      </c>
      <c r="BW582" s="5">
        <f t="shared" si="379"/>
        <v>-5000</v>
      </c>
      <c r="BX582" s="5">
        <f t="shared" si="380"/>
        <v>-5000</v>
      </c>
      <c r="BY582" s="5">
        <f t="shared" si="381"/>
        <v>-15000</v>
      </c>
      <c r="BZ582" s="5">
        <f>INDEX('Team forecast'!$R$3:$BH$26,MATCH($B582,'Team forecast'!$B$3:$B$26,0),MATCH(BZ$1,'Team forecast'!$R$2:$BH$2,0))*($BX582-(BY582+CH582)*0.01)</f>
        <v>-5050.2143883359968</v>
      </c>
      <c r="CA582" s="5">
        <f>INDEX('Team forecast'!$R$3:$BH$26,MATCH($B582,'Team forecast'!$B$3:$B$26,0),MATCH(CA$1,'Team forecast'!$R$2:$BH$2,0))*($BX582-(BY582+BX582+CH582)*0.01)</f>
        <v>-2475.5273678493763</v>
      </c>
      <c r="CB582" s="5">
        <f>INDEX('Team forecast'!$R$3:$BH$26,MATCH($B582,'Team forecast'!$B$3:$B$26,0),MATCH(CB$1,'Team forecast'!$R$2:$BH$2,0))*($BX582-(BY582+BX582*2+CH582)*0.01)</f>
        <v>-1193.0760049666703</v>
      </c>
      <c r="CC582" s="5">
        <f>INDEX('Team forecast'!$R$3:$BH$26,MATCH($B582,'Team forecast'!$B$3:$B$26,0),MATCH(CC$1,'Team forecast'!$R$2:$BH$2,0))*($BX582-(BY582+BX582*3+CH582)*0.01)</f>
        <v>-540.68213639597616</v>
      </c>
      <c r="CD582" s="5">
        <f>+AK582+BD582*Cockpit!$C$3+BW582*Cockpit!$C$3^2+BZ582*Cockpit!$C$3^3+CA582*Cockpit!$C$3^4+CB582*Cockpit!$C$3^5+CC582*Cockpit!$C$3^6</f>
        <v>-12745.488617362178</v>
      </c>
      <c r="CE582" s="5"/>
      <c r="CF582" s="5"/>
      <c r="CG582" s="5">
        <v>0</v>
      </c>
      <c r="CH582" s="5">
        <f t="shared" si="382"/>
        <v>2500000</v>
      </c>
      <c r="CI582" s="5">
        <f t="shared" si="383"/>
        <v>2500000</v>
      </c>
      <c r="CJ582" s="1">
        <f t="shared" si="384"/>
        <v>-6.0000000000000001E-3</v>
      </c>
      <c r="CK582" s="5">
        <f>RANK(BY582,$BY$2:$BY$623)+COUNTIF($BY$2:$BY582,$BY582)-1</f>
        <v>606</v>
      </c>
      <c r="CL582" s="5">
        <f>RANK(CJ582,$CJ$2:$CJ$623)+COUNTIF($CJ$2:$CJ582,$CJ582)-1</f>
        <v>573</v>
      </c>
    </row>
    <row r="583" spans="1:90">
      <c r="A583" t="str">
        <f>Players!P584</f>
        <v>Dávid Sigér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0.75096675144877167</v>
      </c>
      <c r="I583" s="16">
        <f>INDEX('Team forecast'!$B$2:$AO$26,MATCH('Master data'!$B583,'Team forecast'!$B$2:$B$26,0),MATCH('Master data'!I$1,'Team forecast'!$B$2:$AO$2,0))</f>
        <v>1.7625676631272518</v>
      </c>
      <c r="J583" s="16">
        <f>INDEX('Team forecast'!$B$2:$AO$26,MATCH('Master data'!$B583,'Team forecast'!$B$2:$B$26,0),MATCH('Master data'!J$1,'Team forecast'!$B$2:$AO$2,0))</f>
        <v>0.1716036772216547</v>
      </c>
      <c r="K583" s="16">
        <f>INDEX('Team forecast'!$B$2:$AO$26,MATCH('Master data'!$B583,'Team forecast'!$B$2:$B$26,0),MATCH('Master data'!K$1,'Team forecast'!$B$2:$AO$2,0))</f>
        <v>2.4652948911197052</v>
      </c>
      <c r="L583" s="16">
        <f>INDEX('Team forecast'!$B$2:$AO$26,MATCH('Master data'!$B583,'Team forecast'!$B$2:$B$26,0),MATCH('Master data'!L$1,'Team forecast'!$B$2:$AO$2,0))</f>
        <v>4.8611455183966212</v>
      </c>
      <c r="M583">
        <f>IF(Players!BC584=1,95,0)</f>
        <v>95</v>
      </c>
      <c r="N583" s="2">
        <f>Players!BN584</f>
        <v>5.6875223829176598E-2</v>
      </c>
      <c r="O583" s="2">
        <f>Players!BO584</f>
        <v>0.18840687915884244</v>
      </c>
      <c r="P583" s="2">
        <f>Players!BP584</f>
        <v>0</v>
      </c>
      <c r="Q583" s="2">
        <f>Players!BQ584</f>
        <v>3.5714285714285712E-2</v>
      </c>
      <c r="R583" s="2">
        <f>Players!BR584</f>
        <v>0</v>
      </c>
      <c r="S583" s="2">
        <f t="shared" si="343"/>
        <v>0.75096675144877167</v>
      </c>
      <c r="T583" s="2">
        <f t="shared" si="344"/>
        <v>1.7625676631272518</v>
      </c>
      <c r="U583" s="16">
        <f>INDEX('Team forecast'!$B$2:$AO$26,MATCH('Master data'!$B583,'Team forecast'!$B$2:$B$26,0),MATCH('Master data'!U$1,'Team forecast'!$B$2:$AO$2,0))</f>
        <v>0.1348314606741573</v>
      </c>
      <c r="V583" s="16">
        <f>INDEX('Team forecast'!$B$2:$AO$26,MATCH('Master data'!$B583,'Team forecast'!$B$2:$B$26,0),MATCH('Master data'!V$1,'Team forecast'!$B$2:$AO$2,0))</f>
        <v>0.2359550561797753</v>
      </c>
      <c r="W583" s="16">
        <f>INDEX('Team forecast'!$B$2:$AO$26,MATCH('Master data'!$B583,'Team forecast'!$B$2:$B$26,0),MATCH('Master data'!W$1,'Team forecast'!$B$2:$AO$2,0))</f>
        <v>0.6292134831460674</v>
      </c>
      <c r="X583" s="5">
        <f t="shared" si="345"/>
        <v>7000</v>
      </c>
      <c r="Y583" s="5">
        <f t="shared" si="346"/>
        <v>3370.7865168539324</v>
      </c>
      <c r="Z583" s="5">
        <f t="shared" si="347"/>
        <v>1179.7752808988764</v>
      </c>
      <c r="AA583" s="5">
        <f t="shared" si="348"/>
        <v>-9438.2022471910113</v>
      </c>
      <c r="AB583" s="5">
        <f t="shared" si="349"/>
        <v>5338.9252596148144</v>
      </c>
      <c r="AC583" s="5">
        <f t="shared" si="350"/>
        <v>7074.3650996258584</v>
      </c>
      <c r="AD583" s="5">
        <f t="shared" si="351"/>
        <v>0</v>
      </c>
      <c r="AE583" s="5">
        <f t="shared" si="352"/>
        <v>0</v>
      </c>
      <c r="AF583" s="5">
        <f t="shared" si="353"/>
        <v>0</v>
      </c>
      <c r="AG583" s="5">
        <f t="shared" si="354"/>
        <v>-714.28571428571422</v>
      </c>
      <c r="AH583" s="5">
        <f t="shared" si="355"/>
        <v>0</v>
      </c>
      <c r="AI583" s="5">
        <f t="shared" si="356"/>
        <v>7509.6675144877172</v>
      </c>
      <c r="AJ583" s="5">
        <f t="shared" si="357"/>
        <v>-14100.541305018014</v>
      </c>
      <c r="AK583" s="5">
        <f>IFERROR(SUM(X583:AJ583),-5000)*((Cockpit!$C$3)^0)</f>
        <v>7220.4904049864599</v>
      </c>
      <c r="AL583" s="16">
        <f>INDEX('Team forecast'!$B$2:$AO$26,MATCH('Master data'!$B583,'Team forecast'!$B$2:$B$26,0),MATCH('Master data'!AL$1,'Team forecast'!$B$2:$AO$2,0))</f>
        <v>0.80291922538135296</v>
      </c>
      <c r="AM583" s="16">
        <f>INDEX('Team forecast'!$B$2:$AO$26,MATCH('Master data'!$B583,'Team forecast'!$B$2:$B$26,0),MATCH('Master data'!AM$1,'Team forecast'!$B$2:$AO$2,0))</f>
        <v>2.140423422331811</v>
      </c>
      <c r="AN583" s="16">
        <f>INDEX('Team forecast'!$B$2:$AO$26,MATCH('Master data'!$B583,'Team forecast'!$B$2:$B$26,0),MATCH('Master data'!AN$1,'Team forecast'!$B$2:$AO$2,0))</f>
        <v>0.1176050358792704</v>
      </c>
      <c r="AO583" s="16">
        <f>INDEX('Team forecast'!$B$2:$AO$26,MATCH('Master data'!$B583,'Team forecast'!$B$2:$B$26,0),MATCH('Master data'!AO$1,'Team forecast'!$B$2:$AO$2,0))</f>
        <v>2.6358459419084821</v>
      </c>
      <c r="AP583" s="16">
        <f>INDEX('Team forecast'!$B$2:$AO$26,MATCH('Master data'!$B583,'Team forecast'!$B$2:$B$26,0),MATCH('Master data'!AP$1,'Team forecast'!$B$2:$AO$2,0))</f>
        <v>5.9032682515452688</v>
      </c>
      <c r="AQ583" s="5">
        <f t="shared" si="358"/>
        <v>7000</v>
      </c>
      <c r="AR583" s="5">
        <f>INDEX('Team forecast'!$B$2:$AO$26,MATCH('Master data'!$B583,'Team forecast'!$B$2:$B$26,0),MATCH('Master data'!AR$1,'Team forecast'!$B$2:$AO$2,0))*IF(X583&gt;0,25000,0)</f>
        <v>2767.1773148063626</v>
      </c>
      <c r="AS583" s="16">
        <f>INDEX('Team forecast'!$B$2:$AO$26,MATCH('Master data'!$B583,'Team forecast'!$B$2:$B$26,0),MATCH('Master data'!AS$1,'Team forecast'!$B$2:$AO$2,0))*IF(X583&gt;0,5000,0)</f>
        <v>1086.42065477386</v>
      </c>
      <c r="AT583" s="16">
        <f>INDEX('Team forecast'!$B$2:$AO$26,MATCH('Master data'!$B583,'Team forecast'!$B$2:$B$26,0),MATCH('Master data'!AT$1,'Team forecast'!$B$2:$AO$2,0))*IF(X583&gt;0,-15000,0)</f>
        <v>-10080.431646794603</v>
      </c>
      <c r="AU583" s="5">
        <f t="shared" si="359"/>
        <v>5708.2763325391925</v>
      </c>
      <c r="AV583" s="5">
        <f t="shared" si="360"/>
        <v>7563.7752735367967</v>
      </c>
      <c r="AW583" s="5">
        <f t="shared" si="361"/>
        <v>0</v>
      </c>
      <c r="AX583" s="5">
        <f t="shared" si="362"/>
        <v>0</v>
      </c>
      <c r="AY583" s="5">
        <f t="shared" si="363"/>
        <v>0</v>
      </c>
      <c r="AZ583" s="5">
        <f t="shared" si="364"/>
        <v>-714.28571428571422</v>
      </c>
      <c r="BA583" s="5">
        <f t="shared" si="365"/>
        <v>0</v>
      </c>
      <c r="BB583" s="5">
        <f t="shared" si="366"/>
        <v>8029.1922538135295</v>
      </c>
      <c r="BC583" s="5">
        <f t="shared" si="367"/>
        <v>-17123.38737865449</v>
      </c>
      <c r="BD583" s="5">
        <f t="shared" si="368"/>
        <v>4236.7370897349356</v>
      </c>
      <c r="BE583" s="16">
        <f>INDEX('Team forecast'!$B$2:$AO$26,MATCH('Master data'!$B583,'Team forecast'!$B$2:$B$26,0),MATCH('Master data'!BE$1,'Team forecast'!$B$2:$AO$2,0))</f>
        <v>0.68661022841383224</v>
      </c>
      <c r="BF583" s="16">
        <f>INDEX('Team forecast'!$B$2:$AO$26,MATCH('Master data'!$B583,'Team forecast'!$B$2:$B$26,0),MATCH('Master data'!BF$1,'Team forecast'!$B$2:$AO$2,0))</f>
        <v>2.4374022591536644</v>
      </c>
      <c r="BG583" s="16">
        <f>INDEX('Team forecast'!$B$2:$AO$26,MATCH('Master data'!$B583,'Team forecast'!$B$2:$B$26,0),MATCH('Master data'!BG$1,'Team forecast'!$B$2:$AO$2,0))</f>
        <v>8.7387567112784156E-2</v>
      </c>
      <c r="BH583" s="16">
        <f>INDEX('Team forecast'!$B$2:$AO$26,MATCH('Master data'!$B583,'Team forecast'!$B$2:$B$26,0),MATCH('Master data'!BH$1,'Team forecast'!$B$2:$AO$2,0))</f>
        <v>2.2540234771161161</v>
      </c>
      <c r="BI583" s="16">
        <f>INDEX('Team forecast'!$B$2:$AO$26,MATCH('Master data'!$B583,'Team forecast'!$B$2:$B$26,0),MATCH('Master data'!BI$1,'Team forecast'!$B$2:$AO$2,0))</f>
        <v>6.7223331713644443</v>
      </c>
      <c r="BJ583" s="5">
        <f t="shared" si="369"/>
        <v>7000</v>
      </c>
      <c r="BK583" s="5">
        <f>INDEX('Team forecast'!$R$3:$BH$26,MATCH($B583,'Team forecast'!$B$3:$B$26,0),MATCH(BK$1,'Team forecast'!$R$2:$BH$2,0))*IF($X583&gt;0,25000,0)</f>
        <v>1922.5264764812514</v>
      </c>
      <c r="BL583" s="5">
        <f>INDEX('Team forecast'!$R$3:$BH$26,MATCH($B583,'Team forecast'!$B$3:$B$26,0),MATCH(BL$1,'Team forecast'!$R$2:$BH$2,0))*IF($X583&gt;0,5000,0)</f>
        <v>739.43326018509651</v>
      </c>
      <c r="BM583" s="5">
        <f>INDEX('Team forecast'!$R$3:$BH$26,MATCH($B583,'Team forecast'!$B$3:$B$26,0),MATCH(BM$1,'Team forecast'!$R$2:$BH$2,0))*IF($X583&gt;0,-15000,0)</f>
        <v>-11628.184333555957</v>
      </c>
      <c r="BN583" s="5">
        <f t="shared" si="370"/>
        <v>4881.3888030548469</v>
      </c>
      <c r="BO583" s="5">
        <f t="shared" si="371"/>
        <v>6468.1045166995045</v>
      </c>
      <c r="BP583" s="5">
        <f t="shared" si="372"/>
        <v>0</v>
      </c>
      <c r="BQ583" s="5">
        <f t="shared" si="373"/>
        <v>0</v>
      </c>
      <c r="BR583" s="5">
        <f t="shared" si="374"/>
        <v>0</v>
      </c>
      <c r="BS583" s="5">
        <f t="shared" si="375"/>
        <v>-714.28571428571422</v>
      </c>
      <c r="BT583" s="5">
        <f t="shared" si="376"/>
        <v>0</v>
      </c>
      <c r="BU583" s="5">
        <f t="shared" si="377"/>
        <v>6866.1022841383219</v>
      </c>
      <c r="BV583" s="5">
        <f t="shared" si="378"/>
        <v>-19499.218073229316</v>
      </c>
      <c r="BW583" s="5">
        <f t="shared" si="379"/>
        <v>-3964.1327805119672</v>
      </c>
      <c r="BX583" s="5">
        <f t="shared" si="380"/>
        <v>2497.6982380698096</v>
      </c>
      <c r="BY583" s="5">
        <f t="shared" si="381"/>
        <v>7493.0947142094283</v>
      </c>
      <c r="BZ583" s="5">
        <f>INDEX('Team forecast'!$R$3:$BH$26,MATCH($B583,'Team forecast'!$B$3:$B$26,0),MATCH(BZ$1,'Team forecast'!$R$2:$BH$2,0))*($BX583-(BY583+CH583)*0.01)</f>
        <v>-3819.7609874762798</v>
      </c>
      <c r="CA583" s="5">
        <f>INDEX('Team forecast'!$R$3:$BH$26,MATCH($B583,'Team forecast'!$B$3:$B$26,0),MATCH(CA$1,'Team forecast'!$R$2:$BH$2,0))*($BX583-(BY583+BX583+CH583)*0.01)</f>
        <v>-1877.5969350692037</v>
      </c>
      <c r="CB583" s="5">
        <f>INDEX('Team forecast'!$R$3:$BH$26,MATCH($B583,'Team forecast'!$B$3:$B$26,0),MATCH(CB$1,'Team forecast'!$R$2:$BH$2,0))*($BX583-(BY583+BX583*2+CH583)*0.01)</f>
        <v>-907.42700774630487</v>
      </c>
      <c r="CC583" s="5">
        <f>INDEX('Team forecast'!$R$3:$BH$26,MATCH($B583,'Team forecast'!$B$3:$B$26,0),MATCH(CC$1,'Team forecast'!$R$2:$BH$2,0))*($BX583-(BY583+BX583*3+CH583)*0.01)</f>
        <v>-412.37778584623828</v>
      </c>
      <c r="CD583" s="5">
        <f>+AK583+BD583*Cockpit!$C$3+BW583*Cockpit!$C$3^2+BZ583*Cockpit!$C$3^3+CA583*Cockpit!$C$3^4+CB583*Cockpit!$C$3^5+CC583*Cockpit!$C$3^6</f>
        <v>6624.7808051821448</v>
      </c>
      <c r="CE583" s="5"/>
      <c r="CF583" s="5"/>
      <c r="CG583" s="5">
        <v>0</v>
      </c>
      <c r="CH583" s="5">
        <f t="shared" si="382"/>
        <v>2500000</v>
      </c>
      <c r="CI583" s="5">
        <f t="shared" si="383"/>
        <v>2500000</v>
      </c>
      <c r="CJ583" s="1">
        <f t="shared" si="384"/>
        <v>2.9972378856837714E-3</v>
      </c>
      <c r="CK583" s="5">
        <f>RANK(BY583,$BY$2:$BY$623)+COUNTIF($BY$2:$BY583,$BY583)-1</f>
        <v>404</v>
      </c>
      <c r="CL583" s="5">
        <f>RANK(CJ583,$CJ$2:$CJ$623)+COUNTIF($CJ$2:$CJ583,$CJ583)-1</f>
        <v>404</v>
      </c>
    </row>
    <row r="584" spans="1:90">
      <c r="A584" t="str">
        <f>Players!P585</f>
        <v>Ádám Nagy</v>
      </c>
      <c r="B584" t="str">
        <f>Players!G585</f>
        <v>Hungary</v>
      </c>
      <c r="C584" t="str">
        <f>Players!AB585</f>
        <v>Midfield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2500000</v>
      </c>
      <c r="H584" s="16">
        <f>INDEX('Team forecast'!$B$2:$AO$26,MATCH('Master data'!$B584,'Team forecast'!$B$2:$B$26,0),MATCH('Master data'!H$1,'Team forecast'!$B$2:$AO$2,0))</f>
        <v>0.75096675144877167</v>
      </c>
      <c r="I584" s="16">
        <f>INDEX('Team forecast'!$B$2:$AO$26,MATCH('Master data'!$B584,'Team forecast'!$B$2:$B$26,0),MATCH('Master data'!I$1,'Team forecast'!$B$2:$AO$2,0))</f>
        <v>1.7625676631272518</v>
      </c>
      <c r="J584" s="16">
        <f>INDEX('Team forecast'!$B$2:$AO$26,MATCH('Master data'!$B584,'Team forecast'!$B$2:$B$26,0),MATCH('Master data'!J$1,'Team forecast'!$B$2:$AO$2,0))</f>
        <v>0.1716036772216547</v>
      </c>
      <c r="K584" s="16">
        <f>INDEX('Team forecast'!$B$2:$AO$26,MATCH('Master data'!$B584,'Team forecast'!$B$2:$B$26,0),MATCH('Master data'!K$1,'Team forecast'!$B$2:$AO$2,0))</f>
        <v>2.4652948911197052</v>
      </c>
      <c r="L584" s="16">
        <f>INDEX('Team forecast'!$B$2:$AO$26,MATCH('Master data'!$B584,'Team forecast'!$B$2:$B$26,0),MATCH('Master data'!L$1,'Team forecast'!$B$2:$AO$2,0))</f>
        <v>4.8611455183966212</v>
      </c>
      <c r="M584">
        <f>IF(Players!BC585=1,95,0)</f>
        <v>95</v>
      </c>
      <c r="N584" s="2">
        <f>Players!BN585</f>
        <v>7.0460607513756657E-2</v>
      </c>
      <c r="O584" s="2">
        <f>Players!BO585</f>
        <v>5.4054390184799073E-2</v>
      </c>
      <c r="P584" s="2">
        <f>Players!BP585</f>
        <v>4.9116329072484075E-2</v>
      </c>
      <c r="Q584" s="2">
        <f>Players!BQ585</f>
        <v>0.28540500297796306</v>
      </c>
      <c r="R584" s="2">
        <f>Players!BR585</f>
        <v>0</v>
      </c>
      <c r="S584" s="2">
        <f t="shared" si="343"/>
        <v>0.75096675144877167</v>
      </c>
      <c r="T584" s="2">
        <f t="shared" si="344"/>
        <v>1.7625676631272518</v>
      </c>
      <c r="U584" s="16">
        <f>INDEX('Team forecast'!$B$2:$AO$26,MATCH('Master data'!$B584,'Team forecast'!$B$2:$B$26,0),MATCH('Master data'!U$1,'Team forecast'!$B$2:$AO$2,0))</f>
        <v>0.1348314606741573</v>
      </c>
      <c r="V584" s="16">
        <f>INDEX('Team forecast'!$B$2:$AO$26,MATCH('Master data'!$B584,'Team forecast'!$B$2:$B$26,0),MATCH('Master data'!V$1,'Team forecast'!$B$2:$AO$2,0))</f>
        <v>0.2359550561797753</v>
      </c>
      <c r="W584" s="16">
        <f>INDEX('Team forecast'!$B$2:$AO$26,MATCH('Master data'!$B584,'Team forecast'!$B$2:$B$26,0),MATCH('Master data'!W$1,'Team forecast'!$B$2:$AO$2,0))</f>
        <v>0.6292134831460674</v>
      </c>
      <c r="X584" s="5">
        <f t="shared" si="345"/>
        <v>7000</v>
      </c>
      <c r="Y584" s="5">
        <f t="shared" si="346"/>
        <v>3370.7865168539324</v>
      </c>
      <c r="Z584" s="5">
        <f t="shared" si="347"/>
        <v>1179.7752808988764</v>
      </c>
      <c r="AA584" s="5">
        <f t="shared" si="348"/>
        <v>-9438.2022471910113</v>
      </c>
      <c r="AB584" s="5">
        <f t="shared" si="349"/>
        <v>6614.1966912140933</v>
      </c>
      <c r="AC584" s="5">
        <f t="shared" si="350"/>
        <v>2029.6524899311466</v>
      </c>
      <c r="AD584" s="5">
        <f t="shared" si="351"/>
        <v>1210.8623513294924</v>
      </c>
      <c r="AE584" s="5">
        <f t="shared" si="352"/>
        <v>0</v>
      </c>
      <c r="AF584" s="5">
        <f t="shared" si="353"/>
        <v>0</v>
      </c>
      <c r="AG584" s="5">
        <f t="shared" si="354"/>
        <v>-5708.1000595592614</v>
      </c>
      <c r="AH584" s="5">
        <f t="shared" si="355"/>
        <v>0</v>
      </c>
      <c r="AI584" s="5">
        <f t="shared" si="356"/>
        <v>7509.6675144877172</v>
      </c>
      <c r="AJ584" s="5">
        <f t="shared" si="357"/>
        <v>-14100.541305018014</v>
      </c>
      <c r="AK584" s="5">
        <f>IFERROR(SUM(X584:AJ584),-5000)*((Cockpit!$C$3)^0)</f>
        <v>-331.90276705302676</v>
      </c>
      <c r="AL584" s="16">
        <f>INDEX('Team forecast'!$B$2:$AO$26,MATCH('Master data'!$B584,'Team forecast'!$B$2:$B$26,0),MATCH('Master data'!AL$1,'Team forecast'!$B$2:$AO$2,0))</f>
        <v>0.80291922538135296</v>
      </c>
      <c r="AM584" s="16">
        <f>INDEX('Team forecast'!$B$2:$AO$26,MATCH('Master data'!$B584,'Team forecast'!$B$2:$B$26,0),MATCH('Master data'!AM$1,'Team forecast'!$B$2:$AO$2,0))</f>
        <v>2.140423422331811</v>
      </c>
      <c r="AN584" s="16">
        <f>INDEX('Team forecast'!$B$2:$AO$26,MATCH('Master data'!$B584,'Team forecast'!$B$2:$B$26,0),MATCH('Master data'!AN$1,'Team forecast'!$B$2:$AO$2,0))</f>
        <v>0.1176050358792704</v>
      </c>
      <c r="AO584" s="16">
        <f>INDEX('Team forecast'!$B$2:$AO$26,MATCH('Master data'!$B584,'Team forecast'!$B$2:$B$26,0),MATCH('Master data'!AO$1,'Team forecast'!$B$2:$AO$2,0))</f>
        <v>2.6358459419084821</v>
      </c>
      <c r="AP584" s="16">
        <f>INDEX('Team forecast'!$B$2:$AO$26,MATCH('Master data'!$B584,'Team forecast'!$B$2:$B$26,0),MATCH('Master data'!AP$1,'Team forecast'!$B$2:$AO$2,0))</f>
        <v>5.9032682515452688</v>
      </c>
      <c r="AQ584" s="5">
        <f t="shared" si="358"/>
        <v>7000</v>
      </c>
      <c r="AR584" s="5">
        <f>INDEX('Team forecast'!$B$2:$AO$26,MATCH('Master data'!$B584,'Team forecast'!$B$2:$B$26,0),MATCH('Master data'!AR$1,'Team forecast'!$B$2:$AO$2,0))*IF(X584&gt;0,25000,0)</f>
        <v>2767.1773148063626</v>
      </c>
      <c r="AS584" s="16">
        <f>INDEX('Team forecast'!$B$2:$AO$26,MATCH('Master data'!$B584,'Team forecast'!$B$2:$B$26,0),MATCH('Master data'!AS$1,'Team forecast'!$B$2:$AO$2,0))*IF(X584&gt;0,5000,0)</f>
        <v>1086.42065477386</v>
      </c>
      <c r="AT584" s="16">
        <f>INDEX('Team forecast'!$B$2:$AO$26,MATCH('Master data'!$B584,'Team forecast'!$B$2:$B$26,0),MATCH('Master data'!AT$1,'Team forecast'!$B$2:$AO$2,0))*IF(X584&gt;0,-15000,0)</f>
        <v>-10080.431646794603</v>
      </c>
      <c r="AU584" s="5">
        <f t="shared" si="359"/>
        <v>7071.7720506056285</v>
      </c>
      <c r="AV584" s="5">
        <f t="shared" si="360"/>
        <v>2170.0654547820141</v>
      </c>
      <c r="AW584" s="5">
        <f t="shared" si="361"/>
        <v>1294.6307666714874</v>
      </c>
      <c r="AX584" s="5">
        <f t="shared" si="362"/>
        <v>0</v>
      </c>
      <c r="AY584" s="5">
        <f t="shared" si="363"/>
        <v>0</v>
      </c>
      <c r="AZ584" s="5">
        <f t="shared" si="364"/>
        <v>-5708.1000595592614</v>
      </c>
      <c r="BA584" s="5">
        <f t="shared" si="365"/>
        <v>0</v>
      </c>
      <c r="BB584" s="5">
        <f t="shared" si="366"/>
        <v>8029.1922538135295</v>
      </c>
      <c r="BC584" s="5">
        <f t="shared" si="367"/>
        <v>-17123.38737865449</v>
      </c>
      <c r="BD584" s="5">
        <f t="shared" si="368"/>
        <v>-3492.6605895554731</v>
      </c>
      <c r="BE584" s="16">
        <f>INDEX('Team forecast'!$B$2:$AO$26,MATCH('Master data'!$B584,'Team forecast'!$B$2:$B$26,0),MATCH('Master data'!BE$1,'Team forecast'!$B$2:$AO$2,0))</f>
        <v>0.68661022841383224</v>
      </c>
      <c r="BF584" s="16">
        <f>INDEX('Team forecast'!$B$2:$AO$26,MATCH('Master data'!$B584,'Team forecast'!$B$2:$B$26,0),MATCH('Master data'!BF$1,'Team forecast'!$B$2:$AO$2,0))</f>
        <v>2.4374022591536644</v>
      </c>
      <c r="BG584" s="16">
        <f>INDEX('Team forecast'!$B$2:$AO$26,MATCH('Master data'!$B584,'Team forecast'!$B$2:$B$26,0),MATCH('Master data'!BG$1,'Team forecast'!$B$2:$AO$2,0))</f>
        <v>8.7387567112784156E-2</v>
      </c>
      <c r="BH584" s="16">
        <f>INDEX('Team forecast'!$B$2:$AO$26,MATCH('Master data'!$B584,'Team forecast'!$B$2:$B$26,0),MATCH('Master data'!BH$1,'Team forecast'!$B$2:$AO$2,0))</f>
        <v>2.2540234771161161</v>
      </c>
      <c r="BI584" s="16">
        <f>INDEX('Team forecast'!$B$2:$AO$26,MATCH('Master data'!$B584,'Team forecast'!$B$2:$B$26,0),MATCH('Master data'!BI$1,'Team forecast'!$B$2:$AO$2,0))</f>
        <v>6.7223331713644443</v>
      </c>
      <c r="BJ584" s="5">
        <f t="shared" si="369"/>
        <v>7000</v>
      </c>
      <c r="BK584" s="5">
        <f>INDEX('Team forecast'!$R$3:$BH$26,MATCH($B584,'Team forecast'!$B$3:$B$26,0),MATCH(BK$1,'Team forecast'!$R$2:$BH$2,0))*IF($X584&gt;0,25000,0)</f>
        <v>1922.5264764812514</v>
      </c>
      <c r="BL584" s="5">
        <f>INDEX('Team forecast'!$R$3:$BH$26,MATCH($B584,'Team forecast'!$B$3:$B$26,0),MATCH(BL$1,'Team forecast'!$R$2:$BH$2,0))*IF($X584&gt;0,5000,0)</f>
        <v>739.43326018509651</v>
      </c>
      <c r="BM584" s="5">
        <f>INDEX('Team forecast'!$R$3:$BH$26,MATCH($B584,'Team forecast'!$B$3:$B$26,0),MATCH(BM$1,'Team forecast'!$R$2:$BH$2,0))*IF($X584&gt;0,-15000,0)</f>
        <v>-11628.184333555957</v>
      </c>
      <c r="BN584" s="5">
        <f t="shared" si="370"/>
        <v>6047.3717273997299</v>
      </c>
      <c r="BO584" s="5">
        <f t="shared" si="371"/>
        <v>1855.7148595777653</v>
      </c>
      <c r="BP584" s="5">
        <f t="shared" si="372"/>
        <v>1107.0935883913994</v>
      </c>
      <c r="BQ584" s="5">
        <f t="shared" si="373"/>
        <v>0</v>
      </c>
      <c r="BR584" s="5">
        <f t="shared" si="374"/>
        <v>0</v>
      </c>
      <c r="BS584" s="5">
        <f t="shared" si="375"/>
        <v>-5708.1000595592614</v>
      </c>
      <c r="BT584" s="5">
        <f t="shared" si="376"/>
        <v>0</v>
      </c>
      <c r="BU584" s="5">
        <f t="shared" si="377"/>
        <v>6866.1022841383219</v>
      </c>
      <c r="BV584" s="5">
        <f t="shared" si="378"/>
        <v>-19499.218073229316</v>
      </c>
      <c r="BW584" s="5">
        <f t="shared" si="379"/>
        <v>-11297.260270170971</v>
      </c>
      <c r="BX584" s="5">
        <f t="shared" si="380"/>
        <v>-5040.6078755931567</v>
      </c>
      <c r="BY584" s="5">
        <f t="shared" si="381"/>
        <v>-15121.823626779471</v>
      </c>
      <c r="BZ584" s="5">
        <f>INDEX('Team forecast'!$R$3:$BH$26,MATCH($B584,'Team forecast'!$B$3:$B$26,0),MATCH(BZ$1,'Team forecast'!$R$2:$BH$2,0))*($BX584-(BY584+CH584)*0.01)</f>
        <v>-5056.8785800704118</v>
      </c>
      <c r="CA584" s="5">
        <f>INDEX('Team forecast'!$R$3:$BH$26,MATCH($B584,'Team forecast'!$B$3:$B$26,0),MATCH(CA$1,'Team forecast'!$R$2:$BH$2,0))*($BX584-(BY584+BX584+CH584)*0.01)</f>
        <v>-2478.76578634219</v>
      </c>
      <c r="CB584" s="5">
        <f>INDEX('Team forecast'!$R$3:$BH$26,MATCH($B584,'Team forecast'!$B$3:$B$26,0),MATCH(CB$1,'Team forecast'!$R$2:$BH$2,0))*($BX584-(BY584+BX584*2+CH584)*0.01)</f>
        <v>-1194.6230929627618</v>
      </c>
      <c r="CC584" s="5">
        <f>INDEX('Team forecast'!$R$3:$BH$26,MATCH($B584,'Team forecast'!$B$3:$B$26,0),MATCH(CC$1,'Team forecast'!$R$2:$BH$2,0))*($BX584-(BY584+BX584*3+CH584)*0.01)</f>
        <v>-541.37703860992895</v>
      </c>
      <c r="CD584" s="5">
        <f>+AK584+BD584*Cockpit!$C$3+BW584*Cockpit!$C$3^2+BZ584*Cockpit!$C$3^3+CA584*Cockpit!$C$3^4+CB584*Cockpit!$C$3^5+CC584*Cockpit!$C$3^6</f>
        <v>-9874.1597876062478</v>
      </c>
      <c r="CE584" s="5"/>
      <c r="CF584" s="5"/>
      <c r="CG584" s="5">
        <v>0</v>
      </c>
      <c r="CH584" s="5">
        <f t="shared" si="382"/>
        <v>2500000</v>
      </c>
      <c r="CI584" s="5">
        <f t="shared" si="383"/>
        <v>2500000</v>
      </c>
      <c r="CJ584" s="1">
        <f t="shared" si="384"/>
        <v>-6.0487294507117883E-3</v>
      </c>
      <c r="CK584" s="5">
        <f>RANK(BY584,$BY$2:$BY$623)+COUNTIF($BY$2:$BY584,$BY584)-1</f>
        <v>617</v>
      </c>
      <c r="CL584" s="5">
        <f>RANK(CJ584,$CJ$2:$CJ$623)+COUNTIF($CJ$2:$CJ584,$CJ584)-1</f>
        <v>578</v>
      </c>
    </row>
    <row r="585" spans="1:90">
      <c r="A585" t="str">
        <f>Players!P586</f>
        <v>Daniel Bachmann</v>
      </c>
      <c r="B585" t="str">
        <f>Players!G586</f>
        <v>Austria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1.5562991347612565</v>
      </c>
      <c r="I585" s="16">
        <f>INDEX('Team forecast'!$B$2:$AO$26,MATCH('Master data'!$B585,'Team forecast'!$B$2:$B$26,0),MATCH('Master data'!I$1,'Team forecast'!$B$2:$AO$2,0))</f>
        <v>0.65653770483831209</v>
      </c>
      <c r="J585" s="16">
        <f>INDEX('Team forecast'!$B$2:$AO$26,MATCH('Master data'!$B585,'Team forecast'!$B$2:$B$26,0),MATCH('Master data'!J$1,'Team forecast'!$B$2:$AO$2,0))</f>
        <v>0.51864392781930047</v>
      </c>
      <c r="K585" s="16">
        <f>INDEX('Team forecast'!$B$2:$AO$26,MATCH('Master data'!$B585,'Team forecast'!$B$2:$B$26,0),MATCH('Master data'!K$1,'Team forecast'!$B$2:$AO$2,0))</f>
        <v>4.6996138345751106</v>
      </c>
      <c r="L585" s="16">
        <f>INDEX('Team forecast'!$B$2:$AO$26,MATCH('Master data'!$B585,'Team forecast'!$B$2:$B$26,0),MATCH('Master data'!L$1,'Team forecast'!$B$2:$AO$2,0))</f>
        <v>1.9825710955314819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5.7731888035126238</v>
      </c>
      <c r="R585" s="2">
        <f>Players!BR586</f>
        <v>0</v>
      </c>
      <c r="S585" s="2">
        <f t="shared" si="343"/>
        <v>1.5562991347612565</v>
      </c>
      <c r="T585" s="2">
        <f t="shared" si="344"/>
        <v>0.65653770483831209</v>
      </c>
      <c r="U585" s="16">
        <f>INDEX('Team forecast'!$B$2:$AO$26,MATCH('Master data'!$B585,'Team forecast'!$B$2:$B$26,0),MATCH('Master data'!U$1,'Team forecast'!$B$2:$AO$2,0))</f>
        <v>0.60453400503778332</v>
      </c>
      <c r="V585" s="16">
        <f>INDEX('Team forecast'!$B$2:$AO$26,MATCH('Master data'!$B585,'Team forecast'!$B$2:$B$26,0),MATCH('Master data'!V$1,'Team forecast'!$B$2:$AO$2,0))</f>
        <v>0.23727959697733</v>
      </c>
      <c r="W585" s="16">
        <f>INDEX('Team forecast'!$B$2:$AO$26,MATCH('Master data'!$B585,'Team forecast'!$B$2:$B$26,0),MATCH('Master data'!W$1,'Team forecast'!$B$2:$AO$2,0))</f>
        <v>0.15818639798488671</v>
      </c>
      <c r="X585" s="5">
        <f t="shared" si="345"/>
        <v>-5000</v>
      </c>
      <c r="Y585" s="5">
        <f t="shared" si="346"/>
        <v>0</v>
      </c>
      <c r="Z585" s="5">
        <f t="shared" si="347"/>
        <v>0</v>
      </c>
      <c r="AA585" s="5">
        <f t="shared" si="348"/>
        <v>0</v>
      </c>
      <c r="AB585" s="5">
        <f t="shared" si="349"/>
        <v>0</v>
      </c>
      <c r="AC585" s="5">
        <f t="shared" si="350"/>
        <v>0</v>
      </c>
      <c r="AD585" s="5">
        <f t="shared" si="351"/>
        <v>0</v>
      </c>
      <c r="AE585" s="5">
        <f t="shared" si="352"/>
        <v>38898.294586447533</v>
      </c>
      <c r="AF585" s="5">
        <f t="shared" si="353"/>
        <v>6630.1669534658495</v>
      </c>
      <c r="AG585" s="5">
        <f t="shared" si="354"/>
        <v>0</v>
      </c>
      <c r="AH585" s="5">
        <f t="shared" si="355"/>
        <v>0</v>
      </c>
      <c r="AI585" s="5">
        <f t="shared" si="356"/>
        <v>0</v>
      </c>
      <c r="AJ585" s="5">
        <f t="shared" si="357"/>
        <v>0</v>
      </c>
      <c r="AK585" s="5">
        <f>IFERROR(SUM(X585:AJ585),-5000)*((Cockpit!$C$3)^0)</f>
        <v>40528.461539913384</v>
      </c>
      <c r="AL585" s="16">
        <f>INDEX('Team forecast'!$B$2:$AO$26,MATCH('Master data'!$B585,'Team forecast'!$B$2:$B$26,0),MATCH('Master data'!AL$1,'Team forecast'!$B$2:$AO$2,0))</f>
        <v>0.7977891123063281</v>
      </c>
      <c r="AM585" s="16">
        <f>INDEX('Team forecast'!$B$2:$AO$26,MATCH('Master data'!$B585,'Team forecast'!$B$2:$B$26,0),MATCH('Master data'!AM$1,'Team forecast'!$B$2:$AO$2,0))</f>
        <v>1.8476112368050062</v>
      </c>
      <c r="AN585" s="16">
        <f>INDEX('Team forecast'!$B$2:$AO$26,MATCH('Master data'!$B585,'Team forecast'!$B$2:$B$26,0),MATCH('Master data'!AN$1,'Team forecast'!$B$2:$AO$2,0))</f>
        <v>0.15761321763936759</v>
      </c>
      <c r="AO585" s="16">
        <f>INDEX('Team forecast'!$B$2:$AO$26,MATCH('Master data'!$B585,'Team forecast'!$B$2:$B$26,0),MATCH('Master data'!AO$1,'Team forecast'!$B$2:$AO$2,0))</f>
        <v>2.4091131746618726</v>
      </c>
      <c r="AP585" s="16">
        <f>INDEX('Team forecast'!$B$2:$AO$26,MATCH('Master data'!$B585,'Team forecast'!$B$2:$B$26,0),MATCH('Master data'!AP$1,'Team forecast'!$B$2:$AO$2,0))</f>
        <v>5.5792997216677493</v>
      </c>
      <c r="AQ585" s="5">
        <f t="shared" si="358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359"/>
        <v>0</v>
      </c>
      <c r="AV585" s="5">
        <f t="shared" si="360"/>
        <v>0</v>
      </c>
      <c r="AW585" s="5">
        <f t="shared" si="361"/>
        <v>0</v>
      </c>
      <c r="AX585" s="5">
        <f t="shared" si="362"/>
        <v>11820.991322952568</v>
      </c>
      <c r="AY585" s="5">
        <f t="shared" si="363"/>
        <v>18658.442424313715</v>
      </c>
      <c r="AZ585" s="5">
        <f t="shared" si="364"/>
        <v>0</v>
      </c>
      <c r="BA585" s="5">
        <f t="shared" si="365"/>
        <v>0</v>
      </c>
      <c r="BB585" s="5">
        <f t="shared" si="366"/>
        <v>0</v>
      </c>
      <c r="BC585" s="5">
        <f t="shared" si="367"/>
        <v>0</v>
      </c>
      <c r="BD585" s="5">
        <f t="shared" si="368"/>
        <v>25479.433747266281</v>
      </c>
      <c r="BE585" s="16">
        <f>INDEX('Team forecast'!$B$2:$AO$26,MATCH('Master data'!$B585,'Team forecast'!$B$2:$B$26,0),MATCH('Master data'!BE$1,'Team forecast'!$B$2:$AO$2,0))</f>
        <v>1.1461513485277883</v>
      </c>
      <c r="BF585" s="16">
        <f>INDEX('Team forecast'!$B$2:$AO$26,MATCH('Master data'!$B585,'Team forecast'!$B$2:$B$26,0),MATCH('Master data'!BF$1,'Team forecast'!$B$2:$AO$2,0))</f>
        <v>1.1461513485277883</v>
      </c>
      <c r="BG585" s="16">
        <f>INDEX('Team forecast'!$B$2:$AO$26,MATCH('Master data'!$B585,'Team forecast'!$B$2:$B$26,0),MATCH('Master data'!BG$1,'Team forecast'!$B$2:$AO$2,0))</f>
        <v>0.31785774198959899</v>
      </c>
      <c r="BH585" s="16">
        <f>INDEX('Team forecast'!$B$2:$AO$26,MATCH('Master data'!$B585,'Team forecast'!$B$2:$B$26,0),MATCH('Master data'!BH$1,'Team forecast'!$B$2:$AO$2,0))</f>
        <v>3.4610754537779926</v>
      </c>
      <c r="BI585" s="16">
        <f>INDEX('Team forecast'!$B$2:$AO$26,MATCH('Master data'!$B585,'Team forecast'!$B$2:$B$26,0),MATCH('Master data'!BI$1,'Team forecast'!$B$2:$AO$2,0))</f>
        <v>3.4610754537779926</v>
      </c>
      <c r="BJ585" s="5">
        <f t="shared" si="369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370"/>
        <v>0</v>
      </c>
      <c r="BO585" s="5">
        <f t="shared" si="371"/>
        <v>0</v>
      </c>
      <c r="BP585" s="5">
        <f t="shared" si="372"/>
        <v>0</v>
      </c>
      <c r="BQ585" s="5">
        <f t="shared" si="373"/>
        <v>23839.330649219923</v>
      </c>
      <c r="BR585" s="5">
        <f t="shared" si="374"/>
        <v>11574.620526251023</v>
      </c>
      <c r="BS585" s="5">
        <f t="shared" si="375"/>
        <v>0</v>
      </c>
      <c r="BT585" s="5">
        <f t="shared" si="376"/>
        <v>0</v>
      </c>
      <c r="BU585" s="5">
        <f t="shared" si="377"/>
        <v>0</v>
      </c>
      <c r="BV585" s="5">
        <f t="shared" si="378"/>
        <v>0</v>
      </c>
      <c r="BW585" s="5">
        <f t="shared" si="379"/>
        <v>30413.951175470946</v>
      </c>
      <c r="BX585" s="5">
        <f t="shared" si="380"/>
        <v>32140.6154875502</v>
      </c>
      <c r="BY585" s="5">
        <f t="shared" si="381"/>
        <v>96421.846462650603</v>
      </c>
      <c r="BZ585" s="5">
        <f>INDEX('Team forecast'!$R$3:$BH$26,MATCH($B585,'Team forecast'!$B$3:$B$26,0),MATCH(BZ$1,'Team forecast'!$R$2:$BH$2,0))*($BX585-(BY585+CH585)*0.01)</f>
        <v>840.97348312900533</v>
      </c>
      <c r="CA585" s="5">
        <f>INDEX('Team forecast'!$R$3:$BH$26,MATCH($B585,'Team forecast'!$B$3:$B$26,0),MATCH(CA$1,'Team forecast'!$R$2:$BH$2,0))*($BX585-(BY585+BX585+CH585)*0.01)</f>
        <v>300.03491040721502</v>
      </c>
      <c r="CB585" s="5">
        <f>INDEX('Team forecast'!$R$3:$BH$26,MATCH($B585,'Team forecast'!$B$3:$B$26,0),MATCH(CB$1,'Team forecast'!$R$2:$BH$2,0))*($BX585-(BY585+BX585*2+CH585)*0.01)</f>
        <v>90.351777593072214</v>
      </c>
      <c r="CC585" s="5">
        <f>INDEX('Team forecast'!$R$3:$BH$26,MATCH($B585,'Team forecast'!$B$3:$B$26,0),MATCH(CC$1,'Team forecast'!$R$2:$BH$2,0))*($BX585-(BY585+BX585*3+CH585)*0.01)</f>
        <v>16.286608674400856</v>
      </c>
      <c r="CD585" s="5">
        <f>+AK585+BD585*Cockpit!$C$3+BW585*Cockpit!$C$3^2+BZ585*Cockpit!$C$3^3+CA585*Cockpit!$C$3^4+CB585*Cockpit!$C$3^5+CC585*Cockpit!$C$3^6</f>
        <v>71353.8338239773</v>
      </c>
      <c r="CE585" s="5"/>
      <c r="CF585" s="5"/>
      <c r="CG585" s="5">
        <v>0</v>
      </c>
      <c r="CH585" s="5">
        <f t="shared" si="382"/>
        <v>3000000</v>
      </c>
      <c r="CI585" s="5">
        <f t="shared" si="383"/>
        <v>3000000</v>
      </c>
      <c r="CJ585" s="1">
        <f t="shared" si="384"/>
        <v>3.2140615487550199E-2</v>
      </c>
      <c r="CK585" s="5">
        <f>RANK(BY585,$BY$2:$BY$623)+COUNTIF($BY$2:$BY585,$BY585)-1</f>
        <v>179</v>
      </c>
      <c r="CL585" s="5">
        <f>RANK(CJ585,$CJ$2:$CJ$623)+COUNTIF($CJ$2:$CJ585,$CJ585)-1</f>
        <v>126</v>
      </c>
    </row>
    <row r="586" spans="1:90">
      <c r="A586" t="str">
        <f>Players!P587</f>
        <v>Dušan Kuciak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0.81328039356128246</v>
      </c>
      <c r="I586" s="16">
        <f>INDEX('Team forecast'!$B$2:$AO$26,MATCH('Master data'!$B586,'Team forecast'!$B$2:$B$26,0),MATCH('Master data'!I$1,'Team forecast'!$B$2:$AO$2,0))</f>
        <v>1.5369105908463034</v>
      </c>
      <c r="J586" s="16">
        <f>INDEX('Team forecast'!$B$2:$AO$26,MATCH('Master data'!$B586,'Team forecast'!$B$2:$B$26,0),MATCH('Master data'!J$1,'Team forecast'!$B$2:$AO$2,0))</f>
        <v>0.21504443649322161</v>
      </c>
      <c r="K586" s="16">
        <f>INDEX('Team forecast'!$B$2:$AO$26,MATCH('Master data'!$B586,'Team forecast'!$B$2:$B$26,0),MATCH('Master data'!K$1,'Team forecast'!$B$2:$AO$2,0))</f>
        <v>2.6698598778526952</v>
      </c>
      <c r="L586" s="16">
        <f>INDEX('Team forecast'!$B$2:$AO$26,MATCH('Master data'!$B586,'Team forecast'!$B$2:$B$26,0),MATCH('Master data'!L$1,'Team forecast'!$B$2:$AO$2,0))</f>
        <v>4.1033306683839106</v>
      </c>
      <c r="M586">
        <f>IF(Players!BC587=1,95,0)</f>
        <v>0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0.15364916773367479</v>
      </c>
      <c r="R586" s="2">
        <f>Players!BR587</f>
        <v>0</v>
      </c>
      <c r="S586" s="2">
        <f t="shared" si="343"/>
        <v>0.81328039356128246</v>
      </c>
      <c r="T586" s="2">
        <f t="shared" si="344"/>
        <v>1.5369105908463034</v>
      </c>
      <c r="U586" s="16">
        <f>INDEX('Team forecast'!$B$2:$AO$26,MATCH('Master data'!$B586,'Team forecast'!$B$2:$B$26,0),MATCH('Master data'!U$1,'Team forecast'!$B$2:$AO$2,0))</f>
        <v>0.18622848200312991</v>
      </c>
      <c r="V586" s="16">
        <f>INDEX('Team forecast'!$B$2:$AO$26,MATCH('Master data'!$B586,'Team forecast'!$B$2:$B$26,0),MATCH('Master data'!V$1,'Team forecast'!$B$2:$AO$2,0))</f>
        <v>0.2660406885758998</v>
      </c>
      <c r="W586" s="16">
        <f>INDEX('Team forecast'!$B$2:$AO$26,MATCH('Master data'!$B586,'Team forecast'!$B$2:$B$26,0),MATCH('Master data'!W$1,'Team forecast'!$B$2:$AO$2,0))</f>
        <v>0.54773082942097018</v>
      </c>
      <c r="X586" s="5">
        <f t="shared" si="345"/>
        <v>-5000</v>
      </c>
      <c r="Y586" s="5">
        <f t="shared" si="346"/>
        <v>0</v>
      </c>
      <c r="Z586" s="5">
        <f t="shared" si="347"/>
        <v>0</v>
      </c>
      <c r="AA586" s="5">
        <f t="shared" si="348"/>
        <v>0</v>
      </c>
      <c r="AB586" s="5">
        <f t="shared" si="349"/>
        <v>0</v>
      </c>
      <c r="AC586" s="5">
        <f t="shared" si="350"/>
        <v>0</v>
      </c>
      <c r="AD586" s="5">
        <f t="shared" si="351"/>
        <v>0</v>
      </c>
      <c r="AE586" s="5">
        <f t="shared" si="352"/>
        <v>16128.332736991621</v>
      </c>
      <c r="AF586" s="5">
        <f t="shared" si="353"/>
        <v>12832.100387688037</v>
      </c>
      <c r="AG586" s="5">
        <f t="shared" si="354"/>
        <v>0</v>
      </c>
      <c r="AH586" s="5">
        <f t="shared" si="355"/>
        <v>0</v>
      </c>
      <c r="AI586" s="5">
        <f t="shared" si="356"/>
        <v>0</v>
      </c>
      <c r="AJ586" s="5">
        <f t="shared" si="357"/>
        <v>0</v>
      </c>
      <c r="AK586" s="5">
        <f>IFERROR(SUM(X586:AJ586),-5000)*((Cockpit!$C$3)^0)</f>
        <v>23960.433124679657</v>
      </c>
      <c r="AL586" s="16">
        <f>INDEX('Team forecast'!$B$2:$AO$26,MATCH('Master data'!$B586,'Team forecast'!$B$2:$B$26,0),MATCH('Master data'!AL$1,'Team forecast'!$B$2:$AO$2,0))</f>
        <v>0.80548012323268336</v>
      </c>
      <c r="AM586" s="16">
        <f>INDEX('Team forecast'!$B$2:$AO$26,MATCH('Master data'!$B586,'Team forecast'!$B$2:$B$26,0),MATCH('Master data'!AM$1,'Team forecast'!$B$2:$AO$2,0))</f>
        <v>1.3852986184856255</v>
      </c>
      <c r="AN586" s="16">
        <f>INDEX('Team forecast'!$B$2:$AO$26,MATCH('Master data'!$B586,'Team forecast'!$B$2:$B$26,0),MATCH('Master data'!AN$1,'Team forecast'!$B$2:$AO$2,0))</f>
        <v>0.25024905963763749</v>
      </c>
      <c r="AO586" s="16">
        <f>INDEX('Team forecast'!$B$2:$AO$26,MATCH('Master data'!$B586,'Team forecast'!$B$2:$B$26,0),MATCH('Master data'!AO$1,'Team forecast'!$B$2:$AO$2,0))</f>
        <v>2.6442529298042636</v>
      </c>
      <c r="AP586" s="16">
        <f>INDEX('Team forecast'!$B$2:$AO$26,MATCH('Master data'!$B586,'Team forecast'!$B$2:$B$26,0),MATCH('Master data'!AP$1,'Team forecast'!$B$2:$AO$2,0))</f>
        <v>3.6985484646649716</v>
      </c>
      <c r="AQ586" s="5">
        <f t="shared" si="358"/>
        <v>-5000</v>
      </c>
      <c r="AR586" s="5">
        <f>INDEX('Team forecast'!$B$2:$AO$26,MATCH('Master data'!$B586,'Team forecast'!$B$2:$B$26,0),MATCH('Master data'!AR$1,'Team forecast'!$B$2:$AO$2,0))*IF(X586&gt;0,25000,0)</f>
        <v>0</v>
      </c>
      <c r="AS586" s="16">
        <f>INDEX('Team forecast'!$B$2:$AO$26,MATCH('Master data'!$B586,'Team forecast'!$B$2:$B$26,0),MATCH('Master data'!AS$1,'Team forecast'!$B$2:$AO$2,0))*IF(X586&gt;0,5000,0)</f>
        <v>0</v>
      </c>
      <c r="AT586" s="16">
        <f>INDEX('Team forecast'!$B$2:$AO$26,MATCH('Master data'!$B586,'Team forecast'!$B$2:$B$26,0),MATCH('Master data'!AT$1,'Team forecast'!$B$2:$AO$2,0))*IF(X586&gt;0,-15000,0)</f>
        <v>0</v>
      </c>
      <c r="AU586" s="5">
        <f t="shared" si="359"/>
        <v>0</v>
      </c>
      <c r="AV586" s="5">
        <f t="shared" si="360"/>
        <v>0</v>
      </c>
      <c r="AW586" s="5">
        <f t="shared" si="361"/>
        <v>0</v>
      </c>
      <c r="AX586" s="5">
        <f t="shared" si="362"/>
        <v>18768.679472822812</v>
      </c>
      <c r="AY586" s="5">
        <f t="shared" si="363"/>
        <v>11566.24923089673</v>
      </c>
      <c r="AZ586" s="5">
        <f t="shared" si="364"/>
        <v>0</v>
      </c>
      <c r="BA586" s="5">
        <f t="shared" si="365"/>
        <v>0</v>
      </c>
      <c r="BB586" s="5">
        <f t="shared" si="366"/>
        <v>0</v>
      </c>
      <c r="BC586" s="5">
        <f t="shared" si="367"/>
        <v>0</v>
      </c>
      <c r="BD586" s="5">
        <f t="shared" si="368"/>
        <v>25334.928703719543</v>
      </c>
      <c r="BE586" s="16">
        <f>INDEX('Team forecast'!$B$2:$AO$26,MATCH('Master data'!$B586,'Team forecast'!$B$2:$B$26,0),MATCH('Master data'!BE$1,'Team forecast'!$B$2:$AO$2,0))</f>
        <v>0.56161379059809569</v>
      </c>
      <c r="BF586" s="16">
        <f>INDEX('Team forecast'!$B$2:$AO$26,MATCH('Master data'!$B586,'Team forecast'!$B$2:$B$26,0),MATCH('Master data'!BF$1,'Team forecast'!$B$2:$AO$2,0))</f>
        <v>2.3513752571634776</v>
      </c>
      <c r="BG586" s="16">
        <f>INDEX('Team forecast'!$B$2:$AO$26,MATCH('Master data'!$B586,'Team forecast'!$B$2:$B$26,0),MATCH('Master data'!BG$1,'Team forecast'!$B$2:$AO$2,0))</f>
        <v>9.5238095238095233E-2</v>
      </c>
      <c r="BH586" s="16">
        <f>INDEX('Team forecast'!$B$2:$AO$26,MATCH('Master data'!$B586,'Team forecast'!$B$2:$B$26,0),MATCH('Master data'!BH$1,'Team forecast'!$B$2:$AO$2,0))</f>
        <v>1.8436816358018293</v>
      </c>
      <c r="BI586" s="16">
        <f>INDEX('Team forecast'!$B$2:$AO$26,MATCH('Master data'!$B586,'Team forecast'!$B$2:$B$26,0),MATCH('Master data'!BI$1,'Team forecast'!$B$2:$AO$2,0))</f>
        <v>6.2778344186469877</v>
      </c>
      <c r="BJ586" s="5">
        <f t="shared" si="369"/>
        <v>-5000</v>
      </c>
      <c r="BK586" s="5">
        <f>INDEX('Team forecast'!$R$3:$BH$26,MATCH($B586,'Team forecast'!$B$3:$B$26,0),MATCH(BK$1,'Team forecast'!$R$2:$BH$2,0))*IF($X586&gt;0,25000,0)</f>
        <v>0</v>
      </c>
      <c r="BL586" s="5">
        <f>INDEX('Team forecast'!$R$3:$BH$26,MATCH($B586,'Team forecast'!$B$3:$B$26,0),MATCH(BL$1,'Team forecast'!$R$2:$BH$2,0))*IF($X586&gt;0,5000,0)</f>
        <v>0</v>
      </c>
      <c r="BM586" s="5">
        <f>INDEX('Team forecast'!$R$3:$BH$26,MATCH($B586,'Team forecast'!$B$3:$B$26,0),MATCH(BM$1,'Team forecast'!$R$2:$BH$2,0))*IF($X586&gt;0,-15000,0)</f>
        <v>0</v>
      </c>
      <c r="BN586" s="5">
        <f t="shared" si="370"/>
        <v>0</v>
      </c>
      <c r="BO586" s="5">
        <f t="shared" si="371"/>
        <v>0</v>
      </c>
      <c r="BP586" s="5">
        <f t="shared" si="372"/>
        <v>0</v>
      </c>
      <c r="BQ586" s="5">
        <f t="shared" si="373"/>
        <v>7142.8571428571422</v>
      </c>
      <c r="BR586" s="5">
        <f t="shared" si="374"/>
        <v>19632.295807417551</v>
      </c>
      <c r="BS586" s="5">
        <f t="shared" si="375"/>
        <v>0</v>
      </c>
      <c r="BT586" s="5">
        <f t="shared" si="376"/>
        <v>0</v>
      </c>
      <c r="BU586" s="5">
        <f t="shared" si="377"/>
        <v>0</v>
      </c>
      <c r="BV586" s="5">
        <f t="shared" si="378"/>
        <v>0</v>
      </c>
      <c r="BW586" s="5">
        <f t="shared" si="379"/>
        <v>21775.152950274693</v>
      </c>
      <c r="BX586" s="5">
        <f t="shared" si="380"/>
        <v>23690.171592891293</v>
      </c>
      <c r="BY586" s="5">
        <f t="shared" si="381"/>
        <v>71070.514778673882</v>
      </c>
      <c r="BZ586" s="5">
        <f>INDEX('Team forecast'!$R$3:$BH$26,MATCH($B586,'Team forecast'!$B$3:$B$26,0),MATCH(BZ$1,'Team forecast'!$R$2:$BH$2,0))*($BX586-(BY586+CH586)*0.01)</f>
        <v>-2375.5577603168267</v>
      </c>
      <c r="CA586" s="5">
        <f>INDEX('Team forecast'!$R$3:$BH$26,MATCH($B586,'Team forecast'!$B$3:$B$26,0),MATCH(CA$1,'Team forecast'!$R$2:$BH$2,0))*($BX586-(BY586+BX586+CH586)*0.01)</f>
        <v>-1204.1524762198617</v>
      </c>
      <c r="CB586" s="5">
        <f>INDEX('Team forecast'!$R$3:$BH$26,MATCH($B586,'Team forecast'!$B$3:$B$26,0),MATCH(CB$1,'Team forecast'!$R$2:$BH$2,0))*($BX586-(BY586+BX586*2+CH586)*0.01)</f>
        <v>-598.6888205751959</v>
      </c>
      <c r="CC586" s="5">
        <f>INDEX('Team forecast'!$R$3:$BH$26,MATCH($B586,'Team forecast'!$B$3:$B$26,0),MATCH(CC$1,'Team forecast'!$R$2:$BH$2,0))*($BX586-(BY586+BX586*3+CH586)*0.01)</f>
        <v>-278.15728583103584</v>
      </c>
      <c r="CD586" s="5">
        <f>+AK586+BD586*Cockpit!$C$3+BW586*Cockpit!$C$3^2+BZ586*Cockpit!$C$3^3+CA586*Cockpit!$C$3^4+CB586*Cockpit!$C$3^5+CC586*Cockpit!$C$3^6</f>
        <v>49483.245580131224</v>
      </c>
      <c r="CE586" s="5"/>
      <c r="CF586" s="5"/>
      <c r="CG586" s="5">
        <v>0</v>
      </c>
      <c r="CH586" s="5">
        <f t="shared" si="382"/>
        <v>3000000</v>
      </c>
      <c r="CI586" s="5">
        <f t="shared" si="383"/>
        <v>3000000</v>
      </c>
      <c r="CJ586" s="1">
        <f t="shared" si="384"/>
        <v>2.3690171592891295E-2</v>
      </c>
      <c r="CK586" s="5">
        <f>RANK(BY586,$BY$2:$BY$623)+COUNTIF($BY$2:$BY586,$BY586)-1</f>
        <v>239</v>
      </c>
      <c r="CL586" s="5">
        <f>RANK(CJ586,$CJ$2:$CJ$623)+COUNTIF($CJ$2:$CJ586,$CJ586)-1</f>
        <v>223</v>
      </c>
    </row>
    <row r="587" spans="1:90">
      <c r="A587" t="str">
        <f>Players!P588</f>
        <v>Martin Dúbravka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0.81328039356128246</v>
      </c>
      <c r="I587" s="16">
        <f>INDEX('Team forecast'!$B$2:$AO$26,MATCH('Master data'!$B587,'Team forecast'!$B$2:$B$26,0),MATCH('Master data'!I$1,'Team forecast'!$B$2:$AO$2,0))</f>
        <v>1.5369105908463034</v>
      </c>
      <c r="J587" s="16">
        <f>INDEX('Team forecast'!$B$2:$AO$26,MATCH('Master data'!$B587,'Team forecast'!$B$2:$B$26,0),MATCH('Master data'!J$1,'Team forecast'!$B$2:$AO$2,0))</f>
        <v>0.21504443649322161</v>
      </c>
      <c r="K587" s="16">
        <f>INDEX('Team forecast'!$B$2:$AO$26,MATCH('Master data'!$B587,'Team forecast'!$B$2:$B$26,0),MATCH('Master data'!K$1,'Team forecast'!$B$2:$AO$2,0))</f>
        <v>2.6698598778526952</v>
      </c>
      <c r="L587" s="16">
        <f>INDEX('Team forecast'!$B$2:$AO$26,MATCH('Master data'!$B587,'Team forecast'!$B$2:$B$26,0),MATCH('Master data'!L$1,'Team forecast'!$B$2:$AO$2,0))</f>
        <v>4.1033306683839106</v>
      </c>
      <c r="M587">
        <f>IF(Players!BC588=1,95,0)</f>
        <v>95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6.5000000000000002E-2</v>
      </c>
      <c r="R587" s="2">
        <f>Players!BR588</f>
        <v>0</v>
      </c>
      <c r="S587" s="2">
        <f t="shared" si="343"/>
        <v>0.81328039356128246</v>
      </c>
      <c r="T587" s="2">
        <f t="shared" si="344"/>
        <v>1.5369105908463034</v>
      </c>
      <c r="U587" s="16">
        <f>INDEX('Team forecast'!$B$2:$AO$26,MATCH('Master data'!$B587,'Team forecast'!$B$2:$B$26,0),MATCH('Master data'!U$1,'Team forecast'!$B$2:$AO$2,0))</f>
        <v>0.18622848200312991</v>
      </c>
      <c r="V587" s="16">
        <f>INDEX('Team forecast'!$B$2:$AO$26,MATCH('Master data'!$B587,'Team forecast'!$B$2:$B$26,0),MATCH('Master data'!V$1,'Team forecast'!$B$2:$AO$2,0))</f>
        <v>0.2660406885758998</v>
      </c>
      <c r="W587" s="16">
        <f>INDEX('Team forecast'!$B$2:$AO$26,MATCH('Master data'!$B587,'Team forecast'!$B$2:$B$26,0),MATCH('Master data'!W$1,'Team forecast'!$B$2:$AO$2,0))</f>
        <v>0.54773082942097018</v>
      </c>
      <c r="X587" s="5">
        <f t="shared" si="345"/>
        <v>7000</v>
      </c>
      <c r="Y587" s="5">
        <f t="shared" si="346"/>
        <v>4655.7120500782476</v>
      </c>
      <c r="Z587" s="5">
        <f t="shared" si="347"/>
        <v>1330.2034428794989</v>
      </c>
      <c r="AA587" s="5">
        <f t="shared" si="348"/>
        <v>-8215.9624413145521</v>
      </c>
      <c r="AB587" s="5">
        <f t="shared" si="349"/>
        <v>0</v>
      </c>
      <c r="AC587" s="5">
        <f t="shared" si="350"/>
        <v>0</v>
      </c>
      <c r="AD587" s="5">
        <f t="shared" si="351"/>
        <v>0</v>
      </c>
      <c r="AE587" s="5">
        <f t="shared" si="352"/>
        <v>16128.332736991621</v>
      </c>
      <c r="AF587" s="5">
        <f t="shared" si="353"/>
        <v>12832.100387688037</v>
      </c>
      <c r="AG587" s="5">
        <f t="shared" si="354"/>
        <v>-1300</v>
      </c>
      <c r="AH587" s="5">
        <f t="shared" si="355"/>
        <v>0</v>
      </c>
      <c r="AI587" s="5">
        <f t="shared" si="356"/>
        <v>8132.8039356128247</v>
      </c>
      <c r="AJ587" s="5">
        <f t="shared" si="357"/>
        <v>-12295.284726770427</v>
      </c>
      <c r="AK587" s="5">
        <f>IFERROR(SUM(X587:AJ587),-5000)*((Cockpit!$C$3)^0)</f>
        <v>28267.90538516525</v>
      </c>
      <c r="AL587" s="16">
        <f>INDEX('Team forecast'!$B$2:$AO$26,MATCH('Master data'!$B587,'Team forecast'!$B$2:$B$26,0),MATCH('Master data'!AL$1,'Team forecast'!$B$2:$AO$2,0))</f>
        <v>0.80548012323268336</v>
      </c>
      <c r="AM587" s="16">
        <f>INDEX('Team forecast'!$B$2:$AO$26,MATCH('Master data'!$B587,'Team forecast'!$B$2:$B$26,0),MATCH('Master data'!AM$1,'Team forecast'!$B$2:$AO$2,0))</f>
        <v>1.3852986184856255</v>
      </c>
      <c r="AN587" s="16">
        <f>INDEX('Team forecast'!$B$2:$AO$26,MATCH('Master data'!$B587,'Team forecast'!$B$2:$B$26,0),MATCH('Master data'!AN$1,'Team forecast'!$B$2:$AO$2,0))</f>
        <v>0.25024905963763749</v>
      </c>
      <c r="AO587" s="16">
        <f>INDEX('Team forecast'!$B$2:$AO$26,MATCH('Master data'!$B587,'Team forecast'!$B$2:$B$26,0),MATCH('Master data'!AO$1,'Team forecast'!$B$2:$AO$2,0))</f>
        <v>2.6442529298042636</v>
      </c>
      <c r="AP587" s="16">
        <f>INDEX('Team forecast'!$B$2:$AO$26,MATCH('Master data'!$B587,'Team forecast'!$B$2:$B$26,0),MATCH('Master data'!AP$1,'Team forecast'!$B$2:$AO$2,0))</f>
        <v>3.6985484646649716</v>
      </c>
      <c r="AQ587" s="5">
        <f t="shared" si="358"/>
        <v>7000</v>
      </c>
      <c r="AR587" s="5">
        <f>INDEX('Team forecast'!$B$2:$AO$26,MATCH('Master data'!$B587,'Team forecast'!$B$2:$B$26,0),MATCH('Master data'!AR$1,'Team forecast'!$B$2:$AO$2,0))*IF(X587&gt;0,25000,0)</f>
        <v>5418.2100094754078</v>
      </c>
      <c r="AS587" s="16">
        <f>INDEX('Team forecast'!$B$2:$AO$26,MATCH('Master data'!$B587,'Team forecast'!$B$2:$B$26,0),MATCH('Master data'!AS$1,'Team forecast'!$B$2:$AO$2,0))*IF(X587&gt;0,5000,0)</f>
        <v>1380.0499612369715</v>
      </c>
      <c r="AT587" s="16">
        <f>INDEX('Team forecast'!$B$2:$AO$26,MATCH('Master data'!$B587,'Team forecast'!$B$2:$B$26,0),MATCH('Master data'!AT$1,'Team forecast'!$B$2:$AO$2,0))*IF(X587&gt;0,-15000,0)</f>
        <v>-7608.9241106038426</v>
      </c>
      <c r="AU587" s="5">
        <f t="shared" si="359"/>
        <v>0</v>
      </c>
      <c r="AV587" s="5">
        <f t="shared" si="360"/>
        <v>0</v>
      </c>
      <c r="AW587" s="5">
        <f t="shared" si="361"/>
        <v>0</v>
      </c>
      <c r="AX587" s="5">
        <f t="shared" si="362"/>
        <v>18768.679472822812</v>
      </c>
      <c r="AY587" s="5">
        <f t="shared" si="363"/>
        <v>11566.24923089673</v>
      </c>
      <c r="AZ587" s="5">
        <f t="shared" si="364"/>
        <v>-1300</v>
      </c>
      <c r="BA587" s="5">
        <f t="shared" si="365"/>
        <v>0</v>
      </c>
      <c r="BB587" s="5">
        <f t="shared" si="366"/>
        <v>8054.801232326834</v>
      </c>
      <c r="BC587" s="5">
        <f t="shared" si="367"/>
        <v>-11082.388947885003</v>
      </c>
      <c r="BD587" s="5">
        <f t="shared" si="368"/>
        <v>32196.676848269912</v>
      </c>
      <c r="BE587" s="16">
        <f>INDEX('Team forecast'!$B$2:$AO$26,MATCH('Master data'!$B587,'Team forecast'!$B$2:$B$26,0),MATCH('Master data'!BE$1,'Team forecast'!$B$2:$AO$2,0))</f>
        <v>0.56161379059809569</v>
      </c>
      <c r="BF587" s="16">
        <f>INDEX('Team forecast'!$B$2:$AO$26,MATCH('Master data'!$B587,'Team forecast'!$B$2:$B$26,0),MATCH('Master data'!BF$1,'Team forecast'!$B$2:$AO$2,0))</f>
        <v>2.3513752571634776</v>
      </c>
      <c r="BG587" s="16">
        <f>INDEX('Team forecast'!$B$2:$AO$26,MATCH('Master data'!$B587,'Team forecast'!$B$2:$B$26,0),MATCH('Master data'!BG$1,'Team forecast'!$B$2:$AO$2,0))</f>
        <v>9.5238095238095233E-2</v>
      </c>
      <c r="BH587" s="16">
        <f>INDEX('Team forecast'!$B$2:$AO$26,MATCH('Master data'!$B587,'Team forecast'!$B$2:$B$26,0),MATCH('Master data'!BH$1,'Team forecast'!$B$2:$AO$2,0))</f>
        <v>1.8436816358018293</v>
      </c>
      <c r="BI587" s="16">
        <f>INDEX('Team forecast'!$B$2:$AO$26,MATCH('Master data'!$B587,'Team forecast'!$B$2:$B$26,0),MATCH('Master data'!BI$1,'Team forecast'!$B$2:$AO$2,0))</f>
        <v>6.2778344186469877</v>
      </c>
      <c r="BJ587" s="5">
        <f t="shared" si="369"/>
        <v>7000</v>
      </c>
      <c r="BK587" s="5">
        <f>INDEX('Team forecast'!$R$3:$BH$26,MATCH($B587,'Team forecast'!$B$3:$B$26,0),MATCH(BK$1,'Team forecast'!$R$2:$BH$2,0))*IF($X587&gt;0,25000,0)</f>
        <v>1700.6802721088434</v>
      </c>
      <c r="BL587" s="5">
        <f>INDEX('Team forecast'!$R$3:$BH$26,MATCH($B587,'Team forecast'!$B$3:$B$26,0),MATCH(BL$1,'Team forecast'!$R$2:$BH$2,0))*IF($X587&gt;0,5000,0)</f>
        <v>850.34013605442146</v>
      </c>
      <c r="BM587" s="5">
        <f>INDEX('Team forecast'!$R$3:$BH$26,MATCH($B587,'Team forecast'!$B$3:$B$26,0),MATCH(BM$1,'Team forecast'!$R$2:$BH$2,0))*IF($X587&gt;0,-15000,0)</f>
        <v>-11428.571428571428</v>
      </c>
      <c r="BN587" s="5">
        <f t="shared" si="370"/>
        <v>0</v>
      </c>
      <c r="BO587" s="5">
        <f t="shared" si="371"/>
        <v>0</v>
      </c>
      <c r="BP587" s="5">
        <f t="shared" si="372"/>
        <v>0</v>
      </c>
      <c r="BQ587" s="5">
        <f t="shared" si="373"/>
        <v>7142.8571428571422</v>
      </c>
      <c r="BR587" s="5">
        <f t="shared" si="374"/>
        <v>19632.295807417551</v>
      </c>
      <c r="BS587" s="5">
        <f t="shared" si="375"/>
        <v>-1300</v>
      </c>
      <c r="BT587" s="5">
        <f t="shared" si="376"/>
        <v>0</v>
      </c>
      <c r="BU587" s="5">
        <f t="shared" si="377"/>
        <v>5616.1379059809569</v>
      </c>
      <c r="BV587" s="5">
        <f t="shared" si="378"/>
        <v>-18811.002057307822</v>
      </c>
      <c r="BW587" s="5">
        <f t="shared" si="379"/>
        <v>10402.737778539667</v>
      </c>
      <c r="BX587" s="5">
        <f t="shared" si="380"/>
        <v>23622.440003991611</v>
      </c>
      <c r="BY587" s="5">
        <f t="shared" si="381"/>
        <v>70867.320011974836</v>
      </c>
      <c r="BZ587" s="5">
        <f>INDEX('Team forecast'!$R$3:$BH$26,MATCH($B587,'Team forecast'!$B$3:$B$26,0),MATCH(BZ$1,'Team forecast'!$R$2:$BH$2,0))*($BX587-(BY587+CH587)*0.01)</f>
        <v>-2397.7887334130996</v>
      </c>
      <c r="CA587" s="5">
        <f>INDEX('Team forecast'!$R$3:$BH$26,MATCH($B587,'Team forecast'!$B$3:$B$26,0),MATCH(CA$1,'Team forecast'!$R$2:$BH$2,0))*($BX587-(BY587+BX587+CH587)*0.01)</f>
        <v>-1214.9409698337065</v>
      </c>
      <c r="CB587" s="5">
        <f>INDEX('Team forecast'!$R$3:$BH$26,MATCH($B587,'Team forecast'!$B$3:$B$26,0),MATCH(CB$1,'Team forecast'!$R$2:$BH$2,0))*($BX587-(BY587+BX587*2+CH587)*0.01)</f>
        <v>-603.82905351220177</v>
      </c>
      <c r="CC587" s="5">
        <f>INDEX('Team forecast'!$R$3:$BH$26,MATCH($B587,'Team forecast'!$B$3:$B$26,0),MATCH(CC$1,'Team forecast'!$R$2:$BH$2,0))*($BX587-(BY587+BX587*3+CH587)*0.01)</f>
        <v>-280.4479450020188</v>
      </c>
      <c r="CD587" s="5">
        <f>+AK587+BD587*Cockpit!$C$3+BW587*Cockpit!$C$3^2+BZ587*Cockpit!$C$3^3+CA587*Cockpit!$C$3^4+CB587*Cockpit!$C$3^5+CC587*Cockpit!$C$3^6</f>
        <v>53301.213841702222</v>
      </c>
      <c r="CE587" s="5"/>
      <c r="CF587" s="5"/>
      <c r="CG587" s="5">
        <v>0</v>
      </c>
      <c r="CH587" s="5">
        <f t="shared" si="382"/>
        <v>3000000</v>
      </c>
      <c r="CI587" s="5">
        <f t="shared" si="383"/>
        <v>3000000</v>
      </c>
      <c r="CJ587" s="1">
        <f t="shared" si="384"/>
        <v>2.3622440003991611E-2</v>
      </c>
      <c r="CK587" s="5">
        <f>RANK(BY587,$BY$2:$BY$623)+COUNTIF($BY$2:$BY587,$BY587)-1</f>
        <v>241</v>
      </c>
      <c r="CL587" s="5">
        <f>RANK(CJ587,$CJ$2:$CJ$623)+COUNTIF($CJ$2:$CJ587,$CJ587)-1</f>
        <v>225</v>
      </c>
    </row>
    <row r="588" spans="1:90">
      <c r="A588" t="str">
        <f>Players!P589</f>
        <v>Marek Rodák</v>
      </c>
      <c r="B588" t="str">
        <f>Players!G589</f>
        <v>Slovakia</v>
      </c>
      <c r="C588" t="str">
        <f>Players!AB589</f>
        <v>Goalkeeper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3000000</v>
      </c>
      <c r="H588" s="16">
        <f>INDEX('Team forecast'!$B$2:$AO$26,MATCH('Master data'!$B588,'Team forecast'!$B$2:$B$26,0),MATCH('Master data'!H$1,'Team forecast'!$B$2:$AO$2,0))</f>
        <v>0.81328039356128246</v>
      </c>
      <c r="I588" s="16">
        <f>INDEX('Team forecast'!$B$2:$AO$26,MATCH('Master data'!$B588,'Team forecast'!$B$2:$B$26,0),MATCH('Master data'!I$1,'Team forecast'!$B$2:$AO$2,0))</f>
        <v>1.5369105908463034</v>
      </c>
      <c r="J588" s="16">
        <f>INDEX('Team forecast'!$B$2:$AO$26,MATCH('Master data'!$B588,'Team forecast'!$B$2:$B$26,0),MATCH('Master data'!J$1,'Team forecast'!$B$2:$AO$2,0))</f>
        <v>0.21504443649322161</v>
      </c>
      <c r="K588" s="16">
        <f>INDEX('Team forecast'!$B$2:$AO$26,MATCH('Master data'!$B588,'Team forecast'!$B$2:$B$26,0),MATCH('Master data'!K$1,'Team forecast'!$B$2:$AO$2,0))</f>
        <v>2.6698598778526952</v>
      </c>
      <c r="L588" s="16">
        <f>INDEX('Team forecast'!$B$2:$AO$26,MATCH('Master data'!$B588,'Team forecast'!$B$2:$B$26,0),MATCH('Master data'!L$1,'Team forecast'!$B$2:$AO$2,0))</f>
        <v>4.1033306683839106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0.25</v>
      </c>
      <c r="R588" s="2">
        <f>Players!BR589</f>
        <v>0</v>
      </c>
      <c r="S588" s="2">
        <f t="shared" si="343"/>
        <v>0.81328039356128246</v>
      </c>
      <c r="T588" s="2">
        <f t="shared" si="344"/>
        <v>1.5369105908463034</v>
      </c>
      <c r="U588" s="16">
        <f>INDEX('Team forecast'!$B$2:$AO$26,MATCH('Master data'!$B588,'Team forecast'!$B$2:$B$26,0),MATCH('Master data'!U$1,'Team forecast'!$B$2:$AO$2,0))</f>
        <v>0.18622848200312991</v>
      </c>
      <c r="V588" s="16">
        <f>INDEX('Team forecast'!$B$2:$AO$26,MATCH('Master data'!$B588,'Team forecast'!$B$2:$B$26,0),MATCH('Master data'!V$1,'Team forecast'!$B$2:$AO$2,0))</f>
        <v>0.2660406885758998</v>
      </c>
      <c r="W588" s="16">
        <f>INDEX('Team forecast'!$B$2:$AO$26,MATCH('Master data'!$B588,'Team forecast'!$B$2:$B$26,0),MATCH('Master data'!W$1,'Team forecast'!$B$2:$AO$2,0))</f>
        <v>0.54773082942097018</v>
      </c>
      <c r="X588" s="5">
        <f t="shared" si="345"/>
        <v>-5000</v>
      </c>
      <c r="Y588" s="5">
        <f t="shared" si="346"/>
        <v>0</v>
      </c>
      <c r="Z588" s="5">
        <f t="shared" si="347"/>
        <v>0</v>
      </c>
      <c r="AA588" s="5">
        <f t="shared" si="348"/>
        <v>0</v>
      </c>
      <c r="AB588" s="5">
        <f t="shared" si="349"/>
        <v>0</v>
      </c>
      <c r="AC588" s="5">
        <f t="shared" si="350"/>
        <v>0</v>
      </c>
      <c r="AD588" s="5">
        <f t="shared" si="351"/>
        <v>0</v>
      </c>
      <c r="AE588" s="5">
        <f t="shared" si="352"/>
        <v>16128.332736991621</v>
      </c>
      <c r="AF588" s="5">
        <f t="shared" si="353"/>
        <v>12832.100387688037</v>
      </c>
      <c r="AG588" s="5">
        <f t="shared" si="354"/>
        <v>0</v>
      </c>
      <c r="AH588" s="5">
        <f t="shared" si="355"/>
        <v>0</v>
      </c>
      <c r="AI588" s="5">
        <f t="shared" si="356"/>
        <v>0</v>
      </c>
      <c r="AJ588" s="5">
        <f t="shared" si="357"/>
        <v>0</v>
      </c>
      <c r="AK588" s="5">
        <f>IFERROR(SUM(X588:AJ588),-5000)*((Cockpit!$C$3)^0)</f>
        <v>23960.433124679657</v>
      </c>
      <c r="AL588" s="16">
        <f>INDEX('Team forecast'!$B$2:$AO$26,MATCH('Master data'!$B588,'Team forecast'!$B$2:$B$26,0),MATCH('Master data'!AL$1,'Team forecast'!$B$2:$AO$2,0))</f>
        <v>0.80548012323268336</v>
      </c>
      <c r="AM588" s="16">
        <f>INDEX('Team forecast'!$B$2:$AO$26,MATCH('Master data'!$B588,'Team forecast'!$B$2:$B$26,0),MATCH('Master data'!AM$1,'Team forecast'!$B$2:$AO$2,0))</f>
        <v>1.3852986184856255</v>
      </c>
      <c r="AN588" s="16">
        <f>INDEX('Team forecast'!$B$2:$AO$26,MATCH('Master data'!$B588,'Team forecast'!$B$2:$B$26,0),MATCH('Master data'!AN$1,'Team forecast'!$B$2:$AO$2,0))</f>
        <v>0.25024905963763749</v>
      </c>
      <c r="AO588" s="16">
        <f>INDEX('Team forecast'!$B$2:$AO$26,MATCH('Master data'!$B588,'Team forecast'!$B$2:$B$26,0),MATCH('Master data'!AO$1,'Team forecast'!$B$2:$AO$2,0))</f>
        <v>2.6442529298042636</v>
      </c>
      <c r="AP588" s="16">
        <f>INDEX('Team forecast'!$B$2:$AO$26,MATCH('Master data'!$B588,'Team forecast'!$B$2:$B$26,0),MATCH('Master data'!AP$1,'Team forecast'!$B$2:$AO$2,0))</f>
        <v>3.6985484646649716</v>
      </c>
      <c r="AQ588" s="5">
        <f t="shared" si="358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359"/>
        <v>0</v>
      </c>
      <c r="AV588" s="5">
        <f t="shared" si="360"/>
        <v>0</v>
      </c>
      <c r="AW588" s="5">
        <f t="shared" si="361"/>
        <v>0</v>
      </c>
      <c r="AX588" s="5">
        <f t="shared" si="362"/>
        <v>18768.679472822812</v>
      </c>
      <c r="AY588" s="5">
        <f t="shared" si="363"/>
        <v>11566.24923089673</v>
      </c>
      <c r="AZ588" s="5">
        <f t="shared" si="364"/>
        <v>0</v>
      </c>
      <c r="BA588" s="5">
        <f t="shared" si="365"/>
        <v>0</v>
      </c>
      <c r="BB588" s="5">
        <f t="shared" si="366"/>
        <v>0</v>
      </c>
      <c r="BC588" s="5">
        <f t="shared" si="367"/>
        <v>0</v>
      </c>
      <c r="BD588" s="5">
        <f t="shared" si="368"/>
        <v>25334.928703719543</v>
      </c>
      <c r="BE588" s="16">
        <f>INDEX('Team forecast'!$B$2:$AO$26,MATCH('Master data'!$B588,'Team forecast'!$B$2:$B$26,0),MATCH('Master data'!BE$1,'Team forecast'!$B$2:$AO$2,0))</f>
        <v>0.56161379059809569</v>
      </c>
      <c r="BF588" s="16">
        <f>INDEX('Team forecast'!$B$2:$AO$26,MATCH('Master data'!$B588,'Team forecast'!$B$2:$B$26,0),MATCH('Master data'!BF$1,'Team forecast'!$B$2:$AO$2,0))</f>
        <v>2.3513752571634776</v>
      </c>
      <c r="BG588" s="16">
        <f>INDEX('Team forecast'!$B$2:$AO$26,MATCH('Master data'!$B588,'Team forecast'!$B$2:$B$26,0),MATCH('Master data'!BG$1,'Team forecast'!$B$2:$AO$2,0))</f>
        <v>9.5238095238095233E-2</v>
      </c>
      <c r="BH588" s="16">
        <f>INDEX('Team forecast'!$B$2:$AO$26,MATCH('Master data'!$B588,'Team forecast'!$B$2:$B$26,0),MATCH('Master data'!BH$1,'Team forecast'!$B$2:$AO$2,0))</f>
        <v>1.8436816358018293</v>
      </c>
      <c r="BI588" s="16">
        <f>INDEX('Team forecast'!$B$2:$AO$26,MATCH('Master data'!$B588,'Team forecast'!$B$2:$B$26,0),MATCH('Master data'!BI$1,'Team forecast'!$B$2:$AO$2,0))</f>
        <v>6.2778344186469877</v>
      </c>
      <c r="BJ588" s="5">
        <f t="shared" si="369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370"/>
        <v>0</v>
      </c>
      <c r="BO588" s="5">
        <f t="shared" si="371"/>
        <v>0</v>
      </c>
      <c r="BP588" s="5">
        <f t="shared" si="372"/>
        <v>0</v>
      </c>
      <c r="BQ588" s="5">
        <f t="shared" si="373"/>
        <v>7142.8571428571422</v>
      </c>
      <c r="BR588" s="5">
        <f t="shared" si="374"/>
        <v>19632.295807417551</v>
      </c>
      <c r="BS588" s="5">
        <f t="shared" si="375"/>
        <v>0</v>
      </c>
      <c r="BT588" s="5">
        <f t="shared" si="376"/>
        <v>0</v>
      </c>
      <c r="BU588" s="5">
        <f t="shared" si="377"/>
        <v>0</v>
      </c>
      <c r="BV588" s="5">
        <f t="shared" si="378"/>
        <v>0</v>
      </c>
      <c r="BW588" s="5">
        <f t="shared" si="379"/>
        <v>21775.152950274693</v>
      </c>
      <c r="BX588" s="5">
        <f t="shared" si="380"/>
        <v>23690.171592891293</v>
      </c>
      <c r="BY588" s="5">
        <f t="shared" si="381"/>
        <v>71070.514778673882</v>
      </c>
      <c r="BZ588" s="5">
        <f>INDEX('Team forecast'!$R$3:$BH$26,MATCH($B588,'Team forecast'!$B$3:$B$26,0),MATCH(BZ$1,'Team forecast'!$R$2:$BH$2,0))*($BX588-(BY588+CH588)*0.01)</f>
        <v>-2375.5577603168267</v>
      </c>
      <c r="CA588" s="5">
        <f>INDEX('Team forecast'!$R$3:$BH$26,MATCH($B588,'Team forecast'!$B$3:$B$26,0),MATCH(CA$1,'Team forecast'!$R$2:$BH$2,0))*($BX588-(BY588+BX588+CH588)*0.01)</f>
        <v>-1204.1524762198617</v>
      </c>
      <c r="CB588" s="5">
        <f>INDEX('Team forecast'!$R$3:$BH$26,MATCH($B588,'Team forecast'!$B$3:$B$26,0),MATCH(CB$1,'Team forecast'!$R$2:$BH$2,0))*($BX588-(BY588+BX588*2+CH588)*0.01)</f>
        <v>-598.6888205751959</v>
      </c>
      <c r="CC588" s="5">
        <f>INDEX('Team forecast'!$R$3:$BH$26,MATCH($B588,'Team forecast'!$B$3:$B$26,0),MATCH(CC$1,'Team forecast'!$R$2:$BH$2,0))*($BX588-(BY588+BX588*3+CH588)*0.01)</f>
        <v>-278.15728583103584</v>
      </c>
      <c r="CD588" s="5">
        <f>+AK588+BD588*Cockpit!$C$3+BW588*Cockpit!$C$3^2+BZ588*Cockpit!$C$3^3+CA588*Cockpit!$C$3^4+CB588*Cockpit!$C$3^5+CC588*Cockpit!$C$3^6</f>
        <v>49483.245580131224</v>
      </c>
      <c r="CE588" s="5"/>
      <c r="CF588" s="5"/>
      <c r="CG588" s="5">
        <v>0</v>
      </c>
      <c r="CH588" s="5">
        <f t="shared" si="382"/>
        <v>3000000</v>
      </c>
      <c r="CI588" s="5">
        <f t="shared" si="383"/>
        <v>3000000</v>
      </c>
      <c r="CJ588" s="1">
        <f t="shared" si="384"/>
        <v>2.3690171592891295E-2</v>
      </c>
      <c r="CK588" s="5">
        <f>RANK(BY588,$BY$2:$BY$623)+COUNTIF($BY$2:$BY588,$BY588)-1</f>
        <v>240</v>
      </c>
      <c r="CL588" s="5">
        <f>RANK(CJ588,$CJ$2:$CJ$623)+COUNTIF($CJ$2:$CJ588,$CJ588)-1</f>
        <v>224</v>
      </c>
    </row>
    <row r="589" spans="1:90">
      <c r="A589" t="str">
        <f>Players!P590</f>
        <v>Martin Koscelnik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0.81328039356128246</v>
      </c>
      <c r="I589" s="16">
        <f>INDEX('Team forecast'!$B$2:$AO$26,MATCH('Master data'!$B589,'Team forecast'!$B$2:$B$26,0),MATCH('Master data'!I$1,'Team forecast'!$B$2:$AO$2,0))</f>
        <v>1.5369105908463034</v>
      </c>
      <c r="J589" s="16">
        <f>INDEX('Team forecast'!$B$2:$AO$26,MATCH('Master data'!$B589,'Team forecast'!$B$2:$B$26,0),MATCH('Master data'!J$1,'Team forecast'!$B$2:$AO$2,0))</f>
        <v>0.21504443649322161</v>
      </c>
      <c r="K589" s="16">
        <f>INDEX('Team forecast'!$B$2:$AO$26,MATCH('Master data'!$B589,'Team forecast'!$B$2:$B$26,0),MATCH('Master data'!K$1,'Team forecast'!$B$2:$AO$2,0))</f>
        <v>2.6698598778526952</v>
      </c>
      <c r="L589" s="16">
        <f>INDEX('Team forecast'!$B$2:$AO$26,MATCH('Master data'!$B589,'Team forecast'!$B$2:$B$26,0),MATCH('Master data'!L$1,'Team forecast'!$B$2:$AO$2,0))</f>
        <v>4.1033306683839106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</v>
      </c>
      <c r="R589" s="2">
        <f>Players!BR590</f>
        <v>0</v>
      </c>
      <c r="S589" s="2">
        <f t="shared" si="343"/>
        <v>0.81328039356128246</v>
      </c>
      <c r="T589" s="2">
        <f t="shared" si="344"/>
        <v>1.5369105908463034</v>
      </c>
      <c r="U589" s="16">
        <f>INDEX('Team forecast'!$B$2:$AO$26,MATCH('Master data'!$B589,'Team forecast'!$B$2:$B$26,0),MATCH('Master data'!U$1,'Team forecast'!$B$2:$AO$2,0))</f>
        <v>0.18622848200312991</v>
      </c>
      <c r="V589" s="16">
        <f>INDEX('Team forecast'!$B$2:$AO$26,MATCH('Master data'!$B589,'Team forecast'!$B$2:$B$26,0),MATCH('Master data'!V$1,'Team forecast'!$B$2:$AO$2,0))</f>
        <v>0.2660406885758998</v>
      </c>
      <c r="W589" s="16">
        <f>INDEX('Team forecast'!$B$2:$AO$26,MATCH('Master data'!$B589,'Team forecast'!$B$2:$B$26,0),MATCH('Master data'!W$1,'Team forecast'!$B$2:$AO$2,0))</f>
        <v>0.54773082942097018</v>
      </c>
      <c r="X589" s="5">
        <f t="shared" si="345"/>
        <v>-5000</v>
      </c>
      <c r="Y589" s="5">
        <f t="shared" si="346"/>
        <v>0</v>
      </c>
      <c r="Z589" s="5">
        <f t="shared" si="347"/>
        <v>0</v>
      </c>
      <c r="AA589" s="5">
        <f t="shared" si="348"/>
        <v>0</v>
      </c>
      <c r="AB589" s="5">
        <f t="shared" si="349"/>
        <v>0</v>
      </c>
      <c r="AC589" s="5">
        <f t="shared" si="350"/>
        <v>0</v>
      </c>
      <c r="AD589" s="5">
        <f t="shared" si="351"/>
        <v>0</v>
      </c>
      <c r="AE589" s="5">
        <f t="shared" si="352"/>
        <v>10752.221824661081</v>
      </c>
      <c r="AF589" s="5">
        <f t="shared" si="353"/>
        <v>0</v>
      </c>
      <c r="AG589" s="5">
        <f t="shared" si="354"/>
        <v>0</v>
      </c>
      <c r="AH589" s="5">
        <f t="shared" si="355"/>
        <v>0</v>
      </c>
      <c r="AI589" s="5">
        <f t="shared" si="356"/>
        <v>0</v>
      </c>
      <c r="AJ589" s="5">
        <f t="shared" si="357"/>
        <v>0</v>
      </c>
      <c r="AK589" s="5">
        <f>IFERROR(SUM(X589:AJ589),-5000)*((Cockpit!$C$3)^0)</f>
        <v>5752.221824661081</v>
      </c>
      <c r="AL589" s="16">
        <f>INDEX('Team forecast'!$B$2:$AO$26,MATCH('Master data'!$B589,'Team forecast'!$B$2:$B$26,0),MATCH('Master data'!AL$1,'Team forecast'!$B$2:$AO$2,0))</f>
        <v>0.80548012323268336</v>
      </c>
      <c r="AM589" s="16">
        <f>INDEX('Team forecast'!$B$2:$AO$26,MATCH('Master data'!$B589,'Team forecast'!$B$2:$B$26,0),MATCH('Master data'!AM$1,'Team forecast'!$B$2:$AO$2,0))</f>
        <v>1.3852986184856255</v>
      </c>
      <c r="AN589" s="16">
        <f>INDEX('Team forecast'!$B$2:$AO$26,MATCH('Master data'!$B589,'Team forecast'!$B$2:$B$26,0),MATCH('Master data'!AN$1,'Team forecast'!$B$2:$AO$2,0))</f>
        <v>0.25024905963763749</v>
      </c>
      <c r="AO589" s="16">
        <f>INDEX('Team forecast'!$B$2:$AO$26,MATCH('Master data'!$B589,'Team forecast'!$B$2:$B$26,0),MATCH('Master data'!AO$1,'Team forecast'!$B$2:$AO$2,0))</f>
        <v>2.6442529298042636</v>
      </c>
      <c r="AP589" s="16">
        <f>INDEX('Team forecast'!$B$2:$AO$26,MATCH('Master data'!$B589,'Team forecast'!$B$2:$B$26,0),MATCH('Master data'!AP$1,'Team forecast'!$B$2:$AO$2,0))</f>
        <v>3.6985484646649716</v>
      </c>
      <c r="AQ589" s="5">
        <f t="shared" si="358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359"/>
        <v>0</v>
      </c>
      <c r="AV589" s="5">
        <f t="shared" si="360"/>
        <v>0</v>
      </c>
      <c r="AW589" s="5">
        <f t="shared" si="361"/>
        <v>0</v>
      </c>
      <c r="AX589" s="5">
        <f t="shared" si="362"/>
        <v>12512.452981881876</v>
      </c>
      <c r="AY589" s="5">
        <f t="shared" si="363"/>
        <v>0</v>
      </c>
      <c r="AZ589" s="5">
        <f t="shared" si="364"/>
        <v>0</v>
      </c>
      <c r="BA589" s="5">
        <f t="shared" si="365"/>
        <v>0</v>
      </c>
      <c r="BB589" s="5">
        <f t="shared" si="366"/>
        <v>0</v>
      </c>
      <c r="BC589" s="5">
        <f t="shared" si="367"/>
        <v>0</v>
      </c>
      <c r="BD589" s="5">
        <f t="shared" si="368"/>
        <v>7512.4529818818755</v>
      </c>
      <c r="BE589" s="16">
        <f>INDEX('Team forecast'!$B$2:$AO$26,MATCH('Master data'!$B589,'Team forecast'!$B$2:$B$26,0),MATCH('Master data'!BE$1,'Team forecast'!$B$2:$AO$2,0))</f>
        <v>0.56161379059809569</v>
      </c>
      <c r="BF589" s="16">
        <f>INDEX('Team forecast'!$B$2:$AO$26,MATCH('Master data'!$B589,'Team forecast'!$B$2:$B$26,0),MATCH('Master data'!BF$1,'Team forecast'!$B$2:$AO$2,0))</f>
        <v>2.3513752571634776</v>
      </c>
      <c r="BG589" s="16">
        <f>INDEX('Team forecast'!$B$2:$AO$26,MATCH('Master data'!$B589,'Team forecast'!$B$2:$B$26,0),MATCH('Master data'!BG$1,'Team forecast'!$B$2:$AO$2,0))</f>
        <v>9.5238095238095233E-2</v>
      </c>
      <c r="BH589" s="16">
        <f>INDEX('Team forecast'!$B$2:$AO$26,MATCH('Master data'!$B589,'Team forecast'!$B$2:$B$26,0),MATCH('Master data'!BH$1,'Team forecast'!$B$2:$AO$2,0))</f>
        <v>1.8436816358018293</v>
      </c>
      <c r="BI589" s="16">
        <f>INDEX('Team forecast'!$B$2:$AO$26,MATCH('Master data'!$B589,'Team forecast'!$B$2:$B$26,0),MATCH('Master data'!BI$1,'Team forecast'!$B$2:$AO$2,0))</f>
        <v>6.2778344186469877</v>
      </c>
      <c r="BJ589" s="5">
        <f t="shared" si="369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370"/>
        <v>0</v>
      </c>
      <c r="BO589" s="5">
        <f t="shared" si="371"/>
        <v>0</v>
      </c>
      <c r="BP589" s="5">
        <f t="shared" si="372"/>
        <v>0</v>
      </c>
      <c r="BQ589" s="5">
        <f t="shared" si="373"/>
        <v>4761.9047619047615</v>
      </c>
      <c r="BR589" s="5">
        <f t="shared" si="374"/>
        <v>0</v>
      </c>
      <c r="BS589" s="5">
        <f t="shared" si="375"/>
        <v>0</v>
      </c>
      <c r="BT589" s="5">
        <f t="shared" si="376"/>
        <v>0</v>
      </c>
      <c r="BU589" s="5">
        <f t="shared" si="377"/>
        <v>0</v>
      </c>
      <c r="BV589" s="5">
        <f t="shared" si="378"/>
        <v>0</v>
      </c>
      <c r="BW589" s="5">
        <f t="shared" si="379"/>
        <v>-238.09523809523853</v>
      </c>
      <c r="BX589" s="5">
        <f t="shared" si="380"/>
        <v>4342.193189482573</v>
      </c>
      <c r="BY589" s="5">
        <f t="shared" si="381"/>
        <v>13026.57956844772</v>
      </c>
      <c r="BZ589" s="5">
        <f>INDEX('Team forecast'!$R$3:$BH$26,MATCH($B589,'Team forecast'!$B$3:$B$26,0),MATCH(BZ$1,'Team forecast'!$R$2:$BH$2,0))*($BX589-(BY589+CH589)*0.01)</f>
        <v>-5342.2547028431682</v>
      </c>
      <c r="CA589" s="5">
        <f>INDEX('Team forecast'!$R$3:$BH$26,MATCH($B589,'Team forecast'!$B$3:$B$26,0),MATCH(CA$1,'Team forecast'!$R$2:$BH$2,0))*($BX589-(BY589+BX589+CH589)*0.01)</f>
        <v>-2626.7589911477085</v>
      </c>
      <c r="CB589" s="5">
        <f>INDEX('Team forecast'!$R$3:$BH$26,MATCH($B589,'Team forecast'!$B$3:$B$26,0),MATCH(CB$1,'Team forecast'!$R$2:$BH$2,0))*($BX589-(BY589+BX589*2+CH589)*0.01)</f>
        <v>-1268.1755617539177</v>
      </c>
      <c r="CC589" s="5">
        <f>INDEX('Team forecast'!$R$3:$BH$26,MATCH($B589,'Team forecast'!$B$3:$B$26,0),MATCH(CC$1,'Team forecast'!$R$2:$BH$2,0))*($BX589-(BY589+BX589*3+CH589)*0.01)</f>
        <v>-572.71570250088575</v>
      </c>
      <c r="CD589" s="5">
        <f>+AK589+BD589*Cockpit!$C$3+BW589*Cockpit!$C$3^2+BZ589*Cockpit!$C$3^3+CA589*Cockpit!$C$3^4+CB589*Cockpit!$C$3^5+CC589*Cockpit!$C$3^6</f>
        <v>8335.6653399202114</v>
      </c>
      <c r="CE589" s="5"/>
      <c r="CF589" s="5"/>
      <c r="CG589" s="5">
        <v>0</v>
      </c>
      <c r="CH589" s="5">
        <f t="shared" si="382"/>
        <v>2000000</v>
      </c>
      <c r="CI589" s="5">
        <f t="shared" si="383"/>
        <v>2000000</v>
      </c>
      <c r="CJ589" s="1">
        <f t="shared" si="384"/>
        <v>6.5132897842238597E-3</v>
      </c>
      <c r="CK589" s="5">
        <f>RANK(BY589,$BY$2:$BY$623)+COUNTIF($BY$2:$BY589,$BY589)-1</f>
        <v>387</v>
      </c>
      <c r="CL589" s="5">
        <f>RANK(CJ589,$CJ$2:$CJ$623)+COUNTIF($CJ$2:$CJ589,$CJ589)-1</f>
        <v>381</v>
      </c>
    </row>
    <row r="590" spans="1:90">
      <c r="A590" t="str">
        <f>Players!P591</f>
        <v>Denis Vavro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2000000</v>
      </c>
      <c r="H590" s="16">
        <f>INDEX('Team forecast'!$B$2:$AO$26,MATCH('Master data'!$B590,'Team forecast'!$B$2:$B$26,0),MATCH('Master data'!H$1,'Team forecast'!$B$2:$AO$2,0))</f>
        <v>0.81328039356128246</v>
      </c>
      <c r="I590" s="16">
        <f>INDEX('Team forecast'!$B$2:$AO$26,MATCH('Master data'!$B590,'Team forecast'!$B$2:$B$26,0),MATCH('Master data'!I$1,'Team forecast'!$B$2:$AO$2,0))</f>
        <v>1.5369105908463034</v>
      </c>
      <c r="J590" s="16">
        <f>INDEX('Team forecast'!$B$2:$AO$26,MATCH('Master data'!$B590,'Team forecast'!$B$2:$B$26,0),MATCH('Master data'!J$1,'Team forecast'!$B$2:$AO$2,0))</f>
        <v>0.21504443649322161</v>
      </c>
      <c r="K590" s="16">
        <f>INDEX('Team forecast'!$B$2:$AO$26,MATCH('Master data'!$B590,'Team forecast'!$B$2:$B$26,0),MATCH('Master data'!K$1,'Team forecast'!$B$2:$AO$2,0))</f>
        <v>2.6698598778526952</v>
      </c>
      <c r="L590" s="16">
        <f>INDEX('Team forecast'!$B$2:$AO$26,MATCH('Master data'!$B590,'Team forecast'!$B$2:$B$26,0),MATCH('Master data'!L$1,'Team forecast'!$B$2:$AO$2,0))</f>
        <v>4.1033306683839106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0.27476744186046509</v>
      </c>
      <c r="R590" s="2">
        <f>Players!BR591</f>
        <v>0</v>
      </c>
      <c r="S590" s="2">
        <f t="shared" si="343"/>
        <v>0.81328039356128246</v>
      </c>
      <c r="T590" s="2">
        <f t="shared" si="344"/>
        <v>1.5369105908463034</v>
      </c>
      <c r="U590" s="16">
        <f>INDEX('Team forecast'!$B$2:$AO$26,MATCH('Master data'!$B590,'Team forecast'!$B$2:$B$26,0),MATCH('Master data'!U$1,'Team forecast'!$B$2:$AO$2,0))</f>
        <v>0.18622848200312991</v>
      </c>
      <c r="V590" s="16">
        <f>INDEX('Team forecast'!$B$2:$AO$26,MATCH('Master data'!$B590,'Team forecast'!$B$2:$B$26,0),MATCH('Master data'!V$1,'Team forecast'!$B$2:$AO$2,0))</f>
        <v>0.2660406885758998</v>
      </c>
      <c r="W590" s="16">
        <f>INDEX('Team forecast'!$B$2:$AO$26,MATCH('Master data'!$B590,'Team forecast'!$B$2:$B$26,0),MATCH('Master data'!W$1,'Team forecast'!$B$2:$AO$2,0))</f>
        <v>0.54773082942097018</v>
      </c>
      <c r="X590" s="5">
        <f t="shared" si="345"/>
        <v>-5000</v>
      </c>
      <c r="Y590" s="5">
        <f t="shared" si="346"/>
        <v>0</v>
      </c>
      <c r="Z590" s="5">
        <f t="shared" si="347"/>
        <v>0</v>
      </c>
      <c r="AA590" s="5">
        <f t="shared" si="348"/>
        <v>0</v>
      </c>
      <c r="AB590" s="5">
        <f t="shared" si="349"/>
        <v>0</v>
      </c>
      <c r="AC590" s="5">
        <f t="shared" si="350"/>
        <v>0</v>
      </c>
      <c r="AD590" s="5">
        <f t="shared" si="351"/>
        <v>0</v>
      </c>
      <c r="AE590" s="5">
        <f t="shared" si="352"/>
        <v>10752.221824661081</v>
      </c>
      <c r="AF590" s="5">
        <f t="shared" si="353"/>
        <v>0</v>
      </c>
      <c r="AG590" s="5">
        <f t="shared" si="354"/>
        <v>0</v>
      </c>
      <c r="AH590" s="5">
        <f t="shared" si="355"/>
        <v>0</v>
      </c>
      <c r="AI590" s="5">
        <f t="shared" si="356"/>
        <v>0</v>
      </c>
      <c r="AJ590" s="5">
        <f t="shared" si="357"/>
        <v>0</v>
      </c>
      <c r="AK590" s="5">
        <f>IFERROR(SUM(X590:AJ590),-5000)*((Cockpit!$C$3)^0)</f>
        <v>5752.221824661081</v>
      </c>
      <c r="AL590" s="16">
        <f>INDEX('Team forecast'!$B$2:$AO$26,MATCH('Master data'!$B590,'Team forecast'!$B$2:$B$26,0),MATCH('Master data'!AL$1,'Team forecast'!$B$2:$AO$2,0))</f>
        <v>0.80548012323268336</v>
      </c>
      <c r="AM590" s="16">
        <f>INDEX('Team forecast'!$B$2:$AO$26,MATCH('Master data'!$B590,'Team forecast'!$B$2:$B$26,0),MATCH('Master data'!AM$1,'Team forecast'!$B$2:$AO$2,0))</f>
        <v>1.3852986184856255</v>
      </c>
      <c r="AN590" s="16">
        <f>INDEX('Team forecast'!$B$2:$AO$26,MATCH('Master data'!$B590,'Team forecast'!$B$2:$B$26,0),MATCH('Master data'!AN$1,'Team forecast'!$B$2:$AO$2,0))</f>
        <v>0.25024905963763749</v>
      </c>
      <c r="AO590" s="16">
        <f>INDEX('Team forecast'!$B$2:$AO$26,MATCH('Master data'!$B590,'Team forecast'!$B$2:$B$26,0),MATCH('Master data'!AO$1,'Team forecast'!$B$2:$AO$2,0))</f>
        <v>2.6442529298042636</v>
      </c>
      <c r="AP590" s="16">
        <f>INDEX('Team forecast'!$B$2:$AO$26,MATCH('Master data'!$B590,'Team forecast'!$B$2:$B$26,0),MATCH('Master data'!AP$1,'Team forecast'!$B$2:$AO$2,0))</f>
        <v>3.6985484646649716</v>
      </c>
      <c r="AQ590" s="5">
        <f t="shared" si="358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359"/>
        <v>0</v>
      </c>
      <c r="AV590" s="5">
        <f t="shared" si="360"/>
        <v>0</v>
      </c>
      <c r="AW590" s="5">
        <f t="shared" si="361"/>
        <v>0</v>
      </c>
      <c r="AX590" s="5">
        <f t="shared" si="362"/>
        <v>12512.452981881876</v>
      </c>
      <c r="AY590" s="5">
        <f t="shared" si="363"/>
        <v>0</v>
      </c>
      <c r="AZ590" s="5">
        <f t="shared" si="364"/>
        <v>0</v>
      </c>
      <c r="BA590" s="5">
        <f t="shared" si="365"/>
        <v>0</v>
      </c>
      <c r="BB590" s="5">
        <f t="shared" si="366"/>
        <v>0</v>
      </c>
      <c r="BC590" s="5">
        <f t="shared" si="367"/>
        <v>0</v>
      </c>
      <c r="BD590" s="5">
        <f t="shared" si="368"/>
        <v>7512.4529818818755</v>
      </c>
      <c r="BE590" s="16">
        <f>INDEX('Team forecast'!$B$2:$AO$26,MATCH('Master data'!$B590,'Team forecast'!$B$2:$B$26,0),MATCH('Master data'!BE$1,'Team forecast'!$B$2:$AO$2,0))</f>
        <v>0.56161379059809569</v>
      </c>
      <c r="BF590" s="16">
        <f>INDEX('Team forecast'!$B$2:$AO$26,MATCH('Master data'!$B590,'Team forecast'!$B$2:$B$26,0),MATCH('Master data'!BF$1,'Team forecast'!$B$2:$AO$2,0))</f>
        <v>2.3513752571634776</v>
      </c>
      <c r="BG590" s="16">
        <f>INDEX('Team forecast'!$B$2:$AO$26,MATCH('Master data'!$B590,'Team forecast'!$B$2:$B$26,0),MATCH('Master data'!BG$1,'Team forecast'!$B$2:$AO$2,0))</f>
        <v>9.5238095238095233E-2</v>
      </c>
      <c r="BH590" s="16">
        <f>INDEX('Team forecast'!$B$2:$AO$26,MATCH('Master data'!$B590,'Team forecast'!$B$2:$B$26,0),MATCH('Master data'!BH$1,'Team forecast'!$B$2:$AO$2,0))</f>
        <v>1.8436816358018293</v>
      </c>
      <c r="BI590" s="16">
        <f>INDEX('Team forecast'!$B$2:$AO$26,MATCH('Master data'!$B590,'Team forecast'!$B$2:$B$26,0),MATCH('Master data'!BI$1,'Team forecast'!$B$2:$AO$2,0))</f>
        <v>6.2778344186469877</v>
      </c>
      <c r="BJ590" s="5">
        <f t="shared" si="369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370"/>
        <v>0</v>
      </c>
      <c r="BO590" s="5">
        <f t="shared" si="371"/>
        <v>0</v>
      </c>
      <c r="BP590" s="5">
        <f t="shared" si="372"/>
        <v>0</v>
      </c>
      <c r="BQ590" s="5">
        <f t="shared" si="373"/>
        <v>4761.9047619047615</v>
      </c>
      <c r="BR590" s="5">
        <f t="shared" si="374"/>
        <v>0</v>
      </c>
      <c r="BS590" s="5">
        <f t="shared" si="375"/>
        <v>0</v>
      </c>
      <c r="BT590" s="5">
        <f t="shared" si="376"/>
        <v>0</v>
      </c>
      <c r="BU590" s="5">
        <f t="shared" si="377"/>
        <v>0</v>
      </c>
      <c r="BV590" s="5">
        <f t="shared" si="378"/>
        <v>0</v>
      </c>
      <c r="BW590" s="5">
        <f t="shared" si="379"/>
        <v>-238.09523809523853</v>
      </c>
      <c r="BX590" s="5">
        <f t="shared" si="380"/>
        <v>4342.193189482573</v>
      </c>
      <c r="BY590" s="5">
        <f t="shared" si="381"/>
        <v>13026.57956844772</v>
      </c>
      <c r="BZ590" s="5">
        <f>INDEX('Team forecast'!$R$3:$BH$26,MATCH($B590,'Team forecast'!$B$3:$B$26,0),MATCH(BZ$1,'Team forecast'!$R$2:$BH$2,0))*($BX590-(BY590+CH590)*0.01)</f>
        <v>-5342.2547028431682</v>
      </c>
      <c r="CA590" s="5">
        <f>INDEX('Team forecast'!$R$3:$BH$26,MATCH($B590,'Team forecast'!$B$3:$B$26,0),MATCH(CA$1,'Team forecast'!$R$2:$BH$2,0))*($BX590-(BY590+BX590+CH590)*0.01)</f>
        <v>-2626.7589911477085</v>
      </c>
      <c r="CB590" s="5">
        <f>INDEX('Team forecast'!$R$3:$BH$26,MATCH($B590,'Team forecast'!$B$3:$B$26,0),MATCH(CB$1,'Team forecast'!$R$2:$BH$2,0))*($BX590-(BY590+BX590*2+CH590)*0.01)</f>
        <v>-1268.1755617539177</v>
      </c>
      <c r="CC590" s="5">
        <f>INDEX('Team forecast'!$R$3:$BH$26,MATCH($B590,'Team forecast'!$B$3:$B$26,0),MATCH(CC$1,'Team forecast'!$R$2:$BH$2,0))*($BX590-(BY590+BX590*3+CH590)*0.01)</f>
        <v>-572.71570250088575</v>
      </c>
      <c r="CD590" s="5">
        <f>+AK590+BD590*Cockpit!$C$3+BW590*Cockpit!$C$3^2+BZ590*Cockpit!$C$3^3+CA590*Cockpit!$C$3^4+CB590*Cockpit!$C$3^5+CC590*Cockpit!$C$3^6</f>
        <v>8335.6653399202114</v>
      </c>
      <c r="CE590" s="5"/>
      <c r="CF590" s="5"/>
      <c r="CG590" s="5">
        <v>0</v>
      </c>
      <c r="CH590" s="5">
        <f t="shared" si="382"/>
        <v>2000000</v>
      </c>
      <c r="CI590" s="5">
        <f t="shared" si="383"/>
        <v>2000000</v>
      </c>
      <c r="CJ590" s="1">
        <f t="shared" si="384"/>
        <v>6.5132897842238597E-3</v>
      </c>
      <c r="CK590" s="5">
        <f>RANK(BY590,$BY$2:$BY$623)+COUNTIF($BY$2:$BY590,$BY590)-1</f>
        <v>388</v>
      </c>
      <c r="CL590" s="5">
        <f>RANK(CJ590,$CJ$2:$CJ$623)+COUNTIF($CJ$2:$CJ590,$CJ590)-1</f>
        <v>382</v>
      </c>
    </row>
    <row r="591" spans="1:90">
      <c r="A591" t="str">
        <f>Players!P592</f>
        <v>Dávid Hancko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2500000</v>
      </c>
      <c r="H591" s="16">
        <f>INDEX('Team forecast'!$B$2:$AO$26,MATCH('Master data'!$B591,'Team forecast'!$B$2:$B$26,0),MATCH('Master data'!H$1,'Team forecast'!$B$2:$AO$2,0))</f>
        <v>0.81328039356128246</v>
      </c>
      <c r="I591" s="16">
        <f>INDEX('Team forecast'!$B$2:$AO$26,MATCH('Master data'!$B591,'Team forecast'!$B$2:$B$26,0),MATCH('Master data'!I$1,'Team forecast'!$B$2:$AO$2,0))</f>
        <v>1.5369105908463034</v>
      </c>
      <c r="J591" s="16">
        <f>INDEX('Team forecast'!$B$2:$AO$26,MATCH('Master data'!$B591,'Team forecast'!$B$2:$B$26,0),MATCH('Master data'!J$1,'Team forecast'!$B$2:$AO$2,0))</f>
        <v>0.21504443649322161</v>
      </c>
      <c r="K591" s="16">
        <f>INDEX('Team forecast'!$B$2:$AO$26,MATCH('Master data'!$B591,'Team forecast'!$B$2:$B$26,0),MATCH('Master data'!K$1,'Team forecast'!$B$2:$AO$2,0))</f>
        <v>2.6698598778526952</v>
      </c>
      <c r="L591" s="16">
        <f>INDEX('Team forecast'!$B$2:$AO$26,MATCH('Master data'!$B591,'Team forecast'!$B$2:$B$26,0),MATCH('Master data'!L$1,'Team forecast'!$B$2:$AO$2,0))</f>
        <v>4.1033306683839106</v>
      </c>
      <c r="M591">
        <f>IF(Players!BC592=1,95,0)</f>
        <v>0</v>
      </c>
      <c r="N591" s="2">
        <f>Players!BN592</f>
        <v>0</v>
      </c>
      <c r="O591" s="2">
        <f>Players!BO592</f>
        <v>0</v>
      </c>
      <c r="P591" s="2">
        <f>Players!BP592</f>
        <v>0</v>
      </c>
      <c r="Q591" s="2">
        <f>Players!BQ592</f>
        <v>0.22998296422487222</v>
      </c>
      <c r="R591" s="2">
        <f>Players!BR592</f>
        <v>0</v>
      </c>
      <c r="S591" s="2">
        <f t="shared" si="343"/>
        <v>0.81328039356128246</v>
      </c>
      <c r="T591" s="2">
        <f t="shared" si="344"/>
        <v>1.5369105908463034</v>
      </c>
      <c r="U591" s="16">
        <f>INDEX('Team forecast'!$B$2:$AO$26,MATCH('Master data'!$B591,'Team forecast'!$B$2:$B$26,0),MATCH('Master data'!U$1,'Team forecast'!$B$2:$AO$2,0))</f>
        <v>0.18622848200312991</v>
      </c>
      <c r="V591" s="16">
        <f>INDEX('Team forecast'!$B$2:$AO$26,MATCH('Master data'!$B591,'Team forecast'!$B$2:$B$26,0),MATCH('Master data'!V$1,'Team forecast'!$B$2:$AO$2,0))</f>
        <v>0.2660406885758998</v>
      </c>
      <c r="W591" s="16">
        <f>INDEX('Team forecast'!$B$2:$AO$26,MATCH('Master data'!$B591,'Team forecast'!$B$2:$B$26,0),MATCH('Master data'!W$1,'Team forecast'!$B$2:$AO$2,0))</f>
        <v>0.54773082942097018</v>
      </c>
      <c r="X591" s="5">
        <f t="shared" si="345"/>
        <v>-5000</v>
      </c>
      <c r="Y591" s="5">
        <f t="shared" si="346"/>
        <v>0</v>
      </c>
      <c r="Z591" s="5">
        <f t="shared" si="347"/>
        <v>0</v>
      </c>
      <c r="AA591" s="5">
        <f t="shared" si="348"/>
        <v>0</v>
      </c>
      <c r="AB591" s="5">
        <f t="shared" si="349"/>
        <v>0</v>
      </c>
      <c r="AC591" s="5">
        <f t="shared" si="350"/>
        <v>0</v>
      </c>
      <c r="AD591" s="5">
        <f t="shared" si="351"/>
        <v>0</v>
      </c>
      <c r="AE591" s="5">
        <f t="shared" si="352"/>
        <v>10752.221824661081</v>
      </c>
      <c r="AF591" s="5">
        <f t="shared" si="353"/>
        <v>0</v>
      </c>
      <c r="AG591" s="5">
        <f t="shared" si="354"/>
        <v>0</v>
      </c>
      <c r="AH591" s="5">
        <f t="shared" si="355"/>
        <v>0</v>
      </c>
      <c r="AI591" s="5">
        <f t="shared" si="356"/>
        <v>0</v>
      </c>
      <c r="AJ591" s="5">
        <f t="shared" si="357"/>
        <v>0</v>
      </c>
      <c r="AK591" s="5">
        <f>IFERROR(SUM(X591:AJ591),-5000)*((Cockpit!$C$3)^0)</f>
        <v>5752.221824661081</v>
      </c>
      <c r="AL591" s="16">
        <f>INDEX('Team forecast'!$B$2:$AO$26,MATCH('Master data'!$B591,'Team forecast'!$B$2:$B$26,0),MATCH('Master data'!AL$1,'Team forecast'!$B$2:$AO$2,0))</f>
        <v>0.80548012323268336</v>
      </c>
      <c r="AM591" s="16">
        <f>INDEX('Team forecast'!$B$2:$AO$26,MATCH('Master data'!$B591,'Team forecast'!$B$2:$B$26,0),MATCH('Master data'!AM$1,'Team forecast'!$B$2:$AO$2,0))</f>
        <v>1.3852986184856255</v>
      </c>
      <c r="AN591" s="16">
        <f>INDEX('Team forecast'!$B$2:$AO$26,MATCH('Master data'!$B591,'Team forecast'!$B$2:$B$26,0),MATCH('Master data'!AN$1,'Team forecast'!$B$2:$AO$2,0))</f>
        <v>0.25024905963763749</v>
      </c>
      <c r="AO591" s="16">
        <f>INDEX('Team forecast'!$B$2:$AO$26,MATCH('Master data'!$B591,'Team forecast'!$B$2:$B$26,0),MATCH('Master data'!AO$1,'Team forecast'!$B$2:$AO$2,0))</f>
        <v>2.6442529298042636</v>
      </c>
      <c r="AP591" s="16">
        <f>INDEX('Team forecast'!$B$2:$AO$26,MATCH('Master data'!$B591,'Team forecast'!$B$2:$B$26,0),MATCH('Master data'!AP$1,'Team forecast'!$B$2:$AO$2,0))</f>
        <v>3.6985484646649716</v>
      </c>
      <c r="AQ591" s="5">
        <f t="shared" si="358"/>
        <v>-5000</v>
      </c>
      <c r="AR591" s="5">
        <f>INDEX('Team forecast'!$B$2:$AO$26,MATCH('Master data'!$B591,'Team forecast'!$B$2:$B$26,0),MATCH('Master data'!AR$1,'Team forecast'!$B$2:$AO$2,0))*IF(X591&gt;0,25000,0)</f>
        <v>0</v>
      </c>
      <c r="AS591" s="16">
        <f>INDEX('Team forecast'!$B$2:$AO$26,MATCH('Master data'!$B591,'Team forecast'!$B$2:$B$26,0),MATCH('Master data'!AS$1,'Team forecast'!$B$2:$AO$2,0))*IF(X591&gt;0,5000,0)</f>
        <v>0</v>
      </c>
      <c r="AT591" s="16">
        <f>INDEX('Team forecast'!$B$2:$AO$26,MATCH('Master data'!$B591,'Team forecast'!$B$2:$B$26,0),MATCH('Master data'!AT$1,'Team forecast'!$B$2:$AO$2,0))*IF(X591&gt;0,-15000,0)</f>
        <v>0</v>
      </c>
      <c r="AU591" s="5">
        <f t="shared" si="359"/>
        <v>0</v>
      </c>
      <c r="AV591" s="5">
        <f t="shared" si="360"/>
        <v>0</v>
      </c>
      <c r="AW591" s="5">
        <f t="shared" si="361"/>
        <v>0</v>
      </c>
      <c r="AX591" s="5">
        <f t="shared" si="362"/>
        <v>12512.452981881876</v>
      </c>
      <c r="AY591" s="5">
        <f t="shared" si="363"/>
        <v>0</v>
      </c>
      <c r="AZ591" s="5">
        <f t="shared" si="364"/>
        <v>0</v>
      </c>
      <c r="BA591" s="5">
        <f t="shared" si="365"/>
        <v>0</v>
      </c>
      <c r="BB591" s="5">
        <f t="shared" si="366"/>
        <v>0</v>
      </c>
      <c r="BC591" s="5">
        <f t="shared" si="367"/>
        <v>0</v>
      </c>
      <c r="BD591" s="5">
        <f t="shared" si="368"/>
        <v>7512.4529818818755</v>
      </c>
      <c r="BE591" s="16">
        <f>INDEX('Team forecast'!$B$2:$AO$26,MATCH('Master data'!$B591,'Team forecast'!$B$2:$B$26,0),MATCH('Master data'!BE$1,'Team forecast'!$B$2:$AO$2,0))</f>
        <v>0.56161379059809569</v>
      </c>
      <c r="BF591" s="16">
        <f>INDEX('Team forecast'!$B$2:$AO$26,MATCH('Master data'!$B591,'Team forecast'!$B$2:$B$26,0),MATCH('Master data'!BF$1,'Team forecast'!$B$2:$AO$2,0))</f>
        <v>2.3513752571634776</v>
      </c>
      <c r="BG591" s="16">
        <f>INDEX('Team forecast'!$B$2:$AO$26,MATCH('Master data'!$B591,'Team forecast'!$B$2:$B$26,0),MATCH('Master data'!BG$1,'Team forecast'!$B$2:$AO$2,0))</f>
        <v>9.5238095238095233E-2</v>
      </c>
      <c r="BH591" s="16">
        <f>INDEX('Team forecast'!$B$2:$AO$26,MATCH('Master data'!$B591,'Team forecast'!$B$2:$B$26,0),MATCH('Master data'!BH$1,'Team forecast'!$B$2:$AO$2,0))</f>
        <v>1.8436816358018293</v>
      </c>
      <c r="BI591" s="16">
        <f>INDEX('Team forecast'!$B$2:$AO$26,MATCH('Master data'!$B591,'Team forecast'!$B$2:$B$26,0),MATCH('Master data'!BI$1,'Team forecast'!$B$2:$AO$2,0))</f>
        <v>6.2778344186469877</v>
      </c>
      <c r="BJ591" s="5">
        <f t="shared" si="369"/>
        <v>-5000</v>
      </c>
      <c r="BK591" s="5">
        <f>INDEX('Team forecast'!$R$3:$BH$26,MATCH($B591,'Team forecast'!$B$3:$B$26,0),MATCH(BK$1,'Team forecast'!$R$2:$BH$2,0))*IF($X591&gt;0,25000,0)</f>
        <v>0</v>
      </c>
      <c r="BL591" s="5">
        <f>INDEX('Team forecast'!$R$3:$BH$26,MATCH($B591,'Team forecast'!$B$3:$B$26,0),MATCH(BL$1,'Team forecast'!$R$2:$BH$2,0))*IF($X591&gt;0,5000,0)</f>
        <v>0</v>
      </c>
      <c r="BM591" s="5">
        <f>INDEX('Team forecast'!$R$3:$BH$26,MATCH($B591,'Team forecast'!$B$3:$B$26,0),MATCH(BM$1,'Team forecast'!$R$2:$BH$2,0))*IF($X591&gt;0,-15000,0)</f>
        <v>0</v>
      </c>
      <c r="BN591" s="5">
        <f t="shared" si="370"/>
        <v>0</v>
      </c>
      <c r="BO591" s="5">
        <f t="shared" si="371"/>
        <v>0</v>
      </c>
      <c r="BP591" s="5">
        <f t="shared" si="372"/>
        <v>0</v>
      </c>
      <c r="BQ591" s="5">
        <f t="shared" si="373"/>
        <v>4761.9047619047615</v>
      </c>
      <c r="BR591" s="5">
        <f t="shared" si="374"/>
        <v>0</v>
      </c>
      <c r="BS591" s="5">
        <f t="shared" si="375"/>
        <v>0</v>
      </c>
      <c r="BT591" s="5">
        <f t="shared" si="376"/>
        <v>0</v>
      </c>
      <c r="BU591" s="5">
        <f t="shared" si="377"/>
        <v>0</v>
      </c>
      <c r="BV591" s="5">
        <f t="shared" si="378"/>
        <v>0</v>
      </c>
      <c r="BW591" s="5">
        <f t="shared" si="379"/>
        <v>-238.09523809523853</v>
      </c>
      <c r="BX591" s="5">
        <f t="shared" si="380"/>
        <v>4342.193189482573</v>
      </c>
      <c r="BY591" s="5">
        <f t="shared" si="381"/>
        <v>13026.57956844772</v>
      </c>
      <c r="BZ591" s="5">
        <f>INDEX('Team forecast'!$R$3:$BH$26,MATCH($B591,'Team forecast'!$B$3:$B$26,0),MATCH(BZ$1,'Team forecast'!$R$2:$BH$2,0))*($BX591-(BY591+CH591)*0.01)</f>
        <v>-7034.1188195386449</v>
      </c>
      <c r="CA591" s="5">
        <f>INDEX('Team forecast'!$R$3:$BH$26,MATCH($B591,'Team forecast'!$B$3:$B$26,0),MATCH(CA$1,'Team forecast'!$R$2:$BH$2,0))*($BX591-(BY591+BX591+CH591)*0.01)</f>
        <v>-3456.3581754908873</v>
      </c>
      <c r="CB591" s="5">
        <f>INDEX('Team forecast'!$R$3:$BH$26,MATCH($B591,'Team forecast'!$B$3:$B$26,0),MATCH(CB$1,'Team forecast'!$R$2:$BH$2,0))*($BX591-(BY591+BX591*2+CH591)*0.01)</f>
        <v>-1667.6030372153341</v>
      </c>
      <c r="CC591" s="5">
        <f>INDEX('Team forecast'!$R$3:$BH$26,MATCH($B591,'Team forecast'!$B$3:$B$26,0),MATCH(CC$1,'Team forecast'!$R$2:$BH$2,0))*($BX591-(BY591+BX591*3+CH591)*0.01)</f>
        <v>-752.60750026321284</v>
      </c>
      <c r="CD591" s="5">
        <f>+AK591+BD591*Cockpit!$C$3+BW591*Cockpit!$C$3^2+BZ591*Cockpit!$C$3^3+CA591*Cockpit!$C$3^4+CB591*Cockpit!$C$3^5+CC591*Cockpit!$C$3^6</f>
        <v>7602.108351644868</v>
      </c>
      <c r="CE591" s="5"/>
      <c r="CF591" s="5"/>
      <c r="CG591" s="5">
        <v>0</v>
      </c>
      <c r="CH591" s="5">
        <f t="shared" si="382"/>
        <v>2500000</v>
      </c>
      <c r="CI591" s="5">
        <f t="shared" si="383"/>
        <v>2500000</v>
      </c>
      <c r="CJ591" s="1">
        <f t="shared" si="384"/>
        <v>5.2106318273790883E-3</v>
      </c>
      <c r="CK591" s="5">
        <f>RANK(BY591,$BY$2:$BY$623)+COUNTIF($BY$2:$BY591,$BY591)-1</f>
        <v>389</v>
      </c>
      <c r="CL591" s="5">
        <f>RANK(CJ591,$CJ$2:$CJ$623)+COUNTIF($CJ$2:$CJ591,$CJ591)-1</f>
        <v>392</v>
      </c>
    </row>
    <row r="592" spans="1:90">
      <c r="A592" t="str">
        <f>Players!P593</f>
        <v>Ľubomír Šatka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0.81328039356128246</v>
      </c>
      <c r="I592" s="16">
        <f>INDEX('Team forecast'!$B$2:$AO$26,MATCH('Master data'!$B592,'Team forecast'!$B$2:$B$26,0),MATCH('Master data'!I$1,'Team forecast'!$B$2:$AO$2,0))</f>
        <v>1.5369105908463034</v>
      </c>
      <c r="J592" s="16">
        <f>INDEX('Team forecast'!$B$2:$AO$26,MATCH('Master data'!$B592,'Team forecast'!$B$2:$B$26,0),MATCH('Master data'!J$1,'Team forecast'!$B$2:$AO$2,0))</f>
        <v>0.21504443649322161</v>
      </c>
      <c r="K592" s="16">
        <f>INDEX('Team forecast'!$B$2:$AO$26,MATCH('Master data'!$B592,'Team forecast'!$B$2:$B$26,0),MATCH('Master data'!K$1,'Team forecast'!$B$2:$AO$2,0))</f>
        <v>2.6698598778526952</v>
      </c>
      <c r="L592" s="16">
        <f>INDEX('Team forecast'!$B$2:$AO$26,MATCH('Master data'!$B592,'Team forecast'!$B$2:$B$26,0),MATCH('Master data'!L$1,'Team forecast'!$B$2:$AO$2,0))</f>
        <v>4.1033306683839106</v>
      </c>
      <c r="M592">
        <f>IF(Players!BC593=1,95,0)</f>
        <v>95</v>
      </c>
      <c r="N592" s="2">
        <f>Players!BN593</f>
        <v>2.6108470526062529E-2</v>
      </c>
      <c r="O592" s="2">
        <f>Players!BO593</f>
        <v>4.69213450624884E-2</v>
      </c>
      <c r="P592" s="2">
        <f>Players!BP593</f>
        <v>0.29126256875133127</v>
      </c>
      <c r="Q592" s="2">
        <f>Players!BQ593</f>
        <v>0</v>
      </c>
      <c r="R592" s="2">
        <f>Players!BR593</f>
        <v>0</v>
      </c>
      <c r="S592" s="2">
        <f t="shared" si="343"/>
        <v>0.81328039356128246</v>
      </c>
      <c r="T592" s="2">
        <f t="shared" si="344"/>
        <v>1.5369105908463034</v>
      </c>
      <c r="U592" s="16">
        <f>INDEX('Team forecast'!$B$2:$AO$26,MATCH('Master data'!$B592,'Team forecast'!$B$2:$B$26,0),MATCH('Master data'!U$1,'Team forecast'!$B$2:$AO$2,0))</f>
        <v>0.18622848200312991</v>
      </c>
      <c r="V592" s="16">
        <f>INDEX('Team forecast'!$B$2:$AO$26,MATCH('Master data'!$B592,'Team forecast'!$B$2:$B$26,0),MATCH('Master data'!V$1,'Team forecast'!$B$2:$AO$2,0))</f>
        <v>0.2660406885758998</v>
      </c>
      <c r="W592" s="16">
        <f>INDEX('Team forecast'!$B$2:$AO$26,MATCH('Master data'!$B592,'Team forecast'!$B$2:$B$26,0),MATCH('Master data'!W$1,'Team forecast'!$B$2:$AO$2,0))</f>
        <v>0.54773082942097018</v>
      </c>
      <c r="X592" s="5">
        <f t="shared" si="345"/>
        <v>7000</v>
      </c>
      <c r="Y592" s="5">
        <f t="shared" si="346"/>
        <v>4655.7120500782476</v>
      </c>
      <c r="Z592" s="5">
        <f t="shared" si="347"/>
        <v>1330.2034428794989</v>
      </c>
      <c r="AA592" s="5">
        <f t="shared" si="348"/>
        <v>-8215.9624413145521</v>
      </c>
      <c r="AB592" s="5">
        <f t="shared" si="349"/>
        <v>3185.0260777078915</v>
      </c>
      <c r="AC592" s="5">
        <f t="shared" si="350"/>
        <v>1908.010498942265</v>
      </c>
      <c r="AD592" s="5">
        <f t="shared" si="351"/>
        <v>7776.3024622949151</v>
      </c>
      <c r="AE592" s="5">
        <f t="shared" si="352"/>
        <v>10752.221824661081</v>
      </c>
      <c r="AF592" s="5">
        <f t="shared" si="353"/>
        <v>0</v>
      </c>
      <c r="AG592" s="5">
        <f t="shared" si="354"/>
        <v>0</v>
      </c>
      <c r="AH592" s="5">
        <f t="shared" si="355"/>
        <v>0</v>
      </c>
      <c r="AI592" s="5">
        <f t="shared" si="356"/>
        <v>8132.8039356128247</v>
      </c>
      <c r="AJ592" s="5">
        <f t="shared" si="357"/>
        <v>-12295.284726770427</v>
      </c>
      <c r="AK592" s="5">
        <f>IFERROR(SUM(X592:AJ592),-5000)*((Cockpit!$C$3)^0)</f>
        <v>24229.033124091751</v>
      </c>
      <c r="AL592" s="16">
        <f>INDEX('Team forecast'!$B$2:$AO$26,MATCH('Master data'!$B592,'Team forecast'!$B$2:$B$26,0),MATCH('Master data'!AL$1,'Team forecast'!$B$2:$AO$2,0))</f>
        <v>0.80548012323268336</v>
      </c>
      <c r="AM592" s="16">
        <f>INDEX('Team forecast'!$B$2:$AO$26,MATCH('Master data'!$B592,'Team forecast'!$B$2:$B$26,0),MATCH('Master data'!AM$1,'Team forecast'!$B$2:$AO$2,0))</f>
        <v>1.3852986184856255</v>
      </c>
      <c r="AN592" s="16">
        <f>INDEX('Team forecast'!$B$2:$AO$26,MATCH('Master data'!$B592,'Team forecast'!$B$2:$B$26,0),MATCH('Master data'!AN$1,'Team forecast'!$B$2:$AO$2,0))</f>
        <v>0.25024905963763749</v>
      </c>
      <c r="AO592" s="16">
        <f>INDEX('Team forecast'!$B$2:$AO$26,MATCH('Master data'!$B592,'Team forecast'!$B$2:$B$26,0),MATCH('Master data'!AO$1,'Team forecast'!$B$2:$AO$2,0))</f>
        <v>2.6442529298042636</v>
      </c>
      <c r="AP592" s="16">
        <f>INDEX('Team forecast'!$B$2:$AO$26,MATCH('Master data'!$B592,'Team forecast'!$B$2:$B$26,0),MATCH('Master data'!AP$1,'Team forecast'!$B$2:$AO$2,0))</f>
        <v>3.6985484646649716</v>
      </c>
      <c r="AQ592" s="5">
        <f t="shared" si="358"/>
        <v>7000</v>
      </c>
      <c r="AR592" s="5">
        <f>INDEX('Team forecast'!$B$2:$AO$26,MATCH('Master data'!$B592,'Team forecast'!$B$2:$B$26,0),MATCH('Master data'!AR$1,'Team forecast'!$B$2:$AO$2,0))*IF(X592&gt;0,25000,0)</f>
        <v>5418.2100094754078</v>
      </c>
      <c r="AS592" s="16">
        <f>INDEX('Team forecast'!$B$2:$AO$26,MATCH('Master data'!$B592,'Team forecast'!$B$2:$B$26,0),MATCH('Master data'!AS$1,'Team forecast'!$B$2:$AO$2,0))*IF(X592&gt;0,5000,0)</f>
        <v>1380.0499612369715</v>
      </c>
      <c r="AT592" s="16">
        <f>INDEX('Team forecast'!$B$2:$AO$26,MATCH('Master data'!$B592,'Team forecast'!$B$2:$B$26,0),MATCH('Master data'!AT$1,'Team forecast'!$B$2:$AO$2,0))*IF(X592&gt;0,-15000,0)</f>
        <v>-7608.9241106038426</v>
      </c>
      <c r="AU592" s="5">
        <f t="shared" si="359"/>
        <v>3154.4781085124591</v>
      </c>
      <c r="AV592" s="5">
        <f t="shared" si="360"/>
        <v>1889.7105401588208</v>
      </c>
      <c r="AW592" s="5">
        <f t="shared" si="361"/>
        <v>7701.719007630234</v>
      </c>
      <c r="AX592" s="5">
        <f t="shared" si="362"/>
        <v>12512.452981881876</v>
      </c>
      <c r="AY592" s="5">
        <f t="shared" si="363"/>
        <v>0</v>
      </c>
      <c r="AZ592" s="5">
        <f t="shared" si="364"/>
        <v>0</v>
      </c>
      <c r="BA592" s="5">
        <f t="shared" si="365"/>
        <v>0</v>
      </c>
      <c r="BB592" s="5">
        <f t="shared" si="366"/>
        <v>8054.801232326834</v>
      </c>
      <c r="BC592" s="5">
        <f t="shared" si="367"/>
        <v>-11082.388947885003</v>
      </c>
      <c r="BD592" s="5">
        <f t="shared" si="368"/>
        <v>28420.108782733761</v>
      </c>
      <c r="BE592" s="16">
        <f>INDEX('Team forecast'!$B$2:$AO$26,MATCH('Master data'!$B592,'Team forecast'!$B$2:$B$26,0),MATCH('Master data'!BE$1,'Team forecast'!$B$2:$AO$2,0))</f>
        <v>0.56161379059809569</v>
      </c>
      <c r="BF592" s="16">
        <f>INDEX('Team forecast'!$B$2:$AO$26,MATCH('Master data'!$B592,'Team forecast'!$B$2:$B$26,0),MATCH('Master data'!BF$1,'Team forecast'!$B$2:$AO$2,0))</f>
        <v>2.3513752571634776</v>
      </c>
      <c r="BG592" s="16">
        <f>INDEX('Team forecast'!$B$2:$AO$26,MATCH('Master data'!$B592,'Team forecast'!$B$2:$B$26,0),MATCH('Master data'!BG$1,'Team forecast'!$B$2:$AO$2,0))</f>
        <v>9.5238095238095233E-2</v>
      </c>
      <c r="BH592" s="16">
        <f>INDEX('Team forecast'!$B$2:$AO$26,MATCH('Master data'!$B592,'Team forecast'!$B$2:$B$26,0),MATCH('Master data'!BH$1,'Team forecast'!$B$2:$AO$2,0))</f>
        <v>1.8436816358018293</v>
      </c>
      <c r="BI592" s="16">
        <f>INDEX('Team forecast'!$B$2:$AO$26,MATCH('Master data'!$B592,'Team forecast'!$B$2:$B$26,0),MATCH('Master data'!BI$1,'Team forecast'!$B$2:$AO$2,0))</f>
        <v>6.2778344186469877</v>
      </c>
      <c r="BJ592" s="5">
        <f t="shared" si="369"/>
        <v>7000</v>
      </c>
      <c r="BK592" s="5">
        <f>INDEX('Team forecast'!$R$3:$BH$26,MATCH($B592,'Team forecast'!$B$3:$B$26,0),MATCH(BK$1,'Team forecast'!$R$2:$BH$2,0))*IF($X592&gt;0,25000,0)</f>
        <v>1700.6802721088434</v>
      </c>
      <c r="BL592" s="5">
        <f>INDEX('Team forecast'!$R$3:$BH$26,MATCH($B592,'Team forecast'!$B$3:$B$26,0),MATCH(BL$1,'Team forecast'!$R$2:$BH$2,0))*IF($X592&gt;0,5000,0)</f>
        <v>850.34013605442146</v>
      </c>
      <c r="BM592" s="5">
        <f>INDEX('Team forecast'!$R$3:$BH$26,MATCH($B592,'Team forecast'!$B$3:$B$26,0),MATCH(BM$1,'Team forecast'!$R$2:$BH$2,0))*IF($X592&gt;0,-15000,0)</f>
        <v>-11428.571428571428</v>
      </c>
      <c r="BN592" s="5">
        <f t="shared" si="370"/>
        <v>2199.4315648290949</v>
      </c>
      <c r="BO592" s="5">
        <f t="shared" si="371"/>
        <v>1317.5837230252675</v>
      </c>
      <c r="BP592" s="5">
        <f t="shared" si="372"/>
        <v>5369.9544920329727</v>
      </c>
      <c r="BQ592" s="5">
        <f t="shared" si="373"/>
        <v>4761.9047619047615</v>
      </c>
      <c r="BR592" s="5">
        <f t="shared" si="374"/>
        <v>0</v>
      </c>
      <c r="BS592" s="5">
        <f t="shared" si="375"/>
        <v>0</v>
      </c>
      <c r="BT592" s="5">
        <f t="shared" si="376"/>
        <v>0</v>
      </c>
      <c r="BU592" s="5">
        <f t="shared" si="377"/>
        <v>5616.1379059809569</v>
      </c>
      <c r="BV592" s="5">
        <f t="shared" si="378"/>
        <v>-18811.002057307822</v>
      </c>
      <c r="BW592" s="5">
        <f t="shared" si="379"/>
        <v>-1423.5406299429305</v>
      </c>
      <c r="BX592" s="5">
        <f t="shared" si="380"/>
        <v>17075.200425627529</v>
      </c>
      <c r="BY592" s="5">
        <f t="shared" si="381"/>
        <v>51225.601276882589</v>
      </c>
      <c r="BZ592" s="5">
        <f>INDEX('Team forecast'!$R$3:$BH$26,MATCH($B592,'Team forecast'!$B$3:$B$26,0),MATCH(BZ$1,'Team forecast'!$R$2:$BH$2,0))*($BX592-(BY592+CH592)*0.01)</f>
        <v>-1163.0062029944131</v>
      </c>
      <c r="CA592" s="5">
        <f>INDEX('Team forecast'!$R$3:$BH$26,MATCH($B592,'Team forecast'!$B$3:$B$26,0),MATCH(CA$1,'Team forecast'!$R$2:$BH$2,0))*($BX592-(BY592+BX592+CH592)*0.01)</f>
        <v>-598.60684701811135</v>
      </c>
      <c r="CB592" s="5">
        <f>INDEX('Team forecast'!$R$3:$BH$26,MATCH($B592,'Team forecast'!$B$3:$B$26,0),MATCH(CB$1,'Team forecast'!$R$2:$BH$2,0))*($BX592-(BY592+BX592*2+CH592)*0.01)</f>
        <v>-301.85210403450549</v>
      </c>
      <c r="CC592" s="5">
        <f>INDEX('Team forecast'!$R$3:$BH$26,MATCH($B592,'Team forecast'!$B$3:$B$26,0),MATCH(CC$1,'Team forecast'!$R$2:$BH$2,0))*($BX592-(BY592+BX592*3+CH592)*0.01)</f>
        <v>-142.08975272628885</v>
      </c>
      <c r="CD592" s="5">
        <f>+AK592+BD592*Cockpit!$C$3+BW592*Cockpit!$C$3^2+BZ592*Cockpit!$C$3^3+CA592*Cockpit!$C$3^4+CB592*Cockpit!$C$3^5+CC592*Cockpit!$C$3^6</f>
        <v>42028.025486681465</v>
      </c>
      <c r="CE592" s="5"/>
      <c r="CF592" s="5"/>
      <c r="CG592" s="5">
        <v>0</v>
      </c>
      <c r="CH592" s="5">
        <f t="shared" si="382"/>
        <v>2000000</v>
      </c>
      <c r="CI592" s="5">
        <f t="shared" si="383"/>
        <v>2000000</v>
      </c>
      <c r="CJ592" s="1">
        <f t="shared" si="384"/>
        <v>2.5612800638441294E-2</v>
      </c>
      <c r="CK592" s="5">
        <f>RANK(BY592,$BY$2:$BY$623)+COUNTIF($BY$2:$BY592,$BY592)-1</f>
        <v>288</v>
      </c>
      <c r="CL592" s="5">
        <f>RANK(CJ592,$CJ$2:$CJ$623)+COUNTIF($CJ$2:$CJ592,$CJ592)-1</f>
        <v>198</v>
      </c>
    </row>
    <row r="593" spans="1:90">
      <c r="A593" t="str">
        <f>Players!P594</f>
        <v>Tomáš Hubočan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0.81328039356128246</v>
      </c>
      <c r="I593" s="16">
        <f>INDEX('Team forecast'!$B$2:$AO$26,MATCH('Master data'!$B593,'Team forecast'!$B$2:$B$26,0),MATCH('Master data'!I$1,'Team forecast'!$B$2:$AO$2,0))</f>
        <v>1.5369105908463034</v>
      </c>
      <c r="J593" s="16">
        <f>INDEX('Team forecast'!$B$2:$AO$26,MATCH('Master data'!$B593,'Team forecast'!$B$2:$B$26,0),MATCH('Master data'!J$1,'Team forecast'!$B$2:$AO$2,0))</f>
        <v>0.21504443649322161</v>
      </c>
      <c r="K593" s="16">
        <f>INDEX('Team forecast'!$B$2:$AO$26,MATCH('Master data'!$B593,'Team forecast'!$B$2:$B$26,0),MATCH('Master data'!K$1,'Team forecast'!$B$2:$AO$2,0))</f>
        <v>2.6698598778526952</v>
      </c>
      <c r="L593" s="16">
        <f>INDEX('Team forecast'!$B$2:$AO$26,MATCH('Master data'!$B593,'Team forecast'!$B$2:$B$26,0),MATCH('Master data'!L$1,'Team forecast'!$B$2:$AO$2,0))</f>
        <v>4.1033306683839106</v>
      </c>
      <c r="M593">
        <f>IF(Players!BC594=1,95,0)</f>
        <v>95</v>
      </c>
      <c r="N593" s="2">
        <f>Players!BN594</f>
        <v>2.6108470526062529E-2</v>
      </c>
      <c r="O593" s="2">
        <f>Players!BO594</f>
        <v>4.69213450624884E-2</v>
      </c>
      <c r="P593" s="2">
        <f>Players!BP594</f>
        <v>1.2785182298948235E-2</v>
      </c>
      <c r="Q593" s="2">
        <f>Players!BQ594</f>
        <v>6.32688927943761E-2</v>
      </c>
      <c r="R593" s="2">
        <f>Players!BR594</f>
        <v>0</v>
      </c>
      <c r="S593" s="2">
        <f t="shared" si="343"/>
        <v>0.81328039356128246</v>
      </c>
      <c r="T593" s="2">
        <f t="shared" si="344"/>
        <v>1.5369105908463034</v>
      </c>
      <c r="U593" s="16">
        <f>INDEX('Team forecast'!$B$2:$AO$26,MATCH('Master data'!$B593,'Team forecast'!$B$2:$B$26,0),MATCH('Master data'!U$1,'Team forecast'!$B$2:$AO$2,0))</f>
        <v>0.18622848200312991</v>
      </c>
      <c r="V593" s="16">
        <f>INDEX('Team forecast'!$B$2:$AO$26,MATCH('Master data'!$B593,'Team forecast'!$B$2:$B$26,0),MATCH('Master data'!V$1,'Team forecast'!$B$2:$AO$2,0))</f>
        <v>0.2660406885758998</v>
      </c>
      <c r="W593" s="16">
        <f>INDEX('Team forecast'!$B$2:$AO$26,MATCH('Master data'!$B593,'Team forecast'!$B$2:$B$26,0),MATCH('Master data'!W$1,'Team forecast'!$B$2:$AO$2,0))</f>
        <v>0.54773082942097018</v>
      </c>
      <c r="X593" s="5">
        <f t="shared" si="345"/>
        <v>7000</v>
      </c>
      <c r="Y593" s="5">
        <f t="shared" si="346"/>
        <v>4655.7120500782476</v>
      </c>
      <c r="Z593" s="5">
        <f t="shared" si="347"/>
        <v>1330.2034428794989</v>
      </c>
      <c r="AA593" s="5">
        <f t="shared" si="348"/>
        <v>-8215.9624413145521</v>
      </c>
      <c r="AB593" s="5">
        <f t="shared" si="349"/>
        <v>3185.0260777078915</v>
      </c>
      <c r="AC593" s="5">
        <f t="shared" si="350"/>
        <v>1908.010498942265</v>
      </c>
      <c r="AD593" s="5">
        <f t="shared" si="351"/>
        <v>341.34645250994379</v>
      </c>
      <c r="AE593" s="5">
        <f t="shared" si="352"/>
        <v>10752.221824661081</v>
      </c>
      <c r="AF593" s="5">
        <f t="shared" si="353"/>
        <v>0</v>
      </c>
      <c r="AG593" s="5">
        <f t="shared" si="354"/>
        <v>-1265.3778558875219</v>
      </c>
      <c r="AH593" s="5">
        <f t="shared" si="355"/>
        <v>0</v>
      </c>
      <c r="AI593" s="5">
        <f t="shared" si="356"/>
        <v>8132.8039356128247</v>
      </c>
      <c r="AJ593" s="5">
        <f t="shared" si="357"/>
        <v>-12295.284726770427</v>
      </c>
      <c r="AK593" s="5">
        <f>IFERROR(SUM(X593:AJ593),-5000)*((Cockpit!$C$3)^0)</f>
        <v>15528.699258419252</v>
      </c>
      <c r="AL593" s="16">
        <f>INDEX('Team forecast'!$B$2:$AO$26,MATCH('Master data'!$B593,'Team forecast'!$B$2:$B$26,0),MATCH('Master data'!AL$1,'Team forecast'!$B$2:$AO$2,0))</f>
        <v>0.80548012323268336</v>
      </c>
      <c r="AM593" s="16">
        <f>INDEX('Team forecast'!$B$2:$AO$26,MATCH('Master data'!$B593,'Team forecast'!$B$2:$B$26,0),MATCH('Master data'!AM$1,'Team forecast'!$B$2:$AO$2,0))</f>
        <v>1.3852986184856255</v>
      </c>
      <c r="AN593" s="16">
        <f>INDEX('Team forecast'!$B$2:$AO$26,MATCH('Master data'!$B593,'Team forecast'!$B$2:$B$26,0),MATCH('Master data'!AN$1,'Team forecast'!$B$2:$AO$2,0))</f>
        <v>0.25024905963763749</v>
      </c>
      <c r="AO593" s="16">
        <f>INDEX('Team forecast'!$B$2:$AO$26,MATCH('Master data'!$B593,'Team forecast'!$B$2:$B$26,0),MATCH('Master data'!AO$1,'Team forecast'!$B$2:$AO$2,0))</f>
        <v>2.6442529298042636</v>
      </c>
      <c r="AP593" s="16">
        <f>INDEX('Team forecast'!$B$2:$AO$26,MATCH('Master data'!$B593,'Team forecast'!$B$2:$B$26,0),MATCH('Master data'!AP$1,'Team forecast'!$B$2:$AO$2,0))</f>
        <v>3.6985484646649716</v>
      </c>
      <c r="AQ593" s="5">
        <f t="shared" si="358"/>
        <v>7000</v>
      </c>
      <c r="AR593" s="5">
        <f>INDEX('Team forecast'!$B$2:$AO$26,MATCH('Master data'!$B593,'Team forecast'!$B$2:$B$26,0),MATCH('Master data'!AR$1,'Team forecast'!$B$2:$AO$2,0))*IF(X593&gt;0,25000,0)</f>
        <v>5418.2100094754078</v>
      </c>
      <c r="AS593" s="16">
        <f>INDEX('Team forecast'!$B$2:$AO$26,MATCH('Master data'!$B593,'Team forecast'!$B$2:$B$26,0),MATCH('Master data'!AS$1,'Team forecast'!$B$2:$AO$2,0))*IF(X593&gt;0,5000,0)</f>
        <v>1380.0499612369715</v>
      </c>
      <c r="AT593" s="16">
        <f>INDEX('Team forecast'!$B$2:$AO$26,MATCH('Master data'!$B593,'Team forecast'!$B$2:$B$26,0),MATCH('Master data'!AT$1,'Team forecast'!$B$2:$AO$2,0))*IF(X593&gt;0,-15000,0)</f>
        <v>-7608.9241106038426</v>
      </c>
      <c r="AU593" s="5">
        <f t="shared" si="359"/>
        <v>3154.4781085124591</v>
      </c>
      <c r="AV593" s="5">
        <f t="shared" si="360"/>
        <v>1889.7105401588208</v>
      </c>
      <c r="AW593" s="5">
        <f t="shared" si="361"/>
        <v>338.0725575207548</v>
      </c>
      <c r="AX593" s="5">
        <f t="shared" si="362"/>
        <v>12512.452981881876</v>
      </c>
      <c r="AY593" s="5">
        <f t="shared" si="363"/>
        <v>0</v>
      </c>
      <c r="AZ593" s="5">
        <f t="shared" si="364"/>
        <v>-1265.3778558875219</v>
      </c>
      <c r="BA593" s="5">
        <f t="shared" si="365"/>
        <v>0</v>
      </c>
      <c r="BB593" s="5">
        <f t="shared" si="366"/>
        <v>8054.801232326834</v>
      </c>
      <c r="BC593" s="5">
        <f t="shared" si="367"/>
        <v>-11082.388947885003</v>
      </c>
      <c r="BD593" s="5">
        <f t="shared" si="368"/>
        <v>19791.08447673676</v>
      </c>
      <c r="BE593" s="16">
        <f>INDEX('Team forecast'!$B$2:$AO$26,MATCH('Master data'!$B593,'Team forecast'!$B$2:$B$26,0),MATCH('Master data'!BE$1,'Team forecast'!$B$2:$AO$2,0))</f>
        <v>0.56161379059809569</v>
      </c>
      <c r="BF593" s="16">
        <f>INDEX('Team forecast'!$B$2:$AO$26,MATCH('Master data'!$B593,'Team forecast'!$B$2:$B$26,0),MATCH('Master data'!BF$1,'Team forecast'!$B$2:$AO$2,0))</f>
        <v>2.3513752571634776</v>
      </c>
      <c r="BG593" s="16">
        <f>INDEX('Team forecast'!$B$2:$AO$26,MATCH('Master data'!$B593,'Team forecast'!$B$2:$B$26,0),MATCH('Master data'!BG$1,'Team forecast'!$B$2:$AO$2,0))</f>
        <v>9.5238095238095233E-2</v>
      </c>
      <c r="BH593" s="16">
        <f>INDEX('Team forecast'!$B$2:$AO$26,MATCH('Master data'!$B593,'Team forecast'!$B$2:$B$26,0),MATCH('Master data'!BH$1,'Team forecast'!$B$2:$AO$2,0))</f>
        <v>1.8436816358018293</v>
      </c>
      <c r="BI593" s="16">
        <f>INDEX('Team forecast'!$B$2:$AO$26,MATCH('Master data'!$B593,'Team forecast'!$B$2:$B$26,0),MATCH('Master data'!BI$1,'Team forecast'!$B$2:$AO$2,0))</f>
        <v>6.2778344186469877</v>
      </c>
      <c r="BJ593" s="5">
        <f t="shared" si="369"/>
        <v>7000</v>
      </c>
      <c r="BK593" s="5">
        <f>INDEX('Team forecast'!$R$3:$BH$26,MATCH($B593,'Team forecast'!$B$3:$B$26,0),MATCH(BK$1,'Team forecast'!$R$2:$BH$2,0))*IF($X593&gt;0,25000,0)</f>
        <v>1700.6802721088434</v>
      </c>
      <c r="BL593" s="5">
        <f>INDEX('Team forecast'!$R$3:$BH$26,MATCH($B593,'Team forecast'!$B$3:$B$26,0),MATCH(BL$1,'Team forecast'!$R$2:$BH$2,0))*IF($X593&gt;0,5000,0)</f>
        <v>850.34013605442146</v>
      </c>
      <c r="BM593" s="5">
        <f>INDEX('Team forecast'!$R$3:$BH$26,MATCH($B593,'Team forecast'!$B$3:$B$26,0),MATCH(BM$1,'Team forecast'!$R$2:$BH$2,0))*IF($X593&gt;0,-15000,0)</f>
        <v>-11428.571428571428</v>
      </c>
      <c r="BN593" s="5">
        <f t="shared" si="370"/>
        <v>2199.4315648290949</v>
      </c>
      <c r="BO593" s="5">
        <f t="shared" si="371"/>
        <v>1317.5837230252675</v>
      </c>
      <c r="BP593" s="5">
        <f t="shared" si="372"/>
        <v>235.71805814949474</v>
      </c>
      <c r="BQ593" s="5">
        <f t="shared" si="373"/>
        <v>4761.9047619047615</v>
      </c>
      <c r="BR593" s="5">
        <f t="shared" si="374"/>
        <v>0</v>
      </c>
      <c r="BS593" s="5">
        <f t="shared" si="375"/>
        <v>-1265.3778558875219</v>
      </c>
      <c r="BT593" s="5">
        <f t="shared" si="376"/>
        <v>0</v>
      </c>
      <c r="BU593" s="5">
        <f t="shared" si="377"/>
        <v>5616.1379059809569</v>
      </c>
      <c r="BV593" s="5">
        <f t="shared" si="378"/>
        <v>-18811.002057307822</v>
      </c>
      <c r="BW593" s="5">
        <f t="shared" si="379"/>
        <v>-7823.154919713932</v>
      </c>
      <c r="BX593" s="5">
        <f t="shared" si="380"/>
        <v>9165.5429384806939</v>
      </c>
      <c r="BY593" s="5">
        <f t="shared" si="381"/>
        <v>27496.628815442084</v>
      </c>
      <c r="BZ593" s="5">
        <f>INDEX('Team forecast'!$R$3:$BH$26,MATCH($B593,'Team forecast'!$B$3:$B$26,0),MATCH(BZ$1,'Team forecast'!$R$2:$BH$2,0))*($BX593-(BY593+CH593)*0.01)</f>
        <v>-3759.1269444983691</v>
      </c>
      <c r="CA593" s="5">
        <f>INDEX('Team forecast'!$R$3:$BH$26,MATCH($B593,'Team forecast'!$B$3:$B$26,0),MATCH(CA$1,'Team forecast'!$R$2:$BH$2,0))*($BX593-(BY593+BX593+CH593)*0.01)</f>
        <v>-1858.4811637741302</v>
      </c>
      <c r="CB593" s="5">
        <f>INDEX('Team forecast'!$R$3:$BH$26,MATCH($B593,'Team forecast'!$B$3:$B$26,0),MATCH(CB$1,'Team forecast'!$R$2:$BH$2,0))*($BX593-(BY593+BX593*2+CH593)*0.01)</f>
        <v>-902.12566318706024</v>
      </c>
      <c r="CC593" s="5">
        <f>INDEX('Team forecast'!$R$3:$BH$26,MATCH($B593,'Team forecast'!$B$3:$B$26,0),MATCH(CC$1,'Team forecast'!$R$2:$BH$2,0))*($BX593-(BY593+BX593*3+CH593)*0.01)</f>
        <v>-409.59166367514246</v>
      </c>
      <c r="CD593" s="5">
        <f>+AK593+BD593*Cockpit!$C$3+BW593*Cockpit!$C$3^2+BZ593*Cockpit!$C$3^3+CA593*Cockpit!$C$3^4+CB593*Cockpit!$C$3^5+CC593*Cockpit!$C$3^6</f>
        <v>23610.117946993276</v>
      </c>
      <c r="CE593" s="5"/>
      <c r="CF593" s="5"/>
      <c r="CG593" s="5">
        <v>0</v>
      </c>
      <c r="CH593" s="5">
        <f t="shared" si="382"/>
        <v>2000000</v>
      </c>
      <c r="CI593" s="5">
        <f t="shared" si="383"/>
        <v>2000000</v>
      </c>
      <c r="CJ593" s="1">
        <f t="shared" si="384"/>
        <v>1.3748314407721042E-2</v>
      </c>
      <c r="CK593" s="5">
        <f>RANK(BY593,$BY$2:$BY$623)+COUNTIF($BY$2:$BY593,$BY593)-1</f>
        <v>361</v>
      </c>
      <c r="CL593" s="5">
        <f>RANK(CJ593,$CJ$2:$CJ$623)+COUNTIF($CJ$2:$CJ593,$CJ593)-1</f>
        <v>322</v>
      </c>
    </row>
    <row r="594" spans="1:90">
      <c r="A594" t="str">
        <f>Players!P595</f>
        <v>Martin Valjent</v>
      </c>
      <c r="B594" t="str">
        <f>Players!G595</f>
        <v>Slovakia</v>
      </c>
      <c r="C594" t="str">
        <f>Players!AB595</f>
        <v>Defense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0.81328039356128246</v>
      </c>
      <c r="I594" s="16">
        <f>INDEX('Team forecast'!$B$2:$AO$26,MATCH('Master data'!$B594,'Team forecast'!$B$2:$B$26,0),MATCH('Master data'!I$1,'Team forecast'!$B$2:$AO$2,0))</f>
        <v>1.5369105908463034</v>
      </c>
      <c r="J594" s="16">
        <f>INDEX('Team forecast'!$B$2:$AO$26,MATCH('Master data'!$B594,'Team forecast'!$B$2:$B$26,0),MATCH('Master data'!J$1,'Team forecast'!$B$2:$AO$2,0))</f>
        <v>0.21504443649322161</v>
      </c>
      <c r="K594" s="16">
        <f>INDEX('Team forecast'!$B$2:$AO$26,MATCH('Master data'!$B594,'Team forecast'!$B$2:$B$26,0),MATCH('Master data'!K$1,'Team forecast'!$B$2:$AO$2,0))</f>
        <v>2.6698598778526952</v>
      </c>
      <c r="L594" s="16">
        <f>INDEX('Team forecast'!$B$2:$AO$26,MATCH('Master data'!$B594,'Team forecast'!$B$2:$B$26,0),MATCH('Master data'!L$1,'Team forecast'!$B$2:$AO$2,0))</f>
        <v>4.1033306683839106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343"/>
        <v>0.81328039356128246</v>
      </c>
      <c r="T594" s="2">
        <f t="shared" si="344"/>
        <v>1.5369105908463034</v>
      </c>
      <c r="U594" s="16">
        <f>INDEX('Team forecast'!$B$2:$AO$26,MATCH('Master data'!$B594,'Team forecast'!$B$2:$B$26,0),MATCH('Master data'!U$1,'Team forecast'!$B$2:$AO$2,0))</f>
        <v>0.18622848200312991</v>
      </c>
      <c r="V594" s="16">
        <f>INDEX('Team forecast'!$B$2:$AO$26,MATCH('Master data'!$B594,'Team forecast'!$B$2:$B$26,0),MATCH('Master data'!V$1,'Team forecast'!$B$2:$AO$2,0))</f>
        <v>0.2660406885758998</v>
      </c>
      <c r="W594" s="16">
        <f>INDEX('Team forecast'!$B$2:$AO$26,MATCH('Master data'!$B594,'Team forecast'!$B$2:$B$26,0),MATCH('Master data'!W$1,'Team forecast'!$B$2:$AO$2,0))</f>
        <v>0.54773082942097018</v>
      </c>
      <c r="X594" s="5">
        <f t="shared" si="345"/>
        <v>-5000</v>
      </c>
      <c r="Y594" s="5">
        <f t="shared" si="346"/>
        <v>0</v>
      </c>
      <c r="Z594" s="5">
        <f t="shared" si="347"/>
        <v>0</v>
      </c>
      <c r="AA594" s="5">
        <f t="shared" si="348"/>
        <v>0</v>
      </c>
      <c r="AB594" s="5">
        <f t="shared" si="349"/>
        <v>0</v>
      </c>
      <c r="AC594" s="5">
        <f t="shared" si="350"/>
        <v>0</v>
      </c>
      <c r="AD594" s="5">
        <f t="shared" si="351"/>
        <v>0</v>
      </c>
      <c r="AE594" s="5">
        <f t="shared" si="352"/>
        <v>10752.221824661081</v>
      </c>
      <c r="AF594" s="5">
        <f t="shared" si="353"/>
        <v>0</v>
      </c>
      <c r="AG594" s="5">
        <f t="shared" si="354"/>
        <v>0</v>
      </c>
      <c r="AH594" s="5">
        <f t="shared" si="355"/>
        <v>0</v>
      </c>
      <c r="AI594" s="5">
        <f t="shared" si="356"/>
        <v>0</v>
      </c>
      <c r="AJ594" s="5">
        <f t="shared" si="357"/>
        <v>0</v>
      </c>
      <c r="AK594" s="5">
        <f>IFERROR(SUM(X594:AJ594),-5000)*((Cockpit!$C$3)^0)</f>
        <v>5752.221824661081</v>
      </c>
      <c r="AL594" s="16">
        <f>INDEX('Team forecast'!$B$2:$AO$26,MATCH('Master data'!$B594,'Team forecast'!$B$2:$B$26,0),MATCH('Master data'!AL$1,'Team forecast'!$B$2:$AO$2,0))</f>
        <v>0.80548012323268336</v>
      </c>
      <c r="AM594" s="16">
        <f>INDEX('Team forecast'!$B$2:$AO$26,MATCH('Master data'!$B594,'Team forecast'!$B$2:$B$26,0),MATCH('Master data'!AM$1,'Team forecast'!$B$2:$AO$2,0))</f>
        <v>1.3852986184856255</v>
      </c>
      <c r="AN594" s="16">
        <f>INDEX('Team forecast'!$B$2:$AO$26,MATCH('Master data'!$B594,'Team forecast'!$B$2:$B$26,0),MATCH('Master data'!AN$1,'Team forecast'!$B$2:$AO$2,0))</f>
        <v>0.25024905963763749</v>
      </c>
      <c r="AO594" s="16">
        <f>INDEX('Team forecast'!$B$2:$AO$26,MATCH('Master data'!$B594,'Team forecast'!$B$2:$B$26,0),MATCH('Master data'!AO$1,'Team forecast'!$B$2:$AO$2,0))</f>
        <v>2.6442529298042636</v>
      </c>
      <c r="AP594" s="16">
        <f>INDEX('Team forecast'!$B$2:$AO$26,MATCH('Master data'!$B594,'Team forecast'!$B$2:$B$26,0),MATCH('Master data'!AP$1,'Team forecast'!$B$2:$AO$2,0))</f>
        <v>3.6985484646649716</v>
      </c>
      <c r="AQ594" s="5">
        <f t="shared" si="358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359"/>
        <v>0</v>
      </c>
      <c r="AV594" s="5">
        <f t="shared" si="360"/>
        <v>0</v>
      </c>
      <c r="AW594" s="5">
        <f t="shared" si="361"/>
        <v>0</v>
      </c>
      <c r="AX594" s="5">
        <f t="shared" si="362"/>
        <v>12512.452981881876</v>
      </c>
      <c r="AY594" s="5">
        <f t="shared" si="363"/>
        <v>0</v>
      </c>
      <c r="AZ594" s="5">
        <f t="shared" si="364"/>
        <v>0</v>
      </c>
      <c r="BA594" s="5">
        <f t="shared" si="365"/>
        <v>0</v>
      </c>
      <c r="BB594" s="5">
        <f t="shared" si="366"/>
        <v>0</v>
      </c>
      <c r="BC594" s="5">
        <f t="shared" si="367"/>
        <v>0</v>
      </c>
      <c r="BD594" s="5">
        <f t="shared" si="368"/>
        <v>7512.4529818818755</v>
      </c>
      <c r="BE594" s="16">
        <f>INDEX('Team forecast'!$B$2:$AO$26,MATCH('Master data'!$B594,'Team forecast'!$B$2:$B$26,0),MATCH('Master data'!BE$1,'Team forecast'!$B$2:$AO$2,0))</f>
        <v>0.56161379059809569</v>
      </c>
      <c r="BF594" s="16">
        <f>INDEX('Team forecast'!$B$2:$AO$26,MATCH('Master data'!$B594,'Team forecast'!$B$2:$B$26,0),MATCH('Master data'!BF$1,'Team forecast'!$B$2:$AO$2,0))</f>
        <v>2.3513752571634776</v>
      </c>
      <c r="BG594" s="16">
        <f>INDEX('Team forecast'!$B$2:$AO$26,MATCH('Master data'!$B594,'Team forecast'!$B$2:$B$26,0),MATCH('Master data'!BG$1,'Team forecast'!$B$2:$AO$2,0))</f>
        <v>9.5238095238095233E-2</v>
      </c>
      <c r="BH594" s="16">
        <f>INDEX('Team forecast'!$B$2:$AO$26,MATCH('Master data'!$B594,'Team forecast'!$B$2:$B$26,0),MATCH('Master data'!BH$1,'Team forecast'!$B$2:$AO$2,0))</f>
        <v>1.8436816358018293</v>
      </c>
      <c r="BI594" s="16">
        <f>INDEX('Team forecast'!$B$2:$AO$26,MATCH('Master data'!$B594,'Team forecast'!$B$2:$B$26,0),MATCH('Master data'!BI$1,'Team forecast'!$B$2:$AO$2,0))</f>
        <v>6.2778344186469877</v>
      </c>
      <c r="BJ594" s="5">
        <f t="shared" si="369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370"/>
        <v>0</v>
      </c>
      <c r="BO594" s="5">
        <f t="shared" si="371"/>
        <v>0</v>
      </c>
      <c r="BP594" s="5">
        <f t="shared" si="372"/>
        <v>0</v>
      </c>
      <c r="BQ594" s="5">
        <f t="shared" si="373"/>
        <v>4761.9047619047615</v>
      </c>
      <c r="BR594" s="5">
        <f t="shared" si="374"/>
        <v>0</v>
      </c>
      <c r="BS594" s="5">
        <f t="shared" si="375"/>
        <v>0</v>
      </c>
      <c r="BT594" s="5">
        <f t="shared" si="376"/>
        <v>0</v>
      </c>
      <c r="BU594" s="5">
        <f t="shared" si="377"/>
        <v>0</v>
      </c>
      <c r="BV594" s="5">
        <f t="shared" si="378"/>
        <v>0</v>
      </c>
      <c r="BW594" s="5">
        <f t="shared" si="379"/>
        <v>-238.09523809523853</v>
      </c>
      <c r="BX594" s="5">
        <f t="shared" si="380"/>
        <v>4342.193189482573</v>
      </c>
      <c r="BY594" s="5">
        <f t="shared" si="381"/>
        <v>13026.57956844772</v>
      </c>
      <c r="BZ594" s="5">
        <f>INDEX('Team forecast'!$R$3:$BH$26,MATCH($B594,'Team forecast'!$B$3:$B$26,0),MATCH(BZ$1,'Team forecast'!$R$2:$BH$2,0))*($BX594-(BY594+CH594)*0.01)</f>
        <v>-5342.2547028431682</v>
      </c>
      <c r="CA594" s="5">
        <f>INDEX('Team forecast'!$R$3:$BH$26,MATCH($B594,'Team forecast'!$B$3:$B$26,0),MATCH(CA$1,'Team forecast'!$R$2:$BH$2,0))*($BX594-(BY594+BX594+CH594)*0.01)</f>
        <v>-2626.7589911477085</v>
      </c>
      <c r="CB594" s="5">
        <f>INDEX('Team forecast'!$R$3:$BH$26,MATCH($B594,'Team forecast'!$B$3:$B$26,0),MATCH(CB$1,'Team forecast'!$R$2:$BH$2,0))*($BX594-(BY594+BX594*2+CH594)*0.01)</f>
        <v>-1268.1755617539177</v>
      </c>
      <c r="CC594" s="5">
        <f>INDEX('Team forecast'!$R$3:$BH$26,MATCH($B594,'Team forecast'!$B$3:$B$26,0),MATCH(CC$1,'Team forecast'!$R$2:$BH$2,0))*($BX594-(BY594+BX594*3+CH594)*0.01)</f>
        <v>-572.71570250088575</v>
      </c>
      <c r="CD594" s="5">
        <f>+AK594+BD594*Cockpit!$C$3+BW594*Cockpit!$C$3^2+BZ594*Cockpit!$C$3^3+CA594*Cockpit!$C$3^4+CB594*Cockpit!$C$3^5+CC594*Cockpit!$C$3^6</f>
        <v>8335.6653399202114</v>
      </c>
      <c r="CE594" s="5"/>
      <c r="CF594" s="5"/>
      <c r="CG594" s="5">
        <v>0</v>
      </c>
      <c r="CH594" s="5">
        <f t="shared" si="382"/>
        <v>2000000</v>
      </c>
      <c r="CI594" s="5">
        <f t="shared" si="383"/>
        <v>2000000</v>
      </c>
      <c r="CJ594" s="1">
        <f t="shared" si="384"/>
        <v>6.5132897842238597E-3</v>
      </c>
      <c r="CK594" s="5">
        <f>RANK(BY594,$BY$2:$BY$623)+COUNTIF($BY$2:$BY594,$BY594)-1</f>
        <v>390</v>
      </c>
      <c r="CL594" s="5">
        <f>RANK(CJ594,$CJ$2:$CJ$623)+COUNTIF($CJ$2:$CJ594,$CJ594)-1</f>
        <v>383</v>
      </c>
    </row>
    <row r="595" spans="1:90">
      <c r="A595" t="str">
        <f>Players!P596</f>
        <v>Jakub Hromada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2000000</v>
      </c>
      <c r="H595" s="16">
        <f>INDEX('Team forecast'!$B$2:$AO$26,MATCH('Master data'!$B595,'Team forecast'!$B$2:$B$26,0),MATCH('Master data'!H$1,'Team forecast'!$B$2:$AO$2,0))</f>
        <v>0.81328039356128246</v>
      </c>
      <c r="I595" s="16">
        <f>INDEX('Team forecast'!$B$2:$AO$26,MATCH('Master data'!$B595,'Team forecast'!$B$2:$B$26,0),MATCH('Master data'!I$1,'Team forecast'!$B$2:$AO$2,0))</f>
        <v>1.5369105908463034</v>
      </c>
      <c r="J595" s="16">
        <f>INDEX('Team forecast'!$B$2:$AO$26,MATCH('Master data'!$B595,'Team forecast'!$B$2:$B$26,0),MATCH('Master data'!J$1,'Team forecast'!$B$2:$AO$2,0))</f>
        <v>0.21504443649322161</v>
      </c>
      <c r="K595" s="16">
        <f>INDEX('Team forecast'!$B$2:$AO$26,MATCH('Master data'!$B595,'Team forecast'!$B$2:$B$26,0),MATCH('Master data'!K$1,'Team forecast'!$B$2:$AO$2,0))</f>
        <v>2.6698598778526952</v>
      </c>
      <c r="L595" s="16">
        <f>INDEX('Team forecast'!$B$2:$AO$26,MATCH('Master data'!$B595,'Team forecast'!$B$2:$B$26,0),MATCH('Master data'!L$1,'Team forecast'!$B$2:$AO$2,0))</f>
        <v>4.1033306683839106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</v>
      </c>
      <c r="R595" s="2">
        <f>Players!BR596</f>
        <v>0</v>
      </c>
      <c r="S595" s="2">
        <f t="shared" si="343"/>
        <v>0.81328039356128246</v>
      </c>
      <c r="T595" s="2">
        <f t="shared" si="344"/>
        <v>1.5369105908463034</v>
      </c>
      <c r="U595" s="16">
        <f>INDEX('Team forecast'!$B$2:$AO$26,MATCH('Master data'!$B595,'Team forecast'!$B$2:$B$26,0),MATCH('Master data'!U$1,'Team forecast'!$B$2:$AO$2,0))</f>
        <v>0.18622848200312991</v>
      </c>
      <c r="V595" s="16">
        <f>INDEX('Team forecast'!$B$2:$AO$26,MATCH('Master data'!$B595,'Team forecast'!$B$2:$B$26,0),MATCH('Master data'!V$1,'Team forecast'!$B$2:$AO$2,0))</f>
        <v>0.2660406885758998</v>
      </c>
      <c r="W595" s="16">
        <f>INDEX('Team forecast'!$B$2:$AO$26,MATCH('Master data'!$B595,'Team forecast'!$B$2:$B$26,0),MATCH('Master data'!W$1,'Team forecast'!$B$2:$AO$2,0))</f>
        <v>0.54773082942097018</v>
      </c>
      <c r="X595" s="5">
        <f t="shared" si="345"/>
        <v>-5000</v>
      </c>
      <c r="Y595" s="5">
        <f t="shared" si="346"/>
        <v>0</v>
      </c>
      <c r="Z595" s="5">
        <f t="shared" si="347"/>
        <v>0</v>
      </c>
      <c r="AA595" s="5">
        <f t="shared" si="348"/>
        <v>0</v>
      </c>
      <c r="AB595" s="5">
        <f t="shared" si="349"/>
        <v>0</v>
      </c>
      <c r="AC595" s="5">
        <f t="shared" si="350"/>
        <v>0</v>
      </c>
      <c r="AD595" s="5">
        <f t="shared" si="351"/>
        <v>0</v>
      </c>
      <c r="AE595" s="5">
        <f t="shared" si="352"/>
        <v>0</v>
      </c>
      <c r="AF595" s="5">
        <f t="shared" si="353"/>
        <v>0</v>
      </c>
      <c r="AG595" s="5">
        <f t="shared" si="354"/>
        <v>0</v>
      </c>
      <c r="AH595" s="5">
        <f t="shared" si="355"/>
        <v>0</v>
      </c>
      <c r="AI595" s="5">
        <f t="shared" si="356"/>
        <v>0</v>
      </c>
      <c r="AJ595" s="5">
        <f t="shared" si="357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0.80548012323268336</v>
      </c>
      <c r="AM595" s="16">
        <f>INDEX('Team forecast'!$B$2:$AO$26,MATCH('Master data'!$B595,'Team forecast'!$B$2:$B$26,0),MATCH('Master data'!AM$1,'Team forecast'!$B$2:$AO$2,0))</f>
        <v>1.3852986184856255</v>
      </c>
      <c r="AN595" s="16">
        <f>INDEX('Team forecast'!$B$2:$AO$26,MATCH('Master data'!$B595,'Team forecast'!$B$2:$B$26,0),MATCH('Master data'!AN$1,'Team forecast'!$B$2:$AO$2,0))</f>
        <v>0.25024905963763749</v>
      </c>
      <c r="AO595" s="16">
        <f>INDEX('Team forecast'!$B$2:$AO$26,MATCH('Master data'!$B595,'Team forecast'!$B$2:$B$26,0),MATCH('Master data'!AO$1,'Team forecast'!$B$2:$AO$2,0))</f>
        <v>2.6442529298042636</v>
      </c>
      <c r="AP595" s="16">
        <f>INDEX('Team forecast'!$B$2:$AO$26,MATCH('Master data'!$B595,'Team forecast'!$B$2:$B$26,0),MATCH('Master data'!AP$1,'Team forecast'!$B$2:$AO$2,0))</f>
        <v>3.6985484646649716</v>
      </c>
      <c r="AQ595" s="5">
        <f t="shared" si="358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359"/>
        <v>0</v>
      </c>
      <c r="AV595" s="5">
        <f t="shared" si="360"/>
        <v>0</v>
      </c>
      <c r="AW595" s="5">
        <f t="shared" si="361"/>
        <v>0</v>
      </c>
      <c r="AX595" s="5">
        <f t="shared" si="362"/>
        <v>0</v>
      </c>
      <c r="AY595" s="5">
        <f t="shared" si="363"/>
        <v>0</v>
      </c>
      <c r="AZ595" s="5">
        <f t="shared" si="364"/>
        <v>0</v>
      </c>
      <c r="BA595" s="5">
        <f t="shared" si="365"/>
        <v>0</v>
      </c>
      <c r="BB595" s="5">
        <f t="shared" si="366"/>
        <v>0</v>
      </c>
      <c r="BC595" s="5">
        <f t="shared" si="367"/>
        <v>0</v>
      </c>
      <c r="BD595" s="5">
        <f t="shared" si="368"/>
        <v>-5000</v>
      </c>
      <c r="BE595" s="16">
        <f>INDEX('Team forecast'!$B$2:$AO$26,MATCH('Master data'!$B595,'Team forecast'!$B$2:$B$26,0),MATCH('Master data'!BE$1,'Team forecast'!$B$2:$AO$2,0))</f>
        <v>0.56161379059809569</v>
      </c>
      <c r="BF595" s="16">
        <f>INDEX('Team forecast'!$B$2:$AO$26,MATCH('Master data'!$B595,'Team forecast'!$B$2:$B$26,0),MATCH('Master data'!BF$1,'Team forecast'!$B$2:$AO$2,0))</f>
        <v>2.3513752571634776</v>
      </c>
      <c r="BG595" s="16">
        <f>INDEX('Team forecast'!$B$2:$AO$26,MATCH('Master data'!$B595,'Team forecast'!$B$2:$B$26,0),MATCH('Master data'!BG$1,'Team forecast'!$B$2:$AO$2,0))</f>
        <v>9.5238095238095233E-2</v>
      </c>
      <c r="BH595" s="16">
        <f>INDEX('Team forecast'!$B$2:$AO$26,MATCH('Master data'!$B595,'Team forecast'!$B$2:$B$26,0),MATCH('Master data'!BH$1,'Team forecast'!$B$2:$AO$2,0))</f>
        <v>1.8436816358018293</v>
      </c>
      <c r="BI595" s="16">
        <f>INDEX('Team forecast'!$B$2:$AO$26,MATCH('Master data'!$B595,'Team forecast'!$B$2:$B$26,0),MATCH('Master data'!BI$1,'Team forecast'!$B$2:$AO$2,0))</f>
        <v>6.2778344186469877</v>
      </c>
      <c r="BJ595" s="5">
        <f t="shared" si="369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370"/>
        <v>0</v>
      </c>
      <c r="BO595" s="5">
        <f t="shared" si="371"/>
        <v>0</v>
      </c>
      <c r="BP595" s="5">
        <f t="shared" si="372"/>
        <v>0</v>
      </c>
      <c r="BQ595" s="5">
        <f t="shared" si="373"/>
        <v>0</v>
      </c>
      <c r="BR595" s="5">
        <f t="shared" si="374"/>
        <v>0</v>
      </c>
      <c r="BS595" s="5">
        <f t="shared" si="375"/>
        <v>0</v>
      </c>
      <c r="BT595" s="5">
        <f t="shared" si="376"/>
        <v>0</v>
      </c>
      <c r="BU595" s="5">
        <f t="shared" si="377"/>
        <v>0</v>
      </c>
      <c r="BV595" s="5">
        <f t="shared" si="378"/>
        <v>0</v>
      </c>
      <c r="BW595" s="5">
        <f t="shared" si="379"/>
        <v>-5000</v>
      </c>
      <c r="BX595" s="5">
        <f t="shared" si="380"/>
        <v>-5000</v>
      </c>
      <c r="BY595" s="5">
        <f t="shared" si="381"/>
        <v>-15000</v>
      </c>
      <c r="BZ595" s="5">
        <f>INDEX('Team forecast'!$R$3:$BH$26,MATCH($B595,'Team forecast'!$B$3:$B$26,0),MATCH(BZ$1,'Team forecast'!$R$2:$BH$2,0))*($BX595-(BY595+CH595)*0.01)</f>
        <v>-8408.5646599765187</v>
      </c>
      <c r="CA595" s="5">
        <f>INDEX('Team forecast'!$R$3:$BH$26,MATCH($B595,'Team forecast'!$B$3:$B$26,0),MATCH(CA$1,'Team forecast'!$R$2:$BH$2,0))*($BX595-(BY595+BX595+CH595)*0.01)</f>
        <v>-4114.8119543421681</v>
      </c>
      <c r="CB595" s="5">
        <f>INDEX('Team forecast'!$R$3:$BH$26,MATCH($B595,'Team forecast'!$B$3:$B$26,0),MATCH(CB$1,'Team forecast'!$R$2:$BH$2,0))*($BX595-(BY595+BX595*2+CH595)*0.01)</f>
        <v>-1977.1660035340115</v>
      </c>
      <c r="CC595" s="5">
        <f>INDEX('Team forecast'!$R$3:$BH$26,MATCH($B595,'Team forecast'!$B$3:$B$26,0),MATCH(CC$1,'Team forecast'!$R$2:$BH$2,0))*($BX595-(BY595+BX595*3+CH595)*0.01)</f>
        <v>-888.66548094589541</v>
      </c>
      <c r="CD595" s="5">
        <f>+AK595+BD595*Cockpit!$C$3+BW595*Cockpit!$C$3^2+BZ595*Cockpit!$C$3^3+CA595*Cockpit!$C$3^4+CB595*Cockpit!$C$3^5+CC595*Cockpit!$C$3^6</f>
        <v>-14198.169293689989</v>
      </c>
      <c r="CE595" s="5"/>
      <c r="CF595" s="5"/>
      <c r="CG595" s="5">
        <v>0</v>
      </c>
      <c r="CH595" s="5">
        <f t="shared" si="382"/>
        <v>2000000</v>
      </c>
      <c r="CI595" s="5">
        <f t="shared" si="383"/>
        <v>2000000</v>
      </c>
      <c r="CJ595" s="1">
        <f t="shared" si="384"/>
        <v>-7.4999999999999997E-3</v>
      </c>
      <c r="CK595" s="5">
        <f>RANK(BY595,$BY$2:$BY$623)+COUNTIF($BY$2:$BY595,$BY595)-1</f>
        <v>607</v>
      </c>
      <c r="CL595" s="5">
        <f>RANK(CJ595,$CJ$2:$CJ$623)+COUNTIF($CJ$2:$CJ595,$CJ595)-1</f>
        <v>614</v>
      </c>
    </row>
    <row r="596" spans="1:90">
      <c r="A596" t="str">
        <f>Players!P597</f>
        <v>László Bénes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10000000</v>
      </c>
      <c r="H596" s="16">
        <f>INDEX('Team forecast'!$B$2:$AO$26,MATCH('Master data'!$B596,'Team forecast'!$B$2:$B$26,0),MATCH('Master data'!H$1,'Team forecast'!$B$2:$AO$2,0))</f>
        <v>0.81328039356128246</v>
      </c>
      <c r="I596" s="16">
        <f>INDEX('Team forecast'!$B$2:$AO$26,MATCH('Master data'!$B596,'Team forecast'!$B$2:$B$26,0),MATCH('Master data'!I$1,'Team forecast'!$B$2:$AO$2,0))</f>
        <v>1.5369105908463034</v>
      </c>
      <c r="J596" s="16">
        <f>INDEX('Team forecast'!$B$2:$AO$26,MATCH('Master data'!$B596,'Team forecast'!$B$2:$B$26,0),MATCH('Master data'!J$1,'Team forecast'!$B$2:$AO$2,0))</f>
        <v>0.21504443649322161</v>
      </c>
      <c r="K596" s="16">
        <f>INDEX('Team forecast'!$B$2:$AO$26,MATCH('Master data'!$B596,'Team forecast'!$B$2:$B$26,0),MATCH('Master data'!K$1,'Team forecast'!$B$2:$AO$2,0))</f>
        <v>2.6698598778526952</v>
      </c>
      <c r="L596" s="16">
        <f>INDEX('Team forecast'!$B$2:$AO$26,MATCH('Master data'!$B596,'Team forecast'!$B$2:$B$26,0),MATCH('Master data'!L$1,'Team forecast'!$B$2:$AO$2,0))</f>
        <v>4.1033306683839106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0.16707920792079206</v>
      </c>
      <c r="R596" s="2">
        <f>Players!BR597</f>
        <v>0</v>
      </c>
      <c r="S596" s="2">
        <f t="shared" si="343"/>
        <v>0.81328039356128246</v>
      </c>
      <c r="T596" s="2">
        <f t="shared" si="344"/>
        <v>1.5369105908463034</v>
      </c>
      <c r="U596" s="16">
        <f>INDEX('Team forecast'!$B$2:$AO$26,MATCH('Master data'!$B596,'Team forecast'!$B$2:$B$26,0),MATCH('Master data'!U$1,'Team forecast'!$B$2:$AO$2,0))</f>
        <v>0.18622848200312991</v>
      </c>
      <c r="V596" s="16">
        <f>INDEX('Team forecast'!$B$2:$AO$26,MATCH('Master data'!$B596,'Team forecast'!$B$2:$B$26,0),MATCH('Master data'!V$1,'Team forecast'!$B$2:$AO$2,0))</f>
        <v>0.2660406885758998</v>
      </c>
      <c r="W596" s="16">
        <f>INDEX('Team forecast'!$B$2:$AO$26,MATCH('Master data'!$B596,'Team forecast'!$B$2:$B$26,0),MATCH('Master data'!W$1,'Team forecast'!$B$2:$AO$2,0))</f>
        <v>0.54773082942097018</v>
      </c>
      <c r="X596" s="5">
        <f t="shared" si="345"/>
        <v>-5000</v>
      </c>
      <c r="Y596" s="5">
        <f t="shared" si="346"/>
        <v>0</v>
      </c>
      <c r="Z596" s="5">
        <f t="shared" si="347"/>
        <v>0</v>
      </c>
      <c r="AA596" s="5">
        <f t="shared" si="348"/>
        <v>0</v>
      </c>
      <c r="AB596" s="5">
        <f t="shared" si="349"/>
        <v>0</v>
      </c>
      <c r="AC596" s="5">
        <f t="shared" si="350"/>
        <v>0</v>
      </c>
      <c r="AD596" s="5">
        <f t="shared" si="351"/>
        <v>0</v>
      </c>
      <c r="AE596" s="5">
        <f t="shared" si="352"/>
        <v>0</v>
      </c>
      <c r="AF596" s="5">
        <f t="shared" si="353"/>
        <v>0</v>
      </c>
      <c r="AG596" s="5">
        <f t="shared" si="354"/>
        <v>0</v>
      </c>
      <c r="AH596" s="5">
        <f t="shared" si="355"/>
        <v>0</v>
      </c>
      <c r="AI596" s="5">
        <f t="shared" si="356"/>
        <v>0</v>
      </c>
      <c r="AJ596" s="5">
        <f t="shared" si="357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0.80548012323268336</v>
      </c>
      <c r="AM596" s="16">
        <f>INDEX('Team forecast'!$B$2:$AO$26,MATCH('Master data'!$B596,'Team forecast'!$B$2:$B$26,0),MATCH('Master data'!AM$1,'Team forecast'!$B$2:$AO$2,0))</f>
        <v>1.3852986184856255</v>
      </c>
      <c r="AN596" s="16">
        <f>INDEX('Team forecast'!$B$2:$AO$26,MATCH('Master data'!$B596,'Team forecast'!$B$2:$B$26,0),MATCH('Master data'!AN$1,'Team forecast'!$B$2:$AO$2,0))</f>
        <v>0.25024905963763749</v>
      </c>
      <c r="AO596" s="16">
        <f>INDEX('Team forecast'!$B$2:$AO$26,MATCH('Master data'!$B596,'Team forecast'!$B$2:$B$26,0),MATCH('Master data'!AO$1,'Team forecast'!$B$2:$AO$2,0))</f>
        <v>2.6442529298042636</v>
      </c>
      <c r="AP596" s="16">
        <f>INDEX('Team forecast'!$B$2:$AO$26,MATCH('Master data'!$B596,'Team forecast'!$B$2:$B$26,0),MATCH('Master data'!AP$1,'Team forecast'!$B$2:$AO$2,0))</f>
        <v>3.6985484646649716</v>
      </c>
      <c r="AQ596" s="5">
        <f t="shared" si="358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359"/>
        <v>0</v>
      </c>
      <c r="AV596" s="5">
        <f t="shared" si="360"/>
        <v>0</v>
      </c>
      <c r="AW596" s="5">
        <f t="shared" si="361"/>
        <v>0</v>
      </c>
      <c r="AX596" s="5">
        <f t="shared" si="362"/>
        <v>0</v>
      </c>
      <c r="AY596" s="5">
        <f t="shared" si="363"/>
        <v>0</v>
      </c>
      <c r="AZ596" s="5">
        <f t="shared" si="364"/>
        <v>0</v>
      </c>
      <c r="BA596" s="5">
        <f t="shared" si="365"/>
        <v>0</v>
      </c>
      <c r="BB596" s="5">
        <f t="shared" si="366"/>
        <v>0</v>
      </c>
      <c r="BC596" s="5">
        <f t="shared" si="367"/>
        <v>0</v>
      </c>
      <c r="BD596" s="5">
        <f t="shared" si="368"/>
        <v>-5000</v>
      </c>
      <c r="BE596" s="16">
        <f>INDEX('Team forecast'!$B$2:$AO$26,MATCH('Master data'!$B596,'Team forecast'!$B$2:$B$26,0),MATCH('Master data'!BE$1,'Team forecast'!$B$2:$AO$2,0))</f>
        <v>0.56161379059809569</v>
      </c>
      <c r="BF596" s="16">
        <f>INDEX('Team forecast'!$B$2:$AO$26,MATCH('Master data'!$B596,'Team forecast'!$B$2:$B$26,0),MATCH('Master data'!BF$1,'Team forecast'!$B$2:$AO$2,0))</f>
        <v>2.3513752571634776</v>
      </c>
      <c r="BG596" s="16">
        <f>INDEX('Team forecast'!$B$2:$AO$26,MATCH('Master data'!$B596,'Team forecast'!$B$2:$B$26,0),MATCH('Master data'!BG$1,'Team forecast'!$B$2:$AO$2,0))</f>
        <v>9.5238095238095233E-2</v>
      </c>
      <c r="BH596" s="16">
        <f>INDEX('Team forecast'!$B$2:$AO$26,MATCH('Master data'!$B596,'Team forecast'!$B$2:$B$26,0),MATCH('Master data'!BH$1,'Team forecast'!$B$2:$AO$2,0))</f>
        <v>1.8436816358018293</v>
      </c>
      <c r="BI596" s="16">
        <f>INDEX('Team forecast'!$B$2:$AO$26,MATCH('Master data'!$B596,'Team forecast'!$B$2:$B$26,0),MATCH('Master data'!BI$1,'Team forecast'!$B$2:$AO$2,0))</f>
        <v>6.2778344186469877</v>
      </c>
      <c r="BJ596" s="5">
        <f t="shared" si="369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370"/>
        <v>0</v>
      </c>
      <c r="BO596" s="5">
        <f t="shared" si="371"/>
        <v>0</v>
      </c>
      <c r="BP596" s="5">
        <f t="shared" si="372"/>
        <v>0</v>
      </c>
      <c r="BQ596" s="5">
        <f t="shared" si="373"/>
        <v>0</v>
      </c>
      <c r="BR596" s="5">
        <f t="shared" si="374"/>
        <v>0</v>
      </c>
      <c r="BS596" s="5">
        <f t="shared" si="375"/>
        <v>0</v>
      </c>
      <c r="BT596" s="5">
        <f t="shared" si="376"/>
        <v>0</v>
      </c>
      <c r="BU596" s="5">
        <f t="shared" si="377"/>
        <v>0</v>
      </c>
      <c r="BV596" s="5">
        <f t="shared" si="378"/>
        <v>0</v>
      </c>
      <c r="BW596" s="5">
        <f t="shared" si="379"/>
        <v>-5000</v>
      </c>
      <c r="BX596" s="5">
        <f t="shared" si="380"/>
        <v>-5000</v>
      </c>
      <c r="BY596" s="5">
        <f t="shared" si="381"/>
        <v>-15000</v>
      </c>
      <c r="BZ596" s="5">
        <f>INDEX('Team forecast'!$R$3:$BH$26,MATCH($B596,'Team forecast'!$B$3:$B$26,0),MATCH(BZ$1,'Team forecast'!$R$2:$BH$2,0))*($BX596-(BY596+CH596)*0.01)</f>
        <v>-35478.390527104151</v>
      </c>
      <c r="CA596" s="5">
        <f>INDEX('Team forecast'!$R$3:$BH$26,MATCH($B596,'Team forecast'!$B$3:$B$26,0),MATCH(CA$1,'Team forecast'!$R$2:$BH$2,0))*($BX596-(BY596+BX596+CH596)*0.01)</f>
        <v>-17388.398903833033</v>
      </c>
      <c r="CB596" s="5">
        <f>INDEX('Team forecast'!$R$3:$BH$26,MATCH($B596,'Team forecast'!$B$3:$B$26,0),MATCH(CB$1,'Team forecast'!$R$2:$BH$2,0))*($BX596-(BY596+BX596*2+CH596)*0.01)</f>
        <v>-8368.0056109166744</v>
      </c>
      <c r="CC596" s="5">
        <f>INDEX('Team forecast'!$R$3:$BH$26,MATCH($B596,'Team forecast'!$B$3:$B$26,0),MATCH(CC$1,'Team forecast'!$R$2:$BH$2,0))*($BX596-(BY596+BX596*3+CH596)*0.01)</f>
        <v>-3766.9342451431276</v>
      </c>
      <c r="CD596" s="5">
        <f>+AK596+BD596*Cockpit!$C$3+BW596*Cockpit!$C$3^2+BZ596*Cockpit!$C$3^3+CA596*Cockpit!$C$3^4+CB596*Cockpit!$C$3^5+CC596*Cockpit!$C$3^6</f>
        <v>-25935.081106095495</v>
      </c>
      <c r="CE596" s="5"/>
      <c r="CF596" s="5"/>
      <c r="CG596" s="5">
        <v>0</v>
      </c>
      <c r="CH596" s="5">
        <f t="shared" si="382"/>
        <v>10000000</v>
      </c>
      <c r="CI596" s="5">
        <f t="shared" si="383"/>
        <v>10000000</v>
      </c>
      <c r="CJ596" s="1">
        <f t="shared" si="384"/>
        <v>-1.5E-3</v>
      </c>
      <c r="CK596" s="5">
        <f>RANK(BY596,$BY$2:$BY$623)+COUNTIF($BY$2:$BY596,$BY596)-1</f>
        <v>608</v>
      </c>
      <c r="CL596" s="5">
        <f>RANK(CJ596,$CJ$2:$CJ$623)+COUNTIF($CJ$2:$CJ596,$CJ596)-1</f>
        <v>415</v>
      </c>
    </row>
    <row r="597" spans="1:90">
      <c r="A597" t="str">
        <f>Players!P598</f>
        <v>Vladimír Weiss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2500000</v>
      </c>
      <c r="H597" s="16">
        <f>INDEX('Team forecast'!$B$2:$AO$26,MATCH('Master data'!$B597,'Team forecast'!$B$2:$B$26,0),MATCH('Master data'!H$1,'Team forecast'!$B$2:$AO$2,0))</f>
        <v>0.81328039356128246</v>
      </c>
      <c r="I597" s="16">
        <f>INDEX('Team forecast'!$B$2:$AO$26,MATCH('Master data'!$B597,'Team forecast'!$B$2:$B$26,0),MATCH('Master data'!I$1,'Team forecast'!$B$2:$AO$2,0))</f>
        <v>1.5369105908463034</v>
      </c>
      <c r="J597" s="16">
        <f>INDEX('Team forecast'!$B$2:$AO$26,MATCH('Master data'!$B597,'Team forecast'!$B$2:$B$26,0),MATCH('Master data'!J$1,'Team forecast'!$B$2:$AO$2,0))</f>
        <v>0.21504443649322161</v>
      </c>
      <c r="K597" s="16">
        <f>INDEX('Team forecast'!$B$2:$AO$26,MATCH('Master data'!$B597,'Team forecast'!$B$2:$B$26,0),MATCH('Master data'!K$1,'Team forecast'!$B$2:$AO$2,0))</f>
        <v>2.6698598778526952</v>
      </c>
      <c r="L597" s="16">
        <f>INDEX('Team forecast'!$B$2:$AO$26,MATCH('Master data'!$B597,'Team forecast'!$B$2:$B$26,0),MATCH('Master data'!L$1,'Team forecast'!$B$2:$AO$2,0))</f>
        <v>4.1033306683839106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0.24198887938408897</v>
      </c>
      <c r="R597" s="2">
        <f>Players!BR598</f>
        <v>3.8494439692044483E-2</v>
      </c>
      <c r="S597" s="2">
        <f t="shared" si="343"/>
        <v>0.81328039356128246</v>
      </c>
      <c r="T597" s="2">
        <f t="shared" si="344"/>
        <v>1.5369105908463034</v>
      </c>
      <c r="U597" s="16">
        <f>INDEX('Team forecast'!$B$2:$AO$26,MATCH('Master data'!$B597,'Team forecast'!$B$2:$B$26,0),MATCH('Master data'!U$1,'Team forecast'!$B$2:$AO$2,0))</f>
        <v>0.18622848200312991</v>
      </c>
      <c r="V597" s="16">
        <f>INDEX('Team forecast'!$B$2:$AO$26,MATCH('Master data'!$B597,'Team forecast'!$B$2:$B$26,0),MATCH('Master data'!V$1,'Team forecast'!$B$2:$AO$2,0))</f>
        <v>0.2660406885758998</v>
      </c>
      <c r="W597" s="16">
        <f>INDEX('Team forecast'!$B$2:$AO$26,MATCH('Master data'!$B597,'Team forecast'!$B$2:$B$26,0),MATCH('Master data'!W$1,'Team forecast'!$B$2:$AO$2,0))</f>
        <v>0.54773082942097018</v>
      </c>
      <c r="X597" s="5">
        <f t="shared" si="345"/>
        <v>-5000</v>
      </c>
      <c r="Y597" s="5">
        <f t="shared" si="346"/>
        <v>0</v>
      </c>
      <c r="Z597" s="5">
        <f t="shared" si="347"/>
        <v>0</v>
      </c>
      <c r="AA597" s="5">
        <f t="shared" si="348"/>
        <v>0</v>
      </c>
      <c r="AB597" s="5">
        <f t="shared" si="349"/>
        <v>0</v>
      </c>
      <c r="AC597" s="5">
        <f t="shared" si="350"/>
        <v>0</v>
      </c>
      <c r="AD597" s="5">
        <f t="shared" si="351"/>
        <v>0</v>
      </c>
      <c r="AE597" s="5">
        <f t="shared" si="352"/>
        <v>0</v>
      </c>
      <c r="AF597" s="5">
        <f t="shared" si="353"/>
        <v>0</v>
      </c>
      <c r="AG597" s="5">
        <f t="shared" si="354"/>
        <v>0</v>
      </c>
      <c r="AH597" s="5">
        <f t="shared" si="355"/>
        <v>0</v>
      </c>
      <c r="AI597" s="5">
        <f t="shared" si="356"/>
        <v>0</v>
      </c>
      <c r="AJ597" s="5">
        <f t="shared" si="357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0.80548012323268336</v>
      </c>
      <c r="AM597" s="16">
        <f>INDEX('Team forecast'!$B$2:$AO$26,MATCH('Master data'!$B597,'Team forecast'!$B$2:$B$26,0),MATCH('Master data'!AM$1,'Team forecast'!$B$2:$AO$2,0))</f>
        <v>1.3852986184856255</v>
      </c>
      <c r="AN597" s="16">
        <f>INDEX('Team forecast'!$B$2:$AO$26,MATCH('Master data'!$B597,'Team forecast'!$B$2:$B$26,0),MATCH('Master data'!AN$1,'Team forecast'!$B$2:$AO$2,0))</f>
        <v>0.25024905963763749</v>
      </c>
      <c r="AO597" s="16">
        <f>INDEX('Team forecast'!$B$2:$AO$26,MATCH('Master data'!$B597,'Team forecast'!$B$2:$B$26,0),MATCH('Master data'!AO$1,'Team forecast'!$B$2:$AO$2,0))</f>
        <v>2.6442529298042636</v>
      </c>
      <c r="AP597" s="16">
        <f>INDEX('Team forecast'!$B$2:$AO$26,MATCH('Master data'!$B597,'Team forecast'!$B$2:$B$26,0),MATCH('Master data'!AP$1,'Team forecast'!$B$2:$AO$2,0))</f>
        <v>3.6985484646649716</v>
      </c>
      <c r="AQ597" s="5">
        <f t="shared" si="358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359"/>
        <v>0</v>
      </c>
      <c r="AV597" s="5">
        <f t="shared" si="360"/>
        <v>0</v>
      </c>
      <c r="AW597" s="5">
        <f t="shared" si="361"/>
        <v>0</v>
      </c>
      <c r="AX597" s="5">
        <f t="shared" si="362"/>
        <v>0</v>
      </c>
      <c r="AY597" s="5">
        <f t="shared" si="363"/>
        <v>0</v>
      </c>
      <c r="AZ597" s="5">
        <f t="shared" si="364"/>
        <v>0</v>
      </c>
      <c r="BA597" s="5">
        <f t="shared" si="365"/>
        <v>0</v>
      </c>
      <c r="BB597" s="5">
        <f t="shared" si="366"/>
        <v>0</v>
      </c>
      <c r="BC597" s="5">
        <f t="shared" si="367"/>
        <v>0</v>
      </c>
      <c r="BD597" s="5">
        <f t="shared" si="368"/>
        <v>-5000</v>
      </c>
      <c r="BE597" s="16">
        <f>INDEX('Team forecast'!$B$2:$AO$26,MATCH('Master data'!$B597,'Team forecast'!$B$2:$B$26,0),MATCH('Master data'!BE$1,'Team forecast'!$B$2:$AO$2,0))</f>
        <v>0.56161379059809569</v>
      </c>
      <c r="BF597" s="16">
        <f>INDEX('Team forecast'!$B$2:$AO$26,MATCH('Master data'!$B597,'Team forecast'!$B$2:$B$26,0),MATCH('Master data'!BF$1,'Team forecast'!$B$2:$AO$2,0))</f>
        <v>2.3513752571634776</v>
      </c>
      <c r="BG597" s="16">
        <f>INDEX('Team forecast'!$B$2:$AO$26,MATCH('Master data'!$B597,'Team forecast'!$B$2:$B$26,0),MATCH('Master data'!BG$1,'Team forecast'!$B$2:$AO$2,0))</f>
        <v>9.5238095238095233E-2</v>
      </c>
      <c r="BH597" s="16">
        <f>INDEX('Team forecast'!$B$2:$AO$26,MATCH('Master data'!$B597,'Team forecast'!$B$2:$B$26,0),MATCH('Master data'!BH$1,'Team forecast'!$B$2:$AO$2,0))</f>
        <v>1.8436816358018293</v>
      </c>
      <c r="BI597" s="16">
        <f>INDEX('Team forecast'!$B$2:$AO$26,MATCH('Master data'!$B597,'Team forecast'!$B$2:$B$26,0),MATCH('Master data'!BI$1,'Team forecast'!$B$2:$AO$2,0))</f>
        <v>6.2778344186469877</v>
      </c>
      <c r="BJ597" s="5">
        <f t="shared" si="369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370"/>
        <v>0</v>
      </c>
      <c r="BO597" s="5">
        <f t="shared" si="371"/>
        <v>0</v>
      </c>
      <c r="BP597" s="5">
        <f t="shared" si="372"/>
        <v>0</v>
      </c>
      <c r="BQ597" s="5">
        <f t="shared" si="373"/>
        <v>0</v>
      </c>
      <c r="BR597" s="5">
        <f t="shared" si="374"/>
        <v>0</v>
      </c>
      <c r="BS597" s="5">
        <f t="shared" si="375"/>
        <v>0</v>
      </c>
      <c r="BT597" s="5">
        <f t="shared" si="376"/>
        <v>0</v>
      </c>
      <c r="BU597" s="5">
        <f t="shared" si="377"/>
        <v>0</v>
      </c>
      <c r="BV597" s="5">
        <f t="shared" si="378"/>
        <v>0</v>
      </c>
      <c r="BW597" s="5">
        <f t="shared" si="379"/>
        <v>-5000</v>
      </c>
      <c r="BX597" s="5">
        <f t="shared" si="380"/>
        <v>-5000</v>
      </c>
      <c r="BY597" s="5">
        <f t="shared" si="381"/>
        <v>-15000</v>
      </c>
      <c r="BZ597" s="5">
        <f>INDEX('Team forecast'!$R$3:$BH$26,MATCH($B597,'Team forecast'!$B$3:$B$26,0),MATCH(BZ$1,'Team forecast'!$R$2:$BH$2,0))*($BX597-(BY597+CH597)*0.01)</f>
        <v>-10100.428776671995</v>
      </c>
      <c r="CA597" s="5">
        <f>INDEX('Team forecast'!$R$3:$BH$26,MATCH($B597,'Team forecast'!$B$3:$B$26,0),MATCH(CA$1,'Team forecast'!$R$2:$BH$2,0))*($BX597-(BY597+BX597+CH597)*0.01)</f>
        <v>-4944.4111386853474</v>
      </c>
      <c r="CB597" s="5">
        <f>INDEX('Team forecast'!$R$3:$BH$26,MATCH($B597,'Team forecast'!$B$3:$B$26,0),MATCH(CB$1,'Team forecast'!$R$2:$BH$2,0))*($BX597-(BY597+BX597*2+CH597)*0.01)</f>
        <v>-2376.5934789954281</v>
      </c>
      <c r="CC597" s="5">
        <f>INDEX('Team forecast'!$R$3:$BH$26,MATCH($B597,'Team forecast'!$B$3:$B$26,0),MATCH(CC$1,'Team forecast'!$R$2:$BH$2,0))*($BX597-(BY597+BX597*3+CH597)*0.01)</f>
        <v>-1068.5572787082224</v>
      </c>
      <c r="CD597" s="5">
        <f>+AK597+BD597*Cockpit!$C$3+BW597*Cockpit!$C$3^2+BZ597*Cockpit!$C$3^3+CA597*Cockpit!$C$3^4+CB597*Cockpit!$C$3^5+CC597*Cockpit!$C$3^6</f>
        <v>-14931.726281965333</v>
      </c>
      <c r="CE597" s="5"/>
      <c r="CF597" s="5"/>
      <c r="CG597" s="5">
        <v>0</v>
      </c>
      <c r="CH597" s="5">
        <f t="shared" si="382"/>
        <v>2500000</v>
      </c>
      <c r="CI597" s="5">
        <f t="shared" si="383"/>
        <v>2500000</v>
      </c>
      <c r="CJ597" s="1">
        <f t="shared" si="384"/>
        <v>-6.0000000000000001E-3</v>
      </c>
      <c r="CK597" s="5">
        <f>RANK(BY597,$BY$2:$BY$623)+COUNTIF($BY$2:$BY597,$BY597)-1</f>
        <v>609</v>
      </c>
      <c r="CL597" s="5">
        <f>RANK(CJ597,$CJ$2:$CJ$623)+COUNTIF($CJ$2:$CJ597,$CJ597)-1</f>
        <v>574</v>
      </c>
    </row>
    <row r="598" spans="1:90">
      <c r="A598" t="str">
        <f>Players!P599</f>
        <v>Lukáš Haraslín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2000000</v>
      </c>
      <c r="H598" s="16">
        <f>INDEX('Team forecast'!$B$2:$AO$26,MATCH('Master data'!$B598,'Team forecast'!$B$2:$B$26,0),MATCH('Master data'!H$1,'Team forecast'!$B$2:$AO$2,0))</f>
        <v>0.81328039356128246</v>
      </c>
      <c r="I598" s="16">
        <f>INDEX('Team forecast'!$B$2:$AO$26,MATCH('Master data'!$B598,'Team forecast'!$B$2:$B$26,0),MATCH('Master data'!I$1,'Team forecast'!$B$2:$AO$2,0))</f>
        <v>1.5369105908463034</v>
      </c>
      <c r="J598" s="16">
        <f>INDEX('Team forecast'!$B$2:$AO$26,MATCH('Master data'!$B598,'Team forecast'!$B$2:$B$26,0),MATCH('Master data'!J$1,'Team forecast'!$B$2:$AO$2,0))</f>
        <v>0.21504443649322161</v>
      </c>
      <c r="K598" s="16">
        <f>INDEX('Team forecast'!$B$2:$AO$26,MATCH('Master data'!$B598,'Team forecast'!$B$2:$B$26,0),MATCH('Master data'!K$1,'Team forecast'!$B$2:$AO$2,0))</f>
        <v>2.6698598778526952</v>
      </c>
      <c r="L598" s="16">
        <f>INDEX('Team forecast'!$B$2:$AO$26,MATCH('Master data'!$B598,'Team forecast'!$B$2:$B$26,0),MATCH('Master data'!L$1,'Team forecast'!$B$2:$AO$2,0))</f>
        <v>4.1033306683839106</v>
      </c>
      <c r="M598">
        <f>IF(Players!BC599=1,95,0)</f>
        <v>0</v>
      </c>
      <c r="N598" s="2">
        <f>Players!BN599</f>
        <v>0</v>
      </c>
      <c r="O598" s="2">
        <f>Players!BO599</f>
        <v>0</v>
      </c>
      <c r="P598" s="2">
        <f>Players!BP599</f>
        <v>0</v>
      </c>
      <c r="Q598" s="2">
        <f>Players!BQ599</f>
        <v>0.4184615384615385</v>
      </c>
      <c r="R598" s="2">
        <f>Players!BR599</f>
        <v>0.06</v>
      </c>
      <c r="S598" s="2">
        <f t="shared" si="343"/>
        <v>0.81328039356128246</v>
      </c>
      <c r="T598" s="2">
        <f t="shared" si="344"/>
        <v>1.5369105908463034</v>
      </c>
      <c r="U598" s="16">
        <f>INDEX('Team forecast'!$B$2:$AO$26,MATCH('Master data'!$B598,'Team forecast'!$B$2:$B$26,0),MATCH('Master data'!U$1,'Team forecast'!$B$2:$AO$2,0))</f>
        <v>0.18622848200312991</v>
      </c>
      <c r="V598" s="16">
        <f>INDEX('Team forecast'!$B$2:$AO$26,MATCH('Master data'!$B598,'Team forecast'!$B$2:$B$26,0),MATCH('Master data'!V$1,'Team forecast'!$B$2:$AO$2,0))</f>
        <v>0.2660406885758998</v>
      </c>
      <c r="W598" s="16">
        <f>INDEX('Team forecast'!$B$2:$AO$26,MATCH('Master data'!$B598,'Team forecast'!$B$2:$B$26,0),MATCH('Master data'!W$1,'Team forecast'!$B$2:$AO$2,0))</f>
        <v>0.54773082942097018</v>
      </c>
      <c r="X598" s="5">
        <f t="shared" si="345"/>
        <v>-5000</v>
      </c>
      <c r="Y598" s="5">
        <f t="shared" si="346"/>
        <v>0</v>
      </c>
      <c r="Z598" s="5">
        <f t="shared" si="347"/>
        <v>0</v>
      </c>
      <c r="AA598" s="5">
        <f t="shared" si="348"/>
        <v>0</v>
      </c>
      <c r="AB598" s="5">
        <f t="shared" si="349"/>
        <v>0</v>
      </c>
      <c r="AC598" s="5">
        <f t="shared" si="350"/>
        <v>0</v>
      </c>
      <c r="AD598" s="5">
        <f t="shared" si="351"/>
        <v>0</v>
      </c>
      <c r="AE598" s="5">
        <f t="shared" si="352"/>
        <v>0</v>
      </c>
      <c r="AF598" s="5">
        <f t="shared" si="353"/>
        <v>0</v>
      </c>
      <c r="AG598" s="5">
        <f t="shared" si="354"/>
        <v>0</v>
      </c>
      <c r="AH598" s="5">
        <f t="shared" si="355"/>
        <v>0</v>
      </c>
      <c r="AI598" s="5">
        <f t="shared" si="356"/>
        <v>0</v>
      </c>
      <c r="AJ598" s="5">
        <f t="shared" si="357"/>
        <v>0</v>
      </c>
      <c r="AK598" s="5">
        <f>IFERROR(SUM(X598:AJ598),-5000)*((Cockpit!$C$3)^0)</f>
        <v>-5000</v>
      </c>
      <c r="AL598" s="16">
        <f>INDEX('Team forecast'!$B$2:$AO$26,MATCH('Master data'!$B598,'Team forecast'!$B$2:$B$26,0),MATCH('Master data'!AL$1,'Team forecast'!$B$2:$AO$2,0))</f>
        <v>0.80548012323268336</v>
      </c>
      <c r="AM598" s="16">
        <f>INDEX('Team forecast'!$B$2:$AO$26,MATCH('Master data'!$B598,'Team forecast'!$B$2:$B$26,0),MATCH('Master data'!AM$1,'Team forecast'!$B$2:$AO$2,0))</f>
        <v>1.3852986184856255</v>
      </c>
      <c r="AN598" s="16">
        <f>INDEX('Team forecast'!$B$2:$AO$26,MATCH('Master data'!$B598,'Team forecast'!$B$2:$B$26,0),MATCH('Master data'!AN$1,'Team forecast'!$B$2:$AO$2,0))</f>
        <v>0.25024905963763749</v>
      </c>
      <c r="AO598" s="16">
        <f>INDEX('Team forecast'!$B$2:$AO$26,MATCH('Master data'!$B598,'Team forecast'!$B$2:$B$26,0),MATCH('Master data'!AO$1,'Team forecast'!$B$2:$AO$2,0))</f>
        <v>2.6442529298042636</v>
      </c>
      <c r="AP598" s="16">
        <f>INDEX('Team forecast'!$B$2:$AO$26,MATCH('Master data'!$B598,'Team forecast'!$B$2:$B$26,0),MATCH('Master data'!AP$1,'Team forecast'!$B$2:$AO$2,0))</f>
        <v>3.6985484646649716</v>
      </c>
      <c r="AQ598" s="5">
        <f t="shared" si="358"/>
        <v>-5000</v>
      </c>
      <c r="AR598" s="5">
        <f>INDEX('Team forecast'!$B$2:$AO$26,MATCH('Master data'!$B598,'Team forecast'!$B$2:$B$26,0),MATCH('Master data'!AR$1,'Team forecast'!$B$2:$AO$2,0))*IF(X598&gt;0,25000,0)</f>
        <v>0</v>
      </c>
      <c r="AS598" s="16">
        <f>INDEX('Team forecast'!$B$2:$AO$26,MATCH('Master data'!$B598,'Team forecast'!$B$2:$B$26,0),MATCH('Master data'!AS$1,'Team forecast'!$B$2:$AO$2,0))*IF(X598&gt;0,5000,0)</f>
        <v>0</v>
      </c>
      <c r="AT598" s="16">
        <f>INDEX('Team forecast'!$B$2:$AO$26,MATCH('Master data'!$B598,'Team forecast'!$B$2:$B$26,0),MATCH('Master data'!AT$1,'Team forecast'!$B$2:$AO$2,0))*IF(X598&gt;0,-15000,0)</f>
        <v>0</v>
      </c>
      <c r="AU598" s="5">
        <f t="shared" si="359"/>
        <v>0</v>
      </c>
      <c r="AV598" s="5">
        <f t="shared" si="360"/>
        <v>0</v>
      </c>
      <c r="AW598" s="5">
        <f t="shared" si="361"/>
        <v>0</v>
      </c>
      <c r="AX598" s="5">
        <f t="shared" si="362"/>
        <v>0</v>
      </c>
      <c r="AY598" s="5">
        <f t="shared" si="363"/>
        <v>0</v>
      </c>
      <c r="AZ598" s="5">
        <f t="shared" si="364"/>
        <v>0</v>
      </c>
      <c r="BA598" s="5">
        <f t="shared" si="365"/>
        <v>0</v>
      </c>
      <c r="BB598" s="5">
        <f t="shared" si="366"/>
        <v>0</v>
      </c>
      <c r="BC598" s="5">
        <f t="shared" si="367"/>
        <v>0</v>
      </c>
      <c r="BD598" s="5">
        <f t="shared" si="368"/>
        <v>-5000</v>
      </c>
      <c r="BE598" s="16">
        <f>INDEX('Team forecast'!$B$2:$AO$26,MATCH('Master data'!$B598,'Team forecast'!$B$2:$B$26,0),MATCH('Master data'!BE$1,'Team forecast'!$B$2:$AO$2,0))</f>
        <v>0.56161379059809569</v>
      </c>
      <c r="BF598" s="16">
        <f>INDEX('Team forecast'!$B$2:$AO$26,MATCH('Master data'!$B598,'Team forecast'!$B$2:$B$26,0),MATCH('Master data'!BF$1,'Team forecast'!$B$2:$AO$2,0))</f>
        <v>2.3513752571634776</v>
      </c>
      <c r="BG598" s="16">
        <f>INDEX('Team forecast'!$B$2:$AO$26,MATCH('Master data'!$B598,'Team forecast'!$B$2:$B$26,0),MATCH('Master data'!BG$1,'Team forecast'!$B$2:$AO$2,0))</f>
        <v>9.5238095238095233E-2</v>
      </c>
      <c r="BH598" s="16">
        <f>INDEX('Team forecast'!$B$2:$AO$26,MATCH('Master data'!$B598,'Team forecast'!$B$2:$B$26,0),MATCH('Master data'!BH$1,'Team forecast'!$B$2:$AO$2,0))</f>
        <v>1.8436816358018293</v>
      </c>
      <c r="BI598" s="16">
        <f>INDEX('Team forecast'!$B$2:$AO$26,MATCH('Master data'!$B598,'Team forecast'!$B$2:$B$26,0),MATCH('Master data'!BI$1,'Team forecast'!$B$2:$AO$2,0))</f>
        <v>6.2778344186469877</v>
      </c>
      <c r="BJ598" s="5">
        <f t="shared" si="369"/>
        <v>-5000</v>
      </c>
      <c r="BK598" s="5">
        <f>INDEX('Team forecast'!$R$3:$BH$26,MATCH($B598,'Team forecast'!$B$3:$B$26,0),MATCH(BK$1,'Team forecast'!$R$2:$BH$2,0))*IF($X598&gt;0,25000,0)</f>
        <v>0</v>
      </c>
      <c r="BL598" s="5">
        <f>INDEX('Team forecast'!$R$3:$BH$26,MATCH($B598,'Team forecast'!$B$3:$B$26,0),MATCH(BL$1,'Team forecast'!$R$2:$BH$2,0))*IF($X598&gt;0,5000,0)</f>
        <v>0</v>
      </c>
      <c r="BM598" s="5">
        <f>INDEX('Team forecast'!$R$3:$BH$26,MATCH($B598,'Team forecast'!$B$3:$B$26,0),MATCH(BM$1,'Team forecast'!$R$2:$BH$2,0))*IF($X598&gt;0,-15000,0)</f>
        <v>0</v>
      </c>
      <c r="BN598" s="5">
        <f t="shared" si="370"/>
        <v>0</v>
      </c>
      <c r="BO598" s="5">
        <f t="shared" si="371"/>
        <v>0</v>
      </c>
      <c r="BP598" s="5">
        <f t="shared" si="372"/>
        <v>0</v>
      </c>
      <c r="BQ598" s="5">
        <f t="shared" si="373"/>
        <v>0</v>
      </c>
      <c r="BR598" s="5">
        <f t="shared" si="374"/>
        <v>0</v>
      </c>
      <c r="BS598" s="5">
        <f t="shared" si="375"/>
        <v>0</v>
      </c>
      <c r="BT598" s="5">
        <f t="shared" si="376"/>
        <v>0</v>
      </c>
      <c r="BU598" s="5">
        <f t="shared" si="377"/>
        <v>0</v>
      </c>
      <c r="BV598" s="5">
        <f t="shared" si="378"/>
        <v>0</v>
      </c>
      <c r="BW598" s="5">
        <f t="shared" si="379"/>
        <v>-5000</v>
      </c>
      <c r="BX598" s="5">
        <f t="shared" si="380"/>
        <v>-5000</v>
      </c>
      <c r="BY598" s="5">
        <f t="shared" si="381"/>
        <v>-15000</v>
      </c>
      <c r="BZ598" s="5">
        <f>INDEX('Team forecast'!$R$3:$BH$26,MATCH($B598,'Team forecast'!$B$3:$B$26,0),MATCH(BZ$1,'Team forecast'!$R$2:$BH$2,0))*($BX598-(BY598+CH598)*0.01)</f>
        <v>-8408.5646599765187</v>
      </c>
      <c r="CA598" s="5">
        <f>INDEX('Team forecast'!$R$3:$BH$26,MATCH($B598,'Team forecast'!$B$3:$B$26,0),MATCH(CA$1,'Team forecast'!$R$2:$BH$2,0))*($BX598-(BY598+BX598+CH598)*0.01)</f>
        <v>-4114.8119543421681</v>
      </c>
      <c r="CB598" s="5">
        <f>INDEX('Team forecast'!$R$3:$BH$26,MATCH($B598,'Team forecast'!$B$3:$B$26,0),MATCH(CB$1,'Team forecast'!$R$2:$BH$2,0))*($BX598-(BY598+BX598*2+CH598)*0.01)</f>
        <v>-1977.1660035340115</v>
      </c>
      <c r="CC598" s="5">
        <f>INDEX('Team forecast'!$R$3:$BH$26,MATCH($B598,'Team forecast'!$B$3:$B$26,0),MATCH(CC$1,'Team forecast'!$R$2:$BH$2,0))*($BX598-(BY598+BX598*3+CH598)*0.01)</f>
        <v>-888.66548094589541</v>
      </c>
      <c r="CD598" s="5">
        <f>+AK598+BD598*Cockpit!$C$3+BW598*Cockpit!$C$3^2+BZ598*Cockpit!$C$3^3+CA598*Cockpit!$C$3^4+CB598*Cockpit!$C$3^5+CC598*Cockpit!$C$3^6</f>
        <v>-14198.169293689989</v>
      </c>
      <c r="CE598" s="5"/>
      <c r="CF598" s="5"/>
      <c r="CG598" s="5">
        <v>0</v>
      </c>
      <c r="CH598" s="5">
        <f t="shared" si="382"/>
        <v>2000000</v>
      </c>
      <c r="CI598" s="5">
        <f t="shared" si="383"/>
        <v>2000000</v>
      </c>
      <c r="CJ598" s="1">
        <f t="shared" si="384"/>
        <v>-7.4999999999999997E-3</v>
      </c>
      <c r="CK598" s="5">
        <f>RANK(BY598,$BY$2:$BY$623)+COUNTIF($BY$2:$BY598,$BY598)-1</f>
        <v>610</v>
      </c>
      <c r="CL598" s="5">
        <f>RANK(CJ598,$CJ$2:$CJ$623)+COUNTIF($CJ$2:$CJ598,$CJ598)-1</f>
        <v>615</v>
      </c>
    </row>
    <row r="599" spans="1:90">
      <c r="A599" t="str">
        <f>Players!P600</f>
        <v>Patrik Hrošovský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0.81328039356128246</v>
      </c>
      <c r="I599" s="16">
        <f>INDEX('Team forecast'!$B$2:$AO$26,MATCH('Master data'!$B599,'Team forecast'!$B$2:$B$26,0),MATCH('Master data'!I$1,'Team forecast'!$B$2:$AO$2,0))</f>
        <v>1.5369105908463034</v>
      </c>
      <c r="J599" s="16">
        <f>INDEX('Team forecast'!$B$2:$AO$26,MATCH('Master data'!$B599,'Team forecast'!$B$2:$B$26,0),MATCH('Master data'!J$1,'Team forecast'!$B$2:$AO$2,0))</f>
        <v>0.21504443649322161</v>
      </c>
      <c r="K599" s="16">
        <f>INDEX('Team forecast'!$B$2:$AO$26,MATCH('Master data'!$B599,'Team forecast'!$B$2:$B$26,0),MATCH('Master data'!K$1,'Team forecast'!$B$2:$AO$2,0))</f>
        <v>2.6698598778526952</v>
      </c>
      <c r="L599" s="16">
        <f>INDEX('Team forecast'!$B$2:$AO$26,MATCH('Master data'!$B599,'Team forecast'!$B$2:$B$26,0),MATCH('Master data'!L$1,'Team forecast'!$B$2:$AO$2,0))</f>
        <v>4.1033306683839106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0</v>
      </c>
      <c r="R599" s="2">
        <f>Players!BR600</f>
        <v>0</v>
      </c>
      <c r="S599" s="2">
        <f t="shared" si="343"/>
        <v>0.81328039356128246</v>
      </c>
      <c r="T599" s="2">
        <f t="shared" si="344"/>
        <v>1.5369105908463034</v>
      </c>
      <c r="U599" s="16">
        <f>INDEX('Team forecast'!$B$2:$AO$26,MATCH('Master data'!$B599,'Team forecast'!$B$2:$B$26,0),MATCH('Master data'!U$1,'Team forecast'!$B$2:$AO$2,0))</f>
        <v>0.18622848200312991</v>
      </c>
      <c r="V599" s="16">
        <f>INDEX('Team forecast'!$B$2:$AO$26,MATCH('Master data'!$B599,'Team forecast'!$B$2:$B$26,0),MATCH('Master data'!V$1,'Team forecast'!$B$2:$AO$2,0))</f>
        <v>0.2660406885758998</v>
      </c>
      <c r="W599" s="16">
        <f>INDEX('Team forecast'!$B$2:$AO$26,MATCH('Master data'!$B599,'Team forecast'!$B$2:$B$26,0),MATCH('Master data'!W$1,'Team forecast'!$B$2:$AO$2,0))</f>
        <v>0.54773082942097018</v>
      </c>
      <c r="X599" s="5">
        <f t="shared" si="345"/>
        <v>-5000</v>
      </c>
      <c r="Y599" s="5">
        <f t="shared" si="346"/>
        <v>0</v>
      </c>
      <c r="Z599" s="5">
        <f t="shared" si="347"/>
        <v>0</v>
      </c>
      <c r="AA599" s="5">
        <f t="shared" si="348"/>
        <v>0</v>
      </c>
      <c r="AB599" s="5">
        <f t="shared" si="349"/>
        <v>0</v>
      </c>
      <c r="AC599" s="5">
        <f t="shared" si="350"/>
        <v>0</v>
      </c>
      <c r="AD599" s="5">
        <f t="shared" si="351"/>
        <v>0</v>
      </c>
      <c r="AE599" s="5">
        <f t="shared" si="352"/>
        <v>0</v>
      </c>
      <c r="AF599" s="5">
        <f t="shared" si="353"/>
        <v>0</v>
      </c>
      <c r="AG599" s="5">
        <f t="shared" si="354"/>
        <v>0</v>
      </c>
      <c r="AH599" s="5">
        <f t="shared" si="355"/>
        <v>0</v>
      </c>
      <c r="AI599" s="5">
        <f t="shared" si="356"/>
        <v>0</v>
      </c>
      <c r="AJ599" s="5">
        <f t="shared" si="357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0.80548012323268336</v>
      </c>
      <c r="AM599" s="16">
        <f>INDEX('Team forecast'!$B$2:$AO$26,MATCH('Master data'!$B599,'Team forecast'!$B$2:$B$26,0),MATCH('Master data'!AM$1,'Team forecast'!$B$2:$AO$2,0))</f>
        <v>1.3852986184856255</v>
      </c>
      <c r="AN599" s="16">
        <f>INDEX('Team forecast'!$B$2:$AO$26,MATCH('Master data'!$B599,'Team forecast'!$B$2:$B$26,0),MATCH('Master data'!AN$1,'Team forecast'!$B$2:$AO$2,0))</f>
        <v>0.25024905963763749</v>
      </c>
      <c r="AO599" s="16">
        <f>INDEX('Team forecast'!$B$2:$AO$26,MATCH('Master data'!$B599,'Team forecast'!$B$2:$B$26,0),MATCH('Master data'!AO$1,'Team forecast'!$B$2:$AO$2,0))</f>
        <v>2.6442529298042636</v>
      </c>
      <c r="AP599" s="16">
        <f>INDEX('Team forecast'!$B$2:$AO$26,MATCH('Master data'!$B599,'Team forecast'!$B$2:$B$26,0),MATCH('Master data'!AP$1,'Team forecast'!$B$2:$AO$2,0))</f>
        <v>3.6985484646649716</v>
      </c>
      <c r="AQ599" s="5">
        <f t="shared" si="358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359"/>
        <v>0</v>
      </c>
      <c r="AV599" s="5">
        <f t="shared" si="360"/>
        <v>0</v>
      </c>
      <c r="AW599" s="5">
        <f t="shared" si="361"/>
        <v>0</v>
      </c>
      <c r="AX599" s="5">
        <f t="shared" si="362"/>
        <v>0</v>
      </c>
      <c r="AY599" s="5">
        <f t="shared" si="363"/>
        <v>0</v>
      </c>
      <c r="AZ599" s="5">
        <f t="shared" si="364"/>
        <v>0</v>
      </c>
      <c r="BA599" s="5">
        <f t="shared" si="365"/>
        <v>0</v>
      </c>
      <c r="BB599" s="5">
        <f t="shared" si="366"/>
        <v>0</v>
      </c>
      <c r="BC599" s="5">
        <f t="shared" si="367"/>
        <v>0</v>
      </c>
      <c r="BD599" s="5">
        <f t="shared" si="368"/>
        <v>-5000</v>
      </c>
      <c r="BE599" s="16">
        <f>INDEX('Team forecast'!$B$2:$AO$26,MATCH('Master data'!$B599,'Team forecast'!$B$2:$B$26,0),MATCH('Master data'!BE$1,'Team forecast'!$B$2:$AO$2,0))</f>
        <v>0.56161379059809569</v>
      </c>
      <c r="BF599" s="16">
        <f>INDEX('Team forecast'!$B$2:$AO$26,MATCH('Master data'!$B599,'Team forecast'!$B$2:$B$26,0),MATCH('Master data'!BF$1,'Team forecast'!$B$2:$AO$2,0))</f>
        <v>2.3513752571634776</v>
      </c>
      <c r="BG599" s="16">
        <f>INDEX('Team forecast'!$B$2:$AO$26,MATCH('Master data'!$B599,'Team forecast'!$B$2:$B$26,0),MATCH('Master data'!BG$1,'Team forecast'!$B$2:$AO$2,0))</f>
        <v>9.5238095238095233E-2</v>
      </c>
      <c r="BH599" s="16">
        <f>INDEX('Team forecast'!$B$2:$AO$26,MATCH('Master data'!$B599,'Team forecast'!$B$2:$B$26,0),MATCH('Master data'!BH$1,'Team forecast'!$B$2:$AO$2,0))</f>
        <v>1.8436816358018293</v>
      </c>
      <c r="BI599" s="16">
        <f>INDEX('Team forecast'!$B$2:$AO$26,MATCH('Master data'!$B599,'Team forecast'!$B$2:$B$26,0),MATCH('Master data'!BI$1,'Team forecast'!$B$2:$AO$2,0))</f>
        <v>6.2778344186469877</v>
      </c>
      <c r="BJ599" s="5">
        <f t="shared" si="369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370"/>
        <v>0</v>
      </c>
      <c r="BO599" s="5">
        <f t="shared" si="371"/>
        <v>0</v>
      </c>
      <c r="BP599" s="5">
        <f t="shared" si="372"/>
        <v>0</v>
      </c>
      <c r="BQ599" s="5">
        <f t="shared" si="373"/>
        <v>0</v>
      </c>
      <c r="BR599" s="5">
        <f t="shared" si="374"/>
        <v>0</v>
      </c>
      <c r="BS599" s="5">
        <f t="shared" si="375"/>
        <v>0</v>
      </c>
      <c r="BT599" s="5">
        <f t="shared" si="376"/>
        <v>0</v>
      </c>
      <c r="BU599" s="5">
        <f t="shared" si="377"/>
        <v>0</v>
      </c>
      <c r="BV599" s="5">
        <f t="shared" si="378"/>
        <v>0</v>
      </c>
      <c r="BW599" s="5">
        <f t="shared" si="379"/>
        <v>-5000</v>
      </c>
      <c r="BX599" s="5">
        <f t="shared" si="380"/>
        <v>-5000</v>
      </c>
      <c r="BY599" s="5">
        <f t="shared" si="381"/>
        <v>-15000</v>
      </c>
      <c r="BZ599" s="5">
        <f>INDEX('Team forecast'!$R$3:$BH$26,MATCH($B599,'Team forecast'!$B$3:$B$26,0),MATCH(BZ$1,'Team forecast'!$R$2:$BH$2,0))*($BX599-(BY599+CH599)*0.01)</f>
        <v>-10100.428776671995</v>
      </c>
      <c r="CA599" s="5">
        <f>INDEX('Team forecast'!$R$3:$BH$26,MATCH($B599,'Team forecast'!$B$3:$B$26,0),MATCH(CA$1,'Team forecast'!$R$2:$BH$2,0))*($BX599-(BY599+BX599+CH599)*0.01)</f>
        <v>-4944.4111386853474</v>
      </c>
      <c r="CB599" s="5">
        <f>INDEX('Team forecast'!$R$3:$BH$26,MATCH($B599,'Team forecast'!$B$3:$B$26,0),MATCH(CB$1,'Team forecast'!$R$2:$BH$2,0))*($BX599-(BY599+BX599*2+CH599)*0.01)</f>
        <v>-2376.5934789954281</v>
      </c>
      <c r="CC599" s="5">
        <f>INDEX('Team forecast'!$R$3:$BH$26,MATCH($B599,'Team forecast'!$B$3:$B$26,0),MATCH(CC$1,'Team forecast'!$R$2:$BH$2,0))*($BX599-(BY599+BX599*3+CH599)*0.01)</f>
        <v>-1068.5572787082224</v>
      </c>
      <c r="CD599" s="5">
        <f>+AK599+BD599*Cockpit!$C$3+BW599*Cockpit!$C$3^2+BZ599*Cockpit!$C$3^3+CA599*Cockpit!$C$3^4+CB599*Cockpit!$C$3^5+CC599*Cockpit!$C$3^6</f>
        <v>-14931.726281965333</v>
      </c>
      <c r="CE599" s="5"/>
      <c r="CF599" s="5"/>
      <c r="CG599" s="5">
        <v>0</v>
      </c>
      <c r="CH599" s="5">
        <f t="shared" si="382"/>
        <v>2500000</v>
      </c>
      <c r="CI599" s="5">
        <f t="shared" si="383"/>
        <v>2500000</v>
      </c>
      <c r="CJ599" s="1">
        <f t="shared" si="384"/>
        <v>-6.0000000000000001E-3</v>
      </c>
      <c r="CK599" s="5">
        <f>RANK(BY599,$BY$2:$BY$623)+COUNTIF($BY$2:$BY599,$BY599)-1</f>
        <v>611</v>
      </c>
      <c r="CL599" s="5">
        <f>RANK(CJ599,$CJ$2:$CJ$623)+COUNTIF($CJ$2:$CJ599,$CJ599)-1</f>
        <v>575</v>
      </c>
    </row>
    <row r="600" spans="1:90">
      <c r="A600" t="str">
        <f>Players!P601</f>
        <v>Ján Greguš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2500000</v>
      </c>
      <c r="H600" s="16">
        <f>INDEX('Team forecast'!$B$2:$AO$26,MATCH('Master data'!$B600,'Team forecast'!$B$2:$B$26,0),MATCH('Master data'!H$1,'Team forecast'!$B$2:$AO$2,0))</f>
        <v>0.81328039356128246</v>
      </c>
      <c r="I600" s="16">
        <f>INDEX('Team forecast'!$B$2:$AO$26,MATCH('Master data'!$B600,'Team forecast'!$B$2:$B$26,0),MATCH('Master data'!I$1,'Team forecast'!$B$2:$AO$2,0))</f>
        <v>1.5369105908463034</v>
      </c>
      <c r="J600" s="16">
        <f>INDEX('Team forecast'!$B$2:$AO$26,MATCH('Master data'!$B600,'Team forecast'!$B$2:$B$26,0),MATCH('Master data'!J$1,'Team forecast'!$B$2:$AO$2,0))</f>
        <v>0.21504443649322161</v>
      </c>
      <c r="K600" s="16">
        <f>INDEX('Team forecast'!$B$2:$AO$26,MATCH('Master data'!$B600,'Team forecast'!$B$2:$B$26,0),MATCH('Master data'!K$1,'Team forecast'!$B$2:$AO$2,0))</f>
        <v>2.6698598778526952</v>
      </c>
      <c r="L600" s="16">
        <f>INDEX('Team forecast'!$B$2:$AO$26,MATCH('Master data'!$B600,'Team forecast'!$B$2:$B$26,0),MATCH('Master data'!L$1,'Team forecast'!$B$2:$AO$2,0))</f>
        <v>4.1033306683839106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4.2075736325385693E-2</v>
      </c>
      <c r="R600" s="2">
        <f>Players!BR601</f>
        <v>4.2075736325385693E-2</v>
      </c>
      <c r="S600" s="2">
        <f t="shared" si="343"/>
        <v>0.81328039356128246</v>
      </c>
      <c r="T600" s="2">
        <f t="shared" si="344"/>
        <v>1.5369105908463034</v>
      </c>
      <c r="U600" s="16">
        <f>INDEX('Team forecast'!$B$2:$AO$26,MATCH('Master data'!$B600,'Team forecast'!$B$2:$B$26,0),MATCH('Master data'!U$1,'Team forecast'!$B$2:$AO$2,0))</f>
        <v>0.18622848200312991</v>
      </c>
      <c r="V600" s="16">
        <f>INDEX('Team forecast'!$B$2:$AO$26,MATCH('Master data'!$B600,'Team forecast'!$B$2:$B$26,0),MATCH('Master data'!V$1,'Team forecast'!$B$2:$AO$2,0))</f>
        <v>0.2660406885758998</v>
      </c>
      <c r="W600" s="16">
        <f>INDEX('Team forecast'!$B$2:$AO$26,MATCH('Master data'!$B600,'Team forecast'!$B$2:$B$26,0),MATCH('Master data'!W$1,'Team forecast'!$B$2:$AO$2,0))</f>
        <v>0.54773082942097018</v>
      </c>
      <c r="X600" s="5">
        <f t="shared" si="345"/>
        <v>-5000</v>
      </c>
      <c r="Y600" s="5">
        <f t="shared" si="346"/>
        <v>0</v>
      </c>
      <c r="Z600" s="5">
        <f t="shared" si="347"/>
        <v>0</v>
      </c>
      <c r="AA600" s="5">
        <f t="shared" si="348"/>
        <v>0</v>
      </c>
      <c r="AB600" s="5">
        <f t="shared" si="349"/>
        <v>0</v>
      </c>
      <c r="AC600" s="5">
        <f t="shared" si="350"/>
        <v>0</v>
      </c>
      <c r="AD600" s="5">
        <f t="shared" si="351"/>
        <v>0</v>
      </c>
      <c r="AE600" s="5">
        <f t="shared" si="352"/>
        <v>0</v>
      </c>
      <c r="AF600" s="5">
        <f t="shared" si="353"/>
        <v>0</v>
      </c>
      <c r="AG600" s="5">
        <f t="shared" si="354"/>
        <v>0</v>
      </c>
      <c r="AH600" s="5">
        <f t="shared" si="355"/>
        <v>0</v>
      </c>
      <c r="AI600" s="5">
        <f t="shared" si="356"/>
        <v>0</v>
      </c>
      <c r="AJ600" s="5">
        <f t="shared" si="357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0.80548012323268336</v>
      </c>
      <c r="AM600" s="16">
        <f>INDEX('Team forecast'!$B$2:$AO$26,MATCH('Master data'!$B600,'Team forecast'!$B$2:$B$26,0),MATCH('Master data'!AM$1,'Team forecast'!$B$2:$AO$2,0))</f>
        <v>1.3852986184856255</v>
      </c>
      <c r="AN600" s="16">
        <f>INDEX('Team forecast'!$B$2:$AO$26,MATCH('Master data'!$B600,'Team forecast'!$B$2:$B$26,0),MATCH('Master data'!AN$1,'Team forecast'!$B$2:$AO$2,0))</f>
        <v>0.25024905963763749</v>
      </c>
      <c r="AO600" s="16">
        <f>INDEX('Team forecast'!$B$2:$AO$26,MATCH('Master data'!$B600,'Team forecast'!$B$2:$B$26,0),MATCH('Master data'!AO$1,'Team forecast'!$B$2:$AO$2,0))</f>
        <v>2.6442529298042636</v>
      </c>
      <c r="AP600" s="16">
        <f>INDEX('Team forecast'!$B$2:$AO$26,MATCH('Master data'!$B600,'Team forecast'!$B$2:$B$26,0),MATCH('Master data'!AP$1,'Team forecast'!$B$2:$AO$2,0))</f>
        <v>3.6985484646649716</v>
      </c>
      <c r="AQ600" s="5">
        <f t="shared" si="358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359"/>
        <v>0</v>
      </c>
      <c r="AV600" s="5">
        <f t="shared" si="360"/>
        <v>0</v>
      </c>
      <c r="AW600" s="5">
        <f t="shared" si="361"/>
        <v>0</v>
      </c>
      <c r="AX600" s="5">
        <f t="shared" si="362"/>
        <v>0</v>
      </c>
      <c r="AY600" s="5">
        <f t="shared" si="363"/>
        <v>0</v>
      </c>
      <c r="AZ600" s="5">
        <f t="shared" si="364"/>
        <v>0</v>
      </c>
      <c r="BA600" s="5">
        <f t="shared" si="365"/>
        <v>0</v>
      </c>
      <c r="BB600" s="5">
        <f t="shared" si="366"/>
        <v>0</v>
      </c>
      <c r="BC600" s="5">
        <f t="shared" si="367"/>
        <v>0</v>
      </c>
      <c r="BD600" s="5">
        <f t="shared" si="368"/>
        <v>-5000</v>
      </c>
      <c r="BE600" s="16">
        <f>INDEX('Team forecast'!$B$2:$AO$26,MATCH('Master data'!$B600,'Team forecast'!$B$2:$B$26,0),MATCH('Master data'!BE$1,'Team forecast'!$B$2:$AO$2,0))</f>
        <v>0.56161379059809569</v>
      </c>
      <c r="BF600" s="16">
        <f>INDEX('Team forecast'!$B$2:$AO$26,MATCH('Master data'!$B600,'Team forecast'!$B$2:$B$26,0),MATCH('Master data'!BF$1,'Team forecast'!$B$2:$AO$2,0))</f>
        <v>2.3513752571634776</v>
      </c>
      <c r="BG600" s="16">
        <f>INDEX('Team forecast'!$B$2:$AO$26,MATCH('Master data'!$B600,'Team forecast'!$B$2:$B$26,0),MATCH('Master data'!BG$1,'Team forecast'!$B$2:$AO$2,0))</f>
        <v>9.5238095238095233E-2</v>
      </c>
      <c r="BH600" s="16">
        <f>INDEX('Team forecast'!$B$2:$AO$26,MATCH('Master data'!$B600,'Team forecast'!$B$2:$B$26,0),MATCH('Master data'!BH$1,'Team forecast'!$B$2:$AO$2,0))</f>
        <v>1.8436816358018293</v>
      </c>
      <c r="BI600" s="16">
        <f>INDEX('Team forecast'!$B$2:$AO$26,MATCH('Master data'!$B600,'Team forecast'!$B$2:$B$26,0),MATCH('Master data'!BI$1,'Team forecast'!$B$2:$AO$2,0))</f>
        <v>6.2778344186469877</v>
      </c>
      <c r="BJ600" s="5">
        <f t="shared" si="369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370"/>
        <v>0</v>
      </c>
      <c r="BO600" s="5">
        <f t="shared" si="371"/>
        <v>0</v>
      </c>
      <c r="BP600" s="5">
        <f t="shared" si="372"/>
        <v>0</v>
      </c>
      <c r="BQ600" s="5">
        <f t="shared" si="373"/>
        <v>0</v>
      </c>
      <c r="BR600" s="5">
        <f t="shared" si="374"/>
        <v>0</v>
      </c>
      <c r="BS600" s="5">
        <f t="shared" si="375"/>
        <v>0</v>
      </c>
      <c r="BT600" s="5">
        <f t="shared" si="376"/>
        <v>0</v>
      </c>
      <c r="BU600" s="5">
        <f t="shared" si="377"/>
        <v>0</v>
      </c>
      <c r="BV600" s="5">
        <f t="shared" si="378"/>
        <v>0</v>
      </c>
      <c r="BW600" s="5">
        <f t="shared" si="379"/>
        <v>-5000</v>
      </c>
      <c r="BX600" s="5">
        <f t="shared" si="380"/>
        <v>-5000</v>
      </c>
      <c r="BY600" s="5">
        <f t="shared" si="381"/>
        <v>-15000</v>
      </c>
      <c r="BZ600" s="5">
        <f>INDEX('Team forecast'!$R$3:$BH$26,MATCH($B600,'Team forecast'!$B$3:$B$26,0),MATCH(BZ$1,'Team forecast'!$R$2:$BH$2,0))*($BX600-(BY600+CH600)*0.01)</f>
        <v>-10100.428776671995</v>
      </c>
      <c r="CA600" s="5">
        <f>INDEX('Team forecast'!$R$3:$BH$26,MATCH($B600,'Team forecast'!$B$3:$B$26,0),MATCH(CA$1,'Team forecast'!$R$2:$BH$2,0))*($BX600-(BY600+BX600+CH600)*0.01)</f>
        <v>-4944.4111386853474</v>
      </c>
      <c r="CB600" s="5">
        <f>INDEX('Team forecast'!$R$3:$BH$26,MATCH($B600,'Team forecast'!$B$3:$B$26,0),MATCH(CB$1,'Team forecast'!$R$2:$BH$2,0))*($BX600-(BY600+BX600*2+CH600)*0.01)</f>
        <v>-2376.5934789954281</v>
      </c>
      <c r="CC600" s="5">
        <f>INDEX('Team forecast'!$R$3:$BH$26,MATCH($B600,'Team forecast'!$B$3:$B$26,0),MATCH(CC$1,'Team forecast'!$R$2:$BH$2,0))*($BX600-(BY600+BX600*3+CH600)*0.01)</f>
        <v>-1068.5572787082224</v>
      </c>
      <c r="CD600" s="5">
        <f>+AK600+BD600*Cockpit!$C$3+BW600*Cockpit!$C$3^2+BZ600*Cockpit!$C$3^3+CA600*Cockpit!$C$3^4+CB600*Cockpit!$C$3^5+CC600*Cockpit!$C$3^6</f>
        <v>-14931.726281965333</v>
      </c>
      <c r="CE600" s="5"/>
      <c r="CF600" s="5"/>
      <c r="CG600" s="5">
        <v>0</v>
      </c>
      <c r="CH600" s="5">
        <f t="shared" si="382"/>
        <v>2500000</v>
      </c>
      <c r="CI600" s="5">
        <f t="shared" si="383"/>
        <v>2500000</v>
      </c>
      <c r="CJ600" s="1">
        <f t="shared" si="384"/>
        <v>-6.0000000000000001E-3</v>
      </c>
      <c r="CK600" s="5">
        <f>RANK(BY600,$BY$2:$BY$623)+COUNTIF($BY$2:$BY600,$BY600)-1</f>
        <v>612</v>
      </c>
      <c r="CL600" s="5">
        <f>RANK(CJ600,$CJ$2:$CJ$623)+COUNTIF($CJ$2:$CJ600,$CJ600)-1</f>
        <v>576</v>
      </c>
    </row>
    <row r="601" spans="1:90">
      <c r="A601" t="str">
        <f>Players!P602</f>
        <v>Stanislav Lobotka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0.81328039356128246</v>
      </c>
      <c r="I601" s="16">
        <f>INDEX('Team forecast'!$B$2:$AO$26,MATCH('Master data'!$B601,'Team forecast'!$B$2:$B$26,0),MATCH('Master data'!I$1,'Team forecast'!$B$2:$AO$2,0))</f>
        <v>1.5369105908463034</v>
      </c>
      <c r="J601" s="16">
        <f>INDEX('Team forecast'!$B$2:$AO$26,MATCH('Master data'!$B601,'Team forecast'!$B$2:$B$26,0),MATCH('Master data'!J$1,'Team forecast'!$B$2:$AO$2,0))</f>
        <v>0.21504443649322161</v>
      </c>
      <c r="K601" s="16">
        <f>INDEX('Team forecast'!$B$2:$AO$26,MATCH('Master data'!$B601,'Team forecast'!$B$2:$B$26,0),MATCH('Master data'!K$1,'Team forecast'!$B$2:$AO$2,0))</f>
        <v>2.6698598778526952</v>
      </c>
      <c r="L601" s="16">
        <f>INDEX('Team forecast'!$B$2:$AO$26,MATCH('Master data'!$B601,'Team forecast'!$B$2:$B$26,0),MATCH('Master data'!L$1,'Team forecast'!$B$2:$AO$2,0))</f>
        <v>4.1033306683839106</v>
      </c>
      <c r="M601">
        <f>IF(Players!BC602=1,95,0)</f>
        <v>95</v>
      </c>
      <c r="N601" s="2">
        <f>Players!BN602</f>
        <v>5.5555602767993942E-2</v>
      </c>
      <c r="O601" s="2">
        <f>Players!BO602</f>
        <v>0.17488216870723181</v>
      </c>
      <c r="P601" s="2">
        <f>Players!BP602</f>
        <v>0</v>
      </c>
      <c r="Q601" s="2">
        <f>Players!BQ602</f>
        <v>0.70285714285714285</v>
      </c>
      <c r="R601" s="2">
        <f>Players!BR602</f>
        <v>0</v>
      </c>
      <c r="S601" s="2">
        <f t="shared" si="343"/>
        <v>0.81328039356128246</v>
      </c>
      <c r="T601" s="2">
        <f t="shared" si="344"/>
        <v>1.5369105908463034</v>
      </c>
      <c r="U601" s="16">
        <f>INDEX('Team forecast'!$B$2:$AO$26,MATCH('Master data'!$B601,'Team forecast'!$B$2:$B$26,0),MATCH('Master data'!U$1,'Team forecast'!$B$2:$AO$2,0))</f>
        <v>0.18622848200312991</v>
      </c>
      <c r="V601" s="16">
        <f>INDEX('Team forecast'!$B$2:$AO$26,MATCH('Master data'!$B601,'Team forecast'!$B$2:$B$26,0),MATCH('Master data'!V$1,'Team forecast'!$B$2:$AO$2,0))</f>
        <v>0.2660406885758998</v>
      </c>
      <c r="W601" s="16">
        <f>INDEX('Team forecast'!$B$2:$AO$26,MATCH('Master data'!$B601,'Team forecast'!$B$2:$B$26,0),MATCH('Master data'!W$1,'Team forecast'!$B$2:$AO$2,0))</f>
        <v>0.54773082942097018</v>
      </c>
      <c r="X601" s="5">
        <f t="shared" si="345"/>
        <v>7000</v>
      </c>
      <c r="Y601" s="5">
        <f t="shared" si="346"/>
        <v>4655.7120500782476</v>
      </c>
      <c r="Z601" s="5">
        <f t="shared" si="347"/>
        <v>1330.2034428794989</v>
      </c>
      <c r="AA601" s="5">
        <f t="shared" si="348"/>
        <v>-8215.9624413145521</v>
      </c>
      <c r="AB601" s="5">
        <f t="shared" si="349"/>
        <v>5647.7853104610485</v>
      </c>
      <c r="AC601" s="5">
        <f t="shared" si="350"/>
        <v>7111.4119496534031</v>
      </c>
      <c r="AD601" s="5">
        <f t="shared" si="351"/>
        <v>0</v>
      </c>
      <c r="AE601" s="5">
        <f t="shared" si="352"/>
        <v>0</v>
      </c>
      <c r="AF601" s="5">
        <f t="shared" si="353"/>
        <v>0</v>
      </c>
      <c r="AG601" s="5">
        <f t="shared" si="354"/>
        <v>-14057.142857142857</v>
      </c>
      <c r="AH601" s="5">
        <f t="shared" si="355"/>
        <v>0</v>
      </c>
      <c r="AI601" s="5">
        <f t="shared" si="356"/>
        <v>8132.8039356128247</v>
      </c>
      <c r="AJ601" s="5">
        <f t="shared" si="357"/>
        <v>-12295.284726770427</v>
      </c>
      <c r="AK601" s="5">
        <f>IFERROR(SUM(X601:AJ601),-5000)*((Cockpit!$C$3)^0)</f>
        <v>-690.47333654281283</v>
      </c>
      <c r="AL601" s="16">
        <f>INDEX('Team forecast'!$B$2:$AO$26,MATCH('Master data'!$B601,'Team forecast'!$B$2:$B$26,0),MATCH('Master data'!AL$1,'Team forecast'!$B$2:$AO$2,0))</f>
        <v>0.80548012323268336</v>
      </c>
      <c r="AM601" s="16">
        <f>INDEX('Team forecast'!$B$2:$AO$26,MATCH('Master data'!$B601,'Team forecast'!$B$2:$B$26,0),MATCH('Master data'!AM$1,'Team forecast'!$B$2:$AO$2,0))</f>
        <v>1.3852986184856255</v>
      </c>
      <c r="AN601" s="16">
        <f>INDEX('Team forecast'!$B$2:$AO$26,MATCH('Master data'!$B601,'Team forecast'!$B$2:$B$26,0),MATCH('Master data'!AN$1,'Team forecast'!$B$2:$AO$2,0))</f>
        <v>0.25024905963763749</v>
      </c>
      <c r="AO601" s="16">
        <f>INDEX('Team forecast'!$B$2:$AO$26,MATCH('Master data'!$B601,'Team forecast'!$B$2:$B$26,0),MATCH('Master data'!AO$1,'Team forecast'!$B$2:$AO$2,0))</f>
        <v>2.6442529298042636</v>
      </c>
      <c r="AP601" s="16">
        <f>INDEX('Team forecast'!$B$2:$AO$26,MATCH('Master data'!$B601,'Team forecast'!$B$2:$B$26,0),MATCH('Master data'!AP$1,'Team forecast'!$B$2:$AO$2,0))</f>
        <v>3.6985484646649716</v>
      </c>
      <c r="AQ601" s="5">
        <f t="shared" si="358"/>
        <v>7000</v>
      </c>
      <c r="AR601" s="5">
        <f>INDEX('Team forecast'!$B$2:$AO$26,MATCH('Master data'!$B601,'Team forecast'!$B$2:$B$26,0),MATCH('Master data'!AR$1,'Team forecast'!$B$2:$AO$2,0))*IF(X601&gt;0,25000,0)</f>
        <v>5418.2100094754078</v>
      </c>
      <c r="AS601" s="16">
        <f>INDEX('Team forecast'!$B$2:$AO$26,MATCH('Master data'!$B601,'Team forecast'!$B$2:$B$26,0),MATCH('Master data'!AS$1,'Team forecast'!$B$2:$AO$2,0))*IF(X601&gt;0,5000,0)</f>
        <v>1380.0499612369715</v>
      </c>
      <c r="AT601" s="16">
        <f>INDEX('Team forecast'!$B$2:$AO$26,MATCH('Master data'!$B601,'Team forecast'!$B$2:$B$26,0),MATCH('Master data'!AT$1,'Team forecast'!$B$2:$AO$2,0))*IF(X601&gt;0,-15000,0)</f>
        <v>-7608.9241106038426</v>
      </c>
      <c r="AU601" s="5">
        <f t="shared" si="359"/>
        <v>5593.6167204787207</v>
      </c>
      <c r="AV601" s="5">
        <f t="shared" si="360"/>
        <v>7043.2055400749996</v>
      </c>
      <c r="AW601" s="5">
        <f t="shared" si="361"/>
        <v>0</v>
      </c>
      <c r="AX601" s="5">
        <f t="shared" si="362"/>
        <v>0</v>
      </c>
      <c r="AY601" s="5">
        <f t="shared" si="363"/>
        <v>0</v>
      </c>
      <c r="AZ601" s="5">
        <f t="shared" si="364"/>
        <v>-14057.142857142857</v>
      </c>
      <c r="BA601" s="5">
        <f t="shared" si="365"/>
        <v>0</v>
      </c>
      <c r="BB601" s="5">
        <f t="shared" si="366"/>
        <v>8054.801232326834</v>
      </c>
      <c r="BC601" s="5">
        <f t="shared" si="367"/>
        <v>-11082.388947885003</v>
      </c>
      <c r="BD601" s="5">
        <f t="shared" si="368"/>
        <v>1741.4275479612315</v>
      </c>
      <c r="BE601" s="16">
        <f>INDEX('Team forecast'!$B$2:$AO$26,MATCH('Master data'!$B601,'Team forecast'!$B$2:$B$26,0),MATCH('Master data'!BE$1,'Team forecast'!$B$2:$AO$2,0))</f>
        <v>0.56161379059809569</v>
      </c>
      <c r="BF601" s="16">
        <f>INDEX('Team forecast'!$B$2:$AO$26,MATCH('Master data'!$B601,'Team forecast'!$B$2:$B$26,0),MATCH('Master data'!BF$1,'Team forecast'!$B$2:$AO$2,0))</f>
        <v>2.3513752571634776</v>
      </c>
      <c r="BG601" s="16">
        <f>INDEX('Team forecast'!$B$2:$AO$26,MATCH('Master data'!$B601,'Team forecast'!$B$2:$B$26,0),MATCH('Master data'!BG$1,'Team forecast'!$B$2:$AO$2,0))</f>
        <v>9.5238095238095233E-2</v>
      </c>
      <c r="BH601" s="16">
        <f>INDEX('Team forecast'!$B$2:$AO$26,MATCH('Master data'!$B601,'Team forecast'!$B$2:$B$26,0),MATCH('Master data'!BH$1,'Team forecast'!$B$2:$AO$2,0))</f>
        <v>1.8436816358018293</v>
      </c>
      <c r="BI601" s="16">
        <f>INDEX('Team forecast'!$B$2:$AO$26,MATCH('Master data'!$B601,'Team forecast'!$B$2:$B$26,0),MATCH('Master data'!BI$1,'Team forecast'!$B$2:$AO$2,0))</f>
        <v>6.2778344186469877</v>
      </c>
      <c r="BJ601" s="5">
        <f t="shared" si="369"/>
        <v>7000</v>
      </c>
      <c r="BK601" s="5">
        <f>INDEX('Team forecast'!$R$3:$BH$26,MATCH($B601,'Team forecast'!$B$3:$B$26,0),MATCH(BK$1,'Team forecast'!$R$2:$BH$2,0))*IF($X601&gt;0,25000,0)</f>
        <v>1700.6802721088434</v>
      </c>
      <c r="BL601" s="5">
        <f>INDEX('Team forecast'!$R$3:$BH$26,MATCH($B601,'Team forecast'!$B$3:$B$26,0),MATCH(BL$1,'Team forecast'!$R$2:$BH$2,0))*IF($X601&gt;0,5000,0)</f>
        <v>850.34013605442146</v>
      </c>
      <c r="BM601" s="5">
        <f>INDEX('Team forecast'!$R$3:$BH$26,MATCH($B601,'Team forecast'!$B$3:$B$26,0),MATCH(BM$1,'Team forecast'!$R$2:$BH$2,0))*IF($X601&gt;0,-15000,0)</f>
        <v>-11428.571428571428</v>
      </c>
      <c r="BN601" s="5">
        <f t="shared" si="370"/>
        <v>3900.0990824368919</v>
      </c>
      <c r="BO601" s="5">
        <f t="shared" si="371"/>
        <v>4910.8118837842057</v>
      </c>
      <c r="BP601" s="5">
        <f t="shared" si="372"/>
        <v>0</v>
      </c>
      <c r="BQ601" s="5">
        <f t="shared" si="373"/>
        <v>0</v>
      </c>
      <c r="BR601" s="5">
        <f t="shared" si="374"/>
        <v>0</v>
      </c>
      <c r="BS601" s="5">
        <f t="shared" si="375"/>
        <v>-14057.142857142857</v>
      </c>
      <c r="BT601" s="5">
        <f t="shared" si="376"/>
        <v>0</v>
      </c>
      <c r="BU601" s="5">
        <f t="shared" si="377"/>
        <v>5616.1379059809569</v>
      </c>
      <c r="BV601" s="5">
        <f t="shared" si="378"/>
        <v>-18811.002057307822</v>
      </c>
      <c r="BW601" s="5">
        <f t="shared" si="379"/>
        <v>-20318.64706265679</v>
      </c>
      <c r="BX601" s="5">
        <f t="shared" si="380"/>
        <v>-6422.5642837461237</v>
      </c>
      <c r="BY601" s="5">
        <f t="shared" si="381"/>
        <v>-19267.692851238371</v>
      </c>
      <c r="BZ601" s="5">
        <f>INDEX('Team forecast'!$R$3:$BH$26,MATCH($B601,'Team forecast'!$B$3:$B$26,0),MATCH(BZ$1,'Team forecast'!$R$2:$BH$2,0))*($BX601-(BY601+CH601)*0.01)</f>
        <v>-8875.4810402568764</v>
      </c>
      <c r="CA601" s="5">
        <f>INDEX('Team forecast'!$R$3:$BH$26,MATCH($B601,'Team forecast'!$B$3:$B$26,0),MATCH(CA$1,'Team forecast'!$R$2:$BH$2,0))*($BX601-(BY601+BX601+CH601)*0.01)</f>
        <v>-4341.4023228807009</v>
      </c>
      <c r="CB601" s="5">
        <f>INDEX('Team forecast'!$R$3:$BH$26,MATCH($B601,'Team forecast'!$B$3:$B$26,0),MATCH(CB$1,'Team forecast'!$R$2:$BH$2,0))*($BX601-(BY601+BX601*2+CH601)*0.01)</f>
        <v>-2085.126143036287</v>
      </c>
      <c r="CC601" s="5">
        <f>INDEX('Team forecast'!$R$3:$BH$26,MATCH($B601,'Team forecast'!$B$3:$B$26,0),MATCH(CC$1,'Team forecast'!$R$2:$BH$2,0))*($BX601-(BY601+BX601*3+CH601)*0.01)</f>
        <v>-936.77611847578203</v>
      </c>
      <c r="CD601" s="5">
        <f>+AK601+BD601*Cockpit!$C$3+BW601*Cockpit!$C$3^2+BZ601*Cockpit!$C$3^3+CA601*Cockpit!$C$3^4+CB601*Cockpit!$C$3^5+CC601*Cockpit!$C$3^6</f>
        <v>-12404.19004504196</v>
      </c>
      <c r="CE601" s="5"/>
      <c r="CF601" s="5"/>
      <c r="CG601" s="5">
        <v>0</v>
      </c>
      <c r="CH601" s="5">
        <f t="shared" si="382"/>
        <v>2000000</v>
      </c>
      <c r="CI601" s="5">
        <f t="shared" si="383"/>
        <v>2000000</v>
      </c>
      <c r="CJ601" s="1">
        <f t="shared" si="384"/>
        <v>-9.6338464256191855E-3</v>
      </c>
      <c r="CK601" s="5">
        <f>RANK(BY601,$BY$2:$BY$623)+COUNTIF($BY$2:$BY601,$BY601)-1</f>
        <v>619</v>
      </c>
      <c r="CL601" s="5">
        <f>RANK(CJ601,$CJ$2:$CJ$623)+COUNTIF($CJ$2:$CJ601,$CJ601)-1</f>
        <v>620</v>
      </c>
    </row>
    <row r="602" spans="1:90">
      <c r="A602" t="str">
        <f>Players!P603</f>
        <v>Tomáš Suslov</v>
      </c>
      <c r="B602" t="str">
        <f>Players!G603</f>
        <v>Slovakia</v>
      </c>
      <c r="C602" t="str">
        <f>Players!AB603</f>
        <v>Midfield</v>
      </c>
      <c r="G602">
        <f>IF(Players!AC603=0,10000000,Players!AC603)</f>
        <v>2000000</v>
      </c>
      <c r="H602" s="16">
        <f>INDEX('Team forecast'!$B$2:$AO$26,MATCH('Master data'!$B602,'Team forecast'!$B$2:$B$26,0),MATCH('Master data'!H$1,'Team forecast'!$B$2:$AO$2,0))</f>
        <v>0.81328039356128246</v>
      </c>
      <c r="I602" s="16">
        <f>INDEX('Team forecast'!$B$2:$AO$26,MATCH('Master data'!$B602,'Team forecast'!$B$2:$B$26,0),MATCH('Master data'!I$1,'Team forecast'!$B$2:$AO$2,0))</f>
        <v>1.5369105908463034</v>
      </c>
      <c r="J602" s="16">
        <f>INDEX('Team forecast'!$B$2:$AO$26,MATCH('Master data'!$B602,'Team forecast'!$B$2:$B$26,0),MATCH('Master data'!J$1,'Team forecast'!$B$2:$AO$2,0))</f>
        <v>0.21504443649322161</v>
      </c>
      <c r="K602" s="16">
        <f>INDEX('Team forecast'!$B$2:$AO$26,MATCH('Master data'!$B602,'Team forecast'!$B$2:$B$26,0),MATCH('Master data'!K$1,'Team forecast'!$B$2:$AO$2,0))</f>
        <v>2.6698598778526952</v>
      </c>
      <c r="L602" s="16">
        <f>INDEX('Team forecast'!$B$2:$AO$26,MATCH('Master data'!$B602,'Team forecast'!$B$2:$B$26,0),MATCH('Master data'!L$1,'Team forecast'!$B$2:$AO$2,0))</f>
        <v>4.1033306683839106</v>
      </c>
      <c r="M602">
        <f>IF(Players!BC603=1,95,0)</f>
        <v>0</v>
      </c>
      <c r="N602" s="2">
        <f>Players!BN603</f>
        <v>0</v>
      </c>
      <c r="O602" s="2">
        <f>Players!BO603</f>
        <v>0</v>
      </c>
      <c r="P602" s="2">
        <f>Players!BP603</f>
        <v>0</v>
      </c>
      <c r="Q602" s="2">
        <f>Players!BQ603</f>
        <v>8.0405002977963075E-2</v>
      </c>
      <c r="R602" s="2">
        <f>Players!BR603</f>
        <v>0</v>
      </c>
      <c r="S602" s="2">
        <f t="shared" si="343"/>
        <v>0.81328039356128246</v>
      </c>
      <c r="T602" s="2">
        <f t="shared" si="344"/>
        <v>1.5369105908463034</v>
      </c>
      <c r="U602" s="16">
        <f>INDEX('Team forecast'!$B$2:$AO$26,MATCH('Master data'!$B602,'Team forecast'!$B$2:$B$26,0),MATCH('Master data'!U$1,'Team forecast'!$B$2:$AO$2,0))</f>
        <v>0.18622848200312991</v>
      </c>
      <c r="V602" s="16">
        <f>INDEX('Team forecast'!$B$2:$AO$26,MATCH('Master data'!$B602,'Team forecast'!$B$2:$B$26,0),MATCH('Master data'!V$1,'Team forecast'!$B$2:$AO$2,0))</f>
        <v>0.2660406885758998</v>
      </c>
      <c r="W602" s="16">
        <f>INDEX('Team forecast'!$B$2:$AO$26,MATCH('Master data'!$B602,'Team forecast'!$B$2:$B$26,0),MATCH('Master data'!W$1,'Team forecast'!$B$2:$AO$2,0))</f>
        <v>0.54773082942097018</v>
      </c>
      <c r="X602" s="5">
        <f t="shared" si="345"/>
        <v>-5000</v>
      </c>
      <c r="Y602" s="5">
        <f t="shared" si="346"/>
        <v>0</v>
      </c>
      <c r="Z602" s="5">
        <f t="shared" si="347"/>
        <v>0</v>
      </c>
      <c r="AA602" s="5">
        <f t="shared" si="348"/>
        <v>0</v>
      </c>
      <c r="AB602" s="5">
        <f t="shared" si="349"/>
        <v>0</v>
      </c>
      <c r="AC602" s="5">
        <f t="shared" si="350"/>
        <v>0</v>
      </c>
      <c r="AD602" s="5">
        <f t="shared" si="351"/>
        <v>0</v>
      </c>
      <c r="AE602" s="5">
        <f t="shared" si="352"/>
        <v>0</v>
      </c>
      <c r="AF602" s="5">
        <f t="shared" si="353"/>
        <v>0</v>
      </c>
      <c r="AG602" s="5">
        <f t="shared" si="354"/>
        <v>0</v>
      </c>
      <c r="AH602" s="5">
        <f t="shared" si="355"/>
        <v>0</v>
      </c>
      <c r="AI602" s="5">
        <f t="shared" si="356"/>
        <v>0</v>
      </c>
      <c r="AJ602" s="5">
        <f t="shared" si="357"/>
        <v>0</v>
      </c>
      <c r="AK602" s="5">
        <f>IFERROR(SUM(X602:AJ602),-5000)*((Cockpit!$C$3)^0)</f>
        <v>-5000</v>
      </c>
      <c r="AL602" s="16">
        <f>INDEX('Team forecast'!$B$2:$AO$26,MATCH('Master data'!$B602,'Team forecast'!$B$2:$B$26,0),MATCH('Master data'!AL$1,'Team forecast'!$B$2:$AO$2,0))</f>
        <v>0.80548012323268336</v>
      </c>
      <c r="AM602" s="16">
        <f>INDEX('Team forecast'!$B$2:$AO$26,MATCH('Master data'!$B602,'Team forecast'!$B$2:$B$26,0),MATCH('Master data'!AM$1,'Team forecast'!$B$2:$AO$2,0))</f>
        <v>1.3852986184856255</v>
      </c>
      <c r="AN602" s="16">
        <f>INDEX('Team forecast'!$B$2:$AO$26,MATCH('Master data'!$B602,'Team forecast'!$B$2:$B$26,0),MATCH('Master data'!AN$1,'Team forecast'!$B$2:$AO$2,0))</f>
        <v>0.25024905963763749</v>
      </c>
      <c r="AO602" s="16">
        <f>INDEX('Team forecast'!$B$2:$AO$26,MATCH('Master data'!$B602,'Team forecast'!$B$2:$B$26,0),MATCH('Master data'!AO$1,'Team forecast'!$B$2:$AO$2,0))</f>
        <v>2.6442529298042636</v>
      </c>
      <c r="AP602" s="16">
        <f>INDEX('Team forecast'!$B$2:$AO$26,MATCH('Master data'!$B602,'Team forecast'!$B$2:$B$26,0),MATCH('Master data'!AP$1,'Team forecast'!$B$2:$AO$2,0))</f>
        <v>3.6985484646649716</v>
      </c>
      <c r="AQ602" s="5">
        <f t="shared" si="358"/>
        <v>-5000</v>
      </c>
      <c r="AR602" s="5">
        <f>INDEX('Team forecast'!$B$2:$AO$26,MATCH('Master data'!$B602,'Team forecast'!$B$2:$B$26,0),MATCH('Master data'!AR$1,'Team forecast'!$B$2:$AO$2,0))*IF(X602&gt;0,25000,0)</f>
        <v>0</v>
      </c>
      <c r="AS602" s="16">
        <f>INDEX('Team forecast'!$B$2:$AO$26,MATCH('Master data'!$B602,'Team forecast'!$B$2:$B$26,0),MATCH('Master data'!AS$1,'Team forecast'!$B$2:$AO$2,0))*IF(X602&gt;0,5000,0)</f>
        <v>0</v>
      </c>
      <c r="AT602" s="16">
        <f>INDEX('Team forecast'!$B$2:$AO$26,MATCH('Master data'!$B602,'Team forecast'!$B$2:$B$26,0),MATCH('Master data'!AT$1,'Team forecast'!$B$2:$AO$2,0))*IF(X602&gt;0,-15000,0)</f>
        <v>0</v>
      </c>
      <c r="AU602" s="5">
        <f t="shared" si="359"/>
        <v>0</v>
      </c>
      <c r="AV602" s="5">
        <f t="shared" si="360"/>
        <v>0</v>
      </c>
      <c r="AW602" s="5">
        <f t="shared" si="361"/>
        <v>0</v>
      </c>
      <c r="AX602" s="5">
        <f t="shared" si="362"/>
        <v>0</v>
      </c>
      <c r="AY602" s="5">
        <f t="shared" si="363"/>
        <v>0</v>
      </c>
      <c r="AZ602" s="5">
        <f t="shared" si="364"/>
        <v>0</v>
      </c>
      <c r="BA602" s="5">
        <f t="shared" si="365"/>
        <v>0</v>
      </c>
      <c r="BB602" s="5">
        <f t="shared" si="366"/>
        <v>0</v>
      </c>
      <c r="BC602" s="5">
        <f t="shared" si="367"/>
        <v>0</v>
      </c>
      <c r="BD602" s="5">
        <f t="shared" si="368"/>
        <v>-5000</v>
      </c>
      <c r="BE602" s="16">
        <f>INDEX('Team forecast'!$B$2:$AO$26,MATCH('Master data'!$B602,'Team forecast'!$B$2:$B$26,0),MATCH('Master data'!BE$1,'Team forecast'!$B$2:$AO$2,0))</f>
        <v>0.56161379059809569</v>
      </c>
      <c r="BF602" s="16">
        <f>INDEX('Team forecast'!$B$2:$AO$26,MATCH('Master data'!$B602,'Team forecast'!$B$2:$B$26,0),MATCH('Master data'!BF$1,'Team forecast'!$B$2:$AO$2,0))</f>
        <v>2.3513752571634776</v>
      </c>
      <c r="BG602" s="16">
        <f>INDEX('Team forecast'!$B$2:$AO$26,MATCH('Master data'!$B602,'Team forecast'!$B$2:$B$26,0),MATCH('Master data'!BG$1,'Team forecast'!$B$2:$AO$2,0))</f>
        <v>9.5238095238095233E-2</v>
      </c>
      <c r="BH602" s="16">
        <f>INDEX('Team forecast'!$B$2:$AO$26,MATCH('Master data'!$B602,'Team forecast'!$B$2:$B$26,0),MATCH('Master data'!BH$1,'Team forecast'!$B$2:$AO$2,0))</f>
        <v>1.8436816358018293</v>
      </c>
      <c r="BI602" s="16">
        <f>INDEX('Team forecast'!$B$2:$AO$26,MATCH('Master data'!$B602,'Team forecast'!$B$2:$B$26,0),MATCH('Master data'!BI$1,'Team forecast'!$B$2:$AO$2,0))</f>
        <v>6.2778344186469877</v>
      </c>
      <c r="BJ602" s="5">
        <f t="shared" si="369"/>
        <v>-5000</v>
      </c>
      <c r="BK602" s="5">
        <f>INDEX('Team forecast'!$R$3:$BH$26,MATCH($B602,'Team forecast'!$B$3:$B$26,0),MATCH(BK$1,'Team forecast'!$R$2:$BH$2,0))*IF($X602&gt;0,25000,0)</f>
        <v>0</v>
      </c>
      <c r="BL602" s="5">
        <f>INDEX('Team forecast'!$R$3:$BH$26,MATCH($B602,'Team forecast'!$B$3:$B$26,0),MATCH(BL$1,'Team forecast'!$R$2:$BH$2,0))*IF($X602&gt;0,5000,0)</f>
        <v>0</v>
      </c>
      <c r="BM602" s="5">
        <f>INDEX('Team forecast'!$R$3:$BH$26,MATCH($B602,'Team forecast'!$B$3:$B$26,0),MATCH(BM$1,'Team forecast'!$R$2:$BH$2,0))*IF($X602&gt;0,-15000,0)</f>
        <v>0</v>
      </c>
      <c r="BN602" s="5">
        <f t="shared" si="370"/>
        <v>0</v>
      </c>
      <c r="BO602" s="5">
        <f t="shared" si="371"/>
        <v>0</v>
      </c>
      <c r="BP602" s="5">
        <f t="shared" si="372"/>
        <v>0</v>
      </c>
      <c r="BQ602" s="5">
        <f t="shared" si="373"/>
        <v>0</v>
      </c>
      <c r="BR602" s="5">
        <f t="shared" si="374"/>
        <v>0</v>
      </c>
      <c r="BS602" s="5">
        <f t="shared" si="375"/>
        <v>0</v>
      </c>
      <c r="BT602" s="5">
        <f t="shared" si="376"/>
        <v>0</v>
      </c>
      <c r="BU602" s="5">
        <f t="shared" si="377"/>
        <v>0</v>
      </c>
      <c r="BV602" s="5">
        <f t="shared" si="378"/>
        <v>0</v>
      </c>
      <c r="BW602" s="5">
        <f t="shared" si="379"/>
        <v>-5000</v>
      </c>
      <c r="BX602" s="5">
        <f t="shared" si="380"/>
        <v>-5000</v>
      </c>
      <c r="BY602" s="5">
        <f t="shared" si="381"/>
        <v>-15000</v>
      </c>
      <c r="BZ602" s="5">
        <f>INDEX('Team forecast'!$R$3:$BH$26,MATCH($B602,'Team forecast'!$B$3:$B$26,0),MATCH(BZ$1,'Team forecast'!$R$2:$BH$2,0))*($BX602-(BY602+CH602)*0.01)</f>
        <v>-8408.5646599765187</v>
      </c>
      <c r="CA602" s="5">
        <f>INDEX('Team forecast'!$R$3:$BH$26,MATCH($B602,'Team forecast'!$B$3:$B$26,0),MATCH(CA$1,'Team forecast'!$R$2:$BH$2,0))*($BX602-(BY602+BX602+CH602)*0.01)</f>
        <v>-4114.8119543421681</v>
      </c>
      <c r="CB602" s="5">
        <f>INDEX('Team forecast'!$R$3:$BH$26,MATCH($B602,'Team forecast'!$B$3:$B$26,0),MATCH(CB$1,'Team forecast'!$R$2:$BH$2,0))*($BX602-(BY602+BX602*2+CH602)*0.01)</f>
        <v>-1977.1660035340115</v>
      </c>
      <c r="CC602" s="5">
        <f>INDEX('Team forecast'!$R$3:$BH$26,MATCH($B602,'Team forecast'!$B$3:$B$26,0),MATCH(CC$1,'Team forecast'!$R$2:$BH$2,0))*($BX602-(BY602+BX602*3+CH602)*0.01)</f>
        <v>-888.66548094589541</v>
      </c>
      <c r="CD602" s="5">
        <f>+AK602+BD602*Cockpit!$C$3+BW602*Cockpit!$C$3^2+BZ602*Cockpit!$C$3^3+CA602*Cockpit!$C$3^4+CB602*Cockpit!$C$3^5+CC602*Cockpit!$C$3^6</f>
        <v>-14198.169293689989</v>
      </c>
      <c r="CE602" s="5"/>
      <c r="CF602" s="5"/>
      <c r="CG602" s="5">
        <v>0</v>
      </c>
      <c r="CH602" s="5">
        <f t="shared" si="382"/>
        <v>2000000</v>
      </c>
      <c r="CI602" s="5">
        <f t="shared" si="383"/>
        <v>2000000</v>
      </c>
      <c r="CJ602" s="1">
        <f t="shared" si="384"/>
        <v>-7.4999999999999997E-3</v>
      </c>
      <c r="CK602" s="5">
        <f>RANK(BY602,$BY$2:$BY$623)+COUNTIF($BY$2:$BY602,$BY602)-1</f>
        <v>613</v>
      </c>
      <c r="CL602" s="5">
        <f>RANK(CJ602,$CJ$2:$CJ$623)+COUNTIF($CJ$2:$CJ602,$CJ602)-1</f>
        <v>616</v>
      </c>
    </row>
    <row r="603" spans="1:90">
      <c r="A603" t="str">
        <f>Players!P604</f>
        <v>Róbert Boženík</v>
      </c>
      <c r="B603" t="str">
        <f>Players!G604</f>
        <v>Slovakia</v>
      </c>
      <c r="C603" t="str">
        <f>Players!AB604</f>
        <v>Striker</v>
      </c>
      <c r="G603">
        <f>IF(Players!AC604=0,10000000,Players!AC604)</f>
        <v>3000000</v>
      </c>
      <c r="H603" s="16">
        <f>INDEX('Team forecast'!$B$2:$AO$26,MATCH('Master data'!$B603,'Team forecast'!$B$2:$B$26,0),MATCH('Master data'!H$1,'Team forecast'!$B$2:$AO$2,0))</f>
        <v>0.81328039356128246</v>
      </c>
      <c r="I603" s="16">
        <f>INDEX('Team forecast'!$B$2:$AO$26,MATCH('Master data'!$B603,'Team forecast'!$B$2:$B$26,0),MATCH('Master data'!I$1,'Team forecast'!$B$2:$AO$2,0))</f>
        <v>1.5369105908463034</v>
      </c>
      <c r="J603" s="16">
        <f>INDEX('Team forecast'!$B$2:$AO$26,MATCH('Master data'!$B603,'Team forecast'!$B$2:$B$26,0),MATCH('Master data'!J$1,'Team forecast'!$B$2:$AO$2,0))</f>
        <v>0.21504443649322161</v>
      </c>
      <c r="K603" s="16">
        <f>INDEX('Team forecast'!$B$2:$AO$26,MATCH('Master data'!$B603,'Team forecast'!$B$2:$B$26,0),MATCH('Master data'!K$1,'Team forecast'!$B$2:$AO$2,0))</f>
        <v>2.6698598778526952</v>
      </c>
      <c r="L603" s="16">
        <f>INDEX('Team forecast'!$B$2:$AO$26,MATCH('Master data'!$B603,'Team forecast'!$B$2:$B$26,0),MATCH('Master data'!L$1,'Team forecast'!$B$2:$AO$2,0))</f>
        <v>4.1033306683839106</v>
      </c>
      <c r="M603">
        <f>IF(Players!BC604=1,95,0)</f>
        <v>95</v>
      </c>
      <c r="N603" s="2">
        <f>Players!BN604</f>
        <v>0.27556950768860733</v>
      </c>
      <c r="O603" s="2">
        <f>Players!BO604</f>
        <v>0.12477007253082976</v>
      </c>
      <c r="P603" s="2">
        <f>Players!BP604</f>
        <v>0.21433667022042555</v>
      </c>
      <c r="Q603" s="2">
        <f>Players!BQ604</f>
        <v>2.3303987571206625E-2</v>
      </c>
      <c r="R603" s="2">
        <f>Players!BR604</f>
        <v>0</v>
      </c>
      <c r="S603" s="2">
        <f t="shared" si="343"/>
        <v>0.81328039356128246</v>
      </c>
      <c r="T603" s="2">
        <f t="shared" si="344"/>
        <v>1.5369105908463034</v>
      </c>
      <c r="U603" s="16">
        <f>INDEX('Team forecast'!$B$2:$AO$26,MATCH('Master data'!$B603,'Team forecast'!$B$2:$B$26,0),MATCH('Master data'!U$1,'Team forecast'!$B$2:$AO$2,0))</f>
        <v>0.18622848200312991</v>
      </c>
      <c r="V603" s="16">
        <f>INDEX('Team forecast'!$B$2:$AO$26,MATCH('Master data'!$B603,'Team forecast'!$B$2:$B$26,0),MATCH('Master data'!V$1,'Team forecast'!$B$2:$AO$2,0))</f>
        <v>0.2660406885758998</v>
      </c>
      <c r="W603" s="16">
        <f>INDEX('Team forecast'!$B$2:$AO$26,MATCH('Master data'!$B603,'Team forecast'!$B$2:$B$26,0),MATCH('Master data'!W$1,'Team forecast'!$B$2:$AO$2,0))</f>
        <v>0.54773082942097018</v>
      </c>
      <c r="X603" s="5">
        <f t="shared" si="345"/>
        <v>7000</v>
      </c>
      <c r="Y603" s="5">
        <f t="shared" si="346"/>
        <v>4655.7120500782476</v>
      </c>
      <c r="Z603" s="5">
        <f t="shared" si="347"/>
        <v>1330.2034428794989</v>
      </c>
      <c r="AA603" s="5">
        <f t="shared" si="348"/>
        <v>-8215.9624413145521</v>
      </c>
      <c r="AB603" s="5">
        <f t="shared" si="349"/>
        <v>22411.527766647941</v>
      </c>
      <c r="AC603" s="5">
        <f t="shared" si="350"/>
        <v>5073.652684627149</v>
      </c>
      <c r="AD603" s="5">
        <f t="shared" si="351"/>
        <v>5722.4887617405875</v>
      </c>
      <c r="AE603" s="5">
        <f t="shared" si="352"/>
        <v>0</v>
      </c>
      <c r="AF603" s="5">
        <f t="shared" si="353"/>
        <v>0</v>
      </c>
      <c r="AG603" s="5">
        <f t="shared" si="354"/>
        <v>-466.0797514241325</v>
      </c>
      <c r="AH603" s="5">
        <f t="shared" si="355"/>
        <v>0</v>
      </c>
      <c r="AI603" s="5">
        <f t="shared" si="356"/>
        <v>8132.8039356128247</v>
      </c>
      <c r="AJ603" s="5">
        <f t="shared" si="357"/>
        <v>-12295.284726770427</v>
      </c>
      <c r="AK603" s="5">
        <f>IFERROR(SUM(X603:AJ603),-5000)*((Cockpit!$C$3)^0)</f>
        <v>33349.061722077131</v>
      </c>
      <c r="AL603" s="16">
        <f>INDEX('Team forecast'!$B$2:$AO$26,MATCH('Master data'!$B603,'Team forecast'!$B$2:$B$26,0),MATCH('Master data'!AL$1,'Team forecast'!$B$2:$AO$2,0))</f>
        <v>0.80548012323268336</v>
      </c>
      <c r="AM603" s="16">
        <f>INDEX('Team forecast'!$B$2:$AO$26,MATCH('Master data'!$B603,'Team forecast'!$B$2:$B$26,0),MATCH('Master data'!AM$1,'Team forecast'!$B$2:$AO$2,0))</f>
        <v>1.3852986184856255</v>
      </c>
      <c r="AN603" s="16">
        <f>INDEX('Team forecast'!$B$2:$AO$26,MATCH('Master data'!$B603,'Team forecast'!$B$2:$B$26,0),MATCH('Master data'!AN$1,'Team forecast'!$B$2:$AO$2,0))</f>
        <v>0.25024905963763749</v>
      </c>
      <c r="AO603" s="16">
        <f>INDEX('Team forecast'!$B$2:$AO$26,MATCH('Master data'!$B603,'Team forecast'!$B$2:$B$26,0),MATCH('Master data'!AO$1,'Team forecast'!$B$2:$AO$2,0))</f>
        <v>2.6442529298042636</v>
      </c>
      <c r="AP603" s="16">
        <f>INDEX('Team forecast'!$B$2:$AO$26,MATCH('Master data'!$B603,'Team forecast'!$B$2:$B$26,0),MATCH('Master data'!AP$1,'Team forecast'!$B$2:$AO$2,0))</f>
        <v>3.6985484646649716</v>
      </c>
      <c r="AQ603" s="5">
        <f t="shared" si="358"/>
        <v>7000</v>
      </c>
      <c r="AR603" s="5">
        <f>INDEX('Team forecast'!$B$2:$AO$26,MATCH('Master data'!$B603,'Team forecast'!$B$2:$B$26,0),MATCH('Master data'!AR$1,'Team forecast'!$B$2:$AO$2,0))*IF(X603&gt;0,25000,0)</f>
        <v>5418.2100094754078</v>
      </c>
      <c r="AS603" s="16">
        <f>INDEX('Team forecast'!$B$2:$AO$26,MATCH('Master data'!$B603,'Team forecast'!$B$2:$B$26,0),MATCH('Master data'!AS$1,'Team forecast'!$B$2:$AO$2,0))*IF(X603&gt;0,5000,0)</f>
        <v>1380.0499612369715</v>
      </c>
      <c r="AT603" s="16">
        <f>INDEX('Team forecast'!$B$2:$AO$26,MATCH('Master data'!$B603,'Team forecast'!$B$2:$B$26,0),MATCH('Master data'!AT$1,'Team forecast'!$B$2:$AO$2,0))*IF(X603&gt;0,-15000,0)</f>
        <v>-7608.9241106038426</v>
      </c>
      <c r="AU603" s="5">
        <f t="shared" si="359"/>
        <v>22196.576101218932</v>
      </c>
      <c r="AV603" s="5">
        <f t="shared" si="360"/>
        <v>5024.9906698941804</v>
      </c>
      <c r="AW603" s="5">
        <f t="shared" si="361"/>
        <v>5667.6036819485053</v>
      </c>
      <c r="AX603" s="5">
        <f t="shared" si="362"/>
        <v>0</v>
      </c>
      <c r="AY603" s="5">
        <f t="shared" si="363"/>
        <v>0</v>
      </c>
      <c r="AZ603" s="5">
        <f t="shared" si="364"/>
        <v>-466.0797514241325</v>
      </c>
      <c r="BA603" s="5">
        <f t="shared" si="365"/>
        <v>0</v>
      </c>
      <c r="BB603" s="5">
        <f t="shared" si="366"/>
        <v>8054.801232326834</v>
      </c>
      <c r="BC603" s="5">
        <f t="shared" si="367"/>
        <v>-11082.388947885003</v>
      </c>
      <c r="BD603" s="5">
        <f t="shared" si="368"/>
        <v>35584.838846187842</v>
      </c>
      <c r="BE603" s="16">
        <f>INDEX('Team forecast'!$B$2:$AO$26,MATCH('Master data'!$B603,'Team forecast'!$B$2:$B$26,0),MATCH('Master data'!BE$1,'Team forecast'!$B$2:$AO$2,0))</f>
        <v>0.56161379059809569</v>
      </c>
      <c r="BF603" s="16">
        <f>INDEX('Team forecast'!$B$2:$AO$26,MATCH('Master data'!$B603,'Team forecast'!$B$2:$B$26,0),MATCH('Master data'!BF$1,'Team forecast'!$B$2:$AO$2,0))</f>
        <v>2.3513752571634776</v>
      </c>
      <c r="BG603" s="16">
        <f>INDEX('Team forecast'!$B$2:$AO$26,MATCH('Master data'!$B603,'Team forecast'!$B$2:$B$26,0),MATCH('Master data'!BG$1,'Team forecast'!$B$2:$AO$2,0))</f>
        <v>9.5238095238095233E-2</v>
      </c>
      <c r="BH603" s="16">
        <f>INDEX('Team forecast'!$B$2:$AO$26,MATCH('Master data'!$B603,'Team forecast'!$B$2:$B$26,0),MATCH('Master data'!BH$1,'Team forecast'!$B$2:$AO$2,0))</f>
        <v>1.8436816358018293</v>
      </c>
      <c r="BI603" s="16">
        <f>INDEX('Team forecast'!$B$2:$AO$26,MATCH('Master data'!$B603,'Team forecast'!$B$2:$B$26,0),MATCH('Master data'!BI$1,'Team forecast'!$B$2:$AO$2,0))</f>
        <v>6.2778344186469877</v>
      </c>
      <c r="BJ603" s="5">
        <f t="shared" si="369"/>
        <v>7000</v>
      </c>
      <c r="BK603" s="5">
        <f>INDEX('Team forecast'!$R$3:$BH$26,MATCH($B603,'Team forecast'!$B$3:$B$26,0),MATCH(BK$1,'Team forecast'!$R$2:$BH$2,0))*IF($X603&gt;0,25000,0)</f>
        <v>1700.6802721088434</v>
      </c>
      <c r="BL603" s="5">
        <f>INDEX('Team forecast'!$R$3:$BH$26,MATCH($B603,'Team forecast'!$B$3:$B$26,0),MATCH(BL$1,'Team forecast'!$R$2:$BH$2,0))*IF($X603&gt;0,5000,0)</f>
        <v>850.34013605442146</v>
      </c>
      <c r="BM603" s="5">
        <f>INDEX('Team forecast'!$R$3:$BH$26,MATCH($B603,'Team forecast'!$B$3:$B$26,0),MATCH(BM$1,'Team forecast'!$R$2:$BH$2,0))*IF($X603&gt;0,-15000,0)</f>
        <v>-11428.571428571428</v>
      </c>
      <c r="BN603" s="5">
        <f t="shared" si="370"/>
        <v>15476.363578624983</v>
      </c>
      <c r="BO603" s="5">
        <f t="shared" si="371"/>
        <v>3503.629669361932</v>
      </c>
      <c r="BP603" s="5">
        <f t="shared" si="372"/>
        <v>3951.685827643114</v>
      </c>
      <c r="BQ603" s="5">
        <f t="shared" si="373"/>
        <v>0</v>
      </c>
      <c r="BR603" s="5">
        <f t="shared" si="374"/>
        <v>0</v>
      </c>
      <c r="BS603" s="5">
        <f t="shared" si="375"/>
        <v>-466.0797514241325</v>
      </c>
      <c r="BT603" s="5">
        <f t="shared" si="376"/>
        <v>0</v>
      </c>
      <c r="BU603" s="5">
        <f t="shared" si="377"/>
        <v>5616.1379059809569</v>
      </c>
      <c r="BV603" s="5">
        <f t="shared" si="378"/>
        <v>-18811.002057307822</v>
      </c>
      <c r="BW603" s="5">
        <f t="shared" si="379"/>
        <v>7393.1841524708725</v>
      </c>
      <c r="BX603" s="5">
        <f t="shared" si="380"/>
        <v>25442.361573578615</v>
      </c>
      <c r="BY603" s="5">
        <f t="shared" si="381"/>
        <v>76327.084720735846</v>
      </c>
      <c r="BZ603" s="5">
        <f>INDEX('Team forecast'!$R$3:$BH$26,MATCH($B603,'Team forecast'!$B$3:$B$26,0),MATCH(BZ$1,'Team forecast'!$R$2:$BH$2,0))*($BX603-(BY603+CH603)*0.01)</f>
        <v>-1800.4510936489337</v>
      </c>
      <c r="CA603" s="5">
        <f>INDEX('Team forecast'!$R$3:$BH$26,MATCH($B603,'Team forecast'!$B$3:$B$26,0),MATCH(CA$1,'Team forecast'!$R$2:$BH$2,0))*($BX603-(BY603+BX603+CH603)*0.01)</f>
        <v>-925.05832349170225</v>
      </c>
      <c r="CB603" s="5">
        <f>INDEX('Team forecast'!$R$3:$BH$26,MATCH($B603,'Team forecast'!$B$3:$B$26,0),MATCH(CB$1,'Team forecast'!$R$2:$BH$2,0))*($BX603-(BY603+BX603*2+CH603)*0.01)</f>
        <v>-465.7129846773978</v>
      </c>
      <c r="CC603" s="5">
        <f>INDEX('Team forecast'!$R$3:$BH$26,MATCH($B603,'Team forecast'!$B$3:$B$26,0),MATCH(CC$1,'Team forecast'!$R$2:$BH$2,0))*($BX603-(BY603+BX603*3+CH603)*0.01)</f>
        <v>-218.89881996940372</v>
      </c>
      <c r="CD603" s="5">
        <f>+AK603+BD603*Cockpit!$C$3+BW603*Cockpit!$C$3^2+BZ603*Cockpit!$C$3^3+CA603*Cockpit!$C$3^4+CB603*Cockpit!$C$3^5+CC603*Cockpit!$C$3^6</f>
        <v>59561.406768482899</v>
      </c>
      <c r="CE603" s="5"/>
      <c r="CF603" s="5"/>
      <c r="CG603" s="5">
        <v>0</v>
      </c>
      <c r="CH603" s="5">
        <f t="shared" si="382"/>
        <v>3000000</v>
      </c>
      <c r="CI603" s="5">
        <f t="shared" si="383"/>
        <v>3000000</v>
      </c>
      <c r="CJ603" s="1">
        <f t="shared" si="384"/>
        <v>2.5442361573578615E-2</v>
      </c>
      <c r="CK603" s="5">
        <f>RANK(BY603,$BY$2:$BY$623)+COUNTIF($BY$2:$BY603,$BY603)-1</f>
        <v>227</v>
      </c>
      <c r="CL603" s="5">
        <f>RANK(CJ603,$CJ$2:$CJ$623)+COUNTIF($CJ$2:$CJ603,$CJ603)-1</f>
        <v>201</v>
      </c>
    </row>
    <row r="604" spans="1:90">
      <c r="A604" t="str">
        <f>Players!P605</f>
        <v>Frederik Rönnow</v>
      </c>
      <c r="B604" t="str">
        <f>Players!G605</f>
        <v>Denmark</v>
      </c>
      <c r="C604" t="str">
        <f>Players!AB605</f>
        <v>Goalkeeper</v>
      </c>
      <c r="G604">
        <f>IF(Players!AC605=0,10000000,Players!AC605)</f>
        <v>4000000</v>
      </c>
      <c r="H604" s="16">
        <f>INDEX('Team forecast'!$B$2:$AO$26,MATCH('Master data'!$B604,'Team forecast'!$B$2:$B$26,0),MATCH('Master data'!H$1,'Team forecast'!$B$2:$AO$2,0))</f>
        <v>1.6608440904336361</v>
      </c>
      <c r="I604" s="16">
        <f>INDEX('Team forecast'!$B$2:$AO$26,MATCH('Master data'!$B604,'Team forecast'!$B$2:$B$26,0),MATCH('Master data'!I$1,'Team forecast'!$B$2:$AO$2,0))</f>
        <v>0.59952758650922311</v>
      </c>
      <c r="J604" s="16">
        <f>INDEX('Team forecast'!$B$2:$AO$26,MATCH('Master data'!$B604,'Team forecast'!$B$2:$B$26,0),MATCH('Master data'!J$1,'Team forecast'!$B$2:$AO$2,0))</f>
        <v>0.54907096336484029</v>
      </c>
      <c r="K604" s="16">
        <f>INDEX('Team forecast'!$B$2:$AO$26,MATCH('Master data'!$B604,'Team forecast'!$B$2:$B$26,0),MATCH('Master data'!K$1,'Team forecast'!$B$2:$AO$2,0))</f>
        <v>4.1898566826848551</v>
      </c>
      <c r="L604" s="16">
        <f>INDEX('Team forecast'!$B$2:$AO$26,MATCH('Master data'!$B604,'Team forecast'!$B$2:$B$26,0),MATCH('Master data'!L$1,'Team forecast'!$B$2:$AO$2,0))</f>
        <v>1.7709122555349361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0</v>
      </c>
      <c r="R604" s="2">
        <f>Players!BR605</f>
        <v>0</v>
      </c>
      <c r="S604" s="2">
        <f t="shared" si="343"/>
        <v>1.6608440904336361</v>
      </c>
      <c r="T604" s="2">
        <f t="shared" si="344"/>
        <v>0.59952758650922311</v>
      </c>
      <c r="U604" s="16">
        <f>INDEX('Team forecast'!$B$2:$AO$26,MATCH('Master data'!$B604,'Team forecast'!$B$2:$B$26,0),MATCH('Master data'!U$1,'Team forecast'!$B$2:$AO$2,0))</f>
        <v>0.65509845973874048</v>
      </c>
      <c r="V604" s="16">
        <f>INDEX('Team forecast'!$B$2:$AO$26,MATCH('Master data'!$B604,'Team forecast'!$B$2:$B$26,0),MATCH('Master data'!V$1,'Team forecast'!$B$2:$AO$2,0))</f>
        <v>0.22616494443361279</v>
      </c>
      <c r="W604" s="16">
        <f>INDEX('Team forecast'!$B$2:$AO$26,MATCH('Master data'!$B604,'Team forecast'!$B$2:$B$26,0),MATCH('Master data'!W$1,'Team forecast'!$B$2:$AO$2,0))</f>
        <v>0.1187365958276467</v>
      </c>
      <c r="X604" s="5">
        <f t="shared" si="345"/>
        <v>-5000</v>
      </c>
      <c r="Y604" s="5">
        <f t="shared" si="346"/>
        <v>0</v>
      </c>
      <c r="Z604" s="5">
        <f t="shared" si="347"/>
        <v>0</v>
      </c>
      <c r="AA604" s="5">
        <f t="shared" si="348"/>
        <v>0</v>
      </c>
      <c r="AB604" s="5">
        <f t="shared" si="349"/>
        <v>0</v>
      </c>
      <c r="AC604" s="5">
        <f t="shared" si="350"/>
        <v>0</v>
      </c>
      <c r="AD604" s="5">
        <f t="shared" si="351"/>
        <v>0</v>
      </c>
      <c r="AE604" s="5">
        <f t="shared" si="352"/>
        <v>41180.322252363025</v>
      </c>
      <c r="AF604" s="5">
        <f t="shared" si="353"/>
        <v>5856.9233451285654</v>
      </c>
      <c r="AG604" s="5">
        <f t="shared" si="354"/>
        <v>0</v>
      </c>
      <c r="AH604" s="5">
        <f t="shared" si="355"/>
        <v>0</v>
      </c>
      <c r="AI604" s="5">
        <f t="shared" si="356"/>
        <v>0</v>
      </c>
      <c r="AJ604" s="5">
        <f t="shared" si="357"/>
        <v>0</v>
      </c>
      <c r="AK604" s="5">
        <f>IFERROR(SUM(X604:AJ604),-5000)*((Cockpit!$C$3)^0)</f>
        <v>42037.245597491594</v>
      </c>
      <c r="AL604" s="16">
        <f>INDEX('Team forecast'!$B$2:$AO$26,MATCH('Master data'!$B604,'Team forecast'!$B$2:$B$26,0),MATCH('Master data'!AL$1,'Team forecast'!$B$2:$AO$2,0))</f>
        <v>1.1610121970988967</v>
      </c>
      <c r="AM604" s="16">
        <f>INDEX('Team forecast'!$B$2:$AO$26,MATCH('Master data'!$B604,'Team forecast'!$B$2:$B$26,0),MATCH('Master data'!AM$1,'Team forecast'!$B$2:$AO$2,0))</f>
        <v>1.5279674504451852</v>
      </c>
      <c r="AN604" s="16">
        <f>INDEX('Team forecast'!$B$2:$AO$26,MATCH('Master data'!$B604,'Team forecast'!$B$2:$B$26,0),MATCH('Master data'!AN$1,'Team forecast'!$B$2:$AO$2,0))</f>
        <v>0.21697623437572761</v>
      </c>
      <c r="AO604" s="16">
        <f>INDEX('Team forecast'!$B$2:$AO$26,MATCH('Master data'!$B604,'Team forecast'!$B$2:$B$26,0),MATCH('Master data'!AO$1,'Team forecast'!$B$2:$AO$2,0))</f>
        <v>2.9289171335903985</v>
      </c>
      <c r="AP604" s="16">
        <f>INDEX('Team forecast'!$B$2:$AO$26,MATCH('Master data'!$B604,'Team forecast'!$B$2:$B$26,0),MATCH('Master data'!AP$1,'Team forecast'!$B$2:$AO$2,0))</f>
        <v>4.5133807766996243</v>
      </c>
      <c r="AQ604" s="5">
        <f t="shared" si="358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359"/>
        <v>0</v>
      </c>
      <c r="AV604" s="5">
        <f t="shared" si="360"/>
        <v>0</v>
      </c>
      <c r="AW604" s="5">
        <f t="shared" si="361"/>
        <v>0</v>
      </c>
      <c r="AX604" s="5">
        <f t="shared" si="362"/>
        <v>16273.21757817957</v>
      </c>
      <c r="AY604" s="5">
        <f t="shared" si="363"/>
        <v>14927.066631272195</v>
      </c>
      <c r="AZ604" s="5">
        <f t="shared" si="364"/>
        <v>0</v>
      </c>
      <c r="BA604" s="5">
        <f t="shared" si="365"/>
        <v>0</v>
      </c>
      <c r="BB604" s="5">
        <f t="shared" si="366"/>
        <v>0</v>
      </c>
      <c r="BC604" s="5">
        <f t="shared" si="367"/>
        <v>0</v>
      </c>
      <c r="BD604" s="5">
        <f t="shared" si="368"/>
        <v>26200.284209451765</v>
      </c>
      <c r="BE604" s="16">
        <f>INDEX('Team forecast'!$B$2:$AO$26,MATCH('Master data'!$B604,'Team forecast'!$B$2:$B$26,0),MATCH('Master data'!BE$1,'Team forecast'!$B$2:$AO$2,0))</f>
        <v>1.5053002864585165</v>
      </c>
      <c r="BF604" s="16">
        <f>INDEX('Team forecast'!$B$2:$AO$26,MATCH('Master data'!$B604,'Team forecast'!$B$2:$B$26,0),MATCH('Master data'!BF$1,'Team forecast'!$B$2:$AO$2,0))</f>
        <v>0.95602347631827322</v>
      </c>
      <c r="BG604" s="16">
        <f>INDEX('Team forecast'!$B$2:$AO$26,MATCH('Master data'!$B604,'Team forecast'!$B$2:$B$26,0),MATCH('Master data'!BG$1,'Team forecast'!$B$2:$AO$2,0))</f>
        <v>0.38441849991338989</v>
      </c>
      <c r="BH604" s="16">
        <f>INDEX('Team forecast'!$B$2:$AO$26,MATCH('Master data'!$B604,'Team forecast'!$B$2:$B$26,0),MATCH('Master data'!BH$1,'Team forecast'!$B$2:$AO$2,0))</f>
        <v>3.7974620862930761</v>
      </c>
      <c r="BI604" s="16">
        <f>INDEX('Team forecast'!$B$2:$AO$26,MATCH('Master data'!$B604,'Team forecast'!$B$2:$B$26,0),MATCH('Master data'!BI$1,'Team forecast'!$B$2:$AO$2,0))</f>
        <v>2.8239462685093613</v>
      </c>
      <c r="BJ604" s="5">
        <f t="shared" si="369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370"/>
        <v>0</v>
      </c>
      <c r="BO604" s="5">
        <f t="shared" si="371"/>
        <v>0</v>
      </c>
      <c r="BP604" s="5">
        <f t="shared" si="372"/>
        <v>0</v>
      </c>
      <c r="BQ604" s="5">
        <f t="shared" si="373"/>
        <v>28831.38749350424</v>
      </c>
      <c r="BR604" s="5">
        <f t="shared" si="374"/>
        <v>9339.6139609554393</v>
      </c>
      <c r="BS604" s="5">
        <f t="shared" si="375"/>
        <v>0</v>
      </c>
      <c r="BT604" s="5">
        <f t="shared" si="376"/>
        <v>0</v>
      </c>
      <c r="BU604" s="5">
        <f t="shared" si="377"/>
        <v>0</v>
      </c>
      <c r="BV604" s="5">
        <f t="shared" si="378"/>
        <v>0</v>
      </c>
      <c r="BW604" s="5">
        <f t="shared" si="379"/>
        <v>33171.001454459678</v>
      </c>
      <c r="BX604" s="5">
        <f t="shared" si="380"/>
        <v>33802.843753801011</v>
      </c>
      <c r="BY604" s="5">
        <f t="shared" si="381"/>
        <v>101408.53126140303</v>
      </c>
      <c r="BZ604" s="5">
        <f>INDEX('Team forecast'!$R$3:$BH$26,MATCH($B604,'Team forecast'!$B$3:$B$26,0),MATCH(BZ$1,'Team forecast'!$R$2:$BH$2,0))*($BX604-(BY604+CH604)*0.01)</f>
        <v>-5856.2115984858765</v>
      </c>
      <c r="CA604" s="5">
        <f>INDEX('Team forecast'!$R$3:$BH$26,MATCH($B604,'Team forecast'!$B$3:$B$26,0),MATCH(CA$1,'Team forecast'!$R$2:$BH$2,0))*($BX604-(BY604+BX604+CH604)*0.01)</f>
        <v>-3042.707926601091</v>
      </c>
      <c r="CB604" s="5">
        <f>INDEX('Team forecast'!$R$3:$BH$26,MATCH($B604,'Team forecast'!$B$3:$B$26,0),MATCH(CB$1,'Team forecast'!$R$2:$BH$2,0))*($BX604-(BY604+BX604*2+CH604)*0.01)</f>
        <v>-1567.1990247045574</v>
      </c>
      <c r="CC604" s="5">
        <f>INDEX('Team forecast'!$R$3:$BH$26,MATCH($B604,'Team forecast'!$B$3:$B$26,0),MATCH(CC$1,'Team forecast'!$R$2:$BH$2,0))*($BX604-(BY604+BX604*3+CH604)*0.01)</f>
        <v>-787.22772343312204</v>
      </c>
      <c r="CD604" s="5">
        <f>+AK604+BD604*Cockpit!$C$3+BW604*Cockpit!$C$3^2+BZ604*Cockpit!$C$3^3+CA604*Cockpit!$C$3^4+CB604*Cockpit!$C$3^5+CC604*Cockpit!$C$3^6</f>
        <v>71635.074499636496</v>
      </c>
      <c r="CE604" s="5"/>
      <c r="CF604" s="5"/>
      <c r="CG604" s="5">
        <v>0</v>
      </c>
      <c r="CH604" s="5">
        <f t="shared" si="382"/>
        <v>4000000</v>
      </c>
      <c r="CI604" s="5">
        <f t="shared" si="383"/>
        <v>4000000</v>
      </c>
      <c r="CJ604" s="1">
        <f t="shared" si="384"/>
        <v>2.5352132815350755E-2</v>
      </c>
      <c r="CK604" s="5">
        <f>RANK(BY604,$BY$2:$BY$623)+COUNTIF($BY$2:$BY604,$BY604)-1</f>
        <v>164</v>
      </c>
      <c r="CL604" s="5">
        <f>RANK(CJ604,$CJ$2:$CJ$623)+COUNTIF($CJ$2:$CJ604,$CJ604)-1</f>
        <v>205</v>
      </c>
    </row>
    <row r="605" spans="1:90">
      <c r="A605" t="str">
        <f>Players!P606</f>
        <v>Anssi Jaakkola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2500000</v>
      </c>
      <c r="H605" s="16">
        <f>INDEX('Team forecast'!$B$2:$AO$26,MATCH('Master data'!$B605,'Team forecast'!$B$2:$B$26,0),MATCH('Master data'!H$1,'Team forecast'!$B$2:$AO$2,0))</f>
        <v>0.59952758650922311</v>
      </c>
      <c r="I605" s="16">
        <f>INDEX('Team forecast'!$B$2:$AO$26,MATCH('Master data'!$B605,'Team forecast'!$B$2:$B$26,0),MATCH('Master data'!I$1,'Team forecast'!$B$2:$AO$2,0))</f>
        <v>1.6608440904336361</v>
      </c>
      <c r="J605" s="16">
        <f>INDEX('Team forecast'!$B$2:$AO$26,MATCH('Master data'!$B605,'Team forecast'!$B$2:$B$26,0),MATCH('Master data'!J$1,'Team forecast'!$B$2:$AO$2,0))</f>
        <v>0.18997855332423469</v>
      </c>
      <c r="K605" s="16">
        <f>INDEX('Team forecast'!$B$2:$AO$26,MATCH('Master data'!$B605,'Team forecast'!$B$2:$B$26,0),MATCH('Master data'!K$1,'Team forecast'!$B$2:$AO$2,0))</f>
        <v>1.9681461173282577</v>
      </c>
      <c r="L605" s="16">
        <f>INDEX('Team forecast'!$B$2:$AO$26,MATCH('Master data'!$B605,'Team forecast'!$B$2:$B$26,0),MATCH('Master data'!L$1,'Team forecast'!$B$2:$AO$2,0))</f>
        <v>4.718659845717994</v>
      </c>
      <c r="M605">
        <f>IF(Players!BC606=1,95,0)</f>
        <v>0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0</v>
      </c>
      <c r="R605" s="2">
        <f>Players!BR606</f>
        <v>0</v>
      </c>
      <c r="S605" s="2">
        <f t="shared" si="343"/>
        <v>0.59952758650922311</v>
      </c>
      <c r="T605" s="2">
        <f t="shared" si="344"/>
        <v>1.6608440904336361</v>
      </c>
      <c r="U605" s="16">
        <f>INDEX('Team forecast'!$B$2:$AO$26,MATCH('Master data'!$B605,'Team forecast'!$B$2:$B$26,0),MATCH('Master data'!U$1,'Team forecast'!$B$2:$AO$2,0))</f>
        <v>0.1187365958276467</v>
      </c>
      <c r="V605" s="16">
        <f>INDEX('Team forecast'!$B$2:$AO$26,MATCH('Master data'!$B605,'Team forecast'!$B$2:$B$26,0),MATCH('Master data'!V$1,'Team forecast'!$B$2:$AO$2,0))</f>
        <v>0.22616494443361279</v>
      </c>
      <c r="W605" s="16">
        <f>INDEX('Team forecast'!$B$2:$AO$26,MATCH('Master data'!$B605,'Team forecast'!$B$2:$B$26,0),MATCH('Master data'!W$1,'Team forecast'!$B$2:$AO$2,0))</f>
        <v>0.65509845973874048</v>
      </c>
      <c r="X605" s="5">
        <f t="shared" si="345"/>
        <v>-5000</v>
      </c>
      <c r="Y605" s="5">
        <f t="shared" si="346"/>
        <v>0</v>
      </c>
      <c r="Z605" s="5">
        <f t="shared" si="347"/>
        <v>0</v>
      </c>
      <c r="AA605" s="5">
        <f t="shared" si="348"/>
        <v>0</v>
      </c>
      <c r="AB605" s="5">
        <f t="shared" si="349"/>
        <v>0</v>
      </c>
      <c r="AC605" s="5">
        <f t="shared" si="350"/>
        <v>0</v>
      </c>
      <c r="AD605" s="5">
        <f t="shared" si="351"/>
        <v>0</v>
      </c>
      <c r="AE605" s="5">
        <f t="shared" si="352"/>
        <v>14248.391499317602</v>
      </c>
      <c r="AF605" s="5">
        <f t="shared" si="353"/>
        <v>15289.078776421789</v>
      </c>
      <c r="AG605" s="5">
        <f t="shared" si="354"/>
        <v>0</v>
      </c>
      <c r="AH605" s="5">
        <f t="shared" si="355"/>
        <v>0</v>
      </c>
      <c r="AI605" s="5">
        <f t="shared" si="356"/>
        <v>0</v>
      </c>
      <c r="AJ605" s="5">
        <f t="shared" si="357"/>
        <v>0</v>
      </c>
      <c r="AK605" s="5">
        <f>IFERROR(SUM(X605:AJ605),-5000)*((Cockpit!$C$3)^0)</f>
        <v>24537.47027573939</v>
      </c>
      <c r="AL605" s="16">
        <f>INDEX('Team forecast'!$B$2:$AO$26,MATCH('Master data'!$B605,'Team forecast'!$B$2:$B$26,0),MATCH('Master data'!AL$1,'Team forecast'!$B$2:$AO$2,0))</f>
        <v>0.75781731816731412</v>
      </c>
      <c r="AM605" s="16">
        <f>INDEX('Team forecast'!$B$2:$AO$26,MATCH('Master data'!$B605,'Team forecast'!$B$2:$B$26,0),MATCH('Master data'!AM$1,'Team forecast'!$B$2:$AO$2,0))</f>
        <v>1.5687475343836428</v>
      </c>
      <c r="AN605" s="16">
        <f>INDEX('Team forecast'!$B$2:$AO$26,MATCH('Master data'!$B605,'Team forecast'!$B$2:$B$26,0),MATCH('Master data'!AN$1,'Team forecast'!$B$2:$AO$2,0))</f>
        <v>0.20830591503984791</v>
      </c>
      <c r="AO605" s="16">
        <f>INDEX('Team forecast'!$B$2:$AO$26,MATCH('Master data'!$B605,'Team forecast'!$B$2:$B$26,0),MATCH('Master data'!AO$1,'Team forecast'!$B$2:$AO$2,0))</f>
        <v>2.4877841252967383</v>
      </c>
      <c r="AP605" s="16">
        <f>INDEX('Team forecast'!$B$2:$AO$26,MATCH('Master data'!$B605,'Team forecast'!$B$2:$B$26,0),MATCH('Master data'!AP$1,'Team forecast'!$B$2:$AO$2,0))</f>
        <v>4.4570023406787609</v>
      </c>
      <c r="AQ605" s="5">
        <f t="shared" si="358"/>
        <v>-5000</v>
      </c>
      <c r="AR605" s="5">
        <f>INDEX('Team forecast'!$B$2:$AO$26,MATCH('Master data'!$B605,'Team forecast'!$B$2:$B$26,0),MATCH('Master data'!AR$1,'Team forecast'!$B$2:$AO$2,0))*IF(X605&gt;0,25000,0)</f>
        <v>0</v>
      </c>
      <c r="AS605" s="16">
        <f>INDEX('Team forecast'!$B$2:$AO$26,MATCH('Master data'!$B605,'Team forecast'!$B$2:$B$26,0),MATCH('Master data'!AS$1,'Team forecast'!$B$2:$AO$2,0))*IF(X605&gt;0,5000,0)</f>
        <v>0</v>
      </c>
      <c r="AT605" s="16">
        <f>INDEX('Team forecast'!$B$2:$AO$26,MATCH('Master data'!$B605,'Team forecast'!$B$2:$B$26,0),MATCH('Master data'!AT$1,'Team forecast'!$B$2:$AO$2,0))*IF(X605&gt;0,-15000,0)</f>
        <v>0</v>
      </c>
      <c r="AU605" s="5">
        <f t="shared" si="359"/>
        <v>0</v>
      </c>
      <c r="AV605" s="5">
        <f t="shared" si="360"/>
        <v>0</v>
      </c>
      <c r="AW605" s="5">
        <f t="shared" si="361"/>
        <v>0</v>
      </c>
      <c r="AX605" s="5">
        <f t="shared" si="362"/>
        <v>15622.943627988594</v>
      </c>
      <c r="AY605" s="5">
        <f t="shared" si="363"/>
        <v>14441.27403147559</v>
      </c>
      <c r="AZ605" s="5">
        <f t="shared" si="364"/>
        <v>0</v>
      </c>
      <c r="BA605" s="5">
        <f t="shared" si="365"/>
        <v>0</v>
      </c>
      <c r="BB605" s="5">
        <f t="shared" si="366"/>
        <v>0</v>
      </c>
      <c r="BC605" s="5">
        <f t="shared" si="367"/>
        <v>0</v>
      </c>
      <c r="BD605" s="5">
        <f t="shared" si="368"/>
        <v>25064.217659464186</v>
      </c>
      <c r="BE605" s="16">
        <f>INDEX('Team forecast'!$B$2:$AO$26,MATCH('Master data'!$B605,'Team forecast'!$B$2:$B$26,0),MATCH('Master data'!BE$1,'Team forecast'!$B$2:$AO$2,0))</f>
        <v>0.62462402002960304</v>
      </c>
      <c r="BF605" s="16">
        <f>INDEX('Team forecast'!$B$2:$AO$26,MATCH('Master data'!$B605,'Team forecast'!$B$2:$B$26,0),MATCH('Master data'!BF$1,'Team forecast'!$B$2:$AO$2,0))</f>
        <v>2.3394224481215296</v>
      </c>
      <c r="BG605" s="16">
        <f>INDEX('Team forecast'!$B$2:$AO$26,MATCH('Master data'!$B605,'Team forecast'!$B$2:$B$26,0),MATCH('Master data'!BG$1,'Team forecast'!$B$2:$AO$2,0))</f>
        <v>9.6383288507815829E-2</v>
      </c>
      <c r="BH605" s="16">
        <f>INDEX('Team forecast'!$B$2:$AO$26,MATCH('Master data'!$B605,'Team forecast'!$B$2:$B$26,0),MATCH('Master data'!BH$1,'Team forecast'!$B$2:$AO$2,0))</f>
        <v>2.0505333990870809</v>
      </c>
      <c r="BI605" s="16">
        <f>INDEX('Team forecast'!$B$2:$AO$26,MATCH('Master data'!$B605,'Team forecast'!$B$2:$B$26,0),MATCH('Master data'!BI$1,'Team forecast'!$B$2:$AO$2,0))</f>
        <v>6.6465834040088314</v>
      </c>
      <c r="BJ605" s="5">
        <f t="shared" si="369"/>
        <v>-5000</v>
      </c>
      <c r="BK605" s="5">
        <f>INDEX('Team forecast'!$R$3:$BH$26,MATCH($B605,'Team forecast'!$B$3:$B$26,0),MATCH(BK$1,'Team forecast'!$R$2:$BH$2,0))*IF($X605&gt;0,25000,0)</f>
        <v>0</v>
      </c>
      <c r="BL605" s="5">
        <f>INDEX('Team forecast'!$R$3:$BH$26,MATCH($B605,'Team forecast'!$B$3:$B$26,0),MATCH(BL$1,'Team forecast'!$R$2:$BH$2,0))*IF($X605&gt;0,5000,0)</f>
        <v>0</v>
      </c>
      <c r="BM605" s="5">
        <f>INDEX('Team forecast'!$R$3:$BH$26,MATCH($B605,'Team forecast'!$B$3:$B$26,0),MATCH(BM$1,'Team forecast'!$R$2:$BH$2,0))*IF($X605&gt;0,-15000,0)</f>
        <v>0</v>
      </c>
      <c r="BN605" s="5">
        <f t="shared" si="370"/>
        <v>0</v>
      </c>
      <c r="BO605" s="5">
        <f t="shared" si="371"/>
        <v>0</v>
      </c>
      <c r="BP605" s="5">
        <f t="shared" si="372"/>
        <v>0</v>
      </c>
      <c r="BQ605" s="5">
        <f t="shared" si="373"/>
        <v>7228.746638086187</v>
      </c>
      <c r="BR605" s="5">
        <f t="shared" si="374"/>
        <v>21535.804779436508</v>
      </c>
      <c r="BS605" s="5">
        <f t="shared" si="375"/>
        <v>0</v>
      </c>
      <c r="BT605" s="5">
        <f t="shared" si="376"/>
        <v>0</v>
      </c>
      <c r="BU605" s="5">
        <f t="shared" si="377"/>
        <v>0</v>
      </c>
      <c r="BV605" s="5">
        <f t="shared" si="378"/>
        <v>0</v>
      </c>
      <c r="BW605" s="5">
        <f t="shared" si="379"/>
        <v>23764.551417522696</v>
      </c>
      <c r="BX605" s="5">
        <f t="shared" si="380"/>
        <v>24455.413117575426</v>
      </c>
      <c r="BY605" s="5">
        <f t="shared" si="381"/>
        <v>73366.239352726276</v>
      </c>
      <c r="BZ605" s="5">
        <f>INDEX('Team forecast'!$R$3:$BH$26,MATCH($B605,'Team forecast'!$B$3:$B$26,0),MATCH(BZ$1,'Team forecast'!$R$2:$BH$2,0))*($BX605-(BY605+CH605)*0.01)</f>
        <v>-346.01985314798247</v>
      </c>
      <c r="CA605" s="5">
        <f>INDEX('Team forecast'!$R$3:$BH$26,MATCH($B605,'Team forecast'!$B$3:$B$26,0),MATCH(CA$1,'Team forecast'!$R$2:$BH$2,0))*($BX605-(BY605+BX605+CH605)*0.01)</f>
        <v>-202.22785484114081</v>
      </c>
      <c r="CB605" s="5">
        <f>INDEX('Team forecast'!$R$3:$BH$26,MATCH($B605,'Team forecast'!$B$3:$B$26,0),MATCH(CB$1,'Team forecast'!$R$2:$BH$2,0))*($BX605-(BY605+BX605*2+CH605)*0.01)</f>
        <v>-113.11159872867945</v>
      </c>
      <c r="CC605" s="5">
        <f>INDEX('Team forecast'!$R$3:$BH$26,MATCH($B605,'Team forecast'!$B$3:$B$26,0),MATCH(CC$1,'Team forecast'!$R$2:$BH$2,0))*($BX605-(BY605+BX605*3+CH605)*0.01)</f>
        <v>-58.156668154452376</v>
      </c>
      <c r="CD605" s="5">
        <f>+AK605+BD605*Cockpit!$C$3+BW605*Cockpit!$C$3^2+BZ605*Cockpit!$C$3^3+CA605*Cockpit!$C$3^4+CB605*Cockpit!$C$3^5+CC605*Cockpit!$C$3^6</f>
        <v>51646.499908332014</v>
      </c>
      <c r="CE605" s="5"/>
      <c r="CF605" s="5"/>
      <c r="CG605" s="5">
        <v>0</v>
      </c>
      <c r="CH605" s="5">
        <f t="shared" si="382"/>
        <v>2500000</v>
      </c>
      <c r="CI605" s="5">
        <f t="shared" si="383"/>
        <v>2500000</v>
      </c>
      <c r="CJ605" s="1">
        <f t="shared" si="384"/>
        <v>2.9346495741090509E-2</v>
      </c>
      <c r="CK605" s="5">
        <f>RANK(BY605,$BY$2:$BY$623)+COUNTIF($BY$2:$BY605,$BY605)-1</f>
        <v>232</v>
      </c>
      <c r="CL605" s="5">
        <f>RANK(CJ605,$CJ$2:$CJ$623)+COUNTIF($CJ$2:$CJ605,$CJ605)-1</f>
        <v>149</v>
      </c>
    </row>
    <row r="606" spans="1:90">
      <c r="A606" t="str">
        <f>Players!P607</f>
        <v>Lukas Hradecky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0.59952758650922311</v>
      </c>
      <c r="I606" s="16">
        <f>INDEX('Team forecast'!$B$2:$AO$26,MATCH('Master data'!$B606,'Team forecast'!$B$2:$B$26,0),MATCH('Master data'!I$1,'Team forecast'!$B$2:$AO$2,0))</f>
        <v>1.6608440904336361</v>
      </c>
      <c r="J606" s="16">
        <f>INDEX('Team forecast'!$B$2:$AO$26,MATCH('Master data'!$B606,'Team forecast'!$B$2:$B$26,0),MATCH('Master data'!J$1,'Team forecast'!$B$2:$AO$2,0))</f>
        <v>0.18997855332423469</v>
      </c>
      <c r="K606" s="16">
        <f>INDEX('Team forecast'!$B$2:$AO$26,MATCH('Master data'!$B606,'Team forecast'!$B$2:$B$26,0),MATCH('Master data'!K$1,'Team forecast'!$B$2:$AO$2,0))</f>
        <v>1.9681461173282577</v>
      </c>
      <c r="L606" s="16">
        <f>INDEX('Team forecast'!$B$2:$AO$26,MATCH('Master data'!$B606,'Team forecast'!$B$2:$B$26,0),MATCH('Master data'!L$1,'Team forecast'!$B$2:$AO$2,0))</f>
        <v>4.718659845717994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1.7543859649122806E-2</v>
      </c>
      <c r="R606" s="2">
        <f>Players!BR607</f>
        <v>0</v>
      </c>
      <c r="S606" s="2">
        <f t="shared" si="343"/>
        <v>0.59952758650922311</v>
      </c>
      <c r="T606" s="2">
        <f t="shared" si="344"/>
        <v>1.6608440904336361</v>
      </c>
      <c r="U606" s="16">
        <f>INDEX('Team forecast'!$B$2:$AO$26,MATCH('Master data'!$B606,'Team forecast'!$B$2:$B$26,0),MATCH('Master data'!U$1,'Team forecast'!$B$2:$AO$2,0))</f>
        <v>0.1187365958276467</v>
      </c>
      <c r="V606" s="16">
        <f>INDEX('Team forecast'!$B$2:$AO$26,MATCH('Master data'!$B606,'Team forecast'!$B$2:$B$26,0),MATCH('Master data'!V$1,'Team forecast'!$B$2:$AO$2,0))</f>
        <v>0.22616494443361279</v>
      </c>
      <c r="W606" s="16">
        <f>INDEX('Team forecast'!$B$2:$AO$26,MATCH('Master data'!$B606,'Team forecast'!$B$2:$B$26,0),MATCH('Master data'!W$1,'Team forecast'!$B$2:$AO$2,0))</f>
        <v>0.65509845973874048</v>
      </c>
      <c r="X606" s="5">
        <f t="shared" si="345"/>
        <v>-5000</v>
      </c>
      <c r="Y606" s="5">
        <f t="shared" si="346"/>
        <v>0</v>
      </c>
      <c r="Z606" s="5">
        <f t="shared" si="347"/>
        <v>0</v>
      </c>
      <c r="AA606" s="5">
        <f t="shared" si="348"/>
        <v>0</v>
      </c>
      <c r="AB606" s="5">
        <f t="shared" si="349"/>
        <v>0</v>
      </c>
      <c r="AC606" s="5">
        <f t="shared" si="350"/>
        <v>0</v>
      </c>
      <c r="AD606" s="5">
        <f t="shared" si="351"/>
        <v>0</v>
      </c>
      <c r="AE606" s="5">
        <f t="shared" si="352"/>
        <v>14248.391499317602</v>
      </c>
      <c r="AF606" s="5">
        <f t="shared" si="353"/>
        <v>15289.078776421789</v>
      </c>
      <c r="AG606" s="5">
        <f t="shared" si="354"/>
        <v>0</v>
      </c>
      <c r="AH606" s="5">
        <f t="shared" si="355"/>
        <v>0</v>
      </c>
      <c r="AI606" s="5">
        <f t="shared" si="356"/>
        <v>0</v>
      </c>
      <c r="AJ606" s="5">
        <f t="shared" si="357"/>
        <v>0</v>
      </c>
      <c r="AK606" s="5">
        <f>IFERROR(SUM(X606:AJ606),-5000)*((Cockpit!$C$3)^0)</f>
        <v>24537.47027573939</v>
      </c>
      <c r="AL606" s="16">
        <f>INDEX('Team forecast'!$B$2:$AO$26,MATCH('Master data'!$B606,'Team forecast'!$B$2:$B$26,0),MATCH('Master data'!AL$1,'Team forecast'!$B$2:$AO$2,0))</f>
        <v>0.75781731816731412</v>
      </c>
      <c r="AM606" s="16">
        <f>INDEX('Team forecast'!$B$2:$AO$26,MATCH('Master data'!$B606,'Team forecast'!$B$2:$B$26,0),MATCH('Master data'!AM$1,'Team forecast'!$B$2:$AO$2,0))</f>
        <v>1.5687475343836428</v>
      </c>
      <c r="AN606" s="16">
        <f>INDEX('Team forecast'!$B$2:$AO$26,MATCH('Master data'!$B606,'Team forecast'!$B$2:$B$26,0),MATCH('Master data'!AN$1,'Team forecast'!$B$2:$AO$2,0))</f>
        <v>0.20830591503984791</v>
      </c>
      <c r="AO606" s="16">
        <f>INDEX('Team forecast'!$B$2:$AO$26,MATCH('Master data'!$B606,'Team forecast'!$B$2:$B$26,0),MATCH('Master data'!AO$1,'Team forecast'!$B$2:$AO$2,0))</f>
        <v>2.4877841252967383</v>
      </c>
      <c r="AP606" s="16">
        <f>INDEX('Team forecast'!$B$2:$AO$26,MATCH('Master data'!$B606,'Team forecast'!$B$2:$B$26,0),MATCH('Master data'!AP$1,'Team forecast'!$B$2:$AO$2,0))</f>
        <v>4.4570023406787609</v>
      </c>
      <c r="AQ606" s="5">
        <f t="shared" si="358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359"/>
        <v>0</v>
      </c>
      <c r="AV606" s="5">
        <f t="shared" si="360"/>
        <v>0</v>
      </c>
      <c r="AW606" s="5">
        <f t="shared" si="361"/>
        <v>0</v>
      </c>
      <c r="AX606" s="5">
        <f t="shared" si="362"/>
        <v>15622.943627988594</v>
      </c>
      <c r="AY606" s="5">
        <f t="shared" si="363"/>
        <v>14441.27403147559</v>
      </c>
      <c r="AZ606" s="5">
        <f t="shared" si="364"/>
        <v>0</v>
      </c>
      <c r="BA606" s="5">
        <f t="shared" si="365"/>
        <v>0</v>
      </c>
      <c r="BB606" s="5">
        <f t="shared" si="366"/>
        <v>0</v>
      </c>
      <c r="BC606" s="5">
        <f t="shared" si="367"/>
        <v>0</v>
      </c>
      <c r="BD606" s="5">
        <f t="shared" si="368"/>
        <v>25064.217659464186</v>
      </c>
      <c r="BE606" s="16">
        <f>INDEX('Team forecast'!$B$2:$AO$26,MATCH('Master data'!$B606,'Team forecast'!$B$2:$B$26,0),MATCH('Master data'!BE$1,'Team forecast'!$B$2:$AO$2,0))</f>
        <v>0.62462402002960304</v>
      </c>
      <c r="BF606" s="16">
        <f>INDEX('Team forecast'!$B$2:$AO$26,MATCH('Master data'!$B606,'Team forecast'!$B$2:$B$26,0),MATCH('Master data'!BF$1,'Team forecast'!$B$2:$AO$2,0))</f>
        <v>2.3394224481215296</v>
      </c>
      <c r="BG606" s="16">
        <f>INDEX('Team forecast'!$B$2:$AO$26,MATCH('Master data'!$B606,'Team forecast'!$B$2:$B$26,0),MATCH('Master data'!BG$1,'Team forecast'!$B$2:$AO$2,0))</f>
        <v>9.6383288507815829E-2</v>
      </c>
      <c r="BH606" s="16">
        <f>INDEX('Team forecast'!$B$2:$AO$26,MATCH('Master data'!$B606,'Team forecast'!$B$2:$B$26,0),MATCH('Master data'!BH$1,'Team forecast'!$B$2:$AO$2,0))</f>
        <v>2.0505333990870809</v>
      </c>
      <c r="BI606" s="16">
        <f>INDEX('Team forecast'!$B$2:$AO$26,MATCH('Master data'!$B606,'Team forecast'!$B$2:$B$26,0),MATCH('Master data'!BI$1,'Team forecast'!$B$2:$AO$2,0))</f>
        <v>6.6465834040088314</v>
      </c>
      <c r="BJ606" s="5">
        <f t="shared" si="369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370"/>
        <v>0</v>
      </c>
      <c r="BO606" s="5">
        <f t="shared" si="371"/>
        <v>0</v>
      </c>
      <c r="BP606" s="5">
        <f t="shared" si="372"/>
        <v>0</v>
      </c>
      <c r="BQ606" s="5">
        <f t="shared" si="373"/>
        <v>7228.746638086187</v>
      </c>
      <c r="BR606" s="5">
        <f t="shared" si="374"/>
        <v>21535.804779436508</v>
      </c>
      <c r="BS606" s="5">
        <f t="shared" si="375"/>
        <v>0</v>
      </c>
      <c r="BT606" s="5">
        <f t="shared" si="376"/>
        <v>0</v>
      </c>
      <c r="BU606" s="5">
        <f t="shared" si="377"/>
        <v>0</v>
      </c>
      <c r="BV606" s="5">
        <f t="shared" si="378"/>
        <v>0</v>
      </c>
      <c r="BW606" s="5">
        <f t="shared" si="379"/>
        <v>23764.551417522696</v>
      </c>
      <c r="BX606" s="5">
        <f t="shared" si="380"/>
        <v>24455.413117575426</v>
      </c>
      <c r="BY606" s="5">
        <f t="shared" si="381"/>
        <v>73366.239352726276</v>
      </c>
      <c r="BZ606" s="5">
        <f>INDEX('Team forecast'!$R$3:$BH$26,MATCH($B606,'Team forecast'!$B$3:$B$26,0),MATCH(BZ$1,'Team forecast'!$R$2:$BH$2,0))*($BX606-(BY606+CH606)*0.01)</f>
        <v>-1699.5111465043635</v>
      </c>
      <c r="CA606" s="5">
        <f>INDEX('Team forecast'!$R$3:$BH$26,MATCH($B606,'Team forecast'!$B$3:$B$26,0),MATCH(CA$1,'Team forecast'!$R$2:$BH$2,0))*($BX606-(BY606+BX606+CH606)*0.01)</f>
        <v>-866.22641793404682</v>
      </c>
      <c r="CB606" s="5">
        <f>INDEX('Team forecast'!$R$3:$BH$26,MATCH($B606,'Team forecast'!$B$3:$B$26,0),MATCH(CB$1,'Team forecast'!$R$2:$BH$2,0))*($BX606-(BY606+BX606*2+CH606)*0.01)</f>
        <v>-433.11362513604132</v>
      </c>
      <c r="CC606" s="5">
        <f>INDEX('Team forecast'!$R$3:$BH$26,MATCH($B606,'Team forecast'!$B$3:$B$26,0),MATCH(CC$1,'Team forecast'!$R$2:$BH$2,0))*($BX606-(BY606+BX606*3+CH606)*0.01)</f>
        <v>-202.68753657351564</v>
      </c>
      <c r="CD606" s="5">
        <f>+AK606+BD606*Cockpit!$C$3+BW606*Cockpit!$C$3^2+BZ606*Cockpit!$C$3^3+CA606*Cockpit!$C$3^4+CB606*Cockpit!$C$3^5+CC606*Cockpit!$C$3^6</f>
        <v>51059.476475459196</v>
      </c>
      <c r="CE606" s="5"/>
      <c r="CF606" s="5"/>
      <c r="CG606" s="5">
        <v>0</v>
      </c>
      <c r="CH606" s="5">
        <f t="shared" si="382"/>
        <v>3000000</v>
      </c>
      <c r="CI606" s="5">
        <f t="shared" si="383"/>
        <v>3000000</v>
      </c>
      <c r="CJ606" s="1">
        <f t="shared" si="384"/>
        <v>2.4455413117575424E-2</v>
      </c>
      <c r="CK606" s="5">
        <f>RANK(BY606,$BY$2:$BY$623)+COUNTIF($BY$2:$BY606,$BY606)-1</f>
        <v>233</v>
      </c>
      <c r="CL606" s="5">
        <f>RANK(CJ606,$CJ$2:$CJ$623)+COUNTIF($CJ$2:$CJ606,$CJ606)-1</f>
        <v>214</v>
      </c>
    </row>
    <row r="607" spans="1:90">
      <c r="A607" t="str">
        <f>Players!P608</f>
        <v>Jesse Joronen</v>
      </c>
      <c r="B607" t="str">
        <f>Players!G608</f>
        <v>Finland</v>
      </c>
      <c r="C607" t="str">
        <f>Players!AB608</f>
        <v>Goalkeeper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3000000</v>
      </c>
      <c r="H607" s="16">
        <f>INDEX('Team forecast'!$B$2:$AO$26,MATCH('Master data'!$B607,'Team forecast'!$B$2:$B$26,0),MATCH('Master data'!H$1,'Team forecast'!$B$2:$AO$2,0))</f>
        <v>0.59952758650922311</v>
      </c>
      <c r="I607" s="16">
        <f>INDEX('Team forecast'!$B$2:$AO$26,MATCH('Master data'!$B607,'Team forecast'!$B$2:$B$26,0),MATCH('Master data'!I$1,'Team forecast'!$B$2:$AO$2,0))</f>
        <v>1.6608440904336361</v>
      </c>
      <c r="J607" s="16">
        <f>INDEX('Team forecast'!$B$2:$AO$26,MATCH('Master data'!$B607,'Team forecast'!$B$2:$B$26,0),MATCH('Master data'!J$1,'Team forecast'!$B$2:$AO$2,0))</f>
        <v>0.18997855332423469</v>
      </c>
      <c r="K607" s="16">
        <f>INDEX('Team forecast'!$B$2:$AO$26,MATCH('Master data'!$B607,'Team forecast'!$B$2:$B$26,0),MATCH('Master data'!K$1,'Team forecast'!$B$2:$AO$2,0))</f>
        <v>1.9681461173282577</v>
      </c>
      <c r="L607" s="16">
        <f>INDEX('Team forecast'!$B$2:$AO$26,MATCH('Master data'!$B607,'Team forecast'!$B$2:$B$26,0),MATCH('Master data'!L$1,'Team forecast'!$B$2:$AO$2,0))</f>
        <v>4.718659845717994</v>
      </c>
      <c r="M607">
        <f>IF(Players!BC608=1,95,0)</f>
        <v>95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</v>
      </c>
      <c r="R607" s="2">
        <f>Players!BR608</f>
        <v>0</v>
      </c>
      <c r="S607" s="2">
        <f t="shared" si="343"/>
        <v>0.59952758650922311</v>
      </c>
      <c r="T607" s="2">
        <f t="shared" si="344"/>
        <v>1.6608440904336361</v>
      </c>
      <c r="U607" s="16">
        <f>INDEX('Team forecast'!$B$2:$AO$26,MATCH('Master data'!$B607,'Team forecast'!$B$2:$B$26,0),MATCH('Master data'!U$1,'Team forecast'!$B$2:$AO$2,0))</f>
        <v>0.1187365958276467</v>
      </c>
      <c r="V607" s="16">
        <f>INDEX('Team forecast'!$B$2:$AO$26,MATCH('Master data'!$B607,'Team forecast'!$B$2:$B$26,0),MATCH('Master data'!V$1,'Team forecast'!$B$2:$AO$2,0))</f>
        <v>0.22616494443361279</v>
      </c>
      <c r="W607" s="16">
        <f>INDEX('Team forecast'!$B$2:$AO$26,MATCH('Master data'!$B607,'Team forecast'!$B$2:$B$26,0),MATCH('Master data'!W$1,'Team forecast'!$B$2:$AO$2,0))</f>
        <v>0.65509845973874048</v>
      </c>
      <c r="X607" s="5">
        <f t="shared" si="345"/>
        <v>7000</v>
      </c>
      <c r="Y607" s="5">
        <f t="shared" si="346"/>
        <v>2968.4148956911677</v>
      </c>
      <c r="Z607" s="5">
        <f t="shared" si="347"/>
        <v>1130.824722168064</v>
      </c>
      <c r="AA607" s="5">
        <f t="shared" si="348"/>
        <v>-9826.476896081107</v>
      </c>
      <c r="AB607" s="5">
        <f t="shared" si="349"/>
        <v>0</v>
      </c>
      <c r="AC607" s="5">
        <f t="shared" si="350"/>
        <v>0</v>
      </c>
      <c r="AD607" s="5">
        <f t="shared" si="351"/>
        <v>0</v>
      </c>
      <c r="AE607" s="5">
        <f t="shared" si="352"/>
        <v>14248.391499317602</v>
      </c>
      <c r="AF607" s="5">
        <f t="shared" si="353"/>
        <v>15289.078776421789</v>
      </c>
      <c r="AG607" s="5">
        <f t="shared" si="354"/>
        <v>0</v>
      </c>
      <c r="AH607" s="5">
        <f t="shared" si="355"/>
        <v>0</v>
      </c>
      <c r="AI607" s="5">
        <f t="shared" si="356"/>
        <v>5995.2758650922315</v>
      </c>
      <c r="AJ607" s="5">
        <f t="shared" si="357"/>
        <v>-13286.75272346909</v>
      </c>
      <c r="AK607" s="5">
        <f>IFERROR(SUM(X607:AJ607),-5000)*((Cockpit!$C$3)^0)</f>
        <v>23518.75613914066</v>
      </c>
      <c r="AL607" s="16">
        <f>INDEX('Team forecast'!$B$2:$AO$26,MATCH('Master data'!$B607,'Team forecast'!$B$2:$B$26,0),MATCH('Master data'!AL$1,'Team forecast'!$B$2:$AO$2,0))</f>
        <v>0.75781731816731412</v>
      </c>
      <c r="AM607" s="16">
        <f>INDEX('Team forecast'!$B$2:$AO$26,MATCH('Master data'!$B607,'Team forecast'!$B$2:$B$26,0),MATCH('Master data'!AM$1,'Team forecast'!$B$2:$AO$2,0))</f>
        <v>1.5687475343836428</v>
      </c>
      <c r="AN607" s="16">
        <f>INDEX('Team forecast'!$B$2:$AO$26,MATCH('Master data'!$B607,'Team forecast'!$B$2:$B$26,0),MATCH('Master data'!AN$1,'Team forecast'!$B$2:$AO$2,0))</f>
        <v>0.20830591503984791</v>
      </c>
      <c r="AO607" s="16">
        <f>INDEX('Team forecast'!$B$2:$AO$26,MATCH('Master data'!$B607,'Team forecast'!$B$2:$B$26,0),MATCH('Master data'!AO$1,'Team forecast'!$B$2:$AO$2,0))</f>
        <v>2.4877841252967383</v>
      </c>
      <c r="AP607" s="16">
        <f>INDEX('Team forecast'!$B$2:$AO$26,MATCH('Master data'!$B607,'Team forecast'!$B$2:$B$26,0),MATCH('Master data'!AP$1,'Team forecast'!$B$2:$AO$2,0))</f>
        <v>4.4570023406787609</v>
      </c>
      <c r="AQ607" s="5">
        <f t="shared" si="358"/>
        <v>7000</v>
      </c>
      <c r="AR607" s="5">
        <f>INDEX('Team forecast'!$B$2:$AO$26,MATCH('Master data'!$B607,'Team forecast'!$B$2:$B$26,0),MATCH('Master data'!AR$1,'Team forecast'!$B$2:$AO$2,0))*IF(X607&gt;0,25000,0)</f>
        <v>4463.6981794253124</v>
      </c>
      <c r="AS607" s="16">
        <f>INDEX('Team forecast'!$B$2:$AO$26,MATCH('Master data'!$B607,'Team forecast'!$B$2:$B$26,0),MATCH('Master data'!AS$1,'Team forecast'!$B$2:$AO$2,0))*IF(X607&gt;0,5000,0)</f>
        <v>1266.7251590261019</v>
      </c>
      <c r="AT607" s="16">
        <f>INDEX('Team forecast'!$B$2:$AO$26,MATCH('Master data'!$B607,'Team forecast'!$B$2:$B$26,0),MATCH('Master data'!AT$1,'Team forecast'!$B$2:$AO$2,0))*IF(X607&gt;0,-15000,0)</f>
        <v>-8521.6056152665042</v>
      </c>
      <c r="AU607" s="5">
        <f t="shared" si="359"/>
        <v>0</v>
      </c>
      <c r="AV607" s="5">
        <f t="shared" si="360"/>
        <v>0</v>
      </c>
      <c r="AW607" s="5">
        <f t="shared" si="361"/>
        <v>0</v>
      </c>
      <c r="AX607" s="5">
        <f t="shared" si="362"/>
        <v>15622.943627988594</v>
      </c>
      <c r="AY607" s="5">
        <f t="shared" si="363"/>
        <v>14441.27403147559</v>
      </c>
      <c r="AZ607" s="5">
        <f t="shared" si="364"/>
        <v>0</v>
      </c>
      <c r="BA607" s="5">
        <f t="shared" si="365"/>
        <v>0</v>
      </c>
      <c r="BB607" s="5">
        <f t="shared" si="366"/>
        <v>7578.1731816731417</v>
      </c>
      <c r="BC607" s="5">
        <f t="shared" si="367"/>
        <v>-12549.980275069141</v>
      </c>
      <c r="BD607" s="5">
        <f t="shared" si="368"/>
        <v>29301.228289253089</v>
      </c>
      <c r="BE607" s="16">
        <f>INDEX('Team forecast'!$B$2:$AO$26,MATCH('Master data'!$B607,'Team forecast'!$B$2:$B$26,0),MATCH('Master data'!BE$1,'Team forecast'!$B$2:$AO$2,0))</f>
        <v>0.62462402002960304</v>
      </c>
      <c r="BF607" s="16">
        <f>INDEX('Team forecast'!$B$2:$AO$26,MATCH('Master data'!$B607,'Team forecast'!$B$2:$B$26,0),MATCH('Master data'!BF$1,'Team forecast'!$B$2:$AO$2,0))</f>
        <v>2.3394224481215296</v>
      </c>
      <c r="BG607" s="16">
        <f>INDEX('Team forecast'!$B$2:$AO$26,MATCH('Master data'!$B607,'Team forecast'!$B$2:$B$26,0),MATCH('Master data'!BG$1,'Team forecast'!$B$2:$AO$2,0))</f>
        <v>9.6383288507815829E-2</v>
      </c>
      <c r="BH607" s="16">
        <f>INDEX('Team forecast'!$B$2:$AO$26,MATCH('Master data'!$B607,'Team forecast'!$B$2:$B$26,0),MATCH('Master data'!BH$1,'Team forecast'!$B$2:$AO$2,0))</f>
        <v>2.0505333990870809</v>
      </c>
      <c r="BI607" s="16">
        <f>INDEX('Team forecast'!$B$2:$AO$26,MATCH('Master data'!$B607,'Team forecast'!$B$2:$B$26,0),MATCH('Master data'!BI$1,'Team forecast'!$B$2:$AO$2,0))</f>
        <v>6.6465834040088314</v>
      </c>
      <c r="BJ607" s="5">
        <f t="shared" si="369"/>
        <v>7000</v>
      </c>
      <c r="BK607" s="5">
        <f>INDEX('Team forecast'!$R$3:$BH$26,MATCH($B607,'Team forecast'!$B$3:$B$26,0),MATCH(BK$1,'Team forecast'!$R$2:$BH$2,0))*IF($X607&gt;0,25000,0)</f>
        <v>1554.5691694809007</v>
      </c>
      <c r="BL607" s="5">
        <f>INDEX('Team forecast'!$R$3:$BH$26,MATCH($B607,'Team forecast'!$B$3:$B$26,0),MATCH(BL$1,'Team forecast'!$R$2:$BH$2,0))*IF($X607&gt;0,5000,0)</f>
        <v>771.06630806252645</v>
      </c>
      <c r="BM607" s="5">
        <f>INDEX('Team forecast'!$R$3:$BH$26,MATCH($B607,'Team forecast'!$B$3:$B$26,0),MATCH(BM$1,'Team forecast'!$R$2:$BH$2,0))*IF($X607&gt;0,-15000,0)</f>
        <v>-11754.059574123881</v>
      </c>
      <c r="BN607" s="5">
        <f t="shared" si="370"/>
        <v>0</v>
      </c>
      <c r="BO607" s="5">
        <f t="shared" si="371"/>
        <v>0</v>
      </c>
      <c r="BP607" s="5">
        <f t="shared" si="372"/>
        <v>0</v>
      </c>
      <c r="BQ607" s="5">
        <f t="shared" si="373"/>
        <v>7228.746638086187</v>
      </c>
      <c r="BR607" s="5">
        <f t="shared" si="374"/>
        <v>21535.804779436508</v>
      </c>
      <c r="BS607" s="5">
        <f t="shared" si="375"/>
        <v>0</v>
      </c>
      <c r="BT607" s="5">
        <f t="shared" si="376"/>
        <v>0</v>
      </c>
      <c r="BU607" s="5">
        <f t="shared" si="377"/>
        <v>6246.2402002960307</v>
      </c>
      <c r="BV607" s="5">
        <f t="shared" si="378"/>
        <v>-18715.379584972237</v>
      </c>
      <c r="BW607" s="5">
        <f t="shared" si="379"/>
        <v>13866.987936266036</v>
      </c>
      <c r="BX607" s="5">
        <f t="shared" si="380"/>
        <v>22228.99078821993</v>
      </c>
      <c r="BY607" s="5">
        <f t="shared" si="381"/>
        <v>66686.972364659785</v>
      </c>
      <c r="BZ607" s="5">
        <f>INDEX('Team forecast'!$R$3:$BH$26,MATCH($B607,'Team forecast'!$B$3:$B$26,0),MATCH(BZ$1,'Team forecast'!$R$2:$BH$2,0))*($BX607-(BY607+CH607)*0.01)</f>
        <v>-2284.1191346990418</v>
      </c>
      <c r="CA607" s="5">
        <f>INDEX('Team forecast'!$R$3:$BH$26,MATCH($B607,'Team forecast'!$B$3:$B$26,0),MATCH(CA$1,'Team forecast'!$R$2:$BH$2,0))*($BX607-(BY607+BX607+CH607)*0.01)</f>
        <v>-1150.0679336198089</v>
      </c>
      <c r="CB607" s="5">
        <f>INDEX('Team forecast'!$R$3:$BH$26,MATCH($B607,'Team forecast'!$B$3:$B$26,0),MATCH(CB$1,'Team forecast'!$R$2:$BH$2,0))*($BX607-(BY607+BX607*2+CH607)*0.01)</f>
        <v>-568.48095997218934</v>
      </c>
      <c r="CC607" s="5">
        <f>INDEX('Team forecast'!$R$3:$BH$26,MATCH($B607,'Team forecast'!$B$3:$B$26,0),MATCH(CC$1,'Team forecast'!$R$2:$BH$2,0))*($BX607-(BY607+BX607*3+CH607)*0.01)</f>
        <v>-263.18344608663233</v>
      </c>
      <c r="CD607" s="5">
        <f>+AK607+BD607*Cockpit!$C$3+BW607*Cockpit!$C$3^2+BZ607*Cockpit!$C$3^3+CA607*Cockpit!$C$3^4+CB607*Cockpit!$C$3^5+CC607*Cockpit!$C$3^6</f>
        <v>48214.097170257352</v>
      </c>
      <c r="CE607" s="5"/>
      <c r="CF607" s="5"/>
      <c r="CG607" s="5">
        <v>0</v>
      </c>
      <c r="CH607" s="5">
        <f t="shared" si="382"/>
        <v>3000000</v>
      </c>
      <c r="CI607" s="5">
        <f t="shared" si="383"/>
        <v>3000000</v>
      </c>
      <c r="CJ607" s="1">
        <f t="shared" si="384"/>
        <v>2.2228990788219927E-2</v>
      </c>
      <c r="CK607" s="5">
        <f>RANK(BY607,$BY$2:$BY$623)+COUNTIF($BY$2:$BY607,$BY607)-1</f>
        <v>251</v>
      </c>
      <c r="CL607" s="5">
        <f>RANK(CJ607,$CJ$2:$CJ$623)+COUNTIF($CJ$2:$CJ607,$CJ607)-1</f>
        <v>239</v>
      </c>
    </row>
    <row r="608" spans="1:90">
      <c r="A608" t="str">
        <f>Players!P609</f>
        <v>Thomas Lam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2000000</v>
      </c>
      <c r="H608" s="16">
        <f>INDEX('Team forecast'!$B$2:$AO$26,MATCH('Master data'!$B608,'Team forecast'!$B$2:$B$26,0),MATCH('Master data'!H$1,'Team forecast'!$B$2:$AO$2,0))</f>
        <v>0.59952758650922311</v>
      </c>
      <c r="I608" s="16">
        <f>INDEX('Team forecast'!$B$2:$AO$26,MATCH('Master data'!$B608,'Team forecast'!$B$2:$B$26,0),MATCH('Master data'!I$1,'Team forecast'!$B$2:$AO$2,0))</f>
        <v>1.6608440904336361</v>
      </c>
      <c r="J608" s="16">
        <f>INDEX('Team forecast'!$B$2:$AO$26,MATCH('Master data'!$B608,'Team forecast'!$B$2:$B$26,0),MATCH('Master data'!J$1,'Team forecast'!$B$2:$AO$2,0))</f>
        <v>0.18997855332423469</v>
      </c>
      <c r="K608" s="16">
        <f>INDEX('Team forecast'!$B$2:$AO$26,MATCH('Master data'!$B608,'Team forecast'!$B$2:$B$26,0),MATCH('Master data'!K$1,'Team forecast'!$B$2:$AO$2,0))</f>
        <v>1.9681461173282577</v>
      </c>
      <c r="L608" s="16">
        <f>INDEX('Team forecast'!$B$2:$AO$26,MATCH('Master data'!$B608,'Team forecast'!$B$2:$B$26,0),MATCH('Master data'!L$1,'Team forecast'!$B$2:$AO$2,0))</f>
        <v>4.718659845717994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0.13109978150036417</v>
      </c>
      <c r="R608" s="2">
        <f>Players!BR609</f>
        <v>0</v>
      </c>
      <c r="S608" s="2">
        <f t="shared" si="343"/>
        <v>0.59952758650922311</v>
      </c>
      <c r="T608" s="2">
        <f t="shared" si="344"/>
        <v>1.6608440904336361</v>
      </c>
      <c r="U608" s="16">
        <f>INDEX('Team forecast'!$B$2:$AO$26,MATCH('Master data'!$B608,'Team forecast'!$B$2:$B$26,0),MATCH('Master data'!U$1,'Team forecast'!$B$2:$AO$2,0))</f>
        <v>0.1187365958276467</v>
      </c>
      <c r="V608" s="16">
        <f>INDEX('Team forecast'!$B$2:$AO$26,MATCH('Master data'!$B608,'Team forecast'!$B$2:$B$26,0),MATCH('Master data'!V$1,'Team forecast'!$B$2:$AO$2,0))</f>
        <v>0.22616494443361279</v>
      </c>
      <c r="W608" s="16">
        <f>INDEX('Team forecast'!$B$2:$AO$26,MATCH('Master data'!$B608,'Team forecast'!$B$2:$B$26,0),MATCH('Master data'!W$1,'Team forecast'!$B$2:$AO$2,0))</f>
        <v>0.65509845973874048</v>
      </c>
      <c r="X608" s="5">
        <f t="shared" si="345"/>
        <v>-5000</v>
      </c>
      <c r="Y608" s="5">
        <f t="shared" si="346"/>
        <v>0</v>
      </c>
      <c r="Z608" s="5">
        <f t="shared" si="347"/>
        <v>0</v>
      </c>
      <c r="AA608" s="5">
        <f t="shared" si="348"/>
        <v>0</v>
      </c>
      <c r="AB608" s="5">
        <f t="shared" si="349"/>
        <v>0</v>
      </c>
      <c r="AC608" s="5">
        <f t="shared" si="350"/>
        <v>0</v>
      </c>
      <c r="AD608" s="5">
        <f t="shared" si="351"/>
        <v>0</v>
      </c>
      <c r="AE608" s="5">
        <f t="shared" si="352"/>
        <v>0</v>
      </c>
      <c r="AF608" s="5">
        <f t="shared" si="353"/>
        <v>0</v>
      </c>
      <c r="AG608" s="5">
        <f t="shared" si="354"/>
        <v>0</v>
      </c>
      <c r="AH608" s="5">
        <f t="shared" si="355"/>
        <v>0</v>
      </c>
      <c r="AI608" s="5">
        <f t="shared" si="356"/>
        <v>0</v>
      </c>
      <c r="AJ608" s="5">
        <f t="shared" si="357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0.75781731816731412</v>
      </c>
      <c r="AM608" s="16">
        <f>INDEX('Team forecast'!$B$2:$AO$26,MATCH('Master data'!$B608,'Team forecast'!$B$2:$B$26,0),MATCH('Master data'!AM$1,'Team forecast'!$B$2:$AO$2,0))</f>
        <v>1.5687475343836428</v>
      </c>
      <c r="AN608" s="16">
        <f>INDEX('Team forecast'!$B$2:$AO$26,MATCH('Master data'!$B608,'Team forecast'!$B$2:$B$26,0),MATCH('Master data'!AN$1,'Team forecast'!$B$2:$AO$2,0))</f>
        <v>0.20830591503984791</v>
      </c>
      <c r="AO608" s="16">
        <f>INDEX('Team forecast'!$B$2:$AO$26,MATCH('Master data'!$B608,'Team forecast'!$B$2:$B$26,0),MATCH('Master data'!AO$1,'Team forecast'!$B$2:$AO$2,0))</f>
        <v>2.4877841252967383</v>
      </c>
      <c r="AP608" s="16">
        <f>INDEX('Team forecast'!$B$2:$AO$26,MATCH('Master data'!$B608,'Team forecast'!$B$2:$B$26,0),MATCH('Master data'!AP$1,'Team forecast'!$B$2:$AO$2,0))</f>
        <v>4.4570023406787609</v>
      </c>
      <c r="AQ608" s="5">
        <f t="shared" si="358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359"/>
        <v>0</v>
      </c>
      <c r="AV608" s="5">
        <f t="shared" si="360"/>
        <v>0</v>
      </c>
      <c r="AW608" s="5">
        <f t="shared" si="361"/>
        <v>0</v>
      </c>
      <c r="AX608" s="5">
        <f t="shared" si="362"/>
        <v>0</v>
      </c>
      <c r="AY608" s="5">
        <f t="shared" si="363"/>
        <v>0</v>
      </c>
      <c r="AZ608" s="5">
        <f t="shared" si="364"/>
        <v>0</v>
      </c>
      <c r="BA608" s="5">
        <f t="shared" si="365"/>
        <v>0</v>
      </c>
      <c r="BB608" s="5">
        <f t="shared" si="366"/>
        <v>0</v>
      </c>
      <c r="BC608" s="5">
        <f t="shared" si="367"/>
        <v>0</v>
      </c>
      <c r="BD608" s="5">
        <f t="shared" si="368"/>
        <v>-5000</v>
      </c>
      <c r="BE608" s="16">
        <f>INDEX('Team forecast'!$B$2:$AO$26,MATCH('Master data'!$B608,'Team forecast'!$B$2:$B$26,0),MATCH('Master data'!BE$1,'Team forecast'!$B$2:$AO$2,0))</f>
        <v>0.62462402002960304</v>
      </c>
      <c r="BF608" s="16">
        <f>INDEX('Team forecast'!$B$2:$AO$26,MATCH('Master data'!$B608,'Team forecast'!$B$2:$B$26,0),MATCH('Master data'!BF$1,'Team forecast'!$B$2:$AO$2,0))</f>
        <v>2.3394224481215296</v>
      </c>
      <c r="BG608" s="16">
        <f>INDEX('Team forecast'!$B$2:$AO$26,MATCH('Master data'!$B608,'Team forecast'!$B$2:$B$26,0),MATCH('Master data'!BG$1,'Team forecast'!$B$2:$AO$2,0))</f>
        <v>9.6383288507815829E-2</v>
      </c>
      <c r="BH608" s="16">
        <f>INDEX('Team forecast'!$B$2:$AO$26,MATCH('Master data'!$B608,'Team forecast'!$B$2:$B$26,0),MATCH('Master data'!BH$1,'Team forecast'!$B$2:$AO$2,0))</f>
        <v>2.0505333990870809</v>
      </c>
      <c r="BI608" s="16">
        <f>INDEX('Team forecast'!$B$2:$AO$26,MATCH('Master data'!$B608,'Team forecast'!$B$2:$B$26,0),MATCH('Master data'!BI$1,'Team forecast'!$B$2:$AO$2,0))</f>
        <v>6.6465834040088314</v>
      </c>
      <c r="BJ608" s="5">
        <f t="shared" si="369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370"/>
        <v>0</v>
      </c>
      <c r="BO608" s="5">
        <f t="shared" si="371"/>
        <v>0</v>
      </c>
      <c r="BP608" s="5">
        <f t="shared" si="372"/>
        <v>0</v>
      </c>
      <c r="BQ608" s="5">
        <f t="shared" si="373"/>
        <v>0</v>
      </c>
      <c r="BR608" s="5">
        <f t="shared" si="374"/>
        <v>0</v>
      </c>
      <c r="BS608" s="5">
        <f t="shared" si="375"/>
        <v>0</v>
      </c>
      <c r="BT608" s="5">
        <f t="shared" si="376"/>
        <v>0</v>
      </c>
      <c r="BU608" s="5">
        <f t="shared" si="377"/>
        <v>0</v>
      </c>
      <c r="BV608" s="5">
        <f t="shared" si="378"/>
        <v>0</v>
      </c>
      <c r="BW608" s="5">
        <f t="shared" si="379"/>
        <v>-5000</v>
      </c>
      <c r="BX608" s="5">
        <f t="shared" si="380"/>
        <v>-5000</v>
      </c>
      <c r="BY608" s="5">
        <f t="shared" si="381"/>
        <v>-15000</v>
      </c>
      <c r="BZ608" s="5">
        <f>INDEX('Team forecast'!$R$3:$BH$26,MATCH($B608,'Team forecast'!$B$3:$B$26,0),MATCH(BZ$1,'Team forecast'!$R$2:$BH$2,0))*($BX608-(BY608+CH608)*0.01)</f>
        <v>-6726.851727981214</v>
      </c>
      <c r="CA608" s="5">
        <f>INDEX('Team forecast'!$R$3:$BH$26,MATCH($B608,'Team forecast'!$B$3:$B$26,0),MATCH(CA$1,'Team forecast'!$R$2:$BH$2,0))*($BX608-(BY608+BX608+CH608)*0.01)</f>
        <v>-3293.4328729408139</v>
      </c>
      <c r="CB608" s="5">
        <f>INDEX('Team forecast'!$R$3:$BH$26,MATCH($B608,'Team forecast'!$B$3:$B$26,0),MATCH(CB$1,'Team forecast'!$R$2:$BH$2,0))*($BX608-(BY608+BX608*2+CH608)*0.01)</f>
        <v>-1584.0100307164412</v>
      </c>
      <c r="CC608" s="5">
        <f>INDEX('Team forecast'!$R$3:$BH$26,MATCH($B608,'Team forecast'!$B$3:$B$26,0),MATCH(CC$1,'Team forecast'!$R$2:$BH$2,0))*($BX608-(BY608+BX608*3+CH608)*0.01)</f>
        <v>-713.98248999017255</v>
      </c>
      <c r="CD608" s="5">
        <f>+AK608+BD608*Cockpit!$C$3+BW608*Cockpit!$C$3^2+BZ608*Cockpit!$C$3^3+CA608*Cockpit!$C$3^4+CB608*Cockpit!$C$3^5+CC608*Cockpit!$C$3^6</f>
        <v>-13470.526953711342</v>
      </c>
      <c r="CE608" s="5"/>
      <c r="CF608" s="5"/>
      <c r="CG608" s="5">
        <v>0</v>
      </c>
      <c r="CH608" s="5">
        <f t="shared" si="382"/>
        <v>2000000</v>
      </c>
      <c r="CI608" s="5">
        <f t="shared" si="383"/>
        <v>2000000</v>
      </c>
      <c r="CJ608" s="1">
        <f t="shared" si="384"/>
        <v>-7.4999999999999997E-3</v>
      </c>
      <c r="CK608" s="5">
        <f>RANK(BY608,$BY$2:$BY$623)+COUNTIF($BY$2:$BY608,$BY608)-1</f>
        <v>614</v>
      </c>
      <c r="CL608" s="5">
        <f>RANK(CJ608,$CJ$2:$CJ$623)+COUNTIF($CJ$2:$CJ608,$CJ608)-1</f>
        <v>617</v>
      </c>
    </row>
    <row r="609" spans="1:90">
      <c r="A609" t="str">
        <f>Players!P610</f>
        <v>Nikolai Alho</v>
      </c>
      <c r="B609" t="str">
        <f>Players!G610</f>
        <v>Finland</v>
      </c>
      <c r="C609" t="str">
        <f>Players!AB610</f>
        <v>Midfield</v>
      </c>
      <c r="G609">
        <f>IF(Players!AC610=0,10000000,Players!AC610)</f>
        <v>2500000</v>
      </c>
      <c r="H609" s="16">
        <f>INDEX('Team forecast'!$B$2:$AO$26,MATCH('Master data'!$B609,'Team forecast'!$B$2:$B$26,0),MATCH('Master data'!H$1,'Team forecast'!$B$2:$AO$2,0))</f>
        <v>0.59952758650922311</v>
      </c>
      <c r="I609" s="16">
        <f>INDEX('Team forecast'!$B$2:$AO$26,MATCH('Master data'!$B609,'Team forecast'!$B$2:$B$26,0),MATCH('Master data'!I$1,'Team forecast'!$B$2:$AO$2,0))</f>
        <v>1.6608440904336361</v>
      </c>
      <c r="J609" s="16">
        <f>INDEX('Team forecast'!$B$2:$AO$26,MATCH('Master data'!$B609,'Team forecast'!$B$2:$B$26,0),MATCH('Master data'!J$1,'Team forecast'!$B$2:$AO$2,0))</f>
        <v>0.18997855332423469</v>
      </c>
      <c r="K609" s="16">
        <f>INDEX('Team forecast'!$B$2:$AO$26,MATCH('Master data'!$B609,'Team forecast'!$B$2:$B$26,0),MATCH('Master data'!K$1,'Team forecast'!$B$2:$AO$2,0))</f>
        <v>1.9681461173282577</v>
      </c>
      <c r="L609" s="16">
        <f>INDEX('Team forecast'!$B$2:$AO$26,MATCH('Master data'!$B609,'Team forecast'!$B$2:$B$26,0),MATCH('Master data'!L$1,'Team forecast'!$B$2:$AO$2,0))</f>
        <v>4.718659845717994</v>
      </c>
      <c r="M609">
        <f>IF(Players!BC610=1,95,0)</f>
        <v>95</v>
      </c>
      <c r="N609" s="2">
        <f>Players!BN610</f>
        <v>5.4092811505790331E-2</v>
      </c>
      <c r="O609" s="2">
        <f>Players!BO610</f>
        <v>9.7051501233853116E-2</v>
      </c>
      <c r="P609" s="2">
        <f>Players!BP610</f>
        <v>1.9673697318589083E-2</v>
      </c>
      <c r="Q609" s="2">
        <f>Players!BQ610</f>
        <v>6.32688927943761E-2</v>
      </c>
      <c r="R609" s="2">
        <f>Players!BR610</f>
        <v>0</v>
      </c>
      <c r="S609" s="2">
        <f t="shared" si="343"/>
        <v>0.59952758650922311</v>
      </c>
      <c r="T609" s="2">
        <f t="shared" si="344"/>
        <v>1.6608440904336361</v>
      </c>
      <c r="U609" s="16">
        <f>INDEX('Team forecast'!$B$2:$AO$26,MATCH('Master data'!$B609,'Team forecast'!$B$2:$B$26,0),MATCH('Master data'!U$1,'Team forecast'!$B$2:$AO$2,0))</f>
        <v>0.1187365958276467</v>
      </c>
      <c r="V609" s="16">
        <f>INDEX('Team forecast'!$B$2:$AO$26,MATCH('Master data'!$B609,'Team forecast'!$B$2:$B$26,0),MATCH('Master data'!V$1,'Team forecast'!$B$2:$AO$2,0))</f>
        <v>0.22616494443361279</v>
      </c>
      <c r="W609" s="16">
        <f>INDEX('Team forecast'!$B$2:$AO$26,MATCH('Master data'!$B609,'Team forecast'!$B$2:$B$26,0),MATCH('Master data'!W$1,'Team forecast'!$B$2:$AO$2,0))</f>
        <v>0.65509845973874048</v>
      </c>
      <c r="X609" s="5">
        <f t="shared" si="345"/>
        <v>7000</v>
      </c>
      <c r="Y609" s="5">
        <f t="shared" si="346"/>
        <v>2968.4148956911677</v>
      </c>
      <c r="Z609" s="5">
        <f t="shared" si="347"/>
        <v>1130.824722168064</v>
      </c>
      <c r="AA609" s="5">
        <f t="shared" si="348"/>
        <v>-9826.476896081107</v>
      </c>
      <c r="AB609" s="5">
        <f t="shared" si="349"/>
        <v>4053.7665911956019</v>
      </c>
      <c r="AC609" s="5">
        <f t="shared" si="350"/>
        <v>2909.2526150914427</v>
      </c>
      <c r="AD609" s="5">
        <f t="shared" si="351"/>
        <v>387.20710991072457</v>
      </c>
      <c r="AE609" s="5">
        <f t="shared" si="352"/>
        <v>0</v>
      </c>
      <c r="AF609" s="5">
        <f t="shared" si="353"/>
        <v>0</v>
      </c>
      <c r="AG609" s="5">
        <f t="shared" si="354"/>
        <v>-1265.3778558875219</v>
      </c>
      <c r="AH609" s="5">
        <f t="shared" si="355"/>
        <v>0</v>
      </c>
      <c r="AI609" s="5">
        <f t="shared" si="356"/>
        <v>5995.2758650922315</v>
      </c>
      <c r="AJ609" s="5">
        <f t="shared" si="357"/>
        <v>-13286.75272346909</v>
      </c>
      <c r="AK609" s="5">
        <f>IFERROR(SUM(X609:AJ609),-5000)*((Cockpit!$C$3)^0)</f>
        <v>66.134323711514298</v>
      </c>
      <c r="AL609" s="16">
        <f>INDEX('Team forecast'!$B$2:$AO$26,MATCH('Master data'!$B609,'Team forecast'!$B$2:$B$26,0),MATCH('Master data'!AL$1,'Team forecast'!$B$2:$AO$2,0))</f>
        <v>0.75781731816731412</v>
      </c>
      <c r="AM609" s="16">
        <f>INDEX('Team forecast'!$B$2:$AO$26,MATCH('Master data'!$B609,'Team forecast'!$B$2:$B$26,0),MATCH('Master data'!AM$1,'Team forecast'!$B$2:$AO$2,0))</f>
        <v>1.5687475343836428</v>
      </c>
      <c r="AN609" s="16">
        <f>INDEX('Team forecast'!$B$2:$AO$26,MATCH('Master data'!$B609,'Team forecast'!$B$2:$B$26,0),MATCH('Master data'!AN$1,'Team forecast'!$B$2:$AO$2,0))</f>
        <v>0.20830591503984791</v>
      </c>
      <c r="AO609" s="16">
        <f>INDEX('Team forecast'!$B$2:$AO$26,MATCH('Master data'!$B609,'Team forecast'!$B$2:$B$26,0),MATCH('Master data'!AO$1,'Team forecast'!$B$2:$AO$2,0))</f>
        <v>2.4877841252967383</v>
      </c>
      <c r="AP609" s="16">
        <f>INDEX('Team forecast'!$B$2:$AO$26,MATCH('Master data'!$B609,'Team forecast'!$B$2:$B$26,0),MATCH('Master data'!AP$1,'Team forecast'!$B$2:$AO$2,0))</f>
        <v>4.4570023406787609</v>
      </c>
      <c r="AQ609" s="5">
        <f t="shared" si="358"/>
        <v>7000</v>
      </c>
      <c r="AR609" s="5">
        <f>INDEX('Team forecast'!$B$2:$AO$26,MATCH('Master data'!$B609,'Team forecast'!$B$2:$B$26,0),MATCH('Master data'!AR$1,'Team forecast'!$B$2:$AO$2,0))*IF(X609&gt;0,25000,0)</f>
        <v>4463.6981794253124</v>
      </c>
      <c r="AS609" s="16">
        <f>INDEX('Team forecast'!$B$2:$AO$26,MATCH('Master data'!$B609,'Team forecast'!$B$2:$B$26,0),MATCH('Master data'!AS$1,'Team forecast'!$B$2:$AO$2,0))*IF(X609&gt;0,5000,0)</f>
        <v>1266.7251590261019</v>
      </c>
      <c r="AT609" s="16">
        <f>INDEX('Team forecast'!$B$2:$AO$26,MATCH('Master data'!$B609,'Team forecast'!$B$2:$B$26,0),MATCH('Master data'!AT$1,'Team forecast'!$B$2:$AO$2,0))*IF(X609&gt;0,-15000,0)</f>
        <v>-8521.6056152665042</v>
      </c>
      <c r="AU609" s="5">
        <f t="shared" si="359"/>
        <v>5124.0586684310083</v>
      </c>
      <c r="AV609" s="5">
        <f t="shared" si="360"/>
        <v>3677.3654194575174</v>
      </c>
      <c r="AW609" s="5">
        <f t="shared" si="361"/>
        <v>489.43911875078925</v>
      </c>
      <c r="AX609" s="5">
        <f t="shared" si="362"/>
        <v>0</v>
      </c>
      <c r="AY609" s="5">
        <f t="shared" si="363"/>
        <v>0</v>
      </c>
      <c r="AZ609" s="5">
        <f t="shared" si="364"/>
        <v>-1265.3778558875219</v>
      </c>
      <c r="BA609" s="5">
        <f t="shared" si="365"/>
        <v>0</v>
      </c>
      <c r="BB609" s="5">
        <f t="shared" si="366"/>
        <v>7578.1731816731417</v>
      </c>
      <c r="BC609" s="5">
        <f t="shared" si="367"/>
        <v>-12549.980275069141</v>
      </c>
      <c r="BD609" s="5">
        <f t="shared" si="368"/>
        <v>7262.4959805407052</v>
      </c>
      <c r="BE609" s="16">
        <f>INDEX('Team forecast'!$B$2:$AO$26,MATCH('Master data'!$B609,'Team forecast'!$B$2:$B$26,0),MATCH('Master data'!BE$1,'Team forecast'!$B$2:$AO$2,0))</f>
        <v>0.62462402002960304</v>
      </c>
      <c r="BF609" s="16">
        <f>INDEX('Team forecast'!$B$2:$AO$26,MATCH('Master data'!$B609,'Team forecast'!$B$2:$B$26,0),MATCH('Master data'!BF$1,'Team forecast'!$B$2:$AO$2,0))</f>
        <v>2.3394224481215296</v>
      </c>
      <c r="BG609" s="16">
        <f>INDEX('Team forecast'!$B$2:$AO$26,MATCH('Master data'!$B609,'Team forecast'!$B$2:$B$26,0),MATCH('Master data'!BG$1,'Team forecast'!$B$2:$AO$2,0))</f>
        <v>9.6383288507815829E-2</v>
      </c>
      <c r="BH609" s="16">
        <f>INDEX('Team forecast'!$B$2:$AO$26,MATCH('Master data'!$B609,'Team forecast'!$B$2:$B$26,0),MATCH('Master data'!BH$1,'Team forecast'!$B$2:$AO$2,0))</f>
        <v>2.0505333990870809</v>
      </c>
      <c r="BI609" s="16">
        <f>INDEX('Team forecast'!$B$2:$AO$26,MATCH('Master data'!$B609,'Team forecast'!$B$2:$B$26,0),MATCH('Master data'!BI$1,'Team forecast'!$B$2:$AO$2,0))</f>
        <v>6.6465834040088314</v>
      </c>
      <c r="BJ609" s="5">
        <f t="shared" si="369"/>
        <v>7000</v>
      </c>
      <c r="BK609" s="5">
        <f>INDEX('Team forecast'!$R$3:$BH$26,MATCH($B609,'Team forecast'!$B$3:$B$26,0),MATCH(BK$1,'Team forecast'!$R$2:$BH$2,0))*IF($X609&gt;0,25000,0)</f>
        <v>1554.5691694809007</v>
      </c>
      <c r="BL609" s="5">
        <f>INDEX('Team forecast'!$R$3:$BH$26,MATCH($B609,'Team forecast'!$B$3:$B$26,0),MATCH(BL$1,'Team forecast'!$R$2:$BH$2,0))*IF($X609&gt;0,5000,0)</f>
        <v>771.06630806252645</v>
      </c>
      <c r="BM609" s="5">
        <f>INDEX('Team forecast'!$R$3:$BH$26,MATCH($B609,'Team forecast'!$B$3:$B$26,0),MATCH(BM$1,'Team forecast'!$R$2:$BH$2,0))*IF($X609&gt;0,-15000,0)</f>
        <v>-11754.059574123881</v>
      </c>
      <c r="BN609" s="5">
        <f t="shared" si="370"/>
        <v>4223.4586721812902</v>
      </c>
      <c r="BO609" s="5">
        <f t="shared" si="371"/>
        <v>3031.0349425298659</v>
      </c>
      <c r="BP609" s="5">
        <f t="shared" si="372"/>
        <v>403.41573435296857</v>
      </c>
      <c r="BQ609" s="5">
        <f t="shared" si="373"/>
        <v>0</v>
      </c>
      <c r="BR609" s="5">
        <f t="shared" si="374"/>
        <v>0</v>
      </c>
      <c r="BS609" s="5">
        <f t="shared" si="375"/>
        <v>-1265.3778558875219</v>
      </c>
      <c r="BT609" s="5">
        <f t="shared" si="376"/>
        <v>0</v>
      </c>
      <c r="BU609" s="5">
        <f t="shared" si="377"/>
        <v>6246.2402002960307</v>
      </c>
      <c r="BV609" s="5">
        <f t="shared" si="378"/>
        <v>-18715.379584972237</v>
      </c>
      <c r="BW609" s="5">
        <f t="shared" si="379"/>
        <v>-8505.0319880800562</v>
      </c>
      <c r="BX609" s="5">
        <f t="shared" si="380"/>
        <v>-392.13389460927891</v>
      </c>
      <c r="BY609" s="5">
        <f t="shared" si="381"/>
        <v>-1176.4016838278367</v>
      </c>
      <c r="BZ609" s="5">
        <f>INDEX('Team forecast'!$R$3:$BH$26,MATCH($B609,'Team forecast'!$B$3:$B$26,0),MATCH(BZ$1,'Team forecast'!$R$2:$BH$2,0))*($BX609-(BY609+CH609)*0.01)</f>
        <v>-6870.421930345522</v>
      </c>
      <c r="CA609" s="5">
        <f>INDEX('Team forecast'!$R$3:$BH$26,MATCH($B609,'Team forecast'!$B$3:$B$26,0),MATCH(CA$1,'Team forecast'!$R$2:$BH$2,0))*($BX609-(BY609+BX609+CH609)*0.01)</f>
        <v>-3369.9850732361629</v>
      </c>
      <c r="CB609" s="5">
        <f>INDEX('Team forecast'!$R$3:$BH$26,MATCH($B609,'Team forecast'!$B$3:$B$26,0),MATCH(CB$1,'Team forecast'!$R$2:$BH$2,0))*($BX609-(BY609+BX609*2+CH609)*0.01)</f>
        <v>-1623.8520238074254</v>
      </c>
      <c r="CC609" s="5">
        <f>INDEX('Team forecast'!$R$3:$BH$26,MATCH($B609,'Team forecast'!$B$3:$B$26,0),MATCH(CC$1,'Team forecast'!$R$2:$BH$2,0))*($BX609-(BY609+BX609*3+CH609)*0.01)</f>
        <v>-733.30932713230902</v>
      </c>
      <c r="CD609" s="5">
        <f>+AK609+BD609*Cockpit!$C$3+BW609*Cockpit!$C$3^2+BZ609*Cockpit!$C$3^3+CA609*Cockpit!$C$3^4+CB609*Cockpit!$C$3^5+CC609*Cockpit!$C$3^6</f>
        <v>-1851.791459989139</v>
      </c>
      <c r="CE609" s="5"/>
      <c r="CF609" s="5"/>
      <c r="CG609" s="5">
        <v>0</v>
      </c>
      <c r="CH609" s="5">
        <f t="shared" si="382"/>
        <v>2500000</v>
      </c>
      <c r="CI609" s="5">
        <f t="shared" si="383"/>
        <v>2500000</v>
      </c>
      <c r="CJ609" s="1">
        <f t="shared" si="384"/>
        <v>-4.7056067353113469E-4</v>
      </c>
      <c r="CK609" s="5">
        <f>RANK(BY609,$BY$2:$BY$623)+COUNTIF($BY$2:$BY609,$BY609)-1</f>
        <v>412</v>
      </c>
      <c r="CL609" s="5">
        <f>RANK(CJ609,$CJ$2:$CJ$623)+COUNTIF($CJ$2:$CJ609,$CJ609)-1</f>
        <v>412</v>
      </c>
    </row>
    <row r="610" spans="1:90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0.59952758650922311</v>
      </c>
      <c r="I610" s="16">
        <f>INDEX('Team forecast'!$B$2:$AO$26,MATCH('Master data'!$B610,'Team forecast'!$B$2:$B$26,0),MATCH('Master data'!I$1,'Team forecast'!$B$2:$AO$2,0))</f>
        <v>1.6608440904336361</v>
      </c>
      <c r="J610" s="16">
        <f>INDEX('Team forecast'!$B$2:$AO$26,MATCH('Master data'!$B610,'Team forecast'!$B$2:$B$26,0),MATCH('Master data'!J$1,'Team forecast'!$B$2:$AO$2,0))</f>
        <v>0.18997855332423469</v>
      </c>
      <c r="K610" s="16">
        <f>INDEX('Team forecast'!$B$2:$AO$26,MATCH('Master data'!$B610,'Team forecast'!$B$2:$B$26,0),MATCH('Master data'!K$1,'Team forecast'!$B$2:$AO$2,0))</f>
        <v>1.9681461173282577</v>
      </c>
      <c r="L610" s="16">
        <f>INDEX('Team forecast'!$B$2:$AO$26,MATCH('Master data'!$B610,'Team forecast'!$B$2:$B$26,0),MATCH('Master data'!L$1,'Team forecast'!$B$2:$AO$2,0))</f>
        <v>4.718659845717994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343"/>
        <v>0.59952758650922311</v>
      </c>
      <c r="T610" s="2">
        <f t="shared" si="344"/>
        <v>1.6608440904336361</v>
      </c>
      <c r="U610" s="16">
        <f>INDEX('Team forecast'!$B$2:$AO$26,MATCH('Master data'!$B610,'Team forecast'!$B$2:$B$26,0),MATCH('Master data'!U$1,'Team forecast'!$B$2:$AO$2,0))</f>
        <v>0.1187365958276467</v>
      </c>
      <c r="V610" s="16">
        <f>INDEX('Team forecast'!$B$2:$AO$26,MATCH('Master data'!$B610,'Team forecast'!$B$2:$B$26,0),MATCH('Master data'!V$1,'Team forecast'!$B$2:$AO$2,0))</f>
        <v>0.22616494443361279</v>
      </c>
      <c r="W610" s="16">
        <f>INDEX('Team forecast'!$B$2:$AO$26,MATCH('Master data'!$B610,'Team forecast'!$B$2:$B$26,0),MATCH('Master data'!W$1,'Team forecast'!$B$2:$AO$2,0))</f>
        <v>0.65509845973874048</v>
      </c>
      <c r="X610" s="5">
        <f t="shared" si="345"/>
        <v>-5000</v>
      </c>
      <c r="Y610" s="5">
        <f t="shared" si="346"/>
        <v>0</v>
      </c>
      <c r="Z610" s="5">
        <f t="shared" si="347"/>
        <v>0</v>
      </c>
      <c r="AA610" s="5">
        <f t="shared" si="348"/>
        <v>0</v>
      </c>
      <c r="AB610" s="5">
        <f t="shared" si="349"/>
        <v>0</v>
      </c>
      <c r="AC610" s="5">
        <f t="shared" si="350"/>
        <v>0</v>
      </c>
      <c r="AD610" s="5">
        <f t="shared" si="351"/>
        <v>0</v>
      </c>
      <c r="AE610" s="5">
        <f t="shared" si="352"/>
        <v>9498.9276662117336</v>
      </c>
      <c r="AF610" s="5">
        <f t="shared" si="353"/>
        <v>0</v>
      </c>
      <c r="AG610" s="5">
        <f t="shared" si="354"/>
        <v>0</v>
      </c>
      <c r="AH610" s="5">
        <f t="shared" si="355"/>
        <v>0</v>
      </c>
      <c r="AI610" s="5">
        <f t="shared" si="356"/>
        <v>0</v>
      </c>
      <c r="AJ610" s="5">
        <f t="shared" si="357"/>
        <v>0</v>
      </c>
      <c r="AK610" s="5">
        <f>IFERROR(SUM(X610:AJ610),-5000)*((Cockpit!$C$3)^0)</f>
        <v>4498.9276662117336</v>
      </c>
      <c r="AL610" s="16">
        <f>INDEX('Team forecast'!$B$2:$AO$26,MATCH('Master data'!$B610,'Team forecast'!$B$2:$B$26,0),MATCH('Master data'!AL$1,'Team forecast'!$B$2:$AO$2,0))</f>
        <v>0.75781731816731412</v>
      </c>
      <c r="AM610" s="16">
        <f>INDEX('Team forecast'!$B$2:$AO$26,MATCH('Master data'!$B610,'Team forecast'!$B$2:$B$26,0),MATCH('Master data'!AM$1,'Team forecast'!$B$2:$AO$2,0))</f>
        <v>1.5687475343836428</v>
      </c>
      <c r="AN610" s="16">
        <f>INDEX('Team forecast'!$B$2:$AO$26,MATCH('Master data'!$B610,'Team forecast'!$B$2:$B$26,0),MATCH('Master data'!AN$1,'Team forecast'!$B$2:$AO$2,0))</f>
        <v>0.20830591503984791</v>
      </c>
      <c r="AO610" s="16">
        <f>INDEX('Team forecast'!$B$2:$AO$26,MATCH('Master data'!$B610,'Team forecast'!$B$2:$B$26,0),MATCH('Master data'!AO$1,'Team forecast'!$B$2:$AO$2,0))</f>
        <v>2.4877841252967383</v>
      </c>
      <c r="AP610" s="16">
        <f>INDEX('Team forecast'!$B$2:$AO$26,MATCH('Master data'!$B610,'Team forecast'!$B$2:$B$26,0),MATCH('Master data'!AP$1,'Team forecast'!$B$2:$AO$2,0))</f>
        <v>4.4570023406787609</v>
      </c>
      <c r="AQ610" s="5">
        <f t="shared" si="358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359"/>
        <v>0</v>
      </c>
      <c r="AV610" s="5">
        <f t="shared" si="360"/>
        <v>0</v>
      </c>
      <c r="AW610" s="5">
        <f t="shared" si="361"/>
        <v>0</v>
      </c>
      <c r="AX610" s="5">
        <f t="shared" si="362"/>
        <v>10415.295751992395</v>
      </c>
      <c r="AY610" s="5">
        <f t="shared" si="363"/>
        <v>0</v>
      </c>
      <c r="AZ610" s="5">
        <f t="shared" si="364"/>
        <v>0</v>
      </c>
      <c r="BA610" s="5">
        <f t="shared" si="365"/>
        <v>0</v>
      </c>
      <c r="BB610" s="5">
        <f t="shared" si="366"/>
        <v>0</v>
      </c>
      <c r="BC610" s="5">
        <f t="shared" si="367"/>
        <v>0</v>
      </c>
      <c r="BD610" s="5">
        <f t="shared" si="368"/>
        <v>5415.2957519923948</v>
      </c>
      <c r="BE610" s="16">
        <f>INDEX('Team forecast'!$B$2:$AO$26,MATCH('Master data'!$B610,'Team forecast'!$B$2:$B$26,0),MATCH('Master data'!BE$1,'Team forecast'!$B$2:$AO$2,0))</f>
        <v>0.62462402002960304</v>
      </c>
      <c r="BF610" s="16">
        <f>INDEX('Team forecast'!$B$2:$AO$26,MATCH('Master data'!$B610,'Team forecast'!$B$2:$B$26,0),MATCH('Master data'!BF$1,'Team forecast'!$B$2:$AO$2,0))</f>
        <v>2.3394224481215296</v>
      </c>
      <c r="BG610" s="16">
        <f>INDEX('Team forecast'!$B$2:$AO$26,MATCH('Master data'!$B610,'Team forecast'!$B$2:$B$26,0),MATCH('Master data'!BG$1,'Team forecast'!$B$2:$AO$2,0))</f>
        <v>9.6383288507815829E-2</v>
      </c>
      <c r="BH610" s="16">
        <f>INDEX('Team forecast'!$B$2:$AO$26,MATCH('Master data'!$B610,'Team forecast'!$B$2:$B$26,0),MATCH('Master data'!BH$1,'Team forecast'!$B$2:$AO$2,0))</f>
        <v>2.0505333990870809</v>
      </c>
      <c r="BI610" s="16">
        <f>INDEX('Team forecast'!$B$2:$AO$26,MATCH('Master data'!$B610,'Team forecast'!$B$2:$B$26,0),MATCH('Master data'!BI$1,'Team forecast'!$B$2:$AO$2,0))</f>
        <v>6.6465834040088314</v>
      </c>
      <c r="BJ610" s="5">
        <f t="shared" si="369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370"/>
        <v>0</v>
      </c>
      <c r="BO610" s="5">
        <f t="shared" si="371"/>
        <v>0</v>
      </c>
      <c r="BP610" s="5">
        <f t="shared" si="372"/>
        <v>0</v>
      </c>
      <c r="BQ610" s="5">
        <f t="shared" si="373"/>
        <v>4819.1644253907916</v>
      </c>
      <c r="BR610" s="5">
        <f t="shared" si="374"/>
        <v>0</v>
      </c>
      <c r="BS610" s="5">
        <f t="shared" si="375"/>
        <v>0</v>
      </c>
      <c r="BT610" s="5">
        <f t="shared" si="376"/>
        <v>0</v>
      </c>
      <c r="BU610" s="5">
        <f t="shared" si="377"/>
        <v>0</v>
      </c>
      <c r="BV610" s="5">
        <f t="shared" si="378"/>
        <v>0</v>
      </c>
      <c r="BW610" s="5">
        <f t="shared" si="379"/>
        <v>-180.83557460920838</v>
      </c>
      <c r="BX610" s="5">
        <f t="shared" si="380"/>
        <v>3244.4626145316397</v>
      </c>
      <c r="BY610" s="5">
        <f t="shared" si="381"/>
        <v>9733.3878435949191</v>
      </c>
      <c r="BZ610" s="5">
        <f>INDEX('Team forecast'!$R$3:$BH$26,MATCH($B610,'Team forecast'!$B$3:$B$26,0),MATCH(BZ$1,'Team forecast'!$R$2:$BH$2,0))*($BX610-(BY610+CH610)*0.01)</f>
        <v>-4562.0429047500866</v>
      </c>
      <c r="CA610" s="5">
        <f>INDEX('Team forecast'!$R$3:$BH$26,MATCH($B610,'Team forecast'!$B$3:$B$26,0),MATCH(CA$1,'Team forecast'!$R$2:$BH$2,0))*($BX610-(BY610+BX610+CH610)*0.01)</f>
        <v>-2242.365097672553</v>
      </c>
      <c r="CB610" s="5">
        <f>INDEX('Team forecast'!$R$3:$BH$26,MATCH($B610,'Team forecast'!$B$3:$B$26,0),MATCH(CB$1,'Team forecast'!$R$2:$BH$2,0))*($BX610-(BY610+BX610*2+CH610)*0.01)</f>
        <v>-1082.7435294913676</v>
      </c>
      <c r="CC610" s="5">
        <f>INDEX('Team forecast'!$R$3:$BH$26,MATCH($B610,'Team forecast'!$B$3:$B$26,0),MATCH(CC$1,'Team forecast'!$R$2:$BH$2,0))*($BX610-(BY610+BX610*3+CH610)*0.01)</f>
        <v>-489.96557382074195</v>
      </c>
      <c r="CD610" s="5">
        <f>+AK610+BD610*Cockpit!$C$3+BW610*Cockpit!$C$3^2+BZ610*Cockpit!$C$3^3+CA610*Cockpit!$C$3^4+CB610*Cockpit!$C$3^5+CC610*Cockpit!$C$3^6</f>
        <v>6048.5024155236051</v>
      </c>
      <c r="CE610" s="5"/>
      <c r="CF610" s="5"/>
      <c r="CG610" s="5">
        <v>0</v>
      </c>
      <c r="CH610" s="5">
        <f t="shared" si="382"/>
        <v>2000000</v>
      </c>
      <c r="CI610" s="5">
        <f t="shared" si="383"/>
        <v>2000000</v>
      </c>
      <c r="CJ610" s="1">
        <f t="shared" si="384"/>
        <v>4.8666939217974596E-3</v>
      </c>
      <c r="CK610" s="5">
        <f>RANK(BY610,$BY$2:$BY$623)+COUNTIF($BY$2:$BY610,$BY610)-1</f>
        <v>397</v>
      </c>
      <c r="CL610" s="5">
        <f>RANK(CJ610,$CJ$2:$CJ$623)+COUNTIF($CJ$2:$CJ610,$CJ610)-1</f>
        <v>395</v>
      </c>
    </row>
    <row r="611" spans="1:90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0.59952758650922311</v>
      </c>
      <c r="I611" s="16">
        <f>INDEX('Team forecast'!$B$2:$AO$26,MATCH('Master data'!$B611,'Team forecast'!$B$2:$B$26,0),MATCH('Master data'!I$1,'Team forecast'!$B$2:$AO$2,0))</f>
        <v>1.6608440904336361</v>
      </c>
      <c r="J611" s="16">
        <f>INDEX('Team forecast'!$B$2:$AO$26,MATCH('Master data'!$B611,'Team forecast'!$B$2:$B$26,0),MATCH('Master data'!J$1,'Team forecast'!$B$2:$AO$2,0))</f>
        <v>0.18997855332423469</v>
      </c>
      <c r="K611" s="16">
        <f>INDEX('Team forecast'!$B$2:$AO$26,MATCH('Master data'!$B611,'Team forecast'!$B$2:$B$26,0),MATCH('Master data'!K$1,'Team forecast'!$B$2:$AO$2,0))</f>
        <v>1.9681461173282577</v>
      </c>
      <c r="L611" s="16">
        <f>INDEX('Team forecast'!$B$2:$AO$26,MATCH('Master data'!$B611,'Team forecast'!$B$2:$B$26,0),MATCH('Master data'!L$1,'Team forecast'!$B$2:$AO$2,0))</f>
        <v>4.718659845717994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343"/>
        <v>0.59952758650922311</v>
      </c>
      <c r="T611" s="2">
        <f t="shared" si="344"/>
        <v>1.6608440904336361</v>
      </c>
      <c r="U611" s="16">
        <f>INDEX('Team forecast'!$B$2:$AO$26,MATCH('Master data'!$B611,'Team forecast'!$B$2:$B$26,0),MATCH('Master data'!U$1,'Team forecast'!$B$2:$AO$2,0))</f>
        <v>0.1187365958276467</v>
      </c>
      <c r="V611" s="16">
        <f>INDEX('Team forecast'!$B$2:$AO$26,MATCH('Master data'!$B611,'Team forecast'!$B$2:$B$26,0),MATCH('Master data'!V$1,'Team forecast'!$B$2:$AO$2,0))</f>
        <v>0.22616494443361279</v>
      </c>
      <c r="W611" s="16">
        <f>INDEX('Team forecast'!$B$2:$AO$26,MATCH('Master data'!$B611,'Team forecast'!$B$2:$B$26,0),MATCH('Master data'!W$1,'Team forecast'!$B$2:$AO$2,0))</f>
        <v>0.65509845973874048</v>
      </c>
      <c r="X611" s="5">
        <f t="shared" si="345"/>
        <v>-5000</v>
      </c>
      <c r="Y611" s="5">
        <f t="shared" si="346"/>
        <v>0</v>
      </c>
      <c r="Z611" s="5">
        <f t="shared" si="347"/>
        <v>0</v>
      </c>
      <c r="AA611" s="5">
        <f t="shared" si="348"/>
        <v>0</v>
      </c>
      <c r="AB611" s="5">
        <f t="shared" si="349"/>
        <v>0</v>
      </c>
      <c r="AC611" s="5">
        <f t="shared" si="350"/>
        <v>0</v>
      </c>
      <c r="AD611" s="5">
        <f t="shared" si="351"/>
        <v>0</v>
      </c>
      <c r="AE611" s="5">
        <f t="shared" si="352"/>
        <v>9498.9276662117336</v>
      </c>
      <c r="AF611" s="5">
        <f t="shared" si="353"/>
        <v>0</v>
      </c>
      <c r="AG611" s="5">
        <f t="shared" si="354"/>
        <v>0</v>
      </c>
      <c r="AH611" s="5">
        <f t="shared" si="355"/>
        <v>0</v>
      </c>
      <c r="AI611" s="5">
        <f t="shared" si="356"/>
        <v>0</v>
      </c>
      <c r="AJ611" s="5">
        <f t="shared" si="357"/>
        <v>0</v>
      </c>
      <c r="AK611" s="5">
        <f>IFERROR(SUM(X611:AJ611),-5000)*((Cockpit!$C$3)^0)</f>
        <v>4498.9276662117336</v>
      </c>
      <c r="AL611" s="16">
        <f>INDEX('Team forecast'!$B$2:$AO$26,MATCH('Master data'!$B611,'Team forecast'!$B$2:$B$26,0),MATCH('Master data'!AL$1,'Team forecast'!$B$2:$AO$2,0))</f>
        <v>0.75781731816731412</v>
      </c>
      <c r="AM611" s="16">
        <f>INDEX('Team forecast'!$B$2:$AO$26,MATCH('Master data'!$B611,'Team forecast'!$B$2:$B$26,0),MATCH('Master data'!AM$1,'Team forecast'!$B$2:$AO$2,0))</f>
        <v>1.5687475343836428</v>
      </c>
      <c r="AN611" s="16">
        <f>INDEX('Team forecast'!$B$2:$AO$26,MATCH('Master data'!$B611,'Team forecast'!$B$2:$B$26,0),MATCH('Master data'!AN$1,'Team forecast'!$B$2:$AO$2,0))</f>
        <v>0.20830591503984791</v>
      </c>
      <c r="AO611" s="16">
        <f>INDEX('Team forecast'!$B$2:$AO$26,MATCH('Master data'!$B611,'Team forecast'!$B$2:$B$26,0),MATCH('Master data'!AO$1,'Team forecast'!$B$2:$AO$2,0))</f>
        <v>2.4877841252967383</v>
      </c>
      <c r="AP611" s="16">
        <f>INDEX('Team forecast'!$B$2:$AO$26,MATCH('Master data'!$B611,'Team forecast'!$B$2:$B$26,0),MATCH('Master data'!AP$1,'Team forecast'!$B$2:$AO$2,0))</f>
        <v>4.4570023406787609</v>
      </c>
      <c r="AQ611" s="5">
        <f t="shared" si="358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359"/>
        <v>0</v>
      </c>
      <c r="AV611" s="5">
        <f t="shared" si="360"/>
        <v>0</v>
      </c>
      <c r="AW611" s="5">
        <f t="shared" si="361"/>
        <v>0</v>
      </c>
      <c r="AX611" s="5">
        <f t="shared" si="362"/>
        <v>10415.295751992395</v>
      </c>
      <c r="AY611" s="5">
        <f t="shared" si="363"/>
        <v>0</v>
      </c>
      <c r="AZ611" s="5">
        <f t="shared" si="364"/>
        <v>0</v>
      </c>
      <c r="BA611" s="5">
        <f t="shared" si="365"/>
        <v>0</v>
      </c>
      <c r="BB611" s="5">
        <f t="shared" si="366"/>
        <v>0</v>
      </c>
      <c r="BC611" s="5">
        <f t="shared" si="367"/>
        <v>0</v>
      </c>
      <c r="BD611" s="5">
        <f t="shared" si="368"/>
        <v>5415.2957519923948</v>
      </c>
      <c r="BE611" s="16">
        <f>INDEX('Team forecast'!$B$2:$AO$26,MATCH('Master data'!$B611,'Team forecast'!$B$2:$B$26,0),MATCH('Master data'!BE$1,'Team forecast'!$B$2:$AO$2,0))</f>
        <v>0.62462402002960304</v>
      </c>
      <c r="BF611" s="16">
        <f>INDEX('Team forecast'!$B$2:$AO$26,MATCH('Master data'!$B611,'Team forecast'!$B$2:$B$26,0),MATCH('Master data'!BF$1,'Team forecast'!$B$2:$AO$2,0))</f>
        <v>2.3394224481215296</v>
      </c>
      <c r="BG611" s="16">
        <f>INDEX('Team forecast'!$B$2:$AO$26,MATCH('Master data'!$B611,'Team forecast'!$B$2:$B$26,0),MATCH('Master data'!BG$1,'Team forecast'!$B$2:$AO$2,0))</f>
        <v>9.6383288507815829E-2</v>
      </c>
      <c r="BH611" s="16">
        <f>INDEX('Team forecast'!$B$2:$AO$26,MATCH('Master data'!$B611,'Team forecast'!$B$2:$B$26,0),MATCH('Master data'!BH$1,'Team forecast'!$B$2:$AO$2,0))</f>
        <v>2.0505333990870809</v>
      </c>
      <c r="BI611" s="16">
        <f>INDEX('Team forecast'!$B$2:$AO$26,MATCH('Master data'!$B611,'Team forecast'!$B$2:$B$26,0),MATCH('Master data'!BI$1,'Team forecast'!$B$2:$AO$2,0))</f>
        <v>6.6465834040088314</v>
      </c>
      <c r="BJ611" s="5">
        <f t="shared" si="369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370"/>
        <v>0</v>
      </c>
      <c r="BO611" s="5">
        <f t="shared" si="371"/>
        <v>0</v>
      </c>
      <c r="BP611" s="5">
        <f t="shared" si="372"/>
        <v>0</v>
      </c>
      <c r="BQ611" s="5">
        <f t="shared" si="373"/>
        <v>4819.1644253907916</v>
      </c>
      <c r="BR611" s="5">
        <f t="shared" si="374"/>
        <v>0</v>
      </c>
      <c r="BS611" s="5">
        <f t="shared" si="375"/>
        <v>0</v>
      </c>
      <c r="BT611" s="5">
        <f t="shared" si="376"/>
        <v>0</v>
      </c>
      <c r="BU611" s="5">
        <f t="shared" si="377"/>
        <v>0</v>
      </c>
      <c r="BV611" s="5">
        <f t="shared" si="378"/>
        <v>0</v>
      </c>
      <c r="BW611" s="5">
        <f t="shared" si="379"/>
        <v>-180.83557460920838</v>
      </c>
      <c r="BX611" s="5">
        <f t="shared" si="380"/>
        <v>3244.4626145316397</v>
      </c>
      <c r="BY611" s="5">
        <f t="shared" si="381"/>
        <v>9733.3878435949191</v>
      </c>
      <c r="BZ611" s="5">
        <f>INDEX('Team forecast'!$R$3:$BH$26,MATCH($B611,'Team forecast'!$B$3:$B$26,0),MATCH(BZ$1,'Team forecast'!$R$2:$BH$2,0))*($BX611-(BY611+CH611)*0.01)</f>
        <v>-4562.0429047500866</v>
      </c>
      <c r="CA611" s="5">
        <f>INDEX('Team forecast'!$R$3:$BH$26,MATCH($B611,'Team forecast'!$B$3:$B$26,0),MATCH(CA$1,'Team forecast'!$R$2:$BH$2,0))*($BX611-(BY611+BX611+CH611)*0.01)</f>
        <v>-2242.365097672553</v>
      </c>
      <c r="CB611" s="5">
        <f>INDEX('Team forecast'!$R$3:$BH$26,MATCH($B611,'Team forecast'!$B$3:$B$26,0),MATCH(CB$1,'Team forecast'!$R$2:$BH$2,0))*($BX611-(BY611+BX611*2+CH611)*0.01)</f>
        <v>-1082.7435294913676</v>
      </c>
      <c r="CC611" s="5">
        <f>INDEX('Team forecast'!$R$3:$BH$26,MATCH($B611,'Team forecast'!$B$3:$B$26,0),MATCH(CC$1,'Team forecast'!$R$2:$BH$2,0))*($BX611-(BY611+BX611*3+CH611)*0.01)</f>
        <v>-489.96557382074195</v>
      </c>
      <c r="CD611" s="5">
        <f>+AK611+BD611*Cockpit!$C$3+BW611*Cockpit!$C$3^2+BZ611*Cockpit!$C$3^3+CA611*Cockpit!$C$3^4+CB611*Cockpit!$C$3^5+CC611*Cockpit!$C$3^6</f>
        <v>6048.5024155236051</v>
      </c>
      <c r="CE611" s="5"/>
      <c r="CF611" s="5"/>
      <c r="CG611" s="5">
        <v>0</v>
      </c>
      <c r="CH611" s="5">
        <f t="shared" si="382"/>
        <v>2000000</v>
      </c>
      <c r="CI611" s="5">
        <f t="shared" si="383"/>
        <v>2000000</v>
      </c>
      <c r="CJ611" s="1">
        <f t="shared" si="384"/>
        <v>4.8666939217974596E-3</v>
      </c>
      <c r="CK611" s="5">
        <f>RANK(BY611,$BY$2:$BY$623)+COUNTIF($BY$2:$BY611,$BY611)-1</f>
        <v>398</v>
      </c>
      <c r="CL611" s="5">
        <f>RANK(CJ611,$CJ$2:$CJ$623)+COUNTIF($CJ$2:$CJ611,$CJ611)-1</f>
        <v>396</v>
      </c>
    </row>
    <row r="612" spans="1:90">
      <c r="A612" t="str">
        <f>Players!P613</f>
        <v>Sauli S. Väisänen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2000000</v>
      </c>
      <c r="H612" s="16">
        <f>INDEX('Team forecast'!$B$2:$AO$26,MATCH('Master data'!$B612,'Team forecast'!$B$2:$B$26,0),MATCH('Master data'!H$1,'Team forecast'!$B$2:$AO$2,0))</f>
        <v>0.59952758650922311</v>
      </c>
      <c r="I612" s="16">
        <f>INDEX('Team forecast'!$B$2:$AO$26,MATCH('Master data'!$B612,'Team forecast'!$B$2:$B$26,0),MATCH('Master data'!I$1,'Team forecast'!$B$2:$AO$2,0))</f>
        <v>1.6608440904336361</v>
      </c>
      <c r="J612" s="16">
        <f>INDEX('Team forecast'!$B$2:$AO$26,MATCH('Master data'!$B612,'Team forecast'!$B$2:$B$26,0),MATCH('Master data'!J$1,'Team forecast'!$B$2:$AO$2,0))</f>
        <v>0.18997855332423469</v>
      </c>
      <c r="K612" s="16">
        <f>INDEX('Team forecast'!$B$2:$AO$26,MATCH('Master data'!$B612,'Team forecast'!$B$2:$B$26,0),MATCH('Master data'!K$1,'Team forecast'!$B$2:$AO$2,0))</f>
        <v>1.9681461173282577</v>
      </c>
      <c r="L612" s="16">
        <f>INDEX('Team forecast'!$B$2:$AO$26,MATCH('Master data'!$B612,'Team forecast'!$B$2:$B$26,0),MATCH('Master data'!L$1,'Team forecast'!$B$2:$AO$2,0))</f>
        <v>4.718659845717994</v>
      </c>
      <c r="M612">
        <f>IF(Players!BC613=1,95,0)</f>
        <v>0</v>
      </c>
      <c r="N612" s="2">
        <f>Players!BN613</f>
        <v>0</v>
      </c>
      <c r="O612" s="2">
        <f>Players!BO613</f>
        <v>0</v>
      </c>
      <c r="P612" s="2">
        <f>Players!BP613</f>
        <v>0</v>
      </c>
      <c r="Q612" s="2">
        <f>Players!BQ613</f>
        <v>0.1682688927943761</v>
      </c>
      <c r="R612" s="2">
        <f>Players!BR613</f>
        <v>0</v>
      </c>
      <c r="S612" s="2">
        <f t="shared" si="343"/>
        <v>0.59952758650922311</v>
      </c>
      <c r="T612" s="2">
        <f t="shared" si="344"/>
        <v>1.6608440904336361</v>
      </c>
      <c r="U612" s="16">
        <f>INDEX('Team forecast'!$B$2:$AO$26,MATCH('Master data'!$B612,'Team forecast'!$B$2:$B$26,0),MATCH('Master data'!U$1,'Team forecast'!$B$2:$AO$2,0))</f>
        <v>0.1187365958276467</v>
      </c>
      <c r="V612" s="16">
        <f>INDEX('Team forecast'!$B$2:$AO$26,MATCH('Master data'!$B612,'Team forecast'!$B$2:$B$26,0),MATCH('Master data'!V$1,'Team forecast'!$B$2:$AO$2,0))</f>
        <v>0.22616494443361279</v>
      </c>
      <c r="W612" s="16">
        <f>INDEX('Team forecast'!$B$2:$AO$26,MATCH('Master data'!$B612,'Team forecast'!$B$2:$B$26,0),MATCH('Master data'!W$1,'Team forecast'!$B$2:$AO$2,0))</f>
        <v>0.65509845973874048</v>
      </c>
      <c r="X612" s="5">
        <f t="shared" si="345"/>
        <v>-5000</v>
      </c>
      <c r="Y612" s="5">
        <f t="shared" si="346"/>
        <v>0</v>
      </c>
      <c r="Z612" s="5">
        <f t="shared" si="347"/>
        <v>0</v>
      </c>
      <c r="AA612" s="5">
        <f t="shared" si="348"/>
        <v>0</v>
      </c>
      <c r="AB612" s="5">
        <f t="shared" si="349"/>
        <v>0</v>
      </c>
      <c r="AC612" s="5">
        <f t="shared" si="350"/>
        <v>0</v>
      </c>
      <c r="AD612" s="5">
        <f t="shared" si="351"/>
        <v>0</v>
      </c>
      <c r="AE612" s="5">
        <f t="shared" si="352"/>
        <v>9498.9276662117336</v>
      </c>
      <c r="AF612" s="5">
        <f t="shared" si="353"/>
        <v>0</v>
      </c>
      <c r="AG612" s="5">
        <f t="shared" si="354"/>
        <v>0</v>
      </c>
      <c r="AH612" s="5">
        <f t="shared" si="355"/>
        <v>0</v>
      </c>
      <c r="AI612" s="5">
        <f t="shared" si="356"/>
        <v>0</v>
      </c>
      <c r="AJ612" s="5">
        <f t="shared" si="357"/>
        <v>0</v>
      </c>
      <c r="AK612" s="5">
        <f>IFERROR(SUM(X612:AJ612),-5000)*((Cockpit!$C$3)^0)</f>
        <v>4498.9276662117336</v>
      </c>
      <c r="AL612" s="16">
        <f>INDEX('Team forecast'!$B$2:$AO$26,MATCH('Master data'!$B612,'Team forecast'!$B$2:$B$26,0),MATCH('Master data'!AL$1,'Team forecast'!$B$2:$AO$2,0))</f>
        <v>0.75781731816731412</v>
      </c>
      <c r="AM612" s="16">
        <f>INDEX('Team forecast'!$B$2:$AO$26,MATCH('Master data'!$B612,'Team forecast'!$B$2:$B$26,0),MATCH('Master data'!AM$1,'Team forecast'!$B$2:$AO$2,0))</f>
        <v>1.5687475343836428</v>
      </c>
      <c r="AN612" s="16">
        <f>INDEX('Team forecast'!$B$2:$AO$26,MATCH('Master data'!$B612,'Team forecast'!$B$2:$B$26,0),MATCH('Master data'!AN$1,'Team forecast'!$B$2:$AO$2,0))</f>
        <v>0.20830591503984791</v>
      </c>
      <c r="AO612" s="16">
        <f>INDEX('Team forecast'!$B$2:$AO$26,MATCH('Master data'!$B612,'Team forecast'!$B$2:$B$26,0),MATCH('Master data'!AO$1,'Team forecast'!$B$2:$AO$2,0))</f>
        <v>2.4877841252967383</v>
      </c>
      <c r="AP612" s="16">
        <f>INDEX('Team forecast'!$B$2:$AO$26,MATCH('Master data'!$B612,'Team forecast'!$B$2:$B$26,0),MATCH('Master data'!AP$1,'Team forecast'!$B$2:$AO$2,0))</f>
        <v>4.4570023406787609</v>
      </c>
      <c r="AQ612" s="5">
        <f t="shared" si="358"/>
        <v>-5000</v>
      </c>
      <c r="AR612" s="5">
        <f>INDEX('Team forecast'!$B$2:$AO$26,MATCH('Master data'!$B612,'Team forecast'!$B$2:$B$26,0),MATCH('Master data'!AR$1,'Team forecast'!$B$2:$AO$2,0))*IF(X612&gt;0,25000,0)</f>
        <v>0</v>
      </c>
      <c r="AS612" s="16">
        <f>INDEX('Team forecast'!$B$2:$AO$26,MATCH('Master data'!$B612,'Team forecast'!$B$2:$B$26,0),MATCH('Master data'!AS$1,'Team forecast'!$B$2:$AO$2,0))*IF(X612&gt;0,5000,0)</f>
        <v>0</v>
      </c>
      <c r="AT612" s="16">
        <f>INDEX('Team forecast'!$B$2:$AO$26,MATCH('Master data'!$B612,'Team forecast'!$B$2:$B$26,0),MATCH('Master data'!AT$1,'Team forecast'!$B$2:$AO$2,0))*IF(X612&gt;0,-15000,0)</f>
        <v>0</v>
      </c>
      <c r="AU612" s="5">
        <f t="shared" si="359"/>
        <v>0</v>
      </c>
      <c r="AV612" s="5">
        <f t="shared" si="360"/>
        <v>0</v>
      </c>
      <c r="AW612" s="5">
        <f t="shared" si="361"/>
        <v>0</v>
      </c>
      <c r="AX612" s="5">
        <f t="shared" si="362"/>
        <v>10415.295751992395</v>
      </c>
      <c r="AY612" s="5">
        <f t="shared" si="363"/>
        <v>0</v>
      </c>
      <c r="AZ612" s="5">
        <f t="shared" si="364"/>
        <v>0</v>
      </c>
      <c r="BA612" s="5">
        <f t="shared" si="365"/>
        <v>0</v>
      </c>
      <c r="BB612" s="5">
        <f t="shared" si="366"/>
        <v>0</v>
      </c>
      <c r="BC612" s="5">
        <f t="shared" si="367"/>
        <v>0</v>
      </c>
      <c r="BD612" s="5">
        <f t="shared" si="368"/>
        <v>5415.2957519923948</v>
      </c>
      <c r="BE612" s="16">
        <f>INDEX('Team forecast'!$B$2:$AO$26,MATCH('Master data'!$B612,'Team forecast'!$B$2:$B$26,0),MATCH('Master data'!BE$1,'Team forecast'!$B$2:$AO$2,0))</f>
        <v>0.62462402002960304</v>
      </c>
      <c r="BF612" s="16">
        <f>INDEX('Team forecast'!$B$2:$AO$26,MATCH('Master data'!$B612,'Team forecast'!$B$2:$B$26,0),MATCH('Master data'!BF$1,'Team forecast'!$B$2:$AO$2,0))</f>
        <v>2.3394224481215296</v>
      </c>
      <c r="BG612" s="16">
        <f>INDEX('Team forecast'!$B$2:$AO$26,MATCH('Master data'!$B612,'Team forecast'!$B$2:$B$26,0),MATCH('Master data'!BG$1,'Team forecast'!$B$2:$AO$2,0))</f>
        <v>9.6383288507815829E-2</v>
      </c>
      <c r="BH612" s="16">
        <f>INDEX('Team forecast'!$B$2:$AO$26,MATCH('Master data'!$B612,'Team forecast'!$B$2:$B$26,0),MATCH('Master data'!BH$1,'Team forecast'!$B$2:$AO$2,0))</f>
        <v>2.0505333990870809</v>
      </c>
      <c r="BI612" s="16">
        <f>INDEX('Team forecast'!$B$2:$AO$26,MATCH('Master data'!$B612,'Team forecast'!$B$2:$B$26,0),MATCH('Master data'!BI$1,'Team forecast'!$B$2:$AO$2,0))</f>
        <v>6.6465834040088314</v>
      </c>
      <c r="BJ612" s="5">
        <f t="shared" si="369"/>
        <v>-5000</v>
      </c>
      <c r="BK612" s="5">
        <f>INDEX('Team forecast'!$R$3:$BH$26,MATCH($B612,'Team forecast'!$B$3:$B$26,0),MATCH(BK$1,'Team forecast'!$R$2:$BH$2,0))*IF($X612&gt;0,25000,0)</f>
        <v>0</v>
      </c>
      <c r="BL612" s="5">
        <f>INDEX('Team forecast'!$R$3:$BH$26,MATCH($B612,'Team forecast'!$B$3:$B$26,0),MATCH(BL$1,'Team forecast'!$R$2:$BH$2,0))*IF($X612&gt;0,5000,0)</f>
        <v>0</v>
      </c>
      <c r="BM612" s="5">
        <f>INDEX('Team forecast'!$R$3:$BH$26,MATCH($B612,'Team forecast'!$B$3:$B$26,0),MATCH(BM$1,'Team forecast'!$R$2:$BH$2,0))*IF($X612&gt;0,-15000,0)</f>
        <v>0</v>
      </c>
      <c r="BN612" s="5">
        <f t="shared" si="370"/>
        <v>0</v>
      </c>
      <c r="BO612" s="5">
        <f t="shared" si="371"/>
        <v>0</v>
      </c>
      <c r="BP612" s="5">
        <f t="shared" si="372"/>
        <v>0</v>
      </c>
      <c r="BQ612" s="5">
        <f t="shared" si="373"/>
        <v>4819.1644253907916</v>
      </c>
      <c r="BR612" s="5">
        <f t="shared" si="374"/>
        <v>0</v>
      </c>
      <c r="BS612" s="5">
        <f t="shared" si="375"/>
        <v>0</v>
      </c>
      <c r="BT612" s="5">
        <f t="shared" si="376"/>
        <v>0</v>
      </c>
      <c r="BU612" s="5">
        <f t="shared" si="377"/>
        <v>0</v>
      </c>
      <c r="BV612" s="5">
        <f t="shared" si="378"/>
        <v>0</v>
      </c>
      <c r="BW612" s="5">
        <f t="shared" si="379"/>
        <v>-180.83557460920838</v>
      </c>
      <c r="BX612" s="5">
        <f t="shared" si="380"/>
        <v>3244.4626145316397</v>
      </c>
      <c r="BY612" s="5">
        <f t="shared" si="381"/>
        <v>9733.3878435949191</v>
      </c>
      <c r="BZ612" s="5">
        <f>INDEX('Team forecast'!$R$3:$BH$26,MATCH($B612,'Team forecast'!$B$3:$B$26,0),MATCH(BZ$1,'Team forecast'!$R$2:$BH$2,0))*($BX612-(BY612+CH612)*0.01)</f>
        <v>-4562.0429047500866</v>
      </c>
      <c r="CA612" s="5">
        <f>INDEX('Team forecast'!$R$3:$BH$26,MATCH($B612,'Team forecast'!$B$3:$B$26,0),MATCH(CA$1,'Team forecast'!$R$2:$BH$2,0))*($BX612-(BY612+BX612+CH612)*0.01)</f>
        <v>-2242.365097672553</v>
      </c>
      <c r="CB612" s="5">
        <f>INDEX('Team forecast'!$R$3:$BH$26,MATCH($B612,'Team forecast'!$B$3:$B$26,0),MATCH(CB$1,'Team forecast'!$R$2:$BH$2,0))*($BX612-(BY612+BX612*2+CH612)*0.01)</f>
        <v>-1082.7435294913676</v>
      </c>
      <c r="CC612" s="5">
        <f>INDEX('Team forecast'!$R$3:$BH$26,MATCH($B612,'Team forecast'!$B$3:$B$26,0),MATCH(CC$1,'Team forecast'!$R$2:$BH$2,0))*($BX612-(BY612+BX612*3+CH612)*0.01)</f>
        <v>-489.96557382074195</v>
      </c>
      <c r="CD612" s="5">
        <f>+AK612+BD612*Cockpit!$C$3+BW612*Cockpit!$C$3^2+BZ612*Cockpit!$C$3^3+CA612*Cockpit!$C$3^4+CB612*Cockpit!$C$3^5+CC612*Cockpit!$C$3^6</f>
        <v>6048.5024155236051</v>
      </c>
      <c r="CE612" s="5"/>
      <c r="CF612" s="5"/>
      <c r="CG612" s="5">
        <v>0</v>
      </c>
      <c r="CH612" s="5">
        <f t="shared" si="382"/>
        <v>2000000</v>
      </c>
      <c r="CI612" s="5">
        <f t="shared" si="383"/>
        <v>2000000</v>
      </c>
      <c r="CJ612" s="1">
        <f t="shared" si="384"/>
        <v>4.8666939217974596E-3</v>
      </c>
      <c r="CK612" s="5">
        <f>RANK(BY612,$BY$2:$BY$623)+COUNTIF($BY$2:$BY612,$BY612)-1</f>
        <v>399</v>
      </c>
      <c r="CL612" s="5">
        <f>RANK(CJ612,$CJ$2:$CJ$623)+COUNTIF($CJ$2:$CJ612,$CJ612)-1</f>
        <v>397</v>
      </c>
    </row>
    <row r="613" spans="1:90">
      <c r="A613" t="str">
        <f>Players!P614</f>
        <v>Jukka Raitala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0.59952758650922311</v>
      </c>
      <c r="I613" s="16">
        <f>INDEX('Team forecast'!$B$2:$AO$26,MATCH('Master data'!$B613,'Team forecast'!$B$2:$B$26,0),MATCH('Master data'!I$1,'Team forecast'!$B$2:$AO$2,0))</f>
        <v>1.6608440904336361</v>
      </c>
      <c r="J613" s="16">
        <f>INDEX('Team forecast'!$B$2:$AO$26,MATCH('Master data'!$B613,'Team forecast'!$B$2:$B$26,0),MATCH('Master data'!J$1,'Team forecast'!$B$2:$AO$2,0))</f>
        <v>0.18997855332423469</v>
      </c>
      <c r="K613" s="16">
        <f>INDEX('Team forecast'!$B$2:$AO$26,MATCH('Master data'!$B613,'Team forecast'!$B$2:$B$26,0),MATCH('Master data'!K$1,'Team forecast'!$B$2:$AO$2,0))</f>
        <v>1.9681461173282577</v>
      </c>
      <c r="L613" s="16">
        <f>INDEX('Team forecast'!$B$2:$AO$26,MATCH('Master data'!$B613,'Team forecast'!$B$2:$B$26,0),MATCH('Master data'!L$1,'Team forecast'!$B$2:$AO$2,0))</f>
        <v>4.718659845717994</v>
      </c>
      <c r="M613">
        <f>IF(Players!BC614=1,95,0)</f>
        <v>95</v>
      </c>
      <c r="N613" s="2">
        <f>Players!BN614</f>
        <v>2.5077846842091522E-2</v>
      </c>
      <c r="O613" s="2">
        <f>Players!BO614</f>
        <v>2.3320321842950534E-2</v>
      </c>
      <c r="P613" s="2">
        <f>Players!BP614</f>
        <v>4.7228794788306473E-2</v>
      </c>
      <c r="Q613" s="2">
        <f>Players!BQ614</f>
        <v>0.13951612903225807</v>
      </c>
      <c r="R613" s="2">
        <f>Players!BR614</f>
        <v>0</v>
      </c>
      <c r="S613" s="2">
        <f t="shared" si="343"/>
        <v>0.59952758650922311</v>
      </c>
      <c r="T613" s="2">
        <f t="shared" si="344"/>
        <v>1.6608440904336361</v>
      </c>
      <c r="U613" s="16">
        <f>INDEX('Team forecast'!$B$2:$AO$26,MATCH('Master data'!$B613,'Team forecast'!$B$2:$B$26,0),MATCH('Master data'!U$1,'Team forecast'!$B$2:$AO$2,0))</f>
        <v>0.1187365958276467</v>
      </c>
      <c r="V613" s="16">
        <f>INDEX('Team forecast'!$B$2:$AO$26,MATCH('Master data'!$B613,'Team forecast'!$B$2:$B$26,0),MATCH('Master data'!V$1,'Team forecast'!$B$2:$AO$2,0))</f>
        <v>0.22616494443361279</v>
      </c>
      <c r="W613" s="16">
        <f>INDEX('Team forecast'!$B$2:$AO$26,MATCH('Master data'!$B613,'Team forecast'!$B$2:$B$26,0),MATCH('Master data'!W$1,'Team forecast'!$B$2:$AO$2,0))</f>
        <v>0.65509845973874048</v>
      </c>
      <c r="X613" s="5">
        <f t="shared" si="345"/>
        <v>7000</v>
      </c>
      <c r="Y613" s="5">
        <f t="shared" si="346"/>
        <v>2968.4148956911677</v>
      </c>
      <c r="Z613" s="5">
        <f t="shared" si="347"/>
        <v>1130.824722168064</v>
      </c>
      <c r="AA613" s="5">
        <f t="shared" si="348"/>
        <v>-9826.476896081107</v>
      </c>
      <c r="AB613" s="5">
        <f t="shared" si="349"/>
        <v>2255.2291488130609</v>
      </c>
      <c r="AC613" s="5">
        <f t="shared" si="350"/>
        <v>699.05881355612257</v>
      </c>
      <c r="AD613" s="5">
        <f t="shared" si="351"/>
        <v>929.53169088698439</v>
      </c>
      <c r="AE613" s="5">
        <f t="shared" si="352"/>
        <v>9498.9276662117336</v>
      </c>
      <c r="AF613" s="5">
        <f t="shared" si="353"/>
        <v>0</v>
      </c>
      <c r="AG613" s="5">
        <f t="shared" si="354"/>
        <v>-2790.3225806451615</v>
      </c>
      <c r="AH613" s="5">
        <f t="shared" si="355"/>
        <v>0</v>
      </c>
      <c r="AI613" s="5">
        <f t="shared" si="356"/>
        <v>5995.2758650922315</v>
      </c>
      <c r="AJ613" s="5">
        <f t="shared" si="357"/>
        <v>-13286.75272346909</v>
      </c>
      <c r="AK613" s="5">
        <f>IFERROR(SUM(X613:AJ613),-5000)*((Cockpit!$C$3)^0)</f>
        <v>4573.7106022240077</v>
      </c>
      <c r="AL613" s="16">
        <f>INDEX('Team forecast'!$B$2:$AO$26,MATCH('Master data'!$B613,'Team forecast'!$B$2:$B$26,0),MATCH('Master data'!AL$1,'Team forecast'!$B$2:$AO$2,0))</f>
        <v>0.75781731816731412</v>
      </c>
      <c r="AM613" s="16">
        <f>INDEX('Team forecast'!$B$2:$AO$26,MATCH('Master data'!$B613,'Team forecast'!$B$2:$B$26,0),MATCH('Master data'!AM$1,'Team forecast'!$B$2:$AO$2,0))</f>
        <v>1.5687475343836428</v>
      </c>
      <c r="AN613" s="16">
        <f>INDEX('Team forecast'!$B$2:$AO$26,MATCH('Master data'!$B613,'Team forecast'!$B$2:$B$26,0),MATCH('Master data'!AN$1,'Team forecast'!$B$2:$AO$2,0))</f>
        <v>0.20830591503984791</v>
      </c>
      <c r="AO613" s="16">
        <f>INDEX('Team forecast'!$B$2:$AO$26,MATCH('Master data'!$B613,'Team forecast'!$B$2:$B$26,0),MATCH('Master data'!AO$1,'Team forecast'!$B$2:$AO$2,0))</f>
        <v>2.4877841252967383</v>
      </c>
      <c r="AP613" s="16">
        <f>INDEX('Team forecast'!$B$2:$AO$26,MATCH('Master data'!$B613,'Team forecast'!$B$2:$B$26,0),MATCH('Master data'!AP$1,'Team forecast'!$B$2:$AO$2,0))</f>
        <v>4.4570023406787609</v>
      </c>
      <c r="AQ613" s="5">
        <f t="shared" si="358"/>
        <v>7000</v>
      </c>
      <c r="AR613" s="5">
        <f>INDEX('Team forecast'!$B$2:$AO$26,MATCH('Master data'!$B613,'Team forecast'!$B$2:$B$26,0),MATCH('Master data'!AR$1,'Team forecast'!$B$2:$AO$2,0))*IF(X613&gt;0,25000,0)</f>
        <v>4463.6981794253124</v>
      </c>
      <c r="AS613" s="16">
        <f>INDEX('Team forecast'!$B$2:$AO$26,MATCH('Master data'!$B613,'Team forecast'!$B$2:$B$26,0),MATCH('Master data'!AS$1,'Team forecast'!$B$2:$AO$2,0))*IF(X613&gt;0,5000,0)</f>
        <v>1266.7251590261019</v>
      </c>
      <c r="AT613" s="16">
        <f>INDEX('Team forecast'!$B$2:$AO$26,MATCH('Master data'!$B613,'Team forecast'!$B$2:$B$26,0),MATCH('Master data'!AT$1,'Team forecast'!$B$2:$AO$2,0))*IF(X613&gt;0,-15000,0)</f>
        <v>-8521.6056152665042</v>
      </c>
      <c r="AU613" s="5">
        <f t="shared" si="359"/>
        <v>2850.6639958926667</v>
      </c>
      <c r="AV613" s="5">
        <f t="shared" si="360"/>
        <v>883.62718789117048</v>
      </c>
      <c r="AW613" s="5">
        <f t="shared" si="361"/>
        <v>1174.9504593124616</v>
      </c>
      <c r="AX613" s="5">
        <f t="shared" si="362"/>
        <v>10415.295751992395</v>
      </c>
      <c r="AY613" s="5">
        <f t="shared" si="363"/>
        <v>0</v>
      </c>
      <c r="AZ613" s="5">
        <f t="shared" si="364"/>
        <v>-2790.3225806451615</v>
      </c>
      <c r="BA613" s="5">
        <f t="shared" si="365"/>
        <v>0</v>
      </c>
      <c r="BB613" s="5">
        <f t="shared" si="366"/>
        <v>7578.1731816731417</v>
      </c>
      <c r="BC613" s="5">
        <f t="shared" si="367"/>
        <v>-12549.980275069141</v>
      </c>
      <c r="BD613" s="5">
        <f t="shared" si="368"/>
        <v>11771.225444232441</v>
      </c>
      <c r="BE613" s="16">
        <f>INDEX('Team forecast'!$B$2:$AO$26,MATCH('Master data'!$B613,'Team forecast'!$B$2:$B$26,0),MATCH('Master data'!BE$1,'Team forecast'!$B$2:$AO$2,0))</f>
        <v>0.62462402002960304</v>
      </c>
      <c r="BF613" s="16">
        <f>INDEX('Team forecast'!$B$2:$AO$26,MATCH('Master data'!$B613,'Team forecast'!$B$2:$B$26,0),MATCH('Master data'!BF$1,'Team forecast'!$B$2:$AO$2,0))</f>
        <v>2.3394224481215296</v>
      </c>
      <c r="BG613" s="16">
        <f>INDEX('Team forecast'!$B$2:$AO$26,MATCH('Master data'!$B613,'Team forecast'!$B$2:$B$26,0),MATCH('Master data'!BG$1,'Team forecast'!$B$2:$AO$2,0))</f>
        <v>9.6383288507815829E-2</v>
      </c>
      <c r="BH613" s="16">
        <f>INDEX('Team forecast'!$B$2:$AO$26,MATCH('Master data'!$B613,'Team forecast'!$B$2:$B$26,0),MATCH('Master data'!BH$1,'Team forecast'!$B$2:$AO$2,0))</f>
        <v>2.0505333990870809</v>
      </c>
      <c r="BI613" s="16">
        <f>INDEX('Team forecast'!$B$2:$AO$26,MATCH('Master data'!$B613,'Team forecast'!$B$2:$B$26,0),MATCH('Master data'!BI$1,'Team forecast'!$B$2:$AO$2,0))</f>
        <v>6.6465834040088314</v>
      </c>
      <c r="BJ613" s="5">
        <f t="shared" si="369"/>
        <v>7000</v>
      </c>
      <c r="BK613" s="5">
        <f>INDEX('Team forecast'!$R$3:$BH$26,MATCH($B613,'Team forecast'!$B$3:$B$26,0),MATCH(BK$1,'Team forecast'!$R$2:$BH$2,0))*IF($X613&gt;0,25000,0)</f>
        <v>1554.5691694809007</v>
      </c>
      <c r="BL613" s="5">
        <f>INDEX('Team forecast'!$R$3:$BH$26,MATCH($B613,'Team forecast'!$B$3:$B$26,0),MATCH(BL$1,'Team forecast'!$R$2:$BH$2,0))*IF($X613&gt;0,5000,0)</f>
        <v>771.06630806252645</v>
      </c>
      <c r="BM613" s="5">
        <f>INDEX('Team forecast'!$R$3:$BH$26,MATCH($B613,'Team forecast'!$B$3:$B$26,0),MATCH(BM$1,'Team forecast'!$R$2:$BH$2,0))*IF($X613&gt;0,-15000,0)</f>
        <v>-11754.059574123881</v>
      </c>
      <c r="BN613" s="5">
        <f t="shared" si="370"/>
        <v>2349.6338262290838</v>
      </c>
      <c r="BO613" s="5">
        <f t="shared" si="371"/>
        <v>728.32165889639623</v>
      </c>
      <c r="BP613" s="5">
        <f t="shared" si="372"/>
        <v>968.44221112052276</v>
      </c>
      <c r="BQ613" s="5">
        <f t="shared" si="373"/>
        <v>4819.1644253907916</v>
      </c>
      <c r="BR613" s="5">
        <f t="shared" si="374"/>
        <v>0</v>
      </c>
      <c r="BS613" s="5">
        <f t="shared" si="375"/>
        <v>-2790.3225806451615</v>
      </c>
      <c r="BT613" s="5">
        <f t="shared" si="376"/>
        <v>0</v>
      </c>
      <c r="BU613" s="5">
        <f t="shared" si="377"/>
        <v>6246.2402002960307</v>
      </c>
      <c r="BV613" s="5">
        <f t="shared" si="378"/>
        <v>-18715.379584972237</v>
      </c>
      <c r="BW613" s="5">
        <f t="shared" si="379"/>
        <v>-8822.323940265027</v>
      </c>
      <c r="BX613" s="5">
        <f t="shared" si="380"/>
        <v>2507.5373687304741</v>
      </c>
      <c r="BY613" s="5">
        <f t="shared" si="381"/>
        <v>7522.6121061914218</v>
      </c>
      <c r="BZ613" s="5">
        <f>INDEX('Team forecast'!$R$3:$BH$26,MATCH($B613,'Team forecast'!$B$3:$B$26,0),MATCH(BZ$1,'Team forecast'!$R$2:$BH$2,0))*($BX613-(BY613+CH613)*0.01)</f>
        <v>-6109.0340474914674</v>
      </c>
      <c r="CA613" s="5">
        <f>INDEX('Team forecast'!$R$3:$BH$26,MATCH($B613,'Team forecast'!$B$3:$B$26,0),MATCH(CA$1,'Team forecast'!$R$2:$BH$2,0))*($BX613-(BY613+BX613+CH613)*0.01)</f>
        <v>-3000.3125831946804</v>
      </c>
      <c r="CB613" s="5">
        <f>INDEX('Team forecast'!$R$3:$BH$26,MATCH($B613,'Team forecast'!$B$3:$B$26,0),MATCH(CB$1,'Team forecast'!$R$2:$BH$2,0))*($BX613-(BY613+BX613*2+CH613)*0.01)</f>
        <v>-1447.5508945724814</v>
      </c>
      <c r="CC613" s="5">
        <f>INDEX('Team forecast'!$R$3:$BH$26,MATCH($B613,'Team forecast'!$B$3:$B$26,0),MATCH(CC$1,'Team forecast'!$R$2:$BH$2,0))*($BX613-(BY613+BX613*3+CH613)*0.01)</f>
        <v>-654.52003003809318</v>
      </c>
      <c r="CD613" s="5">
        <f>+AK613+BD613*Cockpit!$C$3+BW613*Cockpit!$C$3^2+BZ613*Cockpit!$C$3^3+CA613*Cockpit!$C$3^4+CB613*Cockpit!$C$3^5+CC613*Cockpit!$C$3^6</f>
        <v>5849.3375915402094</v>
      </c>
      <c r="CE613" s="5"/>
      <c r="CF613" s="5"/>
      <c r="CG613" s="5">
        <v>0</v>
      </c>
      <c r="CH613" s="5">
        <f t="shared" si="382"/>
        <v>2500000</v>
      </c>
      <c r="CI613" s="5">
        <f t="shared" si="383"/>
        <v>2500000</v>
      </c>
      <c r="CJ613" s="1">
        <f t="shared" si="384"/>
        <v>3.0090448424765688E-3</v>
      </c>
      <c r="CK613" s="5">
        <f>RANK(BY613,$BY$2:$BY$623)+COUNTIF($BY$2:$BY613,$BY613)-1</f>
        <v>403</v>
      </c>
      <c r="CL613" s="5">
        <f>RANK(CJ613,$CJ$2:$CJ$623)+COUNTIF($CJ$2:$CJ613,$CJ613)-1</f>
        <v>403</v>
      </c>
    </row>
    <row r="614" spans="1:90">
      <c r="A614" t="str">
        <f>Players!P615</f>
        <v>Paulus Arajuuri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2500000</v>
      </c>
      <c r="H614" s="16">
        <f>INDEX('Team forecast'!$B$2:$AO$26,MATCH('Master data'!$B614,'Team forecast'!$B$2:$B$26,0),MATCH('Master data'!H$1,'Team forecast'!$B$2:$AO$2,0))</f>
        <v>0.59952758650922311</v>
      </c>
      <c r="I614" s="16">
        <f>INDEX('Team forecast'!$B$2:$AO$26,MATCH('Master data'!$B614,'Team forecast'!$B$2:$B$26,0),MATCH('Master data'!I$1,'Team forecast'!$B$2:$AO$2,0))</f>
        <v>1.6608440904336361</v>
      </c>
      <c r="J614" s="16">
        <f>INDEX('Team forecast'!$B$2:$AO$26,MATCH('Master data'!$B614,'Team forecast'!$B$2:$B$26,0),MATCH('Master data'!J$1,'Team forecast'!$B$2:$AO$2,0))</f>
        <v>0.18997855332423469</v>
      </c>
      <c r="K614" s="16">
        <f>INDEX('Team forecast'!$B$2:$AO$26,MATCH('Master data'!$B614,'Team forecast'!$B$2:$B$26,0),MATCH('Master data'!K$1,'Team forecast'!$B$2:$AO$2,0))</f>
        <v>1.9681461173282577</v>
      </c>
      <c r="L614" s="16">
        <f>INDEX('Team forecast'!$B$2:$AO$26,MATCH('Master data'!$B614,'Team forecast'!$B$2:$B$26,0),MATCH('Master data'!L$1,'Team forecast'!$B$2:$AO$2,0))</f>
        <v>4.718659845717994</v>
      </c>
      <c r="M614">
        <f>IF(Players!BC615=1,95,0)</f>
        <v>95</v>
      </c>
      <c r="N614" s="2">
        <f>Players!BN615</f>
        <v>2.5077846842091522E-2</v>
      </c>
      <c r="O614" s="2">
        <f>Players!BO615</f>
        <v>1.8656257474360421E-2</v>
      </c>
      <c r="P614" s="2">
        <f>Players!BP615</f>
        <v>0</v>
      </c>
      <c r="Q614" s="2">
        <f>Players!BQ615</f>
        <v>7.0000000000000007E-2</v>
      </c>
      <c r="R614" s="2">
        <f>Players!BR615</f>
        <v>0</v>
      </c>
      <c r="S614" s="2">
        <f t="shared" si="343"/>
        <v>0.59952758650922311</v>
      </c>
      <c r="T614" s="2">
        <f t="shared" si="344"/>
        <v>1.6608440904336361</v>
      </c>
      <c r="U614" s="16">
        <f>INDEX('Team forecast'!$B$2:$AO$26,MATCH('Master data'!$B614,'Team forecast'!$B$2:$B$26,0),MATCH('Master data'!U$1,'Team forecast'!$B$2:$AO$2,0))</f>
        <v>0.1187365958276467</v>
      </c>
      <c r="V614" s="16">
        <f>INDEX('Team forecast'!$B$2:$AO$26,MATCH('Master data'!$B614,'Team forecast'!$B$2:$B$26,0),MATCH('Master data'!V$1,'Team forecast'!$B$2:$AO$2,0))</f>
        <v>0.22616494443361279</v>
      </c>
      <c r="W614" s="16">
        <f>INDEX('Team forecast'!$B$2:$AO$26,MATCH('Master data'!$B614,'Team forecast'!$B$2:$B$26,0),MATCH('Master data'!W$1,'Team forecast'!$B$2:$AO$2,0))</f>
        <v>0.65509845973874048</v>
      </c>
      <c r="X614" s="5">
        <f t="shared" si="345"/>
        <v>7000</v>
      </c>
      <c r="Y614" s="5">
        <f t="shared" si="346"/>
        <v>2968.4148956911677</v>
      </c>
      <c r="Z614" s="5">
        <f t="shared" si="347"/>
        <v>1130.824722168064</v>
      </c>
      <c r="AA614" s="5">
        <f t="shared" si="348"/>
        <v>-9826.476896081107</v>
      </c>
      <c r="AB614" s="5">
        <f t="shared" si="349"/>
        <v>2255.2291488130609</v>
      </c>
      <c r="AC614" s="5">
        <f t="shared" si="350"/>
        <v>559.2470508448979</v>
      </c>
      <c r="AD614" s="5">
        <f t="shared" si="351"/>
        <v>0</v>
      </c>
      <c r="AE614" s="5">
        <f t="shared" si="352"/>
        <v>9498.9276662117336</v>
      </c>
      <c r="AF614" s="5">
        <f t="shared" si="353"/>
        <v>0</v>
      </c>
      <c r="AG614" s="5">
        <f t="shared" si="354"/>
        <v>-1400.0000000000002</v>
      </c>
      <c r="AH614" s="5">
        <f t="shared" si="355"/>
        <v>0</v>
      </c>
      <c r="AI614" s="5">
        <f t="shared" si="356"/>
        <v>5995.2758650922315</v>
      </c>
      <c r="AJ614" s="5">
        <f t="shared" si="357"/>
        <v>-13286.75272346909</v>
      </c>
      <c r="AK614" s="5">
        <f>IFERROR(SUM(X614:AJ614),-5000)*((Cockpit!$C$3)^0)</f>
        <v>4894.6897292709582</v>
      </c>
      <c r="AL614" s="16">
        <f>INDEX('Team forecast'!$B$2:$AO$26,MATCH('Master data'!$B614,'Team forecast'!$B$2:$B$26,0),MATCH('Master data'!AL$1,'Team forecast'!$B$2:$AO$2,0))</f>
        <v>0.75781731816731412</v>
      </c>
      <c r="AM614" s="16">
        <f>INDEX('Team forecast'!$B$2:$AO$26,MATCH('Master data'!$B614,'Team forecast'!$B$2:$B$26,0),MATCH('Master data'!AM$1,'Team forecast'!$B$2:$AO$2,0))</f>
        <v>1.5687475343836428</v>
      </c>
      <c r="AN614" s="16">
        <f>INDEX('Team forecast'!$B$2:$AO$26,MATCH('Master data'!$B614,'Team forecast'!$B$2:$B$26,0),MATCH('Master data'!AN$1,'Team forecast'!$B$2:$AO$2,0))</f>
        <v>0.20830591503984791</v>
      </c>
      <c r="AO614" s="16">
        <f>INDEX('Team forecast'!$B$2:$AO$26,MATCH('Master data'!$B614,'Team forecast'!$B$2:$B$26,0),MATCH('Master data'!AO$1,'Team forecast'!$B$2:$AO$2,0))</f>
        <v>2.4877841252967383</v>
      </c>
      <c r="AP614" s="16">
        <f>INDEX('Team forecast'!$B$2:$AO$26,MATCH('Master data'!$B614,'Team forecast'!$B$2:$B$26,0),MATCH('Master data'!AP$1,'Team forecast'!$B$2:$AO$2,0))</f>
        <v>4.4570023406787609</v>
      </c>
      <c r="AQ614" s="5">
        <f t="shared" si="358"/>
        <v>7000</v>
      </c>
      <c r="AR614" s="5">
        <f>INDEX('Team forecast'!$B$2:$AO$26,MATCH('Master data'!$B614,'Team forecast'!$B$2:$B$26,0),MATCH('Master data'!AR$1,'Team forecast'!$B$2:$AO$2,0))*IF(X614&gt;0,25000,0)</f>
        <v>4463.6981794253124</v>
      </c>
      <c r="AS614" s="16">
        <f>INDEX('Team forecast'!$B$2:$AO$26,MATCH('Master data'!$B614,'Team forecast'!$B$2:$B$26,0),MATCH('Master data'!AS$1,'Team forecast'!$B$2:$AO$2,0))*IF(X614&gt;0,5000,0)</f>
        <v>1266.7251590261019</v>
      </c>
      <c r="AT614" s="16">
        <f>INDEX('Team forecast'!$B$2:$AO$26,MATCH('Master data'!$B614,'Team forecast'!$B$2:$B$26,0),MATCH('Master data'!AT$1,'Team forecast'!$B$2:$AO$2,0))*IF(X614&gt;0,-15000,0)</f>
        <v>-8521.6056152665042</v>
      </c>
      <c r="AU614" s="5">
        <f t="shared" si="359"/>
        <v>2850.6639958926667</v>
      </c>
      <c r="AV614" s="5">
        <f t="shared" si="360"/>
        <v>706.9017503129362</v>
      </c>
      <c r="AW614" s="5">
        <f t="shared" si="361"/>
        <v>0</v>
      </c>
      <c r="AX614" s="5">
        <f t="shared" si="362"/>
        <v>10415.295751992395</v>
      </c>
      <c r="AY614" s="5">
        <f t="shared" si="363"/>
        <v>0</v>
      </c>
      <c r="AZ614" s="5">
        <f t="shared" si="364"/>
        <v>-1400.0000000000002</v>
      </c>
      <c r="BA614" s="5">
        <f t="shared" si="365"/>
        <v>0</v>
      </c>
      <c r="BB614" s="5">
        <f t="shared" si="366"/>
        <v>7578.1731816731417</v>
      </c>
      <c r="BC614" s="5">
        <f t="shared" si="367"/>
        <v>-12549.980275069141</v>
      </c>
      <c r="BD614" s="5">
        <f t="shared" si="368"/>
        <v>11809.872127986906</v>
      </c>
      <c r="BE614" s="16">
        <f>INDEX('Team forecast'!$B$2:$AO$26,MATCH('Master data'!$B614,'Team forecast'!$B$2:$B$26,0),MATCH('Master data'!BE$1,'Team forecast'!$B$2:$AO$2,0))</f>
        <v>0.62462402002960304</v>
      </c>
      <c r="BF614" s="16">
        <f>INDEX('Team forecast'!$B$2:$AO$26,MATCH('Master data'!$B614,'Team forecast'!$B$2:$B$26,0),MATCH('Master data'!BF$1,'Team forecast'!$B$2:$AO$2,0))</f>
        <v>2.3394224481215296</v>
      </c>
      <c r="BG614" s="16">
        <f>INDEX('Team forecast'!$B$2:$AO$26,MATCH('Master data'!$B614,'Team forecast'!$B$2:$B$26,0),MATCH('Master data'!BG$1,'Team forecast'!$B$2:$AO$2,0))</f>
        <v>9.6383288507815829E-2</v>
      </c>
      <c r="BH614" s="16">
        <f>INDEX('Team forecast'!$B$2:$AO$26,MATCH('Master data'!$B614,'Team forecast'!$B$2:$B$26,0),MATCH('Master data'!BH$1,'Team forecast'!$B$2:$AO$2,0))</f>
        <v>2.0505333990870809</v>
      </c>
      <c r="BI614" s="16">
        <f>INDEX('Team forecast'!$B$2:$AO$26,MATCH('Master data'!$B614,'Team forecast'!$B$2:$B$26,0),MATCH('Master data'!BI$1,'Team forecast'!$B$2:$AO$2,0))</f>
        <v>6.6465834040088314</v>
      </c>
      <c r="BJ614" s="5">
        <f t="shared" si="369"/>
        <v>7000</v>
      </c>
      <c r="BK614" s="5">
        <f>INDEX('Team forecast'!$R$3:$BH$26,MATCH($B614,'Team forecast'!$B$3:$B$26,0),MATCH(BK$1,'Team forecast'!$R$2:$BH$2,0))*IF($X614&gt;0,25000,0)</f>
        <v>1554.5691694809007</v>
      </c>
      <c r="BL614" s="5">
        <f>INDEX('Team forecast'!$R$3:$BH$26,MATCH($B614,'Team forecast'!$B$3:$B$26,0),MATCH(BL$1,'Team forecast'!$R$2:$BH$2,0))*IF($X614&gt;0,5000,0)</f>
        <v>771.06630806252645</v>
      </c>
      <c r="BM614" s="5">
        <f>INDEX('Team forecast'!$R$3:$BH$26,MATCH($B614,'Team forecast'!$B$3:$B$26,0),MATCH(BM$1,'Team forecast'!$R$2:$BH$2,0))*IF($X614&gt;0,-15000,0)</f>
        <v>-11754.059574123881</v>
      </c>
      <c r="BN614" s="5">
        <f t="shared" si="370"/>
        <v>2349.6338262290838</v>
      </c>
      <c r="BO614" s="5">
        <f t="shared" si="371"/>
        <v>582.65732711711678</v>
      </c>
      <c r="BP614" s="5">
        <f t="shared" si="372"/>
        <v>0</v>
      </c>
      <c r="BQ614" s="5">
        <f t="shared" si="373"/>
        <v>4819.1644253907916</v>
      </c>
      <c r="BR614" s="5">
        <f t="shared" si="374"/>
        <v>0</v>
      </c>
      <c r="BS614" s="5">
        <f t="shared" si="375"/>
        <v>-1400.0000000000002</v>
      </c>
      <c r="BT614" s="5">
        <f t="shared" si="376"/>
        <v>0</v>
      </c>
      <c r="BU614" s="5">
        <f t="shared" si="377"/>
        <v>6246.2402002960307</v>
      </c>
      <c r="BV614" s="5">
        <f t="shared" si="378"/>
        <v>-18715.379584972237</v>
      </c>
      <c r="BW614" s="5">
        <f t="shared" si="379"/>
        <v>-8546.1079025196668</v>
      </c>
      <c r="BX614" s="5">
        <f t="shared" si="380"/>
        <v>2719.4846515793993</v>
      </c>
      <c r="BY614" s="5">
        <f t="shared" si="381"/>
        <v>8158.4539547381974</v>
      </c>
      <c r="BZ614" s="5">
        <f>INDEX('Team forecast'!$R$3:$BH$26,MATCH($B614,'Team forecast'!$B$3:$B$26,0),MATCH(BZ$1,'Team forecast'!$R$2:$BH$2,0))*($BX614-(BY614+CH614)*0.01)</f>
        <v>-6053.3814999060742</v>
      </c>
      <c r="CA614" s="5">
        <f>INDEX('Team forecast'!$R$3:$BH$26,MATCH($B614,'Team forecast'!$B$3:$B$26,0),MATCH(CA$1,'Team forecast'!$R$2:$BH$2,0))*($BX614-(BY614+BX614+CH614)*0.01)</f>
        <v>-2973.2919064721591</v>
      </c>
      <c r="CB614" s="5">
        <f>INDEX('Team forecast'!$R$3:$BH$26,MATCH($B614,'Team forecast'!$B$3:$B$26,0),MATCH(CB$1,'Team forecast'!$R$2:$BH$2,0))*($BX614-(BY614+BX614*2+CH614)*0.01)</f>
        <v>-1434.6644181718755</v>
      </c>
      <c r="CC614" s="5">
        <f>INDEX('Team forecast'!$R$3:$BH$26,MATCH($B614,'Team forecast'!$B$3:$B$26,0),MATCH(CC$1,'Team forecast'!$R$2:$BH$2,0))*($BX614-(BY614+BX614*3+CH614)*0.01)</f>
        <v>-648.76104016644047</v>
      </c>
      <c r="CD614" s="5">
        <f>+AK614+BD614*Cockpit!$C$3+BW614*Cockpit!$C$3^2+BZ614*Cockpit!$C$3^3+CA614*Cockpit!$C$3^4+CB614*Cockpit!$C$3^5+CC614*Cockpit!$C$3^6</f>
        <v>6342.8734940973081</v>
      </c>
      <c r="CE614" s="5"/>
      <c r="CF614" s="5"/>
      <c r="CG614" s="5">
        <v>0</v>
      </c>
      <c r="CH614" s="5">
        <f t="shared" si="382"/>
        <v>2500000</v>
      </c>
      <c r="CI614" s="5">
        <f t="shared" si="383"/>
        <v>2500000</v>
      </c>
      <c r="CJ614" s="1">
        <f t="shared" si="384"/>
        <v>3.263381581895279E-3</v>
      </c>
      <c r="CK614" s="5">
        <f>RANK(BY614,$BY$2:$BY$623)+COUNTIF($BY$2:$BY614,$BY614)-1</f>
        <v>402</v>
      </c>
      <c r="CL614" s="5">
        <f>RANK(CJ614,$CJ$2:$CJ$623)+COUNTIF($CJ$2:$CJ614,$CJ614)-1</f>
        <v>402</v>
      </c>
    </row>
    <row r="615" spans="1:90">
      <c r="A615" t="str">
        <f>Players!P616</f>
        <v>Leo L. Väisänen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2000000</v>
      </c>
      <c r="H615" s="16">
        <f>INDEX('Team forecast'!$B$2:$AO$26,MATCH('Master data'!$B615,'Team forecast'!$B$2:$B$26,0),MATCH('Master data'!H$1,'Team forecast'!$B$2:$AO$2,0))</f>
        <v>0.59952758650922311</v>
      </c>
      <c r="I615" s="16">
        <f>INDEX('Team forecast'!$B$2:$AO$26,MATCH('Master data'!$B615,'Team forecast'!$B$2:$B$26,0),MATCH('Master data'!I$1,'Team forecast'!$B$2:$AO$2,0))</f>
        <v>1.6608440904336361</v>
      </c>
      <c r="J615" s="16">
        <f>INDEX('Team forecast'!$B$2:$AO$26,MATCH('Master data'!$B615,'Team forecast'!$B$2:$B$26,0),MATCH('Master data'!J$1,'Team forecast'!$B$2:$AO$2,0))</f>
        <v>0.18997855332423469</v>
      </c>
      <c r="K615" s="16">
        <f>INDEX('Team forecast'!$B$2:$AO$26,MATCH('Master data'!$B615,'Team forecast'!$B$2:$B$26,0),MATCH('Master data'!K$1,'Team forecast'!$B$2:$AO$2,0))</f>
        <v>1.9681461173282577</v>
      </c>
      <c r="L615" s="16">
        <f>INDEX('Team forecast'!$B$2:$AO$26,MATCH('Master data'!$B615,'Team forecast'!$B$2:$B$26,0),MATCH('Master data'!L$1,'Team forecast'!$B$2:$AO$2,0))</f>
        <v>4.718659845717994</v>
      </c>
      <c r="M615">
        <f>IF(Players!BC616=1,95,0)</f>
        <v>0</v>
      </c>
      <c r="N615" s="2">
        <f>Players!BN616</f>
        <v>0</v>
      </c>
      <c r="O615" s="2">
        <f>Players!BO616</f>
        <v>0</v>
      </c>
      <c r="P615" s="2">
        <f>Players!BP616</f>
        <v>0</v>
      </c>
      <c r="Q615" s="2">
        <f>Players!BQ616</f>
        <v>6.32688927943761E-2</v>
      </c>
      <c r="R615" s="2">
        <f>Players!BR616</f>
        <v>0</v>
      </c>
      <c r="S615" s="2">
        <f t="shared" si="343"/>
        <v>0.59952758650922311</v>
      </c>
      <c r="T615" s="2">
        <f t="shared" si="344"/>
        <v>1.6608440904336361</v>
      </c>
      <c r="U615" s="16">
        <f>INDEX('Team forecast'!$B$2:$AO$26,MATCH('Master data'!$B615,'Team forecast'!$B$2:$B$26,0),MATCH('Master data'!U$1,'Team forecast'!$B$2:$AO$2,0))</f>
        <v>0.1187365958276467</v>
      </c>
      <c r="V615" s="16">
        <f>INDEX('Team forecast'!$B$2:$AO$26,MATCH('Master data'!$B615,'Team forecast'!$B$2:$B$26,0),MATCH('Master data'!V$1,'Team forecast'!$B$2:$AO$2,0))</f>
        <v>0.22616494443361279</v>
      </c>
      <c r="W615" s="16">
        <f>INDEX('Team forecast'!$B$2:$AO$26,MATCH('Master data'!$B615,'Team forecast'!$B$2:$B$26,0),MATCH('Master data'!W$1,'Team forecast'!$B$2:$AO$2,0))</f>
        <v>0.65509845973874048</v>
      </c>
      <c r="X615" s="5">
        <f t="shared" si="345"/>
        <v>-5000</v>
      </c>
      <c r="Y615" s="5">
        <f t="shared" si="346"/>
        <v>0</v>
      </c>
      <c r="Z615" s="5">
        <f t="shared" si="347"/>
        <v>0</v>
      </c>
      <c r="AA615" s="5">
        <f t="shared" si="348"/>
        <v>0</v>
      </c>
      <c r="AB615" s="5">
        <f t="shared" si="349"/>
        <v>0</v>
      </c>
      <c r="AC615" s="5">
        <f t="shared" si="350"/>
        <v>0</v>
      </c>
      <c r="AD615" s="5">
        <f t="shared" si="351"/>
        <v>0</v>
      </c>
      <c r="AE615" s="5">
        <f t="shared" si="352"/>
        <v>9498.9276662117336</v>
      </c>
      <c r="AF615" s="5">
        <f t="shared" si="353"/>
        <v>0</v>
      </c>
      <c r="AG615" s="5">
        <f t="shared" si="354"/>
        <v>0</v>
      </c>
      <c r="AH615" s="5">
        <f t="shared" si="355"/>
        <v>0</v>
      </c>
      <c r="AI615" s="5">
        <f t="shared" si="356"/>
        <v>0</v>
      </c>
      <c r="AJ615" s="5">
        <f t="shared" si="357"/>
        <v>0</v>
      </c>
      <c r="AK615" s="5">
        <f>IFERROR(SUM(X615:AJ615),-5000)*((Cockpit!$C$3)^0)</f>
        <v>4498.9276662117336</v>
      </c>
      <c r="AL615" s="16">
        <f>INDEX('Team forecast'!$B$2:$AO$26,MATCH('Master data'!$B615,'Team forecast'!$B$2:$B$26,0),MATCH('Master data'!AL$1,'Team forecast'!$B$2:$AO$2,0))</f>
        <v>0.75781731816731412</v>
      </c>
      <c r="AM615" s="16">
        <f>INDEX('Team forecast'!$B$2:$AO$26,MATCH('Master data'!$B615,'Team forecast'!$B$2:$B$26,0),MATCH('Master data'!AM$1,'Team forecast'!$B$2:$AO$2,0))</f>
        <v>1.5687475343836428</v>
      </c>
      <c r="AN615" s="16">
        <f>INDEX('Team forecast'!$B$2:$AO$26,MATCH('Master data'!$B615,'Team forecast'!$B$2:$B$26,0),MATCH('Master data'!AN$1,'Team forecast'!$B$2:$AO$2,0))</f>
        <v>0.20830591503984791</v>
      </c>
      <c r="AO615" s="16">
        <f>INDEX('Team forecast'!$B$2:$AO$26,MATCH('Master data'!$B615,'Team forecast'!$B$2:$B$26,0),MATCH('Master data'!AO$1,'Team forecast'!$B$2:$AO$2,0))</f>
        <v>2.4877841252967383</v>
      </c>
      <c r="AP615" s="16">
        <f>INDEX('Team forecast'!$B$2:$AO$26,MATCH('Master data'!$B615,'Team forecast'!$B$2:$B$26,0),MATCH('Master data'!AP$1,'Team forecast'!$B$2:$AO$2,0))</f>
        <v>4.4570023406787609</v>
      </c>
      <c r="AQ615" s="5">
        <f t="shared" si="358"/>
        <v>-5000</v>
      </c>
      <c r="AR615" s="5">
        <f>INDEX('Team forecast'!$B$2:$AO$26,MATCH('Master data'!$B615,'Team forecast'!$B$2:$B$26,0),MATCH('Master data'!AR$1,'Team forecast'!$B$2:$AO$2,0))*IF(X615&gt;0,25000,0)</f>
        <v>0</v>
      </c>
      <c r="AS615" s="16">
        <f>INDEX('Team forecast'!$B$2:$AO$26,MATCH('Master data'!$B615,'Team forecast'!$B$2:$B$26,0),MATCH('Master data'!AS$1,'Team forecast'!$B$2:$AO$2,0))*IF(X615&gt;0,5000,0)</f>
        <v>0</v>
      </c>
      <c r="AT615" s="16">
        <f>INDEX('Team forecast'!$B$2:$AO$26,MATCH('Master data'!$B615,'Team forecast'!$B$2:$B$26,0),MATCH('Master data'!AT$1,'Team forecast'!$B$2:$AO$2,0))*IF(X615&gt;0,-15000,0)</f>
        <v>0</v>
      </c>
      <c r="AU615" s="5">
        <f t="shared" si="359"/>
        <v>0</v>
      </c>
      <c r="AV615" s="5">
        <f t="shared" si="360"/>
        <v>0</v>
      </c>
      <c r="AW615" s="5">
        <f t="shared" si="361"/>
        <v>0</v>
      </c>
      <c r="AX615" s="5">
        <f t="shared" si="362"/>
        <v>10415.295751992395</v>
      </c>
      <c r="AY615" s="5">
        <f t="shared" si="363"/>
        <v>0</v>
      </c>
      <c r="AZ615" s="5">
        <f t="shared" si="364"/>
        <v>0</v>
      </c>
      <c r="BA615" s="5">
        <f t="shared" si="365"/>
        <v>0</v>
      </c>
      <c r="BB615" s="5">
        <f t="shared" si="366"/>
        <v>0</v>
      </c>
      <c r="BC615" s="5">
        <f t="shared" si="367"/>
        <v>0</v>
      </c>
      <c r="BD615" s="5">
        <f t="shared" si="368"/>
        <v>5415.2957519923948</v>
      </c>
      <c r="BE615" s="16">
        <f>INDEX('Team forecast'!$B$2:$AO$26,MATCH('Master data'!$B615,'Team forecast'!$B$2:$B$26,0),MATCH('Master data'!BE$1,'Team forecast'!$B$2:$AO$2,0))</f>
        <v>0.62462402002960304</v>
      </c>
      <c r="BF615" s="16">
        <f>INDEX('Team forecast'!$B$2:$AO$26,MATCH('Master data'!$B615,'Team forecast'!$B$2:$B$26,0),MATCH('Master data'!BF$1,'Team forecast'!$B$2:$AO$2,0))</f>
        <v>2.3394224481215296</v>
      </c>
      <c r="BG615" s="16">
        <f>INDEX('Team forecast'!$B$2:$AO$26,MATCH('Master data'!$B615,'Team forecast'!$B$2:$B$26,0),MATCH('Master data'!BG$1,'Team forecast'!$B$2:$AO$2,0))</f>
        <v>9.6383288507815829E-2</v>
      </c>
      <c r="BH615" s="16">
        <f>INDEX('Team forecast'!$B$2:$AO$26,MATCH('Master data'!$B615,'Team forecast'!$B$2:$B$26,0),MATCH('Master data'!BH$1,'Team forecast'!$B$2:$AO$2,0))</f>
        <v>2.0505333990870809</v>
      </c>
      <c r="BI615" s="16">
        <f>INDEX('Team forecast'!$B$2:$AO$26,MATCH('Master data'!$B615,'Team forecast'!$B$2:$B$26,0),MATCH('Master data'!BI$1,'Team forecast'!$B$2:$AO$2,0))</f>
        <v>6.6465834040088314</v>
      </c>
      <c r="BJ615" s="5">
        <f t="shared" si="369"/>
        <v>-5000</v>
      </c>
      <c r="BK615" s="5">
        <f>INDEX('Team forecast'!$R$3:$BH$26,MATCH($B615,'Team forecast'!$B$3:$B$26,0),MATCH(BK$1,'Team forecast'!$R$2:$BH$2,0))*IF($X615&gt;0,25000,0)</f>
        <v>0</v>
      </c>
      <c r="BL615" s="5">
        <f>INDEX('Team forecast'!$R$3:$BH$26,MATCH($B615,'Team forecast'!$B$3:$B$26,0),MATCH(BL$1,'Team forecast'!$R$2:$BH$2,0))*IF($X615&gt;0,5000,0)</f>
        <v>0</v>
      </c>
      <c r="BM615" s="5">
        <f>INDEX('Team forecast'!$R$3:$BH$26,MATCH($B615,'Team forecast'!$B$3:$B$26,0),MATCH(BM$1,'Team forecast'!$R$2:$BH$2,0))*IF($X615&gt;0,-15000,0)</f>
        <v>0</v>
      </c>
      <c r="BN615" s="5">
        <f t="shared" si="370"/>
        <v>0</v>
      </c>
      <c r="BO615" s="5">
        <f t="shared" si="371"/>
        <v>0</v>
      </c>
      <c r="BP615" s="5">
        <f t="shared" si="372"/>
        <v>0</v>
      </c>
      <c r="BQ615" s="5">
        <f t="shared" si="373"/>
        <v>4819.1644253907916</v>
      </c>
      <c r="BR615" s="5">
        <f t="shared" si="374"/>
        <v>0</v>
      </c>
      <c r="BS615" s="5">
        <f t="shared" si="375"/>
        <v>0</v>
      </c>
      <c r="BT615" s="5">
        <f t="shared" si="376"/>
        <v>0</v>
      </c>
      <c r="BU615" s="5">
        <f t="shared" si="377"/>
        <v>0</v>
      </c>
      <c r="BV615" s="5">
        <f t="shared" si="378"/>
        <v>0</v>
      </c>
      <c r="BW615" s="5">
        <f t="shared" si="379"/>
        <v>-180.83557460920838</v>
      </c>
      <c r="BX615" s="5">
        <f t="shared" si="380"/>
        <v>3244.4626145316397</v>
      </c>
      <c r="BY615" s="5">
        <f t="shared" si="381"/>
        <v>9733.3878435949191</v>
      </c>
      <c r="BZ615" s="5">
        <f>INDEX('Team forecast'!$R$3:$BH$26,MATCH($B615,'Team forecast'!$B$3:$B$26,0),MATCH(BZ$1,'Team forecast'!$R$2:$BH$2,0))*($BX615-(BY615+CH615)*0.01)</f>
        <v>-4562.0429047500866</v>
      </c>
      <c r="CA615" s="5">
        <f>INDEX('Team forecast'!$R$3:$BH$26,MATCH($B615,'Team forecast'!$B$3:$B$26,0),MATCH(CA$1,'Team forecast'!$R$2:$BH$2,0))*($BX615-(BY615+BX615+CH615)*0.01)</f>
        <v>-2242.365097672553</v>
      </c>
      <c r="CB615" s="5">
        <f>INDEX('Team forecast'!$R$3:$BH$26,MATCH($B615,'Team forecast'!$B$3:$B$26,0),MATCH(CB$1,'Team forecast'!$R$2:$BH$2,0))*($BX615-(BY615+BX615*2+CH615)*0.01)</f>
        <v>-1082.7435294913676</v>
      </c>
      <c r="CC615" s="5">
        <f>INDEX('Team forecast'!$R$3:$BH$26,MATCH($B615,'Team forecast'!$B$3:$B$26,0),MATCH(CC$1,'Team forecast'!$R$2:$BH$2,0))*($BX615-(BY615+BX615*3+CH615)*0.01)</f>
        <v>-489.96557382074195</v>
      </c>
      <c r="CD615" s="5">
        <f>+AK615+BD615*Cockpit!$C$3+BW615*Cockpit!$C$3^2+BZ615*Cockpit!$C$3^3+CA615*Cockpit!$C$3^4+CB615*Cockpit!$C$3^5+CC615*Cockpit!$C$3^6</f>
        <v>6048.5024155236051</v>
      </c>
      <c r="CE615" s="5"/>
      <c r="CF615" s="5"/>
      <c r="CG615" s="5">
        <v>0</v>
      </c>
      <c r="CH615" s="5">
        <f t="shared" si="382"/>
        <v>2000000</v>
      </c>
      <c r="CI615" s="5">
        <f t="shared" si="383"/>
        <v>2000000</v>
      </c>
      <c r="CJ615" s="1">
        <f t="shared" si="384"/>
        <v>4.8666939217974596E-3</v>
      </c>
      <c r="CK615" s="5">
        <f>RANK(BY615,$BY$2:$BY$623)+COUNTIF($BY$2:$BY615,$BY615)-1</f>
        <v>400</v>
      </c>
      <c r="CL615" s="5">
        <f>RANK(CJ615,$CJ$2:$CJ$623)+COUNTIF($CJ$2:$CJ615,$CJ615)-1</f>
        <v>398</v>
      </c>
    </row>
    <row r="616" spans="1:90">
      <c r="A616" t="str">
        <f>Players!P617</f>
        <v>Joona Toivio</v>
      </c>
      <c r="B616" t="str">
        <f>Players!G617</f>
        <v>Finland</v>
      </c>
      <c r="C616" t="str">
        <f>Players!AB617</f>
        <v>Defense</v>
      </c>
      <c r="G616">
        <f>IF(Players!AC617=0,10000000,Players!AC617)</f>
        <v>2500000</v>
      </c>
      <c r="H616" s="16">
        <f>INDEX('Team forecast'!$B$2:$AO$26,MATCH('Master data'!$B616,'Team forecast'!$B$2:$B$26,0),MATCH('Master data'!H$1,'Team forecast'!$B$2:$AO$2,0))</f>
        <v>0.59952758650922311</v>
      </c>
      <c r="I616" s="16">
        <f>INDEX('Team forecast'!$B$2:$AO$26,MATCH('Master data'!$B616,'Team forecast'!$B$2:$B$26,0),MATCH('Master data'!I$1,'Team forecast'!$B$2:$AO$2,0))</f>
        <v>1.6608440904336361</v>
      </c>
      <c r="J616" s="16">
        <f>INDEX('Team forecast'!$B$2:$AO$26,MATCH('Master data'!$B616,'Team forecast'!$B$2:$B$26,0),MATCH('Master data'!J$1,'Team forecast'!$B$2:$AO$2,0))</f>
        <v>0.18997855332423469</v>
      </c>
      <c r="K616" s="16">
        <f>INDEX('Team forecast'!$B$2:$AO$26,MATCH('Master data'!$B616,'Team forecast'!$B$2:$B$26,0),MATCH('Master data'!K$1,'Team forecast'!$B$2:$AO$2,0))</f>
        <v>1.9681461173282577</v>
      </c>
      <c r="L616" s="16">
        <f>INDEX('Team forecast'!$B$2:$AO$26,MATCH('Master data'!$B616,'Team forecast'!$B$2:$B$26,0),MATCH('Master data'!L$1,'Team forecast'!$B$2:$AO$2,0))</f>
        <v>4.718659845717994</v>
      </c>
      <c r="M616">
        <f>IF(Players!BC617=1,95,0)</f>
        <v>95</v>
      </c>
      <c r="N616" s="2">
        <f>Players!BN617</f>
        <v>2.5077846842091522E-2</v>
      </c>
      <c r="O616" s="2">
        <f>Players!BO617</f>
        <v>9.3281287371802107E-3</v>
      </c>
      <c r="P616" s="2">
        <f>Players!BP617</f>
        <v>1.9673697318589083E-2</v>
      </c>
      <c r="Q616" s="2">
        <f>Players!BQ617</f>
        <v>0.1132688927943761</v>
      </c>
      <c r="R616" s="2">
        <f>Players!BR617</f>
        <v>0</v>
      </c>
      <c r="S616" s="2">
        <f t="shared" si="343"/>
        <v>0.59952758650922311</v>
      </c>
      <c r="T616" s="2">
        <f t="shared" si="344"/>
        <v>1.6608440904336361</v>
      </c>
      <c r="U616" s="16">
        <f>INDEX('Team forecast'!$B$2:$AO$26,MATCH('Master data'!$B616,'Team forecast'!$B$2:$B$26,0),MATCH('Master data'!U$1,'Team forecast'!$B$2:$AO$2,0))</f>
        <v>0.1187365958276467</v>
      </c>
      <c r="V616" s="16">
        <f>INDEX('Team forecast'!$B$2:$AO$26,MATCH('Master data'!$B616,'Team forecast'!$B$2:$B$26,0),MATCH('Master data'!V$1,'Team forecast'!$B$2:$AO$2,0))</f>
        <v>0.22616494443361279</v>
      </c>
      <c r="W616" s="16">
        <f>INDEX('Team forecast'!$B$2:$AO$26,MATCH('Master data'!$B616,'Team forecast'!$B$2:$B$26,0),MATCH('Master data'!W$1,'Team forecast'!$B$2:$AO$2,0))</f>
        <v>0.65509845973874048</v>
      </c>
      <c r="X616" s="5">
        <f t="shared" si="345"/>
        <v>7000</v>
      </c>
      <c r="Y616" s="5">
        <f t="shared" si="346"/>
        <v>2968.4148956911677</v>
      </c>
      <c r="Z616" s="5">
        <f t="shared" si="347"/>
        <v>1130.824722168064</v>
      </c>
      <c r="AA616" s="5">
        <f t="shared" si="348"/>
        <v>-9826.476896081107</v>
      </c>
      <c r="AB616" s="5">
        <f t="shared" si="349"/>
        <v>2255.2291488130609</v>
      </c>
      <c r="AC616" s="5">
        <f t="shared" si="350"/>
        <v>279.62352542244895</v>
      </c>
      <c r="AD616" s="5">
        <f t="shared" si="351"/>
        <v>387.20710991072457</v>
      </c>
      <c r="AE616" s="5">
        <f t="shared" si="352"/>
        <v>9498.9276662117336</v>
      </c>
      <c r="AF616" s="5">
        <f t="shared" si="353"/>
        <v>0</v>
      </c>
      <c r="AG616" s="5">
        <f t="shared" si="354"/>
        <v>-2265.3778558875219</v>
      </c>
      <c r="AH616" s="5">
        <f t="shared" si="355"/>
        <v>0</v>
      </c>
      <c r="AI616" s="5">
        <f t="shared" si="356"/>
        <v>5995.2758650922315</v>
      </c>
      <c r="AJ616" s="5">
        <f t="shared" si="357"/>
        <v>-13286.75272346909</v>
      </c>
      <c r="AK616" s="5">
        <f>IFERROR(SUM(X616:AJ616),-5000)*((Cockpit!$C$3)^0)</f>
        <v>4136.895457871713</v>
      </c>
      <c r="AL616" s="16">
        <f>INDEX('Team forecast'!$B$2:$AO$26,MATCH('Master data'!$B616,'Team forecast'!$B$2:$B$26,0),MATCH('Master data'!AL$1,'Team forecast'!$B$2:$AO$2,0))</f>
        <v>0.75781731816731412</v>
      </c>
      <c r="AM616" s="16">
        <f>INDEX('Team forecast'!$B$2:$AO$26,MATCH('Master data'!$B616,'Team forecast'!$B$2:$B$26,0),MATCH('Master data'!AM$1,'Team forecast'!$B$2:$AO$2,0))</f>
        <v>1.5687475343836428</v>
      </c>
      <c r="AN616" s="16">
        <f>INDEX('Team forecast'!$B$2:$AO$26,MATCH('Master data'!$B616,'Team forecast'!$B$2:$B$26,0),MATCH('Master data'!AN$1,'Team forecast'!$B$2:$AO$2,0))</f>
        <v>0.20830591503984791</v>
      </c>
      <c r="AO616" s="16">
        <f>INDEX('Team forecast'!$B$2:$AO$26,MATCH('Master data'!$B616,'Team forecast'!$B$2:$B$26,0),MATCH('Master data'!AO$1,'Team forecast'!$B$2:$AO$2,0))</f>
        <v>2.4877841252967383</v>
      </c>
      <c r="AP616" s="16">
        <f>INDEX('Team forecast'!$B$2:$AO$26,MATCH('Master data'!$B616,'Team forecast'!$B$2:$B$26,0),MATCH('Master data'!AP$1,'Team forecast'!$B$2:$AO$2,0))</f>
        <v>4.4570023406787609</v>
      </c>
      <c r="AQ616" s="5">
        <f t="shared" si="358"/>
        <v>7000</v>
      </c>
      <c r="AR616" s="5">
        <f>INDEX('Team forecast'!$B$2:$AO$26,MATCH('Master data'!$B616,'Team forecast'!$B$2:$B$26,0),MATCH('Master data'!AR$1,'Team forecast'!$B$2:$AO$2,0))*IF(X616&gt;0,25000,0)</f>
        <v>4463.6981794253124</v>
      </c>
      <c r="AS616" s="16">
        <f>INDEX('Team forecast'!$B$2:$AO$26,MATCH('Master data'!$B616,'Team forecast'!$B$2:$B$26,0),MATCH('Master data'!AS$1,'Team forecast'!$B$2:$AO$2,0))*IF(X616&gt;0,5000,0)</f>
        <v>1266.7251590261019</v>
      </c>
      <c r="AT616" s="16">
        <f>INDEX('Team forecast'!$B$2:$AO$26,MATCH('Master data'!$B616,'Team forecast'!$B$2:$B$26,0),MATCH('Master data'!AT$1,'Team forecast'!$B$2:$AO$2,0))*IF(X616&gt;0,-15000,0)</f>
        <v>-8521.6056152665042</v>
      </c>
      <c r="AU616" s="5">
        <f t="shared" si="359"/>
        <v>2850.6639958926667</v>
      </c>
      <c r="AV616" s="5">
        <f t="shared" si="360"/>
        <v>353.4508751564681</v>
      </c>
      <c r="AW616" s="5">
        <f t="shared" si="361"/>
        <v>489.43911875078925</v>
      </c>
      <c r="AX616" s="5">
        <f t="shared" si="362"/>
        <v>10415.295751992395</v>
      </c>
      <c r="AY616" s="5">
        <f t="shared" si="363"/>
        <v>0</v>
      </c>
      <c r="AZ616" s="5">
        <f t="shared" si="364"/>
        <v>-2265.3778558875219</v>
      </c>
      <c r="BA616" s="5">
        <f t="shared" si="365"/>
        <v>0</v>
      </c>
      <c r="BB616" s="5">
        <f t="shared" si="366"/>
        <v>7578.1731816731417</v>
      </c>
      <c r="BC616" s="5">
        <f t="shared" si="367"/>
        <v>-12549.980275069141</v>
      </c>
      <c r="BD616" s="5">
        <f t="shared" si="368"/>
        <v>11080.482515693708</v>
      </c>
      <c r="BE616" s="16">
        <f>INDEX('Team forecast'!$B$2:$AO$26,MATCH('Master data'!$B616,'Team forecast'!$B$2:$B$26,0),MATCH('Master data'!BE$1,'Team forecast'!$B$2:$AO$2,0))</f>
        <v>0.62462402002960304</v>
      </c>
      <c r="BF616" s="16">
        <f>INDEX('Team forecast'!$B$2:$AO$26,MATCH('Master data'!$B616,'Team forecast'!$B$2:$B$26,0),MATCH('Master data'!BF$1,'Team forecast'!$B$2:$AO$2,0))</f>
        <v>2.3394224481215296</v>
      </c>
      <c r="BG616" s="16">
        <f>INDEX('Team forecast'!$B$2:$AO$26,MATCH('Master data'!$B616,'Team forecast'!$B$2:$B$26,0),MATCH('Master data'!BG$1,'Team forecast'!$B$2:$AO$2,0))</f>
        <v>9.6383288507815829E-2</v>
      </c>
      <c r="BH616" s="16">
        <f>INDEX('Team forecast'!$B$2:$AO$26,MATCH('Master data'!$B616,'Team forecast'!$B$2:$B$26,0),MATCH('Master data'!BH$1,'Team forecast'!$B$2:$AO$2,0))</f>
        <v>2.0505333990870809</v>
      </c>
      <c r="BI616" s="16">
        <f>INDEX('Team forecast'!$B$2:$AO$26,MATCH('Master data'!$B616,'Team forecast'!$B$2:$B$26,0),MATCH('Master data'!BI$1,'Team forecast'!$B$2:$AO$2,0))</f>
        <v>6.6465834040088314</v>
      </c>
      <c r="BJ616" s="5">
        <f t="shared" si="369"/>
        <v>7000</v>
      </c>
      <c r="BK616" s="5">
        <f>INDEX('Team forecast'!$R$3:$BH$26,MATCH($B616,'Team forecast'!$B$3:$B$26,0),MATCH(BK$1,'Team forecast'!$R$2:$BH$2,0))*IF($X616&gt;0,25000,0)</f>
        <v>1554.5691694809007</v>
      </c>
      <c r="BL616" s="5">
        <f>INDEX('Team forecast'!$R$3:$BH$26,MATCH($B616,'Team forecast'!$B$3:$B$26,0),MATCH(BL$1,'Team forecast'!$R$2:$BH$2,0))*IF($X616&gt;0,5000,0)</f>
        <v>771.06630806252645</v>
      </c>
      <c r="BM616" s="5">
        <f>INDEX('Team forecast'!$R$3:$BH$26,MATCH($B616,'Team forecast'!$B$3:$B$26,0),MATCH(BM$1,'Team forecast'!$R$2:$BH$2,0))*IF($X616&gt;0,-15000,0)</f>
        <v>-11754.059574123881</v>
      </c>
      <c r="BN616" s="5">
        <f t="shared" si="370"/>
        <v>2349.6338262290838</v>
      </c>
      <c r="BO616" s="5">
        <f t="shared" si="371"/>
        <v>291.32866355855839</v>
      </c>
      <c r="BP616" s="5">
        <f t="shared" si="372"/>
        <v>403.41573435296857</v>
      </c>
      <c r="BQ616" s="5">
        <f t="shared" si="373"/>
        <v>4819.1644253907916</v>
      </c>
      <c r="BR616" s="5">
        <f t="shared" si="374"/>
        <v>0</v>
      </c>
      <c r="BS616" s="5">
        <f t="shared" si="375"/>
        <v>-2265.3778558875219</v>
      </c>
      <c r="BT616" s="5">
        <f t="shared" si="376"/>
        <v>0</v>
      </c>
      <c r="BU616" s="5">
        <f t="shared" si="377"/>
        <v>6246.2402002960307</v>
      </c>
      <c r="BV616" s="5">
        <f t="shared" si="378"/>
        <v>-18715.379584972237</v>
      </c>
      <c r="BW616" s="5">
        <f t="shared" si="379"/>
        <v>-9299.3986876127783</v>
      </c>
      <c r="BX616" s="5">
        <f t="shared" si="380"/>
        <v>1972.6597619842141</v>
      </c>
      <c r="BY616" s="5">
        <f t="shared" si="381"/>
        <v>5917.9792859526424</v>
      </c>
      <c r="BZ616" s="5">
        <f>INDEX('Team forecast'!$R$3:$BH$26,MATCH($B616,'Team forecast'!$B$3:$B$26,0),MATCH(BZ$1,'Team forecast'!$R$2:$BH$2,0))*($BX616-(BY616+CH616)*0.01)</f>
        <v>-6249.4807711374851</v>
      </c>
      <c r="CA616" s="5">
        <f>INDEX('Team forecast'!$R$3:$BH$26,MATCH($B616,'Team forecast'!$B$3:$B$26,0),MATCH(CA$1,'Team forecast'!$R$2:$BH$2,0))*($BX616-(BY616+BX616+CH616)*0.01)</f>
        <v>-3068.5029119582173</v>
      </c>
      <c r="CB616" s="5">
        <f>INDEX('Team forecast'!$R$3:$BH$26,MATCH($B616,'Team forecast'!$B$3:$B$26,0),MATCH(CB$1,'Team forecast'!$R$2:$BH$2,0))*($BX616-(BY616+BX616*2+CH616)*0.01)</f>
        <v>-1480.0716589998387</v>
      </c>
      <c r="CC616" s="5">
        <f>INDEX('Team forecast'!$R$3:$BH$26,MATCH($B616,'Team forecast'!$B$3:$B$26,0),MATCH(CC$1,'Team forecast'!$R$2:$BH$2,0))*($BX616-(BY616+BX616*3+CH616)*0.01)</f>
        <v>-669.05361913827119</v>
      </c>
      <c r="CD616" s="5">
        <f>+AK616+BD616*Cockpit!$C$3+BW616*Cockpit!$C$3^2+BZ616*Cockpit!$C$3^3+CA616*Cockpit!$C$3^4+CB616*Cockpit!$C$3^5+CC616*Cockpit!$C$3^6</f>
        <v>4679.3519065192959</v>
      </c>
      <c r="CE616" s="5"/>
      <c r="CF616" s="5"/>
      <c r="CG616" s="5">
        <v>0</v>
      </c>
      <c r="CH616" s="5">
        <f t="shared" si="382"/>
        <v>2500000</v>
      </c>
      <c r="CI616" s="5">
        <f t="shared" si="383"/>
        <v>2500000</v>
      </c>
      <c r="CJ616" s="1">
        <f t="shared" si="384"/>
        <v>2.3671917143810567E-3</v>
      </c>
      <c r="CK616" s="5">
        <f>RANK(BY616,$BY$2:$BY$623)+COUNTIF($BY$2:$BY616,$BY616)-1</f>
        <v>405</v>
      </c>
      <c r="CL616" s="5">
        <f>RANK(CJ616,$CJ$2:$CJ$623)+COUNTIF($CJ$2:$CJ616,$CJ616)-1</f>
        <v>405</v>
      </c>
    </row>
    <row r="617" spans="1:90">
      <c r="A617" t="str">
        <f>Players!P618</f>
        <v>Rasmus Schüller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2000000</v>
      </c>
      <c r="H617" s="16">
        <f>INDEX('Team forecast'!$B$2:$AO$26,MATCH('Master data'!$B617,'Team forecast'!$B$2:$B$26,0),MATCH('Master data'!H$1,'Team forecast'!$B$2:$AO$2,0))</f>
        <v>0.59952758650922311</v>
      </c>
      <c r="I617" s="16">
        <f>INDEX('Team forecast'!$B$2:$AO$26,MATCH('Master data'!$B617,'Team forecast'!$B$2:$B$26,0),MATCH('Master data'!I$1,'Team forecast'!$B$2:$AO$2,0))</f>
        <v>1.6608440904336361</v>
      </c>
      <c r="J617" s="16">
        <f>INDEX('Team forecast'!$B$2:$AO$26,MATCH('Master data'!$B617,'Team forecast'!$B$2:$B$26,0),MATCH('Master data'!J$1,'Team forecast'!$B$2:$AO$2,0))</f>
        <v>0.18997855332423469</v>
      </c>
      <c r="K617" s="16">
        <f>INDEX('Team forecast'!$B$2:$AO$26,MATCH('Master data'!$B617,'Team forecast'!$B$2:$B$26,0),MATCH('Master data'!K$1,'Team forecast'!$B$2:$AO$2,0))</f>
        <v>1.9681461173282577</v>
      </c>
      <c r="L617" s="16">
        <f>INDEX('Team forecast'!$B$2:$AO$26,MATCH('Master data'!$B617,'Team forecast'!$B$2:$B$26,0),MATCH('Master data'!L$1,'Team forecast'!$B$2:$AO$2,0))</f>
        <v>4.718659845717994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8.0405002977963075E-2</v>
      </c>
      <c r="R617" s="2">
        <f>Players!BR618</f>
        <v>0</v>
      </c>
      <c r="S617" s="2">
        <f t="shared" si="343"/>
        <v>0.59952758650922311</v>
      </c>
      <c r="T617" s="2">
        <f t="shared" si="344"/>
        <v>1.6608440904336361</v>
      </c>
      <c r="U617" s="16">
        <f>INDEX('Team forecast'!$B$2:$AO$26,MATCH('Master data'!$B617,'Team forecast'!$B$2:$B$26,0),MATCH('Master data'!U$1,'Team forecast'!$B$2:$AO$2,0))</f>
        <v>0.1187365958276467</v>
      </c>
      <c r="V617" s="16">
        <f>INDEX('Team forecast'!$B$2:$AO$26,MATCH('Master data'!$B617,'Team forecast'!$B$2:$B$26,0),MATCH('Master data'!V$1,'Team forecast'!$B$2:$AO$2,0))</f>
        <v>0.22616494443361279</v>
      </c>
      <c r="W617" s="16">
        <f>INDEX('Team forecast'!$B$2:$AO$26,MATCH('Master data'!$B617,'Team forecast'!$B$2:$B$26,0),MATCH('Master data'!W$1,'Team forecast'!$B$2:$AO$2,0))</f>
        <v>0.65509845973874048</v>
      </c>
      <c r="X617" s="5">
        <f t="shared" si="345"/>
        <v>-5000</v>
      </c>
      <c r="Y617" s="5">
        <f t="shared" si="346"/>
        <v>0</v>
      </c>
      <c r="Z617" s="5">
        <f t="shared" si="347"/>
        <v>0</v>
      </c>
      <c r="AA617" s="5">
        <f t="shared" si="348"/>
        <v>0</v>
      </c>
      <c r="AB617" s="5">
        <f t="shared" si="349"/>
        <v>0</v>
      </c>
      <c r="AC617" s="5">
        <f t="shared" si="350"/>
        <v>0</v>
      </c>
      <c r="AD617" s="5">
        <f t="shared" si="351"/>
        <v>0</v>
      </c>
      <c r="AE617" s="5">
        <f t="shared" si="352"/>
        <v>0</v>
      </c>
      <c r="AF617" s="5">
        <f t="shared" si="353"/>
        <v>0</v>
      </c>
      <c r="AG617" s="5">
        <f t="shared" si="354"/>
        <v>0</v>
      </c>
      <c r="AH617" s="5">
        <f t="shared" si="355"/>
        <v>0</v>
      </c>
      <c r="AI617" s="5">
        <f t="shared" si="356"/>
        <v>0</v>
      </c>
      <c r="AJ617" s="5">
        <f t="shared" si="357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0.75781731816731412</v>
      </c>
      <c r="AM617" s="16">
        <f>INDEX('Team forecast'!$B$2:$AO$26,MATCH('Master data'!$B617,'Team forecast'!$B$2:$B$26,0),MATCH('Master data'!AM$1,'Team forecast'!$B$2:$AO$2,0))</f>
        <v>1.5687475343836428</v>
      </c>
      <c r="AN617" s="16">
        <f>INDEX('Team forecast'!$B$2:$AO$26,MATCH('Master data'!$B617,'Team forecast'!$B$2:$B$26,0),MATCH('Master data'!AN$1,'Team forecast'!$B$2:$AO$2,0))</f>
        <v>0.20830591503984791</v>
      </c>
      <c r="AO617" s="16">
        <f>INDEX('Team forecast'!$B$2:$AO$26,MATCH('Master data'!$B617,'Team forecast'!$B$2:$B$26,0),MATCH('Master data'!AO$1,'Team forecast'!$B$2:$AO$2,0))</f>
        <v>2.4877841252967383</v>
      </c>
      <c r="AP617" s="16">
        <f>INDEX('Team forecast'!$B$2:$AO$26,MATCH('Master data'!$B617,'Team forecast'!$B$2:$B$26,0),MATCH('Master data'!AP$1,'Team forecast'!$B$2:$AO$2,0))</f>
        <v>4.4570023406787609</v>
      </c>
      <c r="AQ617" s="5">
        <f t="shared" si="358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359"/>
        <v>0</v>
      </c>
      <c r="AV617" s="5">
        <f t="shared" si="360"/>
        <v>0</v>
      </c>
      <c r="AW617" s="5">
        <f t="shared" si="361"/>
        <v>0</v>
      </c>
      <c r="AX617" s="5">
        <f t="shared" si="362"/>
        <v>0</v>
      </c>
      <c r="AY617" s="5">
        <f t="shared" si="363"/>
        <v>0</v>
      </c>
      <c r="AZ617" s="5">
        <f t="shared" si="364"/>
        <v>0</v>
      </c>
      <c r="BA617" s="5">
        <f t="shared" si="365"/>
        <v>0</v>
      </c>
      <c r="BB617" s="5">
        <f t="shared" si="366"/>
        <v>0</v>
      </c>
      <c r="BC617" s="5">
        <f t="shared" si="367"/>
        <v>0</v>
      </c>
      <c r="BD617" s="5">
        <f t="shared" si="368"/>
        <v>-5000</v>
      </c>
      <c r="BE617" s="16">
        <f>INDEX('Team forecast'!$B$2:$AO$26,MATCH('Master data'!$B617,'Team forecast'!$B$2:$B$26,0),MATCH('Master data'!BE$1,'Team forecast'!$B$2:$AO$2,0))</f>
        <v>0.62462402002960304</v>
      </c>
      <c r="BF617" s="16">
        <f>INDEX('Team forecast'!$B$2:$AO$26,MATCH('Master data'!$B617,'Team forecast'!$B$2:$B$26,0),MATCH('Master data'!BF$1,'Team forecast'!$B$2:$AO$2,0))</f>
        <v>2.3394224481215296</v>
      </c>
      <c r="BG617" s="16">
        <f>INDEX('Team forecast'!$B$2:$AO$26,MATCH('Master data'!$B617,'Team forecast'!$B$2:$B$26,0),MATCH('Master data'!BG$1,'Team forecast'!$B$2:$AO$2,0))</f>
        <v>9.6383288507815829E-2</v>
      </c>
      <c r="BH617" s="16">
        <f>INDEX('Team forecast'!$B$2:$AO$26,MATCH('Master data'!$B617,'Team forecast'!$B$2:$B$26,0),MATCH('Master data'!BH$1,'Team forecast'!$B$2:$AO$2,0))</f>
        <v>2.0505333990870809</v>
      </c>
      <c r="BI617" s="16">
        <f>INDEX('Team forecast'!$B$2:$AO$26,MATCH('Master data'!$B617,'Team forecast'!$B$2:$B$26,0),MATCH('Master data'!BI$1,'Team forecast'!$B$2:$AO$2,0))</f>
        <v>6.6465834040088314</v>
      </c>
      <c r="BJ617" s="5">
        <f t="shared" si="369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370"/>
        <v>0</v>
      </c>
      <c r="BO617" s="5">
        <f t="shared" si="371"/>
        <v>0</v>
      </c>
      <c r="BP617" s="5">
        <f t="shared" si="372"/>
        <v>0</v>
      </c>
      <c r="BQ617" s="5">
        <f t="shared" si="373"/>
        <v>0</v>
      </c>
      <c r="BR617" s="5">
        <f t="shared" si="374"/>
        <v>0</v>
      </c>
      <c r="BS617" s="5">
        <f t="shared" si="375"/>
        <v>0</v>
      </c>
      <c r="BT617" s="5">
        <f t="shared" si="376"/>
        <v>0</v>
      </c>
      <c r="BU617" s="5">
        <f t="shared" si="377"/>
        <v>0</v>
      </c>
      <c r="BV617" s="5">
        <f t="shared" si="378"/>
        <v>0</v>
      </c>
      <c r="BW617" s="5">
        <f t="shared" si="379"/>
        <v>-5000</v>
      </c>
      <c r="BX617" s="5">
        <f t="shared" si="380"/>
        <v>-5000</v>
      </c>
      <c r="BY617" s="5">
        <f t="shared" si="381"/>
        <v>-15000</v>
      </c>
      <c r="BZ617" s="5">
        <f>INDEX('Team forecast'!$R$3:$BH$26,MATCH($B617,'Team forecast'!$B$3:$B$26,0),MATCH(BZ$1,'Team forecast'!$R$2:$BH$2,0))*($BX617-(BY617+CH617)*0.01)</f>
        <v>-6726.851727981214</v>
      </c>
      <c r="CA617" s="5">
        <f>INDEX('Team forecast'!$R$3:$BH$26,MATCH($B617,'Team forecast'!$B$3:$B$26,0),MATCH(CA$1,'Team forecast'!$R$2:$BH$2,0))*($BX617-(BY617+BX617+CH617)*0.01)</f>
        <v>-3293.4328729408139</v>
      </c>
      <c r="CB617" s="5">
        <f>INDEX('Team forecast'!$R$3:$BH$26,MATCH($B617,'Team forecast'!$B$3:$B$26,0),MATCH(CB$1,'Team forecast'!$R$2:$BH$2,0))*($BX617-(BY617+BX617*2+CH617)*0.01)</f>
        <v>-1584.0100307164412</v>
      </c>
      <c r="CC617" s="5">
        <f>INDEX('Team forecast'!$R$3:$BH$26,MATCH($B617,'Team forecast'!$B$3:$B$26,0),MATCH(CC$1,'Team forecast'!$R$2:$BH$2,0))*($BX617-(BY617+BX617*3+CH617)*0.01)</f>
        <v>-713.98248999017255</v>
      </c>
      <c r="CD617" s="5">
        <f>+AK617+BD617*Cockpit!$C$3+BW617*Cockpit!$C$3^2+BZ617*Cockpit!$C$3^3+CA617*Cockpit!$C$3^4+CB617*Cockpit!$C$3^5+CC617*Cockpit!$C$3^6</f>
        <v>-13470.526953711342</v>
      </c>
      <c r="CE617" s="5"/>
      <c r="CF617" s="5"/>
      <c r="CG617" s="5">
        <v>0</v>
      </c>
      <c r="CH617" s="5">
        <f t="shared" si="382"/>
        <v>2000000</v>
      </c>
      <c r="CI617" s="5">
        <f t="shared" si="383"/>
        <v>2000000</v>
      </c>
      <c r="CJ617" s="1">
        <f t="shared" si="384"/>
        <v>-7.4999999999999997E-3</v>
      </c>
      <c r="CK617" s="5">
        <f>RANK(BY617,$BY$2:$BY$623)+COUNTIF($BY$2:$BY617,$BY617)-1</f>
        <v>615</v>
      </c>
      <c r="CL617" s="5">
        <f>RANK(CJ617,$CJ$2:$CJ$623)+COUNTIF($CJ$2:$CJ617,$CJ617)-1</f>
        <v>618</v>
      </c>
    </row>
    <row r="618" spans="1:90">
      <c r="A618" t="str">
        <f>Players!P619</f>
        <v>Joni Kauko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2500000</v>
      </c>
      <c r="H618" s="16">
        <f>INDEX('Team forecast'!$B$2:$AO$26,MATCH('Master data'!$B618,'Team forecast'!$B$2:$B$26,0),MATCH('Master data'!H$1,'Team forecast'!$B$2:$AO$2,0))</f>
        <v>0.59952758650922311</v>
      </c>
      <c r="I618" s="16">
        <f>INDEX('Team forecast'!$B$2:$AO$26,MATCH('Master data'!$B618,'Team forecast'!$B$2:$B$26,0),MATCH('Master data'!I$1,'Team forecast'!$B$2:$AO$2,0))</f>
        <v>1.6608440904336361</v>
      </c>
      <c r="J618" s="16">
        <f>INDEX('Team forecast'!$B$2:$AO$26,MATCH('Master data'!$B618,'Team forecast'!$B$2:$B$26,0),MATCH('Master data'!J$1,'Team forecast'!$B$2:$AO$2,0))</f>
        <v>0.18997855332423469</v>
      </c>
      <c r="K618" s="16">
        <f>INDEX('Team forecast'!$B$2:$AO$26,MATCH('Master data'!$B618,'Team forecast'!$B$2:$B$26,0),MATCH('Master data'!K$1,'Team forecast'!$B$2:$AO$2,0))</f>
        <v>1.9681461173282577</v>
      </c>
      <c r="L618" s="16">
        <f>INDEX('Team forecast'!$B$2:$AO$26,MATCH('Master data'!$B618,'Team forecast'!$B$2:$B$26,0),MATCH('Master data'!L$1,'Team forecast'!$B$2:$AO$2,0))</f>
        <v>4.718659845717994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0.59069463548830814</v>
      </c>
      <c r="R618" s="2">
        <f>Players!BR619</f>
        <v>0</v>
      </c>
      <c r="S618" s="2">
        <f t="shared" si="343"/>
        <v>0.59952758650922311</v>
      </c>
      <c r="T618" s="2">
        <f t="shared" si="344"/>
        <v>1.6608440904336361</v>
      </c>
      <c r="U618" s="16">
        <f>INDEX('Team forecast'!$B$2:$AO$26,MATCH('Master data'!$B618,'Team forecast'!$B$2:$B$26,0),MATCH('Master data'!U$1,'Team forecast'!$B$2:$AO$2,0))</f>
        <v>0.1187365958276467</v>
      </c>
      <c r="V618" s="16">
        <f>INDEX('Team forecast'!$B$2:$AO$26,MATCH('Master data'!$B618,'Team forecast'!$B$2:$B$26,0),MATCH('Master data'!V$1,'Team forecast'!$B$2:$AO$2,0))</f>
        <v>0.22616494443361279</v>
      </c>
      <c r="W618" s="16">
        <f>INDEX('Team forecast'!$B$2:$AO$26,MATCH('Master data'!$B618,'Team forecast'!$B$2:$B$26,0),MATCH('Master data'!W$1,'Team forecast'!$B$2:$AO$2,0))</f>
        <v>0.65509845973874048</v>
      </c>
      <c r="X618" s="5">
        <f t="shared" si="345"/>
        <v>-5000</v>
      </c>
      <c r="Y618" s="5">
        <f t="shared" si="346"/>
        <v>0</v>
      </c>
      <c r="Z618" s="5">
        <f t="shared" si="347"/>
        <v>0</v>
      </c>
      <c r="AA618" s="5">
        <f t="shared" si="348"/>
        <v>0</v>
      </c>
      <c r="AB618" s="5">
        <f t="shared" si="349"/>
        <v>0</v>
      </c>
      <c r="AC618" s="5">
        <f t="shared" si="350"/>
        <v>0</v>
      </c>
      <c r="AD618" s="5">
        <f t="shared" si="351"/>
        <v>0</v>
      </c>
      <c r="AE618" s="5">
        <f t="shared" si="352"/>
        <v>0</v>
      </c>
      <c r="AF618" s="5">
        <f t="shared" si="353"/>
        <v>0</v>
      </c>
      <c r="AG618" s="5">
        <f t="shared" si="354"/>
        <v>0</v>
      </c>
      <c r="AH618" s="5">
        <f t="shared" si="355"/>
        <v>0</v>
      </c>
      <c r="AI618" s="5">
        <f t="shared" si="356"/>
        <v>0</v>
      </c>
      <c r="AJ618" s="5">
        <f t="shared" si="357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0.75781731816731412</v>
      </c>
      <c r="AM618" s="16">
        <f>INDEX('Team forecast'!$B$2:$AO$26,MATCH('Master data'!$B618,'Team forecast'!$B$2:$B$26,0),MATCH('Master data'!AM$1,'Team forecast'!$B$2:$AO$2,0))</f>
        <v>1.5687475343836428</v>
      </c>
      <c r="AN618" s="16">
        <f>INDEX('Team forecast'!$B$2:$AO$26,MATCH('Master data'!$B618,'Team forecast'!$B$2:$B$26,0),MATCH('Master data'!AN$1,'Team forecast'!$B$2:$AO$2,0))</f>
        <v>0.20830591503984791</v>
      </c>
      <c r="AO618" s="16">
        <f>INDEX('Team forecast'!$B$2:$AO$26,MATCH('Master data'!$B618,'Team forecast'!$B$2:$B$26,0),MATCH('Master data'!AO$1,'Team forecast'!$B$2:$AO$2,0))</f>
        <v>2.4877841252967383</v>
      </c>
      <c r="AP618" s="16">
        <f>INDEX('Team forecast'!$B$2:$AO$26,MATCH('Master data'!$B618,'Team forecast'!$B$2:$B$26,0),MATCH('Master data'!AP$1,'Team forecast'!$B$2:$AO$2,0))</f>
        <v>4.4570023406787609</v>
      </c>
      <c r="AQ618" s="5">
        <f t="shared" si="358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359"/>
        <v>0</v>
      </c>
      <c r="AV618" s="5">
        <f t="shared" si="360"/>
        <v>0</v>
      </c>
      <c r="AW618" s="5">
        <f t="shared" si="361"/>
        <v>0</v>
      </c>
      <c r="AX618" s="5">
        <f t="shared" si="362"/>
        <v>0</v>
      </c>
      <c r="AY618" s="5">
        <f t="shared" si="363"/>
        <v>0</v>
      </c>
      <c r="AZ618" s="5">
        <f t="shared" si="364"/>
        <v>0</v>
      </c>
      <c r="BA618" s="5">
        <f t="shared" si="365"/>
        <v>0</v>
      </c>
      <c r="BB618" s="5">
        <f t="shared" si="366"/>
        <v>0</v>
      </c>
      <c r="BC618" s="5">
        <f t="shared" si="367"/>
        <v>0</v>
      </c>
      <c r="BD618" s="5">
        <f t="shared" si="368"/>
        <v>-5000</v>
      </c>
      <c r="BE618" s="16">
        <f>INDEX('Team forecast'!$B$2:$AO$26,MATCH('Master data'!$B618,'Team forecast'!$B$2:$B$26,0),MATCH('Master data'!BE$1,'Team forecast'!$B$2:$AO$2,0))</f>
        <v>0.62462402002960304</v>
      </c>
      <c r="BF618" s="16">
        <f>INDEX('Team forecast'!$B$2:$AO$26,MATCH('Master data'!$B618,'Team forecast'!$B$2:$B$26,0),MATCH('Master data'!BF$1,'Team forecast'!$B$2:$AO$2,0))</f>
        <v>2.3394224481215296</v>
      </c>
      <c r="BG618" s="16">
        <f>INDEX('Team forecast'!$B$2:$AO$26,MATCH('Master data'!$B618,'Team forecast'!$B$2:$B$26,0),MATCH('Master data'!BG$1,'Team forecast'!$B$2:$AO$2,0))</f>
        <v>9.6383288507815829E-2</v>
      </c>
      <c r="BH618" s="16">
        <f>INDEX('Team forecast'!$B$2:$AO$26,MATCH('Master data'!$B618,'Team forecast'!$B$2:$B$26,0),MATCH('Master data'!BH$1,'Team forecast'!$B$2:$AO$2,0))</f>
        <v>2.0505333990870809</v>
      </c>
      <c r="BI618" s="16">
        <f>INDEX('Team forecast'!$B$2:$AO$26,MATCH('Master data'!$B618,'Team forecast'!$B$2:$B$26,0),MATCH('Master data'!BI$1,'Team forecast'!$B$2:$AO$2,0))</f>
        <v>6.6465834040088314</v>
      </c>
      <c r="BJ618" s="5">
        <f t="shared" si="369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370"/>
        <v>0</v>
      </c>
      <c r="BO618" s="5">
        <f t="shared" si="371"/>
        <v>0</v>
      </c>
      <c r="BP618" s="5">
        <f t="shared" si="372"/>
        <v>0</v>
      </c>
      <c r="BQ618" s="5">
        <f t="shared" si="373"/>
        <v>0</v>
      </c>
      <c r="BR618" s="5">
        <f t="shared" si="374"/>
        <v>0</v>
      </c>
      <c r="BS618" s="5">
        <f t="shared" si="375"/>
        <v>0</v>
      </c>
      <c r="BT618" s="5">
        <f t="shared" si="376"/>
        <v>0</v>
      </c>
      <c r="BU618" s="5">
        <f t="shared" si="377"/>
        <v>0</v>
      </c>
      <c r="BV618" s="5">
        <f t="shared" si="378"/>
        <v>0</v>
      </c>
      <c r="BW618" s="5">
        <f t="shared" si="379"/>
        <v>-5000</v>
      </c>
      <c r="BX618" s="5">
        <f t="shared" si="380"/>
        <v>-5000</v>
      </c>
      <c r="BY618" s="5">
        <f t="shared" si="381"/>
        <v>-15000</v>
      </c>
      <c r="BZ618" s="5">
        <f>INDEX('Team forecast'!$R$3:$BH$26,MATCH($B618,'Team forecast'!$B$3:$B$26,0),MATCH(BZ$1,'Team forecast'!$R$2:$BH$2,0))*($BX618-(BY618+CH618)*0.01)</f>
        <v>-8080.343021337595</v>
      </c>
      <c r="CA618" s="5">
        <f>INDEX('Team forecast'!$R$3:$BH$26,MATCH($B618,'Team forecast'!$B$3:$B$26,0),MATCH(CA$1,'Team forecast'!$R$2:$BH$2,0))*($BX618-(BY618+BX618+CH618)*0.01)</f>
        <v>-3957.4314360337198</v>
      </c>
      <c r="CB618" s="5">
        <f>INDEX('Team forecast'!$R$3:$BH$26,MATCH($B618,'Team forecast'!$B$3:$B$26,0),MATCH(CB$1,'Team forecast'!$R$2:$BH$2,0))*($BX618-(BY618+BX618*2+CH618)*0.01)</f>
        <v>-1904.0120571238031</v>
      </c>
      <c r="CC618" s="5">
        <f>INDEX('Team forecast'!$R$3:$BH$26,MATCH($B618,'Team forecast'!$B$3:$B$26,0),MATCH(CC$1,'Team forecast'!$R$2:$BH$2,0))*($BX618-(BY618+BX618*3+CH618)*0.01)</f>
        <v>-858.51335840923593</v>
      </c>
      <c r="CD618" s="5">
        <f>+AK618+BD618*Cockpit!$C$3+BW618*Cockpit!$C$3^2+BZ618*Cockpit!$C$3^3+CA618*Cockpit!$C$3^4+CB618*Cockpit!$C$3^5+CC618*Cockpit!$C$3^6</f>
        <v>-14057.550386584157</v>
      </c>
      <c r="CE618" s="5"/>
      <c r="CF618" s="5"/>
      <c r="CG618" s="5">
        <v>0</v>
      </c>
      <c r="CH618" s="5">
        <f t="shared" si="382"/>
        <v>2500000</v>
      </c>
      <c r="CI618" s="5">
        <f t="shared" si="383"/>
        <v>2500000</v>
      </c>
      <c r="CJ618" s="1">
        <f t="shared" si="384"/>
        <v>-6.0000000000000001E-3</v>
      </c>
      <c r="CK618" s="5">
        <f>RANK(BY618,$BY$2:$BY$623)+COUNTIF($BY$2:$BY618,$BY618)-1</f>
        <v>616</v>
      </c>
      <c r="CL618" s="5">
        <f>RANK(CJ618,$CJ$2:$CJ$623)+COUNTIF($CJ$2:$CJ618,$CJ618)-1</f>
        <v>577</v>
      </c>
    </row>
    <row r="619" spans="1:90">
      <c r="A619" t="str">
        <f>Players!P620</f>
        <v>Onni Valakari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0.59952758650922311</v>
      </c>
      <c r="I619" s="16">
        <f>INDEX('Team forecast'!$B$2:$AO$26,MATCH('Master data'!$B619,'Team forecast'!$B$2:$B$26,0),MATCH('Master data'!I$1,'Team forecast'!$B$2:$AO$2,0))</f>
        <v>1.6608440904336361</v>
      </c>
      <c r="J619" s="16">
        <f>INDEX('Team forecast'!$B$2:$AO$26,MATCH('Master data'!$B619,'Team forecast'!$B$2:$B$26,0),MATCH('Master data'!J$1,'Team forecast'!$B$2:$AO$2,0))</f>
        <v>0.18997855332423469</v>
      </c>
      <c r="K619" s="16">
        <f>INDEX('Team forecast'!$B$2:$AO$26,MATCH('Master data'!$B619,'Team forecast'!$B$2:$B$26,0),MATCH('Master data'!K$1,'Team forecast'!$B$2:$AO$2,0))</f>
        <v>1.9681461173282577</v>
      </c>
      <c r="L619" s="16">
        <f>INDEX('Team forecast'!$B$2:$AO$26,MATCH('Master data'!$B619,'Team forecast'!$B$2:$B$26,0),MATCH('Master data'!L$1,'Team forecast'!$B$2:$AO$2,0))</f>
        <v>4.718659845717994</v>
      </c>
      <c r="M619">
        <f>IF(Players!BC620=1,95,0)</f>
        <v>95</v>
      </c>
      <c r="N619" s="2">
        <f>Players!BN620</f>
        <v>6.9449953262265426E-2</v>
      </c>
      <c r="O619" s="2">
        <f>Players!BO620</f>
        <v>0.1456813021827025</v>
      </c>
      <c r="P619" s="2">
        <f>Players!BP620</f>
        <v>3.0953332736522211E-2</v>
      </c>
      <c r="Q619" s="2">
        <f>Players!BQ620</f>
        <v>0.15856236786469347</v>
      </c>
      <c r="R619" s="2">
        <f>Players!BR620</f>
        <v>0</v>
      </c>
      <c r="S619" s="2">
        <f t="shared" si="343"/>
        <v>0.59952758650922311</v>
      </c>
      <c r="T619" s="2">
        <f t="shared" si="344"/>
        <v>1.6608440904336361</v>
      </c>
      <c r="U619" s="16">
        <f>INDEX('Team forecast'!$B$2:$AO$26,MATCH('Master data'!$B619,'Team forecast'!$B$2:$B$26,0),MATCH('Master data'!U$1,'Team forecast'!$B$2:$AO$2,0))</f>
        <v>0.1187365958276467</v>
      </c>
      <c r="V619" s="16">
        <f>INDEX('Team forecast'!$B$2:$AO$26,MATCH('Master data'!$B619,'Team forecast'!$B$2:$B$26,0),MATCH('Master data'!V$1,'Team forecast'!$B$2:$AO$2,0))</f>
        <v>0.22616494443361279</v>
      </c>
      <c r="W619" s="16">
        <f>INDEX('Team forecast'!$B$2:$AO$26,MATCH('Master data'!$B619,'Team forecast'!$B$2:$B$26,0),MATCH('Master data'!W$1,'Team forecast'!$B$2:$AO$2,0))</f>
        <v>0.65509845973874048</v>
      </c>
      <c r="X619" s="5">
        <f t="shared" si="345"/>
        <v>7000</v>
      </c>
      <c r="Y619" s="5">
        <f t="shared" si="346"/>
        <v>2968.4148956911677</v>
      </c>
      <c r="Z619" s="5">
        <f t="shared" si="347"/>
        <v>1130.824722168064</v>
      </c>
      <c r="AA619" s="5">
        <f t="shared" si="348"/>
        <v>-9826.476896081107</v>
      </c>
      <c r="AB619" s="5">
        <f t="shared" si="349"/>
        <v>5204.6453578130422</v>
      </c>
      <c r="AC619" s="5">
        <f t="shared" si="350"/>
        <v>4366.9979748558226</v>
      </c>
      <c r="AD619" s="5">
        <f t="shared" si="351"/>
        <v>609.20681643755847</v>
      </c>
      <c r="AE619" s="5">
        <f t="shared" si="352"/>
        <v>0</v>
      </c>
      <c r="AF619" s="5">
        <f t="shared" si="353"/>
        <v>0</v>
      </c>
      <c r="AG619" s="5">
        <f t="shared" si="354"/>
        <v>-3171.2473572938693</v>
      </c>
      <c r="AH619" s="5">
        <f t="shared" si="355"/>
        <v>0</v>
      </c>
      <c r="AI619" s="5">
        <f t="shared" si="356"/>
        <v>5995.2758650922315</v>
      </c>
      <c r="AJ619" s="5">
        <f t="shared" si="357"/>
        <v>-13286.75272346909</v>
      </c>
      <c r="AK619" s="5">
        <f>IFERROR(SUM(X619:AJ619),-5000)*((Cockpit!$C$3)^0)</f>
        <v>990.88865521382104</v>
      </c>
      <c r="AL619" s="16">
        <f>INDEX('Team forecast'!$B$2:$AO$26,MATCH('Master data'!$B619,'Team forecast'!$B$2:$B$26,0),MATCH('Master data'!AL$1,'Team forecast'!$B$2:$AO$2,0))</f>
        <v>0.75781731816731412</v>
      </c>
      <c r="AM619" s="16">
        <f>INDEX('Team forecast'!$B$2:$AO$26,MATCH('Master data'!$B619,'Team forecast'!$B$2:$B$26,0),MATCH('Master data'!AM$1,'Team forecast'!$B$2:$AO$2,0))</f>
        <v>1.5687475343836428</v>
      </c>
      <c r="AN619" s="16">
        <f>INDEX('Team forecast'!$B$2:$AO$26,MATCH('Master data'!$B619,'Team forecast'!$B$2:$B$26,0),MATCH('Master data'!AN$1,'Team forecast'!$B$2:$AO$2,0))</f>
        <v>0.20830591503984791</v>
      </c>
      <c r="AO619" s="16">
        <f>INDEX('Team forecast'!$B$2:$AO$26,MATCH('Master data'!$B619,'Team forecast'!$B$2:$B$26,0),MATCH('Master data'!AO$1,'Team forecast'!$B$2:$AO$2,0))</f>
        <v>2.4877841252967383</v>
      </c>
      <c r="AP619" s="16">
        <f>INDEX('Team forecast'!$B$2:$AO$26,MATCH('Master data'!$B619,'Team forecast'!$B$2:$B$26,0),MATCH('Master data'!AP$1,'Team forecast'!$B$2:$AO$2,0))</f>
        <v>4.4570023406787609</v>
      </c>
      <c r="AQ619" s="5">
        <f t="shared" si="358"/>
        <v>7000</v>
      </c>
      <c r="AR619" s="5">
        <f>INDEX('Team forecast'!$B$2:$AO$26,MATCH('Master data'!$B619,'Team forecast'!$B$2:$B$26,0),MATCH('Master data'!AR$1,'Team forecast'!$B$2:$AO$2,0))*IF(X619&gt;0,25000,0)</f>
        <v>4463.6981794253124</v>
      </c>
      <c r="AS619" s="16">
        <f>INDEX('Team forecast'!$B$2:$AO$26,MATCH('Master data'!$B619,'Team forecast'!$B$2:$B$26,0),MATCH('Master data'!AS$1,'Team forecast'!$B$2:$AO$2,0))*IF(X619&gt;0,5000,0)</f>
        <v>1266.7251590261019</v>
      </c>
      <c r="AT619" s="16">
        <f>INDEX('Team forecast'!$B$2:$AO$26,MATCH('Master data'!$B619,'Team forecast'!$B$2:$B$26,0),MATCH('Master data'!AT$1,'Team forecast'!$B$2:$AO$2,0))*IF(X619&gt;0,-15000,0)</f>
        <v>-8521.6056152665042</v>
      </c>
      <c r="AU619" s="5">
        <f t="shared" si="359"/>
        <v>6578.7971660069115</v>
      </c>
      <c r="AV619" s="5">
        <f t="shared" si="360"/>
        <v>5519.9906863608849</v>
      </c>
      <c r="AW619" s="5">
        <f t="shared" si="361"/>
        <v>770.05209806947801</v>
      </c>
      <c r="AX619" s="5">
        <f t="shared" si="362"/>
        <v>0</v>
      </c>
      <c r="AY619" s="5">
        <f t="shared" si="363"/>
        <v>0</v>
      </c>
      <c r="AZ619" s="5">
        <f t="shared" si="364"/>
        <v>-3171.2473572938693</v>
      </c>
      <c r="BA619" s="5">
        <f t="shared" si="365"/>
        <v>0</v>
      </c>
      <c r="BB619" s="5">
        <f t="shared" si="366"/>
        <v>7578.1731816731417</v>
      </c>
      <c r="BC619" s="5">
        <f t="shared" si="367"/>
        <v>-12549.980275069141</v>
      </c>
      <c r="BD619" s="5">
        <f t="shared" si="368"/>
        <v>8934.6032229323137</v>
      </c>
      <c r="BE619" s="16">
        <f>INDEX('Team forecast'!$B$2:$AO$26,MATCH('Master data'!$B619,'Team forecast'!$B$2:$B$26,0),MATCH('Master data'!BE$1,'Team forecast'!$B$2:$AO$2,0))</f>
        <v>0.62462402002960304</v>
      </c>
      <c r="BF619" s="16">
        <f>INDEX('Team forecast'!$B$2:$AO$26,MATCH('Master data'!$B619,'Team forecast'!$B$2:$B$26,0),MATCH('Master data'!BF$1,'Team forecast'!$B$2:$AO$2,0))</f>
        <v>2.3394224481215296</v>
      </c>
      <c r="BG619" s="16">
        <f>INDEX('Team forecast'!$B$2:$AO$26,MATCH('Master data'!$B619,'Team forecast'!$B$2:$B$26,0),MATCH('Master data'!BG$1,'Team forecast'!$B$2:$AO$2,0))</f>
        <v>9.6383288507815829E-2</v>
      </c>
      <c r="BH619" s="16">
        <f>INDEX('Team forecast'!$B$2:$AO$26,MATCH('Master data'!$B619,'Team forecast'!$B$2:$B$26,0),MATCH('Master data'!BH$1,'Team forecast'!$B$2:$AO$2,0))</f>
        <v>2.0505333990870809</v>
      </c>
      <c r="BI619" s="16">
        <f>INDEX('Team forecast'!$B$2:$AO$26,MATCH('Master data'!$B619,'Team forecast'!$B$2:$B$26,0),MATCH('Master data'!BI$1,'Team forecast'!$B$2:$AO$2,0))</f>
        <v>6.6465834040088314</v>
      </c>
      <c r="BJ619" s="5">
        <f t="shared" si="369"/>
        <v>7000</v>
      </c>
      <c r="BK619" s="5">
        <f>INDEX('Team forecast'!$R$3:$BH$26,MATCH($B619,'Team forecast'!$B$3:$B$26,0),MATCH(BK$1,'Team forecast'!$R$2:$BH$2,0))*IF($X619&gt;0,25000,0)</f>
        <v>1554.5691694809007</v>
      </c>
      <c r="BL619" s="5">
        <f>INDEX('Team forecast'!$R$3:$BH$26,MATCH($B619,'Team forecast'!$B$3:$B$26,0),MATCH(BL$1,'Team forecast'!$R$2:$BH$2,0))*IF($X619&gt;0,5000,0)</f>
        <v>771.06630806252645</v>
      </c>
      <c r="BM619" s="5">
        <f>INDEX('Team forecast'!$R$3:$BH$26,MATCH($B619,'Team forecast'!$B$3:$B$26,0),MATCH(BM$1,'Team forecast'!$R$2:$BH$2,0))*IF($X619&gt;0,-15000,0)</f>
        <v>-11754.059574123881</v>
      </c>
      <c r="BN619" s="5">
        <f t="shared" si="370"/>
        <v>5422.5136246930342</v>
      </c>
      <c r="BO619" s="5">
        <f t="shared" si="371"/>
        <v>4549.8020306253511</v>
      </c>
      <c r="BP619" s="5">
        <f t="shared" si="372"/>
        <v>634.70842589294307</v>
      </c>
      <c r="BQ619" s="5">
        <f t="shared" si="373"/>
        <v>0</v>
      </c>
      <c r="BR619" s="5">
        <f t="shared" si="374"/>
        <v>0</v>
      </c>
      <c r="BS619" s="5">
        <f t="shared" si="375"/>
        <v>-3171.2473572938693</v>
      </c>
      <c r="BT619" s="5">
        <f t="shared" si="376"/>
        <v>0</v>
      </c>
      <c r="BU619" s="5">
        <f t="shared" si="377"/>
        <v>6246.2402002960307</v>
      </c>
      <c r="BV619" s="5">
        <f t="shared" si="378"/>
        <v>-18715.379584972237</v>
      </c>
      <c r="BW619" s="5">
        <f t="shared" si="379"/>
        <v>-7461.7867573391995</v>
      </c>
      <c r="BX619" s="5">
        <f t="shared" si="380"/>
        <v>821.23504026897842</v>
      </c>
      <c r="BY619" s="5">
        <f t="shared" si="381"/>
        <v>2463.7051208069352</v>
      </c>
      <c r="BZ619" s="5">
        <f>INDEX('Team forecast'!$R$3:$BH$26,MATCH($B619,'Team forecast'!$B$3:$B$26,0),MATCH(BZ$1,'Team forecast'!$R$2:$BH$2,0))*($BX619-(BY619+CH619)*0.01)</f>
        <v>-5198.3274849256968</v>
      </c>
      <c r="CA619" s="5">
        <f>INDEX('Team forecast'!$R$3:$BH$26,MATCH($B619,'Team forecast'!$B$3:$B$26,0),MATCH(CA$1,'Team forecast'!$R$2:$BH$2,0))*($BX619-(BY619+BX619+CH619)*0.01)</f>
        <v>-2551.2968661251957</v>
      </c>
      <c r="CB619" s="5">
        <f>INDEX('Team forecast'!$R$3:$BH$26,MATCH($B619,'Team forecast'!$B$3:$B$26,0),MATCH(CB$1,'Team forecast'!$R$2:$BH$2,0))*($BX619-(BY619+BX619*2+CH619)*0.01)</f>
        <v>-1230.0766989913147</v>
      </c>
      <c r="CC619" s="5">
        <f>INDEX('Team forecast'!$R$3:$BH$26,MATCH($B619,'Team forecast'!$B$3:$B$26,0),MATCH(CC$1,'Team forecast'!$R$2:$BH$2,0))*($BX619-(BY619+BX619*3+CH619)*0.01)</f>
        <v>-555.80903672956015</v>
      </c>
      <c r="CD619" s="5">
        <f>+AK619+BD619*Cockpit!$C$3+BW619*Cockpit!$C$3^2+BZ619*Cockpit!$C$3^3+CA619*Cockpit!$C$3^4+CB619*Cockpit!$C$3^5+CC619*Cockpit!$C$3^6</f>
        <v>1375.9553630977268</v>
      </c>
      <c r="CE619" s="5"/>
      <c r="CF619" s="5"/>
      <c r="CG619" s="5">
        <v>0</v>
      </c>
      <c r="CH619" s="5">
        <f t="shared" si="382"/>
        <v>2000000</v>
      </c>
      <c r="CI619" s="5">
        <f t="shared" si="383"/>
        <v>2000000</v>
      </c>
      <c r="CJ619" s="1">
        <f t="shared" si="384"/>
        <v>1.2318525604034676E-3</v>
      </c>
      <c r="CK619" s="5">
        <f>RANK(BY619,$BY$2:$BY$623)+COUNTIF($BY$2:$BY619,$BY619)-1</f>
        <v>411</v>
      </c>
      <c r="CL619" s="5">
        <f>RANK(CJ619,$CJ$2:$CJ$623)+COUNTIF($CJ$2:$CJ619,$CJ619)-1</f>
        <v>410</v>
      </c>
    </row>
    <row r="620" spans="1:90">
      <c r="A620" t="str">
        <f>Players!P621</f>
        <v>Tim Sparv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2000000</v>
      </c>
      <c r="H620" s="16">
        <f>INDEX('Team forecast'!$B$2:$AO$26,MATCH('Master data'!$B620,'Team forecast'!$B$2:$B$26,0),MATCH('Master data'!H$1,'Team forecast'!$B$2:$AO$2,0))</f>
        <v>0.59952758650922311</v>
      </c>
      <c r="I620" s="16">
        <f>INDEX('Team forecast'!$B$2:$AO$26,MATCH('Master data'!$B620,'Team forecast'!$B$2:$B$26,0),MATCH('Master data'!I$1,'Team forecast'!$B$2:$AO$2,0))</f>
        <v>1.6608440904336361</v>
      </c>
      <c r="J620" s="16">
        <f>INDEX('Team forecast'!$B$2:$AO$26,MATCH('Master data'!$B620,'Team forecast'!$B$2:$B$26,0),MATCH('Master data'!J$1,'Team forecast'!$B$2:$AO$2,0))</f>
        <v>0.18997855332423469</v>
      </c>
      <c r="K620" s="16">
        <f>INDEX('Team forecast'!$B$2:$AO$26,MATCH('Master data'!$B620,'Team forecast'!$B$2:$B$26,0),MATCH('Master data'!K$1,'Team forecast'!$B$2:$AO$2,0))</f>
        <v>1.9681461173282577</v>
      </c>
      <c r="L620" s="16">
        <f>INDEX('Team forecast'!$B$2:$AO$26,MATCH('Master data'!$B620,'Team forecast'!$B$2:$B$26,0),MATCH('Master data'!L$1,'Team forecast'!$B$2:$AO$2,0))</f>
        <v>4.718659845717994</v>
      </c>
      <c r="M620">
        <f>IF(Players!BC621=1,95,0)</f>
        <v>95</v>
      </c>
      <c r="N620" s="2">
        <f>Players!BN621</f>
        <v>5.4092811505790331E-2</v>
      </c>
      <c r="O620" s="2">
        <f>Players!BO621</f>
        <v>7.7147092945730814E-2</v>
      </c>
      <c r="P620" s="2">
        <f>Players!BP621</f>
        <v>1.2842917881030709E-2</v>
      </c>
      <c r="Q620" s="2">
        <f>Players!BQ621</f>
        <v>0.29263157894736841</v>
      </c>
      <c r="R620" s="2">
        <f>Players!BR621</f>
        <v>5.2631578947368425E-2</v>
      </c>
      <c r="S620" s="2">
        <f t="shared" si="343"/>
        <v>0.59952758650922311</v>
      </c>
      <c r="T620" s="2">
        <f t="shared" si="344"/>
        <v>1.6608440904336361</v>
      </c>
      <c r="U620" s="16">
        <f>INDEX('Team forecast'!$B$2:$AO$26,MATCH('Master data'!$B620,'Team forecast'!$B$2:$B$26,0),MATCH('Master data'!U$1,'Team forecast'!$B$2:$AO$2,0))</f>
        <v>0.1187365958276467</v>
      </c>
      <c r="V620" s="16">
        <f>INDEX('Team forecast'!$B$2:$AO$26,MATCH('Master data'!$B620,'Team forecast'!$B$2:$B$26,0),MATCH('Master data'!V$1,'Team forecast'!$B$2:$AO$2,0))</f>
        <v>0.22616494443361279</v>
      </c>
      <c r="W620" s="16">
        <f>INDEX('Team forecast'!$B$2:$AO$26,MATCH('Master data'!$B620,'Team forecast'!$B$2:$B$26,0),MATCH('Master data'!W$1,'Team forecast'!$B$2:$AO$2,0))</f>
        <v>0.65509845973874048</v>
      </c>
      <c r="X620" s="5">
        <f t="shared" si="345"/>
        <v>7000</v>
      </c>
      <c r="Y620" s="5">
        <f t="shared" si="346"/>
        <v>2968.4148956911677</v>
      </c>
      <c r="Z620" s="5">
        <f t="shared" si="347"/>
        <v>1130.824722168064</v>
      </c>
      <c r="AA620" s="5">
        <f t="shared" si="348"/>
        <v>-9826.476896081107</v>
      </c>
      <c r="AB620" s="5">
        <f t="shared" si="349"/>
        <v>4053.7665911956019</v>
      </c>
      <c r="AC620" s="5">
        <f t="shared" si="350"/>
        <v>2312.5905219978354</v>
      </c>
      <c r="AD620" s="5">
        <f t="shared" si="351"/>
        <v>252.76738962716243</v>
      </c>
      <c r="AE620" s="5">
        <f t="shared" si="352"/>
        <v>0</v>
      </c>
      <c r="AF620" s="5">
        <f t="shared" si="353"/>
        <v>0</v>
      </c>
      <c r="AG620" s="5">
        <f t="shared" si="354"/>
        <v>-5852.6315789473683</v>
      </c>
      <c r="AH620" s="5">
        <f t="shared" si="355"/>
        <v>-2631.5789473684213</v>
      </c>
      <c r="AI620" s="5">
        <f t="shared" si="356"/>
        <v>5995.2758650922315</v>
      </c>
      <c r="AJ620" s="5">
        <f t="shared" si="357"/>
        <v>-13286.75272346909</v>
      </c>
      <c r="AK620" s="5">
        <f>IFERROR(SUM(X620:AJ620),-5000)*((Cockpit!$C$3)^0)</f>
        <v>-7883.8001600939242</v>
      </c>
      <c r="AL620" s="16">
        <f>INDEX('Team forecast'!$B$2:$AO$26,MATCH('Master data'!$B620,'Team forecast'!$B$2:$B$26,0),MATCH('Master data'!AL$1,'Team forecast'!$B$2:$AO$2,0))</f>
        <v>0.75781731816731412</v>
      </c>
      <c r="AM620" s="16">
        <f>INDEX('Team forecast'!$B$2:$AO$26,MATCH('Master data'!$B620,'Team forecast'!$B$2:$B$26,0),MATCH('Master data'!AM$1,'Team forecast'!$B$2:$AO$2,0))</f>
        <v>1.5687475343836428</v>
      </c>
      <c r="AN620" s="16">
        <f>INDEX('Team forecast'!$B$2:$AO$26,MATCH('Master data'!$B620,'Team forecast'!$B$2:$B$26,0),MATCH('Master data'!AN$1,'Team forecast'!$B$2:$AO$2,0))</f>
        <v>0.20830591503984791</v>
      </c>
      <c r="AO620" s="16">
        <f>INDEX('Team forecast'!$B$2:$AO$26,MATCH('Master data'!$B620,'Team forecast'!$B$2:$B$26,0),MATCH('Master data'!AO$1,'Team forecast'!$B$2:$AO$2,0))</f>
        <v>2.4877841252967383</v>
      </c>
      <c r="AP620" s="16">
        <f>INDEX('Team forecast'!$B$2:$AO$26,MATCH('Master data'!$B620,'Team forecast'!$B$2:$B$26,0),MATCH('Master data'!AP$1,'Team forecast'!$B$2:$AO$2,0))</f>
        <v>4.4570023406787609</v>
      </c>
      <c r="AQ620" s="5">
        <f t="shared" si="358"/>
        <v>7000</v>
      </c>
      <c r="AR620" s="5">
        <f>INDEX('Team forecast'!$B$2:$AO$26,MATCH('Master data'!$B620,'Team forecast'!$B$2:$B$26,0),MATCH('Master data'!AR$1,'Team forecast'!$B$2:$AO$2,0))*IF(X620&gt;0,25000,0)</f>
        <v>4463.6981794253124</v>
      </c>
      <c r="AS620" s="16">
        <f>INDEX('Team forecast'!$B$2:$AO$26,MATCH('Master data'!$B620,'Team forecast'!$B$2:$B$26,0),MATCH('Master data'!AS$1,'Team forecast'!$B$2:$AO$2,0))*IF(X620&gt;0,5000,0)</f>
        <v>1266.7251590261019</v>
      </c>
      <c r="AT620" s="16">
        <f>INDEX('Team forecast'!$B$2:$AO$26,MATCH('Master data'!$B620,'Team forecast'!$B$2:$B$26,0),MATCH('Master data'!AT$1,'Team forecast'!$B$2:$AO$2,0))*IF(X620&gt;0,-15000,0)</f>
        <v>-8521.6056152665042</v>
      </c>
      <c r="AU620" s="5">
        <f t="shared" si="359"/>
        <v>5124.0586684310083</v>
      </c>
      <c r="AV620" s="5">
        <f t="shared" si="360"/>
        <v>2923.1701540269119</v>
      </c>
      <c r="AW620" s="5">
        <f t="shared" si="361"/>
        <v>319.50407226917827</v>
      </c>
      <c r="AX620" s="5">
        <f t="shared" si="362"/>
        <v>0</v>
      </c>
      <c r="AY620" s="5">
        <f t="shared" si="363"/>
        <v>0</v>
      </c>
      <c r="AZ620" s="5">
        <f t="shared" si="364"/>
        <v>-5852.6315789473683</v>
      </c>
      <c r="BA620" s="5">
        <f t="shared" si="365"/>
        <v>-2631.5789473684213</v>
      </c>
      <c r="BB620" s="5">
        <f t="shared" si="366"/>
        <v>7578.1731816731417</v>
      </c>
      <c r="BC620" s="5">
        <f t="shared" si="367"/>
        <v>-12549.980275069141</v>
      </c>
      <c r="BD620" s="5">
        <f t="shared" si="368"/>
        <v>-880.46700179978143</v>
      </c>
      <c r="BE620" s="16">
        <f>INDEX('Team forecast'!$B$2:$AO$26,MATCH('Master data'!$B620,'Team forecast'!$B$2:$B$26,0),MATCH('Master data'!BE$1,'Team forecast'!$B$2:$AO$2,0))</f>
        <v>0.62462402002960304</v>
      </c>
      <c r="BF620" s="16">
        <f>INDEX('Team forecast'!$B$2:$AO$26,MATCH('Master data'!$B620,'Team forecast'!$B$2:$B$26,0),MATCH('Master data'!BF$1,'Team forecast'!$B$2:$AO$2,0))</f>
        <v>2.3394224481215296</v>
      </c>
      <c r="BG620" s="16">
        <f>INDEX('Team forecast'!$B$2:$AO$26,MATCH('Master data'!$B620,'Team forecast'!$B$2:$B$26,0),MATCH('Master data'!BG$1,'Team forecast'!$B$2:$AO$2,0))</f>
        <v>9.6383288507815829E-2</v>
      </c>
      <c r="BH620" s="16">
        <f>INDEX('Team forecast'!$B$2:$AO$26,MATCH('Master data'!$B620,'Team forecast'!$B$2:$B$26,0),MATCH('Master data'!BH$1,'Team forecast'!$B$2:$AO$2,0))</f>
        <v>2.0505333990870809</v>
      </c>
      <c r="BI620" s="16">
        <f>INDEX('Team forecast'!$B$2:$AO$26,MATCH('Master data'!$B620,'Team forecast'!$B$2:$B$26,0),MATCH('Master data'!BI$1,'Team forecast'!$B$2:$AO$2,0))</f>
        <v>6.6465834040088314</v>
      </c>
      <c r="BJ620" s="5">
        <f t="shared" si="369"/>
        <v>7000</v>
      </c>
      <c r="BK620" s="5">
        <f>INDEX('Team forecast'!$R$3:$BH$26,MATCH($B620,'Team forecast'!$B$3:$B$26,0),MATCH(BK$1,'Team forecast'!$R$2:$BH$2,0))*IF($X620&gt;0,25000,0)</f>
        <v>1554.5691694809007</v>
      </c>
      <c r="BL620" s="5">
        <f>INDEX('Team forecast'!$R$3:$BH$26,MATCH($B620,'Team forecast'!$B$3:$B$26,0),MATCH(BL$1,'Team forecast'!$R$2:$BH$2,0))*IF($X620&gt;0,5000,0)</f>
        <v>771.06630806252645</v>
      </c>
      <c r="BM620" s="5">
        <f>INDEX('Team forecast'!$R$3:$BH$26,MATCH($B620,'Team forecast'!$B$3:$B$26,0),MATCH(BM$1,'Team forecast'!$R$2:$BH$2,0))*IF($X620&gt;0,-15000,0)</f>
        <v>-11754.059574123881</v>
      </c>
      <c r="BN620" s="5">
        <f t="shared" si="370"/>
        <v>4223.4586721812902</v>
      </c>
      <c r="BO620" s="5">
        <f t="shared" si="371"/>
        <v>2409.3963664679904</v>
      </c>
      <c r="BP620" s="5">
        <f t="shared" si="372"/>
        <v>263.34832056786149</v>
      </c>
      <c r="BQ620" s="5">
        <f t="shared" si="373"/>
        <v>0</v>
      </c>
      <c r="BR620" s="5">
        <f t="shared" si="374"/>
        <v>0</v>
      </c>
      <c r="BS620" s="5">
        <f t="shared" si="375"/>
        <v>-5852.6315789473683</v>
      </c>
      <c r="BT620" s="5">
        <f t="shared" si="376"/>
        <v>-2631.5789473684213</v>
      </c>
      <c r="BU620" s="5">
        <f t="shared" si="377"/>
        <v>6246.2402002960307</v>
      </c>
      <c r="BV620" s="5">
        <f t="shared" si="378"/>
        <v>-18715.379584972237</v>
      </c>
      <c r="BW620" s="5">
        <f t="shared" si="379"/>
        <v>-16485.570648355308</v>
      </c>
      <c r="BX620" s="5">
        <f t="shared" si="380"/>
        <v>-8416.6126034163372</v>
      </c>
      <c r="BY620" s="5">
        <f t="shared" si="381"/>
        <v>-25249.83781024901</v>
      </c>
      <c r="BZ620" s="5">
        <f>INDEX('Team forecast'!$R$3:$BH$26,MATCH($B620,'Team forecast'!$B$3:$B$26,0),MATCH(BZ$1,'Team forecast'!$R$2:$BH$2,0))*($BX620-(BY620+CH620)*0.01)</f>
        <v>-7623.9766778113781</v>
      </c>
      <c r="CA620" s="5">
        <f>INDEX('Team forecast'!$R$3:$BH$26,MATCH($B620,'Team forecast'!$B$3:$B$26,0),MATCH(CA$1,'Team forecast'!$R$2:$BH$2,0))*($BX620-(BY620+BX620+CH620)*0.01)</f>
        <v>-3729.0090379290173</v>
      </c>
      <c r="CB620" s="5">
        <f>INDEX('Team forecast'!$R$3:$BH$26,MATCH($B620,'Team forecast'!$B$3:$B$26,0),MATCH(CB$1,'Team forecast'!$R$2:$BH$2,0))*($BX620-(BY620+BX620*2+CH620)*0.01)</f>
        <v>-1791.7413924594514</v>
      </c>
      <c r="CC620" s="5">
        <f>INDEX('Team forecast'!$R$3:$BH$26,MATCH($B620,'Team forecast'!$B$3:$B$26,0),MATCH(CC$1,'Team forecast'!$R$2:$BH$2,0))*($BX620-(BY620+BX620*3+CH620)*0.01)</f>
        <v>-806.81801547534906</v>
      </c>
      <c r="CD620" s="5">
        <f>+AK620+BD620*Cockpit!$C$3+BW620*Cockpit!$C$3^2+BZ620*Cockpit!$C$3^3+CA620*Cockpit!$C$3^4+CB620*Cockpit!$C$3^5+CC620*Cockpit!$C$3^6</f>
        <v>-19100.030123711727</v>
      </c>
      <c r="CE620" s="5"/>
      <c r="CF620" s="5"/>
      <c r="CG620" s="5">
        <v>0</v>
      </c>
      <c r="CH620" s="5">
        <f t="shared" si="382"/>
        <v>2000000</v>
      </c>
      <c r="CI620" s="5">
        <f t="shared" si="383"/>
        <v>2000000</v>
      </c>
      <c r="CJ620" s="1">
        <f t="shared" si="384"/>
        <v>-1.2624918905124505E-2</v>
      </c>
      <c r="CK620" s="5">
        <f>RANK(BY620,$BY$2:$BY$623)+COUNTIF($BY$2:$BY620,$BY620)-1</f>
        <v>621</v>
      </c>
      <c r="CL620" s="5">
        <f>RANK(CJ620,$CJ$2:$CJ$623)+COUNTIF($CJ$2:$CJ620,$CJ620)-1</f>
        <v>621</v>
      </c>
    </row>
    <row r="621" spans="1:90">
      <c r="A621" t="str">
        <f>Players!P622</f>
        <v>Glen Kamara</v>
      </c>
      <c r="B621" t="str">
        <f>Players!G622</f>
        <v>Finland</v>
      </c>
      <c r="C621" t="str">
        <f>Players!AB622</f>
        <v>Midfield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0.59952758650922311</v>
      </c>
      <c r="I621" s="16">
        <f>INDEX('Team forecast'!$B$2:$AO$26,MATCH('Master data'!$B621,'Team forecast'!$B$2:$B$26,0),MATCH('Master data'!I$1,'Team forecast'!$B$2:$AO$2,0))</f>
        <v>1.6608440904336361</v>
      </c>
      <c r="J621" s="16">
        <f>INDEX('Team forecast'!$B$2:$AO$26,MATCH('Master data'!$B621,'Team forecast'!$B$2:$B$26,0),MATCH('Master data'!J$1,'Team forecast'!$B$2:$AO$2,0))</f>
        <v>0.18997855332423469</v>
      </c>
      <c r="K621" s="16">
        <f>INDEX('Team forecast'!$B$2:$AO$26,MATCH('Master data'!$B621,'Team forecast'!$B$2:$B$26,0),MATCH('Master data'!K$1,'Team forecast'!$B$2:$AO$2,0))</f>
        <v>1.9681461173282577</v>
      </c>
      <c r="L621" s="16">
        <f>INDEX('Team forecast'!$B$2:$AO$26,MATCH('Master data'!$B621,'Team forecast'!$B$2:$B$26,0),MATCH('Master data'!L$1,'Team forecast'!$B$2:$AO$2,0))</f>
        <v>4.718659845717994</v>
      </c>
      <c r="M621">
        <f>IF(Players!BC622=1,95,0)</f>
        <v>95</v>
      </c>
      <c r="N621" s="2">
        <f>Players!BN622</f>
        <v>0.11932940552929025</v>
      </c>
      <c r="O621" s="2">
        <f>Players!BO622</f>
        <v>6.9947619985258849E-2</v>
      </c>
      <c r="P621" s="2">
        <f>Players!BP622</f>
        <v>0.14894687730901476</v>
      </c>
      <c r="Q621" s="2">
        <f>Players!BQ622</f>
        <v>0.1</v>
      </c>
      <c r="R621" s="2">
        <f>Players!BR622</f>
        <v>0</v>
      </c>
      <c r="S621" s="2">
        <f t="shared" si="343"/>
        <v>0.59952758650922311</v>
      </c>
      <c r="T621" s="2">
        <f t="shared" si="344"/>
        <v>1.6608440904336361</v>
      </c>
      <c r="U621" s="16">
        <f>INDEX('Team forecast'!$B$2:$AO$26,MATCH('Master data'!$B621,'Team forecast'!$B$2:$B$26,0),MATCH('Master data'!U$1,'Team forecast'!$B$2:$AO$2,0))</f>
        <v>0.1187365958276467</v>
      </c>
      <c r="V621" s="16">
        <f>INDEX('Team forecast'!$B$2:$AO$26,MATCH('Master data'!$B621,'Team forecast'!$B$2:$B$26,0),MATCH('Master data'!V$1,'Team forecast'!$B$2:$AO$2,0))</f>
        <v>0.22616494443361279</v>
      </c>
      <c r="W621" s="16">
        <f>INDEX('Team forecast'!$B$2:$AO$26,MATCH('Master data'!$B621,'Team forecast'!$B$2:$B$26,0),MATCH('Master data'!W$1,'Team forecast'!$B$2:$AO$2,0))</f>
        <v>0.65509845973874048</v>
      </c>
      <c r="X621" s="5">
        <f t="shared" si="345"/>
        <v>7000</v>
      </c>
      <c r="Y621" s="5">
        <f t="shared" si="346"/>
        <v>2968.4148956911677</v>
      </c>
      <c r="Z621" s="5">
        <f t="shared" si="347"/>
        <v>1130.824722168064</v>
      </c>
      <c r="AA621" s="5">
        <f t="shared" si="348"/>
        <v>-9826.476896081107</v>
      </c>
      <c r="AB621" s="5">
        <f t="shared" si="349"/>
        <v>8942.6588120694651</v>
      </c>
      <c r="AC621" s="5">
        <f t="shared" si="350"/>
        <v>2096.7763895913272</v>
      </c>
      <c r="AD621" s="5">
        <f t="shared" si="351"/>
        <v>2931.4921826390578</v>
      </c>
      <c r="AE621" s="5">
        <f t="shared" si="352"/>
        <v>0</v>
      </c>
      <c r="AF621" s="5">
        <f t="shared" si="353"/>
        <v>0</v>
      </c>
      <c r="AG621" s="5">
        <f t="shared" si="354"/>
        <v>-2000</v>
      </c>
      <c r="AH621" s="5">
        <f t="shared" si="355"/>
        <v>0</v>
      </c>
      <c r="AI621" s="5">
        <f t="shared" si="356"/>
        <v>5995.2758650922315</v>
      </c>
      <c r="AJ621" s="5">
        <f t="shared" si="357"/>
        <v>-13286.75272346909</v>
      </c>
      <c r="AK621" s="5">
        <f>IFERROR(SUM(X621:AJ621),-5000)*((Cockpit!$C$3)^0)</f>
        <v>5952.2132477011146</v>
      </c>
      <c r="AL621" s="16">
        <f>INDEX('Team forecast'!$B$2:$AO$26,MATCH('Master data'!$B621,'Team forecast'!$B$2:$B$26,0),MATCH('Master data'!AL$1,'Team forecast'!$B$2:$AO$2,0))</f>
        <v>0.75781731816731412</v>
      </c>
      <c r="AM621" s="16">
        <f>INDEX('Team forecast'!$B$2:$AO$26,MATCH('Master data'!$B621,'Team forecast'!$B$2:$B$26,0),MATCH('Master data'!AM$1,'Team forecast'!$B$2:$AO$2,0))</f>
        <v>1.5687475343836428</v>
      </c>
      <c r="AN621" s="16">
        <f>INDEX('Team forecast'!$B$2:$AO$26,MATCH('Master data'!$B621,'Team forecast'!$B$2:$B$26,0),MATCH('Master data'!AN$1,'Team forecast'!$B$2:$AO$2,0))</f>
        <v>0.20830591503984791</v>
      </c>
      <c r="AO621" s="16">
        <f>INDEX('Team forecast'!$B$2:$AO$26,MATCH('Master data'!$B621,'Team forecast'!$B$2:$B$26,0),MATCH('Master data'!AO$1,'Team forecast'!$B$2:$AO$2,0))</f>
        <v>2.4877841252967383</v>
      </c>
      <c r="AP621" s="16">
        <f>INDEX('Team forecast'!$B$2:$AO$26,MATCH('Master data'!$B621,'Team forecast'!$B$2:$B$26,0),MATCH('Master data'!AP$1,'Team forecast'!$B$2:$AO$2,0))</f>
        <v>4.4570023406787609</v>
      </c>
      <c r="AQ621" s="5">
        <f t="shared" si="358"/>
        <v>7000</v>
      </c>
      <c r="AR621" s="5">
        <f>INDEX('Team forecast'!$B$2:$AO$26,MATCH('Master data'!$B621,'Team forecast'!$B$2:$B$26,0),MATCH('Master data'!AR$1,'Team forecast'!$B$2:$AO$2,0))*IF(X621&gt;0,25000,0)</f>
        <v>4463.6981794253124</v>
      </c>
      <c r="AS621" s="16">
        <f>INDEX('Team forecast'!$B$2:$AO$26,MATCH('Master data'!$B621,'Team forecast'!$B$2:$B$26,0),MATCH('Master data'!AS$1,'Team forecast'!$B$2:$AO$2,0))*IF(X621&gt;0,5000,0)</f>
        <v>1266.7251590261019</v>
      </c>
      <c r="AT621" s="16">
        <f>INDEX('Team forecast'!$B$2:$AO$26,MATCH('Master data'!$B621,'Team forecast'!$B$2:$B$26,0),MATCH('Master data'!AT$1,'Team forecast'!$B$2:$AO$2,0))*IF(X621&gt;0,-15000,0)</f>
        <v>-8521.6056152665042</v>
      </c>
      <c r="AU621" s="5">
        <f t="shared" si="359"/>
        <v>11303.736259588326</v>
      </c>
      <c r="AV621" s="5">
        <f t="shared" si="360"/>
        <v>2650.3758894707644</v>
      </c>
      <c r="AW621" s="5">
        <f t="shared" si="361"/>
        <v>3705.476768818879</v>
      </c>
      <c r="AX621" s="5">
        <f t="shared" si="362"/>
        <v>0</v>
      </c>
      <c r="AY621" s="5">
        <f t="shared" si="363"/>
        <v>0</v>
      </c>
      <c r="AZ621" s="5">
        <f t="shared" si="364"/>
        <v>-2000</v>
      </c>
      <c r="BA621" s="5">
        <f t="shared" si="365"/>
        <v>0</v>
      </c>
      <c r="BB621" s="5">
        <f t="shared" si="366"/>
        <v>7578.1731816731417</v>
      </c>
      <c r="BC621" s="5">
        <f t="shared" si="367"/>
        <v>-12549.980275069141</v>
      </c>
      <c r="BD621" s="5">
        <f t="shared" si="368"/>
        <v>14896.59954766688</v>
      </c>
      <c r="BE621" s="16">
        <f>INDEX('Team forecast'!$B$2:$AO$26,MATCH('Master data'!$B621,'Team forecast'!$B$2:$B$26,0),MATCH('Master data'!BE$1,'Team forecast'!$B$2:$AO$2,0))</f>
        <v>0.62462402002960304</v>
      </c>
      <c r="BF621" s="16">
        <f>INDEX('Team forecast'!$B$2:$AO$26,MATCH('Master data'!$B621,'Team forecast'!$B$2:$B$26,0),MATCH('Master data'!BF$1,'Team forecast'!$B$2:$AO$2,0))</f>
        <v>2.3394224481215296</v>
      </c>
      <c r="BG621" s="16">
        <f>INDEX('Team forecast'!$B$2:$AO$26,MATCH('Master data'!$B621,'Team forecast'!$B$2:$B$26,0),MATCH('Master data'!BG$1,'Team forecast'!$B$2:$AO$2,0))</f>
        <v>9.6383288507815829E-2</v>
      </c>
      <c r="BH621" s="16">
        <f>INDEX('Team forecast'!$B$2:$AO$26,MATCH('Master data'!$B621,'Team forecast'!$B$2:$B$26,0),MATCH('Master data'!BH$1,'Team forecast'!$B$2:$AO$2,0))</f>
        <v>2.0505333990870809</v>
      </c>
      <c r="BI621" s="16">
        <f>INDEX('Team forecast'!$B$2:$AO$26,MATCH('Master data'!$B621,'Team forecast'!$B$2:$B$26,0),MATCH('Master data'!BI$1,'Team forecast'!$B$2:$AO$2,0))</f>
        <v>6.6465834040088314</v>
      </c>
      <c r="BJ621" s="5">
        <f t="shared" si="369"/>
        <v>7000</v>
      </c>
      <c r="BK621" s="5">
        <f>INDEX('Team forecast'!$R$3:$BH$26,MATCH($B621,'Team forecast'!$B$3:$B$26,0),MATCH(BK$1,'Team forecast'!$R$2:$BH$2,0))*IF($X621&gt;0,25000,0)</f>
        <v>1554.5691694809007</v>
      </c>
      <c r="BL621" s="5">
        <f>INDEX('Team forecast'!$R$3:$BH$26,MATCH($B621,'Team forecast'!$B$3:$B$26,0),MATCH(BL$1,'Team forecast'!$R$2:$BH$2,0))*IF($X621&gt;0,5000,0)</f>
        <v>771.06630806252645</v>
      </c>
      <c r="BM621" s="5">
        <f>INDEX('Team forecast'!$R$3:$BH$26,MATCH($B621,'Team forecast'!$B$3:$B$26,0),MATCH(BM$1,'Team forecast'!$R$2:$BH$2,0))*IF($X621&gt;0,-15000,0)</f>
        <v>-11754.059574123881</v>
      </c>
      <c r="BN621" s="5">
        <f t="shared" si="370"/>
        <v>9317.0016236810025</v>
      </c>
      <c r="BO621" s="5">
        <f t="shared" si="371"/>
        <v>2184.5481793347694</v>
      </c>
      <c r="BP621" s="5">
        <f t="shared" si="372"/>
        <v>3054.2054661186048</v>
      </c>
      <c r="BQ621" s="5">
        <f t="shared" si="373"/>
        <v>0</v>
      </c>
      <c r="BR621" s="5">
        <f t="shared" si="374"/>
        <v>0</v>
      </c>
      <c r="BS621" s="5">
        <f t="shared" si="375"/>
        <v>-2000</v>
      </c>
      <c r="BT621" s="5">
        <f t="shared" si="376"/>
        <v>0</v>
      </c>
      <c r="BU621" s="5">
        <f t="shared" si="377"/>
        <v>6246.2402002960307</v>
      </c>
      <c r="BV621" s="5">
        <f t="shared" si="378"/>
        <v>-18715.379584972237</v>
      </c>
      <c r="BW621" s="5">
        <f t="shared" si="379"/>
        <v>-2341.8082121222833</v>
      </c>
      <c r="BX621" s="5">
        <f t="shared" si="380"/>
        <v>6169.00152774857</v>
      </c>
      <c r="BY621" s="5">
        <f t="shared" si="381"/>
        <v>18507.004583245711</v>
      </c>
      <c r="BZ621" s="5">
        <f>INDEX('Team forecast'!$R$3:$BH$26,MATCH($B621,'Team forecast'!$B$3:$B$26,0),MATCH(BZ$1,'Team forecast'!$R$2:$BH$2,0))*($BX621-(BY621+CH621)*0.01)</f>
        <v>-6501.1079279753658</v>
      </c>
      <c r="CA621" s="5">
        <f>INDEX('Team forecast'!$R$3:$BH$26,MATCH($B621,'Team forecast'!$B$3:$B$26,0),MATCH(CA$1,'Team forecast'!$R$2:$BH$2,0))*($BX621-(BY621+BX621+CH621)*0.01)</f>
        <v>-3197.5194137299814</v>
      </c>
      <c r="CB621" s="5">
        <f>INDEX('Team forecast'!$R$3:$BH$26,MATCH($B621,'Team forecast'!$B$3:$B$26,0),MATCH(CB$1,'Team forecast'!$R$2:$BH$2,0))*($BX621-(BY621+BX621*2+CH621)*0.01)</f>
        <v>-1544.934490384137</v>
      </c>
      <c r="CC621" s="5">
        <f>INDEX('Team forecast'!$R$3:$BH$26,MATCH($B621,'Team forecast'!$B$3:$B$26,0),MATCH(CC$1,'Team forecast'!$R$2:$BH$2,0))*($BX621-(BY621+BX621*3+CH621)*0.01)</f>
        <v>-699.56231467458224</v>
      </c>
      <c r="CD621" s="5">
        <f>+AK621+BD621*Cockpit!$C$3+BW621*Cockpit!$C$3^2+BZ621*Cockpit!$C$3^3+CA621*Cockpit!$C$3^4+CB621*Cockpit!$C$3^5+CC621*Cockpit!$C$3^6</f>
        <v>12019.749204083331</v>
      </c>
      <c r="CE621" s="5"/>
      <c r="CF621" s="5"/>
      <c r="CG621" s="5">
        <v>0</v>
      </c>
      <c r="CH621" s="5">
        <f t="shared" si="382"/>
        <v>3000000</v>
      </c>
      <c r="CI621" s="5">
        <f t="shared" si="383"/>
        <v>3000000</v>
      </c>
      <c r="CJ621" s="1">
        <f t="shared" si="384"/>
        <v>6.16900152774857E-3</v>
      </c>
      <c r="CK621" s="5">
        <f>RANK(BY621,$BY$2:$BY$623)+COUNTIF($BY$2:$BY621,$BY621)-1</f>
        <v>384</v>
      </c>
      <c r="CL621" s="5">
        <f>RANK(CJ621,$CJ$2:$CJ$623)+COUNTIF($CJ$2:$CJ621,$CJ621)-1</f>
        <v>386</v>
      </c>
    </row>
    <row r="622" spans="1:90">
      <c r="A622" t="str">
        <f>Players!P623</f>
        <v>Joel Pohjanpalo</v>
      </c>
      <c r="B622" t="str">
        <f>Players!G623</f>
        <v>Finland</v>
      </c>
      <c r="C622" t="str">
        <f>Players!AB623</f>
        <v>Striker</v>
      </c>
      <c r="G622">
        <f>IF(Players!AC623=0,10000000,Players!AC623)</f>
        <v>3000000</v>
      </c>
      <c r="H622" s="16">
        <f>INDEX('Team forecast'!$B$2:$AO$26,MATCH('Master data'!$B622,'Team forecast'!$B$2:$B$26,0),MATCH('Master data'!H$1,'Team forecast'!$B$2:$AO$2,0))</f>
        <v>0.59952758650922311</v>
      </c>
      <c r="I622" s="16">
        <f>INDEX('Team forecast'!$B$2:$AO$26,MATCH('Master data'!$B622,'Team forecast'!$B$2:$B$26,0),MATCH('Master data'!I$1,'Team forecast'!$B$2:$AO$2,0))</f>
        <v>1.6608440904336361</v>
      </c>
      <c r="J622" s="16">
        <f>INDEX('Team forecast'!$B$2:$AO$26,MATCH('Master data'!$B622,'Team forecast'!$B$2:$B$26,0),MATCH('Master data'!J$1,'Team forecast'!$B$2:$AO$2,0))</f>
        <v>0.18997855332423469</v>
      </c>
      <c r="K622" s="16">
        <f>INDEX('Team forecast'!$B$2:$AO$26,MATCH('Master data'!$B622,'Team forecast'!$B$2:$B$26,0),MATCH('Master data'!K$1,'Team forecast'!$B$2:$AO$2,0))</f>
        <v>1.9681461173282577</v>
      </c>
      <c r="L622" s="16">
        <f>INDEX('Team forecast'!$B$2:$AO$26,MATCH('Master data'!$B622,'Team forecast'!$B$2:$B$26,0),MATCH('Master data'!L$1,'Team forecast'!$B$2:$AO$2,0))</f>
        <v>4.718659845717994</v>
      </c>
      <c r="M622">
        <f>IF(Players!BC623=1,95,0)</f>
        <v>95</v>
      </c>
      <c r="N622" s="2">
        <f>Players!BN623</f>
        <v>0.29491828652451929</v>
      </c>
      <c r="O622" s="2">
        <f>Players!BO623</f>
        <v>0.22328399308623928</v>
      </c>
      <c r="P622" s="2">
        <f>Players!BP623</f>
        <v>0.32549844533384265</v>
      </c>
      <c r="Q622" s="2">
        <f>Players!BQ623</f>
        <v>0</v>
      </c>
      <c r="R622" s="2">
        <f>Players!BR623</f>
        <v>0</v>
      </c>
      <c r="S622" s="2">
        <f t="shared" si="343"/>
        <v>0.59952758650922311</v>
      </c>
      <c r="T622" s="2">
        <f t="shared" si="344"/>
        <v>1.6608440904336361</v>
      </c>
      <c r="U622" s="16">
        <f>INDEX('Team forecast'!$B$2:$AO$26,MATCH('Master data'!$B622,'Team forecast'!$B$2:$B$26,0),MATCH('Master data'!U$1,'Team forecast'!$B$2:$AO$2,0))</f>
        <v>0.1187365958276467</v>
      </c>
      <c r="V622" s="16">
        <f>INDEX('Team forecast'!$B$2:$AO$26,MATCH('Master data'!$B622,'Team forecast'!$B$2:$B$26,0),MATCH('Master data'!V$1,'Team forecast'!$B$2:$AO$2,0))</f>
        <v>0.22616494443361279</v>
      </c>
      <c r="W622" s="16">
        <f>INDEX('Team forecast'!$B$2:$AO$26,MATCH('Master data'!$B622,'Team forecast'!$B$2:$B$26,0),MATCH('Master data'!W$1,'Team forecast'!$B$2:$AO$2,0))</f>
        <v>0.65509845973874048</v>
      </c>
      <c r="X622" s="5">
        <f t="shared" si="345"/>
        <v>7000</v>
      </c>
      <c r="Y622" s="5">
        <f t="shared" si="346"/>
        <v>2968.4148956911677</v>
      </c>
      <c r="Z622" s="5">
        <f t="shared" si="347"/>
        <v>1130.824722168064</v>
      </c>
      <c r="AA622" s="5">
        <f t="shared" si="348"/>
        <v>-9826.476896081107</v>
      </c>
      <c r="AB622" s="5">
        <f t="shared" si="349"/>
        <v>17681.164853748058</v>
      </c>
      <c r="AC622" s="5">
        <f t="shared" si="350"/>
        <v>6693.245674056755</v>
      </c>
      <c r="AD622" s="5">
        <f t="shared" si="351"/>
        <v>6406.2850138018657</v>
      </c>
      <c r="AE622" s="5">
        <f t="shared" si="352"/>
        <v>0</v>
      </c>
      <c r="AF622" s="5">
        <f t="shared" si="353"/>
        <v>0</v>
      </c>
      <c r="AG622" s="5">
        <f t="shared" si="354"/>
        <v>0</v>
      </c>
      <c r="AH622" s="5">
        <f t="shared" si="355"/>
        <v>0</v>
      </c>
      <c r="AI622" s="5">
        <f t="shared" si="356"/>
        <v>5995.2758650922315</v>
      </c>
      <c r="AJ622" s="5">
        <f t="shared" si="357"/>
        <v>-13286.75272346909</v>
      </c>
      <c r="AK622" s="5">
        <f>IFERROR(SUM(X622:AJ622),-5000)*((Cockpit!$C$3)^0)</f>
        <v>24761.981405007948</v>
      </c>
      <c r="AL622" s="16">
        <f>INDEX('Team forecast'!$B$2:$AO$26,MATCH('Master data'!$B622,'Team forecast'!$B$2:$B$26,0),MATCH('Master data'!AL$1,'Team forecast'!$B$2:$AO$2,0))</f>
        <v>0.75781731816731412</v>
      </c>
      <c r="AM622" s="16">
        <f>INDEX('Team forecast'!$B$2:$AO$26,MATCH('Master data'!$B622,'Team forecast'!$B$2:$B$26,0),MATCH('Master data'!AM$1,'Team forecast'!$B$2:$AO$2,0))</f>
        <v>1.5687475343836428</v>
      </c>
      <c r="AN622" s="16">
        <f>INDEX('Team forecast'!$B$2:$AO$26,MATCH('Master data'!$B622,'Team forecast'!$B$2:$B$26,0),MATCH('Master data'!AN$1,'Team forecast'!$B$2:$AO$2,0))</f>
        <v>0.20830591503984791</v>
      </c>
      <c r="AO622" s="16">
        <f>INDEX('Team forecast'!$B$2:$AO$26,MATCH('Master data'!$B622,'Team forecast'!$B$2:$B$26,0),MATCH('Master data'!AO$1,'Team forecast'!$B$2:$AO$2,0))</f>
        <v>2.4877841252967383</v>
      </c>
      <c r="AP622" s="16">
        <f>INDEX('Team forecast'!$B$2:$AO$26,MATCH('Master data'!$B622,'Team forecast'!$B$2:$B$26,0),MATCH('Master data'!AP$1,'Team forecast'!$B$2:$AO$2,0))</f>
        <v>4.4570023406787609</v>
      </c>
      <c r="AQ622" s="5">
        <f t="shared" si="358"/>
        <v>7000</v>
      </c>
      <c r="AR622" s="5">
        <f>INDEX('Team forecast'!$B$2:$AO$26,MATCH('Master data'!$B622,'Team forecast'!$B$2:$B$26,0),MATCH('Master data'!AR$1,'Team forecast'!$B$2:$AO$2,0))*IF(X622&gt;0,25000,0)</f>
        <v>4463.6981794253124</v>
      </c>
      <c r="AS622" s="16">
        <f>INDEX('Team forecast'!$B$2:$AO$26,MATCH('Master data'!$B622,'Team forecast'!$B$2:$B$26,0),MATCH('Master data'!AS$1,'Team forecast'!$B$2:$AO$2,0))*IF(X622&gt;0,5000,0)</f>
        <v>1266.7251590261019</v>
      </c>
      <c r="AT622" s="16">
        <f>INDEX('Team forecast'!$B$2:$AO$26,MATCH('Master data'!$B622,'Team forecast'!$B$2:$B$26,0),MATCH('Master data'!AT$1,'Team forecast'!$B$2:$AO$2,0))*IF(X622&gt;0,-15000,0)</f>
        <v>-8521.6056152665042</v>
      </c>
      <c r="AU622" s="5">
        <f t="shared" si="359"/>
        <v>22349.418497251074</v>
      </c>
      <c r="AV622" s="5">
        <f t="shared" si="360"/>
        <v>8460.4238415151485</v>
      </c>
      <c r="AW622" s="5">
        <f t="shared" si="361"/>
        <v>8097.6986511030191</v>
      </c>
      <c r="AX622" s="5">
        <f t="shared" si="362"/>
        <v>0</v>
      </c>
      <c r="AY622" s="5">
        <f t="shared" si="363"/>
        <v>0</v>
      </c>
      <c r="AZ622" s="5">
        <f t="shared" si="364"/>
        <v>0</v>
      </c>
      <c r="BA622" s="5">
        <f t="shared" si="365"/>
        <v>0</v>
      </c>
      <c r="BB622" s="5">
        <f t="shared" si="366"/>
        <v>7578.1731816731417</v>
      </c>
      <c r="BC622" s="5">
        <f t="shared" si="367"/>
        <v>-12549.980275069141</v>
      </c>
      <c r="BD622" s="5">
        <f t="shared" si="368"/>
        <v>38144.551619658145</v>
      </c>
      <c r="BE622" s="16">
        <f>INDEX('Team forecast'!$B$2:$AO$26,MATCH('Master data'!$B622,'Team forecast'!$B$2:$B$26,0),MATCH('Master data'!BE$1,'Team forecast'!$B$2:$AO$2,0))</f>
        <v>0.62462402002960304</v>
      </c>
      <c r="BF622" s="16">
        <f>INDEX('Team forecast'!$B$2:$AO$26,MATCH('Master data'!$B622,'Team forecast'!$B$2:$B$26,0),MATCH('Master data'!BF$1,'Team forecast'!$B$2:$AO$2,0))</f>
        <v>2.3394224481215296</v>
      </c>
      <c r="BG622" s="16">
        <f>INDEX('Team forecast'!$B$2:$AO$26,MATCH('Master data'!$B622,'Team forecast'!$B$2:$B$26,0),MATCH('Master data'!BG$1,'Team forecast'!$B$2:$AO$2,0))</f>
        <v>9.6383288507815829E-2</v>
      </c>
      <c r="BH622" s="16">
        <f>INDEX('Team forecast'!$B$2:$AO$26,MATCH('Master data'!$B622,'Team forecast'!$B$2:$B$26,0),MATCH('Master data'!BH$1,'Team forecast'!$B$2:$AO$2,0))</f>
        <v>2.0505333990870809</v>
      </c>
      <c r="BI622" s="16">
        <f>INDEX('Team forecast'!$B$2:$AO$26,MATCH('Master data'!$B622,'Team forecast'!$B$2:$B$26,0),MATCH('Master data'!BI$1,'Team forecast'!$B$2:$AO$2,0))</f>
        <v>6.6465834040088314</v>
      </c>
      <c r="BJ622" s="5">
        <f t="shared" si="369"/>
        <v>7000</v>
      </c>
      <c r="BK622" s="5">
        <f>INDEX('Team forecast'!$R$3:$BH$26,MATCH($B622,'Team forecast'!$B$3:$B$26,0),MATCH(BK$1,'Team forecast'!$R$2:$BH$2,0))*IF($X622&gt;0,25000,0)</f>
        <v>1554.5691694809007</v>
      </c>
      <c r="BL622" s="5">
        <f>INDEX('Team forecast'!$R$3:$BH$26,MATCH($B622,'Team forecast'!$B$3:$B$26,0),MATCH(BL$1,'Team forecast'!$R$2:$BH$2,0))*IF($X622&gt;0,5000,0)</f>
        <v>771.06630806252645</v>
      </c>
      <c r="BM622" s="5">
        <f>INDEX('Team forecast'!$R$3:$BH$26,MATCH($B622,'Team forecast'!$B$3:$B$26,0),MATCH(BM$1,'Team forecast'!$R$2:$BH$2,0))*IF($X622&gt;0,-15000,0)</f>
        <v>-11754.059574123881</v>
      </c>
      <c r="BN622" s="5">
        <f t="shared" si="370"/>
        <v>18421.304570918754</v>
      </c>
      <c r="BO622" s="5">
        <f t="shared" si="371"/>
        <v>6973.4272684894431</v>
      </c>
      <c r="BP622" s="5">
        <f t="shared" si="372"/>
        <v>6674.4543350796466</v>
      </c>
      <c r="BQ622" s="5">
        <f t="shared" si="373"/>
        <v>0</v>
      </c>
      <c r="BR622" s="5">
        <f t="shared" si="374"/>
        <v>0</v>
      </c>
      <c r="BS622" s="5">
        <f t="shared" si="375"/>
        <v>0</v>
      </c>
      <c r="BT622" s="5">
        <f t="shared" si="376"/>
        <v>0</v>
      </c>
      <c r="BU622" s="5">
        <f t="shared" si="377"/>
        <v>6246.2402002960307</v>
      </c>
      <c r="BV622" s="5">
        <f t="shared" si="378"/>
        <v>-18715.379584972237</v>
      </c>
      <c r="BW622" s="5">
        <f t="shared" si="379"/>
        <v>17171.622693231184</v>
      </c>
      <c r="BX622" s="5">
        <f t="shared" si="380"/>
        <v>26692.718572632424</v>
      </c>
      <c r="BY622" s="5">
        <f t="shared" si="381"/>
        <v>80078.155717897273</v>
      </c>
      <c r="BZ622" s="5">
        <f>INDEX('Team forecast'!$R$3:$BH$26,MATCH($B622,'Team forecast'!$B$3:$B$26,0),MATCH(BZ$1,'Team forecast'!$R$2:$BH$2,0))*($BX622-(BY622+CH622)*0.01)</f>
        <v>-1112.0454964286766</v>
      </c>
      <c r="CA622" s="5">
        <f>INDEX('Team forecast'!$R$3:$BH$26,MATCH($B622,'Team forecast'!$B$3:$B$26,0),MATCH(CA$1,'Team forecast'!$R$2:$BH$2,0))*($BX622-(BY622+BX622+CH622)*0.01)</f>
        <v>-580.99743732135494</v>
      </c>
      <c r="CB622" s="5">
        <f>INDEX('Team forecast'!$R$3:$BH$26,MATCH($B622,'Team forecast'!$B$3:$B$26,0),MATCH(CB$1,'Team forecast'!$R$2:$BH$2,0))*($BX622-(BY622+BX622*2+CH622)*0.01)</f>
        <v>-297.0845920670493</v>
      </c>
      <c r="CC622" s="5">
        <f>INDEX('Team forecast'!$R$3:$BH$26,MATCH($B622,'Team forecast'!$B$3:$B$26,0),MATCH(CC$1,'Team forecast'!$R$2:$BH$2,0))*($BX622-(BY622+BX622*3+CH622)*0.01)</f>
        <v>-141.89591290995364</v>
      </c>
      <c r="CD622" s="5">
        <f>+AK622+BD622*Cockpit!$C$3+BW622*Cockpit!$C$3^2+BZ622*Cockpit!$C$3^3+CA622*Cockpit!$C$3^4+CB622*Cockpit!$C$3^5+CC622*Cockpit!$C$3^6</f>
        <v>57327.675399923202</v>
      </c>
      <c r="CE622" s="5"/>
      <c r="CF622" s="5"/>
      <c r="CG622" s="5">
        <v>0</v>
      </c>
      <c r="CH622" s="5">
        <f t="shared" si="382"/>
        <v>3000000</v>
      </c>
      <c r="CI622" s="5">
        <f t="shared" si="383"/>
        <v>3000000</v>
      </c>
      <c r="CJ622" s="1">
        <f t="shared" si="384"/>
        <v>2.6692718572632425E-2</v>
      </c>
      <c r="CK622" s="5">
        <f>RANK(BY622,$BY$2:$BY$623)+COUNTIF($BY$2:$BY622,$BY622)-1</f>
        <v>214</v>
      </c>
      <c r="CL622" s="5">
        <f>RANK(CJ622,$CJ$2:$CJ$623)+COUNTIF($CJ$2:$CJ622,$CJ622)-1</f>
        <v>185</v>
      </c>
    </row>
  </sheetData>
  <autoFilter ref="A1:CD622" xr:uid="{3980C389-0CB4-475B-B36E-B782BE1B6EAA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6208D-0FE5-4C52-B1FD-1D8FA467833E}">
  <sheetPr>
    <tabColor theme="7" tint="0.39997558519241921"/>
  </sheetPr>
  <dimension ref="A1:A159"/>
  <sheetViews>
    <sheetView workbookViewId="0">
      <selection activeCell="A3" sqref="A3"/>
    </sheetView>
  </sheetViews>
  <sheetFormatPr defaultRowHeight="15.75"/>
  <cols>
    <col min="1" max="2" width="33.75" customWidth="1"/>
  </cols>
  <sheetData>
    <row r="1" spans="1:1">
      <c r="A1" s="103" t="s">
        <v>5234</v>
      </c>
    </row>
    <row r="2" spans="1:1">
      <c r="A2" s="104" t="s">
        <v>1557</v>
      </c>
    </row>
    <row r="3" spans="1:1" ht="114">
      <c r="A3" s="104" t="s">
        <v>5235</v>
      </c>
    </row>
    <row r="4" spans="1:1" ht="99.75">
      <c r="A4" s="104" t="s">
        <v>5236</v>
      </c>
    </row>
    <row r="5" spans="1:1" ht="114">
      <c r="A5" s="104" t="s">
        <v>5237</v>
      </c>
    </row>
    <row r="6" spans="1:1" ht="99.75">
      <c r="A6" s="104" t="s">
        <v>5238</v>
      </c>
    </row>
    <row r="7" spans="1:1" ht="199.5">
      <c r="A7" s="104" t="s">
        <v>5239</v>
      </c>
    </row>
    <row r="8" spans="1:1">
      <c r="A8" s="103" t="s">
        <v>5240</v>
      </c>
    </row>
    <row r="9" spans="1:1" ht="99.75">
      <c r="A9" s="104" t="s">
        <v>5241</v>
      </c>
    </row>
    <row r="10" spans="1:1" ht="114">
      <c r="A10" s="104" t="s">
        <v>5242</v>
      </c>
    </row>
    <row r="11" spans="1:1" ht="99.75">
      <c r="A11" s="104" t="s">
        <v>5243</v>
      </c>
    </row>
    <row r="12" spans="1:1" ht="128.25">
      <c r="A12" s="104" t="s">
        <v>5244</v>
      </c>
    </row>
    <row r="13" spans="1:1" ht="99.75">
      <c r="A13" s="104" t="s">
        <v>5245</v>
      </c>
    </row>
    <row r="14" spans="1:1" ht="384.75">
      <c r="A14" s="104" t="s">
        <v>5246</v>
      </c>
    </row>
    <row r="15" spans="1:1">
      <c r="A15" s="103" t="s">
        <v>5247</v>
      </c>
    </row>
    <row r="16" spans="1:1" ht="99.75">
      <c r="A16" s="104" t="s">
        <v>5248</v>
      </c>
    </row>
    <row r="17" spans="1:1" ht="128.25">
      <c r="A17" s="104" t="s">
        <v>5249</v>
      </c>
    </row>
    <row r="18" spans="1:1" ht="142.5">
      <c r="A18" s="104" t="s">
        <v>5250</v>
      </c>
    </row>
    <row r="19" spans="1:1" ht="128.25">
      <c r="A19" s="104" t="s">
        <v>5251</v>
      </c>
    </row>
    <row r="20" spans="1:1" ht="30">
      <c r="A20" s="103" t="s">
        <v>5252</v>
      </c>
    </row>
    <row r="21" spans="1:1" ht="99.75">
      <c r="A21" s="104" t="s">
        <v>5253</v>
      </c>
    </row>
    <row r="22" spans="1:1" ht="128.25">
      <c r="A22" s="104" t="s">
        <v>5254</v>
      </c>
    </row>
    <row r="23" spans="1:1" ht="142.5">
      <c r="A23" s="104" t="s">
        <v>5255</v>
      </c>
    </row>
    <row r="24" spans="1:1" ht="128.25">
      <c r="A24" s="104" t="s">
        <v>5256</v>
      </c>
    </row>
    <row r="27" spans="1:1" ht="43.5">
      <c r="A27" s="105" t="s">
        <v>5257</v>
      </c>
    </row>
    <row r="28" spans="1:1" ht="30">
      <c r="A28" s="103" t="s">
        <v>5258</v>
      </c>
    </row>
    <row r="29" spans="1:1" ht="99.75">
      <c r="A29" s="104" t="s">
        <v>5259</v>
      </c>
    </row>
    <row r="30" spans="1:1" ht="128.25">
      <c r="A30" s="104" t="s">
        <v>5260</v>
      </c>
    </row>
    <row r="31" spans="1:1" ht="85.5">
      <c r="A31" s="104" t="s">
        <v>5261</v>
      </c>
    </row>
    <row r="32" spans="1:1" ht="114">
      <c r="A32" s="104" t="s">
        <v>5262</v>
      </c>
    </row>
    <row r="33" spans="1:1" ht="99.75">
      <c r="A33" s="104" t="s">
        <v>5263</v>
      </c>
    </row>
    <row r="34" spans="1:1" ht="30">
      <c r="A34" s="103" t="s">
        <v>5264</v>
      </c>
    </row>
    <row r="35" spans="1:1" ht="85.5">
      <c r="A35" s="104" t="s">
        <v>5265</v>
      </c>
    </row>
    <row r="36" spans="1:1" ht="128.25">
      <c r="A36" s="104" t="s">
        <v>5266</v>
      </c>
    </row>
    <row r="37" spans="1:1" ht="142.5">
      <c r="A37" s="104" t="s">
        <v>5267</v>
      </c>
    </row>
    <row r="38" spans="1:1" ht="128.25">
      <c r="A38" s="104" t="s">
        <v>5268</v>
      </c>
    </row>
    <row r="39" spans="1:1" ht="85.5">
      <c r="A39" s="104" t="s">
        <v>5269</v>
      </c>
    </row>
    <row r="40" spans="1:1" ht="285">
      <c r="A40" s="104" t="s">
        <v>5270</v>
      </c>
    </row>
    <row r="41" spans="1:1">
      <c r="A41" s="103" t="s">
        <v>5271</v>
      </c>
    </row>
    <row r="42" spans="1:1" ht="85.5">
      <c r="A42" s="104" t="s">
        <v>5272</v>
      </c>
    </row>
    <row r="43" spans="1:1" ht="114">
      <c r="A43" s="104" t="s">
        <v>5273</v>
      </c>
    </row>
    <row r="44" spans="1:1" ht="99.75">
      <c r="A44" s="104" t="s">
        <v>5274</v>
      </c>
    </row>
    <row r="45" spans="1:1" ht="85.5">
      <c r="A45" s="104" t="s">
        <v>5275</v>
      </c>
    </row>
    <row r="46" spans="1:1" ht="85.5">
      <c r="A46" s="104" t="s">
        <v>5276</v>
      </c>
    </row>
    <row r="47" spans="1:1" ht="128.25">
      <c r="A47" s="104" t="s">
        <v>5277</v>
      </c>
    </row>
    <row r="48" spans="1:1">
      <c r="A48" s="103" t="s">
        <v>5278</v>
      </c>
    </row>
    <row r="49" spans="1:1" ht="99.75">
      <c r="A49" s="104" t="s">
        <v>5279</v>
      </c>
    </row>
    <row r="50" spans="1:1" ht="114">
      <c r="A50" s="104" t="s">
        <v>5280</v>
      </c>
    </row>
    <row r="51" spans="1:1" ht="128.25">
      <c r="A51" s="104" t="s">
        <v>5281</v>
      </c>
    </row>
    <row r="52" spans="1:1" ht="99.75">
      <c r="A52" s="104" t="s">
        <v>5282</v>
      </c>
    </row>
    <row r="53" spans="1:1" ht="99.75">
      <c r="A53" s="104" t="s">
        <v>5283</v>
      </c>
    </row>
    <row r="56" spans="1:1" ht="43.5">
      <c r="A56" s="105" t="s">
        <v>5284</v>
      </c>
    </row>
    <row r="57" spans="1:1" ht="30">
      <c r="A57" s="103" t="s">
        <v>5285</v>
      </c>
    </row>
    <row r="58" spans="1:1" ht="114">
      <c r="A58" s="104" t="s">
        <v>5286</v>
      </c>
    </row>
    <row r="59" spans="1:1" ht="156.75">
      <c r="A59" s="104" t="s">
        <v>5287</v>
      </c>
    </row>
    <row r="60" spans="1:1" ht="128.25">
      <c r="A60" s="104" t="s">
        <v>5288</v>
      </c>
    </row>
    <row r="61" spans="1:1" ht="114">
      <c r="A61" s="104" t="s">
        <v>5289</v>
      </c>
    </row>
    <row r="62" spans="1:1" ht="142.5">
      <c r="A62" s="104" t="s">
        <v>5290</v>
      </c>
    </row>
    <row r="63" spans="1:1" ht="30">
      <c r="A63" s="103" t="s">
        <v>5291</v>
      </c>
    </row>
    <row r="64" spans="1:1" ht="99.75">
      <c r="A64" s="104" t="s">
        <v>5292</v>
      </c>
    </row>
    <row r="65" spans="1:1" ht="99.75">
      <c r="A65" s="104" t="s">
        <v>5293</v>
      </c>
    </row>
    <row r="66" spans="1:1" ht="114">
      <c r="A66" s="104" t="s">
        <v>5294</v>
      </c>
    </row>
    <row r="67" spans="1:1" ht="114">
      <c r="A67" s="104" t="s">
        <v>5295</v>
      </c>
    </row>
    <row r="68" spans="1:1">
      <c r="A68" s="103" t="s">
        <v>5296</v>
      </c>
    </row>
    <row r="69" spans="1:1" ht="85.5">
      <c r="A69" s="104" t="s">
        <v>5297</v>
      </c>
    </row>
    <row r="70" spans="1:1" ht="128.25">
      <c r="A70" s="104" t="s">
        <v>5298</v>
      </c>
    </row>
    <row r="71" spans="1:1" ht="99.75">
      <c r="A71" s="104" t="s">
        <v>5299</v>
      </c>
    </row>
    <row r="72" spans="1:1" ht="114">
      <c r="A72" s="104" t="s">
        <v>5300</v>
      </c>
    </row>
    <row r="73" spans="1:1" ht="99.75">
      <c r="A73" s="104" t="s">
        <v>5301</v>
      </c>
    </row>
    <row r="74" spans="1:1" ht="45">
      <c r="A74" s="103" t="s">
        <v>5302</v>
      </c>
    </row>
    <row r="75" spans="1:1" ht="99.75">
      <c r="A75" s="104" t="s">
        <v>5303</v>
      </c>
    </row>
    <row r="76" spans="1:1" ht="114">
      <c r="A76" s="104" t="s">
        <v>5304</v>
      </c>
    </row>
    <row r="77" spans="1:1" ht="114">
      <c r="A77" s="104" t="s">
        <v>5305</v>
      </c>
    </row>
    <row r="78" spans="1:1" ht="99.75">
      <c r="A78" s="104" t="s">
        <v>5306</v>
      </c>
    </row>
    <row r="79" spans="1:1" ht="99.75">
      <c r="A79" s="104" t="s">
        <v>5307</v>
      </c>
    </row>
    <row r="82" spans="1:1" ht="43.5">
      <c r="A82" s="105" t="s">
        <v>5308</v>
      </c>
    </row>
    <row r="83" spans="1:1" ht="30">
      <c r="A83" s="103" t="s">
        <v>5309</v>
      </c>
    </row>
    <row r="84" spans="1:1" ht="85.5">
      <c r="A84" s="104" t="s">
        <v>5310</v>
      </c>
    </row>
    <row r="85" spans="1:1" ht="128.25">
      <c r="A85" s="104" t="s">
        <v>5311</v>
      </c>
    </row>
    <row r="86" spans="1:1" ht="99.75">
      <c r="A86" s="104" t="s">
        <v>5312</v>
      </c>
    </row>
    <row r="87" spans="1:1" ht="99.75">
      <c r="A87" s="104" t="s">
        <v>5313</v>
      </c>
    </row>
    <row r="88" spans="1:1" ht="85.5">
      <c r="A88" s="104" t="s">
        <v>5314</v>
      </c>
    </row>
    <row r="89" spans="1:1" ht="30">
      <c r="A89" s="103" t="s">
        <v>5315</v>
      </c>
    </row>
    <row r="90" spans="1:1" ht="85.5">
      <c r="A90" s="104" t="s">
        <v>5316</v>
      </c>
    </row>
    <row r="91" spans="1:1" ht="114">
      <c r="A91" s="104" t="s">
        <v>5317</v>
      </c>
    </row>
    <row r="92" spans="1:1" ht="99.75">
      <c r="A92" s="104" t="s">
        <v>5318</v>
      </c>
    </row>
    <row r="93" spans="1:1" ht="99.75">
      <c r="A93" s="104" t="s">
        <v>5319</v>
      </c>
    </row>
    <row r="94" spans="1:1" ht="85.5">
      <c r="A94" s="104" t="s">
        <v>5320</v>
      </c>
    </row>
    <row r="95" spans="1:1" ht="30">
      <c r="A95" s="103" t="s">
        <v>5321</v>
      </c>
    </row>
    <row r="96" spans="1:1" ht="99.75">
      <c r="A96" s="104" t="s">
        <v>5322</v>
      </c>
    </row>
    <row r="97" spans="1:1" ht="99.75">
      <c r="A97" s="104" t="s">
        <v>5323</v>
      </c>
    </row>
    <row r="98" spans="1:1" ht="114">
      <c r="A98" s="104" t="s">
        <v>5324</v>
      </c>
    </row>
    <row r="99" spans="1:1" ht="99.75">
      <c r="A99" s="104" t="s">
        <v>5325</v>
      </c>
    </row>
    <row r="100" spans="1:1" ht="85.5">
      <c r="A100" s="104" t="s">
        <v>5326</v>
      </c>
    </row>
    <row r="101" spans="1:1" ht="30">
      <c r="A101" s="103" t="s">
        <v>5327</v>
      </c>
    </row>
    <row r="102" spans="1:1" ht="99.75">
      <c r="A102" s="104" t="s">
        <v>5328</v>
      </c>
    </row>
    <row r="103" spans="1:1" ht="114">
      <c r="A103" s="104" t="s">
        <v>5329</v>
      </c>
    </row>
    <row r="104" spans="1:1" ht="99.75">
      <c r="A104" s="104" t="s">
        <v>5330</v>
      </c>
    </row>
    <row r="105" spans="1:1" ht="99.75">
      <c r="A105" s="104" t="s">
        <v>5331</v>
      </c>
    </row>
    <row r="106" spans="1:1" ht="99.75">
      <c r="A106" s="104" t="s">
        <v>5332</v>
      </c>
    </row>
    <row r="109" spans="1:1" ht="43.5">
      <c r="A109" s="105" t="s">
        <v>5333</v>
      </c>
    </row>
    <row r="110" spans="1:1">
      <c r="A110" s="103" t="s">
        <v>5334</v>
      </c>
    </row>
    <row r="111" spans="1:1" ht="99.75">
      <c r="A111" s="104" t="s">
        <v>5335</v>
      </c>
    </row>
    <row r="112" spans="1:1" ht="99.75">
      <c r="A112" s="104" t="s">
        <v>5336</v>
      </c>
    </row>
    <row r="113" spans="1:1" ht="114">
      <c r="A113" s="104" t="s">
        <v>5337</v>
      </c>
    </row>
    <row r="114" spans="1:1" ht="99.75">
      <c r="A114" s="104" t="s">
        <v>5338</v>
      </c>
    </row>
    <row r="115" spans="1:1">
      <c r="A115" s="103" t="s">
        <v>5339</v>
      </c>
    </row>
    <row r="116" spans="1:1" ht="114">
      <c r="A116" s="104" t="s">
        <v>5340</v>
      </c>
    </row>
    <row r="117" spans="1:1" ht="142.5">
      <c r="A117" s="104" t="s">
        <v>5341</v>
      </c>
    </row>
    <row r="118" spans="1:1" ht="142.5">
      <c r="A118" s="104" t="s">
        <v>5342</v>
      </c>
    </row>
    <row r="119" spans="1:1" ht="114">
      <c r="A119" s="104" t="s">
        <v>5343</v>
      </c>
    </row>
    <row r="120" spans="1:1">
      <c r="A120" s="103" t="s">
        <v>5344</v>
      </c>
    </row>
    <row r="121" spans="1:1" ht="99.75">
      <c r="A121" s="104" t="s">
        <v>5345</v>
      </c>
    </row>
    <row r="122" spans="1:1" ht="128.25">
      <c r="A122" s="104" t="s">
        <v>5346</v>
      </c>
    </row>
    <row r="123" spans="1:1" ht="142.5">
      <c r="A123" s="104" t="s">
        <v>5347</v>
      </c>
    </row>
    <row r="124" spans="1:1" ht="99.75">
      <c r="A124" s="104" t="s">
        <v>5348</v>
      </c>
    </row>
    <row r="125" spans="1:1" ht="99.75">
      <c r="A125" s="104" t="s">
        <v>5349</v>
      </c>
    </row>
    <row r="126" spans="1:1" ht="114">
      <c r="A126" s="104" t="s">
        <v>5350</v>
      </c>
    </row>
    <row r="127" spans="1:1" ht="30">
      <c r="A127" s="103" t="s">
        <v>5351</v>
      </c>
    </row>
    <row r="128" spans="1:1" ht="99.75">
      <c r="A128" s="104" t="s">
        <v>5352</v>
      </c>
    </row>
    <row r="129" spans="1:1" ht="114">
      <c r="A129" s="104" t="s">
        <v>5353</v>
      </c>
    </row>
    <row r="130" spans="1:1" ht="99.75">
      <c r="A130" s="104" t="s">
        <v>5354</v>
      </c>
    </row>
    <row r="131" spans="1:1" ht="99.75">
      <c r="A131" s="104" t="s">
        <v>5355</v>
      </c>
    </row>
    <row r="132" spans="1:1" ht="99.75">
      <c r="A132" s="104" t="s">
        <v>5356</v>
      </c>
    </row>
    <row r="135" spans="1:1" ht="43.5">
      <c r="A135" s="105" t="s">
        <v>5357</v>
      </c>
    </row>
    <row r="136" spans="1:1" ht="30">
      <c r="A136" s="103" t="s">
        <v>5358</v>
      </c>
    </row>
    <row r="137" spans="1:1" ht="99.75">
      <c r="A137" s="104" t="s">
        <v>5359</v>
      </c>
    </row>
    <row r="138" spans="1:1" ht="114">
      <c r="A138" s="104" t="s">
        <v>5360</v>
      </c>
    </row>
    <row r="139" spans="1:1" ht="99.75">
      <c r="A139" s="104" t="s">
        <v>5361</v>
      </c>
    </row>
    <row r="140" spans="1:1" ht="142.5">
      <c r="A140" s="104" t="s">
        <v>5362</v>
      </c>
    </row>
    <row r="141" spans="1:1" ht="99.75">
      <c r="A141" s="104" t="s">
        <v>5363</v>
      </c>
    </row>
    <row r="142" spans="1:1" ht="30">
      <c r="A142" s="103" t="s">
        <v>5364</v>
      </c>
    </row>
    <row r="143" spans="1:1" ht="99.75">
      <c r="A143" s="104" t="s">
        <v>5365</v>
      </c>
    </row>
    <row r="144" spans="1:1" ht="114">
      <c r="A144" s="104" t="s">
        <v>5366</v>
      </c>
    </row>
    <row r="145" spans="1:1" ht="128.25">
      <c r="A145" s="104" t="s">
        <v>5367</v>
      </c>
    </row>
    <row r="146" spans="1:1" ht="128.25">
      <c r="A146" s="104" t="s">
        <v>5368</v>
      </c>
    </row>
    <row r="147" spans="1:1" ht="99.75">
      <c r="A147" s="104" t="s">
        <v>5369</v>
      </c>
    </row>
    <row r="148" spans="1:1" ht="409.5">
      <c r="A148" s="104" t="s">
        <v>5370</v>
      </c>
    </row>
    <row r="149" spans="1:1">
      <c r="A149" s="103" t="s">
        <v>5371</v>
      </c>
    </row>
    <row r="150" spans="1:1" ht="99.75">
      <c r="A150" s="104" t="s">
        <v>5372</v>
      </c>
    </row>
    <row r="151" spans="1:1" ht="142.5">
      <c r="A151" s="104" t="s">
        <v>5373</v>
      </c>
    </row>
    <row r="152" spans="1:1" ht="114">
      <c r="A152" s="104" t="s">
        <v>5374</v>
      </c>
    </row>
    <row r="153" spans="1:1" ht="114">
      <c r="A153" s="104" t="s">
        <v>5375</v>
      </c>
    </row>
    <row r="154" spans="1:1" ht="30">
      <c r="A154" s="103" t="s">
        <v>5376</v>
      </c>
    </row>
    <row r="155" spans="1:1" ht="99.75">
      <c r="A155" s="104" t="s">
        <v>5377</v>
      </c>
    </row>
    <row r="156" spans="1:1" ht="99.75">
      <c r="A156" s="104" t="s">
        <v>5378</v>
      </c>
    </row>
    <row r="157" spans="1:1" ht="99.75">
      <c r="A157" s="104" t="s">
        <v>5379</v>
      </c>
    </row>
    <row r="158" spans="1:1" ht="99.75">
      <c r="A158" s="104" t="s">
        <v>5380</v>
      </c>
    </row>
    <row r="159" spans="1:1" ht="85.5">
      <c r="A159" s="104" t="s">
        <v>5381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4" workbookViewId="0">
      <selection activeCell="D29" sqref="D29"/>
    </sheetView>
  </sheetViews>
  <sheetFormatPr defaultColWidth="11" defaultRowHeight="15.75"/>
  <cols>
    <col min="2" max="2" width="16.375" bestFit="1" customWidth="1"/>
    <col min="3" max="3" width="6.5" customWidth="1"/>
    <col min="4" max="36" width="8.875" customWidth="1"/>
    <col min="37" max="40" width="15.875" customWidth="1"/>
    <col min="41" max="60" width="8.875" customWidth="1"/>
  </cols>
  <sheetData>
    <row r="1" spans="2:60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7.25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3471</v>
      </c>
      <c r="K2" s="59" t="s">
        <v>3480</v>
      </c>
      <c r="L2" s="59" t="s">
        <v>429</v>
      </c>
      <c r="M2" s="59" t="s">
        <v>430</v>
      </c>
      <c r="N2" s="59" t="s">
        <v>431</v>
      </c>
      <c r="O2" s="59" t="s">
        <v>3465</v>
      </c>
      <c r="P2" s="59" t="s">
        <v>3466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3472</v>
      </c>
      <c r="V2" s="59" t="s">
        <v>3481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3467</v>
      </c>
      <c r="AA2" s="59" t="s">
        <v>3468</v>
      </c>
      <c r="AB2" s="59" t="s">
        <v>3469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3473</v>
      </c>
      <c r="AG2" s="59" t="s">
        <v>3482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5220</v>
      </c>
      <c r="AL2" s="59" t="s">
        <v>5221</v>
      </c>
      <c r="AM2" s="59" t="s">
        <v>5222</v>
      </c>
      <c r="AN2" s="59" t="s">
        <v>5223</v>
      </c>
      <c r="AO2" s="59" t="s">
        <v>5232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>
      <c r="B3" s="73" t="s">
        <v>869</v>
      </c>
      <c r="C3" s="3"/>
      <c r="D3" s="2">
        <f>SUMIFS(Games!$J:$J,Games!$C:$C,'Team forecast'!$B3,Games!$O:$O,1)+SUMIFS(Games!$K:$K,Games!$D:$D,'Team forecast'!$B3,Games!$O:$O,1)</f>
        <v>1.6608440904336361</v>
      </c>
      <c r="E3" s="2">
        <f>SUMIFS(Games!$K:$K,Games!$C:$C,'Team forecast'!$B3,Games!$O:$O,1)+SUMIFS(Games!$J:$J,Games!$D:$D,'Team forecast'!$B3,Games!$O:$O,1)</f>
        <v>0.59952758650922311</v>
      </c>
      <c r="F3" s="2">
        <f>SUMIFS(Games!$L:$L,Games!$C:$C,'Team forecast'!$B3,Games!$O:$O,1)+SUMIFS(Games!$M:$M,Games!$D:$D,'Team forecast'!$B3,Games!$O:$O,1)</f>
        <v>0.54907096336484029</v>
      </c>
      <c r="G3" s="2">
        <f>D3</f>
        <v>1.6608440904336361</v>
      </c>
      <c r="H3" s="2">
        <f t="shared" ref="H3:I3" si="0">E3</f>
        <v>0.59952758650922311</v>
      </c>
      <c r="I3" s="2">
        <f t="shared" si="0"/>
        <v>0.54907096336484029</v>
      </c>
      <c r="J3" s="77">
        <f>INDEX(SOG!$F$2:$F$25,MATCH('Team forecast'!$AU3,SOG!$G$2:$G$25,0))*D3</f>
        <v>4.1898566826848551</v>
      </c>
      <c r="K3" s="77">
        <f>INDEX(SOG!$F$2:$F$25,MATCH('Team forecast'!$AV3,SOG!$G$2:$G$25,0))*E3</f>
        <v>1.7709122555349361</v>
      </c>
      <c r="L3" s="2">
        <f>SUMIFS(Games!$E:$E,Games!$C:$C,'Team forecast'!$B3,Games!$O:$O,1)+SUMIFS(Games!$F:$F,Games!$D:$D,'Team forecast'!$B3,Games!$O:$O,1)</f>
        <v>0.65509845973874048</v>
      </c>
      <c r="M3" s="2">
        <f>SUMIFS(Games!$G:$G,Games!$C:$C,'Team forecast'!$B3,Games!$O:$O,1)+SUMIFS(Games!$G:$G,Games!$D:$D,'Team forecast'!$B3,Games!$O:$O,1)</f>
        <v>0.22616494443361279</v>
      </c>
      <c r="N3" s="2">
        <f>SUMIFS(Games!$F:$F,Games!$C:$C,'Team forecast'!$B3,Games!$O:$O,1)+SUMIFS(Games!$E:$E,Games!$D:$D,'Team forecast'!$B3,Games!$O:$O,1)</f>
        <v>0.1187365958276467</v>
      </c>
      <c r="O3" s="2">
        <f>SUMIFS(Games!$J:$J,Games!$C:$C,'Team forecast'!$B3,Games!$O:$O,2)+SUMIFS(Games!$K:$K,Games!$D:$D,'Team forecast'!$B3,Games!$O:$O,2)</f>
        <v>1.1610121970988967</v>
      </c>
      <c r="P3" s="2">
        <f>SUMIFS(Games!$K:$K,Games!$C:$C,'Team forecast'!$B3,Games!$O:$O,2)+SUMIFS(Games!$J:$J,Games!$D:$D,'Team forecast'!$B3,Games!$O:$O,2)</f>
        <v>1.5279674504451852</v>
      </c>
      <c r="Q3" s="2">
        <f>SUMIFS(Games!$L:$L,Games!$C:$C,'Team forecast'!$B3,Games!$O:$O,2)+SUMIFS(Games!$M:$M,Games!$D:$D,'Team forecast'!$B3,Games!$O:$O,2)</f>
        <v>0.21697623437572761</v>
      </c>
      <c r="R3" s="2">
        <f>O3</f>
        <v>1.1610121970988967</v>
      </c>
      <c r="S3" s="2">
        <f t="shared" ref="S3" si="1">P3</f>
        <v>1.5279674504451852</v>
      </c>
      <c r="T3" s="2">
        <f t="shared" ref="T3" si="2">Q3</f>
        <v>0.21697623437572761</v>
      </c>
      <c r="U3" s="77">
        <f>INDEX(SOG!$F$2:$F$25,MATCH('Team forecast'!$AU3,SOG!$G$2:$G$25,0))*O3</f>
        <v>2.9289171335903985</v>
      </c>
      <c r="V3" s="77">
        <f>INDEX(SOG!$F$2:$F$25,MATCH('Team forecast'!$AV3,SOG!$G$2:$G$25,0))*P3</f>
        <v>4.5133807766996243</v>
      </c>
      <c r="W3" s="2">
        <f>SUMIFS(Games!$E:$E,Games!$C:$C,'Team forecast'!$B3,Games!$O:$O,2)+SUMIFS(Games!$F:$F,Games!$D:$D,'Team forecast'!$B3,Games!$O:$O,2)</f>
        <v>0.25392083644510832</v>
      </c>
      <c r="X3" s="2">
        <f>SUMIFS(Games!$G:$G,Games!$C:$C,'Team forecast'!$B3,Games!$O:$O,2)+SUMIFS(Games!$G:$G,Games!$D:$D,'Team forecast'!$B3,Games!$O:$O,2)</f>
        <v>0.27632561613144141</v>
      </c>
      <c r="Y3" s="2">
        <f>SUMIFS(Games!$F:$F,Games!$C:$C,'Team forecast'!$B3,Games!$O:$O,2)+SUMIFS(Games!$E:$E,Games!$D:$D,'Team forecast'!$B3,Games!$O:$O,2)</f>
        <v>0.46975354742345032</v>
      </c>
      <c r="Z3" s="2">
        <f>SUMIFS(Games!$J:$J,Games!$C:$C,'Team forecast'!$B3,Games!$O:$O,3)+SUMIFS(Games!$K:$K,Games!$D:$D,'Team forecast'!$B3,Games!$O:$O,3)</f>
        <v>1.5053002864585165</v>
      </c>
      <c r="AA3" s="2">
        <f>SUMIFS(Games!$K:$K,Games!$C:$C,'Team forecast'!$B3,Games!$O:$O,3)+SUMIFS(Games!$J:$J,Games!$D:$D,'Team forecast'!$B3,Games!$O:$O,3)</f>
        <v>0.95602347631827322</v>
      </c>
      <c r="AB3" s="2">
        <f>SUMIFS(Games!$L:$L,Games!$C:$C,'Team forecast'!$B3,Games!$O:$O,3)+SUMIFS(Games!$M:$M,Games!$D:$D,'Team forecast'!$B3,Games!$O:$O,3)</f>
        <v>0.38441849991338989</v>
      </c>
      <c r="AC3" s="2">
        <f>Z3</f>
        <v>1.5053002864585165</v>
      </c>
      <c r="AD3" s="2">
        <f t="shared" ref="AD3:AE3" si="3">AA3</f>
        <v>0.95602347631827322</v>
      </c>
      <c r="AE3" s="2">
        <f t="shared" si="3"/>
        <v>0.38441849991338989</v>
      </c>
      <c r="AF3" s="77">
        <f>INDEX(SOG!$F$2:$F$25,MATCH('Team forecast'!$AU3,SOG!$G$2:$G$25,0))*Z3</f>
        <v>3.7974620862930761</v>
      </c>
      <c r="AG3" s="77">
        <f>INDEX(SOG!$F$2:$F$25,MATCH('Team forecast'!$AV3,SOG!$G$2:$G$25,0))*AA3</f>
        <v>2.8239462685093613</v>
      </c>
      <c r="AH3" s="2">
        <f>SUMIFS(Games!$E:$E,Games!$C:$C,'Team forecast'!$B3,Games!$O:$O,3)+SUMIFS(Games!$F:$F,Games!$D:$D,'Team forecast'!$B3,Games!$O:$O,3)</f>
        <v>0.48293781396154511</v>
      </c>
      <c r="AI3" s="2">
        <f>SUMIFS(Games!$G:$G,Games!$C:$C,'Team forecast'!$B3,Games!$O:$O,3)+SUMIFS(Games!$G:$G,Games!$D:$D,'Team forecast'!$B3,Games!$O:$O,3)</f>
        <v>0.282660661701022</v>
      </c>
      <c r="AJ3" s="2">
        <f>SUMIFS(Games!$F:$F,Games!$C:$C,'Team forecast'!$B3,Games!$O:$O,3)+SUMIFS(Games!$E:$E,Games!$D:$D,'Team forecast'!$B3,Games!$O:$O,3)</f>
        <v>0.23440152433743289</v>
      </c>
      <c r="AK3" s="78">
        <f>INDEX(Teams!$C$1:$M$25,MATCH('Team forecast'!$B3,Teams!$C$1:$C$25,0),MATCH('Team forecast'!AK$2,Teams!$C$1:$M$1,0))</f>
        <v>0.81209477601382885</v>
      </c>
      <c r="AL3" s="78">
        <f>INDEX(Teams!$C$1:$M$25,MATCH('Team forecast'!$B3,Teams!$C$1:$C$25,0),MATCH('Team forecast'!AL$2,Teams!$C$1:$M$1,0))</f>
        <v>0.40304664266502532</v>
      </c>
      <c r="AM3" s="78">
        <f>INDEX(Teams!$C$1:$M$25,MATCH('Team forecast'!$B3,Teams!$C$1:$C$25,0),MATCH('Team forecast'!AM$2,Teams!$C$1:$M$1,0))</f>
        <v>0.19869909042249959</v>
      </c>
      <c r="AN3" s="78">
        <f>INDEX(Teams!$C$1:$M$25,MATCH('Team forecast'!$B3,Teams!$C$1:$C$25,0),MATCH('Team forecast'!AN$2,Teams!$C$1:$M$1,0))</f>
        <v>9.5707773774653893E-2</v>
      </c>
      <c r="AO3" s="78">
        <f>INDEX(Teams!$F$2:$F$25,MATCH('Team forecast'!B3,Teams!$C$2:$C$25,0))</f>
        <v>3.0645161290322579E-2</v>
      </c>
      <c r="AP3" s="2" t="b">
        <f>SUM(L3:N3)=1</f>
        <v>1</v>
      </c>
      <c r="AQ3" s="2" t="b">
        <f>SUM(W3:Y3)=1</f>
        <v>1</v>
      </c>
      <c r="AR3" s="2" t="b">
        <f>SUM(AH3:AJ3)=1</f>
        <v>1</v>
      </c>
      <c r="AS3" s="2">
        <f>D3+O3+Z3</f>
        <v>4.3271565739910489</v>
      </c>
      <c r="AT3" s="2">
        <f>E3+P3+AA3</f>
        <v>3.0835185132726814</v>
      </c>
      <c r="AU3" s="4">
        <f t="shared" ref="AU3:AU26" si="4">RANK(AS3,$AS$3:$AS$26,0)</f>
        <v>8</v>
      </c>
      <c r="AV3" s="4">
        <f>RANK(AT3,$AT$3:$AT$26,0)</f>
        <v>18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>
      <c r="B4" s="73" t="s">
        <v>895</v>
      </c>
      <c r="C4" s="3"/>
      <c r="D4" s="2">
        <f>SUMIFS(Games!$J:$J,Games!$C:$C,'Team forecast'!$B4,Games!$O:$O,1)+SUMIFS(Games!$K:$K,Games!$D:$D,'Team forecast'!$B4,Games!$O:$O,1)</f>
        <v>1.0237318402178264</v>
      </c>
      <c r="E4" s="2">
        <f>SUMIFS(Games!$K:$K,Games!$C:$C,'Team forecast'!$B4,Games!$O:$O,1)+SUMIFS(Games!$J:$J,Games!$D:$D,'Team forecast'!$B4,Games!$O:$O,1)</f>
        <v>1.0683489057066333</v>
      </c>
      <c r="F4" s="2">
        <f>SUMIFS(Games!$L:$L,Games!$C:$C,'Team forecast'!$B4,Games!$O:$O,1)+SUMIFS(Games!$M:$M,Games!$D:$D,'Team forecast'!$B4,Games!$O:$O,1)</f>
        <v>0.34357532462169699</v>
      </c>
      <c r="G4" s="2">
        <f t="shared" ref="G4:G26" si="5">D4</f>
        <v>1.0237318402178264</v>
      </c>
      <c r="H4" s="2">
        <f t="shared" ref="H4:H26" si="6">E4</f>
        <v>1.0683489057066333</v>
      </c>
      <c r="I4" s="2">
        <f t="shared" ref="I4:I26" si="7">F4</f>
        <v>0.34357532462169699</v>
      </c>
      <c r="J4" s="77">
        <f>INDEX(SOG!$F$2:$F$25,MATCH('Team forecast'!$AU4,SOG!$G$2:$G$25,0))*D4</f>
        <v>3.360735839098925</v>
      </c>
      <c r="K4" s="77">
        <f>INDEX(SOG!$F$2:$F$25,MATCH('Team forecast'!$AV4,SOG!$G$2:$G$25,0))*E4</f>
        <v>2.9193919294978055</v>
      </c>
      <c r="L4" s="2">
        <f>SUMIFS(Games!$E:$E,Games!$C:$C,'Team forecast'!$B4,Games!$O:$O,1)+SUMIFS(Games!$F:$F,Games!$D:$D,'Team forecast'!$B4,Games!$O:$O,1)</f>
        <v>0.32580418714126441</v>
      </c>
      <c r="M4" s="2">
        <f>SUMIFS(Games!$G:$G,Games!$C:$C,'Team forecast'!$B4,Games!$O:$O,1)+SUMIFS(Games!$G:$G,Games!$D:$D,'Team forecast'!$B4,Games!$O:$O,1)</f>
        <v>0.31494404756988892</v>
      </c>
      <c r="N4" s="2">
        <f>SUMIFS(Games!$F:$F,Games!$C:$C,'Team forecast'!$B4,Games!$O:$O,1)+SUMIFS(Games!$E:$E,Games!$D:$D,'Team forecast'!$B4,Games!$O:$O,1)</f>
        <v>0.35925176528884672</v>
      </c>
      <c r="O4" s="2">
        <f>SUMIFS(Games!$J:$J,Games!$C:$C,'Team forecast'!$B4,Games!$O:$O,2)+SUMIFS(Games!$K:$K,Games!$D:$D,'Team forecast'!$B4,Games!$O:$O,2)</f>
        <v>0.66520361079548807</v>
      </c>
      <c r="P4" s="2">
        <f>SUMIFS(Games!$K:$K,Games!$C:$C,'Team forecast'!$B4,Games!$O:$O,2)+SUMIFS(Games!$J:$J,Games!$D:$D,'Team forecast'!$B4,Games!$O:$O,2)</f>
        <v>2.0067977929974719</v>
      </c>
      <c r="Q4" s="2">
        <f>SUMIFS(Games!$L:$L,Games!$C:$C,'Team forecast'!$B4,Games!$O:$O,2)+SUMIFS(Games!$M:$M,Games!$D:$D,'Team forecast'!$B4,Games!$O:$O,2)</f>
        <v>0.1344184218435715</v>
      </c>
      <c r="R4" s="2">
        <f t="shared" ref="R4:R26" si="8">O4</f>
        <v>0.66520361079548807</v>
      </c>
      <c r="S4" s="2">
        <f t="shared" ref="S4:S26" si="9">P4</f>
        <v>2.0067977929974719</v>
      </c>
      <c r="T4" s="2">
        <f t="shared" ref="T4:T26" si="10">Q4</f>
        <v>0.1344184218435715</v>
      </c>
      <c r="U4" s="77">
        <f>INDEX(SOG!$F$2:$F$25,MATCH('Team forecast'!$AU4,SOG!$G$2:$G$25,0))*O4</f>
        <v>2.1837492273589256</v>
      </c>
      <c r="V4" s="77">
        <f>INDEX(SOG!$F$2:$F$25,MATCH('Team forecast'!$AV4,SOG!$G$2:$G$25,0))*P4</f>
        <v>5.4838164289930909</v>
      </c>
      <c r="W4" s="2">
        <f>SUMIFS(Games!$E:$E,Games!$C:$C,'Team forecast'!$B4,Games!$O:$O,2)+SUMIFS(Games!$F:$F,Games!$D:$D,'Team forecast'!$B4,Games!$O:$O,2)</f>
        <v>9.90451529373685E-2</v>
      </c>
      <c r="X4" s="2">
        <f>SUMIFS(Games!$G:$G,Games!$C:$C,'Team forecast'!$B4,Games!$O:$O,2)+SUMIFS(Games!$G:$G,Games!$D:$D,'Team forecast'!$B4,Games!$O:$O,2)</f>
        <v>0.20909532286777799</v>
      </c>
      <c r="Y4" s="2">
        <f>SUMIFS(Games!$F:$F,Games!$C:$C,'Team forecast'!$B4,Games!$O:$O,2)+SUMIFS(Games!$E:$E,Games!$D:$D,'Team forecast'!$B4,Games!$O:$O,2)</f>
        <v>0.69185952419485341</v>
      </c>
      <c r="Z4" s="2">
        <f>SUMIFS(Games!$J:$J,Games!$C:$C,'Team forecast'!$B4,Games!$O:$O,3)+SUMIFS(Games!$K:$K,Games!$D:$D,'Team forecast'!$B4,Games!$O:$O,3)</f>
        <v>0.82681690399773144</v>
      </c>
      <c r="AA4" s="2">
        <f>SUMIFS(Games!$K:$K,Games!$C:$C,'Team forecast'!$B4,Games!$O:$O,3)+SUMIFS(Games!$J:$J,Games!$D:$D,'Team forecast'!$B4,Games!$O:$O,3)</f>
        <v>1.5039270856478595</v>
      </c>
      <c r="AB4" s="2">
        <f>SUMIFS(Games!$L:$L,Games!$C:$C,'Team forecast'!$B4,Games!$O:$O,3)+SUMIFS(Games!$M:$M,Games!$D:$D,'Team forecast'!$B4,Games!$O:$O,3)</f>
        <v>0.22225562720571071</v>
      </c>
      <c r="AC4" s="2">
        <f t="shared" ref="AC4:AC26" si="11">Z4</f>
        <v>0.82681690399773144</v>
      </c>
      <c r="AD4" s="2">
        <f t="shared" ref="AD4:AD26" si="12">AA4</f>
        <v>1.5039270856478595</v>
      </c>
      <c r="AE4" s="2">
        <f t="shared" ref="AE4:AE26" si="13">AB4</f>
        <v>0.22225562720571071</v>
      </c>
      <c r="AF4" s="77">
        <f>INDEX(SOG!$F$2:$F$25,MATCH('Team forecast'!$AU4,SOG!$G$2:$G$25,0))*Z4</f>
        <v>2.71429791716427</v>
      </c>
      <c r="AG4" s="77">
        <f>INDEX(SOG!$F$2:$F$25,MATCH('Team forecast'!$AV4,SOG!$G$2:$G$25,0))*AA4</f>
        <v>4.1096617153265038</v>
      </c>
      <c r="AH4" s="2">
        <f>SUMIFS(Games!$E:$E,Games!$C:$C,'Team forecast'!$B4,Games!$O:$O,3)+SUMIFS(Games!$F:$F,Games!$D:$D,'Team forecast'!$B4,Games!$O:$O,3)</f>
        <v>0.21150920127488509</v>
      </c>
      <c r="AI4" s="2">
        <f>SUMIFS(Games!$G:$G,Games!$C:$C,'Team forecast'!$B4,Games!$O:$O,3)+SUMIFS(Games!$G:$G,Games!$D:$D,'Team forecast'!$B4,Games!$O:$O,3)</f>
        <v>0.27108925797203581</v>
      </c>
      <c r="AJ4" s="2">
        <f>SUMIFS(Games!$F:$F,Games!$C:$C,'Team forecast'!$B4,Games!$O:$O,3)+SUMIFS(Games!$E:$E,Games!$D:$D,'Team forecast'!$B4,Games!$O:$O,3)</f>
        <v>0.51740154075307909</v>
      </c>
      <c r="AK4" s="78">
        <f>INDEX(Teams!$C$1:$M$25,MATCH('Team forecast'!$B4,Teams!$C$1:$C$25,0),MATCH('Team forecast'!AK$2,Teams!$C$1:$M$1,0))</f>
        <v>0.41264978455987233</v>
      </c>
      <c r="AL4" s="78">
        <f>INDEX(Teams!$C$1:$M$25,MATCH('Team forecast'!$B4,Teams!$C$1:$C$25,0),MATCH('Team forecast'!AL$2,Teams!$C$1:$M$1,0))</f>
        <v>0.20269732616207881</v>
      </c>
      <c r="AM4" s="78">
        <f>INDEX(Teams!$C$1:$M$25,MATCH('Team forecast'!$B4,Teams!$C$1:$C$25,0),MATCH('Team forecast'!AM$2,Teams!$C$1:$M$1,0))</f>
        <v>9.793448320540904E-2</v>
      </c>
      <c r="AN4" s="78">
        <f>INDEX(Teams!$C$1:$M$25,MATCH('Team forecast'!$B4,Teams!$C$1:$C$25,0),MATCH('Team forecast'!AN$2,Teams!$C$1:$M$1,0))</f>
        <v>4.4564746499917963E-2</v>
      </c>
      <c r="AO4" s="78">
        <f>INDEX(Teams!$F$2:$F$25,MATCH('Team forecast'!B4,Teams!$C$2:$C$25,0))</f>
        <v>3.3807829181494659E-3</v>
      </c>
      <c r="AP4" s="2" t="b">
        <f>SUM(L4:N4)=1</f>
        <v>1</v>
      </c>
      <c r="AQ4" s="2" t="b">
        <f>SUM(W4:Y4)=1</f>
        <v>1</v>
      </c>
      <c r="AR4" s="2" t="b">
        <f>SUM(AH4:AJ4)=1</f>
        <v>1</v>
      </c>
      <c r="AS4" s="2">
        <f>D4+O4+Z4</f>
        <v>2.5157523550110459</v>
      </c>
      <c r="AT4" s="2">
        <f>E4+P4+AA4</f>
        <v>4.5790737843519649</v>
      </c>
      <c r="AU4" s="4">
        <f t="shared" si="4"/>
        <v>20</v>
      </c>
      <c r="AV4" s="4">
        <f t="shared" ref="AV4:AV26" si="14">RANK(AT4,$AT$3:$AT$26,0)</f>
        <v>6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>
      <c r="B5" s="73" t="s">
        <v>876</v>
      </c>
      <c r="C5" s="3"/>
      <c r="D5" s="2">
        <f>SUMIFS(Games!$J:$J,Games!$C:$C,'Team forecast'!$B5,Games!$O:$O,1)+SUMIFS(Games!$K:$K,Games!$D:$D,'Team forecast'!$B5,Games!$O:$O,1)</f>
        <v>1.5712166996139025</v>
      </c>
      <c r="E5" s="2">
        <f>SUMIFS(Games!$K:$K,Games!$C:$C,'Team forecast'!$B5,Games!$O:$O,1)+SUMIFS(Games!$J:$J,Games!$D:$D,'Team forecast'!$B5,Games!$O:$O,1)</f>
        <v>0.76028648339757388</v>
      </c>
      <c r="F5" s="2">
        <f>SUMIFS(Games!$L:$L,Games!$C:$C,'Team forecast'!$B5,Games!$O:$O,1)+SUMIFS(Games!$M:$M,Games!$D:$D,'Team forecast'!$B5,Games!$O:$O,1)</f>
        <v>0.46753246753246752</v>
      </c>
      <c r="G5" s="2">
        <f t="shared" si="5"/>
        <v>1.5712166996139025</v>
      </c>
      <c r="H5" s="2">
        <f t="shared" si="6"/>
        <v>0.76028648339757388</v>
      </c>
      <c r="I5" s="2">
        <f t="shared" si="7"/>
        <v>0.46753246753246752</v>
      </c>
      <c r="J5" s="77">
        <f>INDEX(SOG!$F$2:$F$25,MATCH('Team forecast'!$AU5,SOG!$G$2:$G$25,0))*D5</f>
        <v>4.4640175390899657</v>
      </c>
      <c r="K5" s="77">
        <f>INDEX(SOG!$F$2:$F$25,MATCH('Team forecast'!$AV5,SOG!$G$2:$G$25,0))*E5</f>
        <v>2.4958899707496114</v>
      </c>
      <c r="L5" s="2">
        <f>SUMIFS(Games!$E:$E,Games!$C:$C,'Team forecast'!$B5,Games!$O:$O,1)+SUMIFS(Games!$F:$F,Games!$D:$D,'Team forecast'!$B5,Games!$O:$O,1)</f>
        <v>0.58441558441558439</v>
      </c>
      <c r="M5" s="2">
        <f>SUMIFS(Games!$G:$G,Games!$C:$C,'Team forecast'!$B5,Games!$O:$O,1)+SUMIFS(Games!$G:$G,Games!$D:$D,'Team forecast'!$B5,Games!$O:$O,1)</f>
        <v>0.25974025974025972</v>
      </c>
      <c r="N5" s="2">
        <f>SUMIFS(Games!$F:$F,Games!$C:$C,'Team forecast'!$B5,Games!$O:$O,1)+SUMIFS(Games!$E:$E,Games!$D:$D,'Team forecast'!$B5,Games!$O:$O,1)</f>
        <v>0.15584415584415581</v>
      </c>
      <c r="O5" s="2">
        <f>SUMIFS(Games!$J:$J,Games!$C:$C,'Team forecast'!$B5,Games!$O:$O,2)+SUMIFS(Games!$K:$K,Games!$D:$D,'Team forecast'!$B5,Games!$O:$O,2)</f>
        <v>1.8476112368050062</v>
      </c>
      <c r="P5" s="2">
        <f>SUMIFS(Games!$K:$K,Games!$C:$C,'Team forecast'!$B5,Games!$O:$O,2)+SUMIFS(Games!$J:$J,Games!$D:$D,'Team forecast'!$B5,Games!$O:$O,2)</f>
        <v>0.7977891123063281</v>
      </c>
      <c r="Q5" s="2">
        <f>SUMIFS(Games!$L:$L,Games!$C:$C,'Team forecast'!$B5,Games!$O:$O,2)+SUMIFS(Games!$M:$M,Games!$D:$D,'Team forecast'!$B5,Games!$O:$O,2)</f>
        <v>0.45032347896962183</v>
      </c>
      <c r="R5" s="2">
        <f t="shared" si="8"/>
        <v>1.8476112368050062</v>
      </c>
      <c r="S5" s="2">
        <f t="shared" si="9"/>
        <v>0.7977891123063281</v>
      </c>
      <c r="T5" s="2">
        <f t="shared" si="10"/>
        <v>0.45032347896962183</v>
      </c>
      <c r="U5" s="77">
        <f>INDEX(SOG!$F$2:$F$25,MATCH('Team forecast'!$AU5,SOG!$G$2:$G$25,0))*O5</f>
        <v>5.2492879998945963</v>
      </c>
      <c r="V5" s="77">
        <f>INDEX(SOG!$F$2:$F$25,MATCH('Team forecast'!$AV5,SOG!$G$2:$G$25,0))*P5</f>
        <v>2.6190046616116831</v>
      </c>
      <c r="W5" s="2">
        <f>SUMIFS(Games!$E:$E,Games!$C:$C,'Team forecast'!$B5,Games!$O:$O,2)+SUMIFS(Games!$F:$F,Games!$D:$D,'Team forecast'!$B5,Games!$O:$O,2)</f>
        <v>0.61809104956614758</v>
      </c>
      <c r="X5" s="2">
        <f>SUMIFS(Games!$G:$G,Games!$C:$C,'Team forecast'!$B5,Games!$O:$O,2)+SUMIFS(Games!$G:$G,Games!$D:$D,'Team forecast'!$B5,Games!$O:$O,2)</f>
        <v>0.23641982645905149</v>
      </c>
      <c r="Y5" s="2">
        <f>SUMIFS(Games!$F:$F,Games!$C:$C,'Team forecast'!$B5,Games!$O:$O,2)+SUMIFS(Games!$E:$E,Games!$D:$D,'Team forecast'!$B5,Games!$O:$O,2)</f>
        <v>0.1454891239748009</v>
      </c>
      <c r="Z5" s="2">
        <f>SUMIFS(Games!$J:$J,Games!$C:$C,'Team forecast'!$B5,Games!$O:$O,3)+SUMIFS(Games!$K:$K,Games!$D:$D,'Team forecast'!$B5,Games!$O:$O,3)</f>
        <v>2.3683451623921505</v>
      </c>
      <c r="AA5" s="2">
        <f>SUMIFS(Games!$K:$K,Games!$C:$C,'Team forecast'!$B5,Games!$O:$O,3)+SUMIFS(Games!$J:$J,Games!$D:$D,'Team forecast'!$B5,Games!$O:$O,3)</f>
        <v>0.49102780480244929</v>
      </c>
      <c r="AB5" s="2">
        <f>SUMIFS(Games!$L:$L,Games!$C:$C,'Team forecast'!$B5,Games!$O:$O,3)+SUMIFS(Games!$M:$M,Games!$D:$D,'Team forecast'!$B5,Games!$O:$O,3)</f>
        <v>0.61199705730750009</v>
      </c>
      <c r="AC5" s="2">
        <f t="shared" si="11"/>
        <v>2.3683451623921505</v>
      </c>
      <c r="AD5" s="2">
        <f t="shared" si="12"/>
        <v>0.49102780480244929</v>
      </c>
      <c r="AE5" s="2">
        <f t="shared" si="13"/>
        <v>0.61199705730750009</v>
      </c>
      <c r="AF5" s="77">
        <f>INDEX(SOG!$F$2:$F$25,MATCH('Team forecast'!$AU5,SOG!$G$2:$G$25,0))*Z5</f>
        <v>6.7287563492262965</v>
      </c>
      <c r="AG5" s="77">
        <f>INDEX(SOG!$F$2:$F$25,MATCH('Team forecast'!$AV5,SOG!$G$2:$G$25,0))*AA5</f>
        <v>1.6119599652605658</v>
      </c>
      <c r="AH5" s="2">
        <f>SUMIFS(Games!$E:$E,Games!$C:$C,'Team forecast'!$B5,Games!$O:$O,3)+SUMIFS(Games!$F:$F,Games!$D:$D,'Team forecast'!$B5,Games!$O:$O,3)</f>
        <v>0.79352160820379258</v>
      </c>
      <c r="AI5" s="2">
        <f>SUMIFS(Games!$G:$G,Games!$C:$C,'Team forecast'!$B5,Games!$O:$O,3)+SUMIFS(Games!$G:$G,Games!$D:$D,'Team forecast'!$B5,Games!$O:$O,3)</f>
        <v>0.14405469195084231</v>
      </c>
      <c r="AJ5" s="2">
        <f>SUMIFS(Games!$F:$F,Games!$C:$C,'Team forecast'!$B5,Games!$O:$O,3)+SUMIFS(Games!$E:$E,Games!$D:$D,'Team forecast'!$B5,Games!$O:$O,3)</f>
        <v>6.2423699845365013E-2</v>
      </c>
      <c r="AK5" s="78">
        <f>INDEX(Teams!$C$1:$M$25,MATCH('Team forecast'!$B5,Teams!$C$1:$C$25,0),MATCH('Team forecast'!AK$2,Teams!$C$1:$M$1,0))</f>
        <v>0.96677949525455797</v>
      </c>
      <c r="AL5" s="78">
        <f>INDEX(Teams!$C$1:$M$25,MATCH('Team forecast'!$B5,Teams!$C$1:$C$25,0),MATCH('Team forecast'!AL$2,Teams!$C$1:$M$1,0))</f>
        <v>0.48316371058552765</v>
      </c>
      <c r="AM5" s="78">
        <f>INDEX(Teams!$C$1:$M$25,MATCH('Team forecast'!$B5,Teams!$C$1:$C$25,0),MATCH('Team forecast'!AM$2,Teams!$C$1:$M$1,0))</f>
        <v>0.24136911454758631</v>
      </c>
      <c r="AN5" s="78">
        <f>INDEX(Teams!$C$1:$M$25,MATCH('Team forecast'!$B5,Teams!$C$1:$C$25,0),MATCH('Team forecast'!AN$2,Teams!$C$1:$M$1,0))</f>
        <v>0.12041023368132732</v>
      </c>
      <c r="AO5" s="78">
        <f>INDEX(Teams!$F$2:$F$25,MATCH('Team forecast'!B5,Teams!$C$2:$C$25,0))</f>
        <v>5.5882352941176473E-2</v>
      </c>
      <c r="AP5" s="2" t="b">
        <f>SUM(L5:N5)=1</f>
        <v>1</v>
      </c>
      <c r="AQ5" s="2" t="b">
        <f>SUM(W5:Y5)=1</f>
        <v>1</v>
      </c>
      <c r="AR5" s="2" t="b">
        <f>SUM(AH5:AJ5)=1</f>
        <v>1</v>
      </c>
      <c r="AS5" s="2">
        <f>D5+O5+Z5</f>
        <v>5.7871730988110599</v>
      </c>
      <c r="AT5" s="2">
        <f>E5+P5+AA5</f>
        <v>2.0491034005063513</v>
      </c>
      <c r="AU5" s="4">
        <f t="shared" si="4"/>
        <v>2</v>
      </c>
      <c r="AV5" s="4">
        <f t="shared" si="14"/>
        <v>23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>
      <c r="B6" s="73" t="s">
        <v>878</v>
      </c>
      <c r="C6" s="3"/>
      <c r="D6" s="2">
        <f>SUMIFS(Games!$J:$J,Games!$C:$C,'Team forecast'!$B6,Games!$O:$O,1)+SUMIFS(Games!$K:$K,Games!$D:$D,'Team forecast'!$B6,Games!$O:$O,1)</f>
        <v>1.5562991347612565</v>
      </c>
      <c r="E6" s="2">
        <f>SUMIFS(Games!$K:$K,Games!$C:$C,'Team forecast'!$B6,Games!$O:$O,1)+SUMIFS(Games!$J:$J,Games!$D:$D,'Team forecast'!$B6,Games!$O:$O,1)</f>
        <v>0.65653770483831209</v>
      </c>
      <c r="F6" s="2">
        <f>SUMIFS(Games!$L:$L,Games!$C:$C,'Team forecast'!$B6,Games!$O:$O,1)+SUMIFS(Games!$M:$M,Games!$D:$D,'Team forecast'!$B6,Games!$O:$O,1)</f>
        <v>0.51864392781930047</v>
      </c>
      <c r="G6" s="2">
        <f t="shared" si="5"/>
        <v>1.5562991347612565</v>
      </c>
      <c r="H6" s="2">
        <f t="shared" si="6"/>
        <v>0.65653770483831209</v>
      </c>
      <c r="I6" s="2">
        <f t="shared" si="7"/>
        <v>0.51864392781930047</v>
      </c>
      <c r="J6" s="77">
        <f>INDEX(SOG!$F$2:$F$25,MATCH('Team forecast'!$AU6,SOG!$G$2:$G$25,0))*D6</f>
        <v>4.6996138345751106</v>
      </c>
      <c r="K6" s="77">
        <f>INDEX(SOG!$F$2:$F$25,MATCH('Team forecast'!$AV6,SOG!$G$2:$G$25,0))*E6</f>
        <v>1.9825710955314819</v>
      </c>
      <c r="L6" s="2">
        <f>SUMIFS(Games!$E:$E,Games!$C:$C,'Team forecast'!$B6,Games!$O:$O,1)+SUMIFS(Games!$F:$F,Games!$D:$D,'Team forecast'!$B6,Games!$O:$O,1)</f>
        <v>0.60453400503778332</v>
      </c>
      <c r="M6" s="2">
        <f>SUMIFS(Games!$G:$G,Games!$C:$C,'Team forecast'!$B6,Games!$O:$O,1)+SUMIFS(Games!$G:$G,Games!$D:$D,'Team forecast'!$B6,Games!$O:$O,1)</f>
        <v>0.23727959697733</v>
      </c>
      <c r="N6" s="2">
        <f>SUMIFS(Games!$F:$F,Games!$C:$C,'Team forecast'!$B6,Games!$O:$O,1)+SUMIFS(Games!$E:$E,Games!$D:$D,'Team forecast'!$B6,Games!$O:$O,1)</f>
        <v>0.15818639798488671</v>
      </c>
      <c r="O6" s="2">
        <f>SUMIFS(Games!$J:$J,Games!$C:$C,'Team forecast'!$B6,Games!$O:$O,2)+SUMIFS(Games!$K:$K,Games!$D:$D,'Team forecast'!$B6,Games!$O:$O,2)</f>
        <v>0.7977891123063281</v>
      </c>
      <c r="P6" s="2">
        <f>SUMIFS(Games!$K:$K,Games!$C:$C,'Team forecast'!$B6,Games!$O:$O,2)+SUMIFS(Games!$J:$J,Games!$D:$D,'Team forecast'!$B6,Games!$O:$O,2)</f>
        <v>1.8476112368050062</v>
      </c>
      <c r="Q6" s="2">
        <f>SUMIFS(Games!$L:$L,Games!$C:$C,'Team forecast'!$B6,Games!$O:$O,2)+SUMIFS(Games!$M:$M,Games!$D:$D,'Team forecast'!$B6,Games!$O:$O,2)</f>
        <v>0.15761321763936759</v>
      </c>
      <c r="R6" s="2">
        <f t="shared" si="8"/>
        <v>0.7977891123063281</v>
      </c>
      <c r="S6" s="2">
        <f t="shared" si="9"/>
        <v>1.8476112368050062</v>
      </c>
      <c r="T6" s="2">
        <f t="shared" si="10"/>
        <v>0.15761321763936759</v>
      </c>
      <c r="U6" s="77">
        <f>INDEX(SOG!$F$2:$F$25,MATCH('Team forecast'!$AU6,SOG!$G$2:$G$25,0))*O6</f>
        <v>2.4091131746618726</v>
      </c>
      <c r="V6" s="77">
        <f>INDEX(SOG!$F$2:$F$25,MATCH('Team forecast'!$AV6,SOG!$G$2:$G$25,0))*P6</f>
        <v>5.5792997216677493</v>
      </c>
      <c r="W6" s="2">
        <f>SUMIFS(Games!$E:$E,Games!$C:$C,'Team forecast'!$B6,Games!$O:$O,2)+SUMIFS(Games!$F:$F,Games!$D:$D,'Team forecast'!$B6,Games!$O:$O,2)</f>
        <v>0.1454891239748009</v>
      </c>
      <c r="X6" s="2">
        <f>SUMIFS(Games!$G:$G,Games!$C:$C,'Team forecast'!$B6,Games!$O:$O,2)+SUMIFS(Games!$G:$G,Games!$D:$D,'Team forecast'!$B6,Games!$O:$O,2)</f>
        <v>0.23641982645905149</v>
      </c>
      <c r="Y6" s="2">
        <f>SUMIFS(Games!$F:$F,Games!$C:$C,'Team forecast'!$B6,Games!$O:$O,2)+SUMIFS(Games!$E:$E,Games!$D:$D,'Team forecast'!$B6,Games!$O:$O,2)</f>
        <v>0.61809104956614758</v>
      </c>
      <c r="Z6" s="2">
        <f>SUMIFS(Games!$J:$J,Games!$C:$C,'Team forecast'!$B6,Games!$O:$O,3)+SUMIFS(Games!$K:$K,Games!$D:$D,'Team forecast'!$B6,Games!$O:$O,3)</f>
        <v>1.1461513485277883</v>
      </c>
      <c r="AA6" s="2">
        <f>SUMIFS(Games!$K:$K,Games!$C:$C,'Team forecast'!$B6,Games!$O:$O,3)+SUMIFS(Games!$J:$J,Games!$D:$D,'Team forecast'!$B6,Games!$O:$O,3)</f>
        <v>1.1461513485277883</v>
      </c>
      <c r="AB6" s="2">
        <f>SUMIFS(Games!$L:$L,Games!$C:$C,'Team forecast'!$B6,Games!$O:$O,3)+SUMIFS(Games!$M:$M,Games!$D:$D,'Team forecast'!$B6,Games!$O:$O,3)</f>
        <v>0.31785774198959899</v>
      </c>
      <c r="AC6" s="2">
        <f t="shared" si="11"/>
        <v>1.1461513485277883</v>
      </c>
      <c r="AD6" s="2">
        <f t="shared" si="12"/>
        <v>1.1461513485277883</v>
      </c>
      <c r="AE6" s="2">
        <f t="shared" si="13"/>
        <v>0.31785774198959899</v>
      </c>
      <c r="AF6" s="77">
        <f>INDEX(SOG!$F$2:$F$25,MATCH('Team forecast'!$AU6,SOG!$G$2:$G$25,0))*Z6</f>
        <v>3.4610754537779926</v>
      </c>
      <c r="AG6" s="77">
        <f>INDEX(SOG!$F$2:$F$25,MATCH('Team forecast'!$AV6,SOG!$G$2:$G$25,0))*AA6</f>
        <v>3.4610754537779926</v>
      </c>
      <c r="AH6" s="2">
        <f>SUMIFS(Games!$E:$E,Games!$C:$C,'Team forecast'!$B6,Games!$O:$O,3)+SUMIFS(Games!$F:$F,Games!$D:$D,'Team forecast'!$B6,Games!$O:$O,3)</f>
        <v>0.35983895319577253</v>
      </c>
      <c r="AI6" s="2">
        <f>SUMIFS(Games!$G:$G,Games!$C:$C,'Team forecast'!$B6,Games!$O:$O,3)+SUMIFS(Games!$G:$G,Games!$D:$D,'Team forecast'!$B6,Games!$O:$O,3)</f>
        <v>0.29340714645193761</v>
      </c>
      <c r="AJ6" s="2">
        <f>SUMIFS(Games!$F:$F,Games!$C:$C,'Team forecast'!$B6,Games!$O:$O,3)+SUMIFS(Games!$E:$E,Games!$D:$D,'Team forecast'!$B6,Games!$O:$O,3)</f>
        <v>0.34675390035228992</v>
      </c>
      <c r="AK6" s="78">
        <f>INDEX(Teams!$C$1:$M$25,MATCH('Team forecast'!$B6,Teams!$C$1:$C$25,0),MATCH('Team forecast'!AK$2,Teams!$C$1:$M$1,0))</f>
        <v>0.71487216198400427</v>
      </c>
      <c r="AL6" s="78">
        <f>INDEX(Teams!$C$1:$M$25,MATCH('Team forecast'!$B6,Teams!$C$1:$C$25,0),MATCH('Team forecast'!AL$2,Teams!$C$1:$M$1,0))</f>
        <v>0.35092177193909285</v>
      </c>
      <c r="AM6" s="78">
        <f>INDEX(Teams!$C$1:$M$25,MATCH('Team forecast'!$B6,Teams!$C$1:$C$25,0),MATCH('Team forecast'!AM$2,Teams!$C$1:$M$1,0))</f>
        <v>0.16932977156680842</v>
      </c>
      <c r="AN6" s="78">
        <f>INDEX(Teams!$C$1:$M$25,MATCH('Team forecast'!$B6,Teams!$C$1:$C$25,0),MATCH('Team forecast'!AN$2,Teams!$C$1:$M$1,0))</f>
        <v>7.6758975106189356E-2</v>
      </c>
      <c r="AO6" s="78">
        <f>INDEX(Teams!$F$2:$F$25,MATCH('Team forecast'!B6,Teams!$C$2:$C$25,0))</f>
        <v>4.5238095238095237E-3</v>
      </c>
      <c r="AP6" s="2" t="b">
        <f>SUM(L6:N6)=1</f>
        <v>1</v>
      </c>
      <c r="AQ6" s="2" t="b">
        <f>SUM(W6:Y6)=1</f>
        <v>1</v>
      </c>
      <c r="AR6" s="2" t="b">
        <f>SUM(AH6:AJ6)=1</f>
        <v>1</v>
      </c>
      <c r="AS6" s="2">
        <f>D6+O6+Z6</f>
        <v>3.5002395955953727</v>
      </c>
      <c r="AT6" s="2">
        <f>E6+P6+AA6</f>
        <v>3.6503002901711064</v>
      </c>
      <c r="AU6" s="4">
        <f t="shared" si="4"/>
        <v>12</v>
      </c>
      <c r="AV6" s="4">
        <f t="shared" si="14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>
      <c r="B7" s="73" t="s">
        <v>872</v>
      </c>
      <c r="C7" s="3"/>
      <c r="D7" s="2">
        <f>SUMIFS(Games!$J:$J,Games!$C:$C,'Team forecast'!$B7,Games!$O:$O,1)+SUMIFS(Games!$K:$K,Games!$D:$D,'Team forecast'!$B7,Games!$O:$O,1)</f>
        <v>0.84461095835632183</v>
      </c>
      <c r="E7" s="2">
        <f>SUMIFS(Games!$K:$K,Games!$C:$C,'Team forecast'!$B7,Games!$O:$O,1)+SUMIFS(Games!$J:$J,Games!$D:$D,'Team forecast'!$B7,Games!$O:$O,1)</f>
        <v>1.5602309947683257</v>
      </c>
      <c r="F7" s="2">
        <f>SUMIFS(Games!$L:$L,Games!$C:$C,'Team forecast'!$B7,Games!$O:$O,1)+SUMIFS(Games!$M:$M,Games!$D:$D,'Team forecast'!$B7,Games!$O:$O,1)</f>
        <v>0.21008753647353071</v>
      </c>
      <c r="G7" s="2">
        <f t="shared" si="5"/>
        <v>0.84461095835632183</v>
      </c>
      <c r="H7" s="2">
        <f t="shared" si="6"/>
        <v>1.5602309947683257</v>
      </c>
      <c r="I7" s="2">
        <f t="shared" si="7"/>
        <v>0.21008753647353071</v>
      </c>
      <c r="J7" s="77">
        <f>INDEX(SOG!$F$2:$F$25,MATCH('Team forecast'!$AU7,SOG!$G$2:$G$25,0))*D7</f>
        <v>2.876402354682019</v>
      </c>
      <c r="K7" s="77">
        <f>INDEX(SOG!$F$2:$F$25,MATCH('Team forecast'!$AV7,SOG!$G$2:$G$25,0))*E7</f>
        <v>4.4253824578883423</v>
      </c>
      <c r="L7" s="2">
        <f>SUMIFS(Games!$E:$E,Games!$C:$C,'Team forecast'!$B7,Games!$O:$O,1)+SUMIFS(Games!$F:$F,Games!$D:$D,'Team forecast'!$B7,Games!$O:$O,1)</f>
        <v>0.18007503126302629</v>
      </c>
      <c r="M7" s="2">
        <f>SUMIFS(Games!$G:$G,Games!$C:$C,'Team forecast'!$B7,Games!$O:$O,1)+SUMIFS(Games!$G:$G,Games!$D:$D,'Team forecast'!$B7,Games!$O:$O,1)</f>
        <v>0.23634847853272201</v>
      </c>
      <c r="N7" s="2">
        <f>SUMIFS(Games!$F:$F,Games!$C:$C,'Team forecast'!$B7,Games!$O:$O,1)+SUMIFS(Games!$E:$E,Games!$D:$D,'Team forecast'!$B7,Games!$O:$O,1)</f>
        <v>0.58357649020425184</v>
      </c>
      <c r="O7" s="2">
        <f>SUMIFS(Games!$J:$J,Games!$C:$C,'Team forecast'!$B7,Games!$O:$O,2)+SUMIFS(Games!$K:$K,Games!$D:$D,'Team forecast'!$B7,Games!$O:$O,2)</f>
        <v>1.5687475343836428</v>
      </c>
      <c r="P7" s="2">
        <f>SUMIFS(Games!$K:$K,Games!$C:$C,'Team forecast'!$B7,Games!$O:$O,2)+SUMIFS(Games!$J:$J,Games!$D:$D,'Team forecast'!$B7,Games!$O:$O,2)</f>
        <v>0.75781731816731412</v>
      </c>
      <c r="Q7" s="2">
        <f>SUMIFS(Games!$L:$L,Games!$C:$C,'Team forecast'!$B7,Games!$O:$O,2)+SUMIFS(Games!$M:$M,Games!$D:$D,'Team forecast'!$B7,Games!$O:$O,2)</f>
        <v>0.46868830883965779</v>
      </c>
      <c r="R7" s="2">
        <f t="shared" si="8"/>
        <v>1.5687475343836428</v>
      </c>
      <c r="S7" s="2">
        <f t="shared" si="9"/>
        <v>0.75781731816731412</v>
      </c>
      <c r="T7" s="2">
        <f t="shared" si="10"/>
        <v>0.46868830883965779</v>
      </c>
      <c r="U7" s="77">
        <f>INDEX(SOG!$F$2:$F$25,MATCH('Team forecast'!$AU7,SOG!$G$2:$G$25,0))*O7</f>
        <v>5.3425178268869509</v>
      </c>
      <c r="V7" s="77">
        <f>INDEX(SOG!$F$2:$F$25,MATCH('Team forecast'!$AV7,SOG!$G$2:$G$25,0))*P7</f>
        <v>2.1494454842563817</v>
      </c>
      <c r="W7" s="2">
        <f>SUMIFS(Games!$E:$E,Games!$C:$C,'Team forecast'!$B7,Games!$O:$O,2)+SUMIFS(Games!$F:$F,Games!$D:$D,'Team forecast'!$B7,Games!$O:$O,2)</f>
        <v>0.56810704101776699</v>
      </c>
      <c r="X7" s="2">
        <f>SUMIFS(Games!$G:$G,Games!$C:$C,'Team forecast'!$B7,Games!$O:$O,2)+SUMIFS(Games!$G:$G,Games!$D:$D,'Team forecast'!$B7,Games!$O:$O,2)</f>
        <v>0.25334503180522039</v>
      </c>
      <c r="Y7" s="2">
        <f>SUMIFS(Games!$F:$F,Games!$C:$C,'Team forecast'!$B7,Games!$O:$O,2)+SUMIFS(Games!$E:$E,Games!$D:$D,'Team forecast'!$B7,Games!$O:$O,2)</f>
        <v>0.17854792717701251</v>
      </c>
      <c r="Z7" s="2">
        <f>SUMIFS(Games!$J:$J,Games!$C:$C,'Team forecast'!$B7,Games!$O:$O,3)+SUMIFS(Games!$K:$K,Games!$D:$D,'Team forecast'!$B7,Games!$O:$O,3)</f>
        <v>0.95602347631827322</v>
      </c>
      <c r="AA7" s="2">
        <f>SUMIFS(Games!$K:$K,Games!$C:$C,'Team forecast'!$B7,Games!$O:$O,3)+SUMIFS(Games!$J:$J,Games!$D:$D,'Team forecast'!$B7,Games!$O:$O,3)</f>
        <v>1.5053002864585165</v>
      </c>
      <c r="AB7" s="2">
        <f>SUMIFS(Games!$L:$L,Games!$C:$C,'Team forecast'!$B7,Games!$O:$O,3)+SUMIFS(Games!$M:$M,Games!$D:$D,'Team forecast'!$B7,Games!$O:$O,3)</f>
        <v>0.22195063505392029</v>
      </c>
      <c r="AC7" s="2">
        <f t="shared" si="11"/>
        <v>0.95602347631827322</v>
      </c>
      <c r="AD7" s="2">
        <f t="shared" si="12"/>
        <v>1.5053002864585165</v>
      </c>
      <c r="AE7" s="2">
        <f t="shared" si="13"/>
        <v>0.22195063505392029</v>
      </c>
      <c r="AF7" s="77">
        <f>INDEX(SOG!$F$2:$F$25,MATCH('Team forecast'!$AU7,SOG!$G$2:$G$25,0))*Z7</f>
        <v>3.2558282025664269</v>
      </c>
      <c r="AG7" s="77">
        <f>INDEX(SOG!$F$2:$F$25,MATCH('Team forecast'!$AV7,SOG!$G$2:$G$25,0))*AA7</f>
        <v>4.2695789943187012</v>
      </c>
      <c r="AH7" s="2">
        <f>SUMIFS(Games!$E:$E,Games!$C:$C,'Team forecast'!$B7,Games!$O:$O,3)+SUMIFS(Games!$F:$F,Games!$D:$D,'Team forecast'!$B7,Games!$O:$O,3)</f>
        <v>0.23440152433743289</v>
      </c>
      <c r="AI7" s="2">
        <f>SUMIFS(Games!$G:$G,Games!$C:$C,'Team forecast'!$B7,Games!$O:$O,3)+SUMIFS(Games!$G:$G,Games!$D:$D,'Team forecast'!$B7,Games!$O:$O,3)</f>
        <v>0.282660661701022</v>
      </c>
      <c r="AJ7" s="2">
        <f>SUMIFS(Games!$F:$F,Games!$C:$C,'Team forecast'!$B7,Games!$O:$O,3)+SUMIFS(Games!$E:$E,Games!$D:$D,'Team forecast'!$B7,Games!$O:$O,3)</f>
        <v>0.48293781396154511</v>
      </c>
      <c r="AK7" s="78">
        <f>INDEX(Teams!$C$1:$M$25,MATCH('Team forecast'!$B7,Teams!$C$1:$C$25,0),MATCH('Team forecast'!AK$2,Teams!$C$1:$M$1,0))</f>
        <v>0.64248004431473793</v>
      </c>
      <c r="AL7" s="78">
        <f>INDEX(Teams!$C$1:$M$25,MATCH('Team forecast'!$B7,Teams!$C$1:$C$25,0),MATCH('Team forecast'!AL$2,Teams!$C$1:$M$1,0))</f>
        <v>0.31536687007710668</v>
      </c>
      <c r="AM7" s="78">
        <f>INDEX(Teams!$C$1:$M$25,MATCH('Team forecast'!$B7,Teams!$C$1:$C$25,0),MATCH('Team forecast'!AM$2,Teams!$C$1:$M$1,0))</f>
        <v>0.15215576249242424</v>
      </c>
      <c r="AN7" s="78">
        <f>INDEX(Teams!$C$1:$M$25,MATCH('Team forecast'!$B7,Teams!$C$1:$C$25,0),MATCH('Team forecast'!AN$2,Teams!$C$1:$M$1,0))</f>
        <v>6.8950092963045606E-2</v>
      </c>
      <c r="AO7" s="78">
        <f>INDEX(Teams!$F$2:$F$25,MATCH('Team forecast'!B7,Teams!$C$2:$C$25,0))</f>
        <v>3.9583333333333328E-3</v>
      </c>
      <c r="AP7" s="2" t="b">
        <f>SUM(L7:N7)=1</f>
        <v>1</v>
      </c>
      <c r="AQ7" s="2" t="b">
        <f>SUM(W7:Y7)=1</f>
        <v>1</v>
      </c>
      <c r="AR7" s="2" t="b">
        <f>SUM(AH7:AJ7)=1</f>
        <v>1</v>
      </c>
      <c r="AS7" s="2">
        <f>D7+O7+Z7</f>
        <v>3.3693819690582378</v>
      </c>
      <c r="AT7" s="2">
        <f>E7+P7+AA7</f>
        <v>3.8233485993941563</v>
      </c>
      <c r="AU7" s="4">
        <f t="shared" si="4"/>
        <v>14</v>
      </c>
      <c r="AV7" s="4">
        <f t="shared" si="14"/>
        <v>10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>
      <c r="B8" s="73" t="s">
        <v>892</v>
      </c>
      <c r="C8" s="3"/>
      <c r="D8" s="2">
        <f>SUMIFS(Games!$J:$J,Games!$C:$C,'Team forecast'!$B8,Games!$O:$O,1)+SUMIFS(Games!$K:$K,Games!$D:$D,'Team forecast'!$B8,Games!$O:$O,1)</f>
        <v>1.2386203137003762</v>
      </c>
      <c r="E8" s="2">
        <f>SUMIFS(Games!$K:$K,Games!$C:$C,'Team forecast'!$B8,Games!$O:$O,1)+SUMIFS(Games!$J:$J,Games!$D:$D,'Team forecast'!$B8,Games!$O:$O,1)</f>
        <v>1.2386203137003762</v>
      </c>
      <c r="F8" s="2">
        <f>SUMIFS(Games!$L:$L,Games!$C:$C,'Team forecast'!$B8,Games!$O:$O,1)+SUMIFS(Games!$M:$M,Games!$D:$D,'Team forecast'!$B8,Games!$O:$O,1)</f>
        <v>0.28978375293296982</v>
      </c>
      <c r="G8" s="2">
        <f t="shared" si="5"/>
        <v>1.2386203137003762</v>
      </c>
      <c r="H8" s="2">
        <f t="shared" si="6"/>
        <v>1.2386203137003762</v>
      </c>
      <c r="I8" s="2">
        <f t="shared" si="7"/>
        <v>0.28978375293296982</v>
      </c>
      <c r="J8" s="77">
        <f>INDEX(SOG!$F$2:$F$25,MATCH('Team forecast'!$AU8,SOG!$G$2:$G$25,0))*D8</f>
        <v>3.2490442399577706</v>
      </c>
      <c r="K8" s="77">
        <f>INDEX(SOG!$F$2:$F$25,MATCH('Team forecast'!$AV8,SOG!$G$2:$G$25,0))*E8</f>
        <v>3.2998357975681776</v>
      </c>
      <c r="L8" s="2">
        <f>SUMIFS(Games!$E:$E,Games!$C:$C,'Team forecast'!$B8,Games!$O:$O,1)+SUMIFS(Games!$F:$F,Games!$D:$D,'Team forecast'!$B8,Games!$O:$O,1)</f>
        <v>0.33635614179719708</v>
      </c>
      <c r="M8" s="2">
        <f>SUMIFS(Games!$G:$G,Games!$C:$C,'Team forecast'!$B8,Games!$O:$O,1)+SUMIFS(Games!$G:$G,Games!$D:$D,'Team forecast'!$B8,Games!$O:$O,1)</f>
        <v>0.29431162407254741</v>
      </c>
      <c r="N8" s="2">
        <f>SUMIFS(Games!$F:$F,Games!$C:$C,'Team forecast'!$B8,Games!$O:$O,1)+SUMIFS(Games!$E:$E,Games!$D:$D,'Team forecast'!$B8,Games!$O:$O,1)</f>
        <v>0.36933223413025562</v>
      </c>
      <c r="O8" s="2">
        <f>SUMIFS(Games!$J:$J,Games!$C:$C,'Team forecast'!$B8,Games!$O:$O,2)+SUMIFS(Games!$K:$K,Games!$D:$D,'Team forecast'!$B8,Games!$O:$O,2)</f>
        <v>1.384389503157577</v>
      </c>
      <c r="P8" s="2">
        <f>SUMIFS(Games!$K:$K,Games!$C:$C,'Team forecast'!$B8,Games!$O:$O,2)+SUMIFS(Games!$J:$J,Games!$D:$D,'Team forecast'!$B8,Games!$O:$O,2)</f>
        <v>1.1612459518433673</v>
      </c>
      <c r="Q8" s="2">
        <f>SUMIFS(Games!$L:$L,Games!$C:$C,'Team forecast'!$B8,Games!$O:$O,2)+SUMIFS(Games!$M:$M,Games!$D:$D,'Team forecast'!$B8,Games!$O:$O,2)</f>
        <v>0.31309583542398389</v>
      </c>
      <c r="R8" s="2">
        <f t="shared" si="8"/>
        <v>1.384389503157577</v>
      </c>
      <c r="S8" s="2">
        <f t="shared" si="9"/>
        <v>1.1612459518433673</v>
      </c>
      <c r="T8" s="2">
        <f t="shared" si="10"/>
        <v>0.31309583542398389</v>
      </c>
      <c r="U8" s="77">
        <f>INDEX(SOG!$F$2:$F$25,MATCH('Team forecast'!$AU8,SOG!$G$2:$G$25,0))*O8</f>
        <v>3.6314136715992724</v>
      </c>
      <c r="V8" s="77">
        <f>INDEX(SOG!$F$2:$F$25,MATCH('Team forecast'!$AV8,SOG!$G$2:$G$25,0))*P8</f>
        <v>3.0937010472773676</v>
      </c>
      <c r="W8" s="2">
        <f>SUMIFS(Games!$E:$E,Games!$C:$C,'Team forecast'!$B8,Games!$O:$O,2)+SUMIFS(Games!$F:$F,Games!$D:$D,'Team forecast'!$B8,Games!$O:$O,2)</f>
        <v>0.41746111389864532</v>
      </c>
      <c r="X8" s="2">
        <f>SUMIFS(Games!$G:$G,Games!$C:$C,'Team forecast'!$B8,Games!$O:$O,2)+SUMIFS(Games!$G:$G,Games!$D:$D,'Team forecast'!$B8,Games!$O:$O,2)</f>
        <v>0.2935273457099849</v>
      </c>
      <c r="Y8" s="2">
        <f>SUMIFS(Games!$F:$F,Games!$C:$C,'Team forecast'!$B8,Games!$O:$O,2)+SUMIFS(Games!$E:$E,Games!$D:$D,'Team forecast'!$B8,Games!$O:$O,2)</f>
        <v>0.28901154039136978</v>
      </c>
      <c r="Z8" s="2">
        <f>SUMIFS(Games!$J:$J,Games!$C:$C,'Team forecast'!$B8,Games!$O:$O,3)+SUMIFS(Games!$K:$K,Games!$D:$D,'Team forecast'!$B8,Games!$O:$O,3)</f>
        <v>2.4374022591536644</v>
      </c>
      <c r="AA8" s="2">
        <f>SUMIFS(Games!$K:$K,Games!$C:$C,'Team forecast'!$B8,Games!$O:$O,3)+SUMIFS(Games!$J:$J,Games!$D:$D,'Team forecast'!$B8,Games!$O:$O,3)</f>
        <v>0.68661022841383224</v>
      </c>
      <c r="AB8" s="2">
        <f>SUMIFS(Games!$L:$L,Games!$C:$C,'Team forecast'!$B8,Games!$O:$O,3)+SUMIFS(Games!$M:$M,Games!$D:$D,'Team forecast'!$B8,Games!$O:$O,3)</f>
        <v>0.50327918232493496</v>
      </c>
      <c r="AC8" s="2">
        <f t="shared" si="11"/>
        <v>2.4374022591536644</v>
      </c>
      <c r="AD8" s="2">
        <f t="shared" si="12"/>
        <v>0.68661022841383224</v>
      </c>
      <c r="AE8" s="2">
        <f t="shared" si="13"/>
        <v>0.50327918232493496</v>
      </c>
      <c r="AF8" s="77">
        <f>INDEX(SOG!$F$2:$F$25,MATCH('Team forecast'!$AU8,SOG!$G$2:$G$25,0))*Z8</f>
        <v>6.3935878355689084</v>
      </c>
      <c r="AG8" s="77">
        <f>INDEX(SOG!$F$2:$F$25,MATCH('Team forecast'!$AV8,SOG!$G$2:$G$25,0))*AA8</f>
        <v>1.8292135092857056</v>
      </c>
      <c r="AH8" s="2">
        <f>SUMIFS(Games!$E:$E,Games!$C:$C,'Team forecast'!$B8,Games!$O:$O,3)+SUMIFS(Games!$F:$F,Games!$D:$D,'Team forecast'!$B8,Games!$O:$O,3)</f>
        <v>0.77521228890373051</v>
      </c>
      <c r="AI8" s="2">
        <f>SUMIFS(Games!$G:$G,Games!$C:$C,'Team forecast'!$B8,Games!$O:$O,3)+SUMIFS(Games!$G:$G,Games!$D:$D,'Team forecast'!$B8,Games!$O:$O,3)</f>
        <v>0.14788665203701931</v>
      </c>
      <c r="AJ8" s="2">
        <f>SUMIFS(Games!$F:$F,Games!$C:$C,'Team forecast'!$B8,Games!$O:$O,3)+SUMIFS(Games!$E:$E,Games!$D:$D,'Team forecast'!$B8,Games!$O:$O,3)</f>
        <v>7.6901059059250057E-2</v>
      </c>
      <c r="AK8" s="78">
        <f>INDEX(Teams!$C$1:$M$25,MATCH('Team forecast'!$B8,Teams!$C$1:$C$25,0),MATCH('Team forecast'!AK$2,Teams!$C$1:$M$1,0))</f>
        <v>0.89045479826077722</v>
      </c>
      <c r="AL8" s="78">
        <f>INDEX(Teams!$C$1:$M$25,MATCH('Team forecast'!$B8,Teams!$C$1:$C$25,0),MATCH('Team forecast'!AL$2,Teams!$C$1:$M$1,0))</f>
        <v>0.45252752742137037</v>
      </c>
      <c r="AM8" s="78">
        <f>INDEX(Teams!$C$1:$M$25,MATCH('Team forecast'!$B8,Teams!$C$1:$C$25,0),MATCH('Team forecast'!AM$2,Teams!$C$1:$M$1,0))</f>
        <v>0.23313447269043289</v>
      </c>
      <c r="AN8" s="78">
        <f>INDEX(Teams!$C$1:$M$25,MATCH('Team forecast'!$B8,Teams!$C$1:$C$25,0),MATCH('Team forecast'!AN$2,Teams!$C$1:$M$1,0))</f>
        <v>0.12542683476646999</v>
      </c>
      <c r="AO8" s="78">
        <f>INDEX(Teams!$F$2:$F$25,MATCH('Team forecast'!B8,Teams!$C$2:$C$25,0))</f>
        <v>9.5000000000000001E-2</v>
      </c>
      <c r="AP8" s="2" t="b">
        <f>SUM(L8:N8)=1</f>
        <v>1</v>
      </c>
      <c r="AQ8" s="2" t="b">
        <f>SUM(W8:Y8)=1</f>
        <v>1</v>
      </c>
      <c r="AR8" s="2" t="b">
        <f>SUM(AH8:AJ8)=1</f>
        <v>1</v>
      </c>
      <c r="AS8" s="2">
        <f>D8+O8+Z8</f>
        <v>5.0604120760116178</v>
      </c>
      <c r="AT8" s="2">
        <f>E8+P8+AA8</f>
        <v>3.086476493957576</v>
      </c>
      <c r="AU8" s="4">
        <f t="shared" si="4"/>
        <v>5</v>
      </c>
      <c r="AV8" s="4">
        <f t="shared" si="14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>
      <c r="B9" s="73" t="s">
        <v>870</v>
      </c>
      <c r="C9" s="3"/>
      <c r="D9" s="2">
        <f>SUMIFS(Games!$J:$J,Games!$C:$C,'Team forecast'!$B9,Games!$O:$O,1)+SUMIFS(Games!$K:$K,Games!$D:$D,'Team forecast'!$B9,Games!$O:$O,1)</f>
        <v>0.59952758650922311</v>
      </c>
      <c r="E9" s="2">
        <f>SUMIFS(Games!$K:$K,Games!$C:$C,'Team forecast'!$B9,Games!$O:$O,1)+SUMIFS(Games!$J:$J,Games!$D:$D,'Team forecast'!$B9,Games!$O:$O,1)</f>
        <v>1.6608440904336361</v>
      </c>
      <c r="F9" s="2">
        <f>SUMIFS(Games!$L:$L,Games!$C:$C,'Team forecast'!$B9,Games!$O:$O,1)+SUMIFS(Games!$M:$M,Games!$D:$D,'Team forecast'!$B9,Games!$O:$O,1)</f>
        <v>0.18997855332423469</v>
      </c>
      <c r="G9" s="2">
        <f t="shared" si="5"/>
        <v>0.59952758650922311</v>
      </c>
      <c r="H9" s="2">
        <f t="shared" si="6"/>
        <v>1.6608440904336361</v>
      </c>
      <c r="I9" s="2">
        <f t="shared" si="7"/>
        <v>0.18997855332423469</v>
      </c>
      <c r="J9" s="77">
        <f>INDEX(SOG!$F$2:$F$25,MATCH('Team forecast'!$AU9,SOG!$G$2:$G$25,0))*D9</f>
        <v>1.9681461173282577</v>
      </c>
      <c r="K9" s="77">
        <f>INDEX(SOG!$F$2:$F$25,MATCH('Team forecast'!$AV9,SOG!$G$2:$G$25,0))*E9</f>
        <v>4.718659845717994</v>
      </c>
      <c r="L9" s="2">
        <f>SUMIFS(Games!$E:$E,Games!$C:$C,'Team forecast'!$B9,Games!$O:$O,1)+SUMIFS(Games!$F:$F,Games!$D:$D,'Team forecast'!$B9,Games!$O:$O,1)</f>
        <v>0.1187365958276467</v>
      </c>
      <c r="M9" s="2">
        <f>SUMIFS(Games!$G:$G,Games!$C:$C,'Team forecast'!$B9,Games!$O:$O,1)+SUMIFS(Games!$G:$G,Games!$D:$D,'Team forecast'!$B9,Games!$O:$O,1)</f>
        <v>0.22616494443361279</v>
      </c>
      <c r="N9" s="2">
        <f>SUMIFS(Games!$F:$F,Games!$C:$C,'Team forecast'!$B9,Games!$O:$O,1)+SUMIFS(Games!$E:$E,Games!$D:$D,'Team forecast'!$B9,Games!$O:$O,1)</f>
        <v>0.65509845973874048</v>
      </c>
      <c r="O9" s="2">
        <f>SUMIFS(Games!$J:$J,Games!$C:$C,'Team forecast'!$B9,Games!$O:$O,2)+SUMIFS(Games!$K:$K,Games!$D:$D,'Team forecast'!$B9,Games!$O:$O,2)</f>
        <v>0.75781731816731412</v>
      </c>
      <c r="P9" s="2">
        <f>SUMIFS(Games!$K:$K,Games!$C:$C,'Team forecast'!$B9,Games!$O:$O,2)+SUMIFS(Games!$J:$J,Games!$D:$D,'Team forecast'!$B9,Games!$O:$O,2)</f>
        <v>1.5687475343836428</v>
      </c>
      <c r="Q9" s="2">
        <f>SUMIFS(Games!$L:$L,Games!$C:$C,'Team forecast'!$B9,Games!$O:$O,2)+SUMIFS(Games!$M:$M,Games!$D:$D,'Team forecast'!$B9,Games!$O:$O,2)</f>
        <v>0.20830591503984791</v>
      </c>
      <c r="R9" s="2">
        <f t="shared" si="8"/>
        <v>0.75781731816731412</v>
      </c>
      <c r="S9" s="2">
        <f t="shared" si="9"/>
        <v>1.5687475343836428</v>
      </c>
      <c r="T9" s="2">
        <f t="shared" si="10"/>
        <v>0.20830591503984791</v>
      </c>
      <c r="U9" s="77">
        <f>INDEX(SOG!$F$2:$F$25,MATCH('Team forecast'!$AU9,SOG!$G$2:$G$25,0))*O9</f>
        <v>2.4877841252967383</v>
      </c>
      <c r="V9" s="77">
        <f>INDEX(SOG!$F$2:$F$25,MATCH('Team forecast'!$AV9,SOG!$G$2:$G$25,0))*P9</f>
        <v>4.4570023406787609</v>
      </c>
      <c r="W9" s="2">
        <f>SUMIFS(Games!$E:$E,Games!$C:$C,'Team forecast'!$B9,Games!$O:$O,2)+SUMIFS(Games!$F:$F,Games!$D:$D,'Team forecast'!$B9,Games!$O:$O,2)</f>
        <v>0.17854792717701251</v>
      </c>
      <c r="X9" s="2">
        <f>SUMIFS(Games!$G:$G,Games!$C:$C,'Team forecast'!$B9,Games!$O:$O,2)+SUMIFS(Games!$G:$G,Games!$D:$D,'Team forecast'!$B9,Games!$O:$O,2)</f>
        <v>0.25334503180522039</v>
      </c>
      <c r="Y9" s="2">
        <f>SUMIFS(Games!$F:$F,Games!$C:$C,'Team forecast'!$B9,Games!$O:$O,2)+SUMIFS(Games!$E:$E,Games!$D:$D,'Team forecast'!$B9,Games!$O:$O,2)</f>
        <v>0.56810704101776699</v>
      </c>
      <c r="Z9" s="2">
        <f>SUMIFS(Games!$J:$J,Games!$C:$C,'Team forecast'!$B9,Games!$O:$O,3)+SUMIFS(Games!$K:$K,Games!$D:$D,'Team forecast'!$B9,Games!$O:$O,3)</f>
        <v>0.62462402002960304</v>
      </c>
      <c r="AA9" s="2">
        <f>SUMIFS(Games!$K:$K,Games!$C:$C,'Team forecast'!$B9,Games!$O:$O,3)+SUMIFS(Games!$J:$J,Games!$D:$D,'Team forecast'!$B9,Games!$O:$O,3)</f>
        <v>2.3394224481215296</v>
      </c>
      <c r="AB9" s="2">
        <f>SUMIFS(Games!$L:$L,Games!$C:$C,'Team forecast'!$B9,Games!$O:$O,3)+SUMIFS(Games!$M:$M,Games!$D:$D,'Team forecast'!$B9,Games!$O:$O,3)</f>
        <v>9.6383288507815829E-2</v>
      </c>
      <c r="AC9" s="2">
        <f t="shared" si="11"/>
        <v>0.62462402002960304</v>
      </c>
      <c r="AD9" s="2">
        <f t="shared" si="12"/>
        <v>2.3394224481215296</v>
      </c>
      <c r="AE9" s="2">
        <f t="shared" si="13"/>
        <v>9.6383288507815829E-2</v>
      </c>
      <c r="AF9" s="77">
        <f>INDEX(SOG!$F$2:$F$25,MATCH('Team forecast'!$AU9,SOG!$G$2:$G$25,0))*Z9</f>
        <v>2.0505333990870809</v>
      </c>
      <c r="AG9" s="77">
        <f>INDEX(SOG!$F$2:$F$25,MATCH('Team forecast'!$AV9,SOG!$G$2:$G$25,0))*AA9</f>
        <v>6.6465834040088314</v>
      </c>
      <c r="AH9" s="2">
        <f>SUMIFS(Games!$E:$E,Games!$C:$C,'Team forecast'!$B9,Games!$O:$O,3)+SUMIFS(Games!$F:$F,Games!$D:$D,'Team forecast'!$B9,Games!$O:$O,3)</f>
        <v>6.2182766779236023E-2</v>
      </c>
      <c r="AI9" s="2">
        <f>SUMIFS(Games!$G:$G,Games!$C:$C,'Team forecast'!$B9,Games!$O:$O,3)+SUMIFS(Games!$G:$G,Games!$D:$D,'Team forecast'!$B9,Games!$O:$O,3)</f>
        <v>0.15421326161250529</v>
      </c>
      <c r="AJ9" s="2">
        <f>SUMIFS(Games!$F:$F,Games!$C:$C,'Team forecast'!$B9,Games!$O:$O,3)+SUMIFS(Games!$E:$E,Games!$D:$D,'Team forecast'!$B9,Games!$O:$O,3)</f>
        <v>0.78360397160825879</v>
      </c>
      <c r="AK9" s="78">
        <f>INDEX(Teams!$C$1:$M$25,MATCH('Team forecast'!$B9,Teams!$C$1:$C$25,0),MATCH('Team forecast'!AK$2,Teams!$C$1:$M$1,0))</f>
        <v>0.27069825867127623</v>
      </c>
      <c r="AL9" s="78">
        <f>INDEX(Teams!$C$1:$M$25,MATCH('Team forecast'!$B9,Teams!$C$1:$C$25,0),MATCH('Team forecast'!AL$2,Teams!$C$1:$M$1,0))</f>
        <v>0.1327997126185812</v>
      </c>
      <c r="AM9" s="78">
        <f>INDEX(Teams!$C$1:$M$25,MATCH('Team forecast'!$B9,Teams!$C$1:$C$25,0),MATCH('Team forecast'!AM$2,Teams!$C$1:$M$1,0))</f>
        <v>6.400040528147237E-2</v>
      </c>
      <c r="AN9" s="78">
        <f>INDEX(Teams!$C$1:$M$25,MATCH('Team forecast'!$B9,Teams!$C$1:$C$25,0),MATCH('Team forecast'!AN$2,Teams!$C$1:$M$1,0))</f>
        <v>2.8906173683812656E-2</v>
      </c>
      <c r="AO9" s="78">
        <f>INDEX(Teams!$F$2:$F$25,MATCH('Team forecast'!B9,Teams!$C$2:$C$25,0))</f>
        <v>1.2337662337662341E-3</v>
      </c>
      <c r="AP9" s="2" t="b">
        <f>SUM(L9:N9)=1</f>
        <v>1</v>
      </c>
      <c r="AQ9" s="2" t="b">
        <f>SUM(W9:Y9)=1</f>
        <v>1</v>
      </c>
      <c r="AR9" s="2" t="b">
        <f>SUM(AH9:AJ9)=1</f>
        <v>1</v>
      </c>
      <c r="AS9" s="2">
        <f>D9+O9+Z9</f>
        <v>1.9819689247061403</v>
      </c>
      <c r="AT9" s="2">
        <f>E9+P9+AA9</f>
        <v>5.569014072938808</v>
      </c>
      <c r="AU9" s="4">
        <f t="shared" si="4"/>
        <v>23</v>
      </c>
      <c r="AV9" s="4">
        <f t="shared" si="14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>
      <c r="B10" s="73" t="s">
        <v>886</v>
      </c>
      <c r="C10" s="3"/>
      <c r="D10" s="2">
        <f>SUMIFS(Games!$J:$J,Games!$C:$C,'Team forecast'!$B10,Games!$O:$O,1)+SUMIFS(Games!$K:$K,Games!$D:$D,'Team forecast'!$B10,Games!$O:$O,1)</f>
        <v>0.63639779406972985</v>
      </c>
      <c r="E10" s="2">
        <f>SUMIFS(Games!$K:$K,Games!$C:$C,'Team forecast'!$B10,Games!$O:$O,1)+SUMIFS(Games!$J:$J,Games!$D:$D,'Team forecast'!$B10,Games!$O:$O,1)</f>
        <v>1.7533592214060363</v>
      </c>
      <c r="F10" s="2">
        <f>SUMIFS(Games!$L:$L,Games!$C:$C,'Team forecast'!$B10,Games!$O:$O,1)+SUMIFS(Games!$M:$M,Games!$D:$D,'Team forecast'!$B10,Games!$O:$O,1)</f>
        <v>0.1731911776674534</v>
      </c>
      <c r="G10" s="2">
        <f t="shared" si="5"/>
        <v>0.63639779406972985</v>
      </c>
      <c r="H10" s="2">
        <f t="shared" si="6"/>
        <v>1.7533592214060363</v>
      </c>
      <c r="I10" s="2">
        <f t="shared" si="7"/>
        <v>0.1731911776674534</v>
      </c>
      <c r="J10" s="77">
        <f>INDEX(SOG!$F$2:$F$25,MATCH('Team forecast'!$AU10,SOG!$G$2:$G$25,0))*D10</f>
        <v>2.0682928307266222</v>
      </c>
      <c r="K10" s="77">
        <f>INDEX(SOG!$F$2:$F$25,MATCH('Team forecast'!$AV10,SOG!$G$2:$G$25,0))*E10</f>
        <v>5.2600776642181089</v>
      </c>
      <c r="L10" s="2">
        <f>SUMIFS(Games!$E:$E,Games!$C:$C,'Team forecast'!$B10,Games!$O:$O,1)+SUMIFS(Games!$F:$F,Games!$D:$D,'Team forecast'!$B10,Games!$O:$O,1)</f>
        <v>0.11906893464637421</v>
      </c>
      <c r="M10" s="2">
        <f>SUMIFS(Games!$G:$G,Games!$C:$C,'Team forecast'!$B10,Games!$O:$O,1)+SUMIFS(Games!$G:$G,Games!$D:$D,'Team forecast'!$B10,Games!$O:$O,1)</f>
        <v>0.20053715308863029</v>
      </c>
      <c r="N10" s="2">
        <f>SUMIFS(Games!$F:$F,Games!$C:$C,'Team forecast'!$B10,Games!$O:$O,1)+SUMIFS(Games!$E:$E,Games!$D:$D,'Team forecast'!$B10,Games!$O:$O,1)</f>
        <v>0.68039391226499568</v>
      </c>
      <c r="O10" s="2">
        <f>SUMIFS(Games!$J:$J,Games!$C:$C,'Team forecast'!$B10,Games!$O:$O,2)+SUMIFS(Games!$K:$K,Games!$D:$D,'Team forecast'!$B10,Games!$O:$O,2)</f>
        <v>1.3852986184856255</v>
      </c>
      <c r="P10" s="2">
        <f>SUMIFS(Games!$K:$K,Games!$C:$C,'Team forecast'!$B10,Games!$O:$O,2)+SUMIFS(Games!$J:$J,Games!$D:$D,'Team forecast'!$B10,Games!$O:$O,2)</f>
        <v>0.80548012323268336</v>
      </c>
      <c r="Q10" s="2">
        <f>SUMIFS(Games!$L:$L,Games!$C:$C,'Team forecast'!$B10,Games!$O:$O,2)+SUMIFS(Games!$M:$M,Games!$D:$D,'Team forecast'!$B10,Games!$O:$O,2)</f>
        <v>0.4468733207814955</v>
      </c>
      <c r="R10" s="2">
        <f t="shared" si="8"/>
        <v>1.3852986184856255</v>
      </c>
      <c r="S10" s="2">
        <f t="shared" si="9"/>
        <v>0.80548012323268336</v>
      </c>
      <c r="T10" s="2">
        <f t="shared" si="10"/>
        <v>0.4468733207814955</v>
      </c>
      <c r="U10" s="77">
        <f>INDEX(SOG!$F$2:$F$25,MATCH('Team forecast'!$AU10,SOG!$G$2:$G$25,0))*O10</f>
        <v>4.5022205100782831</v>
      </c>
      <c r="V10" s="77">
        <f>INDEX(SOG!$F$2:$F$25,MATCH('Team forecast'!$AV10,SOG!$G$2:$G$25,0))*P10</f>
        <v>2.4164403696980501</v>
      </c>
      <c r="W10" s="2">
        <f>SUMIFS(Games!$E:$E,Games!$C:$C,'Team forecast'!$B10,Games!$O:$O,2)+SUMIFS(Games!$F:$F,Games!$D:$D,'Team forecast'!$B10,Games!$O:$O,2)</f>
        <v>0.5072616073735895</v>
      </c>
      <c r="X10" s="2">
        <f>SUMIFS(Games!$G:$G,Games!$C:$C,'Team forecast'!$B10,Games!$O:$O,2)+SUMIFS(Games!$G:$G,Games!$D:$D,'Team forecast'!$B10,Games!$O:$O,2)</f>
        <v>0.27600999224739431</v>
      </c>
      <c r="Y10" s="2">
        <f>SUMIFS(Games!$F:$F,Games!$C:$C,'Team forecast'!$B10,Games!$O:$O,2)+SUMIFS(Games!$E:$E,Games!$D:$D,'Team forecast'!$B10,Games!$O:$O,2)</f>
        <v>0.21672840037901631</v>
      </c>
      <c r="Z10" s="2">
        <f>SUMIFS(Games!$J:$J,Games!$C:$C,'Team forecast'!$B10,Games!$O:$O,3)+SUMIFS(Games!$K:$K,Games!$D:$D,'Team forecast'!$B10,Games!$O:$O,3)</f>
        <v>1.2688103238212438</v>
      </c>
      <c r="AA10" s="2">
        <f>SUMIFS(Games!$K:$K,Games!$C:$C,'Team forecast'!$B10,Games!$O:$O,3)+SUMIFS(Games!$J:$J,Games!$D:$D,'Team forecast'!$B10,Games!$O:$O,3)</f>
        <v>1.2236898885407743</v>
      </c>
      <c r="AB10" s="2">
        <f>SUMIFS(Games!$L:$L,Games!$C:$C,'Team forecast'!$B10,Games!$O:$O,3)+SUMIFS(Games!$M:$M,Games!$D:$D,'Team forecast'!$B10,Games!$O:$O,3)</f>
        <v>0.29414280786478092</v>
      </c>
      <c r="AC10" s="2">
        <f t="shared" si="11"/>
        <v>1.2688103238212438</v>
      </c>
      <c r="AD10" s="2">
        <f t="shared" si="12"/>
        <v>1.2236898885407743</v>
      </c>
      <c r="AE10" s="2">
        <f t="shared" si="13"/>
        <v>0.29414280786478092</v>
      </c>
      <c r="AF10" s="77">
        <f>INDEX(SOG!$F$2:$F$25,MATCH('Team forecast'!$AU10,SOG!$G$2:$G$25,0))*Z10</f>
        <v>4.1236335524190419</v>
      </c>
      <c r="AG10" s="77">
        <f>INDEX(SOG!$F$2:$F$25,MATCH('Team forecast'!$AV10,SOG!$G$2:$G$25,0))*AA10</f>
        <v>3.6710696656223227</v>
      </c>
      <c r="AH10" s="2">
        <f>SUMIFS(Games!$E:$E,Games!$C:$C,'Team forecast'!$B10,Games!$O:$O,3)+SUMIFS(Games!$F:$F,Games!$D:$D,'Team forecast'!$B10,Games!$O:$O,3)</f>
        <v>0.37488789237668158</v>
      </c>
      <c r="AI10" s="2">
        <f>SUMIFS(Games!$G:$G,Games!$C:$C,'Team forecast'!$B10,Games!$O:$O,3)+SUMIFS(Games!$G:$G,Games!$D:$D,'Team forecast'!$B10,Games!$O:$O,3)</f>
        <v>0.28968609865470851</v>
      </c>
      <c r="AJ10" s="2">
        <f>SUMIFS(Games!$F:$F,Games!$C:$C,'Team forecast'!$B10,Games!$O:$O,3)+SUMIFS(Games!$E:$E,Games!$D:$D,'Team forecast'!$B10,Games!$O:$O,3)</f>
        <v>0.3354260089686098</v>
      </c>
      <c r="AK10" s="78">
        <f>INDEX(Teams!$C$1:$M$25,MATCH('Team forecast'!$B10,Teams!$C$1:$C$25,0),MATCH('Team forecast'!AK$2,Teams!$C$1:$M$1,0))</f>
        <v>0.65491514194663603</v>
      </c>
      <c r="AL10" s="78">
        <f>INDEX(Teams!$C$1:$M$25,MATCH('Team forecast'!$B10,Teams!$C$1:$C$25,0),MATCH('Team forecast'!AL$2,Teams!$C$1:$M$1,0))</f>
        <v>0.32214029688098572</v>
      </c>
      <c r="AM10" s="78">
        <f>INDEX(Teams!$C$1:$M$25,MATCH('Team forecast'!$B10,Teams!$C$1:$C$25,0),MATCH('Team forecast'!AM$2,Teams!$C$1:$M$1,0))</f>
        <v>0.15606565517712145</v>
      </c>
      <c r="AN10" s="78">
        <f>INDEX(Teams!$C$1:$M$25,MATCH('Team forecast'!$B10,Teams!$C$1:$C$25,0),MATCH('Team forecast'!AN$2,Teams!$C$1:$M$1,0))</f>
        <v>7.1579665222634384E-2</v>
      </c>
      <c r="AO10" s="78">
        <f>INDEX(Teams!$F$2:$F$25,MATCH('Team forecast'!B10,Teams!$C$2:$C$25,0))</f>
        <v>7.9166666666666656E-3</v>
      </c>
      <c r="AP10" s="2" t="b">
        <f>SUM(L10:N10)=1</f>
        <v>1</v>
      </c>
      <c r="AQ10" s="2" t="b">
        <f>SUM(W10:Y10)=1</f>
        <v>1</v>
      </c>
      <c r="AR10" s="2" t="b">
        <f>SUM(AH10:AJ10)=1</f>
        <v>1</v>
      </c>
      <c r="AS10" s="2">
        <f>D10+O10+Z10</f>
        <v>3.2905067363765994</v>
      </c>
      <c r="AT10" s="2">
        <f>E10+P10+AA10</f>
        <v>3.7825292331794937</v>
      </c>
      <c r="AU10" s="4">
        <f t="shared" si="4"/>
        <v>16</v>
      </c>
      <c r="AV10" s="4">
        <f t="shared" si="14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>
      <c r="B11" s="73" t="s">
        <v>865</v>
      </c>
      <c r="C11" s="3"/>
      <c r="D11" s="2">
        <f>SUMIFS(Games!$J:$J,Games!$C:$C,'Team forecast'!$B11,Games!$O:$O,1)+SUMIFS(Games!$K:$K,Games!$D:$D,'Team forecast'!$B11,Games!$O:$O,1)</f>
        <v>0.87435064565555498</v>
      </c>
      <c r="E11" s="2">
        <f>SUMIFS(Games!$K:$K,Games!$C:$C,'Team forecast'!$B11,Games!$O:$O,1)+SUMIFS(Games!$J:$J,Games!$D:$D,'Team forecast'!$B11,Games!$O:$O,1)</f>
        <v>1.162032718107336</v>
      </c>
      <c r="F11" s="2">
        <f>SUMIFS(Games!$L:$L,Games!$C:$C,'Team forecast'!$B11,Games!$O:$O,1)+SUMIFS(Games!$M:$M,Games!$D:$D,'Team forecast'!$B11,Games!$O:$O,1)</f>
        <v>0.31284959906121651</v>
      </c>
      <c r="G11" s="2">
        <f t="shared" si="5"/>
        <v>0.87435064565555498</v>
      </c>
      <c r="H11" s="2">
        <f t="shared" si="6"/>
        <v>1.162032718107336</v>
      </c>
      <c r="I11" s="2">
        <f t="shared" si="7"/>
        <v>0.31284959906121651</v>
      </c>
      <c r="J11" s="77">
        <f>INDEX(SOG!$F$2:$F$25,MATCH('Team forecast'!$AU11,SOG!$G$2:$G$25,0))*D11</f>
        <v>2.6542787457400774</v>
      </c>
      <c r="K11" s="77">
        <f>INDEX(SOG!$F$2:$F$25,MATCH('Team forecast'!$AV11,SOG!$G$2:$G$25,0))*E11</f>
        <v>3.0401288408862195</v>
      </c>
      <c r="L11" s="2">
        <f>SUMIFS(Games!$E:$E,Games!$C:$C,'Team forecast'!$B11,Games!$O:$O,1)+SUMIFS(Games!$F:$F,Games!$D:$D,'Team forecast'!$B11,Games!$O:$O,1)</f>
        <v>0.2607079992176804</v>
      </c>
      <c r="M11" s="2">
        <f>SUMIFS(Games!$G:$G,Games!$C:$C,'Team forecast'!$B11,Games!$O:$O,1)+SUMIFS(Games!$G:$G,Games!$D:$D,'Team forecast'!$B11,Games!$O:$O,1)</f>
        <v>0.30275767651085472</v>
      </c>
      <c r="N11" s="2">
        <f>SUMIFS(Games!$F:$F,Games!$C:$C,'Team forecast'!$B11,Games!$O:$O,1)+SUMIFS(Games!$E:$E,Games!$D:$D,'Team forecast'!$B11,Games!$O:$O,1)</f>
        <v>0.43653432427146488</v>
      </c>
      <c r="O11" s="2">
        <f>SUMIFS(Games!$J:$J,Games!$C:$C,'Team forecast'!$B11,Games!$O:$O,2)+SUMIFS(Games!$K:$K,Games!$D:$D,'Team forecast'!$B11,Games!$O:$O,2)</f>
        <v>1.0279287794501248</v>
      </c>
      <c r="P11" s="2">
        <f>SUMIFS(Games!$K:$K,Games!$C:$C,'Team forecast'!$B11,Games!$O:$O,2)+SUMIFS(Games!$J:$J,Games!$D:$D,'Team forecast'!$B11,Games!$O:$O,2)</f>
        <v>1.2847203648825669</v>
      </c>
      <c r="Q11" s="2">
        <f>SUMIFS(Games!$L:$L,Games!$C:$C,'Team forecast'!$B11,Games!$O:$O,2)+SUMIFS(Games!$M:$M,Games!$D:$D,'Team forecast'!$B11,Games!$O:$O,2)</f>
        <v>0.27672795566788022</v>
      </c>
      <c r="R11" s="2">
        <f t="shared" si="8"/>
        <v>1.0279287794501248</v>
      </c>
      <c r="S11" s="2">
        <f t="shared" si="9"/>
        <v>1.2847203648825669</v>
      </c>
      <c r="T11" s="2">
        <f t="shared" si="10"/>
        <v>0.27672795566788022</v>
      </c>
      <c r="U11" s="77">
        <f>INDEX(SOG!$F$2:$F$25,MATCH('Team forecast'!$AU11,SOG!$G$2:$G$25,0))*O11</f>
        <v>3.1204980804735931</v>
      </c>
      <c r="V11" s="77">
        <f>INDEX(SOG!$F$2:$F$25,MATCH('Team forecast'!$AV11,SOG!$G$2:$G$25,0))*P11</f>
        <v>3.3611062519089856</v>
      </c>
      <c r="W11" s="2">
        <f>SUMIFS(Games!$E:$E,Games!$C:$C,'Team forecast'!$B11,Games!$O:$O,2)+SUMIFS(Games!$F:$F,Games!$D:$D,'Team forecast'!$B11,Games!$O:$O,2)</f>
        <v>0.26882144264879793</v>
      </c>
      <c r="X11" s="2">
        <f>SUMIFS(Games!$G:$G,Games!$C:$C,'Team forecast'!$B11,Games!$O:$O,2)+SUMIFS(Games!$G:$G,Games!$D:$D,'Team forecast'!$B11,Games!$O:$O,2)</f>
        <v>0.30350808040993299</v>
      </c>
      <c r="Y11" s="2">
        <f>SUMIFS(Games!$F:$F,Games!$C:$C,'Team forecast'!$B11,Games!$O:$O,2)+SUMIFS(Games!$E:$E,Games!$D:$D,'Team forecast'!$B11,Games!$O:$O,2)</f>
        <v>0.42767047694126931</v>
      </c>
      <c r="Z11" s="2">
        <f>SUMIFS(Games!$J:$J,Games!$C:$C,'Team forecast'!$B11,Games!$O:$O,3)+SUMIFS(Games!$K:$K,Games!$D:$D,'Team forecast'!$B11,Games!$O:$O,3)</f>
        <v>0.65281467345965161</v>
      </c>
      <c r="AA11" s="2">
        <f>SUMIFS(Games!$K:$K,Games!$C:$C,'Team forecast'!$B11,Games!$O:$O,3)+SUMIFS(Games!$J:$J,Games!$D:$D,'Team forecast'!$B11,Games!$O:$O,3)</f>
        <v>1.8402581758343768</v>
      </c>
      <c r="AB11" s="2">
        <f>SUMIFS(Games!$L:$L,Games!$C:$C,'Team forecast'!$B11,Games!$O:$O,3)+SUMIFS(Games!$M:$M,Games!$D:$D,'Team forecast'!$B11,Games!$O:$O,3)</f>
        <v>0.15877642857793531</v>
      </c>
      <c r="AC11" s="2">
        <f t="shared" si="11"/>
        <v>0.65281467345965161</v>
      </c>
      <c r="AD11" s="2">
        <f t="shared" si="12"/>
        <v>1.8402581758343768</v>
      </c>
      <c r="AE11" s="2">
        <f t="shared" si="13"/>
        <v>0.15877642857793531</v>
      </c>
      <c r="AF11" s="77">
        <f>INDEX(SOG!$F$2:$F$25,MATCH('Team forecast'!$AU11,SOG!$G$2:$G$25,0))*Z11</f>
        <v>1.9817588301453708</v>
      </c>
      <c r="AG11" s="77">
        <f>INDEX(SOG!$F$2:$F$25,MATCH('Team forecast'!$AV11,SOG!$G$2:$G$25,0))*AA11</f>
        <v>4.8145132816423697</v>
      </c>
      <c r="AH11" s="2">
        <f>SUMIFS(Games!$E:$E,Games!$C:$C,'Team forecast'!$B11,Games!$O:$O,3)+SUMIFS(Games!$F:$F,Games!$D:$D,'Team forecast'!$B11,Games!$O:$O,3)</f>
        <v>0.1088752653105842</v>
      </c>
      <c r="AI11" s="2">
        <f>SUMIFS(Games!$G:$G,Games!$C:$C,'Team forecast'!$B11,Games!$O:$O,3)+SUMIFS(Games!$G:$G,Games!$D:$D,'Team forecast'!$B11,Games!$O:$O,3)</f>
        <v>0.22955628228135219</v>
      </c>
      <c r="AJ11" s="2">
        <f>SUMIFS(Games!$F:$F,Games!$C:$C,'Team forecast'!$B11,Games!$O:$O,3)+SUMIFS(Games!$E:$E,Games!$D:$D,'Team forecast'!$B11,Games!$O:$O,3)</f>
        <v>0.66156845240806372</v>
      </c>
      <c r="AK11" s="78">
        <f>INDEX(Teams!$C$1:$M$25,MATCH('Team forecast'!$B11,Teams!$C$1:$C$25,0),MATCH('Team forecast'!AK$2,Teams!$C$1:$M$1,0))</f>
        <v>0.49277595631907084</v>
      </c>
      <c r="AL11" s="78">
        <f>INDEX(Teams!$C$1:$M$25,MATCH('Team forecast'!$B11,Teams!$C$1:$C$25,0),MATCH('Team forecast'!AL$2,Teams!$C$1:$M$1,0))</f>
        <v>0.24203958575691337</v>
      </c>
      <c r="AM11" s="78">
        <f>INDEX(Teams!$C$1:$M$25,MATCH('Team forecast'!$B11,Teams!$C$1:$C$25,0),MATCH('Team forecast'!AM$2,Teams!$C$1:$M$1,0))</f>
        <v>0.11692718826422425</v>
      </c>
      <c r="AN11" s="78">
        <f>INDEX(Teams!$C$1:$M$25,MATCH('Team forecast'!$B11,Teams!$C$1:$C$25,0),MATCH('Team forecast'!AN$2,Teams!$C$1:$M$1,0))</f>
        <v>5.3186288182180796E-2</v>
      </c>
      <c r="AO11" s="78">
        <f>INDEX(Teams!$F$2:$F$25,MATCH('Team forecast'!B11,Teams!$C$2:$C$25,0))</f>
        <v>3.9419087136929459E-3</v>
      </c>
      <c r="AP11" s="2" t="b">
        <f>SUM(L11:N11)=1</f>
        <v>1</v>
      </c>
      <c r="AQ11" s="2" t="b">
        <f>SUM(W11:Y11)=1</f>
        <v>1</v>
      </c>
      <c r="AR11" s="2" t="b">
        <f>SUM(AH11:AJ11)=1</f>
        <v>1</v>
      </c>
      <c r="AS11" s="2">
        <f>D11+O11+Z11</f>
        <v>2.5550940985653314</v>
      </c>
      <c r="AT11" s="2">
        <f>E11+P11+AA11</f>
        <v>4.2870112588242799</v>
      </c>
      <c r="AU11" s="4">
        <f t="shared" si="4"/>
        <v>19</v>
      </c>
      <c r="AV11" s="4">
        <f t="shared" si="14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>
      <c r="B12" s="73" t="s">
        <v>866</v>
      </c>
      <c r="C12" s="3"/>
      <c r="D12" s="2">
        <f>SUMIFS(Games!$J:$J,Games!$C:$C,'Team forecast'!$B12,Games!$O:$O,1)+SUMIFS(Games!$K:$K,Games!$D:$D,'Team forecast'!$B12,Games!$O:$O,1)</f>
        <v>1.162032718107336</v>
      </c>
      <c r="E12" s="2">
        <f>SUMIFS(Games!$K:$K,Games!$C:$C,'Team forecast'!$B12,Games!$O:$O,1)+SUMIFS(Games!$J:$J,Games!$D:$D,'Team forecast'!$B12,Games!$O:$O,1)</f>
        <v>0.87435064565555498</v>
      </c>
      <c r="F12" s="2">
        <f>SUMIFS(Games!$L:$L,Games!$C:$C,'Team forecast'!$B12,Games!$O:$O,1)+SUMIFS(Games!$M:$M,Games!$D:$D,'Team forecast'!$B12,Games!$O:$O,1)</f>
        <v>0.41713279874828868</v>
      </c>
      <c r="G12" s="2">
        <f t="shared" si="5"/>
        <v>1.162032718107336</v>
      </c>
      <c r="H12" s="2">
        <f t="shared" si="6"/>
        <v>0.87435064565555498</v>
      </c>
      <c r="I12" s="2">
        <f t="shared" si="7"/>
        <v>0.41713279874828868</v>
      </c>
      <c r="J12" s="77">
        <f>INDEX(SOG!$F$2:$F$25,MATCH('Team forecast'!$AU12,SOG!$G$2:$G$25,0))*D12</f>
        <v>3.2487816133000873</v>
      </c>
      <c r="K12" s="77">
        <f>INDEX(SOG!$F$2:$F$25,MATCH('Team forecast'!$AV12,SOG!$G$2:$G$25,0))*E12</f>
        <v>2.3631098531231216</v>
      </c>
      <c r="L12" s="2">
        <f>SUMIFS(Games!$E:$E,Games!$C:$C,'Team forecast'!$B12,Games!$O:$O,1)+SUMIFS(Games!$F:$F,Games!$D:$D,'Team forecast'!$B12,Games!$O:$O,1)</f>
        <v>0.43653432427146488</v>
      </c>
      <c r="M12" s="2">
        <f>SUMIFS(Games!$G:$G,Games!$C:$C,'Team forecast'!$B12,Games!$O:$O,1)+SUMIFS(Games!$G:$G,Games!$D:$D,'Team forecast'!$B12,Games!$O:$O,1)</f>
        <v>0.30275767651085472</v>
      </c>
      <c r="N12" s="2">
        <f>SUMIFS(Games!$F:$F,Games!$C:$C,'Team forecast'!$B12,Games!$O:$O,1)+SUMIFS(Games!$E:$E,Games!$D:$D,'Team forecast'!$B12,Games!$O:$O,1)</f>
        <v>0.2607079992176804</v>
      </c>
      <c r="O12" s="2">
        <f>SUMIFS(Games!$J:$J,Games!$C:$C,'Team forecast'!$B12,Games!$O:$O,2)+SUMIFS(Games!$K:$K,Games!$D:$D,'Team forecast'!$B12,Games!$O:$O,2)</f>
        <v>0.79620558314709244</v>
      </c>
      <c r="P12" s="2">
        <f>SUMIFS(Games!$K:$K,Games!$C:$C,'Team forecast'!$B12,Games!$O:$O,2)+SUMIFS(Games!$J:$J,Games!$D:$D,'Team forecast'!$B12,Games!$O:$O,2)</f>
        <v>1.5198357804321134</v>
      </c>
      <c r="Q12" s="2">
        <f>SUMIFS(Games!$L:$L,Games!$C:$C,'Team forecast'!$B12,Games!$O:$O,2)+SUMIFS(Games!$M:$M,Games!$D:$D,'Team forecast'!$B12,Games!$O:$O,2)</f>
        <v>0.21874780667306151</v>
      </c>
      <c r="R12" s="2">
        <f t="shared" si="8"/>
        <v>0.79620558314709244</v>
      </c>
      <c r="S12" s="2">
        <f t="shared" si="9"/>
        <v>1.5198357804321134</v>
      </c>
      <c r="T12" s="2">
        <f t="shared" si="10"/>
        <v>0.21874780667306151</v>
      </c>
      <c r="U12" s="77">
        <f>INDEX(SOG!$F$2:$F$25,MATCH('Team forecast'!$AU12,SOG!$G$2:$G$25,0))*O12</f>
        <v>2.2260113838689839</v>
      </c>
      <c r="V12" s="77">
        <f>INDEX(SOG!$F$2:$F$25,MATCH('Team forecast'!$AV12,SOG!$G$2:$G$25,0))*P12</f>
        <v>4.1076642714381446</v>
      </c>
      <c r="W12" s="2">
        <f>SUMIFS(Games!$E:$E,Games!$C:$C,'Team forecast'!$B12,Games!$O:$O,2)+SUMIFS(Games!$F:$F,Games!$D:$D,'Team forecast'!$B12,Games!$O:$O,2)</f>
        <v>0.1722141823444284</v>
      </c>
      <c r="X12" s="2">
        <f>SUMIFS(Games!$G:$G,Games!$C:$C,'Team forecast'!$B12,Games!$O:$O,2)+SUMIFS(Games!$G:$G,Games!$D:$D,'Team forecast'!$B12,Games!$O:$O,2)</f>
        <v>0.27062228654124459</v>
      </c>
      <c r="Y12" s="2">
        <f>SUMIFS(Games!$F:$F,Games!$C:$C,'Team forecast'!$B12,Games!$O:$O,2)+SUMIFS(Games!$E:$E,Games!$D:$D,'Team forecast'!$B12,Games!$O:$O,2)</f>
        <v>0.55716353111432715</v>
      </c>
      <c r="Z12" s="2">
        <f>SUMIFS(Games!$J:$J,Games!$C:$C,'Team forecast'!$B12,Games!$O:$O,3)+SUMIFS(Games!$K:$K,Games!$D:$D,'Team forecast'!$B12,Games!$O:$O,3)</f>
        <v>1.3677883945550393</v>
      </c>
      <c r="AA12" s="2">
        <f>SUMIFS(Games!$K:$K,Games!$C:$C,'Team forecast'!$B12,Games!$O:$O,3)+SUMIFS(Games!$J:$J,Games!$D:$D,'Team forecast'!$B12,Games!$O:$O,3)</f>
        <v>1.2246875509143662</v>
      </c>
      <c r="AB12" s="2">
        <f>SUMIFS(Games!$L:$L,Games!$C:$C,'Team forecast'!$B12,Games!$O:$O,3)+SUMIFS(Games!$M:$M,Games!$D:$D,'Team forecast'!$B12,Games!$O:$O,3)</f>
        <v>0.29384949898885449</v>
      </c>
      <c r="AC12" s="2">
        <f t="shared" si="11"/>
        <v>1.3677883945550393</v>
      </c>
      <c r="AD12" s="2">
        <f t="shared" si="12"/>
        <v>1.2246875509143662</v>
      </c>
      <c r="AE12" s="2">
        <f t="shared" si="13"/>
        <v>0.29384949898885449</v>
      </c>
      <c r="AF12" s="77">
        <f>INDEX(SOG!$F$2:$F$25,MATCH('Team forecast'!$AU12,SOG!$G$2:$G$25,0))*Z12</f>
        <v>3.8240281171714834</v>
      </c>
      <c r="AG12" s="77">
        <f>INDEX(SOG!$F$2:$F$25,MATCH('Team forecast'!$AV12,SOG!$G$2:$G$25,0))*AA12</f>
        <v>3.3099663538226114</v>
      </c>
      <c r="AH12" s="2">
        <f>SUMIFS(Games!$E:$E,Games!$C:$C,'Team forecast'!$B12,Games!$O:$O,3)+SUMIFS(Games!$F:$F,Games!$D:$D,'Team forecast'!$B12,Games!$O:$O,3)</f>
        <v>0.38980035580154171</v>
      </c>
      <c r="AI12" s="2">
        <f>SUMIFS(Games!$G:$G,Games!$C:$C,'Team forecast'!$B12,Games!$O:$O,3)+SUMIFS(Games!$G:$G,Games!$D:$D,'Team forecast'!$B12,Games!$O:$O,3)</f>
        <v>0.28088555050405217</v>
      </c>
      <c r="AJ12" s="2">
        <f>SUMIFS(Games!$F:$F,Games!$C:$C,'Team forecast'!$B12,Games!$O:$O,3)+SUMIFS(Games!$E:$E,Games!$D:$D,'Team forecast'!$B12,Games!$O:$O,3)</f>
        <v>0.32931409369440601</v>
      </c>
      <c r="AK12" s="78">
        <f>INDEX(Teams!$C$1:$M$25,MATCH('Team forecast'!$B12,Teams!$C$1:$C$25,0),MATCH('Team forecast'!AK$2,Teams!$C$1:$M$1,0))</f>
        <v>0.63843928931904781</v>
      </c>
      <c r="AL12" s="78">
        <f>INDEX(Teams!$C$1:$M$25,MATCH('Team forecast'!$B12,Teams!$C$1:$C$25,0),MATCH('Team forecast'!AL$2,Teams!$C$1:$M$1,0))</f>
        <v>0.31472797059463681</v>
      </c>
      <c r="AM12" s="78">
        <f>INDEX(Teams!$C$1:$M$25,MATCH('Team forecast'!$B12,Teams!$C$1:$C$25,0),MATCH('Team forecast'!AM$2,Teams!$C$1:$M$1,0))</f>
        <v>0.15313652735389541</v>
      </c>
      <c r="AN12" s="78">
        <f>INDEX(Teams!$C$1:$M$25,MATCH('Team forecast'!$B12,Teams!$C$1:$C$25,0),MATCH('Team forecast'!AN$2,Teams!$C$1:$M$1,0))</f>
        <v>7.1117067907796941E-2</v>
      </c>
      <c r="AO12" s="78">
        <f>INDEX(Teams!$F$2:$F$25,MATCH('Team forecast'!B12,Teams!$C$2:$C$25,0))</f>
        <v>1.1728395061728391E-2</v>
      </c>
      <c r="AP12" s="2" t="b">
        <f>SUM(L12:N12)=1</f>
        <v>1</v>
      </c>
      <c r="AQ12" s="2" t="b">
        <f>SUM(W12:Y12)=1</f>
        <v>1</v>
      </c>
      <c r="AR12" s="2" t="b">
        <f>SUM(AH12:AJ12)=1</f>
        <v>1</v>
      </c>
      <c r="AS12" s="2">
        <f>D12+O12+Z12</f>
        <v>3.3260266958094675</v>
      </c>
      <c r="AT12" s="2">
        <f>E12+P12+AA12</f>
        <v>3.6188739770020346</v>
      </c>
      <c r="AU12" s="4">
        <f t="shared" si="4"/>
        <v>15</v>
      </c>
      <c r="AV12" s="4">
        <f t="shared" si="14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>
      <c r="B13" s="73" t="s">
        <v>894</v>
      </c>
      <c r="C13" s="3"/>
      <c r="D13" s="2">
        <f>SUMIFS(Games!$J:$J,Games!$C:$C,'Team forecast'!$B13,Games!$O:$O,1)+SUMIFS(Games!$K:$K,Games!$D:$D,'Team forecast'!$B13,Games!$O:$O,1)</f>
        <v>0.65653770483831209</v>
      </c>
      <c r="E13" s="2">
        <f>SUMIFS(Games!$K:$K,Games!$C:$C,'Team forecast'!$B13,Games!$O:$O,1)+SUMIFS(Games!$J:$J,Games!$D:$D,'Team forecast'!$B13,Games!$O:$O,1)</f>
        <v>1.5562991347612565</v>
      </c>
      <c r="F13" s="2">
        <f>SUMIFS(Games!$L:$L,Games!$C:$C,'Team forecast'!$B13,Games!$O:$O,1)+SUMIFS(Games!$M:$M,Games!$D:$D,'Team forecast'!$B13,Games!$O:$O,1)</f>
        <v>0.2109151973131822</v>
      </c>
      <c r="G13" s="2">
        <f t="shared" si="5"/>
        <v>0.65653770483831209</v>
      </c>
      <c r="H13" s="2">
        <f t="shared" si="6"/>
        <v>1.5562991347612565</v>
      </c>
      <c r="I13" s="2">
        <f t="shared" si="7"/>
        <v>0.2109151973131822</v>
      </c>
      <c r="J13" s="77">
        <f>INDEX(SOG!$F$2:$F$25,MATCH('Team forecast'!$AU13,SOG!$G$2:$G$25,0))*D13</f>
        <v>2.1553005461863779</v>
      </c>
      <c r="K13" s="77">
        <f>INDEX(SOG!$F$2:$F$25,MATCH('Team forecast'!$AV13,SOG!$G$2:$G$25,0))*E13</f>
        <v>3.8246785340123335</v>
      </c>
      <c r="L13" s="2">
        <f>SUMIFS(Games!$E:$E,Games!$C:$C,'Team forecast'!$B13,Games!$O:$O,1)+SUMIFS(Games!$F:$F,Games!$D:$D,'Team forecast'!$B13,Games!$O:$O,1)</f>
        <v>0.15818639798488671</v>
      </c>
      <c r="M13" s="2">
        <f>SUMIFS(Games!$G:$G,Games!$C:$C,'Team forecast'!$B13,Games!$O:$O,1)+SUMIFS(Games!$G:$G,Games!$D:$D,'Team forecast'!$B13,Games!$O:$O,1)</f>
        <v>0.23727959697733</v>
      </c>
      <c r="N13" s="2">
        <f>SUMIFS(Games!$F:$F,Games!$C:$C,'Team forecast'!$B13,Games!$O:$O,1)+SUMIFS(Games!$E:$E,Games!$D:$D,'Team forecast'!$B13,Games!$O:$O,1)</f>
        <v>0.60453400503778332</v>
      </c>
      <c r="O13" s="2">
        <f>SUMIFS(Games!$J:$J,Games!$C:$C,'Team forecast'!$B13,Games!$O:$O,2)+SUMIFS(Games!$K:$K,Games!$D:$D,'Team forecast'!$B13,Games!$O:$O,2)</f>
        <v>0.76028648339757388</v>
      </c>
      <c r="P13" s="2">
        <f>SUMIFS(Games!$K:$K,Games!$C:$C,'Team forecast'!$B13,Games!$O:$O,2)+SUMIFS(Games!$J:$J,Games!$D:$D,'Team forecast'!$B13,Games!$O:$O,2)</f>
        <v>1.5712166996139025</v>
      </c>
      <c r="Q13" s="2">
        <f>SUMIFS(Games!$L:$L,Games!$C:$C,'Team forecast'!$B13,Games!$O:$O,2)+SUMIFS(Games!$M:$M,Games!$D:$D,'Team forecast'!$B13,Games!$O:$O,2)</f>
        <v>0.20779220779220781</v>
      </c>
      <c r="R13" s="2">
        <f t="shared" si="8"/>
        <v>0.76028648339757388</v>
      </c>
      <c r="S13" s="2">
        <f t="shared" si="9"/>
        <v>1.5712166996139025</v>
      </c>
      <c r="T13" s="2">
        <f t="shared" si="10"/>
        <v>0.20779220779220781</v>
      </c>
      <c r="U13" s="77">
        <f>INDEX(SOG!$F$2:$F$25,MATCH('Team forecast'!$AU13,SOG!$G$2:$G$25,0))*O13</f>
        <v>2.4958899707496114</v>
      </c>
      <c r="V13" s="77">
        <f>INDEX(SOG!$F$2:$F$25,MATCH('Team forecast'!$AV13,SOG!$G$2:$G$25,0))*P13</f>
        <v>3.8613391532964307</v>
      </c>
      <c r="W13" s="2">
        <f>SUMIFS(Games!$E:$E,Games!$C:$C,'Team forecast'!$B13,Games!$O:$O,2)+SUMIFS(Games!$F:$F,Games!$D:$D,'Team forecast'!$B13,Games!$O:$O,2)</f>
        <v>0.15584415584415581</v>
      </c>
      <c r="X13" s="2">
        <f>SUMIFS(Games!$G:$G,Games!$C:$C,'Team forecast'!$B13,Games!$O:$O,2)+SUMIFS(Games!$G:$G,Games!$D:$D,'Team forecast'!$B13,Games!$O:$O,2)</f>
        <v>0.25974025974025972</v>
      </c>
      <c r="Y13" s="2">
        <f>SUMIFS(Games!$F:$F,Games!$C:$C,'Team forecast'!$B13,Games!$O:$O,2)+SUMIFS(Games!$E:$E,Games!$D:$D,'Team forecast'!$B13,Games!$O:$O,2)</f>
        <v>0.58441558441558439</v>
      </c>
      <c r="Z13" s="2">
        <f>SUMIFS(Games!$J:$J,Games!$C:$C,'Team forecast'!$B13,Games!$O:$O,3)+SUMIFS(Games!$K:$K,Games!$D:$D,'Team forecast'!$B13,Games!$O:$O,3)</f>
        <v>0.49102780480244929</v>
      </c>
      <c r="AA13" s="2">
        <f>SUMIFS(Games!$K:$K,Games!$C:$C,'Team forecast'!$B13,Games!$O:$O,3)+SUMIFS(Games!$J:$J,Games!$D:$D,'Team forecast'!$B13,Games!$O:$O,3)</f>
        <v>2.3683451623921505</v>
      </c>
      <c r="AB13" s="2">
        <f>SUMIFS(Games!$L:$L,Games!$C:$C,'Team forecast'!$B13,Games!$O:$O,3)+SUMIFS(Games!$M:$M,Games!$D:$D,'Team forecast'!$B13,Games!$O:$O,3)</f>
        <v>9.3635549768047527E-2</v>
      </c>
      <c r="AC13" s="2">
        <f t="shared" si="11"/>
        <v>0.49102780480244929</v>
      </c>
      <c r="AD13" s="2">
        <f t="shared" si="12"/>
        <v>2.3683451623921505</v>
      </c>
      <c r="AE13" s="2">
        <f t="shared" si="13"/>
        <v>9.3635549768047527E-2</v>
      </c>
      <c r="AF13" s="77">
        <f>INDEX(SOG!$F$2:$F$25,MATCH('Team forecast'!$AU13,SOG!$G$2:$G$25,0))*Z13</f>
        <v>1.6119599652605658</v>
      </c>
      <c r="AG13" s="77">
        <f>INDEX(SOG!$F$2:$F$25,MATCH('Team forecast'!$AV13,SOG!$G$2:$G$25,0))*AA13</f>
        <v>5.8203199509731629</v>
      </c>
      <c r="AH13" s="2">
        <f>SUMIFS(Games!$E:$E,Games!$C:$C,'Team forecast'!$B13,Games!$O:$O,3)+SUMIFS(Games!$F:$F,Games!$D:$D,'Team forecast'!$B13,Games!$O:$O,3)</f>
        <v>6.2423699845365013E-2</v>
      </c>
      <c r="AI13" s="2">
        <f>SUMIFS(Games!$G:$G,Games!$C:$C,'Team forecast'!$B13,Games!$O:$O,3)+SUMIFS(Games!$G:$G,Games!$D:$D,'Team forecast'!$B13,Games!$O:$O,3)</f>
        <v>0.14405469195084231</v>
      </c>
      <c r="AJ13" s="2">
        <f>SUMIFS(Games!$F:$F,Games!$C:$C,'Team forecast'!$B13,Games!$O:$O,3)+SUMIFS(Games!$E:$E,Games!$D:$D,'Team forecast'!$B13,Games!$O:$O,3)</f>
        <v>0.79352160820379258</v>
      </c>
      <c r="AK13" s="78">
        <f>INDEX(Teams!$C$1:$M$25,MATCH('Team forecast'!$B13,Teams!$C$1:$C$25,0),MATCH('Team forecast'!AK$2,Teams!$C$1:$M$1,0))</f>
        <v>0.25377961750432149</v>
      </c>
      <c r="AL13" s="78">
        <f>INDEX(Teams!$C$1:$M$25,MATCH('Team forecast'!$B13,Teams!$C$1:$C$25,0),MATCH('Team forecast'!AL$2,Teams!$C$1:$M$1,0))</f>
        <v>0.12453397833260325</v>
      </c>
      <c r="AM13" s="78">
        <f>INDEX(Teams!$C$1:$M$25,MATCH('Team forecast'!$B13,Teams!$C$1:$C$25,0),MATCH('Team forecast'!AM$2,Teams!$C$1:$M$1,0))</f>
        <v>6.0049737006718132E-2</v>
      </c>
      <c r="AN13" s="78">
        <f>INDEX(Teams!$C$1:$M$25,MATCH('Team forecast'!$B13,Teams!$C$1:$C$25,0),MATCH('Team forecast'!AN$2,Teams!$C$1:$M$1,0))</f>
        <v>2.7165780192317177E-2</v>
      </c>
      <c r="AO13" s="78">
        <f>INDEX(Teams!$F$2:$F$25,MATCH('Team forecast'!B13,Teams!$C$2:$C$25,0))</f>
        <v>1.3552068473609131E-3</v>
      </c>
      <c r="AP13" s="2" t="b">
        <f>SUM(L13:N13)=1</f>
        <v>1</v>
      </c>
      <c r="AQ13" s="2" t="b">
        <f>SUM(W13:Y13)=1</f>
        <v>1</v>
      </c>
      <c r="AR13" s="2" t="b">
        <f>SUM(AH13:AJ13)=1</f>
        <v>1</v>
      </c>
      <c r="AS13" s="2">
        <f>D13+O13+Z13</f>
        <v>1.9078519930383353</v>
      </c>
      <c r="AT13" s="2">
        <f>E13+P13+AA13</f>
        <v>5.4958609967673091</v>
      </c>
      <c r="AU13" s="4">
        <f t="shared" si="4"/>
        <v>24</v>
      </c>
      <c r="AV13" s="4">
        <f t="shared" si="14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>
      <c r="B14" s="73" t="s">
        <v>891</v>
      </c>
      <c r="C14" s="3"/>
      <c r="D14" s="2">
        <f>SUMIFS(Games!$J:$J,Games!$C:$C,'Team forecast'!$B14,Games!$O:$O,1)+SUMIFS(Games!$K:$K,Games!$D:$D,'Team forecast'!$B14,Games!$O:$O,1)</f>
        <v>1.2386203137003762</v>
      </c>
      <c r="E14" s="2">
        <f>SUMIFS(Games!$K:$K,Games!$C:$C,'Team forecast'!$B14,Games!$O:$O,1)+SUMIFS(Games!$J:$J,Games!$D:$D,'Team forecast'!$B14,Games!$O:$O,1)</f>
        <v>1.2386203137003762</v>
      </c>
      <c r="F14" s="2">
        <f>SUMIFS(Games!$L:$L,Games!$C:$C,'Team forecast'!$B14,Games!$O:$O,1)+SUMIFS(Games!$M:$M,Games!$D:$D,'Team forecast'!$B14,Games!$O:$O,1)</f>
        <v>0.28978375293296982</v>
      </c>
      <c r="G14" s="2">
        <f t="shared" si="5"/>
        <v>1.2386203137003762</v>
      </c>
      <c r="H14" s="2">
        <f t="shared" si="6"/>
        <v>1.2386203137003762</v>
      </c>
      <c r="I14" s="2">
        <f t="shared" si="7"/>
        <v>0.28978375293296982</v>
      </c>
      <c r="J14" s="77">
        <f>INDEX(SOG!$F$2:$F$25,MATCH('Team forecast'!$AU14,SOG!$G$2:$G$25,0))*D14</f>
        <v>3.2404985504377408</v>
      </c>
      <c r="K14" s="77">
        <f>INDEX(SOG!$F$2:$F$25,MATCH('Team forecast'!$AV14,SOG!$G$2:$G$25,0))*E14</f>
        <v>3.7600973808761418</v>
      </c>
      <c r="L14" s="2">
        <f>SUMIFS(Games!$E:$E,Games!$C:$C,'Team forecast'!$B14,Games!$O:$O,1)+SUMIFS(Games!$F:$F,Games!$D:$D,'Team forecast'!$B14,Games!$O:$O,1)</f>
        <v>0.36933223413025562</v>
      </c>
      <c r="M14" s="2">
        <f>SUMIFS(Games!$G:$G,Games!$C:$C,'Team forecast'!$B14,Games!$O:$O,1)+SUMIFS(Games!$G:$G,Games!$D:$D,'Team forecast'!$B14,Games!$O:$O,1)</f>
        <v>0.29431162407254741</v>
      </c>
      <c r="N14" s="2">
        <f>SUMIFS(Games!$F:$F,Games!$C:$C,'Team forecast'!$B14,Games!$O:$O,1)+SUMIFS(Games!$E:$E,Games!$D:$D,'Team forecast'!$B14,Games!$O:$O,1)</f>
        <v>0.33635614179719708</v>
      </c>
      <c r="O14" s="2">
        <f>SUMIFS(Games!$J:$J,Games!$C:$C,'Team forecast'!$B14,Games!$O:$O,2)+SUMIFS(Games!$K:$K,Games!$D:$D,'Team forecast'!$B14,Games!$O:$O,2)</f>
        <v>2.140423422331811</v>
      </c>
      <c r="P14" s="2">
        <f>SUMIFS(Games!$K:$K,Games!$C:$C,'Team forecast'!$B14,Games!$O:$O,2)+SUMIFS(Games!$J:$J,Games!$D:$D,'Team forecast'!$B14,Games!$O:$O,2)</f>
        <v>0.80291922538135296</v>
      </c>
      <c r="Q14" s="2">
        <f>SUMIFS(Games!$L:$L,Games!$C:$C,'Team forecast'!$B14,Games!$O:$O,2)+SUMIFS(Games!$M:$M,Games!$D:$D,'Team forecast'!$B14,Games!$O:$O,2)</f>
        <v>0.44801918430198229</v>
      </c>
      <c r="R14" s="2">
        <f t="shared" si="8"/>
        <v>2.140423422331811</v>
      </c>
      <c r="S14" s="2">
        <f t="shared" si="9"/>
        <v>0.80291922538135296</v>
      </c>
      <c r="T14" s="2">
        <f t="shared" si="10"/>
        <v>0.44801918430198229</v>
      </c>
      <c r="U14" s="77">
        <f>INDEX(SOG!$F$2:$F$25,MATCH('Team forecast'!$AU14,SOG!$G$2:$G$25,0))*O14</f>
        <v>5.5998104670734943</v>
      </c>
      <c r="V14" s="77">
        <f>INDEX(SOG!$F$2:$F$25,MATCH('Team forecast'!$AV14,SOG!$G$2:$G$25,0))*P14</f>
        <v>2.4374333627648213</v>
      </c>
      <c r="W14" s="2">
        <f>SUMIFS(Games!$E:$E,Games!$C:$C,'Team forecast'!$B14,Games!$O:$O,2)+SUMIFS(Games!$F:$F,Games!$D:$D,'Team forecast'!$B14,Games!$O:$O,2)</f>
        <v>0.67202877645297354</v>
      </c>
      <c r="X14" s="2">
        <f>SUMIFS(Games!$G:$G,Games!$C:$C,'Team forecast'!$B14,Games!$O:$O,2)+SUMIFS(Games!$G:$G,Games!$D:$D,'Team forecast'!$B14,Games!$O:$O,2)</f>
        <v>0.217284130954772</v>
      </c>
      <c r="Y14" s="2">
        <f>SUMIFS(Games!$F:$F,Games!$C:$C,'Team forecast'!$B14,Games!$O:$O,2)+SUMIFS(Games!$E:$E,Games!$D:$D,'Team forecast'!$B14,Games!$O:$O,2)</f>
        <v>0.1106870925922545</v>
      </c>
      <c r="Z14" s="2">
        <f>SUMIFS(Games!$J:$J,Games!$C:$C,'Team forecast'!$B14,Games!$O:$O,3)+SUMIFS(Games!$K:$K,Games!$D:$D,'Team forecast'!$B14,Games!$O:$O,3)</f>
        <v>1.2965069481471114</v>
      </c>
      <c r="AA14" s="2">
        <f>SUMIFS(Games!$K:$K,Games!$C:$C,'Team forecast'!$B14,Games!$O:$O,3)+SUMIFS(Games!$J:$J,Games!$D:$D,'Team forecast'!$B14,Games!$O:$O,3)</f>
        <v>1.0107278258414167</v>
      </c>
      <c r="AB14" s="2">
        <f>SUMIFS(Games!$L:$L,Games!$C:$C,'Team forecast'!$B14,Games!$O:$O,3)+SUMIFS(Games!$M:$M,Games!$D:$D,'Team forecast'!$B14,Games!$O:$O,3)</f>
        <v>0.36395398803179979</v>
      </c>
      <c r="AC14" s="2">
        <f t="shared" si="11"/>
        <v>1.2965069481471114</v>
      </c>
      <c r="AD14" s="2">
        <f t="shared" si="12"/>
        <v>1.0107278258414167</v>
      </c>
      <c r="AE14" s="2">
        <f t="shared" si="13"/>
        <v>0.36395398803179979</v>
      </c>
      <c r="AF14" s="77">
        <f>INDEX(SOG!$F$2:$F$25,MATCH('Team forecast'!$AU14,SOG!$G$2:$G$25,0))*Z14</f>
        <v>3.3919425021794698</v>
      </c>
      <c r="AG14" s="77">
        <f>INDEX(SOG!$F$2:$F$25,MATCH('Team forecast'!$AV14,SOG!$G$2:$G$25,0))*AA14</f>
        <v>3.0682808998757292</v>
      </c>
      <c r="AH14" s="2">
        <f>SUMIFS(Games!$E:$E,Games!$C:$C,'Team forecast'!$B14,Games!$O:$O,3)+SUMIFS(Games!$F:$F,Games!$D:$D,'Team forecast'!$B14,Games!$O:$O,3)</f>
        <v>0.4108150165337483</v>
      </c>
      <c r="AI14" s="2">
        <f>SUMIFS(Games!$G:$G,Games!$C:$C,'Team forecast'!$B14,Games!$O:$O,3)+SUMIFS(Games!$G:$G,Games!$D:$D,'Team forecast'!$B14,Games!$O:$O,3)</f>
        <v>0.2991246839136355</v>
      </c>
      <c r="AJ14" s="2">
        <f>SUMIFS(Games!$F:$F,Games!$C:$C,'Team forecast'!$B14,Games!$O:$O,3)+SUMIFS(Games!$E:$E,Games!$D:$D,'Team forecast'!$B14,Games!$O:$O,3)</f>
        <v>0.29006029955261631</v>
      </c>
      <c r="AK14" s="78">
        <f>INDEX(Teams!$C$1:$M$25,MATCH('Team forecast'!$B14,Teams!$C$1:$C$25,0),MATCH('Team forecast'!AK$2,Teams!$C$1:$M$1,0))</f>
        <v>0.88271171305850959</v>
      </c>
      <c r="AL14" s="78">
        <f>INDEX(Teams!$C$1:$M$25,MATCH('Team forecast'!$B14,Teams!$C$1:$C$25,0),MATCH('Team forecast'!AL$2,Teams!$C$1:$M$1,0))</f>
        <v>0.45877827438114283</v>
      </c>
      <c r="AM14" s="78">
        <f>INDEX(Teams!$C$1:$M$25,MATCH('Team forecast'!$B14,Teams!$C$1:$C$25,0),MATCH('Team forecast'!AM$2,Teams!$C$1:$M$1,0))</f>
        <v>0.24578670693352506</v>
      </c>
      <c r="AN14" s="78">
        <f>INDEX(Teams!$C$1:$M$25,MATCH('Team forecast'!$B14,Teams!$C$1:$C$25,0),MATCH('Team forecast'!AN$2,Teams!$C$1:$M$1,0))</f>
        <v>0.14403758813530793</v>
      </c>
      <c r="AO14" s="78">
        <f>INDEX(Teams!$F$2:$F$25,MATCH('Team forecast'!B14,Teams!$C$2:$C$25,0))</f>
        <v>0.15322580645161291</v>
      </c>
      <c r="AP14" s="2" t="b">
        <f>SUM(L14:N14)=1</f>
        <v>1</v>
      </c>
      <c r="AQ14" s="2" t="b">
        <f>SUM(W14:Y14)=1</f>
        <v>1</v>
      </c>
      <c r="AR14" s="2" t="b">
        <f>SUM(AH14:AJ14)=1</f>
        <v>1</v>
      </c>
      <c r="AS14" s="2">
        <f>D14+O14+Z14</f>
        <v>4.6755506841792993</v>
      </c>
      <c r="AT14" s="2">
        <f>E14+P14+AA14</f>
        <v>3.052267364923146</v>
      </c>
      <c r="AU14" s="4">
        <f t="shared" si="4"/>
        <v>7</v>
      </c>
      <c r="AV14" s="4">
        <f t="shared" si="14"/>
        <v>19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>
      <c r="B15" s="73" t="s">
        <v>896</v>
      </c>
      <c r="C15" s="3"/>
      <c r="D15" s="2">
        <f>SUMIFS(Games!$J:$J,Games!$C:$C,'Team forecast'!$B15,Games!$O:$O,1)+SUMIFS(Games!$K:$K,Games!$D:$D,'Team forecast'!$B15,Games!$O:$O,1)</f>
        <v>0.81328039356128246</v>
      </c>
      <c r="E15" s="2">
        <f>SUMIFS(Games!$K:$K,Games!$C:$C,'Team forecast'!$B15,Games!$O:$O,1)+SUMIFS(Games!$J:$J,Games!$D:$D,'Team forecast'!$B15,Games!$O:$O,1)</f>
        <v>1.5369105908463034</v>
      </c>
      <c r="F15" s="2">
        <f>SUMIFS(Games!$L:$L,Games!$C:$C,'Team forecast'!$B15,Games!$O:$O,1)+SUMIFS(Games!$M:$M,Games!$D:$D,'Team forecast'!$B15,Games!$O:$O,1)</f>
        <v>0.21504443649322161</v>
      </c>
      <c r="G15" s="2">
        <f t="shared" si="5"/>
        <v>0.81328039356128246</v>
      </c>
      <c r="H15" s="2">
        <f t="shared" si="6"/>
        <v>1.5369105908463034</v>
      </c>
      <c r="I15" s="2">
        <f t="shared" si="7"/>
        <v>0.21504443649322161</v>
      </c>
      <c r="J15" s="77">
        <f>INDEX(SOG!$F$2:$F$25,MATCH('Team forecast'!$AU15,SOG!$G$2:$G$25,0))*D15</f>
        <v>2.6698598778526952</v>
      </c>
      <c r="K15" s="77">
        <f>INDEX(SOG!$F$2:$F$25,MATCH('Team forecast'!$AV15,SOG!$G$2:$G$25,0))*E15</f>
        <v>4.1033306683839106</v>
      </c>
      <c r="L15" s="2">
        <f>SUMIFS(Games!$E:$E,Games!$C:$C,'Team forecast'!$B15,Games!$O:$O,1)+SUMIFS(Games!$F:$F,Games!$D:$D,'Team forecast'!$B15,Games!$O:$O,1)</f>
        <v>0.18622848200312991</v>
      </c>
      <c r="M15" s="2">
        <f>SUMIFS(Games!$G:$G,Games!$C:$C,'Team forecast'!$B15,Games!$O:$O,1)+SUMIFS(Games!$G:$G,Games!$D:$D,'Team forecast'!$B15,Games!$O:$O,1)</f>
        <v>0.2660406885758998</v>
      </c>
      <c r="N15" s="2">
        <f>SUMIFS(Games!$F:$F,Games!$C:$C,'Team forecast'!$B15,Games!$O:$O,1)+SUMIFS(Games!$E:$E,Games!$D:$D,'Team forecast'!$B15,Games!$O:$O,1)</f>
        <v>0.54773082942097018</v>
      </c>
      <c r="O15" s="2">
        <f>SUMIFS(Games!$J:$J,Games!$C:$C,'Team forecast'!$B15,Games!$O:$O,2)+SUMIFS(Games!$K:$K,Games!$D:$D,'Team forecast'!$B15,Games!$O:$O,2)</f>
        <v>0.80548012323268336</v>
      </c>
      <c r="P15" s="2">
        <f>SUMIFS(Games!$K:$K,Games!$C:$C,'Team forecast'!$B15,Games!$O:$O,2)+SUMIFS(Games!$J:$J,Games!$D:$D,'Team forecast'!$B15,Games!$O:$O,2)</f>
        <v>1.3852986184856255</v>
      </c>
      <c r="Q15" s="2">
        <f>SUMIFS(Games!$L:$L,Games!$C:$C,'Team forecast'!$B15,Games!$O:$O,2)+SUMIFS(Games!$M:$M,Games!$D:$D,'Team forecast'!$B15,Games!$O:$O,2)</f>
        <v>0.25024905963763749</v>
      </c>
      <c r="R15" s="2">
        <f t="shared" si="8"/>
        <v>0.80548012323268336</v>
      </c>
      <c r="S15" s="2">
        <f t="shared" si="9"/>
        <v>1.3852986184856255</v>
      </c>
      <c r="T15" s="2">
        <f t="shared" si="10"/>
        <v>0.25024905963763749</v>
      </c>
      <c r="U15" s="77">
        <f>INDEX(SOG!$F$2:$F$25,MATCH('Team forecast'!$AU15,SOG!$G$2:$G$25,0))*O15</f>
        <v>2.6442529298042636</v>
      </c>
      <c r="V15" s="77">
        <f>INDEX(SOG!$F$2:$F$25,MATCH('Team forecast'!$AV15,SOG!$G$2:$G$25,0))*P15</f>
        <v>3.6985484646649716</v>
      </c>
      <c r="W15" s="2">
        <f>SUMIFS(Games!$E:$E,Games!$C:$C,'Team forecast'!$B15,Games!$O:$O,2)+SUMIFS(Games!$F:$F,Games!$D:$D,'Team forecast'!$B15,Games!$O:$O,2)</f>
        <v>0.21672840037901631</v>
      </c>
      <c r="X15" s="2">
        <f>SUMIFS(Games!$G:$G,Games!$C:$C,'Team forecast'!$B15,Games!$O:$O,2)+SUMIFS(Games!$G:$G,Games!$D:$D,'Team forecast'!$B15,Games!$O:$O,2)</f>
        <v>0.27600999224739431</v>
      </c>
      <c r="Y15" s="2">
        <f>SUMIFS(Games!$F:$F,Games!$C:$C,'Team forecast'!$B15,Games!$O:$O,2)+SUMIFS(Games!$E:$E,Games!$D:$D,'Team forecast'!$B15,Games!$O:$O,2)</f>
        <v>0.5072616073735895</v>
      </c>
      <c r="Z15" s="2">
        <f>SUMIFS(Games!$J:$J,Games!$C:$C,'Team forecast'!$B15,Games!$O:$O,3)+SUMIFS(Games!$K:$K,Games!$D:$D,'Team forecast'!$B15,Games!$O:$O,3)</f>
        <v>0.56161379059809569</v>
      </c>
      <c r="AA15" s="2">
        <f>SUMIFS(Games!$K:$K,Games!$C:$C,'Team forecast'!$B15,Games!$O:$O,3)+SUMIFS(Games!$J:$J,Games!$D:$D,'Team forecast'!$B15,Games!$O:$O,3)</f>
        <v>2.3513752571634776</v>
      </c>
      <c r="AB15" s="2">
        <f>SUMIFS(Games!$L:$L,Games!$C:$C,'Team forecast'!$B15,Games!$O:$O,3)+SUMIFS(Games!$M:$M,Games!$D:$D,'Team forecast'!$B15,Games!$O:$O,3)</f>
        <v>9.5238095238095233E-2</v>
      </c>
      <c r="AC15" s="2">
        <f t="shared" si="11"/>
        <v>0.56161379059809569</v>
      </c>
      <c r="AD15" s="2">
        <f t="shared" si="12"/>
        <v>2.3513752571634776</v>
      </c>
      <c r="AE15" s="2">
        <f t="shared" si="13"/>
        <v>9.5238095238095233E-2</v>
      </c>
      <c r="AF15" s="77">
        <f>INDEX(SOG!$F$2:$F$25,MATCH('Team forecast'!$AU15,SOG!$G$2:$G$25,0))*Z15</f>
        <v>1.8436816358018293</v>
      </c>
      <c r="AG15" s="77">
        <f>INDEX(SOG!$F$2:$F$25,MATCH('Team forecast'!$AV15,SOG!$G$2:$G$25,0))*AA15</f>
        <v>6.2778344186469877</v>
      </c>
      <c r="AH15" s="2">
        <f>SUMIFS(Games!$E:$E,Games!$C:$C,'Team forecast'!$B15,Games!$O:$O,3)+SUMIFS(Games!$F:$F,Games!$D:$D,'Team forecast'!$B15,Games!$O:$O,3)</f>
        <v>6.8027210884353734E-2</v>
      </c>
      <c r="AI15" s="2">
        <f>SUMIFS(Games!$G:$G,Games!$C:$C,'Team forecast'!$B15,Games!$O:$O,3)+SUMIFS(Games!$G:$G,Games!$D:$D,'Team forecast'!$B15,Games!$O:$O,3)</f>
        <v>0.17006802721088429</v>
      </c>
      <c r="AJ15" s="2">
        <f>SUMIFS(Games!$F:$F,Games!$C:$C,'Team forecast'!$B15,Games!$O:$O,3)+SUMIFS(Games!$E:$E,Games!$D:$D,'Team forecast'!$B15,Games!$O:$O,3)</f>
        <v>0.76190476190476186</v>
      </c>
      <c r="AK15" s="78">
        <f>INDEX(Teams!$C$1:$M$25,MATCH('Team forecast'!$B15,Teams!$C$1:$C$25,0),MATCH('Team forecast'!AK$2,Teams!$C$1:$M$1,0))</f>
        <v>0.33837282333909535</v>
      </c>
      <c r="AL15" s="78">
        <f>INDEX(Teams!$C$1:$M$25,MATCH('Team forecast'!$B15,Teams!$C$1:$C$25,0),MATCH('Team forecast'!AL$2,Teams!$C$1:$M$1,0))</f>
        <v>0.16591983686863582</v>
      </c>
      <c r="AM15" s="78">
        <f>INDEX(Teams!$C$1:$M$25,MATCH('Team forecast'!$B15,Teams!$C$1:$C$25,0),MATCH('Team forecast'!AM$2,Teams!$C$1:$M$1,0))</f>
        <v>7.9885495092283293E-2</v>
      </c>
      <c r="AN15" s="78">
        <f>INDEX(Teams!$C$1:$M$25,MATCH('Team forecast'!$B15,Teams!$C$1:$C$25,0),MATCH('Team forecast'!AN$2,Teams!$C$1:$M$1,0))</f>
        <v>3.5978359552465401E-2</v>
      </c>
      <c r="AO15" s="78">
        <f>INDEX(Teams!$F$2:$F$25,MATCH('Team forecast'!B15,Teams!$C$2:$C$25,0))</f>
        <v>1.079545454545455E-3</v>
      </c>
      <c r="AP15" s="2" t="b">
        <f>SUM(L15:N15)=1</f>
        <v>1</v>
      </c>
      <c r="AQ15" s="2" t="b">
        <f>SUM(W15:Y15)=1</f>
        <v>1</v>
      </c>
      <c r="AR15" s="2" t="b">
        <f>SUM(AH15:AJ15)=1</f>
        <v>1</v>
      </c>
      <c r="AS15" s="2">
        <f>D15+O15+Z15</f>
        <v>2.1803743073920616</v>
      </c>
      <c r="AT15" s="2">
        <f>E15+P15+AA15</f>
        <v>5.2735844664954072</v>
      </c>
      <c r="AU15" s="4">
        <f t="shared" si="4"/>
        <v>22</v>
      </c>
      <c r="AV15" s="4">
        <f t="shared" si="14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>
      <c r="B16" s="73" t="s">
        <v>897</v>
      </c>
      <c r="C16" s="3"/>
      <c r="D16" s="2">
        <f>SUMIFS(Games!$J:$J,Games!$C:$C,'Team forecast'!$B16,Games!$O:$O,1)+SUMIFS(Games!$K:$K,Games!$D:$D,'Team forecast'!$B16,Games!$O:$O,1)</f>
        <v>0.75096675144877167</v>
      </c>
      <c r="E16" s="2">
        <f>SUMIFS(Games!$K:$K,Games!$C:$C,'Team forecast'!$B16,Games!$O:$O,1)+SUMIFS(Games!$J:$J,Games!$D:$D,'Team forecast'!$B16,Games!$O:$O,1)</f>
        <v>1.7625676631272518</v>
      </c>
      <c r="F16" s="2">
        <f>SUMIFS(Games!$L:$L,Games!$C:$C,'Team forecast'!$B16,Games!$O:$O,1)+SUMIFS(Games!$M:$M,Games!$D:$D,'Team forecast'!$B16,Games!$O:$O,1)</f>
        <v>0.1716036772216547</v>
      </c>
      <c r="G16" s="2">
        <f t="shared" si="5"/>
        <v>0.75096675144877167</v>
      </c>
      <c r="H16" s="2">
        <f t="shared" si="6"/>
        <v>1.7625676631272518</v>
      </c>
      <c r="I16" s="2">
        <f t="shared" si="7"/>
        <v>0.1716036772216547</v>
      </c>
      <c r="J16" s="77">
        <f>INDEX(SOG!$F$2:$F$25,MATCH('Team forecast'!$AU16,SOG!$G$2:$G$25,0))*D16</f>
        <v>2.4652948911197052</v>
      </c>
      <c r="K16" s="77">
        <f>INDEX(SOG!$F$2:$F$25,MATCH('Team forecast'!$AV16,SOG!$G$2:$G$25,0))*E16</f>
        <v>4.8611455183966212</v>
      </c>
      <c r="L16" s="2">
        <f>SUMIFS(Games!$E:$E,Games!$C:$C,'Team forecast'!$B16,Games!$O:$O,1)+SUMIFS(Games!$F:$F,Games!$D:$D,'Team forecast'!$B16,Games!$O:$O,1)</f>
        <v>0.1348314606741573</v>
      </c>
      <c r="M16" s="2">
        <f>SUMIFS(Games!$G:$G,Games!$C:$C,'Team forecast'!$B16,Games!$O:$O,1)+SUMIFS(Games!$G:$G,Games!$D:$D,'Team forecast'!$B16,Games!$O:$O,1)</f>
        <v>0.2359550561797753</v>
      </c>
      <c r="N16" s="2">
        <f>SUMIFS(Games!$F:$F,Games!$C:$C,'Team forecast'!$B16,Games!$O:$O,1)+SUMIFS(Games!$E:$E,Games!$D:$D,'Team forecast'!$B16,Games!$O:$O,1)</f>
        <v>0.6292134831460674</v>
      </c>
      <c r="O16" s="2">
        <f>SUMIFS(Games!$J:$J,Games!$C:$C,'Team forecast'!$B16,Games!$O:$O,2)+SUMIFS(Games!$K:$K,Games!$D:$D,'Team forecast'!$B16,Games!$O:$O,2)</f>
        <v>0.80291922538135296</v>
      </c>
      <c r="P16" s="2">
        <f>SUMIFS(Games!$K:$K,Games!$C:$C,'Team forecast'!$B16,Games!$O:$O,2)+SUMIFS(Games!$J:$J,Games!$D:$D,'Team forecast'!$B16,Games!$O:$O,2)</f>
        <v>2.140423422331811</v>
      </c>
      <c r="Q16" s="2">
        <f>SUMIFS(Games!$L:$L,Games!$C:$C,'Team forecast'!$B16,Games!$O:$O,2)+SUMIFS(Games!$M:$M,Games!$D:$D,'Team forecast'!$B16,Games!$O:$O,2)</f>
        <v>0.1176050358792704</v>
      </c>
      <c r="R16" s="2">
        <f t="shared" si="8"/>
        <v>0.80291922538135296</v>
      </c>
      <c r="S16" s="2">
        <f t="shared" si="9"/>
        <v>2.140423422331811</v>
      </c>
      <c r="T16" s="2">
        <f t="shared" si="10"/>
        <v>0.1176050358792704</v>
      </c>
      <c r="U16" s="77">
        <f>INDEX(SOG!$F$2:$F$25,MATCH('Team forecast'!$AU16,SOG!$G$2:$G$25,0))*O16</f>
        <v>2.6358459419084821</v>
      </c>
      <c r="V16" s="77">
        <f>INDEX(SOG!$F$2:$F$25,MATCH('Team forecast'!$AV16,SOG!$G$2:$G$25,0))*P16</f>
        <v>5.9032682515452688</v>
      </c>
      <c r="W16" s="2">
        <f>SUMIFS(Games!$E:$E,Games!$C:$C,'Team forecast'!$B16,Games!$O:$O,2)+SUMIFS(Games!$F:$F,Games!$D:$D,'Team forecast'!$B16,Games!$O:$O,2)</f>
        <v>0.1106870925922545</v>
      </c>
      <c r="X16" s="2">
        <f>SUMIFS(Games!$G:$G,Games!$C:$C,'Team forecast'!$B16,Games!$O:$O,2)+SUMIFS(Games!$G:$G,Games!$D:$D,'Team forecast'!$B16,Games!$O:$O,2)</f>
        <v>0.217284130954772</v>
      </c>
      <c r="Y16" s="2">
        <f>SUMIFS(Games!$F:$F,Games!$C:$C,'Team forecast'!$B16,Games!$O:$O,2)+SUMIFS(Games!$E:$E,Games!$D:$D,'Team forecast'!$B16,Games!$O:$O,2)</f>
        <v>0.67202877645297354</v>
      </c>
      <c r="Z16" s="2">
        <f>SUMIFS(Games!$J:$J,Games!$C:$C,'Team forecast'!$B16,Games!$O:$O,3)+SUMIFS(Games!$K:$K,Games!$D:$D,'Team forecast'!$B16,Games!$O:$O,3)</f>
        <v>0.68661022841383224</v>
      </c>
      <c r="AA16" s="2">
        <f>SUMIFS(Games!$K:$K,Games!$C:$C,'Team forecast'!$B16,Games!$O:$O,3)+SUMIFS(Games!$J:$J,Games!$D:$D,'Team forecast'!$B16,Games!$O:$O,3)</f>
        <v>2.4374022591536644</v>
      </c>
      <c r="AB16" s="2">
        <f>SUMIFS(Games!$L:$L,Games!$C:$C,'Team forecast'!$B16,Games!$O:$O,3)+SUMIFS(Games!$M:$M,Games!$D:$D,'Team forecast'!$B16,Games!$O:$O,3)</f>
        <v>8.7387567112784156E-2</v>
      </c>
      <c r="AC16" s="2">
        <f t="shared" si="11"/>
        <v>0.68661022841383224</v>
      </c>
      <c r="AD16" s="2">
        <f t="shared" si="12"/>
        <v>2.4374022591536644</v>
      </c>
      <c r="AE16" s="2">
        <f t="shared" si="13"/>
        <v>8.7387567112784156E-2</v>
      </c>
      <c r="AF16" s="77">
        <f>INDEX(SOG!$F$2:$F$25,MATCH('Team forecast'!$AU16,SOG!$G$2:$G$25,0))*Z16</f>
        <v>2.2540234771161161</v>
      </c>
      <c r="AG16" s="77">
        <f>INDEX(SOG!$F$2:$F$25,MATCH('Team forecast'!$AV16,SOG!$G$2:$G$25,0))*AA16</f>
        <v>6.7223331713644443</v>
      </c>
      <c r="AH16" s="2">
        <f>SUMIFS(Games!$E:$E,Games!$C:$C,'Team forecast'!$B16,Games!$O:$O,3)+SUMIFS(Games!$F:$F,Games!$D:$D,'Team forecast'!$B16,Games!$O:$O,3)</f>
        <v>7.6901059059250057E-2</v>
      </c>
      <c r="AI16" s="2">
        <f>SUMIFS(Games!$G:$G,Games!$C:$C,'Team forecast'!$B16,Games!$O:$O,3)+SUMIFS(Games!$G:$G,Games!$D:$D,'Team forecast'!$B16,Games!$O:$O,3)</f>
        <v>0.14788665203701931</v>
      </c>
      <c r="AJ16" s="2">
        <f>SUMIFS(Games!$F:$F,Games!$C:$C,'Team forecast'!$B16,Games!$O:$O,3)+SUMIFS(Games!$E:$E,Games!$D:$D,'Team forecast'!$B16,Games!$O:$O,3)</f>
        <v>0.77521228890373051</v>
      </c>
      <c r="AK16" s="78">
        <f>INDEX(Teams!$C$1:$M$25,MATCH('Team forecast'!$B16,Teams!$C$1:$C$25,0),MATCH('Team forecast'!AK$2,Teams!$C$1:$M$1,0))</f>
        <v>0.16918641166954762</v>
      </c>
      <c r="AL16" s="78">
        <f>INDEX(Teams!$C$1:$M$25,MATCH('Team forecast'!$B16,Teams!$C$1:$C$25,0),MATCH('Team forecast'!AL$2,Teams!$C$1:$M$1,0))</f>
        <v>8.3071388182864983E-2</v>
      </c>
      <c r="AM16" s="78">
        <f>INDEX(Teams!$C$1:$M$25,MATCH('Team forecast'!$B16,Teams!$C$1:$C$25,0),MATCH('Team forecast'!AM$2,Teams!$C$1:$M$1,0))</f>
        <v>4.0103395124930094E-2</v>
      </c>
      <c r="AN16" s="78">
        <f>INDEX(Teams!$C$1:$M$25,MATCH('Team forecast'!$B16,Teams!$C$1:$C$25,0),MATCH('Team forecast'!AN$2,Teams!$C$1:$M$1,0))</f>
        <v>1.8204785737238254E-2</v>
      </c>
      <c r="AO16" s="78">
        <f>INDEX(Teams!$F$2:$F$25,MATCH('Team forecast'!B16,Teams!$C$2:$C$25,0))</f>
        <v>1.18601747815231E-3</v>
      </c>
      <c r="AP16" s="2" t="b">
        <f>SUM(L16:N16)=1</f>
        <v>1</v>
      </c>
      <c r="AQ16" s="2" t="b">
        <f>SUM(W16:Y16)=1</f>
        <v>1</v>
      </c>
      <c r="AR16" s="2" t="b">
        <f>SUM(AH16:AJ16)=1</f>
        <v>1</v>
      </c>
      <c r="AS16" s="2">
        <f>D16+O16+Z16</f>
        <v>2.2404962052439568</v>
      </c>
      <c r="AT16" s="2">
        <f>E16+P16+AA16</f>
        <v>6.3403933446127274</v>
      </c>
      <c r="AU16" s="4">
        <f t="shared" si="4"/>
        <v>21</v>
      </c>
      <c r="AV16" s="4">
        <f t="shared" si="14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>
      <c r="B17" s="73" t="s">
        <v>879</v>
      </c>
      <c r="C17" s="3"/>
      <c r="D17" s="2">
        <f>SUMIFS(Games!$J:$J,Games!$C:$C,'Team forecast'!$B17,Games!$O:$O,1)+SUMIFS(Games!$K:$K,Games!$D:$D,'Team forecast'!$B17,Games!$O:$O,1)</f>
        <v>1.5223243214152651</v>
      </c>
      <c r="E17" s="2">
        <f>SUMIFS(Games!$K:$K,Games!$C:$C,'Team forecast'!$B17,Games!$O:$O,1)+SUMIFS(Games!$J:$J,Games!$D:$D,'Team forecast'!$B17,Games!$O:$O,1)</f>
        <v>0.74990395996081205</v>
      </c>
      <c r="F17" s="2">
        <f>SUMIFS(Games!$L:$L,Games!$C:$C,'Team forecast'!$B17,Games!$O:$O,1)+SUMIFS(Games!$M:$M,Games!$D:$D,'Team forecast'!$B17,Games!$O:$O,1)</f>
        <v>0.47241192102180191</v>
      </c>
      <c r="G17" s="2">
        <f t="shared" si="5"/>
        <v>1.5223243214152651</v>
      </c>
      <c r="H17" s="2">
        <f t="shared" si="6"/>
        <v>0.74990395996081205</v>
      </c>
      <c r="I17" s="2">
        <f t="shared" si="7"/>
        <v>0.47241192102180191</v>
      </c>
      <c r="J17" s="77">
        <f>INDEX(SOG!$F$2:$F$25,MATCH('Team forecast'!$AU17,SOG!$G$2:$G$25,0))*D17</f>
        <v>3.7411838276290243</v>
      </c>
      <c r="K17" s="77">
        <f>INDEX(SOG!$F$2:$F$25,MATCH('Team forecast'!$AV17,SOG!$G$2:$G$25,0))*E17</f>
        <v>2.461805929164282</v>
      </c>
      <c r="L17" s="2">
        <f>SUMIFS(Games!$E:$E,Games!$C:$C,'Team forecast'!$B17,Games!$O:$O,1)+SUMIFS(Games!$F:$F,Games!$D:$D,'Team forecast'!$B17,Games!$O:$O,1)</f>
        <v>0.56576277966682864</v>
      </c>
      <c r="M17" s="2">
        <f>SUMIFS(Games!$G:$G,Games!$C:$C,'Team forecast'!$B17,Games!$O:$O,1)+SUMIFS(Games!$G:$G,Games!$D:$D,'Team forecast'!$B17,Games!$O:$O,1)</f>
        <v>0.26245106723433442</v>
      </c>
      <c r="N17" s="2">
        <f>SUMIFS(Games!$F:$F,Games!$C:$C,'Team forecast'!$B17,Games!$O:$O,1)+SUMIFS(Games!$E:$E,Games!$D:$D,'Team forecast'!$B17,Games!$O:$O,1)</f>
        <v>0.17178615309883699</v>
      </c>
      <c r="O17" s="2">
        <f>SUMIFS(Games!$J:$J,Games!$C:$C,'Team forecast'!$B17,Games!$O:$O,2)+SUMIFS(Games!$K:$K,Games!$D:$D,'Team forecast'!$B17,Games!$O:$O,2)</f>
        <v>2.0067977929974719</v>
      </c>
      <c r="P17" s="2">
        <f>SUMIFS(Games!$K:$K,Games!$C:$C,'Team forecast'!$B17,Games!$O:$O,2)+SUMIFS(Games!$J:$J,Games!$D:$D,'Team forecast'!$B17,Games!$O:$O,2)</f>
        <v>0.66520361079548807</v>
      </c>
      <c r="Q17" s="2">
        <f>SUMIFS(Games!$L:$L,Games!$C:$C,'Team forecast'!$B17,Games!$O:$O,2)+SUMIFS(Games!$M:$M,Games!$D:$D,'Team forecast'!$B17,Games!$O:$O,2)</f>
        <v>0.51416882672404407</v>
      </c>
      <c r="R17" s="2">
        <f t="shared" si="8"/>
        <v>2.0067977929974719</v>
      </c>
      <c r="S17" s="2">
        <f t="shared" si="9"/>
        <v>0.66520361079548807</v>
      </c>
      <c r="T17" s="2">
        <f t="shared" si="10"/>
        <v>0.51416882672404407</v>
      </c>
      <c r="U17" s="77">
        <f>INDEX(SOG!$F$2:$F$25,MATCH('Team forecast'!$AU17,SOG!$G$2:$G$25,0))*O17</f>
        <v>4.9318002365645421</v>
      </c>
      <c r="V17" s="77">
        <f>INDEX(SOG!$F$2:$F$25,MATCH('Team forecast'!$AV17,SOG!$G$2:$G$25,0))*P17</f>
        <v>2.1837492273589256</v>
      </c>
      <c r="W17" s="2">
        <f>SUMIFS(Games!$E:$E,Games!$C:$C,'Team forecast'!$B17,Games!$O:$O,2)+SUMIFS(Games!$F:$F,Games!$D:$D,'Team forecast'!$B17,Games!$O:$O,2)</f>
        <v>0.69185952419485341</v>
      </c>
      <c r="X17" s="2">
        <f>SUMIFS(Games!$G:$G,Games!$C:$C,'Team forecast'!$B17,Games!$O:$O,2)+SUMIFS(Games!$G:$G,Games!$D:$D,'Team forecast'!$B17,Games!$O:$O,2)</f>
        <v>0.20909532286777799</v>
      </c>
      <c r="Y17" s="2">
        <f>SUMIFS(Games!$F:$F,Games!$C:$C,'Team forecast'!$B17,Games!$O:$O,2)+SUMIFS(Games!$E:$E,Games!$D:$D,'Team forecast'!$B17,Games!$O:$O,2)</f>
        <v>9.90451529373685E-2</v>
      </c>
      <c r="Z17" s="2">
        <f>SUMIFS(Games!$J:$J,Games!$C:$C,'Team forecast'!$B17,Games!$O:$O,3)+SUMIFS(Games!$K:$K,Games!$D:$D,'Team forecast'!$B17,Games!$O:$O,3)</f>
        <v>2.2346287595631029</v>
      </c>
      <c r="AA17" s="2">
        <f>SUMIFS(Games!$K:$K,Games!$C:$C,'Team forecast'!$B17,Games!$O:$O,3)+SUMIFS(Games!$J:$J,Games!$D:$D,'Team forecast'!$B17,Games!$O:$O,3)</f>
        <v>0.82586154259115363</v>
      </c>
      <c r="AB17" s="2">
        <f>SUMIFS(Games!$L:$L,Games!$C:$C,'Team forecast'!$B17,Games!$O:$O,3)+SUMIFS(Games!$M:$M,Games!$D:$D,'Team forecast'!$B17,Games!$O:$O,3)</f>
        <v>0.43785759694850601</v>
      </c>
      <c r="AC17" s="2">
        <f t="shared" si="11"/>
        <v>2.2346287595631029</v>
      </c>
      <c r="AD17" s="2">
        <f t="shared" si="12"/>
        <v>0.82586154259115363</v>
      </c>
      <c r="AE17" s="2">
        <f t="shared" si="13"/>
        <v>0.43785759694850601</v>
      </c>
      <c r="AF17" s="77">
        <f>INDEX(SOG!$F$2:$F$25,MATCH('Team forecast'!$AU17,SOG!$G$2:$G$25,0))*Z17</f>
        <v>5.4917055836432862</v>
      </c>
      <c r="AG17" s="77">
        <f>INDEX(SOG!$F$2:$F$25,MATCH('Team forecast'!$AV17,SOG!$G$2:$G$25,0))*AA17</f>
        <v>2.7111616297184336</v>
      </c>
      <c r="AH17" s="2">
        <f>SUMIFS(Games!$E:$E,Games!$C:$C,'Team forecast'!$B17,Games!$O:$O,3)+SUMIFS(Games!$F:$F,Games!$D:$D,'Team forecast'!$B17,Games!$O:$O,3)</f>
        <v>0.66433566433566427</v>
      </c>
      <c r="AI17" s="2">
        <f>SUMIFS(Games!$G:$G,Games!$C:$C,'Team forecast'!$B17,Games!$O:$O,3)+SUMIFS(Games!$G:$G,Games!$D:$D,'Team forecast'!$B17,Games!$O:$O,3)</f>
        <v>0.20279720279720281</v>
      </c>
      <c r="AJ17" s="2">
        <f>SUMIFS(Games!$F:$F,Games!$C:$C,'Team forecast'!$B17,Games!$O:$O,3)+SUMIFS(Games!$E:$E,Games!$D:$D,'Team forecast'!$B17,Games!$O:$O,3)</f>
        <v>0.13286713286713289</v>
      </c>
      <c r="AK17" s="78">
        <f>INDEX(Teams!$C$1:$M$25,MATCH('Team forecast'!$B17,Teams!$C$1:$C$25,0),MATCH('Team forecast'!AK$2,Teams!$C$1:$M$1,0))</f>
        <v>0.9576589339785716</v>
      </c>
      <c r="AL17" s="78">
        <f>INDEX(Teams!$C$1:$M$25,MATCH('Team forecast'!$B17,Teams!$C$1:$C$25,0),MATCH('Team forecast'!AL$2,Teams!$C$1:$M$1,0))</f>
        <v>0.49426728588553259</v>
      </c>
      <c r="AM17" s="78">
        <f>INDEX(Teams!$C$1:$M$25,MATCH('Team forecast'!$B17,Teams!$C$1:$C$25,0),MATCH('Team forecast'!AM$2,Teams!$C$1:$M$1,0))</f>
        <v>0.26166335484511644</v>
      </c>
      <c r="AN17" s="78">
        <f>INDEX(Teams!$C$1:$M$25,MATCH('Team forecast'!$B17,Teams!$C$1:$C$25,0),MATCH('Team forecast'!AN$2,Teams!$C$1:$M$1,0))</f>
        <v>0.14956735855979905</v>
      </c>
      <c r="AO17" s="78">
        <f>INDEX(Teams!$F$2:$F$25,MATCH('Team forecast'!B17,Teams!$C$2:$C$25,0))</f>
        <v>0.14615384615384611</v>
      </c>
      <c r="AP17" s="2" t="b">
        <f>SUM(L17:N17)=1</f>
        <v>1</v>
      </c>
      <c r="AQ17" s="2" t="b">
        <f>SUM(W17:Y17)=1</f>
        <v>1</v>
      </c>
      <c r="AR17" s="2" t="b">
        <f>SUM(AH17:AJ17)=1</f>
        <v>1</v>
      </c>
      <c r="AS17" s="2">
        <f>D17+O17+Z17</f>
        <v>5.7637508739758401</v>
      </c>
      <c r="AT17" s="2">
        <f>E17+P17+AA17</f>
        <v>2.2409691133474539</v>
      </c>
      <c r="AU17" s="4">
        <f t="shared" si="4"/>
        <v>3</v>
      </c>
      <c r="AV17" s="4">
        <f t="shared" si="14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>
      <c r="B18" s="73" t="s">
        <v>862</v>
      </c>
      <c r="C18" s="3"/>
      <c r="D18" s="2">
        <f>SUMIFS(Games!$J:$J,Games!$C:$C,'Team forecast'!$B18,Games!$O:$O,1)+SUMIFS(Games!$K:$K,Games!$D:$D,'Team forecast'!$B18,Games!$O:$O,1)</f>
        <v>0.65422581624273402</v>
      </c>
      <c r="E18" s="2">
        <f>SUMIFS(Games!$K:$K,Games!$C:$C,'Team forecast'!$B18,Games!$O:$O,1)+SUMIFS(Games!$J:$J,Games!$D:$D,'Team forecast'!$B18,Games!$O:$O,1)</f>
        <v>1.6593477618235051</v>
      </c>
      <c r="F18" s="2">
        <f>SUMIFS(Games!$L:$L,Games!$C:$C,'Team forecast'!$B18,Games!$O:$O,1)+SUMIFS(Games!$M:$M,Games!$D:$D,'Team forecast'!$B18,Games!$O:$O,1)</f>
        <v>0.19026303645592979</v>
      </c>
      <c r="G18" s="2">
        <f t="shared" si="5"/>
        <v>0.65422581624273402</v>
      </c>
      <c r="H18" s="2">
        <f t="shared" si="6"/>
        <v>1.6593477618235051</v>
      </c>
      <c r="I18" s="2">
        <f t="shared" si="7"/>
        <v>0.19026303645592979</v>
      </c>
      <c r="J18" s="77">
        <f>INDEX(SOG!$F$2:$F$25,MATCH('Team forecast'!$AU18,SOG!$G$2:$G$25,0))*D18</f>
        <v>1.7429374799138486</v>
      </c>
      <c r="K18" s="77">
        <f>INDEX(SOG!$F$2:$F$25,MATCH('Team forecast'!$AV18,SOG!$G$2:$G$25,0))*E18</f>
        <v>4.1860818536911157</v>
      </c>
      <c r="L18" s="2">
        <f>SUMIFS(Games!$E:$E,Games!$C:$C,'Team forecast'!$B18,Games!$O:$O,1)+SUMIFS(Games!$F:$F,Games!$D:$D,'Team forecast'!$B18,Games!$O:$O,1)</f>
        <v>0.13590216889709281</v>
      </c>
      <c r="M18" s="2">
        <f>SUMIFS(Games!$G:$G,Games!$C:$C,'Team forecast'!$B18,Games!$O:$O,1)+SUMIFS(Games!$G:$G,Games!$D:$D,'Team forecast'!$B18,Games!$O:$O,1)</f>
        <v>0.25034610059990769</v>
      </c>
      <c r="N18" s="2">
        <f>SUMIFS(Games!$F:$F,Games!$C:$C,'Team forecast'!$B18,Games!$O:$O,1)+SUMIFS(Games!$E:$E,Games!$D:$D,'Team forecast'!$B18,Games!$O:$O,1)</f>
        <v>0.61375173050299947</v>
      </c>
      <c r="O18" s="2">
        <f>SUMIFS(Games!$J:$J,Games!$C:$C,'Team forecast'!$B18,Games!$O:$O,2)+SUMIFS(Games!$K:$K,Games!$D:$D,'Team forecast'!$B18,Games!$O:$O,2)</f>
        <v>1.2847203648825669</v>
      </c>
      <c r="P18" s="2">
        <f>SUMIFS(Games!$K:$K,Games!$C:$C,'Team forecast'!$B18,Games!$O:$O,2)+SUMIFS(Games!$J:$J,Games!$D:$D,'Team forecast'!$B18,Games!$O:$O,2)</f>
        <v>1.0279287794501248</v>
      </c>
      <c r="Q18" s="2">
        <f>SUMIFS(Games!$L:$L,Games!$C:$C,'Team forecast'!$B18,Games!$O:$O,2)+SUMIFS(Games!$M:$M,Games!$D:$D,'Team forecast'!$B18,Games!$O:$O,2)</f>
        <v>0.35774716702311499</v>
      </c>
      <c r="R18" s="2">
        <f t="shared" si="8"/>
        <v>1.2847203648825669</v>
      </c>
      <c r="S18" s="2">
        <f t="shared" si="9"/>
        <v>1.0279287794501248</v>
      </c>
      <c r="T18" s="2">
        <f t="shared" si="10"/>
        <v>0.35774716702311499</v>
      </c>
      <c r="U18" s="77">
        <f>INDEX(SOG!$F$2:$F$25,MATCH('Team forecast'!$AU18,SOG!$G$2:$G$25,0))*O18</f>
        <v>3.4226519644581361</v>
      </c>
      <c r="V18" s="77">
        <f>INDEX(SOG!$F$2:$F$25,MATCH('Team forecast'!$AV18,SOG!$G$2:$G$25,0))*P18</f>
        <v>2.5931839663400877</v>
      </c>
      <c r="W18" s="2">
        <f>SUMIFS(Games!$E:$E,Games!$C:$C,'Team forecast'!$B18,Games!$O:$O,2)+SUMIFS(Games!$F:$F,Games!$D:$D,'Team forecast'!$B18,Games!$O:$O,2)</f>
        <v>0.42767047694126931</v>
      </c>
      <c r="X18" s="2">
        <f>SUMIFS(Games!$G:$G,Games!$C:$C,'Team forecast'!$B18,Games!$O:$O,2)+SUMIFS(Games!$G:$G,Games!$D:$D,'Team forecast'!$B18,Games!$O:$O,2)</f>
        <v>0.30350808040993299</v>
      </c>
      <c r="Y18" s="2">
        <f>SUMIFS(Games!$F:$F,Games!$C:$C,'Team forecast'!$B18,Games!$O:$O,2)+SUMIFS(Games!$E:$E,Games!$D:$D,'Team forecast'!$B18,Games!$O:$O,2)</f>
        <v>0.26882144264879793</v>
      </c>
      <c r="Z18" s="2">
        <f>SUMIFS(Games!$J:$J,Games!$C:$C,'Team forecast'!$B18,Games!$O:$O,3)+SUMIFS(Games!$K:$K,Games!$D:$D,'Team forecast'!$B18,Games!$O:$O,3)</f>
        <v>1.2246875509143662</v>
      </c>
      <c r="AA18" s="2">
        <f>SUMIFS(Games!$K:$K,Games!$C:$C,'Team forecast'!$B18,Games!$O:$O,3)+SUMIFS(Games!$J:$J,Games!$D:$D,'Team forecast'!$B18,Games!$O:$O,3)</f>
        <v>1.3677883945550393</v>
      </c>
      <c r="AB18" s="2">
        <f>SUMIFS(Games!$L:$L,Games!$C:$C,'Team forecast'!$B18,Games!$O:$O,3)+SUMIFS(Games!$M:$M,Games!$D:$D,'Team forecast'!$B18,Games!$O:$O,3)</f>
        <v>0.25466956579034061</v>
      </c>
      <c r="AC18" s="2">
        <f t="shared" si="11"/>
        <v>1.2246875509143662</v>
      </c>
      <c r="AD18" s="2">
        <f t="shared" si="12"/>
        <v>1.3677883945550393</v>
      </c>
      <c r="AE18" s="2">
        <f t="shared" si="13"/>
        <v>0.25466956579034061</v>
      </c>
      <c r="AF18" s="77">
        <f>INDEX(SOG!$F$2:$F$25,MATCH('Team forecast'!$AU18,SOG!$G$2:$G$25,0))*Z18</f>
        <v>3.2627172157947619</v>
      </c>
      <c r="AG18" s="77">
        <f>INDEX(SOG!$F$2:$F$25,MATCH('Team forecast'!$AV18,SOG!$G$2:$G$25,0))*AA18</f>
        <v>3.4505570862638493</v>
      </c>
      <c r="AH18" s="2">
        <f>SUMIFS(Games!$E:$E,Games!$C:$C,'Team forecast'!$B18,Games!$O:$O,3)+SUMIFS(Games!$F:$F,Games!$D:$D,'Team forecast'!$B18,Games!$O:$O,3)</f>
        <v>0.32931409369440601</v>
      </c>
      <c r="AI18" s="2">
        <f>SUMIFS(Games!$G:$G,Games!$C:$C,'Team forecast'!$B18,Games!$O:$O,3)+SUMIFS(Games!$G:$G,Games!$D:$D,'Team forecast'!$B18,Games!$O:$O,3)</f>
        <v>0.28088555050405217</v>
      </c>
      <c r="AJ18" s="2">
        <f>SUMIFS(Games!$F:$F,Games!$C:$C,'Team forecast'!$B18,Games!$O:$O,3)+SUMIFS(Games!$E:$E,Games!$D:$D,'Team forecast'!$B18,Games!$O:$O,3)</f>
        <v>0.38980035580154171</v>
      </c>
      <c r="AK18" s="78">
        <f>INDEX(Teams!$C$1:$M$25,MATCH('Team forecast'!$B18,Teams!$C$1:$C$25,0),MATCH('Team forecast'!AK$2,Teams!$C$1:$M$1,0))</f>
        <v>0.6042371845340988</v>
      </c>
      <c r="AL18" s="78">
        <f>INDEX(Teams!$C$1:$M$25,MATCH('Team forecast'!$B18,Teams!$C$1:$C$25,0),MATCH('Team forecast'!AL$2,Teams!$C$1:$M$1,0))</f>
        <v>0.29788071868029919</v>
      </c>
      <c r="AM18" s="78">
        <f>INDEX(Teams!$C$1:$M$25,MATCH('Team forecast'!$B18,Teams!$C$1:$C$25,0),MATCH('Team forecast'!AM$2,Teams!$C$1:$M$1,0))</f>
        <v>0.14495177243497306</v>
      </c>
      <c r="AN18" s="78">
        <f>INDEX(Teams!$C$1:$M$25,MATCH('Team forecast'!$B18,Teams!$C$1:$C$25,0),MATCH('Team forecast'!AN$2,Teams!$C$1:$M$1,0))</f>
        <v>6.7332708366074648E-2</v>
      </c>
      <c r="AO18" s="78">
        <f>INDEX(Teams!$F$2:$F$25,MATCH('Team forecast'!B18,Teams!$C$2:$C$25,0))</f>
        <v>1.1176470588235289E-2</v>
      </c>
      <c r="AP18" s="2" t="b">
        <f>SUM(L18:N18)=1</f>
        <v>1</v>
      </c>
      <c r="AQ18" s="2" t="b">
        <f>SUM(W18:Y18)=1</f>
        <v>1</v>
      </c>
      <c r="AR18" s="2" t="b">
        <f>SUM(AH18:AJ18)=1</f>
        <v>1</v>
      </c>
      <c r="AS18" s="2">
        <f>D18+O18+Z18</f>
        <v>3.163633732039667</v>
      </c>
      <c r="AT18" s="2">
        <f>E18+P18+AA18</f>
        <v>4.0550649358286694</v>
      </c>
      <c r="AU18" s="4">
        <f t="shared" si="4"/>
        <v>17</v>
      </c>
      <c r="AV18" s="4">
        <f t="shared" si="14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>
      <c r="B19" s="73" t="s">
        <v>882</v>
      </c>
      <c r="C19" s="3"/>
      <c r="D19" s="2">
        <f>SUMIFS(Games!$J:$J,Games!$C:$C,'Team forecast'!$B19,Games!$O:$O,1)+SUMIFS(Games!$K:$K,Games!$D:$D,'Team forecast'!$B19,Games!$O:$O,1)</f>
        <v>1.0683489057066333</v>
      </c>
      <c r="E19" s="2">
        <f>SUMIFS(Games!$K:$K,Games!$C:$C,'Team forecast'!$B19,Games!$O:$O,1)+SUMIFS(Games!$J:$J,Games!$D:$D,'Team forecast'!$B19,Games!$O:$O,1)</f>
        <v>1.0237318402178264</v>
      </c>
      <c r="F19" s="2">
        <f>SUMIFS(Games!$L:$L,Games!$C:$C,'Team forecast'!$B19,Games!$O:$O,1)+SUMIFS(Games!$M:$M,Games!$D:$D,'Team forecast'!$B19,Games!$O:$O,1)</f>
        <v>0.35925176528884672</v>
      </c>
      <c r="G19" s="2">
        <f t="shared" si="5"/>
        <v>1.0683489057066333</v>
      </c>
      <c r="H19" s="2">
        <f t="shared" si="6"/>
        <v>1.0237318402178264</v>
      </c>
      <c r="I19" s="2">
        <f t="shared" si="7"/>
        <v>0.35925176528884672</v>
      </c>
      <c r="J19" s="77">
        <f>INDEX(SOG!$F$2:$F$25,MATCH('Team forecast'!$AU19,SOG!$G$2:$G$25,0))*D19</f>
        <v>3.1557383060872861</v>
      </c>
      <c r="K19" s="77">
        <f>INDEX(SOG!$F$2:$F$25,MATCH('Team forecast'!$AV19,SOG!$G$2:$G$25,0))*E19</f>
        <v>2.685366937656811</v>
      </c>
      <c r="L19" s="2">
        <f>SUMIFS(Games!$E:$E,Games!$C:$C,'Team forecast'!$B19,Games!$O:$O,1)+SUMIFS(Games!$F:$F,Games!$D:$D,'Team forecast'!$B19,Games!$O:$O,1)</f>
        <v>0.35925176528884672</v>
      </c>
      <c r="M19" s="2">
        <f>SUMIFS(Games!$G:$G,Games!$C:$C,'Team forecast'!$B19,Games!$O:$O,1)+SUMIFS(Games!$G:$G,Games!$D:$D,'Team forecast'!$B19,Games!$O:$O,1)</f>
        <v>0.31494404756988892</v>
      </c>
      <c r="N19" s="2">
        <f>SUMIFS(Games!$F:$F,Games!$C:$C,'Team forecast'!$B19,Games!$O:$O,1)+SUMIFS(Games!$E:$E,Games!$D:$D,'Team forecast'!$B19,Games!$O:$O,1)</f>
        <v>0.32580418714126441</v>
      </c>
      <c r="O19" s="2">
        <f>SUMIFS(Games!$J:$J,Games!$C:$C,'Team forecast'!$B19,Games!$O:$O,2)+SUMIFS(Games!$K:$K,Games!$D:$D,'Team forecast'!$B19,Games!$O:$O,2)</f>
        <v>0.97920455728472433</v>
      </c>
      <c r="P19" s="2">
        <f>SUMIFS(Games!$K:$K,Games!$C:$C,'Team forecast'!$B19,Games!$O:$O,2)+SUMIFS(Games!$J:$J,Games!$D:$D,'Team forecast'!$B19,Games!$O:$O,2)</f>
        <v>1.3846696653928885</v>
      </c>
      <c r="Q19" s="2">
        <f>SUMIFS(Games!$L:$L,Games!$C:$C,'Team forecast'!$B19,Games!$O:$O,2)+SUMIFS(Games!$M:$M,Games!$D:$D,'Team forecast'!$B19,Games!$O:$O,2)</f>
        <v>0.25040650406504072</v>
      </c>
      <c r="R19" s="2">
        <f t="shared" si="8"/>
        <v>0.97920455728472433</v>
      </c>
      <c r="S19" s="2">
        <f t="shared" si="9"/>
        <v>1.3846696653928885</v>
      </c>
      <c r="T19" s="2">
        <f t="shared" si="10"/>
        <v>0.25040650406504072</v>
      </c>
      <c r="U19" s="77">
        <f>INDEX(SOG!$F$2:$F$25,MATCH('Team forecast'!$AU19,SOG!$G$2:$G$25,0))*O19</f>
        <v>2.8924196153641089</v>
      </c>
      <c r="V19" s="77">
        <f>INDEX(SOG!$F$2:$F$25,MATCH('Team forecast'!$AV19,SOG!$G$2:$G$25,0))*P19</f>
        <v>3.6321485695230544</v>
      </c>
      <c r="W19" s="2">
        <f>SUMIFS(Games!$E:$E,Games!$C:$C,'Team forecast'!$B19,Games!$O:$O,2)+SUMIFS(Games!$F:$F,Games!$D:$D,'Team forecast'!$B19,Games!$O:$O,2)</f>
        <v>0.26829268292682928</v>
      </c>
      <c r="X19" s="2">
        <f>SUMIFS(Games!$G:$G,Games!$C:$C,'Team forecast'!$B19,Games!$O:$O,2)+SUMIFS(Games!$G:$G,Games!$D:$D,'Team forecast'!$B19,Games!$O:$O,2)</f>
        <v>0.28455284552845528</v>
      </c>
      <c r="Y19" s="2">
        <f>SUMIFS(Games!$F:$F,Games!$C:$C,'Team forecast'!$B19,Games!$O:$O,2)+SUMIFS(Games!$E:$E,Games!$D:$D,'Team forecast'!$B19,Games!$O:$O,2)</f>
        <v>0.44715447154471538</v>
      </c>
      <c r="Z19" s="2">
        <f>SUMIFS(Games!$J:$J,Games!$C:$C,'Team forecast'!$B19,Games!$O:$O,3)+SUMIFS(Games!$K:$K,Games!$D:$D,'Team forecast'!$B19,Games!$O:$O,3)</f>
        <v>0.82586154259115363</v>
      </c>
      <c r="AA19" s="2">
        <f>SUMIFS(Games!$K:$K,Games!$C:$C,'Team forecast'!$B19,Games!$O:$O,3)+SUMIFS(Games!$J:$J,Games!$D:$D,'Team forecast'!$B19,Games!$O:$O,3)</f>
        <v>2.2346287595631029</v>
      </c>
      <c r="AB19" s="2">
        <f>SUMIFS(Games!$L:$L,Games!$C:$C,'Team forecast'!$B19,Games!$O:$O,3)+SUMIFS(Games!$M:$M,Games!$D:$D,'Team forecast'!$B19,Games!$O:$O,3)</f>
        <v>0.107031857031857</v>
      </c>
      <c r="AC19" s="2">
        <f t="shared" si="11"/>
        <v>0.82586154259115363</v>
      </c>
      <c r="AD19" s="2">
        <f t="shared" si="12"/>
        <v>2.2346287595631029</v>
      </c>
      <c r="AE19" s="2">
        <f t="shared" si="13"/>
        <v>0.107031857031857</v>
      </c>
      <c r="AF19" s="77">
        <f>INDEX(SOG!$F$2:$F$25,MATCH('Team forecast'!$AU19,SOG!$G$2:$G$25,0))*Z19</f>
        <v>2.4394679411923308</v>
      </c>
      <c r="AG19" s="77">
        <f>INDEX(SOG!$F$2:$F$25,MATCH('Team forecast'!$AV19,SOG!$G$2:$G$25,0))*AA19</f>
        <v>5.8616895100097475</v>
      </c>
      <c r="AH19" s="2">
        <f>SUMIFS(Games!$E:$E,Games!$C:$C,'Team forecast'!$B19,Games!$O:$O,3)+SUMIFS(Games!$F:$F,Games!$D:$D,'Team forecast'!$B19,Games!$O:$O,3)</f>
        <v>0.13286713286713289</v>
      </c>
      <c r="AI19" s="2">
        <f>SUMIFS(Games!$G:$G,Games!$C:$C,'Team forecast'!$B19,Games!$O:$O,3)+SUMIFS(Games!$G:$G,Games!$D:$D,'Team forecast'!$B19,Games!$O:$O,3)</f>
        <v>0.20279720279720281</v>
      </c>
      <c r="AJ19" s="2">
        <f>SUMIFS(Games!$F:$F,Games!$C:$C,'Team forecast'!$B19,Games!$O:$O,3)+SUMIFS(Games!$E:$E,Games!$D:$D,'Team forecast'!$B19,Games!$O:$O,3)</f>
        <v>0.66433566433566427</v>
      </c>
      <c r="AK19" s="78">
        <f>INDEX(Teams!$C$1:$M$25,MATCH('Team forecast'!$B19,Teams!$C$1:$C$25,0),MATCH('Team forecast'!AK$2,Teams!$C$1:$M$1,0))</f>
        <v>0.50755923500864297</v>
      </c>
      <c r="AL19" s="78">
        <f>INDEX(Teams!$C$1:$M$25,MATCH('Team forecast'!$B19,Teams!$C$1:$C$25,0),MATCH('Team forecast'!AL$2,Teams!$C$1:$M$1,0))</f>
        <v>0.24951079728925424</v>
      </c>
      <c r="AM19" s="78">
        <f>INDEX(Teams!$C$1:$M$25,MATCH('Team forecast'!$B19,Teams!$C$1:$C$25,0),MATCH('Team forecast'!AM$2,Teams!$C$1:$M$1,0))</f>
        <v>0.12073768550103446</v>
      </c>
      <c r="AN19" s="78">
        <f>INDEX(Teams!$C$1:$M$25,MATCH('Team forecast'!$B19,Teams!$C$1:$C$25,0),MATCH('Team forecast'!AN$2,Teams!$C$1:$M$1,0))</f>
        <v>5.5188107381147732E-2</v>
      </c>
      <c r="AO19" s="78">
        <f>INDEX(Teams!$F$2:$F$25,MATCH('Team forecast'!B19,Teams!$C$2:$C$25,0))</f>
        <v>5.2777777777777779E-3</v>
      </c>
      <c r="AP19" s="2" t="b">
        <f>SUM(L19:N19)=1</f>
        <v>1</v>
      </c>
      <c r="AQ19" s="2" t="b">
        <f>SUM(W19:Y19)=1</f>
        <v>1</v>
      </c>
      <c r="AR19" s="2" t="b">
        <f>SUM(AH19:AJ19)=1</f>
        <v>1</v>
      </c>
      <c r="AS19" s="2">
        <f>D19+O19+Z19</f>
        <v>2.8734150055825114</v>
      </c>
      <c r="AT19" s="2">
        <f>E19+P19+AA19</f>
        <v>4.6430302651738176</v>
      </c>
      <c r="AU19" s="4">
        <f t="shared" si="4"/>
        <v>18</v>
      </c>
      <c r="AV19" s="4">
        <f t="shared" si="14"/>
        <v>5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>
      <c r="B20" s="73" t="s">
        <v>863</v>
      </c>
      <c r="C20" s="3"/>
      <c r="D20" s="2">
        <f>SUMIFS(Games!$J:$J,Games!$C:$C,'Team forecast'!$B20,Games!$O:$O,1)+SUMIFS(Games!$K:$K,Games!$D:$D,'Team forecast'!$B20,Games!$O:$O,1)</f>
        <v>1.6593477618235051</v>
      </c>
      <c r="E20" s="2">
        <f>SUMIFS(Games!$K:$K,Games!$C:$C,'Team forecast'!$B20,Games!$O:$O,1)+SUMIFS(Games!$J:$J,Games!$D:$D,'Team forecast'!$B20,Games!$O:$O,1)</f>
        <v>0.65422581624273402</v>
      </c>
      <c r="F20" s="2">
        <f>SUMIFS(Games!$L:$L,Games!$C:$C,'Team forecast'!$B20,Games!$O:$O,1)+SUMIFS(Games!$M:$M,Games!$D:$D,'Team forecast'!$B20,Games!$O:$O,1)</f>
        <v>0.51984436190144767</v>
      </c>
      <c r="G20" s="2">
        <f t="shared" si="5"/>
        <v>1.6593477618235051</v>
      </c>
      <c r="H20" s="2">
        <f t="shared" si="6"/>
        <v>0.65422581624273402</v>
      </c>
      <c r="I20" s="2">
        <f t="shared" si="7"/>
        <v>0.51984436190144767</v>
      </c>
      <c r="J20" s="77">
        <f>INDEX(SOG!$F$2:$F$25,MATCH('Team forecast'!$AU20,SOG!$G$2:$G$25,0))*D20</f>
        <v>4.5343674133251923</v>
      </c>
      <c r="K20" s="77">
        <f>INDEX(SOG!$F$2:$F$25,MATCH('Team forecast'!$AV20,SOG!$G$2:$G$25,0))*E20</f>
        <v>2.1477110129180663</v>
      </c>
      <c r="L20" s="2">
        <f>SUMIFS(Games!$E:$E,Games!$C:$C,'Team forecast'!$B20,Games!$O:$O,1)+SUMIFS(Games!$F:$F,Games!$D:$D,'Team forecast'!$B20,Games!$O:$O,1)</f>
        <v>0.61375173050299947</v>
      </c>
      <c r="M20" s="2">
        <f>SUMIFS(Games!$G:$G,Games!$C:$C,'Team forecast'!$B20,Games!$O:$O,1)+SUMIFS(Games!$G:$G,Games!$D:$D,'Team forecast'!$B20,Games!$O:$O,1)</f>
        <v>0.25034610059990769</v>
      </c>
      <c r="N20" s="2">
        <f>SUMIFS(Games!$F:$F,Games!$C:$C,'Team forecast'!$B20,Games!$O:$O,1)+SUMIFS(Games!$E:$E,Games!$D:$D,'Team forecast'!$B20,Games!$O:$O,1)</f>
        <v>0.13590216889709281</v>
      </c>
      <c r="O20" s="2">
        <f>SUMIFS(Games!$J:$J,Games!$C:$C,'Team forecast'!$B20,Games!$O:$O,2)+SUMIFS(Games!$K:$K,Games!$D:$D,'Team forecast'!$B20,Games!$O:$O,2)</f>
        <v>1.5198357804321134</v>
      </c>
      <c r="P20" s="2">
        <f>SUMIFS(Games!$K:$K,Games!$C:$C,'Team forecast'!$B20,Games!$O:$O,2)+SUMIFS(Games!$J:$J,Games!$D:$D,'Team forecast'!$B20,Games!$O:$O,2)</f>
        <v>0.79620558314709244</v>
      </c>
      <c r="Q20" s="2">
        <f>SUMIFS(Games!$L:$L,Games!$C:$C,'Team forecast'!$B20,Games!$O:$O,2)+SUMIFS(Games!$M:$M,Games!$D:$D,'Team forecast'!$B20,Games!$O:$O,2)</f>
        <v>0.45103714423540769</v>
      </c>
      <c r="R20" s="2">
        <f t="shared" si="8"/>
        <v>1.5198357804321134</v>
      </c>
      <c r="S20" s="2">
        <f t="shared" si="9"/>
        <v>0.79620558314709244</v>
      </c>
      <c r="T20" s="2">
        <f t="shared" si="10"/>
        <v>0.45103714423540769</v>
      </c>
      <c r="U20" s="77">
        <f>INDEX(SOG!$F$2:$F$25,MATCH('Team forecast'!$AU20,SOG!$G$2:$G$25,0))*O20</f>
        <v>4.1531341379722457</v>
      </c>
      <c r="V20" s="77">
        <f>INDEX(SOG!$F$2:$F$25,MATCH('Team forecast'!$AV20,SOG!$G$2:$G$25,0))*P20</f>
        <v>2.6138062073010611</v>
      </c>
      <c r="W20" s="2">
        <f>SUMIFS(Games!$E:$E,Games!$C:$C,'Team forecast'!$B20,Games!$O:$O,2)+SUMIFS(Games!$F:$F,Games!$D:$D,'Team forecast'!$B20,Games!$O:$O,2)</f>
        <v>0.55716353111432715</v>
      </c>
      <c r="X20" s="2">
        <f>SUMIFS(Games!$G:$G,Games!$C:$C,'Team forecast'!$B20,Games!$O:$O,2)+SUMIFS(Games!$G:$G,Games!$D:$D,'Team forecast'!$B20,Games!$O:$O,2)</f>
        <v>0.27062228654124459</v>
      </c>
      <c r="Y20" s="2">
        <f>SUMIFS(Games!$F:$F,Games!$C:$C,'Team forecast'!$B20,Games!$O:$O,2)+SUMIFS(Games!$E:$E,Games!$D:$D,'Team forecast'!$B20,Games!$O:$O,2)</f>
        <v>0.1722141823444284</v>
      </c>
      <c r="Z20" s="2">
        <f>SUMIFS(Games!$J:$J,Games!$C:$C,'Team forecast'!$B20,Games!$O:$O,3)+SUMIFS(Games!$K:$K,Games!$D:$D,'Team forecast'!$B20,Games!$O:$O,3)</f>
        <v>1.8402581758343768</v>
      </c>
      <c r="AA20" s="2">
        <f>SUMIFS(Games!$K:$K,Games!$C:$C,'Team forecast'!$B20,Games!$O:$O,3)+SUMIFS(Games!$J:$J,Games!$D:$D,'Team forecast'!$B20,Games!$O:$O,3)</f>
        <v>0.65281467345965161</v>
      </c>
      <c r="AB20" s="2">
        <f>SUMIFS(Games!$L:$L,Games!$C:$C,'Team forecast'!$B20,Games!$O:$O,3)+SUMIFS(Games!$M:$M,Games!$D:$D,'Team forecast'!$B20,Games!$O:$O,3)</f>
        <v>0.52057845435388617</v>
      </c>
      <c r="AC20" s="2">
        <f t="shared" si="11"/>
        <v>1.8402581758343768</v>
      </c>
      <c r="AD20" s="2">
        <f t="shared" si="12"/>
        <v>0.65281467345965161</v>
      </c>
      <c r="AE20" s="2">
        <f t="shared" si="13"/>
        <v>0.52057845435388617</v>
      </c>
      <c r="AF20" s="77">
        <f>INDEX(SOG!$F$2:$F$25,MATCH('Team forecast'!$AU20,SOG!$G$2:$G$25,0))*Z20</f>
        <v>5.0287268869057034</v>
      </c>
      <c r="AG20" s="77">
        <f>INDEX(SOG!$F$2:$F$25,MATCH('Team forecast'!$AV20,SOG!$G$2:$G$25,0))*AA20</f>
        <v>2.1430784734786541</v>
      </c>
      <c r="AH20" s="2">
        <f>SUMIFS(Games!$E:$E,Games!$C:$C,'Team forecast'!$B20,Games!$O:$O,3)+SUMIFS(Games!$F:$F,Games!$D:$D,'Team forecast'!$B20,Games!$O:$O,3)</f>
        <v>0.66156845240806372</v>
      </c>
      <c r="AI20" s="2">
        <f>SUMIFS(Games!$G:$G,Games!$C:$C,'Team forecast'!$B20,Games!$O:$O,3)+SUMIFS(Games!$G:$G,Games!$D:$D,'Team forecast'!$B20,Games!$O:$O,3)</f>
        <v>0.22955628228135219</v>
      </c>
      <c r="AJ20" s="2">
        <f>SUMIFS(Games!$F:$F,Games!$C:$C,'Team forecast'!$B20,Games!$O:$O,3)+SUMIFS(Games!$E:$E,Games!$D:$D,'Team forecast'!$B20,Games!$O:$O,3)</f>
        <v>0.1088752653105842</v>
      </c>
      <c r="AK20" s="78">
        <f>INDEX(Teams!$C$1:$M$25,MATCH('Team forecast'!$B20,Teams!$C$1:$C$25,0),MATCH('Team forecast'!AK$2,Teams!$C$1:$M$1,0))</f>
        <v>0.9576589339785716</v>
      </c>
      <c r="AL20" s="78">
        <f>INDEX(Teams!$C$1:$M$25,MATCH('Team forecast'!$B20,Teams!$C$1:$C$25,0),MATCH('Team forecast'!AL$2,Teams!$C$1:$M$1,0))</f>
        <v>0.48271277183624756</v>
      </c>
      <c r="AM20" s="78">
        <f>INDEX(Teams!$C$1:$M$25,MATCH('Team forecast'!$B20,Teams!$C$1:$C$25,0),MATCH('Team forecast'!AM$2,Teams!$C$1:$M$1,0))</f>
        <v>0.24501126106820562</v>
      </c>
      <c r="AN20" s="78">
        <f>INDEX(Teams!$C$1:$M$25,MATCH('Team forecast'!$B20,Teams!$C$1:$C$25,0),MATCH('Team forecast'!AN$2,Teams!$C$1:$M$1,0))</f>
        <v>0.12721849585920822</v>
      </c>
      <c r="AO20" s="78">
        <f>INDEX(Teams!$F$2:$F$25,MATCH('Team forecast'!B20,Teams!$C$2:$C$25,0))</f>
        <v>7.9166666666666663E-2</v>
      </c>
      <c r="AP20" s="2" t="b">
        <f>SUM(L20:N20)=1</f>
        <v>1</v>
      </c>
      <c r="AQ20" s="2" t="b">
        <f>SUM(W20:Y20)=1</f>
        <v>1</v>
      </c>
      <c r="AR20" s="2" t="b">
        <f>SUM(AH20:AJ20)=1</f>
        <v>1</v>
      </c>
      <c r="AS20" s="2">
        <f>D20+O20+Z20</f>
        <v>5.0194417180899951</v>
      </c>
      <c r="AT20" s="2">
        <f>E20+P20+AA20</f>
        <v>2.103246072849478</v>
      </c>
      <c r="AU20" s="4">
        <f t="shared" si="4"/>
        <v>6</v>
      </c>
      <c r="AV20" s="4">
        <f t="shared" si="14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>
      <c r="B21" s="73" t="s">
        <v>888</v>
      </c>
      <c r="C21" s="3"/>
      <c r="D21" s="2">
        <f>SUMIFS(Games!$J:$J,Games!$C:$C,'Team forecast'!$B21,Games!$O:$O,1)+SUMIFS(Games!$K:$K,Games!$D:$D,'Team forecast'!$B21,Games!$O:$O,1)</f>
        <v>1.5369105908463034</v>
      </c>
      <c r="E21" s="2">
        <f>SUMIFS(Games!$K:$K,Games!$C:$C,'Team forecast'!$B21,Games!$O:$O,1)+SUMIFS(Games!$J:$J,Games!$D:$D,'Team forecast'!$B21,Games!$O:$O,1)</f>
        <v>0.81328039356128246</v>
      </c>
      <c r="F21" s="2">
        <f>SUMIFS(Games!$L:$L,Games!$C:$C,'Team forecast'!$B21,Games!$O:$O,1)+SUMIFS(Games!$M:$M,Games!$D:$D,'Team forecast'!$B21,Games!$O:$O,1)</f>
        <v>0.44340114762649968</v>
      </c>
      <c r="G21" s="2">
        <f t="shared" si="5"/>
        <v>1.5369105908463034</v>
      </c>
      <c r="H21" s="2">
        <f t="shared" si="6"/>
        <v>0.81328039356128246</v>
      </c>
      <c r="I21" s="2">
        <f t="shared" si="7"/>
        <v>0.44340114762649968</v>
      </c>
      <c r="J21" s="77">
        <f>INDEX(SOG!$F$2:$F$25,MATCH('Team forecast'!$AU21,SOG!$G$2:$G$25,0))*D21</f>
        <v>4.6107317725389105</v>
      </c>
      <c r="K21" s="77">
        <f>INDEX(SOG!$F$2:$F$25,MATCH('Team forecast'!$AV21,SOG!$G$2:$G$25,0))*E21</f>
        <v>2.0723952197374849</v>
      </c>
      <c r="L21" s="2">
        <f>SUMIFS(Games!$E:$E,Games!$C:$C,'Team forecast'!$B21,Games!$O:$O,1)+SUMIFS(Games!$F:$F,Games!$D:$D,'Team forecast'!$B21,Games!$O:$O,1)</f>
        <v>0.54773082942097018</v>
      </c>
      <c r="M21" s="2">
        <f>SUMIFS(Games!$G:$G,Games!$C:$C,'Team forecast'!$B21,Games!$O:$O,1)+SUMIFS(Games!$G:$G,Games!$D:$D,'Team forecast'!$B21,Games!$O:$O,1)</f>
        <v>0.2660406885758998</v>
      </c>
      <c r="N21" s="2">
        <f>SUMIFS(Games!$F:$F,Games!$C:$C,'Team forecast'!$B21,Games!$O:$O,1)+SUMIFS(Games!$E:$E,Games!$D:$D,'Team forecast'!$B21,Games!$O:$O,1)</f>
        <v>0.18622848200312991</v>
      </c>
      <c r="O21" s="2">
        <f>SUMIFS(Games!$J:$J,Games!$C:$C,'Team forecast'!$B21,Games!$O:$O,2)+SUMIFS(Games!$K:$K,Games!$D:$D,'Team forecast'!$B21,Games!$O:$O,2)</f>
        <v>0.77817916464933856</v>
      </c>
      <c r="P21" s="2">
        <f>SUMIFS(Games!$K:$K,Games!$C:$C,'Team forecast'!$B21,Games!$O:$O,2)+SUMIFS(Games!$J:$J,Games!$D:$D,'Team forecast'!$B21,Games!$O:$O,2)</f>
        <v>1.9080439968215523</v>
      </c>
      <c r="Q21" s="2">
        <f>SUMIFS(Games!$L:$L,Games!$C:$C,'Team forecast'!$B21,Games!$O:$O,2)+SUMIFS(Games!$M:$M,Games!$D:$D,'Team forecast'!$B21,Games!$O:$O,2)</f>
        <v>0.1483703157610558</v>
      </c>
      <c r="R21" s="2">
        <f t="shared" si="8"/>
        <v>0.77817916464933856</v>
      </c>
      <c r="S21" s="2">
        <f t="shared" si="9"/>
        <v>1.9080439968215523</v>
      </c>
      <c r="T21" s="2">
        <f t="shared" si="10"/>
        <v>0.1483703157610558</v>
      </c>
      <c r="U21" s="77">
        <f>INDEX(SOG!$F$2:$F$25,MATCH('Team forecast'!$AU21,SOG!$G$2:$G$25,0))*O21</f>
        <v>2.3345374939480159</v>
      </c>
      <c r="V21" s="77">
        <f>INDEX(SOG!$F$2:$F$25,MATCH('Team forecast'!$AV21,SOG!$G$2:$G$25,0))*P21</f>
        <v>4.862063919611546</v>
      </c>
      <c r="W21" s="2">
        <f>SUMIFS(Games!$E:$E,Games!$C:$C,'Team forecast'!$B21,Games!$O:$O,2)+SUMIFS(Games!$F:$F,Games!$D:$D,'Team forecast'!$B21,Games!$O:$O,2)</f>
        <v>0.14078935072216969</v>
      </c>
      <c r="X21" s="2">
        <f>SUMIFS(Games!$G:$G,Games!$C:$C,'Team forecast'!$B21,Games!$O:$O,2)+SUMIFS(Games!$G:$G,Games!$D:$D,'Team forecast'!$B21,Games!$O:$O,2)</f>
        <v>0.21195759394436539</v>
      </c>
      <c r="Y21" s="2">
        <f>SUMIFS(Games!$F:$F,Games!$C:$C,'Team forecast'!$B21,Games!$O:$O,2)+SUMIFS(Games!$E:$E,Games!$D:$D,'Team forecast'!$B21,Games!$O:$O,2)</f>
        <v>0.64725305533346478</v>
      </c>
      <c r="Z21" s="2">
        <f>SUMIFS(Games!$J:$J,Games!$C:$C,'Team forecast'!$B21,Games!$O:$O,3)+SUMIFS(Games!$K:$K,Games!$D:$D,'Team forecast'!$B21,Games!$O:$O,3)</f>
        <v>1.2236898885407743</v>
      </c>
      <c r="AA21" s="2">
        <f>SUMIFS(Games!$K:$K,Games!$C:$C,'Team forecast'!$B21,Games!$O:$O,3)+SUMIFS(Games!$J:$J,Games!$D:$D,'Team forecast'!$B21,Games!$O:$O,3)</f>
        <v>1.2688103238212438</v>
      </c>
      <c r="AB21" s="2">
        <f>SUMIFS(Games!$L:$L,Games!$C:$C,'Team forecast'!$B21,Games!$O:$O,3)+SUMIFS(Games!$M:$M,Games!$D:$D,'Team forecast'!$B21,Games!$O:$O,3)</f>
        <v>0.28116591928251122</v>
      </c>
      <c r="AC21" s="2">
        <f t="shared" si="11"/>
        <v>1.2236898885407743</v>
      </c>
      <c r="AD21" s="2">
        <f t="shared" si="12"/>
        <v>1.2688103238212438</v>
      </c>
      <c r="AE21" s="2">
        <f t="shared" si="13"/>
        <v>0.28116591928251122</v>
      </c>
      <c r="AF21" s="77">
        <f>INDEX(SOG!$F$2:$F$25,MATCH('Team forecast'!$AU21,SOG!$G$2:$G$25,0))*Z21</f>
        <v>3.6710696656223227</v>
      </c>
      <c r="AG21" s="77">
        <f>INDEX(SOG!$F$2:$F$25,MATCH('Team forecast'!$AV21,SOG!$G$2:$G$25,0))*AA21</f>
        <v>3.2331732950384708</v>
      </c>
      <c r="AH21" s="2">
        <f>SUMIFS(Games!$E:$E,Games!$C:$C,'Team forecast'!$B21,Games!$O:$O,3)+SUMIFS(Games!$F:$F,Games!$D:$D,'Team forecast'!$B21,Games!$O:$O,3)</f>
        <v>0.3354260089686098</v>
      </c>
      <c r="AI21" s="2">
        <f>SUMIFS(Games!$G:$G,Games!$C:$C,'Team forecast'!$B21,Games!$O:$O,3)+SUMIFS(Games!$G:$G,Games!$D:$D,'Team forecast'!$B21,Games!$O:$O,3)</f>
        <v>0.28968609865470851</v>
      </c>
      <c r="AJ21" s="2">
        <f>SUMIFS(Games!$F:$F,Games!$C:$C,'Team forecast'!$B21,Games!$O:$O,3)+SUMIFS(Games!$E:$E,Games!$D:$D,'Team forecast'!$B21,Games!$O:$O,3)</f>
        <v>0.37488789237668158</v>
      </c>
      <c r="AK21" s="78">
        <f>INDEX(Teams!$C$1:$M$25,MATCH('Team forecast'!$B21,Teams!$C$1:$C$25,0),MATCH('Team forecast'!AK$2,Teams!$C$1:$M$1,0))</f>
        <v>0.66347612419430457</v>
      </c>
      <c r="AL21" s="78">
        <f>INDEX(Teams!$C$1:$M$25,MATCH('Team forecast'!$B21,Teams!$C$1:$C$25,0),MATCH('Team forecast'!AL$2,Teams!$C$1:$M$1,0))</f>
        <v>0.32660653773881954</v>
      </c>
      <c r="AM21" s="78">
        <f>INDEX(Teams!$C$1:$M$25,MATCH('Team forecast'!$B21,Teams!$C$1:$C$25,0),MATCH('Team forecast'!AM$2,Teams!$C$1:$M$1,0))</f>
        <v>0.15847359888509668</v>
      </c>
      <c r="AN21" s="78">
        <f>INDEX(Teams!$C$1:$M$25,MATCH('Team forecast'!$B21,Teams!$C$1:$C$25,0),MATCH('Team forecast'!AN$2,Teams!$C$1:$M$1,0))</f>
        <v>7.3009067094355076E-2</v>
      </c>
      <c r="AO21" s="78">
        <f>INDEX(Teams!$F$2:$F$25,MATCH('Team forecast'!B21,Teams!$C$2:$C$25,0))</f>
        <v>9.4999999999999998E-3</v>
      </c>
      <c r="AP21" s="2" t="b">
        <f>SUM(L21:N21)=1</f>
        <v>1</v>
      </c>
      <c r="AQ21" s="2" t="b">
        <f>SUM(W21:Y21)=1</f>
        <v>1</v>
      </c>
      <c r="AR21" s="2" t="b">
        <f>SUM(AH21:AJ21)=1</f>
        <v>1</v>
      </c>
      <c r="AS21" s="2">
        <f>D21+O21+Z21</f>
        <v>3.5387796440364161</v>
      </c>
      <c r="AT21" s="2">
        <f>E21+P21+AA21</f>
        <v>3.9901347142040784</v>
      </c>
      <c r="AU21" s="4">
        <f t="shared" si="4"/>
        <v>11</v>
      </c>
      <c r="AV21" s="4">
        <f t="shared" si="14"/>
        <v>9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>
      <c r="B22" s="73" t="s">
        <v>885</v>
      </c>
      <c r="C22" s="3"/>
      <c r="D22" s="2">
        <f>SUMIFS(Games!$J:$J,Games!$C:$C,'Team forecast'!$B22,Games!$O:$O,1)+SUMIFS(Games!$K:$K,Games!$D:$D,'Team forecast'!$B22,Games!$O:$O,1)</f>
        <v>1.7533592214060363</v>
      </c>
      <c r="E22" s="2">
        <f>SUMIFS(Games!$K:$K,Games!$C:$C,'Team forecast'!$B22,Games!$O:$O,1)+SUMIFS(Games!$J:$J,Games!$D:$D,'Team forecast'!$B22,Games!$O:$O,1)</f>
        <v>0.63639779406972985</v>
      </c>
      <c r="F22" s="2">
        <f>SUMIFS(Games!$L:$L,Games!$C:$C,'Team forecast'!$B22,Games!$O:$O,1)+SUMIFS(Games!$M:$M,Games!$D:$D,'Team forecast'!$B22,Games!$O:$O,1)</f>
        <v>0.52919526509499659</v>
      </c>
      <c r="G22" s="2">
        <f t="shared" si="5"/>
        <v>1.7533592214060363</v>
      </c>
      <c r="H22" s="2">
        <f t="shared" si="6"/>
        <v>0.63639779406972985</v>
      </c>
      <c r="I22" s="2">
        <f t="shared" si="7"/>
        <v>0.52919526509499659</v>
      </c>
      <c r="J22" s="77">
        <f>INDEX(SOG!$F$2:$F$25,MATCH('Team forecast'!$AU22,SOG!$G$2:$G$25,0))*D22</f>
        <v>4.835748720224867</v>
      </c>
      <c r="K22" s="77">
        <f>INDEX(SOG!$F$2:$F$25,MATCH('Team forecast'!$AV22,SOG!$G$2:$G$25,0))*E22</f>
        <v>2.0891846775016383</v>
      </c>
      <c r="L22" s="2">
        <f>SUMIFS(Games!$E:$E,Games!$C:$C,'Team forecast'!$B22,Games!$O:$O,1)+SUMIFS(Games!$F:$F,Games!$D:$D,'Team forecast'!$B22,Games!$O:$O,1)</f>
        <v>0.68039391226499568</v>
      </c>
      <c r="M22" s="2">
        <f>SUMIFS(Games!$G:$G,Games!$C:$C,'Team forecast'!$B22,Games!$O:$O,1)+SUMIFS(Games!$G:$G,Games!$D:$D,'Team forecast'!$B22,Games!$O:$O,1)</f>
        <v>0.20053715308863029</v>
      </c>
      <c r="N22" s="2">
        <f>SUMIFS(Games!$F:$F,Games!$C:$C,'Team forecast'!$B22,Games!$O:$O,1)+SUMIFS(Games!$E:$E,Games!$D:$D,'Team forecast'!$B22,Games!$O:$O,1)</f>
        <v>0.11906893464637421</v>
      </c>
      <c r="O22" s="2">
        <f>SUMIFS(Games!$J:$J,Games!$C:$C,'Team forecast'!$B22,Games!$O:$O,2)+SUMIFS(Games!$K:$K,Games!$D:$D,'Team forecast'!$B22,Games!$O:$O,2)</f>
        <v>1.9080439968215523</v>
      </c>
      <c r="P22" s="2">
        <f>SUMIFS(Games!$K:$K,Games!$C:$C,'Team forecast'!$B22,Games!$O:$O,2)+SUMIFS(Games!$J:$J,Games!$D:$D,'Team forecast'!$B22,Games!$O:$O,2)</f>
        <v>0.77817916464933856</v>
      </c>
      <c r="Q22" s="2">
        <f>SUMIFS(Games!$L:$L,Games!$C:$C,'Team forecast'!$B22,Games!$O:$O,2)+SUMIFS(Games!$M:$M,Games!$D:$D,'Team forecast'!$B22,Games!$O:$O,2)</f>
        <v>0.459241453546125</v>
      </c>
      <c r="R22" s="2">
        <f t="shared" si="8"/>
        <v>1.9080439968215523</v>
      </c>
      <c r="S22" s="2">
        <f t="shared" si="9"/>
        <v>0.77817916464933856</v>
      </c>
      <c r="T22" s="2">
        <f t="shared" si="10"/>
        <v>0.459241453546125</v>
      </c>
      <c r="U22" s="77">
        <f>INDEX(SOG!$F$2:$F$25,MATCH('Team forecast'!$AU22,SOG!$G$2:$G$25,0))*O22</f>
        <v>5.26236791817451</v>
      </c>
      <c r="V22" s="77">
        <f>INDEX(SOG!$F$2:$F$25,MATCH('Team forecast'!$AV22,SOG!$G$2:$G$25,0))*P22</f>
        <v>2.5546285708185357</v>
      </c>
      <c r="W22" s="2">
        <f>SUMIFS(Games!$E:$E,Games!$C:$C,'Team forecast'!$B22,Games!$O:$O,2)+SUMIFS(Games!$F:$F,Games!$D:$D,'Team forecast'!$B22,Games!$O:$O,2)</f>
        <v>0.64725305533346478</v>
      </c>
      <c r="X22" s="2">
        <f>SUMIFS(Games!$G:$G,Games!$C:$C,'Team forecast'!$B22,Games!$O:$O,2)+SUMIFS(Games!$G:$G,Games!$D:$D,'Team forecast'!$B22,Games!$O:$O,2)</f>
        <v>0.21195759394436539</v>
      </c>
      <c r="Y22" s="2">
        <f>SUMIFS(Games!$F:$F,Games!$C:$C,'Team forecast'!$B22,Games!$O:$O,2)+SUMIFS(Games!$E:$E,Games!$D:$D,'Team forecast'!$B22,Games!$O:$O,2)</f>
        <v>0.14078935072216969</v>
      </c>
      <c r="Z22" s="2">
        <f>SUMIFS(Games!$J:$J,Games!$C:$C,'Team forecast'!$B22,Games!$O:$O,3)+SUMIFS(Games!$K:$K,Games!$D:$D,'Team forecast'!$B22,Games!$O:$O,3)</f>
        <v>2.3513752571634776</v>
      </c>
      <c r="AA22" s="2">
        <f>SUMIFS(Games!$K:$K,Games!$C:$C,'Team forecast'!$B22,Games!$O:$O,3)+SUMIFS(Games!$J:$J,Games!$D:$D,'Team forecast'!$B22,Games!$O:$O,3)</f>
        <v>0.56161379059809569</v>
      </c>
      <c r="AB22" s="2">
        <f>SUMIFS(Games!$L:$L,Games!$C:$C,'Team forecast'!$B22,Games!$O:$O,3)+SUMIFS(Games!$M:$M,Games!$D:$D,'Team forecast'!$B22,Games!$O:$O,3)</f>
        <v>0.57028799543769604</v>
      </c>
      <c r="AC22" s="2">
        <f t="shared" si="11"/>
        <v>2.3513752571634776</v>
      </c>
      <c r="AD22" s="2">
        <f t="shared" si="12"/>
        <v>0.56161379059809569</v>
      </c>
      <c r="AE22" s="2">
        <f t="shared" si="13"/>
        <v>0.57028799543769604</v>
      </c>
      <c r="AF22" s="77">
        <f>INDEX(SOG!$F$2:$F$25,MATCH('Team forecast'!$AU22,SOG!$G$2:$G$25,0))*Z22</f>
        <v>6.4850714855102307</v>
      </c>
      <c r="AG22" s="77">
        <f>INDEX(SOG!$F$2:$F$25,MATCH('Team forecast'!$AV22,SOG!$G$2:$G$25,0))*AA22</f>
        <v>1.8436816358018293</v>
      </c>
      <c r="AH22" s="2">
        <f>SUMIFS(Games!$E:$E,Games!$C:$C,'Team forecast'!$B22,Games!$O:$O,3)+SUMIFS(Games!$F:$F,Games!$D:$D,'Team forecast'!$B22,Games!$O:$O,3)</f>
        <v>0.76190476190476186</v>
      </c>
      <c r="AI22" s="2">
        <f>SUMIFS(Games!$G:$G,Games!$C:$C,'Team forecast'!$B22,Games!$O:$O,3)+SUMIFS(Games!$G:$G,Games!$D:$D,'Team forecast'!$B22,Games!$O:$O,3)</f>
        <v>0.17006802721088429</v>
      </c>
      <c r="AJ22" s="2">
        <f>SUMIFS(Games!$F:$F,Games!$C:$C,'Team forecast'!$B22,Games!$O:$O,3)+SUMIFS(Games!$E:$E,Games!$D:$D,'Team forecast'!$B22,Games!$O:$O,3)</f>
        <v>6.8027210884353734E-2</v>
      </c>
      <c r="AK22" s="78">
        <f>INDEX(Teams!$C$1:$M$25,MATCH('Team forecast'!$B22,Teams!$C$1:$C$25,0),MATCH('Team forecast'!AK$2,Teams!$C$1:$M$1,0))</f>
        <v>0.96677949525455797</v>
      </c>
      <c r="AL22" s="78">
        <f>INDEX(Teams!$C$1:$M$25,MATCH('Team forecast'!$B22,Teams!$C$1:$C$25,0),MATCH('Team forecast'!AL$2,Teams!$C$1:$M$1,0))</f>
        <v>0.48991105247954864</v>
      </c>
      <c r="AM22" s="78">
        <f>INDEX(Teams!$C$1:$M$25,MATCH('Team forecast'!$B22,Teams!$C$1:$C$25,0),MATCH('Team forecast'!AM$2,Teams!$C$1:$M$1,0))</f>
        <v>0.25109322492426361</v>
      </c>
      <c r="AN22" s="78">
        <f>INDEX(Teams!$C$1:$M$25,MATCH('Team forecast'!$B22,Teams!$C$1:$C$25,0),MATCH('Team forecast'!AN$2,Teams!$C$1:$M$1,0))</f>
        <v>0.13346101339739427</v>
      </c>
      <c r="AO22" s="78">
        <f>INDEX(Teams!$F$2:$F$25,MATCH('Team forecast'!B22,Teams!$C$2:$C$25,0))</f>
        <v>9.5000000000000001E-2</v>
      </c>
      <c r="AP22" s="2" t="b">
        <f>SUM(L22:N22)=1</f>
        <v>1</v>
      </c>
      <c r="AQ22" s="2" t="b">
        <f>SUM(W22:Y22)=1</f>
        <v>1</v>
      </c>
      <c r="AR22" s="2" t="b">
        <f>SUM(AH22:AJ22)=1</f>
        <v>1</v>
      </c>
      <c r="AS22" s="2">
        <f>D22+O22+Z22</f>
        <v>6.012778475391066</v>
      </c>
      <c r="AT22" s="2">
        <f>E22+P22+AA22</f>
        <v>1.9761907493171642</v>
      </c>
      <c r="AU22" s="4">
        <f t="shared" si="4"/>
        <v>1</v>
      </c>
      <c r="AV22" s="4">
        <f t="shared" si="14"/>
        <v>24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>
      <c r="B23" s="73" t="s">
        <v>871</v>
      </c>
      <c r="D23" s="2">
        <f>SUMIFS(Games!$J:$J,Games!$C:$C,'Team forecast'!$B23,Games!$O:$O,1)+SUMIFS(Games!$K:$K,Games!$D:$D,'Team forecast'!$B23,Games!$O:$O,1)</f>
        <v>1.5602309947683257</v>
      </c>
      <c r="E23" s="2">
        <f>SUMIFS(Games!$K:$K,Games!$C:$C,'Team forecast'!$B23,Games!$O:$O,1)+SUMIFS(Games!$J:$J,Games!$D:$D,'Team forecast'!$B23,Games!$O:$O,1)</f>
        <v>0.84461095835632183</v>
      </c>
      <c r="F23" s="2">
        <f>SUMIFS(Games!$L:$L,Games!$C:$C,'Team forecast'!$B23,Games!$O:$O,1)+SUMIFS(Games!$M:$M,Games!$D:$D,'Team forecast'!$B23,Games!$O:$O,1)</f>
        <v>0.42972450642313093</v>
      </c>
      <c r="G23" s="2">
        <f t="shared" si="5"/>
        <v>1.5602309947683257</v>
      </c>
      <c r="H23" s="2">
        <f t="shared" si="6"/>
        <v>0.84461095835632183</v>
      </c>
      <c r="I23" s="2">
        <f t="shared" si="7"/>
        <v>0.42972450642313093</v>
      </c>
      <c r="J23" s="77">
        <f>INDEX(SOG!$F$2:$F$25,MATCH('Team forecast'!$AU23,SOG!$G$2:$G$25,0))*D23</f>
        <v>4.1655927994293096</v>
      </c>
      <c r="K23" s="77">
        <f>INDEX(SOG!$F$2:$F$25,MATCH('Team forecast'!$AV23,SOG!$G$2:$G$25,0))*E23</f>
        <v>2.7727127420788342</v>
      </c>
      <c r="L23" s="2">
        <f>SUMIFS(Games!$E:$E,Games!$C:$C,'Team forecast'!$B23,Games!$O:$O,1)+SUMIFS(Games!$F:$F,Games!$D:$D,'Team forecast'!$B23,Games!$O:$O,1)</f>
        <v>0.58357649020425184</v>
      </c>
      <c r="M23" s="2">
        <f>SUMIFS(Games!$G:$G,Games!$C:$C,'Team forecast'!$B23,Games!$O:$O,1)+SUMIFS(Games!$G:$G,Games!$D:$D,'Team forecast'!$B23,Games!$O:$O,1)</f>
        <v>0.23634847853272201</v>
      </c>
      <c r="N23" s="2">
        <f>SUMIFS(Games!$F:$F,Games!$C:$C,'Team forecast'!$B23,Games!$O:$O,1)+SUMIFS(Games!$E:$E,Games!$D:$D,'Team forecast'!$B23,Games!$O:$O,1)</f>
        <v>0.18007503126302629</v>
      </c>
      <c r="O23" s="2">
        <f>SUMIFS(Games!$J:$J,Games!$C:$C,'Team forecast'!$B23,Games!$O:$O,2)+SUMIFS(Games!$K:$K,Games!$D:$D,'Team forecast'!$B23,Games!$O:$O,2)</f>
        <v>1.5279674504451852</v>
      </c>
      <c r="P23" s="2">
        <f>SUMIFS(Games!$K:$K,Games!$C:$C,'Team forecast'!$B23,Games!$O:$O,2)+SUMIFS(Games!$J:$J,Games!$D:$D,'Team forecast'!$B23,Games!$O:$O,2)</f>
        <v>1.1610121970988967</v>
      </c>
      <c r="Q23" s="2">
        <f>SUMIFS(Games!$L:$L,Games!$C:$C,'Team forecast'!$B23,Games!$O:$O,2)+SUMIFS(Games!$M:$M,Games!$D:$D,'Team forecast'!$B23,Games!$O:$O,2)</f>
        <v>0.31316903161563348</v>
      </c>
      <c r="R23" s="2">
        <f t="shared" si="8"/>
        <v>1.5279674504451852</v>
      </c>
      <c r="S23" s="2">
        <f t="shared" si="9"/>
        <v>1.1610121970988967</v>
      </c>
      <c r="T23" s="2">
        <f t="shared" si="10"/>
        <v>0.31316903161563348</v>
      </c>
      <c r="U23" s="77">
        <f>INDEX(SOG!$F$2:$F$25,MATCH('Team forecast'!$AU23,SOG!$G$2:$G$25,0))*O23</f>
        <v>4.0794537672172888</v>
      </c>
      <c r="V23" s="77">
        <f>INDEX(SOG!$F$2:$F$25,MATCH('Team forecast'!$AV23,SOG!$G$2:$G$25,0))*P23</f>
        <v>3.8114036773448627</v>
      </c>
      <c r="W23" s="2">
        <f>SUMIFS(Games!$E:$E,Games!$C:$C,'Team forecast'!$B23,Games!$O:$O,2)+SUMIFS(Games!$F:$F,Games!$D:$D,'Team forecast'!$B23,Games!$O:$O,2)</f>
        <v>0.46975354742345032</v>
      </c>
      <c r="X23" s="2">
        <f>SUMIFS(Games!$G:$G,Games!$C:$C,'Team forecast'!$B23,Games!$O:$O,2)+SUMIFS(Games!$G:$G,Games!$D:$D,'Team forecast'!$B23,Games!$O:$O,2)</f>
        <v>0.27632561613144141</v>
      </c>
      <c r="Y23" s="2">
        <f>SUMIFS(Games!$F:$F,Games!$C:$C,'Team forecast'!$B23,Games!$O:$O,2)+SUMIFS(Games!$E:$E,Games!$D:$D,'Team forecast'!$B23,Games!$O:$O,2)</f>
        <v>0.25392083644510832</v>
      </c>
      <c r="Z23" s="2">
        <f>SUMIFS(Games!$J:$J,Games!$C:$C,'Team forecast'!$B23,Games!$O:$O,3)+SUMIFS(Games!$K:$K,Games!$D:$D,'Team forecast'!$B23,Games!$O:$O,3)</f>
        <v>2.3394224481215296</v>
      </c>
      <c r="AA23" s="2">
        <f>SUMIFS(Games!$K:$K,Games!$C:$C,'Team forecast'!$B23,Games!$O:$O,3)+SUMIFS(Games!$J:$J,Games!$D:$D,'Team forecast'!$B23,Games!$O:$O,3)</f>
        <v>0.62462402002960304</v>
      </c>
      <c r="AB23" s="2">
        <f>SUMIFS(Games!$L:$L,Games!$C:$C,'Team forecast'!$B23,Games!$O:$O,3)+SUMIFS(Games!$M:$M,Games!$D:$D,'Team forecast'!$B23,Games!$O:$O,3)</f>
        <v>0.53546271393231015</v>
      </c>
      <c r="AC23" s="2">
        <f t="shared" si="11"/>
        <v>2.3394224481215296</v>
      </c>
      <c r="AD23" s="2">
        <f t="shared" si="12"/>
        <v>0.62462402002960304</v>
      </c>
      <c r="AE23" s="2">
        <f t="shared" si="13"/>
        <v>0.53546271393231015</v>
      </c>
      <c r="AF23" s="77">
        <f>INDEX(SOG!$F$2:$F$25,MATCH('Team forecast'!$AU23,SOG!$G$2:$G$25,0))*Z23</f>
        <v>6.2459221342192031</v>
      </c>
      <c r="AG23" s="77">
        <f>INDEX(SOG!$F$2:$F$25,MATCH('Team forecast'!$AV23,SOG!$G$2:$G$25,0))*AA23</f>
        <v>2.0505333990870809</v>
      </c>
      <c r="AH23" s="2">
        <f>SUMIFS(Games!$E:$E,Games!$C:$C,'Team forecast'!$B23,Games!$O:$O,3)+SUMIFS(Games!$F:$F,Games!$D:$D,'Team forecast'!$B23,Games!$O:$O,3)</f>
        <v>0.78360397160825879</v>
      </c>
      <c r="AI23" s="2">
        <f>SUMIFS(Games!$G:$G,Games!$C:$C,'Team forecast'!$B23,Games!$O:$O,3)+SUMIFS(Games!$G:$G,Games!$D:$D,'Team forecast'!$B23,Games!$O:$O,3)</f>
        <v>0.15421326161250529</v>
      </c>
      <c r="AJ23" s="2">
        <f>SUMIFS(Games!$F:$F,Games!$C:$C,'Team forecast'!$B23,Games!$O:$O,3)+SUMIFS(Games!$E:$E,Games!$D:$D,'Team forecast'!$B23,Games!$O:$O,3)</f>
        <v>6.2182766779236023E-2</v>
      </c>
      <c r="AK23" s="78">
        <f>INDEX(Teams!$C$1:$M$25,MATCH('Team forecast'!$B23,Teams!$C$1:$C$25,0),MATCH('Team forecast'!AK$2,Teams!$C$1:$M$1,0))</f>
        <v>0.9576589339785716</v>
      </c>
      <c r="AL23" s="78">
        <f>INDEX(Teams!$C$1:$M$25,MATCH('Team forecast'!$B23,Teams!$C$1:$C$25,0),MATCH('Team forecast'!AL$2,Teams!$C$1:$M$1,0))</f>
        <v>0.48856505817289836</v>
      </c>
      <c r="AM23" s="78">
        <f>INDEX(Teams!$C$1:$M$25,MATCH('Team forecast'!$B23,Teams!$C$1:$C$25,0),MATCH('Team forecast'!AM$2,Teams!$C$1:$M$1,0))</f>
        <v>0.25344543843573181</v>
      </c>
      <c r="AN23" s="78">
        <f>INDEX(Teams!$C$1:$M$25,MATCH('Team forecast'!$B23,Teams!$C$1:$C$25,0),MATCH('Team forecast'!AN$2,Teams!$C$1:$M$1,0))</f>
        <v>0.1385380496945724</v>
      </c>
      <c r="AO23" s="78">
        <f>INDEX(Teams!$F$2:$F$25,MATCH('Team forecast'!B23,Teams!$C$2:$C$25,0))</f>
        <v>0.1130952380952381</v>
      </c>
      <c r="AP23" s="2" t="b">
        <f>SUM(L23:N23)=1</f>
        <v>1</v>
      </c>
      <c r="AQ23" s="2" t="b">
        <f>SUM(W23:Y23)=1</f>
        <v>1</v>
      </c>
      <c r="AR23" s="2" t="b">
        <f>SUM(AH23:AJ23)=1</f>
        <v>1</v>
      </c>
      <c r="AS23" s="2">
        <f>D23+O23+Z23</f>
        <v>5.4276208933350407</v>
      </c>
      <c r="AT23" s="2">
        <f>E23+P23+AA23</f>
        <v>2.6302471754848216</v>
      </c>
      <c r="AU23" s="4">
        <f t="shared" si="4"/>
        <v>4</v>
      </c>
      <c r="AV23" s="4">
        <f t="shared" si="14"/>
        <v>20</v>
      </c>
    </row>
    <row r="24" spans="2:60">
      <c r="B24" s="73" t="s">
        <v>893</v>
      </c>
      <c r="D24" s="2">
        <f>SUMIFS(Games!$J:$J,Games!$C:$C,'Team forecast'!$B24,Games!$O:$O,1)+SUMIFS(Games!$K:$K,Games!$D:$D,'Team forecast'!$B24,Games!$O:$O,1)</f>
        <v>1.7625676631272518</v>
      </c>
      <c r="E24" s="2">
        <f>SUMIFS(Games!$K:$K,Games!$C:$C,'Team forecast'!$B24,Games!$O:$O,1)+SUMIFS(Games!$J:$J,Games!$D:$D,'Team forecast'!$B24,Games!$O:$O,1)</f>
        <v>0.75096675144877167</v>
      </c>
      <c r="F24" s="2">
        <f>SUMIFS(Games!$L:$L,Games!$C:$C,'Team forecast'!$B24,Games!$O:$O,1)+SUMIFS(Games!$M:$M,Games!$D:$D,'Team forecast'!$B24,Games!$O:$O,1)</f>
        <v>0.47191011235955049</v>
      </c>
      <c r="G24" s="2">
        <f t="shared" si="5"/>
        <v>1.7625676631272518</v>
      </c>
      <c r="H24" s="2">
        <f t="shared" si="6"/>
        <v>0.75096675144877167</v>
      </c>
      <c r="I24" s="2">
        <f t="shared" si="7"/>
        <v>0.47191011235955049</v>
      </c>
      <c r="J24" s="77">
        <f>INDEX(SOG!$F$2:$F$25,MATCH('Team forecast'!$AU24,SOG!$G$2:$G$25,0))*D24</f>
        <v>4.4913621777278765</v>
      </c>
      <c r="K24" s="77">
        <f>INDEX(SOG!$F$2:$F$25,MATCH('Team forecast'!$AV24,SOG!$G$2:$G$25,0))*E24</f>
        <v>2.0995338051067773</v>
      </c>
      <c r="L24" s="2">
        <f>SUMIFS(Games!$E:$E,Games!$C:$C,'Team forecast'!$B24,Games!$O:$O,1)+SUMIFS(Games!$F:$F,Games!$D:$D,'Team forecast'!$B24,Games!$O:$O,1)</f>
        <v>0.6292134831460674</v>
      </c>
      <c r="M24" s="2">
        <f>SUMIFS(Games!$G:$G,Games!$C:$C,'Team forecast'!$B24,Games!$O:$O,1)+SUMIFS(Games!$G:$G,Games!$D:$D,'Team forecast'!$B24,Games!$O:$O,1)</f>
        <v>0.2359550561797753</v>
      </c>
      <c r="N24" s="2">
        <f>SUMIFS(Games!$F:$F,Games!$C:$C,'Team forecast'!$B24,Games!$O:$O,1)+SUMIFS(Games!$E:$E,Games!$D:$D,'Team forecast'!$B24,Games!$O:$O,1)</f>
        <v>0.1348314606741573</v>
      </c>
      <c r="O24" s="2">
        <f>SUMIFS(Games!$J:$J,Games!$C:$C,'Team forecast'!$B24,Games!$O:$O,2)+SUMIFS(Games!$K:$K,Games!$D:$D,'Team forecast'!$B24,Games!$O:$O,2)</f>
        <v>1.1612459518433673</v>
      </c>
      <c r="P24" s="2">
        <f>SUMIFS(Games!$K:$K,Games!$C:$C,'Team forecast'!$B24,Games!$O:$O,2)+SUMIFS(Games!$J:$J,Games!$D:$D,'Team forecast'!$B24,Games!$O:$O,2)</f>
        <v>1.384389503157577</v>
      </c>
      <c r="Q24" s="2">
        <f>SUMIFS(Games!$L:$L,Games!$C:$C,'Team forecast'!$B24,Games!$O:$O,2)+SUMIFS(Games!$M:$M,Games!$D:$D,'Team forecast'!$B24,Games!$O:$O,2)</f>
        <v>0.25047666833918708</v>
      </c>
      <c r="R24" s="2">
        <f t="shared" si="8"/>
        <v>1.1612459518433673</v>
      </c>
      <c r="S24" s="2">
        <f t="shared" si="9"/>
        <v>1.384389503157577</v>
      </c>
      <c r="T24" s="2">
        <f t="shared" si="10"/>
        <v>0.25047666833918708</v>
      </c>
      <c r="U24" s="77">
        <f>INDEX(SOG!$F$2:$F$25,MATCH('Team forecast'!$AU24,SOG!$G$2:$G$25,0))*O24</f>
        <v>2.9590785399382193</v>
      </c>
      <c r="V24" s="77">
        <f>INDEX(SOG!$F$2:$F$25,MATCH('Team forecast'!$AV24,SOG!$G$2:$G$25,0))*P24</f>
        <v>3.8704410757292824</v>
      </c>
      <c r="W24" s="2">
        <f>SUMIFS(Games!$E:$E,Games!$C:$C,'Team forecast'!$B24,Games!$O:$O,2)+SUMIFS(Games!$F:$F,Games!$D:$D,'Team forecast'!$B24,Games!$O:$O,2)</f>
        <v>0.28901154039136978</v>
      </c>
      <c r="X24" s="2">
        <f>SUMIFS(Games!$G:$G,Games!$C:$C,'Team forecast'!$B24,Games!$O:$O,2)+SUMIFS(Games!$G:$G,Games!$D:$D,'Team forecast'!$B24,Games!$O:$O,2)</f>
        <v>0.2935273457099849</v>
      </c>
      <c r="Y24" s="2">
        <f>SUMIFS(Games!$F:$F,Games!$C:$C,'Team forecast'!$B24,Games!$O:$O,2)+SUMIFS(Games!$E:$E,Games!$D:$D,'Team forecast'!$B24,Games!$O:$O,2)</f>
        <v>0.41746111389864532</v>
      </c>
      <c r="Z24" s="2">
        <f>SUMIFS(Games!$J:$J,Games!$C:$C,'Team forecast'!$B24,Games!$O:$O,3)+SUMIFS(Games!$K:$K,Games!$D:$D,'Team forecast'!$B24,Games!$O:$O,3)</f>
        <v>1.0107278258414167</v>
      </c>
      <c r="AA24" s="2">
        <f>SUMIFS(Games!$K:$K,Games!$C:$C,'Team forecast'!$B24,Games!$O:$O,3)+SUMIFS(Games!$J:$J,Games!$D:$D,'Team forecast'!$B24,Games!$O:$O,3)</f>
        <v>1.2965069481471114</v>
      </c>
      <c r="AB24" s="2">
        <f>SUMIFS(Games!$L:$L,Games!$C:$C,'Team forecast'!$B24,Games!$O:$O,3)+SUMIFS(Games!$M:$M,Games!$D:$D,'Team forecast'!$B24,Games!$O:$O,3)</f>
        <v>0.27348542529246672</v>
      </c>
      <c r="AC24" s="2">
        <f t="shared" si="11"/>
        <v>1.0107278258414167</v>
      </c>
      <c r="AD24" s="2">
        <f t="shared" si="12"/>
        <v>1.2965069481471114</v>
      </c>
      <c r="AE24" s="2">
        <f t="shared" si="13"/>
        <v>0.27348542529246672</v>
      </c>
      <c r="AF24" s="77">
        <f>INDEX(SOG!$F$2:$F$25,MATCH('Team forecast'!$AU24,SOG!$G$2:$G$25,0))*Z24</f>
        <v>2.5755293393428875</v>
      </c>
      <c r="AG24" s="77">
        <f>INDEX(SOG!$F$2:$F$25,MATCH('Team forecast'!$AV24,SOG!$G$2:$G$25,0))*AA24</f>
        <v>3.6247412564394597</v>
      </c>
      <c r="AH24" s="2">
        <f>SUMIFS(Games!$E:$E,Games!$C:$C,'Team forecast'!$B24,Games!$O:$O,3)+SUMIFS(Games!$F:$F,Games!$D:$D,'Team forecast'!$B24,Games!$O:$O,3)</f>
        <v>0.29006029955261631</v>
      </c>
      <c r="AI24" s="2">
        <f>SUMIFS(Games!$G:$G,Games!$C:$C,'Team forecast'!$B24,Games!$O:$O,3)+SUMIFS(Games!$G:$G,Games!$D:$D,'Team forecast'!$B24,Games!$O:$O,3)</f>
        <v>0.2991246839136355</v>
      </c>
      <c r="AJ24" s="2">
        <f>SUMIFS(Games!$F:$F,Games!$C:$C,'Team forecast'!$B24,Games!$O:$O,3)+SUMIFS(Games!$E:$E,Games!$D:$D,'Team forecast'!$B24,Games!$O:$O,3)</f>
        <v>0.4108150165337483</v>
      </c>
      <c r="AK24" s="78">
        <f>INDEX(Teams!$C$1:$M$25,MATCH('Team forecast'!$B24,Teams!$C$1:$C$25,0),MATCH('Team forecast'!AK$2,Teams!$C$1:$M$1,0))</f>
        <v>0.75193960742021171</v>
      </c>
      <c r="AL24" s="78">
        <f>INDEX(Teams!$C$1:$M$25,MATCH('Team forecast'!$B24,Teams!$C$1:$C$25,0),MATCH('Team forecast'!AL$2,Teams!$C$1:$M$1,0))</f>
        <v>0.3831936794300943</v>
      </c>
      <c r="AM24" s="78">
        <f>INDEX(Teams!$C$1:$M$25,MATCH('Team forecast'!$B24,Teams!$C$1:$C$25,0),MATCH('Team forecast'!AM$2,Teams!$C$1:$M$1,0))</f>
        <v>0.19839578156915411</v>
      </c>
      <c r="AN24" s="78">
        <f>INDEX(Teams!$C$1:$M$25,MATCH('Team forecast'!$B24,Teams!$C$1:$C$25,0),MATCH('Team forecast'!AN$2,Teams!$C$1:$M$1,0))</f>
        <v>0.10796494738592542</v>
      </c>
      <c r="AO24" s="78">
        <f>INDEX(Teams!$F$2:$F$25,MATCH('Team forecast'!B24,Teams!$C$2:$C$25,0))</f>
        <v>8.6363636363636365E-2</v>
      </c>
      <c r="AP24" s="2" t="b">
        <f>SUM(L24:N24)=1</f>
        <v>1</v>
      </c>
      <c r="AQ24" s="2" t="b">
        <f>SUM(W24:Y24)=1</f>
        <v>1</v>
      </c>
      <c r="AR24" s="2" t="b">
        <f>SUM(AH24:AJ24)=1</f>
        <v>1</v>
      </c>
      <c r="AS24" s="2">
        <f>D24+O24+Z24</f>
        <v>3.9345414408120361</v>
      </c>
      <c r="AT24" s="2">
        <f>E24+P24+AA24</f>
        <v>3.4318632027534601</v>
      </c>
      <c r="AU24" s="4">
        <f t="shared" si="4"/>
        <v>9</v>
      </c>
      <c r="AV24" s="4">
        <f t="shared" si="14"/>
        <v>15</v>
      </c>
    </row>
    <row r="25" spans="2:60">
      <c r="B25" s="73" t="s">
        <v>880</v>
      </c>
      <c r="D25" s="2">
        <f>SUMIFS(Games!$J:$J,Games!$C:$C,'Team forecast'!$B25,Games!$O:$O,1)+SUMIFS(Games!$K:$K,Games!$D:$D,'Team forecast'!$B25,Games!$O:$O,1)</f>
        <v>0.74990395996081205</v>
      </c>
      <c r="E25" s="2">
        <f>SUMIFS(Games!$K:$K,Games!$C:$C,'Team forecast'!$B25,Games!$O:$O,1)+SUMIFS(Games!$J:$J,Games!$D:$D,'Team forecast'!$B25,Games!$O:$O,1)</f>
        <v>1.5223243214152651</v>
      </c>
      <c r="F25" s="2">
        <f>SUMIFS(Games!$L:$L,Games!$C:$C,'Team forecast'!$B25,Games!$O:$O,1)+SUMIFS(Games!$M:$M,Games!$D:$D,'Team forecast'!$B25,Games!$O:$O,1)</f>
        <v>0.21820412056434271</v>
      </c>
      <c r="G25" s="2">
        <f t="shared" si="5"/>
        <v>0.74990395996081205</v>
      </c>
      <c r="H25" s="2">
        <f t="shared" si="6"/>
        <v>1.5223243214152651</v>
      </c>
      <c r="I25" s="2">
        <f t="shared" si="7"/>
        <v>0.21820412056434271</v>
      </c>
      <c r="J25" s="77">
        <f>INDEX(SOG!$F$2:$F$25,MATCH('Team forecast'!$AU25,SOG!$G$2:$G$25,0))*D25</f>
        <v>2.1270003227979397</v>
      </c>
      <c r="K25" s="77">
        <f>INDEX(SOG!$F$2:$F$25,MATCH('Team forecast'!$AV25,SOG!$G$2:$G$25,0))*E25</f>
        <v>4.9475540445996113</v>
      </c>
      <c r="L25" s="2">
        <f>SUMIFS(Games!$E:$E,Games!$C:$C,'Team forecast'!$B25,Games!$O:$O,1)+SUMIFS(Games!$F:$F,Games!$D:$D,'Team forecast'!$B25,Games!$O:$O,1)</f>
        <v>0.17178615309883699</v>
      </c>
      <c r="M25" s="2">
        <f>SUMIFS(Games!$G:$G,Games!$C:$C,'Team forecast'!$B25,Games!$O:$O,1)+SUMIFS(Games!$G:$G,Games!$D:$D,'Team forecast'!$B25,Games!$O:$O,1)</f>
        <v>0.26245106723433442</v>
      </c>
      <c r="N25" s="2">
        <f>SUMIFS(Games!$F:$F,Games!$C:$C,'Team forecast'!$B25,Games!$O:$O,1)+SUMIFS(Games!$E:$E,Games!$D:$D,'Team forecast'!$B25,Games!$O:$O,1)</f>
        <v>0.56576277966682864</v>
      </c>
      <c r="O25" s="2">
        <f>SUMIFS(Games!$J:$J,Games!$C:$C,'Team forecast'!$B25,Games!$O:$O,2)+SUMIFS(Games!$K:$K,Games!$D:$D,'Team forecast'!$B25,Games!$O:$O,2)</f>
        <v>1.3846696653928885</v>
      </c>
      <c r="P25" s="2">
        <f>SUMIFS(Games!$K:$K,Games!$C:$C,'Team forecast'!$B25,Games!$O:$O,2)+SUMIFS(Games!$J:$J,Games!$D:$D,'Team forecast'!$B25,Games!$O:$O,2)</f>
        <v>0.97920455728472433</v>
      </c>
      <c r="Q25" s="2">
        <f>SUMIFS(Games!$L:$L,Games!$C:$C,'Team forecast'!$B25,Games!$O:$O,2)+SUMIFS(Games!$M:$M,Games!$D:$D,'Team forecast'!$B25,Games!$O:$O,2)</f>
        <v>0.37560975609756098</v>
      </c>
      <c r="R25" s="2">
        <f t="shared" si="8"/>
        <v>1.3846696653928885</v>
      </c>
      <c r="S25" s="2">
        <f t="shared" si="9"/>
        <v>0.97920455728472433</v>
      </c>
      <c r="T25" s="2">
        <f t="shared" si="10"/>
        <v>0.37560975609756098</v>
      </c>
      <c r="U25" s="77">
        <f>INDEX(SOG!$F$2:$F$25,MATCH('Team forecast'!$AU25,SOG!$G$2:$G$25,0))*O25</f>
        <v>3.9274266872961929</v>
      </c>
      <c r="V25" s="77">
        <f>INDEX(SOG!$F$2:$F$25,MATCH('Team forecast'!$AV25,SOG!$G$2:$G$25,0))*P25</f>
        <v>3.1824148111753541</v>
      </c>
      <c r="W25" s="2">
        <f>SUMIFS(Games!$E:$E,Games!$C:$C,'Team forecast'!$B25,Games!$O:$O,2)+SUMIFS(Games!$F:$F,Games!$D:$D,'Team forecast'!$B25,Games!$O:$O,2)</f>
        <v>0.44715447154471538</v>
      </c>
      <c r="X25" s="2">
        <f>SUMIFS(Games!$G:$G,Games!$C:$C,'Team forecast'!$B25,Games!$O:$O,2)+SUMIFS(Games!$G:$G,Games!$D:$D,'Team forecast'!$B25,Games!$O:$O,2)</f>
        <v>0.28455284552845528</v>
      </c>
      <c r="Y25" s="2">
        <f>SUMIFS(Games!$F:$F,Games!$C:$C,'Team forecast'!$B25,Games!$O:$O,2)+SUMIFS(Games!$E:$E,Games!$D:$D,'Team forecast'!$B25,Games!$O:$O,2)</f>
        <v>0.26829268292682928</v>
      </c>
      <c r="Z25" s="2">
        <f>SUMIFS(Games!$J:$J,Games!$C:$C,'Team forecast'!$B25,Games!$O:$O,3)+SUMIFS(Games!$K:$K,Games!$D:$D,'Team forecast'!$B25,Games!$O:$O,3)</f>
        <v>1.5039270856478595</v>
      </c>
      <c r="AA25" s="2">
        <f>SUMIFS(Games!$K:$K,Games!$C:$C,'Team forecast'!$B25,Games!$O:$O,3)+SUMIFS(Games!$J:$J,Games!$D:$D,'Team forecast'!$B25,Games!$O:$O,3)</f>
        <v>0.82681690399773144</v>
      </c>
      <c r="AB25" s="2">
        <f>SUMIFS(Games!$L:$L,Games!$C:$C,'Team forecast'!$B25,Games!$O:$O,3)+SUMIFS(Games!$M:$M,Games!$D:$D,'Team forecast'!$B25,Games!$O:$O,3)</f>
        <v>0.43743948445487602</v>
      </c>
      <c r="AC25" s="2">
        <f t="shared" si="11"/>
        <v>1.5039270856478595</v>
      </c>
      <c r="AD25" s="2">
        <f t="shared" si="12"/>
        <v>0.82681690399773144</v>
      </c>
      <c r="AE25" s="2">
        <f t="shared" si="13"/>
        <v>0.43743948445487602</v>
      </c>
      <c r="AF25" s="77">
        <f>INDEX(SOG!$F$2:$F$25,MATCH('Team forecast'!$AU25,SOG!$G$2:$G$25,0))*Z25</f>
        <v>4.2656840974739287</v>
      </c>
      <c r="AG25" s="77">
        <f>INDEX(SOG!$F$2:$F$25,MATCH('Team forecast'!$AV25,SOG!$G$2:$G$25,0))*AA25</f>
        <v>2.6871549379926272</v>
      </c>
      <c r="AH25" s="2">
        <f>SUMIFS(Games!$E:$E,Games!$C:$C,'Team forecast'!$B25,Games!$O:$O,3)+SUMIFS(Games!$F:$F,Games!$D:$D,'Team forecast'!$B25,Games!$O:$O,3)</f>
        <v>0.51740154075307909</v>
      </c>
      <c r="AI25" s="2">
        <f>SUMIFS(Games!$G:$G,Games!$C:$C,'Team forecast'!$B25,Games!$O:$O,3)+SUMIFS(Games!$G:$G,Games!$D:$D,'Team forecast'!$B25,Games!$O:$O,3)</f>
        <v>0.27108925797203581</v>
      </c>
      <c r="AJ25" s="2">
        <f>SUMIFS(Games!$F:$F,Games!$C:$C,'Team forecast'!$B25,Games!$O:$O,3)+SUMIFS(Games!$E:$E,Games!$D:$D,'Team forecast'!$B25,Games!$O:$O,3)</f>
        <v>0.21150920127488509</v>
      </c>
      <c r="AK25" s="78">
        <f>INDEX(Teams!$C$1:$M$25,MATCH('Team forecast'!$B25,Teams!$C$1:$C$25,0),MATCH('Team forecast'!AK$2,Teams!$C$1:$M$1,0))</f>
        <v>0.74641063971859256</v>
      </c>
      <c r="AL25" s="78">
        <f>INDEX(Teams!$C$1:$M$25,MATCH('Team forecast'!$B25,Teams!$C$1:$C$25,0),MATCH('Team forecast'!AL$2,Teams!$C$1:$M$1,0))</f>
        <v>0.36886616510865133</v>
      </c>
      <c r="AM25" s="78">
        <f>INDEX(Teams!$C$1:$M$25,MATCH('Team forecast'!$B25,Teams!$C$1:$C$25,0),MATCH('Team forecast'!AM$2,Teams!$C$1:$M$1,0))</f>
        <v>0.18034917220077765</v>
      </c>
      <c r="AN25" s="78">
        <f>INDEX(Teams!$C$1:$M$25,MATCH('Team forecast'!$B25,Teams!$C$1:$C$25,0),MATCH('Team forecast'!AN$2,Teams!$C$1:$M$1,0))</f>
        <v>8.4908491170813685E-2</v>
      </c>
      <c r="AO25" s="78">
        <f>INDEX(Teams!$F$2:$F$25,MATCH('Team forecast'!B25,Teams!$C$2:$C$25,0))</f>
        <v>1.9E-2</v>
      </c>
      <c r="AP25" s="2" t="b">
        <f>SUM(L25:N25)=1</f>
        <v>1</v>
      </c>
      <c r="AQ25" s="2" t="b">
        <f>SUM(W25:Y25)=1</f>
        <v>1</v>
      </c>
      <c r="AR25" s="2" t="b">
        <f>SUM(AH25:AJ25)=1</f>
        <v>1</v>
      </c>
      <c r="AS25" s="2">
        <f>D25+O25+Z25</f>
        <v>3.6385007110015599</v>
      </c>
      <c r="AT25" s="2">
        <f>E25+P25+AA25</f>
        <v>3.328345782697721</v>
      </c>
      <c r="AU25" s="4">
        <f t="shared" si="4"/>
        <v>10</v>
      </c>
      <c r="AV25" s="4">
        <f t="shared" si="14"/>
        <v>16</v>
      </c>
    </row>
    <row r="26" spans="2:60">
      <c r="B26" s="73" t="s">
        <v>877</v>
      </c>
      <c r="D26" s="2">
        <f>SUMIFS(Games!$J:$J,Games!$C:$C,'Team forecast'!$B26,Games!$O:$O,1)+SUMIFS(Games!$K:$K,Games!$D:$D,'Team forecast'!$B26,Games!$O:$O,1)</f>
        <v>0.76028648339757388</v>
      </c>
      <c r="E26" s="2">
        <f>SUMIFS(Games!$K:$K,Games!$C:$C,'Team forecast'!$B26,Games!$O:$O,1)+SUMIFS(Games!$J:$J,Games!$D:$D,'Team forecast'!$B26,Games!$O:$O,1)</f>
        <v>1.5712166996139025</v>
      </c>
      <c r="F26" s="2">
        <f>SUMIFS(Games!$L:$L,Games!$C:$C,'Team forecast'!$B26,Games!$O:$O,1)+SUMIFS(Games!$M:$M,Games!$D:$D,'Team forecast'!$B26,Games!$O:$O,1)</f>
        <v>0.20779220779220781</v>
      </c>
      <c r="G26" s="2">
        <f t="shared" si="5"/>
        <v>0.76028648339757388</v>
      </c>
      <c r="H26" s="2">
        <f t="shared" si="6"/>
        <v>1.5712166996139025</v>
      </c>
      <c r="I26" s="2">
        <f t="shared" si="7"/>
        <v>0.20779220779220781</v>
      </c>
      <c r="J26" s="77">
        <f>INDEX(SOG!$F$2:$F$25,MATCH('Team forecast'!$AU26,SOG!$G$2:$G$25,0))*D26</f>
        <v>2.0548283335069564</v>
      </c>
      <c r="K26" s="77">
        <f>INDEX(SOG!$F$2:$F$25,MATCH('Team forecast'!$AV26,SOG!$G$2:$G$25,0))*E26</f>
        <v>5.3509268021816121</v>
      </c>
      <c r="L26" s="2">
        <f>SUMIFS(Games!$E:$E,Games!$C:$C,'Team forecast'!$B26,Games!$O:$O,1)+SUMIFS(Games!$F:$F,Games!$D:$D,'Team forecast'!$B26,Games!$O:$O,1)</f>
        <v>0.15584415584415581</v>
      </c>
      <c r="M26" s="2">
        <f>SUMIFS(Games!$G:$G,Games!$C:$C,'Team forecast'!$B26,Games!$O:$O,1)+SUMIFS(Games!$G:$G,Games!$D:$D,'Team forecast'!$B26,Games!$O:$O,1)</f>
        <v>0.25974025974025972</v>
      </c>
      <c r="N26" s="2">
        <f>SUMIFS(Games!$F:$F,Games!$C:$C,'Team forecast'!$B26,Games!$O:$O,1)+SUMIFS(Games!$E:$E,Games!$D:$D,'Team forecast'!$B26,Games!$O:$O,1)</f>
        <v>0.58441558441558439</v>
      </c>
      <c r="O26" s="2">
        <f>SUMIFS(Games!$J:$J,Games!$C:$C,'Team forecast'!$B26,Games!$O:$O,2)+SUMIFS(Games!$K:$K,Games!$D:$D,'Team forecast'!$B26,Games!$O:$O,2)</f>
        <v>1.5712166996139025</v>
      </c>
      <c r="P26" s="2">
        <f>SUMIFS(Games!$K:$K,Games!$C:$C,'Team forecast'!$B26,Games!$O:$O,2)+SUMIFS(Games!$J:$J,Games!$D:$D,'Team forecast'!$B26,Games!$O:$O,2)</f>
        <v>0.76028648339757388</v>
      </c>
      <c r="Q26" s="2">
        <f>SUMIFS(Games!$L:$L,Games!$C:$C,'Team forecast'!$B26,Games!$O:$O,2)+SUMIFS(Games!$M:$M,Games!$D:$D,'Team forecast'!$B26,Games!$O:$O,2)</f>
        <v>0.46753246753246752</v>
      </c>
      <c r="R26" s="2">
        <f t="shared" si="8"/>
        <v>1.5712166996139025</v>
      </c>
      <c r="S26" s="2">
        <f t="shared" si="9"/>
        <v>0.76028648339757388</v>
      </c>
      <c r="T26" s="2">
        <f t="shared" si="10"/>
        <v>0.46753246753246752</v>
      </c>
      <c r="U26" s="77">
        <f>INDEX(SOG!$F$2:$F$25,MATCH('Team forecast'!$AU26,SOG!$G$2:$G$25,0))*O26</f>
        <v>4.2465316205781152</v>
      </c>
      <c r="V26" s="77">
        <f>INDEX(SOG!$F$2:$F$25,MATCH('Team forecast'!$AV26,SOG!$G$2:$G$25,0))*P26</f>
        <v>2.5892273945078212</v>
      </c>
      <c r="W26" s="2">
        <f>SUMIFS(Games!$E:$E,Games!$C:$C,'Team forecast'!$B26,Games!$O:$O,2)+SUMIFS(Games!$F:$F,Games!$D:$D,'Team forecast'!$B26,Games!$O:$O,2)</f>
        <v>0.58441558441558439</v>
      </c>
      <c r="X26" s="2">
        <f>SUMIFS(Games!$G:$G,Games!$C:$C,'Team forecast'!$B26,Games!$O:$O,2)+SUMIFS(Games!$G:$G,Games!$D:$D,'Team forecast'!$B26,Games!$O:$O,2)</f>
        <v>0.25974025974025972</v>
      </c>
      <c r="Y26" s="2">
        <f>SUMIFS(Games!$F:$F,Games!$C:$C,'Team forecast'!$B26,Games!$O:$O,2)+SUMIFS(Games!$E:$E,Games!$D:$D,'Team forecast'!$B26,Games!$O:$O,2)</f>
        <v>0.15584415584415581</v>
      </c>
      <c r="Z26" s="2">
        <f>SUMIFS(Games!$J:$J,Games!$C:$C,'Team forecast'!$B26,Games!$O:$O,3)+SUMIFS(Games!$K:$K,Games!$D:$D,'Team forecast'!$B26,Games!$O:$O,3)</f>
        <v>1.1461513485277883</v>
      </c>
      <c r="AA26" s="2">
        <f>SUMIFS(Games!$K:$K,Games!$C:$C,'Team forecast'!$B26,Games!$O:$O,3)+SUMIFS(Games!$J:$J,Games!$D:$D,'Team forecast'!$B26,Games!$O:$O,3)</f>
        <v>1.1461513485277883</v>
      </c>
      <c r="AB26" s="2">
        <f>SUMIFS(Games!$L:$L,Games!$C:$C,'Team forecast'!$B26,Games!$O:$O,3)+SUMIFS(Games!$M:$M,Games!$D:$D,'Team forecast'!$B26,Games!$O:$O,3)</f>
        <v>0.31785774198959899</v>
      </c>
      <c r="AC26" s="2">
        <f t="shared" si="11"/>
        <v>1.1461513485277883</v>
      </c>
      <c r="AD26" s="2">
        <f t="shared" si="12"/>
        <v>1.1461513485277883</v>
      </c>
      <c r="AE26" s="2">
        <f t="shared" si="13"/>
        <v>0.31785774198959899</v>
      </c>
      <c r="AF26" s="77">
        <f>INDEX(SOG!$F$2:$F$25,MATCH('Team forecast'!$AU26,SOG!$G$2:$G$25,0))*Z26</f>
        <v>3.0977063473724007</v>
      </c>
      <c r="AG26" s="77">
        <f>INDEX(SOG!$F$2:$F$25,MATCH('Team forecast'!$AV26,SOG!$G$2:$G$25,0))*AA26</f>
        <v>3.9033266205107195</v>
      </c>
      <c r="AH26" s="2">
        <f>SUMIFS(Games!$E:$E,Games!$C:$C,'Team forecast'!$B26,Games!$O:$O,3)+SUMIFS(Games!$F:$F,Games!$D:$D,'Team forecast'!$B26,Games!$O:$O,3)</f>
        <v>0.34675390035228992</v>
      </c>
      <c r="AI26" s="2">
        <f>SUMIFS(Games!$G:$G,Games!$C:$C,'Team forecast'!$B26,Games!$O:$O,3)+SUMIFS(Games!$G:$G,Games!$D:$D,'Team forecast'!$B26,Games!$O:$O,3)</f>
        <v>0.29340714645193761</v>
      </c>
      <c r="AJ26" s="2">
        <f>SUMIFS(Games!$F:$F,Games!$C:$C,'Team forecast'!$B26,Games!$O:$O,3)+SUMIFS(Games!$E:$E,Games!$D:$D,'Team forecast'!$B26,Games!$O:$O,3)</f>
        <v>0.35983895319577253</v>
      </c>
      <c r="AK26" s="78">
        <f>INDEX(Teams!$C$1:$M$25,MATCH('Team forecast'!$B26,Teams!$C$1:$C$25,0),MATCH('Team forecast'!AK$2,Teams!$C$1:$M$1,0))</f>
        <v>0.74641063971859256</v>
      </c>
      <c r="AL26" s="78">
        <f>INDEX(Teams!$C$1:$M$25,MATCH('Team forecast'!$B26,Teams!$C$1:$C$25,0),MATCH('Team forecast'!AL$2,Teams!$C$1:$M$1,0))</f>
        <v>0.36675104091208588</v>
      </c>
      <c r="AM26" s="78">
        <f>INDEX(Teams!$C$1:$M$25,MATCH('Team forecast'!$B26,Teams!$C$1:$C$25,0),MATCH('Team forecast'!AM$2,Teams!$C$1:$M$1,0))</f>
        <v>0.17730090497631568</v>
      </c>
      <c r="AN26" s="78">
        <f>INDEX(Teams!$C$1:$M$25,MATCH('Team forecast'!$B26,Teams!$C$1:$C$25,0),MATCH('Team forecast'!AN$2,Teams!$C$1:$M$1,0))</f>
        <v>8.0817395685351567E-2</v>
      </c>
      <c r="AO26" s="78">
        <f>INDEX(Teams!$F$2:$F$25,MATCH('Team forecast'!B26,Teams!$C$2:$C$25,0))</f>
        <v>6.7375886524822688E-3</v>
      </c>
      <c r="AP26" s="2" t="b">
        <f>SUM(L26:N26)=1</f>
        <v>1</v>
      </c>
      <c r="AQ26" s="2" t="b">
        <f>SUM(W26:Y26)=1</f>
        <v>1</v>
      </c>
      <c r="AR26" s="2" t="b">
        <f>SUM(AH26:AJ26)=1</f>
        <v>1</v>
      </c>
      <c r="AS26" s="2">
        <f>D26+O26+Z26</f>
        <v>3.4776545315392644</v>
      </c>
      <c r="AT26" s="2">
        <f>E26+P26+AA26</f>
        <v>3.4776545315392644</v>
      </c>
      <c r="AU26" s="4">
        <f t="shared" si="4"/>
        <v>13</v>
      </c>
      <c r="AV26" s="4">
        <f t="shared" si="14"/>
        <v>14</v>
      </c>
    </row>
    <row r="27" spans="2:60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>
      <c r="I28" s="3"/>
      <c r="J28" s="3"/>
      <c r="K28" s="3"/>
      <c r="L28" s="2"/>
    </row>
    <row r="29" spans="2:60">
      <c r="I29" s="3"/>
      <c r="J29" s="3"/>
      <c r="K29" s="3"/>
      <c r="L29" s="2"/>
    </row>
    <row r="30" spans="2:60">
      <c r="I30" s="3"/>
      <c r="J30" s="3"/>
      <c r="K30" s="3"/>
      <c r="L30" s="2"/>
    </row>
    <row r="31" spans="2:60">
      <c r="I31" s="3"/>
      <c r="J31" s="3"/>
      <c r="K31" s="3"/>
      <c r="L31" s="2"/>
    </row>
    <row r="32" spans="2:60">
      <c r="I32" s="3"/>
      <c r="J32" s="3"/>
      <c r="K32" s="3"/>
      <c r="L32" s="2"/>
    </row>
    <row r="33" spans="9:12">
      <c r="I33" s="3"/>
      <c r="J33" s="3"/>
      <c r="K33" s="3"/>
      <c r="L33" s="2"/>
    </row>
    <row r="34" spans="9:12">
      <c r="I34" s="3"/>
      <c r="J34" s="3"/>
      <c r="K34" s="3"/>
      <c r="L34" s="2"/>
    </row>
    <row r="35" spans="9:12">
      <c r="I35" s="3"/>
      <c r="J35" s="3"/>
      <c r="K35" s="3"/>
      <c r="L35" s="2"/>
    </row>
    <row r="36" spans="9:12">
      <c r="I36" s="3"/>
      <c r="J36" s="3"/>
      <c r="K36" s="3"/>
      <c r="L36" s="2"/>
    </row>
    <row r="37" spans="9:12">
      <c r="I37" s="3"/>
      <c r="J37" s="3"/>
      <c r="K37" s="3"/>
      <c r="L37" s="2"/>
    </row>
    <row r="38" spans="9:12">
      <c r="I38" s="3"/>
      <c r="J38" s="3"/>
      <c r="K38" s="3"/>
      <c r="L38" s="2"/>
    </row>
    <row r="39" spans="9:12">
      <c r="I39" s="3"/>
      <c r="J39" s="3"/>
      <c r="K39" s="3"/>
      <c r="L39" s="2"/>
    </row>
    <row r="40" spans="9:12">
      <c r="I40" s="3"/>
      <c r="J40" s="3"/>
      <c r="K40" s="3"/>
      <c r="L40" s="2"/>
    </row>
    <row r="41" spans="9:12">
      <c r="L41" s="2"/>
    </row>
    <row r="42" spans="9:12">
      <c r="L42" s="2"/>
    </row>
    <row r="43" spans="9:12">
      <c r="L43" s="2"/>
    </row>
    <row r="44" spans="9:12">
      <c r="L44" s="2"/>
    </row>
    <row r="45" spans="9:12">
      <c r="L45" s="2"/>
    </row>
    <row r="46" spans="9:12">
      <c r="L46" s="2"/>
    </row>
    <row r="47" spans="9:12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7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F15" sqref="F15"/>
    </sheetView>
  </sheetViews>
  <sheetFormatPr defaultRowHeight="15.75"/>
  <cols>
    <col min="6" max="6" width="11.375" bestFit="1" customWidth="1"/>
  </cols>
  <sheetData>
    <row r="1" spans="1:15" ht="16.5" thickBot="1">
      <c r="D1" t="s">
        <v>386</v>
      </c>
      <c r="E1" t="s">
        <v>417</v>
      </c>
      <c r="F1" t="s">
        <v>3476</v>
      </c>
    </row>
    <row r="2" spans="1:15" ht="16.5" thickBot="1">
      <c r="A2" s="82">
        <v>1</v>
      </c>
      <c r="B2" s="80" t="s">
        <v>3474</v>
      </c>
      <c r="C2" s="80">
        <v>38</v>
      </c>
      <c r="D2" s="81">
        <v>604</v>
      </c>
      <c r="E2" s="81">
        <v>219</v>
      </c>
      <c r="F2" s="86">
        <f>D2/E2</f>
        <v>2.7579908675799087</v>
      </c>
      <c r="G2" s="81">
        <f>RANK(E2,$E$2:$E$21,0)</f>
        <v>1</v>
      </c>
      <c r="H2" s="81"/>
      <c r="I2" s="81"/>
      <c r="J2" s="81"/>
      <c r="K2" s="81"/>
      <c r="L2" s="81"/>
      <c r="M2" s="81"/>
      <c r="N2" s="81"/>
      <c r="O2" s="81"/>
    </row>
    <row r="3" spans="1:15" ht="29.25" thickBot="1">
      <c r="A3" s="82">
        <v>2</v>
      </c>
      <c r="B3" s="80" t="s">
        <v>3475</v>
      </c>
      <c r="C3" s="80">
        <v>38</v>
      </c>
      <c r="D3" s="81">
        <v>521</v>
      </c>
      <c r="E3" s="81">
        <v>212</v>
      </c>
      <c r="F3" s="86">
        <f t="shared" ref="F3:F21" si="0">D3/E3</f>
        <v>2.4575471698113209</v>
      </c>
      <c r="G3" s="81">
        <f t="shared" ref="G3:G21" si="1">RANK(E3,$E$2:$E$21,0)</f>
        <v>3</v>
      </c>
      <c r="H3" s="81"/>
      <c r="I3" s="81"/>
      <c r="J3" s="81"/>
      <c r="K3" s="81"/>
      <c r="L3" s="81"/>
      <c r="M3" s="81"/>
      <c r="N3" s="81"/>
      <c r="O3" s="81"/>
    </row>
    <row r="4" spans="1:15" ht="16.5" thickBot="1">
      <c r="A4" s="82">
        <v>3</v>
      </c>
      <c r="B4" s="80" t="s">
        <v>20</v>
      </c>
      <c r="C4" s="80">
        <v>38</v>
      </c>
      <c r="D4" s="81">
        <v>608</v>
      </c>
      <c r="E4" s="81">
        <v>214</v>
      </c>
      <c r="F4" s="86">
        <f t="shared" si="0"/>
        <v>2.8411214953271027</v>
      </c>
      <c r="G4" s="81">
        <f t="shared" si="1"/>
        <v>2</v>
      </c>
      <c r="H4" s="81"/>
      <c r="I4" s="81"/>
      <c r="J4" s="81"/>
      <c r="K4" s="81"/>
      <c r="L4" s="81"/>
      <c r="M4" s="81"/>
      <c r="N4" s="81"/>
      <c r="O4" s="81"/>
    </row>
    <row r="5" spans="1:15" ht="16.5" thickBot="1">
      <c r="A5" s="82">
        <v>4</v>
      </c>
      <c r="B5" s="80" t="s">
        <v>3</v>
      </c>
      <c r="C5" s="80">
        <v>38</v>
      </c>
      <c r="D5" s="81">
        <v>558</v>
      </c>
      <c r="E5" s="81">
        <v>209</v>
      </c>
      <c r="F5" s="86">
        <f t="shared" si="0"/>
        <v>2.6698564593301435</v>
      </c>
      <c r="G5" s="81">
        <f t="shared" si="1"/>
        <v>4</v>
      </c>
      <c r="H5" s="81"/>
      <c r="I5" s="81"/>
      <c r="J5" s="81"/>
      <c r="K5" s="81"/>
      <c r="L5" s="81"/>
      <c r="M5" s="81"/>
      <c r="N5" s="81"/>
      <c r="O5" s="81"/>
    </row>
    <row r="6" spans="1:15" ht="16.5" thickBot="1">
      <c r="A6" s="82">
        <v>5</v>
      </c>
      <c r="B6" s="80" t="s">
        <v>470</v>
      </c>
      <c r="C6" s="80">
        <v>38</v>
      </c>
      <c r="D6" s="81">
        <v>484</v>
      </c>
      <c r="E6" s="81">
        <v>185</v>
      </c>
      <c r="F6" s="86">
        <f t="shared" si="0"/>
        <v>2.6162162162162161</v>
      </c>
      <c r="G6" s="81">
        <f t="shared" si="1"/>
        <v>7</v>
      </c>
      <c r="H6" s="81"/>
      <c r="I6" s="81"/>
      <c r="J6" s="81"/>
      <c r="K6" s="81"/>
      <c r="L6" s="81"/>
      <c r="M6" s="81"/>
      <c r="N6" s="81"/>
      <c r="O6" s="81"/>
    </row>
    <row r="7" spans="1:15" ht="29.25" thickBot="1">
      <c r="A7" s="82">
        <v>6</v>
      </c>
      <c r="B7" s="80" t="s">
        <v>22</v>
      </c>
      <c r="C7" s="80">
        <v>38</v>
      </c>
      <c r="D7" s="81">
        <v>468</v>
      </c>
      <c r="E7" s="81">
        <v>165</v>
      </c>
      <c r="F7" s="86">
        <f t="shared" si="0"/>
        <v>2.8363636363636364</v>
      </c>
      <c r="G7" s="81">
        <f t="shared" si="1"/>
        <v>10</v>
      </c>
      <c r="H7" s="81"/>
      <c r="I7" s="81"/>
      <c r="J7" s="81"/>
      <c r="K7" s="81"/>
      <c r="L7" s="81"/>
      <c r="M7" s="81"/>
      <c r="N7" s="81"/>
      <c r="O7" s="81"/>
    </row>
    <row r="8" spans="1:15" ht="29.25" thickBot="1">
      <c r="A8" s="82">
        <v>7</v>
      </c>
      <c r="B8" s="80" t="s">
        <v>5</v>
      </c>
      <c r="C8" s="80">
        <v>38</v>
      </c>
      <c r="D8" s="81">
        <v>444</v>
      </c>
      <c r="E8" s="81">
        <v>176</v>
      </c>
      <c r="F8" s="86">
        <f t="shared" si="0"/>
        <v>2.5227272727272729</v>
      </c>
      <c r="G8" s="81">
        <f t="shared" si="1"/>
        <v>8</v>
      </c>
      <c r="H8" s="81"/>
      <c r="I8" s="81"/>
      <c r="J8" s="81"/>
      <c r="K8" s="81"/>
      <c r="L8" s="81"/>
      <c r="M8" s="81"/>
      <c r="N8" s="81"/>
      <c r="O8" s="81"/>
    </row>
    <row r="9" spans="1:15" ht="16.5" thickBot="1">
      <c r="A9" s="82">
        <v>8</v>
      </c>
      <c r="B9" s="80" t="s">
        <v>1</v>
      </c>
      <c r="C9" s="80">
        <v>38</v>
      </c>
      <c r="D9" s="81">
        <v>459</v>
      </c>
      <c r="E9" s="81">
        <v>152</v>
      </c>
      <c r="F9" s="86">
        <f t="shared" si="0"/>
        <v>3.0197368421052633</v>
      </c>
      <c r="G9" s="81">
        <f t="shared" si="1"/>
        <v>12</v>
      </c>
      <c r="H9" s="81"/>
      <c r="I9" s="81"/>
      <c r="J9" s="81"/>
      <c r="K9" s="81"/>
      <c r="L9" s="81"/>
      <c r="M9" s="81"/>
      <c r="N9" s="81"/>
      <c r="O9" s="81"/>
    </row>
    <row r="10" spans="1:15" ht="16.5" thickBot="1">
      <c r="A10" s="82">
        <v>9</v>
      </c>
      <c r="B10" s="80" t="s">
        <v>499</v>
      </c>
      <c r="C10" s="80">
        <v>38</v>
      </c>
      <c r="D10" s="81">
        <v>522</v>
      </c>
      <c r="E10" s="81">
        <v>199</v>
      </c>
      <c r="F10" s="86">
        <f t="shared" si="0"/>
        <v>2.6231155778894473</v>
      </c>
      <c r="G10" s="81">
        <f t="shared" si="1"/>
        <v>5</v>
      </c>
      <c r="H10" s="81"/>
      <c r="I10" s="81"/>
      <c r="J10" s="81"/>
      <c r="K10" s="81"/>
      <c r="L10" s="81"/>
      <c r="M10" s="81"/>
      <c r="N10" s="81"/>
      <c r="O10" s="81"/>
    </row>
    <row r="11" spans="1:15" ht="16.5" thickBot="1">
      <c r="A11" s="82">
        <v>10</v>
      </c>
      <c r="B11" s="80" t="s">
        <v>28</v>
      </c>
      <c r="C11" s="80">
        <v>38</v>
      </c>
      <c r="D11" s="81">
        <v>400</v>
      </c>
      <c r="E11" s="81">
        <v>148</v>
      </c>
      <c r="F11" s="86">
        <f t="shared" si="0"/>
        <v>2.7027027027027026</v>
      </c>
      <c r="G11" s="81">
        <f t="shared" si="1"/>
        <v>13</v>
      </c>
      <c r="H11" s="81"/>
      <c r="I11" s="81"/>
      <c r="J11" s="81"/>
      <c r="K11" s="81"/>
      <c r="L11" s="81"/>
      <c r="M11" s="81"/>
      <c r="N11" s="81"/>
      <c r="O11" s="81"/>
    </row>
    <row r="12" spans="1:15" ht="29.25" thickBot="1">
      <c r="A12" s="82">
        <v>11</v>
      </c>
      <c r="B12" s="80" t="s">
        <v>9</v>
      </c>
      <c r="C12" s="80">
        <v>38</v>
      </c>
      <c r="D12" s="81">
        <v>511</v>
      </c>
      <c r="E12" s="81">
        <v>187</v>
      </c>
      <c r="F12" s="86">
        <f t="shared" si="0"/>
        <v>2.7326203208556148</v>
      </c>
      <c r="G12" s="81">
        <f t="shared" si="1"/>
        <v>6</v>
      </c>
      <c r="H12" s="81"/>
      <c r="I12" s="81"/>
      <c r="J12" s="81"/>
      <c r="K12" s="81"/>
      <c r="L12" s="81"/>
      <c r="M12" s="81"/>
      <c r="N12" s="81"/>
      <c r="O12" s="81"/>
    </row>
    <row r="13" spans="1:15" ht="29.25" thickBot="1">
      <c r="A13" s="82">
        <v>12</v>
      </c>
      <c r="B13" s="80" t="s">
        <v>13</v>
      </c>
      <c r="C13" s="80">
        <v>38</v>
      </c>
      <c r="D13" s="81">
        <v>397</v>
      </c>
      <c r="E13" s="81">
        <v>142</v>
      </c>
      <c r="F13" s="86">
        <f t="shared" si="0"/>
        <v>2.795774647887324</v>
      </c>
      <c r="G13" s="81">
        <f t="shared" si="1"/>
        <v>15</v>
      </c>
      <c r="H13" s="81"/>
      <c r="I13" s="81"/>
      <c r="J13" s="81"/>
      <c r="K13" s="81"/>
      <c r="L13" s="81"/>
      <c r="M13" s="81"/>
      <c r="N13" s="81"/>
      <c r="O13" s="81"/>
    </row>
    <row r="14" spans="1:15" ht="16.5" thickBot="1">
      <c r="A14" s="82">
        <v>13</v>
      </c>
      <c r="B14" s="80" t="s">
        <v>714</v>
      </c>
      <c r="C14" s="80">
        <v>38</v>
      </c>
      <c r="D14" s="81">
        <v>462</v>
      </c>
      <c r="E14" s="81">
        <v>154</v>
      </c>
      <c r="F14" s="86">
        <f t="shared" si="0"/>
        <v>3</v>
      </c>
      <c r="G14" s="81">
        <f t="shared" si="1"/>
        <v>11</v>
      </c>
      <c r="H14" s="81"/>
      <c r="I14" s="81"/>
      <c r="J14" s="81"/>
      <c r="K14" s="81"/>
      <c r="L14" s="81"/>
      <c r="M14" s="81"/>
      <c r="N14" s="81"/>
      <c r="O14" s="81"/>
    </row>
    <row r="15" spans="1:15" ht="29.25" thickBot="1">
      <c r="A15" s="82">
        <v>14</v>
      </c>
      <c r="B15" s="80" t="s">
        <v>19</v>
      </c>
      <c r="C15" s="80">
        <v>38</v>
      </c>
      <c r="D15" s="81">
        <v>349</v>
      </c>
      <c r="E15" s="81">
        <v>131</v>
      </c>
      <c r="F15" s="86">
        <f t="shared" si="0"/>
        <v>2.66412213740458</v>
      </c>
      <c r="G15" s="81">
        <f t="shared" si="1"/>
        <v>17</v>
      </c>
      <c r="H15" s="81"/>
      <c r="I15" s="81"/>
      <c r="J15" s="81"/>
      <c r="K15" s="81"/>
      <c r="L15" s="81"/>
      <c r="M15" s="81"/>
      <c r="N15" s="81"/>
      <c r="O15" s="81"/>
    </row>
    <row r="16" spans="1:15" ht="29.25" thickBot="1">
      <c r="A16" s="82">
        <v>15</v>
      </c>
      <c r="B16" s="80" t="s">
        <v>7</v>
      </c>
      <c r="C16" s="80">
        <v>38</v>
      </c>
      <c r="D16" s="81">
        <v>423</v>
      </c>
      <c r="E16" s="81">
        <v>166</v>
      </c>
      <c r="F16" s="86">
        <f t="shared" si="0"/>
        <v>2.5481927710843375</v>
      </c>
      <c r="G16" s="81">
        <f t="shared" si="1"/>
        <v>9</v>
      </c>
      <c r="H16" s="81"/>
      <c r="I16" s="81"/>
      <c r="J16" s="81"/>
      <c r="K16" s="81"/>
      <c r="L16" s="81"/>
      <c r="M16" s="81"/>
      <c r="N16" s="81"/>
      <c r="O16" s="81"/>
    </row>
    <row r="17" spans="1:15" ht="16.5" thickBot="1">
      <c r="A17" s="82">
        <v>16</v>
      </c>
      <c r="B17" s="80" t="s">
        <v>472</v>
      </c>
      <c r="C17" s="80">
        <v>38</v>
      </c>
      <c r="D17" s="81">
        <v>487</v>
      </c>
      <c r="E17" s="81">
        <v>143</v>
      </c>
      <c r="F17" s="86">
        <f t="shared" si="0"/>
        <v>3.4055944055944054</v>
      </c>
      <c r="G17" s="81">
        <f t="shared" si="1"/>
        <v>14</v>
      </c>
      <c r="H17" s="81"/>
      <c r="I17" s="81"/>
      <c r="J17" s="81"/>
      <c r="K17" s="81"/>
      <c r="L17" s="81"/>
      <c r="M17" s="81"/>
      <c r="N17" s="81"/>
      <c r="O17" s="81"/>
    </row>
    <row r="18" spans="1:15" ht="16.5" thickBot="1">
      <c r="A18" s="82">
        <v>17</v>
      </c>
      <c r="B18" s="80" t="s">
        <v>11</v>
      </c>
      <c r="C18" s="80">
        <v>38</v>
      </c>
      <c r="D18" s="81">
        <v>384</v>
      </c>
      <c r="E18" s="81">
        <v>130</v>
      </c>
      <c r="F18" s="86">
        <f t="shared" si="0"/>
        <v>2.953846153846154</v>
      </c>
      <c r="G18" s="81">
        <f t="shared" si="1"/>
        <v>18</v>
      </c>
      <c r="H18" s="81"/>
      <c r="I18" s="81"/>
      <c r="J18" s="81"/>
      <c r="K18" s="81"/>
      <c r="L18" s="81"/>
      <c r="M18" s="81"/>
      <c r="N18" s="81"/>
      <c r="O18" s="81"/>
    </row>
    <row r="19" spans="1:15" ht="16.5" thickBot="1">
      <c r="A19" s="82">
        <v>18</v>
      </c>
      <c r="B19" s="80" t="s">
        <v>500</v>
      </c>
      <c r="C19" s="80">
        <v>38</v>
      </c>
      <c r="D19" s="81">
        <v>442</v>
      </c>
      <c r="E19" s="81">
        <v>136</v>
      </c>
      <c r="F19" s="86">
        <f t="shared" si="0"/>
        <v>3.25</v>
      </c>
      <c r="G19" s="81">
        <f t="shared" si="1"/>
        <v>16</v>
      </c>
      <c r="H19" s="81"/>
      <c r="I19" s="81"/>
      <c r="J19" s="81"/>
      <c r="K19" s="81"/>
      <c r="L19" s="81"/>
      <c r="M19" s="81"/>
      <c r="N19" s="81"/>
      <c r="O19" s="81"/>
    </row>
    <row r="20" spans="1:15" ht="29.25" thickBot="1">
      <c r="A20" s="82">
        <v>19</v>
      </c>
      <c r="B20" s="80" t="s">
        <v>501</v>
      </c>
      <c r="C20" s="80">
        <v>38</v>
      </c>
      <c r="D20" s="81">
        <v>340</v>
      </c>
      <c r="E20" s="81">
        <v>112</v>
      </c>
      <c r="F20" s="86">
        <f t="shared" si="0"/>
        <v>3.0357142857142856</v>
      </c>
      <c r="G20" s="81">
        <f t="shared" si="1"/>
        <v>19</v>
      </c>
      <c r="H20" s="81"/>
      <c r="I20" s="81"/>
      <c r="J20" s="81"/>
      <c r="K20" s="81"/>
      <c r="L20" s="81"/>
      <c r="M20" s="81"/>
      <c r="N20" s="81"/>
      <c r="O20" s="81"/>
    </row>
    <row r="21" spans="1:15" ht="29.25" thickBot="1">
      <c r="A21" s="83">
        <v>20</v>
      </c>
      <c r="B21" s="84" t="s">
        <v>18</v>
      </c>
      <c r="C21" s="84">
        <v>38</v>
      </c>
      <c r="D21" s="85">
        <v>325</v>
      </c>
      <c r="E21" s="85">
        <v>99</v>
      </c>
      <c r="F21" s="86">
        <f t="shared" si="0"/>
        <v>3.2828282828282829</v>
      </c>
      <c r="G21" s="81">
        <f t="shared" si="1"/>
        <v>20</v>
      </c>
      <c r="H21" s="85"/>
      <c r="I21" s="85"/>
      <c r="J21" s="85"/>
      <c r="K21" s="85"/>
      <c r="L21" s="85"/>
      <c r="M21" s="85"/>
      <c r="N21" s="85"/>
      <c r="O21" s="85"/>
    </row>
    <row r="22" spans="1:15" ht="16.5" thickBot="1">
      <c r="F22" s="86">
        <v>3.2828282828282829</v>
      </c>
      <c r="G22" s="81">
        <f>+G21+1</f>
        <v>21</v>
      </c>
      <c r="J22">
        <v>11</v>
      </c>
      <c r="K22" t="e">
        <f>+#REF!+1</f>
        <v>#REF!</v>
      </c>
    </row>
    <row r="23" spans="1:15" ht="16.5" thickBot="1">
      <c r="F23" s="86">
        <v>3.2828282828282829</v>
      </c>
      <c r="G23" s="81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5" thickBot="1">
      <c r="F24" s="86">
        <v>3.2828282828282829</v>
      </c>
      <c r="G24" s="81">
        <f t="shared" si="2"/>
        <v>23</v>
      </c>
      <c r="J24">
        <v>11</v>
      </c>
      <c r="K24" t="e">
        <f t="shared" si="3"/>
        <v>#REF!</v>
      </c>
    </row>
    <row r="25" spans="1:15">
      <c r="F25" s="86">
        <v>3.2828282828282829</v>
      </c>
      <c r="G25" s="81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1"/>
  </sheetPr>
  <dimension ref="A1:BZ623"/>
  <sheetViews>
    <sheetView workbookViewId="0">
      <pane ySplit="2" topLeftCell="A67" activePane="bottomLeft" state="frozen"/>
      <selection pane="bottomLeft" activeCell="E67" sqref="E67"/>
    </sheetView>
  </sheetViews>
  <sheetFormatPr defaultColWidth="11" defaultRowHeight="15.75"/>
  <cols>
    <col min="1" max="1" width="24.625" bestFit="1" customWidth="1"/>
    <col min="2" max="2" width="2.25" bestFit="1" customWidth="1"/>
    <col min="3" max="3" width="10.375" bestFit="1" customWidth="1"/>
    <col min="4" max="4" width="8.25" bestFit="1" customWidth="1"/>
    <col min="5" max="5" width="8" bestFit="1" customWidth="1"/>
    <col min="6" max="6" width="6.25" bestFit="1" customWidth="1"/>
    <col min="7" max="7" width="9.25" bestFit="1" customWidth="1"/>
    <col min="8" max="8" width="6.375" bestFit="1" customWidth="1"/>
    <col min="9" max="9" width="10.25" bestFit="1" customWidth="1"/>
    <col min="10" max="11" width="4.625" bestFit="1" customWidth="1"/>
    <col min="12" max="12" width="9.125" bestFit="1" customWidth="1"/>
    <col min="13" max="13" width="8.25" bestFit="1" customWidth="1"/>
    <col min="14" max="14" width="8.75" bestFit="1" customWidth="1"/>
    <col min="15" max="15" width="7" bestFit="1" customWidth="1"/>
    <col min="16" max="16" width="7.625" bestFit="1" customWidth="1"/>
    <col min="17" max="17" width="9" bestFit="1" customWidth="1"/>
    <col min="18" max="18" width="4.75" bestFit="1" customWidth="1"/>
    <col min="19" max="19" width="5.625" bestFit="1" customWidth="1"/>
    <col min="20" max="20" width="5" bestFit="1" customWidth="1"/>
    <col min="21" max="21" width="2.75" bestFit="1" customWidth="1"/>
    <col min="22" max="22" width="4.5" bestFit="1" customWidth="1"/>
    <col min="23" max="23" width="4.125" bestFit="1" customWidth="1"/>
    <col min="24" max="24" width="5.75" bestFit="1" customWidth="1"/>
    <col min="25" max="25" width="3.75" bestFit="1" customWidth="1"/>
    <col min="26" max="26" width="4.75" bestFit="1" customWidth="1"/>
    <col min="27" max="27" width="6.625" bestFit="1" customWidth="1"/>
    <col min="28" max="28" width="10.375" bestFit="1" customWidth="1"/>
    <col min="29" max="29" width="7.25" bestFit="1" customWidth="1"/>
    <col min="30" max="30" width="8.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625" bestFit="1" customWidth="1"/>
    <col min="37" max="38" width="21.5" bestFit="1" customWidth="1"/>
    <col min="39" max="41" width="21.5" customWidth="1"/>
    <col min="42" max="46" width="11.375" bestFit="1" customWidth="1"/>
    <col min="47" max="51" width="11.375" customWidth="1"/>
    <col min="52" max="52" width="15.75" bestFit="1" customWidth="1"/>
    <col min="53" max="53" width="16.625" bestFit="1" customWidth="1"/>
    <col min="54" max="54" width="6.25" bestFit="1" customWidth="1"/>
    <col min="55" max="55" width="14.875" bestFit="1" customWidth="1"/>
    <col min="61" max="64" width="12.375" bestFit="1" customWidth="1"/>
    <col min="65" max="65" width="13.5" bestFit="1" customWidth="1"/>
    <col min="66" max="68" width="13.5" customWidth="1"/>
    <col min="71" max="71" width="11.375" bestFit="1" customWidth="1"/>
  </cols>
  <sheetData>
    <row r="1" spans="1:78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0" t="s">
        <v>5226</v>
      </c>
      <c r="S1" s="100"/>
      <c r="T1" s="100"/>
      <c r="U1" s="100"/>
      <c r="V1" s="100"/>
      <c r="W1" s="100"/>
      <c r="X1" s="100"/>
      <c r="Y1" s="100"/>
      <c r="Z1" s="10"/>
      <c r="AA1" s="100" t="s">
        <v>5227</v>
      </c>
      <c r="AB1" s="100"/>
      <c r="AC1" s="100"/>
      <c r="AD1" s="100"/>
      <c r="AE1" s="10"/>
      <c r="AF1" s="99" t="s">
        <v>5228</v>
      </c>
      <c r="AG1" s="99"/>
      <c r="AH1" s="99"/>
      <c r="AI1" s="99"/>
      <c r="AJ1" s="99"/>
      <c r="AK1" s="99"/>
      <c r="AL1" s="99"/>
      <c r="AM1" s="99"/>
      <c r="AN1" s="99"/>
      <c r="AO1" s="99"/>
      <c r="BI1" s="78">
        <v>0.35</v>
      </c>
      <c r="BJ1" s="78">
        <v>0.3</v>
      </c>
      <c r="BK1" s="78">
        <v>0.3</v>
      </c>
      <c r="BM1" s="78">
        <v>0.06</v>
      </c>
    </row>
    <row r="2" spans="1:78">
      <c r="A2" s="73"/>
      <c r="B2" s="74" t="s">
        <v>898</v>
      </c>
      <c r="C2" s="74" t="s">
        <v>953</v>
      </c>
      <c r="D2" s="74" t="s">
        <v>954</v>
      </c>
      <c r="E2" s="74" t="s">
        <v>955</v>
      </c>
      <c r="F2" s="74" t="s">
        <v>956</v>
      </c>
      <c r="G2" s="74" t="s">
        <v>957</v>
      </c>
      <c r="H2" s="74" t="s">
        <v>900</v>
      </c>
      <c r="I2" s="74" t="s">
        <v>958</v>
      </c>
      <c r="J2" s="74" t="s">
        <v>959</v>
      </c>
      <c r="K2" s="74" t="s">
        <v>960</v>
      </c>
      <c r="L2" s="74" t="s">
        <v>961</v>
      </c>
      <c r="M2" s="74" t="s">
        <v>962</v>
      </c>
      <c r="N2" s="74" t="s">
        <v>963</v>
      </c>
      <c r="O2" s="74" t="s">
        <v>964</v>
      </c>
      <c r="P2" s="74" t="s">
        <v>965</v>
      </c>
      <c r="Q2" s="74" t="s">
        <v>966</v>
      </c>
      <c r="R2" s="74" t="s">
        <v>967</v>
      </c>
      <c r="S2" s="74" t="s">
        <v>968</v>
      </c>
      <c r="T2" s="74" t="s">
        <v>969</v>
      </c>
      <c r="U2" s="74" t="s">
        <v>970</v>
      </c>
      <c r="V2" s="74" t="s">
        <v>971</v>
      </c>
      <c r="W2" s="74" t="s">
        <v>386</v>
      </c>
      <c r="X2" s="74" t="s">
        <v>972</v>
      </c>
      <c r="Y2" s="74" t="s">
        <v>973</v>
      </c>
      <c r="Z2" s="74" t="s">
        <v>974</v>
      </c>
      <c r="AA2" s="74" t="s">
        <v>975</v>
      </c>
      <c r="AB2" s="74" t="s">
        <v>5212</v>
      </c>
      <c r="AC2" s="74" t="s">
        <v>976</v>
      </c>
      <c r="AD2" s="74" t="s">
        <v>977</v>
      </c>
      <c r="AE2" s="101" t="s">
        <v>5229</v>
      </c>
      <c r="AF2" t="s">
        <v>3492</v>
      </c>
      <c r="AG2" s="74" t="s">
        <v>3494</v>
      </c>
      <c r="AH2" s="74" t="s">
        <v>3495</v>
      </c>
      <c r="AI2" s="74" t="s">
        <v>3496</v>
      </c>
      <c r="AJ2" s="74" t="s">
        <v>3494</v>
      </c>
      <c r="AK2" s="74" t="s">
        <v>3495</v>
      </c>
      <c r="AL2" s="74" t="s">
        <v>3496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9" t="str">
        <f>_xlfn.CONCAT(R2,$V$2)</f>
        <v>goalsmin</v>
      </c>
      <c r="AQ2" s="79" t="str">
        <f>_xlfn.CONCAT(S2,$V$2)</f>
        <v>assistsmin</v>
      </c>
      <c r="AR2" s="79" t="str">
        <f>_xlfn.CONCAT(W2,$V$2)</f>
        <v>SOGmin</v>
      </c>
      <c r="AS2" s="79" t="str">
        <f>_xlfn.CONCAT(X2,$V$2)</f>
        <v>Yellowmin</v>
      </c>
      <c r="AT2" s="79" t="str">
        <f>_xlfn.CONCAT(Y2,$V$2)</f>
        <v>Redmin</v>
      </c>
      <c r="AU2" s="95" t="str">
        <f>CONCATENATE(AP2,"_adj")</f>
        <v>goalsmin_adj</v>
      </c>
      <c r="AV2" s="95" t="str">
        <f>CONCATENATE(AQ2,"_adj")</f>
        <v>assistsmin_adj</v>
      </c>
      <c r="AW2" s="95" t="str">
        <f>CONCATENATE(AR2,"_adj")</f>
        <v>SOGmin_adj</v>
      </c>
      <c r="AX2" s="95" t="str">
        <f>CONCATENATE(AS2,"_adj")</f>
        <v>Yellowmin_adj</v>
      </c>
      <c r="AY2" s="95" t="str">
        <f>CONCATENATE(AT2,"_adj")</f>
        <v>Redmin_adj</v>
      </c>
      <c r="AZ2" s="95" t="s">
        <v>5213</v>
      </c>
      <c r="BA2" s="95" t="s">
        <v>5214</v>
      </c>
      <c r="BB2" s="95" t="s">
        <v>972</v>
      </c>
      <c r="BC2" t="s">
        <v>3470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hidden="1">
      <c r="A3" s="74">
        <v>0</v>
      </c>
      <c r="B3" s="73">
        <v>204617</v>
      </c>
      <c r="C3" s="73" t="s">
        <v>978</v>
      </c>
      <c r="D3" s="73" t="s">
        <v>979</v>
      </c>
      <c r="E3" s="73" t="s">
        <v>980</v>
      </c>
      <c r="F3" s="73">
        <v>18645</v>
      </c>
      <c r="G3" s="73" t="s">
        <v>879</v>
      </c>
      <c r="H3" s="73" t="s">
        <v>933</v>
      </c>
      <c r="I3" s="73" t="s">
        <v>981</v>
      </c>
      <c r="J3" s="73">
        <v>0</v>
      </c>
      <c r="K3" s="73">
        <v>13.5</v>
      </c>
      <c r="L3" s="73">
        <v>0</v>
      </c>
      <c r="M3" s="73">
        <v>0</v>
      </c>
      <c r="N3" s="73">
        <v>0</v>
      </c>
      <c r="O3" s="73" t="s">
        <v>982</v>
      </c>
      <c r="P3" s="73" t="s">
        <v>61</v>
      </c>
      <c r="Q3" s="73" t="s">
        <v>61</v>
      </c>
      <c r="R3" s="73">
        <v>23</v>
      </c>
      <c r="S3" s="73">
        <v>14</v>
      </c>
      <c r="T3" s="73">
        <v>0</v>
      </c>
      <c r="U3" s="73">
        <v>11</v>
      </c>
      <c r="V3" s="73">
        <v>3085</v>
      </c>
      <c r="W3" s="73">
        <v>53</v>
      </c>
      <c r="X3" s="73">
        <v>1</v>
      </c>
      <c r="Y3" s="73">
        <v>0</v>
      </c>
      <c r="Z3" s="73" t="s">
        <v>879</v>
      </c>
      <c r="AA3" s="73" t="s">
        <v>693</v>
      </c>
      <c r="AB3" s="73" t="str">
        <f>IF(AA3&lt;&gt;"",INDEX(Lookup!$N$2:$N$5,MATCH(Players!AA3,Lookup!$P$2:$P$5,0)),INDEX(Lookup!$N$2:$N$5,MATCH(Players!O3,Lookup!$O$2:$O$5,0)))</f>
        <v>Striker</v>
      </c>
      <c r="AC3" s="73">
        <v>8500000</v>
      </c>
      <c r="AD3" s="73" t="s">
        <v>983</v>
      </c>
      <c r="AE3" s="73" t="str">
        <f>INDEX('Translate table'!$H$2:$H$622,MATCH(Players!P3,'Translate table'!$G$2:$G$622,0))</f>
        <v>Harry Kane</v>
      </c>
      <c r="AF3" s="73">
        <f>IFERROR(INDEX('Euro Qual stats'!$A$1:$L$2071,MATCH(Players!$AE3,'Euro Qual stats'!$A$1:$A$2071,0),MATCH(Players!AF$2,'Euro Qual stats'!$A$1:$L$1,0)),0)</f>
        <v>8</v>
      </c>
      <c r="AG3" s="73">
        <f>IFERROR(INDEX('Euro Qual stats'!$A$1:$L$2071,MATCH(Players!$AE3,'Euro Qual stats'!$A$1:$A$2071,0),MATCH(Players!AG$2,'Euro Qual stats'!$A$1:$L$1,0)),0)</f>
        <v>0.67</v>
      </c>
      <c r="AH3" s="73">
        <f>IFERROR(INDEX('Euro Qual stats'!$A$1:$L$2071,MATCH(Players!$AE3,'Euro Qual stats'!$A$1:$A$2071,0),MATCH(Players!AH$2,'Euro Qual stats'!$A$1:$L$1,0)),0)</f>
        <v>1.62</v>
      </c>
      <c r="AI3" s="73">
        <f>IFERROR(INDEX('Euro Qual stats'!$A$1:$L$2071,MATCH(Players!$AE3,'Euro Qual stats'!$A$1:$A$2071,0),MATCH(Players!AI$2,'Euro Qual stats'!$A$1:$L$1,0)),0)</f>
        <v>0</v>
      </c>
      <c r="AJ3" s="93">
        <f>(12-AF3)/12*INDEX(BV$9:BV$12,MATCH($AB3,$BU$9:$BU$12,0))+AF3/12*AG3</f>
        <v>0.51497126436781615</v>
      </c>
      <c r="AK3" s="93">
        <f>(12-AG3)/12*INDEX(BW$9:BW$12,MATCH($AB3,$BU$9:$BU$12,0))+AG3/12*AH3</f>
        <v>0.59452104885057455</v>
      </c>
      <c r="AL3" s="93">
        <f>(12-AH3)/12*INDEX(BX$9:BX$12,MATCH($AB3,$BU$9:$BU$12,0))+AH3/12*AI3</f>
        <v>0.14257586206896553</v>
      </c>
      <c r="AM3" s="93">
        <f>IF($BC3=1,AJ3/SUMIFS(AJ$3:AJ$623,$BC$3:$BC$623,1,$G$3:$G$623,$G3),0)</f>
        <v>0.23458366702947767</v>
      </c>
      <c r="AN3" s="93">
        <f>IF($BC3=1,AK3/SUMIFS(AK$3:AK$623,$BC$3:$BC$623,1,$G$3:$G$623,$G3),0)</f>
        <v>0.21250408299066578</v>
      </c>
      <c r="AO3" s="93">
        <f>IF($BC3=1,AL3/SUMIFS(AL$3:AL$623,$BC$3:$BC$623,1,$G$3:$G$623,$G3),0)</f>
        <v>6.3530154864120988E-2</v>
      </c>
      <c r="AP3" s="2">
        <f>IFERROR(R3/$V3*90,"")</f>
        <v>0.67098865478119929</v>
      </c>
      <c r="AQ3" s="2">
        <f>IFERROR(S3/$V3*90,"")</f>
        <v>0.40842787682333875</v>
      </c>
      <c r="AR3" s="2">
        <f>IFERROR(W3/$V3*90,"")</f>
        <v>1.546191247974068</v>
      </c>
      <c r="AS3" s="2">
        <f>IFERROR(X3/$V3*90,"")</f>
        <v>2.9173419773095621E-2</v>
      </c>
      <c r="AT3" s="2">
        <f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>AU3*0.5+AK3*0.5</f>
        <v>0.63275485181588698</v>
      </c>
      <c r="BA3" s="2">
        <f>AV3*0.5+AJ3*0.5</f>
        <v>0.46169957059557742</v>
      </c>
      <c r="BB3" s="2">
        <f>AX3*0.5+AI3*0.5</f>
        <v>1.4586709886547811E-2</v>
      </c>
      <c r="BC3">
        <f>IF(I3="expected",1,0)</f>
        <v>1</v>
      </c>
      <c r="BD3" s="78">
        <f>IF(BC3=1,AZ3/SUMIFS(AZ$3:AZ$623,$BC$3:$BC$623,1,$G$3:$G$623,$G3),0)</f>
        <v>0.25309107096106026</v>
      </c>
      <c r="BE3" s="78">
        <f>IF(BC3=1,BA3/SUMIFS(BA$3:BA$623,$BC$3:$BC$623,1,$G$3:$G$623,$G3),0)</f>
        <v>0.24884365967041261</v>
      </c>
      <c r="BF3" s="78">
        <f>IF(BC3=1,AW3/SUMIFS(AW$3:AW$623,$BC$3:$BC$623,1,$G$3:$G$623,$G3),0)</f>
        <v>0.25290558963387133</v>
      </c>
      <c r="BG3" s="2">
        <f>BB3</f>
        <v>1.4586709886547811E-2</v>
      </c>
      <c r="BH3" s="2">
        <f>AY3</f>
        <v>0</v>
      </c>
      <c r="BI3" s="2">
        <f>MIN(BI$1,BD3)</f>
        <v>0.25309107096106026</v>
      </c>
      <c r="BJ3" s="2">
        <f>MIN(BJ$1,BE3)</f>
        <v>0.24884365967041261</v>
      </c>
      <c r="BK3" s="2">
        <f>MIN(BK$1,BF3)</f>
        <v>0.25290558963387133</v>
      </c>
      <c r="BL3" s="2">
        <f>BG3</f>
        <v>1.4586709886547811E-2</v>
      </c>
      <c r="BM3" s="2">
        <f>MIN($BM$1,BH3)</f>
        <v>0</v>
      </c>
      <c r="BN3" s="2">
        <f>BI3/SUMIFS(BI$3:BI$623,$BC$3:$BC$623,1,$G$3:$G$623,$G3)</f>
        <v>0.25309107096106032</v>
      </c>
      <c r="BO3" s="2">
        <f>BJ3/SUMIFS(BJ$3:BJ$623,$BC$3:$BC$623,1,$G$3:$G$623,$G3)</f>
        <v>0.24884365967041261</v>
      </c>
      <c r="BP3" s="2">
        <f>BK3/SUMIFS(BK$3:BK$623,$BC$3:$BC$623,1,$G$3:$G$623,$G3)</f>
        <v>0.25290558963387128</v>
      </c>
      <c r="BQ3" s="2">
        <f>BL3</f>
        <v>1.4586709886547811E-2</v>
      </c>
      <c r="BR3" s="2">
        <f>BM3</f>
        <v>0</v>
      </c>
      <c r="BV3" t="s">
        <v>967</v>
      </c>
      <c r="BW3" t="s">
        <v>3477</v>
      </c>
      <c r="BX3" t="s">
        <v>386</v>
      </c>
      <c r="BY3" t="s">
        <v>972</v>
      </c>
      <c r="BZ3" t="s">
        <v>973</v>
      </c>
    </row>
    <row r="4" spans="1:78" hidden="1">
      <c r="A4" s="74">
        <v>0</v>
      </c>
      <c r="B4" s="73">
        <v>204698</v>
      </c>
      <c r="C4" s="73" t="s">
        <v>984</v>
      </c>
      <c r="D4" s="73" t="s">
        <v>985</v>
      </c>
      <c r="E4" s="73" t="s">
        <v>986</v>
      </c>
      <c r="F4" s="73">
        <v>18647</v>
      </c>
      <c r="G4" s="73" t="s">
        <v>891</v>
      </c>
      <c r="H4" s="73" t="s">
        <v>927</v>
      </c>
      <c r="I4" s="73" t="s">
        <v>981</v>
      </c>
      <c r="J4" s="73">
        <v>0</v>
      </c>
      <c r="K4" s="73">
        <v>13</v>
      </c>
      <c r="L4" s="73">
        <v>0</v>
      </c>
      <c r="M4" s="73">
        <v>0</v>
      </c>
      <c r="N4" s="73">
        <v>0</v>
      </c>
      <c r="O4" s="73" t="s">
        <v>982</v>
      </c>
      <c r="P4" s="73" t="s">
        <v>987</v>
      </c>
      <c r="Q4" s="73" t="s">
        <v>988</v>
      </c>
      <c r="R4" s="73">
        <v>27</v>
      </c>
      <c r="S4" s="73">
        <v>7</v>
      </c>
      <c r="T4" s="73">
        <v>0</v>
      </c>
      <c r="U4" s="73">
        <v>7</v>
      </c>
      <c r="V4" s="73">
        <v>2389</v>
      </c>
      <c r="W4" s="73">
        <v>55</v>
      </c>
      <c r="X4" s="73">
        <v>5</v>
      </c>
      <c r="Y4" s="73">
        <v>0</v>
      </c>
      <c r="Z4" s="73" t="s">
        <v>989</v>
      </c>
      <c r="AA4" s="73" t="s">
        <v>693</v>
      </c>
      <c r="AB4" s="73" t="str">
        <f>IF(AA4&lt;&gt;"",INDEX(Lookup!$N$2:$N$5,MATCH(Players!AA4,Lookup!$P$2:$P$5,0)),INDEX(Lookup!$N$2:$N$5,MATCH(Players!O4,Lookup!$O$2:$O$5,0)))</f>
        <v>Striker</v>
      </c>
      <c r="AC4" s="73">
        <v>8500000</v>
      </c>
      <c r="AD4" s="73" t="s">
        <v>990</v>
      </c>
      <c r="AE4" s="73" t="str">
        <f>INDEX('Translate table'!$H$2:$H$622,MATCH(Players!P4,'Translate table'!$G$2:$G$622,0))</f>
        <v>Kylian MbappÃ©</v>
      </c>
      <c r="AF4" s="73">
        <f>IFERROR(INDEX('Euro Qual stats'!$A$1:$L$2071,MATCH(Players!$AE4,'Euro Qual stats'!$A$1:$A$2071,0),MATCH(Players!AF$2,'Euro Qual stats'!$A$1:$L$1,0)),0)</f>
        <v>5</v>
      </c>
      <c r="AG4" s="73">
        <f>IFERROR(INDEX('Euro Qual stats'!$A$1:$L$2071,MATCH(Players!$AE4,'Euro Qual stats'!$A$1:$A$2071,0),MATCH(Players!AG$2,'Euro Qual stats'!$A$1:$L$1,0)),0)</f>
        <v>0.6</v>
      </c>
      <c r="AH4" s="73">
        <f>IFERROR(INDEX('Euro Qual stats'!$A$1:$L$2071,MATCH(Players!$AE4,'Euro Qual stats'!$A$1:$A$2071,0),MATCH(Players!AH$2,'Euro Qual stats'!$A$1:$L$1,0)),0)</f>
        <v>0.6</v>
      </c>
      <c r="AI4" s="73">
        <f>IFERROR(INDEX('Euro Qual stats'!$A$1:$L$2071,MATCH(Players!$AE4,'Euro Qual stats'!$A$1:$A$2071,0),MATCH(Players!AI$2,'Euro Qual stats'!$A$1:$L$1,0)),0)</f>
        <v>0.2</v>
      </c>
      <c r="AJ4" s="93">
        <f>(12-AF4)/12*INDEX(BV$9:BV$12,MATCH($AB4,$BU$9:$BU$12,0))+AF4/12*AG4</f>
        <v>0.36953304597701153</v>
      </c>
      <c r="AK4" s="93">
        <f>(12-AG4)/12*INDEX(BW$9:BW$12,MATCH($AB4,$BU$9:$BU$12,0))+AG4/12*AH4</f>
        <v>0.53718534482758606</v>
      </c>
      <c r="AL4" s="93">
        <f>(12-AH4)/12*INDEX(BX$9:BX$12,MATCH($AB4,$BU$9:$BU$12,0))+AH4/12*AI4</f>
        <v>0.16658620689655176</v>
      </c>
      <c r="AM4" s="93">
        <f>IF($BC4=1,AJ4/SUMIFS(AJ$3:AJ$623,$BC$3:$BC$623,1,$G$3:$G$623,$G4),0)</f>
        <v>0.19075654403312786</v>
      </c>
      <c r="AN4" s="93">
        <f>IF($BC4=1,AK4/SUMIFS(AK$3:AK$623,$BC$3:$BC$623,1,$G$3:$G$623,$G4),0)</f>
        <v>0.18042705072672108</v>
      </c>
      <c r="AO4" s="93">
        <f>IF($BC4=1,AL4/SUMIFS(AL$3:AL$623,$BC$3:$BC$623,1,$G$3:$G$623,$G4),0)</f>
        <v>8.6999454566619824E-2</v>
      </c>
      <c r="AP4" s="2">
        <f>IFERROR(R4/$V4*90,"")</f>
        <v>1.0171619924654667</v>
      </c>
      <c r="AQ4" s="2">
        <f>IFERROR(S4/$V4*90,"")</f>
        <v>0.26370866471326915</v>
      </c>
      <c r="AR4" s="2">
        <f>IFERROR(W4/$V4*90,"")</f>
        <v>2.0719966513185435</v>
      </c>
      <c r="AS4" s="2">
        <f>IFERROR(X4/$V4*90,"")</f>
        <v>0.18836333193804938</v>
      </c>
      <c r="AT4" s="2">
        <f>IFERROR(Y4/$V4*90,"")</f>
        <v>0</v>
      </c>
      <c r="AU4" s="2">
        <f>IF(AP4="",INDEX(BV$4:BV$7,MATCH(O4,$BU$4:$BU$7,0)),AP4)</f>
        <v>1.0171619924654667</v>
      </c>
      <c r="AV4" s="2">
        <f>IF(AQ4="",INDEX(BW$4:BW$7,MATCH($O4,$BU$4:$BU$7,0)),AQ4)</f>
        <v>0.26370866471326915</v>
      </c>
      <c r="AW4" s="2">
        <f t="shared" ref="AW4:AW67" si="0">IF(AR4="",INDEX(BX$4:BX$7,MATCH($O4,$BU$4:$BU$7,0)),AR4)</f>
        <v>2.0719966513185435</v>
      </c>
      <c r="AX4" s="2">
        <f t="shared" ref="AX4:AX67" si="1">IF(AS4="",INDEX(BY$4:BY$7,MATCH($O4,$BU$4:$BU$7,0)),AS4)</f>
        <v>0.18836333193804938</v>
      </c>
      <c r="AY4" s="2">
        <f t="shared" ref="AY4:AY67" si="2">IF(AT4="",INDEX(BZ$4:BZ$7,MATCH($O4,$BU$4:$BU$7,0)),AT4)</f>
        <v>0</v>
      </c>
      <c r="AZ4" s="2">
        <f>AU4*0.5+AK4*0.5</f>
        <v>0.77717366864652637</v>
      </c>
      <c r="BA4" s="2">
        <f>AV4*0.5+AJ4*0.5</f>
        <v>0.31662085534514034</v>
      </c>
      <c r="BB4" s="2">
        <f t="shared" ref="BB4:BB67" si="3">AX4*0.5+AI4*0.5</f>
        <v>0.1941816659690247</v>
      </c>
      <c r="BC4">
        <f>IF(I4="expected",1,0)</f>
        <v>1</v>
      </c>
      <c r="BD4" s="78">
        <f>IF(BC4=1,AZ4/SUMIFS(AZ$3:AZ$623,$BC$3:$BC$623,1,$G$3:$G$623,$G4),0)</f>
        <v>0.26919783798303371</v>
      </c>
      <c r="BE4" s="78">
        <f>IF(BC4=1,BA4/SUMIFS(BA$3:BA$623,$BC$3:$BC$623,1,$G$3:$G$623,$G4),0)</f>
        <v>0.17769475202786075</v>
      </c>
      <c r="BF4" s="78">
        <f t="shared" ref="BF4:BF67" si="4">IF(BC4=1,AW4/SUMIFS(AW$3:AW$623,$BC$3:$BC$623,1,$G$3:$G$623,$G4),0)</f>
        <v>0.28494567237876411</v>
      </c>
      <c r="BG4" s="2">
        <f t="shared" ref="BG4:BG67" si="5">BB4</f>
        <v>0.1941816659690247</v>
      </c>
      <c r="BH4" s="2">
        <f t="shared" ref="BH4:BH67" si="6">AY4</f>
        <v>0</v>
      </c>
      <c r="BI4" s="2">
        <f t="shared" ref="BI4:BI67" si="7">MIN(BI$1,BD4)</f>
        <v>0.26919783798303371</v>
      </c>
      <c r="BJ4" s="2">
        <f t="shared" ref="BJ4:BJ67" si="8">MIN(BJ$1,BE4)</f>
        <v>0.17769475202786075</v>
      </c>
      <c r="BK4" s="2">
        <f t="shared" ref="BK4:BK67" si="9">MIN(BK$1,BF4)</f>
        <v>0.28494567237876411</v>
      </c>
      <c r="BL4" s="2">
        <f t="shared" ref="BL4:BL67" si="10">BG4</f>
        <v>0.1941816659690247</v>
      </c>
      <c r="BM4" s="2">
        <f t="shared" ref="BM4:BM67" si="11">MIN($BM$1,BH4)</f>
        <v>0</v>
      </c>
      <c r="BN4" s="2">
        <f>BI4/SUMIFS(BI$3:BI$623,$BC$3:$BC$623,1,$G$3:$G$623,$G4)</f>
        <v>0.26919783798303371</v>
      </c>
      <c r="BO4" s="2">
        <f>BJ4/SUMIFS(BJ$3:BJ$623,$BC$3:$BC$623,1,$G$3:$G$623,$G4)</f>
        <v>0.17769475202786075</v>
      </c>
      <c r="BP4" s="2">
        <f>BK4/SUMIFS(BK$3:BK$623,$BC$3:$BC$623,1,$G$3:$G$623,$G4)</f>
        <v>0.28494567237876411</v>
      </c>
      <c r="BQ4" s="2">
        <f>BL4</f>
        <v>0.1941816659690247</v>
      </c>
      <c r="BR4" s="2">
        <f>BM4</f>
        <v>0</v>
      </c>
      <c r="BU4" s="73" t="s">
        <v>982</v>
      </c>
      <c r="BV4" s="2">
        <f t="array" ref="BV4">PERCENTILE(IF(($O$3:$O$623=$BU4)*($BC$3:$BC$623=1),AP$3:AP$623),0.25)</f>
        <v>0.18769551616266944</v>
      </c>
      <c r="BW4" s="2">
        <f t="array" ref="BW4">PERCENTILE(IF(($O$3:$O$623=$BU4)*($BC$3:$BC$623=1),AQ$3:AQ$623),0.25)</f>
        <v>4.82573726541555E-2</v>
      </c>
      <c r="BX4" s="2">
        <f t="array" ref="BX4">PERCENTILE(IF(($O$3:$O$623=$BU4)*($BC$3:$BC$623=1),AR$3:AR$623),0.25)</f>
        <v>0.70512820512820518</v>
      </c>
      <c r="BY4" s="2">
        <f t="array" ref="BY4">PERCENTILE(IF(($O$3:$O$623=$BU4)*($BC$3:$BC$623=1),AS$3:AS$623),0.5)</f>
        <v>0.12295081967213115</v>
      </c>
      <c r="BZ4" s="2">
        <f t="array" ref="BZ4">PERCENTILE(IF(($O$3:$O$623=$BU4)*($BC$3:$BC$623=1),AT$3:AT$623),0.5)</f>
        <v>0</v>
      </c>
    </row>
    <row r="5" spans="1:78" hidden="1">
      <c r="A5" s="74">
        <v>0</v>
      </c>
      <c r="B5" s="73">
        <v>204553</v>
      </c>
      <c r="C5" s="73" t="s">
        <v>991</v>
      </c>
      <c r="D5" s="73" t="s">
        <v>992</v>
      </c>
      <c r="E5" s="73" t="s">
        <v>993</v>
      </c>
      <c r="F5" s="73">
        <v>18743</v>
      </c>
      <c r="G5" s="73" t="s">
        <v>871</v>
      </c>
      <c r="H5" s="73" t="s">
        <v>945</v>
      </c>
      <c r="I5" s="73" t="s">
        <v>981</v>
      </c>
      <c r="J5" s="73">
        <v>0</v>
      </c>
      <c r="K5" s="73">
        <v>12.5</v>
      </c>
      <c r="L5" s="73">
        <v>0</v>
      </c>
      <c r="M5" s="73">
        <v>0</v>
      </c>
      <c r="N5" s="73">
        <v>0</v>
      </c>
      <c r="O5" s="73" t="s">
        <v>994</v>
      </c>
      <c r="P5" s="73" t="s">
        <v>378</v>
      </c>
      <c r="Q5" s="73" t="s">
        <v>378</v>
      </c>
      <c r="R5" s="73">
        <v>6</v>
      </c>
      <c r="S5" s="73">
        <v>12</v>
      </c>
      <c r="T5" s="73">
        <v>0</v>
      </c>
      <c r="U5" s="73">
        <v>8</v>
      </c>
      <c r="V5" s="73">
        <v>2001</v>
      </c>
      <c r="W5" s="73">
        <v>26</v>
      </c>
      <c r="X5" s="73">
        <v>1</v>
      </c>
      <c r="Y5" s="73">
        <v>0</v>
      </c>
      <c r="Z5" s="73" t="s">
        <v>995</v>
      </c>
      <c r="AA5" s="73" t="s">
        <v>691</v>
      </c>
      <c r="AB5" s="73" t="str">
        <f>IF(AA5&lt;&gt;"",INDEX(Lookup!$N$2:$N$5,MATCH(Players!AA5,Lookup!$P$2:$P$5,0)),INDEX(Lookup!$N$2:$N$5,MATCH(Players!O5,Lookup!$O$2:$O$5,0)))</f>
        <v>Midfield</v>
      </c>
      <c r="AC5" s="73">
        <v>8000000</v>
      </c>
      <c r="AD5" s="73" t="s">
        <v>817</v>
      </c>
      <c r="AE5" s="73" t="str">
        <f>INDEX('Translate table'!$H$2:$H$622,MATCH(Players!P5,'Translate table'!$G$2:$G$622,0))</f>
        <v>Kevin De Bruyne</v>
      </c>
      <c r="AF5" s="73">
        <f>IFERROR(INDEX('Euro Qual stats'!$A$1:$L$2071,MATCH(Players!$AE5,'Euro Qual stats'!$A$1:$A$2071,0),MATCH(Players!AF$2,'Euro Qual stats'!$A$1:$L$1,0)),0)</f>
        <v>6</v>
      </c>
      <c r="AG5" s="73">
        <f>IFERROR(INDEX('Euro Qual stats'!$A$1:$L$2071,MATCH(Players!$AE5,'Euro Qual stats'!$A$1:$A$2071,0),MATCH(Players!AG$2,'Euro Qual stats'!$A$1:$L$1,0)),0)</f>
        <v>1.1200000000000001</v>
      </c>
      <c r="AH5" s="73">
        <f>IFERROR(INDEX('Euro Qual stats'!$A$1:$L$2071,MATCH(Players!$AE5,'Euro Qual stats'!$A$1:$A$2071,0),MATCH(Players!AH$2,'Euro Qual stats'!$A$1:$L$1,0)),0)</f>
        <v>0.75</v>
      </c>
      <c r="AI5" s="73">
        <f>IFERROR(INDEX('Euro Qual stats'!$A$1:$L$2071,MATCH(Players!$AE5,'Euro Qual stats'!$A$1:$A$2071,0),MATCH(Players!AI$2,'Euro Qual stats'!$A$1:$L$1,0)),0)</f>
        <v>0.19</v>
      </c>
      <c r="AJ5" s="93">
        <f>(12-AF5)/12*INDEX(BV$9:BV$12,MATCH($AB5,$BU$9:$BU$12,0))+AF5/12*AG5</f>
        <v>0.64434554973822</v>
      </c>
      <c r="AK5" s="93">
        <f>(12-AG5)/12*INDEX(BW$9:BW$12,MATCH($AB5,$BU$9:$BU$12,0))+AG5/12*AH5</f>
        <v>0.27255218150087257</v>
      </c>
      <c r="AL5" s="93">
        <f>(12-AH5)/12*INDEX(BX$9:BX$12,MATCH($AB5,$BU$9:$BU$12,0))+AH5/12*AI5</f>
        <v>0.23633507853403143</v>
      </c>
      <c r="AM5" s="93">
        <f>IF($BC5=1,AJ5/SUMIFS(AJ$3:AJ$623,$BC$3:$BC$623,1,$G$3:$G$623,$G5),0)</f>
        <v>0.27976214332733673</v>
      </c>
      <c r="AN5" s="93">
        <f>IF($BC5=1,AK5/SUMIFS(AK$3:AK$623,$BC$3:$BC$623,1,$G$3:$G$623,$G5),0)</f>
        <v>0.109355600186785</v>
      </c>
      <c r="AO5" s="93">
        <f>IF($BC5=1,AL5/SUMIFS(AL$3:AL$623,$BC$3:$BC$623,1,$G$3:$G$623,$G5),0)</f>
        <v>0.11742969996961254</v>
      </c>
      <c r="AP5" s="2">
        <f>IFERROR(R5/$V5*90,"")</f>
        <v>0.26986506746626687</v>
      </c>
      <c r="AQ5" s="2">
        <f>IFERROR(S5/$V5*90,"")</f>
        <v>0.53973013493253374</v>
      </c>
      <c r="AR5" s="2">
        <f>IFERROR(W5/$V5*90,"")</f>
        <v>1.169415292353823</v>
      </c>
      <c r="AS5" s="2">
        <f>IFERROR(X5/$V5*90,"")</f>
        <v>4.4977511244377807E-2</v>
      </c>
      <c r="AT5" s="2">
        <f>IFERROR(Y5/$V5*90,"")</f>
        <v>0</v>
      </c>
      <c r="AU5" s="2">
        <f>IF(AP5="",INDEX(BV$4:BV$7,MATCH(O5,$BU$4:$BU$7,0)),AP5)</f>
        <v>0.26986506746626687</v>
      </c>
      <c r="AV5" s="2">
        <f>IF(AQ5="",INDEX(BW$4:BW$7,MATCH($O5,$BU$4:$BU$7,0)),AQ5)</f>
        <v>0.53973013493253374</v>
      </c>
      <c r="AW5" s="2">
        <f t="shared" si="0"/>
        <v>1.169415292353823</v>
      </c>
      <c r="AX5" s="2">
        <f t="shared" si="1"/>
        <v>4.4977511244377807E-2</v>
      </c>
      <c r="AY5" s="2">
        <f t="shared" si="2"/>
        <v>0</v>
      </c>
      <c r="AZ5" s="2">
        <f>AU5*0.5+AK5*0.5</f>
        <v>0.27120862448356975</v>
      </c>
      <c r="BA5" s="2">
        <f>AV5*0.5+AJ5*0.5</f>
        <v>0.59203784233537693</v>
      </c>
      <c r="BB5" s="2">
        <f t="shared" si="3"/>
        <v>0.11748875562218891</v>
      </c>
      <c r="BC5">
        <f>IF(I5="expected",1,0)</f>
        <v>1</v>
      </c>
      <c r="BD5" s="78">
        <f>IF(BC5=1,AZ5/SUMIFS(AZ$3:AZ$623,$BC$3:$BC$623,1,$G$3:$G$623,$G5),0)</f>
        <v>0.10943151993535508</v>
      </c>
      <c r="BE5" s="78">
        <f>IF(BC5=1,BA5/SUMIFS(BA$3:BA$623,$BC$3:$BC$623,1,$G$3:$G$623,$G5),0)</f>
        <v>0.26971410803771173</v>
      </c>
      <c r="BF5" s="78">
        <f t="shared" si="4"/>
        <v>0.17343421185461216</v>
      </c>
      <c r="BG5" s="2">
        <f t="shared" si="5"/>
        <v>0.11748875562218891</v>
      </c>
      <c r="BH5" s="2">
        <f t="shared" si="6"/>
        <v>0</v>
      </c>
      <c r="BI5" s="2">
        <f t="shared" si="7"/>
        <v>0.10943151993535508</v>
      </c>
      <c r="BJ5" s="2">
        <f t="shared" si="8"/>
        <v>0.26971410803771173</v>
      </c>
      <c r="BK5" s="2">
        <f t="shared" si="9"/>
        <v>0.17343421185461216</v>
      </c>
      <c r="BL5" s="2">
        <f t="shared" si="10"/>
        <v>0.11748875562218891</v>
      </c>
      <c r="BM5" s="2">
        <f t="shared" si="11"/>
        <v>0</v>
      </c>
      <c r="BN5" s="2">
        <f>BI5/SUMIFS(BI$3:BI$623,$BC$3:$BC$623,1,$G$3:$G$623,$G5)</f>
        <v>0.10943151993535509</v>
      </c>
      <c r="BO5" s="2">
        <f>BJ5/SUMIFS(BJ$3:BJ$623,$BC$3:$BC$623,1,$G$3:$G$623,$G5)</f>
        <v>0.26971410803771179</v>
      </c>
      <c r="BP5" s="2">
        <f>BK5/SUMIFS(BK$3:BK$623,$BC$3:$BC$623,1,$G$3:$G$623,$G5)</f>
        <v>0.17343421185461214</v>
      </c>
      <c r="BQ5" s="2">
        <f>BL5</f>
        <v>0.11748875562218891</v>
      </c>
      <c r="BR5" s="2">
        <f>BM5</f>
        <v>0</v>
      </c>
      <c r="BU5" s="73" t="s">
        <v>994</v>
      </c>
      <c r="BV5" s="2">
        <f t="array" ref="BV5">PERCENTILE(IF(($O$3:$O$623=$BU5)*($BC$3:$BC$623=1),AP$3:AP$623),0.25)</f>
        <v>3.6526142445450806E-2</v>
      </c>
      <c r="BW5" s="2">
        <f t="array" ref="BW5">PERCENTILE(IF(($O$3:$O$623=$BU5)*($BC$3:$BC$623=1),AQ$3:AQ$623),0.25)</f>
        <v>3.2427739661688867E-2</v>
      </c>
      <c r="BX5" s="2">
        <f t="array" ref="BX5">PERCENTILE(IF(($O$3:$O$623=$BU5)*($BC$3:$BC$623=1),AR$3:AR$623),0.25)</f>
        <v>0.20013349649571699</v>
      </c>
      <c r="BY5" s="2">
        <f t="array" ref="BY5">PERCENTILE(IF(($O$3:$O$623=$BU5)*($BC$3:$BC$623=1),AS$3:AS$623),0.5)</f>
        <v>0.16081000595592615</v>
      </c>
      <c r="BZ5" s="2">
        <f t="array" ref="BZ5">PERCENTILE(IF(($O$3:$O$623=$BU5)*($BC$3:$BC$623=1),AT$3:AT$623),0.5)</f>
        <v>0</v>
      </c>
    </row>
    <row r="6" spans="1:78" hidden="1">
      <c r="A6" s="74">
        <v>0</v>
      </c>
      <c r="B6" s="73">
        <v>204616</v>
      </c>
      <c r="C6" s="73" t="s">
        <v>996</v>
      </c>
      <c r="D6" s="73" t="s">
        <v>997</v>
      </c>
      <c r="E6" s="73" t="s">
        <v>998</v>
      </c>
      <c r="F6" s="73">
        <v>18645</v>
      </c>
      <c r="G6" s="73" t="s">
        <v>879</v>
      </c>
      <c r="H6" s="73" t="s">
        <v>933</v>
      </c>
      <c r="I6" s="73" t="s">
        <v>981</v>
      </c>
      <c r="J6" s="73">
        <v>0</v>
      </c>
      <c r="K6" s="73">
        <v>12</v>
      </c>
      <c r="L6" s="73">
        <v>0</v>
      </c>
      <c r="M6" s="73">
        <v>0</v>
      </c>
      <c r="N6" s="73">
        <v>0</v>
      </c>
      <c r="O6" s="73" t="s">
        <v>994</v>
      </c>
      <c r="P6" s="73" t="s">
        <v>248</v>
      </c>
      <c r="Q6" s="73" t="s">
        <v>248</v>
      </c>
      <c r="R6" s="73">
        <v>10</v>
      </c>
      <c r="S6" s="73">
        <v>7</v>
      </c>
      <c r="T6" s="73">
        <v>0</v>
      </c>
      <c r="U6" s="73">
        <v>13</v>
      </c>
      <c r="V6" s="73">
        <v>2537</v>
      </c>
      <c r="W6" s="73">
        <v>28</v>
      </c>
      <c r="X6" s="73">
        <v>4</v>
      </c>
      <c r="Y6" s="73">
        <v>0</v>
      </c>
      <c r="Z6" s="73" t="s">
        <v>879</v>
      </c>
      <c r="AA6" s="73" t="s">
        <v>693</v>
      </c>
      <c r="AB6" s="73" t="str">
        <f>IF(AA6&lt;&gt;"",INDEX(Lookup!$N$2:$N$5,MATCH(Players!AA6,Lookup!$P$2:$P$5,0)),INDEX(Lookup!$N$2:$N$5,MATCH(Players!O6,Lookup!$O$2:$O$5,0)))</f>
        <v>Striker</v>
      </c>
      <c r="AC6" s="73">
        <v>7500000</v>
      </c>
      <c r="AD6" s="73" t="s">
        <v>793</v>
      </c>
      <c r="AE6" s="73" t="str">
        <f>INDEX('Translate table'!$H$2:$H$622,MATCH(Players!P6,'Translate table'!$G$2:$G$622,0))</f>
        <v>Raheem Sterling</v>
      </c>
      <c r="AF6" s="73">
        <f>IFERROR(INDEX('Euro Qual stats'!$A$1:$L$2071,MATCH(Players!$AE6,'Euro Qual stats'!$A$1:$A$2071,0),MATCH(Players!AF$2,'Euro Qual stats'!$A$1:$L$1,0)),0)</f>
        <v>7</v>
      </c>
      <c r="AG6" s="73">
        <f>IFERROR(INDEX('Euro Qual stats'!$A$1:$L$2071,MATCH(Players!$AE6,'Euro Qual stats'!$A$1:$A$2071,0),MATCH(Players!AG$2,'Euro Qual stats'!$A$1:$L$1,0)),0)</f>
        <v>0.94</v>
      </c>
      <c r="AH6" s="73">
        <f>IFERROR(INDEX('Euro Qual stats'!$A$1:$L$2071,MATCH(Players!$AE6,'Euro Qual stats'!$A$1:$A$2071,0),MATCH(Players!AH$2,'Euro Qual stats'!$A$1:$L$1,0)),0)</f>
        <v>1.25</v>
      </c>
      <c r="AI6" s="73">
        <f>IFERROR(INDEX('Euro Qual stats'!$A$1:$L$2071,MATCH(Players!$AE6,'Euro Qual stats'!$A$1:$A$2071,0),MATCH(Players!AI$2,'Euro Qual stats'!$A$1:$L$1,0)),0)</f>
        <v>0.16</v>
      </c>
      <c r="AJ6" s="93">
        <f>(12-AF6)/12*INDEX(BV$9:BV$12,MATCH($AB6,$BU$9:$BU$12,0))+AF6/12*AG6</f>
        <v>0.63371408045977018</v>
      </c>
      <c r="AK6" s="93">
        <f>(12-AG6)/12*INDEX(BW$9:BW$12,MATCH($AB6,$BU$9:$BU$12,0))+AG6/12*AH6</f>
        <v>0.58997543103448258</v>
      </c>
      <c r="AL6" s="93">
        <f>(12-AH6)/12*INDEX(BX$9:BX$12,MATCH($AB6,$BU$9:$BU$12,0))+AH6/12*AI6</f>
        <v>0.16432471264367818</v>
      </c>
      <c r="AM6" s="93">
        <f>IF($BC6=1,AJ6/SUMIFS(AJ$3:AJ$623,$BC$3:$BC$623,1,$G$3:$G$623,$G6),0)</f>
        <v>0.28867430695373181</v>
      </c>
      <c r="AN6" s="93">
        <f>IF($BC6=1,AK6/SUMIFS(AK$3:AK$623,$BC$3:$BC$623,1,$G$3:$G$623,$G6),0)</f>
        <v>0.21087930898560373</v>
      </c>
      <c r="AO6" s="93">
        <f>IF($BC6=1,AL6/SUMIFS(AL$3:AL$623,$BC$3:$BC$623,1,$G$3:$G$623,$G6),0)</f>
        <v>7.3221191096185106E-2</v>
      </c>
      <c r="AP6" s="2">
        <f>IFERROR(R6/$V6*90,"")</f>
        <v>0.35474970437524639</v>
      </c>
      <c r="AQ6" s="2">
        <f>IFERROR(S6/$V6*90,"")</f>
        <v>0.24832479306267247</v>
      </c>
      <c r="AR6" s="2">
        <f>IFERROR(W6/$V6*90,"")</f>
        <v>0.99329917225068987</v>
      </c>
      <c r="AS6" s="2">
        <f>IFERROR(X6/$V6*90,"")</f>
        <v>0.14189988175009854</v>
      </c>
      <c r="AT6" s="2">
        <f>IFERROR(Y6/$V6*90,"")</f>
        <v>0</v>
      </c>
      <c r="AU6" s="2">
        <f>IF(AP6="",INDEX(BV$4:BV$7,MATCH(O6,$BU$4:$BU$7,0)),AP6)</f>
        <v>0.35474970437524639</v>
      </c>
      <c r="AV6" s="2">
        <f>IF(AQ6="",INDEX(BW$4:BW$7,MATCH($O6,$BU$4:$BU$7,0)),AQ6)</f>
        <v>0.24832479306267247</v>
      </c>
      <c r="AW6" s="2">
        <f t="shared" si="0"/>
        <v>0.99329917225068987</v>
      </c>
      <c r="AX6" s="2">
        <f t="shared" si="1"/>
        <v>0.14189988175009854</v>
      </c>
      <c r="AY6" s="2">
        <f t="shared" si="2"/>
        <v>0</v>
      </c>
      <c r="AZ6" s="2">
        <f>AU6*0.5+AK6*0.5</f>
        <v>0.47236256770486451</v>
      </c>
      <c r="BA6" s="2">
        <f>AV6*0.5+AJ6*0.5</f>
        <v>0.44101943676122135</v>
      </c>
      <c r="BB6" s="2">
        <f t="shared" si="3"/>
        <v>0.15094994087504926</v>
      </c>
      <c r="BC6">
        <f>IF(I6="expected",1,0)</f>
        <v>1</v>
      </c>
      <c r="BD6" s="78">
        <f>IF(BC6=1,AZ6/SUMIFS(AZ$3:AZ$623,$BC$3:$BC$623,1,$G$3:$G$623,$G6),0)</f>
        <v>0.18893691261197351</v>
      </c>
      <c r="BE6" s="78">
        <f>IF(BC6=1,BA6/SUMIFS(BA$3:BA$623,$BC$3:$BC$623,1,$G$3:$G$623,$G6),0)</f>
        <v>0.23769762334385341</v>
      </c>
      <c r="BF6" s="78">
        <f t="shared" si="4"/>
        <v>0.16247078954175415</v>
      </c>
      <c r="BG6" s="2">
        <f t="shared" si="5"/>
        <v>0.15094994087504926</v>
      </c>
      <c r="BH6" s="2">
        <f t="shared" si="6"/>
        <v>0</v>
      </c>
      <c r="BI6" s="2">
        <f t="shared" si="7"/>
        <v>0.18893691261197351</v>
      </c>
      <c r="BJ6" s="2">
        <f t="shared" si="8"/>
        <v>0.23769762334385341</v>
      </c>
      <c r="BK6" s="2">
        <f t="shared" si="9"/>
        <v>0.16247078954175415</v>
      </c>
      <c r="BL6" s="2">
        <f t="shared" si="10"/>
        <v>0.15094994087504926</v>
      </c>
      <c r="BM6" s="2">
        <f t="shared" si="11"/>
        <v>0</v>
      </c>
      <c r="BN6" s="2">
        <f>BI6/SUMIFS(BI$3:BI$623,$BC$3:$BC$623,1,$G$3:$G$623,$G6)</f>
        <v>0.18893691261197357</v>
      </c>
      <c r="BO6" s="2">
        <f>BJ6/SUMIFS(BJ$3:BJ$623,$BC$3:$BC$623,1,$G$3:$G$623,$G6)</f>
        <v>0.23769762334385341</v>
      </c>
      <c r="BP6" s="2">
        <f>BK6/SUMIFS(BK$3:BK$623,$BC$3:$BC$623,1,$G$3:$G$623,$G6)</f>
        <v>0.16247078954175412</v>
      </c>
      <c r="BQ6" s="2">
        <f>BL6</f>
        <v>0.15094994087504926</v>
      </c>
      <c r="BR6" s="2">
        <f>BM6</f>
        <v>0</v>
      </c>
      <c r="BU6" s="73" t="s">
        <v>1290</v>
      </c>
      <c r="BV6" s="2">
        <f t="array" ref="BV6">PERCENTILE(IF(($O$3:$O$623=$BU6)*($BC$3:$BC$623=1),AP$3:AP$623),0.25)</f>
        <v>0</v>
      </c>
      <c r="BW6" s="2">
        <f t="array" ref="BW6">PERCENTILE(IF(($O$3:$O$623=$BU6)*($BC$3:$BC$623=1),AQ$3:AQ$623),0.25)</f>
        <v>0</v>
      </c>
      <c r="BX6" s="2">
        <f t="array" ref="BX6">PERCENTILE(IF(($O$3:$O$623=$BU6)*($BC$3:$BC$623=1),AR$3:AR$623),0.25)</f>
        <v>0</v>
      </c>
      <c r="BY6" s="2">
        <f t="array" ref="BY6">PERCENTILE(IF(($O$3:$O$623=$BU6)*($BC$3:$BC$623=1),AS$3:AS$623),0.5)</f>
        <v>0</v>
      </c>
      <c r="BZ6" s="2">
        <f t="array" ref="BZ6">PERCENTILE(IF(($O$3:$O$623=$BU6)*($BC$3:$BC$623=1),AT$3:AT$623),0.5)</f>
        <v>0</v>
      </c>
    </row>
    <row r="7" spans="1:78" hidden="1">
      <c r="A7" s="74">
        <v>0</v>
      </c>
      <c r="B7" s="73">
        <v>204547</v>
      </c>
      <c r="C7" s="73" t="s">
        <v>999</v>
      </c>
      <c r="D7" s="73" t="s">
        <v>1000</v>
      </c>
      <c r="E7" s="73" t="s">
        <v>1001</v>
      </c>
      <c r="F7" s="73">
        <v>18743</v>
      </c>
      <c r="G7" s="73" t="s">
        <v>871</v>
      </c>
      <c r="H7" s="73" t="s">
        <v>945</v>
      </c>
      <c r="I7" s="73" t="s">
        <v>981</v>
      </c>
      <c r="J7" s="73">
        <v>0</v>
      </c>
      <c r="K7" s="73">
        <v>11.5</v>
      </c>
      <c r="L7" s="73">
        <v>0</v>
      </c>
      <c r="M7" s="73">
        <v>0</v>
      </c>
      <c r="N7" s="73">
        <v>0</v>
      </c>
      <c r="O7" s="73" t="s">
        <v>982</v>
      </c>
      <c r="P7" s="73" t="s">
        <v>1002</v>
      </c>
      <c r="Q7" s="73" t="s">
        <v>1002</v>
      </c>
      <c r="R7" s="73">
        <v>24</v>
      </c>
      <c r="S7" s="73">
        <v>11</v>
      </c>
      <c r="T7" s="73">
        <v>0</v>
      </c>
      <c r="U7" s="73">
        <v>11</v>
      </c>
      <c r="V7" s="73">
        <v>2886</v>
      </c>
      <c r="W7" s="73">
        <v>48</v>
      </c>
      <c r="X7" s="73">
        <v>4</v>
      </c>
      <c r="Y7" s="73">
        <v>0</v>
      </c>
      <c r="Z7" s="73" t="s">
        <v>995</v>
      </c>
      <c r="AA7" s="73" t="s">
        <v>693</v>
      </c>
      <c r="AB7" s="73" t="str">
        <f>IF(AA7&lt;&gt;"",INDEX(Lookup!$N$2:$N$5,MATCH(Players!AA7,Lookup!$P$2:$P$5,0)),INDEX(Lookup!$N$2:$N$5,MATCH(Players!O7,Lookup!$O$2:$O$5,0)))</f>
        <v>Striker</v>
      </c>
      <c r="AC7" s="73">
        <v>8500000</v>
      </c>
      <c r="AD7" s="73" t="s">
        <v>1003</v>
      </c>
      <c r="AE7" s="73" t="str">
        <f>INDEX('Translate table'!$H$2:$H$622,MATCH(Players!P7,'Translate table'!$G$2:$G$622,0))</f>
        <v>Romelu Lukaku</v>
      </c>
      <c r="AF7" s="73">
        <f>IFERROR(INDEX('Euro Qual stats'!$A$1:$L$2071,MATCH(Players!$AE7,'Euro Qual stats'!$A$1:$A$2071,0),MATCH(Players!AF$2,'Euro Qual stats'!$A$1:$L$1,0)),0)</f>
        <v>5</v>
      </c>
      <c r="AG7" s="73">
        <f>IFERROR(INDEX('Euro Qual stats'!$A$1:$L$2071,MATCH(Players!$AE7,'Euro Qual stats'!$A$1:$A$2071,0),MATCH(Players!AG$2,'Euro Qual stats'!$A$1:$L$1,0)),0)</f>
        <v>0.67</v>
      </c>
      <c r="AH7" s="73">
        <f>IFERROR(INDEX('Euro Qual stats'!$A$1:$L$2071,MATCH(Players!$AE7,'Euro Qual stats'!$A$1:$A$2071,0),MATCH(Players!AH$2,'Euro Qual stats'!$A$1:$L$1,0)),0)</f>
        <v>1.56</v>
      </c>
      <c r="AI7" s="73">
        <f>IFERROR(INDEX('Euro Qual stats'!$A$1:$L$2071,MATCH(Players!$AE7,'Euro Qual stats'!$A$1:$A$2071,0),MATCH(Players!AI$2,'Euro Qual stats'!$A$1:$L$1,0)),0)</f>
        <v>0</v>
      </c>
      <c r="AJ7" s="93">
        <f>(12-AF7)/12*INDEX(BV$9:BV$12,MATCH($AB7,$BU$9:$BU$12,0))+AF7/12*AG7</f>
        <v>0.39869971264367821</v>
      </c>
      <c r="AK7" s="93">
        <f>(12-AG7)/12*INDEX(BW$9:BW$12,MATCH($AB7,$BU$9:$BU$12,0))+AG7/12*AH7</f>
        <v>0.59117104885057459</v>
      </c>
      <c r="AL7" s="93">
        <f>(12-AH7)/12*INDEX(BX$9:BX$12,MATCH($AB7,$BU$9:$BU$12,0))+AH7/12*AI7</f>
        <v>0.14340000000000003</v>
      </c>
      <c r="AM7" s="93">
        <f>IF($BC7=1,AJ7/SUMIFS(AJ$3:AJ$623,$BC$3:$BC$623,1,$G$3:$G$623,$G7),0)</f>
        <v>0.17310756037425071</v>
      </c>
      <c r="AN7" s="93">
        <f>IF($BC7=1,AK7/SUMIFS(AK$3:AK$623,$BC$3:$BC$623,1,$G$3:$G$623,$G7),0)</f>
        <v>0.23719445026676042</v>
      </c>
      <c r="AO7" s="93">
        <f>IF($BC7=1,AL7/SUMIFS(AL$3:AL$623,$BC$3:$BC$623,1,$G$3:$G$623,$G7),0)</f>
        <v>7.1252304482669615E-2</v>
      </c>
      <c r="AP7" s="2">
        <f>IFERROR(R7/$V7*90,"")</f>
        <v>0.74844074844074848</v>
      </c>
      <c r="AQ7" s="2">
        <f>IFERROR(S7/$V7*90,"")</f>
        <v>0.34303534303534305</v>
      </c>
      <c r="AR7" s="2">
        <f>IFERROR(W7/$V7*90,"")</f>
        <v>1.496881496881497</v>
      </c>
      <c r="AS7" s="2">
        <f>IFERROR(X7/$V7*90,"")</f>
        <v>0.12474012474012475</v>
      </c>
      <c r="AT7" s="2">
        <f>IFERROR(Y7/$V7*90,"")</f>
        <v>0</v>
      </c>
      <c r="AU7" s="2">
        <f>IF(AP7="",INDEX(BV$4:BV$7,MATCH(O7,$BU$4:$BU$7,0)),AP7)</f>
        <v>0.74844074844074848</v>
      </c>
      <c r="AV7" s="2">
        <f>IF(AQ7="",INDEX(BW$4:BW$7,MATCH($O7,$BU$4:$BU$7,0)),AQ7)</f>
        <v>0.34303534303534305</v>
      </c>
      <c r="AW7" s="2">
        <f t="shared" si="0"/>
        <v>1.496881496881497</v>
      </c>
      <c r="AX7" s="2">
        <f t="shared" si="1"/>
        <v>0.12474012474012475</v>
      </c>
      <c r="AY7" s="2">
        <f t="shared" si="2"/>
        <v>0</v>
      </c>
      <c r="AZ7" s="2">
        <f>AU7*0.5+AK7*0.5</f>
        <v>0.66980589864566153</v>
      </c>
      <c r="BA7" s="2">
        <f>AV7*0.5+AJ7*0.5</f>
        <v>0.3708675278395106</v>
      </c>
      <c r="BB7" s="2">
        <f t="shared" si="3"/>
        <v>6.2370062370062374E-2</v>
      </c>
      <c r="BC7">
        <f>IF(I7="expected",1,0)</f>
        <v>1</v>
      </c>
      <c r="BD7" s="78">
        <f>IF(BC7=1,AZ7/SUMIFS(AZ$3:AZ$623,$BC$3:$BC$623,1,$G$3:$G$623,$G7),0)</f>
        <v>0.27026381513505898</v>
      </c>
      <c r="BE7" s="78">
        <f>IF(BC7=1,BA7/SUMIFS(BA$3:BA$623,$BC$3:$BC$623,1,$G$3:$G$623,$G7),0)</f>
        <v>0.16895576147093813</v>
      </c>
      <c r="BF7" s="78">
        <f t="shared" si="4"/>
        <v>0.22200022895958993</v>
      </c>
      <c r="BG7" s="2">
        <f t="shared" si="5"/>
        <v>6.2370062370062374E-2</v>
      </c>
      <c r="BH7" s="2">
        <f t="shared" si="6"/>
        <v>0</v>
      </c>
      <c r="BI7" s="2">
        <f t="shared" si="7"/>
        <v>0.27026381513505898</v>
      </c>
      <c r="BJ7" s="2">
        <f t="shared" si="8"/>
        <v>0.16895576147093813</v>
      </c>
      <c r="BK7" s="2">
        <f t="shared" si="9"/>
        <v>0.22200022895958993</v>
      </c>
      <c r="BL7" s="2">
        <f t="shared" si="10"/>
        <v>6.2370062370062374E-2</v>
      </c>
      <c r="BM7" s="2">
        <f t="shared" si="11"/>
        <v>0</v>
      </c>
      <c r="BN7" s="2">
        <f>BI7/SUMIFS(BI$3:BI$623,$BC$3:$BC$623,1,$G$3:$G$623,$G7)</f>
        <v>0.27026381513505904</v>
      </c>
      <c r="BO7" s="2">
        <f>BJ7/SUMIFS(BJ$3:BJ$623,$BC$3:$BC$623,1,$G$3:$G$623,$G7)</f>
        <v>0.16895576147093816</v>
      </c>
      <c r="BP7" s="2">
        <f>BK7/SUMIFS(BK$3:BK$623,$BC$3:$BC$623,1,$G$3:$G$623,$G7)</f>
        <v>0.22200022895958987</v>
      </c>
      <c r="BQ7" s="2">
        <f>BL7</f>
        <v>6.2370062370062374E-2</v>
      </c>
      <c r="BR7" s="2">
        <f>BM7</f>
        <v>0</v>
      </c>
      <c r="BU7" s="73" t="s">
        <v>1318</v>
      </c>
      <c r="BV7" s="2">
        <f t="array" ref="BV7">PERCENTILE(IF(($O$3:$O$623=$BU7)*($BC$3:$BC$623=1),AP$3:AP$623),0.25)</f>
        <v>0</v>
      </c>
      <c r="BW7" s="2">
        <f t="array" ref="BW7">PERCENTILE(IF(($O$3:$O$623=$BU7)*($BC$3:$BC$623=1),AQ$3:AQ$623),0.25)</f>
        <v>0</v>
      </c>
      <c r="BX7" s="2">
        <f t="array" ref="BX7">PERCENTILE(IF(($O$3:$O$623=$BU7)*($BC$3:$BC$623=1),AR$3:AR$623),0.25)</f>
        <v>8.0624805297505417E-2</v>
      </c>
      <c r="BY7" s="2">
        <f t="array" ref="BY7">PERCENTILE(IF(($O$3:$O$623=$BU7)*($BC$3:$BC$623=1),AS$3:AS$623),0.5)</f>
        <v>0.1265377855887522</v>
      </c>
      <c r="BZ7" s="2">
        <f t="array" ref="BZ7">PERCENTILE(IF(($O$3:$O$623=$BU7)*($BC$3:$BC$623=1),AT$3:AT$623),0.5)</f>
        <v>0</v>
      </c>
    </row>
    <row r="8" spans="1:78" hidden="1">
      <c r="A8" s="74">
        <v>0</v>
      </c>
      <c r="B8" s="73">
        <v>220770</v>
      </c>
      <c r="C8" s="73" t="s">
        <v>1004</v>
      </c>
      <c r="D8" s="73" t="s">
        <v>1005</v>
      </c>
      <c r="E8" s="73" t="s">
        <v>1006</v>
      </c>
      <c r="F8" s="73">
        <v>18743</v>
      </c>
      <c r="G8" s="73" t="s">
        <v>871</v>
      </c>
      <c r="H8" s="73" t="s">
        <v>945</v>
      </c>
      <c r="I8" s="73" t="s">
        <v>981</v>
      </c>
      <c r="J8" s="73">
        <v>0</v>
      </c>
      <c r="K8" s="73">
        <v>11</v>
      </c>
      <c r="L8" s="73">
        <v>0</v>
      </c>
      <c r="M8" s="73">
        <v>0</v>
      </c>
      <c r="N8" s="73">
        <v>0</v>
      </c>
      <c r="O8" s="73" t="s">
        <v>982</v>
      </c>
      <c r="P8" s="73" t="s">
        <v>1007</v>
      </c>
      <c r="Q8" s="73" t="s">
        <v>1008</v>
      </c>
      <c r="R8" s="73">
        <v>3</v>
      </c>
      <c r="S8" s="73">
        <v>2</v>
      </c>
      <c r="T8" s="73">
        <v>0</v>
      </c>
      <c r="U8" s="73">
        <v>0</v>
      </c>
      <c r="V8" s="73">
        <v>532</v>
      </c>
      <c r="W8" s="73">
        <v>5</v>
      </c>
      <c r="X8" s="73">
        <v>0</v>
      </c>
      <c r="Y8" s="73">
        <v>0</v>
      </c>
      <c r="Z8" s="73" t="s">
        <v>995</v>
      </c>
      <c r="AA8" s="73" t="s">
        <v>693</v>
      </c>
      <c r="AB8" s="73" t="str">
        <f>IF(AA8&lt;&gt;"",INDEX(Lookup!$N$2:$N$5,MATCH(Players!AA8,Lookup!$P$2:$P$5,0)),INDEX(Lookup!$N$2:$N$5,MATCH(Players!O8,Lookup!$O$2:$O$5,0)))</f>
        <v>Striker</v>
      </c>
      <c r="AC8" s="73">
        <v>6000000</v>
      </c>
      <c r="AD8" s="73" t="s">
        <v>795</v>
      </c>
      <c r="AE8" s="73" t="str">
        <f>INDEX('Translate table'!$H$2:$H$622,MATCH(Players!P8,'Translate table'!$G$2:$G$622,0))</f>
        <v>Eden Hazard</v>
      </c>
      <c r="AF8" s="73">
        <f>IFERROR(INDEX('Euro Qual stats'!$A$1:$L$2071,MATCH(Players!$AE8,'Euro Qual stats'!$A$1:$A$2071,0),MATCH(Players!AF$2,'Euro Qual stats'!$A$1:$L$1,0)),0)</f>
        <v>8</v>
      </c>
      <c r="AG8" s="73">
        <f>IFERROR(INDEX('Euro Qual stats'!$A$1:$L$2071,MATCH(Players!$AE8,'Euro Qual stats'!$A$1:$A$2071,0),MATCH(Players!AG$2,'Euro Qual stats'!$A$1:$L$1,0)),0)</f>
        <v>0.94</v>
      </c>
      <c r="AH8" s="73">
        <f>IFERROR(INDEX('Euro Qual stats'!$A$1:$L$2071,MATCH(Players!$AE8,'Euro Qual stats'!$A$1:$A$2071,0),MATCH(Players!AH$2,'Euro Qual stats'!$A$1:$L$1,0)),0)</f>
        <v>0.67</v>
      </c>
      <c r="AI8" s="73">
        <f>IFERROR(INDEX('Euro Qual stats'!$A$1:$L$2071,MATCH(Players!$AE8,'Euro Qual stats'!$A$1:$A$2071,0),MATCH(Players!AI$2,'Euro Qual stats'!$A$1:$L$1,0)),0)</f>
        <v>0</v>
      </c>
      <c r="AJ8" s="93">
        <f>(12-AF8)/12*INDEX(BV$9:BV$12,MATCH($AB8,$BU$9:$BU$12,0))+AF8/12*AG8</f>
        <v>0.69497126436781609</v>
      </c>
      <c r="AK8" s="93">
        <f>(12-AG8)/12*INDEX(BW$9:BW$12,MATCH($AB8,$BU$9:$BU$12,0))+AG8/12*AH8</f>
        <v>0.54454209770114925</v>
      </c>
      <c r="AL8" s="93">
        <f>(12-AH8)/12*INDEX(BX$9:BX$12,MATCH($AB8,$BU$9:$BU$12,0))+AH8/12*AI8</f>
        <v>0.15562471264367819</v>
      </c>
      <c r="AM8" s="93">
        <f>IF($BC8=1,AJ8/SUMIFS(AJ$3:AJ$623,$BC$3:$BC$623,1,$G$3:$G$623,$G8),0)</f>
        <v>0.30174283123308548</v>
      </c>
      <c r="AN8" s="93">
        <f>IF($BC8=1,AK8/SUMIFS(AK$3:AK$623,$BC$3:$BC$623,1,$G$3:$G$623,$G8),0)</f>
        <v>0.21848560372241763</v>
      </c>
      <c r="AO8" s="93">
        <f>IF($BC8=1,AL8/SUMIFS(AL$3:AL$623,$BC$3:$BC$623,1,$G$3:$G$623,$G8),0)</f>
        <v>7.7326495190483402E-2</v>
      </c>
      <c r="AP8" s="2">
        <f>IFERROR(R8/$V8*90,"")</f>
        <v>0.50751879699248115</v>
      </c>
      <c r="AQ8" s="2">
        <f>IFERROR(S8/$V8*90,"")</f>
        <v>0.33834586466165412</v>
      </c>
      <c r="AR8" s="2">
        <f>IFERROR(W8/$V8*90,"")</f>
        <v>0.84586466165413532</v>
      </c>
      <c r="AS8" s="2">
        <f>IFERROR(X8/$V8*90,"")</f>
        <v>0</v>
      </c>
      <c r="AT8" s="2">
        <f>IFERROR(Y8/$V8*90,"")</f>
        <v>0</v>
      </c>
      <c r="AU8" s="2">
        <f>IF(AP8="",INDEX(BV$4:BV$7,MATCH(O8,$BU$4:$BU$7,0)),AP8)</f>
        <v>0.50751879699248115</v>
      </c>
      <c r="AV8" s="2">
        <f>IF(AQ8="",INDEX(BW$4:BW$7,MATCH($O8,$BU$4:$BU$7,0)),AQ8)</f>
        <v>0.33834586466165412</v>
      </c>
      <c r="AW8" s="2">
        <f t="shared" si="0"/>
        <v>0.84586466165413532</v>
      </c>
      <c r="AX8" s="2">
        <f t="shared" si="1"/>
        <v>0</v>
      </c>
      <c r="AY8" s="2">
        <f t="shared" si="2"/>
        <v>0</v>
      </c>
      <c r="AZ8" s="2">
        <f>AU8*0.5+AK8*0.5</f>
        <v>0.52603044734681514</v>
      </c>
      <c r="BA8" s="2">
        <f>AV8*0.5+AJ8*0.5</f>
        <v>0.51665856451473513</v>
      </c>
      <c r="BB8" s="2">
        <f t="shared" si="3"/>
        <v>0</v>
      </c>
      <c r="BC8">
        <f>IF(I8="expected",1,0)</f>
        <v>1</v>
      </c>
      <c r="BD8" s="78">
        <f>IF(BC8=1,AZ8/SUMIFS(AZ$3:AZ$623,$BC$3:$BC$623,1,$G$3:$G$623,$G8),0)</f>
        <v>0.21225103550836411</v>
      </c>
      <c r="BE8" s="78">
        <f>IF(BC8=1,BA8/SUMIFS(BA$3:BA$623,$BC$3:$BC$623,1,$G$3:$G$623,$G8),0)</f>
        <v>0.23537364324288823</v>
      </c>
      <c r="BF8" s="78">
        <f t="shared" si="4"/>
        <v>0.1254489075770239</v>
      </c>
      <c r="BG8" s="2">
        <f t="shared" si="5"/>
        <v>0</v>
      </c>
      <c r="BH8" s="2">
        <f t="shared" si="6"/>
        <v>0</v>
      </c>
      <c r="BI8" s="2">
        <f t="shared" si="7"/>
        <v>0.21225103550836411</v>
      </c>
      <c r="BJ8" s="2">
        <f t="shared" si="8"/>
        <v>0.23537364324288823</v>
      </c>
      <c r="BK8" s="2">
        <f t="shared" si="9"/>
        <v>0.1254489075770239</v>
      </c>
      <c r="BL8" s="2">
        <f t="shared" si="10"/>
        <v>0</v>
      </c>
      <c r="BM8" s="2">
        <f t="shared" si="11"/>
        <v>0</v>
      </c>
      <c r="BN8" s="2">
        <f>BI8/SUMIFS(BI$3:BI$623,$BC$3:$BC$623,1,$G$3:$G$623,$G8)</f>
        <v>0.21225103550836413</v>
      </c>
      <c r="BO8" s="2">
        <f>BJ8/SUMIFS(BJ$3:BJ$623,$BC$3:$BC$623,1,$G$3:$G$623,$G8)</f>
        <v>0.23537364324288826</v>
      </c>
      <c r="BP8" s="2">
        <f>BK8/SUMIFS(BK$3:BK$623,$BC$3:$BC$623,1,$G$3:$G$623,$G8)</f>
        <v>0.12544890757702387</v>
      </c>
      <c r="BQ8" s="2">
        <f>BL8</f>
        <v>0</v>
      </c>
      <c r="BR8" s="2">
        <f>BM8</f>
        <v>0</v>
      </c>
    </row>
    <row r="9" spans="1:78" hidden="1">
      <c r="A9" s="74">
        <v>0</v>
      </c>
      <c r="B9" s="73">
        <v>204618</v>
      </c>
      <c r="C9" s="73" t="s">
        <v>1009</v>
      </c>
      <c r="D9" s="73" t="s">
        <v>1010</v>
      </c>
      <c r="E9" s="73" t="s">
        <v>1011</v>
      </c>
      <c r="F9" s="73">
        <v>18645</v>
      </c>
      <c r="G9" s="73" t="s">
        <v>879</v>
      </c>
      <c r="H9" s="73" t="s">
        <v>933</v>
      </c>
      <c r="I9" s="73" t="s">
        <v>1012</v>
      </c>
      <c r="J9" s="73">
        <v>0</v>
      </c>
      <c r="K9" s="73">
        <v>11</v>
      </c>
      <c r="L9" s="73">
        <v>0</v>
      </c>
      <c r="M9" s="73">
        <v>0</v>
      </c>
      <c r="N9" s="73">
        <v>0</v>
      </c>
      <c r="O9" s="73" t="s">
        <v>982</v>
      </c>
      <c r="P9" s="73" t="s">
        <v>35</v>
      </c>
      <c r="Q9" s="73" t="s">
        <v>35</v>
      </c>
      <c r="R9" s="73">
        <v>11</v>
      </c>
      <c r="S9" s="73">
        <v>9</v>
      </c>
      <c r="T9" s="73">
        <v>0</v>
      </c>
      <c r="U9" s="73">
        <v>7</v>
      </c>
      <c r="V9" s="73">
        <v>2928</v>
      </c>
      <c r="W9" s="73">
        <v>37</v>
      </c>
      <c r="X9" s="73">
        <v>4</v>
      </c>
      <c r="Y9" s="73">
        <v>0</v>
      </c>
      <c r="Z9" s="73" t="s">
        <v>879</v>
      </c>
      <c r="AA9" s="73" t="s">
        <v>693</v>
      </c>
      <c r="AB9" s="73" t="str">
        <f>IF(AA9&lt;&gt;"",INDEX(Lookup!$N$2:$N$5,MATCH(Players!AA9,Lookup!$P$2:$P$5,0)),INDEX(Lookup!$N$2:$N$5,MATCH(Players!O9,Lookup!$O$2:$O$5,0)))</f>
        <v>Striker</v>
      </c>
      <c r="AC9" s="73">
        <v>5000000</v>
      </c>
      <c r="AD9" s="73" t="s">
        <v>1013</v>
      </c>
      <c r="AE9" s="73" t="str">
        <f>INDEX('Translate table'!$H$2:$H$622,MATCH(Players!P9,'Translate table'!$G$2:$G$622,0))</f>
        <v>Marcus Rashford</v>
      </c>
      <c r="AF9" s="73">
        <f>IFERROR(INDEX('Euro Qual stats'!$A$1:$L$2071,MATCH(Players!$AE9,'Euro Qual stats'!$A$1:$A$2071,0),MATCH(Players!AF$2,'Euro Qual stats'!$A$1:$L$1,0)),0)</f>
        <v>6</v>
      </c>
      <c r="AG9" s="73">
        <f>IFERROR(INDEX('Euro Qual stats'!$A$1:$L$2071,MATCH(Players!$AE9,'Euro Qual stats'!$A$1:$A$2071,0),MATCH(Players!AG$2,'Euro Qual stats'!$A$1:$L$1,0)),0)</f>
        <v>0</v>
      </c>
      <c r="AH9" s="73">
        <f>IFERROR(INDEX('Euro Qual stats'!$A$1:$L$2071,MATCH(Players!$AE9,'Euro Qual stats'!$A$1:$A$2071,0),MATCH(Players!AH$2,'Euro Qual stats'!$A$1:$L$1,0)),0)</f>
        <v>0.87</v>
      </c>
      <c r="AI9" s="73">
        <f>IFERROR(INDEX('Euro Qual stats'!$A$1:$L$2071,MATCH(Players!$AE9,'Euro Qual stats'!$A$1:$A$2071,0),MATCH(Players!AI$2,'Euro Qual stats'!$A$1:$L$1,0)),0)</f>
        <v>0</v>
      </c>
      <c r="AJ9" s="93">
        <f>(12-AF9)/12*INDEX(BV$9:BV$12,MATCH($AB9,$BU$9:$BU$12,0))+AF9/12*AG9</f>
        <v>0.10245689655172416</v>
      </c>
      <c r="AK9" s="93">
        <f>(12-AG9)/12*INDEX(BW$9:BW$12,MATCH($AB9,$BU$9:$BU$12,0))+AG9/12*AH9</f>
        <v>0.53387931034482738</v>
      </c>
      <c r="AL9" s="93">
        <f>(12-AH9)/12*INDEX(BX$9:BX$12,MATCH($AB9,$BU$9:$BU$12,0))+AH9/12*AI9</f>
        <v>0.15287758620689659</v>
      </c>
      <c r="AM9" s="93">
        <f>IF($BC9=1,AJ9/SUMIFS(AJ$3:AJ$623,$BC$3:$BC$623,1,$G$3:$G$623,$G9),0)</f>
        <v>0</v>
      </c>
      <c r="AN9" s="93">
        <f>IF($BC9=1,AK9/SUMIFS(AK$3:AK$623,$BC$3:$BC$623,1,$G$3:$G$623,$G9),0)</f>
        <v>0</v>
      </c>
      <c r="AO9" s="93">
        <f>IF($BC9=1,AL9/SUMIFS(AL$3:AL$623,$BC$3:$BC$623,1,$G$3:$G$623,$G9),0)</f>
        <v>0</v>
      </c>
      <c r="AP9" s="2">
        <f>IFERROR(R9/$V9*90,"")</f>
        <v>0.33811475409836061</v>
      </c>
      <c r="AQ9" s="2">
        <f>IFERROR(S9/$V9*90,"")</f>
        <v>0.27663934426229508</v>
      </c>
      <c r="AR9" s="2">
        <f>IFERROR(W9/$V9*90,"")</f>
        <v>1.1372950819672132</v>
      </c>
      <c r="AS9" s="2">
        <f>IFERROR(X9/$V9*90,"")</f>
        <v>0.12295081967213115</v>
      </c>
      <c r="AT9" s="2">
        <f>IFERROR(Y9/$V9*90,"")</f>
        <v>0</v>
      </c>
      <c r="AU9" s="2">
        <f>IF(AP9="",INDEX(BV$4:BV$7,MATCH(O9,$BU$4:$BU$7,0)),AP9)</f>
        <v>0.33811475409836061</v>
      </c>
      <c r="AV9" s="2">
        <f>IF(AQ9="",INDEX(BW$4:BW$7,MATCH($O9,$BU$4:$BU$7,0)),AQ9)</f>
        <v>0.27663934426229508</v>
      </c>
      <c r="AW9" s="2">
        <f t="shared" si="0"/>
        <v>1.1372950819672132</v>
      </c>
      <c r="AX9" s="2">
        <f t="shared" si="1"/>
        <v>0.12295081967213115</v>
      </c>
      <c r="AY9" s="2">
        <f t="shared" si="2"/>
        <v>0</v>
      </c>
      <c r="AZ9" s="2">
        <f>AU9*0.5+AK9*0.5</f>
        <v>0.43599703222159403</v>
      </c>
      <c r="BA9" s="2">
        <f>AV9*0.5+AJ9*0.5</f>
        <v>0.18954812040700963</v>
      </c>
      <c r="BB9" s="2">
        <f t="shared" si="3"/>
        <v>6.1475409836065573E-2</v>
      </c>
      <c r="BC9">
        <f>IF(I9="expected",1,0)</f>
        <v>0</v>
      </c>
      <c r="BD9" s="78">
        <f>IF(BC9=1,AZ9/SUMIFS(AZ$3:AZ$623,$BC$3:$BC$623,1,$G$3:$G$623,$G9),0)</f>
        <v>0</v>
      </c>
      <c r="BE9" s="78">
        <f>IF(BC9=1,BA9/SUMIFS(BA$3:BA$623,$BC$3:$BC$623,1,$G$3:$G$623,$G9),0)</f>
        <v>0</v>
      </c>
      <c r="BF9" s="78">
        <f t="shared" si="4"/>
        <v>0</v>
      </c>
      <c r="BG9" s="2">
        <f t="shared" si="5"/>
        <v>6.1475409836065573E-2</v>
      </c>
      <c r="BH9" s="2">
        <f t="shared" si="6"/>
        <v>0</v>
      </c>
      <c r="BI9" s="2">
        <f t="shared" si="7"/>
        <v>0</v>
      </c>
      <c r="BJ9" s="2">
        <f t="shared" si="8"/>
        <v>0</v>
      </c>
      <c r="BK9" s="2">
        <f t="shared" si="9"/>
        <v>0</v>
      </c>
      <c r="BL9" s="2">
        <f t="shared" si="10"/>
        <v>6.1475409836065573E-2</v>
      </c>
      <c r="BM9" s="2">
        <f t="shared" si="11"/>
        <v>0</v>
      </c>
      <c r="BN9" s="2">
        <f>BI9/SUMIFS(BI$3:BI$623,$BC$3:$BC$623,1,$G$3:$G$623,$G9)</f>
        <v>0</v>
      </c>
      <c r="BO9" s="2">
        <f>BJ9/SUMIFS(BJ$3:BJ$623,$BC$3:$BC$623,1,$G$3:$G$623,$G9)</f>
        <v>0</v>
      </c>
      <c r="BP9" s="2">
        <f>BK9/SUMIFS(BK$3:BK$623,$BC$3:$BC$623,1,$G$3:$G$623,$G9)</f>
        <v>0</v>
      </c>
      <c r="BQ9" s="2">
        <f>BL9</f>
        <v>6.1475409836065573E-2</v>
      </c>
      <c r="BR9" s="2">
        <f>BM9</f>
        <v>0</v>
      </c>
      <c r="BU9" s="94" t="s">
        <v>3484</v>
      </c>
      <c r="BV9" s="93">
        <f>AVERAGEIFS($AG$3:$AG$623,$AB$3:$AB$623,$BU9,$AF$3:$AF$623,"&gt;0")</f>
        <v>0.20491379310344832</v>
      </c>
      <c r="BW9" s="93">
        <f>AVERAGEIFS($AH$3:$AH$623,$AB$3:$AB$623,$BU9,$AF$3:$AF$623,"&gt;0")</f>
        <v>0.53387931034482738</v>
      </c>
      <c r="BX9" s="93">
        <f>AVERAGEIFS($AI$3:$AI$623,$AB$3:$AB$623,$BU9,$AF$3:$AF$623,"&gt;0")</f>
        <v>0.16482758620689658</v>
      </c>
    </row>
    <row r="10" spans="1:78" hidden="1">
      <c r="A10" s="74">
        <v>0</v>
      </c>
      <c r="B10" s="73">
        <v>204542</v>
      </c>
      <c r="C10" s="73" t="s">
        <v>1014</v>
      </c>
      <c r="D10" s="73" t="s">
        <v>1015</v>
      </c>
      <c r="E10" s="73" t="s">
        <v>1016</v>
      </c>
      <c r="F10" s="73">
        <v>18743</v>
      </c>
      <c r="G10" s="73" t="s">
        <v>871</v>
      </c>
      <c r="H10" s="73" t="s">
        <v>945</v>
      </c>
      <c r="I10" s="73" t="s">
        <v>981</v>
      </c>
      <c r="J10" s="73">
        <v>0</v>
      </c>
      <c r="K10" s="73">
        <v>10.5</v>
      </c>
      <c r="L10" s="73">
        <v>0</v>
      </c>
      <c r="M10" s="73">
        <v>0</v>
      </c>
      <c r="N10" s="73">
        <v>0</v>
      </c>
      <c r="O10" s="73" t="s">
        <v>994</v>
      </c>
      <c r="P10" s="73" t="s">
        <v>1017</v>
      </c>
      <c r="Q10" s="73" t="s">
        <v>1018</v>
      </c>
      <c r="R10" s="73">
        <v>1</v>
      </c>
      <c r="S10" s="73">
        <v>3</v>
      </c>
      <c r="T10" s="73">
        <v>0</v>
      </c>
      <c r="U10" s="73">
        <v>0</v>
      </c>
      <c r="V10" s="73">
        <v>653</v>
      </c>
      <c r="W10" s="73">
        <v>4</v>
      </c>
      <c r="X10" s="73">
        <v>0</v>
      </c>
      <c r="Y10" s="73">
        <v>0</v>
      </c>
      <c r="Z10" s="73" t="s">
        <v>995</v>
      </c>
      <c r="AA10" s="73" t="s">
        <v>691</v>
      </c>
      <c r="AB10" s="73" t="str">
        <f>IF(AA10&lt;&gt;"",INDEX(Lookup!$N$2:$N$5,MATCH(Players!AA10,Lookup!$P$2:$P$5,0)),INDEX(Lookup!$N$2:$N$5,MATCH(Players!O10,Lookup!$O$2:$O$5,0)))</f>
        <v>Midfield</v>
      </c>
      <c r="AC10" s="73">
        <v>5500000</v>
      </c>
      <c r="AD10" s="73" t="s">
        <v>838</v>
      </c>
      <c r="AE10" s="73" t="str">
        <f>INDEX('Translate table'!$H$2:$H$622,MATCH(Players!P10,'Translate table'!$G$2:$G$622,0))</f>
        <v>Thorgan Hazard</v>
      </c>
      <c r="AF10" s="73">
        <f>IFERROR(INDEX('Euro Qual stats'!$A$1:$L$2071,MATCH(Players!$AE10,'Euro Qual stats'!$A$1:$A$2071,0),MATCH(Players!AF$2,'Euro Qual stats'!$A$1:$L$1,0)),0)</f>
        <v>7</v>
      </c>
      <c r="AG10" s="73">
        <f>IFERROR(INDEX('Euro Qual stats'!$A$1:$L$2071,MATCH(Players!$AE10,'Euro Qual stats'!$A$1:$A$2071,0),MATCH(Players!AG$2,'Euro Qual stats'!$A$1:$L$1,0)),0)</f>
        <v>0.15</v>
      </c>
      <c r="AH10" s="73">
        <f>IFERROR(INDEX('Euro Qual stats'!$A$1:$L$2071,MATCH(Players!$AE10,'Euro Qual stats'!$A$1:$A$2071,0),MATCH(Players!AH$2,'Euro Qual stats'!$A$1:$L$1,0)),0)</f>
        <v>0.15</v>
      </c>
      <c r="AI10" s="73">
        <f>IFERROR(INDEX('Euro Qual stats'!$A$1:$L$2071,MATCH(Players!$AE10,'Euro Qual stats'!$A$1:$A$2071,0),MATCH(Players!AI$2,'Euro Qual stats'!$A$1:$L$1,0)),0)</f>
        <v>0</v>
      </c>
      <c r="AJ10" s="93">
        <f>(12-AF10)/12*INDEX(BV$9:BV$12,MATCH($AB10,$BU$9:$BU$12,0))+AF10/12*AG10</f>
        <v>0.15778795811518326</v>
      </c>
      <c r="AK10" s="93">
        <f>(12-AG10)/12*INDEX(BW$9:BW$12,MATCH($AB10,$BU$9:$BU$12,0))+AG10/12*AH10</f>
        <v>0.22248560209424079</v>
      </c>
      <c r="AL10" s="93">
        <f>(12-AH10)/12*INDEX(BX$9:BX$12,MATCH($AB10,$BU$9:$BU$12,0))+AH10/12*AI10</f>
        <v>0.2364312827225131</v>
      </c>
      <c r="AM10" s="93">
        <f>IF($BC10=1,AJ10/SUMIFS(AJ$3:AJ$623,$BC$3:$BC$623,1,$G$3:$G$623,$G10),0)</f>
        <v>6.8508422804319583E-2</v>
      </c>
      <c r="AN10" s="93">
        <f>IF($BC10=1,AK10/SUMIFS(AK$3:AK$623,$BC$3:$BC$623,1,$G$3:$G$623,$G10),0)</f>
        <v>8.9267480509437933E-2</v>
      </c>
      <c r="AO10" s="93">
        <f>IF($BC10=1,AL10/SUMIFS(AL$3:AL$623,$BC$3:$BC$623,1,$G$3:$G$623,$G10),0)</f>
        <v>0.11747750171389569</v>
      </c>
      <c r="AP10" s="2">
        <f>IFERROR(R10/$V10*90,"")</f>
        <v>0.13782542113323124</v>
      </c>
      <c r="AQ10" s="2">
        <f>IFERROR(S10/$V10*90,"")</f>
        <v>0.41347626339969373</v>
      </c>
      <c r="AR10" s="2">
        <f>IFERROR(W10/$V10*90,"")</f>
        <v>0.55130168453292494</v>
      </c>
      <c r="AS10" s="2">
        <f>IFERROR(X10/$V10*90,"")</f>
        <v>0</v>
      </c>
      <c r="AT10" s="2">
        <f>IFERROR(Y10/$V10*90,"")</f>
        <v>0</v>
      </c>
      <c r="AU10" s="2">
        <f>IF(AP10="",INDEX(BV$4:BV$7,MATCH(O10,$BU$4:$BU$7,0)),AP10)</f>
        <v>0.13782542113323124</v>
      </c>
      <c r="AV10" s="2">
        <f>IF(AQ10="",INDEX(BW$4:BW$7,MATCH($O10,$BU$4:$BU$7,0)),AQ10)</f>
        <v>0.41347626339969373</v>
      </c>
      <c r="AW10" s="2">
        <f t="shared" si="0"/>
        <v>0.55130168453292494</v>
      </c>
      <c r="AX10" s="2">
        <f t="shared" si="1"/>
        <v>0</v>
      </c>
      <c r="AY10" s="2">
        <f t="shared" si="2"/>
        <v>0</v>
      </c>
      <c r="AZ10" s="2">
        <f>AU10*0.5+AK10*0.5</f>
        <v>0.180155511613736</v>
      </c>
      <c r="BA10" s="2">
        <f>AV10*0.5+AJ10*0.5</f>
        <v>0.2856321107574385</v>
      </c>
      <c r="BB10" s="2">
        <f t="shared" si="3"/>
        <v>0</v>
      </c>
      <c r="BC10">
        <f>IF(I10="expected",1,0)</f>
        <v>1</v>
      </c>
      <c r="BD10" s="78">
        <f>IF(BC10=1,AZ10/SUMIFS(AZ$3:AZ$623,$BC$3:$BC$623,1,$G$3:$G$623,$G10),0)</f>
        <v>7.2691978354902917E-2</v>
      </c>
      <c r="BE10" s="78">
        <f>IF(BC10=1,BA10/SUMIFS(BA$3:BA$623,$BC$3:$BC$623,1,$G$3:$G$623,$G10),0)</f>
        <v>0.13012514483192519</v>
      </c>
      <c r="BF10" s="78">
        <f t="shared" si="4"/>
        <v>8.1762718322789238E-2</v>
      </c>
      <c r="BG10" s="2">
        <f t="shared" si="5"/>
        <v>0</v>
      </c>
      <c r="BH10" s="2">
        <f t="shared" si="6"/>
        <v>0</v>
      </c>
      <c r="BI10" s="2">
        <f t="shared" si="7"/>
        <v>7.2691978354902917E-2</v>
      </c>
      <c r="BJ10" s="2">
        <f t="shared" si="8"/>
        <v>0.13012514483192519</v>
      </c>
      <c r="BK10" s="2">
        <f t="shared" si="9"/>
        <v>8.1762718322789238E-2</v>
      </c>
      <c r="BL10" s="2">
        <f t="shared" si="10"/>
        <v>0</v>
      </c>
      <c r="BM10" s="2">
        <f t="shared" si="11"/>
        <v>0</v>
      </c>
      <c r="BN10" s="2">
        <f>BI10/SUMIFS(BI$3:BI$623,$BC$3:$BC$623,1,$G$3:$G$623,$G10)</f>
        <v>7.2691978354902931E-2</v>
      </c>
      <c r="BO10" s="2">
        <f>BJ10/SUMIFS(BJ$3:BJ$623,$BC$3:$BC$623,1,$G$3:$G$623,$G10)</f>
        <v>0.13012514483192522</v>
      </c>
      <c r="BP10" s="2">
        <f>BK10/SUMIFS(BK$3:BK$623,$BC$3:$BC$623,1,$G$3:$G$623,$G10)</f>
        <v>8.1762718322789224E-2</v>
      </c>
      <c r="BQ10" s="2">
        <f>BL10</f>
        <v>0</v>
      </c>
      <c r="BR10" s="2">
        <f>BM10</f>
        <v>0</v>
      </c>
      <c r="BU10" s="94" t="s">
        <v>3483</v>
      </c>
      <c r="BV10" s="93">
        <f>AVERAGEIFS($AG$3:$AG$623,$AB$3:$AB$623,$BU10,$AF$3:$AF$623,"&gt;0")</f>
        <v>0.16869109947643979</v>
      </c>
      <c r="BW10" s="93">
        <f>AVERAGEIFS($AH$3:$AH$623,$AB$3:$AB$623,$BU10,$AF$3:$AF$623,"&gt;0")</f>
        <v>0.22340314136125652</v>
      </c>
      <c r="BX10" s="93">
        <f>AVERAGEIFS($AI$3:$AI$623,$AB$3:$AB$623,$BU10,$AF$3:$AF$623,"&gt;0")</f>
        <v>0.23942408376963353</v>
      </c>
    </row>
    <row r="11" spans="1:78" hidden="1">
      <c r="A11" s="74">
        <v>0</v>
      </c>
      <c r="B11" s="73">
        <v>204678</v>
      </c>
      <c r="C11" s="73" t="s">
        <v>1019</v>
      </c>
      <c r="D11" s="73" t="s">
        <v>1020</v>
      </c>
      <c r="E11" s="73" t="s">
        <v>1021</v>
      </c>
      <c r="F11" s="73">
        <v>18647</v>
      </c>
      <c r="G11" s="73" t="s">
        <v>891</v>
      </c>
      <c r="H11" s="73" t="s">
        <v>927</v>
      </c>
      <c r="I11" s="73" t="s">
        <v>981</v>
      </c>
      <c r="J11" s="73">
        <v>0</v>
      </c>
      <c r="K11" s="73">
        <v>10.5</v>
      </c>
      <c r="L11" s="73">
        <v>0</v>
      </c>
      <c r="M11" s="73">
        <v>0</v>
      </c>
      <c r="N11" s="73">
        <v>0</v>
      </c>
      <c r="O11" s="73" t="s">
        <v>982</v>
      </c>
      <c r="P11" s="73" t="s">
        <v>1022</v>
      </c>
      <c r="Q11" s="73" t="s">
        <v>1022</v>
      </c>
      <c r="R11" s="73">
        <v>13</v>
      </c>
      <c r="S11" s="73">
        <v>7</v>
      </c>
      <c r="T11" s="73">
        <v>0</v>
      </c>
      <c r="U11" s="73">
        <v>5</v>
      </c>
      <c r="V11" s="73">
        <v>2620</v>
      </c>
      <c r="W11" s="73">
        <v>34</v>
      </c>
      <c r="X11" s="73">
        <v>4</v>
      </c>
      <c r="Y11" s="73">
        <v>0</v>
      </c>
      <c r="Z11" s="73" t="s">
        <v>989</v>
      </c>
      <c r="AA11" s="73" t="s">
        <v>693</v>
      </c>
      <c r="AB11" s="73" t="str">
        <f>IF(AA11&lt;&gt;"",INDEX(Lookup!$N$2:$N$5,MATCH(Players!AA11,Lookup!$P$2:$P$5,0)),INDEX(Lookup!$N$2:$N$5,MATCH(Players!O11,Lookup!$O$2:$O$5,0)))</f>
        <v>Striker</v>
      </c>
      <c r="AC11" s="73">
        <v>7000000</v>
      </c>
      <c r="AD11" s="73" t="s">
        <v>812</v>
      </c>
      <c r="AE11" s="73" t="str">
        <f>INDEX('Translate table'!$H$2:$H$622,MATCH(Players!P11,'Translate table'!$G$2:$G$622,0))</f>
        <v>Antoine Griezmann</v>
      </c>
      <c r="AF11" s="73">
        <f>IFERROR(INDEX('Euro Qual stats'!$A$1:$L$2071,MATCH(Players!$AE11,'Euro Qual stats'!$A$1:$A$2071,0),MATCH(Players!AF$2,'Euro Qual stats'!$A$1:$L$1,0)),0)</f>
        <v>10</v>
      </c>
      <c r="AG11" s="73">
        <f>IFERROR(INDEX('Euro Qual stats'!$A$1:$L$2071,MATCH(Players!$AE11,'Euro Qual stats'!$A$1:$A$2071,0),MATCH(Players!AG$2,'Euro Qual stats'!$A$1:$L$1,0)),0)</f>
        <v>0.71</v>
      </c>
      <c r="AH11" s="73">
        <f>IFERROR(INDEX('Euro Qual stats'!$A$1:$L$2071,MATCH(Players!$AE11,'Euro Qual stats'!$A$1:$A$2071,0),MATCH(Players!AH$2,'Euro Qual stats'!$A$1:$L$1,0)),0)</f>
        <v>0.31</v>
      </c>
      <c r="AI11" s="73">
        <f>IFERROR(INDEX('Euro Qual stats'!$A$1:$L$2071,MATCH(Players!$AE11,'Euro Qual stats'!$A$1:$A$2071,0),MATCH(Players!AI$2,'Euro Qual stats'!$A$1:$L$1,0)),0)</f>
        <v>0.2</v>
      </c>
      <c r="AJ11" s="93">
        <f>(12-AF11)/12*INDEX(BV$9:BV$12,MATCH($AB11,$BU$9:$BU$12,0))+AF11/12*AG11</f>
        <v>0.62581896551724137</v>
      </c>
      <c r="AK11" s="93">
        <f>(12-AG11)/12*INDEX(BW$9:BW$12,MATCH($AB11,$BU$9:$BU$12,0))+AG11/12*AH11</f>
        <v>0.52063311781609178</v>
      </c>
      <c r="AL11" s="93">
        <f>(12-AH11)/12*INDEX(BX$9:BX$12,MATCH($AB11,$BU$9:$BU$12,0))+AH11/12*AI11</f>
        <v>0.16573620689655172</v>
      </c>
      <c r="AM11" s="93">
        <f>IF($BC11=1,AJ11/SUMIFS(AJ$3:AJ$623,$BC$3:$BC$623,1,$G$3:$G$623,$G11),0)</f>
        <v>0.32305382252574699</v>
      </c>
      <c r="AN11" s="93">
        <f>IF($BC11=1,AK11/SUMIFS(AK$3:AK$623,$BC$3:$BC$623,1,$G$3:$G$623,$G11),0)</f>
        <v>0.17486757385081783</v>
      </c>
      <c r="AO11" s="93">
        <f>IF($BC11=1,AL11/SUMIFS(AL$3:AL$623,$BC$3:$BC$623,1,$G$3:$G$623,$G11),0)</f>
        <v>8.6555543046216751E-2</v>
      </c>
      <c r="AP11" s="2">
        <f>IFERROR(R11/$V11*90,"")</f>
        <v>0.44656488549618323</v>
      </c>
      <c r="AQ11" s="2">
        <f>IFERROR(S11/$V11*90,"")</f>
        <v>0.24045801526717558</v>
      </c>
      <c r="AR11" s="2">
        <f>IFERROR(W11/$V11*90,"")</f>
        <v>1.16793893129771</v>
      </c>
      <c r="AS11" s="2">
        <f>IFERROR(X11/$V11*90,"")</f>
        <v>0.13740458015267176</v>
      </c>
      <c r="AT11" s="2">
        <f>IFERROR(Y11/$V11*90,"")</f>
        <v>0</v>
      </c>
      <c r="AU11" s="2">
        <f>IF(AP11="",INDEX(BV$4:BV$7,MATCH(O11,$BU$4:$BU$7,0)),AP11)</f>
        <v>0.44656488549618323</v>
      </c>
      <c r="AV11" s="2">
        <f>IF(AQ11="",INDEX(BW$4:BW$7,MATCH($O11,$BU$4:$BU$7,0)),AQ11)</f>
        <v>0.24045801526717558</v>
      </c>
      <c r="AW11" s="2">
        <f t="shared" si="0"/>
        <v>1.16793893129771</v>
      </c>
      <c r="AX11" s="2">
        <f t="shared" si="1"/>
        <v>0.13740458015267176</v>
      </c>
      <c r="AY11" s="2">
        <f t="shared" si="2"/>
        <v>0</v>
      </c>
      <c r="AZ11" s="2">
        <f>AU11*0.5+AK11*0.5</f>
        <v>0.48359900165613751</v>
      </c>
      <c r="BA11" s="2">
        <f>AV11*0.5+AJ11*0.5</f>
        <v>0.43313849039220848</v>
      </c>
      <c r="BB11" s="2">
        <f t="shared" si="3"/>
        <v>0.16870229007633589</v>
      </c>
      <c r="BC11">
        <f>IF(I11="expected",1,0)</f>
        <v>1</v>
      </c>
      <c r="BD11" s="78">
        <f>IF(BC11=1,AZ11/SUMIFS(AZ$3:AZ$623,$BC$3:$BC$623,1,$G$3:$G$623,$G11),0)</f>
        <v>0.16750928518114253</v>
      </c>
      <c r="BE11" s="78">
        <f>IF(BC11=1,BA11/SUMIFS(BA$3:BA$623,$BC$3:$BC$623,1,$G$3:$G$623,$G11),0)</f>
        <v>0.24308707194940229</v>
      </c>
      <c r="BF11" s="78">
        <f t="shared" si="4"/>
        <v>0.16061760711060022</v>
      </c>
      <c r="BG11" s="2">
        <f t="shared" si="5"/>
        <v>0.16870229007633589</v>
      </c>
      <c r="BH11" s="2">
        <f t="shared" si="6"/>
        <v>0</v>
      </c>
      <c r="BI11" s="2">
        <f t="shared" si="7"/>
        <v>0.16750928518114253</v>
      </c>
      <c r="BJ11" s="2">
        <f t="shared" si="8"/>
        <v>0.24308707194940229</v>
      </c>
      <c r="BK11" s="2">
        <f t="shared" si="9"/>
        <v>0.16061760711060022</v>
      </c>
      <c r="BL11" s="2">
        <f t="shared" si="10"/>
        <v>0.16870229007633589</v>
      </c>
      <c r="BM11" s="2">
        <f t="shared" si="11"/>
        <v>0</v>
      </c>
      <c r="BN11" s="2">
        <f>BI11/SUMIFS(BI$3:BI$623,$BC$3:$BC$623,1,$G$3:$G$623,$G11)</f>
        <v>0.16750928518114253</v>
      </c>
      <c r="BO11" s="2">
        <f>BJ11/SUMIFS(BJ$3:BJ$623,$BC$3:$BC$623,1,$G$3:$G$623,$G11)</f>
        <v>0.24308707194940229</v>
      </c>
      <c r="BP11" s="2">
        <f>BK11/SUMIFS(BK$3:BK$623,$BC$3:$BC$623,1,$G$3:$G$623,$G11)</f>
        <v>0.16061760711060022</v>
      </c>
      <c r="BQ11" s="2">
        <f>BL11</f>
        <v>0.16870229007633589</v>
      </c>
      <c r="BR11" s="2">
        <f>BM11</f>
        <v>0</v>
      </c>
      <c r="BU11" s="73" t="s">
        <v>383</v>
      </c>
      <c r="BV11" s="93">
        <f>AVERAGEIFS($AG$3:$AG$623,$AB$3:$AB$623,$BU11,$AF$3:$AF$623,"&gt;0")</f>
        <v>8.9175824175824203E-2</v>
      </c>
      <c r="BW11" s="93">
        <f>AVERAGEIFS($AH$3:$AH$623,$AB$3:$AB$623,$BU11,$AF$3:$AF$623,"&gt;0")</f>
        <v>0.10357142857142858</v>
      </c>
      <c r="BX11" s="93">
        <f>AVERAGEIFS($AI$3:$AI$623,$AB$3:$AB$623,$BU11,$AF$3:$AF$623,"&gt;0")</f>
        <v>0.19357142857142848</v>
      </c>
    </row>
    <row r="12" spans="1:78" hidden="1">
      <c r="A12" s="74">
        <v>0</v>
      </c>
      <c r="B12" s="73">
        <v>204620</v>
      </c>
      <c r="C12" s="73" t="s">
        <v>1023</v>
      </c>
      <c r="D12" s="73" t="s">
        <v>1024</v>
      </c>
      <c r="E12" s="73" t="s">
        <v>1025</v>
      </c>
      <c r="F12" s="73">
        <v>18645</v>
      </c>
      <c r="G12" s="73" t="s">
        <v>879</v>
      </c>
      <c r="H12" s="73" t="s">
        <v>933</v>
      </c>
      <c r="I12" s="73" t="s">
        <v>1012</v>
      </c>
      <c r="J12" s="73">
        <v>0</v>
      </c>
      <c r="K12" s="73">
        <v>10</v>
      </c>
      <c r="L12" s="73">
        <v>0</v>
      </c>
      <c r="M12" s="73">
        <v>0</v>
      </c>
      <c r="N12" s="73">
        <v>0</v>
      </c>
      <c r="O12" s="73" t="s">
        <v>994</v>
      </c>
      <c r="P12" s="73" t="s">
        <v>1026</v>
      </c>
      <c r="Q12" s="73" t="s">
        <v>1026</v>
      </c>
      <c r="R12" s="73">
        <v>8</v>
      </c>
      <c r="S12" s="73">
        <v>11</v>
      </c>
      <c r="T12" s="73">
        <v>0</v>
      </c>
      <c r="U12" s="73">
        <v>3</v>
      </c>
      <c r="V12" s="73">
        <v>2069</v>
      </c>
      <c r="W12" s="73">
        <v>17</v>
      </c>
      <c r="X12" s="73">
        <v>0</v>
      </c>
      <c r="Y12" s="73">
        <v>0</v>
      </c>
      <c r="Z12" s="73" t="s">
        <v>879</v>
      </c>
      <c r="AA12" s="73" t="s">
        <v>693</v>
      </c>
      <c r="AB12" s="73" t="str">
        <f>IF(AA12&lt;&gt;"",INDEX(Lookup!$N$2:$N$5,MATCH(Players!AA12,Lookup!$P$2:$P$5,0)),INDEX(Lookup!$N$2:$N$5,MATCH(Players!O12,Lookup!$O$2:$O$5,0)))</f>
        <v>Striker</v>
      </c>
      <c r="AC12" s="73">
        <v>5500000</v>
      </c>
      <c r="AD12" s="73" t="s">
        <v>814</v>
      </c>
      <c r="AE12" s="73" t="str">
        <f>INDEX('Translate table'!$H$2:$H$622,MATCH(Players!P12,'Translate table'!$G$2:$G$622,0))</f>
        <v>Jadon Sancho</v>
      </c>
      <c r="AF12" s="73">
        <f>IFERROR(INDEX('Euro Qual stats'!$A$1:$L$2071,MATCH(Players!$AE12,'Euro Qual stats'!$A$1:$A$2071,0),MATCH(Players!AF$2,'Euro Qual stats'!$A$1:$L$1,0)),0)</f>
        <v>6</v>
      </c>
      <c r="AG12" s="73">
        <f>IFERROR(INDEX('Euro Qual stats'!$A$1:$L$2071,MATCH(Players!$AE12,'Euro Qual stats'!$A$1:$A$2071,0),MATCH(Players!AG$2,'Euro Qual stats'!$A$1:$L$1,0)),0)</f>
        <v>0.48</v>
      </c>
      <c r="AH12" s="73">
        <f>IFERROR(INDEX('Euro Qual stats'!$A$1:$L$2071,MATCH(Players!$AE12,'Euro Qual stats'!$A$1:$A$2071,0),MATCH(Players!AH$2,'Euro Qual stats'!$A$1:$L$1,0)),0)</f>
        <v>0.48</v>
      </c>
      <c r="AI12" s="73">
        <f>IFERROR(INDEX('Euro Qual stats'!$A$1:$L$2071,MATCH(Players!$AE12,'Euro Qual stats'!$A$1:$A$2071,0),MATCH(Players!AI$2,'Euro Qual stats'!$A$1:$L$1,0)),0)</f>
        <v>0</v>
      </c>
      <c r="AJ12" s="93">
        <f>(12-AF12)/12*INDEX(BV$9:BV$12,MATCH($AB12,$BU$9:$BU$12,0))+AF12/12*AG12</f>
        <v>0.34245689655172418</v>
      </c>
      <c r="AK12" s="93">
        <f>(12-AG12)/12*INDEX(BW$9:BW$12,MATCH($AB12,$BU$9:$BU$12,0))+AG12/12*AH12</f>
        <v>0.53172413793103424</v>
      </c>
      <c r="AL12" s="93">
        <f>(12-AH12)/12*INDEX(BX$9:BX$12,MATCH($AB12,$BU$9:$BU$12,0))+AH12/12*AI12</f>
        <v>0.1582344827586207</v>
      </c>
      <c r="AM12" s="93">
        <f>IF($BC12=1,AJ12/SUMIFS(AJ$3:AJ$623,$BC$3:$BC$623,1,$G$3:$G$623,$G12),0)</f>
        <v>0</v>
      </c>
      <c r="AN12" s="93">
        <f>IF($BC12=1,AK12/SUMIFS(AK$3:AK$623,$BC$3:$BC$623,1,$G$3:$G$623,$G12),0)</f>
        <v>0</v>
      </c>
      <c r="AO12" s="93">
        <f>IF($BC12=1,AL12/SUMIFS(AL$3:AL$623,$BC$3:$BC$623,1,$G$3:$G$623,$G12),0)</f>
        <v>0</v>
      </c>
      <c r="AP12" s="2">
        <f>IFERROR(R12/$V12*90,"")</f>
        <v>0.34799420009666504</v>
      </c>
      <c r="AQ12" s="2">
        <f>IFERROR(S12/$V12*90,"")</f>
        <v>0.47849202513291444</v>
      </c>
      <c r="AR12" s="2">
        <f>IFERROR(W12/$V12*90,"")</f>
        <v>0.73948767520541325</v>
      </c>
      <c r="AS12" s="2">
        <f>IFERROR(X12/$V12*90,"")</f>
        <v>0</v>
      </c>
      <c r="AT12" s="2">
        <f>IFERROR(Y12/$V12*90,"")</f>
        <v>0</v>
      </c>
      <c r="AU12" s="2">
        <f>IF(AP12="",INDEX(BV$4:BV$7,MATCH(O12,$BU$4:$BU$7,0)),AP12)</f>
        <v>0.34799420009666504</v>
      </c>
      <c r="AV12" s="2">
        <f>IF(AQ12="",INDEX(BW$4:BW$7,MATCH($O12,$BU$4:$BU$7,0)),AQ12)</f>
        <v>0.47849202513291444</v>
      </c>
      <c r="AW12" s="2">
        <f t="shared" si="0"/>
        <v>0.73948767520541325</v>
      </c>
      <c r="AX12" s="2">
        <f t="shared" si="1"/>
        <v>0</v>
      </c>
      <c r="AY12" s="2">
        <f t="shared" si="2"/>
        <v>0</v>
      </c>
      <c r="AZ12" s="2">
        <f>AU12*0.5+AK12*0.5</f>
        <v>0.43985916901384964</v>
      </c>
      <c r="BA12" s="2">
        <f>AV12*0.5+AJ12*0.5</f>
        <v>0.41047446084231931</v>
      </c>
      <c r="BB12" s="2">
        <f t="shared" si="3"/>
        <v>0</v>
      </c>
      <c r="BC12">
        <f>IF(I12="expected",1,0)</f>
        <v>0</v>
      </c>
      <c r="BD12" s="78">
        <f>IF(BC12=1,AZ12/SUMIFS(AZ$3:AZ$623,$BC$3:$BC$623,1,$G$3:$G$623,$G12),0)</f>
        <v>0</v>
      </c>
      <c r="BE12" s="78">
        <f>IF(BC12=1,BA12/SUMIFS(BA$3:BA$623,$BC$3:$BC$623,1,$G$3:$G$623,$G12),0)</f>
        <v>0</v>
      </c>
      <c r="BF12" s="78">
        <f t="shared" si="4"/>
        <v>0</v>
      </c>
      <c r="BG12" s="2">
        <f t="shared" si="5"/>
        <v>0</v>
      </c>
      <c r="BH12" s="2">
        <f t="shared" si="6"/>
        <v>0</v>
      </c>
      <c r="BI12" s="2">
        <f t="shared" si="7"/>
        <v>0</v>
      </c>
      <c r="BJ12" s="2">
        <f t="shared" si="8"/>
        <v>0</v>
      </c>
      <c r="BK12" s="2">
        <f t="shared" si="9"/>
        <v>0</v>
      </c>
      <c r="BL12" s="2">
        <f t="shared" si="10"/>
        <v>0</v>
      </c>
      <c r="BM12" s="2">
        <f t="shared" si="11"/>
        <v>0</v>
      </c>
      <c r="BN12" s="2">
        <f>BI12/SUMIFS(BI$3:BI$623,$BC$3:$BC$623,1,$G$3:$G$623,$G12)</f>
        <v>0</v>
      </c>
      <c r="BO12" s="2">
        <f>BJ12/SUMIFS(BJ$3:BJ$623,$BC$3:$BC$623,1,$G$3:$G$623,$G12)</f>
        <v>0</v>
      </c>
      <c r="BP12" s="2">
        <f>BK12/SUMIFS(BK$3:BK$623,$BC$3:$BC$623,1,$G$3:$G$623,$G12)</f>
        <v>0</v>
      </c>
      <c r="BQ12" s="2">
        <f>BL12</f>
        <v>0</v>
      </c>
      <c r="BR12" s="2">
        <f>BM12</f>
        <v>0</v>
      </c>
      <c r="BU12" s="94" t="s">
        <v>3485</v>
      </c>
      <c r="BV12" s="73">
        <v>0</v>
      </c>
      <c r="BW12" s="73">
        <v>0</v>
      </c>
      <c r="BX12" s="73">
        <v>0</v>
      </c>
    </row>
    <row r="13" spans="1:78" hidden="1">
      <c r="A13" s="74">
        <v>0</v>
      </c>
      <c r="B13" s="73">
        <v>204702</v>
      </c>
      <c r="C13" s="73" t="s">
        <v>1027</v>
      </c>
      <c r="D13" s="73" t="s">
        <v>1028</v>
      </c>
      <c r="E13" s="73" t="s">
        <v>1029</v>
      </c>
      <c r="F13" s="73">
        <v>18701</v>
      </c>
      <c r="G13" s="73" t="s">
        <v>893</v>
      </c>
      <c r="H13" s="73" t="s">
        <v>947</v>
      </c>
      <c r="I13" s="73" t="s">
        <v>981</v>
      </c>
      <c r="J13" s="73">
        <v>0</v>
      </c>
      <c r="K13" s="73">
        <v>10</v>
      </c>
      <c r="L13" s="73">
        <v>0</v>
      </c>
      <c r="M13" s="73">
        <v>0</v>
      </c>
      <c r="N13" s="73">
        <v>0</v>
      </c>
      <c r="O13" s="73" t="s">
        <v>982</v>
      </c>
      <c r="P13" s="73" t="s">
        <v>1030</v>
      </c>
      <c r="Q13" s="73" t="s">
        <v>1030</v>
      </c>
      <c r="R13" s="73">
        <v>29</v>
      </c>
      <c r="S13" s="73">
        <v>3</v>
      </c>
      <c r="T13" s="73">
        <v>0</v>
      </c>
      <c r="U13" s="73">
        <v>7</v>
      </c>
      <c r="V13" s="73">
        <v>2803</v>
      </c>
      <c r="W13" s="73">
        <v>69</v>
      </c>
      <c r="X13" s="73">
        <v>3</v>
      </c>
      <c r="Y13" s="73">
        <v>0</v>
      </c>
      <c r="Z13" s="73" t="s">
        <v>893</v>
      </c>
      <c r="AA13" s="73" t="s">
        <v>693</v>
      </c>
      <c r="AB13" s="73" t="str">
        <f>IF(AA13&lt;&gt;"",INDEX(Lookup!$N$2:$N$5,MATCH(Players!AA13,Lookup!$P$2:$P$5,0)),INDEX(Lookup!$N$2:$N$5,MATCH(Players!O13,Lookup!$O$2:$O$5,0)))</f>
        <v>Striker</v>
      </c>
      <c r="AC13" s="73">
        <v>8000000</v>
      </c>
      <c r="AD13" s="73" t="s">
        <v>1031</v>
      </c>
      <c r="AE13" s="73" t="str">
        <f>INDEX('Translate table'!$H$2:$H$622,MATCH(Players!P13,'Translate table'!$G$2:$G$622,0))</f>
        <v>Cristiano Ronaldo</v>
      </c>
      <c r="AF13" s="73">
        <f>IFERROR(INDEX('Euro Qual stats'!$A$1:$L$2071,MATCH(Players!$AE13,'Euro Qual stats'!$A$1:$A$2071,0),MATCH(Players!AF$2,'Euro Qual stats'!$A$1:$L$1,0)),0)</f>
        <v>8</v>
      </c>
      <c r="AG13" s="73">
        <f>IFERROR(INDEX('Euro Qual stats'!$A$1:$L$2071,MATCH(Players!$AE13,'Euro Qual stats'!$A$1:$A$2071,0),MATCH(Players!AG$2,'Euro Qual stats'!$A$1:$L$1,0)),0)</f>
        <v>0</v>
      </c>
      <c r="AH13" s="73">
        <f>IFERROR(INDEX('Euro Qual stats'!$A$1:$L$2071,MATCH(Players!$AE13,'Euro Qual stats'!$A$1:$A$2071,0),MATCH(Players!AH$2,'Euro Qual stats'!$A$1:$L$1,0)),0)</f>
        <v>1.54</v>
      </c>
      <c r="AI13" s="73">
        <f>IFERROR(INDEX('Euro Qual stats'!$A$1:$L$2071,MATCH(Players!$AE13,'Euro Qual stats'!$A$1:$A$2071,0),MATCH(Players!AI$2,'Euro Qual stats'!$A$1:$L$1,0)),0)</f>
        <v>0</v>
      </c>
      <c r="AJ13" s="93">
        <f>(12-AF13)/12*INDEX(BV$9:BV$12,MATCH($AB13,$BU$9:$BU$12,0))+AF13/12*AG13</f>
        <v>6.8304597701149439E-2</v>
      </c>
      <c r="AK13" s="93">
        <f>(12-AG13)/12*INDEX(BW$9:BW$12,MATCH($AB13,$BU$9:$BU$12,0))+AG13/12*AH13</f>
        <v>0.53387931034482738</v>
      </c>
      <c r="AL13" s="93">
        <f>(12-AH13)/12*INDEX(BX$9:BX$12,MATCH($AB13,$BU$9:$BU$12,0))+AH13/12*AI13</f>
        <v>0.1436747126436782</v>
      </c>
      <c r="AM13" s="93">
        <f>IF($BC13=1,AJ13/SUMIFS(AJ$3:AJ$623,$BC$3:$BC$623,1,$G$3:$G$623,$G13),0)</f>
        <v>4.4113335559555711E-2</v>
      </c>
      <c r="AN13" s="93">
        <f>IF($BC13=1,AK13/SUMIFS(AK$3:AK$623,$BC$3:$BC$623,1,$G$3:$G$623,$G13),0)</f>
        <v>0.21705913947811906</v>
      </c>
      <c r="AO13" s="93">
        <f>IF($BC13=1,AL13/SUMIFS(AL$3:AL$623,$BC$3:$BC$623,1,$G$3:$G$623,$G13),0)</f>
        <v>7.1248982053166474E-2</v>
      </c>
      <c r="AP13" s="2">
        <f>IFERROR(R13/$V13*90,"")</f>
        <v>0.93114520156974678</v>
      </c>
      <c r="AQ13" s="2">
        <f>IFERROR(S13/$V13*90,"")</f>
        <v>9.632536567962896E-2</v>
      </c>
      <c r="AR13" s="2">
        <f>IFERROR(W13/$V13*90,"")</f>
        <v>2.2154834106314665</v>
      </c>
      <c r="AS13" s="2">
        <f>IFERROR(X13/$V13*90,"")</f>
        <v>9.632536567962896E-2</v>
      </c>
      <c r="AT13" s="2">
        <f>IFERROR(Y13/$V13*90,"")</f>
        <v>0</v>
      </c>
      <c r="AU13" s="2">
        <f>IF(AP13="",INDEX(BV$4:BV$7,MATCH(O13,$BU$4:$BU$7,0)),AP13)</f>
        <v>0.93114520156974678</v>
      </c>
      <c r="AV13" s="2">
        <f>IF(AQ13="",INDEX(BW$4:BW$7,MATCH($O13,$BU$4:$BU$7,0)),AQ13)</f>
        <v>9.632536567962896E-2</v>
      </c>
      <c r="AW13" s="2">
        <f t="shared" si="0"/>
        <v>2.2154834106314665</v>
      </c>
      <c r="AX13" s="2">
        <f t="shared" si="1"/>
        <v>9.632536567962896E-2</v>
      </c>
      <c r="AY13" s="2">
        <f t="shared" si="2"/>
        <v>0</v>
      </c>
      <c r="AZ13" s="2">
        <f>AU13*0.5+AK13*0.5</f>
        <v>0.73251225595728708</v>
      </c>
      <c r="BA13" s="2">
        <f>AV13*0.5+AJ13*0.5</f>
        <v>8.23149816903892E-2</v>
      </c>
      <c r="BB13" s="2">
        <f t="shared" si="3"/>
        <v>4.816268283981448E-2</v>
      </c>
      <c r="BC13">
        <f>IF(I13="expected",1,0)</f>
        <v>1</v>
      </c>
      <c r="BD13" s="78">
        <f>IF(BC13=1,AZ13/SUMIFS(AZ$3:AZ$623,$BC$3:$BC$623,1,$G$3:$G$623,$G13),0)</f>
        <v>0.28359863560257237</v>
      </c>
      <c r="BE13" s="78">
        <f>IF(BC13=1,BA13/SUMIFS(BA$3:BA$623,$BC$3:$BC$623,1,$G$3:$G$623,$G13),0)</f>
        <v>6.6392981590894434E-2</v>
      </c>
      <c r="BF13" s="78">
        <f t="shared" si="4"/>
        <v>0.28476710792482879</v>
      </c>
      <c r="BG13" s="2">
        <f t="shared" si="5"/>
        <v>4.816268283981448E-2</v>
      </c>
      <c r="BH13" s="2">
        <f t="shared" si="6"/>
        <v>0</v>
      </c>
      <c r="BI13" s="2">
        <f t="shared" si="7"/>
        <v>0.28359863560257237</v>
      </c>
      <c r="BJ13" s="2">
        <f t="shared" si="8"/>
        <v>6.6392981590894434E-2</v>
      </c>
      <c r="BK13" s="2">
        <f t="shared" si="9"/>
        <v>0.28476710792482879</v>
      </c>
      <c r="BL13" s="2">
        <f t="shared" si="10"/>
        <v>4.816268283981448E-2</v>
      </c>
      <c r="BM13" s="2">
        <f t="shared" si="11"/>
        <v>0</v>
      </c>
      <c r="BN13" s="2">
        <f>BI13/SUMIFS(BI$3:BI$623,$BC$3:$BC$623,1,$G$3:$G$623,$G13)</f>
        <v>0.28359863560257242</v>
      </c>
      <c r="BO13" s="2">
        <f>BJ13/SUMIFS(BJ$3:BJ$623,$BC$3:$BC$623,1,$G$3:$G$623,$G13)</f>
        <v>6.6745203095072259E-2</v>
      </c>
      <c r="BP13" s="2">
        <f>BK13/SUMIFS(BK$3:BK$623,$BC$3:$BC$623,1,$G$3:$G$623,$G13)</f>
        <v>0.28476710792482879</v>
      </c>
      <c r="BQ13" s="2">
        <f>BL13</f>
        <v>4.816268283981448E-2</v>
      </c>
      <c r="BR13" s="2">
        <f>BM13</f>
        <v>0</v>
      </c>
    </row>
    <row r="14" spans="1:78" hidden="1">
      <c r="A14" s="74">
        <v>0</v>
      </c>
      <c r="B14" s="73">
        <v>204650</v>
      </c>
      <c r="C14" s="73" t="s">
        <v>1032</v>
      </c>
      <c r="D14" s="73" t="s">
        <v>1033</v>
      </c>
      <c r="E14" s="73" t="s">
        <v>1034</v>
      </c>
      <c r="F14" s="73">
        <v>18710</v>
      </c>
      <c r="G14" s="73" t="s">
        <v>885</v>
      </c>
      <c r="H14" s="73" t="s">
        <v>943</v>
      </c>
      <c r="I14" s="73" t="s">
        <v>981</v>
      </c>
      <c r="J14" s="73">
        <v>0</v>
      </c>
      <c r="K14" s="73">
        <v>10</v>
      </c>
      <c r="L14" s="73">
        <v>0</v>
      </c>
      <c r="M14" s="73">
        <v>0</v>
      </c>
      <c r="N14" s="73">
        <v>0</v>
      </c>
      <c r="O14" s="73" t="s">
        <v>982</v>
      </c>
      <c r="P14" s="73" t="s">
        <v>1035</v>
      </c>
      <c r="Q14" s="73" t="s">
        <v>1036</v>
      </c>
      <c r="R14" s="73">
        <v>11</v>
      </c>
      <c r="S14" s="73">
        <v>9</v>
      </c>
      <c r="T14" s="73">
        <v>0</v>
      </c>
      <c r="U14" s="73">
        <v>1</v>
      </c>
      <c r="V14" s="73">
        <v>2017</v>
      </c>
      <c r="W14" s="73">
        <v>24</v>
      </c>
      <c r="X14" s="73">
        <v>3</v>
      </c>
      <c r="Y14" s="73">
        <v>1</v>
      </c>
      <c r="Z14" s="73" t="s">
        <v>1037</v>
      </c>
      <c r="AA14" s="73" t="s">
        <v>693</v>
      </c>
      <c r="AB14" s="73" t="str">
        <f>IF(AA14&lt;&gt;"",INDEX(Lookup!$N$2:$N$5,MATCH(Players!AA14,Lookup!$P$2:$P$5,0)),INDEX(Lookup!$N$2:$N$5,MATCH(Players!O14,Lookup!$O$2:$O$5,0)))</f>
        <v>Striker</v>
      </c>
      <c r="AC14" s="73">
        <v>6500000</v>
      </c>
      <c r="AD14" s="73" t="s">
        <v>815</v>
      </c>
      <c r="AE14" s="73" t="str">
        <f>INDEX('Translate table'!$H$2:$H$622,MATCH(Players!P14,'Translate table'!$G$2:$G$622,0))</f>
        <v>Alvaro Morata</v>
      </c>
      <c r="AF14" s="73">
        <f>IFERROR(INDEX('Euro Qual stats'!$A$1:$L$2071,MATCH(Players!$AE14,'Euro Qual stats'!$A$1:$A$2071,0),MATCH(Players!AF$2,'Euro Qual stats'!$A$1:$L$1,0)),0)</f>
        <v>6</v>
      </c>
      <c r="AG14" s="73">
        <f>IFERROR(INDEX('Euro Qual stats'!$A$1:$L$2071,MATCH(Players!$AE14,'Euro Qual stats'!$A$1:$A$2071,0),MATCH(Players!AG$2,'Euro Qual stats'!$A$1:$L$1,0)),0)</f>
        <v>0</v>
      </c>
      <c r="AH14" s="73">
        <f>IFERROR(INDEX('Euro Qual stats'!$A$1:$L$2071,MATCH(Players!$AE14,'Euro Qual stats'!$A$1:$A$2071,0),MATCH(Players!AH$2,'Euro Qual stats'!$A$1:$L$1,0)),0)</f>
        <v>0.82</v>
      </c>
      <c r="AI14" s="73">
        <f>IFERROR(INDEX('Euro Qual stats'!$A$1:$L$2071,MATCH(Players!$AE14,'Euro Qual stats'!$A$1:$A$2071,0),MATCH(Players!AI$2,'Euro Qual stats'!$A$1:$L$1,0)),0)</f>
        <v>0</v>
      </c>
      <c r="AJ14" s="93">
        <f>(12-AF14)/12*INDEX(BV$9:BV$12,MATCH($AB14,$BU$9:$BU$12,0))+AF14/12*AG14</f>
        <v>0.10245689655172416</v>
      </c>
      <c r="AK14" s="93">
        <f>(12-AG14)/12*INDEX(BW$9:BW$12,MATCH($AB14,$BU$9:$BU$12,0))+AG14/12*AH14</f>
        <v>0.53387931034482738</v>
      </c>
      <c r="AL14" s="93">
        <f>(12-AH14)/12*INDEX(BX$9:BX$12,MATCH($AB14,$BU$9:$BU$12,0))+AH14/12*AI14</f>
        <v>0.15356436781609198</v>
      </c>
      <c r="AM14" s="93">
        <f>IF($BC14=1,AJ14/SUMIFS(AJ$3:AJ$623,$BC$3:$BC$623,1,$G$3:$G$623,$G14),0)</f>
        <v>5.4233592555862291E-2</v>
      </c>
      <c r="AN14" s="93">
        <f>IF($BC14=1,AK14/SUMIFS(AK$3:AK$623,$BC$3:$BC$623,1,$G$3:$G$623,$G14),0)</f>
        <v>0.16809834321310485</v>
      </c>
      <c r="AO14" s="93">
        <f>IF($BC14=1,AL14/SUMIFS(AL$3:AL$623,$BC$3:$BC$623,1,$G$3:$G$623,$G14),0)</f>
        <v>8.4610421312028061E-2</v>
      </c>
      <c r="AP14" s="2">
        <f>IFERROR(R14/$V14*90,"")</f>
        <v>0.49082796232027759</v>
      </c>
      <c r="AQ14" s="2">
        <f>IFERROR(S14/$V14*90,"")</f>
        <v>0.40158651462568168</v>
      </c>
      <c r="AR14" s="2">
        <f>IFERROR(W14/$V14*90,"")</f>
        <v>1.0708973723351511</v>
      </c>
      <c r="AS14" s="2">
        <f>IFERROR(X14/$V14*90,"")</f>
        <v>0.13386217154189389</v>
      </c>
      <c r="AT14" s="2">
        <f>IFERROR(Y14/$V14*90,"")</f>
        <v>4.4620723847297962E-2</v>
      </c>
      <c r="AU14" s="2">
        <f>IF(AP14="",INDEX(BV$4:BV$7,MATCH(O14,$BU$4:$BU$7,0)),AP14)</f>
        <v>0.49082796232027759</v>
      </c>
      <c r="AV14" s="2">
        <f>IF(AQ14="",INDEX(BW$4:BW$7,MATCH($O14,$BU$4:$BU$7,0)),AQ14)</f>
        <v>0.40158651462568168</v>
      </c>
      <c r="AW14" s="2">
        <f t="shared" si="0"/>
        <v>1.0708973723351511</v>
      </c>
      <c r="AX14" s="2">
        <f t="shared" si="1"/>
        <v>0.13386217154189389</v>
      </c>
      <c r="AY14" s="2">
        <f t="shared" si="2"/>
        <v>4.4620723847297962E-2</v>
      </c>
      <c r="AZ14" s="2">
        <f>AU14*0.5+AK14*0.5</f>
        <v>0.51235363633255249</v>
      </c>
      <c r="BA14" s="2">
        <f>AV14*0.5+AJ14*0.5</f>
        <v>0.2520217055887029</v>
      </c>
      <c r="BB14" s="2">
        <f t="shared" si="3"/>
        <v>6.6931085770946946E-2</v>
      </c>
      <c r="BC14">
        <f>IF(I14="expected",1,0)</f>
        <v>1</v>
      </c>
      <c r="BD14" s="78">
        <f>IF(BC14=1,AZ14/SUMIFS(AZ$3:AZ$623,$BC$3:$BC$623,1,$G$3:$G$623,$G14),0)</f>
        <v>0.18216888973758574</v>
      </c>
      <c r="BE14" s="78">
        <f>IF(BC14=1,BA14/SUMIFS(BA$3:BA$623,$BC$3:$BC$623,1,$G$3:$G$623,$G14),0)</f>
        <v>0.12563909310493884</v>
      </c>
      <c r="BF14" s="78">
        <f t="shared" si="4"/>
        <v>0.1746726896756533</v>
      </c>
      <c r="BG14" s="2">
        <f t="shared" si="5"/>
        <v>6.6931085770946946E-2</v>
      </c>
      <c r="BH14" s="2">
        <f t="shared" si="6"/>
        <v>4.4620723847297962E-2</v>
      </c>
      <c r="BI14" s="2">
        <f t="shared" si="7"/>
        <v>0.18216888973758574</v>
      </c>
      <c r="BJ14" s="2">
        <f t="shared" si="8"/>
        <v>0.12563909310493884</v>
      </c>
      <c r="BK14" s="2">
        <f t="shared" si="9"/>
        <v>0.1746726896756533</v>
      </c>
      <c r="BL14" s="2">
        <f t="shared" si="10"/>
        <v>6.6931085770946946E-2</v>
      </c>
      <c r="BM14" s="2">
        <f t="shared" si="11"/>
        <v>4.4620723847297962E-2</v>
      </c>
      <c r="BN14" s="2">
        <f>BI14/SUMIFS(BI$3:BI$623,$BC$3:$BC$623,1,$G$3:$G$623,$G14)</f>
        <v>0.18216888973758572</v>
      </c>
      <c r="BO14" s="2">
        <f>BJ14/SUMIFS(BJ$3:BJ$623,$BC$3:$BC$623,1,$G$3:$G$623,$G14)</f>
        <v>0.12563909310493884</v>
      </c>
      <c r="BP14" s="2">
        <f>BK14/SUMIFS(BK$3:BK$623,$BC$3:$BC$623,1,$G$3:$G$623,$G14)</f>
        <v>0.17467268967565333</v>
      </c>
      <c r="BQ14" s="2">
        <f>BL14</f>
        <v>6.6931085770946946E-2</v>
      </c>
      <c r="BR14" s="2">
        <f>BM14</f>
        <v>4.4620723847297962E-2</v>
      </c>
    </row>
    <row r="15" spans="1:78" hidden="1">
      <c r="A15" s="74">
        <v>0</v>
      </c>
      <c r="B15" s="73">
        <v>221499</v>
      </c>
      <c r="C15" s="73" t="s">
        <v>1038</v>
      </c>
      <c r="D15" s="73" t="s">
        <v>1039</v>
      </c>
      <c r="E15" s="73" t="s">
        <v>1040</v>
      </c>
      <c r="F15" s="73">
        <v>18647</v>
      </c>
      <c r="G15" s="73" t="s">
        <v>891</v>
      </c>
      <c r="H15" s="73" t="s">
        <v>927</v>
      </c>
      <c r="I15" s="73" t="s">
        <v>981</v>
      </c>
      <c r="J15" s="73">
        <v>0</v>
      </c>
      <c r="K15" s="73">
        <v>10</v>
      </c>
      <c r="L15" s="73">
        <v>0</v>
      </c>
      <c r="M15" s="73">
        <v>0</v>
      </c>
      <c r="N15" s="73">
        <v>0</v>
      </c>
      <c r="O15" s="73" t="s">
        <v>982</v>
      </c>
      <c r="P15" s="73" t="s">
        <v>1041</v>
      </c>
      <c r="Q15" s="73" t="s">
        <v>1041</v>
      </c>
      <c r="R15" s="73">
        <v>23</v>
      </c>
      <c r="S15" s="73">
        <v>9</v>
      </c>
      <c r="T15" s="73">
        <v>0</v>
      </c>
      <c r="U15" s="73">
        <v>10</v>
      </c>
      <c r="V15" s="73">
        <v>2901</v>
      </c>
      <c r="W15" s="73">
        <v>55</v>
      </c>
      <c r="X15" s="73">
        <v>2</v>
      </c>
      <c r="Y15" s="73">
        <v>0</v>
      </c>
      <c r="Z15" s="73" t="s">
        <v>989</v>
      </c>
      <c r="AA15" s="73" t="s">
        <v>693</v>
      </c>
      <c r="AB15" s="73" t="str">
        <f>IF(AA15&lt;&gt;"",INDEX(Lookup!$N$2:$N$5,MATCH(Players!AA15,Lookup!$P$2:$P$5,0)),INDEX(Lookup!$N$2:$N$5,MATCH(Players!O15,Lookup!$O$2:$O$5,0)))</f>
        <v>Striker</v>
      </c>
      <c r="AC15" s="73">
        <v>7500000</v>
      </c>
      <c r="AD15" s="73" t="s">
        <v>1042</v>
      </c>
      <c r="AE15" s="73" t="str">
        <f>INDEX('Translate table'!$H$2:$H$622,MATCH(Players!P15,'Translate table'!$G$2:$G$622,0))</f>
        <v>Karim Onisiwo</v>
      </c>
      <c r="AF15" s="73">
        <f>IFERROR(INDEX('Euro Qual stats'!$A$1:$L$2071,MATCH(Players!$AE15,'Euro Qual stats'!$A$1:$A$2071,0),MATCH(Players!AF$2,'Euro Qual stats'!$A$1:$L$1,0)),0)</f>
        <v>4</v>
      </c>
      <c r="AG15" s="73">
        <f>IFERROR(INDEX('Euro Qual stats'!$A$1:$L$2071,MATCH(Players!$AE15,'Euro Qual stats'!$A$1:$A$2071,0),MATCH(Players!AG$2,'Euro Qual stats'!$A$1:$L$1,0)),0)</f>
        <v>0</v>
      </c>
      <c r="AH15" s="73">
        <f>IFERROR(INDEX('Euro Qual stats'!$A$1:$L$2071,MATCH(Players!$AE15,'Euro Qual stats'!$A$1:$A$2071,0),MATCH(Players!AH$2,'Euro Qual stats'!$A$1:$L$1,0)),0)</f>
        <v>0</v>
      </c>
      <c r="AI15" s="73">
        <f>IFERROR(INDEX('Euro Qual stats'!$A$1:$L$2071,MATCH(Players!$AE15,'Euro Qual stats'!$A$1:$A$2071,0),MATCH(Players!AI$2,'Euro Qual stats'!$A$1:$L$1,0)),0)</f>
        <v>1.05</v>
      </c>
      <c r="AJ15" s="93">
        <f>(12-AF15)/12*INDEX(BV$9:BV$12,MATCH($AB15,$BU$9:$BU$12,0))+AF15/12*AG15</f>
        <v>0.13660919540229888</v>
      </c>
      <c r="AK15" s="93">
        <f>(12-AG15)/12*INDEX(BW$9:BW$12,MATCH($AB15,$BU$9:$BU$12,0))+AG15/12*AH15</f>
        <v>0.53387931034482738</v>
      </c>
      <c r="AL15" s="93">
        <f>(12-AH15)/12*INDEX(BX$9:BX$12,MATCH($AB15,$BU$9:$BU$12,0))+AH15/12*AI15</f>
        <v>0.16482758620689658</v>
      </c>
      <c r="AM15" s="93">
        <f>IF($BC15=1,AJ15/SUMIFS(AJ$3:AJ$623,$BC$3:$BC$623,1,$G$3:$G$623,$G15),0)</f>
        <v>7.0518992230291414E-2</v>
      </c>
      <c r="AN15" s="93">
        <f>IF($BC15=1,AK15/SUMIFS(AK$3:AK$623,$BC$3:$BC$623,1,$G$3:$G$623,$G15),0)</f>
        <v>0.17931663686850899</v>
      </c>
      <c r="AO15" s="93">
        <f>IF($BC15=1,AL15/SUMIFS(AL$3:AL$623,$BC$3:$BC$623,1,$G$3:$G$623,$G15),0)</f>
        <v>8.6081016938199709E-2</v>
      </c>
      <c r="AP15" s="2">
        <f>IFERROR(R15/$V15*90,"")</f>
        <v>0.71354705274043428</v>
      </c>
      <c r="AQ15" s="2">
        <f>IFERROR(S15/$V15*90,"")</f>
        <v>0.27921406411582211</v>
      </c>
      <c r="AR15" s="2">
        <f>IFERROR(W15/$V15*90,"")</f>
        <v>1.7063081695966908</v>
      </c>
      <c r="AS15" s="2">
        <f>IFERROR(X15/$V15*90,"")</f>
        <v>6.2047569803516028E-2</v>
      </c>
      <c r="AT15" s="2">
        <f>IFERROR(Y15/$V15*90,"")</f>
        <v>0</v>
      </c>
      <c r="AU15" s="2">
        <f>IF(AP15="",INDEX(BV$4:BV$7,MATCH(O15,$BU$4:$BU$7,0)),AP15)</f>
        <v>0.71354705274043428</v>
      </c>
      <c r="AV15" s="2">
        <f>IF(AQ15="",INDEX(BW$4:BW$7,MATCH($O15,$BU$4:$BU$7,0)),AQ15)</f>
        <v>0.27921406411582211</v>
      </c>
      <c r="AW15" s="2">
        <f t="shared" si="0"/>
        <v>1.7063081695966908</v>
      </c>
      <c r="AX15" s="2">
        <f t="shared" si="1"/>
        <v>6.2047569803516028E-2</v>
      </c>
      <c r="AY15" s="2">
        <f t="shared" si="2"/>
        <v>0</v>
      </c>
      <c r="AZ15" s="2">
        <f>AU15*0.5+AK15*0.5</f>
        <v>0.62371318154263089</v>
      </c>
      <c r="BA15" s="2">
        <f>AV15*0.5+AJ15*0.5</f>
        <v>0.2079116297590605</v>
      </c>
      <c r="BB15" s="2">
        <f t="shared" si="3"/>
        <v>0.55602378490175808</v>
      </c>
      <c r="BC15">
        <f>IF(I15="expected",1,0)</f>
        <v>1</v>
      </c>
      <c r="BD15" s="78">
        <f>IF(BC15=1,AZ15/SUMIFS(AZ$3:AZ$623,$BC$3:$BC$623,1,$G$3:$G$623,$G15),0)</f>
        <v>0.21604211100615764</v>
      </c>
      <c r="BE15" s="78">
        <f>IF(BC15=1,BA15/SUMIFS(BA$3:BA$623,$BC$3:$BC$623,1,$G$3:$G$623,$G15),0)</f>
        <v>0.1166846872846454</v>
      </c>
      <c r="BF15" s="78">
        <f t="shared" si="4"/>
        <v>0.23465536412025764</v>
      </c>
      <c r="BG15" s="2">
        <f t="shared" si="5"/>
        <v>0.55602378490175808</v>
      </c>
      <c r="BH15" s="2">
        <f t="shared" si="6"/>
        <v>0</v>
      </c>
      <c r="BI15" s="2">
        <f t="shared" si="7"/>
        <v>0.21604211100615764</v>
      </c>
      <c r="BJ15" s="2">
        <f t="shared" si="8"/>
        <v>0.1166846872846454</v>
      </c>
      <c r="BK15" s="2">
        <f t="shared" si="9"/>
        <v>0.23465536412025764</v>
      </c>
      <c r="BL15" s="2">
        <f t="shared" si="10"/>
        <v>0.55602378490175808</v>
      </c>
      <c r="BM15" s="2">
        <f t="shared" si="11"/>
        <v>0</v>
      </c>
      <c r="BN15" s="2">
        <f>BI15/SUMIFS(BI$3:BI$623,$BC$3:$BC$623,1,$G$3:$G$623,$G15)</f>
        <v>0.21604211100615764</v>
      </c>
      <c r="BO15" s="2">
        <f>BJ15/SUMIFS(BJ$3:BJ$623,$BC$3:$BC$623,1,$G$3:$G$623,$G15)</f>
        <v>0.1166846872846454</v>
      </c>
      <c r="BP15" s="2">
        <f>BK15/SUMIFS(BK$3:BK$623,$BC$3:$BC$623,1,$G$3:$G$623,$G15)</f>
        <v>0.23465536412025764</v>
      </c>
      <c r="BQ15" s="2">
        <f>BL15</f>
        <v>0.55602378490175808</v>
      </c>
      <c r="BR15" s="2">
        <f>BM15</f>
        <v>0</v>
      </c>
    </row>
    <row r="16" spans="1:78" hidden="1">
      <c r="A16" s="74">
        <v>0</v>
      </c>
      <c r="B16" s="73">
        <v>204668</v>
      </c>
      <c r="C16" s="73" t="s">
        <v>1043</v>
      </c>
      <c r="D16" s="73" t="s">
        <v>1044</v>
      </c>
      <c r="E16" s="73" t="s">
        <v>1045</v>
      </c>
      <c r="F16" s="73">
        <v>18660</v>
      </c>
      <c r="G16" s="73" t="s">
        <v>892</v>
      </c>
      <c r="H16" s="73" t="s">
        <v>915</v>
      </c>
      <c r="I16" s="73" t="s">
        <v>1012</v>
      </c>
      <c r="J16" s="73">
        <v>0</v>
      </c>
      <c r="K16" s="73">
        <v>9.5</v>
      </c>
      <c r="L16" s="73">
        <v>0</v>
      </c>
      <c r="M16" s="73">
        <v>0</v>
      </c>
      <c r="N16" s="73">
        <v>0</v>
      </c>
      <c r="O16" s="73" t="s">
        <v>982</v>
      </c>
      <c r="P16" s="73" t="s">
        <v>502</v>
      </c>
      <c r="Q16" s="73" t="s">
        <v>502</v>
      </c>
      <c r="R16" s="73">
        <v>6</v>
      </c>
      <c r="S16" s="73">
        <v>8</v>
      </c>
      <c r="T16" s="73">
        <v>0</v>
      </c>
      <c r="U16" s="73">
        <v>7</v>
      </c>
      <c r="V16" s="73">
        <v>2602</v>
      </c>
      <c r="W16" s="73">
        <v>32</v>
      </c>
      <c r="X16" s="73">
        <v>2</v>
      </c>
      <c r="Y16" s="73">
        <v>0</v>
      </c>
      <c r="Z16" s="73" t="s">
        <v>1046</v>
      </c>
      <c r="AA16" s="73" t="s">
        <v>693</v>
      </c>
      <c r="AB16" s="73" t="str">
        <f>IF(AA16&lt;&gt;"",INDEX(Lookup!$N$2:$N$5,MATCH(Players!AA16,Lookup!$P$2:$P$5,0)),INDEX(Lookup!$N$2:$N$5,MATCH(Players!O16,Lookup!$O$2:$O$5,0)))</f>
        <v>Striker</v>
      </c>
      <c r="AC16" s="73">
        <v>6000000</v>
      </c>
      <c r="AD16" s="73" t="s">
        <v>815</v>
      </c>
      <c r="AE16" s="73" t="str">
        <f>INDEX('Translate table'!$H$2:$H$622,MATCH(Players!P16,'Translate table'!$G$2:$G$622,0))</f>
        <v>Timo Werner</v>
      </c>
      <c r="AF16" s="73">
        <f>IFERROR(INDEX('Euro Qual stats'!$A$1:$L$2071,MATCH(Players!$AE16,'Euro Qual stats'!$A$1:$A$2071,0),MATCH(Players!AF$2,'Euro Qual stats'!$A$1:$L$1,0)),0)</f>
        <v>5</v>
      </c>
      <c r="AG16" s="73">
        <f>IFERROR(INDEX('Euro Qual stats'!$A$1:$L$2071,MATCH(Players!$AE16,'Euro Qual stats'!$A$1:$A$2071,0),MATCH(Players!AG$2,'Euro Qual stats'!$A$1:$L$1,0)),0)</f>
        <v>0</v>
      </c>
      <c r="AH16" s="73">
        <f>IFERROR(INDEX('Euro Qual stats'!$A$1:$L$2071,MATCH(Players!$AE16,'Euro Qual stats'!$A$1:$A$2071,0),MATCH(Players!AH$2,'Euro Qual stats'!$A$1:$L$1,0)),0)</f>
        <v>0.73</v>
      </c>
      <c r="AI16" s="73">
        <f>IFERROR(INDEX('Euro Qual stats'!$A$1:$L$2071,MATCH(Players!$AE16,'Euro Qual stats'!$A$1:$A$2071,0),MATCH(Players!AI$2,'Euro Qual stats'!$A$1:$L$1,0)),0)</f>
        <v>0</v>
      </c>
      <c r="AJ16" s="93">
        <f>(12-AF16)/12*INDEX(BV$9:BV$12,MATCH($AB16,$BU$9:$BU$12,0))+AF16/12*AG16</f>
        <v>0.11953304597701153</v>
      </c>
      <c r="AK16" s="93">
        <f>(12-AG16)/12*INDEX(BW$9:BW$12,MATCH($AB16,$BU$9:$BU$12,0))+AG16/12*AH16</f>
        <v>0.53387931034482738</v>
      </c>
      <c r="AL16" s="93">
        <f>(12-AH16)/12*INDEX(BX$9:BX$12,MATCH($AB16,$BU$9:$BU$12,0))+AH16/12*AI16</f>
        <v>0.15480057471264369</v>
      </c>
      <c r="AM16" s="93">
        <f>IF($BC16=1,AJ16/SUMIFS(AJ$3:AJ$623,$BC$3:$BC$623,1,$G$3:$G$623,$G16),0)</f>
        <v>0</v>
      </c>
      <c r="AN16" s="93">
        <f>IF($BC16=1,AK16/SUMIFS(AK$3:AK$623,$BC$3:$BC$623,1,$G$3:$G$623,$G16),0)</f>
        <v>0</v>
      </c>
      <c r="AO16" s="93">
        <f>IF($BC16=1,AL16/SUMIFS(AL$3:AL$623,$BC$3:$BC$623,1,$G$3:$G$623,$G16),0)</f>
        <v>0</v>
      </c>
      <c r="AP16" s="2">
        <f>IFERROR(R16/$V16*90,"")</f>
        <v>0.20753266717909299</v>
      </c>
      <c r="AQ16" s="2">
        <f>IFERROR(S16/$V16*90,"")</f>
        <v>0.27671022290545733</v>
      </c>
      <c r="AR16" s="2">
        <f>IFERROR(W16/$V16*90,"")</f>
        <v>1.1068408916218293</v>
      </c>
      <c r="AS16" s="2">
        <f>IFERROR(X16/$V16*90,"")</f>
        <v>6.9177555726364331E-2</v>
      </c>
      <c r="AT16" s="2">
        <f>IFERROR(Y16/$V16*90,"")</f>
        <v>0</v>
      </c>
      <c r="AU16" s="2">
        <f>IF(AP16="",INDEX(BV$4:BV$7,MATCH(O16,$BU$4:$BU$7,0)),AP16)</f>
        <v>0.20753266717909299</v>
      </c>
      <c r="AV16" s="2">
        <f>IF(AQ16="",INDEX(BW$4:BW$7,MATCH($O16,$BU$4:$BU$7,0)),AQ16)</f>
        <v>0.27671022290545733</v>
      </c>
      <c r="AW16" s="2">
        <f t="shared" si="0"/>
        <v>1.1068408916218293</v>
      </c>
      <c r="AX16" s="2">
        <f t="shared" si="1"/>
        <v>6.9177555726364331E-2</v>
      </c>
      <c r="AY16" s="2">
        <f t="shared" si="2"/>
        <v>0</v>
      </c>
      <c r="AZ16" s="2">
        <f>AU16*0.5+AK16*0.5</f>
        <v>0.3707059887619602</v>
      </c>
      <c r="BA16" s="2">
        <f>AV16*0.5+AJ16*0.5</f>
        <v>0.19812163444123443</v>
      </c>
      <c r="BB16" s="2">
        <f t="shared" si="3"/>
        <v>3.4588777863182166E-2</v>
      </c>
      <c r="BC16">
        <f>IF(I16="expected",1,0)</f>
        <v>0</v>
      </c>
      <c r="BD16" s="78">
        <f>IF(BC16=1,AZ16/SUMIFS(AZ$3:AZ$623,$BC$3:$BC$623,1,$G$3:$G$623,$G16),0)</f>
        <v>0</v>
      </c>
      <c r="BE16" s="78">
        <f>IF(BC16=1,BA16/SUMIFS(BA$3:BA$623,$BC$3:$BC$623,1,$G$3:$G$623,$G16),0)</f>
        <v>0</v>
      </c>
      <c r="BF16" s="78">
        <f t="shared" si="4"/>
        <v>0</v>
      </c>
      <c r="BG16" s="2">
        <f t="shared" si="5"/>
        <v>3.4588777863182166E-2</v>
      </c>
      <c r="BH16" s="2">
        <f t="shared" si="6"/>
        <v>0</v>
      </c>
      <c r="BI16" s="2">
        <f t="shared" si="7"/>
        <v>0</v>
      </c>
      <c r="BJ16" s="2">
        <f t="shared" si="8"/>
        <v>0</v>
      </c>
      <c r="BK16" s="2">
        <f t="shared" si="9"/>
        <v>0</v>
      </c>
      <c r="BL16" s="2">
        <f t="shared" si="10"/>
        <v>3.4588777863182166E-2</v>
      </c>
      <c r="BM16" s="2">
        <f t="shared" si="11"/>
        <v>0</v>
      </c>
      <c r="BN16" s="2">
        <f>BI16/SUMIFS(BI$3:BI$623,$BC$3:$BC$623,1,$G$3:$G$623,$G16)</f>
        <v>0</v>
      </c>
      <c r="BO16" s="2">
        <f>BJ16/SUMIFS(BJ$3:BJ$623,$BC$3:$BC$623,1,$G$3:$G$623,$G16)</f>
        <v>0</v>
      </c>
      <c r="BP16" s="2">
        <f>BK16/SUMIFS(BK$3:BK$623,$BC$3:$BC$623,1,$G$3:$G$623,$G16)</f>
        <v>0</v>
      </c>
      <c r="BQ16" s="2">
        <f>BL16</f>
        <v>3.4588777863182166E-2</v>
      </c>
      <c r="BR16" s="2">
        <f>BM16</f>
        <v>0</v>
      </c>
    </row>
    <row r="17" spans="1:70" hidden="1">
      <c r="A17" s="74">
        <v>0</v>
      </c>
      <c r="B17" s="73">
        <v>204611</v>
      </c>
      <c r="C17" s="73" t="s">
        <v>1047</v>
      </c>
      <c r="D17" s="73" t="s">
        <v>1048</v>
      </c>
      <c r="E17" s="73" t="s">
        <v>1049</v>
      </c>
      <c r="F17" s="73">
        <v>18645</v>
      </c>
      <c r="G17" s="73" t="s">
        <v>879</v>
      </c>
      <c r="H17" s="73" t="s">
        <v>933</v>
      </c>
      <c r="I17" s="73" t="s">
        <v>1012</v>
      </c>
      <c r="J17" s="73">
        <v>0</v>
      </c>
      <c r="K17" s="73">
        <v>9.5</v>
      </c>
      <c r="L17" s="73">
        <v>0</v>
      </c>
      <c r="M17" s="73">
        <v>0</v>
      </c>
      <c r="N17" s="73">
        <v>0</v>
      </c>
      <c r="O17" s="73" t="s">
        <v>994</v>
      </c>
      <c r="P17" s="73" t="s">
        <v>71</v>
      </c>
      <c r="Q17" s="73" t="s">
        <v>71</v>
      </c>
      <c r="R17" s="73">
        <v>6</v>
      </c>
      <c r="S17" s="73">
        <v>10</v>
      </c>
      <c r="T17" s="73">
        <v>0</v>
      </c>
      <c r="U17" s="73">
        <v>11</v>
      </c>
      <c r="V17" s="73">
        <v>2184</v>
      </c>
      <c r="W17" s="73">
        <v>19</v>
      </c>
      <c r="X17" s="73">
        <v>6</v>
      </c>
      <c r="Y17" s="73">
        <v>0</v>
      </c>
      <c r="Z17" s="73" t="s">
        <v>879</v>
      </c>
      <c r="AA17" s="73" t="s">
        <v>693</v>
      </c>
      <c r="AB17" s="73" t="str">
        <f>IF(AA17&lt;&gt;"",INDEX(Lookup!$N$2:$N$5,MATCH(Players!AA17,Lookup!$P$2:$P$5,0)),INDEX(Lookup!$N$2:$N$5,MATCH(Players!O17,Lookup!$O$2:$O$5,0)))</f>
        <v>Striker</v>
      </c>
      <c r="AC17" s="73">
        <v>3500000</v>
      </c>
      <c r="AD17" s="73" t="s">
        <v>804</v>
      </c>
      <c r="AE17" s="73" t="str">
        <f>INDEX('Translate table'!$H$2:$H$622,MATCH(Players!P17,'Translate table'!$G$2:$G$622,0))</f>
        <v>Jacek GÃ³ralski</v>
      </c>
      <c r="AF17" s="73">
        <f>IFERROR(INDEX('Euro Qual stats'!$A$1:$L$2071,MATCH(Players!$AE17,'Euro Qual stats'!$A$1:$A$2071,0),MATCH(Players!AF$2,'Euro Qual stats'!$A$1:$L$1,0)),0)</f>
        <v>4</v>
      </c>
      <c r="AG17" s="73">
        <f>IFERROR(INDEX('Euro Qual stats'!$A$1:$L$2071,MATCH(Players!$AE17,'Euro Qual stats'!$A$1:$A$2071,0),MATCH(Players!AG$2,'Euro Qual stats'!$A$1:$L$1,0)),0)</f>
        <v>0</v>
      </c>
      <c r="AH17" s="73">
        <f>IFERROR(INDEX('Euro Qual stats'!$A$1:$L$2071,MATCH(Players!$AE17,'Euro Qual stats'!$A$1:$A$2071,0),MATCH(Players!AH$2,'Euro Qual stats'!$A$1:$L$1,0)),0)</f>
        <v>0.46</v>
      </c>
      <c r="AI17" s="73">
        <f>IFERROR(INDEX('Euro Qual stats'!$A$1:$L$2071,MATCH(Players!$AE17,'Euro Qual stats'!$A$1:$A$2071,0),MATCH(Players!AI$2,'Euro Qual stats'!$A$1:$L$1,0)),0)</f>
        <v>0</v>
      </c>
      <c r="AJ17" s="93">
        <f>(12-AF17)/12*INDEX(BV$9:BV$12,MATCH($AB17,$BU$9:$BU$12,0))+AF17/12*AG17</f>
        <v>0.13660919540229888</v>
      </c>
      <c r="AK17" s="93">
        <f>(12-AG17)/12*INDEX(BW$9:BW$12,MATCH($AB17,$BU$9:$BU$12,0))+AG17/12*AH17</f>
        <v>0.53387931034482738</v>
      </c>
      <c r="AL17" s="93">
        <f>(12-AH17)/12*INDEX(BX$9:BX$12,MATCH($AB17,$BU$9:$BU$12,0))+AH17/12*AI17</f>
        <v>0.15850919540229885</v>
      </c>
      <c r="AM17" s="93">
        <f>IF($BC17=1,AJ17/SUMIFS(AJ$3:AJ$623,$BC$3:$BC$623,1,$G$3:$G$623,$G17),0)</f>
        <v>0</v>
      </c>
      <c r="AN17" s="93">
        <f>IF($BC17=1,AK17/SUMIFS(AK$3:AK$623,$BC$3:$BC$623,1,$G$3:$G$623,$G17),0)</f>
        <v>0</v>
      </c>
      <c r="AO17" s="93">
        <f>IF($BC17=1,AL17/SUMIFS(AL$3:AL$623,$BC$3:$BC$623,1,$G$3:$G$623,$G17),0)</f>
        <v>0</v>
      </c>
      <c r="AP17" s="2">
        <f>IFERROR(R17/$V17*90,"")</f>
        <v>0.24725274725274726</v>
      </c>
      <c r="AQ17" s="2">
        <f>IFERROR(S17/$V17*90,"")</f>
        <v>0.41208791208791212</v>
      </c>
      <c r="AR17" s="2">
        <f>IFERROR(W17/$V17*90,"")</f>
        <v>0.78296703296703296</v>
      </c>
      <c r="AS17" s="2">
        <f>IFERROR(X17/$V17*90,"")</f>
        <v>0.24725274725274726</v>
      </c>
      <c r="AT17" s="2">
        <f>IFERROR(Y17/$V17*90,"")</f>
        <v>0</v>
      </c>
      <c r="AU17" s="2">
        <f>IF(AP17="",INDEX(BV$4:BV$7,MATCH(O17,$BU$4:$BU$7,0)),AP17)</f>
        <v>0.24725274725274726</v>
      </c>
      <c r="AV17" s="2">
        <f>IF(AQ17="",INDEX(BW$4:BW$7,MATCH($O17,$BU$4:$BU$7,0)),AQ17)</f>
        <v>0.41208791208791212</v>
      </c>
      <c r="AW17" s="2">
        <f t="shared" si="0"/>
        <v>0.78296703296703296</v>
      </c>
      <c r="AX17" s="2">
        <f t="shared" si="1"/>
        <v>0.24725274725274726</v>
      </c>
      <c r="AY17" s="2">
        <f t="shared" si="2"/>
        <v>0</v>
      </c>
      <c r="AZ17" s="2">
        <f>AU17*0.5+AK17*0.5</f>
        <v>0.39056602879878732</v>
      </c>
      <c r="BA17" s="2">
        <f>AV17*0.5+AJ17*0.5</f>
        <v>0.27434855374510547</v>
      </c>
      <c r="BB17" s="2">
        <f t="shared" si="3"/>
        <v>0.12362637362637363</v>
      </c>
      <c r="BC17">
        <f>IF(I17="expected",1,0)</f>
        <v>0</v>
      </c>
      <c r="BD17" s="78">
        <f>IF(BC17=1,AZ17/SUMIFS(AZ$3:AZ$623,$BC$3:$BC$623,1,$G$3:$G$623,$G17),0)</f>
        <v>0</v>
      </c>
      <c r="BE17" s="78">
        <f>IF(BC17=1,BA17/SUMIFS(BA$3:BA$623,$BC$3:$BC$623,1,$G$3:$G$623,$G17),0)</f>
        <v>0</v>
      </c>
      <c r="BF17" s="78">
        <f t="shared" si="4"/>
        <v>0</v>
      </c>
      <c r="BG17" s="2">
        <f t="shared" si="5"/>
        <v>0.12362637362637363</v>
      </c>
      <c r="BH17" s="2">
        <f t="shared" si="6"/>
        <v>0</v>
      </c>
      <c r="BI17" s="2">
        <f t="shared" si="7"/>
        <v>0</v>
      </c>
      <c r="BJ17" s="2">
        <f t="shared" si="8"/>
        <v>0</v>
      </c>
      <c r="BK17" s="2">
        <f t="shared" si="9"/>
        <v>0</v>
      </c>
      <c r="BL17" s="2">
        <f t="shared" si="10"/>
        <v>0.12362637362637363</v>
      </c>
      <c r="BM17" s="2">
        <f t="shared" si="11"/>
        <v>0</v>
      </c>
      <c r="BN17" s="2">
        <f>BI17/SUMIFS(BI$3:BI$623,$BC$3:$BC$623,1,$G$3:$G$623,$G17)</f>
        <v>0</v>
      </c>
      <c r="BO17" s="2">
        <f>BJ17/SUMIFS(BJ$3:BJ$623,$BC$3:$BC$623,1,$G$3:$G$623,$G17)</f>
        <v>0</v>
      </c>
      <c r="BP17" s="2">
        <f>BK17/SUMIFS(BK$3:BK$623,$BC$3:$BC$623,1,$G$3:$G$623,$G17)</f>
        <v>0</v>
      </c>
      <c r="BQ17" s="2">
        <f>BL17</f>
        <v>0.12362637362637363</v>
      </c>
      <c r="BR17" s="2">
        <f>BM17</f>
        <v>0</v>
      </c>
    </row>
    <row r="18" spans="1:70" hidden="1">
      <c r="A18" s="74">
        <v>0</v>
      </c>
      <c r="B18" s="73">
        <v>213387</v>
      </c>
      <c r="C18" s="73" t="s">
        <v>1050</v>
      </c>
      <c r="D18" s="73" t="s">
        <v>1051</v>
      </c>
      <c r="E18" s="73" t="s">
        <v>1052</v>
      </c>
      <c r="F18" s="73">
        <v>18658</v>
      </c>
      <c r="G18" s="73" t="s">
        <v>863</v>
      </c>
      <c r="H18" s="73" t="s">
        <v>939</v>
      </c>
      <c r="I18" s="73" t="s">
        <v>981</v>
      </c>
      <c r="J18" s="73">
        <v>0</v>
      </c>
      <c r="K18" s="73">
        <v>9</v>
      </c>
      <c r="L18" s="73">
        <v>0</v>
      </c>
      <c r="M18" s="73">
        <v>0</v>
      </c>
      <c r="N18" s="73">
        <v>0</v>
      </c>
      <c r="O18" s="73" t="s">
        <v>982</v>
      </c>
      <c r="P18" s="73" t="s">
        <v>1053</v>
      </c>
      <c r="Q18" s="73" t="s">
        <v>1053</v>
      </c>
      <c r="R18" s="73">
        <v>20</v>
      </c>
      <c r="S18" s="73">
        <v>6</v>
      </c>
      <c r="T18" s="73">
        <v>0</v>
      </c>
      <c r="U18" s="73">
        <v>6</v>
      </c>
      <c r="V18" s="73">
        <v>2866</v>
      </c>
      <c r="W18" s="73">
        <v>51</v>
      </c>
      <c r="X18" s="73">
        <v>3</v>
      </c>
      <c r="Y18" s="73">
        <v>1</v>
      </c>
      <c r="Z18" s="73" t="s">
        <v>1054</v>
      </c>
      <c r="AA18" s="73" t="s">
        <v>693</v>
      </c>
      <c r="AB18" s="73" t="str">
        <f>IF(AA18&lt;&gt;"",INDEX(Lookup!$N$2:$N$5,MATCH(Players!AA18,Lookup!$P$2:$P$5,0)),INDEX(Lookup!$N$2:$N$5,MATCH(Players!O18,Lookup!$O$2:$O$5,0)))</f>
        <v>Striker</v>
      </c>
      <c r="AC18" s="73">
        <v>6500000</v>
      </c>
      <c r="AD18" s="73" t="s">
        <v>1055</v>
      </c>
      <c r="AE18" s="73" t="str">
        <f>INDEX('Translate table'!$H$2:$H$622,MATCH(Players!P18,'Translate table'!$G$2:$G$622,0))</f>
        <v>Ciro Immobile</v>
      </c>
      <c r="AF18" s="73">
        <f>IFERROR(INDEX('Euro Qual stats'!$A$1:$L$2071,MATCH(Players!$AE18,'Euro Qual stats'!$A$1:$A$2071,0),MATCH(Players!AF$2,'Euro Qual stats'!$A$1:$L$1,0)),0)</f>
        <v>4</v>
      </c>
      <c r="AG18" s="73">
        <f>IFERROR(INDEX('Euro Qual stats'!$A$1:$L$2071,MATCH(Players!$AE18,'Euro Qual stats'!$A$1:$A$2071,0),MATCH(Players!AG$2,'Euro Qual stats'!$A$1:$L$1,0)),0)</f>
        <v>0.55000000000000004</v>
      </c>
      <c r="AH18" s="73">
        <f>IFERROR(INDEX('Euro Qual stats'!$A$1:$L$2071,MATCH(Players!$AE18,'Euro Qual stats'!$A$1:$A$2071,0),MATCH(Players!AH$2,'Euro Qual stats'!$A$1:$L$1,0)),0)</f>
        <v>0.83</v>
      </c>
      <c r="AI18" s="73">
        <f>IFERROR(INDEX('Euro Qual stats'!$A$1:$L$2071,MATCH(Players!$AE18,'Euro Qual stats'!$A$1:$A$2071,0),MATCH(Players!AI$2,'Euro Qual stats'!$A$1:$L$1,0)),0)</f>
        <v>0</v>
      </c>
      <c r="AJ18" s="93">
        <f>(12-AF18)/12*INDEX(BV$9:BV$12,MATCH($AB18,$BU$9:$BU$12,0))+AF18/12*AG18</f>
        <v>0.31994252873563223</v>
      </c>
      <c r="AK18" s="93">
        <f>(12-AG18)/12*INDEX(BW$9:BW$12,MATCH($AB18,$BU$9:$BU$12,0))+AG18/12*AH18</f>
        <v>0.54745150862068936</v>
      </c>
      <c r="AL18" s="93">
        <f>(12-AH18)/12*INDEX(BX$9:BX$12,MATCH($AB18,$BU$9:$BU$12,0))+AH18/12*AI18</f>
        <v>0.15342701149425289</v>
      </c>
      <c r="AM18" s="93">
        <f>IF($BC18=1,AJ18/SUMIFS(AJ$3:AJ$623,$BC$3:$BC$623,1,$G$3:$G$623,$G18),0)</f>
        <v>0.15727154394639264</v>
      </c>
      <c r="AN18" s="93">
        <f>IF($BC18=1,AK18/SUMIFS(AK$3:AK$623,$BC$3:$BC$623,1,$G$3:$G$623,$G18),0)</f>
        <v>0.22847632116126879</v>
      </c>
      <c r="AO18" s="93">
        <f>IF($BC18=1,AL18/SUMIFS(AL$3:AL$623,$BC$3:$BC$623,1,$G$3:$G$623,$G18),0)</f>
        <v>7.5567707767287065E-2</v>
      </c>
      <c r="AP18" s="2">
        <f>IFERROR(R18/$V18*90,"")</f>
        <v>0.62805303558967196</v>
      </c>
      <c r="AQ18" s="2">
        <f>IFERROR(S18/$V18*90,"")</f>
        <v>0.18841591067690161</v>
      </c>
      <c r="AR18" s="2">
        <f>IFERROR(W18/$V18*90,"")</f>
        <v>1.6015352407536636</v>
      </c>
      <c r="AS18" s="2">
        <f>IFERROR(X18/$V18*90,"")</f>
        <v>9.4207955338450805E-2</v>
      </c>
      <c r="AT18" s="2">
        <f>IFERROR(Y18/$V18*90,"")</f>
        <v>3.1402651779483599E-2</v>
      </c>
      <c r="AU18" s="2">
        <f>IF(AP18="",INDEX(BV$4:BV$7,MATCH(O18,$BU$4:$BU$7,0)),AP18)</f>
        <v>0.62805303558967196</v>
      </c>
      <c r="AV18" s="2">
        <f>IF(AQ18="",INDEX(BW$4:BW$7,MATCH($O18,$BU$4:$BU$7,0)),AQ18)</f>
        <v>0.18841591067690161</v>
      </c>
      <c r="AW18" s="2">
        <f t="shared" si="0"/>
        <v>1.6015352407536636</v>
      </c>
      <c r="AX18" s="2">
        <f t="shared" si="1"/>
        <v>9.4207955338450805E-2</v>
      </c>
      <c r="AY18" s="2">
        <f t="shared" si="2"/>
        <v>3.1402651779483599E-2</v>
      </c>
      <c r="AZ18" s="2">
        <f>AU18*0.5+AK18*0.5</f>
        <v>0.58775227210518066</v>
      </c>
      <c r="BA18" s="2">
        <f>AV18*0.5+AJ18*0.5</f>
        <v>0.25417921970626689</v>
      </c>
      <c r="BB18" s="2">
        <f t="shared" si="3"/>
        <v>4.7103977669225403E-2</v>
      </c>
      <c r="BC18">
        <f>IF(I18="expected",1,0)</f>
        <v>1</v>
      </c>
      <c r="BD18" s="78">
        <f>IF(BC18=1,AZ18/SUMIFS(AZ$3:AZ$623,$BC$3:$BC$623,1,$G$3:$G$623,$G18),0)</f>
        <v>0.25313976709628194</v>
      </c>
      <c r="BE18" s="78">
        <f>IF(BC18=1,BA18/SUMIFS(BA$3:BA$623,$BC$3:$BC$623,1,$G$3:$G$623,$G18),0)</f>
        <v>0.14897081808573334</v>
      </c>
      <c r="BF18" s="78">
        <f t="shared" si="4"/>
        <v>0.27329165767581531</v>
      </c>
      <c r="BG18" s="2">
        <f t="shared" si="5"/>
        <v>4.7103977669225403E-2</v>
      </c>
      <c r="BH18" s="2">
        <f t="shared" si="6"/>
        <v>3.1402651779483599E-2</v>
      </c>
      <c r="BI18" s="2">
        <f t="shared" si="7"/>
        <v>0.25313976709628194</v>
      </c>
      <c r="BJ18" s="2">
        <f t="shared" si="8"/>
        <v>0.14897081808573334</v>
      </c>
      <c r="BK18" s="2">
        <f t="shared" si="9"/>
        <v>0.27329165767581531</v>
      </c>
      <c r="BL18" s="2">
        <f t="shared" si="10"/>
        <v>4.7103977669225403E-2</v>
      </c>
      <c r="BM18" s="2">
        <f t="shared" si="11"/>
        <v>3.1402651779483599E-2</v>
      </c>
      <c r="BN18" s="2">
        <f>BI18/SUMIFS(BI$3:BI$623,$BC$3:$BC$623,1,$G$3:$G$623,$G18)</f>
        <v>0.25313976709628194</v>
      </c>
      <c r="BO18" s="2">
        <f>BJ18/SUMIFS(BJ$3:BJ$623,$BC$3:$BC$623,1,$G$3:$G$623,$G18)</f>
        <v>0.14897081808573334</v>
      </c>
      <c r="BP18" s="2">
        <f>BK18/SUMIFS(BK$3:BK$623,$BC$3:$BC$623,1,$G$3:$G$623,$G18)</f>
        <v>0.27329165767581531</v>
      </c>
      <c r="BQ18" s="2">
        <f>BL18</f>
        <v>4.7103977669225403E-2</v>
      </c>
      <c r="BR18" s="2">
        <f>BM18</f>
        <v>3.1402651779483599E-2</v>
      </c>
    </row>
    <row r="19" spans="1:70" hidden="1">
      <c r="A19" s="74">
        <v>0</v>
      </c>
      <c r="B19" s="73">
        <v>204557</v>
      </c>
      <c r="C19" s="73" t="s">
        <v>1056</v>
      </c>
      <c r="D19" s="73" t="s">
        <v>1057</v>
      </c>
      <c r="E19" s="73" t="s">
        <v>1058</v>
      </c>
      <c r="F19" s="73">
        <v>18743</v>
      </c>
      <c r="G19" s="73" t="s">
        <v>871</v>
      </c>
      <c r="H19" s="73" t="s">
        <v>945</v>
      </c>
      <c r="I19" s="73" t="s">
        <v>1012</v>
      </c>
      <c r="J19" s="73">
        <v>0</v>
      </c>
      <c r="K19" s="73">
        <v>9</v>
      </c>
      <c r="L19" s="73">
        <v>0</v>
      </c>
      <c r="M19" s="73">
        <v>0</v>
      </c>
      <c r="N19" s="73">
        <v>0</v>
      </c>
      <c r="O19" s="73" t="s">
        <v>982</v>
      </c>
      <c r="P19" s="73" t="s">
        <v>1059</v>
      </c>
      <c r="Q19" s="73" t="s">
        <v>1059</v>
      </c>
      <c r="R19" s="73">
        <v>9</v>
      </c>
      <c r="S19" s="73">
        <v>8</v>
      </c>
      <c r="T19" s="73">
        <v>0</v>
      </c>
      <c r="U19" s="73">
        <v>0</v>
      </c>
      <c r="V19" s="73">
        <v>1463</v>
      </c>
      <c r="W19" s="73">
        <v>19</v>
      </c>
      <c r="X19" s="73">
        <v>2</v>
      </c>
      <c r="Y19" s="73">
        <v>0</v>
      </c>
      <c r="Z19" s="73" t="s">
        <v>995</v>
      </c>
      <c r="AA19" s="73" t="s">
        <v>693</v>
      </c>
      <c r="AB19" s="73" t="str">
        <f>IF(AA19&lt;&gt;"",INDEX(Lookup!$N$2:$N$5,MATCH(Players!AA19,Lookup!$P$2:$P$5,0)),INDEX(Lookup!$N$2:$N$5,MATCH(Players!O19,Lookup!$O$2:$O$5,0)))</f>
        <v>Striker</v>
      </c>
      <c r="AC19" s="73">
        <v>7000000</v>
      </c>
      <c r="AD19" s="73" t="s">
        <v>807</v>
      </c>
      <c r="AE19" s="73" t="str">
        <f>INDEX('Translate table'!$H$2:$H$622,MATCH(Players!P19,'Translate table'!$G$2:$G$622,0))</f>
        <v>Dries Mertens</v>
      </c>
      <c r="AF19" s="73">
        <f>IFERROR(INDEX('Euro Qual stats'!$A$1:$L$2071,MATCH(Players!$AE19,'Euro Qual stats'!$A$1:$A$2071,0),MATCH(Players!AF$2,'Euro Qual stats'!$A$1:$L$1,0)),0)</f>
        <v>9</v>
      </c>
      <c r="AG19" s="73">
        <f>IFERROR(INDEX('Euro Qual stats'!$A$1:$L$2071,MATCH(Players!$AE19,'Euro Qual stats'!$A$1:$A$2071,0),MATCH(Players!AG$2,'Euro Qual stats'!$A$1:$L$1,0)),0)</f>
        <v>0.32</v>
      </c>
      <c r="AH19" s="73">
        <f>IFERROR(INDEX('Euro Qual stats'!$A$1:$L$2071,MATCH(Players!$AE19,'Euro Qual stats'!$A$1:$A$2071,0),MATCH(Players!AH$2,'Euro Qual stats'!$A$1:$L$1,0)),0)</f>
        <v>0.32</v>
      </c>
      <c r="AI19" s="73">
        <f>IFERROR(INDEX('Euro Qual stats'!$A$1:$L$2071,MATCH(Players!$AE19,'Euro Qual stats'!$A$1:$A$2071,0),MATCH(Players!AI$2,'Euro Qual stats'!$A$1:$L$1,0)),0)</f>
        <v>0.32</v>
      </c>
      <c r="AJ19" s="93">
        <f>(12-AF19)/12*INDEX(BV$9:BV$12,MATCH($AB19,$BU$9:$BU$12,0))+AF19/12*AG19</f>
        <v>0.29122844827586208</v>
      </c>
      <c r="AK19" s="93">
        <f>(12-AG19)/12*INDEX(BW$9:BW$12,MATCH($AB19,$BU$9:$BU$12,0))+AG19/12*AH19</f>
        <v>0.52817586206896527</v>
      </c>
      <c r="AL19" s="93">
        <f>(12-AH19)/12*INDEX(BX$9:BX$12,MATCH($AB19,$BU$9:$BU$12,0))+AH19/12*AI19</f>
        <v>0.16896551724137934</v>
      </c>
      <c r="AM19" s="93">
        <f>IF($BC19=1,AJ19/SUMIFS(AJ$3:AJ$623,$BC$3:$BC$623,1,$G$3:$G$623,$G19),0)</f>
        <v>0</v>
      </c>
      <c r="AN19" s="93">
        <f>IF($BC19=1,AK19/SUMIFS(AK$3:AK$623,$BC$3:$BC$623,1,$G$3:$G$623,$G19),0)</f>
        <v>0</v>
      </c>
      <c r="AO19" s="93">
        <f>IF($BC19=1,AL19/SUMIFS(AL$3:AL$623,$BC$3:$BC$623,1,$G$3:$G$623,$G19),0)</f>
        <v>0</v>
      </c>
      <c r="AP19" s="2">
        <f>IFERROR(R19/$V19*90,"")</f>
        <v>0.55365686944634318</v>
      </c>
      <c r="AQ19" s="2">
        <f>IFERROR(S19/$V19*90,"")</f>
        <v>0.4921394395078606</v>
      </c>
      <c r="AR19" s="2">
        <f>IFERROR(W19/$V19*90,"")</f>
        <v>1.168831168831169</v>
      </c>
      <c r="AS19" s="2">
        <f>IFERROR(X19/$V19*90,"")</f>
        <v>0.12303485987696515</v>
      </c>
      <c r="AT19" s="2">
        <f>IFERROR(Y19/$V19*90,"")</f>
        <v>0</v>
      </c>
      <c r="AU19" s="2">
        <f>IF(AP19="",INDEX(BV$4:BV$7,MATCH(O19,$BU$4:$BU$7,0)),AP19)</f>
        <v>0.55365686944634318</v>
      </c>
      <c r="AV19" s="2">
        <f>IF(AQ19="",INDEX(BW$4:BW$7,MATCH($O19,$BU$4:$BU$7,0)),AQ19)</f>
        <v>0.4921394395078606</v>
      </c>
      <c r="AW19" s="2">
        <f t="shared" si="0"/>
        <v>1.168831168831169</v>
      </c>
      <c r="AX19" s="2">
        <f t="shared" si="1"/>
        <v>0.12303485987696515</v>
      </c>
      <c r="AY19" s="2">
        <f t="shared" si="2"/>
        <v>0</v>
      </c>
      <c r="AZ19" s="2">
        <f>AU19*0.5+AK19*0.5</f>
        <v>0.54091636575765423</v>
      </c>
      <c r="BA19" s="2">
        <f>AV19*0.5+AJ19*0.5</f>
        <v>0.39168394389186134</v>
      </c>
      <c r="BB19" s="2">
        <f t="shared" si="3"/>
        <v>0.22151742993848259</v>
      </c>
      <c r="BC19">
        <f>IF(I19="expected",1,0)</f>
        <v>0</v>
      </c>
      <c r="BD19" s="78">
        <f>IF(BC19=1,AZ19/SUMIFS(AZ$3:AZ$623,$BC$3:$BC$623,1,$G$3:$G$623,$G19),0)</f>
        <v>0</v>
      </c>
      <c r="BE19" s="78">
        <f>IF(BC19=1,BA19/SUMIFS(BA$3:BA$623,$BC$3:$BC$623,1,$G$3:$G$623,$G19),0)</f>
        <v>0</v>
      </c>
      <c r="BF19" s="78">
        <f t="shared" si="4"/>
        <v>0</v>
      </c>
      <c r="BG19" s="2">
        <f t="shared" si="5"/>
        <v>0.22151742993848259</v>
      </c>
      <c r="BH19" s="2">
        <f t="shared" si="6"/>
        <v>0</v>
      </c>
      <c r="BI19" s="2">
        <f t="shared" si="7"/>
        <v>0</v>
      </c>
      <c r="BJ19" s="2">
        <f t="shared" si="8"/>
        <v>0</v>
      </c>
      <c r="BK19" s="2">
        <f t="shared" si="9"/>
        <v>0</v>
      </c>
      <c r="BL19" s="2">
        <f t="shared" si="10"/>
        <v>0.22151742993848259</v>
      </c>
      <c r="BM19" s="2">
        <f t="shared" si="11"/>
        <v>0</v>
      </c>
      <c r="BN19" s="2">
        <f>BI19/SUMIFS(BI$3:BI$623,$BC$3:$BC$623,1,$G$3:$G$623,$G19)</f>
        <v>0</v>
      </c>
      <c r="BO19" s="2">
        <f>BJ19/SUMIFS(BJ$3:BJ$623,$BC$3:$BC$623,1,$G$3:$G$623,$G19)</f>
        <v>0</v>
      </c>
      <c r="BP19" s="2">
        <f>BK19/SUMIFS(BK$3:BK$623,$BC$3:$BC$623,1,$G$3:$G$623,$G19)</f>
        <v>0</v>
      </c>
      <c r="BQ19" s="2">
        <f>BL19</f>
        <v>0.22151742993848259</v>
      </c>
      <c r="BR19" s="2">
        <f>BM19</f>
        <v>0</v>
      </c>
    </row>
    <row r="20" spans="1:70" hidden="1">
      <c r="A20" s="74">
        <v>0</v>
      </c>
      <c r="B20" s="73">
        <v>204656</v>
      </c>
      <c r="C20" s="73" t="s">
        <v>1060</v>
      </c>
      <c r="D20" s="73" t="s">
        <v>1061</v>
      </c>
      <c r="E20" s="73" t="s">
        <v>1062</v>
      </c>
      <c r="F20" s="73">
        <v>18660</v>
      </c>
      <c r="G20" s="73" t="s">
        <v>892</v>
      </c>
      <c r="H20" s="73" t="s">
        <v>915</v>
      </c>
      <c r="I20" s="73" t="s">
        <v>981</v>
      </c>
      <c r="J20" s="73">
        <v>0</v>
      </c>
      <c r="K20" s="73">
        <v>9</v>
      </c>
      <c r="L20" s="73">
        <v>0</v>
      </c>
      <c r="M20" s="73">
        <v>0</v>
      </c>
      <c r="N20" s="73">
        <v>0</v>
      </c>
      <c r="O20" s="73" t="s">
        <v>994</v>
      </c>
      <c r="P20" s="73" t="s">
        <v>1063</v>
      </c>
      <c r="Q20" s="73" t="s">
        <v>1063</v>
      </c>
      <c r="R20" s="73">
        <v>10</v>
      </c>
      <c r="S20" s="73">
        <v>2</v>
      </c>
      <c r="T20" s="73">
        <v>0</v>
      </c>
      <c r="U20" s="73">
        <v>0</v>
      </c>
      <c r="V20" s="73">
        <v>1650</v>
      </c>
      <c r="W20" s="73">
        <v>27</v>
      </c>
      <c r="X20" s="73">
        <v>4</v>
      </c>
      <c r="Y20" s="73">
        <v>0</v>
      </c>
      <c r="Z20" s="73" t="s">
        <v>1046</v>
      </c>
      <c r="AA20" s="73" t="s">
        <v>693</v>
      </c>
      <c r="AB20" s="73" t="str">
        <f>IF(AA20&lt;&gt;"",INDEX(Lookup!$N$2:$N$5,MATCH(Players!AA20,Lookup!$P$2:$P$5,0)),INDEX(Lookup!$N$2:$N$5,MATCH(Players!O20,Lookup!$O$2:$O$5,0)))</f>
        <v>Striker</v>
      </c>
      <c r="AC20" s="73">
        <v>7500000</v>
      </c>
      <c r="AD20" s="73" t="s">
        <v>798</v>
      </c>
      <c r="AE20" s="73" t="str">
        <f>INDEX('Translate table'!$H$2:$H$622,MATCH(Players!P20,'Translate table'!$G$2:$G$622,0))</f>
        <v>Serge Gnabry</v>
      </c>
      <c r="AF20" s="73">
        <f>IFERROR(INDEX('Euro Qual stats'!$A$1:$L$2071,MATCH(Players!$AE20,'Euro Qual stats'!$A$1:$A$2071,0),MATCH(Players!AF$2,'Euro Qual stats'!$A$1:$L$1,0)),0)</f>
        <v>7</v>
      </c>
      <c r="AG20" s="73">
        <f>IFERROR(INDEX('Euro Qual stats'!$A$1:$L$2071,MATCH(Players!$AE20,'Euro Qual stats'!$A$1:$A$2071,0),MATCH(Players!AG$2,'Euro Qual stats'!$A$1:$L$1,0)),0)</f>
        <v>0.15</v>
      </c>
      <c r="AH20" s="73">
        <f>IFERROR(INDEX('Euro Qual stats'!$A$1:$L$2071,MATCH(Players!$AE20,'Euro Qual stats'!$A$1:$A$2071,0),MATCH(Players!AH$2,'Euro Qual stats'!$A$1:$L$1,0)),0)</f>
        <v>1.21</v>
      </c>
      <c r="AI20" s="73">
        <f>IFERROR(INDEX('Euro Qual stats'!$A$1:$L$2071,MATCH(Players!$AE20,'Euro Qual stats'!$A$1:$A$2071,0),MATCH(Players!AI$2,'Euro Qual stats'!$A$1:$L$1,0)),0)</f>
        <v>0.15</v>
      </c>
      <c r="AJ20" s="93">
        <f>(12-AF20)/12*INDEX(BV$9:BV$12,MATCH($AB20,$BU$9:$BU$12,0))+AF20/12*AG20</f>
        <v>0.17288074712643681</v>
      </c>
      <c r="AK20" s="93">
        <f>(12-AG20)/12*INDEX(BW$9:BW$12,MATCH($AB20,$BU$9:$BU$12,0))+AG20/12*AH20</f>
        <v>0.54233081896551694</v>
      </c>
      <c r="AL20" s="93">
        <f>(12-AH20)/12*INDEX(BX$9:BX$12,MATCH($AB20,$BU$9:$BU$12,0))+AH20/12*AI20</f>
        <v>0.16333247126436781</v>
      </c>
      <c r="AM20" s="93">
        <f>IF($BC20=1,AJ20/SUMIFS(AJ$3:AJ$623,$BC$3:$BC$623,1,$G$3:$G$623,$G20),0)</f>
        <v>9.1899869896644323E-2</v>
      </c>
      <c r="AN20" s="93">
        <f>IF($BC20=1,AK20/SUMIFS(AK$3:AK$623,$BC$3:$BC$623,1,$G$3:$G$623,$G20),0)</f>
        <v>0.22860343802660862</v>
      </c>
      <c r="AO20" s="93">
        <f>IF($BC20=1,AL20/SUMIFS(AL$3:AL$623,$BC$3:$BC$623,1,$G$3:$G$623,$G20),0)</f>
        <v>8.0283936105367701E-2</v>
      </c>
      <c r="AP20" s="2">
        <f>IFERROR(R20/$V20*90,"")</f>
        <v>0.54545454545454541</v>
      </c>
      <c r="AQ20" s="2">
        <f>IFERROR(S20/$V20*90,"")</f>
        <v>0.10909090909090909</v>
      </c>
      <c r="AR20" s="2">
        <f>IFERROR(W20/$V20*90,"")</f>
        <v>1.4727272727272729</v>
      </c>
      <c r="AS20" s="2">
        <f>IFERROR(X20/$V20*90,"")</f>
        <v>0.21818181818181817</v>
      </c>
      <c r="AT20" s="2">
        <f>IFERROR(Y20/$V20*90,"")</f>
        <v>0</v>
      </c>
      <c r="AU20" s="2">
        <f>IF(AP20="",INDEX(BV$4:BV$7,MATCH(O20,$BU$4:$BU$7,0)),AP20)</f>
        <v>0.54545454545454541</v>
      </c>
      <c r="AV20" s="2">
        <f>IF(AQ20="",INDEX(BW$4:BW$7,MATCH($O20,$BU$4:$BU$7,0)),AQ20)</f>
        <v>0.10909090909090909</v>
      </c>
      <c r="AW20" s="2">
        <f t="shared" si="0"/>
        <v>1.4727272727272729</v>
      </c>
      <c r="AX20" s="2">
        <f t="shared" si="1"/>
        <v>0.21818181818181817</v>
      </c>
      <c r="AY20" s="2">
        <f t="shared" si="2"/>
        <v>0</v>
      </c>
      <c r="AZ20" s="2">
        <f>AU20*0.5+AK20*0.5</f>
        <v>0.54389268221003118</v>
      </c>
      <c r="BA20" s="2">
        <f>AV20*0.5+AJ20*0.5</f>
        <v>0.14098582810867294</v>
      </c>
      <c r="BB20" s="2">
        <f t="shared" si="3"/>
        <v>0.18409090909090908</v>
      </c>
      <c r="BC20">
        <f>IF(I20="expected",1,0)</f>
        <v>1</v>
      </c>
      <c r="BD20" s="78">
        <f>IF(BC20=1,AZ20/SUMIFS(AZ$3:AZ$623,$BC$3:$BC$623,1,$G$3:$G$623,$G20),0)</f>
        <v>0.2214111472290104</v>
      </c>
      <c r="BE20" s="78">
        <f>IF(BC20=1,BA20/SUMIFS(BA$3:BA$623,$BC$3:$BC$623,1,$G$3:$G$623,$G20),0)</f>
        <v>7.340731463605947E-2</v>
      </c>
      <c r="BF20" s="78">
        <f t="shared" si="4"/>
        <v>0.2050823795687424</v>
      </c>
      <c r="BG20" s="2">
        <f t="shared" si="5"/>
        <v>0.18409090909090908</v>
      </c>
      <c r="BH20" s="2">
        <f t="shared" si="6"/>
        <v>0</v>
      </c>
      <c r="BI20" s="2">
        <f t="shared" si="7"/>
        <v>0.2214111472290104</v>
      </c>
      <c r="BJ20" s="2">
        <f t="shared" si="8"/>
        <v>7.340731463605947E-2</v>
      </c>
      <c r="BK20" s="2">
        <f t="shared" si="9"/>
        <v>0.2050823795687424</v>
      </c>
      <c r="BL20" s="2">
        <f t="shared" si="10"/>
        <v>0.18409090909090908</v>
      </c>
      <c r="BM20" s="2">
        <f t="shared" si="11"/>
        <v>0</v>
      </c>
      <c r="BN20" s="2">
        <f>BI20/SUMIFS(BI$3:BI$623,$BC$3:$BC$623,1,$G$3:$G$623,$G20)</f>
        <v>0.2214111472290104</v>
      </c>
      <c r="BO20" s="2">
        <f>BJ20/SUMIFS(BJ$3:BJ$623,$BC$3:$BC$623,1,$G$3:$G$623,$G20)</f>
        <v>7.340731463605947E-2</v>
      </c>
      <c r="BP20" s="2">
        <f>BK20/SUMIFS(BK$3:BK$623,$BC$3:$BC$623,1,$G$3:$G$623,$G20)</f>
        <v>0.2050823795687424</v>
      </c>
      <c r="BQ20" s="2">
        <f>BL20</f>
        <v>0.18409090909090908</v>
      </c>
      <c r="BR20" s="2">
        <f>BM20</f>
        <v>0</v>
      </c>
    </row>
    <row r="21" spans="1:70" hidden="1">
      <c r="A21" s="74">
        <v>0</v>
      </c>
      <c r="B21" s="73">
        <v>204612</v>
      </c>
      <c r="C21" s="73" t="s">
        <v>1064</v>
      </c>
      <c r="D21" s="73" t="s">
        <v>1065</v>
      </c>
      <c r="E21" s="73" t="s">
        <v>1066</v>
      </c>
      <c r="F21" s="73">
        <v>18645</v>
      </c>
      <c r="G21" s="73" t="s">
        <v>879</v>
      </c>
      <c r="H21" s="73" t="s">
        <v>933</v>
      </c>
      <c r="I21" s="73" t="s">
        <v>981</v>
      </c>
      <c r="J21" s="73">
        <v>0</v>
      </c>
      <c r="K21" s="73">
        <v>9</v>
      </c>
      <c r="L21" s="73">
        <v>0</v>
      </c>
      <c r="M21" s="73">
        <v>0</v>
      </c>
      <c r="N21" s="73">
        <v>0</v>
      </c>
      <c r="O21" s="73" t="s">
        <v>994</v>
      </c>
      <c r="P21" s="73" t="s">
        <v>52</v>
      </c>
      <c r="Q21" s="73" t="s">
        <v>52</v>
      </c>
      <c r="R21" s="73">
        <v>9</v>
      </c>
      <c r="S21" s="73">
        <v>5</v>
      </c>
      <c r="T21" s="73">
        <v>0</v>
      </c>
      <c r="U21" s="73">
        <v>3</v>
      </c>
      <c r="V21" s="73">
        <v>1613</v>
      </c>
      <c r="W21" s="73">
        <v>20</v>
      </c>
      <c r="X21" s="73">
        <v>0</v>
      </c>
      <c r="Y21" s="73">
        <v>0</v>
      </c>
      <c r="Z21" s="73" t="s">
        <v>879</v>
      </c>
      <c r="AA21" s="73" t="s">
        <v>693</v>
      </c>
      <c r="AB21" s="73" t="str">
        <f>IF(AA21&lt;&gt;"",INDEX(Lookup!$N$2:$N$5,MATCH(Players!AA21,Lookup!$P$2:$P$5,0)),INDEX(Lookup!$N$2:$N$5,MATCH(Players!O21,Lookup!$O$2:$O$5,0)))</f>
        <v>Striker</v>
      </c>
      <c r="AC21" s="73">
        <v>5500000</v>
      </c>
      <c r="AD21" s="73" t="s">
        <v>1067</v>
      </c>
      <c r="AE21" s="73">
        <f>INDEX('Translate table'!$H$2:$H$622,MATCH(Players!P21,'Translate table'!$G$2:$G$622,0))</f>
        <v>0</v>
      </c>
      <c r="AF21" s="73">
        <f>IFERROR(INDEX('Euro Qual stats'!$A$1:$L$2071,MATCH(Players!$AE21,'Euro Qual stats'!$A$1:$A$2071,0),MATCH(Players!AF$2,'Euro Qual stats'!$A$1:$L$1,0)),0)</f>
        <v>0</v>
      </c>
      <c r="AG21" s="73">
        <f>IFERROR(INDEX('Euro Qual stats'!$A$1:$L$2071,MATCH(Players!$AE21,'Euro Qual stats'!$A$1:$A$2071,0),MATCH(Players!AG$2,'Euro Qual stats'!$A$1:$L$1,0)),0)</f>
        <v>0</v>
      </c>
      <c r="AH21" s="73">
        <f>IFERROR(INDEX('Euro Qual stats'!$A$1:$L$2071,MATCH(Players!$AE21,'Euro Qual stats'!$A$1:$A$2071,0),MATCH(Players!AH$2,'Euro Qual stats'!$A$1:$L$1,0)),0)</f>
        <v>0</v>
      </c>
      <c r="AI21" s="73">
        <f>IFERROR(INDEX('Euro Qual stats'!$A$1:$L$2071,MATCH(Players!$AE21,'Euro Qual stats'!$A$1:$A$2071,0),MATCH(Players!AI$2,'Euro Qual stats'!$A$1:$L$1,0)),0)</f>
        <v>0</v>
      </c>
      <c r="AJ21" s="93">
        <f>(12-AF21)/12*INDEX(BV$9:BV$12,MATCH($AB21,$BU$9:$BU$12,0))+AF21/12*AG21</f>
        <v>0.20491379310344832</v>
      </c>
      <c r="AK21" s="93">
        <f>(12-AG21)/12*INDEX(BW$9:BW$12,MATCH($AB21,$BU$9:$BU$12,0))+AG21/12*AH21</f>
        <v>0.53387931034482738</v>
      </c>
      <c r="AL21" s="93">
        <f>(12-AH21)/12*INDEX(BX$9:BX$12,MATCH($AB21,$BU$9:$BU$12,0))+AH21/12*AI21</f>
        <v>0.16482758620689658</v>
      </c>
      <c r="AM21" s="93">
        <f>IF($BC21=1,AJ21/SUMIFS(AJ$3:AJ$623,$BC$3:$BC$623,1,$G$3:$G$623,$G21),0)</f>
        <v>9.334390545099075E-2</v>
      </c>
      <c r="AN21" s="93">
        <f>IF($BC21=1,AK21/SUMIFS(AK$3:AK$623,$BC$3:$BC$623,1,$G$3:$G$623,$G21),0)</f>
        <v>0.19082845509315388</v>
      </c>
      <c r="AO21" s="93">
        <f>IF($BC21=1,AL21/SUMIFS(AL$3:AL$623,$BC$3:$BC$623,1,$G$3:$G$623,$G21),0)</f>
        <v>7.3445265738868198E-2</v>
      </c>
      <c r="AP21" s="2">
        <f>IFERROR(R21/$V21*90,"")</f>
        <v>0.50216986980781153</v>
      </c>
      <c r="AQ21" s="2">
        <f>IFERROR(S21/$V21*90,"")</f>
        <v>0.27898326100433973</v>
      </c>
      <c r="AR21" s="2">
        <f>IFERROR(W21/$V21*90,"")</f>
        <v>1.1159330440173589</v>
      </c>
      <c r="AS21" s="2">
        <f>IFERROR(X21/$V21*90,"")</f>
        <v>0</v>
      </c>
      <c r="AT21" s="2">
        <f>IFERROR(Y21/$V21*90,"")</f>
        <v>0</v>
      </c>
      <c r="AU21" s="2">
        <f>IF(AP21="",INDEX(BV$4:BV$7,MATCH(O21,$BU$4:$BU$7,0)),AP21)</f>
        <v>0.50216986980781153</v>
      </c>
      <c r="AV21" s="2">
        <f>IF(AQ21="",INDEX(BW$4:BW$7,MATCH($O21,$BU$4:$BU$7,0)),AQ21)</f>
        <v>0.27898326100433973</v>
      </c>
      <c r="AW21" s="2">
        <f t="shared" si="0"/>
        <v>1.1159330440173589</v>
      </c>
      <c r="AX21" s="2">
        <f t="shared" si="1"/>
        <v>0</v>
      </c>
      <c r="AY21" s="2">
        <f t="shared" si="2"/>
        <v>0</v>
      </c>
      <c r="AZ21" s="2">
        <f>AU21*0.5+AK21*0.5</f>
        <v>0.5180245900763194</v>
      </c>
      <c r="BA21" s="2">
        <f>AV21*0.5+AJ21*0.5</f>
        <v>0.24194852705389402</v>
      </c>
      <c r="BB21" s="2">
        <f t="shared" si="3"/>
        <v>0</v>
      </c>
      <c r="BC21">
        <f>IF(I21="expected",1,0)</f>
        <v>1</v>
      </c>
      <c r="BD21" s="78">
        <f>IF(BC21=1,AZ21/SUMIFS(AZ$3:AZ$623,$BC$3:$BC$623,1,$G$3:$G$623,$G21),0)</f>
        <v>0.20720093715650922</v>
      </c>
      <c r="BE21" s="78">
        <f>IF(BC21=1,BA21/SUMIFS(BA$3:BA$623,$BC$3:$BC$623,1,$G$3:$G$623,$G21),0)</f>
        <v>0.13040375334612353</v>
      </c>
      <c r="BF21" s="78">
        <f t="shared" si="4"/>
        <v>0.18252962229538139</v>
      </c>
      <c r="BG21" s="2">
        <f t="shared" si="5"/>
        <v>0</v>
      </c>
      <c r="BH21" s="2">
        <f t="shared" si="6"/>
        <v>0</v>
      </c>
      <c r="BI21" s="2">
        <f t="shared" si="7"/>
        <v>0.20720093715650922</v>
      </c>
      <c r="BJ21" s="2">
        <f t="shared" si="8"/>
        <v>0.13040375334612353</v>
      </c>
      <c r="BK21" s="2">
        <f t="shared" si="9"/>
        <v>0.18252962229538139</v>
      </c>
      <c r="BL21" s="2">
        <f t="shared" si="10"/>
        <v>0</v>
      </c>
      <c r="BM21" s="2">
        <f t="shared" si="11"/>
        <v>0</v>
      </c>
      <c r="BN21" s="2">
        <f>BI21/SUMIFS(BI$3:BI$623,$BC$3:$BC$623,1,$G$3:$G$623,$G21)</f>
        <v>0.20720093715650928</v>
      </c>
      <c r="BO21" s="2">
        <f>BJ21/SUMIFS(BJ$3:BJ$623,$BC$3:$BC$623,1,$G$3:$G$623,$G21)</f>
        <v>0.13040375334612353</v>
      </c>
      <c r="BP21" s="2">
        <f>BK21/SUMIFS(BK$3:BK$623,$BC$3:$BC$623,1,$G$3:$G$623,$G21)</f>
        <v>0.18252962229538136</v>
      </c>
      <c r="BQ21" s="2">
        <f>BL21</f>
        <v>0</v>
      </c>
      <c r="BR21" s="2">
        <f>BM21</f>
        <v>0</v>
      </c>
    </row>
    <row r="22" spans="1:70" hidden="1">
      <c r="A22" s="74">
        <v>0</v>
      </c>
      <c r="B22" s="73">
        <v>204701</v>
      </c>
      <c r="C22" s="73" t="s">
        <v>1068</v>
      </c>
      <c r="D22" s="73" t="s">
        <v>1069</v>
      </c>
      <c r="E22" s="73" t="s">
        <v>1070</v>
      </c>
      <c r="F22" s="73">
        <v>18701</v>
      </c>
      <c r="G22" s="73" t="s">
        <v>893</v>
      </c>
      <c r="H22" s="73" t="s">
        <v>947</v>
      </c>
      <c r="I22" s="73" t="s">
        <v>981</v>
      </c>
      <c r="J22" s="73">
        <v>0</v>
      </c>
      <c r="K22" s="73">
        <v>9</v>
      </c>
      <c r="L22" s="73">
        <v>0</v>
      </c>
      <c r="M22" s="73">
        <v>0</v>
      </c>
      <c r="N22" s="73">
        <v>0</v>
      </c>
      <c r="O22" s="73" t="s">
        <v>994</v>
      </c>
      <c r="P22" s="73" t="s">
        <v>322</v>
      </c>
      <c r="Q22" s="73" t="s">
        <v>322</v>
      </c>
      <c r="R22" s="73">
        <v>18</v>
      </c>
      <c r="S22" s="73">
        <v>12</v>
      </c>
      <c r="T22" s="73">
        <v>0</v>
      </c>
      <c r="U22" s="73">
        <v>9</v>
      </c>
      <c r="V22" s="73">
        <v>3105</v>
      </c>
      <c r="W22" s="73">
        <v>51</v>
      </c>
      <c r="X22" s="73">
        <v>6</v>
      </c>
      <c r="Y22" s="73">
        <v>0</v>
      </c>
      <c r="Z22" s="73" t="s">
        <v>893</v>
      </c>
      <c r="AA22" s="73" t="s">
        <v>691</v>
      </c>
      <c r="AB22" s="73" t="str">
        <f>IF(AA22&lt;&gt;"",INDEX(Lookup!$N$2:$N$5,MATCH(Players!AA22,Lookup!$P$2:$P$5,0)),INDEX(Lookup!$N$2:$N$5,MATCH(Players!O22,Lookup!$O$2:$O$5,0)))</f>
        <v>Midfield</v>
      </c>
      <c r="AC22" s="73">
        <v>7500000</v>
      </c>
      <c r="AD22" s="73" t="s">
        <v>819</v>
      </c>
      <c r="AE22" s="73" t="str">
        <f>INDEX('Translate table'!$H$2:$H$622,MATCH(Players!P22,'Translate table'!$G$2:$G$622,0))</f>
        <v>Bruno Miguel Borges Fernandes</v>
      </c>
      <c r="AF22" s="73">
        <f>IFERROR(INDEX('Euro Qual stats'!$A$1:$L$2071,MATCH(Players!$AE22,'Euro Qual stats'!$A$1:$A$2071,0),MATCH(Players!AF$2,'Euro Qual stats'!$A$1:$L$1,0)),0)</f>
        <v>6</v>
      </c>
      <c r="AG22" s="73">
        <f>IFERROR(INDEX('Euro Qual stats'!$A$1:$L$2071,MATCH(Players!$AE22,'Euro Qual stats'!$A$1:$A$2071,0),MATCH(Players!AG$2,'Euro Qual stats'!$A$1:$L$1,0)),0)</f>
        <v>0.42</v>
      </c>
      <c r="AH22" s="73">
        <f>IFERROR(INDEX('Euro Qual stats'!$A$1:$L$2071,MATCH(Players!$AE22,'Euro Qual stats'!$A$1:$A$2071,0),MATCH(Players!AH$2,'Euro Qual stats'!$A$1:$L$1,0)),0)</f>
        <v>0.21</v>
      </c>
      <c r="AI22" s="73">
        <f>IFERROR(INDEX('Euro Qual stats'!$A$1:$L$2071,MATCH(Players!$AE22,'Euro Qual stats'!$A$1:$A$2071,0),MATCH(Players!AI$2,'Euro Qual stats'!$A$1:$L$1,0)),0)</f>
        <v>0</v>
      </c>
      <c r="AJ22" s="93">
        <f>(12-AF22)/12*INDEX(BV$9:BV$12,MATCH($AB22,$BU$9:$BU$12,0))+AF22/12*AG22</f>
        <v>0.29434554973821991</v>
      </c>
      <c r="AK22" s="93">
        <f>(12-AG22)/12*INDEX(BW$9:BW$12,MATCH($AB22,$BU$9:$BU$12,0))+AG22/12*AH22</f>
        <v>0.22293403141361254</v>
      </c>
      <c r="AL22" s="93">
        <f>(12-AH22)/12*INDEX(BX$9:BX$12,MATCH($AB22,$BU$9:$BU$12,0))+AH22/12*AI22</f>
        <v>0.23523416230366492</v>
      </c>
      <c r="AM22" s="93">
        <f>IF($BC22=1,AJ22/SUMIFS(AJ$3:AJ$623,$BC$3:$BC$623,1,$G$3:$G$623,$G22),0)</f>
        <v>0.19009795010981353</v>
      </c>
      <c r="AN22" s="93">
        <f>IF($BC22=1,AK22/SUMIFS(AK$3:AK$623,$BC$3:$BC$623,1,$G$3:$G$623,$G22),0)</f>
        <v>9.0638217442388175E-2</v>
      </c>
      <c r="AO22" s="93">
        <f>IF($BC22=1,AL22/SUMIFS(AL$3:AL$623,$BC$3:$BC$623,1,$G$3:$G$623,$G22),0)</f>
        <v>0.11665375416362758</v>
      </c>
      <c r="AP22" s="2">
        <f>IFERROR(R22/$V22*90,"")</f>
        <v>0.52173913043478259</v>
      </c>
      <c r="AQ22" s="2">
        <f>IFERROR(S22/$V22*90,"")</f>
        <v>0.34782608695652173</v>
      </c>
      <c r="AR22" s="2">
        <f>IFERROR(W22/$V22*90,"")</f>
        <v>1.4782608695652175</v>
      </c>
      <c r="AS22" s="2">
        <f>IFERROR(X22/$V22*90,"")</f>
        <v>0.17391304347826086</v>
      </c>
      <c r="AT22" s="2">
        <f>IFERROR(Y22/$V22*90,"")</f>
        <v>0</v>
      </c>
      <c r="AU22" s="2">
        <f>IF(AP22="",INDEX(BV$4:BV$7,MATCH(O22,$BU$4:$BU$7,0)),AP22)</f>
        <v>0.52173913043478259</v>
      </c>
      <c r="AV22" s="2">
        <f>IF(AQ22="",INDEX(BW$4:BW$7,MATCH($O22,$BU$4:$BU$7,0)),AQ22)</f>
        <v>0.34782608695652173</v>
      </c>
      <c r="AW22" s="2">
        <f t="shared" si="0"/>
        <v>1.4782608695652175</v>
      </c>
      <c r="AX22" s="2">
        <f t="shared" si="1"/>
        <v>0.17391304347826086</v>
      </c>
      <c r="AY22" s="2">
        <f t="shared" si="2"/>
        <v>0</v>
      </c>
      <c r="AZ22" s="2">
        <f>AU22*0.5+AK22*0.5</f>
        <v>0.37233658092419758</v>
      </c>
      <c r="BA22" s="2">
        <f>AV22*0.5+AJ22*0.5</f>
        <v>0.32108581834737082</v>
      </c>
      <c r="BB22" s="2">
        <f t="shared" si="3"/>
        <v>8.6956521739130432E-2</v>
      </c>
      <c r="BC22">
        <f>IF(I22="expected",1,0)</f>
        <v>1</v>
      </c>
      <c r="BD22" s="78">
        <f>IF(BC22=1,AZ22/SUMIFS(AZ$3:AZ$623,$BC$3:$BC$623,1,$G$3:$G$623,$G22),0)</f>
        <v>0.14415341924488756</v>
      </c>
      <c r="BE22" s="78">
        <f>IF(BC22=1,BA22/SUMIFS(BA$3:BA$623,$BC$3:$BC$623,1,$G$3:$G$623,$G22),0)</f>
        <v>0.2589789171893026</v>
      </c>
      <c r="BF22" s="78">
        <f t="shared" si="4"/>
        <v>0.19000822599910405</v>
      </c>
      <c r="BG22" s="2">
        <f t="shared" si="5"/>
        <v>8.6956521739130432E-2</v>
      </c>
      <c r="BH22" s="2">
        <f t="shared" si="6"/>
        <v>0</v>
      </c>
      <c r="BI22" s="2">
        <f t="shared" si="7"/>
        <v>0.14415341924488756</v>
      </c>
      <c r="BJ22" s="2">
        <f t="shared" si="8"/>
        <v>0.2589789171893026</v>
      </c>
      <c r="BK22" s="2">
        <f t="shared" si="9"/>
        <v>0.19000822599910405</v>
      </c>
      <c r="BL22" s="2">
        <f t="shared" si="10"/>
        <v>8.6956521739130432E-2</v>
      </c>
      <c r="BM22" s="2">
        <f t="shared" si="11"/>
        <v>0</v>
      </c>
      <c r="BN22" s="2">
        <f>BI22/SUMIFS(BI$3:BI$623,$BC$3:$BC$623,1,$G$3:$G$623,$G22)</f>
        <v>0.14415341924488759</v>
      </c>
      <c r="BO22" s="2">
        <f>BJ22/SUMIFS(BJ$3:BJ$623,$BC$3:$BC$623,1,$G$3:$G$623,$G22)</f>
        <v>0.26035282662335746</v>
      </c>
      <c r="BP22" s="2">
        <f>BK22/SUMIFS(BK$3:BK$623,$BC$3:$BC$623,1,$G$3:$G$623,$G22)</f>
        <v>0.19000822599910405</v>
      </c>
      <c r="BQ22" s="2">
        <f>BL22</f>
        <v>8.6956521739130432E-2</v>
      </c>
      <c r="BR22" s="2">
        <f>BM22</f>
        <v>0</v>
      </c>
    </row>
    <row r="23" spans="1:70" hidden="1">
      <c r="A23" s="74">
        <v>0</v>
      </c>
      <c r="B23" s="73">
        <v>204637</v>
      </c>
      <c r="C23" s="73" t="s">
        <v>1071</v>
      </c>
      <c r="D23" s="73" t="s">
        <v>1072</v>
      </c>
      <c r="E23" s="73" t="s">
        <v>1073</v>
      </c>
      <c r="F23" s="73">
        <v>18710</v>
      </c>
      <c r="G23" s="73" t="s">
        <v>885</v>
      </c>
      <c r="H23" s="73" t="s">
        <v>943</v>
      </c>
      <c r="I23" s="73" t="s">
        <v>1012</v>
      </c>
      <c r="J23" s="73">
        <v>0</v>
      </c>
      <c r="K23" s="73">
        <v>9</v>
      </c>
      <c r="L23" s="73">
        <v>0</v>
      </c>
      <c r="M23" s="73">
        <v>0</v>
      </c>
      <c r="N23" s="73">
        <v>0</v>
      </c>
      <c r="O23" s="73" t="s">
        <v>994</v>
      </c>
      <c r="P23" s="73" t="s">
        <v>521</v>
      </c>
      <c r="Q23" s="73" t="s">
        <v>521</v>
      </c>
      <c r="R23" s="73">
        <v>7</v>
      </c>
      <c r="S23" s="73">
        <v>2</v>
      </c>
      <c r="T23" s="73">
        <v>0</v>
      </c>
      <c r="U23" s="73">
        <v>2</v>
      </c>
      <c r="V23" s="73">
        <v>1305</v>
      </c>
      <c r="W23" s="73">
        <v>15</v>
      </c>
      <c r="X23" s="73">
        <v>1</v>
      </c>
      <c r="Y23" s="73">
        <v>0</v>
      </c>
      <c r="Z23" s="73" t="s">
        <v>1037</v>
      </c>
      <c r="AA23" s="73" t="s">
        <v>693</v>
      </c>
      <c r="AB23" s="73" t="str">
        <f>IF(AA23&lt;&gt;"",INDEX(Lookup!$N$2:$N$5,MATCH(Players!AA23,Lookup!$P$2:$P$5,0)),INDEX(Lookup!$N$2:$N$5,MATCH(Players!O23,Lookup!$O$2:$O$5,0)))</f>
        <v>Striker</v>
      </c>
      <c r="AC23" s="73">
        <v>6000000</v>
      </c>
      <c r="AD23" s="73" t="s">
        <v>1074</v>
      </c>
      <c r="AE23" s="73" t="str">
        <f>INDEX('Translate table'!$H$2:$H$622,MATCH(Players!P23,'Translate table'!$G$2:$G$622,0))</f>
        <v>Dominik Furman</v>
      </c>
      <c r="AF23" s="73">
        <f>IFERROR(INDEX('Euro Qual stats'!$A$1:$L$2071,MATCH(Players!$AE23,'Euro Qual stats'!$A$1:$A$2071,0),MATCH(Players!AF$2,'Euro Qual stats'!$A$1:$L$1,0)),0)</f>
        <v>1</v>
      </c>
      <c r="AG23" s="73">
        <f>IFERROR(INDEX('Euro Qual stats'!$A$1:$L$2071,MATCH(Players!$AE23,'Euro Qual stats'!$A$1:$A$2071,0),MATCH(Players!AG$2,'Euro Qual stats'!$A$1:$L$1,0)),0)</f>
        <v>0</v>
      </c>
      <c r="AH23" s="73">
        <f>IFERROR(INDEX('Euro Qual stats'!$A$1:$L$2071,MATCH(Players!$AE23,'Euro Qual stats'!$A$1:$A$2071,0),MATCH(Players!AH$2,'Euro Qual stats'!$A$1:$L$1,0)),0)</f>
        <v>0</v>
      </c>
      <c r="AI23" s="73">
        <f>IFERROR(INDEX('Euro Qual stats'!$A$1:$L$2071,MATCH(Players!$AE23,'Euro Qual stats'!$A$1:$A$2071,0),MATCH(Players!AI$2,'Euro Qual stats'!$A$1:$L$1,0)),0)</f>
        <v>0</v>
      </c>
      <c r="AJ23" s="93">
        <f>(12-AF23)/12*INDEX(BV$9:BV$12,MATCH($AB23,$BU$9:$BU$12,0))+AF23/12*AG23</f>
        <v>0.18783764367816094</v>
      </c>
      <c r="AK23" s="93">
        <f>(12-AG23)/12*INDEX(BW$9:BW$12,MATCH($AB23,$BU$9:$BU$12,0))+AG23/12*AH23</f>
        <v>0.53387931034482738</v>
      </c>
      <c r="AL23" s="93">
        <f>(12-AH23)/12*INDEX(BX$9:BX$12,MATCH($AB23,$BU$9:$BU$12,0))+AH23/12*AI23</f>
        <v>0.16482758620689658</v>
      </c>
      <c r="AM23" s="93">
        <f>IF($BC23=1,AJ23/SUMIFS(AJ$3:AJ$623,$BC$3:$BC$623,1,$G$3:$G$623,$G23),0)</f>
        <v>0</v>
      </c>
      <c r="AN23" s="93">
        <f>IF($BC23=1,AK23/SUMIFS(AK$3:AK$623,$BC$3:$BC$623,1,$G$3:$G$623,$G23),0)</f>
        <v>0</v>
      </c>
      <c r="AO23" s="93">
        <f>IF($BC23=1,AL23/SUMIFS(AL$3:AL$623,$BC$3:$BC$623,1,$G$3:$G$623,$G23),0)</f>
        <v>0</v>
      </c>
      <c r="AP23" s="2">
        <f>IFERROR(R23/$V23*90,"")</f>
        <v>0.48275862068965514</v>
      </c>
      <c r="AQ23" s="2">
        <f>IFERROR(S23/$V23*90,"")</f>
        <v>0.13793103448275862</v>
      </c>
      <c r="AR23" s="2">
        <f>IFERROR(W23/$V23*90,"")</f>
        <v>1.0344827586206897</v>
      </c>
      <c r="AS23" s="2">
        <f>IFERROR(X23/$V23*90,"")</f>
        <v>6.8965517241379309E-2</v>
      </c>
      <c r="AT23" s="2">
        <f>IFERROR(Y23/$V23*90,"")</f>
        <v>0</v>
      </c>
      <c r="AU23" s="2">
        <f>IF(AP23="",INDEX(BV$4:BV$7,MATCH(O23,$BU$4:$BU$7,0)),AP23)</f>
        <v>0.48275862068965514</v>
      </c>
      <c r="AV23" s="2">
        <f>IF(AQ23="",INDEX(BW$4:BW$7,MATCH($O23,$BU$4:$BU$7,0)),AQ23)</f>
        <v>0.13793103448275862</v>
      </c>
      <c r="AW23" s="2">
        <f t="shared" si="0"/>
        <v>1.0344827586206897</v>
      </c>
      <c r="AX23" s="2">
        <f t="shared" si="1"/>
        <v>6.8965517241379309E-2</v>
      </c>
      <c r="AY23" s="2">
        <f t="shared" si="2"/>
        <v>0</v>
      </c>
      <c r="AZ23" s="2">
        <f>AU23*0.5+AK23*0.5</f>
        <v>0.50831896551724132</v>
      </c>
      <c r="BA23" s="2">
        <f>AV23*0.5+AJ23*0.5</f>
        <v>0.16288433908045979</v>
      </c>
      <c r="BB23" s="2">
        <f t="shared" si="3"/>
        <v>3.4482758620689655E-2</v>
      </c>
      <c r="BC23">
        <f>IF(I23="expected",1,0)</f>
        <v>0</v>
      </c>
      <c r="BD23" s="78">
        <f>IF(BC23=1,AZ23/SUMIFS(AZ$3:AZ$623,$BC$3:$BC$623,1,$G$3:$G$623,$G23),0)</f>
        <v>0</v>
      </c>
      <c r="BE23" s="78">
        <f>IF(BC23=1,BA23/SUMIFS(BA$3:BA$623,$BC$3:$BC$623,1,$G$3:$G$623,$G23),0)</f>
        <v>0</v>
      </c>
      <c r="BF23" s="78">
        <f t="shared" si="4"/>
        <v>0</v>
      </c>
      <c r="BG23" s="2">
        <f t="shared" si="5"/>
        <v>3.4482758620689655E-2</v>
      </c>
      <c r="BH23" s="2">
        <f t="shared" si="6"/>
        <v>0</v>
      </c>
      <c r="BI23" s="2">
        <f t="shared" si="7"/>
        <v>0</v>
      </c>
      <c r="BJ23" s="2">
        <f t="shared" si="8"/>
        <v>0</v>
      </c>
      <c r="BK23" s="2">
        <f t="shared" si="9"/>
        <v>0</v>
      </c>
      <c r="BL23" s="2">
        <f t="shared" si="10"/>
        <v>3.4482758620689655E-2</v>
      </c>
      <c r="BM23" s="2">
        <f t="shared" si="11"/>
        <v>0</v>
      </c>
      <c r="BN23" s="2">
        <f>BI23/SUMIFS(BI$3:BI$623,$BC$3:$BC$623,1,$G$3:$G$623,$G23)</f>
        <v>0</v>
      </c>
      <c r="BO23" s="2">
        <f>BJ23/SUMIFS(BJ$3:BJ$623,$BC$3:$BC$623,1,$G$3:$G$623,$G23)</f>
        <v>0</v>
      </c>
      <c r="BP23" s="2">
        <f>BK23/SUMIFS(BK$3:BK$623,$BC$3:$BC$623,1,$G$3:$G$623,$G23)</f>
        <v>0</v>
      </c>
      <c r="BQ23" s="2">
        <f>BL23</f>
        <v>3.4482758620689655E-2</v>
      </c>
      <c r="BR23" s="2">
        <f>BM23</f>
        <v>0</v>
      </c>
    </row>
    <row r="24" spans="1:70" hidden="1">
      <c r="A24" s="74">
        <v>0</v>
      </c>
      <c r="B24" s="73">
        <v>204677</v>
      </c>
      <c r="C24" s="73" t="s">
        <v>1075</v>
      </c>
      <c r="D24" s="73" t="s">
        <v>1076</v>
      </c>
      <c r="E24" s="73" t="s">
        <v>1077</v>
      </c>
      <c r="F24" s="73">
        <v>18647</v>
      </c>
      <c r="G24" s="73" t="s">
        <v>891</v>
      </c>
      <c r="H24" s="73" t="s">
        <v>927</v>
      </c>
      <c r="I24" s="73" t="s">
        <v>981</v>
      </c>
      <c r="J24" s="73">
        <v>0</v>
      </c>
      <c r="K24" s="73">
        <v>9</v>
      </c>
      <c r="L24" s="73">
        <v>0</v>
      </c>
      <c r="M24" s="73">
        <v>0</v>
      </c>
      <c r="N24" s="73">
        <v>0</v>
      </c>
      <c r="O24" s="73" t="s">
        <v>994</v>
      </c>
      <c r="P24" s="73" t="s">
        <v>1078</v>
      </c>
      <c r="Q24" s="73" t="s">
        <v>1078</v>
      </c>
      <c r="R24" s="73">
        <v>5</v>
      </c>
      <c r="S24" s="73">
        <v>10</v>
      </c>
      <c r="T24" s="73">
        <v>0</v>
      </c>
      <c r="U24" s="73">
        <v>0</v>
      </c>
      <c r="V24" s="73">
        <v>1764</v>
      </c>
      <c r="W24" s="73">
        <v>19</v>
      </c>
      <c r="X24" s="73">
        <v>1</v>
      </c>
      <c r="Y24" s="73">
        <v>0</v>
      </c>
      <c r="Z24" s="73" t="s">
        <v>989</v>
      </c>
      <c r="AA24" s="73" t="s">
        <v>693</v>
      </c>
      <c r="AB24" s="73" t="str">
        <f>IF(AA24&lt;&gt;"",INDEX(Lookup!$N$2:$N$5,MATCH(Players!AA24,Lookup!$P$2:$P$5,0)),INDEX(Lookup!$N$2:$N$5,MATCH(Players!O24,Lookup!$O$2:$O$5,0)))</f>
        <v>Striker</v>
      </c>
      <c r="AC24" s="73">
        <v>5000000</v>
      </c>
      <c r="AD24" s="73" t="s">
        <v>796</v>
      </c>
      <c r="AE24" s="73" t="str">
        <f>INDEX('Translate table'!$H$2:$H$622,MATCH(Players!P24,'Translate table'!$G$2:$G$622,0))</f>
        <v>Kingsley Coman</v>
      </c>
      <c r="AF24" s="73">
        <f>IFERROR(INDEX('Euro Qual stats'!$A$1:$L$2071,MATCH(Players!$AE24,'Euro Qual stats'!$A$1:$A$2071,0),MATCH(Players!AF$2,'Euro Qual stats'!$A$1:$L$1,0)),0)</f>
        <v>6</v>
      </c>
      <c r="AG24" s="73">
        <f>IFERROR(INDEX('Euro Qual stats'!$A$1:$L$2071,MATCH(Players!$AE24,'Euro Qual stats'!$A$1:$A$2071,0),MATCH(Players!AG$2,'Euro Qual stats'!$A$1:$L$1,0)),0)</f>
        <v>0</v>
      </c>
      <c r="AH24" s="73">
        <f>IFERROR(INDEX('Euro Qual stats'!$A$1:$L$2071,MATCH(Players!$AE24,'Euro Qual stats'!$A$1:$A$2071,0),MATCH(Players!AH$2,'Euro Qual stats'!$A$1:$L$1,0)),0)</f>
        <v>0.57999999999999996</v>
      </c>
      <c r="AI24" s="73">
        <f>IFERROR(INDEX('Euro Qual stats'!$A$1:$L$2071,MATCH(Players!$AE24,'Euro Qual stats'!$A$1:$A$2071,0),MATCH(Players!AI$2,'Euro Qual stats'!$A$1:$L$1,0)),0)</f>
        <v>0.19</v>
      </c>
      <c r="AJ24" s="93">
        <f>(12-AF24)/12*INDEX(BV$9:BV$12,MATCH($AB24,$BU$9:$BU$12,0))+AF24/12*AG24</f>
        <v>0.10245689655172416</v>
      </c>
      <c r="AK24" s="93">
        <f>(12-AG24)/12*INDEX(BW$9:BW$12,MATCH($AB24,$BU$9:$BU$12,0))+AG24/12*AH24</f>
        <v>0.53387931034482738</v>
      </c>
      <c r="AL24" s="93">
        <f>(12-AH24)/12*INDEX(BX$9:BX$12,MATCH($AB24,$BU$9:$BU$12,0))+AH24/12*AI24</f>
        <v>0.16604425287356323</v>
      </c>
      <c r="AM24" s="93">
        <f>IF($BC24=1,AJ24/SUMIFS(AJ$3:AJ$623,$BC$3:$BC$623,1,$G$3:$G$623,$G24),0)</f>
        <v>5.2889244172718557E-2</v>
      </c>
      <c r="AN24" s="93">
        <f>IF($BC24=1,AK24/SUMIFS(AK$3:AK$623,$BC$3:$BC$623,1,$G$3:$G$623,$G24),0)</f>
        <v>0.17931663686850899</v>
      </c>
      <c r="AO24" s="93">
        <f>IF($BC24=1,AL24/SUMIFS(AL$3:AL$623,$BC$3:$BC$623,1,$G$3:$G$623,$G24),0)</f>
        <v>8.6716419702698194E-2</v>
      </c>
      <c r="AP24" s="2">
        <f>IFERROR(R24/$V24*90,"")</f>
        <v>0.25510204081632654</v>
      </c>
      <c r="AQ24" s="2">
        <f>IFERROR(S24/$V24*90,"")</f>
        <v>0.51020408163265307</v>
      </c>
      <c r="AR24" s="2">
        <f>IFERROR(W24/$V24*90,"")</f>
        <v>0.96938775510204089</v>
      </c>
      <c r="AS24" s="2">
        <f>IFERROR(X24/$V24*90,"")</f>
        <v>5.1020408163265307E-2</v>
      </c>
      <c r="AT24" s="2">
        <f>IFERROR(Y24/$V24*90,"")</f>
        <v>0</v>
      </c>
      <c r="AU24" s="2">
        <f>IF(AP24="",INDEX(BV$4:BV$7,MATCH(O24,$BU$4:$BU$7,0)),AP24)</f>
        <v>0.25510204081632654</v>
      </c>
      <c r="AV24" s="2">
        <f>IF(AQ24="",INDEX(BW$4:BW$7,MATCH($O24,$BU$4:$BU$7,0)),AQ24)</f>
        <v>0.51020408163265307</v>
      </c>
      <c r="AW24" s="2">
        <f t="shared" si="0"/>
        <v>0.96938775510204089</v>
      </c>
      <c r="AX24" s="2">
        <f t="shared" si="1"/>
        <v>5.1020408163265307E-2</v>
      </c>
      <c r="AY24" s="2">
        <f t="shared" si="2"/>
        <v>0</v>
      </c>
      <c r="AZ24" s="2">
        <f>AU24*0.5+AK24*0.5</f>
        <v>0.39449067558057693</v>
      </c>
      <c r="BA24" s="2">
        <f>AV24*0.5+AJ24*0.5</f>
        <v>0.30633048909218863</v>
      </c>
      <c r="BB24" s="2">
        <f t="shared" si="3"/>
        <v>0.12051020408163265</v>
      </c>
      <c r="BC24">
        <f>IF(I24="expected",1,0)</f>
        <v>1</v>
      </c>
      <c r="BD24" s="78">
        <f>IF(BC24=1,AZ24/SUMIFS(AZ$3:AZ$623,$BC$3:$BC$623,1,$G$3:$G$623,$G24),0)</f>
        <v>0.1366438947368116</v>
      </c>
      <c r="BE24" s="78">
        <f>IF(BC24=1,BA24/SUMIFS(BA$3:BA$623,$BC$3:$BC$623,1,$G$3:$G$623,$G24),0)</f>
        <v>0.17191956682219617</v>
      </c>
      <c r="BF24" s="78">
        <f t="shared" si="4"/>
        <v>0.1333123996592917</v>
      </c>
      <c r="BG24" s="2">
        <f t="shared" si="5"/>
        <v>0.12051020408163265</v>
      </c>
      <c r="BH24" s="2">
        <f t="shared" si="6"/>
        <v>0</v>
      </c>
      <c r="BI24" s="2">
        <f t="shared" si="7"/>
        <v>0.1366438947368116</v>
      </c>
      <c r="BJ24" s="2">
        <f t="shared" si="8"/>
        <v>0.17191956682219617</v>
      </c>
      <c r="BK24" s="2">
        <f t="shared" si="9"/>
        <v>0.1333123996592917</v>
      </c>
      <c r="BL24" s="2">
        <f t="shared" si="10"/>
        <v>0.12051020408163265</v>
      </c>
      <c r="BM24" s="2">
        <f t="shared" si="11"/>
        <v>0</v>
      </c>
      <c r="BN24" s="2">
        <f>BI24/SUMIFS(BI$3:BI$623,$BC$3:$BC$623,1,$G$3:$G$623,$G24)</f>
        <v>0.1366438947368116</v>
      </c>
      <c r="BO24" s="2">
        <f>BJ24/SUMIFS(BJ$3:BJ$623,$BC$3:$BC$623,1,$G$3:$G$623,$G24)</f>
        <v>0.17191956682219617</v>
      </c>
      <c r="BP24" s="2">
        <f>BK24/SUMIFS(BK$3:BK$623,$BC$3:$BC$623,1,$G$3:$G$623,$G24)</f>
        <v>0.1333123996592917</v>
      </c>
      <c r="BQ24" s="2">
        <f>BL24</f>
        <v>0.12051020408163265</v>
      </c>
      <c r="BR24" s="2">
        <f>BM24</f>
        <v>0</v>
      </c>
    </row>
    <row r="25" spans="1:70" hidden="1">
      <c r="A25" s="74">
        <v>0</v>
      </c>
      <c r="B25" s="73">
        <v>204845</v>
      </c>
      <c r="C25" s="73" t="s">
        <v>1079</v>
      </c>
      <c r="D25" s="73" t="s">
        <v>1080</v>
      </c>
      <c r="E25" s="73" t="s">
        <v>1081</v>
      </c>
      <c r="F25" s="73">
        <v>18699</v>
      </c>
      <c r="G25" s="73" t="s">
        <v>888</v>
      </c>
      <c r="H25" s="73" t="s">
        <v>941</v>
      </c>
      <c r="I25" s="73" t="s">
        <v>981</v>
      </c>
      <c r="J25" s="73">
        <v>0</v>
      </c>
      <c r="K25" s="73">
        <v>9</v>
      </c>
      <c r="L25" s="73">
        <v>0</v>
      </c>
      <c r="M25" s="73">
        <v>0</v>
      </c>
      <c r="N25" s="73">
        <v>0</v>
      </c>
      <c r="O25" s="73" t="s">
        <v>982</v>
      </c>
      <c r="P25" s="73" t="s">
        <v>1082</v>
      </c>
      <c r="Q25" s="73" t="s">
        <v>1082</v>
      </c>
      <c r="R25" s="73">
        <v>41</v>
      </c>
      <c r="S25" s="73">
        <v>7</v>
      </c>
      <c r="T25" s="73">
        <v>0</v>
      </c>
      <c r="U25" s="73">
        <v>3</v>
      </c>
      <c r="V25" s="73">
        <v>2463</v>
      </c>
      <c r="W25" s="73">
        <v>68</v>
      </c>
      <c r="X25" s="73">
        <v>4</v>
      </c>
      <c r="Y25" s="73">
        <v>0</v>
      </c>
      <c r="Z25" s="73" t="s">
        <v>1083</v>
      </c>
      <c r="AA25" s="73" t="s">
        <v>693</v>
      </c>
      <c r="AB25" s="73" t="str">
        <f>IF(AA25&lt;&gt;"",INDEX(Lookup!$N$2:$N$5,MATCH(Players!AA25,Lookup!$P$2:$P$5,0)),INDEX(Lookup!$N$2:$N$5,MATCH(Players!O25,Lookup!$O$2:$O$5,0)))</f>
        <v>Striker</v>
      </c>
      <c r="AC25" s="73">
        <v>7500000</v>
      </c>
      <c r="AD25" s="73" t="s">
        <v>1031</v>
      </c>
      <c r="AE25" s="73" t="str">
        <f>INDEX('Translate table'!$H$2:$H$622,MATCH(Players!P25,'Translate table'!$G$2:$G$622,0))</f>
        <v>Robert Lewandowski</v>
      </c>
      <c r="AF25" s="73">
        <f>IFERROR(INDEX('Euro Qual stats'!$A$1:$L$2071,MATCH(Players!$AE25,'Euro Qual stats'!$A$1:$A$2071,0),MATCH(Players!AF$2,'Euro Qual stats'!$A$1:$L$1,0)),0)</f>
        <v>10</v>
      </c>
      <c r="AG25" s="73">
        <f>IFERROR(INDEX('Euro Qual stats'!$A$1:$L$2071,MATCH(Players!$AE25,'Euro Qual stats'!$A$1:$A$2071,0),MATCH(Players!AG$2,'Euro Qual stats'!$A$1:$L$1,0)),0)</f>
        <v>0.22</v>
      </c>
      <c r="AH25" s="73">
        <f>IFERROR(INDEX('Euro Qual stats'!$A$1:$L$2071,MATCH(Players!$AE25,'Euro Qual stats'!$A$1:$A$2071,0),MATCH(Players!AH$2,'Euro Qual stats'!$A$1:$L$1,0)),0)</f>
        <v>0.65</v>
      </c>
      <c r="AI25" s="73">
        <f>IFERROR(INDEX('Euro Qual stats'!$A$1:$L$2071,MATCH(Players!$AE25,'Euro Qual stats'!$A$1:$A$2071,0),MATCH(Players!AI$2,'Euro Qual stats'!$A$1:$L$1,0)),0)</f>
        <v>0</v>
      </c>
      <c r="AJ25" s="93">
        <f>(12-AF25)/12*INDEX(BV$9:BV$12,MATCH($AB25,$BU$9:$BU$12,0))+AF25/12*AG25</f>
        <v>0.21748563218390807</v>
      </c>
      <c r="AK25" s="93">
        <f>(12-AG25)/12*INDEX(BW$9:BW$12,MATCH($AB25,$BU$9:$BU$12,0))+AG25/12*AH25</f>
        <v>0.53600818965517216</v>
      </c>
      <c r="AL25" s="93">
        <f>(12-AH25)/12*INDEX(BX$9:BX$12,MATCH($AB25,$BU$9:$BU$12,0))+AH25/12*AI25</f>
        <v>0.15589942528735634</v>
      </c>
      <c r="AM25" s="93">
        <f>IF($BC25=1,AJ25/SUMIFS(AJ$3:AJ$623,$BC$3:$BC$623,1,$G$3:$G$623,$G25),0)</f>
        <v>0.16000545841181643</v>
      </c>
      <c r="AN25" s="93">
        <f>IF($BC25=1,AK25/SUMIFS(AK$3:AK$623,$BC$3:$BC$623,1,$G$3:$G$623,$G25),0)</f>
        <v>0.22174348681444653</v>
      </c>
      <c r="AO25" s="93">
        <f>IF($BC25=1,AL25/SUMIFS(AL$3:AL$623,$BC$3:$BC$623,1,$G$3:$G$623,$G25),0)</f>
        <v>7.6751517361859395E-2</v>
      </c>
      <c r="AP25" s="2">
        <f>IFERROR(R25/$V25*90,"")</f>
        <v>1.4981729598051157</v>
      </c>
      <c r="AQ25" s="2">
        <f>IFERROR(S25/$V25*90,"")</f>
        <v>0.25578562728380028</v>
      </c>
      <c r="AR25" s="2">
        <f>IFERROR(W25/$V25*90,"")</f>
        <v>2.484774665042631</v>
      </c>
      <c r="AS25" s="2">
        <f>IFERROR(X25/$V25*90,"")</f>
        <v>0.146163215590743</v>
      </c>
      <c r="AT25" s="2">
        <f>IFERROR(Y25/$V25*90,"")</f>
        <v>0</v>
      </c>
      <c r="AU25" s="2">
        <f>IF(AP25="",INDEX(BV$4:BV$7,MATCH(O25,$BU$4:$BU$7,0)),AP25)</f>
        <v>1.4981729598051157</v>
      </c>
      <c r="AV25" s="2">
        <f>IF(AQ25="",INDEX(BW$4:BW$7,MATCH($O25,$BU$4:$BU$7,0)),AQ25)</f>
        <v>0.25578562728380028</v>
      </c>
      <c r="AW25" s="2">
        <f t="shared" si="0"/>
        <v>2.484774665042631</v>
      </c>
      <c r="AX25" s="2">
        <f t="shared" si="1"/>
        <v>0.146163215590743</v>
      </c>
      <c r="AY25" s="2">
        <f t="shared" si="2"/>
        <v>0</v>
      </c>
      <c r="AZ25" s="2">
        <f>AU25*0.5+AK25*0.5</f>
        <v>1.017090574730144</v>
      </c>
      <c r="BA25" s="2">
        <f>AV25*0.5+AJ25*0.5</f>
        <v>0.23663562973385416</v>
      </c>
      <c r="BB25" s="2">
        <f t="shared" si="3"/>
        <v>7.3081607795371498E-2</v>
      </c>
      <c r="BC25">
        <f>IF(I25="expected",1,0)</f>
        <v>1</v>
      </c>
      <c r="BD25" s="78">
        <f>IF(BC25=1,AZ25/SUMIFS(AZ$3:AZ$623,$BC$3:$BC$623,1,$G$3:$G$623,$G25),0)</f>
        <v>0.36888844272265719</v>
      </c>
      <c r="BE25" s="78">
        <f>IF(BC25=1,BA25/SUMIFS(BA$3:BA$623,$BC$3:$BC$623,1,$G$3:$G$623,$G25),0)</f>
        <v>0.19947669562505688</v>
      </c>
      <c r="BF25" s="78">
        <f t="shared" si="4"/>
        <v>0.33832083731877799</v>
      </c>
      <c r="BG25" s="2">
        <f t="shared" si="5"/>
        <v>7.3081607795371498E-2</v>
      </c>
      <c r="BH25" s="2">
        <f t="shared" si="6"/>
        <v>0</v>
      </c>
      <c r="BI25" s="2">
        <f t="shared" si="7"/>
        <v>0.35</v>
      </c>
      <c r="BJ25" s="2">
        <f t="shared" si="8"/>
        <v>0.19947669562505688</v>
      </c>
      <c r="BK25" s="2">
        <f t="shared" si="9"/>
        <v>0.3</v>
      </c>
      <c r="BL25" s="2">
        <f t="shared" si="10"/>
        <v>7.3081607795371498E-2</v>
      </c>
      <c r="BM25" s="2">
        <f t="shared" si="11"/>
        <v>0</v>
      </c>
      <c r="BN25" s="2">
        <f>BI25/SUMIFS(BI$3:BI$623,$BC$3:$BC$623,1,$G$3:$G$623,$G25)</f>
        <v>0.35673822961710472</v>
      </c>
      <c r="BO25" s="2">
        <f>BJ25/SUMIFS(BJ$3:BJ$623,$BC$3:$BC$623,1,$G$3:$G$623,$G25)</f>
        <v>0.19947669562505688</v>
      </c>
      <c r="BP25" s="2">
        <f>BK25/SUMIFS(BK$3:BK$623,$BC$3:$BC$623,1,$G$3:$G$623,$G25)</f>
        <v>0.31195435197283583</v>
      </c>
      <c r="BQ25" s="2">
        <f>BL25</f>
        <v>7.3081607795371498E-2</v>
      </c>
      <c r="BR25" s="2">
        <f>BM25</f>
        <v>0</v>
      </c>
    </row>
    <row r="26" spans="1:70" hidden="1">
      <c r="A26" s="74">
        <v>0</v>
      </c>
      <c r="B26" s="73">
        <v>204527</v>
      </c>
      <c r="C26" s="73" t="s">
        <v>1084</v>
      </c>
      <c r="D26" s="73" t="s">
        <v>1085</v>
      </c>
      <c r="E26" s="73" t="s">
        <v>1086</v>
      </c>
      <c r="F26" s="73">
        <v>18658</v>
      </c>
      <c r="G26" s="73" t="s">
        <v>863</v>
      </c>
      <c r="H26" s="73" t="s">
        <v>939</v>
      </c>
      <c r="I26" s="73" t="s">
        <v>1012</v>
      </c>
      <c r="J26" s="73">
        <v>0</v>
      </c>
      <c r="K26" s="73">
        <v>8.5</v>
      </c>
      <c r="L26" s="73">
        <v>0</v>
      </c>
      <c r="M26" s="73">
        <v>0</v>
      </c>
      <c r="N26" s="73">
        <v>0</v>
      </c>
      <c r="O26" s="73" t="s">
        <v>982</v>
      </c>
      <c r="P26" s="73" t="s">
        <v>1087</v>
      </c>
      <c r="Q26" s="73" t="s">
        <v>1087</v>
      </c>
      <c r="R26" s="73">
        <v>13</v>
      </c>
      <c r="S26" s="73">
        <v>6</v>
      </c>
      <c r="T26" s="73">
        <v>0</v>
      </c>
      <c r="U26" s="73">
        <v>6</v>
      </c>
      <c r="V26" s="73">
        <v>2894</v>
      </c>
      <c r="W26" s="73">
        <v>40</v>
      </c>
      <c r="X26" s="73">
        <v>4</v>
      </c>
      <c r="Y26" s="73">
        <v>0</v>
      </c>
      <c r="Z26" s="73" t="s">
        <v>1054</v>
      </c>
      <c r="AA26" s="73" t="s">
        <v>693</v>
      </c>
      <c r="AB26" s="73" t="str">
        <f>IF(AA26&lt;&gt;"",INDEX(Lookup!$N$2:$N$5,MATCH(Players!AA26,Lookup!$P$2:$P$5,0)),INDEX(Lookup!$N$2:$N$5,MATCH(Players!O26,Lookup!$O$2:$O$5,0)))</f>
        <v>Striker</v>
      </c>
      <c r="AC26" s="73">
        <v>4500000</v>
      </c>
      <c r="AD26" s="73" t="s">
        <v>811</v>
      </c>
      <c r="AE26" s="73" t="str">
        <f>INDEX('Translate table'!$H$2:$H$622,MATCH(Players!P26,'Translate table'!$G$2:$G$622,0))</f>
        <v>Andrea Belotti</v>
      </c>
      <c r="AF26" s="73">
        <f>IFERROR(INDEX('Euro Qual stats'!$A$1:$L$2071,MATCH(Players!$AE26,'Euro Qual stats'!$A$1:$A$2071,0),MATCH(Players!AF$2,'Euro Qual stats'!$A$1:$L$1,0)),0)</f>
        <v>7</v>
      </c>
      <c r="AG26" s="73">
        <f>IFERROR(INDEX('Euro Qual stats'!$A$1:$L$2071,MATCH(Players!$AE26,'Euro Qual stats'!$A$1:$A$2071,0),MATCH(Players!AG$2,'Euro Qual stats'!$A$1:$L$1,0)),0)</f>
        <v>0.46</v>
      </c>
      <c r="AH26" s="73">
        <f>IFERROR(INDEX('Euro Qual stats'!$A$1:$L$2071,MATCH(Players!$AE26,'Euro Qual stats'!$A$1:$A$2071,0),MATCH(Players!AH$2,'Euro Qual stats'!$A$1:$L$1,0)),0)</f>
        <v>1.1599999999999999</v>
      </c>
      <c r="AI26" s="73">
        <f>IFERROR(INDEX('Euro Qual stats'!$A$1:$L$2071,MATCH(Players!$AE26,'Euro Qual stats'!$A$1:$A$2071,0),MATCH(Players!AI$2,'Euro Qual stats'!$A$1:$L$1,0)),0)</f>
        <v>0</v>
      </c>
      <c r="AJ26" s="93">
        <f>(12-AF26)/12*INDEX(BV$9:BV$12,MATCH($AB26,$BU$9:$BU$12,0))+AF26/12*AG26</f>
        <v>0.35371408045977015</v>
      </c>
      <c r="AK26" s="93">
        <f>(12-AG26)/12*INDEX(BW$9:BW$12,MATCH($AB26,$BU$9:$BU$12,0))+AG26/12*AH26</f>
        <v>0.55788060344827561</v>
      </c>
      <c r="AL26" s="93">
        <f>(12-AH26)/12*INDEX(BX$9:BX$12,MATCH($AB26,$BU$9:$BU$12,0))+AH26/12*AI26</f>
        <v>0.14889425287356325</v>
      </c>
      <c r="AM26" s="93">
        <f>IF($BC26=1,AJ26/SUMIFS(AJ$3:AJ$623,$BC$3:$BC$623,1,$G$3:$G$623,$G26),0)</f>
        <v>0</v>
      </c>
      <c r="AN26" s="93">
        <f>IF($BC26=1,AK26/SUMIFS(AK$3:AK$623,$BC$3:$BC$623,1,$G$3:$G$623,$G26),0)</f>
        <v>0</v>
      </c>
      <c r="AO26" s="93">
        <f>IF($BC26=1,AL26/SUMIFS(AL$3:AL$623,$BC$3:$BC$623,1,$G$3:$G$623,$G26),0)</f>
        <v>0</v>
      </c>
      <c r="AP26" s="2">
        <f>IFERROR(R26/$V26*90,"")</f>
        <v>0.4042847270214236</v>
      </c>
      <c r="AQ26" s="2">
        <f>IFERROR(S26/$V26*90,"")</f>
        <v>0.18659295093296477</v>
      </c>
      <c r="AR26" s="2">
        <f>IFERROR(W26/$V26*90,"")</f>
        <v>1.243953006219765</v>
      </c>
      <c r="AS26" s="2">
        <f>IFERROR(X26/$V26*90,"")</f>
        <v>0.1243953006219765</v>
      </c>
      <c r="AT26" s="2">
        <f>IFERROR(Y26/$V26*90,"")</f>
        <v>0</v>
      </c>
      <c r="AU26" s="2">
        <f>IF(AP26="",INDEX(BV$4:BV$7,MATCH(O26,$BU$4:$BU$7,0)),AP26)</f>
        <v>0.4042847270214236</v>
      </c>
      <c r="AV26" s="2">
        <f>IF(AQ26="",INDEX(BW$4:BW$7,MATCH($O26,$BU$4:$BU$7,0)),AQ26)</f>
        <v>0.18659295093296477</v>
      </c>
      <c r="AW26" s="2">
        <f t="shared" si="0"/>
        <v>1.243953006219765</v>
      </c>
      <c r="AX26" s="2">
        <f t="shared" si="1"/>
        <v>0.1243953006219765</v>
      </c>
      <c r="AY26" s="2">
        <f t="shared" si="2"/>
        <v>0</v>
      </c>
      <c r="AZ26" s="2">
        <f>AU26*0.5+AK26*0.5</f>
        <v>0.4810826652348496</v>
      </c>
      <c r="BA26" s="2">
        <f>AV26*0.5+AJ26*0.5</f>
        <v>0.27015351569636747</v>
      </c>
      <c r="BB26" s="2">
        <f t="shared" si="3"/>
        <v>6.2197650310988249E-2</v>
      </c>
      <c r="BC26">
        <f>IF(I26="expected",1,0)</f>
        <v>0</v>
      </c>
      <c r="BD26" s="78">
        <f>IF(BC26=1,AZ26/SUMIFS(AZ$3:AZ$623,$BC$3:$BC$623,1,$G$3:$G$623,$G26),0)</f>
        <v>0</v>
      </c>
      <c r="BE26" s="78">
        <f>IF(BC26=1,BA26/SUMIFS(BA$3:BA$623,$BC$3:$BC$623,1,$G$3:$G$623,$G26),0)</f>
        <v>0</v>
      </c>
      <c r="BF26" s="78">
        <f t="shared" si="4"/>
        <v>0</v>
      </c>
      <c r="BG26" s="2">
        <f t="shared" si="5"/>
        <v>6.2197650310988249E-2</v>
      </c>
      <c r="BH26" s="2">
        <f t="shared" si="6"/>
        <v>0</v>
      </c>
      <c r="BI26" s="2">
        <f t="shared" si="7"/>
        <v>0</v>
      </c>
      <c r="BJ26" s="2">
        <f t="shared" si="8"/>
        <v>0</v>
      </c>
      <c r="BK26" s="2">
        <f t="shared" si="9"/>
        <v>0</v>
      </c>
      <c r="BL26" s="2">
        <f t="shared" si="10"/>
        <v>6.2197650310988249E-2</v>
      </c>
      <c r="BM26" s="2">
        <f t="shared" si="11"/>
        <v>0</v>
      </c>
      <c r="BN26" s="2">
        <f>BI26/SUMIFS(BI$3:BI$623,$BC$3:$BC$623,1,$G$3:$G$623,$G26)</f>
        <v>0</v>
      </c>
      <c r="BO26" s="2">
        <f>BJ26/SUMIFS(BJ$3:BJ$623,$BC$3:$BC$623,1,$G$3:$G$623,$G26)</f>
        <v>0</v>
      </c>
      <c r="BP26" s="2">
        <f>BK26/SUMIFS(BK$3:BK$623,$BC$3:$BC$623,1,$G$3:$G$623,$G26)</f>
        <v>0</v>
      </c>
      <c r="BQ26" s="2">
        <f>BL26</f>
        <v>6.2197650310988249E-2</v>
      </c>
      <c r="BR26" s="2">
        <f>BM26</f>
        <v>0</v>
      </c>
    </row>
    <row r="27" spans="1:70" hidden="1">
      <c r="A27" s="74">
        <v>0</v>
      </c>
      <c r="B27" s="73">
        <v>204550</v>
      </c>
      <c r="C27" s="73" t="s">
        <v>1088</v>
      </c>
      <c r="D27" s="73" t="s">
        <v>1089</v>
      </c>
      <c r="E27" s="73" t="s">
        <v>1090</v>
      </c>
      <c r="F27" s="73">
        <v>18743</v>
      </c>
      <c r="G27" s="73" t="s">
        <v>871</v>
      </c>
      <c r="H27" s="73" t="s">
        <v>945</v>
      </c>
      <c r="I27" s="73" t="s">
        <v>1012</v>
      </c>
      <c r="J27" s="73">
        <v>0</v>
      </c>
      <c r="K27" s="73">
        <v>8.5</v>
      </c>
      <c r="L27" s="73">
        <v>0</v>
      </c>
      <c r="M27" s="73">
        <v>0</v>
      </c>
      <c r="N27" s="73">
        <v>0</v>
      </c>
      <c r="O27" s="73" t="s">
        <v>982</v>
      </c>
      <c r="P27" s="73" t="s">
        <v>75</v>
      </c>
      <c r="Q27" s="73" t="s">
        <v>75</v>
      </c>
      <c r="R27" s="73">
        <v>2</v>
      </c>
      <c r="S27" s="73">
        <v>1</v>
      </c>
      <c r="T27" s="73">
        <v>0</v>
      </c>
      <c r="U27" s="73">
        <v>0</v>
      </c>
      <c r="V27" s="73">
        <v>722</v>
      </c>
      <c r="W27" s="73">
        <v>6</v>
      </c>
      <c r="X27" s="73">
        <v>0</v>
      </c>
      <c r="Y27" s="73">
        <v>0</v>
      </c>
      <c r="Z27" s="73" t="s">
        <v>995</v>
      </c>
      <c r="AA27" s="73" t="s">
        <v>693</v>
      </c>
      <c r="AB27" s="73" t="str">
        <f>IF(AA27&lt;&gt;"",INDEX(Lookup!$N$2:$N$5,MATCH(Players!AA27,Lookup!$P$2:$P$5,0)),INDEX(Lookup!$N$2:$N$5,MATCH(Players!O27,Lookup!$O$2:$O$5,0)))</f>
        <v>Striker</v>
      </c>
      <c r="AC27" s="73">
        <v>5500000</v>
      </c>
      <c r="AD27" s="73" t="s">
        <v>789</v>
      </c>
      <c r="AE27" s="73" t="str">
        <f>INDEX('Translate table'!$H$2:$H$622,MATCH(Players!P27,'Translate table'!$G$2:$G$622,0))</f>
        <v>Michy Batshuayi</v>
      </c>
      <c r="AF27" s="73">
        <f>IFERROR(INDEX('Euro Qual stats'!$A$1:$L$2071,MATCH(Players!$AE27,'Euro Qual stats'!$A$1:$A$2071,0),MATCH(Players!AF$2,'Euro Qual stats'!$A$1:$L$1,0)),0)</f>
        <v>6</v>
      </c>
      <c r="AG27" s="73">
        <f>IFERROR(INDEX('Euro Qual stats'!$A$1:$L$2071,MATCH(Players!$AE27,'Euro Qual stats'!$A$1:$A$2071,0),MATCH(Players!AG$2,'Euro Qual stats'!$A$1:$L$1,0)),0)</f>
        <v>0.24</v>
      </c>
      <c r="AH27" s="73">
        <f>IFERROR(INDEX('Euro Qual stats'!$A$1:$L$2071,MATCH(Players!$AE27,'Euro Qual stats'!$A$1:$A$2071,0),MATCH(Players!AH$2,'Euro Qual stats'!$A$1:$L$1,0)),0)</f>
        <v>0.95</v>
      </c>
      <c r="AI27" s="73">
        <f>IFERROR(INDEX('Euro Qual stats'!$A$1:$L$2071,MATCH(Players!$AE27,'Euro Qual stats'!$A$1:$A$2071,0),MATCH(Players!AI$2,'Euro Qual stats'!$A$1:$L$1,0)),0)</f>
        <v>0.24</v>
      </c>
      <c r="AJ27" s="93">
        <f>(12-AF27)/12*INDEX(BV$9:BV$12,MATCH($AB27,$BU$9:$BU$12,0))+AF27/12*AG27</f>
        <v>0.22245689655172415</v>
      </c>
      <c r="AK27" s="93">
        <f>(12-AG27)/12*INDEX(BW$9:BW$12,MATCH($AB27,$BU$9:$BU$12,0))+AG27/12*AH27</f>
        <v>0.54220172413793088</v>
      </c>
      <c r="AL27" s="93">
        <f>(12-AH27)/12*INDEX(BX$9:BX$12,MATCH($AB27,$BU$9:$BU$12,0))+AH27/12*AI27</f>
        <v>0.17077873563218393</v>
      </c>
      <c r="AM27" s="93">
        <f>IF($BC27=1,AJ27/SUMIFS(AJ$3:AJ$623,$BC$3:$BC$623,1,$G$3:$G$623,$G27),0)</f>
        <v>0</v>
      </c>
      <c r="AN27" s="93">
        <f>IF($BC27=1,AK27/SUMIFS(AK$3:AK$623,$BC$3:$BC$623,1,$G$3:$G$623,$G27),0)</f>
        <v>0</v>
      </c>
      <c r="AO27" s="93">
        <f>IF($BC27=1,AL27/SUMIFS(AL$3:AL$623,$BC$3:$BC$623,1,$G$3:$G$623,$G27),0)</f>
        <v>0</v>
      </c>
      <c r="AP27" s="2">
        <f>IFERROR(R27/$V27*90,"")</f>
        <v>0.24930747922437674</v>
      </c>
      <c r="AQ27" s="2">
        <f>IFERROR(S27/$V27*90,"")</f>
        <v>0.12465373961218837</v>
      </c>
      <c r="AR27" s="2">
        <f>IFERROR(W27/$V27*90,"")</f>
        <v>0.74792243767313027</v>
      </c>
      <c r="AS27" s="2">
        <f>IFERROR(X27/$V27*90,"")</f>
        <v>0</v>
      </c>
      <c r="AT27" s="2">
        <f>IFERROR(Y27/$V27*90,"")</f>
        <v>0</v>
      </c>
      <c r="AU27" s="2">
        <f>IF(AP27="",INDEX(BV$4:BV$7,MATCH(O27,$BU$4:$BU$7,0)),AP27)</f>
        <v>0.24930747922437674</v>
      </c>
      <c r="AV27" s="2">
        <f>IF(AQ27="",INDEX(BW$4:BW$7,MATCH($O27,$BU$4:$BU$7,0)),AQ27)</f>
        <v>0.12465373961218837</v>
      </c>
      <c r="AW27" s="2">
        <f t="shared" si="0"/>
        <v>0.74792243767313027</v>
      </c>
      <c r="AX27" s="2">
        <f t="shared" si="1"/>
        <v>0</v>
      </c>
      <c r="AY27" s="2">
        <f t="shared" si="2"/>
        <v>0</v>
      </c>
      <c r="AZ27" s="2">
        <f>AU27*0.5+AK27*0.5</f>
        <v>0.39575460168115384</v>
      </c>
      <c r="BA27" s="2">
        <f>AV27*0.5+AJ27*0.5</f>
        <v>0.17355531808195626</v>
      </c>
      <c r="BB27" s="2">
        <f t="shared" si="3"/>
        <v>0.12</v>
      </c>
      <c r="BC27">
        <f>IF(I27="expected",1,0)</f>
        <v>0</v>
      </c>
      <c r="BD27" s="78">
        <f>IF(BC27=1,AZ27/SUMIFS(AZ$3:AZ$623,$BC$3:$BC$623,1,$G$3:$G$623,$G27),0)</f>
        <v>0</v>
      </c>
      <c r="BE27" s="78">
        <f>IF(BC27=1,BA27/SUMIFS(BA$3:BA$623,$BC$3:$BC$623,1,$G$3:$G$623,$G27),0)</f>
        <v>0</v>
      </c>
      <c r="BF27" s="78">
        <f t="shared" si="4"/>
        <v>0</v>
      </c>
      <c r="BG27" s="2">
        <f t="shared" si="5"/>
        <v>0.12</v>
      </c>
      <c r="BH27" s="2">
        <f t="shared" si="6"/>
        <v>0</v>
      </c>
      <c r="BI27" s="2">
        <f t="shared" si="7"/>
        <v>0</v>
      </c>
      <c r="BJ27" s="2">
        <f t="shared" si="8"/>
        <v>0</v>
      </c>
      <c r="BK27" s="2">
        <f t="shared" si="9"/>
        <v>0</v>
      </c>
      <c r="BL27" s="2">
        <f t="shared" si="10"/>
        <v>0.12</v>
      </c>
      <c r="BM27" s="2">
        <f t="shared" si="11"/>
        <v>0</v>
      </c>
      <c r="BN27" s="2">
        <f>BI27/SUMIFS(BI$3:BI$623,$BC$3:$BC$623,1,$G$3:$G$623,$G27)</f>
        <v>0</v>
      </c>
      <c r="BO27" s="2">
        <f>BJ27/SUMIFS(BJ$3:BJ$623,$BC$3:$BC$623,1,$G$3:$G$623,$G27)</f>
        <v>0</v>
      </c>
      <c r="BP27" s="2">
        <f>BK27/SUMIFS(BK$3:BK$623,$BC$3:$BC$623,1,$G$3:$G$623,$G27)</f>
        <v>0</v>
      </c>
      <c r="BQ27" s="2">
        <f>BL27</f>
        <v>0.12</v>
      </c>
      <c r="BR27" s="2">
        <f>BM27</f>
        <v>0</v>
      </c>
    </row>
    <row r="28" spans="1:70" hidden="1">
      <c r="A28" s="74">
        <v>0</v>
      </c>
      <c r="B28" s="73">
        <v>204574</v>
      </c>
      <c r="C28" s="73" t="s">
        <v>1091</v>
      </c>
      <c r="D28" s="73" t="s">
        <v>1092</v>
      </c>
      <c r="E28" s="73" t="s">
        <v>1093</v>
      </c>
      <c r="F28" s="73">
        <v>18694</v>
      </c>
      <c r="G28" s="73" t="s">
        <v>876</v>
      </c>
      <c r="H28" s="73" t="s">
        <v>909</v>
      </c>
      <c r="I28" s="73" t="s">
        <v>981</v>
      </c>
      <c r="J28" s="73">
        <v>0</v>
      </c>
      <c r="K28" s="73">
        <v>8.5</v>
      </c>
      <c r="L28" s="73">
        <v>0</v>
      </c>
      <c r="M28" s="73">
        <v>0</v>
      </c>
      <c r="N28" s="73">
        <v>0</v>
      </c>
      <c r="O28" s="73" t="s">
        <v>994</v>
      </c>
      <c r="P28" s="73" t="s">
        <v>1094</v>
      </c>
      <c r="Q28" s="73" t="s">
        <v>1094</v>
      </c>
      <c r="R28" s="73">
        <v>20</v>
      </c>
      <c r="S28" s="73">
        <v>12</v>
      </c>
      <c r="T28" s="73">
        <v>0</v>
      </c>
      <c r="U28" s="73">
        <v>6</v>
      </c>
      <c r="V28" s="73">
        <v>2932</v>
      </c>
      <c r="W28" s="73">
        <v>53</v>
      </c>
      <c r="X28" s="73">
        <v>4</v>
      </c>
      <c r="Y28" s="73">
        <v>0</v>
      </c>
      <c r="Z28" s="73" t="s">
        <v>1095</v>
      </c>
      <c r="AA28" s="73" t="s">
        <v>693</v>
      </c>
      <c r="AB28" s="73" t="str">
        <f>IF(AA28&lt;&gt;"",INDEX(Lookup!$N$2:$N$5,MATCH(Players!AA28,Lookup!$P$2:$P$5,0)),INDEX(Lookup!$N$2:$N$5,MATCH(Players!O28,Lookup!$O$2:$O$5,0)))</f>
        <v>Striker</v>
      </c>
      <c r="AC28" s="73">
        <v>7500000</v>
      </c>
      <c r="AD28" s="73" t="s">
        <v>1096</v>
      </c>
      <c r="AE28" s="73" t="str">
        <f>INDEX('Translate table'!$H$2:$H$622,MATCH(Players!P28,'Translate table'!$G$2:$G$622,0))</f>
        <v>Memphis Depay</v>
      </c>
      <c r="AF28" s="73">
        <f>IFERROR(INDEX('Euro Qual stats'!$A$1:$L$2071,MATCH(Players!$AE28,'Euro Qual stats'!$A$1:$A$2071,0),MATCH(Players!AF$2,'Euro Qual stats'!$A$1:$L$1,0)),0)</f>
        <v>6</v>
      </c>
      <c r="AG28" s="73">
        <f>IFERROR(INDEX('Euro Qual stats'!$A$1:$L$2071,MATCH(Players!$AE28,'Euro Qual stats'!$A$1:$A$2071,0),MATCH(Players!AG$2,'Euro Qual stats'!$A$1:$L$1,0)),0)</f>
        <v>1.27</v>
      </c>
      <c r="AH28" s="73">
        <f>IFERROR(INDEX('Euro Qual stats'!$A$1:$L$2071,MATCH(Players!$AE28,'Euro Qual stats'!$A$1:$A$2071,0),MATCH(Players!AH$2,'Euro Qual stats'!$A$1:$L$1,0)),0)</f>
        <v>1.0900000000000001</v>
      </c>
      <c r="AI28" s="73">
        <f>IFERROR(INDEX('Euro Qual stats'!$A$1:$L$2071,MATCH(Players!$AE28,'Euro Qual stats'!$A$1:$A$2071,0),MATCH(Players!AI$2,'Euro Qual stats'!$A$1:$L$1,0)),0)</f>
        <v>0.36</v>
      </c>
      <c r="AJ28" s="93">
        <f>(12-AF28)/12*INDEX(BV$9:BV$12,MATCH($AB28,$BU$9:$BU$12,0))+AF28/12*AG28</f>
        <v>0.73745689655172419</v>
      </c>
      <c r="AK28" s="93">
        <f>(12-AG28)/12*INDEX(BW$9:BW$12,MATCH($AB28,$BU$9:$BU$12,0))+AG28/12*AH28</f>
        <v>0.59273541666666651</v>
      </c>
      <c r="AL28" s="93">
        <f>(12-AH28)/12*INDEX(BX$9:BX$12,MATCH($AB28,$BU$9:$BU$12,0))+AH28/12*AI28</f>
        <v>0.18255574712643682</v>
      </c>
      <c r="AM28" s="93">
        <f>IF($BC28=1,AJ28/SUMIFS(AJ$3:AJ$623,$BC$3:$BC$623,1,$G$3:$G$623,$G28),0)</f>
        <v>0.41270162404542482</v>
      </c>
      <c r="AN28" s="93">
        <f>IF($BC28=1,AK28/SUMIFS(AK$3:AK$623,$BC$3:$BC$623,1,$G$3:$G$623,$G28),0)</f>
        <v>0.21435485682400018</v>
      </c>
      <c r="AO28" s="93">
        <f>IF($BC28=1,AL28/SUMIFS(AL$3:AL$623,$BC$3:$BC$623,1,$G$3:$G$623,$G28),0)</f>
        <v>9.2663766875203057E-2</v>
      </c>
      <c r="AP28" s="2">
        <f>IFERROR(R28/$V28*90,"")</f>
        <v>0.61391541609822653</v>
      </c>
      <c r="AQ28" s="2">
        <f>IFERROR(S28/$V28*90,"")</f>
        <v>0.36834924965893584</v>
      </c>
      <c r="AR28" s="2">
        <f>IFERROR(W28/$V28*90,"")</f>
        <v>1.6268758526603002</v>
      </c>
      <c r="AS28" s="2">
        <f>IFERROR(X28/$V28*90,"")</f>
        <v>0.12278308321964529</v>
      </c>
      <c r="AT28" s="2">
        <f>IFERROR(Y28/$V28*90,"")</f>
        <v>0</v>
      </c>
      <c r="AU28" s="2">
        <f>IF(AP28="",INDEX(BV$4:BV$7,MATCH(O28,$BU$4:$BU$7,0)),AP28)</f>
        <v>0.61391541609822653</v>
      </c>
      <c r="AV28" s="2">
        <f>IF(AQ28="",INDEX(BW$4:BW$7,MATCH($O28,$BU$4:$BU$7,0)),AQ28)</f>
        <v>0.36834924965893584</v>
      </c>
      <c r="AW28" s="2">
        <f t="shared" si="0"/>
        <v>1.6268758526603002</v>
      </c>
      <c r="AX28" s="2">
        <f t="shared" si="1"/>
        <v>0.12278308321964529</v>
      </c>
      <c r="AY28" s="2">
        <f t="shared" si="2"/>
        <v>0</v>
      </c>
      <c r="AZ28" s="2">
        <f>AU28*0.5+AK28*0.5</f>
        <v>0.60332541638244652</v>
      </c>
      <c r="BA28" s="2">
        <f>AV28*0.5+AJ28*0.5</f>
        <v>0.55290307310533005</v>
      </c>
      <c r="BB28" s="2">
        <f t="shared" si="3"/>
        <v>0.24139154160982262</v>
      </c>
      <c r="BC28">
        <f>IF(I28="expected",1,0)</f>
        <v>1</v>
      </c>
      <c r="BD28" s="78">
        <f>IF(BC28=1,AZ28/SUMIFS(AZ$3:AZ$623,$BC$3:$BC$623,1,$G$3:$G$623,$G28),0)</f>
        <v>0.30504863787904218</v>
      </c>
      <c r="BE28" s="78">
        <f>IF(BC28=1,BA28/SUMIFS(BA$3:BA$623,$BC$3:$BC$623,1,$G$3:$G$623,$G28),0)</f>
        <v>0.43153128484361097</v>
      </c>
      <c r="BF28" s="78">
        <f t="shared" si="4"/>
        <v>0.38711499719841896</v>
      </c>
      <c r="BG28" s="2">
        <f t="shared" si="5"/>
        <v>0.24139154160982262</v>
      </c>
      <c r="BH28" s="2">
        <f t="shared" si="6"/>
        <v>0</v>
      </c>
      <c r="BI28" s="2">
        <f t="shared" si="7"/>
        <v>0.30504863787904218</v>
      </c>
      <c r="BJ28" s="2">
        <f t="shared" si="8"/>
        <v>0.3</v>
      </c>
      <c r="BK28" s="2">
        <f t="shared" si="9"/>
        <v>0.3</v>
      </c>
      <c r="BL28" s="2">
        <f t="shared" si="10"/>
        <v>0.24139154160982262</v>
      </c>
      <c r="BM28" s="2">
        <f t="shared" si="11"/>
        <v>0</v>
      </c>
      <c r="BN28" s="2">
        <f>BI28/SUMIFS(BI$3:BI$623,$BC$3:$BC$623,1,$G$3:$G$623,$G28)</f>
        <v>0.30504863787904224</v>
      </c>
      <c r="BO28" s="2">
        <f>BJ28/SUMIFS(BJ$3:BJ$623,$BC$3:$BC$623,1,$G$3:$G$623,$G28)</f>
        <v>0.34543558652654249</v>
      </c>
      <c r="BP28" s="2">
        <f>BK28/SUMIFS(BK$3:BK$623,$BC$3:$BC$623,1,$G$3:$G$623,$G28)</f>
        <v>0.32862846807573864</v>
      </c>
      <c r="BQ28" s="2">
        <f>BL28</f>
        <v>0.24139154160982262</v>
      </c>
      <c r="BR28" s="2">
        <f>BM28</f>
        <v>0</v>
      </c>
    </row>
    <row r="29" spans="1:70" hidden="1">
      <c r="A29" s="74">
        <v>0</v>
      </c>
      <c r="B29" s="73">
        <v>204657</v>
      </c>
      <c r="C29" s="73" t="s">
        <v>1097</v>
      </c>
      <c r="D29" s="73" t="s">
        <v>1098</v>
      </c>
      <c r="E29" s="73" t="s">
        <v>1099</v>
      </c>
      <c r="F29" s="73">
        <v>18660</v>
      </c>
      <c r="G29" s="73" t="s">
        <v>892</v>
      </c>
      <c r="H29" s="73" t="s">
        <v>915</v>
      </c>
      <c r="I29" s="73" t="s">
        <v>981</v>
      </c>
      <c r="J29" s="73">
        <v>0</v>
      </c>
      <c r="K29" s="73">
        <v>8.5</v>
      </c>
      <c r="L29" s="73">
        <v>0</v>
      </c>
      <c r="M29" s="73">
        <v>0</v>
      </c>
      <c r="N29" s="73">
        <v>0</v>
      </c>
      <c r="O29" s="73" t="s">
        <v>994</v>
      </c>
      <c r="P29" s="73" t="s">
        <v>1100</v>
      </c>
      <c r="Q29" s="73" t="s">
        <v>1101</v>
      </c>
      <c r="R29" s="73">
        <v>6</v>
      </c>
      <c r="S29" s="73">
        <v>9</v>
      </c>
      <c r="T29" s="73">
        <v>0</v>
      </c>
      <c r="U29" s="73">
        <v>0</v>
      </c>
      <c r="V29" s="73">
        <v>1802</v>
      </c>
      <c r="W29" s="73">
        <v>21</v>
      </c>
      <c r="X29" s="73">
        <v>2</v>
      </c>
      <c r="Y29" s="73">
        <v>0</v>
      </c>
      <c r="Z29" s="73" t="s">
        <v>1046</v>
      </c>
      <c r="AA29" s="73" t="s">
        <v>693</v>
      </c>
      <c r="AB29" s="73" t="str">
        <f>IF(AA29&lt;&gt;"",INDEX(Lookup!$N$2:$N$5,MATCH(Players!AA29,Lookup!$P$2:$P$5,0)),INDEX(Lookup!$N$2:$N$5,MATCH(Players!O29,Lookup!$O$2:$O$5,0)))</f>
        <v>Striker</v>
      </c>
      <c r="AC29" s="73">
        <v>7500000</v>
      </c>
      <c r="AD29" s="73" t="s">
        <v>801</v>
      </c>
      <c r="AE29" s="73" t="str">
        <f>INDEX('Translate table'!$H$2:$H$622,MATCH(Players!P29,'Translate table'!$G$2:$G$622,0))</f>
        <v>Leroy SanÃ©</v>
      </c>
      <c r="AF29" s="73">
        <f>IFERROR(INDEX('Euro Qual stats'!$A$1:$L$2071,MATCH(Players!$AE29,'Euro Qual stats'!$A$1:$A$2071,0),MATCH(Players!AF$2,'Euro Qual stats'!$A$1:$L$1,0)),0)</f>
        <v>3</v>
      </c>
      <c r="AG29" s="73">
        <f>IFERROR(INDEX('Euro Qual stats'!$A$1:$L$2071,MATCH(Players!$AE29,'Euro Qual stats'!$A$1:$A$2071,0),MATCH(Players!AG$2,'Euro Qual stats'!$A$1:$L$1,0)),0)</f>
        <v>0.33</v>
      </c>
      <c r="AH29" s="73">
        <f>IFERROR(INDEX('Euro Qual stats'!$A$1:$L$2071,MATCH(Players!$AE29,'Euro Qual stats'!$A$1:$A$2071,0),MATCH(Players!AH$2,'Euro Qual stats'!$A$1:$L$1,0)),0)</f>
        <v>1</v>
      </c>
      <c r="AI29" s="73">
        <f>IFERROR(INDEX('Euro Qual stats'!$A$1:$L$2071,MATCH(Players!$AE29,'Euro Qual stats'!$A$1:$A$2071,0),MATCH(Players!AI$2,'Euro Qual stats'!$A$1:$L$1,0)),0)</f>
        <v>0</v>
      </c>
      <c r="AJ29" s="93">
        <f>(12-AF29)/12*INDEX(BV$9:BV$12,MATCH($AB29,$BU$9:$BU$12,0))+AF29/12*AG29</f>
        <v>0.23618534482758624</v>
      </c>
      <c r="AK29" s="93">
        <f>(12-AG29)/12*INDEX(BW$9:BW$12,MATCH($AB29,$BU$9:$BU$12,0))+AG29/12*AH29</f>
        <v>0.5466976293103446</v>
      </c>
      <c r="AL29" s="93">
        <f>(12-AH29)/12*INDEX(BX$9:BX$12,MATCH($AB29,$BU$9:$BU$12,0))+AH29/12*AI29</f>
        <v>0.15109195402298853</v>
      </c>
      <c r="AM29" s="93">
        <f>IF($BC29=1,AJ29/SUMIFS(AJ$3:AJ$623,$BC$3:$BC$623,1,$G$3:$G$623,$G29),0)</f>
        <v>0.12555129950517246</v>
      </c>
      <c r="AN29" s="93">
        <f>IF($BC29=1,AK29/SUMIFS(AK$3:AK$623,$BC$3:$BC$623,1,$G$3:$G$623,$G29),0)</f>
        <v>0.2304441371407433</v>
      </c>
      <c r="AO29" s="93">
        <f>IF($BC29=1,AL29/SUMIFS(AL$3:AL$623,$BC$3:$BC$623,1,$G$3:$G$623,$G29),0)</f>
        <v>7.4267270242809769E-2</v>
      </c>
      <c r="AP29" s="2">
        <f>IFERROR(R29/$V29*90,"")</f>
        <v>0.29966703662597111</v>
      </c>
      <c r="AQ29" s="2">
        <f>IFERROR(S29/$V29*90,"")</f>
        <v>0.44950055493895674</v>
      </c>
      <c r="AR29" s="2">
        <f>IFERROR(W29/$V29*90,"")</f>
        <v>1.0488346281908989</v>
      </c>
      <c r="AS29" s="2">
        <f>IFERROR(X29/$V29*90,"")</f>
        <v>9.9889012208657049E-2</v>
      </c>
      <c r="AT29" s="2">
        <f>IFERROR(Y29/$V29*90,"")</f>
        <v>0</v>
      </c>
      <c r="AU29" s="2">
        <f>IF(AP29="",INDEX(BV$4:BV$7,MATCH(O29,$BU$4:$BU$7,0)),AP29)</f>
        <v>0.29966703662597111</v>
      </c>
      <c r="AV29" s="2">
        <f>IF(AQ29="",INDEX(BW$4:BW$7,MATCH($O29,$BU$4:$BU$7,0)),AQ29)</f>
        <v>0.44950055493895674</v>
      </c>
      <c r="AW29" s="2">
        <f t="shared" si="0"/>
        <v>1.0488346281908989</v>
      </c>
      <c r="AX29" s="2">
        <f t="shared" si="1"/>
        <v>9.9889012208657049E-2</v>
      </c>
      <c r="AY29" s="2">
        <f t="shared" si="2"/>
        <v>0</v>
      </c>
      <c r="AZ29" s="2">
        <f>AU29*0.5+AK29*0.5</f>
        <v>0.42318233296815788</v>
      </c>
      <c r="BA29" s="2">
        <f>AV29*0.5+AJ29*0.5</f>
        <v>0.34284294988327146</v>
      </c>
      <c r="BB29" s="2">
        <f t="shared" si="3"/>
        <v>4.9944506104328525E-2</v>
      </c>
      <c r="BC29">
        <f>IF(I29="expected",1,0)</f>
        <v>1</v>
      </c>
      <c r="BD29" s="78">
        <f>IF(BC29=1,AZ29/SUMIFS(AZ$3:AZ$623,$BC$3:$BC$623,1,$G$3:$G$623,$G29),0)</f>
        <v>0.17227164272334611</v>
      </c>
      <c r="BE29" s="78">
        <f>IF(BC29=1,BA29/SUMIFS(BA$3:BA$623,$BC$3:$BC$623,1,$G$3:$G$623,$G29),0)</f>
        <v>0.17850858224868549</v>
      </c>
      <c r="BF29" s="78">
        <f t="shared" si="4"/>
        <v>0.14605385892335518</v>
      </c>
      <c r="BG29" s="2">
        <f t="shared" si="5"/>
        <v>4.9944506104328525E-2</v>
      </c>
      <c r="BH29" s="2">
        <f t="shared" si="6"/>
        <v>0</v>
      </c>
      <c r="BI29" s="2">
        <f t="shared" si="7"/>
        <v>0.17227164272334611</v>
      </c>
      <c r="BJ29" s="2">
        <f t="shared" si="8"/>
        <v>0.17850858224868549</v>
      </c>
      <c r="BK29" s="2">
        <f t="shared" si="9"/>
        <v>0.14605385892335518</v>
      </c>
      <c r="BL29" s="2">
        <f t="shared" si="10"/>
        <v>4.9944506104328525E-2</v>
      </c>
      <c r="BM29" s="2">
        <f t="shared" si="11"/>
        <v>0</v>
      </c>
      <c r="BN29" s="2">
        <f>BI29/SUMIFS(BI$3:BI$623,$BC$3:$BC$623,1,$G$3:$G$623,$G29)</f>
        <v>0.17227164272334611</v>
      </c>
      <c r="BO29" s="2">
        <f>BJ29/SUMIFS(BJ$3:BJ$623,$BC$3:$BC$623,1,$G$3:$G$623,$G29)</f>
        <v>0.17850858224868549</v>
      </c>
      <c r="BP29" s="2">
        <f>BK29/SUMIFS(BK$3:BK$623,$BC$3:$BC$623,1,$G$3:$G$623,$G29)</f>
        <v>0.14605385892335518</v>
      </c>
      <c r="BQ29" s="2">
        <f>BL29</f>
        <v>4.9944506104328525E-2</v>
      </c>
      <c r="BR29" s="2">
        <f>BM29</f>
        <v>0</v>
      </c>
    </row>
    <row r="30" spans="1:70" hidden="1">
      <c r="A30" s="74">
        <v>0</v>
      </c>
      <c r="B30" s="73">
        <v>221523</v>
      </c>
      <c r="C30" s="73" t="s">
        <v>1102</v>
      </c>
      <c r="D30" s="73" t="s">
        <v>1103</v>
      </c>
      <c r="E30" s="73" t="s">
        <v>1104</v>
      </c>
      <c r="F30" s="73">
        <v>18660</v>
      </c>
      <c r="G30" s="73" t="s">
        <v>892</v>
      </c>
      <c r="H30" s="73" t="s">
        <v>915</v>
      </c>
      <c r="I30" s="73" t="s">
        <v>1012</v>
      </c>
      <c r="J30" s="73">
        <v>0</v>
      </c>
      <c r="K30" s="73">
        <v>8.5</v>
      </c>
      <c r="L30" s="73">
        <v>0</v>
      </c>
      <c r="M30" s="73">
        <v>0</v>
      </c>
      <c r="N30" s="73">
        <v>0</v>
      </c>
      <c r="O30" s="73" t="s">
        <v>982</v>
      </c>
      <c r="P30" s="73" t="s">
        <v>1105</v>
      </c>
      <c r="Q30" s="73" t="s">
        <v>1106</v>
      </c>
      <c r="R30" s="73">
        <v>11</v>
      </c>
      <c r="S30" s="73">
        <v>18</v>
      </c>
      <c r="T30" s="73">
        <v>0</v>
      </c>
      <c r="U30" s="73">
        <v>4</v>
      </c>
      <c r="V30" s="73">
        <v>2682</v>
      </c>
      <c r="W30" s="73">
        <v>18</v>
      </c>
      <c r="X30" s="73">
        <v>0</v>
      </c>
      <c r="Y30" s="73">
        <v>0</v>
      </c>
      <c r="Z30" s="73" t="s">
        <v>1046</v>
      </c>
      <c r="AA30" s="73" t="s">
        <v>693</v>
      </c>
      <c r="AB30" s="73" t="str">
        <f>IF(AA30&lt;&gt;"",INDEX(Lookup!$N$2:$N$5,MATCH(Players!AA30,Lookup!$P$2:$P$5,0)),INDEX(Lookup!$N$2:$N$5,MATCH(Players!O30,Lookup!$O$2:$O$5,0)))</f>
        <v>Striker</v>
      </c>
      <c r="AC30" s="73">
        <v>5500000</v>
      </c>
      <c r="AD30" s="73" t="s">
        <v>826</v>
      </c>
      <c r="AE30" s="73" t="str">
        <f>INDEX('Translate table'!$H$2:$H$622,MATCH(Players!P30,'Translate table'!$G$2:$G$622,0))</f>
        <v>Martin Miller</v>
      </c>
      <c r="AF30" s="73">
        <f>IFERROR(INDEX('Euro Qual stats'!$A$1:$L$2071,MATCH(Players!$AE30,'Euro Qual stats'!$A$1:$A$2071,0),MATCH(Players!AF$2,'Euro Qual stats'!$A$1:$L$1,0)),0)</f>
        <v>1</v>
      </c>
      <c r="AG30" s="73">
        <f>IFERROR(INDEX('Euro Qual stats'!$A$1:$L$2071,MATCH(Players!$AE30,'Euro Qual stats'!$A$1:$A$2071,0),MATCH(Players!AG$2,'Euro Qual stats'!$A$1:$L$1,0)),0)</f>
        <v>0</v>
      </c>
      <c r="AH30" s="73">
        <f>IFERROR(INDEX('Euro Qual stats'!$A$1:$L$2071,MATCH(Players!$AE30,'Euro Qual stats'!$A$1:$A$2071,0),MATCH(Players!AH$2,'Euro Qual stats'!$A$1:$L$1,0)),0)</f>
        <v>0</v>
      </c>
      <c r="AI30" s="73">
        <f>IFERROR(INDEX('Euro Qual stats'!$A$1:$L$2071,MATCH(Players!$AE30,'Euro Qual stats'!$A$1:$A$2071,0),MATCH(Players!AI$2,'Euro Qual stats'!$A$1:$L$1,0)),0)</f>
        <v>0</v>
      </c>
      <c r="AJ30" s="93">
        <f>(12-AF30)/12*INDEX(BV$9:BV$12,MATCH($AB30,$BU$9:$BU$12,0))+AF30/12*AG30</f>
        <v>0.18783764367816094</v>
      </c>
      <c r="AK30" s="93">
        <f>(12-AG30)/12*INDEX(BW$9:BW$12,MATCH($AB30,$BU$9:$BU$12,0))+AG30/12*AH30</f>
        <v>0.53387931034482738</v>
      </c>
      <c r="AL30" s="93">
        <f>(12-AH30)/12*INDEX(BX$9:BX$12,MATCH($AB30,$BU$9:$BU$12,0))+AH30/12*AI30</f>
        <v>0.16482758620689658</v>
      </c>
      <c r="AM30" s="93">
        <f>IF($BC30=1,AJ30/SUMIFS(AJ$3:AJ$623,$BC$3:$BC$623,1,$G$3:$G$623,$G30),0)</f>
        <v>0</v>
      </c>
      <c r="AN30" s="93">
        <f>IF($BC30=1,AK30/SUMIFS(AK$3:AK$623,$BC$3:$BC$623,1,$G$3:$G$623,$G30),0)</f>
        <v>0</v>
      </c>
      <c r="AO30" s="93">
        <f>IF($BC30=1,AL30/SUMIFS(AL$3:AL$623,$BC$3:$BC$623,1,$G$3:$G$623,$G30),0)</f>
        <v>0</v>
      </c>
      <c r="AP30" s="2">
        <f>IFERROR(R30/$V30*90,"")</f>
        <v>0.36912751677852346</v>
      </c>
      <c r="AQ30" s="2">
        <f>IFERROR(S30/$V30*90,"")</f>
        <v>0.60402684563758391</v>
      </c>
      <c r="AR30" s="2">
        <f>IFERROR(W30/$V30*90,"")</f>
        <v>0.60402684563758391</v>
      </c>
      <c r="AS30" s="2">
        <f>IFERROR(X30/$V30*90,"")</f>
        <v>0</v>
      </c>
      <c r="AT30" s="2">
        <f>IFERROR(Y30/$V30*90,"")</f>
        <v>0</v>
      </c>
      <c r="AU30" s="2">
        <f>IF(AP30="",INDEX(BV$4:BV$7,MATCH(O30,$BU$4:$BU$7,0)),AP30)</f>
        <v>0.36912751677852346</v>
      </c>
      <c r="AV30" s="2">
        <f>IF(AQ30="",INDEX(BW$4:BW$7,MATCH($O30,$BU$4:$BU$7,0)),AQ30)</f>
        <v>0.60402684563758391</v>
      </c>
      <c r="AW30" s="2">
        <f t="shared" si="0"/>
        <v>0.60402684563758391</v>
      </c>
      <c r="AX30" s="2">
        <f t="shared" si="1"/>
        <v>0</v>
      </c>
      <c r="AY30" s="2">
        <f t="shared" si="2"/>
        <v>0</v>
      </c>
      <c r="AZ30" s="2">
        <f>AU30*0.5+AK30*0.5</f>
        <v>0.45150341356167545</v>
      </c>
      <c r="BA30" s="2">
        <f>AV30*0.5+AJ30*0.5</f>
        <v>0.39593224465787241</v>
      </c>
      <c r="BB30" s="2">
        <f t="shared" si="3"/>
        <v>0</v>
      </c>
      <c r="BC30">
        <f>IF(I30="expected",1,0)</f>
        <v>0</v>
      </c>
      <c r="BD30" s="78">
        <f>IF(BC30=1,AZ30/SUMIFS(AZ$3:AZ$623,$BC$3:$BC$623,1,$G$3:$G$623,$G30),0)</f>
        <v>0</v>
      </c>
      <c r="BE30" s="78">
        <f>IF(BC30=1,BA30/SUMIFS(BA$3:BA$623,$BC$3:$BC$623,1,$G$3:$G$623,$G30),0)</f>
        <v>0</v>
      </c>
      <c r="BF30" s="78">
        <f t="shared" si="4"/>
        <v>0</v>
      </c>
      <c r="BG30" s="2">
        <f t="shared" si="5"/>
        <v>0</v>
      </c>
      <c r="BH30" s="2">
        <f t="shared" si="6"/>
        <v>0</v>
      </c>
      <c r="BI30" s="2">
        <f t="shared" si="7"/>
        <v>0</v>
      </c>
      <c r="BJ30" s="2">
        <f t="shared" si="8"/>
        <v>0</v>
      </c>
      <c r="BK30" s="2">
        <f t="shared" si="9"/>
        <v>0</v>
      </c>
      <c r="BL30" s="2">
        <f t="shared" si="10"/>
        <v>0</v>
      </c>
      <c r="BM30" s="2">
        <f t="shared" si="11"/>
        <v>0</v>
      </c>
      <c r="BN30" s="2">
        <f>BI30/SUMIFS(BI$3:BI$623,$BC$3:$BC$623,1,$G$3:$G$623,$G30)</f>
        <v>0</v>
      </c>
      <c r="BO30" s="2">
        <f>BJ30/SUMIFS(BJ$3:BJ$623,$BC$3:$BC$623,1,$G$3:$G$623,$G30)</f>
        <v>0</v>
      </c>
      <c r="BP30" s="2">
        <f>BK30/SUMIFS(BK$3:BK$623,$BC$3:$BC$623,1,$G$3:$G$623,$G30)</f>
        <v>0</v>
      </c>
      <c r="BQ30" s="2">
        <f>BL30</f>
        <v>0</v>
      </c>
      <c r="BR30" s="2">
        <f>BM30</f>
        <v>0</v>
      </c>
    </row>
    <row r="31" spans="1:70" hidden="1">
      <c r="A31" s="74">
        <v>0</v>
      </c>
      <c r="B31" s="73">
        <v>204615</v>
      </c>
      <c r="C31" s="73" t="s">
        <v>1107</v>
      </c>
      <c r="D31" s="73" t="s">
        <v>1108</v>
      </c>
      <c r="E31" s="73" t="s">
        <v>1109</v>
      </c>
      <c r="F31" s="73">
        <v>18645</v>
      </c>
      <c r="G31" s="73" t="s">
        <v>879</v>
      </c>
      <c r="H31" s="73" t="s">
        <v>933</v>
      </c>
      <c r="I31" s="73" t="s">
        <v>981</v>
      </c>
      <c r="J31" s="73">
        <v>0</v>
      </c>
      <c r="K31" s="73">
        <v>8.5</v>
      </c>
      <c r="L31" s="73">
        <v>0</v>
      </c>
      <c r="M31" s="73">
        <v>0</v>
      </c>
      <c r="N31" s="73">
        <v>0</v>
      </c>
      <c r="O31" s="73" t="s">
        <v>994</v>
      </c>
      <c r="P31" s="73" t="s">
        <v>180</v>
      </c>
      <c r="Q31" s="73" t="s">
        <v>180</v>
      </c>
      <c r="R31" s="73">
        <v>6</v>
      </c>
      <c r="S31" s="73">
        <v>5</v>
      </c>
      <c r="T31" s="73">
        <v>0</v>
      </c>
      <c r="U31" s="73">
        <v>9</v>
      </c>
      <c r="V31" s="73">
        <v>2892</v>
      </c>
      <c r="W31" s="73">
        <v>27</v>
      </c>
      <c r="X31" s="73">
        <v>2</v>
      </c>
      <c r="Y31" s="73">
        <v>0</v>
      </c>
      <c r="Z31" s="73" t="s">
        <v>879</v>
      </c>
      <c r="AA31" s="73" t="s">
        <v>691</v>
      </c>
      <c r="AB31" s="73" t="str">
        <f>IF(AA31&lt;&gt;"",INDEX(Lookup!$N$2:$N$5,MATCH(Players!AA31,Lookup!$P$2:$P$5,0)),INDEX(Lookup!$N$2:$N$5,MATCH(Players!O31,Lookup!$O$2:$O$5,0)))</f>
        <v>Midfield</v>
      </c>
      <c r="AC31" s="73">
        <v>5500000</v>
      </c>
      <c r="AD31" s="73" t="s">
        <v>1110</v>
      </c>
      <c r="AE31" s="73" t="str">
        <f>INDEX('Translate table'!$H$2:$H$622,MATCH(Players!P31,'Translate table'!$G$2:$G$622,0))</f>
        <v>Mason Mount</v>
      </c>
      <c r="AF31" s="73">
        <f>IFERROR(INDEX('Euro Qual stats'!$A$1:$L$2071,MATCH(Players!$AE31,'Euro Qual stats'!$A$1:$A$2071,0),MATCH(Players!AF$2,'Euro Qual stats'!$A$1:$L$1,0)),0)</f>
        <v>6</v>
      </c>
      <c r="AG31" s="73">
        <f>IFERROR(INDEX('Euro Qual stats'!$A$1:$L$2071,MATCH(Players!$AE31,'Euro Qual stats'!$A$1:$A$2071,0),MATCH(Players!AG$2,'Euro Qual stats'!$A$1:$L$1,0)),0)</f>
        <v>0</v>
      </c>
      <c r="AH31" s="73">
        <f>IFERROR(INDEX('Euro Qual stats'!$A$1:$L$2071,MATCH(Players!$AE31,'Euro Qual stats'!$A$1:$A$2071,0),MATCH(Players!AH$2,'Euro Qual stats'!$A$1:$L$1,0)),0)</f>
        <v>0.43</v>
      </c>
      <c r="AI31" s="73">
        <f>IFERROR(INDEX('Euro Qual stats'!$A$1:$L$2071,MATCH(Players!$AE31,'Euro Qual stats'!$A$1:$A$2071,0),MATCH(Players!AI$2,'Euro Qual stats'!$A$1:$L$1,0)),0)</f>
        <v>0</v>
      </c>
      <c r="AJ31" s="93">
        <f>(12-AF31)/12*INDEX(BV$9:BV$12,MATCH($AB31,$BU$9:$BU$12,0))+AF31/12*AG31</f>
        <v>8.4345549738219894E-2</v>
      </c>
      <c r="AK31" s="93">
        <f>(12-AG31)/12*INDEX(BW$9:BW$12,MATCH($AB31,$BU$9:$BU$12,0))+AG31/12*AH31</f>
        <v>0.22340314136125652</v>
      </c>
      <c r="AL31" s="93">
        <f>(12-AH31)/12*INDEX(BX$9:BX$12,MATCH($AB31,$BU$9:$BU$12,0))+AH31/12*AI31</f>
        <v>0.23084472076788834</v>
      </c>
      <c r="AM31" s="93">
        <f>IF($BC31=1,AJ31/SUMIFS(AJ$3:AJ$623,$BC$3:$BC$623,1,$G$3:$G$623,$G31),0)</f>
        <v>3.8421732869888231E-2</v>
      </c>
      <c r="AN31" s="93">
        <f>IF($BC31=1,AK31/SUMIFS(AK$3:AK$623,$BC$3:$BC$623,1,$G$3:$G$623,$G31),0)</f>
        <v>7.9852647410873959E-2</v>
      </c>
      <c r="AO31" s="93">
        <f>IF($BC31=1,AL31/SUMIFS(AL$3:AL$623,$BC$3:$BC$623,1,$G$3:$G$623,$G31),0)</f>
        <v>0.10286173723329689</v>
      </c>
      <c r="AP31" s="2">
        <f>IFERROR(R31/$V31*90,"")</f>
        <v>0.18672199170124482</v>
      </c>
      <c r="AQ31" s="2">
        <f>IFERROR(S31/$V31*90,"")</f>
        <v>0.15560165975103735</v>
      </c>
      <c r="AR31" s="2">
        <f>IFERROR(W31/$V31*90,"")</f>
        <v>0.84024896265560167</v>
      </c>
      <c r="AS31" s="2">
        <f>IFERROR(X31/$V31*90,"")</f>
        <v>6.2240663900414939E-2</v>
      </c>
      <c r="AT31" s="2">
        <f>IFERROR(Y31/$V31*90,"")</f>
        <v>0</v>
      </c>
      <c r="AU31" s="2">
        <f>IF(AP31="",INDEX(BV$4:BV$7,MATCH(O31,$BU$4:$BU$7,0)),AP31)</f>
        <v>0.18672199170124482</v>
      </c>
      <c r="AV31" s="2">
        <f>IF(AQ31="",INDEX(BW$4:BW$7,MATCH($O31,$BU$4:$BU$7,0)),AQ31)</f>
        <v>0.15560165975103735</v>
      </c>
      <c r="AW31" s="2">
        <f t="shared" si="0"/>
        <v>0.84024896265560167</v>
      </c>
      <c r="AX31" s="2">
        <f t="shared" si="1"/>
        <v>6.2240663900414939E-2</v>
      </c>
      <c r="AY31" s="2">
        <f t="shared" si="2"/>
        <v>0</v>
      </c>
      <c r="AZ31" s="2">
        <f>AU31*0.5+AK31*0.5</f>
        <v>0.20506256653125066</v>
      </c>
      <c r="BA31" s="2">
        <f>AV31*0.5+AJ31*0.5</f>
        <v>0.11997360474462862</v>
      </c>
      <c r="BB31" s="2">
        <f t="shared" si="3"/>
        <v>3.1120331950207469E-2</v>
      </c>
      <c r="BC31">
        <f>IF(I31="expected",1,0)</f>
        <v>1</v>
      </c>
      <c r="BD31" s="78">
        <f>IF(BC31=1,AZ31/SUMIFS(AZ$3:AZ$623,$BC$3:$BC$623,1,$G$3:$G$623,$G31),0)</f>
        <v>8.2021503949714678E-2</v>
      </c>
      <c r="BE31" s="78">
        <f>IF(BC31=1,BA31/SUMIFS(BA$3:BA$623,$BC$3:$BC$623,1,$G$3:$G$623,$G31),0)</f>
        <v>6.4662548483624127E-2</v>
      </c>
      <c r="BF31" s="78">
        <f t="shared" si="4"/>
        <v>0.13743685305301098</v>
      </c>
      <c r="BG31" s="2">
        <f t="shared" si="5"/>
        <v>3.1120331950207469E-2</v>
      </c>
      <c r="BH31" s="2">
        <f t="shared" si="6"/>
        <v>0</v>
      </c>
      <c r="BI31" s="2">
        <f t="shared" si="7"/>
        <v>8.2021503949714678E-2</v>
      </c>
      <c r="BJ31" s="2">
        <f t="shared" si="8"/>
        <v>6.4662548483624127E-2</v>
      </c>
      <c r="BK31" s="2">
        <f t="shared" si="9"/>
        <v>0.13743685305301098</v>
      </c>
      <c r="BL31" s="2">
        <f t="shared" si="10"/>
        <v>3.1120331950207469E-2</v>
      </c>
      <c r="BM31" s="2">
        <f t="shared" si="11"/>
        <v>0</v>
      </c>
      <c r="BN31" s="2">
        <f>BI31/SUMIFS(BI$3:BI$623,$BC$3:$BC$623,1,$G$3:$G$623,$G31)</f>
        <v>8.2021503949714691E-2</v>
      </c>
      <c r="BO31" s="2">
        <f>BJ31/SUMIFS(BJ$3:BJ$623,$BC$3:$BC$623,1,$G$3:$G$623,$G31)</f>
        <v>6.4662548483624127E-2</v>
      </c>
      <c r="BP31" s="2">
        <f>BK31/SUMIFS(BK$3:BK$623,$BC$3:$BC$623,1,$G$3:$G$623,$G31)</f>
        <v>0.13743685305301095</v>
      </c>
      <c r="BQ31" s="2">
        <f>BL31</f>
        <v>3.1120331950207469E-2</v>
      </c>
      <c r="BR31" s="2">
        <f>BM31</f>
        <v>0</v>
      </c>
    </row>
    <row r="32" spans="1:70" hidden="1">
      <c r="A32" s="74">
        <v>0</v>
      </c>
      <c r="B32" s="73">
        <v>204713</v>
      </c>
      <c r="C32" s="73" t="s">
        <v>1111</v>
      </c>
      <c r="D32" s="73" t="s">
        <v>1112</v>
      </c>
      <c r="E32" s="73" t="s">
        <v>1113</v>
      </c>
      <c r="F32" s="73">
        <v>18701</v>
      </c>
      <c r="G32" s="73" t="s">
        <v>893</v>
      </c>
      <c r="H32" s="73" t="s">
        <v>947</v>
      </c>
      <c r="I32" s="73" t="s">
        <v>1012</v>
      </c>
      <c r="J32" s="73">
        <v>0</v>
      </c>
      <c r="K32" s="73">
        <v>8.5</v>
      </c>
      <c r="L32" s="73">
        <v>0</v>
      </c>
      <c r="M32" s="73">
        <v>0</v>
      </c>
      <c r="N32" s="73">
        <v>0</v>
      </c>
      <c r="O32" s="73" t="s">
        <v>982</v>
      </c>
      <c r="P32" s="73" t="s">
        <v>1114</v>
      </c>
      <c r="Q32" s="73" t="s">
        <v>1115</v>
      </c>
      <c r="R32" s="73">
        <v>7</v>
      </c>
      <c r="S32" s="73">
        <v>5</v>
      </c>
      <c r="T32" s="73">
        <v>0</v>
      </c>
      <c r="U32" s="73">
        <v>2</v>
      </c>
      <c r="V32" s="73">
        <v>1570</v>
      </c>
      <c r="W32" s="73">
        <v>16</v>
      </c>
      <c r="X32" s="73">
        <v>6</v>
      </c>
      <c r="Y32" s="73">
        <v>0</v>
      </c>
      <c r="Z32" s="73" t="s">
        <v>893</v>
      </c>
      <c r="AA32" s="73" t="s">
        <v>693</v>
      </c>
      <c r="AB32" s="73" t="str">
        <f>IF(AA32&lt;&gt;"",INDEX(Lookup!$N$2:$N$5,MATCH(Players!AA32,Lookup!$P$2:$P$5,0)),INDEX(Lookup!$N$2:$N$5,MATCH(Players!O32,Lookup!$O$2:$O$5,0)))</f>
        <v>Striker</v>
      </c>
      <c r="AC32" s="73">
        <v>5500000</v>
      </c>
      <c r="AD32" s="73" t="s">
        <v>810</v>
      </c>
      <c r="AE32" s="73" t="str">
        <f>INDEX('Translate table'!$H$2:$H$622,MATCH(Players!P32,'Translate table'!$G$2:$G$622,0))</f>
        <v>JoÃ£o FÃ©lix Sequeira</v>
      </c>
      <c r="AF32" s="73">
        <f>IFERROR(INDEX('Euro Qual stats'!$A$1:$L$2071,MATCH(Players!$AE32,'Euro Qual stats'!$A$1:$A$2071,0),MATCH(Players!AF$2,'Euro Qual stats'!$A$1:$L$1,0)),0)</f>
        <v>4</v>
      </c>
      <c r="AG32" s="73">
        <f>IFERROR(INDEX('Euro Qual stats'!$A$1:$L$2071,MATCH(Players!$AE32,'Euro Qual stats'!$A$1:$A$2071,0),MATCH(Players!AG$2,'Euro Qual stats'!$A$1:$L$1,0)),0)</f>
        <v>0</v>
      </c>
      <c r="AH32" s="73">
        <f>IFERROR(INDEX('Euro Qual stats'!$A$1:$L$2071,MATCH(Players!$AE32,'Euro Qual stats'!$A$1:$A$2071,0),MATCH(Players!AH$2,'Euro Qual stats'!$A$1:$L$1,0)),0)</f>
        <v>0</v>
      </c>
      <c r="AI32" s="73">
        <f>IFERROR(INDEX('Euro Qual stats'!$A$1:$L$2071,MATCH(Players!$AE32,'Euro Qual stats'!$A$1:$A$2071,0),MATCH(Players!AI$2,'Euro Qual stats'!$A$1:$L$1,0)),0)</f>
        <v>0</v>
      </c>
      <c r="AJ32" s="93">
        <f>(12-AF32)/12*INDEX(BV$9:BV$12,MATCH($AB32,$BU$9:$BU$12,0))+AF32/12*AG32</f>
        <v>0.13660919540229888</v>
      </c>
      <c r="AK32" s="93">
        <f>(12-AG32)/12*INDEX(BW$9:BW$12,MATCH($AB32,$BU$9:$BU$12,0))+AG32/12*AH32</f>
        <v>0.53387931034482738</v>
      </c>
      <c r="AL32" s="93">
        <f>(12-AH32)/12*INDEX(BX$9:BX$12,MATCH($AB32,$BU$9:$BU$12,0))+AH32/12*AI32</f>
        <v>0.16482758620689658</v>
      </c>
      <c r="AM32" s="93">
        <f>IF($BC32=1,AJ32/SUMIFS(AJ$3:AJ$623,$BC$3:$BC$623,1,$G$3:$G$623,$G32),0)</f>
        <v>0</v>
      </c>
      <c r="AN32" s="93">
        <f>IF($BC32=1,AK32/SUMIFS(AK$3:AK$623,$BC$3:$BC$623,1,$G$3:$G$623,$G32),0)</f>
        <v>0</v>
      </c>
      <c r="AO32" s="93">
        <f>IF($BC32=1,AL32/SUMIFS(AL$3:AL$623,$BC$3:$BC$623,1,$G$3:$G$623,$G32),0)</f>
        <v>0</v>
      </c>
      <c r="AP32" s="2">
        <f>IFERROR(R32/$V32*90,"")</f>
        <v>0.40127388535031844</v>
      </c>
      <c r="AQ32" s="2">
        <f>IFERROR(S32/$V32*90,"")</f>
        <v>0.28662420382165604</v>
      </c>
      <c r="AR32" s="2">
        <f>IFERROR(W32/$V32*90,"")</f>
        <v>0.91719745222929927</v>
      </c>
      <c r="AS32" s="2">
        <f>IFERROR(X32/$V32*90,"")</f>
        <v>0.34394904458598724</v>
      </c>
      <c r="AT32" s="2">
        <f>IFERROR(Y32/$V32*90,"")</f>
        <v>0</v>
      </c>
      <c r="AU32" s="2">
        <f>IF(AP32="",INDEX(BV$4:BV$7,MATCH(O32,$BU$4:$BU$7,0)),AP32)</f>
        <v>0.40127388535031844</v>
      </c>
      <c r="AV32" s="2">
        <f>IF(AQ32="",INDEX(BW$4:BW$7,MATCH($O32,$BU$4:$BU$7,0)),AQ32)</f>
        <v>0.28662420382165604</v>
      </c>
      <c r="AW32" s="2">
        <f t="shared" si="0"/>
        <v>0.91719745222929927</v>
      </c>
      <c r="AX32" s="2">
        <f t="shared" si="1"/>
        <v>0.34394904458598724</v>
      </c>
      <c r="AY32" s="2">
        <f t="shared" si="2"/>
        <v>0</v>
      </c>
      <c r="AZ32" s="2">
        <f>AU32*0.5+AK32*0.5</f>
        <v>0.46757659784757288</v>
      </c>
      <c r="BA32" s="2">
        <f>AV32*0.5+AJ32*0.5</f>
        <v>0.21161669961197746</v>
      </c>
      <c r="BB32" s="2">
        <f t="shared" si="3"/>
        <v>0.17197452229299362</v>
      </c>
      <c r="BC32">
        <f>IF(I32="expected",1,0)</f>
        <v>0</v>
      </c>
      <c r="BD32" s="78">
        <f>IF(BC32=1,AZ32/SUMIFS(AZ$3:AZ$623,$BC$3:$BC$623,1,$G$3:$G$623,$G32),0)</f>
        <v>0</v>
      </c>
      <c r="BE32" s="78">
        <f>IF(BC32=1,BA32/SUMIFS(BA$3:BA$623,$BC$3:$BC$623,1,$G$3:$G$623,$G32),0)</f>
        <v>0</v>
      </c>
      <c r="BF32" s="78">
        <f t="shared" si="4"/>
        <v>0</v>
      </c>
      <c r="BG32" s="2">
        <f t="shared" si="5"/>
        <v>0.17197452229299362</v>
      </c>
      <c r="BH32" s="2">
        <f t="shared" si="6"/>
        <v>0</v>
      </c>
      <c r="BI32" s="2">
        <f t="shared" si="7"/>
        <v>0</v>
      </c>
      <c r="BJ32" s="2">
        <f t="shared" si="8"/>
        <v>0</v>
      </c>
      <c r="BK32" s="2">
        <f t="shared" si="9"/>
        <v>0</v>
      </c>
      <c r="BL32" s="2">
        <f t="shared" si="10"/>
        <v>0.17197452229299362</v>
      </c>
      <c r="BM32" s="2">
        <f t="shared" si="11"/>
        <v>0</v>
      </c>
      <c r="BN32" s="2">
        <f>BI32/SUMIFS(BI$3:BI$623,$BC$3:$BC$623,1,$G$3:$G$623,$G32)</f>
        <v>0</v>
      </c>
      <c r="BO32" s="2">
        <f>BJ32/SUMIFS(BJ$3:BJ$623,$BC$3:$BC$623,1,$G$3:$G$623,$G32)</f>
        <v>0</v>
      </c>
      <c r="BP32" s="2">
        <f>BK32/SUMIFS(BK$3:BK$623,$BC$3:$BC$623,1,$G$3:$G$623,$G32)</f>
        <v>0</v>
      </c>
      <c r="BQ32" s="2">
        <f>BL32</f>
        <v>0.17197452229299362</v>
      </c>
      <c r="BR32" s="2">
        <f>BM32</f>
        <v>0</v>
      </c>
    </row>
    <row r="33" spans="1:70" hidden="1">
      <c r="A33" s="74">
        <v>0</v>
      </c>
      <c r="B33" s="73">
        <v>204640</v>
      </c>
      <c r="C33" s="73" t="s">
        <v>1116</v>
      </c>
      <c r="D33" s="73" t="s">
        <v>1117</v>
      </c>
      <c r="E33" s="73" t="s">
        <v>1118</v>
      </c>
      <c r="F33" s="73">
        <v>18710</v>
      </c>
      <c r="G33" s="73" t="s">
        <v>885</v>
      </c>
      <c r="H33" s="73" t="s">
        <v>943</v>
      </c>
      <c r="I33" s="73" t="s">
        <v>981</v>
      </c>
      <c r="J33" s="73">
        <v>0</v>
      </c>
      <c r="K33" s="73">
        <v>8.5</v>
      </c>
      <c r="L33" s="73">
        <v>0</v>
      </c>
      <c r="M33" s="73">
        <v>0</v>
      </c>
      <c r="N33" s="73">
        <v>0</v>
      </c>
      <c r="O33" s="73" t="s">
        <v>994</v>
      </c>
      <c r="P33" s="73" t="s">
        <v>1119</v>
      </c>
      <c r="Q33" s="73" t="s">
        <v>1119</v>
      </c>
      <c r="R33" s="73">
        <v>11</v>
      </c>
      <c r="S33" s="73">
        <v>8</v>
      </c>
      <c r="T33" s="73">
        <v>0</v>
      </c>
      <c r="U33" s="73">
        <v>1</v>
      </c>
      <c r="V33" s="73">
        <v>2431</v>
      </c>
      <c r="W33" s="73">
        <v>27</v>
      </c>
      <c r="X33" s="73">
        <v>1</v>
      </c>
      <c r="Y33" s="73">
        <v>0</v>
      </c>
      <c r="Z33" s="73" t="s">
        <v>1037</v>
      </c>
      <c r="AA33" s="73" t="s">
        <v>693</v>
      </c>
      <c r="AB33" s="73" t="str">
        <f>IF(AA33&lt;&gt;"",INDEX(Lookup!$N$2:$N$5,MATCH(Players!AA33,Lookup!$P$2:$P$5,0)),INDEX(Lookup!$N$2:$N$5,MATCH(Players!O33,Lookup!$O$2:$O$5,0)))</f>
        <v>Striker</v>
      </c>
      <c r="AC33" s="73">
        <v>3500000</v>
      </c>
      <c r="AD33" s="73" t="s">
        <v>794</v>
      </c>
      <c r="AE33" s="73" t="str">
        <f>INDEX('Translate table'!$H$2:$H$622,MATCH(Players!P33,'Translate table'!$G$2:$G$622,0))</f>
        <v>Mikel Oyarzabal</v>
      </c>
      <c r="AF33" s="73">
        <f>IFERROR(INDEX('Euro Qual stats'!$A$1:$L$2071,MATCH(Players!$AE33,'Euro Qual stats'!$A$1:$A$2071,0),MATCH(Players!AF$2,'Euro Qual stats'!$A$1:$L$1,0)),0)</f>
        <v>6</v>
      </c>
      <c r="AG33" s="73">
        <f>IFERROR(INDEX('Euro Qual stats'!$A$1:$L$2071,MATCH(Players!$AE33,'Euro Qual stats'!$A$1:$A$2071,0),MATCH(Players!AG$2,'Euro Qual stats'!$A$1:$L$1,0)),0)</f>
        <v>0.3</v>
      </c>
      <c r="AH33" s="73">
        <f>IFERROR(INDEX('Euro Qual stats'!$A$1:$L$2071,MATCH(Players!$AE33,'Euro Qual stats'!$A$1:$A$2071,0),MATCH(Players!AH$2,'Euro Qual stats'!$A$1:$L$1,0)),0)</f>
        <v>0.6</v>
      </c>
      <c r="AI33" s="73">
        <f>IFERROR(INDEX('Euro Qual stats'!$A$1:$L$2071,MATCH(Players!$AE33,'Euro Qual stats'!$A$1:$A$2071,0),MATCH(Players!AI$2,'Euro Qual stats'!$A$1:$L$1,0)),0)</f>
        <v>0</v>
      </c>
      <c r="AJ33" s="93">
        <f>(12-AF33)/12*INDEX(BV$9:BV$12,MATCH($AB33,$BU$9:$BU$12,0))+AF33/12*AG33</f>
        <v>0.25245689655172415</v>
      </c>
      <c r="AK33" s="93">
        <f>(12-AG33)/12*INDEX(BW$9:BW$12,MATCH($AB33,$BU$9:$BU$12,0))+AG33/12*AH33</f>
        <v>0.53553232758620672</v>
      </c>
      <c r="AL33" s="93">
        <f>(12-AH33)/12*INDEX(BX$9:BX$12,MATCH($AB33,$BU$9:$BU$12,0))+AH33/12*AI33</f>
        <v>0.15658620689655176</v>
      </c>
      <c r="AM33" s="93">
        <f>IF($BC33=1,AJ33/SUMIFS(AJ$3:AJ$623,$BC$3:$BC$623,1,$G$3:$G$623,$G33),0)</f>
        <v>0.13363321480844989</v>
      </c>
      <c r="AN33" s="93">
        <f>IF($BC33=1,AK33/SUMIFS(AK$3:AK$623,$BC$3:$BC$623,1,$G$3:$G$623,$G33),0)</f>
        <v>0.1686188156386032</v>
      </c>
      <c r="AO33" s="93">
        <f>IF($BC33=1,AL33/SUMIFS(AL$3:AL$623,$BC$3:$BC$623,1,$G$3:$G$623,$G33),0)</f>
        <v>8.6275384879885494E-2</v>
      </c>
      <c r="AP33" s="2">
        <f>IFERROR(R33/$V33*90,"")</f>
        <v>0.40723981900452494</v>
      </c>
      <c r="AQ33" s="2">
        <f>IFERROR(S33/$V33*90,"")</f>
        <v>0.29617441382147264</v>
      </c>
      <c r="AR33" s="2">
        <f>IFERROR(W33/$V33*90,"")</f>
        <v>0.99958864664747027</v>
      </c>
      <c r="AS33" s="2">
        <f>IFERROR(X33/$V33*90,"")</f>
        <v>3.702180172768408E-2</v>
      </c>
      <c r="AT33" s="2">
        <f>IFERROR(Y33/$V33*90,"")</f>
        <v>0</v>
      </c>
      <c r="AU33" s="2">
        <f>IF(AP33="",INDEX(BV$4:BV$7,MATCH(O33,$BU$4:$BU$7,0)),AP33)</f>
        <v>0.40723981900452494</v>
      </c>
      <c r="AV33" s="2">
        <f>IF(AQ33="",INDEX(BW$4:BW$7,MATCH($O33,$BU$4:$BU$7,0)),AQ33)</f>
        <v>0.29617441382147264</v>
      </c>
      <c r="AW33" s="2">
        <f t="shared" si="0"/>
        <v>0.99958864664747027</v>
      </c>
      <c r="AX33" s="2">
        <f t="shared" si="1"/>
        <v>3.702180172768408E-2</v>
      </c>
      <c r="AY33" s="2">
        <f t="shared" si="2"/>
        <v>0</v>
      </c>
      <c r="AZ33" s="2">
        <f>AU33*0.5+AK33*0.5</f>
        <v>0.47138607329536586</v>
      </c>
      <c r="BA33" s="2">
        <f>AV33*0.5+AJ33*0.5</f>
        <v>0.27431565518659839</v>
      </c>
      <c r="BB33" s="2">
        <f t="shared" si="3"/>
        <v>1.851090086384204E-2</v>
      </c>
      <c r="BC33">
        <f>IF(I33="expected",1,0)</f>
        <v>1</v>
      </c>
      <c r="BD33" s="78">
        <f>IF(BC33=1,AZ33/SUMIFS(AZ$3:AZ$623,$BC$3:$BC$623,1,$G$3:$G$623,$G33),0)</f>
        <v>0.16760274841543293</v>
      </c>
      <c r="BE33" s="78">
        <f>IF(BC33=1,BA33/SUMIFS(BA$3:BA$623,$BC$3:$BC$623,1,$G$3:$G$623,$G33),0)</f>
        <v>0.13675318188020488</v>
      </c>
      <c r="BF33" s="78">
        <f t="shared" si="4"/>
        <v>0.16304161536827103</v>
      </c>
      <c r="BG33" s="2">
        <f t="shared" si="5"/>
        <v>1.851090086384204E-2</v>
      </c>
      <c r="BH33" s="2">
        <f t="shared" si="6"/>
        <v>0</v>
      </c>
      <c r="BI33" s="2">
        <f t="shared" si="7"/>
        <v>0.16760274841543293</v>
      </c>
      <c r="BJ33" s="2">
        <f t="shared" si="8"/>
        <v>0.13675318188020488</v>
      </c>
      <c r="BK33" s="2">
        <f t="shared" si="9"/>
        <v>0.16304161536827103</v>
      </c>
      <c r="BL33" s="2">
        <f t="shared" si="10"/>
        <v>1.851090086384204E-2</v>
      </c>
      <c r="BM33" s="2">
        <f t="shared" si="11"/>
        <v>0</v>
      </c>
      <c r="BN33" s="2">
        <f>BI33/SUMIFS(BI$3:BI$623,$BC$3:$BC$623,1,$G$3:$G$623,$G33)</f>
        <v>0.16760274841543291</v>
      </c>
      <c r="BO33" s="2">
        <f>BJ33/SUMIFS(BJ$3:BJ$623,$BC$3:$BC$623,1,$G$3:$G$623,$G33)</f>
        <v>0.13675318188020488</v>
      </c>
      <c r="BP33" s="2">
        <f>BK33/SUMIFS(BK$3:BK$623,$BC$3:$BC$623,1,$G$3:$G$623,$G33)</f>
        <v>0.16304161536827105</v>
      </c>
      <c r="BQ33" s="2">
        <f>BL33</f>
        <v>1.851090086384204E-2</v>
      </c>
      <c r="BR33" s="2">
        <f>BM33</f>
        <v>0</v>
      </c>
    </row>
    <row r="34" spans="1:70" hidden="1">
      <c r="A34" s="74">
        <v>0</v>
      </c>
      <c r="B34" s="73">
        <v>204680</v>
      </c>
      <c r="C34" s="73" t="s">
        <v>1120</v>
      </c>
      <c r="D34" s="73" t="s">
        <v>1121</v>
      </c>
      <c r="E34" s="73" t="s">
        <v>1122</v>
      </c>
      <c r="F34" s="73">
        <v>18647</v>
      </c>
      <c r="G34" s="73" t="s">
        <v>891</v>
      </c>
      <c r="H34" s="73" t="s">
        <v>927</v>
      </c>
      <c r="I34" s="73" t="s">
        <v>981</v>
      </c>
      <c r="J34" s="73">
        <v>0</v>
      </c>
      <c r="K34" s="73">
        <v>8.5</v>
      </c>
      <c r="L34" s="73">
        <v>0</v>
      </c>
      <c r="M34" s="73">
        <v>0</v>
      </c>
      <c r="N34" s="73">
        <v>0</v>
      </c>
      <c r="O34" s="73" t="s">
        <v>994</v>
      </c>
      <c r="P34" s="73" t="s">
        <v>134</v>
      </c>
      <c r="Q34" s="73" t="s">
        <v>134</v>
      </c>
      <c r="R34" s="73">
        <v>3</v>
      </c>
      <c r="S34" s="73">
        <v>3</v>
      </c>
      <c r="T34" s="73">
        <v>0</v>
      </c>
      <c r="U34" s="73">
        <v>5</v>
      </c>
      <c r="V34" s="73">
        <v>1896</v>
      </c>
      <c r="W34" s="73">
        <v>11</v>
      </c>
      <c r="X34" s="73">
        <v>3</v>
      </c>
      <c r="Y34" s="73">
        <v>0</v>
      </c>
      <c r="Z34" s="73" t="s">
        <v>989</v>
      </c>
      <c r="AA34" s="73" t="s">
        <v>691</v>
      </c>
      <c r="AB34" s="73" t="str">
        <f>IF(AA34&lt;&gt;"",INDEX(Lookup!$N$2:$N$5,MATCH(Players!AA34,Lookup!$P$2:$P$5,0)),INDEX(Lookup!$N$2:$N$5,MATCH(Players!O34,Lookup!$O$2:$O$5,0)))</f>
        <v>Midfield</v>
      </c>
      <c r="AC34" s="73">
        <v>5000000</v>
      </c>
      <c r="AD34" s="73" t="s">
        <v>837</v>
      </c>
      <c r="AE34" s="73" t="str">
        <f>INDEX('Translate table'!$H$2:$H$622,MATCH(Players!P34,'Translate table'!$G$2:$G$622,0))</f>
        <v>Paul Pogba</v>
      </c>
      <c r="AF34" s="73">
        <f>IFERROR(INDEX('Euro Qual stats'!$A$1:$L$2071,MATCH(Players!$AE34,'Euro Qual stats'!$A$1:$A$2071,0),MATCH(Players!AF$2,'Euro Qual stats'!$A$1:$L$1,0)),0)</f>
        <v>4</v>
      </c>
      <c r="AG34" s="73">
        <f>IFERROR(INDEX('Euro Qual stats'!$A$1:$L$2071,MATCH(Players!$AE34,'Euro Qual stats'!$A$1:$A$2071,0),MATCH(Players!AG$2,'Euro Qual stats'!$A$1:$L$1,0)),0)</f>
        <v>0.25</v>
      </c>
      <c r="AH34" s="73">
        <f>IFERROR(INDEX('Euro Qual stats'!$A$1:$L$2071,MATCH(Players!$AE34,'Euro Qual stats'!$A$1:$A$2071,0),MATCH(Players!AH$2,'Euro Qual stats'!$A$1:$L$1,0)),0)</f>
        <v>0</v>
      </c>
      <c r="AI34" s="73">
        <f>IFERROR(INDEX('Euro Qual stats'!$A$1:$L$2071,MATCH(Players!$AE34,'Euro Qual stats'!$A$1:$A$2071,0),MATCH(Players!AI$2,'Euro Qual stats'!$A$1:$L$1,0)),0)</f>
        <v>0.25</v>
      </c>
      <c r="AJ34" s="93">
        <f>(12-AF34)/12*INDEX(BV$9:BV$12,MATCH($AB34,$BU$9:$BU$12,0))+AF34/12*AG34</f>
        <v>0.19579406631762653</v>
      </c>
      <c r="AK34" s="93">
        <f>(12-AG34)/12*INDEX(BW$9:BW$12,MATCH($AB34,$BU$9:$BU$12,0))+AG34/12*AH34</f>
        <v>0.21874890924956367</v>
      </c>
      <c r="AL34" s="93">
        <f>(12-AH34)/12*INDEX(BX$9:BX$12,MATCH($AB34,$BU$9:$BU$12,0))+AH34/12*AI34</f>
        <v>0.23942408376963353</v>
      </c>
      <c r="AM34" s="93">
        <f>IF($BC34=1,AJ34/SUMIFS(AJ$3:AJ$623,$BC$3:$BC$623,1,$G$3:$G$623,$G34),0)</f>
        <v>0.10107079688690938</v>
      </c>
      <c r="AN34" s="93">
        <f>IF($BC34=1,AK34/SUMIFS(AK$3:AK$623,$BC$3:$BC$623,1,$G$3:$G$623,$G34),0)</f>
        <v>7.3472258552127051E-2</v>
      </c>
      <c r="AO34" s="93">
        <f>IF($BC34=1,AL34/SUMIFS(AL$3:AL$623,$BC$3:$BC$623,1,$G$3:$G$623,$G34),0)</f>
        <v>0.12503895182033811</v>
      </c>
      <c r="AP34" s="2">
        <f>IFERROR(R34/$V34*90,"")</f>
        <v>0.14240506329113925</v>
      </c>
      <c r="AQ34" s="2">
        <f>IFERROR(S34/$V34*90,"")</f>
        <v>0.14240506329113925</v>
      </c>
      <c r="AR34" s="2">
        <f>IFERROR(W34/$V34*90,"")</f>
        <v>0.52215189873417722</v>
      </c>
      <c r="AS34" s="2">
        <f>IFERROR(X34/$V34*90,"")</f>
        <v>0.14240506329113925</v>
      </c>
      <c r="AT34" s="2">
        <f>IFERROR(Y34/$V34*90,"")</f>
        <v>0</v>
      </c>
      <c r="AU34" s="2">
        <f>IF(AP34="",INDEX(BV$4:BV$7,MATCH(O34,$BU$4:$BU$7,0)),AP34)</f>
        <v>0.14240506329113925</v>
      </c>
      <c r="AV34" s="2">
        <f>IF(AQ34="",INDEX(BW$4:BW$7,MATCH($O34,$BU$4:$BU$7,0)),AQ34)</f>
        <v>0.14240506329113925</v>
      </c>
      <c r="AW34" s="2">
        <f t="shared" si="0"/>
        <v>0.52215189873417722</v>
      </c>
      <c r="AX34" s="2">
        <f t="shared" si="1"/>
        <v>0.14240506329113925</v>
      </c>
      <c r="AY34" s="2">
        <f t="shared" si="2"/>
        <v>0</v>
      </c>
      <c r="AZ34" s="2">
        <f>AU34*0.5+AK34*0.5</f>
        <v>0.18057698627035146</v>
      </c>
      <c r="BA34" s="2">
        <f>AV34*0.5+AJ34*0.5</f>
        <v>0.16909956480438287</v>
      </c>
      <c r="BB34" s="2">
        <f t="shared" si="3"/>
        <v>0.19620253164556961</v>
      </c>
      <c r="BC34">
        <f>IF(I34="expected",1,0)</f>
        <v>1</v>
      </c>
      <c r="BD34" s="78">
        <f>IF(BC34=1,AZ34/SUMIFS(AZ$3:AZ$623,$BC$3:$BC$623,1,$G$3:$G$623,$G34),0)</f>
        <v>6.2548354704461517E-2</v>
      </c>
      <c r="BE34" s="78">
        <f>IF(BC34=1,BA34/SUMIFS(BA$3:BA$623,$BC$3:$BC$623,1,$G$3:$G$623,$G34),0)</f>
        <v>9.4902482665519011E-2</v>
      </c>
      <c r="BF34" s="78">
        <f t="shared" si="4"/>
        <v>7.1807511741863658E-2</v>
      </c>
      <c r="BG34" s="2">
        <f t="shared" si="5"/>
        <v>0.19620253164556961</v>
      </c>
      <c r="BH34" s="2">
        <f t="shared" si="6"/>
        <v>0</v>
      </c>
      <c r="BI34" s="2">
        <f t="shared" si="7"/>
        <v>6.2548354704461517E-2</v>
      </c>
      <c r="BJ34" s="2">
        <f t="shared" si="8"/>
        <v>9.4902482665519011E-2</v>
      </c>
      <c r="BK34" s="2">
        <f t="shared" si="9"/>
        <v>7.1807511741863658E-2</v>
      </c>
      <c r="BL34" s="2">
        <f t="shared" si="10"/>
        <v>0.19620253164556961</v>
      </c>
      <c r="BM34" s="2">
        <f t="shared" si="11"/>
        <v>0</v>
      </c>
      <c r="BN34" s="2">
        <f>BI34/SUMIFS(BI$3:BI$623,$BC$3:$BC$623,1,$G$3:$G$623,$G34)</f>
        <v>6.2548354704461517E-2</v>
      </c>
      <c r="BO34" s="2">
        <f>BJ34/SUMIFS(BJ$3:BJ$623,$BC$3:$BC$623,1,$G$3:$G$623,$G34)</f>
        <v>9.4902482665519011E-2</v>
      </c>
      <c r="BP34" s="2">
        <f>BK34/SUMIFS(BK$3:BK$623,$BC$3:$BC$623,1,$G$3:$G$623,$G34)</f>
        <v>7.1807511741863658E-2</v>
      </c>
      <c r="BQ34" s="2">
        <f>BL34</f>
        <v>0.19620253164556961</v>
      </c>
      <c r="BR34" s="2">
        <f>BM34</f>
        <v>0</v>
      </c>
    </row>
    <row r="35" spans="1:70" hidden="1">
      <c r="A35" s="74">
        <v>0</v>
      </c>
      <c r="B35" s="73">
        <v>213476</v>
      </c>
      <c r="C35" s="73" t="s">
        <v>1123</v>
      </c>
      <c r="D35" s="73" t="s">
        <v>1124</v>
      </c>
      <c r="E35" s="73" t="s">
        <v>1125</v>
      </c>
      <c r="F35" s="73">
        <v>18647</v>
      </c>
      <c r="G35" s="73" t="s">
        <v>891</v>
      </c>
      <c r="H35" s="73" t="s">
        <v>927</v>
      </c>
      <c r="I35" s="73" t="s">
        <v>1012</v>
      </c>
      <c r="J35" s="73">
        <v>0</v>
      </c>
      <c r="K35" s="73">
        <v>8.5</v>
      </c>
      <c r="L35" s="73">
        <v>0</v>
      </c>
      <c r="M35" s="73">
        <v>0</v>
      </c>
      <c r="N35" s="73">
        <v>0</v>
      </c>
      <c r="O35" s="73" t="s">
        <v>982</v>
      </c>
      <c r="P35" s="73" t="s">
        <v>1126</v>
      </c>
      <c r="Q35" s="73" t="s">
        <v>1127</v>
      </c>
      <c r="R35" s="73">
        <v>6</v>
      </c>
      <c r="S35" s="73">
        <v>3</v>
      </c>
      <c r="T35" s="73">
        <v>0</v>
      </c>
      <c r="U35" s="73">
        <v>3</v>
      </c>
      <c r="V35" s="73">
        <v>1779</v>
      </c>
      <c r="W35" s="73">
        <v>23</v>
      </c>
      <c r="X35" s="73">
        <v>2</v>
      </c>
      <c r="Y35" s="73">
        <v>0</v>
      </c>
      <c r="Z35" s="73" t="s">
        <v>989</v>
      </c>
      <c r="AA35" s="73" t="s">
        <v>693</v>
      </c>
      <c r="AB35" s="73" t="str">
        <f>IF(AA35&lt;&gt;"",INDEX(Lookup!$N$2:$N$5,MATCH(Players!AA35,Lookup!$P$2:$P$5,0)),INDEX(Lookup!$N$2:$N$5,MATCH(Players!O35,Lookup!$O$2:$O$5,0)))</f>
        <v>Striker</v>
      </c>
      <c r="AC35" s="73">
        <v>4000000</v>
      </c>
      <c r="AD35" s="73" t="s">
        <v>812</v>
      </c>
      <c r="AE35" s="73" t="str">
        <f>INDEX('Translate table'!$H$2:$H$622,MATCH(Players!P35,'Translate table'!$G$2:$G$622,0))</f>
        <v>Tanguy Ndombele</v>
      </c>
      <c r="AF35" s="73">
        <f>IFERROR(INDEX('Euro Qual stats'!$A$1:$L$2071,MATCH(Players!$AE35,'Euro Qual stats'!$A$1:$A$2071,0),MATCH(Players!AF$2,'Euro Qual stats'!$A$1:$L$1,0)),0)</f>
        <v>1</v>
      </c>
      <c r="AG35" s="73">
        <f>IFERROR(INDEX('Euro Qual stats'!$A$1:$L$2071,MATCH(Players!$AE35,'Euro Qual stats'!$A$1:$A$2071,0),MATCH(Players!AG$2,'Euro Qual stats'!$A$1:$L$1,0)),0)</f>
        <v>0</v>
      </c>
      <c r="AH35" s="73">
        <f>IFERROR(INDEX('Euro Qual stats'!$A$1:$L$2071,MATCH(Players!$AE35,'Euro Qual stats'!$A$1:$A$2071,0),MATCH(Players!AH$2,'Euro Qual stats'!$A$1:$L$1,0)),0)</f>
        <v>0</v>
      </c>
      <c r="AI35" s="73">
        <f>IFERROR(INDEX('Euro Qual stats'!$A$1:$L$2071,MATCH(Players!$AE35,'Euro Qual stats'!$A$1:$A$2071,0),MATCH(Players!AI$2,'Euro Qual stats'!$A$1:$L$1,0)),0)</f>
        <v>0</v>
      </c>
      <c r="AJ35" s="93">
        <f>(12-AF35)/12*INDEX(BV$9:BV$12,MATCH($AB35,$BU$9:$BU$12,0))+AF35/12*AG35</f>
        <v>0.18783764367816094</v>
      </c>
      <c r="AK35" s="93">
        <f>(12-AG35)/12*INDEX(BW$9:BW$12,MATCH($AB35,$BU$9:$BU$12,0))+AG35/12*AH35</f>
        <v>0.53387931034482738</v>
      </c>
      <c r="AL35" s="93">
        <f>(12-AH35)/12*INDEX(BX$9:BX$12,MATCH($AB35,$BU$9:$BU$12,0))+AH35/12*AI35</f>
        <v>0.16482758620689658</v>
      </c>
      <c r="AM35" s="93">
        <f>IF($BC35=1,AJ35/SUMIFS(AJ$3:AJ$623,$BC$3:$BC$623,1,$G$3:$G$623,$G35),0)</f>
        <v>0</v>
      </c>
      <c r="AN35" s="93">
        <f>IF($BC35=1,AK35/SUMIFS(AK$3:AK$623,$BC$3:$BC$623,1,$G$3:$G$623,$G35),0)</f>
        <v>0</v>
      </c>
      <c r="AO35" s="93">
        <f>IF($BC35=1,AL35/SUMIFS(AL$3:AL$623,$BC$3:$BC$623,1,$G$3:$G$623,$G35),0)</f>
        <v>0</v>
      </c>
      <c r="AP35" s="2">
        <f>IFERROR(R35/$V35*90,"")</f>
        <v>0.30354131534569984</v>
      </c>
      <c r="AQ35" s="2">
        <f>IFERROR(S35/$V35*90,"")</f>
        <v>0.15177065767284992</v>
      </c>
      <c r="AR35" s="2">
        <f>IFERROR(W35/$V35*90,"")</f>
        <v>1.163575042158516</v>
      </c>
      <c r="AS35" s="2">
        <f>IFERROR(X35/$V35*90,"")</f>
        <v>0.10118043844856661</v>
      </c>
      <c r="AT35" s="2">
        <f>IFERROR(Y35/$V35*90,"")</f>
        <v>0</v>
      </c>
      <c r="AU35" s="2">
        <f>IF(AP35="",INDEX(BV$4:BV$7,MATCH(O35,$BU$4:$BU$7,0)),AP35)</f>
        <v>0.30354131534569984</v>
      </c>
      <c r="AV35" s="2">
        <f>IF(AQ35="",INDEX(BW$4:BW$7,MATCH($O35,$BU$4:$BU$7,0)),AQ35)</f>
        <v>0.15177065767284992</v>
      </c>
      <c r="AW35" s="2">
        <f t="shared" si="0"/>
        <v>1.163575042158516</v>
      </c>
      <c r="AX35" s="2">
        <f t="shared" si="1"/>
        <v>0.10118043844856661</v>
      </c>
      <c r="AY35" s="2">
        <f t="shared" si="2"/>
        <v>0</v>
      </c>
      <c r="AZ35" s="2">
        <f>AU35*0.5+AK35*0.5</f>
        <v>0.41871031284526361</v>
      </c>
      <c r="BA35" s="2">
        <f>AV35*0.5+AJ35*0.5</f>
        <v>0.16980415067550542</v>
      </c>
      <c r="BB35" s="2">
        <f t="shared" si="3"/>
        <v>5.0590219224283306E-2</v>
      </c>
      <c r="BC35">
        <f>IF(I35="expected",1,0)</f>
        <v>0</v>
      </c>
      <c r="BD35" s="78">
        <f>IF(BC35=1,AZ35/SUMIFS(AZ$3:AZ$623,$BC$3:$BC$623,1,$G$3:$G$623,$G35),0)</f>
        <v>0</v>
      </c>
      <c r="BE35" s="78">
        <f>IF(BC35=1,BA35/SUMIFS(BA$3:BA$623,$BC$3:$BC$623,1,$G$3:$G$623,$G35),0)</f>
        <v>0</v>
      </c>
      <c r="BF35" s="78">
        <f t="shared" si="4"/>
        <v>0</v>
      </c>
      <c r="BG35" s="2">
        <f t="shared" si="5"/>
        <v>5.0590219224283306E-2</v>
      </c>
      <c r="BH35" s="2">
        <f t="shared" si="6"/>
        <v>0</v>
      </c>
      <c r="BI35" s="2">
        <f t="shared" si="7"/>
        <v>0</v>
      </c>
      <c r="BJ35" s="2">
        <f t="shared" si="8"/>
        <v>0</v>
      </c>
      <c r="BK35" s="2">
        <f t="shared" si="9"/>
        <v>0</v>
      </c>
      <c r="BL35" s="2">
        <f t="shared" si="10"/>
        <v>5.0590219224283306E-2</v>
      </c>
      <c r="BM35" s="2">
        <f t="shared" si="11"/>
        <v>0</v>
      </c>
      <c r="BN35" s="2">
        <f>BI35/SUMIFS(BI$3:BI$623,$BC$3:$BC$623,1,$G$3:$G$623,$G35)</f>
        <v>0</v>
      </c>
      <c r="BO35" s="2">
        <f>BJ35/SUMIFS(BJ$3:BJ$623,$BC$3:$BC$623,1,$G$3:$G$623,$G35)</f>
        <v>0</v>
      </c>
      <c r="BP35" s="2">
        <f>BK35/SUMIFS(BK$3:BK$623,$BC$3:$BC$623,1,$G$3:$G$623,$G35)</f>
        <v>0</v>
      </c>
      <c r="BQ35" s="2">
        <f>BL35</f>
        <v>5.0590219224283306E-2</v>
      </c>
      <c r="BR35" s="2">
        <f>BM35</f>
        <v>0</v>
      </c>
    </row>
    <row r="36" spans="1:70" hidden="1">
      <c r="A36" s="74">
        <v>0</v>
      </c>
      <c r="B36" s="73">
        <v>204595</v>
      </c>
      <c r="C36" s="73" t="s">
        <v>1128</v>
      </c>
      <c r="D36" s="73" t="s">
        <v>1129</v>
      </c>
      <c r="E36" s="73" t="s">
        <v>1130</v>
      </c>
      <c r="F36" s="73">
        <v>18588</v>
      </c>
      <c r="G36" s="73" t="s">
        <v>880</v>
      </c>
      <c r="H36" s="73" t="s">
        <v>949</v>
      </c>
      <c r="I36" s="73" t="s">
        <v>1012</v>
      </c>
      <c r="J36" s="73">
        <v>0</v>
      </c>
      <c r="K36" s="73">
        <v>8</v>
      </c>
      <c r="L36" s="73">
        <v>0</v>
      </c>
      <c r="M36" s="73">
        <v>0</v>
      </c>
      <c r="N36" s="73">
        <v>0</v>
      </c>
      <c r="O36" s="73" t="s">
        <v>994</v>
      </c>
      <c r="P36" s="73" t="s">
        <v>1131</v>
      </c>
      <c r="Q36" s="73" t="s">
        <v>1132</v>
      </c>
      <c r="R36" s="73">
        <v>6</v>
      </c>
      <c r="S36" s="73">
        <v>2</v>
      </c>
      <c r="T36" s="73">
        <v>0</v>
      </c>
      <c r="U36" s="73">
        <v>0</v>
      </c>
      <c r="V36" s="73">
        <v>1113</v>
      </c>
      <c r="W36" s="73">
        <v>12</v>
      </c>
      <c r="X36" s="73">
        <v>2</v>
      </c>
      <c r="Y36" s="73">
        <v>0</v>
      </c>
      <c r="Z36" s="73" t="s">
        <v>1133</v>
      </c>
      <c r="AA36" s="73" t="s">
        <v>691</v>
      </c>
      <c r="AB36" s="73" t="str">
        <f>IF(AA36&lt;&gt;"",INDEX(Lookup!$N$2:$N$5,MATCH(Players!AA36,Lookup!$P$2:$P$5,0)),INDEX(Lookup!$N$2:$N$5,MATCH(Players!O36,Lookup!$O$2:$O$5,0)))</f>
        <v>Midfield</v>
      </c>
      <c r="AC36" s="73">
        <v>3500000</v>
      </c>
      <c r="AD36" s="73" t="s">
        <v>792</v>
      </c>
      <c r="AE36" s="73" t="str">
        <f>INDEX('Translate table'!$H$2:$H$622,MATCH(Players!P36,'Translate table'!$G$2:$G$622,0))</f>
        <v>JoÃ£o MÃ¡rio</v>
      </c>
      <c r="AF36" s="73">
        <f>IFERROR(INDEX('Euro Qual stats'!$A$1:$L$2071,MATCH(Players!$AE36,'Euro Qual stats'!$A$1:$A$2071,0),MATCH(Players!AF$2,'Euro Qual stats'!$A$1:$L$1,0)),0)</f>
        <v>3</v>
      </c>
      <c r="AG36" s="73">
        <f>IFERROR(INDEX('Euro Qual stats'!$A$1:$L$2071,MATCH(Players!$AE36,'Euro Qual stats'!$A$1:$A$2071,0),MATCH(Players!AG$2,'Euro Qual stats'!$A$1:$L$1,0)),0)</f>
        <v>0</v>
      </c>
      <c r="AH36" s="73">
        <f>IFERROR(INDEX('Euro Qual stats'!$A$1:$L$2071,MATCH(Players!$AE36,'Euro Qual stats'!$A$1:$A$2071,0),MATCH(Players!AH$2,'Euro Qual stats'!$A$1:$L$1,0)),0)</f>
        <v>0</v>
      </c>
      <c r="AI36" s="73">
        <f>IFERROR(INDEX('Euro Qual stats'!$A$1:$L$2071,MATCH(Players!$AE36,'Euro Qual stats'!$A$1:$A$2071,0),MATCH(Players!AI$2,'Euro Qual stats'!$A$1:$L$1,0)),0)</f>
        <v>0</v>
      </c>
      <c r="AJ36" s="93">
        <f>(12-AF36)/12*INDEX(BV$9:BV$12,MATCH($AB36,$BU$9:$BU$12,0))+AF36/12*AG36</f>
        <v>0.12651832460732984</v>
      </c>
      <c r="AK36" s="93">
        <f>(12-AG36)/12*INDEX(BW$9:BW$12,MATCH($AB36,$BU$9:$BU$12,0))+AG36/12*AH36</f>
        <v>0.22340314136125652</v>
      </c>
      <c r="AL36" s="93">
        <f>(12-AH36)/12*INDEX(BX$9:BX$12,MATCH($AB36,$BU$9:$BU$12,0))+AH36/12*AI36</f>
        <v>0.23942408376963353</v>
      </c>
      <c r="AM36" s="93">
        <f>IF($BC36=1,AJ36/SUMIFS(AJ$3:AJ$623,$BC$3:$BC$623,1,$G$3:$G$623,$G36),0)</f>
        <v>0</v>
      </c>
      <c r="AN36" s="93">
        <f>IF($BC36=1,AK36/SUMIFS(AK$3:AK$623,$BC$3:$BC$623,1,$G$3:$G$623,$G36),0)</f>
        <v>0</v>
      </c>
      <c r="AO36" s="93">
        <f>IF($BC36=1,AL36/SUMIFS(AL$3:AL$623,$BC$3:$BC$623,1,$G$3:$G$623,$G36),0)</f>
        <v>0</v>
      </c>
      <c r="AP36" s="2">
        <f>IFERROR(R36/$V36*90,"")</f>
        <v>0.48517520215633425</v>
      </c>
      <c r="AQ36" s="2">
        <f>IFERROR(S36/$V36*90,"")</f>
        <v>0.16172506738544476</v>
      </c>
      <c r="AR36" s="2">
        <f>IFERROR(W36/$V36*90,"")</f>
        <v>0.9703504043126685</v>
      </c>
      <c r="AS36" s="2">
        <f>IFERROR(X36/$V36*90,"")</f>
        <v>0.16172506738544476</v>
      </c>
      <c r="AT36" s="2">
        <f>IFERROR(Y36/$V36*90,"")</f>
        <v>0</v>
      </c>
      <c r="AU36" s="2">
        <f>IF(AP36="",INDEX(BV$4:BV$7,MATCH(O36,$BU$4:$BU$7,0)),AP36)</f>
        <v>0.48517520215633425</v>
      </c>
      <c r="AV36" s="2">
        <f>IF(AQ36="",INDEX(BW$4:BW$7,MATCH($O36,$BU$4:$BU$7,0)),AQ36)</f>
        <v>0.16172506738544476</v>
      </c>
      <c r="AW36" s="2">
        <f t="shared" si="0"/>
        <v>0.9703504043126685</v>
      </c>
      <c r="AX36" s="2">
        <f t="shared" si="1"/>
        <v>0.16172506738544476</v>
      </c>
      <c r="AY36" s="2">
        <f t="shared" si="2"/>
        <v>0</v>
      </c>
      <c r="AZ36" s="2">
        <f>AU36*0.5+AK36*0.5</f>
        <v>0.35428917175879537</v>
      </c>
      <c r="BA36" s="2">
        <f>AV36*0.5+AJ36*0.5</f>
        <v>0.1441216959963873</v>
      </c>
      <c r="BB36" s="2">
        <f t="shared" si="3"/>
        <v>8.086253369272238E-2</v>
      </c>
      <c r="BC36">
        <f>IF(I36="expected",1,0)</f>
        <v>0</v>
      </c>
      <c r="BD36" s="78">
        <f>IF(BC36=1,AZ36/SUMIFS(AZ$3:AZ$623,$BC$3:$BC$623,1,$G$3:$G$623,$G36),0)</f>
        <v>0</v>
      </c>
      <c r="BE36" s="78">
        <f>IF(BC36=1,BA36/SUMIFS(BA$3:BA$623,$BC$3:$BC$623,1,$G$3:$G$623,$G36),0)</f>
        <v>0</v>
      </c>
      <c r="BF36" s="78">
        <f t="shared" si="4"/>
        <v>0</v>
      </c>
      <c r="BG36" s="2">
        <f t="shared" si="5"/>
        <v>8.086253369272238E-2</v>
      </c>
      <c r="BH36" s="2">
        <f t="shared" si="6"/>
        <v>0</v>
      </c>
      <c r="BI36" s="2">
        <f t="shared" si="7"/>
        <v>0</v>
      </c>
      <c r="BJ36" s="2">
        <f t="shared" si="8"/>
        <v>0</v>
      </c>
      <c r="BK36" s="2">
        <f t="shared" si="9"/>
        <v>0</v>
      </c>
      <c r="BL36" s="2">
        <f t="shared" si="10"/>
        <v>8.086253369272238E-2</v>
      </c>
      <c r="BM36" s="2">
        <f t="shared" si="11"/>
        <v>0</v>
      </c>
      <c r="BN36" s="2">
        <f>BI36/SUMIFS(BI$3:BI$623,$BC$3:$BC$623,1,$G$3:$G$623,$G36)</f>
        <v>0</v>
      </c>
      <c r="BO36" s="2">
        <f>BJ36/SUMIFS(BJ$3:BJ$623,$BC$3:$BC$623,1,$G$3:$G$623,$G36)</f>
        <v>0</v>
      </c>
      <c r="BP36" s="2">
        <f>BK36/SUMIFS(BK$3:BK$623,$BC$3:$BC$623,1,$G$3:$G$623,$G36)</f>
        <v>0</v>
      </c>
      <c r="BQ36" s="2">
        <f>BL36</f>
        <v>8.086253369272238E-2</v>
      </c>
      <c r="BR36" s="2">
        <f>BM36</f>
        <v>0</v>
      </c>
    </row>
    <row r="37" spans="1:70" hidden="1">
      <c r="A37" s="74">
        <v>0</v>
      </c>
      <c r="B37" s="73">
        <v>204596</v>
      </c>
      <c r="C37" s="73" t="s">
        <v>1134</v>
      </c>
      <c r="D37" s="73" t="s">
        <v>1135</v>
      </c>
      <c r="E37" s="73" t="s">
        <v>1136</v>
      </c>
      <c r="F37" s="73">
        <v>18588</v>
      </c>
      <c r="G37" s="73" t="s">
        <v>880</v>
      </c>
      <c r="H37" s="73" t="s">
        <v>949</v>
      </c>
      <c r="I37" s="73" t="s">
        <v>981</v>
      </c>
      <c r="J37" s="73">
        <v>0</v>
      </c>
      <c r="K37" s="73">
        <v>8</v>
      </c>
      <c r="L37" s="73">
        <v>0</v>
      </c>
      <c r="M37" s="73">
        <v>0</v>
      </c>
      <c r="N37" s="73">
        <v>0</v>
      </c>
      <c r="O37" s="73" t="s">
        <v>982</v>
      </c>
      <c r="P37" s="73" t="s">
        <v>1137</v>
      </c>
      <c r="Q37" s="73" t="s">
        <v>1138</v>
      </c>
      <c r="R37" s="73">
        <v>4</v>
      </c>
      <c r="S37" s="73">
        <v>4</v>
      </c>
      <c r="T37" s="73">
        <v>0</v>
      </c>
      <c r="U37" s="73">
        <v>1</v>
      </c>
      <c r="V37" s="73">
        <v>1800</v>
      </c>
      <c r="W37" s="73">
        <v>10</v>
      </c>
      <c r="X37" s="73">
        <v>3</v>
      </c>
      <c r="Y37" s="73">
        <v>0</v>
      </c>
      <c r="Z37" s="73" t="s">
        <v>1133</v>
      </c>
      <c r="AA37" s="73" t="s">
        <v>693</v>
      </c>
      <c r="AB37" s="73" t="str">
        <f>IF(AA37&lt;&gt;"",INDEX(Lookup!$N$2:$N$5,MATCH(Players!AA37,Lookup!$P$2:$P$5,0)),INDEX(Lookup!$N$2:$N$5,MATCH(Players!O37,Lookup!$O$2:$O$5,0)))</f>
        <v>Striker</v>
      </c>
      <c r="AC37" s="73">
        <v>4500000</v>
      </c>
      <c r="AD37" s="73" t="s">
        <v>1139</v>
      </c>
      <c r="AE37" s="73" t="str">
        <f>INDEX('Translate table'!$H$2:$H$622,MATCH(Players!P37,'Translate table'!$G$2:$G$622,0))</f>
        <v>Ciprian Ioan Deac</v>
      </c>
      <c r="AF37" s="73">
        <f>IFERROR(INDEX('Euro Qual stats'!$A$1:$L$2071,MATCH(Players!$AE37,'Euro Qual stats'!$A$1:$A$2071,0),MATCH(Players!AF$2,'Euro Qual stats'!$A$1:$L$1,0)),0)</f>
        <v>6</v>
      </c>
      <c r="AG37" s="73">
        <f>IFERROR(INDEX('Euro Qual stats'!$A$1:$L$2071,MATCH(Players!$AE37,'Euro Qual stats'!$A$1:$A$2071,0),MATCH(Players!AG$2,'Euro Qual stats'!$A$1:$L$1,0)),0)</f>
        <v>0</v>
      </c>
      <c r="AH37" s="73">
        <f>IFERROR(INDEX('Euro Qual stats'!$A$1:$L$2071,MATCH(Players!$AE37,'Euro Qual stats'!$A$1:$A$2071,0),MATCH(Players!AH$2,'Euro Qual stats'!$A$1:$L$1,0)),0)</f>
        <v>0.21</v>
      </c>
      <c r="AI37" s="73">
        <f>IFERROR(INDEX('Euro Qual stats'!$A$1:$L$2071,MATCH(Players!$AE37,'Euro Qual stats'!$A$1:$A$2071,0),MATCH(Players!AI$2,'Euro Qual stats'!$A$1:$L$1,0)),0)</f>
        <v>0</v>
      </c>
      <c r="AJ37" s="93">
        <f>(12-AF37)/12*INDEX(BV$9:BV$12,MATCH($AB37,$BU$9:$BU$12,0))+AF37/12*AG37</f>
        <v>0.10245689655172416</v>
      </c>
      <c r="AK37" s="93">
        <f>(12-AG37)/12*INDEX(BW$9:BW$12,MATCH($AB37,$BU$9:$BU$12,0))+AG37/12*AH37</f>
        <v>0.53387931034482738</v>
      </c>
      <c r="AL37" s="93">
        <f>(12-AH37)/12*INDEX(BX$9:BX$12,MATCH($AB37,$BU$9:$BU$12,0))+AH37/12*AI37</f>
        <v>0.16194310344827587</v>
      </c>
      <c r="AM37" s="93">
        <f>IF($BC37=1,AJ37/SUMIFS(AJ$3:AJ$623,$BC$3:$BC$623,1,$G$3:$G$623,$G37),0)</f>
        <v>6.452700132784038E-2</v>
      </c>
      <c r="AN37" s="93">
        <f>IF($BC37=1,AK37/SUMIFS(AK$3:AK$623,$BC$3:$BC$623,1,$G$3:$G$623,$G37),0)</f>
        <v>0.20084222927850953</v>
      </c>
      <c r="AO37" s="93">
        <f>IF($BC37=1,AL37/SUMIFS(AL$3:AL$623,$BC$3:$BC$623,1,$G$3:$G$623,$G37),0)</f>
        <v>8.1707730475850324E-2</v>
      </c>
      <c r="AP37" s="2">
        <f>IFERROR(R37/$V37*90,"")</f>
        <v>0.2</v>
      </c>
      <c r="AQ37" s="2">
        <f>IFERROR(S37/$V37*90,"")</f>
        <v>0.2</v>
      </c>
      <c r="AR37" s="2">
        <f>IFERROR(W37/$V37*90,"")</f>
        <v>0.5</v>
      </c>
      <c r="AS37" s="2">
        <f>IFERROR(X37/$V37*90,"")</f>
        <v>0.15000000000000002</v>
      </c>
      <c r="AT37" s="2">
        <f>IFERROR(Y37/$V37*90,"")</f>
        <v>0</v>
      </c>
      <c r="AU37" s="2">
        <f>IF(AP37="",INDEX(BV$4:BV$7,MATCH(O37,$BU$4:$BU$7,0)),AP37)</f>
        <v>0.2</v>
      </c>
      <c r="AV37" s="2">
        <f>IF(AQ37="",INDEX(BW$4:BW$7,MATCH($O37,$BU$4:$BU$7,0)),AQ37)</f>
        <v>0.2</v>
      </c>
      <c r="AW37" s="2">
        <f t="shared" si="0"/>
        <v>0.5</v>
      </c>
      <c r="AX37" s="2">
        <f t="shared" si="1"/>
        <v>0.15000000000000002</v>
      </c>
      <c r="AY37" s="2">
        <f t="shared" si="2"/>
        <v>0</v>
      </c>
      <c r="AZ37" s="2">
        <f>AU37*0.5+AK37*0.5</f>
        <v>0.36693965517241367</v>
      </c>
      <c r="BA37" s="2">
        <f>AV37*0.5+AJ37*0.5</f>
        <v>0.15122844827586207</v>
      </c>
      <c r="BB37" s="2">
        <f t="shared" si="3"/>
        <v>7.5000000000000011E-2</v>
      </c>
      <c r="BC37">
        <f>IF(I37="expected",1,0)</f>
        <v>1</v>
      </c>
      <c r="BD37" s="78">
        <f>IF(BC37=1,AZ37/SUMIFS(AZ$3:AZ$623,$BC$3:$BC$623,1,$G$3:$G$623,$G37),0)</f>
        <v>0.15657202624234942</v>
      </c>
      <c r="BE37" s="78">
        <f>IF(BC37=1,BA37/SUMIFS(BA$3:BA$623,$BC$3:$BC$623,1,$G$3:$G$623,$G37),0)</f>
        <v>0.11045727771170072</v>
      </c>
      <c r="BF37" s="78">
        <f t="shared" si="4"/>
        <v>0.10119520004010071</v>
      </c>
      <c r="BG37" s="2">
        <f t="shared" si="5"/>
        <v>7.5000000000000011E-2</v>
      </c>
      <c r="BH37" s="2">
        <f t="shared" si="6"/>
        <v>0</v>
      </c>
      <c r="BI37" s="2">
        <f t="shared" si="7"/>
        <v>0.15657202624234942</v>
      </c>
      <c r="BJ37" s="2">
        <f t="shared" si="8"/>
        <v>0.11045727771170072</v>
      </c>
      <c r="BK37" s="2">
        <f t="shared" si="9"/>
        <v>0.10119520004010071</v>
      </c>
      <c r="BL37" s="2">
        <f t="shared" si="10"/>
        <v>7.5000000000000011E-2</v>
      </c>
      <c r="BM37" s="2">
        <f t="shared" si="11"/>
        <v>0</v>
      </c>
      <c r="BN37" s="2">
        <f>BI37/SUMIFS(BI$3:BI$623,$BC$3:$BC$623,1,$G$3:$G$623,$G37)</f>
        <v>0.15657202624234942</v>
      </c>
      <c r="BO37" s="2">
        <f>BJ37/SUMIFS(BJ$3:BJ$623,$BC$3:$BC$623,1,$G$3:$G$623,$G37)</f>
        <v>0.11045727771170072</v>
      </c>
      <c r="BP37" s="2">
        <f>BK37/SUMIFS(BK$3:BK$623,$BC$3:$BC$623,1,$G$3:$G$623,$G37)</f>
        <v>0.10505605345347481</v>
      </c>
      <c r="BQ37" s="2">
        <f>BL37</f>
        <v>7.5000000000000011E-2</v>
      </c>
      <c r="BR37" s="2">
        <f>BM37</f>
        <v>0</v>
      </c>
    </row>
    <row r="38" spans="1:70" hidden="1">
      <c r="A38" s="74">
        <v>0</v>
      </c>
      <c r="B38" s="73">
        <v>204528</v>
      </c>
      <c r="C38" s="73" t="s">
        <v>1140</v>
      </c>
      <c r="D38" s="73" t="s">
        <v>1141</v>
      </c>
      <c r="E38" s="73" t="s">
        <v>1142</v>
      </c>
      <c r="F38" s="73">
        <v>18658</v>
      </c>
      <c r="G38" s="73" t="s">
        <v>863</v>
      </c>
      <c r="H38" s="73" t="s">
        <v>939</v>
      </c>
      <c r="I38" s="73" t="s">
        <v>981</v>
      </c>
      <c r="J38" s="73">
        <v>0</v>
      </c>
      <c r="K38" s="73">
        <v>8</v>
      </c>
      <c r="L38" s="73">
        <v>0</v>
      </c>
      <c r="M38" s="73">
        <v>0</v>
      </c>
      <c r="N38" s="73">
        <v>0</v>
      </c>
      <c r="O38" s="73" t="s">
        <v>994</v>
      </c>
      <c r="P38" s="73" t="s">
        <v>1143</v>
      </c>
      <c r="Q38" s="73" t="s">
        <v>1143</v>
      </c>
      <c r="R38" s="73">
        <v>19</v>
      </c>
      <c r="S38" s="73">
        <v>7</v>
      </c>
      <c r="T38" s="73">
        <v>0</v>
      </c>
      <c r="U38" s="73">
        <v>6</v>
      </c>
      <c r="V38" s="73">
        <v>2871</v>
      </c>
      <c r="W38" s="73">
        <v>48</v>
      </c>
      <c r="X38" s="73">
        <v>2</v>
      </c>
      <c r="Y38" s="73">
        <v>1</v>
      </c>
      <c r="Z38" s="73" t="s">
        <v>1054</v>
      </c>
      <c r="AA38" s="73" t="s">
        <v>693</v>
      </c>
      <c r="AB38" s="73" t="str">
        <f>IF(AA38&lt;&gt;"",INDEX(Lookup!$N$2:$N$5,MATCH(Players!AA38,Lookup!$P$2:$P$5,0)),INDEX(Lookup!$N$2:$N$5,MATCH(Players!O38,Lookup!$O$2:$O$5,0)))</f>
        <v>Striker</v>
      </c>
      <c r="AC38" s="73">
        <v>5000000</v>
      </c>
      <c r="AD38" s="73" t="s">
        <v>829</v>
      </c>
      <c r="AE38" s="73" t="str">
        <f>INDEX('Translate table'!$H$2:$H$622,MATCH(Players!P38,'Translate table'!$G$2:$G$622,0))</f>
        <v>Lorenzo Insigne</v>
      </c>
      <c r="AF38" s="73">
        <f>IFERROR(INDEX('Euro Qual stats'!$A$1:$L$2071,MATCH(Players!$AE38,'Euro Qual stats'!$A$1:$A$2071,0),MATCH(Players!AF$2,'Euro Qual stats'!$A$1:$L$1,0)),0)</f>
        <v>4</v>
      </c>
      <c r="AG38" s="73">
        <f>IFERROR(INDEX('Euro Qual stats'!$A$1:$L$2071,MATCH(Players!$AE38,'Euro Qual stats'!$A$1:$A$2071,0),MATCH(Players!AG$2,'Euro Qual stats'!$A$1:$L$1,0)),0)</f>
        <v>0.25</v>
      </c>
      <c r="AH38" s="73">
        <f>IFERROR(INDEX('Euro Qual stats'!$A$1:$L$2071,MATCH(Players!$AE38,'Euro Qual stats'!$A$1:$A$2071,0),MATCH(Players!AH$2,'Euro Qual stats'!$A$1:$L$1,0)),0)</f>
        <v>0.76</v>
      </c>
      <c r="AI38" s="73">
        <f>IFERROR(INDEX('Euro Qual stats'!$A$1:$L$2071,MATCH(Players!$AE38,'Euro Qual stats'!$A$1:$A$2071,0),MATCH(Players!AI$2,'Euro Qual stats'!$A$1:$L$1,0)),0)</f>
        <v>0</v>
      </c>
      <c r="AJ38" s="93">
        <f>(12-AF38)/12*INDEX(BV$9:BV$12,MATCH($AB38,$BU$9:$BU$12,0))+AF38/12*AG38</f>
        <v>0.21994252873563219</v>
      </c>
      <c r="AK38" s="93">
        <f>(12-AG38)/12*INDEX(BW$9:BW$12,MATCH($AB38,$BU$9:$BU$12,0))+AG38/12*AH38</f>
        <v>0.53859015804597687</v>
      </c>
      <c r="AL38" s="93">
        <f>(12-AH38)/12*INDEX(BX$9:BX$12,MATCH($AB38,$BU$9:$BU$12,0))+AH38/12*AI38</f>
        <v>0.15438850574712645</v>
      </c>
      <c r="AM38" s="93">
        <f>IF($BC38=1,AJ38/SUMIFS(AJ$3:AJ$623,$BC$3:$BC$623,1,$G$3:$G$623,$G38),0)</f>
        <v>0.10811535812517417</v>
      </c>
      <c r="AN38" s="93">
        <f>IF($BC38=1,AK38/SUMIFS(AK$3:AK$623,$BC$3:$BC$623,1,$G$3:$G$623,$G38),0)</f>
        <v>0.22477807803297487</v>
      </c>
      <c r="AO38" s="93">
        <f>IF($BC38=1,AL38/SUMIFS(AL$3:AL$623,$BC$3:$BC$623,1,$G$3:$G$623,$G38),0)</f>
        <v>7.604127442294599E-2</v>
      </c>
      <c r="AP38" s="2">
        <f>IFERROR(R38/$V38*90,"")</f>
        <v>0.59561128526645768</v>
      </c>
      <c r="AQ38" s="2">
        <f>IFERROR(S38/$V38*90,"")</f>
        <v>0.21943573667711599</v>
      </c>
      <c r="AR38" s="2">
        <f>IFERROR(W38/$V38*90,"")</f>
        <v>1.5047021943573669</v>
      </c>
      <c r="AS38" s="2">
        <f>IFERROR(X38/$V38*90,"")</f>
        <v>6.269592476489029E-2</v>
      </c>
      <c r="AT38" s="2">
        <f>IFERROR(Y38/$V38*90,"")</f>
        <v>3.1347962382445145E-2</v>
      </c>
      <c r="AU38" s="2">
        <f>IF(AP38="",INDEX(BV$4:BV$7,MATCH(O38,$BU$4:$BU$7,0)),AP38)</f>
        <v>0.59561128526645768</v>
      </c>
      <c r="AV38" s="2">
        <f>IF(AQ38="",INDEX(BW$4:BW$7,MATCH($O38,$BU$4:$BU$7,0)),AQ38)</f>
        <v>0.21943573667711599</v>
      </c>
      <c r="AW38" s="2">
        <f t="shared" si="0"/>
        <v>1.5047021943573669</v>
      </c>
      <c r="AX38" s="2">
        <f t="shared" si="1"/>
        <v>6.269592476489029E-2</v>
      </c>
      <c r="AY38" s="2">
        <f t="shared" si="2"/>
        <v>3.1347962382445145E-2</v>
      </c>
      <c r="AZ38" s="2">
        <f>AU38*0.5+AK38*0.5</f>
        <v>0.56710072165621728</v>
      </c>
      <c r="BA38" s="2">
        <f>AV38*0.5+AJ38*0.5</f>
        <v>0.21968913270637408</v>
      </c>
      <c r="BB38" s="2">
        <f t="shared" si="3"/>
        <v>3.1347962382445145E-2</v>
      </c>
      <c r="BC38">
        <f>IF(I38="expected",1,0)</f>
        <v>1</v>
      </c>
      <c r="BD38" s="78">
        <f>IF(BC38=1,AZ38/SUMIFS(AZ$3:AZ$623,$BC$3:$BC$623,1,$G$3:$G$623,$G38),0)</f>
        <v>0.24424532479646183</v>
      </c>
      <c r="BE38" s="78">
        <f>IF(BC38=1,BA38/SUMIFS(BA$3:BA$623,$BC$3:$BC$623,1,$G$3:$G$623,$G38),0)</f>
        <v>0.12875666965078372</v>
      </c>
      <c r="BF38" s="78">
        <f t="shared" si="4"/>
        <v>0.25676772295740752</v>
      </c>
      <c r="BG38" s="2">
        <f t="shared" si="5"/>
        <v>3.1347962382445145E-2</v>
      </c>
      <c r="BH38" s="2">
        <f t="shared" si="6"/>
        <v>3.1347962382445145E-2</v>
      </c>
      <c r="BI38" s="2">
        <f t="shared" si="7"/>
        <v>0.24424532479646183</v>
      </c>
      <c r="BJ38" s="2">
        <f t="shared" si="8"/>
        <v>0.12875666965078372</v>
      </c>
      <c r="BK38" s="2">
        <f t="shared" si="9"/>
        <v>0.25676772295740752</v>
      </c>
      <c r="BL38" s="2">
        <f t="shared" si="10"/>
        <v>3.1347962382445145E-2</v>
      </c>
      <c r="BM38" s="2">
        <f t="shared" si="11"/>
        <v>3.1347962382445145E-2</v>
      </c>
      <c r="BN38" s="2">
        <f>BI38/SUMIFS(BI$3:BI$623,$BC$3:$BC$623,1,$G$3:$G$623,$G38)</f>
        <v>0.24424532479646183</v>
      </c>
      <c r="BO38" s="2">
        <f>BJ38/SUMIFS(BJ$3:BJ$623,$BC$3:$BC$623,1,$G$3:$G$623,$G38)</f>
        <v>0.12875666965078372</v>
      </c>
      <c r="BP38" s="2">
        <f>BK38/SUMIFS(BK$3:BK$623,$BC$3:$BC$623,1,$G$3:$G$623,$G38)</f>
        <v>0.25676772295740752</v>
      </c>
      <c r="BQ38" s="2">
        <f>BL38</f>
        <v>3.1347962382445145E-2</v>
      </c>
      <c r="BR38" s="2">
        <f>BM38</f>
        <v>3.1347962382445145E-2</v>
      </c>
    </row>
    <row r="39" spans="1:70" hidden="1">
      <c r="A39" s="74">
        <v>0</v>
      </c>
      <c r="B39" s="73">
        <v>204524</v>
      </c>
      <c r="C39" s="73" t="s">
        <v>1144</v>
      </c>
      <c r="D39" s="73" t="s">
        <v>1145</v>
      </c>
      <c r="E39" s="73" t="s">
        <v>1146</v>
      </c>
      <c r="F39" s="73">
        <v>18658</v>
      </c>
      <c r="G39" s="73" t="s">
        <v>863</v>
      </c>
      <c r="H39" s="73" t="s">
        <v>939</v>
      </c>
      <c r="I39" s="73" t="s">
        <v>981</v>
      </c>
      <c r="J39" s="73">
        <v>0</v>
      </c>
      <c r="K39" s="73">
        <v>8</v>
      </c>
      <c r="L39" s="73">
        <v>0</v>
      </c>
      <c r="M39" s="73">
        <v>0</v>
      </c>
      <c r="N39" s="73">
        <v>0</v>
      </c>
      <c r="O39" s="73" t="s">
        <v>994</v>
      </c>
      <c r="P39" s="73" t="s">
        <v>1147</v>
      </c>
      <c r="Q39" s="73" t="s">
        <v>1147</v>
      </c>
      <c r="R39" s="73">
        <v>9</v>
      </c>
      <c r="S39" s="73">
        <v>9</v>
      </c>
      <c r="T39" s="73">
        <v>0</v>
      </c>
      <c r="U39" s="73">
        <v>0</v>
      </c>
      <c r="V39" s="73">
        <v>2468</v>
      </c>
      <c r="W39" s="73">
        <v>26</v>
      </c>
      <c r="X39" s="73">
        <v>3</v>
      </c>
      <c r="Y39" s="73">
        <v>1</v>
      </c>
      <c r="Z39" s="73" t="s">
        <v>1054</v>
      </c>
      <c r="AA39" s="73" t="s">
        <v>691</v>
      </c>
      <c r="AB39" s="73" t="str">
        <f>IF(AA39&lt;&gt;"",INDEX(Lookup!$N$2:$N$5,MATCH(Players!AA39,Lookup!$P$2:$P$5,0)),INDEX(Lookup!$N$2:$N$5,MATCH(Players!O39,Lookup!$O$2:$O$5,0)))</f>
        <v>Midfield</v>
      </c>
      <c r="AC39" s="73">
        <v>4500000</v>
      </c>
      <c r="AD39" s="73" t="s">
        <v>1148</v>
      </c>
      <c r="AE39" s="73" t="str">
        <f>INDEX('Translate table'!$H$2:$H$622,MATCH(Players!P39,'Translate table'!$G$2:$G$622,0))</f>
        <v>Federico Chiesa</v>
      </c>
      <c r="AF39" s="73">
        <f>IFERROR(INDEX('Euro Qual stats'!$A$1:$L$2071,MATCH(Players!$AE39,'Euro Qual stats'!$A$1:$A$2071,0),MATCH(Players!AF$2,'Euro Qual stats'!$A$1:$L$1,0)),0)</f>
        <v>6</v>
      </c>
      <c r="AG39" s="73">
        <f>IFERROR(INDEX('Euro Qual stats'!$A$1:$L$2071,MATCH(Players!$AE39,'Euro Qual stats'!$A$1:$A$2071,0),MATCH(Players!AG$2,'Euro Qual stats'!$A$1:$L$1,0)),0)</f>
        <v>0.68</v>
      </c>
      <c r="AH39" s="73">
        <f>IFERROR(INDEX('Euro Qual stats'!$A$1:$L$2071,MATCH(Players!$AE39,'Euro Qual stats'!$A$1:$A$2071,0),MATCH(Players!AH$2,'Euro Qual stats'!$A$1:$L$1,0)),0)</f>
        <v>0.23</v>
      </c>
      <c r="AI39" s="73">
        <f>IFERROR(INDEX('Euro Qual stats'!$A$1:$L$2071,MATCH(Players!$AE39,'Euro Qual stats'!$A$1:$A$2071,0),MATCH(Players!AI$2,'Euro Qual stats'!$A$1:$L$1,0)),0)</f>
        <v>0</v>
      </c>
      <c r="AJ39" s="93">
        <f>(12-AF39)/12*INDEX(BV$9:BV$12,MATCH($AB39,$BU$9:$BU$12,0))+AF39/12*AG39</f>
        <v>0.42434554973821992</v>
      </c>
      <c r="AK39" s="93">
        <f>(12-AG39)/12*INDEX(BW$9:BW$12,MATCH($AB39,$BU$9:$BU$12,0))+AG39/12*AH39</f>
        <v>0.22377696335078534</v>
      </c>
      <c r="AL39" s="93">
        <f>(12-AH39)/12*INDEX(BX$9:BX$12,MATCH($AB39,$BU$9:$BU$12,0))+AH39/12*AI39</f>
        <v>0.23483512216404889</v>
      </c>
      <c r="AM39" s="93">
        <f>IF($BC39=1,AJ39/SUMIFS(AJ$3:AJ$623,$BC$3:$BC$623,1,$G$3:$G$623,$G39),0)</f>
        <v>0.20859208695339038</v>
      </c>
      <c r="AN39" s="93">
        <f>IF($BC39=1,AK39/SUMIFS(AK$3:AK$623,$BC$3:$BC$623,1,$G$3:$G$623,$G39),0)</f>
        <v>9.3392266788787287E-2</v>
      </c>
      <c r="AO39" s="93">
        <f>IF($BC39=1,AL39/SUMIFS(AL$3:AL$623,$BC$3:$BC$623,1,$G$3:$G$623,$G39),0)</f>
        <v>0.1156638046479367</v>
      </c>
      <c r="AP39" s="2">
        <f>IFERROR(R39/$V39*90,"")</f>
        <v>0.32820097244732577</v>
      </c>
      <c r="AQ39" s="2">
        <f>IFERROR(S39/$V39*90,"")</f>
        <v>0.32820097244732577</v>
      </c>
      <c r="AR39" s="2">
        <f>IFERROR(W39/$V39*90,"")</f>
        <v>0.94813614262560775</v>
      </c>
      <c r="AS39" s="2">
        <f>IFERROR(X39/$V39*90,"")</f>
        <v>0.10940032414910859</v>
      </c>
      <c r="AT39" s="2">
        <f>IFERROR(Y39/$V39*90,"")</f>
        <v>3.6466774716369527E-2</v>
      </c>
      <c r="AU39" s="2">
        <f>IF(AP39="",INDEX(BV$4:BV$7,MATCH(O39,$BU$4:$BU$7,0)),AP39)</f>
        <v>0.32820097244732577</v>
      </c>
      <c r="AV39" s="2">
        <f>IF(AQ39="",INDEX(BW$4:BW$7,MATCH($O39,$BU$4:$BU$7,0)),AQ39)</f>
        <v>0.32820097244732577</v>
      </c>
      <c r="AW39" s="2">
        <f t="shared" si="0"/>
        <v>0.94813614262560775</v>
      </c>
      <c r="AX39" s="2">
        <f t="shared" si="1"/>
        <v>0.10940032414910859</v>
      </c>
      <c r="AY39" s="2">
        <f t="shared" si="2"/>
        <v>3.6466774716369527E-2</v>
      </c>
      <c r="AZ39" s="2">
        <f>AU39*0.5+AK39*0.5</f>
        <v>0.27598896789905558</v>
      </c>
      <c r="BA39" s="2">
        <f>AV39*0.5+AJ39*0.5</f>
        <v>0.37627326109277281</v>
      </c>
      <c r="BB39" s="2">
        <f t="shared" si="3"/>
        <v>5.4700162074554297E-2</v>
      </c>
      <c r="BC39">
        <f>IF(I39="expected",1,0)</f>
        <v>1</v>
      </c>
      <c r="BD39" s="78">
        <f>IF(BC39=1,AZ39/SUMIFS(AZ$3:AZ$623,$BC$3:$BC$623,1,$G$3:$G$623,$G39),0)</f>
        <v>0.11886603654440277</v>
      </c>
      <c r="BE39" s="78">
        <f>IF(BC39=1,BA39/SUMIFS(BA$3:BA$623,$BC$3:$BC$623,1,$G$3:$G$623,$G39),0)</f>
        <v>0.22052839564758123</v>
      </c>
      <c r="BF39" s="78">
        <f t="shared" si="4"/>
        <v>0.16179331651707388</v>
      </c>
      <c r="BG39" s="2">
        <f t="shared" si="5"/>
        <v>5.4700162074554297E-2</v>
      </c>
      <c r="BH39" s="2">
        <f t="shared" si="6"/>
        <v>3.6466774716369527E-2</v>
      </c>
      <c r="BI39" s="2">
        <f t="shared" si="7"/>
        <v>0.11886603654440277</v>
      </c>
      <c r="BJ39" s="2">
        <f t="shared" si="8"/>
        <v>0.22052839564758123</v>
      </c>
      <c r="BK39" s="2">
        <f t="shared" si="9"/>
        <v>0.16179331651707388</v>
      </c>
      <c r="BL39" s="2">
        <f t="shared" si="10"/>
        <v>5.4700162074554297E-2</v>
      </c>
      <c r="BM39" s="2">
        <f t="shared" si="11"/>
        <v>3.6466774716369527E-2</v>
      </c>
      <c r="BN39" s="2">
        <f>BI39/SUMIFS(BI$3:BI$623,$BC$3:$BC$623,1,$G$3:$G$623,$G39)</f>
        <v>0.11886603654440277</v>
      </c>
      <c r="BO39" s="2">
        <f>BJ39/SUMIFS(BJ$3:BJ$623,$BC$3:$BC$623,1,$G$3:$G$623,$G39)</f>
        <v>0.22052839564758123</v>
      </c>
      <c r="BP39" s="2">
        <f>BK39/SUMIFS(BK$3:BK$623,$BC$3:$BC$623,1,$G$3:$G$623,$G39)</f>
        <v>0.16179331651707388</v>
      </c>
      <c r="BQ39" s="2">
        <f>BL39</f>
        <v>5.4700162074554297E-2</v>
      </c>
      <c r="BR39" s="2">
        <f>BM39</f>
        <v>3.6466774716369527E-2</v>
      </c>
    </row>
    <row r="40" spans="1:70" hidden="1">
      <c r="A40" s="74">
        <v>0</v>
      </c>
      <c r="B40" s="73">
        <v>204554</v>
      </c>
      <c r="C40" s="73" t="s">
        <v>1149</v>
      </c>
      <c r="D40" s="73" t="s">
        <v>1150</v>
      </c>
      <c r="E40" s="73" t="s">
        <v>1151</v>
      </c>
      <c r="F40" s="73">
        <v>18743</v>
      </c>
      <c r="G40" s="73" t="s">
        <v>871</v>
      </c>
      <c r="H40" s="73" t="s">
        <v>945</v>
      </c>
      <c r="I40" s="73" t="s">
        <v>1012</v>
      </c>
      <c r="J40" s="73">
        <v>0</v>
      </c>
      <c r="K40" s="73">
        <v>8</v>
      </c>
      <c r="L40" s="73">
        <v>0</v>
      </c>
      <c r="M40" s="73">
        <v>0</v>
      </c>
      <c r="N40" s="73">
        <v>0</v>
      </c>
      <c r="O40" s="73" t="s">
        <v>982</v>
      </c>
      <c r="P40" s="73" t="s">
        <v>250</v>
      </c>
      <c r="Q40" s="73" t="s">
        <v>250</v>
      </c>
      <c r="R40" s="73">
        <v>10</v>
      </c>
      <c r="S40" s="73">
        <v>1</v>
      </c>
      <c r="T40" s="73">
        <v>0</v>
      </c>
      <c r="U40" s="73">
        <v>4</v>
      </c>
      <c r="V40" s="73">
        <v>1818</v>
      </c>
      <c r="W40" s="73">
        <v>34</v>
      </c>
      <c r="X40" s="73">
        <v>1</v>
      </c>
      <c r="Y40" s="73">
        <v>1</v>
      </c>
      <c r="Z40" s="73" t="s">
        <v>995</v>
      </c>
      <c r="AA40" s="73" t="s">
        <v>693</v>
      </c>
      <c r="AB40" s="73" t="str">
        <f>IF(AA40&lt;&gt;"",INDEX(Lookup!$N$2:$N$5,MATCH(Players!AA40,Lookup!$P$2:$P$5,0)),INDEX(Lookup!$N$2:$N$5,MATCH(Players!O40,Lookup!$O$2:$O$5,0)))</f>
        <v>Striker</v>
      </c>
      <c r="AC40" s="73">
        <v>4500000</v>
      </c>
      <c r="AD40" s="73" t="s">
        <v>790</v>
      </c>
      <c r="AE40" s="73" t="str">
        <f>INDEX('Translate table'!$H$2:$H$622,MATCH(Players!P40,'Translate table'!$G$2:$G$622,0))</f>
        <v>Christian Benteke</v>
      </c>
      <c r="AF40" s="73">
        <f>IFERROR(INDEX('Euro Qual stats'!$A$1:$L$2071,MATCH(Players!$AE40,'Euro Qual stats'!$A$1:$A$2071,0),MATCH(Players!AF$2,'Euro Qual stats'!$A$1:$L$1,0)),0)</f>
        <v>3</v>
      </c>
      <c r="AG40" s="73">
        <f>IFERROR(INDEX('Euro Qual stats'!$A$1:$L$2071,MATCH(Players!$AE40,'Euro Qual stats'!$A$1:$A$2071,0),MATCH(Players!AG$2,'Euro Qual stats'!$A$1:$L$1,0)),0)</f>
        <v>0</v>
      </c>
      <c r="AH40" s="73">
        <f>IFERROR(INDEX('Euro Qual stats'!$A$1:$L$2071,MATCH(Players!$AE40,'Euro Qual stats'!$A$1:$A$2071,0),MATCH(Players!AH$2,'Euro Qual stats'!$A$1:$L$1,0)),0)</f>
        <v>2.5499999999999998</v>
      </c>
      <c r="AI40" s="73">
        <f>IFERROR(INDEX('Euro Qual stats'!$A$1:$L$2071,MATCH(Players!$AE40,'Euro Qual stats'!$A$1:$A$2071,0),MATCH(Players!AI$2,'Euro Qual stats'!$A$1:$L$1,0)),0)</f>
        <v>0</v>
      </c>
      <c r="AJ40" s="93">
        <f>(12-AF40)/12*INDEX(BV$9:BV$12,MATCH($AB40,$BU$9:$BU$12,0))+AF40/12*AG40</f>
        <v>0.15368534482758622</v>
      </c>
      <c r="AK40" s="93">
        <f>(12-AG40)/12*INDEX(BW$9:BW$12,MATCH($AB40,$BU$9:$BU$12,0))+AG40/12*AH40</f>
        <v>0.53387931034482738</v>
      </c>
      <c r="AL40" s="93">
        <f>(12-AH40)/12*INDEX(BX$9:BX$12,MATCH($AB40,$BU$9:$BU$12,0))+AH40/12*AI40</f>
        <v>0.12980172413793106</v>
      </c>
      <c r="AM40" s="93">
        <f>IF($BC40=1,AJ40/SUMIFS(AJ$3:AJ$623,$BC$3:$BC$623,1,$G$3:$G$623,$G40),0)</f>
        <v>0</v>
      </c>
      <c r="AN40" s="93">
        <f>IF($BC40=1,AK40/SUMIFS(AK$3:AK$623,$BC$3:$BC$623,1,$G$3:$G$623,$G40),0)</f>
        <v>0</v>
      </c>
      <c r="AO40" s="93">
        <f>IF($BC40=1,AL40/SUMIFS(AL$3:AL$623,$BC$3:$BC$623,1,$G$3:$G$623,$G40),0)</f>
        <v>0</v>
      </c>
      <c r="AP40" s="2">
        <f>IFERROR(R40/$V40*90,"")</f>
        <v>0.4950495049504951</v>
      </c>
      <c r="AQ40" s="2">
        <f>IFERROR(S40/$V40*90,"")</f>
        <v>4.95049504950495E-2</v>
      </c>
      <c r="AR40" s="2">
        <f>IFERROR(W40/$V40*90,"")</f>
        <v>1.6831683168316831</v>
      </c>
      <c r="AS40" s="2">
        <f>IFERROR(X40/$V40*90,"")</f>
        <v>4.95049504950495E-2</v>
      </c>
      <c r="AT40" s="2">
        <f>IFERROR(Y40/$V40*90,"")</f>
        <v>4.95049504950495E-2</v>
      </c>
      <c r="AU40" s="2">
        <f>IF(AP40="",INDEX(BV$4:BV$7,MATCH(O40,$BU$4:$BU$7,0)),AP40)</f>
        <v>0.4950495049504951</v>
      </c>
      <c r="AV40" s="2">
        <f>IF(AQ40="",INDEX(BW$4:BW$7,MATCH($O40,$BU$4:$BU$7,0)),AQ40)</f>
        <v>4.95049504950495E-2</v>
      </c>
      <c r="AW40" s="2">
        <f t="shared" si="0"/>
        <v>1.6831683168316831</v>
      </c>
      <c r="AX40" s="2">
        <f t="shared" si="1"/>
        <v>4.95049504950495E-2</v>
      </c>
      <c r="AY40" s="2">
        <f t="shared" si="2"/>
        <v>4.95049504950495E-2</v>
      </c>
      <c r="AZ40" s="2">
        <f>AU40*0.5+AK40*0.5</f>
        <v>0.51446440764766121</v>
      </c>
      <c r="BA40" s="2">
        <f>AV40*0.5+AJ40*0.5</f>
        <v>0.10159514766131786</v>
      </c>
      <c r="BB40" s="2">
        <f t="shared" si="3"/>
        <v>2.475247524752475E-2</v>
      </c>
      <c r="BC40">
        <f>IF(I40="expected",1,0)</f>
        <v>0</v>
      </c>
      <c r="BD40" s="78">
        <f>IF(BC40=1,AZ40/SUMIFS(AZ$3:AZ$623,$BC$3:$BC$623,1,$G$3:$G$623,$G40),0)</f>
        <v>0</v>
      </c>
      <c r="BE40" s="78">
        <f>IF(BC40=1,BA40/SUMIFS(BA$3:BA$623,$BC$3:$BC$623,1,$G$3:$G$623,$G40),0)</f>
        <v>0</v>
      </c>
      <c r="BF40" s="78">
        <f t="shared" si="4"/>
        <v>0</v>
      </c>
      <c r="BG40" s="2">
        <f t="shared" si="5"/>
        <v>2.475247524752475E-2</v>
      </c>
      <c r="BH40" s="2">
        <f t="shared" si="6"/>
        <v>4.95049504950495E-2</v>
      </c>
      <c r="BI40" s="2">
        <f t="shared" si="7"/>
        <v>0</v>
      </c>
      <c r="BJ40" s="2">
        <f t="shared" si="8"/>
        <v>0</v>
      </c>
      <c r="BK40" s="2">
        <f t="shared" si="9"/>
        <v>0</v>
      </c>
      <c r="BL40" s="2">
        <f t="shared" si="10"/>
        <v>2.475247524752475E-2</v>
      </c>
      <c r="BM40" s="2">
        <f t="shared" si="11"/>
        <v>4.95049504950495E-2</v>
      </c>
      <c r="BN40" s="2">
        <f>BI40/SUMIFS(BI$3:BI$623,$BC$3:$BC$623,1,$G$3:$G$623,$G40)</f>
        <v>0</v>
      </c>
      <c r="BO40" s="2">
        <f>BJ40/SUMIFS(BJ$3:BJ$623,$BC$3:$BC$623,1,$G$3:$G$623,$G40)</f>
        <v>0</v>
      </c>
      <c r="BP40" s="2">
        <f>BK40/SUMIFS(BK$3:BK$623,$BC$3:$BC$623,1,$G$3:$G$623,$G40)</f>
        <v>0</v>
      </c>
      <c r="BQ40" s="2">
        <f>BL40</f>
        <v>2.475247524752475E-2</v>
      </c>
      <c r="BR40" s="2">
        <f>BM40</f>
        <v>4.95049504950495E-2</v>
      </c>
    </row>
    <row r="41" spans="1:70" hidden="1">
      <c r="A41" s="74">
        <v>0</v>
      </c>
      <c r="B41" s="73">
        <v>204573</v>
      </c>
      <c r="C41" s="73" t="s">
        <v>1152</v>
      </c>
      <c r="D41" s="73" t="s">
        <v>1153</v>
      </c>
      <c r="E41" s="73" t="s">
        <v>1154</v>
      </c>
      <c r="F41" s="73">
        <v>18694</v>
      </c>
      <c r="G41" s="73" t="s">
        <v>876</v>
      </c>
      <c r="H41" s="73" t="s">
        <v>909</v>
      </c>
      <c r="I41" s="73" t="s">
        <v>981</v>
      </c>
      <c r="J41" s="73">
        <v>0</v>
      </c>
      <c r="K41" s="73">
        <v>8</v>
      </c>
      <c r="L41" s="73">
        <v>0</v>
      </c>
      <c r="M41" s="73">
        <v>0</v>
      </c>
      <c r="N41" s="73">
        <v>0</v>
      </c>
      <c r="O41" s="73" t="s">
        <v>994</v>
      </c>
      <c r="P41" s="73" t="s">
        <v>1155</v>
      </c>
      <c r="Q41" s="73" t="s">
        <v>1155</v>
      </c>
      <c r="R41" s="73">
        <v>3</v>
      </c>
      <c r="S41" s="73">
        <v>4</v>
      </c>
      <c r="T41" s="73">
        <v>0</v>
      </c>
      <c r="U41" s="73">
        <v>11</v>
      </c>
      <c r="V41" s="73">
        <v>3159</v>
      </c>
      <c r="W41" s="73">
        <v>6</v>
      </c>
      <c r="X41" s="73">
        <v>5</v>
      </c>
      <c r="Y41" s="73">
        <v>0</v>
      </c>
      <c r="Z41" s="73" t="s">
        <v>1095</v>
      </c>
      <c r="AA41" s="73" t="s">
        <v>691</v>
      </c>
      <c r="AB41" s="73" t="str">
        <f>IF(AA41&lt;&gt;"",INDEX(Lookup!$N$2:$N$5,MATCH(Players!AA41,Lookup!$P$2:$P$5,0)),INDEX(Lookup!$N$2:$N$5,MATCH(Players!O41,Lookup!$O$2:$O$5,0)))</f>
        <v>Midfield</v>
      </c>
      <c r="AC41" s="73">
        <v>4000000</v>
      </c>
      <c r="AD41" s="73" t="s">
        <v>1156</v>
      </c>
      <c r="AE41" s="73" t="str">
        <f>INDEX('Translate table'!$H$2:$H$622,MATCH(Players!P41,'Translate table'!$G$2:$G$622,0))</f>
        <v>Frenkie de Jong</v>
      </c>
      <c r="AF41" s="73">
        <f>IFERROR(INDEX('Euro Qual stats'!$A$1:$L$2071,MATCH(Players!$AE41,'Euro Qual stats'!$A$1:$A$2071,0),MATCH(Players!AF$2,'Euro Qual stats'!$A$1:$L$1,0)),0)</f>
        <v>8</v>
      </c>
      <c r="AG41" s="73">
        <f>IFERROR(INDEX('Euro Qual stats'!$A$1:$L$2071,MATCH(Players!$AE41,'Euro Qual stats'!$A$1:$A$2071,0),MATCH(Players!AG$2,'Euro Qual stats'!$A$1:$L$1,0)),0)</f>
        <v>0.13</v>
      </c>
      <c r="AH41" s="73">
        <f>IFERROR(INDEX('Euro Qual stats'!$A$1:$L$2071,MATCH(Players!$AE41,'Euro Qual stats'!$A$1:$A$2071,0),MATCH(Players!AH$2,'Euro Qual stats'!$A$1:$L$1,0)),0)</f>
        <v>0.13</v>
      </c>
      <c r="AI41" s="73">
        <f>IFERROR(INDEX('Euro Qual stats'!$A$1:$L$2071,MATCH(Players!$AE41,'Euro Qual stats'!$A$1:$A$2071,0),MATCH(Players!AI$2,'Euro Qual stats'!$A$1:$L$1,0)),0)</f>
        <v>0.13</v>
      </c>
      <c r="AJ41" s="93">
        <f>(12-AF41)/12*INDEX(BV$9:BV$12,MATCH($AB41,$BU$9:$BU$12,0))+AF41/12*AG41</f>
        <v>0.14289703315881325</v>
      </c>
      <c r="AK41" s="93">
        <f>(12-AG41)/12*INDEX(BW$9:BW$12,MATCH($AB41,$BU$9:$BU$12,0))+AG41/12*AH41</f>
        <v>0.2223912739965096</v>
      </c>
      <c r="AL41" s="93">
        <f>(12-AH41)/12*INDEX(BX$9:BX$12,MATCH($AB41,$BU$9:$BU$12,0))+AH41/12*AI41</f>
        <v>0.2382386561954625</v>
      </c>
      <c r="AM41" s="93">
        <f>IF($BC41=1,AJ41/SUMIFS(AJ$3:AJ$623,$BC$3:$BC$623,1,$G$3:$G$623,$G41),0)</f>
        <v>7.9969199463278476E-2</v>
      </c>
      <c r="AN41" s="93">
        <f>IF($BC41=1,AK41/SUMIFS(AK$3:AK$623,$BC$3:$BC$623,1,$G$3:$G$623,$G41),0)</f>
        <v>8.0424837720194986E-2</v>
      </c>
      <c r="AO41" s="93">
        <f>IF($BC41=1,AL41/SUMIFS(AL$3:AL$623,$BC$3:$BC$623,1,$G$3:$G$623,$G41),0)</f>
        <v>0.12092794472840257</v>
      </c>
      <c r="AP41" s="2">
        <f>IFERROR(R41/$V41*90,"")</f>
        <v>8.5470085470085472E-2</v>
      </c>
      <c r="AQ41" s="2">
        <f>IFERROR(S41/$V41*90,"")</f>
        <v>0.11396011396011396</v>
      </c>
      <c r="AR41" s="2">
        <f>IFERROR(W41/$V41*90,"")</f>
        <v>0.17094017094017094</v>
      </c>
      <c r="AS41" s="2">
        <f>IFERROR(X41/$V41*90,"")</f>
        <v>0.14245014245014245</v>
      </c>
      <c r="AT41" s="2">
        <f>IFERROR(Y41/$V41*90,"")</f>
        <v>0</v>
      </c>
      <c r="AU41" s="2">
        <f>IF(AP41="",INDEX(BV$4:BV$7,MATCH(O41,$BU$4:$BU$7,0)),AP41)</f>
        <v>8.5470085470085472E-2</v>
      </c>
      <c r="AV41" s="2">
        <f>IF(AQ41="",INDEX(BW$4:BW$7,MATCH($O41,$BU$4:$BU$7,0)),AQ41)</f>
        <v>0.11396011396011396</v>
      </c>
      <c r="AW41" s="2">
        <f t="shared" si="0"/>
        <v>0.17094017094017094</v>
      </c>
      <c r="AX41" s="2">
        <f t="shared" si="1"/>
        <v>0.14245014245014245</v>
      </c>
      <c r="AY41" s="2">
        <f t="shared" si="2"/>
        <v>0</v>
      </c>
      <c r="AZ41" s="2">
        <f>AU41*0.5+AK41*0.5</f>
        <v>0.15393067973329755</v>
      </c>
      <c r="BA41" s="2">
        <f>AV41*0.5+AJ41*0.5</f>
        <v>0.1284285735594636</v>
      </c>
      <c r="BB41" s="2">
        <f t="shared" si="3"/>
        <v>0.13622507122507121</v>
      </c>
      <c r="BC41">
        <f>IF(I41="expected",1,0)</f>
        <v>1</v>
      </c>
      <c r="BD41" s="78">
        <f>IF(BC41=1,AZ41/SUMIFS(AZ$3:AZ$623,$BC$3:$BC$623,1,$G$3:$G$623,$G41),0)</f>
        <v>7.7829216050583197E-2</v>
      </c>
      <c r="BE41" s="78">
        <f>IF(BC41=1,BA41/SUMIFS(BA$3:BA$623,$BC$3:$BC$623,1,$G$3:$G$623,$G41),0)</f>
        <v>0.10023628019913292</v>
      </c>
      <c r="BF41" s="78">
        <f t="shared" si="4"/>
        <v>4.0675201913159681E-2</v>
      </c>
      <c r="BG41" s="2">
        <f t="shared" si="5"/>
        <v>0.13622507122507121</v>
      </c>
      <c r="BH41" s="2">
        <f t="shared" si="6"/>
        <v>0</v>
      </c>
      <c r="BI41" s="2">
        <f t="shared" si="7"/>
        <v>7.7829216050583197E-2</v>
      </c>
      <c r="BJ41" s="2">
        <f t="shared" si="8"/>
        <v>0.10023628019913292</v>
      </c>
      <c r="BK41" s="2">
        <f t="shared" si="9"/>
        <v>4.0675201913159681E-2</v>
      </c>
      <c r="BL41" s="2">
        <f t="shared" si="10"/>
        <v>0.13622507122507121</v>
      </c>
      <c r="BM41" s="2">
        <f t="shared" si="11"/>
        <v>0</v>
      </c>
      <c r="BN41" s="2">
        <f>BI41/SUMIFS(BI$3:BI$623,$BC$3:$BC$623,1,$G$3:$G$623,$G41)</f>
        <v>7.7829216050583211E-2</v>
      </c>
      <c r="BO41" s="2">
        <f>BJ41/SUMIFS(BJ$3:BJ$623,$BC$3:$BC$623,1,$G$3:$G$623,$G41)</f>
        <v>0.11541726080608779</v>
      </c>
      <c r="BP41" s="2">
        <f>BK41/SUMIFS(BK$3:BK$623,$BC$3:$BC$623,1,$G$3:$G$623,$G41)</f>
        <v>4.4556764311310067E-2</v>
      </c>
      <c r="BQ41" s="2">
        <f>BL41</f>
        <v>0.13622507122507121</v>
      </c>
      <c r="BR41" s="2">
        <f>BM41</f>
        <v>0</v>
      </c>
    </row>
    <row r="42" spans="1:70" hidden="1">
      <c r="A42" s="74">
        <v>0</v>
      </c>
      <c r="B42" s="73">
        <v>204588</v>
      </c>
      <c r="C42" s="73" t="s">
        <v>1157</v>
      </c>
      <c r="D42" s="73" t="s">
        <v>1158</v>
      </c>
      <c r="E42" s="73" t="s">
        <v>1154</v>
      </c>
      <c r="F42" s="73">
        <v>18694</v>
      </c>
      <c r="G42" s="73" t="s">
        <v>876</v>
      </c>
      <c r="H42" s="73" t="s">
        <v>909</v>
      </c>
      <c r="I42" s="73" t="s">
        <v>981</v>
      </c>
      <c r="J42" s="73">
        <v>0</v>
      </c>
      <c r="K42" s="73">
        <v>8</v>
      </c>
      <c r="L42" s="73">
        <v>0</v>
      </c>
      <c r="M42" s="73">
        <v>0</v>
      </c>
      <c r="N42" s="73">
        <v>0</v>
      </c>
      <c r="O42" s="73" t="s">
        <v>982</v>
      </c>
      <c r="P42" s="73" t="s">
        <v>1159</v>
      </c>
      <c r="Q42" s="73" t="s">
        <v>1159</v>
      </c>
      <c r="R42" s="73">
        <v>4</v>
      </c>
      <c r="S42" s="73">
        <v>0</v>
      </c>
      <c r="T42" s="73">
        <v>0</v>
      </c>
      <c r="U42" s="73">
        <v>0</v>
      </c>
      <c r="V42" s="73">
        <v>1262</v>
      </c>
      <c r="W42" s="73">
        <v>11</v>
      </c>
      <c r="X42" s="73">
        <v>3</v>
      </c>
      <c r="Y42" s="73">
        <v>0</v>
      </c>
      <c r="Z42" s="73" t="s">
        <v>1095</v>
      </c>
      <c r="AA42" s="73" t="s">
        <v>693</v>
      </c>
      <c r="AB42" s="73" t="str">
        <f>IF(AA42&lt;&gt;"",INDEX(Lookup!$N$2:$N$5,MATCH(Players!AA42,Lookup!$P$2:$P$5,0)),INDEX(Lookup!$N$2:$N$5,MATCH(Players!O42,Lookup!$O$2:$O$5,0)))</f>
        <v>Striker</v>
      </c>
      <c r="AC42" s="73">
        <v>5500000</v>
      </c>
      <c r="AD42" s="73" t="s">
        <v>815</v>
      </c>
      <c r="AE42" s="73" t="str">
        <f>INDEX('Translate table'!$H$2:$H$622,MATCH(Players!P42,'Translate table'!$G$2:$G$622,0))</f>
        <v>Luuk de Jong</v>
      </c>
      <c r="AF42" s="73">
        <f>IFERROR(INDEX('Euro Qual stats'!$A$1:$L$2071,MATCH(Players!$AE42,'Euro Qual stats'!$A$1:$A$2071,0),MATCH(Players!AF$2,'Euro Qual stats'!$A$1:$L$1,0)),0)</f>
        <v>6</v>
      </c>
      <c r="AG42" s="73">
        <f>IFERROR(INDEX('Euro Qual stats'!$A$1:$L$2071,MATCH(Players!$AE42,'Euro Qual stats'!$A$1:$A$2071,0),MATCH(Players!AG$2,'Euro Qual stats'!$A$1:$L$1,0)),0)</f>
        <v>0</v>
      </c>
      <c r="AH42" s="73">
        <f>IFERROR(INDEX('Euro Qual stats'!$A$1:$L$2071,MATCH(Players!$AE42,'Euro Qual stats'!$A$1:$A$2071,0),MATCH(Players!AH$2,'Euro Qual stats'!$A$1:$L$1,0)),0)</f>
        <v>0.63</v>
      </c>
      <c r="AI42" s="73">
        <f>IFERROR(INDEX('Euro Qual stats'!$A$1:$L$2071,MATCH(Players!$AE42,'Euro Qual stats'!$A$1:$A$2071,0),MATCH(Players!AI$2,'Euro Qual stats'!$A$1:$L$1,0)),0)</f>
        <v>0</v>
      </c>
      <c r="AJ42" s="93">
        <f>(12-AF42)/12*INDEX(BV$9:BV$12,MATCH($AB42,$BU$9:$BU$12,0))+AF42/12*AG42</f>
        <v>0.10245689655172416</v>
      </c>
      <c r="AK42" s="93">
        <f>(12-AG42)/12*INDEX(BW$9:BW$12,MATCH($AB42,$BU$9:$BU$12,0))+AG42/12*AH42</f>
        <v>0.53387931034482738</v>
      </c>
      <c r="AL42" s="93">
        <f>(12-AH42)/12*INDEX(BX$9:BX$12,MATCH($AB42,$BU$9:$BU$12,0))+AH42/12*AI42</f>
        <v>0.15617413793103449</v>
      </c>
      <c r="AM42" s="93">
        <f>IF($BC42=1,AJ42/SUMIFS(AJ$3:AJ$623,$BC$3:$BC$623,1,$G$3:$G$623,$G42),0)</f>
        <v>5.7337761432928569E-2</v>
      </c>
      <c r="AN42" s="93">
        <f>IF($BC42=1,AK42/SUMIFS(AK$3:AK$623,$BC$3:$BC$623,1,$G$3:$G$623,$G42),0)</f>
        <v>0.19307033106580546</v>
      </c>
      <c r="AO42" s="93">
        <f>IF($BC42=1,AL42/SUMIFS(AL$3:AL$623,$BC$3:$BC$623,1,$G$3:$G$623,$G42),0)</f>
        <v>7.9272683204841543E-2</v>
      </c>
      <c r="AP42" s="2">
        <f>IFERROR(R42/$V42*90,"")</f>
        <v>0.28526148969889065</v>
      </c>
      <c r="AQ42" s="2">
        <f>IFERROR(S42/$V42*90,"")</f>
        <v>0</v>
      </c>
      <c r="AR42" s="2">
        <f>IFERROR(W42/$V42*90,"")</f>
        <v>0.78446909667194931</v>
      </c>
      <c r="AS42" s="2">
        <f>IFERROR(X42/$V42*90,"")</f>
        <v>0.21394611727416799</v>
      </c>
      <c r="AT42" s="2">
        <f>IFERROR(Y42/$V42*90,"")</f>
        <v>0</v>
      </c>
      <c r="AU42" s="2">
        <f>IF(AP42="",INDEX(BV$4:BV$7,MATCH(O42,$BU$4:$BU$7,0)),AP42)</f>
        <v>0.28526148969889065</v>
      </c>
      <c r="AV42" s="2">
        <f>IF(AQ42="",INDEX(BW$4:BW$7,MATCH($O42,$BU$4:$BU$7,0)),AQ42)</f>
        <v>0</v>
      </c>
      <c r="AW42" s="2">
        <f t="shared" si="0"/>
        <v>0.78446909667194931</v>
      </c>
      <c r="AX42" s="2">
        <f t="shared" si="1"/>
        <v>0.21394611727416799</v>
      </c>
      <c r="AY42" s="2">
        <f t="shared" si="2"/>
        <v>0</v>
      </c>
      <c r="AZ42" s="2">
        <f>AU42*0.5+AK42*0.5</f>
        <v>0.40957040002185902</v>
      </c>
      <c r="BA42" s="2">
        <f>AV42*0.5+AJ42*0.5</f>
        <v>5.1228448275862079E-2</v>
      </c>
      <c r="BB42" s="2">
        <f t="shared" si="3"/>
        <v>0.10697305863708399</v>
      </c>
      <c r="BC42">
        <f>IF(I42="expected",1,0)</f>
        <v>1</v>
      </c>
      <c r="BD42" s="78">
        <f>IF(BC42=1,AZ42/SUMIFS(AZ$3:AZ$623,$BC$3:$BC$623,1,$G$3:$G$623,$G42),0)</f>
        <v>0.20708375488534708</v>
      </c>
      <c r="BE42" s="78">
        <f>IF(BC42=1,BA42/SUMIFS(BA$3:BA$623,$BC$3:$BC$623,1,$G$3:$G$623,$G42),0)</f>
        <v>3.9982917766882856E-2</v>
      </c>
      <c r="BF42" s="78">
        <f t="shared" si="4"/>
        <v>0.18666436757532828</v>
      </c>
      <c r="BG42" s="2">
        <f t="shared" si="5"/>
        <v>0.10697305863708399</v>
      </c>
      <c r="BH42" s="2">
        <f t="shared" si="6"/>
        <v>0</v>
      </c>
      <c r="BI42" s="2">
        <f t="shared" si="7"/>
        <v>0.20708375488534708</v>
      </c>
      <c r="BJ42" s="2">
        <f t="shared" si="8"/>
        <v>3.9982917766882856E-2</v>
      </c>
      <c r="BK42" s="2">
        <f t="shared" si="9"/>
        <v>0.18666436757532828</v>
      </c>
      <c r="BL42" s="2">
        <f t="shared" si="10"/>
        <v>0.10697305863708399</v>
      </c>
      <c r="BM42" s="2">
        <f t="shared" si="11"/>
        <v>0</v>
      </c>
      <c r="BN42" s="2">
        <f>BI42/SUMIFS(BI$3:BI$623,$BC$3:$BC$623,1,$G$3:$G$623,$G42)</f>
        <v>0.20708375488534711</v>
      </c>
      <c r="BO42" s="2">
        <f>BJ42/SUMIFS(BJ$3:BJ$623,$BC$3:$BC$623,1,$G$3:$G$623,$G42)</f>
        <v>4.6038408832818983E-2</v>
      </c>
      <c r="BP42" s="2">
        <f>BK42/SUMIFS(BK$3:BK$623,$BC$3:$BC$623,1,$G$3:$G$623,$G42)</f>
        <v>0.20447741720202239</v>
      </c>
      <c r="BQ42" s="2">
        <f>BL42</f>
        <v>0.10697305863708399</v>
      </c>
      <c r="BR42" s="2">
        <f>BM42</f>
        <v>0</v>
      </c>
    </row>
    <row r="43" spans="1:70" hidden="1">
      <c r="A43" s="74">
        <v>0</v>
      </c>
      <c r="B43" s="73">
        <v>204572</v>
      </c>
      <c r="C43" s="73" t="s">
        <v>1160</v>
      </c>
      <c r="D43" s="73" t="s">
        <v>1161</v>
      </c>
      <c r="E43" s="73" t="s">
        <v>1162</v>
      </c>
      <c r="F43" s="73">
        <v>18694</v>
      </c>
      <c r="G43" s="73" t="s">
        <v>876</v>
      </c>
      <c r="H43" s="73" t="s">
        <v>909</v>
      </c>
      <c r="I43" s="73" t="s">
        <v>1012</v>
      </c>
      <c r="J43" s="73">
        <v>0</v>
      </c>
      <c r="K43" s="73">
        <v>8</v>
      </c>
      <c r="L43" s="73">
        <v>0</v>
      </c>
      <c r="M43" s="73">
        <v>0</v>
      </c>
      <c r="N43" s="73">
        <v>0</v>
      </c>
      <c r="O43" s="73" t="s">
        <v>982</v>
      </c>
      <c r="P43" s="73" t="s">
        <v>1163</v>
      </c>
      <c r="Q43" s="73" t="s">
        <v>1164</v>
      </c>
      <c r="R43" s="73"/>
      <c r="S43" s="73"/>
      <c r="T43" s="73"/>
      <c r="U43" s="73"/>
      <c r="V43" s="73"/>
      <c r="W43" s="73"/>
      <c r="X43" s="73"/>
      <c r="Y43" s="73"/>
      <c r="Z43" s="73" t="s">
        <v>1095</v>
      </c>
      <c r="AA43" s="73" t="s">
        <v>693</v>
      </c>
      <c r="AB43" s="73" t="str">
        <f>IF(AA43&lt;&gt;"",INDEX(Lookup!$N$2:$N$5,MATCH(Players!AA43,Lookup!$P$2:$P$5,0)),INDEX(Lookup!$N$2:$N$5,MATCH(Players!O43,Lookup!$O$2:$O$5,0)))</f>
        <v>Striker</v>
      </c>
      <c r="AC43" s="73">
        <v>3500000</v>
      </c>
      <c r="AD43" s="73" t="s">
        <v>792</v>
      </c>
      <c r="AE43" s="73" t="str">
        <f>INDEX('Translate table'!$H$2:$H$622,MATCH(Players!P43,'Translate table'!$G$2:$G$622,0))</f>
        <v>Quincy Anton Promes</v>
      </c>
      <c r="AF43" s="73">
        <f>IFERROR(INDEX('Euro Qual stats'!$A$1:$L$2071,MATCH(Players!$AE43,'Euro Qual stats'!$A$1:$A$2071,0),MATCH(Players!AF$2,'Euro Qual stats'!$A$1:$L$1,0)),0)</f>
        <v>6</v>
      </c>
      <c r="AG43" s="73">
        <f>IFERROR(INDEX('Euro Qual stats'!$A$1:$L$2071,MATCH(Players!$AE43,'Euro Qual stats'!$A$1:$A$2071,0),MATCH(Players!AG$2,'Euro Qual stats'!$A$1:$L$1,0)),0)</f>
        <v>0.39</v>
      </c>
      <c r="AH43" s="73">
        <f>IFERROR(INDEX('Euro Qual stats'!$A$1:$L$2071,MATCH(Players!$AE43,'Euro Qual stats'!$A$1:$A$2071,0),MATCH(Players!AH$2,'Euro Qual stats'!$A$1:$L$1,0)),0)</f>
        <v>0</v>
      </c>
      <c r="AI43" s="73">
        <f>IFERROR(INDEX('Euro Qual stats'!$A$1:$L$2071,MATCH(Players!$AE43,'Euro Qual stats'!$A$1:$A$2071,0),MATCH(Players!AI$2,'Euro Qual stats'!$A$1:$L$1,0)),0)</f>
        <v>0</v>
      </c>
      <c r="AJ43" s="93">
        <f>(12-AF43)/12*INDEX(BV$9:BV$12,MATCH($AB43,$BU$9:$BU$12,0))+AF43/12*AG43</f>
        <v>0.29745689655172414</v>
      </c>
      <c r="AK43" s="93">
        <f>(12-AG43)/12*INDEX(BW$9:BW$12,MATCH($AB43,$BU$9:$BU$12,0))+AG43/12*AH43</f>
        <v>0.51652823275862048</v>
      </c>
      <c r="AL43" s="93">
        <f>(12-AH43)/12*INDEX(BX$9:BX$12,MATCH($AB43,$BU$9:$BU$12,0))+AH43/12*AI43</f>
        <v>0.16482758620689658</v>
      </c>
      <c r="AM43" s="93">
        <f>IF($BC43=1,AJ43/SUMIFS(AJ$3:AJ$623,$BC$3:$BC$623,1,$G$3:$G$623,$G43),0)</f>
        <v>0</v>
      </c>
      <c r="AN43" s="93">
        <f>IF($BC43=1,AK43/SUMIFS(AK$3:AK$623,$BC$3:$BC$623,1,$G$3:$G$623,$G43),0)</f>
        <v>0</v>
      </c>
      <c r="AO43" s="93">
        <f>IF($BC43=1,AL43/SUMIFS(AL$3:AL$623,$BC$3:$BC$623,1,$G$3:$G$623,$G43),0)</f>
        <v>0</v>
      </c>
      <c r="AP43" s="2" t="str">
        <f>IFERROR(R43/$V43*90,"")</f>
        <v/>
      </c>
      <c r="AQ43" s="2" t="str">
        <f>IFERROR(S43/$V43*90,"")</f>
        <v/>
      </c>
      <c r="AR43" s="2" t="str">
        <f>IFERROR(W43/$V43*90,"")</f>
        <v/>
      </c>
      <c r="AS43" s="2" t="str">
        <f>IFERROR(X43/$V43*90,"")</f>
        <v/>
      </c>
      <c r="AT43" s="2" t="str">
        <f>IFERROR(Y43/$V43*90,"")</f>
        <v/>
      </c>
      <c r="AU43" s="2">
        <f>IF(AP43="",INDEX(BV$4:BV$7,MATCH(O43,$BU$4:$BU$7,0)),AP43)</f>
        <v>0.18769551616266944</v>
      </c>
      <c r="AV43" s="2">
        <f>IF(AQ43="",INDEX(BW$4:BW$7,MATCH($O43,$BU$4:$BU$7,0)),AQ43)</f>
        <v>4.82573726541555E-2</v>
      </c>
      <c r="AW43" s="2">
        <f t="shared" si="0"/>
        <v>0.70512820512820518</v>
      </c>
      <c r="AX43" s="2">
        <f t="shared" si="1"/>
        <v>0.12295081967213115</v>
      </c>
      <c r="AY43" s="2">
        <f t="shared" si="2"/>
        <v>0</v>
      </c>
      <c r="AZ43" s="2">
        <f>AU43*0.5+AK43*0.5</f>
        <v>0.35211187446064496</v>
      </c>
      <c r="BA43" s="2">
        <f>AV43*0.5+AJ43*0.5</f>
        <v>0.17285713460293983</v>
      </c>
      <c r="BB43" s="2">
        <f t="shared" si="3"/>
        <v>6.1475409836065573E-2</v>
      </c>
      <c r="BC43">
        <f>IF(I43="expected",1,0)</f>
        <v>0</v>
      </c>
      <c r="BD43" s="78">
        <f>IF(BC43=1,AZ43/SUMIFS(AZ$3:AZ$623,$BC$3:$BC$623,1,$G$3:$G$623,$G43),0)</f>
        <v>0</v>
      </c>
      <c r="BE43" s="78">
        <f>IF(BC43=1,BA43/SUMIFS(BA$3:BA$623,$BC$3:$BC$623,1,$G$3:$G$623,$G43),0)</f>
        <v>0</v>
      </c>
      <c r="BF43" s="78">
        <f t="shared" si="4"/>
        <v>0</v>
      </c>
      <c r="BG43" s="2">
        <f t="shared" si="5"/>
        <v>6.1475409836065573E-2</v>
      </c>
      <c r="BH43" s="2">
        <f t="shared" si="6"/>
        <v>0</v>
      </c>
      <c r="BI43" s="2">
        <f t="shared" si="7"/>
        <v>0</v>
      </c>
      <c r="BJ43" s="2">
        <f t="shared" si="8"/>
        <v>0</v>
      </c>
      <c r="BK43" s="2">
        <f t="shared" si="9"/>
        <v>0</v>
      </c>
      <c r="BL43" s="2">
        <f t="shared" si="10"/>
        <v>6.1475409836065573E-2</v>
      </c>
      <c r="BM43" s="2">
        <f t="shared" si="11"/>
        <v>0</v>
      </c>
      <c r="BN43" s="2">
        <f>BI43/SUMIFS(BI$3:BI$623,$BC$3:$BC$623,1,$G$3:$G$623,$G43)</f>
        <v>0</v>
      </c>
      <c r="BO43" s="2">
        <f>BJ43/SUMIFS(BJ$3:BJ$623,$BC$3:$BC$623,1,$G$3:$G$623,$G43)</f>
        <v>0</v>
      </c>
      <c r="BP43" s="2">
        <f>BK43/SUMIFS(BK$3:BK$623,$BC$3:$BC$623,1,$G$3:$G$623,$G43)</f>
        <v>0</v>
      </c>
      <c r="BQ43" s="2">
        <f>BL43</f>
        <v>6.1475409836065573E-2</v>
      </c>
      <c r="BR43" s="2">
        <f>BM43</f>
        <v>0</v>
      </c>
    </row>
    <row r="44" spans="1:70" hidden="1">
      <c r="A44" s="74">
        <v>0</v>
      </c>
      <c r="B44" s="73">
        <v>213482</v>
      </c>
      <c r="C44" s="73" t="s">
        <v>1165</v>
      </c>
      <c r="D44" s="73" t="s">
        <v>1166</v>
      </c>
      <c r="E44" s="73" t="s">
        <v>1167</v>
      </c>
      <c r="F44" s="73">
        <v>18660</v>
      </c>
      <c r="G44" s="73" t="s">
        <v>892</v>
      </c>
      <c r="H44" s="73" t="s">
        <v>915</v>
      </c>
      <c r="I44" s="73" t="s">
        <v>981</v>
      </c>
      <c r="J44" s="73">
        <v>0</v>
      </c>
      <c r="K44" s="73">
        <v>8</v>
      </c>
      <c r="L44" s="73">
        <v>0</v>
      </c>
      <c r="M44" s="73">
        <v>0</v>
      </c>
      <c r="N44" s="73">
        <v>0</v>
      </c>
      <c r="O44" s="73" t="s">
        <v>994</v>
      </c>
      <c r="P44" s="73" t="s">
        <v>629</v>
      </c>
      <c r="Q44" s="73" t="s">
        <v>629</v>
      </c>
      <c r="R44" s="73">
        <v>4</v>
      </c>
      <c r="S44" s="73">
        <v>3</v>
      </c>
      <c r="T44" s="73">
        <v>0</v>
      </c>
      <c r="U44" s="73">
        <v>5</v>
      </c>
      <c r="V44" s="73">
        <v>1521</v>
      </c>
      <c r="W44" s="73">
        <v>16</v>
      </c>
      <c r="X44" s="73">
        <v>2</v>
      </c>
      <c r="Y44" s="73">
        <v>0</v>
      </c>
      <c r="Z44" s="73" t="s">
        <v>1046</v>
      </c>
      <c r="AA44" s="73" t="s">
        <v>691</v>
      </c>
      <c r="AB44" s="73" t="str">
        <f>IF(AA44&lt;&gt;"",INDEX(Lookup!$N$2:$N$5,MATCH(Players!AA44,Lookup!$P$2:$P$5,0)),INDEX(Lookup!$N$2:$N$5,MATCH(Players!O44,Lookup!$O$2:$O$5,0)))</f>
        <v>Midfield</v>
      </c>
      <c r="AC44" s="73">
        <v>6500000</v>
      </c>
      <c r="AD44" s="73" t="s">
        <v>806</v>
      </c>
      <c r="AE44" s="73" t="str">
        <f>INDEX('Translate table'!$H$2:$H$622,MATCH(Players!P44,'Translate table'!$G$2:$G$622,0))</f>
        <v>Kai Havertz</v>
      </c>
      <c r="AF44" s="73">
        <f>IFERROR(INDEX('Euro Qual stats'!$A$1:$L$2071,MATCH(Players!$AE44,'Euro Qual stats'!$A$1:$A$2071,0),MATCH(Players!AF$2,'Euro Qual stats'!$A$1:$L$1,0)),0)</f>
        <v>3</v>
      </c>
      <c r="AG44" s="73">
        <f>IFERROR(INDEX('Euro Qual stats'!$A$1:$L$2071,MATCH(Players!$AE44,'Euro Qual stats'!$A$1:$A$2071,0),MATCH(Players!AG$2,'Euro Qual stats'!$A$1:$L$1,0)),0)</f>
        <v>1.28</v>
      </c>
      <c r="AH44" s="73">
        <f>IFERROR(INDEX('Euro Qual stats'!$A$1:$L$2071,MATCH(Players!$AE44,'Euro Qual stats'!$A$1:$A$2071,0),MATCH(Players!AH$2,'Euro Qual stats'!$A$1:$L$1,0)),0)</f>
        <v>0</v>
      </c>
      <c r="AI44" s="73">
        <f>IFERROR(INDEX('Euro Qual stats'!$A$1:$L$2071,MATCH(Players!$AE44,'Euro Qual stats'!$A$1:$A$2071,0),MATCH(Players!AI$2,'Euro Qual stats'!$A$1:$L$1,0)),0)</f>
        <v>0</v>
      </c>
      <c r="AJ44" s="93">
        <f>(12-AF44)/12*INDEX(BV$9:BV$12,MATCH($AB44,$BU$9:$BU$12,0))+AF44/12*AG44</f>
        <v>0.44651832460732988</v>
      </c>
      <c r="AK44" s="93">
        <f>(12-AG44)/12*INDEX(BW$9:BW$12,MATCH($AB44,$BU$9:$BU$12,0))+AG44/12*AH44</f>
        <v>0.19957347294938918</v>
      </c>
      <c r="AL44" s="93">
        <f>(12-AH44)/12*INDEX(BX$9:BX$12,MATCH($AB44,$BU$9:$BU$12,0))+AH44/12*AI44</f>
        <v>0.23942408376963353</v>
      </c>
      <c r="AM44" s="93">
        <f>IF($BC44=1,AJ44/SUMIFS(AJ$3:AJ$623,$BC$3:$BC$623,1,$G$3:$G$623,$G44),0)</f>
        <v>0.23736001041151317</v>
      </c>
      <c r="AN44" s="93">
        <f>IF($BC44=1,AK44/SUMIFS(AK$3:AK$623,$BC$3:$BC$623,1,$G$3:$G$623,$G44),0)</f>
        <v>8.4124265964021505E-2</v>
      </c>
      <c r="AO44" s="93">
        <f>IF($BC44=1,AL44/SUMIFS(AL$3:AL$623,$BC$3:$BC$623,1,$G$3:$G$623,$G44),0)</f>
        <v>0.11768577120427655</v>
      </c>
      <c r="AP44" s="2">
        <f>IFERROR(R44/$V44*90,"")</f>
        <v>0.23668639053254439</v>
      </c>
      <c r="AQ44" s="2">
        <f>IFERROR(S44/$V44*90,"")</f>
        <v>0.1775147928994083</v>
      </c>
      <c r="AR44" s="2">
        <f>IFERROR(W44/$V44*90,"")</f>
        <v>0.94674556213017758</v>
      </c>
      <c r="AS44" s="2">
        <f>IFERROR(X44/$V44*90,"")</f>
        <v>0.1183431952662722</v>
      </c>
      <c r="AT44" s="2">
        <f>IFERROR(Y44/$V44*90,"")</f>
        <v>0</v>
      </c>
      <c r="AU44" s="2">
        <f>IF(AP44="",INDEX(BV$4:BV$7,MATCH(O44,$BU$4:$BU$7,0)),AP44)</f>
        <v>0.23668639053254439</v>
      </c>
      <c r="AV44" s="2">
        <f>IF(AQ44="",INDEX(BW$4:BW$7,MATCH($O44,$BU$4:$BU$7,0)),AQ44)</f>
        <v>0.1775147928994083</v>
      </c>
      <c r="AW44" s="2">
        <f t="shared" si="0"/>
        <v>0.94674556213017758</v>
      </c>
      <c r="AX44" s="2">
        <f t="shared" si="1"/>
        <v>0.1183431952662722</v>
      </c>
      <c r="AY44" s="2">
        <f t="shared" si="2"/>
        <v>0</v>
      </c>
      <c r="AZ44" s="2">
        <f>AU44*0.5+AK44*0.5</f>
        <v>0.21812993174096679</v>
      </c>
      <c r="BA44" s="2">
        <f>AV44*0.5+AJ44*0.5</f>
        <v>0.31201655875336909</v>
      </c>
      <c r="BB44" s="2">
        <f t="shared" si="3"/>
        <v>5.9171597633136098E-2</v>
      </c>
      <c r="BC44">
        <f>IF(I44="expected",1,0)</f>
        <v>1</v>
      </c>
      <c r="BD44" s="78">
        <f>IF(BC44=1,AZ44/SUMIFS(AZ$3:AZ$623,$BC$3:$BC$623,1,$G$3:$G$623,$G44),0)</f>
        <v>8.8797661765750532E-2</v>
      </c>
      <c r="BE44" s="78">
        <f>IF(BC44=1,BA44/SUMIFS(BA$3:BA$623,$BC$3:$BC$623,1,$G$3:$G$623,$G44),0)</f>
        <v>0.16245815630784036</v>
      </c>
      <c r="BF44" s="78">
        <f t="shared" si="4"/>
        <v>0.13183760246949616</v>
      </c>
      <c r="BG44" s="2">
        <f t="shared" si="5"/>
        <v>5.9171597633136098E-2</v>
      </c>
      <c r="BH44" s="2">
        <f t="shared" si="6"/>
        <v>0</v>
      </c>
      <c r="BI44" s="2">
        <f t="shared" si="7"/>
        <v>8.8797661765750532E-2</v>
      </c>
      <c r="BJ44" s="2">
        <f t="shared" si="8"/>
        <v>0.16245815630784036</v>
      </c>
      <c r="BK44" s="2">
        <f t="shared" si="9"/>
        <v>0.13183760246949616</v>
      </c>
      <c r="BL44" s="2">
        <f t="shared" si="10"/>
        <v>5.9171597633136098E-2</v>
      </c>
      <c r="BM44" s="2">
        <f t="shared" si="11"/>
        <v>0</v>
      </c>
      <c r="BN44" s="2">
        <f>BI44/SUMIFS(BI$3:BI$623,$BC$3:$BC$623,1,$G$3:$G$623,$G44)</f>
        <v>8.8797661765750532E-2</v>
      </c>
      <c r="BO44" s="2">
        <f>BJ44/SUMIFS(BJ$3:BJ$623,$BC$3:$BC$623,1,$G$3:$G$623,$G44)</f>
        <v>0.16245815630784036</v>
      </c>
      <c r="BP44" s="2">
        <f>BK44/SUMIFS(BK$3:BK$623,$BC$3:$BC$623,1,$G$3:$G$623,$G44)</f>
        <v>0.13183760246949616</v>
      </c>
      <c r="BQ44" s="2">
        <f>BL44</f>
        <v>5.9171597633136098E-2</v>
      </c>
      <c r="BR44" s="2">
        <f>BM44</f>
        <v>0</v>
      </c>
    </row>
    <row r="45" spans="1:70" hidden="1">
      <c r="A45" s="74">
        <v>0</v>
      </c>
      <c r="B45" s="73">
        <v>204663</v>
      </c>
      <c r="C45" s="73" t="s">
        <v>1168</v>
      </c>
      <c r="D45" s="73" t="s">
        <v>1169</v>
      </c>
      <c r="E45" s="73" t="s">
        <v>1170</v>
      </c>
      <c r="F45" s="73">
        <v>18660</v>
      </c>
      <c r="G45" s="73" t="s">
        <v>892</v>
      </c>
      <c r="H45" s="73" t="s">
        <v>915</v>
      </c>
      <c r="I45" s="73" t="s">
        <v>981</v>
      </c>
      <c r="J45" s="73">
        <v>0</v>
      </c>
      <c r="K45" s="73">
        <v>8</v>
      </c>
      <c r="L45" s="73">
        <v>0</v>
      </c>
      <c r="M45" s="73">
        <v>0</v>
      </c>
      <c r="N45" s="73">
        <v>0</v>
      </c>
      <c r="O45" s="73" t="s">
        <v>994</v>
      </c>
      <c r="P45" s="73" t="s">
        <v>1171</v>
      </c>
      <c r="Q45" s="73" t="s">
        <v>1171</v>
      </c>
      <c r="R45" s="73">
        <v>4</v>
      </c>
      <c r="S45" s="73">
        <v>10</v>
      </c>
      <c r="T45" s="73">
        <v>0</v>
      </c>
      <c r="U45" s="73">
        <v>8</v>
      </c>
      <c r="V45" s="73">
        <v>2197</v>
      </c>
      <c r="W45" s="73">
        <v>14</v>
      </c>
      <c r="X45" s="73">
        <v>4</v>
      </c>
      <c r="Y45" s="73">
        <v>0</v>
      </c>
      <c r="Z45" s="73" t="s">
        <v>1046</v>
      </c>
      <c r="AA45" s="73" t="s">
        <v>691</v>
      </c>
      <c r="AB45" s="73" t="str">
        <f>IF(AA45&lt;&gt;"",INDEX(Lookup!$N$2:$N$5,MATCH(Players!AA45,Lookup!$P$2:$P$5,0)),INDEX(Lookup!$N$2:$N$5,MATCH(Players!O45,Lookup!$O$2:$O$5,0)))</f>
        <v>Midfield</v>
      </c>
      <c r="AC45" s="73">
        <v>5000000</v>
      </c>
      <c r="AD45" s="73" t="s">
        <v>824</v>
      </c>
      <c r="AE45" s="73" t="str">
        <f>INDEX('Translate table'!$H$2:$H$622,MATCH(Players!P45,'Translate table'!$G$2:$G$622,0))</f>
        <v>Joshua Kimmich</v>
      </c>
      <c r="AF45" s="73">
        <f>IFERROR(INDEX('Euro Qual stats'!$A$1:$L$2071,MATCH(Players!$AE45,'Euro Qual stats'!$A$1:$A$2071,0),MATCH(Players!AF$2,'Euro Qual stats'!$A$1:$L$1,0)),0)</f>
        <v>8</v>
      </c>
      <c r="AG45" s="73">
        <f>IFERROR(INDEX('Euro Qual stats'!$A$1:$L$2071,MATCH(Players!$AE45,'Euro Qual stats'!$A$1:$A$2071,0),MATCH(Players!AG$2,'Euro Qual stats'!$A$1:$L$1,0)),0)</f>
        <v>0.25</v>
      </c>
      <c r="AH45" s="73">
        <f>IFERROR(INDEX('Euro Qual stats'!$A$1:$L$2071,MATCH(Players!$AE45,'Euro Qual stats'!$A$1:$A$2071,0),MATCH(Players!AH$2,'Euro Qual stats'!$A$1:$L$1,0)),0)</f>
        <v>0</v>
      </c>
      <c r="AI45" s="73">
        <f>IFERROR(INDEX('Euro Qual stats'!$A$1:$L$2071,MATCH(Players!$AE45,'Euro Qual stats'!$A$1:$A$2071,0),MATCH(Players!AI$2,'Euro Qual stats'!$A$1:$L$1,0)),0)</f>
        <v>0.13</v>
      </c>
      <c r="AJ45" s="93">
        <f>(12-AF45)/12*INDEX(BV$9:BV$12,MATCH($AB45,$BU$9:$BU$12,0))+AF45/12*AG45</f>
        <v>0.22289703315881326</v>
      </c>
      <c r="AK45" s="93">
        <f>(12-AG45)/12*INDEX(BW$9:BW$12,MATCH($AB45,$BU$9:$BU$12,0))+AG45/12*AH45</f>
        <v>0.21874890924956367</v>
      </c>
      <c r="AL45" s="93">
        <f>(12-AH45)/12*INDEX(BX$9:BX$12,MATCH($AB45,$BU$9:$BU$12,0))+AH45/12*AI45</f>
        <v>0.23942408376963353</v>
      </c>
      <c r="AM45" s="93">
        <f>IF($BC45=1,AJ45/SUMIFS(AJ$3:AJ$623,$BC$3:$BC$623,1,$G$3:$G$623,$G45),0)</f>
        <v>0.11848750475761059</v>
      </c>
      <c r="AN45" s="93">
        <f>IF($BC45=1,AK45/SUMIFS(AK$3:AK$623,$BC$3:$BC$623,1,$G$3:$G$623,$G45),0)</f>
        <v>9.2207101219892951E-2</v>
      </c>
      <c r="AO45" s="93">
        <f>IF($BC45=1,AL45/SUMIFS(AL$3:AL$623,$BC$3:$BC$623,1,$G$3:$G$623,$G45),0)</f>
        <v>0.11768577120427655</v>
      </c>
      <c r="AP45" s="2">
        <f>IFERROR(R45/$V45*90,"")</f>
        <v>0.16385980883022302</v>
      </c>
      <c r="AQ45" s="2">
        <f>IFERROR(S45/$V45*90,"")</f>
        <v>0.40964952207555755</v>
      </c>
      <c r="AR45" s="2">
        <f>IFERROR(W45/$V45*90,"")</f>
        <v>0.5735093309057806</v>
      </c>
      <c r="AS45" s="2">
        <f>IFERROR(X45/$V45*90,"")</f>
        <v>0.16385980883022302</v>
      </c>
      <c r="AT45" s="2">
        <f>IFERROR(Y45/$V45*90,"")</f>
        <v>0</v>
      </c>
      <c r="AU45" s="2">
        <f>IF(AP45="",INDEX(BV$4:BV$7,MATCH(O45,$BU$4:$BU$7,0)),AP45)</f>
        <v>0.16385980883022302</v>
      </c>
      <c r="AV45" s="2">
        <f>IF(AQ45="",INDEX(BW$4:BW$7,MATCH($O45,$BU$4:$BU$7,0)),AQ45)</f>
        <v>0.40964952207555755</v>
      </c>
      <c r="AW45" s="2">
        <f t="shared" si="0"/>
        <v>0.5735093309057806</v>
      </c>
      <c r="AX45" s="2">
        <f t="shared" si="1"/>
        <v>0.16385980883022302</v>
      </c>
      <c r="AY45" s="2">
        <f t="shared" si="2"/>
        <v>0</v>
      </c>
      <c r="AZ45" s="2">
        <f>AU45*0.5+AK45*0.5</f>
        <v>0.19130435903989335</v>
      </c>
      <c r="BA45" s="2">
        <f>AV45*0.5+AJ45*0.5</f>
        <v>0.31627327761718538</v>
      </c>
      <c r="BB45" s="2">
        <f t="shared" si="3"/>
        <v>0.1469299044151115</v>
      </c>
      <c r="BC45">
        <f>IF(I45="expected",1,0)</f>
        <v>1</v>
      </c>
      <c r="BD45" s="78">
        <f>IF(BC45=1,AZ45/SUMIFS(AZ$3:AZ$623,$BC$3:$BC$623,1,$G$3:$G$623,$G45),0)</f>
        <v>7.7877344171688304E-2</v>
      </c>
      <c r="BE45" s="78">
        <f>IF(BC45=1,BA45/SUMIFS(BA$3:BA$623,$BC$3:$BC$623,1,$G$3:$G$623,$G45),0)</f>
        <v>0.16467450886713841</v>
      </c>
      <c r="BF45" s="78">
        <f t="shared" si="4"/>
        <v>7.9863163034406326E-2</v>
      </c>
      <c r="BG45" s="2">
        <f t="shared" si="5"/>
        <v>0.1469299044151115</v>
      </c>
      <c r="BH45" s="2">
        <f t="shared" si="6"/>
        <v>0</v>
      </c>
      <c r="BI45" s="2">
        <f t="shared" si="7"/>
        <v>7.7877344171688304E-2</v>
      </c>
      <c r="BJ45" s="2">
        <f t="shared" si="8"/>
        <v>0.16467450886713841</v>
      </c>
      <c r="BK45" s="2">
        <f t="shared" si="9"/>
        <v>7.9863163034406326E-2</v>
      </c>
      <c r="BL45" s="2">
        <f t="shared" si="10"/>
        <v>0.1469299044151115</v>
      </c>
      <c r="BM45" s="2">
        <f t="shared" si="11"/>
        <v>0</v>
      </c>
      <c r="BN45" s="2">
        <f>BI45/SUMIFS(BI$3:BI$623,$BC$3:$BC$623,1,$G$3:$G$623,$G45)</f>
        <v>7.7877344171688304E-2</v>
      </c>
      <c r="BO45" s="2">
        <f>BJ45/SUMIFS(BJ$3:BJ$623,$BC$3:$BC$623,1,$G$3:$G$623,$G45)</f>
        <v>0.16467450886713841</v>
      </c>
      <c r="BP45" s="2">
        <f>BK45/SUMIFS(BK$3:BK$623,$BC$3:$BC$623,1,$G$3:$G$623,$G45)</f>
        <v>7.9863163034406326E-2</v>
      </c>
      <c r="BQ45" s="2">
        <f>BL45</f>
        <v>0.1469299044151115</v>
      </c>
      <c r="BR45" s="2">
        <f>BM45</f>
        <v>0</v>
      </c>
    </row>
    <row r="46" spans="1:70" hidden="1">
      <c r="A46" s="74">
        <v>0</v>
      </c>
      <c r="B46" s="73">
        <v>204655</v>
      </c>
      <c r="C46" s="73" t="s">
        <v>1172</v>
      </c>
      <c r="D46" s="73" t="s">
        <v>1173</v>
      </c>
      <c r="E46" s="73" t="s">
        <v>1174</v>
      </c>
      <c r="F46" s="73">
        <v>18660</v>
      </c>
      <c r="G46" s="73" t="s">
        <v>892</v>
      </c>
      <c r="H46" s="73" t="s">
        <v>915</v>
      </c>
      <c r="I46" s="73" t="s">
        <v>981</v>
      </c>
      <c r="J46" s="73">
        <v>0</v>
      </c>
      <c r="K46" s="73">
        <v>8</v>
      </c>
      <c r="L46" s="73">
        <v>0</v>
      </c>
      <c r="M46" s="73">
        <v>0</v>
      </c>
      <c r="N46" s="73">
        <v>0</v>
      </c>
      <c r="O46" s="73" t="s">
        <v>994</v>
      </c>
      <c r="P46" s="73" t="s">
        <v>1175</v>
      </c>
      <c r="Q46" s="73" t="s">
        <v>404</v>
      </c>
      <c r="R46" s="73">
        <v>13</v>
      </c>
      <c r="S46" s="73">
        <v>2</v>
      </c>
      <c r="T46" s="73">
        <v>0</v>
      </c>
      <c r="U46" s="73">
        <v>8</v>
      </c>
      <c r="V46" s="73">
        <v>2030</v>
      </c>
      <c r="W46" s="73">
        <v>22</v>
      </c>
      <c r="X46" s="73">
        <v>1</v>
      </c>
      <c r="Y46" s="73">
        <v>0</v>
      </c>
      <c r="Z46" s="73" t="s">
        <v>1046</v>
      </c>
      <c r="AA46" s="73" t="s">
        <v>691</v>
      </c>
      <c r="AB46" s="73" t="str">
        <f>IF(AA46&lt;&gt;"",INDEX(Lookup!$N$2:$N$5,MATCH(Players!AA46,Lookup!$P$2:$P$5,0)),INDEX(Lookup!$N$2:$N$5,MATCH(Players!O46,Lookup!$O$2:$O$5,0)))</f>
        <v>Midfield</v>
      </c>
      <c r="AC46" s="73">
        <v>7000000</v>
      </c>
      <c r="AD46" s="73" t="s">
        <v>802</v>
      </c>
      <c r="AE46" s="73" t="str">
        <f>INDEX('Translate table'!$H$2:$H$622,MATCH(Players!P46,'Translate table'!$G$2:$G$622,0))</f>
        <v>Ilay Eliyau Elmkies</v>
      </c>
      <c r="AF46" s="73">
        <f>IFERROR(INDEX('Euro Qual stats'!$A$1:$L$2071,MATCH(Players!$AE46,'Euro Qual stats'!$A$1:$A$2071,0),MATCH(Players!AF$2,'Euro Qual stats'!$A$1:$L$1,0)),0)</f>
        <v>4</v>
      </c>
      <c r="AG46" s="73">
        <f>IFERROR(INDEX('Euro Qual stats'!$A$1:$L$2071,MATCH(Players!$AE46,'Euro Qual stats'!$A$1:$A$2071,0),MATCH(Players!AG$2,'Euro Qual stats'!$A$1:$L$1,0)),0)</f>
        <v>0</v>
      </c>
      <c r="AH46" s="73">
        <f>IFERROR(INDEX('Euro Qual stats'!$A$1:$L$2071,MATCH(Players!$AE46,'Euro Qual stats'!$A$1:$A$2071,0),MATCH(Players!AH$2,'Euro Qual stats'!$A$1:$L$1,0)),0)</f>
        <v>0</v>
      </c>
      <c r="AI46" s="73">
        <f>IFERROR(INDEX('Euro Qual stats'!$A$1:$L$2071,MATCH(Players!$AE46,'Euro Qual stats'!$A$1:$A$2071,0),MATCH(Players!AI$2,'Euro Qual stats'!$A$1:$L$1,0)),0)</f>
        <v>0</v>
      </c>
      <c r="AJ46" s="93">
        <f>(12-AF46)/12*INDEX(BV$9:BV$12,MATCH($AB46,$BU$9:$BU$12,0))+AF46/12*AG46</f>
        <v>0.11246073298429318</v>
      </c>
      <c r="AK46" s="93">
        <f>(12-AG46)/12*INDEX(BW$9:BW$12,MATCH($AB46,$BU$9:$BU$12,0))+AG46/12*AH46</f>
        <v>0.22340314136125652</v>
      </c>
      <c r="AL46" s="93">
        <f>(12-AH46)/12*INDEX(BX$9:BX$12,MATCH($AB46,$BU$9:$BU$12,0))+AH46/12*AI46</f>
        <v>0.23942408376963353</v>
      </c>
      <c r="AM46" s="93">
        <f>IF($BC46=1,AJ46/SUMIFS(AJ$3:AJ$623,$BC$3:$BC$623,1,$G$3:$G$623,$G46),0)</f>
        <v>5.9781825920610918E-2</v>
      </c>
      <c r="AN46" s="93">
        <f>IF($BC46=1,AK46/SUMIFS(AK$3:AK$623,$BC$3:$BC$623,1,$G$3:$G$623,$G46),0)</f>
        <v>9.4168954437337499E-2</v>
      </c>
      <c r="AO46" s="93">
        <f>IF($BC46=1,AL46/SUMIFS(AL$3:AL$623,$BC$3:$BC$623,1,$G$3:$G$623,$G46),0)</f>
        <v>0.11768577120427655</v>
      </c>
      <c r="AP46" s="2">
        <f>IFERROR(R46/$V46*90,"")</f>
        <v>0.57635467980295563</v>
      </c>
      <c r="AQ46" s="2">
        <f>IFERROR(S46/$V46*90,"")</f>
        <v>8.8669950738916245E-2</v>
      </c>
      <c r="AR46" s="2">
        <f>IFERROR(W46/$V46*90,"")</f>
        <v>0.97536945812807874</v>
      </c>
      <c r="AS46" s="2">
        <f>IFERROR(X46/$V46*90,"")</f>
        <v>4.4334975369458123E-2</v>
      </c>
      <c r="AT46" s="2">
        <f>IFERROR(Y46/$V46*90,"")</f>
        <v>0</v>
      </c>
      <c r="AU46" s="2">
        <f>IF(AP46="",INDEX(BV$4:BV$7,MATCH(O46,$BU$4:$BU$7,0)),AP46)</f>
        <v>0.57635467980295563</v>
      </c>
      <c r="AV46" s="2">
        <f>IF(AQ46="",INDEX(BW$4:BW$7,MATCH($O46,$BU$4:$BU$7,0)),AQ46)</f>
        <v>8.8669950738916245E-2</v>
      </c>
      <c r="AW46" s="2">
        <f t="shared" si="0"/>
        <v>0.97536945812807874</v>
      </c>
      <c r="AX46" s="2">
        <f t="shared" si="1"/>
        <v>4.4334975369458123E-2</v>
      </c>
      <c r="AY46" s="2">
        <f t="shared" si="2"/>
        <v>0</v>
      </c>
      <c r="AZ46" s="2">
        <f>AU46*0.5+AK46*0.5</f>
        <v>0.39987891058210606</v>
      </c>
      <c r="BA46" s="2">
        <f>AV46*0.5+AJ46*0.5</f>
        <v>0.10056534186160471</v>
      </c>
      <c r="BB46" s="2">
        <f t="shared" si="3"/>
        <v>2.2167487684729061E-2</v>
      </c>
      <c r="BC46">
        <f>IF(I46="expected",1,0)</f>
        <v>1</v>
      </c>
      <c r="BD46" s="78">
        <f>IF(BC46=1,AZ46/SUMIFS(AZ$3:AZ$623,$BC$3:$BC$623,1,$G$3:$G$623,$G46),0)</f>
        <v>0.16278514354138895</v>
      </c>
      <c r="BE46" s="78">
        <f>IF(BC46=1,BA46/SUMIFS(BA$3:BA$623,$BC$3:$BC$623,1,$G$3:$G$623,$G46),0)</f>
        <v>5.2361515980368041E-2</v>
      </c>
      <c r="BF46" s="78">
        <f t="shared" si="4"/>
        <v>0.13582357924366625</v>
      </c>
      <c r="BG46" s="2">
        <f t="shared" si="5"/>
        <v>2.2167487684729061E-2</v>
      </c>
      <c r="BH46" s="2">
        <f t="shared" si="6"/>
        <v>0</v>
      </c>
      <c r="BI46" s="2">
        <f t="shared" si="7"/>
        <v>0.16278514354138895</v>
      </c>
      <c r="BJ46" s="2">
        <f t="shared" si="8"/>
        <v>5.2361515980368041E-2</v>
      </c>
      <c r="BK46" s="2">
        <f t="shared" si="9"/>
        <v>0.13582357924366625</v>
      </c>
      <c r="BL46" s="2">
        <f t="shared" si="10"/>
        <v>2.2167487684729061E-2</v>
      </c>
      <c r="BM46" s="2">
        <f t="shared" si="11"/>
        <v>0</v>
      </c>
      <c r="BN46" s="2">
        <f>BI46/SUMIFS(BI$3:BI$623,$BC$3:$BC$623,1,$G$3:$G$623,$G46)</f>
        <v>0.16278514354138895</v>
      </c>
      <c r="BO46" s="2">
        <f>BJ46/SUMIFS(BJ$3:BJ$623,$BC$3:$BC$623,1,$G$3:$G$623,$G46)</f>
        <v>5.2361515980368041E-2</v>
      </c>
      <c r="BP46" s="2">
        <f>BK46/SUMIFS(BK$3:BK$623,$BC$3:$BC$623,1,$G$3:$G$623,$G46)</f>
        <v>0.13582357924366625</v>
      </c>
      <c r="BQ46" s="2">
        <f>BL46</f>
        <v>2.2167487684729061E-2</v>
      </c>
      <c r="BR46" s="2">
        <f>BM46</f>
        <v>0</v>
      </c>
    </row>
    <row r="47" spans="1:70" hidden="1">
      <c r="A47" s="74">
        <v>0</v>
      </c>
      <c r="B47" s="73">
        <v>204624</v>
      </c>
      <c r="C47" s="73" t="s">
        <v>1176</v>
      </c>
      <c r="D47" s="73" t="s">
        <v>1177</v>
      </c>
      <c r="E47" s="73" t="s">
        <v>1178</v>
      </c>
      <c r="F47" s="73">
        <v>18645</v>
      </c>
      <c r="G47" s="73" t="s">
        <v>879</v>
      </c>
      <c r="H47" s="73" t="s">
        <v>933</v>
      </c>
      <c r="I47" s="73" t="s">
        <v>1012</v>
      </c>
      <c r="J47" s="73">
        <v>0</v>
      </c>
      <c r="K47" s="73">
        <v>8</v>
      </c>
      <c r="L47" s="73">
        <v>0</v>
      </c>
      <c r="M47" s="73">
        <v>0</v>
      </c>
      <c r="N47" s="73">
        <v>0</v>
      </c>
      <c r="O47" s="73" t="s">
        <v>982</v>
      </c>
      <c r="P47" s="73" t="s">
        <v>152</v>
      </c>
      <c r="Q47" s="73" t="s">
        <v>152</v>
      </c>
      <c r="R47" s="73">
        <v>16</v>
      </c>
      <c r="S47" s="73">
        <v>0</v>
      </c>
      <c r="T47" s="73">
        <v>0</v>
      </c>
      <c r="U47" s="73">
        <v>8</v>
      </c>
      <c r="V47" s="73">
        <v>2874</v>
      </c>
      <c r="W47" s="73">
        <v>46</v>
      </c>
      <c r="X47" s="73">
        <v>3</v>
      </c>
      <c r="Y47" s="73">
        <v>0</v>
      </c>
      <c r="Z47" s="73" t="s">
        <v>879</v>
      </c>
      <c r="AA47" s="73" t="s">
        <v>693</v>
      </c>
      <c r="AB47" s="73" t="str">
        <f>IF(AA47&lt;&gt;"",INDEX(Lookup!$N$2:$N$5,MATCH(Players!AA47,Lookup!$P$2:$P$5,0)),INDEX(Lookup!$N$2:$N$5,MATCH(Players!O47,Lookup!$O$2:$O$5,0)))</f>
        <v>Striker</v>
      </c>
      <c r="AC47" s="73">
        <v>5000000</v>
      </c>
      <c r="AD47" s="73" t="s">
        <v>790</v>
      </c>
      <c r="AE47" s="73" t="str">
        <f>INDEX('Translate table'!$H$2:$H$622,MATCH(Players!P47,'Translate table'!$G$2:$G$622,0))</f>
        <v>Dominik Nagy</v>
      </c>
      <c r="AF47" s="73">
        <f>IFERROR(INDEX('Euro Qual stats'!$A$1:$L$2071,MATCH(Players!$AE47,'Euro Qual stats'!$A$1:$A$2071,0),MATCH(Players!AF$2,'Euro Qual stats'!$A$1:$L$1,0)),0)</f>
        <v>4</v>
      </c>
      <c r="AG47" s="73">
        <f>IFERROR(INDEX('Euro Qual stats'!$A$1:$L$2071,MATCH(Players!$AE47,'Euro Qual stats'!$A$1:$A$2071,0),MATCH(Players!AG$2,'Euro Qual stats'!$A$1:$L$1,0)),0)</f>
        <v>0</v>
      </c>
      <c r="AH47" s="73">
        <f>IFERROR(INDEX('Euro Qual stats'!$A$1:$L$2071,MATCH(Players!$AE47,'Euro Qual stats'!$A$1:$A$2071,0),MATCH(Players!AH$2,'Euro Qual stats'!$A$1:$L$1,0)),0)</f>
        <v>0</v>
      </c>
      <c r="AI47" s="73">
        <f>IFERROR(INDEX('Euro Qual stats'!$A$1:$L$2071,MATCH(Players!$AE47,'Euro Qual stats'!$A$1:$A$2071,0),MATCH(Players!AI$2,'Euro Qual stats'!$A$1:$L$1,0)),0)</f>
        <v>0</v>
      </c>
      <c r="AJ47" s="93">
        <f>(12-AF47)/12*INDEX(BV$9:BV$12,MATCH($AB47,$BU$9:$BU$12,0))+AF47/12*AG47</f>
        <v>0.13660919540229888</v>
      </c>
      <c r="AK47" s="93">
        <f>(12-AG47)/12*INDEX(BW$9:BW$12,MATCH($AB47,$BU$9:$BU$12,0))+AG47/12*AH47</f>
        <v>0.53387931034482738</v>
      </c>
      <c r="AL47" s="93">
        <f>(12-AH47)/12*INDEX(BX$9:BX$12,MATCH($AB47,$BU$9:$BU$12,0))+AH47/12*AI47</f>
        <v>0.16482758620689658</v>
      </c>
      <c r="AM47" s="93">
        <f>IF($BC47=1,AJ47/SUMIFS(AJ$3:AJ$623,$BC$3:$BC$623,1,$G$3:$G$623,$G47),0)</f>
        <v>0</v>
      </c>
      <c r="AN47" s="93">
        <f>IF($BC47=1,AK47/SUMIFS(AK$3:AK$623,$BC$3:$BC$623,1,$G$3:$G$623,$G47),0)</f>
        <v>0</v>
      </c>
      <c r="AO47" s="93">
        <f>IF($BC47=1,AL47/SUMIFS(AL$3:AL$623,$BC$3:$BC$623,1,$G$3:$G$623,$G47),0)</f>
        <v>0</v>
      </c>
      <c r="AP47" s="2">
        <f>IFERROR(R47/$V47*90,"")</f>
        <v>0.5010438413361169</v>
      </c>
      <c r="AQ47" s="2">
        <f>IFERROR(S47/$V47*90,"")</f>
        <v>0</v>
      </c>
      <c r="AR47" s="2">
        <f>IFERROR(W47/$V47*90,"")</f>
        <v>1.4405010438413361</v>
      </c>
      <c r="AS47" s="2">
        <f>IFERROR(X47/$V47*90,"")</f>
        <v>9.3945720250521905E-2</v>
      </c>
      <c r="AT47" s="2">
        <f>IFERROR(Y47/$V47*90,"")</f>
        <v>0</v>
      </c>
      <c r="AU47" s="2">
        <f>IF(AP47="",INDEX(BV$4:BV$7,MATCH(O47,$BU$4:$BU$7,0)),AP47)</f>
        <v>0.5010438413361169</v>
      </c>
      <c r="AV47" s="2">
        <f>IF(AQ47="",INDEX(BW$4:BW$7,MATCH($O47,$BU$4:$BU$7,0)),AQ47)</f>
        <v>0</v>
      </c>
      <c r="AW47" s="2">
        <f t="shared" si="0"/>
        <v>1.4405010438413361</v>
      </c>
      <c r="AX47" s="2">
        <f t="shared" si="1"/>
        <v>9.3945720250521905E-2</v>
      </c>
      <c r="AY47" s="2">
        <f t="shared" si="2"/>
        <v>0</v>
      </c>
      <c r="AZ47" s="2">
        <f>AU47*0.5+AK47*0.5</f>
        <v>0.51746157584047214</v>
      </c>
      <c r="BA47" s="2">
        <f>AV47*0.5+AJ47*0.5</f>
        <v>6.8304597701149439E-2</v>
      </c>
      <c r="BB47" s="2">
        <f t="shared" si="3"/>
        <v>4.6972860125260953E-2</v>
      </c>
      <c r="BC47">
        <f>IF(I47="expected",1,0)</f>
        <v>0</v>
      </c>
      <c r="BD47" s="78">
        <f>IF(BC47=1,AZ47/SUMIFS(AZ$3:AZ$623,$BC$3:$BC$623,1,$G$3:$G$623,$G47),0)</f>
        <v>0</v>
      </c>
      <c r="BE47" s="78">
        <f>IF(BC47=1,BA47/SUMIFS(BA$3:BA$623,$BC$3:$BC$623,1,$G$3:$G$623,$G47),0)</f>
        <v>0</v>
      </c>
      <c r="BF47" s="78">
        <f t="shared" si="4"/>
        <v>0</v>
      </c>
      <c r="BG47" s="2">
        <f t="shared" si="5"/>
        <v>4.6972860125260953E-2</v>
      </c>
      <c r="BH47" s="2">
        <f t="shared" si="6"/>
        <v>0</v>
      </c>
      <c r="BI47" s="2">
        <f t="shared" si="7"/>
        <v>0</v>
      </c>
      <c r="BJ47" s="2">
        <f t="shared" si="8"/>
        <v>0</v>
      </c>
      <c r="BK47" s="2">
        <f t="shared" si="9"/>
        <v>0</v>
      </c>
      <c r="BL47" s="2">
        <f t="shared" si="10"/>
        <v>4.6972860125260953E-2</v>
      </c>
      <c r="BM47" s="2">
        <f t="shared" si="11"/>
        <v>0</v>
      </c>
      <c r="BN47" s="2">
        <f>BI47/SUMIFS(BI$3:BI$623,$BC$3:$BC$623,1,$G$3:$G$623,$G47)</f>
        <v>0</v>
      </c>
      <c r="BO47" s="2">
        <f>BJ47/SUMIFS(BJ$3:BJ$623,$BC$3:$BC$623,1,$G$3:$G$623,$G47)</f>
        <v>0</v>
      </c>
      <c r="BP47" s="2">
        <f>BK47/SUMIFS(BK$3:BK$623,$BC$3:$BC$623,1,$G$3:$G$623,$G47)</f>
        <v>0</v>
      </c>
      <c r="BQ47" s="2">
        <f>BL47</f>
        <v>4.6972860125260953E-2</v>
      </c>
      <c r="BR47" s="2">
        <f>BM47</f>
        <v>0</v>
      </c>
    </row>
    <row r="48" spans="1:70" hidden="1">
      <c r="A48" s="74">
        <v>0</v>
      </c>
      <c r="B48" s="73">
        <v>204691</v>
      </c>
      <c r="C48" s="73" t="s">
        <v>1179</v>
      </c>
      <c r="D48" s="73" t="s">
        <v>1180</v>
      </c>
      <c r="E48" s="73" t="s">
        <v>1181</v>
      </c>
      <c r="F48" s="73">
        <v>18701</v>
      </c>
      <c r="G48" s="73" t="s">
        <v>893</v>
      </c>
      <c r="H48" s="73" t="s">
        <v>947</v>
      </c>
      <c r="I48" s="73" t="s">
        <v>981</v>
      </c>
      <c r="J48" s="73">
        <v>0</v>
      </c>
      <c r="K48" s="73">
        <v>8</v>
      </c>
      <c r="L48" s="73">
        <v>0</v>
      </c>
      <c r="M48" s="73">
        <v>0</v>
      </c>
      <c r="N48" s="73">
        <v>0</v>
      </c>
      <c r="O48" s="73" t="s">
        <v>994</v>
      </c>
      <c r="P48" s="73" t="s">
        <v>1182</v>
      </c>
      <c r="Q48" s="73" t="s">
        <v>209</v>
      </c>
      <c r="R48" s="73">
        <v>2</v>
      </c>
      <c r="S48" s="73">
        <v>6</v>
      </c>
      <c r="T48" s="73">
        <v>0</v>
      </c>
      <c r="U48" s="73">
        <v>10</v>
      </c>
      <c r="V48" s="73">
        <v>2071</v>
      </c>
      <c r="W48" s="73">
        <v>13</v>
      </c>
      <c r="X48" s="73">
        <v>5</v>
      </c>
      <c r="Y48" s="73">
        <v>0</v>
      </c>
      <c r="Z48" s="73" t="s">
        <v>893</v>
      </c>
      <c r="AA48" s="73" t="s">
        <v>691</v>
      </c>
      <c r="AB48" s="73" t="str">
        <f>IF(AA48&lt;&gt;"",INDEX(Lookup!$N$2:$N$5,MATCH(Players!AA48,Lookup!$P$2:$P$5,0)),INDEX(Lookup!$N$2:$N$5,MATCH(Players!O48,Lookup!$O$2:$O$5,0)))</f>
        <v>Midfield</v>
      </c>
      <c r="AC48" s="73">
        <v>6500000</v>
      </c>
      <c r="AD48" s="73" t="s">
        <v>796</v>
      </c>
      <c r="AE48" s="73" t="str">
        <f>INDEX('Translate table'!$H$2:$H$622,MATCH(Players!P48,'Translate table'!$G$2:$G$622,0))</f>
        <v>Bernardo Silva</v>
      </c>
      <c r="AF48" s="73">
        <f>IFERROR(INDEX('Euro Qual stats'!$A$1:$L$2071,MATCH(Players!$AE48,'Euro Qual stats'!$A$1:$A$2071,0),MATCH(Players!AF$2,'Euro Qual stats'!$A$1:$L$1,0)),0)</f>
        <v>8</v>
      </c>
      <c r="AG48" s="73">
        <f>IFERROR(INDEX('Euro Qual stats'!$A$1:$L$2071,MATCH(Players!$AE48,'Euro Qual stats'!$A$1:$A$2071,0),MATCH(Players!AG$2,'Euro Qual stats'!$A$1:$L$1,0)),0)</f>
        <v>0.66</v>
      </c>
      <c r="AH48" s="73">
        <f>IFERROR(INDEX('Euro Qual stats'!$A$1:$L$2071,MATCH(Players!$AE48,'Euro Qual stats'!$A$1:$A$2071,0),MATCH(Players!AH$2,'Euro Qual stats'!$A$1:$L$1,0)),0)</f>
        <v>0.4</v>
      </c>
      <c r="AI48" s="73">
        <f>IFERROR(INDEX('Euro Qual stats'!$A$1:$L$2071,MATCH(Players!$AE48,'Euro Qual stats'!$A$1:$A$2071,0),MATCH(Players!AI$2,'Euro Qual stats'!$A$1:$L$1,0)),0)</f>
        <v>0.13</v>
      </c>
      <c r="AJ48" s="93">
        <f>(12-AF48)/12*INDEX(BV$9:BV$12,MATCH($AB48,$BU$9:$BU$12,0))+AF48/12*AG48</f>
        <v>0.49623036649214658</v>
      </c>
      <c r="AK48" s="93">
        <f>(12-AG48)/12*INDEX(BW$9:BW$12,MATCH($AB48,$BU$9:$BU$12,0))+AG48/12*AH48</f>
        <v>0.23311596858638739</v>
      </c>
      <c r="AL48" s="93">
        <f>(12-AH48)/12*INDEX(BX$9:BX$12,MATCH($AB48,$BU$9:$BU$12,0))+AH48/12*AI48</f>
        <v>0.23577661431064575</v>
      </c>
      <c r="AM48" s="93">
        <f>IF($BC48=1,AJ48/SUMIFS(AJ$3:AJ$623,$BC$3:$BC$623,1,$G$3:$G$623,$G48),0)</f>
        <v>0.32048174513354899</v>
      </c>
      <c r="AN48" s="93">
        <f>IF($BC48=1,AK48/SUMIFS(AK$3:AK$623,$BC$3:$BC$623,1,$G$3:$G$623,$G48),0)</f>
        <v>9.4777884363579243E-2</v>
      </c>
      <c r="AO48" s="93">
        <f>IF($BC48=1,AL48/SUMIFS(AL$3:AL$623,$BC$3:$BC$623,1,$G$3:$G$623,$G48),0)</f>
        <v>0.11692275872677527</v>
      </c>
      <c r="AP48" s="2">
        <f>IFERROR(R48/$V48*90,"")</f>
        <v>8.6914534041525826E-2</v>
      </c>
      <c r="AQ48" s="2">
        <f>IFERROR(S48/$V48*90,"")</f>
        <v>0.26074360212457748</v>
      </c>
      <c r="AR48" s="2">
        <f>IFERROR(W48/$V48*90,"")</f>
        <v>0.56494447126991787</v>
      </c>
      <c r="AS48" s="2">
        <f>IFERROR(X48/$V48*90,"")</f>
        <v>0.21728633510381457</v>
      </c>
      <c r="AT48" s="2">
        <f>IFERROR(Y48/$V48*90,"")</f>
        <v>0</v>
      </c>
      <c r="AU48" s="2">
        <f>IF(AP48="",INDEX(BV$4:BV$7,MATCH(O48,$BU$4:$BU$7,0)),AP48)</f>
        <v>8.6914534041525826E-2</v>
      </c>
      <c r="AV48" s="2">
        <f>IF(AQ48="",INDEX(BW$4:BW$7,MATCH($O48,$BU$4:$BU$7,0)),AQ48)</f>
        <v>0.26074360212457748</v>
      </c>
      <c r="AW48" s="2">
        <f t="shared" si="0"/>
        <v>0.56494447126991787</v>
      </c>
      <c r="AX48" s="2">
        <f t="shared" si="1"/>
        <v>0.21728633510381457</v>
      </c>
      <c r="AY48" s="2">
        <f t="shared" si="2"/>
        <v>0</v>
      </c>
      <c r="AZ48" s="2">
        <f>AU48*0.5+AK48*0.5</f>
        <v>0.16001525131395661</v>
      </c>
      <c r="BA48" s="2">
        <f>AV48*0.5+AJ48*0.5</f>
        <v>0.37848698430836203</v>
      </c>
      <c r="BB48" s="2">
        <f t="shared" si="3"/>
        <v>0.17364316755190728</v>
      </c>
      <c r="BC48">
        <f>IF(I48="expected",1,0)</f>
        <v>1</v>
      </c>
      <c r="BD48" s="78">
        <f>IF(BC48=1,AZ48/SUMIFS(AZ$3:AZ$623,$BC$3:$BC$623,1,$G$3:$G$623,$G48),0)</f>
        <v>6.1951327884522026E-2</v>
      </c>
      <c r="BE48" s="78">
        <f>IF(BC48=1,BA48/SUMIFS(BA$3:BA$623,$BC$3:$BC$623,1,$G$3:$G$623,$G48),0)</f>
        <v>0.30527710588693707</v>
      </c>
      <c r="BF48" s="78">
        <f t="shared" si="4"/>
        <v>7.2615124288293365E-2</v>
      </c>
      <c r="BG48" s="2">
        <f t="shared" si="5"/>
        <v>0.17364316755190728</v>
      </c>
      <c r="BH48" s="2">
        <f t="shared" si="6"/>
        <v>0</v>
      </c>
      <c r="BI48" s="2">
        <f t="shared" si="7"/>
        <v>6.1951327884522026E-2</v>
      </c>
      <c r="BJ48" s="2">
        <f t="shared" si="8"/>
        <v>0.3</v>
      </c>
      <c r="BK48" s="2">
        <f t="shared" si="9"/>
        <v>7.2615124288293365E-2</v>
      </c>
      <c r="BL48" s="2">
        <f t="shared" si="10"/>
        <v>0.17364316755190728</v>
      </c>
      <c r="BM48" s="2">
        <f t="shared" si="11"/>
        <v>0</v>
      </c>
      <c r="BN48" s="2">
        <f>BI48/SUMIFS(BI$3:BI$623,$BC$3:$BC$623,1,$G$3:$G$623,$G48)</f>
        <v>6.1951327884522032E-2</v>
      </c>
      <c r="BO48" s="2">
        <f>BJ48/SUMIFS(BJ$3:BJ$623,$BC$3:$BC$623,1,$G$3:$G$623,$G48)</f>
        <v>0.30159153044073922</v>
      </c>
      <c r="BP48" s="2">
        <f>BK48/SUMIFS(BK$3:BK$623,$BC$3:$BC$623,1,$G$3:$G$623,$G48)</f>
        <v>7.2615124288293365E-2</v>
      </c>
      <c r="BQ48" s="2">
        <f>BL48</f>
        <v>0.17364316755190728</v>
      </c>
      <c r="BR48" s="2">
        <f>BM48</f>
        <v>0</v>
      </c>
    </row>
    <row r="49" spans="1:70" hidden="1">
      <c r="A49" s="74">
        <v>0</v>
      </c>
      <c r="B49" s="73">
        <v>204699</v>
      </c>
      <c r="C49" s="73" t="s">
        <v>1183</v>
      </c>
      <c r="D49" s="73" t="s">
        <v>1184</v>
      </c>
      <c r="E49" s="73" t="s">
        <v>1185</v>
      </c>
      <c r="F49" s="73">
        <v>18701</v>
      </c>
      <c r="G49" s="73" t="s">
        <v>893</v>
      </c>
      <c r="H49" s="73" t="s">
        <v>947</v>
      </c>
      <c r="I49" s="73" t="s">
        <v>981</v>
      </c>
      <c r="J49" s="73">
        <v>0</v>
      </c>
      <c r="K49" s="73">
        <v>8</v>
      </c>
      <c r="L49" s="73">
        <v>0</v>
      </c>
      <c r="M49" s="73">
        <v>0</v>
      </c>
      <c r="N49" s="73">
        <v>0</v>
      </c>
      <c r="O49" s="73" t="s">
        <v>982</v>
      </c>
      <c r="P49" s="73" t="s">
        <v>255</v>
      </c>
      <c r="Q49" s="73" t="s">
        <v>255</v>
      </c>
      <c r="R49" s="73">
        <v>9</v>
      </c>
      <c r="S49" s="73">
        <v>0</v>
      </c>
      <c r="T49" s="73">
        <v>0</v>
      </c>
      <c r="U49" s="73">
        <v>0</v>
      </c>
      <c r="V49" s="73">
        <v>1113</v>
      </c>
      <c r="W49" s="73">
        <v>26</v>
      </c>
      <c r="X49" s="73">
        <v>2</v>
      </c>
      <c r="Y49" s="73">
        <v>0</v>
      </c>
      <c r="Z49" s="73" t="s">
        <v>893</v>
      </c>
      <c r="AA49" s="73" t="s">
        <v>693</v>
      </c>
      <c r="AB49" s="73" t="str">
        <f>IF(AA49&lt;&gt;"",INDEX(Lookup!$N$2:$N$5,MATCH(Players!AA49,Lookup!$P$2:$P$5,0)),INDEX(Lookup!$N$2:$N$5,MATCH(Players!O49,Lookup!$O$2:$O$5,0)))</f>
        <v>Striker</v>
      </c>
      <c r="AC49" s="73">
        <v>6500000</v>
      </c>
      <c r="AD49" s="73" t="s">
        <v>1139</v>
      </c>
      <c r="AE49" s="73" t="str">
        <f>INDEX('Translate table'!$H$2:$H$622,MATCH(Players!P49,'Translate table'!$G$2:$G$622,0))</f>
        <v>Diogo JosÃ© Teixeira da Silva</v>
      </c>
      <c r="AF49" s="73">
        <f>IFERROR(INDEX('Euro Qual stats'!$A$1:$L$2071,MATCH(Players!$AE49,'Euro Qual stats'!$A$1:$A$2071,0),MATCH(Players!AF$2,'Euro Qual stats'!$A$1:$L$1,0)),0)</f>
        <v>2</v>
      </c>
      <c r="AG49" s="73">
        <f>IFERROR(INDEX('Euro Qual stats'!$A$1:$L$2071,MATCH(Players!$AE49,'Euro Qual stats'!$A$1:$A$2071,0),MATCH(Players!AG$2,'Euro Qual stats'!$A$1:$L$1,0)),0)</f>
        <v>0</v>
      </c>
      <c r="AH49" s="73">
        <f>IFERROR(INDEX('Euro Qual stats'!$A$1:$L$2071,MATCH(Players!$AE49,'Euro Qual stats'!$A$1:$A$2071,0),MATCH(Players!AH$2,'Euro Qual stats'!$A$1:$L$1,0)),0)</f>
        <v>0</v>
      </c>
      <c r="AI49" s="73">
        <f>IFERROR(INDEX('Euro Qual stats'!$A$1:$L$2071,MATCH(Players!$AE49,'Euro Qual stats'!$A$1:$A$2071,0),MATCH(Players!AI$2,'Euro Qual stats'!$A$1:$L$1,0)),0)</f>
        <v>0</v>
      </c>
      <c r="AJ49" s="93">
        <f>(12-AF49)/12*INDEX(BV$9:BV$12,MATCH($AB49,$BU$9:$BU$12,0))+AF49/12*AG49</f>
        <v>0.1707614942528736</v>
      </c>
      <c r="AK49" s="93">
        <f>(12-AG49)/12*INDEX(BW$9:BW$12,MATCH($AB49,$BU$9:$BU$12,0))+AG49/12*AH49</f>
        <v>0.53387931034482738</v>
      </c>
      <c r="AL49" s="93">
        <f>(12-AH49)/12*INDEX(BX$9:BX$12,MATCH($AB49,$BU$9:$BU$12,0))+AH49/12*AI49</f>
        <v>0.16482758620689658</v>
      </c>
      <c r="AM49" s="93">
        <f>IF($BC49=1,AJ49/SUMIFS(AJ$3:AJ$623,$BC$3:$BC$623,1,$G$3:$G$623,$G49),0)</f>
        <v>0.11028333889888928</v>
      </c>
      <c r="AN49" s="93">
        <f>IF($BC49=1,AK49/SUMIFS(AK$3:AK$623,$BC$3:$BC$623,1,$G$3:$G$623,$G49),0)</f>
        <v>0.21705913947811906</v>
      </c>
      <c r="AO49" s="93">
        <f>IF($BC49=1,AL49/SUMIFS(AL$3:AL$623,$BC$3:$BC$623,1,$G$3:$G$623,$G49),0)</f>
        <v>8.1738793942447194E-2</v>
      </c>
      <c r="AP49" s="2">
        <f>IFERROR(R49/$V49*90,"")</f>
        <v>0.72776280323450138</v>
      </c>
      <c r="AQ49" s="2">
        <f>IFERROR(S49/$V49*90,"")</f>
        <v>0</v>
      </c>
      <c r="AR49" s="2">
        <f>IFERROR(W49/$V49*90,"")</f>
        <v>2.1024258760107819</v>
      </c>
      <c r="AS49" s="2">
        <f>IFERROR(X49/$V49*90,"")</f>
        <v>0.16172506738544476</v>
      </c>
      <c r="AT49" s="2">
        <f>IFERROR(Y49/$V49*90,"")</f>
        <v>0</v>
      </c>
      <c r="AU49" s="2">
        <f>IF(AP49="",INDEX(BV$4:BV$7,MATCH(O49,$BU$4:$BU$7,0)),AP49)</f>
        <v>0.72776280323450138</v>
      </c>
      <c r="AV49" s="2">
        <f>IF(AQ49="",INDEX(BW$4:BW$7,MATCH($O49,$BU$4:$BU$7,0)),AQ49)</f>
        <v>0</v>
      </c>
      <c r="AW49" s="2">
        <f t="shared" si="0"/>
        <v>2.1024258760107819</v>
      </c>
      <c r="AX49" s="2">
        <f t="shared" si="1"/>
        <v>0.16172506738544476</v>
      </c>
      <c r="AY49" s="2">
        <f t="shared" si="2"/>
        <v>0</v>
      </c>
      <c r="AZ49" s="2">
        <f>AU49*0.5+AK49*0.5</f>
        <v>0.63082105678966438</v>
      </c>
      <c r="BA49" s="2">
        <f>AV49*0.5+AJ49*0.5</f>
        <v>8.5380747126436798E-2</v>
      </c>
      <c r="BB49" s="2">
        <f t="shared" si="3"/>
        <v>8.086253369272238E-2</v>
      </c>
      <c r="BC49">
        <f>IF(I49="expected",1,0)</f>
        <v>1</v>
      </c>
      <c r="BD49" s="78">
        <f>IF(BC49=1,AZ49/SUMIFS(AZ$3:AZ$623,$BC$3:$BC$623,1,$G$3:$G$623,$G49),0)</f>
        <v>0.24422798329991807</v>
      </c>
      <c r="BE49" s="78">
        <f>IF(BC49=1,BA49/SUMIFS(BA$3:BA$623,$BC$3:$BC$623,1,$G$3:$G$623,$G49),0)</f>
        <v>6.8865742976216768E-2</v>
      </c>
      <c r="BF49" s="78">
        <f t="shared" si="4"/>
        <v>0.27023526037925533</v>
      </c>
      <c r="BG49" s="2">
        <f t="shared" si="5"/>
        <v>8.086253369272238E-2</v>
      </c>
      <c r="BH49" s="2">
        <f t="shared" si="6"/>
        <v>0</v>
      </c>
      <c r="BI49" s="2">
        <f t="shared" si="7"/>
        <v>0.24422798329991807</v>
      </c>
      <c r="BJ49" s="2">
        <f t="shared" si="8"/>
        <v>6.8865742976216768E-2</v>
      </c>
      <c r="BK49" s="2">
        <f t="shared" si="9"/>
        <v>0.27023526037925533</v>
      </c>
      <c r="BL49" s="2">
        <f t="shared" si="10"/>
        <v>8.086253369272238E-2</v>
      </c>
      <c r="BM49" s="2">
        <f t="shared" si="11"/>
        <v>0</v>
      </c>
      <c r="BN49" s="2">
        <f>BI49/SUMIFS(BI$3:BI$623,$BC$3:$BC$623,1,$G$3:$G$623,$G49)</f>
        <v>0.2442279832999181</v>
      </c>
      <c r="BO49" s="2">
        <f>BJ49/SUMIFS(BJ$3:BJ$623,$BC$3:$BC$623,1,$G$3:$G$623,$G49)</f>
        <v>6.923108273045267E-2</v>
      </c>
      <c r="BP49" s="2">
        <f>BK49/SUMIFS(BK$3:BK$623,$BC$3:$BC$623,1,$G$3:$G$623,$G49)</f>
        <v>0.27023526037925533</v>
      </c>
      <c r="BQ49" s="2">
        <f>BL49</f>
        <v>8.086253369272238E-2</v>
      </c>
      <c r="BR49" s="2">
        <f>BM49</f>
        <v>0</v>
      </c>
    </row>
    <row r="50" spans="1:70" hidden="1">
      <c r="A50" s="74">
        <v>0</v>
      </c>
      <c r="B50" s="73">
        <v>204644</v>
      </c>
      <c r="C50" s="73" t="s">
        <v>1186</v>
      </c>
      <c r="D50" s="73" t="s">
        <v>1187</v>
      </c>
      <c r="E50" s="73" t="s">
        <v>1188</v>
      </c>
      <c r="F50" s="73">
        <v>18710</v>
      </c>
      <c r="G50" s="73" t="s">
        <v>885</v>
      </c>
      <c r="H50" s="73" t="s">
        <v>943</v>
      </c>
      <c r="I50" s="73" t="s">
        <v>981</v>
      </c>
      <c r="J50" s="73">
        <v>0</v>
      </c>
      <c r="K50" s="73">
        <v>8</v>
      </c>
      <c r="L50" s="73">
        <v>0</v>
      </c>
      <c r="M50" s="73">
        <v>0</v>
      </c>
      <c r="N50" s="73">
        <v>0</v>
      </c>
      <c r="O50" s="73" t="s">
        <v>994</v>
      </c>
      <c r="P50" s="73" t="s">
        <v>1189</v>
      </c>
      <c r="Q50" s="73" t="s">
        <v>1189</v>
      </c>
      <c r="R50" s="73">
        <v>5</v>
      </c>
      <c r="S50" s="73">
        <v>9</v>
      </c>
      <c r="T50" s="73">
        <v>0</v>
      </c>
      <c r="U50" s="73">
        <v>5</v>
      </c>
      <c r="V50" s="73">
        <v>2205</v>
      </c>
      <c r="W50" s="73">
        <v>24</v>
      </c>
      <c r="X50" s="73">
        <v>1</v>
      </c>
      <c r="Y50" s="73">
        <v>0</v>
      </c>
      <c r="Z50" s="73" t="s">
        <v>1037</v>
      </c>
      <c r="AA50" s="73" t="s">
        <v>693</v>
      </c>
      <c r="AB50" s="73" t="str">
        <f>IF(AA50&lt;&gt;"",INDEX(Lookup!$N$2:$N$5,MATCH(Players!AA50,Lookup!$P$2:$P$5,0)),INDEX(Lookup!$N$2:$N$5,MATCH(Players!O50,Lookup!$O$2:$O$5,0)))</f>
        <v>Striker</v>
      </c>
      <c r="AC50" s="73">
        <v>5000000</v>
      </c>
      <c r="AD50" s="73" t="s">
        <v>798</v>
      </c>
      <c r="AE50" s="73" t="str">
        <f>INDEX('Translate table'!$H$2:$H$622,MATCH(Players!P50,'Translate table'!$G$2:$G$622,0))</f>
        <v>Dani Olmo</v>
      </c>
      <c r="AF50" s="73">
        <f>IFERROR(INDEX('Euro Qual stats'!$A$1:$L$2071,MATCH(Players!$AE50,'Euro Qual stats'!$A$1:$A$2071,0),MATCH(Players!AF$2,'Euro Qual stats'!$A$1:$L$1,0)),0)</f>
        <v>1</v>
      </c>
      <c r="AG50" s="73">
        <f>IFERROR(INDEX('Euro Qual stats'!$A$1:$L$2071,MATCH(Players!$AE50,'Euro Qual stats'!$A$1:$A$2071,0),MATCH(Players!AG$2,'Euro Qual stats'!$A$1:$L$1,0)),0)</f>
        <v>0</v>
      </c>
      <c r="AH50" s="73">
        <f>IFERROR(INDEX('Euro Qual stats'!$A$1:$L$2071,MATCH(Players!$AE50,'Euro Qual stats'!$A$1:$A$2071,0),MATCH(Players!AH$2,'Euro Qual stats'!$A$1:$L$1,0)),0)</f>
        <v>3.75</v>
      </c>
      <c r="AI50" s="73">
        <f>IFERROR(INDEX('Euro Qual stats'!$A$1:$L$2071,MATCH(Players!$AE50,'Euro Qual stats'!$A$1:$A$2071,0),MATCH(Players!AI$2,'Euro Qual stats'!$A$1:$L$1,0)),0)</f>
        <v>0</v>
      </c>
      <c r="AJ50" s="93">
        <f>(12-AF50)/12*INDEX(BV$9:BV$12,MATCH($AB50,$BU$9:$BU$12,0))+AF50/12*AG50</f>
        <v>0.18783764367816094</v>
      </c>
      <c r="AK50" s="93">
        <f>(12-AG50)/12*INDEX(BW$9:BW$12,MATCH($AB50,$BU$9:$BU$12,0))+AG50/12*AH50</f>
        <v>0.53387931034482738</v>
      </c>
      <c r="AL50" s="93">
        <f>(12-AH50)/12*INDEX(BX$9:BX$12,MATCH($AB50,$BU$9:$BU$12,0))+AH50/12*AI50</f>
        <v>0.1133189655172414</v>
      </c>
      <c r="AM50" s="93">
        <f>IF($BC50=1,AJ50/SUMIFS(AJ$3:AJ$623,$BC$3:$BC$623,1,$G$3:$G$623,$G50),0)</f>
        <v>9.9428253019080856E-2</v>
      </c>
      <c r="AN50" s="93">
        <f>IF($BC50=1,AK50/SUMIFS(AK$3:AK$623,$BC$3:$BC$623,1,$G$3:$G$623,$G50),0)</f>
        <v>0.16809834321310485</v>
      </c>
      <c r="AO50" s="93">
        <f>IF($BC50=1,AL50/SUMIFS(AL$3:AL$623,$BC$3:$BC$623,1,$G$3:$G$623,$G50),0)</f>
        <v>6.2436133794653979E-2</v>
      </c>
      <c r="AP50" s="2">
        <f>IFERROR(R50/$V50*90,"")</f>
        <v>0.20408163265306123</v>
      </c>
      <c r="AQ50" s="2">
        <f>IFERROR(S50/$V50*90,"")</f>
        <v>0.36734693877551022</v>
      </c>
      <c r="AR50" s="2">
        <f>IFERROR(W50/$V50*90,"")</f>
        <v>0.97959183673469385</v>
      </c>
      <c r="AS50" s="2">
        <f>IFERROR(X50/$V50*90,"")</f>
        <v>4.0816326530612249E-2</v>
      </c>
      <c r="AT50" s="2">
        <f>IFERROR(Y50/$V50*90,"")</f>
        <v>0</v>
      </c>
      <c r="AU50" s="2">
        <f>IF(AP50="",INDEX(BV$4:BV$7,MATCH(O50,$BU$4:$BU$7,0)),AP50)</f>
        <v>0.20408163265306123</v>
      </c>
      <c r="AV50" s="2">
        <f>IF(AQ50="",INDEX(BW$4:BW$7,MATCH($O50,$BU$4:$BU$7,0)),AQ50)</f>
        <v>0.36734693877551022</v>
      </c>
      <c r="AW50" s="2">
        <f t="shared" si="0"/>
        <v>0.97959183673469385</v>
      </c>
      <c r="AX50" s="2">
        <f t="shared" si="1"/>
        <v>4.0816326530612249E-2</v>
      </c>
      <c r="AY50" s="2">
        <f t="shared" si="2"/>
        <v>0</v>
      </c>
      <c r="AZ50" s="2">
        <f>AU50*0.5+AK50*0.5</f>
        <v>0.36898047149894431</v>
      </c>
      <c r="BA50" s="2">
        <f>AV50*0.5+AJ50*0.5</f>
        <v>0.2775922912268356</v>
      </c>
      <c r="BB50" s="2">
        <f t="shared" si="3"/>
        <v>2.0408163265306124E-2</v>
      </c>
      <c r="BC50">
        <f>IF(I50="expected",1,0)</f>
        <v>1</v>
      </c>
      <c r="BD50" s="78">
        <f>IF(BC50=1,AZ50/SUMIFS(AZ$3:AZ$623,$BC$3:$BC$623,1,$G$3:$G$623,$G50),0)</f>
        <v>0.13119212602637861</v>
      </c>
      <c r="BE50" s="78">
        <f>IF(BC50=1,BA50/SUMIFS(BA$3:BA$623,$BC$3:$BC$623,1,$G$3:$G$623,$G50),0)</f>
        <v>0.13838666650236756</v>
      </c>
      <c r="BF50" s="78">
        <f t="shared" si="4"/>
        <v>0.15977996148562029</v>
      </c>
      <c r="BG50" s="2">
        <f t="shared" si="5"/>
        <v>2.0408163265306124E-2</v>
      </c>
      <c r="BH50" s="2">
        <f t="shared" si="6"/>
        <v>0</v>
      </c>
      <c r="BI50" s="2">
        <f t="shared" si="7"/>
        <v>0.13119212602637861</v>
      </c>
      <c r="BJ50" s="2">
        <f t="shared" si="8"/>
        <v>0.13838666650236756</v>
      </c>
      <c r="BK50" s="2">
        <f t="shared" si="9"/>
        <v>0.15977996148562029</v>
      </c>
      <c r="BL50" s="2">
        <f t="shared" si="10"/>
        <v>2.0408163265306124E-2</v>
      </c>
      <c r="BM50" s="2">
        <f t="shared" si="11"/>
        <v>0</v>
      </c>
      <c r="BN50" s="2">
        <f>BI50/SUMIFS(BI$3:BI$623,$BC$3:$BC$623,1,$G$3:$G$623,$G50)</f>
        <v>0.13119212602637859</v>
      </c>
      <c r="BO50" s="2">
        <f>BJ50/SUMIFS(BJ$3:BJ$623,$BC$3:$BC$623,1,$G$3:$G$623,$G50)</f>
        <v>0.13838666650236756</v>
      </c>
      <c r="BP50" s="2">
        <f>BK50/SUMIFS(BK$3:BK$623,$BC$3:$BC$623,1,$G$3:$G$623,$G50)</f>
        <v>0.15977996148562032</v>
      </c>
      <c r="BQ50" s="2">
        <f>BL50</f>
        <v>2.0408163265306124E-2</v>
      </c>
      <c r="BR50" s="2">
        <f>BM50</f>
        <v>0</v>
      </c>
    </row>
    <row r="51" spans="1:70" hidden="1">
      <c r="A51" s="74">
        <v>0</v>
      </c>
      <c r="B51" s="73">
        <v>204630</v>
      </c>
      <c r="C51" s="73" t="s">
        <v>1190</v>
      </c>
      <c r="D51" s="73" t="s">
        <v>1191</v>
      </c>
      <c r="E51" s="73" t="s">
        <v>1192</v>
      </c>
      <c r="F51" s="73">
        <v>18710</v>
      </c>
      <c r="G51" s="73" t="s">
        <v>885</v>
      </c>
      <c r="H51" s="73" t="s">
        <v>943</v>
      </c>
      <c r="I51" s="73" t="s">
        <v>981</v>
      </c>
      <c r="J51" s="73">
        <v>0</v>
      </c>
      <c r="K51" s="73">
        <v>8</v>
      </c>
      <c r="L51" s="73">
        <v>0</v>
      </c>
      <c r="M51" s="73">
        <v>0</v>
      </c>
      <c r="N51" s="73">
        <v>0</v>
      </c>
      <c r="O51" s="73" t="s">
        <v>994</v>
      </c>
      <c r="P51" s="73" t="s">
        <v>1193</v>
      </c>
      <c r="Q51" s="73" t="s">
        <v>1193</v>
      </c>
      <c r="R51" s="73">
        <v>12</v>
      </c>
      <c r="S51" s="73">
        <v>11</v>
      </c>
      <c r="T51" s="73">
        <v>0</v>
      </c>
      <c r="U51" s="73">
        <v>12</v>
      </c>
      <c r="V51" s="73">
        <v>2960</v>
      </c>
      <c r="W51" s="73">
        <v>22</v>
      </c>
      <c r="X51" s="73">
        <v>6</v>
      </c>
      <c r="Y51" s="73">
        <v>0</v>
      </c>
      <c r="Z51" s="73" t="s">
        <v>1037</v>
      </c>
      <c r="AA51" s="73" t="s">
        <v>691</v>
      </c>
      <c r="AB51" s="73" t="str">
        <f>IF(AA51&lt;&gt;"",INDEX(Lookup!$N$2:$N$5,MATCH(Players!AA51,Lookup!$P$2:$P$5,0)),INDEX(Lookup!$N$2:$N$5,MATCH(Players!O51,Lookup!$O$2:$O$5,0)))</f>
        <v>Midfield</v>
      </c>
      <c r="AC51" s="73">
        <v>4500000</v>
      </c>
      <c r="AD51" s="73" t="s">
        <v>820</v>
      </c>
      <c r="AE51" s="73" t="str">
        <f>INDEX('Translate table'!$H$2:$H$622,MATCH(Players!P51,'Translate table'!$G$2:$G$622,0))</f>
        <v>Diego Llorente</v>
      </c>
      <c r="AF51" s="73">
        <f>IFERROR(INDEX('Euro Qual stats'!$A$1:$L$2071,MATCH(Players!$AE51,'Euro Qual stats'!$A$1:$A$2071,0),MATCH(Players!AF$2,'Euro Qual stats'!$A$1:$L$1,0)),0)</f>
        <v>3</v>
      </c>
      <c r="AG51" s="73">
        <f>IFERROR(INDEX('Euro Qual stats'!$A$1:$L$2071,MATCH(Players!$AE51,'Euro Qual stats'!$A$1:$A$2071,0),MATCH(Players!AG$2,'Euro Qual stats'!$A$1:$L$1,0)),0)</f>
        <v>0</v>
      </c>
      <c r="AH51" s="73">
        <f>IFERROR(INDEX('Euro Qual stats'!$A$1:$L$2071,MATCH(Players!$AE51,'Euro Qual stats'!$A$1:$A$2071,0),MATCH(Players!AH$2,'Euro Qual stats'!$A$1:$L$1,0)),0)</f>
        <v>0</v>
      </c>
      <c r="AI51" s="73">
        <f>IFERROR(INDEX('Euro Qual stats'!$A$1:$L$2071,MATCH(Players!$AE51,'Euro Qual stats'!$A$1:$A$2071,0),MATCH(Players!AI$2,'Euro Qual stats'!$A$1:$L$1,0)),0)</f>
        <v>1.44</v>
      </c>
      <c r="AJ51" s="93">
        <f>(12-AF51)/12*INDEX(BV$9:BV$12,MATCH($AB51,$BU$9:$BU$12,0))+AF51/12*AG51</f>
        <v>0.12651832460732984</v>
      </c>
      <c r="AK51" s="93">
        <f>(12-AG51)/12*INDEX(BW$9:BW$12,MATCH($AB51,$BU$9:$BU$12,0))+AG51/12*AH51</f>
        <v>0.22340314136125652</v>
      </c>
      <c r="AL51" s="93">
        <f>(12-AH51)/12*INDEX(BX$9:BX$12,MATCH($AB51,$BU$9:$BU$12,0))+AH51/12*AI51</f>
        <v>0.23942408376963353</v>
      </c>
      <c r="AM51" s="93">
        <f>IF($BC51=1,AJ51/SUMIFS(AJ$3:AJ$623,$BC$3:$BC$623,1,$G$3:$G$623,$G51),0)</f>
        <v>6.6970047879014991E-2</v>
      </c>
      <c r="AN51" s="93">
        <f>IF($BC51=1,AK51/SUMIFS(AK$3:AK$623,$BC$3:$BC$623,1,$G$3:$G$623,$G51),0)</f>
        <v>7.0341174875600099E-2</v>
      </c>
      <c r="AO51" s="93">
        <f>IF($BC51=1,AL51/SUMIFS(AL$3:AL$623,$BC$3:$BC$623,1,$G$3:$G$623,$G51),0)</f>
        <v>0.13191714255129558</v>
      </c>
      <c r="AP51" s="2">
        <f>IFERROR(R51/$V51*90,"")</f>
        <v>0.36486486486486491</v>
      </c>
      <c r="AQ51" s="2">
        <f>IFERROR(S51/$V51*90,"")</f>
        <v>0.33445945945945948</v>
      </c>
      <c r="AR51" s="2">
        <f>IFERROR(W51/$V51*90,"")</f>
        <v>0.66891891891891897</v>
      </c>
      <c r="AS51" s="2">
        <f>IFERROR(X51/$V51*90,"")</f>
        <v>0.18243243243243246</v>
      </c>
      <c r="AT51" s="2">
        <f>IFERROR(Y51/$V51*90,"")</f>
        <v>0</v>
      </c>
      <c r="AU51" s="2">
        <f>IF(AP51="",INDEX(BV$4:BV$7,MATCH(O51,$BU$4:$BU$7,0)),AP51)</f>
        <v>0.36486486486486491</v>
      </c>
      <c r="AV51" s="2">
        <f>IF(AQ51="",INDEX(BW$4:BW$7,MATCH($O51,$BU$4:$BU$7,0)),AQ51)</f>
        <v>0.33445945945945948</v>
      </c>
      <c r="AW51" s="2">
        <f t="shared" si="0"/>
        <v>0.66891891891891897</v>
      </c>
      <c r="AX51" s="2">
        <f t="shared" si="1"/>
        <v>0.18243243243243246</v>
      </c>
      <c r="AY51" s="2">
        <f t="shared" si="2"/>
        <v>0</v>
      </c>
      <c r="AZ51" s="2">
        <f>AU51*0.5+AK51*0.5</f>
        <v>0.2941340031130607</v>
      </c>
      <c r="BA51" s="2">
        <f>AV51*0.5+AJ51*0.5</f>
        <v>0.23048889203339468</v>
      </c>
      <c r="BB51" s="2">
        <f t="shared" si="3"/>
        <v>0.8112162162162162</v>
      </c>
      <c r="BC51">
        <f>IF(I51="expected",1,0)</f>
        <v>1</v>
      </c>
      <c r="BD51" s="78">
        <f>IF(BC51=1,AZ51/SUMIFS(AZ$3:AZ$623,$BC$3:$BC$623,1,$G$3:$G$623,$G51),0)</f>
        <v>0.10458023712824679</v>
      </c>
      <c r="BE51" s="78">
        <f>IF(BC51=1,BA51/SUMIFS(BA$3:BA$623,$BC$3:$BC$623,1,$G$3:$G$623,$G51),0)</f>
        <v>0.11490444959172579</v>
      </c>
      <c r="BF51" s="78">
        <f t="shared" si="4"/>
        <v>0.10910650241648988</v>
      </c>
      <c r="BG51" s="2">
        <f t="shared" si="5"/>
        <v>0.8112162162162162</v>
      </c>
      <c r="BH51" s="2">
        <f t="shared" si="6"/>
        <v>0</v>
      </c>
      <c r="BI51" s="2">
        <f t="shared" si="7"/>
        <v>0.10458023712824679</v>
      </c>
      <c r="BJ51" s="2">
        <f t="shared" si="8"/>
        <v>0.11490444959172579</v>
      </c>
      <c r="BK51" s="2">
        <f t="shared" si="9"/>
        <v>0.10910650241648988</v>
      </c>
      <c r="BL51" s="2">
        <f t="shared" si="10"/>
        <v>0.8112162162162162</v>
      </c>
      <c r="BM51" s="2">
        <f t="shared" si="11"/>
        <v>0</v>
      </c>
      <c r="BN51" s="2">
        <f>BI51/SUMIFS(BI$3:BI$623,$BC$3:$BC$623,1,$G$3:$G$623,$G51)</f>
        <v>0.10458023712824677</v>
      </c>
      <c r="BO51" s="2">
        <f>BJ51/SUMIFS(BJ$3:BJ$623,$BC$3:$BC$623,1,$G$3:$G$623,$G51)</f>
        <v>0.11490444959172579</v>
      </c>
      <c r="BP51" s="2">
        <f>BK51/SUMIFS(BK$3:BK$623,$BC$3:$BC$623,1,$G$3:$G$623,$G51)</f>
        <v>0.10910650241648991</v>
      </c>
      <c r="BQ51" s="2">
        <f>BL51</f>
        <v>0.8112162162162162</v>
      </c>
      <c r="BR51" s="2">
        <f>BM51</f>
        <v>0</v>
      </c>
    </row>
    <row r="52" spans="1:70" hidden="1">
      <c r="A52" s="74">
        <v>0</v>
      </c>
      <c r="B52" s="73">
        <v>222099</v>
      </c>
      <c r="C52" s="73" t="s">
        <v>1194</v>
      </c>
      <c r="D52" s="73" t="s">
        <v>1195</v>
      </c>
      <c r="E52" s="73" t="s">
        <v>1196</v>
      </c>
      <c r="F52" s="73">
        <v>18710</v>
      </c>
      <c r="G52" s="73" t="s">
        <v>885</v>
      </c>
      <c r="H52" s="73" t="s">
        <v>943</v>
      </c>
      <c r="I52" s="73" t="s">
        <v>981</v>
      </c>
      <c r="J52" s="73">
        <v>0</v>
      </c>
      <c r="K52" s="73">
        <v>8</v>
      </c>
      <c r="L52" s="73">
        <v>0</v>
      </c>
      <c r="M52" s="73">
        <v>0</v>
      </c>
      <c r="N52" s="73">
        <v>0</v>
      </c>
      <c r="O52" s="73" t="s">
        <v>982</v>
      </c>
      <c r="P52" s="73" t="s">
        <v>1197</v>
      </c>
      <c r="Q52" s="73" t="s">
        <v>1197</v>
      </c>
      <c r="R52" s="73">
        <v>23</v>
      </c>
      <c r="S52" s="73">
        <v>7</v>
      </c>
      <c r="T52" s="73">
        <v>0</v>
      </c>
      <c r="U52" s="73">
        <v>4</v>
      </c>
      <c r="V52" s="73">
        <v>2682</v>
      </c>
      <c r="W52" s="73">
        <v>47</v>
      </c>
      <c r="X52" s="73">
        <v>3</v>
      </c>
      <c r="Y52" s="73">
        <v>0</v>
      </c>
      <c r="Z52" s="73" t="s">
        <v>1037</v>
      </c>
      <c r="AA52" s="73" t="s">
        <v>693</v>
      </c>
      <c r="AB52" s="73" t="str">
        <f>IF(AA52&lt;&gt;"",INDEX(Lookup!$N$2:$N$5,MATCH(Players!AA52,Lookup!$P$2:$P$5,0)),INDEX(Lookup!$N$2:$N$5,MATCH(Players!O52,Lookup!$O$2:$O$5,0)))</f>
        <v>Striker</v>
      </c>
      <c r="AC52" s="73">
        <v>4500000</v>
      </c>
      <c r="AD52" s="73" t="s">
        <v>810</v>
      </c>
      <c r="AE52" s="73" t="str">
        <f>INDEX('Translate table'!$H$2:$H$622,MATCH(Players!P52,'Translate table'!$G$2:$G$622,0))</f>
        <v>Gerard Moreno</v>
      </c>
      <c r="AF52" s="73">
        <f>IFERROR(INDEX('Euro Qual stats'!$A$1:$L$2071,MATCH(Players!$AE52,'Euro Qual stats'!$A$1:$A$2071,0),MATCH(Players!AF$2,'Euro Qual stats'!$A$1:$L$1,0)),0)</f>
        <v>3</v>
      </c>
      <c r="AG52" s="73">
        <f>IFERROR(INDEX('Euro Qual stats'!$A$1:$L$2071,MATCH(Players!$AE52,'Euro Qual stats'!$A$1:$A$2071,0),MATCH(Players!AG$2,'Euro Qual stats'!$A$1:$L$1,0)),0)</f>
        <v>1.1399999999999999</v>
      </c>
      <c r="AH52" s="73">
        <f>IFERROR(INDEX('Euro Qual stats'!$A$1:$L$2071,MATCH(Players!$AE52,'Euro Qual stats'!$A$1:$A$2071,0),MATCH(Players!AH$2,'Euro Qual stats'!$A$1:$L$1,0)),0)</f>
        <v>1.1399999999999999</v>
      </c>
      <c r="AI52" s="73">
        <f>IFERROR(INDEX('Euro Qual stats'!$A$1:$L$2071,MATCH(Players!$AE52,'Euro Qual stats'!$A$1:$A$2071,0),MATCH(Players!AI$2,'Euro Qual stats'!$A$1:$L$1,0)),0)</f>
        <v>0</v>
      </c>
      <c r="AJ52" s="93">
        <f>(12-AF52)/12*INDEX(BV$9:BV$12,MATCH($AB52,$BU$9:$BU$12,0))+AF52/12*AG52</f>
        <v>0.4386853448275862</v>
      </c>
      <c r="AK52" s="93">
        <f>(12-AG52)/12*INDEX(BW$9:BW$12,MATCH($AB52,$BU$9:$BU$12,0))+AG52/12*AH52</f>
        <v>0.59146077586206869</v>
      </c>
      <c r="AL52" s="93">
        <f>(12-AH52)/12*INDEX(BX$9:BX$12,MATCH($AB52,$BU$9:$BU$12,0))+AH52/12*AI52</f>
        <v>0.1491689655172414</v>
      </c>
      <c r="AM52" s="93">
        <f>IF($BC52=1,AJ52/SUMIFS(AJ$3:AJ$623,$BC$3:$BC$623,1,$G$3:$G$623,$G52),0)</f>
        <v>0.23220967111370985</v>
      </c>
      <c r="AN52" s="93">
        <f>IF($BC52=1,AK52/SUMIFS(AK$3:AK$623,$BC$3:$BC$623,1,$G$3:$G$623,$G52),0)</f>
        <v>0.18622856246992339</v>
      </c>
      <c r="AO52" s="93">
        <f>IF($BC52=1,AL52/SUMIFS(AL$3:AL$623,$BC$3:$BC$623,1,$G$3:$G$623,$G52),0)</f>
        <v>8.2188656122417242E-2</v>
      </c>
      <c r="AP52" s="2">
        <f>IFERROR(R52/$V52*90,"")</f>
        <v>0.77181208053691275</v>
      </c>
      <c r="AQ52" s="2">
        <f>IFERROR(S52/$V52*90,"")</f>
        <v>0.2348993288590604</v>
      </c>
      <c r="AR52" s="2">
        <f>IFERROR(W52/$V52*90,"")</f>
        <v>1.5771812080536911</v>
      </c>
      <c r="AS52" s="2">
        <f>IFERROR(X52/$V52*90,"")</f>
        <v>0.10067114093959731</v>
      </c>
      <c r="AT52" s="2">
        <f>IFERROR(Y52/$V52*90,"")</f>
        <v>0</v>
      </c>
      <c r="AU52" s="2">
        <f>IF(AP52="",INDEX(BV$4:BV$7,MATCH(O52,$BU$4:$BU$7,0)),AP52)</f>
        <v>0.77181208053691275</v>
      </c>
      <c r="AV52" s="2">
        <f>IF(AQ52="",INDEX(BW$4:BW$7,MATCH($O52,$BU$4:$BU$7,0)),AQ52)</f>
        <v>0.2348993288590604</v>
      </c>
      <c r="AW52" s="2">
        <f t="shared" si="0"/>
        <v>1.5771812080536911</v>
      </c>
      <c r="AX52" s="2">
        <f t="shared" si="1"/>
        <v>0.10067114093959731</v>
      </c>
      <c r="AY52" s="2">
        <f t="shared" si="2"/>
        <v>0</v>
      </c>
      <c r="AZ52" s="2">
        <f>AU52*0.5+AK52*0.5</f>
        <v>0.68163642819949066</v>
      </c>
      <c r="BA52" s="2">
        <f>AV52*0.5+AJ52*0.5</f>
        <v>0.33679233684332333</v>
      </c>
      <c r="BB52" s="2">
        <f t="shared" si="3"/>
        <v>5.0335570469798654E-2</v>
      </c>
      <c r="BC52">
        <f>IF(I52="expected",1,0)</f>
        <v>1</v>
      </c>
      <c r="BD52" s="78">
        <f>IF(BC52=1,AZ52/SUMIFS(AZ$3:AZ$623,$BC$3:$BC$623,1,$G$3:$G$623,$G52),0)</f>
        <v>0.24235789994315191</v>
      </c>
      <c r="BE52" s="78">
        <f>IF(BC52=1,BA52/SUMIFS(BA$3:BA$623,$BC$3:$BC$623,1,$G$3:$G$623,$G52),0)</f>
        <v>0.16789936274276607</v>
      </c>
      <c r="BF52" s="78">
        <f t="shared" si="4"/>
        <v>0.2572519933594683</v>
      </c>
      <c r="BG52" s="2">
        <f t="shared" si="5"/>
        <v>5.0335570469798654E-2</v>
      </c>
      <c r="BH52" s="2">
        <f t="shared" si="6"/>
        <v>0</v>
      </c>
      <c r="BI52" s="2">
        <f t="shared" si="7"/>
        <v>0.24235789994315191</v>
      </c>
      <c r="BJ52" s="2">
        <f t="shared" si="8"/>
        <v>0.16789936274276607</v>
      </c>
      <c r="BK52" s="2">
        <f t="shared" si="9"/>
        <v>0.2572519933594683</v>
      </c>
      <c r="BL52" s="2">
        <f t="shared" si="10"/>
        <v>5.0335570469798654E-2</v>
      </c>
      <c r="BM52" s="2">
        <f t="shared" si="11"/>
        <v>0</v>
      </c>
      <c r="BN52" s="2">
        <f>BI52/SUMIFS(BI$3:BI$623,$BC$3:$BC$623,1,$G$3:$G$623,$G52)</f>
        <v>0.24235789994315185</v>
      </c>
      <c r="BO52" s="2">
        <f>BJ52/SUMIFS(BJ$3:BJ$623,$BC$3:$BC$623,1,$G$3:$G$623,$G52)</f>
        <v>0.16789936274276607</v>
      </c>
      <c r="BP52" s="2">
        <f>BK52/SUMIFS(BK$3:BK$623,$BC$3:$BC$623,1,$G$3:$G$623,$G52)</f>
        <v>0.25725199335946836</v>
      </c>
      <c r="BQ52" s="2">
        <f>BL52</f>
        <v>5.0335570469798654E-2</v>
      </c>
      <c r="BR52" s="2">
        <f>BM52</f>
        <v>0</v>
      </c>
    </row>
    <row r="53" spans="1:70" hidden="1">
      <c r="A53" s="74">
        <v>0</v>
      </c>
      <c r="B53" s="73">
        <v>204683</v>
      </c>
      <c r="C53" s="73" t="s">
        <v>1198</v>
      </c>
      <c r="D53" s="73" t="s">
        <v>1010</v>
      </c>
      <c r="E53" s="73" t="s">
        <v>1199</v>
      </c>
      <c r="F53" s="73">
        <v>18647</v>
      </c>
      <c r="G53" s="73" t="s">
        <v>891</v>
      </c>
      <c r="H53" s="73" t="s">
        <v>927</v>
      </c>
      <c r="I53" s="73" t="s">
        <v>1012</v>
      </c>
      <c r="J53" s="73">
        <v>0</v>
      </c>
      <c r="K53" s="73">
        <v>8</v>
      </c>
      <c r="L53" s="73">
        <v>0</v>
      </c>
      <c r="M53" s="73">
        <v>0</v>
      </c>
      <c r="N53" s="73">
        <v>0</v>
      </c>
      <c r="O53" s="73" t="s">
        <v>982</v>
      </c>
      <c r="P53" s="73" t="s">
        <v>1200</v>
      </c>
      <c r="Q53" s="73" t="s">
        <v>1200</v>
      </c>
      <c r="R53" s="73">
        <v>8</v>
      </c>
      <c r="S53" s="73">
        <v>2</v>
      </c>
      <c r="T53" s="73">
        <v>0</v>
      </c>
      <c r="U53" s="73">
        <v>0</v>
      </c>
      <c r="V53" s="73">
        <v>1739</v>
      </c>
      <c r="W53" s="73">
        <v>21</v>
      </c>
      <c r="X53" s="73">
        <v>3</v>
      </c>
      <c r="Y53" s="73">
        <v>1</v>
      </c>
      <c r="Z53" s="73" t="s">
        <v>989</v>
      </c>
      <c r="AA53" s="73" t="s">
        <v>693</v>
      </c>
      <c r="AB53" s="73" t="str">
        <f>IF(AA53&lt;&gt;"",INDEX(Lookup!$N$2:$N$5,MATCH(Players!AA53,Lookup!$P$2:$P$5,0)),INDEX(Lookup!$N$2:$N$5,MATCH(Players!O53,Lookup!$O$2:$O$5,0)))</f>
        <v>Striker</v>
      </c>
      <c r="AC53" s="73">
        <v>3000000</v>
      </c>
      <c r="AD53" s="73" t="s">
        <v>789</v>
      </c>
      <c r="AE53" s="73" t="str">
        <f>INDEX('Translate table'!$H$2:$H$622,MATCH(Players!P53,'Translate table'!$G$2:$G$622,0))</f>
        <v>Marcus Berg</v>
      </c>
      <c r="AF53" s="73">
        <f>IFERROR(INDEX('Euro Qual stats'!$A$1:$L$2071,MATCH(Players!$AE53,'Euro Qual stats'!$A$1:$A$2071,0),MATCH(Players!AF$2,'Euro Qual stats'!$A$1:$L$1,0)),0)</f>
        <v>9</v>
      </c>
      <c r="AG53" s="73">
        <f>IFERROR(INDEX('Euro Qual stats'!$A$1:$L$2071,MATCH(Players!$AE53,'Euro Qual stats'!$A$1:$A$2071,0),MATCH(Players!AG$2,'Euro Qual stats'!$A$1:$L$1,0)),0)</f>
        <v>0.26</v>
      </c>
      <c r="AH53" s="73">
        <f>IFERROR(INDEX('Euro Qual stats'!$A$1:$L$2071,MATCH(Players!$AE53,'Euro Qual stats'!$A$1:$A$2071,0),MATCH(Players!AH$2,'Euro Qual stats'!$A$1:$L$1,0)),0)</f>
        <v>0.26</v>
      </c>
      <c r="AI53" s="73">
        <f>IFERROR(INDEX('Euro Qual stats'!$A$1:$L$2071,MATCH(Players!$AE53,'Euro Qual stats'!$A$1:$A$2071,0),MATCH(Players!AI$2,'Euro Qual stats'!$A$1:$L$1,0)),0)</f>
        <v>0.13</v>
      </c>
      <c r="AJ53" s="93">
        <f>(12-AF53)/12*INDEX(BV$9:BV$12,MATCH($AB53,$BU$9:$BU$12,0))+AF53/12*AG53</f>
        <v>0.2462284482758621</v>
      </c>
      <c r="AK53" s="93">
        <f>(12-AG53)/12*INDEX(BW$9:BW$12,MATCH($AB53,$BU$9:$BU$12,0))+AG53/12*AH53</f>
        <v>0.52794525862068953</v>
      </c>
      <c r="AL53" s="93">
        <f>(12-AH53)/12*INDEX(BX$9:BX$12,MATCH($AB53,$BU$9:$BU$12,0))+AH53/12*AI53</f>
        <v>0.16407298850574717</v>
      </c>
      <c r="AM53" s="93">
        <f>IF($BC53=1,AJ53/SUMIFS(AJ$3:AJ$623,$BC$3:$BC$623,1,$G$3:$G$623,$G53),0)</f>
        <v>0</v>
      </c>
      <c r="AN53" s="93">
        <f>IF($BC53=1,AK53/SUMIFS(AK$3:AK$623,$BC$3:$BC$623,1,$G$3:$G$623,$G53),0)</f>
        <v>0</v>
      </c>
      <c r="AO53" s="93">
        <f>IF($BC53=1,AL53/SUMIFS(AL$3:AL$623,$BC$3:$BC$623,1,$G$3:$G$623,$G53),0)</f>
        <v>0</v>
      </c>
      <c r="AP53" s="2">
        <f>IFERROR(R53/$V53*90,"")</f>
        <v>0.41403105232892468</v>
      </c>
      <c r="AQ53" s="2">
        <f>IFERROR(S53/$V53*90,"")</f>
        <v>0.10350776308223117</v>
      </c>
      <c r="AR53" s="2">
        <f>IFERROR(W53/$V53*90,"")</f>
        <v>1.0868315123634271</v>
      </c>
      <c r="AS53" s="2">
        <f>IFERROR(X53/$V53*90,"")</f>
        <v>0.15526164462334674</v>
      </c>
      <c r="AT53" s="2">
        <f>IFERROR(Y53/$V53*90,"")</f>
        <v>5.1753881541115584E-2</v>
      </c>
      <c r="AU53" s="2">
        <f>IF(AP53="",INDEX(BV$4:BV$7,MATCH(O53,$BU$4:$BU$7,0)),AP53)</f>
        <v>0.41403105232892468</v>
      </c>
      <c r="AV53" s="2">
        <f>IF(AQ53="",INDEX(BW$4:BW$7,MATCH($O53,$BU$4:$BU$7,0)),AQ53)</f>
        <v>0.10350776308223117</v>
      </c>
      <c r="AW53" s="2">
        <f t="shared" si="0"/>
        <v>1.0868315123634271</v>
      </c>
      <c r="AX53" s="2">
        <f t="shared" si="1"/>
        <v>0.15526164462334674</v>
      </c>
      <c r="AY53" s="2">
        <f t="shared" si="2"/>
        <v>5.1753881541115584E-2</v>
      </c>
      <c r="AZ53" s="2">
        <f>AU53*0.5+AK53*0.5</f>
        <v>0.4709881554748071</v>
      </c>
      <c r="BA53" s="2">
        <f>AV53*0.5+AJ53*0.5</f>
        <v>0.17486810567904665</v>
      </c>
      <c r="BB53" s="2">
        <f t="shared" si="3"/>
        <v>0.14263082231167337</v>
      </c>
      <c r="BC53">
        <f>IF(I53="expected",1,0)</f>
        <v>0</v>
      </c>
      <c r="BD53" s="78">
        <f>IF(BC53=1,AZ53/SUMIFS(AZ$3:AZ$623,$BC$3:$BC$623,1,$G$3:$G$623,$G53),0)</f>
        <v>0</v>
      </c>
      <c r="BE53" s="78">
        <f>IF(BC53=1,BA53/SUMIFS(BA$3:BA$623,$BC$3:$BC$623,1,$G$3:$G$623,$G53),0)</f>
        <v>0</v>
      </c>
      <c r="BF53" s="78">
        <f t="shared" si="4"/>
        <v>0</v>
      </c>
      <c r="BG53" s="2">
        <f t="shared" si="5"/>
        <v>0.14263082231167337</v>
      </c>
      <c r="BH53" s="2">
        <f t="shared" si="6"/>
        <v>5.1753881541115584E-2</v>
      </c>
      <c r="BI53" s="2">
        <f t="shared" si="7"/>
        <v>0</v>
      </c>
      <c r="BJ53" s="2">
        <f t="shared" si="8"/>
        <v>0</v>
      </c>
      <c r="BK53" s="2">
        <f t="shared" si="9"/>
        <v>0</v>
      </c>
      <c r="BL53" s="2">
        <f t="shared" si="10"/>
        <v>0.14263082231167337</v>
      </c>
      <c r="BM53" s="2">
        <f t="shared" si="11"/>
        <v>5.1753881541115584E-2</v>
      </c>
      <c r="BN53" s="2">
        <f>BI53/SUMIFS(BI$3:BI$623,$BC$3:$BC$623,1,$G$3:$G$623,$G53)</f>
        <v>0</v>
      </c>
      <c r="BO53" s="2">
        <f>BJ53/SUMIFS(BJ$3:BJ$623,$BC$3:$BC$623,1,$G$3:$G$623,$G53)</f>
        <v>0</v>
      </c>
      <c r="BP53" s="2">
        <f>BK53/SUMIFS(BK$3:BK$623,$BC$3:$BC$623,1,$G$3:$G$623,$G53)</f>
        <v>0</v>
      </c>
      <c r="BQ53" s="2">
        <f>BL53</f>
        <v>0.14263082231167337</v>
      </c>
      <c r="BR53" s="2">
        <f>BM53</f>
        <v>5.1753881541115584E-2</v>
      </c>
    </row>
    <row r="54" spans="1:70" hidden="1">
      <c r="A54" s="74">
        <v>0</v>
      </c>
      <c r="B54" s="73">
        <v>204675</v>
      </c>
      <c r="C54" s="73" t="s">
        <v>1201</v>
      </c>
      <c r="D54" s="73" t="s">
        <v>1202</v>
      </c>
      <c r="E54" s="73" t="s">
        <v>1203</v>
      </c>
      <c r="F54" s="73">
        <v>18647</v>
      </c>
      <c r="G54" s="73" t="s">
        <v>891</v>
      </c>
      <c r="H54" s="73" t="s">
        <v>927</v>
      </c>
      <c r="I54" s="73" t="s">
        <v>1012</v>
      </c>
      <c r="J54" s="73">
        <v>0</v>
      </c>
      <c r="K54" s="73">
        <v>8</v>
      </c>
      <c r="L54" s="73">
        <v>0</v>
      </c>
      <c r="M54" s="73">
        <v>0</v>
      </c>
      <c r="N54" s="73">
        <v>0</v>
      </c>
      <c r="O54" s="73" t="s">
        <v>982</v>
      </c>
      <c r="P54" s="73" t="s">
        <v>115</v>
      </c>
      <c r="Q54" s="73" t="s">
        <v>115</v>
      </c>
      <c r="R54" s="73">
        <v>4</v>
      </c>
      <c r="S54" s="73">
        <v>0</v>
      </c>
      <c r="T54" s="73">
        <v>0</v>
      </c>
      <c r="U54" s="73">
        <v>0</v>
      </c>
      <c r="V54" s="73">
        <v>747</v>
      </c>
      <c r="W54" s="73">
        <v>11</v>
      </c>
      <c r="X54" s="73">
        <v>1</v>
      </c>
      <c r="Y54" s="73">
        <v>0</v>
      </c>
      <c r="Z54" s="73" t="s">
        <v>989</v>
      </c>
      <c r="AA54" s="73" t="s">
        <v>693</v>
      </c>
      <c r="AB54" s="73" t="str">
        <f>IF(AA54&lt;&gt;"",INDEX(Lookup!$N$2:$N$5,MATCH(Players!AA54,Lookup!$P$2:$P$5,0)),INDEX(Lookup!$N$2:$N$5,MATCH(Players!O54,Lookup!$O$2:$O$5,0)))</f>
        <v>Striker</v>
      </c>
      <c r="AC54" s="73">
        <v>4500000</v>
      </c>
      <c r="AD54" s="73" t="s">
        <v>796</v>
      </c>
      <c r="AE54" s="73" t="str">
        <f>INDEX('Translate table'!$H$2:$H$622,MATCH(Players!P54,'Translate table'!$G$2:$G$622,0))</f>
        <v>Olivier Giroud</v>
      </c>
      <c r="AF54" s="73">
        <f>IFERROR(INDEX('Euro Qual stats'!$A$1:$L$2071,MATCH(Players!$AE54,'Euro Qual stats'!$A$1:$A$2071,0),MATCH(Players!AF$2,'Euro Qual stats'!$A$1:$L$1,0)),0)</f>
        <v>10</v>
      </c>
      <c r="AG54" s="73">
        <f>IFERROR(INDEX('Euro Qual stats'!$A$1:$L$2071,MATCH(Players!$AE54,'Euro Qual stats'!$A$1:$A$2071,0),MATCH(Players!AG$2,'Euro Qual stats'!$A$1:$L$1,0)),0)</f>
        <v>0</v>
      </c>
      <c r="AH54" s="73">
        <f>IFERROR(INDEX('Euro Qual stats'!$A$1:$L$2071,MATCH(Players!$AE54,'Euro Qual stats'!$A$1:$A$2071,0),MATCH(Players!AH$2,'Euro Qual stats'!$A$1:$L$1,0)),0)</f>
        <v>0.77</v>
      </c>
      <c r="AI54" s="73">
        <f>IFERROR(INDEX('Euro Qual stats'!$A$1:$L$2071,MATCH(Players!$AE54,'Euro Qual stats'!$A$1:$A$2071,0),MATCH(Players!AI$2,'Euro Qual stats'!$A$1:$L$1,0)),0)</f>
        <v>0.13</v>
      </c>
      <c r="AJ54" s="93">
        <f>(12-AF54)/12*INDEX(BV$9:BV$12,MATCH($AB54,$BU$9:$BU$12,0))+AF54/12*AG54</f>
        <v>3.4152298850574719E-2</v>
      </c>
      <c r="AK54" s="93">
        <f>(12-AG54)/12*INDEX(BW$9:BW$12,MATCH($AB54,$BU$9:$BU$12,0))+AG54/12*AH54</f>
        <v>0.53387931034482738</v>
      </c>
      <c r="AL54" s="93">
        <f>(12-AH54)/12*INDEX(BX$9:BX$12,MATCH($AB54,$BU$9:$BU$12,0))+AH54/12*AI54</f>
        <v>0.16259281609195406</v>
      </c>
      <c r="AM54" s="93">
        <f>IF($BC54=1,AJ54/SUMIFS(AJ$3:AJ$623,$BC$3:$BC$623,1,$G$3:$G$623,$G54),0)</f>
        <v>0</v>
      </c>
      <c r="AN54" s="93">
        <f>IF($BC54=1,AK54/SUMIFS(AK$3:AK$623,$BC$3:$BC$623,1,$G$3:$G$623,$G54),0)</f>
        <v>0</v>
      </c>
      <c r="AO54" s="93">
        <f>IF($BC54=1,AL54/SUMIFS(AL$3:AL$623,$BC$3:$BC$623,1,$G$3:$G$623,$G54),0)</f>
        <v>0</v>
      </c>
      <c r="AP54" s="2">
        <f>IFERROR(R54/$V54*90,"")</f>
        <v>0.48192771084337349</v>
      </c>
      <c r="AQ54" s="2">
        <f>IFERROR(S54/$V54*90,"")</f>
        <v>0</v>
      </c>
      <c r="AR54" s="2">
        <f>IFERROR(W54/$V54*90,"")</f>
        <v>1.3253012048192769</v>
      </c>
      <c r="AS54" s="2">
        <f>IFERROR(X54/$V54*90,"")</f>
        <v>0.12048192771084337</v>
      </c>
      <c r="AT54" s="2">
        <f>IFERROR(Y54/$V54*90,"")</f>
        <v>0</v>
      </c>
      <c r="AU54" s="2">
        <f>IF(AP54="",INDEX(BV$4:BV$7,MATCH(O54,$BU$4:$BU$7,0)),AP54)</f>
        <v>0.48192771084337349</v>
      </c>
      <c r="AV54" s="2">
        <f>IF(AQ54="",INDEX(BW$4:BW$7,MATCH($O54,$BU$4:$BU$7,0)),AQ54)</f>
        <v>0</v>
      </c>
      <c r="AW54" s="2">
        <f t="shared" si="0"/>
        <v>1.3253012048192769</v>
      </c>
      <c r="AX54" s="2">
        <f t="shared" si="1"/>
        <v>0.12048192771084337</v>
      </c>
      <c r="AY54" s="2">
        <f t="shared" si="2"/>
        <v>0</v>
      </c>
      <c r="AZ54" s="2">
        <f>AU54*0.5+AK54*0.5</f>
        <v>0.50790351059410044</v>
      </c>
      <c r="BA54" s="2">
        <f>AV54*0.5+AJ54*0.5</f>
        <v>1.707614942528736E-2</v>
      </c>
      <c r="BB54" s="2">
        <f t="shared" si="3"/>
        <v>0.12524096385542169</v>
      </c>
      <c r="BC54">
        <f>IF(I54="expected",1,0)</f>
        <v>0</v>
      </c>
      <c r="BD54" s="78">
        <f>IF(BC54=1,AZ54/SUMIFS(AZ$3:AZ$623,$BC$3:$BC$623,1,$G$3:$G$623,$G54),0)</f>
        <v>0</v>
      </c>
      <c r="BE54" s="78">
        <f>IF(BC54=1,BA54/SUMIFS(BA$3:BA$623,$BC$3:$BC$623,1,$G$3:$G$623,$G54),0)</f>
        <v>0</v>
      </c>
      <c r="BF54" s="78">
        <f t="shared" si="4"/>
        <v>0</v>
      </c>
      <c r="BG54" s="2">
        <f t="shared" si="5"/>
        <v>0.12524096385542169</v>
      </c>
      <c r="BH54" s="2">
        <f t="shared" si="6"/>
        <v>0</v>
      </c>
      <c r="BI54" s="2">
        <f t="shared" si="7"/>
        <v>0</v>
      </c>
      <c r="BJ54" s="2">
        <f t="shared" si="8"/>
        <v>0</v>
      </c>
      <c r="BK54" s="2">
        <f t="shared" si="9"/>
        <v>0</v>
      </c>
      <c r="BL54" s="2">
        <f t="shared" si="10"/>
        <v>0.12524096385542169</v>
      </c>
      <c r="BM54" s="2">
        <f t="shared" si="11"/>
        <v>0</v>
      </c>
      <c r="BN54" s="2">
        <f>BI54/SUMIFS(BI$3:BI$623,$BC$3:$BC$623,1,$G$3:$G$623,$G54)</f>
        <v>0</v>
      </c>
      <c r="BO54" s="2">
        <f>BJ54/SUMIFS(BJ$3:BJ$623,$BC$3:$BC$623,1,$G$3:$G$623,$G54)</f>
        <v>0</v>
      </c>
      <c r="BP54" s="2">
        <f>BK54/SUMIFS(BK$3:BK$623,$BC$3:$BC$623,1,$G$3:$G$623,$G54)</f>
        <v>0</v>
      </c>
      <c r="BQ54" s="2">
        <f>BL54</f>
        <v>0.12524096385542169</v>
      </c>
      <c r="BR54" s="2">
        <f>BM54</f>
        <v>0</v>
      </c>
    </row>
    <row r="55" spans="1:70" hidden="1">
      <c r="A55" s="74">
        <v>0</v>
      </c>
      <c r="B55" s="73">
        <v>204589</v>
      </c>
      <c r="C55" s="73" t="s">
        <v>1204</v>
      </c>
      <c r="D55" s="73" t="s">
        <v>1205</v>
      </c>
      <c r="E55" s="73" t="s">
        <v>1206</v>
      </c>
      <c r="F55" s="73">
        <v>18588</v>
      </c>
      <c r="G55" s="73" t="s">
        <v>880</v>
      </c>
      <c r="H55" s="73" t="s">
        <v>949</v>
      </c>
      <c r="I55" s="73" t="s">
        <v>981</v>
      </c>
      <c r="J55" s="73">
        <v>0</v>
      </c>
      <c r="K55" s="73">
        <v>7.5</v>
      </c>
      <c r="L55" s="73">
        <v>0</v>
      </c>
      <c r="M55" s="73">
        <v>0</v>
      </c>
      <c r="N55" s="73">
        <v>0</v>
      </c>
      <c r="O55" s="73" t="s">
        <v>994</v>
      </c>
      <c r="P55" s="73" t="s">
        <v>1207</v>
      </c>
      <c r="Q55" s="73" t="s">
        <v>1208</v>
      </c>
      <c r="R55" s="73">
        <v>5</v>
      </c>
      <c r="S55" s="73">
        <v>3</v>
      </c>
      <c r="T55" s="73">
        <v>0</v>
      </c>
      <c r="U55" s="73">
        <v>6</v>
      </c>
      <c r="V55" s="73">
        <v>2743</v>
      </c>
      <c r="W55" s="73">
        <v>15</v>
      </c>
      <c r="X55" s="73">
        <v>4</v>
      </c>
      <c r="Y55" s="73">
        <v>0</v>
      </c>
      <c r="Z55" s="73" t="s">
        <v>1133</v>
      </c>
      <c r="AA55" s="73" t="s">
        <v>691</v>
      </c>
      <c r="AB55" s="73" t="str">
        <f>IF(AA55&lt;&gt;"",INDEX(Lookup!$N$2:$N$5,MATCH(Players!AA55,Lookup!$P$2:$P$5,0)),INDEX(Lookup!$N$2:$N$5,MATCH(Players!O55,Lookup!$O$2:$O$5,0)))</f>
        <v>Midfield</v>
      </c>
      <c r="AC55" s="73">
        <v>4500000</v>
      </c>
      <c r="AD55" s="73" t="s">
        <v>1031</v>
      </c>
      <c r="AE55" s="73" t="str">
        <f>INDEX('Translate table'!$H$2:$H$622,MATCH(Players!P55,'Translate table'!$G$2:$G$622,0))</f>
        <v>Luka ModriÄ‡</v>
      </c>
      <c r="AF55" s="73">
        <f>IFERROR(INDEX('Euro Qual stats'!$A$1:$L$2071,MATCH(Players!$AE55,'Euro Qual stats'!$A$1:$A$2071,0),MATCH(Players!AF$2,'Euro Qual stats'!$A$1:$L$1,0)),0)</f>
        <v>8</v>
      </c>
      <c r="AG55" s="73">
        <f>IFERROR(INDEX('Euro Qual stats'!$A$1:$L$2071,MATCH(Players!$AE55,'Euro Qual stats'!$A$1:$A$2071,0),MATCH(Players!AG$2,'Euro Qual stats'!$A$1:$L$1,0)),0)</f>
        <v>0.13</v>
      </c>
      <c r="AH55" s="73">
        <f>IFERROR(INDEX('Euro Qual stats'!$A$1:$L$2071,MATCH(Players!$AE55,'Euro Qual stats'!$A$1:$A$2071,0),MATCH(Players!AH$2,'Euro Qual stats'!$A$1:$L$1,0)),0)</f>
        <v>0.26</v>
      </c>
      <c r="AI55" s="73">
        <f>IFERROR(INDEX('Euro Qual stats'!$A$1:$L$2071,MATCH(Players!$AE55,'Euro Qual stats'!$A$1:$A$2071,0),MATCH(Players!AI$2,'Euro Qual stats'!$A$1:$L$1,0)),0)</f>
        <v>0.13</v>
      </c>
      <c r="AJ55" s="93">
        <f>(12-AF55)/12*INDEX(BV$9:BV$12,MATCH($AB55,$BU$9:$BU$12,0))+AF55/12*AG55</f>
        <v>0.14289703315881325</v>
      </c>
      <c r="AK55" s="93">
        <f>(12-AG55)/12*INDEX(BW$9:BW$12,MATCH($AB55,$BU$9:$BU$12,0))+AG55/12*AH55</f>
        <v>0.22379960732984291</v>
      </c>
      <c r="AL55" s="93">
        <f>(12-AH55)/12*INDEX(BX$9:BX$12,MATCH($AB55,$BU$9:$BU$12,0))+AH55/12*AI55</f>
        <v>0.2370532286212915</v>
      </c>
      <c r="AM55" s="93">
        <f>IF($BC55=1,AJ55/SUMIFS(AJ$3:AJ$623,$BC$3:$BC$623,1,$G$3:$G$623,$G55),0)</f>
        <v>8.9996060379676085E-2</v>
      </c>
      <c r="AN55" s="93">
        <f>IF($BC55=1,AK55/SUMIFS(AK$3:AK$623,$BC$3:$BC$623,1,$G$3:$G$623,$G55),0)</f>
        <v>8.4192084571977466E-2</v>
      </c>
      <c r="AO55" s="93">
        <f>IF($BC55=1,AL55/SUMIFS(AL$3:AL$623,$BC$3:$BC$623,1,$G$3:$G$623,$G55),0)</f>
        <v>0.11960423692142616</v>
      </c>
      <c r="AP55" s="2">
        <f>IFERROR(R55/$V55*90,"")</f>
        <v>0.16405395552314983</v>
      </c>
      <c r="AQ55" s="2">
        <f>IFERROR(S55/$V55*90,"")</f>
        <v>9.8432373313889904E-2</v>
      </c>
      <c r="AR55" s="2">
        <f>IFERROR(W55/$V55*90,"")</f>
        <v>0.49216186656944955</v>
      </c>
      <c r="AS55" s="2">
        <f>IFERROR(X55/$V55*90,"")</f>
        <v>0.13124316441851985</v>
      </c>
      <c r="AT55" s="2">
        <f>IFERROR(Y55/$V55*90,"")</f>
        <v>0</v>
      </c>
      <c r="AU55" s="2">
        <f>IF(AP55="",INDEX(BV$4:BV$7,MATCH(O55,$BU$4:$BU$7,0)),AP55)</f>
        <v>0.16405395552314983</v>
      </c>
      <c r="AV55" s="2">
        <f>IF(AQ55="",INDEX(BW$4:BW$7,MATCH($O55,$BU$4:$BU$7,0)),AQ55)</f>
        <v>9.8432373313889904E-2</v>
      </c>
      <c r="AW55" s="2">
        <f t="shared" si="0"/>
        <v>0.49216186656944955</v>
      </c>
      <c r="AX55" s="2">
        <f t="shared" si="1"/>
        <v>0.13124316441851985</v>
      </c>
      <c r="AY55" s="2">
        <f t="shared" si="2"/>
        <v>0</v>
      </c>
      <c r="AZ55" s="2">
        <f>AU55*0.5+AK55*0.5</f>
        <v>0.19392678142649639</v>
      </c>
      <c r="BA55" s="2">
        <f>AV55*0.5+AJ55*0.5</f>
        <v>0.12066470323635158</v>
      </c>
      <c r="BB55" s="2">
        <f t="shared" si="3"/>
        <v>0.13062158220925993</v>
      </c>
      <c r="BC55">
        <f>IF(I55="expected",1,0)</f>
        <v>1</v>
      </c>
      <c r="BD55" s="78">
        <f>IF(BC55=1,AZ55/SUMIFS(AZ$3:AZ$623,$BC$3:$BC$623,1,$G$3:$G$623,$G55),0)</f>
        <v>8.2747963275696862E-2</v>
      </c>
      <c r="BE55" s="78">
        <f>IF(BC55=1,BA55/SUMIFS(BA$3:BA$623,$BC$3:$BC$623,1,$G$3:$G$623,$G55),0)</f>
        <v>8.8133514476488872E-2</v>
      </c>
      <c r="BF55" s="78">
        <f t="shared" si="4"/>
        <v>9.9608837079209603E-2</v>
      </c>
      <c r="BG55" s="2">
        <f t="shared" si="5"/>
        <v>0.13062158220925993</v>
      </c>
      <c r="BH55" s="2">
        <f t="shared" si="6"/>
        <v>0</v>
      </c>
      <c r="BI55" s="2">
        <f t="shared" si="7"/>
        <v>8.2747963275696862E-2</v>
      </c>
      <c r="BJ55" s="2">
        <f t="shared" si="8"/>
        <v>8.8133514476488872E-2</v>
      </c>
      <c r="BK55" s="2">
        <f t="shared" si="9"/>
        <v>9.9608837079209603E-2</v>
      </c>
      <c r="BL55" s="2">
        <f t="shared" si="10"/>
        <v>0.13062158220925993</v>
      </c>
      <c r="BM55" s="2">
        <f t="shared" si="11"/>
        <v>0</v>
      </c>
      <c r="BN55" s="2">
        <f>BI55/SUMIFS(BI$3:BI$623,$BC$3:$BC$623,1,$G$3:$G$623,$G55)</f>
        <v>8.2747963275696862E-2</v>
      </c>
      <c r="BO55" s="2">
        <f>BJ55/SUMIFS(BJ$3:BJ$623,$BC$3:$BC$623,1,$G$3:$G$623,$G55)</f>
        <v>8.8133514476488872E-2</v>
      </c>
      <c r="BP55" s="2">
        <f>BK55/SUMIFS(BK$3:BK$623,$BC$3:$BC$623,1,$G$3:$G$623,$G55)</f>
        <v>0.10340916672416404</v>
      </c>
      <c r="BQ55" s="2">
        <f>BL55</f>
        <v>0.13062158220925993</v>
      </c>
      <c r="BR55" s="2">
        <f>BM55</f>
        <v>0</v>
      </c>
    </row>
    <row r="56" spans="1:70" hidden="1">
      <c r="A56" s="74">
        <v>0</v>
      </c>
      <c r="B56" s="73">
        <v>204585</v>
      </c>
      <c r="C56" s="73" t="s">
        <v>1209</v>
      </c>
      <c r="D56" s="73" t="s">
        <v>1210</v>
      </c>
      <c r="E56" s="73" t="s">
        <v>1211</v>
      </c>
      <c r="F56" s="73">
        <v>18588</v>
      </c>
      <c r="G56" s="73" t="s">
        <v>880</v>
      </c>
      <c r="H56" s="73" t="s">
        <v>949</v>
      </c>
      <c r="I56" s="73" t="s">
        <v>1012</v>
      </c>
      <c r="J56" s="73">
        <v>0</v>
      </c>
      <c r="K56" s="73">
        <v>7.5</v>
      </c>
      <c r="L56" s="73">
        <v>0</v>
      </c>
      <c r="M56" s="73">
        <v>0</v>
      </c>
      <c r="N56" s="73">
        <v>0</v>
      </c>
      <c r="O56" s="73" t="s">
        <v>994</v>
      </c>
      <c r="P56" s="73" t="s">
        <v>1212</v>
      </c>
      <c r="Q56" s="73" t="s">
        <v>1213</v>
      </c>
      <c r="R56" s="73">
        <v>5</v>
      </c>
      <c r="S56" s="73">
        <v>3</v>
      </c>
      <c r="T56" s="73">
        <v>0</v>
      </c>
      <c r="U56" s="73">
        <v>1</v>
      </c>
      <c r="V56" s="73">
        <v>1035</v>
      </c>
      <c r="W56" s="73">
        <v>8</v>
      </c>
      <c r="X56" s="73">
        <v>1</v>
      </c>
      <c r="Y56" s="73">
        <v>0</v>
      </c>
      <c r="Z56" s="73" t="s">
        <v>1133</v>
      </c>
      <c r="AA56" s="73" t="s">
        <v>691</v>
      </c>
      <c r="AB56" s="73" t="str">
        <f>IF(AA56&lt;&gt;"",INDEX(Lookup!$N$2:$N$5,MATCH(Players!AA56,Lookup!$P$2:$P$5,0)),INDEX(Lookup!$N$2:$N$5,MATCH(Players!O56,Lookup!$O$2:$O$5,0)))</f>
        <v>Midfield</v>
      </c>
      <c r="AC56" s="73">
        <v>3000000</v>
      </c>
      <c r="AD56" s="73" t="s">
        <v>802</v>
      </c>
      <c r="AE56" s="73" t="str">
        <f>INDEX('Translate table'!$H$2:$H$622,MATCH(Players!P56,'Translate table'!$G$2:$G$622,0))</f>
        <v>Nemanja NikoliÄ‡</v>
      </c>
      <c r="AF56" s="73">
        <f>IFERROR(INDEX('Euro Qual stats'!$A$1:$L$2071,MATCH(Players!$AE56,'Euro Qual stats'!$A$1:$A$2071,0),MATCH(Players!AF$2,'Euro Qual stats'!$A$1:$L$1,0)),0)</f>
        <v>2</v>
      </c>
      <c r="AG56" s="73">
        <f>IFERROR(INDEX('Euro Qual stats'!$A$1:$L$2071,MATCH(Players!$AE56,'Euro Qual stats'!$A$1:$A$2071,0),MATCH(Players!AG$2,'Euro Qual stats'!$A$1:$L$1,0)),0)</f>
        <v>0</v>
      </c>
      <c r="AH56" s="73">
        <f>IFERROR(INDEX('Euro Qual stats'!$A$1:$L$2071,MATCH(Players!$AE56,'Euro Qual stats'!$A$1:$A$2071,0),MATCH(Players!AH$2,'Euro Qual stats'!$A$1:$L$1,0)),0)</f>
        <v>1.8</v>
      </c>
      <c r="AI56" s="73">
        <f>IFERROR(INDEX('Euro Qual stats'!$A$1:$L$2071,MATCH(Players!$AE56,'Euro Qual stats'!$A$1:$A$2071,0),MATCH(Players!AI$2,'Euro Qual stats'!$A$1:$L$1,0)),0)</f>
        <v>0</v>
      </c>
      <c r="AJ56" s="93">
        <f>(12-AF56)/12*INDEX(BV$9:BV$12,MATCH($AB56,$BU$9:$BU$12,0))+AF56/12*AG56</f>
        <v>0.1405759162303665</v>
      </c>
      <c r="AK56" s="93">
        <f>(12-AG56)/12*INDEX(BW$9:BW$12,MATCH($AB56,$BU$9:$BU$12,0))+AG56/12*AH56</f>
        <v>0.22340314136125652</v>
      </c>
      <c r="AL56" s="93">
        <f>(12-AH56)/12*INDEX(BX$9:BX$12,MATCH($AB56,$BU$9:$BU$12,0))+AH56/12*AI56</f>
        <v>0.2035104712041885</v>
      </c>
      <c r="AM56" s="93">
        <f>IF($BC56=1,AJ56/SUMIFS(AJ$3:AJ$623,$BC$3:$BC$623,1,$G$3:$G$623,$G56),0)</f>
        <v>0</v>
      </c>
      <c r="AN56" s="93">
        <f>IF($BC56=1,AK56/SUMIFS(AK$3:AK$623,$BC$3:$BC$623,1,$G$3:$G$623,$G56),0)</f>
        <v>0</v>
      </c>
      <c r="AO56" s="93">
        <f>IF($BC56=1,AL56/SUMIFS(AL$3:AL$623,$BC$3:$BC$623,1,$G$3:$G$623,$G56),0)</f>
        <v>0</v>
      </c>
      <c r="AP56" s="2">
        <f>IFERROR(R56/$V56*90,"")</f>
        <v>0.43478260869565216</v>
      </c>
      <c r="AQ56" s="2">
        <f>IFERROR(S56/$V56*90,"")</f>
        <v>0.2608695652173913</v>
      </c>
      <c r="AR56" s="2">
        <f>IFERROR(W56/$V56*90,"")</f>
        <v>0.69565217391304346</v>
      </c>
      <c r="AS56" s="2">
        <f>IFERROR(X56/$V56*90,"")</f>
        <v>8.6956521739130432E-2</v>
      </c>
      <c r="AT56" s="2">
        <f>IFERROR(Y56/$V56*90,"")</f>
        <v>0</v>
      </c>
      <c r="AU56" s="2">
        <f>IF(AP56="",INDEX(BV$4:BV$7,MATCH(O56,$BU$4:$BU$7,0)),AP56)</f>
        <v>0.43478260869565216</v>
      </c>
      <c r="AV56" s="2">
        <f>IF(AQ56="",INDEX(BW$4:BW$7,MATCH($O56,$BU$4:$BU$7,0)),AQ56)</f>
        <v>0.2608695652173913</v>
      </c>
      <c r="AW56" s="2">
        <f t="shared" si="0"/>
        <v>0.69565217391304346</v>
      </c>
      <c r="AX56" s="2">
        <f t="shared" si="1"/>
        <v>8.6956521739130432E-2</v>
      </c>
      <c r="AY56" s="2">
        <f t="shared" si="2"/>
        <v>0</v>
      </c>
      <c r="AZ56" s="2">
        <f>AU56*0.5+AK56*0.5</f>
        <v>0.32909287502845436</v>
      </c>
      <c r="BA56" s="2">
        <f>AV56*0.5+AJ56*0.5</f>
        <v>0.20072274072387891</v>
      </c>
      <c r="BB56" s="2">
        <f t="shared" si="3"/>
        <v>4.3478260869565216E-2</v>
      </c>
      <c r="BC56">
        <f>IF(I56="expected",1,0)</f>
        <v>0</v>
      </c>
      <c r="BD56" s="78">
        <f>IF(BC56=1,AZ56/SUMIFS(AZ$3:AZ$623,$BC$3:$BC$623,1,$G$3:$G$623,$G56),0)</f>
        <v>0</v>
      </c>
      <c r="BE56" s="78">
        <f>IF(BC56=1,BA56/SUMIFS(BA$3:BA$623,$BC$3:$BC$623,1,$G$3:$G$623,$G56),0)</f>
        <v>0</v>
      </c>
      <c r="BF56" s="78">
        <f t="shared" si="4"/>
        <v>0</v>
      </c>
      <c r="BG56" s="2">
        <f t="shared" si="5"/>
        <v>4.3478260869565216E-2</v>
      </c>
      <c r="BH56" s="2">
        <f t="shared" si="6"/>
        <v>0</v>
      </c>
      <c r="BI56" s="2">
        <f t="shared" si="7"/>
        <v>0</v>
      </c>
      <c r="BJ56" s="2">
        <f t="shared" si="8"/>
        <v>0</v>
      </c>
      <c r="BK56" s="2">
        <f t="shared" si="9"/>
        <v>0</v>
      </c>
      <c r="BL56" s="2">
        <f t="shared" si="10"/>
        <v>4.3478260869565216E-2</v>
      </c>
      <c r="BM56" s="2">
        <f t="shared" si="11"/>
        <v>0</v>
      </c>
      <c r="BN56" s="2">
        <f>BI56/SUMIFS(BI$3:BI$623,$BC$3:$BC$623,1,$G$3:$G$623,$G56)</f>
        <v>0</v>
      </c>
      <c r="BO56" s="2">
        <f>BJ56/SUMIFS(BJ$3:BJ$623,$BC$3:$BC$623,1,$G$3:$G$623,$G56)</f>
        <v>0</v>
      </c>
      <c r="BP56" s="2">
        <f>BK56/SUMIFS(BK$3:BK$623,$BC$3:$BC$623,1,$G$3:$G$623,$G56)</f>
        <v>0</v>
      </c>
      <c r="BQ56" s="2">
        <f>BL56</f>
        <v>4.3478260869565216E-2</v>
      </c>
      <c r="BR56" s="2">
        <f>BM56</f>
        <v>0</v>
      </c>
    </row>
    <row r="57" spans="1:70" hidden="1">
      <c r="A57" s="74">
        <v>0</v>
      </c>
      <c r="B57" s="73">
        <v>220766</v>
      </c>
      <c r="C57" s="73" t="s">
        <v>1214</v>
      </c>
      <c r="D57" s="73" t="s">
        <v>1215</v>
      </c>
      <c r="E57" s="73" t="s">
        <v>1216</v>
      </c>
      <c r="F57" s="73">
        <v>18588</v>
      </c>
      <c r="G57" s="73" t="s">
        <v>880</v>
      </c>
      <c r="H57" s="73" t="s">
        <v>949</v>
      </c>
      <c r="I57" s="73" t="s">
        <v>981</v>
      </c>
      <c r="J57" s="73">
        <v>0</v>
      </c>
      <c r="K57" s="73">
        <v>7.5</v>
      </c>
      <c r="L57" s="73">
        <v>0</v>
      </c>
      <c r="M57" s="73">
        <v>0</v>
      </c>
      <c r="N57" s="73">
        <v>0</v>
      </c>
      <c r="O57" s="73" t="s">
        <v>982</v>
      </c>
      <c r="P57" s="73" t="s">
        <v>1217</v>
      </c>
      <c r="Q57" s="73" t="s">
        <v>1217</v>
      </c>
      <c r="R57" s="73">
        <v>11</v>
      </c>
      <c r="S57" s="73">
        <v>4</v>
      </c>
      <c r="T57" s="73">
        <v>0</v>
      </c>
      <c r="U57" s="73">
        <v>3</v>
      </c>
      <c r="V57" s="73">
        <v>1780</v>
      </c>
      <c r="W57" s="73">
        <v>25</v>
      </c>
      <c r="X57" s="73">
        <v>4</v>
      </c>
      <c r="Y57" s="73">
        <v>1</v>
      </c>
      <c r="Z57" s="73" t="s">
        <v>1133</v>
      </c>
      <c r="AA57" s="73" t="s">
        <v>693</v>
      </c>
      <c r="AB57" s="73" t="str">
        <f>IF(AA57&lt;&gt;"",INDEX(Lookup!$N$2:$N$5,MATCH(Players!AA57,Lookup!$P$2:$P$5,0)),INDEX(Lookup!$N$2:$N$5,MATCH(Players!O57,Lookup!$O$2:$O$5,0)))</f>
        <v>Striker</v>
      </c>
      <c r="AC57" s="73">
        <v>3000000</v>
      </c>
      <c r="AD57" s="73" t="s">
        <v>838</v>
      </c>
      <c r="AE57" s="73" t="str">
        <f>INDEX('Translate table'!$H$2:$H$622,MATCH(Players!P57,'Translate table'!$G$2:$G$622,0))</f>
        <v>Ante RebiÄ‡</v>
      </c>
      <c r="AF57" s="73">
        <f>IFERROR(INDEX('Euro Qual stats'!$A$1:$L$2071,MATCH(Players!$AE57,'Euro Qual stats'!$A$1:$A$2071,0),MATCH(Players!AF$2,'Euro Qual stats'!$A$1:$L$1,0)),0)</f>
        <v>7</v>
      </c>
      <c r="AG57" s="73">
        <f>IFERROR(INDEX('Euro Qual stats'!$A$1:$L$2071,MATCH(Players!$AE57,'Euro Qual stats'!$A$1:$A$2071,0),MATCH(Players!AG$2,'Euro Qual stats'!$A$1:$L$1,0)),0)</f>
        <v>0.65</v>
      </c>
      <c r="AH57" s="73">
        <f>IFERROR(INDEX('Euro Qual stats'!$A$1:$L$2071,MATCH(Players!$AE57,'Euro Qual stats'!$A$1:$A$2071,0),MATCH(Players!AH$2,'Euro Qual stats'!$A$1:$L$1,0)),0)</f>
        <v>0.22</v>
      </c>
      <c r="AI57" s="73">
        <f>IFERROR(INDEX('Euro Qual stats'!$A$1:$L$2071,MATCH(Players!$AE57,'Euro Qual stats'!$A$1:$A$2071,0),MATCH(Players!AI$2,'Euro Qual stats'!$A$1:$L$1,0)),0)</f>
        <v>0.22</v>
      </c>
      <c r="AJ57" s="93">
        <f>(12-AF57)/12*INDEX(BV$9:BV$12,MATCH($AB57,$BU$9:$BU$12,0))+AF57/12*AG57</f>
        <v>0.46454741379310349</v>
      </c>
      <c r="AK57" s="93">
        <f>(12-AG57)/12*INDEX(BW$9:BW$12,MATCH($AB57,$BU$9:$BU$12,0))+AG57/12*AH57</f>
        <v>0.51687751436781593</v>
      </c>
      <c r="AL57" s="93">
        <f>(12-AH57)/12*INDEX(BX$9:BX$12,MATCH($AB57,$BU$9:$BU$12,0))+AH57/12*AI57</f>
        <v>0.16583908045977014</v>
      </c>
      <c r="AM57" s="93">
        <f>IF($BC57=1,AJ57/SUMIFS(AJ$3:AJ$623,$BC$3:$BC$623,1,$G$3:$G$623,$G57),0)</f>
        <v>0.29257036466588121</v>
      </c>
      <c r="AN57" s="93">
        <f>IF($BC57=1,AK57/SUMIFS(AK$3:AK$623,$BC$3:$BC$623,1,$G$3:$G$623,$G57),0)</f>
        <v>0.19444625449620176</v>
      </c>
      <c r="AO57" s="93">
        <f>IF($BC57=1,AL57/SUMIFS(AL$3:AL$623,$BC$3:$BC$623,1,$G$3:$G$623,$G57),0)</f>
        <v>8.3673429741932107E-2</v>
      </c>
      <c r="AP57" s="2">
        <f>IFERROR(R57/$V57*90,"")</f>
        <v>0.5561797752808989</v>
      </c>
      <c r="AQ57" s="2">
        <f>IFERROR(S57/$V57*90,"")</f>
        <v>0.20224719101123598</v>
      </c>
      <c r="AR57" s="2">
        <f>IFERROR(W57/$V57*90,"")</f>
        <v>1.2640449438202246</v>
      </c>
      <c r="AS57" s="2">
        <f>IFERROR(X57/$V57*90,"")</f>
        <v>0.20224719101123598</v>
      </c>
      <c r="AT57" s="2">
        <f>IFERROR(Y57/$V57*90,"")</f>
        <v>5.0561797752808994E-2</v>
      </c>
      <c r="AU57" s="2">
        <f>IF(AP57="",INDEX(BV$4:BV$7,MATCH(O57,$BU$4:$BU$7,0)),AP57)</f>
        <v>0.5561797752808989</v>
      </c>
      <c r="AV57" s="2">
        <f>IF(AQ57="",INDEX(BW$4:BW$7,MATCH($O57,$BU$4:$BU$7,0)),AQ57)</f>
        <v>0.20224719101123598</v>
      </c>
      <c r="AW57" s="2">
        <f t="shared" si="0"/>
        <v>1.2640449438202246</v>
      </c>
      <c r="AX57" s="2">
        <f t="shared" si="1"/>
        <v>0.20224719101123598</v>
      </c>
      <c r="AY57" s="2">
        <f t="shared" si="2"/>
        <v>5.0561797752808994E-2</v>
      </c>
      <c r="AZ57" s="2">
        <f>AU57*0.5+AK57*0.5</f>
        <v>0.53652864482435736</v>
      </c>
      <c r="BA57" s="2">
        <f>AV57*0.5+AJ57*0.5</f>
        <v>0.33339730240216975</v>
      </c>
      <c r="BB57" s="2">
        <f t="shared" si="3"/>
        <v>0.21112359550561799</v>
      </c>
      <c r="BC57">
        <f>IF(I57="expected",1,0)</f>
        <v>1</v>
      </c>
      <c r="BD57" s="78">
        <f>IF(BC57=1,AZ57/SUMIFS(AZ$3:AZ$623,$BC$3:$BC$623,1,$G$3:$G$623,$G57),0)</f>
        <v>0.22893512835983865</v>
      </c>
      <c r="BE57" s="78">
        <f>IF(BC57=1,BA57/SUMIFS(BA$3:BA$623,$BC$3:$BC$623,1,$G$3:$G$623,$G57),0)</f>
        <v>0.24351343176246978</v>
      </c>
      <c r="BF57" s="78">
        <f t="shared" si="4"/>
        <v>0.255830561899131</v>
      </c>
      <c r="BG57" s="2">
        <f t="shared" si="5"/>
        <v>0.21112359550561799</v>
      </c>
      <c r="BH57" s="2">
        <f t="shared" si="6"/>
        <v>5.0561797752808994E-2</v>
      </c>
      <c r="BI57" s="2">
        <f t="shared" si="7"/>
        <v>0.22893512835983865</v>
      </c>
      <c r="BJ57" s="2">
        <f t="shared" si="8"/>
        <v>0.24351343176246978</v>
      </c>
      <c r="BK57" s="2">
        <f t="shared" si="9"/>
        <v>0.255830561899131</v>
      </c>
      <c r="BL57" s="2">
        <f t="shared" si="10"/>
        <v>0.21112359550561799</v>
      </c>
      <c r="BM57" s="2">
        <f t="shared" si="11"/>
        <v>5.0561797752808994E-2</v>
      </c>
      <c r="BN57" s="2">
        <f>BI57/SUMIFS(BI$3:BI$623,$BC$3:$BC$623,1,$G$3:$G$623,$G57)</f>
        <v>0.22893512835983865</v>
      </c>
      <c r="BO57" s="2">
        <f>BJ57/SUMIFS(BJ$3:BJ$623,$BC$3:$BC$623,1,$G$3:$G$623,$G57)</f>
        <v>0.24351343176246978</v>
      </c>
      <c r="BP57" s="2">
        <f>BK57/SUMIFS(BK$3:BK$623,$BC$3:$BC$623,1,$G$3:$G$623,$G57)</f>
        <v>0.26559114637114417</v>
      </c>
      <c r="BQ57" s="2">
        <f>BL57</f>
        <v>0.21112359550561799</v>
      </c>
      <c r="BR57" s="2">
        <f>BM57</f>
        <v>5.0561797752808994E-2</v>
      </c>
    </row>
    <row r="58" spans="1:70" hidden="1">
      <c r="A58" s="74">
        <v>0</v>
      </c>
      <c r="B58" s="73">
        <v>205002</v>
      </c>
      <c r="C58" s="73" t="s">
        <v>1218</v>
      </c>
      <c r="D58" s="73" t="s">
        <v>1219</v>
      </c>
      <c r="E58" s="73" t="s">
        <v>1220</v>
      </c>
      <c r="F58" s="73">
        <v>18658</v>
      </c>
      <c r="G58" s="73" t="s">
        <v>863</v>
      </c>
      <c r="H58" s="73" t="s">
        <v>939</v>
      </c>
      <c r="I58" s="73" t="s">
        <v>1012</v>
      </c>
      <c r="J58" s="73">
        <v>0</v>
      </c>
      <c r="K58" s="73">
        <v>7.5</v>
      </c>
      <c r="L58" s="73">
        <v>0</v>
      </c>
      <c r="M58" s="73">
        <v>0</v>
      </c>
      <c r="N58" s="73">
        <v>0</v>
      </c>
      <c r="O58" s="73" t="s">
        <v>994</v>
      </c>
      <c r="P58" s="73" t="s">
        <v>1221</v>
      </c>
      <c r="Q58" s="73" t="s">
        <v>1221</v>
      </c>
      <c r="R58" s="73">
        <v>17</v>
      </c>
      <c r="S58" s="73">
        <v>7</v>
      </c>
      <c r="T58" s="73">
        <v>0</v>
      </c>
      <c r="U58" s="73">
        <v>4</v>
      </c>
      <c r="V58" s="73">
        <v>2485</v>
      </c>
      <c r="W58" s="73">
        <v>41</v>
      </c>
      <c r="X58" s="73">
        <v>4</v>
      </c>
      <c r="Y58" s="73">
        <v>0</v>
      </c>
      <c r="Z58" s="73" t="s">
        <v>1054</v>
      </c>
      <c r="AA58" s="73" t="s">
        <v>693</v>
      </c>
      <c r="AB58" s="73" t="str">
        <f>IF(AA58&lt;&gt;"",INDEX(Lookup!$N$2:$N$5,MATCH(Players!AA58,Lookup!$P$2:$P$5,0)),INDEX(Lookup!$N$2:$N$5,MATCH(Players!O58,Lookup!$O$2:$O$5,0)))</f>
        <v>Striker</v>
      </c>
      <c r="AC58" s="73">
        <v>3500000</v>
      </c>
      <c r="AD58" s="73" t="s">
        <v>799</v>
      </c>
      <c r="AE58" s="73" t="str">
        <f>INDEX('Translate table'!$H$2:$H$622,MATCH(Players!P58,'Translate table'!$G$2:$G$622,0))</f>
        <v>Filippo Berardi</v>
      </c>
      <c r="AF58" s="73">
        <f>IFERROR(INDEX('Euro Qual stats'!$A$1:$L$2071,MATCH(Players!$AE58,'Euro Qual stats'!$A$1:$A$2071,0),MATCH(Players!AF$2,'Euro Qual stats'!$A$1:$L$1,0)),0)</f>
        <v>8</v>
      </c>
      <c r="AG58" s="73">
        <f>IFERROR(INDEX('Euro Qual stats'!$A$1:$L$2071,MATCH(Players!$AE58,'Euro Qual stats'!$A$1:$A$2071,0),MATCH(Players!AG$2,'Euro Qual stats'!$A$1:$L$1,0)),0)</f>
        <v>0</v>
      </c>
      <c r="AH58" s="73">
        <f>IFERROR(INDEX('Euro Qual stats'!$A$1:$L$2071,MATCH(Players!$AE58,'Euro Qual stats'!$A$1:$A$2071,0),MATCH(Players!AH$2,'Euro Qual stats'!$A$1:$L$1,0)),0)</f>
        <v>0.14000000000000001</v>
      </c>
      <c r="AI58" s="73">
        <f>IFERROR(INDEX('Euro Qual stats'!$A$1:$L$2071,MATCH(Players!$AE58,'Euro Qual stats'!$A$1:$A$2071,0),MATCH(Players!AI$2,'Euro Qual stats'!$A$1:$L$1,0)),0)</f>
        <v>0.14000000000000001</v>
      </c>
      <c r="AJ58" s="93">
        <f>(12-AF58)/12*INDEX(BV$9:BV$12,MATCH($AB58,$BU$9:$BU$12,0))+AF58/12*AG58</f>
        <v>6.8304597701149439E-2</v>
      </c>
      <c r="AK58" s="93">
        <f>(12-AG58)/12*INDEX(BW$9:BW$12,MATCH($AB58,$BU$9:$BU$12,0))+AG58/12*AH58</f>
        <v>0.53387931034482738</v>
      </c>
      <c r="AL58" s="93">
        <f>(12-AH58)/12*INDEX(BX$9:BX$12,MATCH($AB58,$BU$9:$BU$12,0))+AH58/12*AI58</f>
        <v>0.16453793103448278</v>
      </c>
      <c r="AM58" s="93">
        <f>IF($BC58=1,AJ58/SUMIFS(AJ$3:AJ$623,$BC$3:$BC$623,1,$G$3:$G$623,$G58),0)</f>
        <v>0</v>
      </c>
      <c r="AN58" s="93">
        <f>IF($BC58=1,AK58/SUMIFS(AK$3:AK$623,$BC$3:$BC$623,1,$G$3:$G$623,$G58),0)</f>
        <v>0</v>
      </c>
      <c r="AO58" s="93">
        <f>IF($BC58=1,AL58/SUMIFS(AL$3:AL$623,$BC$3:$BC$623,1,$G$3:$G$623,$G58),0)</f>
        <v>0</v>
      </c>
      <c r="AP58" s="2">
        <f>IFERROR(R58/$V58*90,"")</f>
        <v>0.61569416498993967</v>
      </c>
      <c r="AQ58" s="2">
        <f>IFERROR(S58/$V58*90,"")</f>
        <v>0.25352112676056338</v>
      </c>
      <c r="AR58" s="2">
        <f>IFERROR(W58/$V58*90,"")</f>
        <v>1.4849094567404426</v>
      </c>
      <c r="AS58" s="2">
        <f>IFERROR(X58/$V58*90,"")</f>
        <v>0.14486921529175051</v>
      </c>
      <c r="AT58" s="2">
        <f>IFERROR(Y58/$V58*90,"")</f>
        <v>0</v>
      </c>
      <c r="AU58" s="2">
        <f>IF(AP58="",INDEX(BV$4:BV$7,MATCH(O58,$BU$4:$BU$7,0)),AP58)</f>
        <v>0.61569416498993967</v>
      </c>
      <c r="AV58" s="2">
        <f>IF(AQ58="",INDEX(BW$4:BW$7,MATCH($O58,$BU$4:$BU$7,0)),AQ58)</f>
        <v>0.25352112676056338</v>
      </c>
      <c r="AW58" s="2">
        <f t="shared" si="0"/>
        <v>1.4849094567404426</v>
      </c>
      <c r="AX58" s="2">
        <f t="shared" si="1"/>
        <v>0.14486921529175051</v>
      </c>
      <c r="AY58" s="2">
        <f t="shared" si="2"/>
        <v>0</v>
      </c>
      <c r="AZ58" s="2">
        <f>AU58*0.5+AK58*0.5</f>
        <v>0.57478673766738353</v>
      </c>
      <c r="BA58" s="2">
        <f>AV58*0.5+AJ58*0.5</f>
        <v>0.16091286223085641</v>
      </c>
      <c r="BB58" s="2">
        <f t="shared" si="3"/>
        <v>0.14243460764587526</v>
      </c>
      <c r="BC58">
        <f>IF(I58="expected",1,0)</f>
        <v>0</v>
      </c>
      <c r="BD58" s="78">
        <f>IF(BC58=1,AZ58/SUMIFS(AZ$3:AZ$623,$BC$3:$BC$623,1,$G$3:$G$623,$G58),0)</f>
        <v>0</v>
      </c>
      <c r="BE58" s="78">
        <f>IF(BC58=1,BA58/SUMIFS(BA$3:BA$623,$BC$3:$BC$623,1,$G$3:$G$623,$G58),0)</f>
        <v>0</v>
      </c>
      <c r="BF58" s="78">
        <f t="shared" si="4"/>
        <v>0</v>
      </c>
      <c r="BG58" s="2">
        <f t="shared" si="5"/>
        <v>0.14243460764587526</v>
      </c>
      <c r="BH58" s="2">
        <f t="shared" si="6"/>
        <v>0</v>
      </c>
      <c r="BI58" s="2">
        <f t="shared" si="7"/>
        <v>0</v>
      </c>
      <c r="BJ58" s="2">
        <f t="shared" si="8"/>
        <v>0</v>
      </c>
      <c r="BK58" s="2">
        <f t="shared" si="9"/>
        <v>0</v>
      </c>
      <c r="BL58" s="2">
        <f t="shared" si="10"/>
        <v>0.14243460764587526</v>
      </c>
      <c r="BM58" s="2">
        <f t="shared" si="11"/>
        <v>0</v>
      </c>
      <c r="BN58" s="2">
        <f>BI58/SUMIFS(BI$3:BI$623,$BC$3:$BC$623,1,$G$3:$G$623,$G58)</f>
        <v>0</v>
      </c>
      <c r="BO58" s="2">
        <f>BJ58/SUMIFS(BJ$3:BJ$623,$BC$3:$BC$623,1,$G$3:$G$623,$G58)</f>
        <v>0</v>
      </c>
      <c r="BP58" s="2">
        <f>BK58/SUMIFS(BK$3:BK$623,$BC$3:$BC$623,1,$G$3:$G$623,$G58)</f>
        <v>0</v>
      </c>
      <c r="BQ58" s="2">
        <f>BL58</f>
        <v>0.14243460764587526</v>
      </c>
      <c r="BR58" s="2">
        <f>BM58</f>
        <v>0</v>
      </c>
    </row>
    <row r="59" spans="1:70" hidden="1">
      <c r="A59" s="74">
        <v>0</v>
      </c>
      <c r="B59" s="73">
        <v>213415</v>
      </c>
      <c r="C59" s="73" t="s">
        <v>1222</v>
      </c>
      <c r="D59" s="73" t="s">
        <v>1223</v>
      </c>
      <c r="E59" s="73" t="s">
        <v>1224</v>
      </c>
      <c r="F59" s="73">
        <v>18743</v>
      </c>
      <c r="G59" s="73" t="s">
        <v>871</v>
      </c>
      <c r="H59" s="73" t="s">
        <v>945</v>
      </c>
      <c r="I59" s="73" t="s">
        <v>1012</v>
      </c>
      <c r="J59" s="73">
        <v>0</v>
      </c>
      <c r="K59" s="73">
        <v>7.5</v>
      </c>
      <c r="L59" s="73">
        <v>0</v>
      </c>
      <c r="M59" s="73">
        <v>0</v>
      </c>
      <c r="N59" s="73">
        <v>0</v>
      </c>
      <c r="O59" s="73" t="s">
        <v>994</v>
      </c>
      <c r="P59" s="73" t="s">
        <v>1225</v>
      </c>
      <c r="Q59" s="73" t="s">
        <v>1225</v>
      </c>
      <c r="R59" s="73">
        <v>6</v>
      </c>
      <c r="S59" s="73">
        <v>10</v>
      </c>
      <c r="T59" s="73">
        <v>0</v>
      </c>
      <c r="U59" s="73">
        <v>4</v>
      </c>
      <c r="V59" s="73">
        <v>2186</v>
      </c>
      <c r="W59" s="73">
        <v>24</v>
      </c>
      <c r="X59" s="73">
        <v>6</v>
      </c>
      <c r="Y59" s="73">
        <v>0</v>
      </c>
      <c r="Z59" s="73" t="s">
        <v>995</v>
      </c>
      <c r="AA59" s="73" t="s">
        <v>691</v>
      </c>
      <c r="AB59" s="73" t="str">
        <f>IF(AA59&lt;&gt;"",INDEX(Lookup!$N$2:$N$5,MATCH(Players!AA59,Lookup!$P$2:$P$5,0)),INDEX(Lookup!$N$2:$N$5,MATCH(Players!O59,Lookup!$O$2:$O$5,0)))</f>
        <v>Midfield</v>
      </c>
      <c r="AC59" s="73">
        <v>5500000</v>
      </c>
      <c r="AD59" s="73" t="s">
        <v>807</v>
      </c>
      <c r="AE59" s="73" t="str">
        <f>INDEX('Translate table'!$H$2:$H$622,MATCH(Players!P59,'Translate table'!$G$2:$G$622,0))</f>
        <v>Yannick Carrasco</v>
      </c>
      <c r="AF59" s="73">
        <f>IFERROR(INDEX('Euro Qual stats'!$A$1:$L$2071,MATCH(Players!$AE59,'Euro Qual stats'!$A$1:$A$2071,0),MATCH(Players!AF$2,'Euro Qual stats'!$A$1:$L$1,0)),0)</f>
        <v>7</v>
      </c>
      <c r="AG59" s="73">
        <f>IFERROR(INDEX('Euro Qual stats'!$A$1:$L$2071,MATCH(Players!$AE59,'Euro Qual stats'!$A$1:$A$2071,0),MATCH(Players!AG$2,'Euro Qual stats'!$A$1:$L$1,0)),0)</f>
        <v>1.42</v>
      </c>
      <c r="AH59" s="73">
        <f>IFERROR(INDEX('Euro Qual stats'!$A$1:$L$2071,MATCH(Players!$AE59,'Euro Qual stats'!$A$1:$A$2071,0),MATCH(Players!AH$2,'Euro Qual stats'!$A$1:$L$1,0)),0)</f>
        <v>0.36</v>
      </c>
      <c r="AI59" s="73">
        <f>IFERROR(INDEX('Euro Qual stats'!$A$1:$L$2071,MATCH(Players!$AE59,'Euro Qual stats'!$A$1:$A$2071,0),MATCH(Players!AI$2,'Euro Qual stats'!$A$1:$L$1,0)),0)</f>
        <v>0</v>
      </c>
      <c r="AJ59" s="93">
        <f>(12-AF59)/12*INDEX(BV$9:BV$12,MATCH($AB59,$BU$9:$BU$12,0))+AF59/12*AG59</f>
        <v>0.89862129144851666</v>
      </c>
      <c r="AK59" s="93">
        <f>(12-AG59)/12*INDEX(BW$9:BW$12,MATCH($AB59,$BU$9:$BU$12,0))+AG59/12*AH59</f>
        <v>0.23956710296684117</v>
      </c>
      <c r="AL59" s="93">
        <f>(12-AH59)/12*INDEX(BX$9:BX$12,MATCH($AB59,$BU$9:$BU$12,0))+AH59/12*AI59</f>
        <v>0.23224136125654454</v>
      </c>
      <c r="AM59" s="93">
        <f>IF($BC59=1,AJ59/SUMIFS(AJ$3:AJ$623,$BC$3:$BC$623,1,$G$3:$G$623,$G59),0)</f>
        <v>0</v>
      </c>
      <c r="AN59" s="93">
        <f>IF($BC59=1,AK59/SUMIFS(AK$3:AK$623,$BC$3:$BC$623,1,$G$3:$G$623,$G59),0)</f>
        <v>0</v>
      </c>
      <c r="AO59" s="93">
        <f>IF($BC59=1,AL59/SUMIFS(AL$3:AL$623,$BC$3:$BC$623,1,$G$3:$G$623,$G59),0)</f>
        <v>0</v>
      </c>
      <c r="AP59" s="2">
        <f>IFERROR(R59/$V59*90,"")</f>
        <v>0.24702653247941445</v>
      </c>
      <c r="AQ59" s="2">
        <f>IFERROR(S59/$V59*90,"")</f>
        <v>0.41171088746569079</v>
      </c>
      <c r="AR59" s="2">
        <f>IFERROR(W59/$V59*90,"")</f>
        <v>0.98810612991765778</v>
      </c>
      <c r="AS59" s="2">
        <f>IFERROR(X59/$V59*90,"")</f>
        <v>0.24702653247941445</v>
      </c>
      <c r="AT59" s="2">
        <f>IFERROR(Y59/$V59*90,"")</f>
        <v>0</v>
      </c>
      <c r="AU59" s="2">
        <f>IF(AP59="",INDEX(BV$4:BV$7,MATCH(O59,$BU$4:$BU$7,0)),AP59)</f>
        <v>0.24702653247941445</v>
      </c>
      <c r="AV59" s="2">
        <f>IF(AQ59="",INDEX(BW$4:BW$7,MATCH($O59,$BU$4:$BU$7,0)),AQ59)</f>
        <v>0.41171088746569079</v>
      </c>
      <c r="AW59" s="2">
        <f t="shared" si="0"/>
        <v>0.98810612991765778</v>
      </c>
      <c r="AX59" s="2">
        <f t="shared" si="1"/>
        <v>0.24702653247941445</v>
      </c>
      <c r="AY59" s="2">
        <f t="shared" si="2"/>
        <v>0</v>
      </c>
      <c r="AZ59" s="2">
        <f>AU59*0.5+AK59*0.5</f>
        <v>0.24329681772312781</v>
      </c>
      <c r="BA59" s="2">
        <f>AV59*0.5+AJ59*0.5</f>
        <v>0.65516608945710375</v>
      </c>
      <c r="BB59" s="2">
        <f t="shared" si="3"/>
        <v>0.12351326623970722</v>
      </c>
      <c r="BC59">
        <f>IF(I59="expected",1,0)</f>
        <v>0</v>
      </c>
      <c r="BD59" s="78">
        <f>IF(BC59=1,AZ59/SUMIFS(AZ$3:AZ$623,$BC$3:$BC$623,1,$G$3:$G$623,$G59),0)</f>
        <v>0</v>
      </c>
      <c r="BE59" s="78">
        <f>IF(BC59=1,BA59/SUMIFS(BA$3:BA$623,$BC$3:$BC$623,1,$G$3:$G$623,$G59),0)</f>
        <v>0</v>
      </c>
      <c r="BF59" s="78">
        <f t="shared" si="4"/>
        <v>0</v>
      </c>
      <c r="BG59" s="2">
        <f t="shared" si="5"/>
        <v>0.12351326623970722</v>
      </c>
      <c r="BH59" s="2">
        <f t="shared" si="6"/>
        <v>0</v>
      </c>
      <c r="BI59" s="2">
        <f t="shared" si="7"/>
        <v>0</v>
      </c>
      <c r="BJ59" s="2">
        <f t="shared" si="8"/>
        <v>0</v>
      </c>
      <c r="BK59" s="2">
        <f t="shared" si="9"/>
        <v>0</v>
      </c>
      <c r="BL59" s="2">
        <f t="shared" si="10"/>
        <v>0.12351326623970722</v>
      </c>
      <c r="BM59" s="2">
        <f t="shared" si="11"/>
        <v>0</v>
      </c>
      <c r="BN59" s="2">
        <f>BI59/SUMIFS(BI$3:BI$623,$BC$3:$BC$623,1,$G$3:$G$623,$G59)</f>
        <v>0</v>
      </c>
      <c r="BO59" s="2">
        <f>BJ59/SUMIFS(BJ$3:BJ$623,$BC$3:$BC$623,1,$G$3:$G$623,$G59)</f>
        <v>0</v>
      </c>
      <c r="BP59" s="2">
        <f>BK59/SUMIFS(BK$3:BK$623,$BC$3:$BC$623,1,$G$3:$G$623,$G59)</f>
        <v>0</v>
      </c>
      <c r="BQ59" s="2">
        <f>BL59</f>
        <v>0.12351326623970722</v>
      </c>
      <c r="BR59" s="2">
        <f>BM59</f>
        <v>0</v>
      </c>
    </row>
    <row r="60" spans="1:70" hidden="1">
      <c r="A60" s="74">
        <v>0</v>
      </c>
      <c r="B60" s="73">
        <v>204565</v>
      </c>
      <c r="C60" s="73" t="s">
        <v>1226</v>
      </c>
      <c r="D60" s="73" t="s">
        <v>1227</v>
      </c>
      <c r="E60" s="73" t="s">
        <v>1228</v>
      </c>
      <c r="F60" s="73">
        <v>18694</v>
      </c>
      <c r="G60" s="73" t="s">
        <v>876</v>
      </c>
      <c r="H60" s="73" t="s">
        <v>909</v>
      </c>
      <c r="I60" s="73" t="s">
        <v>1012</v>
      </c>
      <c r="J60" s="73">
        <v>0</v>
      </c>
      <c r="K60" s="73">
        <v>7.5</v>
      </c>
      <c r="L60" s="73">
        <v>0</v>
      </c>
      <c r="M60" s="73">
        <v>0</v>
      </c>
      <c r="N60" s="73">
        <v>0</v>
      </c>
      <c r="O60" s="73" t="s">
        <v>994</v>
      </c>
      <c r="P60" s="73" t="s">
        <v>617</v>
      </c>
      <c r="Q60" s="73" t="s">
        <v>617</v>
      </c>
      <c r="R60" s="73">
        <v>1</v>
      </c>
      <c r="S60" s="73">
        <v>1</v>
      </c>
      <c r="T60" s="73">
        <v>0</v>
      </c>
      <c r="U60" s="73">
        <v>0</v>
      </c>
      <c r="V60" s="73">
        <v>513</v>
      </c>
      <c r="W60" s="73">
        <v>1</v>
      </c>
      <c r="X60" s="73">
        <v>1</v>
      </c>
      <c r="Y60" s="73">
        <v>0</v>
      </c>
      <c r="Z60" s="73" t="s">
        <v>1095</v>
      </c>
      <c r="AA60" s="73" t="s">
        <v>691</v>
      </c>
      <c r="AB60" s="73" t="str">
        <f>IF(AA60&lt;&gt;"",INDEX(Lookup!$N$2:$N$5,MATCH(Players!AA60,Lookup!$P$2:$P$5,0)),INDEX(Lookup!$N$2:$N$5,MATCH(Players!O60,Lookup!$O$2:$O$5,0)))</f>
        <v>Midfield</v>
      </c>
      <c r="AC60" s="73">
        <v>4000000</v>
      </c>
      <c r="AD60" s="73" t="s">
        <v>810</v>
      </c>
      <c r="AE60" s="73" t="str">
        <f>INDEX('Translate table'!$H$2:$H$622,MATCH(Players!P60,'Translate table'!$G$2:$G$622,0))</f>
        <v>Donny van de Beek</v>
      </c>
      <c r="AF60" s="73">
        <f>IFERROR(INDEX('Euro Qual stats'!$A$1:$L$2071,MATCH(Players!$AE60,'Euro Qual stats'!$A$1:$A$2071,0),MATCH(Players!AF$2,'Euro Qual stats'!$A$1:$L$1,0)),0)</f>
        <v>3</v>
      </c>
      <c r="AG60" s="73">
        <f>IFERROR(INDEX('Euro Qual stats'!$A$1:$L$2071,MATCH(Players!$AE60,'Euro Qual stats'!$A$1:$A$2071,0),MATCH(Players!AG$2,'Euro Qual stats'!$A$1:$L$1,0)),0)</f>
        <v>0</v>
      </c>
      <c r="AH60" s="73">
        <f>IFERROR(INDEX('Euro Qual stats'!$A$1:$L$2071,MATCH(Players!$AE60,'Euro Qual stats'!$A$1:$A$2071,0),MATCH(Players!AH$2,'Euro Qual stats'!$A$1:$L$1,0)),0)</f>
        <v>0</v>
      </c>
      <c r="AI60" s="73">
        <f>IFERROR(INDEX('Euro Qual stats'!$A$1:$L$2071,MATCH(Players!$AE60,'Euro Qual stats'!$A$1:$A$2071,0),MATCH(Players!AI$2,'Euro Qual stats'!$A$1:$L$1,0)),0)</f>
        <v>0</v>
      </c>
      <c r="AJ60" s="93">
        <f>(12-AF60)/12*INDEX(BV$9:BV$12,MATCH($AB60,$BU$9:$BU$12,0))+AF60/12*AG60</f>
        <v>0.12651832460732984</v>
      </c>
      <c r="AK60" s="93">
        <f>(12-AG60)/12*INDEX(BW$9:BW$12,MATCH($AB60,$BU$9:$BU$12,0))+AG60/12*AH60</f>
        <v>0.22340314136125652</v>
      </c>
      <c r="AL60" s="93">
        <f>(12-AH60)/12*INDEX(BX$9:BX$12,MATCH($AB60,$BU$9:$BU$12,0))+AH60/12*AI60</f>
        <v>0.23942408376963353</v>
      </c>
      <c r="AM60" s="93">
        <f>IF($BC60=1,AJ60/SUMIFS(AJ$3:AJ$623,$BC$3:$BC$623,1,$G$3:$G$623,$G60),0)</f>
        <v>0</v>
      </c>
      <c r="AN60" s="93">
        <f>IF($BC60=1,AK60/SUMIFS(AK$3:AK$623,$BC$3:$BC$623,1,$G$3:$G$623,$G60),0)</f>
        <v>0</v>
      </c>
      <c r="AO60" s="93">
        <f>IF($BC60=1,AL60/SUMIFS(AL$3:AL$623,$BC$3:$BC$623,1,$G$3:$G$623,$G60),0)</f>
        <v>0</v>
      </c>
      <c r="AP60" s="2">
        <f>IFERROR(R60/$V60*90,"")</f>
        <v>0.17543859649122806</v>
      </c>
      <c r="AQ60" s="2">
        <f>IFERROR(S60/$V60*90,"")</f>
        <v>0.17543859649122806</v>
      </c>
      <c r="AR60" s="2">
        <f>IFERROR(W60/$V60*90,"")</f>
        <v>0.17543859649122806</v>
      </c>
      <c r="AS60" s="2">
        <f>IFERROR(X60/$V60*90,"")</f>
        <v>0.17543859649122806</v>
      </c>
      <c r="AT60" s="2">
        <f>IFERROR(Y60/$V60*90,"")</f>
        <v>0</v>
      </c>
      <c r="AU60" s="2">
        <f>IF(AP60="",INDEX(BV$4:BV$7,MATCH(O60,$BU$4:$BU$7,0)),AP60)</f>
        <v>0.17543859649122806</v>
      </c>
      <c r="AV60" s="2">
        <f>IF(AQ60="",INDEX(BW$4:BW$7,MATCH($O60,$BU$4:$BU$7,0)),AQ60)</f>
        <v>0.17543859649122806</v>
      </c>
      <c r="AW60" s="2">
        <f t="shared" si="0"/>
        <v>0.17543859649122806</v>
      </c>
      <c r="AX60" s="2">
        <f t="shared" si="1"/>
        <v>0.17543859649122806</v>
      </c>
      <c r="AY60" s="2">
        <f t="shared" si="2"/>
        <v>0</v>
      </c>
      <c r="AZ60" s="2">
        <f>AU60*0.5+AK60*0.5</f>
        <v>0.19942086892624228</v>
      </c>
      <c r="BA60" s="2">
        <f>AV60*0.5+AJ60*0.5</f>
        <v>0.15097846054927894</v>
      </c>
      <c r="BB60" s="2">
        <f t="shared" si="3"/>
        <v>8.771929824561403E-2</v>
      </c>
      <c r="BC60">
        <f>IF(I60="expected",1,0)</f>
        <v>0</v>
      </c>
      <c r="BD60" s="78">
        <f>IF(BC60=1,AZ60/SUMIFS(AZ$3:AZ$623,$BC$3:$BC$623,1,$G$3:$G$623,$G60),0)</f>
        <v>0</v>
      </c>
      <c r="BE60" s="78">
        <f>IF(BC60=1,BA60/SUMIFS(BA$3:BA$623,$BC$3:$BC$623,1,$G$3:$G$623,$G60),0)</f>
        <v>0</v>
      </c>
      <c r="BF60" s="78">
        <f t="shared" si="4"/>
        <v>0</v>
      </c>
      <c r="BG60" s="2">
        <f t="shared" si="5"/>
        <v>8.771929824561403E-2</v>
      </c>
      <c r="BH60" s="2">
        <f t="shared" si="6"/>
        <v>0</v>
      </c>
      <c r="BI60" s="2">
        <f t="shared" si="7"/>
        <v>0</v>
      </c>
      <c r="BJ60" s="2">
        <f t="shared" si="8"/>
        <v>0</v>
      </c>
      <c r="BK60" s="2">
        <f t="shared" si="9"/>
        <v>0</v>
      </c>
      <c r="BL60" s="2">
        <f t="shared" si="10"/>
        <v>8.771929824561403E-2</v>
      </c>
      <c r="BM60" s="2">
        <f t="shared" si="11"/>
        <v>0</v>
      </c>
      <c r="BN60" s="2">
        <f>BI60/SUMIFS(BI$3:BI$623,$BC$3:$BC$623,1,$G$3:$G$623,$G60)</f>
        <v>0</v>
      </c>
      <c r="BO60" s="2">
        <f>BJ60/SUMIFS(BJ$3:BJ$623,$BC$3:$BC$623,1,$G$3:$G$623,$G60)</f>
        <v>0</v>
      </c>
      <c r="BP60" s="2">
        <f>BK60/SUMIFS(BK$3:BK$623,$BC$3:$BC$623,1,$G$3:$G$623,$G60)</f>
        <v>0</v>
      </c>
      <c r="BQ60" s="2">
        <f>BL60</f>
        <v>8.771929824561403E-2</v>
      </c>
      <c r="BR60" s="2">
        <f>BM60</f>
        <v>0</v>
      </c>
    </row>
    <row r="61" spans="1:70" hidden="1">
      <c r="A61" s="74">
        <v>0</v>
      </c>
      <c r="B61" s="73">
        <v>204578</v>
      </c>
      <c r="C61" s="73" t="s">
        <v>1229</v>
      </c>
      <c r="D61" s="73" t="s">
        <v>1230</v>
      </c>
      <c r="E61" s="73" t="s">
        <v>1231</v>
      </c>
      <c r="F61" s="73">
        <v>18694</v>
      </c>
      <c r="G61" s="73" t="s">
        <v>876</v>
      </c>
      <c r="H61" s="73" t="s">
        <v>909</v>
      </c>
      <c r="I61" s="73" t="s">
        <v>1012</v>
      </c>
      <c r="J61" s="73">
        <v>0</v>
      </c>
      <c r="K61" s="73">
        <v>7.5</v>
      </c>
      <c r="L61" s="73">
        <v>0</v>
      </c>
      <c r="M61" s="73">
        <v>0</v>
      </c>
      <c r="N61" s="73">
        <v>0</v>
      </c>
      <c r="O61" s="73" t="s">
        <v>982</v>
      </c>
      <c r="P61" s="73" t="s">
        <v>1232</v>
      </c>
      <c r="Q61" s="73" t="s">
        <v>1233</v>
      </c>
      <c r="R61" s="73">
        <v>0</v>
      </c>
      <c r="S61" s="73">
        <v>0</v>
      </c>
      <c r="T61" s="73">
        <v>0</v>
      </c>
      <c r="U61" s="73">
        <v>0</v>
      </c>
      <c r="V61" s="73">
        <v>26</v>
      </c>
      <c r="W61" s="73">
        <v>1</v>
      </c>
      <c r="X61" s="73">
        <v>0</v>
      </c>
      <c r="Y61" s="73">
        <v>0</v>
      </c>
      <c r="Z61" s="73" t="s">
        <v>1095</v>
      </c>
      <c r="AA61" s="73" t="s">
        <v>693</v>
      </c>
      <c r="AB61" s="73" t="str">
        <f>IF(AA61&lt;&gt;"",INDEX(Lookup!$N$2:$N$5,MATCH(Players!AA61,Lookup!$P$2:$P$5,0)),INDEX(Lookup!$N$2:$N$5,MATCH(Players!O61,Lookup!$O$2:$O$5,0)))</f>
        <v>Striker</v>
      </c>
      <c r="AC61" s="73">
        <v>4000000</v>
      </c>
      <c r="AD61" s="73" t="s">
        <v>793</v>
      </c>
      <c r="AE61" s="73" t="str">
        <f>INDEX('Translate table'!$H$2:$H$622,MATCH(Players!P61,'Translate table'!$G$2:$G$622,0))</f>
        <v>Donyell Malen</v>
      </c>
      <c r="AF61" s="73">
        <f>IFERROR(INDEX('Euro Qual stats'!$A$1:$L$2071,MATCH(Players!$AE61,'Euro Qual stats'!$A$1:$A$2071,0),MATCH(Players!AF$2,'Euro Qual stats'!$A$1:$L$1,0)),0)</f>
        <v>4</v>
      </c>
      <c r="AG61" s="73">
        <f>IFERROR(INDEX('Euro Qual stats'!$A$1:$L$2071,MATCH(Players!$AE61,'Euro Qual stats'!$A$1:$A$2071,0),MATCH(Players!AG$2,'Euro Qual stats'!$A$1:$L$1,0)),0)</f>
        <v>0.43</v>
      </c>
      <c r="AH61" s="73">
        <f>IFERROR(INDEX('Euro Qual stats'!$A$1:$L$2071,MATCH(Players!$AE61,'Euro Qual stats'!$A$1:$A$2071,0),MATCH(Players!AH$2,'Euro Qual stats'!$A$1:$L$1,0)),0)</f>
        <v>0.43</v>
      </c>
      <c r="AI61" s="73">
        <f>IFERROR(INDEX('Euro Qual stats'!$A$1:$L$2071,MATCH(Players!$AE61,'Euro Qual stats'!$A$1:$A$2071,0),MATCH(Players!AI$2,'Euro Qual stats'!$A$1:$L$1,0)),0)</f>
        <v>0</v>
      </c>
      <c r="AJ61" s="93">
        <f>(12-AF61)/12*INDEX(BV$9:BV$12,MATCH($AB61,$BU$9:$BU$12,0))+AF61/12*AG61</f>
        <v>0.27994252873563219</v>
      </c>
      <c r="AK61" s="93">
        <f>(12-AG61)/12*INDEX(BW$9:BW$12,MATCH($AB61,$BU$9:$BU$12,0))+AG61/12*AH61</f>
        <v>0.53015696839080451</v>
      </c>
      <c r="AL61" s="93">
        <f>(12-AH61)/12*INDEX(BX$9:BX$12,MATCH($AB61,$BU$9:$BU$12,0))+AH61/12*AI61</f>
        <v>0.15892126436781612</v>
      </c>
      <c r="AM61" s="93">
        <f>IF($BC61=1,AJ61/SUMIFS(AJ$3:AJ$623,$BC$3:$BC$623,1,$G$3:$G$623,$G61),0)</f>
        <v>0</v>
      </c>
      <c r="AN61" s="93">
        <f>IF($BC61=1,AK61/SUMIFS(AK$3:AK$623,$BC$3:$BC$623,1,$G$3:$G$623,$G61),0)</f>
        <v>0</v>
      </c>
      <c r="AO61" s="93">
        <f>IF($BC61=1,AL61/SUMIFS(AL$3:AL$623,$BC$3:$BC$623,1,$G$3:$G$623,$G61),0)</f>
        <v>0</v>
      </c>
      <c r="AP61" s="2">
        <f>IFERROR(R61/$V61*90,"")</f>
        <v>0</v>
      </c>
      <c r="AQ61" s="2">
        <f>IFERROR(S61/$V61*90,"")</f>
        <v>0</v>
      </c>
      <c r="AR61" s="2">
        <f>IFERROR(W61/$V61*90,"")</f>
        <v>3.4615384615384617</v>
      </c>
      <c r="AS61" s="2">
        <f>IFERROR(X61/$V61*90,"")</f>
        <v>0</v>
      </c>
      <c r="AT61" s="2">
        <f>IFERROR(Y61/$V61*90,"")</f>
        <v>0</v>
      </c>
      <c r="AU61" s="2">
        <f>IF(AP61="",INDEX(BV$4:BV$7,MATCH(O61,$BU$4:$BU$7,0)),AP61)</f>
        <v>0</v>
      </c>
      <c r="AV61" s="2">
        <f>IF(AQ61="",INDEX(BW$4:BW$7,MATCH($O61,$BU$4:$BU$7,0)),AQ61)</f>
        <v>0</v>
      </c>
      <c r="AW61" s="2">
        <f t="shared" si="0"/>
        <v>3.4615384615384617</v>
      </c>
      <c r="AX61" s="2">
        <f t="shared" si="1"/>
        <v>0</v>
      </c>
      <c r="AY61" s="2">
        <f t="shared" si="2"/>
        <v>0</v>
      </c>
      <c r="AZ61" s="2">
        <f>AU61*0.5+AK61*0.5</f>
        <v>0.26507848419540225</v>
      </c>
      <c r="BA61" s="2">
        <f>AV61*0.5+AJ61*0.5</f>
        <v>0.1399712643678161</v>
      </c>
      <c r="BB61" s="2">
        <f t="shared" si="3"/>
        <v>0</v>
      </c>
      <c r="BC61">
        <f>IF(I61="expected",1,0)</f>
        <v>0</v>
      </c>
      <c r="BD61" s="78">
        <f>IF(BC61=1,AZ61/SUMIFS(AZ$3:AZ$623,$BC$3:$BC$623,1,$G$3:$G$623,$G61),0)</f>
        <v>0</v>
      </c>
      <c r="BE61" s="78">
        <f>IF(BC61=1,BA61/SUMIFS(BA$3:BA$623,$BC$3:$BC$623,1,$G$3:$G$623,$G61),0)</f>
        <v>0</v>
      </c>
      <c r="BF61" s="78">
        <f t="shared" si="4"/>
        <v>0</v>
      </c>
      <c r="BG61" s="2">
        <f t="shared" si="5"/>
        <v>0</v>
      </c>
      <c r="BH61" s="2">
        <f t="shared" si="6"/>
        <v>0</v>
      </c>
      <c r="BI61" s="2">
        <f t="shared" si="7"/>
        <v>0</v>
      </c>
      <c r="BJ61" s="2">
        <f t="shared" si="8"/>
        <v>0</v>
      </c>
      <c r="BK61" s="2">
        <f t="shared" si="9"/>
        <v>0</v>
      </c>
      <c r="BL61" s="2">
        <f t="shared" si="10"/>
        <v>0</v>
      </c>
      <c r="BM61" s="2">
        <f t="shared" si="11"/>
        <v>0</v>
      </c>
      <c r="BN61" s="2">
        <f>BI61/SUMIFS(BI$3:BI$623,$BC$3:$BC$623,1,$G$3:$G$623,$G61)</f>
        <v>0</v>
      </c>
      <c r="BO61" s="2">
        <f>BJ61/SUMIFS(BJ$3:BJ$623,$BC$3:$BC$623,1,$G$3:$G$623,$G61)</f>
        <v>0</v>
      </c>
      <c r="BP61" s="2">
        <f>BK61/SUMIFS(BK$3:BK$623,$BC$3:$BC$623,1,$G$3:$G$623,$G61)</f>
        <v>0</v>
      </c>
      <c r="BQ61" s="2">
        <f>BL61</f>
        <v>0</v>
      </c>
      <c r="BR61" s="2">
        <f>BM61</f>
        <v>0</v>
      </c>
    </row>
    <row r="62" spans="1:70" hidden="1">
      <c r="A62" s="74">
        <v>0</v>
      </c>
      <c r="B62" s="73">
        <v>204659</v>
      </c>
      <c r="C62" s="73" t="s">
        <v>1234</v>
      </c>
      <c r="D62" s="73" t="s">
        <v>1235</v>
      </c>
      <c r="E62" s="73" t="s">
        <v>1236</v>
      </c>
      <c r="F62" s="73">
        <v>18660</v>
      </c>
      <c r="G62" s="73" t="s">
        <v>892</v>
      </c>
      <c r="H62" s="73" t="s">
        <v>915</v>
      </c>
      <c r="I62" s="73" t="s">
        <v>1012</v>
      </c>
      <c r="J62" s="73">
        <v>0</v>
      </c>
      <c r="K62" s="73">
        <v>7.5</v>
      </c>
      <c r="L62" s="73">
        <v>0</v>
      </c>
      <c r="M62" s="73">
        <v>0</v>
      </c>
      <c r="N62" s="73">
        <v>0</v>
      </c>
      <c r="O62" s="73" t="s">
        <v>994</v>
      </c>
      <c r="P62" s="73" t="s">
        <v>1237</v>
      </c>
      <c r="Q62" s="73" t="s">
        <v>1237</v>
      </c>
      <c r="R62" s="73">
        <v>5</v>
      </c>
      <c r="S62" s="73">
        <v>5</v>
      </c>
      <c r="T62" s="73">
        <v>0</v>
      </c>
      <c r="U62" s="73">
        <v>4</v>
      </c>
      <c r="V62" s="73">
        <v>1705</v>
      </c>
      <c r="W62" s="73">
        <v>13</v>
      </c>
      <c r="X62" s="73">
        <v>2</v>
      </c>
      <c r="Y62" s="73">
        <v>0</v>
      </c>
      <c r="Z62" s="73" t="s">
        <v>1046</v>
      </c>
      <c r="AA62" s="73" t="s">
        <v>691</v>
      </c>
      <c r="AB62" s="73" t="str">
        <f>IF(AA62&lt;&gt;"",INDEX(Lookup!$N$2:$N$5,MATCH(Players!AA62,Lookup!$P$2:$P$5,0)),INDEX(Lookup!$N$2:$N$5,MATCH(Players!O62,Lookup!$O$2:$O$5,0)))</f>
        <v>Midfield</v>
      </c>
      <c r="AC62" s="73">
        <v>6000000</v>
      </c>
      <c r="AD62" s="73" t="s">
        <v>792</v>
      </c>
      <c r="AE62" s="73" t="str">
        <f>INDEX('Translate table'!$H$2:$H$622,MATCH(Players!P62,'Translate table'!$G$2:$G$622,0))</f>
        <v>Leon Goretzka</v>
      </c>
      <c r="AF62" s="73">
        <f>IFERROR(INDEX('Euro Qual stats'!$A$1:$L$2071,MATCH(Players!$AE62,'Euro Qual stats'!$A$1:$A$2071,0),MATCH(Players!AF$2,'Euro Qual stats'!$A$1:$L$1,0)),0)</f>
        <v>5</v>
      </c>
      <c r="AG62" s="73">
        <f>IFERROR(INDEX('Euro Qual stats'!$A$1:$L$2071,MATCH(Players!$AE62,'Euro Qual stats'!$A$1:$A$2071,0),MATCH(Players!AG$2,'Euro Qual stats'!$A$1:$L$1,0)),0)</f>
        <v>0</v>
      </c>
      <c r="AH62" s="73">
        <f>IFERROR(INDEX('Euro Qual stats'!$A$1:$L$2071,MATCH(Players!$AE62,'Euro Qual stats'!$A$1:$A$2071,0),MATCH(Players!AH$2,'Euro Qual stats'!$A$1:$L$1,0)),0)</f>
        <v>1.08</v>
      </c>
      <c r="AI62" s="73">
        <f>IFERROR(INDEX('Euro Qual stats'!$A$1:$L$2071,MATCH(Players!$AE62,'Euro Qual stats'!$A$1:$A$2071,0),MATCH(Players!AI$2,'Euro Qual stats'!$A$1:$L$1,0)),0)</f>
        <v>0</v>
      </c>
      <c r="AJ62" s="93">
        <f>(12-AF62)/12*INDEX(BV$9:BV$12,MATCH($AB62,$BU$9:$BU$12,0))+AF62/12*AG62</f>
        <v>9.8403141361256552E-2</v>
      </c>
      <c r="AK62" s="93">
        <f>(12-AG62)/12*INDEX(BW$9:BW$12,MATCH($AB62,$BU$9:$BU$12,0))+AG62/12*AH62</f>
        <v>0.22340314136125652</v>
      </c>
      <c r="AL62" s="93">
        <f>(12-AH62)/12*INDEX(BX$9:BX$12,MATCH($AB62,$BU$9:$BU$12,0))+AH62/12*AI62</f>
        <v>0.21787591623036653</v>
      </c>
      <c r="AM62" s="93">
        <f>IF($BC62=1,AJ62/SUMIFS(AJ$3:AJ$623,$BC$3:$BC$623,1,$G$3:$G$623,$G62),0)</f>
        <v>0</v>
      </c>
      <c r="AN62" s="93">
        <f>IF($BC62=1,AK62/SUMIFS(AK$3:AK$623,$BC$3:$BC$623,1,$G$3:$G$623,$G62),0)</f>
        <v>0</v>
      </c>
      <c r="AO62" s="93">
        <f>IF($BC62=1,AL62/SUMIFS(AL$3:AL$623,$BC$3:$BC$623,1,$G$3:$G$623,$G62),0)</f>
        <v>0</v>
      </c>
      <c r="AP62" s="2">
        <f>IFERROR(R62/$V62*90,"")</f>
        <v>0.26392961876832843</v>
      </c>
      <c r="AQ62" s="2">
        <f>IFERROR(S62/$V62*90,"")</f>
        <v>0.26392961876832843</v>
      </c>
      <c r="AR62" s="2">
        <f>IFERROR(W62/$V62*90,"")</f>
        <v>0.6862170087976539</v>
      </c>
      <c r="AS62" s="2">
        <f>IFERROR(X62/$V62*90,"")</f>
        <v>0.10557184750733138</v>
      </c>
      <c r="AT62" s="2">
        <f>IFERROR(Y62/$V62*90,"")</f>
        <v>0</v>
      </c>
      <c r="AU62" s="2">
        <f>IF(AP62="",INDEX(BV$4:BV$7,MATCH(O62,$BU$4:$BU$7,0)),AP62)</f>
        <v>0.26392961876832843</v>
      </c>
      <c r="AV62" s="2">
        <f>IF(AQ62="",INDEX(BW$4:BW$7,MATCH($O62,$BU$4:$BU$7,0)),AQ62)</f>
        <v>0.26392961876832843</v>
      </c>
      <c r="AW62" s="2">
        <f t="shared" si="0"/>
        <v>0.6862170087976539</v>
      </c>
      <c r="AX62" s="2">
        <f t="shared" si="1"/>
        <v>0.10557184750733138</v>
      </c>
      <c r="AY62" s="2">
        <f t="shared" si="2"/>
        <v>0</v>
      </c>
      <c r="AZ62" s="2">
        <f>AU62*0.5+AK62*0.5</f>
        <v>0.24366638006479246</v>
      </c>
      <c r="BA62" s="2">
        <f>AV62*0.5+AJ62*0.5</f>
        <v>0.18116638006479249</v>
      </c>
      <c r="BB62" s="2">
        <f t="shared" si="3"/>
        <v>5.2785923753665691E-2</v>
      </c>
      <c r="BC62">
        <f>IF(I62="expected",1,0)</f>
        <v>0</v>
      </c>
      <c r="BD62" s="78">
        <f>IF(BC62=1,AZ62/SUMIFS(AZ$3:AZ$623,$BC$3:$BC$623,1,$G$3:$G$623,$G62),0)</f>
        <v>0</v>
      </c>
      <c r="BE62" s="78">
        <f>IF(BC62=1,BA62/SUMIFS(BA$3:BA$623,$BC$3:$BC$623,1,$G$3:$G$623,$G62),0)</f>
        <v>0</v>
      </c>
      <c r="BF62" s="78">
        <f t="shared" si="4"/>
        <v>0</v>
      </c>
      <c r="BG62" s="2">
        <f t="shared" si="5"/>
        <v>5.2785923753665691E-2</v>
      </c>
      <c r="BH62" s="2">
        <f t="shared" si="6"/>
        <v>0</v>
      </c>
      <c r="BI62" s="2">
        <f t="shared" si="7"/>
        <v>0</v>
      </c>
      <c r="BJ62" s="2">
        <f t="shared" si="8"/>
        <v>0</v>
      </c>
      <c r="BK62" s="2">
        <f t="shared" si="9"/>
        <v>0</v>
      </c>
      <c r="BL62" s="2">
        <f t="shared" si="10"/>
        <v>5.2785923753665691E-2</v>
      </c>
      <c r="BM62" s="2">
        <f t="shared" si="11"/>
        <v>0</v>
      </c>
      <c r="BN62" s="2">
        <f>BI62/SUMIFS(BI$3:BI$623,$BC$3:$BC$623,1,$G$3:$G$623,$G62)</f>
        <v>0</v>
      </c>
      <c r="BO62" s="2">
        <f>BJ62/SUMIFS(BJ$3:BJ$623,$BC$3:$BC$623,1,$G$3:$G$623,$G62)</f>
        <v>0</v>
      </c>
      <c r="BP62" s="2">
        <f>BK62/SUMIFS(BK$3:BK$623,$BC$3:$BC$623,1,$G$3:$G$623,$G62)</f>
        <v>0</v>
      </c>
      <c r="BQ62" s="2">
        <f>BL62</f>
        <v>5.2785923753665691E-2</v>
      </c>
      <c r="BR62" s="2">
        <f>BM62</f>
        <v>0</v>
      </c>
    </row>
    <row r="63" spans="1:70" hidden="1">
      <c r="A63" s="74">
        <v>0</v>
      </c>
      <c r="B63" s="73">
        <v>204652</v>
      </c>
      <c r="C63" s="73" t="s">
        <v>1238</v>
      </c>
      <c r="D63" s="73" t="s">
        <v>1239</v>
      </c>
      <c r="E63" s="73" t="s">
        <v>1240</v>
      </c>
      <c r="F63" s="73">
        <v>18660</v>
      </c>
      <c r="G63" s="73" t="s">
        <v>892</v>
      </c>
      <c r="H63" s="73" t="s">
        <v>915</v>
      </c>
      <c r="I63" s="73" t="s">
        <v>981</v>
      </c>
      <c r="J63" s="73">
        <v>0</v>
      </c>
      <c r="K63" s="73">
        <v>7.5</v>
      </c>
      <c r="L63" s="73">
        <v>0</v>
      </c>
      <c r="M63" s="73">
        <v>0</v>
      </c>
      <c r="N63" s="73">
        <v>0</v>
      </c>
      <c r="O63" s="73" t="s">
        <v>994</v>
      </c>
      <c r="P63" s="73" t="s">
        <v>1241</v>
      </c>
      <c r="Q63" s="73" t="s">
        <v>1241</v>
      </c>
      <c r="R63" s="73">
        <v>3</v>
      </c>
      <c r="S63" s="73">
        <v>10</v>
      </c>
      <c r="T63" s="73">
        <v>0</v>
      </c>
      <c r="U63" s="73">
        <v>7</v>
      </c>
      <c r="V63" s="73">
        <v>2121</v>
      </c>
      <c r="W63" s="73">
        <v>12</v>
      </c>
      <c r="X63" s="73">
        <v>6</v>
      </c>
      <c r="Y63" s="73">
        <v>0</v>
      </c>
      <c r="Z63" s="73" t="s">
        <v>1046</v>
      </c>
      <c r="AA63" s="73" t="s">
        <v>691</v>
      </c>
      <c r="AB63" s="73" t="str">
        <f>IF(AA63&lt;&gt;"",INDEX(Lookup!$N$2:$N$5,MATCH(Players!AA63,Lookup!$P$2:$P$5,0)),INDEX(Lookup!$N$2:$N$5,MATCH(Players!O63,Lookup!$O$2:$O$5,0)))</f>
        <v>Midfield</v>
      </c>
      <c r="AC63" s="73">
        <v>6000000</v>
      </c>
      <c r="AD63" s="73" t="s">
        <v>805</v>
      </c>
      <c r="AE63" s="73" t="str">
        <f>INDEX('Translate table'!$H$2:$H$622,MATCH(Players!P63,'Translate table'!$G$2:$G$622,0))</f>
        <v>Toni Kroos</v>
      </c>
      <c r="AF63" s="73">
        <f>IFERROR(INDEX('Euro Qual stats'!$A$1:$L$2071,MATCH(Players!$AE63,'Euro Qual stats'!$A$1:$A$2071,0),MATCH(Players!AF$2,'Euro Qual stats'!$A$1:$L$1,0)),0)</f>
        <v>5</v>
      </c>
      <c r="AG63" s="73">
        <f>IFERROR(INDEX('Euro Qual stats'!$A$1:$L$2071,MATCH(Players!$AE63,'Euro Qual stats'!$A$1:$A$2071,0),MATCH(Players!AG$2,'Euro Qual stats'!$A$1:$L$1,0)),0)</f>
        <v>0.4</v>
      </c>
      <c r="AH63" s="73">
        <f>IFERROR(INDEX('Euro Qual stats'!$A$1:$L$2071,MATCH(Players!$AE63,'Euro Qual stats'!$A$1:$A$2071,0),MATCH(Players!AH$2,'Euro Qual stats'!$A$1:$L$1,0)),0)</f>
        <v>0.6</v>
      </c>
      <c r="AI63" s="73">
        <f>IFERROR(INDEX('Euro Qual stats'!$A$1:$L$2071,MATCH(Players!$AE63,'Euro Qual stats'!$A$1:$A$2071,0),MATCH(Players!AI$2,'Euro Qual stats'!$A$1:$L$1,0)),0)</f>
        <v>0</v>
      </c>
      <c r="AJ63" s="93">
        <f>(12-AF63)/12*INDEX(BV$9:BV$12,MATCH($AB63,$BU$9:$BU$12,0))+AF63/12*AG63</f>
        <v>0.26506980802792324</v>
      </c>
      <c r="AK63" s="93">
        <f>(12-AG63)/12*INDEX(BW$9:BW$12,MATCH($AB63,$BU$9:$BU$12,0))+AG63/12*AH63</f>
        <v>0.23595636998254796</v>
      </c>
      <c r="AL63" s="93">
        <f>(12-AH63)/12*INDEX(BX$9:BX$12,MATCH($AB63,$BU$9:$BU$12,0))+AH63/12*AI63</f>
        <v>0.22745287958115187</v>
      </c>
      <c r="AM63" s="93">
        <f>IF($BC63=1,AJ63/SUMIFS(AJ$3:AJ$623,$BC$3:$BC$623,1,$G$3:$G$623,$G63),0)</f>
        <v>0.14090568947783971</v>
      </c>
      <c r="AN63" s="93">
        <f>IF($BC63=1,AK63/SUMIFS(AK$3:AK$623,$BC$3:$BC$623,1,$G$3:$G$623,$G63),0)</f>
        <v>9.9460394865958437E-2</v>
      </c>
      <c r="AO63" s="93">
        <f>IF($BC63=1,AL63/SUMIFS(AL$3:AL$623,$BC$3:$BC$623,1,$G$3:$G$623,$G63),0)</f>
        <v>0.11180148264406273</v>
      </c>
      <c r="AP63" s="2">
        <f>IFERROR(R63/$V63*90,"")</f>
        <v>0.12729844413012731</v>
      </c>
      <c r="AQ63" s="2">
        <f>IFERROR(S63/$V63*90,"")</f>
        <v>0.42432814710042438</v>
      </c>
      <c r="AR63" s="2">
        <f>IFERROR(W63/$V63*90,"")</f>
        <v>0.50919377652050923</v>
      </c>
      <c r="AS63" s="2">
        <f>IFERROR(X63/$V63*90,"")</f>
        <v>0.25459688826025462</v>
      </c>
      <c r="AT63" s="2">
        <f>IFERROR(Y63/$V63*90,"")</f>
        <v>0</v>
      </c>
      <c r="AU63" s="2">
        <f>IF(AP63="",INDEX(BV$4:BV$7,MATCH(O63,$BU$4:$BU$7,0)),AP63)</f>
        <v>0.12729844413012731</v>
      </c>
      <c r="AV63" s="2">
        <f>IF(AQ63="",INDEX(BW$4:BW$7,MATCH($O63,$BU$4:$BU$7,0)),AQ63)</f>
        <v>0.42432814710042438</v>
      </c>
      <c r="AW63" s="2">
        <f t="shared" si="0"/>
        <v>0.50919377652050923</v>
      </c>
      <c r="AX63" s="2">
        <f t="shared" si="1"/>
        <v>0.25459688826025462</v>
      </c>
      <c r="AY63" s="2">
        <f t="shared" si="2"/>
        <v>0</v>
      </c>
      <c r="AZ63" s="2">
        <f>AU63*0.5+AK63*0.5</f>
        <v>0.18162740705633762</v>
      </c>
      <c r="BA63" s="2">
        <f>AV63*0.5+AJ63*0.5</f>
        <v>0.34469897756417378</v>
      </c>
      <c r="BB63" s="2">
        <f t="shared" si="3"/>
        <v>0.12729844413012731</v>
      </c>
      <c r="BC63">
        <f>IF(I63="expected",1,0)</f>
        <v>1</v>
      </c>
      <c r="BD63" s="78">
        <f>IF(BC63=1,AZ63/SUMIFS(AZ$3:AZ$623,$BC$3:$BC$623,1,$G$3:$G$623,$G63),0)</f>
        <v>7.3937991592696026E-2</v>
      </c>
      <c r="BE63" s="78">
        <f>IF(BC63=1,BA63/SUMIFS(BA$3:BA$623,$BC$3:$BC$623,1,$G$3:$G$623,$G63),0)</f>
        <v>0.17947496312379169</v>
      </c>
      <c r="BF63" s="78">
        <f t="shared" si="4"/>
        <v>7.0906999065100312E-2</v>
      </c>
      <c r="BG63" s="2">
        <f t="shared" si="5"/>
        <v>0.12729844413012731</v>
      </c>
      <c r="BH63" s="2">
        <f t="shared" si="6"/>
        <v>0</v>
      </c>
      <c r="BI63" s="2">
        <f t="shared" si="7"/>
        <v>7.3937991592696026E-2</v>
      </c>
      <c r="BJ63" s="2">
        <f t="shared" si="8"/>
        <v>0.17947496312379169</v>
      </c>
      <c r="BK63" s="2">
        <f t="shared" si="9"/>
        <v>7.0906999065100312E-2</v>
      </c>
      <c r="BL63" s="2">
        <f t="shared" si="10"/>
        <v>0.12729844413012731</v>
      </c>
      <c r="BM63" s="2">
        <f t="shared" si="11"/>
        <v>0</v>
      </c>
      <c r="BN63" s="2">
        <f>BI63/SUMIFS(BI$3:BI$623,$BC$3:$BC$623,1,$G$3:$G$623,$G63)</f>
        <v>7.3937991592696026E-2</v>
      </c>
      <c r="BO63" s="2">
        <f>BJ63/SUMIFS(BJ$3:BJ$623,$BC$3:$BC$623,1,$G$3:$G$623,$G63)</f>
        <v>0.17947496312379169</v>
      </c>
      <c r="BP63" s="2">
        <f>BK63/SUMIFS(BK$3:BK$623,$BC$3:$BC$623,1,$G$3:$G$623,$G63)</f>
        <v>7.0906999065100312E-2</v>
      </c>
      <c r="BQ63" s="2">
        <f>BL63</f>
        <v>0.12729844413012731</v>
      </c>
      <c r="BR63" s="2">
        <f>BM63</f>
        <v>0</v>
      </c>
    </row>
    <row r="64" spans="1:70" hidden="1">
      <c r="A64" s="74">
        <v>0</v>
      </c>
      <c r="B64" s="73">
        <v>204605</v>
      </c>
      <c r="C64" s="73" t="s">
        <v>1242</v>
      </c>
      <c r="D64" s="73" t="s">
        <v>1243</v>
      </c>
      <c r="E64" s="73" t="s">
        <v>1244</v>
      </c>
      <c r="F64" s="73">
        <v>18645</v>
      </c>
      <c r="G64" s="73" t="s">
        <v>879</v>
      </c>
      <c r="H64" s="73" t="s">
        <v>933</v>
      </c>
      <c r="I64" s="73" t="s">
        <v>1012</v>
      </c>
      <c r="J64" s="73">
        <v>0</v>
      </c>
      <c r="K64" s="73">
        <v>7.5</v>
      </c>
      <c r="L64" s="73">
        <v>0</v>
      </c>
      <c r="M64" s="73">
        <v>0</v>
      </c>
      <c r="N64" s="73">
        <v>0</v>
      </c>
      <c r="O64" s="73" t="s">
        <v>994</v>
      </c>
      <c r="P64" s="73" t="s">
        <v>208</v>
      </c>
      <c r="Q64" s="73" t="s">
        <v>208</v>
      </c>
      <c r="R64" s="73">
        <v>5</v>
      </c>
      <c r="S64" s="73">
        <v>3</v>
      </c>
      <c r="T64" s="73">
        <v>0</v>
      </c>
      <c r="U64" s="73">
        <v>3</v>
      </c>
      <c r="V64" s="73">
        <v>2560</v>
      </c>
      <c r="W64" s="73">
        <v>20</v>
      </c>
      <c r="X64" s="73">
        <v>1</v>
      </c>
      <c r="Y64" s="73">
        <v>0</v>
      </c>
      <c r="Z64" s="73" t="s">
        <v>879</v>
      </c>
      <c r="AA64" s="73" t="s">
        <v>693</v>
      </c>
      <c r="AB64" s="73" t="str">
        <f>IF(AA64&lt;&gt;"",INDEX(Lookup!$N$2:$N$5,MATCH(Players!AA64,Lookup!$P$2:$P$5,0)),INDEX(Lookup!$N$2:$N$5,MATCH(Players!O64,Lookup!$O$2:$O$5,0)))</f>
        <v>Striker</v>
      </c>
      <c r="AC64" s="73">
        <v>3000000</v>
      </c>
      <c r="AD64" s="73" t="s">
        <v>803</v>
      </c>
      <c r="AE64" s="73" t="str">
        <f>INDEX('Translate table'!$H$2:$H$622,MATCH(Players!P64,'Translate table'!$G$2:$G$622,0))</f>
        <v>Leroy SanÃ©</v>
      </c>
      <c r="AF64" s="73">
        <f>IFERROR(INDEX('Euro Qual stats'!$A$1:$L$2071,MATCH(Players!$AE64,'Euro Qual stats'!$A$1:$A$2071,0),MATCH(Players!AF$2,'Euro Qual stats'!$A$1:$L$1,0)),0)</f>
        <v>3</v>
      </c>
      <c r="AG64" s="73">
        <f>IFERROR(INDEX('Euro Qual stats'!$A$1:$L$2071,MATCH(Players!$AE64,'Euro Qual stats'!$A$1:$A$2071,0),MATCH(Players!AG$2,'Euro Qual stats'!$A$1:$L$1,0)),0)</f>
        <v>0.33</v>
      </c>
      <c r="AH64" s="73">
        <f>IFERROR(INDEX('Euro Qual stats'!$A$1:$L$2071,MATCH(Players!$AE64,'Euro Qual stats'!$A$1:$A$2071,0),MATCH(Players!AH$2,'Euro Qual stats'!$A$1:$L$1,0)),0)</f>
        <v>1</v>
      </c>
      <c r="AI64" s="73">
        <f>IFERROR(INDEX('Euro Qual stats'!$A$1:$L$2071,MATCH(Players!$AE64,'Euro Qual stats'!$A$1:$A$2071,0),MATCH(Players!AI$2,'Euro Qual stats'!$A$1:$L$1,0)),0)</f>
        <v>0</v>
      </c>
      <c r="AJ64" s="93">
        <f>(12-AF64)/12*INDEX(BV$9:BV$12,MATCH($AB64,$BU$9:$BU$12,0))+AF64/12*AG64</f>
        <v>0.23618534482758624</v>
      </c>
      <c r="AK64" s="93">
        <f>(12-AG64)/12*INDEX(BW$9:BW$12,MATCH($AB64,$BU$9:$BU$12,0))+AG64/12*AH64</f>
        <v>0.5466976293103446</v>
      </c>
      <c r="AL64" s="93">
        <f>(12-AH64)/12*INDEX(BX$9:BX$12,MATCH($AB64,$BU$9:$BU$12,0))+AH64/12*AI64</f>
        <v>0.15109195402298853</v>
      </c>
      <c r="AM64" s="93">
        <f>IF($BC64=1,AJ64/SUMIFS(AJ$3:AJ$623,$BC$3:$BC$623,1,$G$3:$G$623,$G64),0)</f>
        <v>0</v>
      </c>
      <c r="AN64" s="93">
        <f>IF($BC64=1,AK64/SUMIFS(AK$3:AK$623,$BC$3:$BC$623,1,$G$3:$G$623,$G64),0)</f>
        <v>0</v>
      </c>
      <c r="AO64" s="93">
        <f>IF($BC64=1,AL64/SUMIFS(AL$3:AL$623,$BC$3:$BC$623,1,$G$3:$G$623,$G64),0)</f>
        <v>0</v>
      </c>
      <c r="AP64" s="2">
        <f>IFERROR(R64/$V64*90,"")</f>
        <v>0.17578125</v>
      </c>
      <c r="AQ64" s="2">
        <f>IFERROR(S64/$V64*90,"")</f>
        <v>0.10546875</v>
      </c>
      <c r="AR64" s="2">
        <f>IFERROR(W64/$V64*90,"")</f>
        <v>0.703125</v>
      </c>
      <c r="AS64" s="2">
        <f>IFERROR(X64/$V64*90,"")</f>
        <v>3.515625E-2</v>
      </c>
      <c r="AT64" s="2">
        <f>IFERROR(Y64/$V64*90,"")</f>
        <v>0</v>
      </c>
      <c r="AU64" s="2">
        <f>IF(AP64="",INDEX(BV$4:BV$7,MATCH(O64,$BU$4:$BU$7,0)),AP64)</f>
        <v>0.17578125</v>
      </c>
      <c r="AV64" s="2">
        <f>IF(AQ64="",INDEX(BW$4:BW$7,MATCH($O64,$BU$4:$BU$7,0)),AQ64)</f>
        <v>0.10546875</v>
      </c>
      <c r="AW64" s="2">
        <f t="shared" si="0"/>
        <v>0.703125</v>
      </c>
      <c r="AX64" s="2">
        <f t="shared" si="1"/>
        <v>3.515625E-2</v>
      </c>
      <c r="AY64" s="2">
        <f t="shared" si="2"/>
        <v>0</v>
      </c>
      <c r="AZ64" s="2">
        <f>AU64*0.5+AK64*0.5</f>
        <v>0.3612394396551723</v>
      </c>
      <c r="BA64" s="2">
        <f>AV64*0.5+AJ64*0.5</f>
        <v>0.17082704741379312</v>
      </c>
      <c r="BB64" s="2">
        <f t="shared" si="3"/>
        <v>1.7578125E-2</v>
      </c>
      <c r="BC64">
        <f>IF(I64="expected",1,0)</f>
        <v>0</v>
      </c>
      <c r="BD64" s="78">
        <f>IF(BC64=1,AZ64/SUMIFS(AZ$3:AZ$623,$BC$3:$BC$623,1,$G$3:$G$623,$G64),0)</f>
        <v>0</v>
      </c>
      <c r="BE64" s="78">
        <f>IF(BC64=1,BA64/SUMIFS(BA$3:BA$623,$BC$3:$BC$623,1,$G$3:$G$623,$G64),0)</f>
        <v>0</v>
      </c>
      <c r="BF64" s="78">
        <f t="shared" si="4"/>
        <v>0</v>
      </c>
      <c r="BG64" s="2">
        <f t="shared" si="5"/>
        <v>1.7578125E-2</v>
      </c>
      <c r="BH64" s="2">
        <f t="shared" si="6"/>
        <v>0</v>
      </c>
      <c r="BI64" s="2">
        <f t="shared" si="7"/>
        <v>0</v>
      </c>
      <c r="BJ64" s="2">
        <f t="shared" si="8"/>
        <v>0</v>
      </c>
      <c r="BK64" s="2">
        <f t="shared" si="9"/>
        <v>0</v>
      </c>
      <c r="BL64" s="2">
        <f t="shared" si="10"/>
        <v>1.7578125E-2</v>
      </c>
      <c r="BM64" s="2">
        <f t="shared" si="11"/>
        <v>0</v>
      </c>
      <c r="BN64" s="2">
        <f>BI64/SUMIFS(BI$3:BI$623,$BC$3:$BC$623,1,$G$3:$G$623,$G64)</f>
        <v>0</v>
      </c>
      <c r="BO64" s="2">
        <f>BJ64/SUMIFS(BJ$3:BJ$623,$BC$3:$BC$623,1,$G$3:$G$623,$G64)</f>
        <v>0</v>
      </c>
      <c r="BP64" s="2">
        <f>BK64/SUMIFS(BK$3:BK$623,$BC$3:$BC$623,1,$G$3:$G$623,$G64)</f>
        <v>0</v>
      </c>
      <c r="BQ64" s="2">
        <f>BL64</f>
        <v>1.7578125E-2</v>
      </c>
      <c r="BR64" s="2">
        <f>BM64</f>
        <v>0</v>
      </c>
    </row>
    <row r="65" spans="1:70" hidden="1">
      <c r="A65" s="74">
        <v>0</v>
      </c>
      <c r="B65" s="73">
        <v>204706</v>
      </c>
      <c r="C65" s="73" t="s">
        <v>1245</v>
      </c>
      <c r="D65" s="73" t="s">
        <v>1246</v>
      </c>
      <c r="E65" s="73" t="s">
        <v>1247</v>
      </c>
      <c r="F65" s="73">
        <v>18701</v>
      </c>
      <c r="G65" s="73" t="s">
        <v>893</v>
      </c>
      <c r="H65" s="73" t="s">
        <v>947</v>
      </c>
      <c r="I65" s="73" t="s">
        <v>981</v>
      </c>
      <c r="J65" s="73">
        <v>0</v>
      </c>
      <c r="K65" s="73">
        <v>7.5</v>
      </c>
      <c r="L65" s="73">
        <v>0</v>
      </c>
      <c r="M65" s="73">
        <v>0</v>
      </c>
      <c r="N65" s="73">
        <v>0</v>
      </c>
      <c r="O65" s="73" t="s">
        <v>994</v>
      </c>
      <c r="P65" s="73" t="s">
        <v>1248</v>
      </c>
      <c r="Q65" s="73" t="s">
        <v>282</v>
      </c>
      <c r="R65" s="73">
        <v>5</v>
      </c>
      <c r="S65" s="73">
        <v>1</v>
      </c>
      <c r="T65" s="73">
        <v>0</v>
      </c>
      <c r="U65" s="73">
        <v>7</v>
      </c>
      <c r="V65" s="73">
        <v>2679</v>
      </c>
      <c r="W65" s="73">
        <v>16</v>
      </c>
      <c r="X65" s="73">
        <v>8</v>
      </c>
      <c r="Y65" s="73">
        <v>0</v>
      </c>
      <c r="Z65" s="73" t="s">
        <v>893</v>
      </c>
      <c r="AA65" s="73" t="s">
        <v>691</v>
      </c>
      <c r="AB65" s="73" t="str">
        <f>IF(AA65&lt;&gt;"",INDEX(Lookup!$N$2:$N$5,MATCH(Players!AA65,Lookup!$P$2:$P$5,0)),INDEX(Lookup!$N$2:$N$5,MATCH(Players!O65,Lookup!$O$2:$O$5,0)))</f>
        <v>Midfield</v>
      </c>
      <c r="AC65" s="73">
        <v>3500000</v>
      </c>
      <c r="AD65" s="73" t="s">
        <v>795</v>
      </c>
      <c r="AE65" s="73" t="str">
        <f>INDEX('Translate table'!$H$2:$H$622,MATCH(Players!P65,'Translate table'!$G$2:$G$622,0))</f>
        <v>RÃºben Diogo Da Silva Neves</v>
      </c>
      <c r="AF65" s="73">
        <f>IFERROR(INDEX('Euro Qual stats'!$A$1:$L$2071,MATCH(Players!$AE65,'Euro Qual stats'!$A$1:$A$2071,0),MATCH(Players!AF$2,'Euro Qual stats'!$A$1:$L$1,0)),0)</f>
        <v>5</v>
      </c>
      <c r="AG65" s="73">
        <f>IFERROR(INDEX('Euro Qual stats'!$A$1:$L$2071,MATCH(Players!$AE65,'Euro Qual stats'!$A$1:$A$2071,0),MATCH(Players!AG$2,'Euro Qual stats'!$A$1:$L$1,0)),0)</f>
        <v>0</v>
      </c>
      <c r="AH65" s="73">
        <f>IFERROR(INDEX('Euro Qual stats'!$A$1:$L$2071,MATCH(Players!$AE65,'Euro Qual stats'!$A$1:$A$2071,0),MATCH(Players!AH$2,'Euro Qual stats'!$A$1:$L$1,0)),0)</f>
        <v>0</v>
      </c>
      <c r="AI65" s="73">
        <f>IFERROR(INDEX('Euro Qual stats'!$A$1:$L$2071,MATCH(Players!$AE65,'Euro Qual stats'!$A$1:$A$2071,0),MATCH(Players!AI$2,'Euro Qual stats'!$A$1:$L$1,0)),0)</f>
        <v>0</v>
      </c>
      <c r="AJ65" s="93">
        <f>(12-AF65)/12*INDEX(BV$9:BV$12,MATCH($AB65,$BU$9:$BU$12,0))+AF65/12*AG65</f>
        <v>9.8403141361256552E-2</v>
      </c>
      <c r="AK65" s="93">
        <f>(12-AG65)/12*INDEX(BW$9:BW$12,MATCH($AB65,$BU$9:$BU$12,0))+AG65/12*AH65</f>
        <v>0.22340314136125652</v>
      </c>
      <c r="AL65" s="93">
        <f>(12-AH65)/12*INDEX(BX$9:BX$12,MATCH($AB65,$BU$9:$BU$12,0))+AH65/12*AI65</f>
        <v>0.23942408376963353</v>
      </c>
      <c r="AM65" s="93">
        <f>IF($BC65=1,AJ65/SUMIFS(AJ$3:AJ$623,$BC$3:$BC$623,1,$G$3:$G$623,$G65),0)</f>
        <v>6.3551956106615889E-2</v>
      </c>
      <c r="AN65" s="93">
        <f>IF($BC65=1,AK65/SUMIFS(AK$3:AK$623,$BC$3:$BC$623,1,$G$3:$G$623,$G65),0)</f>
        <v>9.0828943322906863E-2</v>
      </c>
      <c r="AO65" s="93">
        <f>IF($BC65=1,AL65/SUMIFS(AL$3:AL$623,$BC$3:$BC$623,1,$G$3:$G$623,$G65),0)</f>
        <v>0.11873155640063877</v>
      </c>
      <c r="AP65" s="2">
        <f>IFERROR(R65/$V65*90,"")</f>
        <v>0.16797312430011199</v>
      </c>
      <c r="AQ65" s="2">
        <f>IFERROR(S65/$V65*90,"")</f>
        <v>3.3594624860022397E-2</v>
      </c>
      <c r="AR65" s="2">
        <f>IFERROR(W65/$V65*90,"")</f>
        <v>0.53751399776035835</v>
      </c>
      <c r="AS65" s="2">
        <f>IFERROR(X65/$V65*90,"")</f>
        <v>0.26875699888017918</v>
      </c>
      <c r="AT65" s="2">
        <f>IFERROR(Y65/$V65*90,"")</f>
        <v>0</v>
      </c>
      <c r="AU65" s="2">
        <f>IF(AP65="",INDEX(BV$4:BV$7,MATCH(O65,$BU$4:$BU$7,0)),AP65)</f>
        <v>0.16797312430011199</v>
      </c>
      <c r="AV65" s="2">
        <f>IF(AQ65="",INDEX(BW$4:BW$7,MATCH($O65,$BU$4:$BU$7,0)),AQ65)</f>
        <v>3.3594624860022397E-2</v>
      </c>
      <c r="AW65" s="2">
        <f t="shared" si="0"/>
        <v>0.53751399776035835</v>
      </c>
      <c r="AX65" s="2">
        <f t="shared" si="1"/>
        <v>0.26875699888017918</v>
      </c>
      <c r="AY65" s="2">
        <f t="shared" si="2"/>
        <v>0</v>
      </c>
      <c r="AZ65" s="2">
        <f>AU65*0.5+AK65*0.5</f>
        <v>0.19568813283068426</v>
      </c>
      <c r="BA65" s="2">
        <f>AV65*0.5+AJ65*0.5</f>
        <v>6.5998883110639478E-2</v>
      </c>
      <c r="BB65" s="2">
        <f t="shared" si="3"/>
        <v>0.13437849944008959</v>
      </c>
      <c r="BC65">
        <f>IF(I65="expected",1,0)</f>
        <v>1</v>
      </c>
      <c r="BD65" s="78">
        <f>IF(BC65=1,AZ65/SUMIFS(AZ$3:AZ$623,$BC$3:$BC$623,1,$G$3:$G$623,$G65),0)</f>
        <v>7.5762401274597962E-2</v>
      </c>
      <c r="BE65" s="78">
        <f>IF(BC65=1,BA65/SUMIFS(BA$3:BA$623,$BC$3:$BC$623,1,$G$3:$G$623,$G65),0)</f>
        <v>5.3232868931025849E-2</v>
      </c>
      <c r="BF65" s="78">
        <f t="shared" si="4"/>
        <v>6.9089349022795232E-2</v>
      </c>
      <c r="BG65" s="2">
        <f t="shared" si="5"/>
        <v>0.13437849944008959</v>
      </c>
      <c r="BH65" s="2">
        <f t="shared" si="6"/>
        <v>0</v>
      </c>
      <c r="BI65" s="2">
        <f t="shared" si="7"/>
        <v>7.5762401274597962E-2</v>
      </c>
      <c r="BJ65" s="2">
        <f t="shared" si="8"/>
        <v>5.3232868931025849E-2</v>
      </c>
      <c r="BK65" s="2">
        <f t="shared" si="9"/>
        <v>6.9089349022795232E-2</v>
      </c>
      <c r="BL65" s="2">
        <f t="shared" si="10"/>
        <v>0.13437849944008959</v>
      </c>
      <c r="BM65" s="2">
        <f t="shared" si="11"/>
        <v>0</v>
      </c>
      <c r="BN65" s="2">
        <f>BI65/SUMIFS(BI$3:BI$623,$BC$3:$BC$623,1,$G$3:$G$623,$G65)</f>
        <v>7.5762401274597976E-2</v>
      </c>
      <c r="BO65" s="2">
        <f>BJ65/SUMIFS(BJ$3:BJ$623,$BC$3:$BC$623,1,$G$3:$G$623,$G65)</f>
        <v>5.3515274702197878E-2</v>
      </c>
      <c r="BP65" s="2">
        <f>BK65/SUMIFS(BK$3:BK$623,$BC$3:$BC$623,1,$G$3:$G$623,$G65)</f>
        <v>6.9089349022795232E-2</v>
      </c>
      <c r="BQ65" s="2">
        <f>BL65</f>
        <v>0.13437849944008959</v>
      </c>
      <c r="BR65" s="2">
        <f>BM65</f>
        <v>0</v>
      </c>
    </row>
    <row r="66" spans="1:70" hidden="1">
      <c r="A66" s="74">
        <v>0</v>
      </c>
      <c r="B66" s="73">
        <v>222100</v>
      </c>
      <c r="C66" s="73" t="s">
        <v>1249</v>
      </c>
      <c r="D66" s="73" t="s">
        <v>1250</v>
      </c>
      <c r="E66" s="73" t="s">
        <v>1251</v>
      </c>
      <c r="F66" s="73">
        <v>18710</v>
      </c>
      <c r="G66" s="73" t="s">
        <v>885</v>
      </c>
      <c r="H66" s="73" t="s">
        <v>943</v>
      </c>
      <c r="I66" s="73" t="s">
        <v>1012</v>
      </c>
      <c r="J66" s="73">
        <v>0</v>
      </c>
      <c r="K66" s="73">
        <v>7.5</v>
      </c>
      <c r="L66" s="73">
        <v>0</v>
      </c>
      <c r="M66" s="73">
        <v>0</v>
      </c>
      <c r="N66" s="73">
        <v>0</v>
      </c>
      <c r="O66" s="73" t="s">
        <v>994</v>
      </c>
      <c r="P66" s="73" t="s">
        <v>1252</v>
      </c>
      <c r="Q66" s="73" t="s">
        <v>1252</v>
      </c>
      <c r="R66" s="73">
        <v>6</v>
      </c>
      <c r="S66" s="73">
        <v>4</v>
      </c>
      <c r="T66" s="73">
        <v>0</v>
      </c>
      <c r="U66" s="73">
        <v>4</v>
      </c>
      <c r="V66" s="73">
        <v>1313</v>
      </c>
      <c r="W66" s="73">
        <v>19</v>
      </c>
      <c r="X66" s="73">
        <v>2</v>
      </c>
      <c r="Y66" s="73">
        <v>0</v>
      </c>
      <c r="Z66" s="73" t="s">
        <v>1037</v>
      </c>
      <c r="AA66" s="73" t="s">
        <v>691</v>
      </c>
      <c r="AB66" s="73" t="str">
        <f>IF(AA66&lt;&gt;"",INDEX(Lookup!$N$2:$N$5,MATCH(Players!AA66,Lookup!$P$2:$P$5,0)),INDEX(Lookup!$N$2:$N$5,MATCH(Players!O66,Lookup!$O$2:$O$5,0)))</f>
        <v>Midfield</v>
      </c>
      <c r="AC66" s="73">
        <v>3000000</v>
      </c>
      <c r="AD66" s="73" t="s">
        <v>798</v>
      </c>
      <c r="AE66" s="73" t="str">
        <f>INDEX('Translate table'!$H$2:$H$622,MATCH(Players!P66,'Translate table'!$G$2:$G$622,0))</f>
        <v>Pablo Sarabia</v>
      </c>
      <c r="AF66" s="73">
        <f>IFERROR(INDEX('Euro Qual stats'!$A$1:$L$2071,MATCH(Players!$AE66,'Euro Qual stats'!$A$1:$A$2071,0),MATCH(Players!AF$2,'Euro Qual stats'!$A$1:$L$1,0)),0)</f>
        <v>3</v>
      </c>
      <c r="AG66" s="73">
        <f>IFERROR(INDEX('Euro Qual stats'!$A$1:$L$2071,MATCH(Players!$AE66,'Euro Qual stats'!$A$1:$A$2071,0),MATCH(Players!AG$2,'Euro Qual stats'!$A$1:$L$1,0)),0)</f>
        <v>0</v>
      </c>
      <c r="AH66" s="73">
        <f>IFERROR(INDEX('Euro Qual stats'!$A$1:$L$2071,MATCH(Players!$AE66,'Euro Qual stats'!$A$1:$A$2071,0),MATCH(Players!AH$2,'Euro Qual stats'!$A$1:$L$1,0)),0)</f>
        <v>0.72</v>
      </c>
      <c r="AI66" s="73">
        <f>IFERROR(INDEX('Euro Qual stats'!$A$1:$L$2071,MATCH(Players!$AE66,'Euro Qual stats'!$A$1:$A$2071,0),MATCH(Players!AI$2,'Euro Qual stats'!$A$1:$L$1,0)),0)</f>
        <v>0</v>
      </c>
      <c r="AJ66" s="93">
        <f>(12-AF66)/12*INDEX(BV$9:BV$12,MATCH($AB66,$BU$9:$BU$12,0))+AF66/12*AG66</f>
        <v>0.12651832460732984</v>
      </c>
      <c r="AK66" s="93">
        <f>(12-AG66)/12*INDEX(BW$9:BW$12,MATCH($AB66,$BU$9:$BU$12,0))+AG66/12*AH66</f>
        <v>0.22340314136125652</v>
      </c>
      <c r="AL66" s="93">
        <f>(12-AH66)/12*INDEX(BX$9:BX$12,MATCH($AB66,$BU$9:$BU$12,0))+AH66/12*AI66</f>
        <v>0.2250586387434555</v>
      </c>
      <c r="AM66" s="93">
        <f>IF($BC66=1,AJ66/SUMIFS(AJ$3:AJ$623,$BC$3:$BC$623,1,$G$3:$G$623,$G66),0)</f>
        <v>0</v>
      </c>
      <c r="AN66" s="93">
        <f>IF($BC66=1,AK66/SUMIFS(AK$3:AK$623,$BC$3:$BC$623,1,$G$3:$G$623,$G66),0)</f>
        <v>0</v>
      </c>
      <c r="AO66" s="93">
        <f>IF($BC66=1,AL66/SUMIFS(AL$3:AL$623,$BC$3:$BC$623,1,$G$3:$G$623,$G66),0)</f>
        <v>0</v>
      </c>
      <c r="AP66" s="2">
        <f>IFERROR(R66/$V66*90,"")</f>
        <v>0.41127189642041129</v>
      </c>
      <c r="AQ66" s="2">
        <f>IFERROR(S66/$V66*90,"")</f>
        <v>0.27418126428027417</v>
      </c>
      <c r="AR66" s="2">
        <f>IFERROR(W66/$V66*90,"")</f>
        <v>1.3023610053313024</v>
      </c>
      <c r="AS66" s="2">
        <f>IFERROR(X66/$V66*90,"")</f>
        <v>0.13709063214013709</v>
      </c>
      <c r="AT66" s="2">
        <f>IFERROR(Y66/$V66*90,"")</f>
        <v>0</v>
      </c>
      <c r="AU66" s="2">
        <f>IF(AP66="",INDEX(BV$4:BV$7,MATCH(O66,$BU$4:$BU$7,0)),AP66)</f>
        <v>0.41127189642041129</v>
      </c>
      <c r="AV66" s="2">
        <f>IF(AQ66="",INDEX(BW$4:BW$7,MATCH($O66,$BU$4:$BU$7,0)),AQ66)</f>
        <v>0.27418126428027417</v>
      </c>
      <c r="AW66" s="2">
        <f t="shared" si="0"/>
        <v>1.3023610053313024</v>
      </c>
      <c r="AX66" s="2">
        <f t="shared" si="1"/>
        <v>0.13709063214013709</v>
      </c>
      <c r="AY66" s="2">
        <f t="shared" si="2"/>
        <v>0</v>
      </c>
      <c r="AZ66" s="2">
        <f>AU66*0.5+AK66*0.5</f>
        <v>0.31733751889083389</v>
      </c>
      <c r="BA66" s="2">
        <f>AV66*0.5+AJ66*0.5</f>
        <v>0.20034979444380202</v>
      </c>
      <c r="BB66" s="2">
        <f t="shared" si="3"/>
        <v>6.8545316070068543E-2</v>
      </c>
      <c r="BC66">
        <f>IF(I66="expected",1,0)</f>
        <v>0</v>
      </c>
      <c r="BD66" s="78">
        <f>IF(BC66=1,AZ66/SUMIFS(AZ$3:AZ$623,$BC$3:$BC$623,1,$G$3:$G$623,$G66),0)</f>
        <v>0</v>
      </c>
      <c r="BE66" s="78">
        <f>IF(BC66=1,BA66/SUMIFS(BA$3:BA$623,$BC$3:$BC$623,1,$G$3:$G$623,$G66),0)</f>
        <v>0</v>
      </c>
      <c r="BF66" s="78">
        <f t="shared" si="4"/>
        <v>0</v>
      </c>
      <c r="BG66" s="2">
        <f t="shared" si="5"/>
        <v>6.8545316070068543E-2</v>
      </c>
      <c r="BH66" s="2">
        <f t="shared" si="6"/>
        <v>0</v>
      </c>
      <c r="BI66" s="2">
        <f t="shared" si="7"/>
        <v>0</v>
      </c>
      <c r="BJ66" s="2">
        <f t="shared" si="8"/>
        <v>0</v>
      </c>
      <c r="BK66" s="2">
        <f t="shared" si="9"/>
        <v>0</v>
      </c>
      <c r="BL66" s="2">
        <f t="shared" si="10"/>
        <v>6.8545316070068543E-2</v>
      </c>
      <c r="BM66" s="2">
        <f t="shared" si="11"/>
        <v>0</v>
      </c>
      <c r="BN66" s="2">
        <f>BI66/SUMIFS(BI$3:BI$623,$BC$3:$BC$623,1,$G$3:$G$623,$G66)</f>
        <v>0</v>
      </c>
      <c r="BO66" s="2">
        <f>BJ66/SUMIFS(BJ$3:BJ$623,$BC$3:$BC$623,1,$G$3:$G$623,$G66)</f>
        <v>0</v>
      </c>
      <c r="BP66" s="2">
        <f>BK66/SUMIFS(BK$3:BK$623,$BC$3:$BC$623,1,$G$3:$G$623,$G66)</f>
        <v>0</v>
      </c>
      <c r="BQ66" s="2">
        <f>BL66</f>
        <v>6.8545316070068543E-2</v>
      </c>
      <c r="BR66" s="2">
        <f>BM66</f>
        <v>0</v>
      </c>
    </row>
    <row r="67" spans="1:70">
      <c r="A67" s="74">
        <v>0</v>
      </c>
      <c r="B67" s="73">
        <v>204639</v>
      </c>
      <c r="C67" s="73" t="s">
        <v>1253</v>
      </c>
      <c r="D67" s="73"/>
      <c r="E67" s="73" t="s">
        <v>1254</v>
      </c>
      <c r="F67" s="73">
        <v>18710</v>
      </c>
      <c r="G67" s="73" t="s">
        <v>885</v>
      </c>
      <c r="H67" s="73" t="s">
        <v>943</v>
      </c>
      <c r="I67" s="73" t="s">
        <v>981</v>
      </c>
      <c r="J67" s="73">
        <v>0</v>
      </c>
      <c r="K67" s="73">
        <v>7.5</v>
      </c>
      <c r="L67" s="73">
        <v>0</v>
      </c>
      <c r="M67" s="73">
        <v>0</v>
      </c>
      <c r="N67" s="73">
        <v>0</v>
      </c>
      <c r="O67" s="73" t="s">
        <v>994</v>
      </c>
      <c r="P67" s="73" t="s">
        <v>1254</v>
      </c>
      <c r="Q67" s="73" t="s">
        <v>1254</v>
      </c>
      <c r="R67" s="73">
        <v>1</v>
      </c>
      <c r="S67" s="73">
        <v>2</v>
      </c>
      <c r="T67" s="73">
        <v>2</v>
      </c>
      <c r="U67" s="73">
        <v>12</v>
      </c>
      <c r="V67" s="73">
        <v>3115</v>
      </c>
      <c r="W67" s="73">
        <v>7</v>
      </c>
      <c r="X67" s="73">
        <v>10</v>
      </c>
      <c r="Y67" s="73">
        <v>0</v>
      </c>
      <c r="Z67" s="73" t="s">
        <v>1037</v>
      </c>
      <c r="AA67" s="73" t="s">
        <v>691</v>
      </c>
      <c r="AB67" s="73" t="str">
        <f>IF(AA67&lt;&gt;"",INDEX(Lookup!$N$2:$N$5,MATCH(Players!AA67,Lookup!$P$2:$P$5,0)),INDEX(Lookup!$N$2:$N$5,MATCH(Players!O67,Lookup!$O$2:$O$5,0)))</f>
        <v>Midfield</v>
      </c>
      <c r="AC67" s="73">
        <v>4000000</v>
      </c>
      <c r="AD67" s="73" t="s">
        <v>812</v>
      </c>
      <c r="AE67" s="73">
        <f>INDEX('Translate table'!$H$2:$H$622,MATCH(Players!P67,'Translate table'!$G$2:$G$622,0))</f>
        <v>0</v>
      </c>
      <c r="AF67" s="73">
        <f>IFERROR(INDEX('Euro Qual stats'!$A$1:$L$2071,MATCH(Players!$AE67,'Euro Qual stats'!$A$1:$A$2071,0),MATCH(Players!AF$2,'Euro Qual stats'!$A$1:$L$1,0)),0)</f>
        <v>0</v>
      </c>
      <c r="AG67" s="73">
        <f>IFERROR(INDEX('Euro Qual stats'!$A$1:$L$2071,MATCH(Players!$AE67,'Euro Qual stats'!$A$1:$A$2071,0),MATCH(Players!AG$2,'Euro Qual stats'!$A$1:$L$1,0)),0)</f>
        <v>0</v>
      </c>
      <c r="AH67" s="73">
        <f>IFERROR(INDEX('Euro Qual stats'!$A$1:$L$2071,MATCH(Players!$AE67,'Euro Qual stats'!$A$1:$A$2071,0),MATCH(Players!AH$2,'Euro Qual stats'!$A$1:$L$1,0)),0)</f>
        <v>0</v>
      </c>
      <c r="AI67" s="73">
        <f>IFERROR(INDEX('Euro Qual stats'!$A$1:$L$2071,MATCH(Players!$AE67,'Euro Qual stats'!$A$1:$A$2071,0),MATCH(Players!AI$2,'Euro Qual stats'!$A$1:$L$1,0)),0)</f>
        <v>0</v>
      </c>
      <c r="AJ67" s="93">
        <f>(12-AF67)/12*INDEX(BV$9:BV$12,MATCH($AB67,$BU$9:$BU$12,0))+AF67/12*AG67</f>
        <v>0.16869109947643979</v>
      </c>
      <c r="AK67" s="93">
        <f>(12-AG67)/12*INDEX(BW$9:BW$12,MATCH($AB67,$BU$9:$BU$12,0))+AG67/12*AH67</f>
        <v>0.22340314136125652</v>
      </c>
      <c r="AL67" s="93">
        <f>(12-AH67)/12*INDEX(BX$9:BX$12,MATCH($AB67,$BU$9:$BU$12,0))+AH67/12*AI67</f>
        <v>0.23942408376963353</v>
      </c>
      <c r="AM67" s="93">
        <f>IF($BC67=1,AJ67/SUMIFS(AJ$3:AJ$623,$BC$3:$BC$623,1,$G$3:$G$623,$G67),0)</f>
        <v>8.9293397172019978E-2</v>
      </c>
      <c r="AN67" s="93">
        <f>IF($BC67=1,AK67/SUMIFS(AK$3:AK$623,$BC$3:$BC$623,1,$G$3:$G$623,$G67),0)</f>
        <v>7.0341174875600099E-2</v>
      </c>
      <c r="AO67" s="93">
        <f>IF($BC67=1,AL67/SUMIFS(AL$3:AL$623,$BC$3:$BC$623,1,$G$3:$G$623,$G67),0)</f>
        <v>0.13191714255129558</v>
      </c>
      <c r="AP67" s="2">
        <f>IFERROR(R67/$V67*90,"")</f>
        <v>2.8892455858747994E-2</v>
      </c>
      <c r="AQ67" s="2">
        <f>IFERROR(S67/$V67*90,"")</f>
        <v>5.7784911717495988E-2</v>
      </c>
      <c r="AR67" s="2">
        <f>IFERROR(W67/$V67*90,"")</f>
        <v>0.20224719101123598</v>
      </c>
      <c r="AS67" s="2">
        <f>IFERROR(X67/$V67*90,"")</f>
        <v>0.28892455858747995</v>
      </c>
      <c r="AT67" s="2">
        <f>IFERROR(Y67/$V67*90,"")</f>
        <v>0</v>
      </c>
      <c r="AU67" s="2">
        <f>IF(AP67="",INDEX(BV$4:BV$7,MATCH(O67,$BU$4:$BU$7,0)),AP67)</f>
        <v>2.8892455858747994E-2</v>
      </c>
      <c r="AV67" s="2">
        <f>IF(AQ67="",INDEX(BW$4:BW$7,MATCH($O67,$BU$4:$BU$7,0)),AQ67)</f>
        <v>5.7784911717495988E-2</v>
      </c>
      <c r="AW67" s="2">
        <f t="shared" si="0"/>
        <v>0.20224719101123598</v>
      </c>
      <c r="AX67" s="2">
        <f t="shared" si="1"/>
        <v>0.28892455858747995</v>
      </c>
      <c r="AY67" s="2">
        <f t="shared" si="2"/>
        <v>0</v>
      </c>
      <c r="AZ67" s="2">
        <f>AU67*0.5+AK67*0.5</f>
        <v>0.12614779861000225</v>
      </c>
      <c r="BA67" s="2">
        <f>AV67*0.5+AJ67*0.5</f>
        <v>0.11323800559696789</v>
      </c>
      <c r="BB67" s="2">
        <f t="shared" si="3"/>
        <v>0.14446227929373998</v>
      </c>
      <c r="BC67">
        <f>IF(I67="expected",1,0)</f>
        <v>1</v>
      </c>
      <c r="BD67" s="78">
        <f>IF(BC67=1,AZ67/SUMIFS(AZ$3:AZ$623,$BC$3:$BC$623,1,$G$3:$G$623,$G67),0)</f>
        <v>4.4852232493396323E-2</v>
      </c>
      <c r="BE67" s="78">
        <f>IF(BC67=1,BA67/SUMIFS(BA$3:BA$623,$BC$3:$BC$623,1,$G$3:$G$623,$G67),0)</f>
        <v>5.6451964305937852E-2</v>
      </c>
      <c r="BF67" s="78">
        <f t="shared" si="4"/>
        <v>3.2988278565149139E-2</v>
      </c>
      <c r="BG67" s="2">
        <f t="shared" si="5"/>
        <v>0.14446227929373998</v>
      </c>
      <c r="BH67" s="2">
        <f t="shared" si="6"/>
        <v>0</v>
      </c>
      <c r="BI67" s="2">
        <f t="shared" si="7"/>
        <v>4.4852232493396323E-2</v>
      </c>
      <c r="BJ67" s="2">
        <f t="shared" si="8"/>
        <v>5.6451964305937852E-2</v>
      </c>
      <c r="BK67" s="2">
        <f t="shared" si="9"/>
        <v>3.2988278565149139E-2</v>
      </c>
      <c r="BL67" s="2">
        <f t="shared" si="10"/>
        <v>0.14446227929373998</v>
      </c>
      <c r="BM67" s="2">
        <f t="shared" si="11"/>
        <v>0</v>
      </c>
      <c r="BN67" s="2">
        <f>BI67/SUMIFS(BI$3:BI$623,$BC$3:$BC$623,1,$G$3:$G$623,$G67)</f>
        <v>4.4852232493396316E-2</v>
      </c>
      <c r="BO67" s="2">
        <f>BJ67/SUMIFS(BJ$3:BJ$623,$BC$3:$BC$623,1,$G$3:$G$623,$G67)</f>
        <v>5.6451964305937852E-2</v>
      </c>
      <c r="BP67" s="2">
        <f>BK67/SUMIFS(BK$3:BK$623,$BC$3:$BC$623,1,$G$3:$G$623,$G67)</f>
        <v>3.2988278565149146E-2</v>
      </c>
      <c r="BQ67" s="2">
        <f>BL67</f>
        <v>0.14446227929373998</v>
      </c>
      <c r="BR67" s="2">
        <f>BM67</f>
        <v>0</v>
      </c>
    </row>
    <row r="68" spans="1:70" hidden="1">
      <c r="A68" s="74">
        <v>0</v>
      </c>
      <c r="B68" s="73">
        <v>204634</v>
      </c>
      <c r="C68" s="73" t="s">
        <v>1255</v>
      </c>
      <c r="D68" s="73" t="s">
        <v>1256</v>
      </c>
      <c r="E68" s="73" t="s">
        <v>1257</v>
      </c>
      <c r="F68" s="73">
        <v>18710</v>
      </c>
      <c r="G68" s="73" t="s">
        <v>885</v>
      </c>
      <c r="H68" s="73" t="s">
        <v>943</v>
      </c>
      <c r="I68" s="73" t="s">
        <v>1012</v>
      </c>
      <c r="J68" s="73">
        <v>0</v>
      </c>
      <c r="K68" s="73">
        <v>7.5</v>
      </c>
      <c r="L68" s="73">
        <v>0</v>
      </c>
      <c r="M68" s="73">
        <v>0</v>
      </c>
      <c r="N68" s="73">
        <v>0</v>
      </c>
      <c r="O68" s="73" t="s">
        <v>994</v>
      </c>
      <c r="P68" s="73" t="s">
        <v>1258</v>
      </c>
      <c r="Q68" s="73" t="s">
        <v>446</v>
      </c>
      <c r="R68" s="73">
        <v>2</v>
      </c>
      <c r="S68" s="73">
        <v>2</v>
      </c>
      <c r="T68" s="73">
        <v>0</v>
      </c>
      <c r="U68" s="73">
        <v>6</v>
      </c>
      <c r="V68" s="73">
        <v>2642</v>
      </c>
      <c r="W68" s="73">
        <v>13</v>
      </c>
      <c r="X68" s="73">
        <v>4</v>
      </c>
      <c r="Y68" s="73">
        <v>0</v>
      </c>
      <c r="Z68" s="73" t="s">
        <v>1037</v>
      </c>
      <c r="AA68" s="73" t="s">
        <v>693</v>
      </c>
      <c r="AB68" s="73" t="str">
        <f>IF(AA68&lt;&gt;"",INDEX(Lookup!$N$2:$N$5,MATCH(Players!AA68,Lookup!$P$2:$P$5,0)),INDEX(Lookup!$N$2:$N$5,MATCH(Players!O68,Lookup!$O$2:$O$5,0)))</f>
        <v>Striker</v>
      </c>
      <c r="AC68" s="73">
        <v>2500000</v>
      </c>
      <c r="AD68" s="73" t="s">
        <v>792</v>
      </c>
      <c r="AE68" s="73" t="str">
        <f>INDEX('Translate table'!$H$2:$H$622,MATCH(Players!P68,'Translate table'!$G$2:$G$622,0))</f>
        <v>Taron Voskanyan</v>
      </c>
      <c r="AF68" s="73">
        <f>IFERROR(INDEX('Euro Qual stats'!$A$1:$L$2071,MATCH(Players!$AE68,'Euro Qual stats'!$A$1:$A$2071,0),MATCH(Players!AF$2,'Euro Qual stats'!$A$1:$L$1,0)),0)</f>
        <v>2</v>
      </c>
      <c r="AG68" s="73">
        <f>IFERROR(INDEX('Euro Qual stats'!$A$1:$L$2071,MATCH(Players!$AE68,'Euro Qual stats'!$A$1:$A$2071,0),MATCH(Players!AG$2,'Euro Qual stats'!$A$1:$L$1,0)),0)</f>
        <v>0</v>
      </c>
      <c r="AH68" s="73">
        <f>IFERROR(INDEX('Euro Qual stats'!$A$1:$L$2071,MATCH(Players!$AE68,'Euro Qual stats'!$A$1:$A$2071,0),MATCH(Players!AH$2,'Euro Qual stats'!$A$1:$L$1,0)),0)</f>
        <v>0</v>
      </c>
      <c r="AI68" s="73">
        <f>IFERROR(INDEX('Euro Qual stats'!$A$1:$L$2071,MATCH(Players!$AE68,'Euro Qual stats'!$A$1:$A$2071,0),MATCH(Players!AI$2,'Euro Qual stats'!$A$1:$L$1,0)),0)</f>
        <v>0</v>
      </c>
      <c r="AJ68" s="93">
        <f>(12-AF68)/12*INDEX(BV$9:BV$12,MATCH($AB68,$BU$9:$BU$12,0))+AF68/12*AG68</f>
        <v>0.1707614942528736</v>
      </c>
      <c r="AK68" s="93">
        <f>(12-AG68)/12*INDEX(BW$9:BW$12,MATCH($AB68,$BU$9:$BU$12,0))+AG68/12*AH68</f>
        <v>0.53387931034482738</v>
      </c>
      <c r="AL68" s="93">
        <f>(12-AH68)/12*INDEX(BX$9:BX$12,MATCH($AB68,$BU$9:$BU$12,0))+AH68/12*AI68</f>
        <v>0.16482758620689658</v>
      </c>
      <c r="AM68" s="93">
        <f>IF($BC68=1,AJ68/SUMIFS(AJ$3:AJ$623,$BC$3:$BC$623,1,$G$3:$G$623,$G68),0)</f>
        <v>0</v>
      </c>
      <c r="AN68" s="93">
        <f>IF($BC68=1,AK68/SUMIFS(AK$3:AK$623,$BC$3:$BC$623,1,$G$3:$G$623,$G68),0)</f>
        <v>0</v>
      </c>
      <c r="AO68" s="93">
        <f>IF($BC68=1,AL68/SUMIFS(AL$3:AL$623,$BC$3:$BC$623,1,$G$3:$G$623,$G68),0)</f>
        <v>0</v>
      </c>
      <c r="AP68" s="2">
        <f>IFERROR(R68/$V68*90,"")</f>
        <v>6.8130204390613167E-2</v>
      </c>
      <c r="AQ68" s="2">
        <f>IFERROR(S68/$V68*90,"")</f>
        <v>6.8130204390613167E-2</v>
      </c>
      <c r="AR68" s="2">
        <f>IFERROR(W68/$V68*90,"")</f>
        <v>0.44284632853898565</v>
      </c>
      <c r="AS68" s="2">
        <f>IFERROR(X68/$V68*90,"")</f>
        <v>0.13626040878122633</v>
      </c>
      <c r="AT68" s="2">
        <f>IFERROR(Y68/$V68*90,"")</f>
        <v>0</v>
      </c>
      <c r="AU68" s="2">
        <f>IF(AP68="",INDEX(BV$4:BV$7,MATCH(O68,$BU$4:$BU$7,0)),AP68)</f>
        <v>6.8130204390613167E-2</v>
      </c>
      <c r="AV68" s="2">
        <f>IF(AQ68="",INDEX(BW$4:BW$7,MATCH($O68,$BU$4:$BU$7,0)),AQ68)</f>
        <v>6.8130204390613167E-2</v>
      </c>
      <c r="AW68" s="2">
        <f t="shared" ref="AW68:AW131" si="12">IF(AR68="",INDEX(BX$4:BX$7,MATCH($O68,$BU$4:$BU$7,0)),AR68)</f>
        <v>0.44284632853898565</v>
      </c>
      <c r="AX68" s="2">
        <f t="shared" ref="AX68:AX131" si="13">IF(AS68="",INDEX(BY$4:BY$7,MATCH($O68,$BU$4:$BU$7,0)),AS68)</f>
        <v>0.13626040878122633</v>
      </c>
      <c r="AY68" s="2">
        <f t="shared" ref="AY68:AY131" si="14">IF(AT68="",INDEX(BZ$4:BZ$7,MATCH($O68,$BU$4:$BU$7,0)),AT68)</f>
        <v>0</v>
      </c>
      <c r="AZ68" s="2">
        <f>AU68*0.5+AK68*0.5</f>
        <v>0.30100475736772025</v>
      </c>
      <c r="BA68" s="2">
        <f>AV68*0.5+AJ68*0.5</f>
        <v>0.11944584932174337</v>
      </c>
      <c r="BB68" s="2">
        <f t="shared" ref="BB68:BB131" si="15">AX68*0.5+AI68*0.5</f>
        <v>6.8130204390613167E-2</v>
      </c>
      <c r="BC68">
        <f>IF(I68="expected",1,0)</f>
        <v>0</v>
      </c>
      <c r="BD68" s="78">
        <f>IF(BC68=1,AZ68/SUMIFS(AZ$3:AZ$623,$BC$3:$BC$623,1,$G$3:$G$623,$G68),0)</f>
        <v>0</v>
      </c>
      <c r="BE68" s="78">
        <f>IF(BC68=1,BA68/SUMIFS(BA$3:BA$623,$BC$3:$BC$623,1,$G$3:$G$623,$G68),0)</f>
        <v>0</v>
      </c>
      <c r="BF68" s="78">
        <f t="shared" ref="BF68:BF131" si="16">IF(BC68=1,AW68/SUMIFS(AW$3:AW$623,$BC$3:$BC$623,1,$G$3:$G$623,$G68),0)</f>
        <v>0</v>
      </c>
      <c r="BG68" s="2">
        <f t="shared" ref="BG68:BG131" si="17">BB68</f>
        <v>6.8130204390613167E-2</v>
      </c>
      <c r="BH68" s="2">
        <f t="shared" ref="BH68:BH131" si="18">AY68</f>
        <v>0</v>
      </c>
      <c r="BI68" s="2">
        <f t="shared" ref="BI68:BI131" si="19">MIN(BI$1,BD68)</f>
        <v>0</v>
      </c>
      <c r="BJ68" s="2">
        <f t="shared" ref="BJ68:BJ131" si="20">MIN(BJ$1,BE68)</f>
        <v>0</v>
      </c>
      <c r="BK68" s="2">
        <f t="shared" ref="BK68:BK131" si="21">MIN(BK$1,BF68)</f>
        <v>0</v>
      </c>
      <c r="BL68" s="2">
        <f t="shared" ref="BL68:BL131" si="22">BG68</f>
        <v>6.8130204390613167E-2</v>
      </c>
      <c r="BM68" s="2">
        <f t="shared" ref="BM68:BM131" si="23">MIN($BM$1,BH68)</f>
        <v>0</v>
      </c>
      <c r="BN68" s="2">
        <f>BI68/SUMIFS(BI$3:BI$623,$BC$3:$BC$623,1,$G$3:$G$623,$G68)</f>
        <v>0</v>
      </c>
      <c r="BO68" s="2">
        <f>BJ68/SUMIFS(BJ$3:BJ$623,$BC$3:$BC$623,1,$G$3:$G$623,$G68)</f>
        <v>0</v>
      </c>
      <c r="BP68" s="2">
        <f>BK68/SUMIFS(BK$3:BK$623,$BC$3:$BC$623,1,$G$3:$G$623,$G68)</f>
        <v>0</v>
      </c>
      <c r="BQ68" s="2">
        <f>BL68</f>
        <v>6.8130204390613167E-2</v>
      </c>
      <c r="BR68" s="2">
        <f>BM68</f>
        <v>0</v>
      </c>
    </row>
    <row r="69" spans="1:70" hidden="1">
      <c r="A69" s="74">
        <v>0</v>
      </c>
      <c r="B69" s="73">
        <v>221500</v>
      </c>
      <c r="C69" s="73" t="s">
        <v>1259</v>
      </c>
      <c r="D69" s="73" t="s">
        <v>1260</v>
      </c>
      <c r="E69" s="73" t="s">
        <v>1261</v>
      </c>
      <c r="F69" s="73">
        <v>18647</v>
      </c>
      <c r="G69" s="73" t="s">
        <v>891</v>
      </c>
      <c r="H69" s="73" t="s">
        <v>927</v>
      </c>
      <c r="I69" s="73" t="s">
        <v>1012</v>
      </c>
      <c r="J69" s="73">
        <v>0</v>
      </c>
      <c r="K69" s="73">
        <v>7.5</v>
      </c>
      <c r="L69" s="73">
        <v>0</v>
      </c>
      <c r="M69" s="73">
        <v>0</v>
      </c>
      <c r="N69" s="73">
        <v>0</v>
      </c>
      <c r="O69" s="73" t="s">
        <v>982</v>
      </c>
      <c r="P69" s="73" t="s">
        <v>1262</v>
      </c>
      <c r="Q69" s="73" t="s">
        <v>1262</v>
      </c>
      <c r="R69" s="73">
        <v>20</v>
      </c>
      <c r="S69" s="73">
        <v>7</v>
      </c>
      <c r="T69" s="73">
        <v>0</v>
      </c>
      <c r="U69" s="73">
        <v>1</v>
      </c>
      <c r="V69" s="73">
        <v>2624</v>
      </c>
      <c r="W69" s="73">
        <v>33</v>
      </c>
      <c r="X69" s="73">
        <v>3</v>
      </c>
      <c r="Y69" s="73">
        <v>0</v>
      </c>
      <c r="Z69" s="73" t="s">
        <v>989</v>
      </c>
      <c r="AA69" s="73" t="s">
        <v>693</v>
      </c>
      <c r="AB69" s="73" t="str">
        <f>IF(AA69&lt;&gt;"",INDEX(Lookup!$N$2:$N$5,MATCH(Players!AA69,Lookup!$P$2:$P$5,0)),INDEX(Lookup!$N$2:$N$5,MATCH(Players!O69,Lookup!$O$2:$O$5,0)))</f>
        <v>Striker</v>
      </c>
      <c r="AC69" s="73">
        <v>4500000</v>
      </c>
      <c r="AD69" s="73" t="s">
        <v>789</v>
      </c>
      <c r="AE69" s="73" t="str">
        <f>INDEX('Translate table'!$H$2:$H$622,MATCH(Players!P69,'Translate table'!$G$2:$G$622,0))</f>
        <v>Wissam Ben Yedder</v>
      </c>
      <c r="AF69" s="73">
        <f>IFERROR(INDEX('Euro Qual stats'!$A$1:$L$2071,MATCH(Players!$AE69,'Euro Qual stats'!$A$1:$A$2071,0),MATCH(Players!AF$2,'Euro Qual stats'!$A$1:$L$1,0)),0)</f>
        <v>6</v>
      </c>
      <c r="AG69" s="73">
        <f>IFERROR(INDEX('Euro Qual stats'!$A$1:$L$2071,MATCH(Players!$AE69,'Euro Qual stats'!$A$1:$A$2071,0),MATCH(Players!AG$2,'Euro Qual stats'!$A$1:$L$1,0)),0)</f>
        <v>0</v>
      </c>
      <c r="AH69" s="73">
        <f>IFERROR(INDEX('Euro Qual stats'!$A$1:$L$2071,MATCH(Players!$AE69,'Euro Qual stats'!$A$1:$A$2071,0),MATCH(Players!AH$2,'Euro Qual stats'!$A$1:$L$1,0)),0)</f>
        <v>0.65</v>
      </c>
      <c r="AI69" s="73">
        <f>IFERROR(INDEX('Euro Qual stats'!$A$1:$L$2071,MATCH(Players!$AE69,'Euro Qual stats'!$A$1:$A$2071,0),MATCH(Players!AI$2,'Euro Qual stats'!$A$1:$L$1,0)),0)</f>
        <v>0</v>
      </c>
      <c r="AJ69" s="93">
        <f>(12-AF69)/12*INDEX(BV$9:BV$12,MATCH($AB69,$BU$9:$BU$12,0))+AF69/12*AG69</f>
        <v>0.10245689655172416</v>
      </c>
      <c r="AK69" s="93">
        <f>(12-AG69)/12*INDEX(BW$9:BW$12,MATCH($AB69,$BU$9:$BU$12,0))+AG69/12*AH69</f>
        <v>0.53387931034482738</v>
      </c>
      <c r="AL69" s="93">
        <f>(12-AH69)/12*INDEX(BX$9:BX$12,MATCH($AB69,$BU$9:$BU$12,0))+AH69/12*AI69</f>
        <v>0.15589942528735634</v>
      </c>
      <c r="AM69" s="93">
        <f>IF($BC69=1,AJ69/SUMIFS(AJ$3:AJ$623,$BC$3:$BC$623,1,$G$3:$G$623,$G69),0)</f>
        <v>0</v>
      </c>
      <c r="AN69" s="93">
        <f>IF($BC69=1,AK69/SUMIFS(AK$3:AK$623,$BC$3:$BC$623,1,$G$3:$G$623,$G69),0)</f>
        <v>0</v>
      </c>
      <c r="AO69" s="93">
        <f>IF($BC69=1,AL69/SUMIFS(AL$3:AL$623,$BC$3:$BC$623,1,$G$3:$G$623,$G69),0)</f>
        <v>0</v>
      </c>
      <c r="AP69" s="2">
        <f>IFERROR(R69/$V69*90,"")</f>
        <v>0.6859756097560975</v>
      </c>
      <c r="AQ69" s="2">
        <f>IFERROR(S69/$V69*90,"")</f>
        <v>0.24009146341463417</v>
      </c>
      <c r="AR69" s="2">
        <f>IFERROR(W69/$V69*90,"")</f>
        <v>1.131859756097561</v>
      </c>
      <c r="AS69" s="2">
        <f>IFERROR(X69/$V69*90,"")</f>
        <v>0.10289634146341463</v>
      </c>
      <c r="AT69" s="2">
        <f>IFERROR(Y69/$V69*90,"")</f>
        <v>0</v>
      </c>
      <c r="AU69" s="2">
        <f>IF(AP69="",INDEX(BV$4:BV$7,MATCH(O69,$BU$4:$BU$7,0)),AP69)</f>
        <v>0.6859756097560975</v>
      </c>
      <c r="AV69" s="2">
        <f>IF(AQ69="",INDEX(BW$4:BW$7,MATCH($O69,$BU$4:$BU$7,0)),AQ69)</f>
        <v>0.24009146341463417</v>
      </c>
      <c r="AW69" s="2">
        <f t="shared" si="12"/>
        <v>1.131859756097561</v>
      </c>
      <c r="AX69" s="2">
        <f t="shared" si="13"/>
        <v>0.10289634146341463</v>
      </c>
      <c r="AY69" s="2">
        <f t="shared" si="14"/>
        <v>0</v>
      </c>
      <c r="AZ69" s="2">
        <f>AU69*0.5+AK69*0.5</f>
        <v>0.6099274600504625</v>
      </c>
      <c r="BA69" s="2">
        <f>AV69*0.5+AJ69*0.5</f>
        <v>0.17127417998317918</v>
      </c>
      <c r="BB69" s="2">
        <f t="shared" si="15"/>
        <v>5.1448170731707314E-2</v>
      </c>
      <c r="BC69">
        <f>IF(I69="expected",1,0)</f>
        <v>0</v>
      </c>
      <c r="BD69" s="78">
        <f>IF(BC69=1,AZ69/SUMIFS(AZ$3:AZ$623,$BC$3:$BC$623,1,$G$3:$G$623,$G69),0)</f>
        <v>0</v>
      </c>
      <c r="BE69" s="78">
        <f>IF(BC69=1,BA69/SUMIFS(BA$3:BA$623,$BC$3:$BC$623,1,$G$3:$G$623,$G69),0)</f>
        <v>0</v>
      </c>
      <c r="BF69" s="78">
        <f t="shared" si="16"/>
        <v>0</v>
      </c>
      <c r="BG69" s="2">
        <f t="shared" si="17"/>
        <v>5.1448170731707314E-2</v>
      </c>
      <c r="BH69" s="2">
        <f t="shared" si="18"/>
        <v>0</v>
      </c>
      <c r="BI69" s="2">
        <f t="shared" si="19"/>
        <v>0</v>
      </c>
      <c r="BJ69" s="2">
        <f t="shared" si="20"/>
        <v>0</v>
      </c>
      <c r="BK69" s="2">
        <f t="shared" si="21"/>
        <v>0</v>
      </c>
      <c r="BL69" s="2">
        <f t="shared" si="22"/>
        <v>5.1448170731707314E-2</v>
      </c>
      <c r="BM69" s="2">
        <f t="shared" si="23"/>
        <v>0</v>
      </c>
      <c r="BN69" s="2">
        <f>BI69/SUMIFS(BI$3:BI$623,$BC$3:$BC$623,1,$G$3:$G$623,$G69)</f>
        <v>0</v>
      </c>
      <c r="BO69" s="2">
        <f>BJ69/SUMIFS(BJ$3:BJ$623,$BC$3:$BC$623,1,$G$3:$G$623,$G69)</f>
        <v>0</v>
      </c>
      <c r="BP69" s="2">
        <f>BK69/SUMIFS(BK$3:BK$623,$BC$3:$BC$623,1,$G$3:$G$623,$G69)</f>
        <v>0</v>
      </c>
      <c r="BQ69" s="2">
        <f>BL69</f>
        <v>5.1448170731707314E-2</v>
      </c>
      <c r="BR69" s="2">
        <f>BM69</f>
        <v>0</v>
      </c>
    </row>
    <row r="70" spans="1:70" hidden="1">
      <c r="A70" s="74">
        <v>0</v>
      </c>
      <c r="B70" s="73">
        <v>204956</v>
      </c>
      <c r="C70" s="73" t="s">
        <v>1263</v>
      </c>
      <c r="D70" s="73" t="s">
        <v>1264</v>
      </c>
      <c r="E70" s="73" t="s">
        <v>1265</v>
      </c>
      <c r="F70" s="73">
        <v>18583</v>
      </c>
      <c r="G70" s="73" t="s">
        <v>869</v>
      </c>
      <c r="H70" s="73" t="s">
        <v>905</v>
      </c>
      <c r="I70" s="73" t="s">
        <v>981</v>
      </c>
      <c r="J70" s="73">
        <v>0</v>
      </c>
      <c r="K70" s="73">
        <v>7.5</v>
      </c>
      <c r="L70" s="73">
        <v>0</v>
      </c>
      <c r="M70" s="73">
        <v>0</v>
      </c>
      <c r="N70" s="73">
        <v>0</v>
      </c>
      <c r="O70" s="73" t="s">
        <v>982</v>
      </c>
      <c r="P70" s="73" t="s">
        <v>1266</v>
      </c>
      <c r="Q70" s="73" t="s">
        <v>1266</v>
      </c>
      <c r="R70" s="73">
        <v>2</v>
      </c>
      <c r="S70" s="73">
        <v>2</v>
      </c>
      <c r="T70" s="73">
        <v>0</v>
      </c>
      <c r="U70" s="73">
        <v>3</v>
      </c>
      <c r="V70" s="73">
        <v>1162</v>
      </c>
      <c r="W70" s="73">
        <v>7</v>
      </c>
      <c r="X70" s="73">
        <v>3</v>
      </c>
      <c r="Y70" s="73">
        <v>0</v>
      </c>
      <c r="Z70" s="73" t="s">
        <v>1267</v>
      </c>
      <c r="AA70" s="73" t="s">
        <v>693</v>
      </c>
      <c r="AB70" s="73" t="str">
        <f>IF(AA70&lt;&gt;"",INDEX(Lookup!$N$2:$N$5,MATCH(Players!AA70,Lookup!$P$2:$P$5,0)),INDEX(Lookup!$N$2:$N$5,MATCH(Players!O70,Lookup!$O$2:$O$5,0)))</f>
        <v>Striker</v>
      </c>
      <c r="AC70" s="73">
        <v>4500000</v>
      </c>
      <c r="AD70" s="73" t="s">
        <v>828</v>
      </c>
      <c r="AE70" s="73" t="str">
        <f>INDEX('Translate table'!$H$2:$H$622,MATCH(Players!P70,'Translate table'!$G$2:$G$622,0))</f>
        <v>Martin Braithwaite</v>
      </c>
      <c r="AF70" s="73">
        <f>IFERROR(INDEX('Euro Qual stats'!$A$1:$L$2071,MATCH(Players!$AE70,'Euro Qual stats'!$A$1:$A$2071,0),MATCH(Players!AF$2,'Euro Qual stats'!$A$1:$L$1,0)),0)</f>
        <v>8</v>
      </c>
      <c r="AG70" s="73">
        <f>IFERROR(INDEX('Euro Qual stats'!$A$1:$L$2071,MATCH(Players!$AE70,'Euro Qual stats'!$A$1:$A$2071,0),MATCH(Players!AG$2,'Euro Qual stats'!$A$1:$L$1,0)),0)</f>
        <v>0</v>
      </c>
      <c r="AH70" s="73">
        <f>IFERROR(INDEX('Euro Qual stats'!$A$1:$L$2071,MATCH(Players!$AE70,'Euro Qual stats'!$A$1:$A$2071,0),MATCH(Players!AH$2,'Euro Qual stats'!$A$1:$L$1,0)),0)</f>
        <v>0.52</v>
      </c>
      <c r="AI70" s="73">
        <f>IFERROR(INDEX('Euro Qual stats'!$A$1:$L$2071,MATCH(Players!$AE70,'Euro Qual stats'!$A$1:$A$2071,0),MATCH(Players!AI$2,'Euro Qual stats'!$A$1:$L$1,0)),0)</f>
        <v>0</v>
      </c>
      <c r="AJ70" s="93">
        <f>(12-AF70)/12*INDEX(BV$9:BV$12,MATCH($AB70,$BU$9:$BU$12,0))+AF70/12*AG70</f>
        <v>6.8304597701149439E-2</v>
      </c>
      <c r="AK70" s="93">
        <f>(12-AG70)/12*INDEX(BW$9:BW$12,MATCH($AB70,$BU$9:$BU$12,0))+AG70/12*AH70</f>
        <v>0.53387931034482738</v>
      </c>
      <c r="AL70" s="93">
        <f>(12-AH70)/12*INDEX(BX$9:BX$12,MATCH($AB70,$BU$9:$BU$12,0))+AH70/12*AI70</f>
        <v>0.15768505747126441</v>
      </c>
      <c r="AM70" s="93">
        <f>IF($BC70=1,AJ70/SUMIFS(AJ$3:AJ$623,$BC$3:$BC$623,1,$G$3:$G$623,$G70),0)</f>
        <v>4.508859075472571E-2</v>
      </c>
      <c r="AN70" s="93">
        <f>IF($BC70=1,AK70/SUMIFS(AK$3:AK$623,$BC$3:$BC$623,1,$G$3:$G$623,$G70),0)</f>
        <v>0.19095250357651761</v>
      </c>
      <c r="AO70" s="93">
        <f>IF($BC70=1,AL70/SUMIFS(AL$3:AL$623,$BC$3:$BC$623,1,$G$3:$G$623,$G70),0)</f>
        <v>7.8970883246594389E-2</v>
      </c>
      <c r="AP70" s="2">
        <f>IFERROR(R70/$V70*90,"")</f>
        <v>0.1549053356282272</v>
      </c>
      <c r="AQ70" s="2">
        <f>IFERROR(S70/$V70*90,"")</f>
        <v>0.1549053356282272</v>
      </c>
      <c r="AR70" s="2">
        <f>IFERROR(W70/$V70*90,"")</f>
        <v>0.54216867469879526</v>
      </c>
      <c r="AS70" s="2">
        <f>IFERROR(X70/$V70*90,"")</f>
        <v>0.23235800344234081</v>
      </c>
      <c r="AT70" s="2">
        <f>IFERROR(Y70/$V70*90,"")</f>
        <v>0</v>
      </c>
      <c r="AU70" s="2">
        <f>IF(AP70="",INDEX(BV$4:BV$7,MATCH(O70,$BU$4:$BU$7,0)),AP70)</f>
        <v>0.1549053356282272</v>
      </c>
      <c r="AV70" s="2">
        <f>IF(AQ70="",INDEX(BW$4:BW$7,MATCH($O70,$BU$4:$BU$7,0)),AQ70)</f>
        <v>0.1549053356282272</v>
      </c>
      <c r="AW70" s="2">
        <f t="shared" si="12"/>
        <v>0.54216867469879526</v>
      </c>
      <c r="AX70" s="2">
        <f t="shared" si="13"/>
        <v>0.23235800344234081</v>
      </c>
      <c r="AY70" s="2">
        <f t="shared" si="14"/>
        <v>0</v>
      </c>
      <c r="AZ70" s="2">
        <f>AU70*0.5+AK70*0.5</f>
        <v>0.34439232298652728</v>
      </c>
      <c r="BA70" s="2">
        <f>AV70*0.5+AJ70*0.5</f>
        <v>0.11160496666468832</v>
      </c>
      <c r="BB70" s="2">
        <f t="shared" si="15"/>
        <v>0.11617900172117041</v>
      </c>
      <c r="BC70">
        <f>IF(I70="expected",1,0)</f>
        <v>1</v>
      </c>
      <c r="BD70" s="78">
        <f>IF(BC70=1,AZ70/SUMIFS(AZ$3:AZ$623,$BC$3:$BC$623,1,$G$3:$G$623,$G70),0)</f>
        <v>0.17215835888468312</v>
      </c>
      <c r="BE70" s="78">
        <f>IF(BC70=1,BA70/SUMIFS(BA$3:BA$623,$BC$3:$BC$623,1,$G$3:$G$623,$G70),0)</f>
        <v>9.077957370292683E-2</v>
      </c>
      <c r="BF70" s="78">
        <f t="shared" si="16"/>
        <v>0.12227114959869333</v>
      </c>
      <c r="BG70" s="2">
        <f t="shared" si="17"/>
        <v>0.11617900172117041</v>
      </c>
      <c r="BH70" s="2">
        <f t="shared" si="18"/>
        <v>0</v>
      </c>
      <c r="BI70" s="2">
        <f t="shared" si="19"/>
        <v>0.17215835888468312</v>
      </c>
      <c r="BJ70" s="2">
        <f t="shared" si="20"/>
        <v>9.077957370292683E-2</v>
      </c>
      <c r="BK70" s="2">
        <f t="shared" si="21"/>
        <v>0.12227114959869333</v>
      </c>
      <c r="BL70" s="2">
        <f t="shared" si="22"/>
        <v>0.11617900172117041</v>
      </c>
      <c r="BM70" s="2">
        <f t="shared" si="23"/>
        <v>0</v>
      </c>
      <c r="BN70" s="2">
        <f>BI70/SUMIFS(BI$3:BI$623,$BC$3:$BC$623,1,$G$3:$G$623,$G70)</f>
        <v>0.17215835888468314</v>
      </c>
      <c r="BO70" s="2">
        <f>BJ70/SUMIFS(BJ$3:BJ$623,$BC$3:$BC$623,1,$G$3:$G$623,$G70)</f>
        <v>9.0779573702926844E-2</v>
      </c>
      <c r="BP70" s="2">
        <f>BK70/SUMIFS(BK$3:BK$623,$BC$3:$BC$623,1,$G$3:$G$623,$G70)</f>
        <v>0.12227114959869335</v>
      </c>
      <c r="BQ70" s="2">
        <f>BL70</f>
        <v>0.11617900172117041</v>
      </c>
      <c r="BR70" s="2">
        <f>BM70</f>
        <v>0</v>
      </c>
    </row>
    <row r="71" spans="1:70" hidden="1">
      <c r="A71" s="74">
        <v>0</v>
      </c>
      <c r="B71" s="73">
        <v>204587</v>
      </c>
      <c r="C71" s="73" t="s">
        <v>1268</v>
      </c>
      <c r="D71" s="73" t="s">
        <v>1269</v>
      </c>
      <c r="E71" s="73" t="s">
        <v>1270</v>
      </c>
      <c r="F71" s="73">
        <v>18588</v>
      </c>
      <c r="G71" s="73" t="s">
        <v>880</v>
      </c>
      <c r="H71" s="73" t="s">
        <v>949</v>
      </c>
      <c r="I71" s="73" t="s">
        <v>981</v>
      </c>
      <c r="J71" s="73">
        <v>0</v>
      </c>
      <c r="K71" s="73">
        <v>7</v>
      </c>
      <c r="L71" s="73">
        <v>0</v>
      </c>
      <c r="M71" s="73">
        <v>0</v>
      </c>
      <c r="N71" s="73">
        <v>0</v>
      </c>
      <c r="O71" s="73" t="s">
        <v>994</v>
      </c>
      <c r="P71" s="73" t="s">
        <v>1271</v>
      </c>
      <c r="Q71" s="73" t="s">
        <v>83</v>
      </c>
      <c r="R71" s="73">
        <v>0</v>
      </c>
      <c r="S71" s="73">
        <v>1</v>
      </c>
      <c r="T71" s="73">
        <v>0</v>
      </c>
      <c r="U71" s="73">
        <v>7</v>
      </c>
      <c r="V71" s="73">
        <v>1818</v>
      </c>
      <c r="W71" s="73">
        <v>4</v>
      </c>
      <c r="X71" s="73">
        <v>4</v>
      </c>
      <c r="Y71" s="73">
        <v>0</v>
      </c>
      <c r="Z71" s="73" t="s">
        <v>1133</v>
      </c>
      <c r="AA71" s="73" t="s">
        <v>691</v>
      </c>
      <c r="AB71" s="73" t="str">
        <f>IF(AA71&lt;&gt;"",INDEX(Lookup!$N$2:$N$5,MATCH(Players!AA71,Lookup!$P$2:$P$5,0)),INDEX(Lookup!$N$2:$N$5,MATCH(Players!O71,Lookup!$O$2:$O$5,0)))</f>
        <v>Midfield</v>
      </c>
      <c r="AC71" s="73">
        <v>3000000</v>
      </c>
      <c r="AD71" s="73" t="s">
        <v>1272</v>
      </c>
      <c r="AE71" s="73" t="str">
        <f>INDEX('Translate table'!$H$2:$H$622,MATCH(Players!P71,'Translate table'!$G$2:$G$622,0))</f>
        <v>Mateo KovaÄiÄ‡</v>
      </c>
      <c r="AF71" s="73">
        <f>IFERROR(INDEX('Euro Qual stats'!$A$1:$L$2071,MATCH(Players!$AE71,'Euro Qual stats'!$A$1:$A$2071,0),MATCH(Players!AF$2,'Euro Qual stats'!$A$1:$L$1,0)),0)</f>
        <v>5</v>
      </c>
      <c r="AG71" s="73">
        <f>IFERROR(INDEX('Euro Qual stats'!$A$1:$L$2071,MATCH(Players!$AE71,'Euro Qual stats'!$A$1:$A$2071,0),MATCH(Players!AG$2,'Euro Qual stats'!$A$1:$L$1,0)),0)</f>
        <v>0</v>
      </c>
      <c r="AH71" s="73">
        <f>IFERROR(INDEX('Euro Qual stats'!$A$1:$L$2071,MATCH(Players!$AE71,'Euro Qual stats'!$A$1:$A$2071,0),MATCH(Players!AH$2,'Euro Qual stats'!$A$1:$L$1,0)),0)</f>
        <v>0</v>
      </c>
      <c r="AI71" s="73">
        <f>IFERROR(INDEX('Euro Qual stats'!$A$1:$L$2071,MATCH(Players!$AE71,'Euro Qual stats'!$A$1:$A$2071,0),MATCH(Players!AI$2,'Euro Qual stats'!$A$1:$L$1,0)),0)</f>
        <v>0</v>
      </c>
      <c r="AJ71" s="93">
        <f>(12-AF71)/12*INDEX(BV$9:BV$12,MATCH($AB71,$BU$9:$BU$12,0))+AF71/12*AG71</f>
        <v>9.8403141361256552E-2</v>
      </c>
      <c r="AK71" s="93">
        <f>(12-AG71)/12*INDEX(BW$9:BW$12,MATCH($AB71,$BU$9:$BU$12,0))+AG71/12*AH71</f>
        <v>0.22340314136125652</v>
      </c>
      <c r="AL71" s="93">
        <f>(12-AH71)/12*INDEX(BX$9:BX$12,MATCH($AB71,$BU$9:$BU$12,0))+AH71/12*AI71</f>
        <v>0.23942408376963353</v>
      </c>
      <c r="AM71" s="93">
        <f>IF($BC71=1,AJ71/SUMIFS(AJ$3:AJ$623,$BC$3:$BC$623,1,$G$3:$G$623,$G71),0)</f>
        <v>6.1973960240694147E-2</v>
      </c>
      <c r="AN71" s="93">
        <f>IF($BC71=1,AK71/SUMIFS(AK$3:AK$623,$BC$3:$BC$623,1,$G$3:$G$623,$G71),0)</f>
        <v>8.4042936426655029E-2</v>
      </c>
      <c r="AO71" s="93">
        <f>IF($BC71=1,AL71/SUMIFS(AL$3:AL$623,$BC$3:$BC$623,1,$G$3:$G$623,$G71),0)</f>
        <v>0.12080044218940712</v>
      </c>
      <c r="AP71" s="2">
        <f>IFERROR(R71/$V71*90,"")</f>
        <v>0</v>
      </c>
      <c r="AQ71" s="2">
        <f>IFERROR(S71/$V71*90,"")</f>
        <v>4.95049504950495E-2</v>
      </c>
      <c r="AR71" s="2">
        <f>IFERROR(W71/$V71*90,"")</f>
        <v>0.198019801980198</v>
      </c>
      <c r="AS71" s="2">
        <f>IFERROR(X71/$V71*90,"")</f>
        <v>0.198019801980198</v>
      </c>
      <c r="AT71" s="2">
        <f>IFERROR(Y71/$V71*90,"")</f>
        <v>0</v>
      </c>
      <c r="AU71" s="2">
        <f>IF(AP71="",INDEX(BV$4:BV$7,MATCH(O71,$BU$4:$BU$7,0)),AP71)</f>
        <v>0</v>
      </c>
      <c r="AV71" s="2">
        <f>IF(AQ71="",INDEX(BW$4:BW$7,MATCH($O71,$BU$4:$BU$7,0)),AQ71)</f>
        <v>4.95049504950495E-2</v>
      </c>
      <c r="AW71" s="2">
        <f t="shared" si="12"/>
        <v>0.198019801980198</v>
      </c>
      <c r="AX71" s="2">
        <f t="shared" si="13"/>
        <v>0.198019801980198</v>
      </c>
      <c r="AY71" s="2">
        <f t="shared" si="14"/>
        <v>0</v>
      </c>
      <c r="AZ71" s="2">
        <f>AU71*0.5+AK71*0.5</f>
        <v>0.11170157068062826</v>
      </c>
      <c r="BA71" s="2">
        <f>AV71*0.5+AJ71*0.5</f>
        <v>7.3954045928153023E-2</v>
      </c>
      <c r="BB71" s="2">
        <f t="shared" si="15"/>
        <v>9.9009900990099001E-2</v>
      </c>
      <c r="BC71">
        <f>IF(I71="expected",1,0)</f>
        <v>1</v>
      </c>
      <c r="BD71" s="78">
        <f>IF(BC71=1,AZ71/SUMIFS(AZ$3:AZ$623,$BC$3:$BC$623,1,$G$3:$G$623,$G71),0)</f>
        <v>4.766271785942916E-2</v>
      </c>
      <c r="BE71" s="78">
        <f>IF(BC71=1,BA71/SUMIFS(BA$3:BA$623,$BC$3:$BC$623,1,$G$3:$G$623,$G71),0)</f>
        <v>5.4016044481848352E-2</v>
      </c>
      <c r="BF71" s="78">
        <f t="shared" si="16"/>
        <v>4.0077306946574534E-2</v>
      </c>
      <c r="BG71" s="2">
        <f t="shared" si="17"/>
        <v>9.9009900990099001E-2</v>
      </c>
      <c r="BH71" s="2">
        <f t="shared" si="18"/>
        <v>0</v>
      </c>
      <c r="BI71" s="2">
        <f t="shared" si="19"/>
        <v>4.766271785942916E-2</v>
      </c>
      <c r="BJ71" s="2">
        <f t="shared" si="20"/>
        <v>5.4016044481848352E-2</v>
      </c>
      <c r="BK71" s="2">
        <f t="shared" si="21"/>
        <v>4.0077306946574534E-2</v>
      </c>
      <c r="BL71" s="2">
        <f t="shared" si="22"/>
        <v>9.9009900990099001E-2</v>
      </c>
      <c r="BM71" s="2">
        <f t="shared" si="23"/>
        <v>0</v>
      </c>
      <c r="BN71" s="2">
        <f>BI71/SUMIFS(BI$3:BI$623,$BC$3:$BC$623,1,$G$3:$G$623,$G71)</f>
        <v>4.766271785942916E-2</v>
      </c>
      <c r="BO71" s="2">
        <f>BJ71/SUMIFS(BJ$3:BJ$623,$BC$3:$BC$623,1,$G$3:$G$623,$G71)</f>
        <v>5.4016044481848352E-2</v>
      </c>
      <c r="BP71" s="2">
        <f>BK71/SUMIFS(BK$3:BK$623,$BC$3:$BC$623,1,$G$3:$G$623,$G71)</f>
        <v>4.160635780335635E-2</v>
      </c>
      <c r="BQ71" s="2">
        <f>BL71</f>
        <v>9.9009900990099001E-2</v>
      </c>
      <c r="BR71" s="2">
        <f>BM71</f>
        <v>0</v>
      </c>
    </row>
    <row r="72" spans="1:70" hidden="1">
      <c r="A72" s="74">
        <v>0</v>
      </c>
      <c r="B72" s="73">
        <v>213386</v>
      </c>
      <c r="C72" s="73" t="s">
        <v>1273</v>
      </c>
      <c r="D72" s="73" t="s">
        <v>1274</v>
      </c>
      <c r="E72" s="73" t="s">
        <v>1275</v>
      </c>
      <c r="F72" s="73">
        <v>18658</v>
      </c>
      <c r="G72" s="73" t="s">
        <v>863</v>
      </c>
      <c r="H72" s="73" t="s">
        <v>939</v>
      </c>
      <c r="I72" s="73" t="s">
        <v>981</v>
      </c>
      <c r="J72" s="73">
        <v>0</v>
      </c>
      <c r="K72" s="73">
        <v>7</v>
      </c>
      <c r="L72" s="73">
        <v>0</v>
      </c>
      <c r="M72" s="73">
        <v>0</v>
      </c>
      <c r="N72" s="73">
        <v>0</v>
      </c>
      <c r="O72" s="73" t="s">
        <v>994</v>
      </c>
      <c r="P72" s="73" t="s">
        <v>1276</v>
      </c>
      <c r="Q72" s="73" t="s">
        <v>1276</v>
      </c>
      <c r="R72" s="73">
        <v>0</v>
      </c>
      <c r="S72" s="73">
        <v>2</v>
      </c>
      <c r="T72" s="73">
        <v>0</v>
      </c>
      <c r="U72" s="73">
        <v>7</v>
      </c>
      <c r="V72" s="73">
        <v>1490</v>
      </c>
      <c r="W72" s="73">
        <v>5</v>
      </c>
      <c r="X72" s="73">
        <v>7</v>
      </c>
      <c r="Y72" s="73">
        <v>0</v>
      </c>
      <c r="Z72" s="73" t="s">
        <v>1054</v>
      </c>
      <c r="AA72" s="73" t="s">
        <v>691</v>
      </c>
      <c r="AB72" s="73" t="str">
        <f>IF(AA72&lt;&gt;"",INDEX(Lookup!$N$2:$N$5,MATCH(Players!AA72,Lookup!$P$2:$P$5,0)),INDEX(Lookup!$N$2:$N$5,MATCH(Players!O72,Lookup!$O$2:$O$5,0)))</f>
        <v>Midfield</v>
      </c>
      <c r="AC72" s="73">
        <v>4500000</v>
      </c>
      <c r="AD72" s="73" t="s">
        <v>838</v>
      </c>
      <c r="AE72" s="73" t="str">
        <f>INDEX('Translate table'!$H$2:$H$622,MATCH(Players!P72,'Translate table'!$G$2:$G$622,0))</f>
        <v>Marco Verratti</v>
      </c>
      <c r="AF72" s="73">
        <f>IFERROR(INDEX('Euro Qual stats'!$A$1:$L$2071,MATCH(Players!$AE72,'Euro Qual stats'!$A$1:$A$2071,0),MATCH(Players!AF$2,'Euro Qual stats'!$A$1:$L$1,0)),0)</f>
        <v>7</v>
      </c>
      <c r="AG72" s="73">
        <f>IFERROR(INDEX('Euro Qual stats'!$A$1:$L$2071,MATCH(Players!$AE72,'Euro Qual stats'!$A$1:$A$2071,0),MATCH(Players!AG$2,'Euro Qual stats'!$A$1:$L$1,0)),0)</f>
        <v>0</v>
      </c>
      <c r="AH72" s="73">
        <f>IFERROR(INDEX('Euro Qual stats'!$A$1:$L$2071,MATCH(Players!$AE72,'Euro Qual stats'!$A$1:$A$2071,0),MATCH(Players!AH$2,'Euro Qual stats'!$A$1:$L$1,0)),0)</f>
        <v>0.28999999999999998</v>
      </c>
      <c r="AI72" s="73">
        <f>IFERROR(INDEX('Euro Qual stats'!$A$1:$L$2071,MATCH(Players!$AE72,'Euro Qual stats'!$A$1:$A$2071,0),MATCH(Players!AI$2,'Euro Qual stats'!$A$1:$L$1,0)),0)</f>
        <v>0.44</v>
      </c>
      <c r="AJ72" s="93">
        <f>(12-AF72)/12*INDEX(BV$9:BV$12,MATCH($AB72,$BU$9:$BU$12,0))+AF72/12*AG72</f>
        <v>7.0287958115183249E-2</v>
      </c>
      <c r="AK72" s="93">
        <f>(12-AG72)/12*INDEX(BW$9:BW$12,MATCH($AB72,$BU$9:$BU$12,0))+AG72/12*AH72</f>
        <v>0.22340314136125652</v>
      </c>
      <c r="AL72" s="93">
        <f>(12-AH72)/12*INDEX(BX$9:BX$12,MATCH($AB72,$BU$9:$BU$12,0))+AH72/12*AI72</f>
        <v>0.24427133507853407</v>
      </c>
      <c r="AM72" s="93">
        <f>IF($BC72=1,AJ72/SUMIFS(AJ$3:AJ$623,$BC$3:$BC$623,1,$G$3:$G$623,$G72),0)</f>
        <v>3.4550879301039679E-2</v>
      </c>
      <c r="AN72" s="93">
        <f>IF($BC72=1,AK72/SUMIFS(AK$3:AK$623,$BC$3:$BC$623,1,$G$3:$G$623,$G72),0)</f>
        <v>9.3236253933599578E-2</v>
      </c>
      <c r="AO72" s="93">
        <f>IF($BC72=1,AL72/SUMIFS(AL$3:AL$623,$BC$3:$BC$623,1,$G$3:$G$623,$G72),0)</f>
        <v>0.12031144115605201</v>
      </c>
      <c r="AP72" s="2">
        <f>IFERROR(R72/$V72*90,"")</f>
        <v>0</v>
      </c>
      <c r="AQ72" s="2">
        <f>IFERROR(S72/$V72*90,"")</f>
        <v>0.12080536912751677</v>
      </c>
      <c r="AR72" s="2">
        <f>IFERROR(W72/$V72*90,"")</f>
        <v>0.30201342281879195</v>
      </c>
      <c r="AS72" s="2">
        <f>IFERROR(X72/$V72*90,"")</f>
        <v>0.42281879194630867</v>
      </c>
      <c r="AT72" s="2">
        <f>IFERROR(Y72/$V72*90,"")</f>
        <v>0</v>
      </c>
      <c r="AU72" s="2">
        <f>IF(AP72="",INDEX(BV$4:BV$7,MATCH(O72,$BU$4:$BU$7,0)),AP72)</f>
        <v>0</v>
      </c>
      <c r="AV72" s="2">
        <f>IF(AQ72="",INDEX(BW$4:BW$7,MATCH($O72,$BU$4:$BU$7,0)),AQ72)</f>
        <v>0.12080536912751677</v>
      </c>
      <c r="AW72" s="2">
        <f t="shared" si="12"/>
        <v>0.30201342281879195</v>
      </c>
      <c r="AX72" s="2">
        <f t="shared" si="13"/>
        <v>0.42281879194630867</v>
      </c>
      <c r="AY72" s="2">
        <f t="shared" si="14"/>
        <v>0</v>
      </c>
      <c r="AZ72" s="2">
        <f>AU72*0.5+AK72*0.5</f>
        <v>0.11170157068062826</v>
      </c>
      <c r="BA72" s="2">
        <f>AV72*0.5+AJ72*0.5</f>
        <v>9.5546663621350003E-2</v>
      </c>
      <c r="BB72" s="2">
        <f t="shared" si="15"/>
        <v>0.43140939597315431</v>
      </c>
      <c r="BC72">
        <f>IF(I72="expected",1,0)</f>
        <v>1</v>
      </c>
      <c r="BD72" s="78">
        <f>IF(BC72=1,AZ72/SUMIFS(AZ$3:AZ$623,$BC$3:$BC$623,1,$G$3:$G$623,$G72),0)</f>
        <v>4.8108890306974413E-2</v>
      </c>
      <c r="BE72" s="78">
        <f>IF(BC72=1,BA72/SUMIFS(BA$3:BA$623,$BC$3:$BC$623,1,$G$3:$G$623,$G72),0)</f>
        <v>5.5998537809202151E-2</v>
      </c>
      <c r="BF72" s="78">
        <f t="shared" si="16"/>
        <v>5.1536642380503143E-2</v>
      </c>
      <c r="BG72" s="2">
        <f t="shared" si="17"/>
        <v>0.43140939597315431</v>
      </c>
      <c r="BH72" s="2">
        <f t="shared" si="18"/>
        <v>0</v>
      </c>
      <c r="BI72" s="2">
        <f t="shared" si="19"/>
        <v>4.8108890306974413E-2</v>
      </c>
      <c r="BJ72" s="2">
        <f t="shared" si="20"/>
        <v>5.5998537809202151E-2</v>
      </c>
      <c r="BK72" s="2">
        <f t="shared" si="21"/>
        <v>5.1536642380503143E-2</v>
      </c>
      <c r="BL72" s="2">
        <f t="shared" si="22"/>
        <v>0.43140939597315431</v>
      </c>
      <c r="BM72" s="2">
        <f t="shared" si="23"/>
        <v>0</v>
      </c>
      <c r="BN72" s="2">
        <f>BI72/SUMIFS(BI$3:BI$623,$BC$3:$BC$623,1,$G$3:$G$623,$G72)</f>
        <v>4.8108890306974413E-2</v>
      </c>
      <c r="BO72" s="2">
        <f>BJ72/SUMIFS(BJ$3:BJ$623,$BC$3:$BC$623,1,$G$3:$G$623,$G72)</f>
        <v>5.5998537809202151E-2</v>
      </c>
      <c r="BP72" s="2">
        <f>BK72/SUMIFS(BK$3:BK$623,$BC$3:$BC$623,1,$G$3:$G$623,$G72)</f>
        <v>5.1536642380503143E-2</v>
      </c>
      <c r="BQ72" s="2">
        <f>BL72</f>
        <v>0.43140939597315431</v>
      </c>
      <c r="BR72" s="2">
        <f>BM72</f>
        <v>0</v>
      </c>
    </row>
    <row r="73" spans="1:70" hidden="1">
      <c r="A73" s="74">
        <v>0</v>
      </c>
      <c r="B73" s="73">
        <v>204536</v>
      </c>
      <c r="C73" s="73" t="s">
        <v>1277</v>
      </c>
      <c r="D73" s="73" t="s">
        <v>1145</v>
      </c>
      <c r="E73" s="73" t="s">
        <v>1278</v>
      </c>
      <c r="F73" s="73">
        <v>18658</v>
      </c>
      <c r="G73" s="73" t="s">
        <v>863</v>
      </c>
      <c r="H73" s="73" t="s">
        <v>939</v>
      </c>
      <c r="I73" s="73" t="s">
        <v>1012</v>
      </c>
      <c r="J73" s="73">
        <v>0</v>
      </c>
      <c r="K73" s="73">
        <v>7</v>
      </c>
      <c r="L73" s="73">
        <v>0</v>
      </c>
      <c r="M73" s="73">
        <v>0</v>
      </c>
      <c r="N73" s="73">
        <v>0</v>
      </c>
      <c r="O73" s="73" t="s">
        <v>994</v>
      </c>
      <c r="P73" s="73" t="s">
        <v>1279</v>
      </c>
      <c r="Q73" s="73" t="s">
        <v>1279</v>
      </c>
      <c r="R73" s="73">
        <v>0</v>
      </c>
      <c r="S73" s="73">
        <v>2</v>
      </c>
      <c r="T73" s="73">
        <v>0</v>
      </c>
      <c r="U73" s="73">
        <v>1</v>
      </c>
      <c r="V73" s="73">
        <v>961</v>
      </c>
      <c r="W73" s="73">
        <v>6</v>
      </c>
      <c r="X73" s="73">
        <v>3</v>
      </c>
      <c r="Y73" s="73">
        <v>0</v>
      </c>
      <c r="Z73" s="73" t="s">
        <v>1054</v>
      </c>
      <c r="AA73" s="73" t="s">
        <v>691</v>
      </c>
      <c r="AB73" s="73" t="str">
        <f>IF(AA73&lt;&gt;"",INDEX(Lookup!$N$2:$N$5,MATCH(Players!AA73,Lookup!$P$2:$P$5,0)),INDEX(Lookup!$N$2:$N$5,MATCH(Players!O73,Lookup!$O$2:$O$5,0)))</f>
        <v>Midfield</v>
      </c>
      <c r="AC73" s="73">
        <v>4000000</v>
      </c>
      <c r="AD73" s="73" t="s">
        <v>798</v>
      </c>
      <c r="AE73" s="73" t="str">
        <f>INDEX('Translate table'!$H$2:$H$622,MATCH(Players!P73,'Translate table'!$G$2:$G$622,0))</f>
        <v>Federico Bernardeschi</v>
      </c>
      <c r="AF73" s="73">
        <f>IFERROR(INDEX('Euro Qual stats'!$A$1:$L$2071,MATCH(Players!$AE73,'Euro Qual stats'!$A$1:$A$2071,0),MATCH(Players!AF$2,'Euro Qual stats'!$A$1:$L$1,0)),0)</f>
        <v>8</v>
      </c>
      <c r="AG73" s="73">
        <f>IFERROR(INDEX('Euro Qual stats'!$A$1:$L$2071,MATCH(Players!$AE73,'Euro Qual stats'!$A$1:$A$2071,0),MATCH(Players!AG$2,'Euro Qual stats'!$A$1:$L$1,0)),0)</f>
        <v>0.19</v>
      </c>
      <c r="AH73" s="73">
        <f>IFERROR(INDEX('Euro Qual stats'!$A$1:$L$2071,MATCH(Players!$AE73,'Euro Qual stats'!$A$1:$A$2071,0),MATCH(Players!AH$2,'Euro Qual stats'!$A$1:$L$1,0)),0)</f>
        <v>0.38</v>
      </c>
      <c r="AI73" s="73">
        <f>IFERROR(INDEX('Euro Qual stats'!$A$1:$L$2071,MATCH(Players!$AE73,'Euro Qual stats'!$A$1:$A$2071,0),MATCH(Players!AI$2,'Euro Qual stats'!$A$1:$L$1,0)),0)</f>
        <v>0.19</v>
      </c>
      <c r="AJ73" s="93">
        <f>(12-AF73)/12*INDEX(BV$9:BV$12,MATCH($AB73,$BU$9:$BU$12,0))+AF73/12*AG73</f>
        <v>0.18289703315881323</v>
      </c>
      <c r="AK73" s="93">
        <f>(12-AG73)/12*INDEX(BW$9:BW$12,MATCH($AB73,$BU$9:$BU$12,0))+AG73/12*AH73</f>
        <v>0.22588259162303664</v>
      </c>
      <c r="AL73" s="93">
        <f>(12-AH73)/12*INDEX(BX$9:BX$12,MATCH($AB73,$BU$9:$BU$12,0))+AH73/12*AI73</f>
        <v>0.23785898778359513</v>
      </c>
      <c r="AM73" s="93">
        <f>IF($BC73=1,AJ73/SUMIFS(AJ$3:AJ$623,$BC$3:$BC$623,1,$G$3:$G$623,$G73),0)</f>
        <v>0</v>
      </c>
      <c r="AN73" s="93">
        <f>IF($BC73=1,AK73/SUMIFS(AK$3:AK$623,$BC$3:$BC$623,1,$G$3:$G$623,$G73),0)</f>
        <v>0</v>
      </c>
      <c r="AO73" s="93">
        <f>IF($BC73=1,AL73/SUMIFS(AL$3:AL$623,$BC$3:$BC$623,1,$G$3:$G$623,$G73),0)</f>
        <v>0</v>
      </c>
      <c r="AP73" s="2">
        <f>IFERROR(R73/$V73*90,"")</f>
        <v>0</v>
      </c>
      <c r="AQ73" s="2">
        <f>IFERROR(S73/$V73*90,"")</f>
        <v>0.18730489073881376</v>
      </c>
      <c r="AR73" s="2">
        <f>IFERROR(W73/$V73*90,"")</f>
        <v>0.5619146722164412</v>
      </c>
      <c r="AS73" s="2">
        <f>IFERROR(X73/$V73*90,"")</f>
        <v>0.2809573361082206</v>
      </c>
      <c r="AT73" s="2">
        <f>IFERROR(Y73/$V73*90,"")</f>
        <v>0</v>
      </c>
      <c r="AU73" s="2">
        <f>IF(AP73="",INDEX(BV$4:BV$7,MATCH(O73,$BU$4:$BU$7,0)),AP73)</f>
        <v>0</v>
      </c>
      <c r="AV73" s="2">
        <f>IF(AQ73="",INDEX(BW$4:BW$7,MATCH($O73,$BU$4:$BU$7,0)),AQ73)</f>
        <v>0.18730489073881376</v>
      </c>
      <c r="AW73" s="2">
        <f t="shared" si="12"/>
        <v>0.5619146722164412</v>
      </c>
      <c r="AX73" s="2">
        <f t="shared" si="13"/>
        <v>0.2809573361082206</v>
      </c>
      <c r="AY73" s="2">
        <f t="shared" si="14"/>
        <v>0</v>
      </c>
      <c r="AZ73" s="2">
        <f>AU73*0.5+AK73*0.5</f>
        <v>0.11294129581151832</v>
      </c>
      <c r="BA73" s="2">
        <f>AV73*0.5+AJ73*0.5</f>
        <v>0.18510096194881348</v>
      </c>
      <c r="BB73" s="2">
        <f t="shared" si="15"/>
        <v>0.2354786680541103</v>
      </c>
      <c r="BC73">
        <f>IF(I73="expected",1,0)</f>
        <v>0</v>
      </c>
      <c r="BD73" s="78">
        <f>IF(BC73=1,AZ73/SUMIFS(AZ$3:AZ$623,$BC$3:$BC$623,1,$G$3:$G$623,$G73),0)</f>
        <v>0</v>
      </c>
      <c r="BE73" s="78">
        <f>IF(BC73=1,BA73/SUMIFS(BA$3:BA$623,$BC$3:$BC$623,1,$G$3:$G$623,$G73),0)</f>
        <v>0</v>
      </c>
      <c r="BF73" s="78">
        <f t="shared" si="16"/>
        <v>0</v>
      </c>
      <c r="BG73" s="2">
        <f t="shared" si="17"/>
        <v>0.2354786680541103</v>
      </c>
      <c r="BH73" s="2">
        <f t="shared" si="18"/>
        <v>0</v>
      </c>
      <c r="BI73" s="2">
        <f t="shared" si="19"/>
        <v>0</v>
      </c>
      <c r="BJ73" s="2">
        <f t="shared" si="20"/>
        <v>0</v>
      </c>
      <c r="BK73" s="2">
        <f t="shared" si="21"/>
        <v>0</v>
      </c>
      <c r="BL73" s="2">
        <f t="shared" si="22"/>
        <v>0.2354786680541103</v>
      </c>
      <c r="BM73" s="2">
        <f t="shared" si="23"/>
        <v>0</v>
      </c>
      <c r="BN73" s="2">
        <f>BI73/SUMIFS(BI$3:BI$623,$BC$3:$BC$623,1,$G$3:$G$623,$G73)</f>
        <v>0</v>
      </c>
      <c r="BO73" s="2">
        <f>BJ73/SUMIFS(BJ$3:BJ$623,$BC$3:$BC$623,1,$G$3:$G$623,$G73)</f>
        <v>0</v>
      </c>
      <c r="BP73" s="2">
        <f>BK73/SUMIFS(BK$3:BK$623,$BC$3:$BC$623,1,$G$3:$G$623,$G73)</f>
        <v>0</v>
      </c>
      <c r="BQ73" s="2">
        <f>BL73</f>
        <v>0.2354786680541103</v>
      </c>
      <c r="BR73" s="2">
        <f>BM73</f>
        <v>0</v>
      </c>
    </row>
    <row r="74" spans="1:70" hidden="1">
      <c r="A74" s="74">
        <v>0</v>
      </c>
      <c r="B74" s="73">
        <v>204526</v>
      </c>
      <c r="C74" s="73" t="s">
        <v>1280</v>
      </c>
      <c r="D74" s="73"/>
      <c r="E74" s="73" t="s">
        <v>286</v>
      </c>
      <c r="F74" s="73">
        <v>18658</v>
      </c>
      <c r="G74" s="73" t="s">
        <v>863</v>
      </c>
      <c r="H74" s="73" t="s">
        <v>939</v>
      </c>
      <c r="I74" s="73" t="s">
        <v>981</v>
      </c>
      <c r="J74" s="73">
        <v>0</v>
      </c>
      <c r="K74" s="73">
        <v>7</v>
      </c>
      <c r="L74" s="73">
        <v>0</v>
      </c>
      <c r="M74" s="73">
        <v>0</v>
      </c>
      <c r="N74" s="73">
        <v>0</v>
      </c>
      <c r="O74" s="73" t="s">
        <v>994</v>
      </c>
      <c r="P74" s="73" t="s">
        <v>286</v>
      </c>
      <c r="Q74" s="73" t="s">
        <v>286</v>
      </c>
      <c r="R74" s="73">
        <v>7</v>
      </c>
      <c r="S74" s="73">
        <v>1</v>
      </c>
      <c r="T74" s="73">
        <v>0</v>
      </c>
      <c r="U74" s="73">
        <v>11</v>
      </c>
      <c r="V74" s="73">
        <v>2014</v>
      </c>
      <c r="W74" s="73">
        <v>9</v>
      </c>
      <c r="X74" s="73">
        <v>2</v>
      </c>
      <c r="Y74" s="73">
        <v>0</v>
      </c>
      <c r="Z74" s="73" t="s">
        <v>1054</v>
      </c>
      <c r="AA74" s="73" t="s">
        <v>691</v>
      </c>
      <c r="AB74" s="73" t="str">
        <f>IF(AA74&lt;&gt;"",INDEX(Lookup!$N$2:$N$5,MATCH(Players!AA74,Lookup!$P$2:$P$5,0)),INDEX(Lookup!$N$2:$N$5,MATCH(Players!O74,Lookup!$O$2:$O$5,0)))</f>
        <v>Midfield</v>
      </c>
      <c r="AC74" s="73">
        <v>4000000</v>
      </c>
      <c r="AD74" s="73" t="s">
        <v>809</v>
      </c>
      <c r="AE74" s="73" t="str">
        <f>INDEX('Translate table'!$H$2:$H$622,MATCH(Players!P74,'Translate table'!$G$2:$G$622,0))</f>
        <v>Jorginho</v>
      </c>
      <c r="AF74" s="73">
        <f>IFERROR(INDEX('Euro Qual stats'!$A$1:$L$2071,MATCH(Players!$AE74,'Euro Qual stats'!$A$1:$A$2071,0),MATCH(Players!AF$2,'Euro Qual stats'!$A$1:$L$1,0)),0)</f>
        <v>9</v>
      </c>
      <c r="AG74" s="73">
        <f>IFERROR(INDEX('Euro Qual stats'!$A$1:$L$2071,MATCH(Players!$AE74,'Euro Qual stats'!$A$1:$A$2071,0),MATCH(Players!AG$2,'Euro Qual stats'!$A$1:$L$1,0)),0)</f>
        <v>0.12</v>
      </c>
      <c r="AH74" s="73">
        <f>IFERROR(INDEX('Euro Qual stats'!$A$1:$L$2071,MATCH(Players!$AE74,'Euro Qual stats'!$A$1:$A$2071,0),MATCH(Players!AH$2,'Euro Qual stats'!$A$1:$L$1,0)),0)</f>
        <v>0.35</v>
      </c>
      <c r="AI74" s="73">
        <f>IFERROR(INDEX('Euro Qual stats'!$A$1:$L$2071,MATCH(Players!$AE74,'Euro Qual stats'!$A$1:$A$2071,0),MATCH(Players!AI$2,'Euro Qual stats'!$A$1:$L$1,0)),0)</f>
        <v>0.23</v>
      </c>
      <c r="AJ74" s="93">
        <f>(12-AF74)/12*INDEX(BV$9:BV$12,MATCH($AB74,$BU$9:$BU$12,0))+AF74/12*AG74</f>
        <v>0.13217277486910994</v>
      </c>
      <c r="AK74" s="93">
        <f>(12-AG74)/12*INDEX(BW$9:BW$12,MATCH($AB74,$BU$9:$BU$12,0))+AG74/12*AH74</f>
        <v>0.224669109947644</v>
      </c>
      <c r="AL74" s="93">
        <f>(12-AH74)/12*INDEX(BX$9:BX$12,MATCH($AB74,$BU$9:$BU$12,0))+AH74/12*AI74</f>
        <v>0.23914921465968589</v>
      </c>
      <c r="AM74" s="93">
        <f>IF($BC74=1,AJ74/SUMIFS(AJ$3:AJ$623,$BC$3:$BC$623,1,$G$3:$G$623,$G74),0)</f>
        <v>6.497109481972041E-2</v>
      </c>
      <c r="AN74" s="93">
        <f>IF($BC74=1,AK74/SUMIFS(AK$3:AK$623,$BC$3:$BC$623,1,$G$3:$G$623,$G74),0)</f>
        <v>9.3764599989403313E-2</v>
      </c>
      <c r="AO74" s="93">
        <f>IF($BC74=1,AL74/SUMIFS(AL$3:AL$623,$BC$3:$BC$623,1,$G$3:$G$623,$G74),0)</f>
        <v>0.11778863311077588</v>
      </c>
      <c r="AP74" s="2">
        <f>IFERROR(R74/$V74*90,"")</f>
        <v>0.3128103277060576</v>
      </c>
      <c r="AQ74" s="2">
        <f>IFERROR(S74/$V74*90,"")</f>
        <v>4.4687189672293938E-2</v>
      </c>
      <c r="AR74" s="2">
        <f>IFERROR(W74/$V74*90,"")</f>
        <v>0.40218470705064552</v>
      </c>
      <c r="AS74" s="2">
        <f>IFERROR(X74/$V74*90,"")</f>
        <v>8.9374379344587876E-2</v>
      </c>
      <c r="AT74" s="2">
        <f>IFERROR(Y74/$V74*90,"")</f>
        <v>0</v>
      </c>
      <c r="AU74" s="2">
        <f>IF(AP74="",INDEX(BV$4:BV$7,MATCH(O74,$BU$4:$BU$7,0)),AP74)</f>
        <v>0.3128103277060576</v>
      </c>
      <c r="AV74" s="2">
        <f>IF(AQ74="",INDEX(BW$4:BW$7,MATCH($O74,$BU$4:$BU$7,0)),AQ74)</f>
        <v>4.4687189672293938E-2</v>
      </c>
      <c r="AW74" s="2">
        <f t="shared" si="12"/>
        <v>0.40218470705064552</v>
      </c>
      <c r="AX74" s="2">
        <f t="shared" si="13"/>
        <v>8.9374379344587876E-2</v>
      </c>
      <c r="AY74" s="2">
        <f t="shared" si="14"/>
        <v>0</v>
      </c>
      <c r="AZ74" s="2">
        <f>AU74*0.5+AK74*0.5</f>
        <v>0.26873971882685077</v>
      </c>
      <c r="BA74" s="2">
        <f>AV74*0.5+AJ74*0.5</f>
        <v>8.8429982270701937E-2</v>
      </c>
      <c r="BB74" s="2">
        <f t="shared" si="15"/>
        <v>0.15968718967229395</v>
      </c>
      <c r="BC74">
        <f>IF(I74="expected",1,0)</f>
        <v>1</v>
      </c>
      <c r="BD74" s="78">
        <f>IF(BC74=1,AZ74/SUMIFS(AZ$3:AZ$623,$BC$3:$BC$623,1,$G$3:$G$623,$G74),0)</f>
        <v>0.11574384832182373</v>
      </c>
      <c r="BE74" s="78">
        <f>IF(BC74=1,BA74/SUMIFS(BA$3:BA$623,$BC$3:$BC$623,1,$G$3:$G$623,$G74),0)</f>
        <v>5.1827552297142268E-2</v>
      </c>
      <c r="BF74" s="78">
        <f t="shared" si="16"/>
        <v>6.8630225851295648E-2</v>
      </c>
      <c r="BG74" s="2">
        <f t="shared" si="17"/>
        <v>0.15968718967229395</v>
      </c>
      <c r="BH74" s="2">
        <f t="shared" si="18"/>
        <v>0</v>
      </c>
      <c r="BI74" s="2">
        <f t="shared" si="19"/>
        <v>0.11574384832182373</v>
      </c>
      <c r="BJ74" s="2">
        <f t="shared" si="20"/>
        <v>5.1827552297142268E-2</v>
      </c>
      <c r="BK74" s="2">
        <f t="shared" si="21"/>
        <v>6.8630225851295648E-2</v>
      </c>
      <c r="BL74" s="2">
        <f t="shared" si="22"/>
        <v>0.15968718967229395</v>
      </c>
      <c r="BM74" s="2">
        <f t="shared" si="23"/>
        <v>0</v>
      </c>
      <c r="BN74" s="2">
        <f>BI74/SUMIFS(BI$3:BI$623,$BC$3:$BC$623,1,$G$3:$G$623,$G74)</f>
        <v>0.11574384832182373</v>
      </c>
      <c r="BO74" s="2">
        <f>BJ74/SUMIFS(BJ$3:BJ$623,$BC$3:$BC$623,1,$G$3:$G$623,$G74)</f>
        <v>5.1827552297142268E-2</v>
      </c>
      <c r="BP74" s="2">
        <f>BK74/SUMIFS(BK$3:BK$623,$BC$3:$BC$623,1,$G$3:$G$623,$G74)</f>
        <v>6.8630225851295648E-2</v>
      </c>
      <c r="BQ74" s="2">
        <f>BL74</f>
        <v>0.15968718967229395</v>
      </c>
      <c r="BR74" s="2">
        <f>BM74</f>
        <v>0</v>
      </c>
    </row>
    <row r="75" spans="1:70" hidden="1">
      <c r="A75" s="74">
        <v>0</v>
      </c>
      <c r="B75" s="73">
        <v>204519</v>
      </c>
      <c r="C75" s="73" t="s">
        <v>1281</v>
      </c>
      <c r="D75" s="73" t="s">
        <v>1282</v>
      </c>
      <c r="E75" s="73" t="s">
        <v>1283</v>
      </c>
      <c r="F75" s="73">
        <v>18658</v>
      </c>
      <c r="G75" s="73" t="s">
        <v>863</v>
      </c>
      <c r="H75" s="73" t="s">
        <v>939</v>
      </c>
      <c r="I75" s="73" t="s">
        <v>981</v>
      </c>
      <c r="J75" s="73">
        <v>0</v>
      </c>
      <c r="K75" s="73">
        <v>7</v>
      </c>
      <c r="L75" s="73">
        <v>0</v>
      </c>
      <c r="M75" s="73">
        <v>0</v>
      </c>
      <c r="N75" s="73">
        <v>0</v>
      </c>
      <c r="O75" s="73" t="s">
        <v>994</v>
      </c>
      <c r="P75" s="73" t="s">
        <v>1284</v>
      </c>
      <c r="Q75" s="73" t="s">
        <v>1285</v>
      </c>
      <c r="R75" s="73">
        <v>3</v>
      </c>
      <c r="S75" s="73">
        <v>7</v>
      </c>
      <c r="T75" s="73">
        <v>0</v>
      </c>
      <c r="U75" s="73">
        <v>7</v>
      </c>
      <c r="V75" s="73">
        <v>2900</v>
      </c>
      <c r="W75" s="73">
        <v>8</v>
      </c>
      <c r="X75" s="73">
        <v>5</v>
      </c>
      <c r="Y75" s="73">
        <v>0</v>
      </c>
      <c r="Z75" s="73" t="s">
        <v>1054</v>
      </c>
      <c r="AA75" s="73" t="s">
        <v>691</v>
      </c>
      <c r="AB75" s="73" t="str">
        <f>IF(AA75&lt;&gt;"",INDEX(Lookup!$N$2:$N$5,MATCH(Players!AA75,Lookup!$P$2:$P$5,0)),INDEX(Lookup!$N$2:$N$5,MATCH(Players!O75,Lookup!$O$2:$O$5,0)))</f>
        <v>Midfield</v>
      </c>
      <c r="AC75" s="73">
        <v>4000000</v>
      </c>
      <c r="AD75" s="73" t="s">
        <v>1286</v>
      </c>
      <c r="AE75" s="73" t="str">
        <f>INDEX('Translate table'!$H$2:$H$622,MATCH(Players!P75,'Translate table'!$G$2:$G$622,0))</f>
        <v>NicolÃ² Barella</v>
      </c>
      <c r="AF75" s="73">
        <f>IFERROR(INDEX('Euro Qual stats'!$A$1:$L$2071,MATCH(Players!$AE75,'Euro Qual stats'!$A$1:$A$2071,0),MATCH(Players!AF$2,'Euro Qual stats'!$A$1:$L$1,0)),0)</f>
        <v>8</v>
      </c>
      <c r="AG75" s="73">
        <f>IFERROR(INDEX('Euro Qual stats'!$A$1:$L$2071,MATCH(Players!$AE75,'Euro Qual stats'!$A$1:$A$2071,0),MATCH(Players!AG$2,'Euro Qual stats'!$A$1:$L$1,0)),0)</f>
        <v>0.28000000000000003</v>
      </c>
      <c r="AH75" s="73">
        <f>IFERROR(INDEX('Euro Qual stats'!$A$1:$L$2071,MATCH(Players!$AE75,'Euro Qual stats'!$A$1:$A$2071,0),MATCH(Players!AH$2,'Euro Qual stats'!$A$1:$L$1,0)),0)</f>
        <v>0.41</v>
      </c>
      <c r="AI75" s="73">
        <f>IFERROR(INDEX('Euro Qual stats'!$A$1:$L$2071,MATCH(Players!$AE75,'Euro Qual stats'!$A$1:$A$2071,0),MATCH(Players!AI$2,'Euro Qual stats'!$A$1:$L$1,0)),0)</f>
        <v>0.14000000000000001</v>
      </c>
      <c r="AJ75" s="93">
        <f>(12-AF75)/12*INDEX(BV$9:BV$12,MATCH($AB75,$BU$9:$BU$12,0))+AF75/12*AG75</f>
        <v>0.24289703315881328</v>
      </c>
      <c r="AK75" s="93">
        <f>(12-AG75)/12*INDEX(BW$9:BW$12,MATCH($AB75,$BU$9:$BU$12,0))+AG75/12*AH75</f>
        <v>0.22775706806282722</v>
      </c>
      <c r="AL75" s="93">
        <f>(12-AH75)/12*INDEX(BX$9:BX$12,MATCH($AB75,$BU$9:$BU$12,0))+AH75/12*AI75</f>
        <v>0.23602709424083773</v>
      </c>
      <c r="AM75" s="93">
        <f>IF($BC75=1,AJ75/SUMIFS(AJ$3:AJ$623,$BC$3:$BC$623,1,$G$3:$G$623,$G75),0)</f>
        <v>0.11939891697377288</v>
      </c>
      <c r="AN75" s="93">
        <f>IF($BC75=1,AK75/SUMIFS(AK$3:AK$623,$BC$3:$BC$623,1,$G$3:$G$623,$G75),0)</f>
        <v>9.5053344835197465E-2</v>
      </c>
      <c r="AO75" s="93">
        <f>IF($BC75=1,AL75/SUMIFS(AL$3:AL$623,$BC$3:$BC$623,1,$G$3:$G$623,$G75),0)</f>
        <v>0.11625088899956613</v>
      </c>
      <c r="AP75" s="2">
        <f>IFERROR(R75/$V75*90,"")</f>
        <v>9.3103448275862075E-2</v>
      </c>
      <c r="AQ75" s="2">
        <f>IFERROR(S75/$V75*90,"")</f>
        <v>0.21724137931034485</v>
      </c>
      <c r="AR75" s="2">
        <f>IFERROR(W75/$V75*90,"")</f>
        <v>0.24827586206896549</v>
      </c>
      <c r="AS75" s="2">
        <f>IFERROR(X75/$V75*90,"")</f>
        <v>0.15517241379310345</v>
      </c>
      <c r="AT75" s="2">
        <f>IFERROR(Y75/$V75*90,"")</f>
        <v>0</v>
      </c>
      <c r="AU75" s="2">
        <f>IF(AP75="",INDEX(BV$4:BV$7,MATCH(O75,$BU$4:$BU$7,0)),AP75)</f>
        <v>9.3103448275862075E-2</v>
      </c>
      <c r="AV75" s="2">
        <f>IF(AQ75="",INDEX(BW$4:BW$7,MATCH($O75,$BU$4:$BU$7,0)),AQ75)</f>
        <v>0.21724137931034485</v>
      </c>
      <c r="AW75" s="2">
        <f t="shared" si="12"/>
        <v>0.24827586206896549</v>
      </c>
      <c r="AX75" s="2">
        <f t="shared" si="13"/>
        <v>0.15517241379310345</v>
      </c>
      <c r="AY75" s="2">
        <f t="shared" si="14"/>
        <v>0</v>
      </c>
      <c r="AZ75" s="2">
        <f>AU75*0.5+AK75*0.5</f>
        <v>0.16043025816934464</v>
      </c>
      <c r="BA75" s="2">
        <f>AV75*0.5+AJ75*0.5</f>
        <v>0.23006920623457905</v>
      </c>
      <c r="BB75" s="2">
        <f t="shared" si="15"/>
        <v>0.14758620689655172</v>
      </c>
      <c r="BC75">
        <f>IF(I75="expected",1,0)</f>
        <v>1</v>
      </c>
      <c r="BD75" s="78">
        <f>IF(BC75=1,AZ75/SUMIFS(AZ$3:AZ$623,$BC$3:$BC$623,1,$G$3:$G$623,$G75),0)</f>
        <v>6.9095910157394899E-2</v>
      </c>
      <c r="BE75" s="78">
        <f>IF(BC75=1,BA75/SUMIFS(BA$3:BA$623,$BC$3:$BC$623,1,$G$3:$G$623,$G75),0)</f>
        <v>0.13484028280796359</v>
      </c>
      <c r="BF75" s="78">
        <f t="shared" si="16"/>
        <v>4.2366674287972229E-2</v>
      </c>
      <c r="BG75" s="2">
        <f t="shared" si="17"/>
        <v>0.14758620689655172</v>
      </c>
      <c r="BH75" s="2">
        <f t="shared" si="18"/>
        <v>0</v>
      </c>
      <c r="BI75" s="2">
        <f t="shared" si="19"/>
        <v>6.9095910157394899E-2</v>
      </c>
      <c r="BJ75" s="2">
        <f t="shared" si="20"/>
        <v>0.13484028280796359</v>
      </c>
      <c r="BK75" s="2">
        <f t="shared" si="21"/>
        <v>4.2366674287972229E-2</v>
      </c>
      <c r="BL75" s="2">
        <f t="shared" si="22"/>
        <v>0.14758620689655172</v>
      </c>
      <c r="BM75" s="2">
        <f t="shared" si="23"/>
        <v>0</v>
      </c>
      <c r="BN75" s="2">
        <f>BI75/SUMIFS(BI$3:BI$623,$BC$3:$BC$623,1,$G$3:$G$623,$G75)</f>
        <v>6.9095910157394899E-2</v>
      </c>
      <c r="BO75" s="2">
        <f>BJ75/SUMIFS(BJ$3:BJ$623,$BC$3:$BC$623,1,$G$3:$G$623,$G75)</f>
        <v>0.13484028280796359</v>
      </c>
      <c r="BP75" s="2">
        <f>BK75/SUMIFS(BK$3:BK$623,$BC$3:$BC$623,1,$G$3:$G$623,$G75)</f>
        <v>4.2366674287972229E-2</v>
      </c>
      <c r="BQ75" s="2">
        <f>BL75</f>
        <v>0.14758620689655172</v>
      </c>
      <c r="BR75" s="2">
        <f>BM75</f>
        <v>0</v>
      </c>
    </row>
    <row r="76" spans="1:70" hidden="1">
      <c r="A76" s="74">
        <v>0</v>
      </c>
      <c r="B76" s="73">
        <v>204541</v>
      </c>
      <c r="C76" s="73" t="s">
        <v>1287</v>
      </c>
      <c r="D76" s="73" t="s">
        <v>1288</v>
      </c>
      <c r="E76" s="73" t="s">
        <v>1289</v>
      </c>
      <c r="F76" s="73">
        <v>18743</v>
      </c>
      <c r="G76" s="73" t="s">
        <v>871</v>
      </c>
      <c r="H76" s="73" t="s">
        <v>945</v>
      </c>
      <c r="I76" s="73" t="s">
        <v>981</v>
      </c>
      <c r="J76" s="73">
        <v>0</v>
      </c>
      <c r="K76" s="73">
        <v>7</v>
      </c>
      <c r="L76" s="73">
        <v>0</v>
      </c>
      <c r="M76" s="73">
        <v>0</v>
      </c>
      <c r="N76" s="73">
        <v>0</v>
      </c>
      <c r="O76" s="73" t="s">
        <v>1290</v>
      </c>
      <c r="P76" s="73" t="s">
        <v>1291</v>
      </c>
      <c r="Q76" s="73" t="s">
        <v>1291</v>
      </c>
      <c r="R76" s="73">
        <v>0</v>
      </c>
      <c r="S76" s="73">
        <v>0</v>
      </c>
      <c r="T76" s="73">
        <v>90</v>
      </c>
      <c r="U76" s="73">
        <v>17</v>
      </c>
      <c r="V76" s="73">
        <v>3420</v>
      </c>
      <c r="W76" s="73">
        <v>0</v>
      </c>
      <c r="X76" s="73">
        <v>0</v>
      </c>
      <c r="Y76" s="73">
        <v>0</v>
      </c>
      <c r="Z76" s="73" t="s">
        <v>995</v>
      </c>
      <c r="AA76" s="73" t="s">
        <v>690</v>
      </c>
      <c r="AB76" s="73" t="str">
        <f>IF(AA76&lt;&gt;"",INDEX(Lookup!$N$2:$N$5,MATCH(Players!AA76,Lookup!$P$2:$P$5,0)),INDEX(Lookup!$N$2:$N$5,MATCH(Players!O76,Lookup!$O$2:$O$5,0)))</f>
        <v>Goalkeeper</v>
      </c>
      <c r="AC76" s="73">
        <v>6000000</v>
      </c>
      <c r="AD76" s="73" t="s">
        <v>817</v>
      </c>
      <c r="AE76" s="73" t="str">
        <f>INDEX('Translate table'!$H$2:$H$622,MATCH(Players!P76,'Translate table'!$G$2:$G$622,0))</f>
        <v>Thibaut Courtois</v>
      </c>
      <c r="AF76" s="73">
        <f>IFERROR(INDEX('Euro Qual stats'!$A$1:$L$2071,MATCH(Players!$AE76,'Euro Qual stats'!$A$1:$A$2071,0),MATCH(Players!AF$2,'Euro Qual stats'!$A$1:$L$1,0)),0)</f>
        <v>9</v>
      </c>
      <c r="AG76" s="73">
        <f>IFERROR(INDEX('Euro Qual stats'!$A$1:$L$2071,MATCH(Players!$AE76,'Euro Qual stats'!$A$1:$A$2071,0),MATCH(Players!AG$2,'Euro Qual stats'!$A$1:$L$1,0)),0)</f>
        <v>0</v>
      </c>
      <c r="AH76" s="73">
        <f>IFERROR(INDEX('Euro Qual stats'!$A$1:$L$2071,MATCH(Players!$AE76,'Euro Qual stats'!$A$1:$A$2071,0),MATCH(Players!AH$2,'Euro Qual stats'!$A$1:$L$1,0)),0)</f>
        <v>0</v>
      </c>
      <c r="AI76" s="73">
        <f>IFERROR(INDEX('Euro Qual stats'!$A$1:$L$2071,MATCH(Players!$AE76,'Euro Qual stats'!$A$1:$A$2071,0),MATCH(Players!AI$2,'Euro Qual stats'!$A$1:$L$1,0)),0)</f>
        <v>0</v>
      </c>
      <c r="AJ76" s="93">
        <f>(12-AF76)/12*INDEX(BV$9:BV$12,MATCH($AB76,$BU$9:$BU$12,0))+AF76/12*AG76</f>
        <v>0</v>
      </c>
      <c r="AK76" s="93">
        <f>(12-AG76)/12*INDEX(BW$9:BW$12,MATCH($AB76,$BU$9:$BU$12,0))+AG76/12*AH76</f>
        <v>0</v>
      </c>
      <c r="AL76" s="93">
        <f>(12-AH76)/12*INDEX(BX$9:BX$12,MATCH($AB76,$BU$9:$BU$12,0))+AH76/12*AI76</f>
        <v>0</v>
      </c>
      <c r="AM76" s="93">
        <f>IF($BC76=1,AJ76/SUMIFS(AJ$3:AJ$623,$BC$3:$BC$623,1,$G$3:$G$623,$G76),0)</f>
        <v>0</v>
      </c>
      <c r="AN76" s="93">
        <f>IF($BC76=1,AK76/SUMIFS(AK$3:AK$623,$BC$3:$BC$623,1,$G$3:$G$623,$G76),0)</f>
        <v>0</v>
      </c>
      <c r="AO76" s="93">
        <f>IF($BC76=1,AL76/SUMIFS(AL$3:AL$623,$BC$3:$BC$623,1,$G$3:$G$623,$G76),0)</f>
        <v>0</v>
      </c>
      <c r="AP76" s="2">
        <f>IFERROR(R76/$V76*90,"")</f>
        <v>0</v>
      </c>
      <c r="AQ76" s="2">
        <f>IFERROR(S76/$V76*90,"")</f>
        <v>0</v>
      </c>
      <c r="AR76" s="2">
        <f>IFERROR(W76/$V76*90,"")</f>
        <v>0</v>
      </c>
      <c r="AS76" s="2">
        <f>IFERROR(X76/$V76*90,"")</f>
        <v>0</v>
      </c>
      <c r="AT76" s="2">
        <f>IFERROR(Y76/$V76*90,"")</f>
        <v>0</v>
      </c>
      <c r="AU76" s="2">
        <f>IF(AP76="",INDEX(BV$4:BV$7,MATCH(O76,$BU$4:$BU$7,0)),AP76)</f>
        <v>0</v>
      </c>
      <c r="AV76" s="2">
        <f>IF(AQ76="",INDEX(BW$4:BW$7,MATCH($O76,$BU$4:$BU$7,0)),AQ76)</f>
        <v>0</v>
      </c>
      <c r="AW76" s="2">
        <f t="shared" si="12"/>
        <v>0</v>
      </c>
      <c r="AX76" s="2">
        <f t="shared" si="13"/>
        <v>0</v>
      </c>
      <c r="AY76" s="2">
        <f t="shared" si="14"/>
        <v>0</v>
      </c>
      <c r="AZ76" s="2">
        <f>AU76*0.5+AK76*0.5</f>
        <v>0</v>
      </c>
      <c r="BA76" s="2">
        <f>AV76*0.5+AJ76*0.5</f>
        <v>0</v>
      </c>
      <c r="BB76" s="2">
        <f t="shared" si="15"/>
        <v>0</v>
      </c>
      <c r="BC76">
        <f>IF(I76="expected",1,0)</f>
        <v>1</v>
      </c>
      <c r="BD76" s="78">
        <f>IF(BC76=1,AZ76/SUMIFS(AZ$3:AZ$623,$BC$3:$BC$623,1,$G$3:$G$623,$G76),0)</f>
        <v>0</v>
      </c>
      <c r="BE76" s="78">
        <f>IF(BC76=1,BA76/SUMIFS(BA$3:BA$623,$BC$3:$BC$623,1,$G$3:$G$623,$G76),0)</f>
        <v>0</v>
      </c>
      <c r="BF76" s="78">
        <f t="shared" si="16"/>
        <v>0</v>
      </c>
      <c r="BG76" s="2">
        <f t="shared" si="17"/>
        <v>0</v>
      </c>
      <c r="BH76" s="2">
        <f t="shared" si="18"/>
        <v>0</v>
      </c>
      <c r="BI76" s="2">
        <f t="shared" si="19"/>
        <v>0</v>
      </c>
      <c r="BJ76" s="2">
        <f t="shared" si="20"/>
        <v>0</v>
      </c>
      <c r="BK76" s="2">
        <f t="shared" si="21"/>
        <v>0</v>
      </c>
      <c r="BL76" s="2">
        <f t="shared" si="22"/>
        <v>0</v>
      </c>
      <c r="BM76" s="2">
        <f t="shared" si="23"/>
        <v>0</v>
      </c>
      <c r="BN76" s="2">
        <f>BI76/SUMIFS(BI$3:BI$623,$BC$3:$BC$623,1,$G$3:$G$623,$G76)</f>
        <v>0</v>
      </c>
      <c r="BO76" s="2">
        <f>BJ76/SUMIFS(BJ$3:BJ$623,$BC$3:$BC$623,1,$G$3:$G$623,$G76)</f>
        <v>0</v>
      </c>
      <c r="BP76" s="2">
        <f>BK76/SUMIFS(BK$3:BK$623,$BC$3:$BC$623,1,$G$3:$G$623,$G76)</f>
        <v>0</v>
      </c>
      <c r="BQ76" s="2">
        <f>BL76</f>
        <v>0</v>
      </c>
      <c r="BR76" s="2">
        <f>BM76</f>
        <v>0</v>
      </c>
    </row>
    <row r="77" spans="1:70" hidden="1">
      <c r="A77" s="74">
        <v>0</v>
      </c>
      <c r="B77" s="73">
        <v>220772</v>
      </c>
      <c r="C77" s="73" t="s">
        <v>1292</v>
      </c>
      <c r="D77" s="73" t="s">
        <v>1293</v>
      </c>
      <c r="E77" s="73" t="s">
        <v>1294</v>
      </c>
      <c r="F77" s="73">
        <v>18743</v>
      </c>
      <c r="G77" s="73" t="s">
        <v>871</v>
      </c>
      <c r="H77" s="73" t="s">
        <v>945</v>
      </c>
      <c r="I77" s="73" t="s">
        <v>1012</v>
      </c>
      <c r="J77" s="73">
        <v>0</v>
      </c>
      <c r="K77" s="73">
        <v>7</v>
      </c>
      <c r="L77" s="73">
        <v>0</v>
      </c>
      <c r="M77" s="73">
        <v>0</v>
      </c>
      <c r="N77" s="73">
        <v>0</v>
      </c>
      <c r="O77" s="73" t="s">
        <v>994</v>
      </c>
      <c r="P77" s="73" t="s">
        <v>1295</v>
      </c>
      <c r="Q77" s="73" t="s">
        <v>1295</v>
      </c>
      <c r="R77" s="73">
        <v>0</v>
      </c>
      <c r="S77" s="73">
        <v>0</v>
      </c>
      <c r="T77" s="73">
        <v>0</v>
      </c>
      <c r="U77" s="73">
        <v>4</v>
      </c>
      <c r="V77" s="73">
        <v>1130</v>
      </c>
      <c r="W77" s="73">
        <v>2</v>
      </c>
      <c r="X77" s="73">
        <v>4</v>
      </c>
      <c r="Y77" s="73">
        <v>0</v>
      </c>
      <c r="Z77" s="73" t="s">
        <v>995</v>
      </c>
      <c r="AA77" s="73" t="s">
        <v>691</v>
      </c>
      <c r="AB77" s="73" t="str">
        <f>IF(AA77&lt;&gt;"",INDEX(Lookup!$N$2:$N$5,MATCH(Players!AA77,Lookup!$P$2:$P$5,0)),INDEX(Lookup!$N$2:$N$5,MATCH(Players!O77,Lookup!$O$2:$O$5,0)))</f>
        <v>Midfield</v>
      </c>
      <c r="AC77" s="73">
        <v>2500000</v>
      </c>
      <c r="AD77" s="73" t="s">
        <v>1272</v>
      </c>
      <c r="AE77" s="73" t="str">
        <f>INDEX('Translate table'!$H$2:$H$622,MATCH(Players!P77,'Translate table'!$G$2:$G$622,0))</f>
        <v>Axel Witsel</v>
      </c>
      <c r="AF77" s="73">
        <f>IFERROR(INDEX('Euro Qual stats'!$A$1:$L$2071,MATCH(Players!$AE77,'Euro Qual stats'!$A$1:$A$2071,0),MATCH(Players!AF$2,'Euro Qual stats'!$A$1:$L$1,0)),0)</f>
        <v>4</v>
      </c>
      <c r="AG77" s="73">
        <f>IFERROR(INDEX('Euro Qual stats'!$A$1:$L$2071,MATCH(Players!$AE77,'Euro Qual stats'!$A$1:$A$2071,0),MATCH(Players!AG$2,'Euro Qual stats'!$A$1:$L$1,0)),0)</f>
        <v>0</v>
      </c>
      <c r="AH77" s="73">
        <f>IFERROR(INDEX('Euro Qual stats'!$A$1:$L$2071,MATCH(Players!$AE77,'Euro Qual stats'!$A$1:$A$2071,0),MATCH(Players!AH$2,'Euro Qual stats'!$A$1:$L$1,0)),0)</f>
        <v>0</v>
      </c>
      <c r="AI77" s="73">
        <f>IFERROR(INDEX('Euro Qual stats'!$A$1:$L$2071,MATCH(Players!$AE77,'Euro Qual stats'!$A$1:$A$2071,0),MATCH(Players!AI$2,'Euro Qual stats'!$A$1:$L$1,0)),0)</f>
        <v>0.25</v>
      </c>
      <c r="AJ77" s="93">
        <f>(12-AF77)/12*INDEX(BV$9:BV$12,MATCH($AB77,$BU$9:$BU$12,0))+AF77/12*AG77</f>
        <v>0.11246073298429318</v>
      </c>
      <c r="AK77" s="93">
        <f>(12-AG77)/12*INDEX(BW$9:BW$12,MATCH($AB77,$BU$9:$BU$12,0))+AG77/12*AH77</f>
        <v>0.22340314136125652</v>
      </c>
      <c r="AL77" s="93">
        <f>(12-AH77)/12*INDEX(BX$9:BX$12,MATCH($AB77,$BU$9:$BU$12,0))+AH77/12*AI77</f>
        <v>0.23942408376963353</v>
      </c>
      <c r="AM77" s="93">
        <f>IF($BC77=1,AJ77/SUMIFS(AJ$3:AJ$623,$BC$3:$BC$623,1,$G$3:$G$623,$G77),0)</f>
        <v>0</v>
      </c>
      <c r="AN77" s="93">
        <f>IF($BC77=1,AK77/SUMIFS(AK$3:AK$623,$BC$3:$BC$623,1,$G$3:$G$623,$G77),0)</f>
        <v>0</v>
      </c>
      <c r="AO77" s="93">
        <f>IF($BC77=1,AL77/SUMIFS(AL$3:AL$623,$BC$3:$BC$623,1,$G$3:$G$623,$G77),0)</f>
        <v>0</v>
      </c>
      <c r="AP77" s="2">
        <f>IFERROR(R77/$V77*90,"")</f>
        <v>0</v>
      </c>
      <c r="AQ77" s="2">
        <f>IFERROR(S77/$V77*90,"")</f>
        <v>0</v>
      </c>
      <c r="AR77" s="2">
        <f>IFERROR(W77/$V77*90,"")</f>
        <v>0.15929203539823009</v>
      </c>
      <c r="AS77" s="2">
        <f>IFERROR(X77/$V77*90,"")</f>
        <v>0.31858407079646017</v>
      </c>
      <c r="AT77" s="2">
        <f>IFERROR(Y77/$V77*90,"")</f>
        <v>0</v>
      </c>
      <c r="AU77" s="2">
        <f>IF(AP77="",INDEX(BV$4:BV$7,MATCH(O77,$BU$4:$BU$7,0)),AP77)</f>
        <v>0</v>
      </c>
      <c r="AV77" s="2">
        <f>IF(AQ77="",INDEX(BW$4:BW$7,MATCH($O77,$BU$4:$BU$7,0)),AQ77)</f>
        <v>0</v>
      </c>
      <c r="AW77" s="2">
        <f t="shared" si="12"/>
        <v>0.15929203539823009</v>
      </c>
      <c r="AX77" s="2">
        <f t="shared" si="13"/>
        <v>0.31858407079646017</v>
      </c>
      <c r="AY77" s="2">
        <f t="shared" si="14"/>
        <v>0</v>
      </c>
      <c r="AZ77" s="2">
        <f>AU77*0.5+AK77*0.5</f>
        <v>0.11170157068062826</v>
      </c>
      <c r="BA77" s="2">
        <f>AV77*0.5+AJ77*0.5</f>
        <v>5.6230366492146591E-2</v>
      </c>
      <c r="BB77" s="2">
        <f t="shared" si="15"/>
        <v>0.28429203539823011</v>
      </c>
      <c r="BC77">
        <f>IF(I77="expected",1,0)</f>
        <v>0</v>
      </c>
      <c r="BD77" s="78">
        <f>IF(BC77=1,AZ77/SUMIFS(AZ$3:AZ$623,$BC$3:$BC$623,1,$G$3:$G$623,$G77),0)</f>
        <v>0</v>
      </c>
      <c r="BE77" s="78">
        <f>IF(BC77=1,BA77/SUMIFS(BA$3:BA$623,$BC$3:$BC$623,1,$G$3:$G$623,$G77),0)</f>
        <v>0</v>
      </c>
      <c r="BF77" s="78">
        <f t="shared" si="16"/>
        <v>0</v>
      </c>
      <c r="BG77" s="2">
        <f t="shared" si="17"/>
        <v>0.28429203539823011</v>
      </c>
      <c r="BH77" s="2">
        <f t="shared" si="18"/>
        <v>0</v>
      </c>
      <c r="BI77" s="2">
        <f t="shared" si="19"/>
        <v>0</v>
      </c>
      <c r="BJ77" s="2">
        <f t="shared" si="20"/>
        <v>0</v>
      </c>
      <c r="BK77" s="2">
        <f t="shared" si="21"/>
        <v>0</v>
      </c>
      <c r="BL77" s="2">
        <f t="shared" si="22"/>
        <v>0.28429203539823011</v>
      </c>
      <c r="BM77" s="2">
        <f t="shared" si="23"/>
        <v>0</v>
      </c>
      <c r="BN77" s="2">
        <f>BI77/SUMIFS(BI$3:BI$623,$BC$3:$BC$623,1,$G$3:$G$623,$G77)</f>
        <v>0</v>
      </c>
      <c r="BO77" s="2">
        <f>BJ77/SUMIFS(BJ$3:BJ$623,$BC$3:$BC$623,1,$G$3:$G$623,$G77)</f>
        <v>0</v>
      </c>
      <c r="BP77" s="2">
        <f>BK77/SUMIFS(BK$3:BK$623,$BC$3:$BC$623,1,$G$3:$G$623,$G77)</f>
        <v>0</v>
      </c>
      <c r="BQ77" s="2">
        <f>BL77</f>
        <v>0.28429203539823011</v>
      </c>
      <c r="BR77" s="2">
        <f>BM77</f>
        <v>0</v>
      </c>
    </row>
    <row r="78" spans="1:70" hidden="1">
      <c r="A78" s="74">
        <v>0</v>
      </c>
      <c r="B78" s="73">
        <v>204545</v>
      </c>
      <c r="C78" s="73" t="s">
        <v>1296</v>
      </c>
      <c r="D78" s="73" t="s">
        <v>1297</v>
      </c>
      <c r="E78" s="73" t="s">
        <v>1298</v>
      </c>
      <c r="F78" s="73">
        <v>18743</v>
      </c>
      <c r="G78" s="73" t="s">
        <v>871</v>
      </c>
      <c r="H78" s="73" t="s">
        <v>945</v>
      </c>
      <c r="I78" s="73" t="s">
        <v>981</v>
      </c>
      <c r="J78" s="73">
        <v>0</v>
      </c>
      <c r="K78" s="73">
        <v>7</v>
      </c>
      <c r="L78" s="73">
        <v>0</v>
      </c>
      <c r="M78" s="73">
        <v>0</v>
      </c>
      <c r="N78" s="73">
        <v>0</v>
      </c>
      <c r="O78" s="73" t="s">
        <v>994</v>
      </c>
      <c r="P78" s="73" t="s">
        <v>210</v>
      </c>
      <c r="Q78" s="73" t="s">
        <v>210</v>
      </c>
      <c r="R78" s="73">
        <v>6</v>
      </c>
      <c r="S78" s="73">
        <v>4</v>
      </c>
      <c r="T78" s="73">
        <v>0</v>
      </c>
      <c r="U78" s="73">
        <v>11</v>
      </c>
      <c r="V78" s="73">
        <v>3358</v>
      </c>
      <c r="W78" s="73">
        <v>20</v>
      </c>
      <c r="X78" s="73">
        <v>6</v>
      </c>
      <c r="Y78" s="73">
        <v>0</v>
      </c>
      <c r="Z78" s="73" t="s">
        <v>995</v>
      </c>
      <c r="AA78" s="73" t="s">
        <v>691</v>
      </c>
      <c r="AB78" s="73" t="str">
        <f>IF(AA78&lt;&gt;"",INDEX(Lookup!$N$2:$N$5,MATCH(Players!AA78,Lookup!$P$2:$P$5,0)),INDEX(Lookup!$N$2:$N$5,MATCH(Players!O78,Lookup!$O$2:$O$5,0)))</f>
        <v>Midfield</v>
      </c>
      <c r="AC78" s="73">
        <v>5000000</v>
      </c>
      <c r="AD78" s="73" t="s">
        <v>1299</v>
      </c>
      <c r="AE78" s="73" t="str">
        <f>INDEX('Translate table'!$H$2:$H$622,MATCH(Players!P78,'Translate table'!$G$2:$G$622,0))</f>
        <v>Youri Tielemans</v>
      </c>
      <c r="AF78" s="73">
        <f>IFERROR(INDEX('Euro Qual stats'!$A$1:$L$2071,MATCH(Players!$AE78,'Euro Qual stats'!$A$1:$A$2071,0),MATCH(Players!AF$2,'Euro Qual stats'!$A$1:$L$1,0)),0)</f>
        <v>9</v>
      </c>
      <c r="AG78" s="73">
        <f>IFERROR(INDEX('Euro Qual stats'!$A$1:$L$2071,MATCH(Players!$AE78,'Euro Qual stats'!$A$1:$A$2071,0),MATCH(Players!AG$2,'Euro Qual stats'!$A$1:$L$1,0)),0)</f>
        <v>0.13</v>
      </c>
      <c r="AH78" s="73">
        <f>IFERROR(INDEX('Euro Qual stats'!$A$1:$L$2071,MATCH(Players!$AE78,'Euro Qual stats'!$A$1:$A$2071,0),MATCH(Players!AH$2,'Euro Qual stats'!$A$1:$L$1,0)),0)</f>
        <v>0.27</v>
      </c>
      <c r="AI78" s="73">
        <f>IFERROR(INDEX('Euro Qual stats'!$A$1:$L$2071,MATCH(Players!$AE78,'Euro Qual stats'!$A$1:$A$2071,0),MATCH(Players!AI$2,'Euro Qual stats'!$A$1:$L$1,0)),0)</f>
        <v>0</v>
      </c>
      <c r="AJ78" s="93">
        <f>(12-AF78)/12*INDEX(BV$9:BV$12,MATCH($AB78,$BU$9:$BU$12,0))+AF78/12*AG78</f>
        <v>0.13967277486910995</v>
      </c>
      <c r="AK78" s="93">
        <f>(12-AG78)/12*INDEX(BW$9:BW$12,MATCH($AB78,$BU$9:$BU$12,0))+AG78/12*AH78</f>
        <v>0.22390794066317626</v>
      </c>
      <c r="AL78" s="93">
        <f>(12-AH78)/12*INDEX(BX$9:BX$12,MATCH($AB78,$BU$9:$BU$12,0))+AH78/12*AI78</f>
        <v>0.23403704188481678</v>
      </c>
      <c r="AM78" s="93">
        <f>IF($BC78=1,AJ78/SUMIFS(AJ$3:AJ$623,$BC$3:$BC$623,1,$G$3:$G$623,$G78),0)</f>
        <v>6.0643167129398108E-2</v>
      </c>
      <c r="AN78" s="93">
        <f>IF($BC78=1,AK78/SUMIFS(AK$3:AK$623,$BC$3:$BC$623,1,$G$3:$G$623,$G78),0)</f>
        <v>8.9838162743637012E-2</v>
      </c>
      <c r="AO78" s="93">
        <f>IF($BC78=1,AL78/SUMIFS(AL$3:AL$623,$BC$3:$BC$623,1,$G$3:$G$623,$G78),0)</f>
        <v>0.11628785612691954</v>
      </c>
      <c r="AP78" s="2">
        <f>IFERROR(R78/$V78*90,"")</f>
        <v>0.16081000595592615</v>
      </c>
      <c r="AQ78" s="2">
        <f>IFERROR(S78/$V78*90,"")</f>
        <v>0.1072066706372841</v>
      </c>
      <c r="AR78" s="2">
        <f>IFERROR(W78/$V78*90,"")</f>
        <v>0.53603335318642054</v>
      </c>
      <c r="AS78" s="2">
        <f>IFERROR(X78/$V78*90,"")</f>
        <v>0.16081000595592615</v>
      </c>
      <c r="AT78" s="2">
        <f>IFERROR(Y78/$V78*90,"")</f>
        <v>0</v>
      </c>
      <c r="AU78" s="2">
        <f>IF(AP78="",INDEX(BV$4:BV$7,MATCH(O78,$BU$4:$BU$7,0)),AP78)</f>
        <v>0.16081000595592615</v>
      </c>
      <c r="AV78" s="2">
        <f>IF(AQ78="",INDEX(BW$4:BW$7,MATCH($O78,$BU$4:$BU$7,0)),AQ78)</f>
        <v>0.1072066706372841</v>
      </c>
      <c r="AW78" s="2">
        <f t="shared" si="12"/>
        <v>0.53603335318642054</v>
      </c>
      <c r="AX78" s="2">
        <f t="shared" si="13"/>
        <v>0.16081000595592615</v>
      </c>
      <c r="AY78" s="2">
        <f t="shared" si="14"/>
        <v>0</v>
      </c>
      <c r="AZ78" s="2">
        <f>AU78*0.5+AK78*0.5</f>
        <v>0.19235897330955121</v>
      </c>
      <c r="BA78" s="2">
        <f>AV78*0.5+AJ78*0.5</f>
        <v>0.12343972275319703</v>
      </c>
      <c r="BB78" s="2">
        <f t="shared" si="15"/>
        <v>8.0405002977963075E-2</v>
      </c>
      <c r="BC78">
        <f>IF(I78="expected",1,0)</f>
        <v>1</v>
      </c>
      <c r="BD78" s="78">
        <f>IF(BC78=1,AZ78/SUMIFS(AZ$3:AZ$623,$BC$3:$BC$623,1,$G$3:$G$623,$G78),0)</f>
        <v>7.7616022951157437E-2</v>
      </c>
      <c r="BE78" s="78">
        <f>IF(BC78=1,BA78/SUMIFS(BA$3:BA$623,$BC$3:$BC$623,1,$G$3:$G$623,$G78),0)</f>
        <v>5.62353152755748E-2</v>
      </c>
      <c r="BF78" s="78">
        <f t="shared" si="16"/>
        <v>7.9498295212598838E-2</v>
      </c>
      <c r="BG78" s="2">
        <f t="shared" si="17"/>
        <v>8.0405002977963075E-2</v>
      </c>
      <c r="BH78" s="2">
        <f t="shared" si="18"/>
        <v>0</v>
      </c>
      <c r="BI78" s="2">
        <f t="shared" si="19"/>
        <v>7.7616022951157437E-2</v>
      </c>
      <c r="BJ78" s="2">
        <f t="shared" si="20"/>
        <v>5.62353152755748E-2</v>
      </c>
      <c r="BK78" s="2">
        <f t="shared" si="21"/>
        <v>7.9498295212598838E-2</v>
      </c>
      <c r="BL78" s="2">
        <f t="shared" si="22"/>
        <v>8.0405002977963075E-2</v>
      </c>
      <c r="BM78" s="2">
        <f t="shared" si="23"/>
        <v>0</v>
      </c>
      <c r="BN78" s="2">
        <f>BI78/SUMIFS(BI$3:BI$623,$BC$3:$BC$623,1,$G$3:$G$623,$G78)</f>
        <v>7.7616022951157451E-2</v>
      </c>
      <c r="BO78" s="2">
        <f>BJ78/SUMIFS(BJ$3:BJ$623,$BC$3:$BC$623,1,$G$3:$G$623,$G78)</f>
        <v>5.6235315275574807E-2</v>
      </c>
      <c r="BP78" s="2">
        <f>BK78/SUMIFS(BK$3:BK$623,$BC$3:$BC$623,1,$G$3:$G$623,$G78)</f>
        <v>7.9498295212598824E-2</v>
      </c>
      <c r="BQ78" s="2">
        <f>BL78</f>
        <v>8.0405002977963075E-2</v>
      </c>
      <c r="BR78" s="2">
        <f>BM78</f>
        <v>0</v>
      </c>
    </row>
    <row r="79" spans="1:70" hidden="1">
      <c r="A79" s="74">
        <v>0</v>
      </c>
      <c r="B79" s="73">
        <v>204570</v>
      </c>
      <c r="C79" s="73" t="s">
        <v>1300</v>
      </c>
      <c r="D79" s="73" t="s">
        <v>1301</v>
      </c>
      <c r="E79" s="73" t="s">
        <v>1302</v>
      </c>
      <c r="F79" s="73">
        <v>18694</v>
      </c>
      <c r="G79" s="73" t="s">
        <v>876</v>
      </c>
      <c r="H79" s="73" t="s">
        <v>909</v>
      </c>
      <c r="I79" s="73" t="s">
        <v>981</v>
      </c>
      <c r="J79" s="73">
        <v>0</v>
      </c>
      <c r="K79" s="73">
        <v>7</v>
      </c>
      <c r="L79" s="73">
        <v>0</v>
      </c>
      <c r="M79" s="73">
        <v>0</v>
      </c>
      <c r="N79" s="73">
        <v>0</v>
      </c>
      <c r="O79" s="73" t="s">
        <v>994</v>
      </c>
      <c r="P79" s="73" t="s">
        <v>240</v>
      </c>
      <c r="Q79" s="73" t="s">
        <v>240</v>
      </c>
      <c r="R79" s="73">
        <v>2</v>
      </c>
      <c r="S79" s="73">
        <v>0</v>
      </c>
      <c r="T79" s="73">
        <v>0</v>
      </c>
      <c r="U79" s="73">
        <v>5</v>
      </c>
      <c r="V79" s="73">
        <v>2947</v>
      </c>
      <c r="W79" s="73">
        <v>9</v>
      </c>
      <c r="X79" s="73">
        <v>1</v>
      </c>
      <c r="Y79" s="73">
        <v>0</v>
      </c>
      <c r="Z79" s="73" t="s">
        <v>1095</v>
      </c>
      <c r="AA79" s="73" t="s">
        <v>691</v>
      </c>
      <c r="AB79" s="73" t="str">
        <f>IF(AA79&lt;&gt;"",INDEX(Lookup!$N$2:$N$5,MATCH(Players!AA79,Lookup!$P$2:$P$5,0)),INDEX(Lookup!$N$2:$N$5,MATCH(Players!O79,Lookup!$O$2:$O$5,0)))</f>
        <v>Midfield</v>
      </c>
      <c r="AC79" s="73">
        <v>5500000</v>
      </c>
      <c r="AD79" s="73" t="s">
        <v>849</v>
      </c>
      <c r="AE79" s="73" t="str">
        <f>INDEX('Translate table'!$H$2:$H$622,MATCH(Players!P79,'Translate table'!$G$2:$G$622,0))</f>
        <v>Georginio Wijnaldum</v>
      </c>
      <c r="AF79" s="73">
        <f>IFERROR(INDEX('Euro Qual stats'!$A$1:$L$2071,MATCH(Players!$AE79,'Euro Qual stats'!$A$1:$A$2071,0),MATCH(Players!AF$2,'Euro Qual stats'!$A$1:$L$1,0)),0)</f>
        <v>7</v>
      </c>
      <c r="AG79" s="73">
        <f>IFERROR(INDEX('Euro Qual stats'!$A$1:$L$2071,MATCH(Players!$AE79,'Euro Qual stats'!$A$1:$A$2071,0),MATCH(Players!AG$2,'Euro Qual stats'!$A$1:$L$1,0)),0)</f>
        <v>0.28999999999999998</v>
      </c>
      <c r="AH79" s="73">
        <f>IFERROR(INDEX('Euro Qual stats'!$A$1:$L$2071,MATCH(Players!$AE79,'Euro Qual stats'!$A$1:$A$2071,0),MATCH(Players!AH$2,'Euro Qual stats'!$A$1:$L$1,0)),0)</f>
        <v>1.1399999999999999</v>
      </c>
      <c r="AI79" s="73">
        <f>IFERROR(INDEX('Euro Qual stats'!$A$1:$L$2071,MATCH(Players!$AE79,'Euro Qual stats'!$A$1:$A$2071,0),MATCH(Players!AI$2,'Euro Qual stats'!$A$1:$L$1,0)),0)</f>
        <v>0</v>
      </c>
      <c r="AJ79" s="93">
        <f>(12-AF79)/12*INDEX(BV$9:BV$12,MATCH($AB79,$BU$9:$BU$12,0))+AF79/12*AG79</f>
        <v>0.23945462478184992</v>
      </c>
      <c r="AK79" s="93">
        <f>(12-AG79)/12*INDEX(BW$9:BW$12,MATCH($AB79,$BU$9:$BU$12,0))+AG79/12*AH79</f>
        <v>0.24555423211169283</v>
      </c>
      <c r="AL79" s="93">
        <f>(12-AH79)/12*INDEX(BX$9:BX$12,MATCH($AB79,$BU$9:$BU$12,0))+AH79/12*AI79</f>
        <v>0.21667879581151833</v>
      </c>
      <c r="AM79" s="93">
        <f>IF($BC79=1,AJ79/SUMIFS(AJ$3:AJ$623,$BC$3:$BC$623,1,$G$3:$G$623,$G79),0)</f>
        <v>0.13400554391008526</v>
      </c>
      <c r="AN79" s="93">
        <f>IF($BC79=1,AK79/SUMIFS(AK$3:AK$623,$BC$3:$BC$623,1,$G$3:$G$623,$G79),0)</f>
        <v>8.8801412547328373E-2</v>
      </c>
      <c r="AO79" s="93">
        <f>IF($BC79=1,AL79/SUMIFS(AL$3:AL$623,$BC$3:$BC$623,1,$G$3:$G$623,$G79),0)</f>
        <v>0.10998434033398131</v>
      </c>
      <c r="AP79" s="2">
        <f>IFERROR(R79/$V79*90,"")</f>
        <v>6.1079063454360372E-2</v>
      </c>
      <c r="AQ79" s="2">
        <f>IFERROR(S79/$V79*90,"")</f>
        <v>0</v>
      </c>
      <c r="AR79" s="2">
        <f>IFERROR(W79/$V79*90,"")</f>
        <v>0.27485578554462164</v>
      </c>
      <c r="AS79" s="2">
        <f>IFERROR(X79/$V79*90,"")</f>
        <v>3.0539531727180186E-2</v>
      </c>
      <c r="AT79" s="2">
        <f>IFERROR(Y79/$V79*90,"")</f>
        <v>0</v>
      </c>
      <c r="AU79" s="2">
        <f>IF(AP79="",INDEX(BV$4:BV$7,MATCH(O79,$BU$4:$BU$7,0)),AP79)</f>
        <v>6.1079063454360372E-2</v>
      </c>
      <c r="AV79" s="2">
        <f>IF(AQ79="",INDEX(BW$4:BW$7,MATCH($O79,$BU$4:$BU$7,0)),AQ79)</f>
        <v>0</v>
      </c>
      <c r="AW79" s="2">
        <f t="shared" si="12"/>
        <v>0.27485578554462164</v>
      </c>
      <c r="AX79" s="2">
        <f t="shared" si="13"/>
        <v>3.0539531727180186E-2</v>
      </c>
      <c r="AY79" s="2">
        <f t="shared" si="14"/>
        <v>0</v>
      </c>
      <c r="AZ79" s="2">
        <f>AU79*0.5+AK79*0.5</f>
        <v>0.15331664778302662</v>
      </c>
      <c r="BA79" s="2">
        <f>AV79*0.5+AJ79*0.5</f>
        <v>0.11972731239092496</v>
      </c>
      <c r="BB79" s="2">
        <f t="shared" si="15"/>
        <v>1.5269765863590093E-2</v>
      </c>
      <c r="BC79">
        <f>IF(I79="expected",1,0)</f>
        <v>1</v>
      </c>
      <c r="BD79" s="78">
        <f>IF(BC79=1,AZ79/SUMIFS(AZ$3:AZ$623,$BC$3:$BC$623,1,$G$3:$G$623,$G79),0)</f>
        <v>7.7518754059494752E-2</v>
      </c>
      <c r="BE79" s="78">
        <f>IF(BC79=1,BA79/SUMIFS(BA$3:BA$623,$BC$3:$BC$623,1,$G$3:$G$623,$G79),0)</f>
        <v>9.3445096365173688E-2</v>
      </c>
      <c r="BF79" s="78">
        <f t="shared" si="16"/>
        <v>6.5401915258061466E-2</v>
      </c>
      <c r="BG79" s="2">
        <f t="shared" si="17"/>
        <v>1.5269765863590093E-2</v>
      </c>
      <c r="BH79" s="2">
        <f t="shared" si="18"/>
        <v>0</v>
      </c>
      <c r="BI79" s="2">
        <f t="shared" si="19"/>
        <v>7.7518754059494752E-2</v>
      </c>
      <c r="BJ79" s="2">
        <f t="shared" si="20"/>
        <v>9.3445096365173688E-2</v>
      </c>
      <c r="BK79" s="2">
        <f t="shared" si="21"/>
        <v>6.5401915258061466E-2</v>
      </c>
      <c r="BL79" s="2">
        <f t="shared" si="22"/>
        <v>1.5269765863590093E-2</v>
      </c>
      <c r="BM79" s="2">
        <f t="shared" si="23"/>
        <v>0</v>
      </c>
      <c r="BN79" s="2">
        <f>BI79/SUMIFS(BI$3:BI$623,$BC$3:$BC$623,1,$G$3:$G$623,$G79)</f>
        <v>7.7518754059494765E-2</v>
      </c>
      <c r="BO79" s="2">
        <f>BJ79/SUMIFS(BJ$3:BJ$623,$BC$3:$BC$623,1,$G$3:$G$623,$G79)</f>
        <v>0.10759753890311019</v>
      </c>
      <c r="BP79" s="2">
        <f>BK79/SUMIFS(BK$3:BK$623,$BC$3:$BC$623,1,$G$3:$G$623,$G79)</f>
        <v>7.1643104068253388E-2</v>
      </c>
      <c r="BQ79" s="2">
        <f>BL79</f>
        <v>1.5269765863590093E-2</v>
      </c>
      <c r="BR79" s="2">
        <f>BM79</f>
        <v>0</v>
      </c>
    </row>
    <row r="80" spans="1:70" hidden="1">
      <c r="A80" s="74">
        <v>0</v>
      </c>
      <c r="B80" s="73">
        <v>204567</v>
      </c>
      <c r="C80" s="73" t="s">
        <v>1303</v>
      </c>
      <c r="D80" s="73" t="s">
        <v>1304</v>
      </c>
      <c r="E80" s="73" t="s">
        <v>1305</v>
      </c>
      <c r="F80" s="73">
        <v>18694</v>
      </c>
      <c r="G80" s="73" t="s">
        <v>876</v>
      </c>
      <c r="H80" s="73" t="s">
        <v>909</v>
      </c>
      <c r="I80" s="73" t="s">
        <v>1012</v>
      </c>
      <c r="J80" s="73">
        <v>0</v>
      </c>
      <c r="K80" s="73">
        <v>7</v>
      </c>
      <c r="L80" s="73">
        <v>0</v>
      </c>
      <c r="M80" s="73">
        <v>0</v>
      </c>
      <c r="N80" s="73">
        <v>0</v>
      </c>
      <c r="O80" s="73" t="s">
        <v>994</v>
      </c>
      <c r="P80" s="73" t="s">
        <v>1306</v>
      </c>
      <c r="Q80" s="73" t="s">
        <v>630</v>
      </c>
      <c r="R80" s="73">
        <v>0</v>
      </c>
      <c r="S80" s="73">
        <v>2</v>
      </c>
      <c r="T80" s="73">
        <v>0</v>
      </c>
      <c r="U80" s="73">
        <v>0</v>
      </c>
      <c r="V80" s="73">
        <v>925</v>
      </c>
      <c r="W80" s="73">
        <v>6</v>
      </c>
      <c r="X80" s="73">
        <v>0</v>
      </c>
      <c r="Y80" s="73">
        <v>1</v>
      </c>
      <c r="Z80" s="73" t="s">
        <v>1095</v>
      </c>
      <c r="AA80" s="73" t="s">
        <v>691</v>
      </c>
      <c r="AB80" s="73" t="str">
        <f>IF(AA80&lt;&gt;"",INDEX(Lookup!$N$2:$N$5,MATCH(Players!AA80,Lookup!$P$2:$P$5,0)),INDEX(Lookup!$N$2:$N$5,MATCH(Players!O80,Lookup!$O$2:$O$5,0)))</f>
        <v>Midfield</v>
      </c>
      <c r="AC80" s="73">
        <v>3000000</v>
      </c>
      <c r="AD80" s="73" t="s">
        <v>798</v>
      </c>
      <c r="AE80" s="73" t="str">
        <f>INDEX('Translate table'!$H$2:$H$622,MATCH(Players!P80,'Translate table'!$G$2:$G$622,0))</f>
        <v>Ryan Jack</v>
      </c>
      <c r="AF80" s="73">
        <f>IFERROR(INDEX('Euro Qual stats'!$A$1:$L$2071,MATCH(Players!$AE80,'Euro Qual stats'!$A$1:$A$2071,0),MATCH(Players!AF$2,'Euro Qual stats'!$A$1:$L$1,0)),0)</f>
        <v>4</v>
      </c>
      <c r="AG80" s="73">
        <f>IFERROR(INDEX('Euro Qual stats'!$A$1:$L$2071,MATCH(Players!$AE80,'Euro Qual stats'!$A$1:$A$2071,0),MATCH(Players!AG$2,'Euro Qual stats'!$A$1:$L$1,0)),0)</f>
        <v>0</v>
      </c>
      <c r="AH80" s="73">
        <f>IFERROR(INDEX('Euro Qual stats'!$A$1:$L$2071,MATCH(Players!$AE80,'Euro Qual stats'!$A$1:$A$2071,0),MATCH(Players!AH$2,'Euro Qual stats'!$A$1:$L$1,0)),0)</f>
        <v>0</v>
      </c>
      <c r="AI80" s="73">
        <f>IFERROR(INDEX('Euro Qual stats'!$A$1:$L$2071,MATCH(Players!$AE80,'Euro Qual stats'!$A$1:$A$2071,0),MATCH(Players!AI$2,'Euro Qual stats'!$A$1:$L$1,0)),0)</f>
        <v>0</v>
      </c>
      <c r="AJ80" s="93">
        <f>(12-AF80)/12*INDEX(BV$9:BV$12,MATCH($AB80,$BU$9:$BU$12,0))+AF80/12*AG80</f>
        <v>0.11246073298429318</v>
      </c>
      <c r="AK80" s="93">
        <f>(12-AG80)/12*INDEX(BW$9:BW$12,MATCH($AB80,$BU$9:$BU$12,0))+AG80/12*AH80</f>
        <v>0.22340314136125652</v>
      </c>
      <c r="AL80" s="93">
        <f>(12-AH80)/12*INDEX(BX$9:BX$12,MATCH($AB80,$BU$9:$BU$12,0))+AH80/12*AI80</f>
        <v>0.23942408376963353</v>
      </c>
      <c r="AM80" s="93">
        <f>IF($BC80=1,AJ80/SUMIFS(AJ$3:AJ$623,$BC$3:$BC$623,1,$G$3:$G$623,$G80),0)</f>
        <v>0</v>
      </c>
      <c r="AN80" s="93">
        <f>IF($BC80=1,AK80/SUMIFS(AK$3:AK$623,$BC$3:$BC$623,1,$G$3:$G$623,$G80),0)</f>
        <v>0</v>
      </c>
      <c r="AO80" s="93">
        <f>IF($BC80=1,AL80/SUMIFS(AL$3:AL$623,$BC$3:$BC$623,1,$G$3:$G$623,$G80),0)</f>
        <v>0</v>
      </c>
      <c r="AP80" s="2">
        <f>IFERROR(R80/$V80*90,"")</f>
        <v>0</v>
      </c>
      <c r="AQ80" s="2">
        <f>IFERROR(S80/$V80*90,"")</f>
        <v>0.19459459459459461</v>
      </c>
      <c r="AR80" s="2">
        <f>IFERROR(W80/$V80*90,"")</f>
        <v>0.58378378378378371</v>
      </c>
      <c r="AS80" s="2">
        <f>IFERROR(X80/$V80*90,"")</f>
        <v>0</v>
      </c>
      <c r="AT80" s="2">
        <f>IFERROR(Y80/$V80*90,"")</f>
        <v>9.7297297297297303E-2</v>
      </c>
      <c r="AU80" s="2">
        <f>IF(AP80="",INDEX(BV$4:BV$7,MATCH(O80,$BU$4:$BU$7,0)),AP80)</f>
        <v>0</v>
      </c>
      <c r="AV80" s="2">
        <f>IF(AQ80="",INDEX(BW$4:BW$7,MATCH($O80,$BU$4:$BU$7,0)),AQ80)</f>
        <v>0.19459459459459461</v>
      </c>
      <c r="AW80" s="2">
        <f t="shared" si="12"/>
        <v>0.58378378378378371</v>
      </c>
      <c r="AX80" s="2">
        <f t="shared" si="13"/>
        <v>0</v>
      </c>
      <c r="AY80" s="2">
        <f t="shared" si="14"/>
        <v>9.7297297297297303E-2</v>
      </c>
      <c r="AZ80" s="2">
        <f>AU80*0.5+AK80*0.5</f>
        <v>0.11170157068062826</v>
      </c>
      <c r="BA80" s="2">
        <f>AV80*0.5+AJ80*0.5</f>
        <v>0.15352766378944388</v>
      </c>
      <c r="BB80" s="2">
        <f t="shared" si="15"/>
        <v>0</v>
      </c>
      <c r="BC80">
        <f>IF(I80="expected",1,0)</f>
        <v>0</v>
      </c>
      <c r="BD80" s="78">
        <f>IF(BC80=1,AZ80/SUMIFS(AZ$3:AZ$623,$BC$3:$BC$623,1,$G$3:$G$623,$G80),0)</f>
        <v>0</v>
      </c>
      <c r="BE80" s="78">
        <f>IF(BC80=1,BA80/SUMIFS(BA$3:BA$623,$BC$3:$BC$623,1,$G$3:$G$623,$G80),0)</f>
        <v>0</v>
      </c>
      <c r="BF80" s="78">
        <f t="shared" si="16"/>
        <v>0</v>
      </c>
      <c r="BG80" s="2">
        <f t="shared" si="17"/>
        <v>0</v>
      </c>
      <c r="BH80" s="2">
        <f t="shared" si="18"/>
        <v>9.7297297297297303E-2</v>
      </c>
      <c r="BI80" s="2">
        <f t="shared" si="19"/>
        <v>0</v>
      </c>
      <c r="BJ80" s="2">
        <f t="shared" si="20"/>
        <v>0</v>
      </c>
      <c r="BK80" s="2">
        <f t="shared" si="21"/>
        <v>0</v>
      </c>
      <c r="BL80" s="2">
        <f t="shared" si="22"/>
        <v>0</v>
      </c>
      <c r="BM80" s="2">
        <f t="shared" si="23"/>
        <v>0.06</v>
      </c>
      <c r="BN80" s="2">
        <f>BI80/SUMIFS(BI$3:BI$623,$BC$3:$BC$623,1,$G$3:$G$623,$G80)</f>
        <v>0</v>
      </c>
      <c r="BO80" s="2">
        <f>BJ80/SUMIFS(BJ$3:BJ$623,$BC$3:$BC$623,1,$G$3:$G$623,$G80)</f>
        <v>0</v>
      </c>
      <c r="BP80" s="2">
        <f>BK80/SUMIFS(BK$3:BK$623,$BC$3:$BC$623,1,$G$3:$G$623,$G80)</f>
        <v>0</v>
      </c>
      <c r="BQ80" s="2">
        <f>BL80</f>
        <v>0</v>
      </c>
      <c r="BR80" s="2">
        <f>BM80</f>
        <v>0.06</v>
      </c>
    </row>
    <row r="81" spans="1:70" hidden="1">
      <c r="A81" s="74">
        <v>0</v>
      </c>
      <c r="B81" s="73">
        <v>221524</v>
      </c>
      <c r="C81" s="73" t="s">
        <v>1307</v>
      </c>
      <c r="D81" s="73" t="s">
        <v>1308</v>
      </c>
      <c r="E81" s="73" t="s">
        <v>1309</v>
      </c>
      <c r="F81" s="73">
        <v>18660</v>
      </c>
      <c r="G81" s="73" t="s">
        <v>892</v>
      </c>
      <c r="H81" s="73" t="s">
        <v>915</v>
      </c>
      <c r="I81" s="73" t="s">
        <v>1012</v>
      </c>
      <c r="J81" s="73">
        <v>0</v>
      </c>
      <c r="K81" s="73">
        <v>7</v>
      </c>
      <c r="L81" s="73">
        <v>0</v>
      </c>
      <c r="M81" s="73">
        <v>0</v>
      </c>
      <c r="N81" s="73">
        <v>0</v>
      </c>
      <c r="O81" s="73" t="s">
        <v>982</v>
      </c>
      <c r="P81" s="73" t="s">
        <v>1310</v>
      </c>
      <c r="Q81" s="73" t="s">
        <v>1311</v>
      </c>
      <c r="R81" s="73">
        <v>16</v>
      </c>
      <c r="S81" s="73">
        <v>7</v>
      </c>
      <c r="T81" s="73">
        <v>0</v>
      </c>
      <c r="U81" s="73">
        <v>6</v>
      </c>
      <c r="V81" s="73">
        <v>2781</v>
      </c>
      <c r="W81" s="73">
        <v>30</v>
      </c>
      <c r="X81" s="73">
        <v>4</v>
      </c>
      <c r="Y81" s="73">
        <v>0</v>
      </c>
      <c r="Z81" s="73" t="s">
        <v>1046</v>
      </c>
      <c r="AA81" s="73" t="s">
        <v>693</v>
      </c>
      <c r="AB81" s="73" t="str">
        <f>IF(AA81&lt;&gt;"",INDEX(Lookup!$N$2:$N$5,MATCH(Players!AA81,Lookup!$P$2:$P$5,0)),INDEX(Lookup!$N$2:$N$5,MATCH(Players!O81,Lookup!$O$2:$O$5,0)))</f>
        <v>Striker</v>
      </c>
      <c r="AC81" s="73">
        <v>4000000</v>
      </c>
      <c r="AD81" s="73" t="s">
        <v>788</v>
      </c>
      <c r="AE81" s="73" t="str">
        <f>INDEX('Translate table'!$H$2:$H$622,MATCH(Players!P81,'Translate table'!$G$2:$G$622,0))</f>
        <v>Vytautas AndriuÅ¡keviÄius</v>
      </c>
      <c r="AF81" s="73">
        <f>IFERROR(INDEX('Euro Qual stats'!$A$1:$L$2071,MATCH(Players!$AE81,'Euro Qual stats'!$A$1:$A$2071,0),MATCH(Players!AF$2,'Euro Qual stats'!$A$1:$L$1,0)),0)</f>
        <v>5</v>
      </c>
      <c r="AG81" s="73">
        <f>IFERROR(INDEX('Euro Qual stats'!$A$1:$L$2071,MATCH(Players!$AE81,'Euro Qual stats'!$A$1:$A$2071,0),MATCH(Players!AG$2,'Euro Qual stats'!$A$1:$L$1,0)),0)</f>
        <v>0</v>
      </c>
      <c r="AH81" s="73">
        <f>IFERROR(INDEX('Euro Qual stats'!$A$1:$L$2071,MATCH(Players!$AE81,'Euro Qual stats'!$A$1:$A$2071,0),MATCH(Players!AH$2,'Euro Qual stats'!$A$1:$L$1,0)),0)</f>
        <v>0.21</v>
      </c>
      <c r="AI81" s="73">
        <f>IFERROR(INDEX('Euro Qual stats'!$A$1:$L$2071,MATCH(Players!$AE81,'Euro Qual stats'!$A$1:$A$2071,0),MATCH(Players!AI$2,'Euro Qual stats'!$A$1:$L$1,0)),0)</f>
        <v>0</v>
      </c>
      <c r="AJ81" s="93">
        <f>(12-AF81)/12*INDEX(BV$9:BV$12,MATCH($AB81,$BU$9:$BU$12,0))+AF81/12*AG81</f>
        <v>0.11953304597701153</v>
      </c>
      <c r="AK81" s="93">
        <f>(12-AG81)/12*INDEX(BW$9:BW$12,MATCH($AB81,$BU$9:$BU$12,0))+AG81/12*AH81</f>
        <v>0.53387931034482738</v>
      </c>
      <c r="AL81" s="93">
        <f>(12-AH81)/12*INDEX(BX$9:BX$12,MATCH($AB81,$BU$9:$BU$12,0))+AH81/12*AI81</f>
        <v>0.16194310344827587</v>
      </c>
      <c r="AM81" s="93">
        <f>IF($BC81=1,AJ81/SUMIFS(AJ$3:AJ$623,$BC$3:$BC$623,1,$G$3:$G$623,$G81),0)</f>
        <v>0</v>
      </c>
      <c r="AN81" s="93">
        <f>IF($BC81=1,AK81/SUMIFS(AK$3:AK$623,$BC$3:$BC$623,1,$G$3:$G$623,$G81),0)</f>
        <v>0</v>
      </c>
      <c r="AO81" s="93">
        <f>IF($BC81=1,AL81/SUMIFS(AL$3:AL$623,$BC$3:$BC$623,1,$G$3:$G$623,$G81),0)</f>
        <v>0</v>
      </c>
      <c r="AP81" s="2">
        <f>IFERROR(R81/$V81*90,"")</f>
        <v>0.51779935275080902</v>
      </c>
      <c r="AQ81" s="2">
        <f>IFERROR(S81/$V81*90,"")</f>
        <v>0.22653721682847897</v>
      </c>
      <c r="AR81" s="2">
        <f>IFERROR(W81/$V81*90,"")</f>
        <v>0.97087378640776711</v>
      </c>
      <c r="AS81" s="2">
        <f>IFERROR(X81/$V81*90,"")</f>
        <v>0.12944983818770225</v>
      </c>
      <c r="AT81" s="2">
        <f>IFERROR(Y81/$V81*90,"")</f>
        <v>0</v>
      </c>
      <c r="AU81" s="2">
        <f>IF(AP81="",INDEX(BV$4:BV$7,MATCH(O81,$BU$4:$BU$7,0)),AP81)</f>
        <v>0.51779935275080902</v>
      </c>
      <c r="AV81" s="2">
        <f>IF(AQ81="",INDEX(BW$4:BW$7,MATCH($O81,$BU$4:$BU$7,0)),AQ81)</f>
        <v>0.22653721682847897</v>
      </c>
      <c r="AW81" s="2">
        <f t="shared" si="12"/>
        <v>0.97087378640776711</v>
      </c>
      <c r="AX81" s="2">
        <f t="shared" si="13"/>
        <v>0.12944983818770225</v>
      </c>
      <c r="AY81" s="2">
        <f t="shared" si="14"/>
        <v>0</v>
      </c>
      <c r="AZ81" s="2">
        <f>AU81*0.5+AK81*0.5</f>
        <v>0.52583933154781826</v>
      </c>
      <c r="BA81" s="2">
        <f>AV81*0.5+AJ81*0.5</f>
        <v>0.17303513140274523</v>
      </c>
      <c r="BB81" s="2">
        <f t="shared" si="15"/>
        <v>6.4724919093851127E-2</v>
      </c>
      <c r="BC81">
        <f>IF(I81="expected",1,0)</f>
        <v>0</v>
      </c>
      <c r="BD81" s="78">
        <f>IF(BC81=1,AZ81/SUMIFS(AZ$3:AZ$623,$BC$3:$BC$623,1,$G$3:$G$623,$G81),0)</f>
        <v>0</v>
      </c>
      <c r="BE81" s="78">
        <f>IF(BC81=1,BA81/SUMIFS(BA$3:BA$623,$BC$3:$BC$623,1,$G$3:$G$623,$G81),0)</f>
        <v>0</v>
      </c>
      <c r="BF81" s="78">
        <f t="shared" si="16"/>
        <v>0</v>
      </c>
      <c r="BG81" s="2">
        <f t="shared" si="17"/>
        <v>6.4724919093851127E-2</v>
      </c>
      <c r="BH81" s="2">
        <f t="shared" si="18"/>
        <v>0</v>
      </c>
      <c r="BI81" s="2">
        <f t="shared" si="19"/>
        <v>0</v>
      </c>
      <c r="BJ81" s="2">
        <f t="shared" si="20"/>
        <v>0</v>
      </c>
      <c r="BK81" s="2">
        <f t="shared" si="21"/>
        <v>0</v>
      </c>
      <c r="BL81" s="2">
        <f t="shared" si="22"/>
        <v>6.4724919093851127E-2</v>
      </c>
      <c r="BM81" s="2">
        <f t="shared" si="23"/>
        <v>0</v>
      </c>
      <c r="BN81" s="2">
        <f>BI81/SUMIFS(BI$3:BI$623,$BC$3:$BC$623,1,$G$3:$G$623,$G81)</f>
        <v>0</v>
      </c>
      <c r="BO81" s="2">
        <f>BJ81/SUMIFS(BJ$3:BJ$623,$BC$3:$BC$623,1,$G$3:$G$623,$G81)</f>
        <v>0</v>
      </c>
      <c r="BP81" s="2">
        <f>BK81/SUMIFS(BK$3:BK$623,$BC$3:$BC$623,1,$G$3:$G$623,$G81)</f>
        <v>0</v>
      </c>
      <c r="BQ81" s="2">
        <f>BL81</f>
        <v>6.4724919093851127E-2</v>
      </c>
      <c r="BR81" s="2">
        <f>BM81</f>
        <v>0</v>
      </c>
    </row>
    <row r="82" spans="1:70" hidden="1">
      <c r="A82" s="74">
        <v>0</v>
      </c>
      <c r="B82" s="73">
        <v>204597</v>
      </c>
      <c r="C82" s="73" t="s">
        <v>1312</v>
      </c>
      <c r="D82" s="73" t="s">
        <v>1313</v>
      </c>
      <c r="E82" s="73" t="s">
        <v>1314</v>
      </c>
      <c r="F82" s="73">
        <v>18645</v>
      </c>
      <c r="G82" s="73" t="s">
        <v>879</v>
      </c>
      <c r="H82" s="73" t="s">
        <v>933</v>
      </c>
      <c r="I82" s="73" t="s">
        <v>1012</v>
      </c>
      <c r="J82" s="73">
        <v>0</v>
      </c>
      <c r="K82" s="73">
        <v>7</v>
      </c>
      <c r="L82" s="73">
        <v>0</v>
      </c>
      <c r="M82" s="73">
        <v>0</v>
      </c>
      <c r="N82" s="73">
        <v>0</v>
      </c>
      <c r="O82" s="73" t="s">
        <v>1290</v>
      </c>
      <c r="P82" s="73" t="s">
        <v>344</v>
      </c>
      <c r="Q82" s="73" t="s">
        <v>344</v>
      </c>
      <c r="R82" s="73">
        <v>0</v>
      </c>
      <c r="S82" s="73">
        <v>0</v>
      </c>
      <c r="T82" s="73">
        <v>90</v>
      </c>
      <c r="U82" s="73">
        <v>10</v>
      </c>
      <c r="V82" s="73">
        <v>2743</v>
      </c>
      <c r="W82" s="73">
        <v>0</v>
      </c>
      <c r="X82" s="73">
        <v>1</v>
      </c>
      <c r="Y82" s="73">
        <v>0</v>
      </c>
      <c r="Z82" s="73" t="s">
        <v>879</v>
      </c>
      <c r="AA82" s="73" t="s">
        <v>690</v>
      </c>
      <c r="AB82" s="73" t="str">
        <f>IF(AA82&lt;&gt;"",INDEX(Lookup!$N$2:$N$5,MATCH(Players!AA82,Lookup!$P$2:$P$5,0)),INDEX(Lookup!$N$2:$N$5,MATCH(Players!O82,Lookup!$O$2:$O$5,0)))</f>
        <v>Goalkeeper</v>
      </c>
      <c r="AC82" s="73">
        <v>6000000</v>
      </c>
      <c r="AD82" s="73" t="s">
        <v>802</v>
      </c>
      <c r="AE82" s="73" t="str">
        <f>INDEX('Translate table'!$H$2:$H$622,MATCH(Players!P82,'Translate table'!$G$2:$G$622,0))</f>
        <v>Jordan Pickford</v>
      </c>
      <c r="AF82" s="73">
        <f>IFERROR(INDEX('Euro Qual stats'!$A$1:$L$2071,MATCH(Players!$AE82,'Euro Qual stats'!$A$1:$A$2071,0),MATCH(Players!AF$2,'Euro Qual stats'!$A$1:$L$1,0)),0)</f>
        <v>7</v>
      </c>
      <c r="AG82" s="73">
        <f>IFERROR(INDEX('Euro Qual stats'!$A$1:$L$2071,MATCH(Players!$AE82,'Euro Qual stats'!$A$1:$A$2071,0),MATCH(Players!AG$2,'Euro Qual stats'!$A$1:$L$1,0)),0)</f>
        <v>0</v>
      </c>
      <c r="AH82" s="73">
        <f>IFERROR(INDEX('Euro Qual stats'!$A$1:$L$2071,MATCH(Players!$AE82,'Euro Qual stats'!$A$1:$A$2071,0),MATCH(Players!AH$2,'Euro Qual stats'!$A$1:$L$1,0)),0)</f>
        <v>0</v>
      </c>
      <c r="AI82" s="73">
        <f>IFERROR(INDEX('Euro Qual stats'!$A$1:$L$2071,MATCH(Players!$AE82,'Euro Qual stats'!$A$1:$A$2071,0),MATCH(Players!AI$2,'Euro Qual stats'!$A$1:$L$1,0)),0)</f>
        <v>0</v>
      </c>
      <c r="AJ82" s="93">
        <f>(12-AF82)/12*INDEX(BV$9:BV$12,MATCH($AB82,$BU$9:$BU$12,0))+AF82/12*AG82</f>
        <v>0</v>
      </c>
      <c r="AK82" s="93">
        <f>(12-AG82)/12*INDEX(BW$9:BW$12,MATCH($AB82,$BU$9:$BU$12,0))+AG82/12*AH82</f>
        <v>0</v>
      </c>
      <c r="AL82" s="93">
        <f>(12-AH82)/12*INDEX(BX$9:BX$12,MATCH($AB82,$BU$9:$BU$12,0))+AH82/12*AI82</f>
        <v>0</v>
      </c>
      <c r="AM82" s="93">
        <f>IF($BC82=1,AJ82/SUMIFS(AJ$3:AJ$623,$BC$3:$BC$623,1,$G$3:$G$623,$G82),0)</f>
        <v>0</v>
      </c>
      <c r="AN82" s="93">
        <f>IF($BC82=1,AK82/SUMIFS(AK$3:AK$623,$BC$3:$BC$623,1,$G$3:$G$623,$G82),0)</f>
        <v>0</v>
      </c>
      <c r="AO82" s="93">
        <f>IF($BC82=1,AL82/SUMIFS(AL$3:AL$623,$BC$3:$BC$623,1,$G$3:$G$623,$G82),0)</f>
        <v>0</v>
      </c>
      <c r="AP82" s="2">
        <f>IFERROR(R82/$V82*90,"")</f>
        <v>0</v>
      </c>
      <c r="AQ82" s="2">
        <f>IFERROR(S82/$V82*90,"")</f>
        <v>0</v>
      </c>
      <c r="AR82" s="2">
        <f>IFERROR(W82/$V82*90,"")</f>
        <v>0</v>
      </c>
      <c r="AS82" s="2">
        <f>IFERROR(X82/$V82*90,"")</f>
        <v>3.2810791104629963E-2</v>
      </c>
      <c r="AT82" s="2">
        <f>IFERROR(Y82/$V82*90,"")</f>
        <v>0</v>
      </c>
      <c r="AU82" s="2">
        <f>IF(AP82="",INDEX(BV$4:BV$7,MATCH(O82,$BU$4:$BU$7,0)),AP82)</f>
        <v>0</v>
      </c>
      <c r="AV82" s="2">
        <f>IF(AQ82="",INDEX(BW$4:BW$7,MATCH($O82,$BU$4:$BU$7,0)),AQ82)</f>
        <v>0</v>
      </c>
      <c r="AW82" s="2">
        <f t="shared" si="12"/>
        <v>0</v>
      </c>
      <c r="AX82" s="2">
        <f t="shared" si="13"/>
        <v>3.2810791104629963E-2</v>
      </c>
      <c r="AY82" s="2">
        <f t="shared" si="14"/>
        <v>0</v>
      </c>
      <c r="AZ82" s="2">
        <f>AU82*0.5+AK82*0.5</f>
        <v>0</v>
      </c>
      <c r="BA82" s="2">
        <f>AV82*0.5+AJ82*0.5</f>
        <v>0</v>
      </c>
      <c r="BB82" s="2">
        <f t="shared" si="15"/>
        <v>1.6405395552314982E-2</v>
      </c>
      <c r="BC82">
        <f>IF(I82="expected",1,0)</f>
        <v>0</v>
      </c>
      <c r="BD82" s="78">
        <f>IF(BC82=1,AZ82/SUMIFS(AZ$3:AZ$623,$BC$3:$BC$623,1,$G$3:$G$623,$G82),0)</f>
        <v>0</v>
      </c>
      <c r="BE82" s="78">
        <f>IF(BC82=1,BA82/SUMIFS(BA$3:BA$623,$BC$3:$BC$623,1,$G$3:$G$623,$G82),0)</f>
        <v>0</v>
      </c>
      <c r="BF82" s="78">
        <f t="shared" si="16"/>
        <v>0</v>
      </c>
      <c r="BG82" s="2">
        <f t="shared" si="17"/>
        <v>1.6405395552314982E-2</v>
      </c>
      <c r="BH82" s="2">
        <f t="shared" si="18"/>
        <v>0</v>
      </c>
      <c r="BI82" s="2">
        <f t="shared" si="19"/>
        <v>0</v>
      </c>
      <c r="BJ82" s="2">
        <f t="shared" si="20"/>
        <v>0</v>
      </c>
      <c r="BK82" s="2">
        <f t="shared" si="21"/>
        <v>0</v>
      </c>
      <c r="BL82" s="2">
        <f t="shared" si="22"/>
        <v>1.6405395552314982E-2</v>
      </c>
      <c r="BM82" s="2">
        <f t="shared" si="23"/>
        <v>0</v>
      </c>
      <c r="BN82" s="2">
        <f>BI82/SUMIFS(BI$3:BI$623,$BC$3:$BC$623,1,$G$3:$G$623,$G82)</f>
        <v>0</v>
      </c>
      <c r="BO82" s="2">
        <f>BJ82/SUMIFS(BJ$3:BJ$623,$BC$3:$BC$623,1,$G$3:$G$623,$G82)</f>
        <v>0</v>
      </c>
      <c r="BP82" s="2">
        <f>BK82/SUMIFS(BK$3:BK$623,$BC$3:$BC$623,1,$G$3:$G$623,$G82)</f>
        <v>0</v>
      </c>
      <c r="BQ82" s="2">
        <f>BL82</f>
        <v>1.6405395552314982E-2</v>
      </c>
      <c r="BR82" s="2">
        <f>BM82</f>
        <v>0</v>
      </c>
    </row>
    <row r="83" spans="1:70" hidden="1">
      <c r="A83" s="74">
        <v>0</v>
      </c>
      <c r="B83" s="73">
        <v>204601</v>
      </c>
      <c r="C83" s="73" t="s">
        <v>1315</v>
      </c>
      <c r="D83" s="73" t="s">
        <v>1316</v>
      </c>
      <c r="E83" s="73" t="s">
        <v>1317</v>
      </c>
      <c r="F83" s="73">
        <v>18645</v>
      </c>
      <c r="G83" s="73" t="s">
        <v>879</v>
      </c>
      <c r="H83" s="73" t="s">
        <v>933</v>
      </c>
      <c r="I83" s="73" t="s">
        <v>981</v>
      </c>
      <c r="J83" s="73">
        <v>0</v>
      </c>
      <c r="K83" s="73">
        <v>7</v>
      </c>
      <c r="L83" s="73">
        <v>0</v>
      </c>
      <c r="M83" s="73">
        <v>0</v>
      </c>
      <c r="N83" s="73">
        <v>0</v>
      </c>
      <c r="O83" s="73" t="s">
        <v>1318</v>
      </c>
      <c r="P83" s="73" t="s">
        <v>155</v>
      </c>
      <c r="Q83" s="73" t="s">
        <v>155</v>
      </c>
      <c r="R83" s="73">
        <v>1</v>
      </c>
      <c r="S83" s="73">
        <v>1</v>
      </c>
      <c r="T83" s="73">
        <v>0</v>
      </c>
      <c r="U83" s="73">
        <v>9</v>
      </c>
      <c r="V83" s="73">
        <v>1946</v>
      </c>
      <c r="W83" s="73">
        <v>3</v>
      </c>
      <c r="X83" s="73">
        <v>1</v>
      </c>
      <c r="Y83" s="73">
        <v>0</v>
      </c>
      <c r="Z83" s="73" t="s">
        <v>879</v>
      </c>
      <c r="AA83" s="73" t="s">
        <v>692</v>
      </c>
      <c r="AB83" s="73" t="str">
        <f>IF(AA83&lt;&gt;"",INDEX(Lookup!$N$2:$N$5,MATCH(Players!AA83,Lookup!$P$2:$P$5,0)),INDEX(Lookup!$N$2:$N$5,MATCH(Players!O83,Lookup!$O$2:$O$5,0)))</f>
        <v>Defense</v>
      </c>
      <c r="AC83" s="73">
        <v>4500000</v>
      </c>
      <c r="AD83" s="73" t="s">
        <v>812</v>
      </c>
      <c r="AE83" s="73" t="str">
        <f>INDEX('Translate table'!$H$2:$H$622,MATCH(Players!P83,'Translate table'!$G$2:$G$622,0))</f>
        <v>Kyle Walker</v>
      </c>
      <c r="AF83" s="73">
        <f>IFERROR(INDEX('Euro Qual stats'!$A$1:$L$2071,MATCH(Players!$AE83,'Euro Qual stats'!$A$1:$A$2071,0),MATCH(Players!AF$2,'Euro Qual stats'!$A$1:$L$1,0)),0)</f>
        <v>2</v>
      </c>
      <c r="AG83" s="73">
        <f>IFERROR(INDEX('Euro Qual stats'!$A$1:$L$2071,MATCH(Players!$AE83,'Euro Qual stats'!$A$1:$A$2071,0),MATCH(Players!AG$2,'Euro Qual stats'!$A$1:$L$1,0)),0)</f>
        <v>0</v>
      </c>
      <c r="AH83" s="73">
        <f>IFERROR(INDEX('Euro Qual stats'!$A$1:$L$2071,MATCH(Players!$AE83,'Euro Qual stats'!$A$1:$A$2071,0),MATCH(Players!AH$2,'Euro Qual stats'!$A$1:$L$1,0)),0)</f>
        <v>0</v>
      </c>
      <c r="AI83" s="73">
        <f>IFERROR(INDEX('Euro Qual stats'!$A$1:$L$2071,MATCH(Players!$AE83,'Euro Qual stats'!$A$1:$A$2071,0),MATCH(Players!AI$2,'Euro Qual stats'!$A$1:$L$1,0)),0)</f>
        <v>0</v>
      </c>
      <c r="AJ83" s="93">
        <f>(12-AF83)/12*INDEX(BV$9:BV$12,MATCH($AB83,$BU$9:$BU$12,0))+AF83/12*AG83</f>
        <v>7.4313186813186841E-2</v>
      </c>
      <c r="AK83" s="93">
        <f>(12-AG83)/12*INDEX(BW$9:BW$12,MATCH($AB83,$BU$9:$BU$12,0))+AG83/12*AH83</f>
        <v>0.10357142857142858</v>
      </c>
      <c r="AL83" s="93">
        <f>(12-AH83)/12*INDEX(BX$9:BX$12,MATCH($AB83,$BU$9:$BU$12,0))+AH83/12*AI83</f>
        <v>0.19357142857142848</v>
      </c>
      <c r="AM83" s="93">
        <f>IF($BC83=1,AJ83/SUMIFS(AJ$3:AJ$623,$BC$3:$BC$623,1,$G$3:$G$623,$G83),0)</f>
        <v>3.3851713828507497E-2</v>
      </c>
      <c r="AN83" s="93">
        <f>IF($BC83=1,AK83/SUMIFS(AK$3:AK$623,$BC$3:$BC$623,1,$G$3:$G$623,$G83),0)</f>
        <v>3.7020306505811285E-2</v>
      </c>
      <c r="AO83" s="93">
        <f>IF($BC83=1,AL83/SUMIFS(AL$3:AL$623,$BC$3:$BC$623,1,$G$3:$G$623,$G83),0)</f>
        <v>8.6253189396557808E-2</v>
      </c>
      <c r="AP83" s="2">
        <f>IFERROR(R83/$V83*90,"")</f>
        <v>4.6248715313463515E-2</v>
      </c>
      <c r="AQ83" s="2">
        <f>IFERROR(S83/$V83*90,"")</f>
        <v>4.6248715313463515E-2</v>
      </c>
      <c r="AR83" s="2">
        <f>IFERROR(W83/$V83*90,"")</f>
        <v>0.13874614594039053</v>
      </c>
      <c r="AS83" s="2">
        <f>IFERROR(X83/$V83*90,"")</f>
        <v>4.6248715313463515E-2</v>
      </c>
      <c r="AT83" s="2">
        <f>IFERROR(Y83/$V83*90,"")</f>
        <v>0</v>
      </c>
      <c r="AU83" s="2">
        <f>IF(AP83="",INDEX(BV$4:BV$7,MATCH(O83,$BU$4:$BU$7,0)),AP83)</f>
        <v>4.6248715313463515E-2</v>
      </c>
      <c r="AV83" s="2">
        <f>IF(AQ83="",INDEX(BW$4:BW$7,MATCH($O83,$BU$4:$BU$7,0)),AQ83)</f>
        <v>4.6248715313463515E-2</v>
      </c>
      <c r="AW83" s="2">
        <f t="shared" si="12"/>
        <v>0.13874614594039053</v>
      </c>
      <c r="AX83" s="2">
        <f t="shared" si="13"/>
        <v>4.6248715313463515E-2</v>
      </c>
      <c r="AY83" s="2">
        <f t="shared" si="14"/>
        <v>0</v>
      </c>
      <c r="AZ83" s="2">
        <f>AU83*0.5+AK83*0.5</f>
        <v>7.4910071942446047E-2</v>
      </c>
      <c r="BA83" s="2">
        <f>AV83*0.5+AJ83*0.5</f>
        <v>6.0280951063325178E-2</v>
      </c>
      <c r="BB83" s="2">
        <f t="shared" si="15"/>
        <v>2.3124357656731757E-2</v>
      </c>
      <c r="BC83">
        <f>IF(I83="expected",1,0)</f>
        <v>1</v>
      </c>
      <c r="BD83" s="78">
        <f>IF(BC83=1,AZ83/SUMIFS(AZ$3:AZ$623,$BC$3:$BC$623,1,$G$3:$G$623,$G83),0)</f>
        <v>2.9962741935956379E-2</v>
      </c>
      <c r="BE83" s="78">
        <f>IF(BC83=1,BA83/SUMIFS(BA$3:BA$623,$BC$3:$BC$623,1,$G$3:$G$623,$G83),0)</f>
        <v>3.2489812480571922E-2</v>
      </c>
      <c r="BF83" s="78">
        <f t="shared" si="16"/>
        <v>2.2694266245820927E-2</v>
      </c>
      <c r="BG83" s="2">
        <f t="shared" si="17"/>
        <v>2.3124357656731757E-2</v>
      </c>
      <c r="BH83" s="2">
        <f t="shared" si="18"/>
        <v>0</v>
      </c>
      <c r="BI83" s="2">
        <f t="shared" si="19"/>
        <v>2.9962741935956379E-2</v>
      </c>
      <c r="BJ83" s="2">
        <f t="shared" si="20"/>
        <v>3.2489812480571922E-2</v>
      </c>
      <c r="BK83" s="2">
        <f t="shared" si="21"/>
        <v>2.2694266245820927E-2</v>
      </c>
      <c r="BL83" s="2">
        <f t="shared" si="22"/>
        <v>2.3124357656731757E-2</v>
      </c>
      <c r="BM83" s="2">
        <f t="shared" si="23"/>
        <v>0</v>
      </c>
      <c r="BN83" s="2">
        <f>BI83/SUMIFS(BI$3:BI$623,$BC$3:$BC$623,1,$G$3:$G$623,$G83)</f>
        <v>2.9962741935956386E-2</v>
      </c>
      <c r="BO83" s="2">
        <f>BJ83/SUMIFS(BJ$3:BJ$623,$BC$3:$BC$623,1,$G$3:$G$623,$G83)</f>
        <v>3.2489812480571922E-2</v>
      </c>
      <c r="BP83" s="2">
        <f>BK83/SUMIFS(BK$3:BK$623,$BC$3:$BC$623,1,$G$3:$G$623,$G83)</f>
        <v>2.2694266245820924E-2</v>
      </c>
      <c r="BQ83" s="2">
        <f>BL83</f>
        <v>2.3124357656731757E-2</v>
      </c>
      <c r="BR83" s="2">
        <f>BM83</f>
        <v>0</v>
      </c>
    </row>
    <row r="84" spans="1:70" hidden="1">
      <c r="A84" s="74">
        <v>0</v>
      </c>
      <c r="B84" s="73">
        <v>204613</v>
      </c>
      <c r="C84" s="73" t="s">
        <v>1319</v>
      </c>
      <c r="D84" s="73" t="s">
        <v>1313</v>
      </c>
      <c r="E84" s="73" t="s">
        <v>1320</v>
      </c>
      <c r="F84" s="73">
        <v>18645</v>
      </c>
      <c r="G84" s="73" t="s">
        <v>879</v>
      </c>
      <c r="H84" s="73" t="s">
        <v>933</v>
      </c>
      <c r="I84" s="73" t="s">
        <v>1012</v>
      </c>
      <c r="J84" s="73">
        <v>0</v>
      </c>
      <c r="K84" s="73">
        <v>7</v>
      </c>
      <c r="L84" s="73">
        <v>0</v>
      </c>
      <c r="M84" s="73">
        <v>0</v>
      </c>
      <c r="N84" s="73">
        <v>0</v>
      </c>
      <c r="O84" s="73" t="s">
        <v>994</v>
      </c>
      <c r="P84" s="73" t="s">
        <v>379</v>
      </c>
      <c r="Q84" s="73" t="s">
        <v>379</v>
      </c>
      <c r="R84" s="73">
        <v>1</v>
      </c>
      <c r="S84" s="73">
        <v>1</v>
      </c>
      <c r="T84" s="73">
        <v>0</v>
      </c>
      <c r="U84" s="73">
        <v>3</v>
      </c>
      <c r="V84" s="73">
        <v>1707</v>
      </c>
      <c r="W84" s="73">
        <v>4</v>
      </c>
      <c r="X84" s="73">
        <v>0</v>
      </c>
      <c r="Y84" s="73">
        <v>0</v>
      </c>
      <c r="Z84" s="73" t="s">
        <v>879</v>
      </c>
      <c r="AA84" s="73" t="s">
        <v>691</v>
      </c>
      <c r="AB84" s="73" t="str">
        <f>IF(AA84&lt;&gt;"",INDEX(Lookup!$N$2:$N$5,MATCH(Players!AA84,Lookup!$P$2:$P$5,0)),INDEX(Lookup!$N$2:$N$5,MATCH(Players!O84,Lookup!$O$2:$O$5,0)))</f>
        <v>Midfield</v>
      </c>
      <c r="AC84" s="73">
        <v>3500000</v>
      </c>
      <c r="AD84" s="73" t="s">
        <v>791</v>
      </c>
      <c r="AE84" s="73" t="str">
        <f>INDEX('Translate table'!$H$2:$H$622,MATCH(Players!P84,'Translate table'!$G$2:$G$622,0))</f>
        <v>Jordan Henderson</v>
      </c>
      <c r="AF84" s="73">
        <f>IFERROR(INDEX('Euro Qual stats'!$A$1:$L$2071,MATCH(Players!$AE84,'Euro Qual stats'!$A$1:$A$2071,0),MATCH(Players!AF$2,'Euro Qual stats'!$A$1:$L$1,0)),0)</f>
        <v>6</v>
      </c>
      <c r="AG84" s="73">
        <f>IFERROR(INDEX('Euro Qual stats'!$A$1:$L$2071,MATCH(Players!$AE84,'Euro Qual stats'!$A$1:$A$2071,0),MATCH(Players!AG$2,'Euro Qual stats'!$A$1:$L$1,0)),0)</f>
        <v>0.2</v>
      </c>
      <c r="AH84" s="73">
        <f>IFERROR(INDEX('Euro Qual stats'!$A$1:$L$2071,MATCH(Players!$AE84,'Euro Qual stats'!$A$1:$A$2071,0),MATCH(Players!AH$2,'Euro Qual stats'!$A$1:$L$1,0)),0)</f>
        <v>0</v>
      </c>
      <c r="AI84" s="73">
        <f>IFERROR(INDEX('Euro Qual stats'!$A$1:$L$2071,MATCH(Players!$AE84,'Euro Qual stats'!$A$1:$A$2071,0),MATCH(Players!AI$2,'Euro Qual stats'!$A$1:$L$1,0)),0)</f>
        <v>0.6</v>
      </c>
      <c r="AJ84" s="93">
        <f>(12-AF84)/12*INDEX(BV$9:BV$12,MATCH($AB84,$BU$9:$BU$12,0))+AF84/12*AG84</f>
        <v>0.1843455497382199</v>
      </c>
      <c r="AK84" s="93">
        <f>(12-AG84)/12*INDEX(BW$9:BW$12,MATCH($AB84,$BU$9:$BU$12,0))+AG84/12*AH84</f>
        <v>0.21967975567190226</v>
      </c>
      <c r="AL84" s="93">
        <f>(12-AH84)/12*INDEX(BX$9:BX$12,MATCH($AB84,$BU$9:$BU$12,0))+AH84/12*AI84</f>
        <v>0.23942408376963353</v>
      </c>
      <c r="AM84" s="93">
        <f>IF($BC84=1,AJ84/SUMIFS(AJ$3:AJ$623,$BC$3:$BC$623,1,$G$3:$G$623,$G84),0)</f>
        <v>0</v>
      </c>
      <c r="AN84" s="93">
        <f>IF($BC84=1,AK84/SUMIFS(AK$3:AK$623,$BC$3:$BC$623,1,$G$3:$G$623,$G84),0)</f>
        <v>0</v>
      </c>
      <c r="AO84" s="93">
        <f>IF($BC84=1,AL84/SUMIFS(AL$3:AL$623,$BC$3:$BC$623,1,$G$3:$G$623,$G84),0)</f>
        <v>0</v>
      </c>
      <c r="AP84" s="2">
        <f>IFERROR(R84/$V84*90,"")</f>
        <v>5.272407732864675E-2</v>
      </c>
      <c r="AQ84" s="2">
        <f>IFERROR(S84/$V84*90,"")</f>
        <v>5.272407732864675E-2</v>
      </c>
      <c r="AR84" s="2">
        <f>IFERROR(W84/$V84*90,"")</f>
        <v>0.210896309314587</v>
      </c>
      <c r="AS84" s="2">
        <f>IFERROR(X84/$V84*90,"")</f>
        <v>0</v>
      </c>
      <c r="AT84" s="2">
        <f>IFERROR(Y84/$V84*90,"")</f>
        <v>0</v>
      </c>
      <c r="AU84" s="2">
        <f>IF(AP84="",INDEX(BV$4:BV$7,MATCH(O84,$BU$4:$BU$7,0)),AP84)</f>
        <v>5.272407732864675E-2</v>
      </c>
      <c r="AV84" s="2">
        <f>IF(AQ84="",INDEX(BW$4:BW$7,MATCH($O84,$BU$4:$BU$7,0)),AQ84)</f>
        <v>5.272407732864675E-2</v>
      </c>
      <c r="AW84" s="2">
        <f t="shared" si="12"/>
        <v>0.210896309314587</v>
      </c>
      <c r="AX84" s="2">
        <f t="shared" si="13"/>
        <v>0</v>
      </c>
      <c r="AY84" s="2">
        <f t="shared" si="14"/>
        <v>0</v>
      </c>
      <c r="AZ84" s="2">
        <f>AU84*0.5+AK84*0.5</f>
        <v>0.13620191650027449</v>
      </c>
      <c r="BA84" s="2">
        <f>AV84*0.5+AJ84*0.5</f>
        <v>0.11853481353343333</v>
      </c>
      <c r="BB84" s="2">
        <f t="shared" si="15"/>
        <v>0.3</v>
      </c>
      <c r="BC84">
        <f>IF(I84="expected",1,0)</f>
        <v>0</v>
      </c>
      <c r="BD84" s="78">
        <f>IF(BC84=1,AZ84/SUMIFS(AZ$3:AZ$623,$BC$3:$BC$623,1,$G$3:$G$623,$G84),0)</f>
        <v>0</v>
      </c>
      <c r="BE84" s="78">
        <f>IF(BC84=1,BA84/SUMIFS(BA$3:BA$623,$BC$3:$BC$623,1,$G$3:$G$623,$G84),0)</f>
        <v>0</v>
      </c>
      <c r="BF84" s="78">
        <f t="shared" si="16"/>
        <v>0</v>
      </c>
      <c r="BG84" s="2">
        <f t="shared" si="17"/>
        <v>0.3</v>
      </c>
      <c r="BH84" s="2">
        <f t="shared" si="18"/>
        <v>0</v>
      </c>
      <c r="BI84" s="2">
        <f t="shared" si="19"/>
        <v>0</v>
      </c>
      <c r="BJ84" s="2">
        <f t="shared" si="20"/>
        <v>0</v>
      </c>
      <c r="BK84" s="2">
        <f t="shared" si="21"/>
        <v>0</v>
      </c>
      <c r="BL84" s="2">
        <f t="shared" si="22"/>
        <v>0.3</v>
      </c>
      <c r="BM84" s="2">
        <f t="shared" si="23"/>
        <v>0</v>
      </c>
      <c r="BN84" s="2">
        <f>BI84/SUMIFS(BI$3:BI$623,$BC$3:$BC$623,1,$G$3:$G$623,$G84)</f>
        <v>0</v>
      </c>
      <c r="BO84" s="2">
        <f>BJ84/SUMIFS(BJ$3:BJ$623,$BC$3:$BC$623,1,$G$3:$G$623,$G84)</f>
        <v>0</v>
      </c>
      <c r="BP84" s="2">
        <f>BK84/SUMIFS(BK$3:BK$623,$BC$3:$BC$623,1,$G$3:$G$623,$G84)</f>
        <v>0</v>
      </c>
      <c r="BQ84" s="2">
        <f>BL84</f>
        <v>0.3</v>
      </c>
      <c r="BR84" s="2">
        <f>BM84</f>
        <v>0</v>
      </c>
    </row>
    <row r="85" spans="1:70" hidden="1">
      <c r="A85" s="74">
        <v>0</v>
      </c>
      <c r="B85" s="73">
        <v>204708</v>
      </c>
      <c r="C85" s="73" t="s">
        <v>1321</v>
      </c>
      <c r="D85" s="73" t="s">
        <v>1112</v>
      </c>
      <c r="E85" s="73" t="s">
        <v>1322</v>
      </c>
      <c r="F85" s="73">
        <v>18701</v>
      </c>
      <c r="G85" s="73" t="s">
        <v>893</v>
      </c>
      <c r="H85" s="73" t="s">
        <v>947</v>
      </c>
      <c r="I85" s="73" t="s">
        <v>981</v>
      </c>
      <c r="J85" s="73">
        <v>0</v>
      </c>
      <c r="K85" s="73">
        <v>7</v>
      </c>
      <c r="L85" s="73">
        <v>0</v>
      </c>
      <c r="M85" s="73">
        <v>0</v>
      </c>
      <c r="N85" s="73">
        <v>0</v>
      </c>
      <c r="O85" s="73" t="s">
        <v>994</v>
      </c>
      <c r="P85" s="73" t="s">
        <v>1323</v>
      </c>
      <c r="Q85" s="73" t="s">
        <v>90</v>
      </c>
      <c r="R85" s="73">
        <v>2</v>
      </c>
      <c r="S85" s="73">
        <v>3</v>
      </c>
      <c r="T85" s="73">
        <v>0</v>
      </c>
      <c r="U85" s="73">
        <v>6</v>
      </c>
      <c r="V85" s="73">
        <v>3578</v>
      </c>
      <c r="W85" s="73">
        <v>6</v>
      </c>
      <c r="X85" s="73">
        <v>9</v>
      </c>
      <c r="Y85" s="73">
        <v>1</v>
      </c>
      <c r="Z85" s="73" t="s">
        <v>893</v>
      </c>
      <c r="AA85" s="73" t="s">
        <v>691</v>
      </c>
      <c r="AB85" s="73" t="str">
        <f>IF(AA85&lt;&gt;"",INDEX(Lookup!$N$2:$N$5,MATCH(Players!AA85,Lookup!$P$2:$P$5,0)),INDEX(Lookup!$N$2:$N$5,MATCH(Players!O85,Lookup!$O$2:$O$5,0)))</f>
        <v>Midfield</v>
      </c>
      <c r="AC85" s="73">
        <v>3000000</v>
      </c>
      <c r="AD85" s="73" t="s">
        <v>805</v>
      </c>
      <c r="AE85" s="73" t="str">
        <f>INDEX('Translate table'!$H$2:$H$622,MATCH(Players!P85,'Translate table'!$G$2:$G$622,0))</f>
        <v>JoÃ£o Moutinho</v>
      </c>
      <c r="AF85" s="73">
        <f>IFERROR(INDEX('Euro Qual stats'!$A$1:$L$2071,MATCH(Players!$AE85,'Euro Qual stats'!$A$1:$A$2071,0),MATCH(Players!AF$2,'Euro Qual stats'!$A$1:$L$1,0)),0)</f>
        <v>6</v>
      </c>
      <c r="AG85" s="73">
        <f>IFERROR(INDEX('Euro Qual stats'!$A$1:$L$2071,MATCH(Players!$AE85,'Euro Qual stats'!$A$1:$A$2071,0),MATCH(Players!AG$2,'Euro Qual stats'!$A$1:$L$1,0)),0)</f>
        <v>0</v>
      </c>
      <c r="AH85" s="73">
        <f>IFERROR(INDEX('Euro Qual stats'!$A$1:$L$2071,MATCH(Players!$AE85,'Euro Qual stats'!$A$1:$A$2071,0),MATCH(Players!AH$2,'Euro Qual stats'!$A$1:$L$1,0)),0)</f>
        <v>0</v>
      </c>
      <c r="AI85" s="73">
        <f>IFERROR(INDEX('Euro Qual stats'!$A$1:$L$2071,MATCH(Players!$AE85,'Euro Qual stats'!$A$1:$A$2071,0),MATCH(Players!AI$2,'Euro Qual stats'!$A$1:$L$1,0)),0)</f>
        <v>0</v>
      </c>
      <c r="AJ85" s="93">
        <f>(12-AF85)/12*INDEX(BV$9:BV$12,MATCH($AB85,$BU$9:$BU$12,0))+AF85/12*AG85</f>
        <v>8.4345549738219894E-2</v>
      </c>
      <c r="AK85" s="93">
        <f>(12-AG85)/12*INDEX(BW$9:BW$12,MATCH($AB85,$BU$9:$BU$12,0))+AG85/12*AH85</f>
        <v>0.22340314136125652</v>
      </c>
      <c r="AL85" s="93">
        <f>(12-AH85)/12*INDEX(BX$9:BX$12,MATCH($AB85,$BU$9:$BU$12,0))+AH85/12*AI85</f>
        <v>0.23942408376963353</v>
      </c>
      <c r="AM85" s="93">
        <f>IF($BC85=1,AJ85/SUMIFS(AJ$3:AJ$623,$BC$3:$BC$623,1,$G$3:$G$623,$G85),0)</f>
        <v>5.4473105234242189E-2</v>
      </c>
      <c r="AN85" s="93">
        <f>IF($BC85=1,AK85/SUMIFS(AK$3:AK$623,$BC$3:$BC$623,1,$G$3:$G$623,$G85),0)</f>
        <v>9.0828943322906863E-2</v>
      </c>
      <c r="AO85" s="93">
        <f>IF($BC85=1,AL85/SUMIFS(AL$3:AL$623,$BC$3:$BC$623,1,$G$3:$G$623,$G85),0)</f>
        <v>0.11873155640063877</v>
      </c>
      <c r="AP85" s="2">
        <f>IFERROR(R85/$V85*90,"")</f>
        <v>5.0307434320849637E-2</v>
      </c>
      <c r="AQ85" s="2">
        <f>IFERROR(S85/$V85*90,"")</f>
        <v>7.5461151481274455E-2</v>
      </c>
      <c r="AR85" s="2">
        <f>IFERROR(W85/$V85*90,"")</f>
        <v>0.15092230296254891</v>
      </c>
      <c r="AS85" s="2">
        <f>IFERROR(X85/$V85*90,"")</f>
        <v>0.22638345444382338</v>
      </c>
      <c r="AT85" s="2">
        <f>IFERROR(Y85/$V85*90,"")</f>
        <v>2.5153717160424818E-2</v>
      </c>
      <c r="AU85" s="2">
        <f>IF(AP85="",INDEX(BV$4:BV$7,MATCH(O85,$BU$4:$BU$7,0)),AP85)</f>
        <v>5.0307434320849637E-2</v>
      </c>
      <c r="AV85" s="2">
        <f>IF(AQ85="",INDEX(BW$4:BW$7,MATCH($O85,$BU$4:$BU$7,0)),AQ85)</f>
        <v>7.5461151481274455E-2</v>
      </c>
      <c r="AW85" s="2">
        <f t="shared" si="12"/>
        <v>0.15092230296254891</v>
      </c>
      <c r="AX85" s="2">
        <f t="shared" si="13"/>
        <v>0.22638345444382338</v>
      </c>
      <c r="AY85" s="2">
        <f t="shared" si="14"/>
        <v>2.5153717160424818E-2</v>
      </c>
      <c r="AZ85" s="2">
        <f>AU85*0.5+AK85*0.5</f>
        <v>0.13685528784105308</v>
      </c>
      <c r="BA85" s="2">
        <f>AV85*0.5+AJ85*0.5</f>
        <v>7.9903350609747181E-2</v>
      </c>
      <c r="BB85" s="2">
        <f t="shared" si="15"/>
        <v>0.11319172722191169</v>
      </c>
      <c r="BC85">
        <f>IF(I85="expected",1,0)</f>
        <v>1</v>
      </c>
      <c r="BD85" s="78">
        <f>IF(BC85=1,AZ85/SUMIFS(AZ$3:AZ$623,$BC$3:$BC$623,1,$G$3:$G$623,$G85),0)</f>
        <v>5.2984742017726863E-2</v>
      </c>
      <c r="BE85" s="78">
        <f>IF(BC85=1,BA85/SUMIFS(BA$3:BA$623,$BC$3:$BC$623,1,$G$3:$G$623,$G85),0)</f>
        <v>6.444782683712999E-2</v>
      </c>
      <c r="BF85" s="78">
        <f t="shared" si="16"/>
        <v>1.9398794651208959E-2</v>
      </c>
      <c r="BG85" s="2">
        <f t="shared" si="17"/>
        <v>0.11319172722191169</v>
      </c>
      <c r="BH85" s="2">
        <f t="shared" si="18"/>
        <v>2.5153717160424818E-2</v>
      </c>
      <c r="BI85" s="2">
        <f t="shared" si="19"/>
        <v>5.2984742017726863E-2</v>
      </c>
      <c r="BJ85" s="2">
        <f t="shared" si="20"/>
        <v>6.444782683712999E-2</v>
      </c>
      <c r="BK85" s="2">
        <f t="shared" si="21"/>
        <v>1.9398794651208959E-2</v>
      </c>
      <c r="BL85" s="2">
        <f t="shared" si="22"/>
        <v>0.11319172722191169</v>
      </c>
      <c r="BM85" s="2">
        <f t="shared" si="23"/>
        <v>2.5153717160424818E-2</v>
      </c>
      <c r="BN85" s="2">
        <f>BI85/SUMIFS(BI$3:BI$623,$BC$3:$BC$623,1,$G$3:$G$623,$G85)</f>
        <v>5.298474201772687E-2</v>
      </c>
      <c r="BO85" s="2">
        <f>BJ85/SUMIFS(BJ$3:BJ$623,$BC$3:$BC$623,1,$G$3:$G$623,$G85)</f>
        <v>6.4789729097965931E-2</v>
      </c>
      <c r="BP85" s="2">
        <f>BK85/SUMIFS(BK$3:BK$623,$BC$3:$BC$623,1,$G$3:$G$623,$G85)</f>
        <v>1.9398794651208959E-2</v>
      </c>
      <c r="BQ85" s="2">
        <f>BL85</f>
        <v>0.11319172722191169</v>
      </c>
      <c r="BR85" s="2">
        <f>BM85</f>
        <v>2.5153717160424818E-2</v>
      </c>
    </row>
    <row r="86" spans="1:70" hidden="1">
      <c r="A86" s="74">
        <v>0</v>
      </c>
      <c r="B86" s="73">
        <v>213456</v>
      </c>
      <c r="C86" s="73" t="s">
        <v>1324</v>
      </c>
      <c r="D86" s="73"/>
      <c r="E86" s="73" t="s">
        <v>1325</v>
      </c>
      <c r="F86" s="73">
        <v>18710</v>
      </c>
      <c r="G86" s="73" t="s">
        <v>885</v>
      </c>
      <c r="H86" s="73" t="s">
        <v>943</v>
      </c>
      <c r="I86" s="73" t="s">
        <v>1012</v>
      </c>
      <c r="J86" s="73">
        <v>0</v>
      </c>
      <c r="K86" s="73">
        <v>7</v>
      </c>
      <c r="L86" s="73">
        <v>0</v>
      </c>
      <c r="M86" s="73">
        <v>0</v>
      </c>
      <c r="N86" s="73">
        <v>0</v>
      </c>
      <c r="O86" s="73" t="s">
        <v>994</v>
      </c>
      <c r="P86" s="73" t="s">
        <v>657</v>
      </c>
      <c r="Q86" s="73" t="s">
        <v>657</v>
      </c>
      <c r="R86" s="73">
        <v>1</v>
      </c>
      <c r="S86" s="73">
        <v>0</v>
      </c>
      <c r="T86" s="73">
        <v>0</v>
      </c>
      <c r="U86" s="73">
        <v>5</v>
      </c>
      <c r="V86" s="73">
        <v>1858</v>
      </c>
      <c r="W86" s="73">
        <v>5</v>
      </c>
      <c r="X86" s="73">
        <v>4</v>
      </c>
      <c r="Y86" s="73">
        <v>0</v>
      </c>
      <c r="Z86" s="73" t="s">
        <v>1037</v>
      </c>
      <c r="AA86" s="73" t="s">
        <v>691</v>
      </c>
      <c r="AB86" s="73" t="str">
        <f>IF(AA86&lt;&gt;"",INDEX(Lookup!$N$2:$N$5,MATCH(Players!AA86,Lookup!$P$2:$P$5,0)),INDEX(Lookup!$N$2:$N$5,MATCH(Players!O86,Lookup!$O$2:$O$5,0)))</f>
        <v>Midfield</v>
      </c>
      <c r="AC86" s="73">
        <v>4500000</v>
      </c>
      <c r="AD86" s="73" t="s">
        <v>815</v>
      </c>
      <c r="AE86" s="73" t="str">
        <f>INDEX('Translate table'!$H$2:$H$622,MATCH(Players!P86,'Translate table'!$G$2:$G$622,0))</f>
        <v>Thiago Alcantara</v>
      </c>
      <c r="AF86" s="73">
        <f>IFERROR(INDEX('Euro Qual stats'!$A$1:$L$2071,MATCH(Players!$AE86,'Euro Qual stats'!$A$1:$A$2071,0),MATCH(Players!AF$2,'Euro Qual stats'!$A$1:$L$1,0)),0)</f>
        <v>3</v>
      </c>
      <c r="AG86" s="73">
        <f>IFERROR(INDEX('Euro Qual stats'!$A$1:$L$2071,MATCH(Players!$AE86,'Euro Qual stats'!$A$1:$A$2071,0),MATCH(Players!AG$2,'Euro Qual stats'!$A$1:$L$1,0)),0)</f>
        <v>1.46</v>
      </c>
      <c r="AH86" s="73">
        <f>IFERROR(INDEX('Euro Qual stats'!$A$1:$L$2071,MATCH(Players!$AE86,'Euro Qual stats'!$A$1:$A$2071,0),MATCH(Players!AH$2,'Euro Qual stats'!$A$1:$L$1,0)),0)</f>
        <v>0</v>
      </c>
      <c r="AI86" s="73">
        <f>IFERROR(INDEX('Euro Qual stats'!$A$1:$L$2071,MATCH(Players!$AE86,'Euro Qual stats'!$A$1:$A$2071,0),MATCH(Players!AI$2,'Euro Qual stats'!$A$1:$L$1,0)),0)</f>
        <v>0.37</v>
      </c>
      <c r="AJ86" s="93">
        <f>(12-AF86)/12*INDEX(BV$9:BV$12,MATCH($AB86,$BU$9:$BU$12,0))+AF86/12*AG86</f>
        <v>0.4915183246073298</v>
      </c>
      <c r="AK86" s="93">
        <f>(12-AG86)/12*INDEX(BW$9:BW$12,MATCH($AB86,$BU$9:$BU$12,0))+AG86/12*AH86</f>
        <v>0.19622242582897031</v>
      </c>
      <c r="AL86" s="93">
        <f>(12-AH86)/12*INDEX(BX$9:BX$12,MATCH($AB86,$BU$9:$BU$12,0))+AH86/12*AI86</f>
        <v>0.23942408376963353</v>
      </c>
      <c r="AM86" s="93">
        <f>IF($BC86=1,AJ86/SUMIFS(AJ$3:AJ$623,$BC$3:$BC$623,1,$G$3:$G$623,$G86),0)</f>
        <v>0</v>
      </c>
      <c r="AN86" s="93">
        <f>IF($BC86=1,AK86/SUMIFS(AK$3:AK$623,$BC$3:$BC$623,1,$G$3:$G$623,$G86),0)</f>
        <v>0</v>
      </c>
      <c r="AO86" s="93">
        <f>IF($BC86=1,AL86/SUMIFS(AL$3:AL$623,$BC$3:$BC$623,1,$G$3:$G$623,$G86),0)</f>
        <v>0</v>
      </c>
      <c r="AP86" s="2">
        <f>IFERROR(R86/$V86*90,"")</f>
        <v>4.843918191603875E-2</v>
      </c>
      <c r="AQ86" s="2">
        <f>IFERROR(S86/$V86*90,"")</f>
        <v>0</v>
      </c>
      <c r="AR86" s="2">
        <f>IFERROR(W86/$V86*90,"")</f>
        <v>0.24219590958019377</v>
      </c>
      <c r="AS86" s="2">
        <f>IFERROR(X86/$V86*90,"")</f>
        <v>0.193756727664155</v>
      </c>
      <c r="AT86" s="2">
        <f>IFERROR(Y86/$V86*90,"")</f>
        <v>0</v>
      </c>
      <c r="AU86" s="2">
        <f>IF(AP86="",INDEX(BV$4:BV$7,MATCH(O86,$BU$4:$BU$7,0)),AP86)</f>
        <v>4.843918191603875E-2</v>
      </c>
      <c r="AV86" s="2">
        <f>IF(AQ86="",INDEX(BW$4:BW$7,MATCH($O86,$BU$4:$BU$7,0)),AQ86)</f>
        <v>0</v>
      </c>
      <c r="AW86" s="2">
        <f t="shared" si="12"/>
        <v>0.24219590958019377</v>
      </c>
      <c r="AX86" s="2">
        <f t="shared" si="13"/>
        <v>0.193756727664155</v>
      </c>
      <c r="AY86" s="2">
        <f t="shared" si="14"/>
        <v>0</v>
      </c>
      <c r="AZ86" s="2">
        <f>AU86*0.5+AK86*0.5</f>
        <v>0.12233080387250453</v>
      </c>
      <c r="BA86" s="2">
        <f>AV86*0.5+AJ86*0.5</f>
        <v>0.2457591623036649</v>
      </c>
      <c r="BB86" s="2">
        <f t="shared" si="15"/>
        <v>0.28187836383207748</v>
      </c>
      <c r="BC86">
        <f>IF(I86="expected",1,0)</f>
        <v>0</v>
      </c>
      <c r="BD86" s="78">
        <f>IF(BC86=1,AZ86/SUMIFS(AZ$3:AZ$623,$BC$3:$BC$623,1,$G$3:$G$623,$G86),0)</f>
        <v>0</v>
      </c>
      <c r="BE86" s="78">
        <f>IF(BC86=1,BA86/SUMIFS(BA$3:BA$623,$BC$3:$BC$623,1,$G$3:$G$623,$G86),0)</f>
        <v>0</v>
      </c>
      <c r="BF86" s="78">
        <f t="shared" si="16"/>
        <v>0</v>
      </c>
      <c r="BG86" s="2">
        <f t="shared" si="17"/>
        <v>0.28187836383207748</v>
      </c>
      <c r="BH86" s="2">
        <f t="shared" si="18"/>
        <v>0</v>
      </c>
      <c r="BI86" s="2">
        <f t="shared" si="19"/>
        <v>0</v>
      </c>
      <c r="BJ86" s="2">
        <f t="shared" si="20"/>
        <v>0</v>
      </c>
      <c r="BK86" s="2">
        <f t="shared" si="21"/>
        <v>0</v>
      </c>
      <c r="BL86" s="2">
        <f t="shared" si="22"/>
        <v>0.28187836383207748</v>
      </c>
      <c r="BM86" s="2">
        <f t="shared" si="23"/>
        <v>0</v>
      </c>
      <c r="BN86" s="2">
        <f>BI86/SUMIFS(BI$3:BI$623,$BC$3:$BC$623,1,$G$3:$G$623,$G86)</f>
        <v>0</v>
      </c>
      <c r="BO86" s="2">
        <f>BJ86/SUMIFS(BJ$3:BJ$623,$BC$3:$BC$623,1,$G$3:$G$623,$G86)</f>
        <v>0</v>
      </c>
      <c r="BP86" s="2">
        <f>BK86/SUMIFS(BK$3:BK$623,$BC$3:$BC$623,1,$G$3:$G$623,$G86)</f>
        <v>0</v>
      </c>
      <c r="BQ86" s="2">
        <f>BL86</f>
        <v>0.28187836383207748</v>
      </c>
      <c r="BR86" s="2">
        <f>BM86</f>
        <v>0</v>
      </c>
    </row>
    <row r="87" spans="1:70" hidden="1">
      <c r="A87" s="74">
        <v>0</v>
      </c>
      <c r="B87" s="73">
        <v>204631</v>
      </c>
      <c r="C87" s="73" t="s">
        <v>1326</v>
      </c>
      <c r="D87" s="73"/>
      <c r="E87" s="73" t="s">
        <v>405</v>
      </c>
      <c r="F87" s="73">
        <v>18710</v>
      </c>
      <c r="G87" s="73" t="s">
        <v>885</v>
      </c>
      <c r="H87" s="73" t="s">
        <v>943</v>
      </c>
      <c r="I87" s="73" t="s">
        <v>981</v>
      </c>
      <c r="J87" s="73">
        <v>0</v>
      </c>
      <c r="K87" s="73">
        <v>7</v>
      </c>
      <c r="L87" s="73">
        <v>0</v>
      </c>
      <c r="M87" s="73">
        <v>0</v>
      </c>
      <c r="N87" s="73">
        <v>0</v>
      </c>
      <c r="O87" s="73" t="s">
        <v>994</v>
      </c>
      <c r="P87" s="73" t="s">
        <v>687</v>
      </c>
      <c r="Q87" s="73" t="s">
        <v>98</v>
      </c>
      <c r="R87" s="73">
        <v>0</v>
      </c>
      <c r="S87" s="73">
        <v>0</v>
      </c>
      <c r="T87" s="73">
        <v>0</v>
      </c>
      <c r="U87" s="73">
        <v>5</v>
      </c>
      <c r="V87" s="73">
        <v>2082</v>
      </c>
      <c r="W87" s="73">
        <v>2</v>
      </c>
      <c r="X87" s="73">
        <v>4</v>
      </c>
      <c r="Y87" s="73">
        <v>0</v>
      </c>
      <c r="Z87" s="73" t="s">
        <v>1037</v>
      </c>
      <c r="AA87" s="73" t="s">
        <v>691</v>
      </c>
      <c r="AB87" s="73" t="str">
        <f>IF(AA87&lt;&gt;"",INDEX(Lookup!$N$2:$N$5,MATCH(Players!AA87,Lookup!$P$2:$P$5,0)),INDEX(Lookup!$N$2:$N$5,MATCH(Players!O87,Lookup!$O$2:$O$5,0)))</f>
        <v>Midfield</v>
      </c>
      <c r="AC87" s="73">
        <v>4000000</v>
      </c>
      <c r="AD87" s="73" t="s">
        <v>792</v>
      </c>
      <c r="AE87" s="73" t="str">
        <f>INDEX('Translate table'!$H$2:$H$622,MATCH(Players!P87,'Translate table'!$G$2:$G$622,0))</f>
        <v>Rodrigo</v>
      </c>
      <c r="AF87" s="73">
        <f>IFERROR(INDEX('Euro Qual stats'!$A$1:$L$2071,MATCH(Players!$AE87,'Euro Qual stats'!$A$1:$A$2071,0),MATCH(Players!AF$2,'Euro Qual stats'!$A$1:$L$1,0)),0)</f>
        <v>7</v>
      </c>
      <c r="AG87" s="73">
        <f>IFERROR(INDEX('Euro Qual stats'!$A$1:$L$2071,MATCH(Players!$AE87,'Euro Qual stats'!$A$1:$A$2071,0),MATCH(Players!AG$2,'Euro Qual stats'!$A$1:$L$1,0)),0)</f>
        <v>0</v>
      </c>
      <c r="AH87" s="73">
        <f>IFERROR(INDEX('Euro Qual stats'!$A$1:$L$2071,MATCH(Players!$AE87,'Euro Qual stats'!$A$1:$A$2071,0),MATCH(Players!AH$2,'Euro Qual stats'!$A$1:$L$1,0)),0)</f>
        <v>0.8</v>
      </c>
      <c r="AI87" s="73">
        <f>IFERROR(INDEX('Euro Qual stats'!$A$1:$L$2071,MATCH(Players!$AE87,'Euro Qual stats'!$A$1:$A$2071,0),MATCH(Players!AI$2,'Euro Qual stats'!$A$1:$L$1,0)),0)</f>
        <v>0.2</v>
      </c>
      <c r="AJ87" s="93">
        <f>(12-AF87)/12*INDEX(BV$9:BV$12,MATCH($AB87,$BU$9:$BU$12,0))+AF87/12*AG87</f>
        <v>7.0287958115183249E-2</v>
      </c>
      <c r="AK87" s="93">
        <f>(12-AG87)/12*INDEX(BW$9:BW$12,MATCH($AB87,$BU$9:$BU$12,0))+AG87/12*AH87</f>
        <v>0.22340314136125652</v>
      </c>
      <c r="AL87" s="93">
        <f>(12-AH87)/12*INDEX(BX$9:BX$12,MATCH($AB87,$BU$9:$BU$12,0))+AH87/12*AI87</f>
        <v>0.2367958115183246</v>
      </c>
      <c r="AM87" s="93">
        <f>IF($BC87=1,AJ87/SUMIFS(AJ$3:AJ$623,$BC$3:$BC$623,1,$G$3:$G$623,$G87),0)</f>
        <v>3.7205582155008327E-2</v>
      </c>
      <c r="AN87" s="93">
        <f>IF($BC87=1,AK87/SUMIFS(AK$3:AK$623,$BC$3:$BC$623,1,$G$3:$G$623,$G87),0)</f>
        <v>7.0341174875600099E-2</v>
      </c>
      <c r="AO87" s="93">
        <f>IF($BC87=1,AL87/SUMIFS(AL$3:AL$623,$BC$3:$BC$623,1,$G$3:$G$623,$G87),0)</f>
        <v>0.1304690252199868</v>
      </c>
      <c r="AP87" s="2">
        <f>IFERROR(R87/$V87*90,"")</f>
        <v>0</v>
      </c>
      <c r="AQ87" s="2">
        <f>IFERROR(S87/$V87*90,"")</f>
        <v>0</v>
      </c>
      <c r="AR87" s="2">
        <f>IFERROR(W87/$V87*90,"")</f>
        <v>8.645533141210375E-2</v>
      </c>
      <c r="AS87" s="2">
        <f>IFERROR(X87/$V87*90,"")</f>
        <v>0.1729106628242075</v>
      </c>
      <c r="AT87" s="2">
        <f>IFERROR(Y87/$V87*90,"")</f>
        <v>0</v>
      </c>
      <c r="AU87" s="2">
        <f>IF(AP87="",INDEX(BV$4:BV$7,MATCH(O87,$BU$4:$BU$7,0)),AP87)</f>
        <v>0</v>
      </c>
      <c r="AV87" s="2">
        <f>IF(AQ87="",INDEX(BW$4:BW$7,MATCH($O87,$BU$4:$BU$7,0)),AQ87)</f>
        <v>0</v>
      </c>
      <c r="AW87" s="2">
        <f t="shared" si="12"/>
        <v>8.645533141210375E-2</v>
      </c>
      <c r="AX87" s="2">
        <f t="shared" si="13"/>
        <v>0.1729106628242075</v>
      </c>
      <c r="AY87" s="2">
        <f t="shared" si="14"/>
        <v>0</v>
      </c>
      <c r="AZ87" s="2">
        <f>AU87*0.5+AK87*0.5</f>
        <v>0.11170157068062826</v>
      </c>
      <c r="BA87" s="2">
        <f>AV87*0.5+AJ87*0.5</f>
        <v>3.5143979057591625E-2</v>
      </c>
      <c r="BB87" s="2">
        <f t="shared" si="15"/>
        <v>0.18645533141210374</v>
      </c>
      <c r="BC87">
        <f>IF(I87="expected",1,0)</f>
        <v>1</v>
      </c>
      <c r="BD87" s="78">
        <f>IF(BC87=1,AZ87/SUMIFS(AZ$3:AZ$623,$BC$3:$BC$623,1,$G$3:$G$623,$G87),0)</f>
        <v>3.9715832327238354E-2</v>
      </c>
      <c r="BE87" s="78">
        <f>IF(BC87=1,BA87/SUMIFS(BA$3:BA$623,$BC$3:$BC$623,1,$G$3:$G$623,$G87),0)</f>
        <v>1.7520148300641854E-2</v>
      </c>
      <c r="BF87" s="78">
        <f t="shared" si="16"/>
        <v>1.4101617638320234E-2</v>
      </c>
      <c r="BG87" s="2">
        <f t="shared" si="17"/>
        <v>0.18645533141210374</v>
      </c>
      <c r="BH87" s="2">
        <f t="shared" si="18"/>
        <v>0</v>
      </c>
      <c r="BI87" s="2">
        <f t="shared" si="19"/>
        <v>3.9715832327238354E-2</v>
      </c>
      <c r="BJ87" s="2">
        <f t="shared" si="20"/>
        <v>1.7520148300641854E-2</v>
      </c>
      <c r="BK87" s="2">
        <f t="shared" si="21"/>
        <v>1.4101617638320234E-2</v>
      </c>
      <c r="BL87" s="2">
        <f t="shared" si="22"/>
        <v>0.18645533141210374</v>
      </c>
      <c r="BM87" s="2">
        <f t="shared" si="23"/>
        <v>0</v>
      </c>
      <c r="BN87" s="2">
        <f>BI87/SUMIFS(BI$3:BI$623,$BC$3:$BC$623,1,$G$3:$G$623,$G87)</f>
        <v>3.9715832327238347E-2</v>
      </c>
      <c r="BO87" s="2">
        <f>BJ87/SUMIFS(BJ$3:BJ$623,$BC$3:$BC$623,1,$G$3:$G$623,$G87)</f>
        <v>1.7520148300641854E-2</v>
      </c>
      <c r="BP87" s="2">
        <f>BK87/SUMIFS(BK$3:BK$623,$BC$3:$BC$623,1,$G$3:$G$623,$G87)</f>
        <v>1.4101617638320237E-2</v>
      </c>
      <c r="BQ87" s="2">
        <f>BL87</f>
        <v>0.18645533141210374</v>
      </c>
      <c r="BR87" s="2">
        <f>BM87</f>
        <v>0</v>
      </c>
    </row>
    <row r="88" spans="1:70" hidden="1">
      <c r="A88" s="74">
        <v>0</v>
      </c>
      <c r="B88" s="73">
        <v>204667</v>
      </c>
      <c r="C88" s="73" t="s">
        <v>1327</v>
      </c>
      <c r="D88" s="73" t="s">
        <v>1328</v>
      </c>
      <c r="E88" s="73" t="s">
        <v>1329</v>
      </c>
      <c r="F88" s="73">
        <v>18647</v>
      </c>
      <c r="G88" s="73" t="s">
        <v>891</v>
      </c>
      <c r="H88" s="73" t="s">
        <v>927</v>
      </c>
      <c r="I88" s="73" t="s">
        <v>981</v>
      </c>
      <c r="J88" s="73">
        <v>0</v>
      </c>
      <c r="K88" s="73">
        <v>7</v>
      </c>
      <c r="L88" s="73">
        <v>0</v>
      </c>
      <c r="M88" s="73">
        <v>0</v>
      </c>
      <c r="N88" s="73">
        <v>0</v>
      </c>
      <c r="O88" s="73" t="s">
        <v>1290</v>
      </c>
      <c r="P88" s="73" t="s">
        <v>359</v>
      </c>
      <c r="Q88" s="73" t="s">
        <v>359</v>
      </c>
      <c r="R88" s="73">
        <v>0</v>
      </c>
      <c r="S88" s="73">
        <v>0</v>
      </c>
      <c r="T88" s="73">
        <v>114</v>
      </c>
      <c r="U88" s="73">
        <v>12</v>
      </c>
      <c r="V88" s="73">
        <v>3420</v>
      </c>
      <c r="W88" s="73">
        <v>0</v>
      </c>
      <c r="X88" s="73">
        <v>0</v>
      </c>
      <c r="Y88" s="73">
        <v>0</v>
      </c>
      <c r="Z88" s="73" t="s">
        <v>989</v>
      </c>
      <c r="AA88" s="73" t="s">
        <v>690</v>
      </c>
      <c r="AB88" s="73" t="str">
        <f>IF(AA88&lt;&gt;"",INDEX(Lookup!$N$2:$N$5,MATCH(Players!AA88,Lookup!$P$2:$P$5,0)),INDEX(Lookup!$N$2:$N$5,MATCH(Players!O88,Lookup!$O$2:$O$5,0)))</f>
        <v>Goalkeeper</v>
      </c>
      <c r="AC88" s="73">
        <v>6000000</v>
      </c>
      <c r="AD88" s="73" t="s">
        <v>806</v>
      </c>
      <c r="AE88" s="73" t="str">
        <f>INDEX('Translate table'!$H$2:$H$622,MATCH(Players!P88,'Translate table'!$G$2:$G$622,0))</f>
        <v>Hugo Lloris</v>
      </c>
      <c r="AF88" s="73">
        <f>IFERROR(INDEX('Euro Qual stats'!$A$1:$L$2071,MATCH(Players!$AE88,'Euro Qual stats'!$A$1:$A$2071,0),MATCH(Players!AF$2,'Euro Qual stats'!$A$1:$L$1,0)),0)</f>
        <v>6</v>
      </c>
      <c r="AG88" s="73">
        <f>IFERROR(INDEX('Euro Qual stats'!$A$1:$L$2071,MATCH(Players!$AE88,'Euro Qual stats'!$A$1:$A$2071,0),MATCH(Players!AG$2,'Euro Qual stats'!$A$1:$L$1,0)),0)</f>
        <v>0</v>
      </c>
      <c r="AH88" s="73">
        <f>IFERROR(INDEX('Euro Qual stats'!$A$1:$L$2071,MATCH(Players!$AE88,'Euro Qual stats'!$A$1:$A$2071,0),MATCH(Players!AH$2,'Euro Qual stats'!$A$1:$L$1,0)),0)</f>
        <v>0</v>
      </c>
      <c r="AI88" s="73">
        <f>IFERROR(INDEX('Euro Qual stats'!$A$1:$L$2071,MATCH(Players!$AE88,'Euro Qual stats'!$A$1:$A$2071,0),MATCH(Players!AI$2,'Euro Qual stats'!$A$1:$L$1,0)),0)</f>
        <v>0</v>
      </c>
      <c r="AJ88" s="93">
        <f>(12-AF88)/12*INDEX(BV$9:BV$12,MATCH($AB88,$BU$9:$BU$12,0))+AF88/12*AG88</f>
        <v>0</v>
      </c>
      <c r="AK88" s="93">
        <f>(12-AG88)/12*INDEX(BW$9:BW$12,MATCH($AB88,$BU$9:$BU$12,0))+AG88/12*AH88</f>
        <v>0</v>
      </c>
      <c r="AL88" s="93">
        <f>(12-AH88)/12*INDEX(BX$9:BX$12,MATCH($AB88,$BU$9:$BU$12,0))+AH88/12*AI88</f>
        <v>0</v>
      </c>
      <c r="AM88" s="93">
        <f>IF($BC88=1,AJ88/SUMIFS(AJ$3:AJ$623,$BC$3:$BC$623,1,$G$3:$G$623,$G88),0)</f>
        <v>0</v>
      </c>
      <c r="AN88" s="93">
        <f>IF($BC88=1,AK88/SUMIFS(AK$3:AK$623,$BC$3:$BC$623,1,$G$3:$G$623,$G88),0)</f>
        <v>0</v>
      </c>
      <c r="AO88" s="93">
        <f>IF($BC88=1,AL88/SUMIFS(AL$3:AL$623,$BC$3:$BC$623,1,$G$3:$G$623,$G88),0)</f>
        <v>0</v>
      </c>
      <c r="AP88" s="2">
        <f>IFERROR(R88/$V88*90,"")</f>
        <v>0</v>
      </c>
      <c r="AQ88" s="2">
        <f>IFERROR(S88/$V88*90,"")</f>
        <v>0</v>
      </c>
      <c r="AR88" s="2">
        <f>IFERROR(W88/$V88*90,"")</f>
        <v>0</v>
      </c>
      <c r="AS88" s="2">
        <f>IFERROR(X88/$V88*90,"")</f>
        <v>0</v>
      </c>
      <c r="AT88" s="2">
        <f>IFERROR(Y88/$V88*90,"")</f>
        <v>0</v>
      </c>
      <c r="AU88" s="2">
        <f>IF(AP88="",INDEX(BV$4:BV$7,MATCH(O88,$BU$4:$BU$7,0)),AP88)</f>
        <v>0</v>
      </c>
      <c r="AV88" s="2">
        <f>IF(AQ88="",INDEX(BW$4:BW$7,MATCH($O88,$BU$4:$BU$7,0)),AQ88)</f>
        <v>0</v>
      </c>
      <c r="AW88" s="2">
        <f t="shared" si="12"/>
        <v>0</v>
      </c>
      <c r="AX88" s="2">
        <f t="shared" si="13"/>
        <v>0</v>
      </c>
      <c r="AY88" s="2">
        <f t="shared" si="14"/>
        <v>0</v>
      </c>
      <c r="AZ88" s="2">
        <f>AU88*0.5+AK88*0.5</f>
        <v>0</v>
      </c>
      <c r="BA88" s="2">
        <f>AV88*0.5+AJ88*0.5</f>
        <v>0</v>
      </c>
      <c r="BB88" s="2">
        <f t="shared" si="15"/>
        <v>0</v>
      </c>
      <c r="BC88">
        <f>IF(I88="expected",1,0)</f>
        <v>1</v>
      </c>
      <c r="BD88" s="78">
        <f>IF(BC88=1,AZ88/SUMIFS(AZ$3:AZ$623,$BC$3:$BC$623,1,$G$3:$G$623,$G88),0)</f>
        <v>0</v>
      </c>
      <c r="BE88" s="78">
        <f>IF(BC88=1,BA88/SUMIFS(BA$3:BA$623,$BC$3:$BC$623,1,$G$3:$G$623,$G88),0)</f>
        <v>0</v>
      </c>
      <c r="BF88" s="78">
        <f t="shared" si="16"/>
        <v>0</v>
      </c>
      <c r="BG88" s="2">
        <f t="shared" si="17"/>
        <v>0</v>
      </c>
      <c r="BH88" s="2">
        <f t="shared" si="18"/>
        <v>0</v>
      </c>
      <c r="BI88" s="2">
        <f t="shared" si="19"/>
        <v>0</v>
      </c>
      <c r="BJ88" s="2">
        <f t="shared" si="20"/>
        <v>0</v>
      </c>
      <c r="BK88" s="2">
        <f t="shared" si="21"/>
        <v>0</v>
      </c>
      <c r="BL88" s="2">
        <f t="shared" si="22"/>
        <v>0</v>
      </c>
      <c r="BM88" s="2">
        <f t="shared" si="23"/>
        <v>0</v>
      </c>
      <c r="BN88" s="2">
        <f>BI88/SUMIFS(BI$3:BI$623,$BC$3:$BC$623,1,$G$3:$G$623,$G88)</f>
        <v>0</v>
      </c>
      <c r="BO88" s="2">
        <f>BJ88/SUMIFS(BJ$3:BJ$623,$BC$3:$BC$623,1,$G$3:$G$623,$G88)</f>
        <v>0</v>
      </c>
      <c r="BP88" s="2">
        <f>BK88/SUMIFS(BK$3:BK$623,$BC$3:$BC$623,1,$G$3:$G$623,$G88)</f>
        <v>0</v>
      </c>
      <c r="BQ88" s="2">
        <f>BL88</f>
        <v>0</v>
      </c>
      <c r="BR88" s="2">
        <f>BM88</f>
        <v>0</v>
      </c>
    </row>
    <row r="89" spans="1:70" hidden="1">
      <c r="A89" s="74">
        <v>0</v>
      </c>
      <c r="B89" s="73">
        <v>204674</v>
      </c>
      <c r="C89" s="73" t="s">
        <v>1330</v>
      </c>
      <c r="D89" s="73" t="s">
        <v>1331</v>
      </c>
      <c r="E89" s="73" t="s">
        <v>1332</v>
      </c>
      <c r="F89" s="73">
        <v>18647</v>
      </c>
      <c r="G89" s="73" t="s">
        <v>891</v>
      </c>
      <c r="H89" s="73" t="s">
        <v>927</v>
      </c>
      <c r="I89" s="73" t="s">
        <v>1012</v>
      </c>
      <c r="J89" s="73">
        <v>0</v>
      </c>
      <c r="K89" s="73">
        <v>7</v>
      </c>
      <c r="L89" s="73">
        <v>0</v>
      </c>
      <c r="M89" s="73">
        <v>0</v>
      </c>
      <c r="N89" s="73">
        <v>0</v>
      </c>
      <c r="O89" s="73" t="s">
        <v>994</v>
      </c>
      <c r="P89" s="73" t="s">
        <v>1333</v>
      </c>
      <c r="Q89" s="73" t="s">
        <v>1333</v>
      </c>
      <c r="R89" s="73">
        <v>1</v>
      </c>
      <c r="S89" s="73">
        <v>0</v>
      </c>
      <c r="T89" s="73">
        <v>0</v>
      </c>
      <c r="U89" s="73">
        <v>0</v>
      </c>
      <c r="V89" s="73">
        <v>778</v>
      </c>
      <c r="W89" s="73">
        <v>7</v>
      </c>
      <c r="X89" s="73">
        <v>1</v>
      </c>
      <c r="Y89" s="73">
        <v>1</v>
      </c>
      <c r="Z89" s="73" t="s">
        <v>989</v>
      </c>
      <c r="AA89" s="73" t="s">
        <v>691</v>
      </c>
      <c r="AB89" s="73" t="str">
        <f>IF(AA89&lt;&gt;"",INDEX(Lookup!$N$2:$N$5,MATCH(Players!AA89,Lookup!$P$2:$P$5,0)),INDEX(Lookup!$N$2:$N$5,MATCH(Players!O89,Lookup!$O$2:$O$5,0)))</f>
        <v>Midfield</v>
      </c>
      <c r="AC89" s="73">
        <v>4000000</v>
      </c>
      <c r="AD89" s="73" t="s">
        <v>801</v>
      </c>
      <c r="AE89" s="73" t="str">
        <f>INDEX('Translate table'!$H$2:$H$622,MATCH(Players!P89,'Translate table'!$G$2:$G$622,0))</f>
        <v>Corentin Tolisso</v>
      </c>
      <c r="AF89" s="73">
        <f>IFERROR(INDEX('Euro Qual stats'!$A$1:$L$2071,MATCH(Players!$AE89,'Euro Qual stats'!$A$1:$A$2071,0),MATCH(Players!AF$2,'Euro Qual stats'!$A$1:$L$1,0)),0)</f>
        <v>6</v>
      </c>
      <c r="AG89" s="73">
        <f>IFERROR(INDEX('Euro Qual stats'!$A$1:$L$2071,MATCH(Players!$AE89,'Euro Qual stats'!$A$1:$A$2071,0),MATCH(Players!AG$2,'Euro Qual stats'!$A$1:$L$1,0)),0)</f>
        <v>0</v>
      </c>
      <c r="AH89" s="73">
        <f>IFERROR(INDEX('Euro Qual stats'!$A$1:$L$2071,MATCH(Players!$AE89,'Euro Qual stats'!$A$1:$A$2071,0),MATCH(Players!AH$2,'Euro Qual stats'!$A$1:$L$1,0)),0)</f>
        <v>0.17</v>
      </c>
      <c r="AI89" s="73">
        <f>IFERROR(INDEX('Euro Qual stats'!$A$1:$L$2071,MATCH(Players!$AE89,'Euro Qual stats'!$A$1:$A$2071,0),MATCH(Players!AI$2,'Euro Qual stats'!$A$1:$L$1,0)),0)</f>
        <v>0.17</v>
      </c>
      <c r="AJ89" s="93">
        <f>(12-AF89)/12*INDEX(BV$9:BV$12,MATCH($AB89,$BU$9:$BU$12,0))+AF89/12*AG89</f>
        <v>8.4345549738219894E-2</v>
      </c>
      <c r="AK89" s="93">
        <f>(12-AG89)/12*INDEX(BW$9:BW$12,MATCH($AB89,$BU$9:$BU$12,0))+AG89/12*AH89</f>
        <v>0.22340314136125652</v>
      </c>
      <c r="AL89" s="93">
        <f>(12-AH89)/12*INDEX(BX$9:BX$12,MATCH($AB89,$BU$9:$BU$12,0))+AH89/12*AI89</f>
        <v>0.23844057591623041</v>
      </c>
      <c r="AM89" s="93">
        <f>IF($BC89=1,AJ89/SUMIFS(AJ$3:AJ$623,$BC$3:$BC$623,1,$G$3:$G$623,$G89),0)</f>
        <v>0</v>
      </c>
      <c r="AN89" s="93">
        <f>IF($BC89=1,AK89/SUMIFS(AK$3:AK$623,$BC$3:$BC$623,1,$G$3:$G$623,$G89),0)</f>
        <v>0</v>
      </c>
      <c r="AO89" s="93">
        <f>IF($BC89=1,AL89/SUMIFS(AL$3:AL$623,$BC$3:$BC$623,1,$G$3:$G$623,$G89),0)</f>
        <v>0</v>
      </c>
      <c r="AP89" s="2">
        <f>IFERROR(R89/$V89*90,"")</f>
        <v>0.11568123393316194</v>
      </c>
      <c r="AQ89" s="2">
        <f>IFERROR(S89/$V89*90,"")</f>
        <v>0</v>
      </c>
      <c r="AR89" s="2">
        <f>IFERROR(W89/$V89*90,"")</f>
        <v>0.80976863753213368</v>
      </c>
      <c r="AS89" s="2">
        <f>IFERROR(X89/$V89*90,"")</f>
        <v>0.11568123393316194</v>
      </c>
      <c r="AT89" s="2">
        <f>IFERROR(Y89/$V89*90,"")</f>
        <v>0.11568123393316194</v>
      </c>
      <c r="AU89" s="2">
        <f>IF(AP89="",INDEX(BV$4:BV$7,MATCH(O89,$BU$4:$BU$7,0)),AP89)</f>
        <v>0.11568123393316194</v>
      </c>
      <c r="AV89" s="2">
        <f>IF(AQ89="",INDEX(BW$4:BW$7,MATCH($O89,$BU$4:$BU$7,0)),AQ89)</f>
        <v>0</v>
      </c>
      <c r="AW89" s="2">
        <f t="shared" si="12"/>
        <v>0.80976863753213368</v>
      </c>
      <c r="AX89" s="2">
        <f t="shared" si="13"/>
        <v>0.11568123393316194</v>
      </c>
      <c r="AY89" s="2">
        <f t="shared" si="14"/>
        <v>0.11568123393316194</v>
      </c>
      <c r="AZ89" s="2">
        <f>AU89*0.5+AK89*0.5</f>
        <v>0.16954218764720924</v>
      </c>
      <c r="BA89" s="2">
        <f>AV89*0.5+AJ89*0.5</f>
        <v>4.2172774869109947E-2</v>
      </c>
      <c r="BB89" s="2">
        <f t="shared" si="15"/>
        <v>0.14284061696658099</v>
      </c>
      <c r="BC89">
        <f>IF(I89="expected",1,0)</f>
        <v>0</v>
      </c>
      <c r="BD89" s="78">
        <f>IF(BC89=1,AZ89/SUMIFS(AZ$3:AZ$623,$BC$3:$BC$623,1,$G$3:$G$623,$G89),0)</f>
        <v>0</v>
      </c>
      <c r="BE89" s="78">
        <f>IF(BC89=1,BA89/SUMIFS(BA$3:BA$623,$BC$3:$BC$623,1,$G$3:$G$623,$G89),0)</f>
        <v>0</v>
      </c>
      <c r="BF89" s="78">
        <f t="shared" si="16"/>
        <v>0</v>
      </c>
      <c r="BG89" s="2">
        <f t="shared" si="17"/>
        <v>0.14284061696658099</v>
      </c>
      <c r="BH89" s="2">
        <f t="shared" si="18"/>
        <v>0.11568123393316194</v>
      </c>
      <c r="BI89" s="2">
        <f t="shared" si="19"/>
        <v>0</v>
      </c>
      <c r="BJ89" s="2">
        <f t="shared" si="20"/>
        <v>0</v>
      </c>
      <c r="BK89" s="2">
        <f t="shared" si="21"/>
        <v>0</v>
      </c>
      <c r="BL89" s="2">
        <f t="shared" si="22"/>
        <v>0.14284061696658099</v>
      </c>
      <c r="BM89" s="2">
        <f t="shared" si="23"/>
        <v>0.06</v>
      </c>
      <c r="BN89" s="2">
        <f>BI89/SUMIFS(BI$3:BI$623,$BC$3:$BC$623,1,$G$3:$G$623,$G89)</f>
        <v>0</v>
      </c>
      <c r="BO89" s="2">
        <f>BJ89/SUMIFS(BJ$3:BJ$623,$BC$3:$BC$623,1,$G$3:$G$623,$G89)</f>
        <v>0</v>
      </c>
      <c r="BP89" s="2">
        <f>BK89/SUMIFS(BK$3:BK$623,$BC$3:$BC$623,1,$G$3:$G$623,$G89)</f>
        <v>0</v>
      </c>
      <c r="BQ89" s="2">
        <f>BL89</f>
        <v>0.14284061696658099</v>
      </c>
      <c r="BR89" s="2">
        <f>BM89</f>
        <v>0.06</v>
      </c>
    </row>
    <row r="90" spans="1:70" hidden="1">
      <c r="A90" s="74">
        <v>0</v>
      </c>
      <c r="B90" s="73">
        <v>204673</v>
      </c>
      <c r="C90" s="73" t="s">
        <v>1334</v>
      </c>
      <c r="D90" s="73" t="s">
        <v>1335</v>
      </c>
      <c r="E90" s="73" t="s">
        <v>1336</v>
      </c>
      <c r="F90" s="73">
        <v>18647</v>
      </c>
      <c r="G90" s="73" t="s">
        <v>891</v>
      </c>
      <c r="H90" s="73" t="s">
        <v>927</v>
      </c>
      <c r="I90" s="73" t="s">
        <v>1012</v>
      </c>
      <c r="J90" s="73">
        <v>0</v>
      </c>
      <c r="K90" s="73">
        <v>7</v>
      </c>
      <c r="L90" s="73">
        <v>0</v>
      </c>
      <c r="M90" s="73">
        <v>0</v>
      </c>
      <c r="N90" s="73">
        <v>0</v>
      </c>
      <c r="O90" s="73" t="s">
        <v>994</v>
      </c>
      <c r="P90" s="73" t="s">
        <v>1337</v>
      </c>
      <c r="Q90" s="73" t="s">
        <v>245</v>
      </c>
      <c r="R90" s="73">
        <v>0</v>
      </c>
      <c r="S90" s="73">
        <v>2</v>
      </c>
      <c r="T90" s="73">
        <v>0</v>
      </c>
      <c r="U90" s="73">
        <v>9</v>
      </c>
      <c r="V90" s="73">
        <v>2145</v>
      </c>
      <c r="W90" s="73">
        <v>3</v>
      </c>
      <c r="X90" s="73">
        <v>7</v>
      </c>
      <c r="Y90" s="73">
        <v>0</v>
      </c>
      <c r="Z90" s="73" t="s">
        <v>989</v>
      </c>
      <c r="AA90" s="73" t="s">
        <v>691</v>
      </c>
      <c r="AB90" s="73" t="str">
        <f>IF(AA90&lt;&gt;"",INDEX(Lookup!$N$2:$N$5,MATCH(Players!AA90,Lookup!$P$2:$P$5,0)),INDEX(Lookup!$N$2:$N$5,MATCH(Players!O90,Lookup!$O$2:$O$5,0)))</f>
        <v>Midfield</v>
      </c>
      <c r="AC90" s="73">
        <v>3500000</v>
      </c>
      <c r="AD90" s="73" t="s">
        <v>1338</v>
      </c>
      <c r="AE90" s="73" t="str">
        <f>INDEX('Translate table'!$H$2:$H$622,MATCH(Players!P90,'Translate table'!$G$2:$G$622,0))</f>
        <v>N'Golo KantÃ©</v>
      </c>
      <c r="AF90" s="73">
        <f>IFERROR(INDEX('Euro Qual stats'!$A$1:$L$2071,MATCH(Players!$AE90,'Euro Qual stats'!$A$1:$A$2071,0),MATCH(Players!AF$2,'Euro Qual stats'!$A$1:$L$1,0)),0)</f>
        <v>3</v>
      </c>
      <c r="AG90" s="73">
        <f>IFERROR(INDEX('Euro Qual stats'!$A$1:$L$2071,MATCH(Players!$AE90,'Euro Qual stats'!$A$1:$A$2071,0),MATCH(Players!AG$2,'Euro Qual stats'!$A$1:$L$1,0)),0)</f>
        <v>0</v>
      </c>
      <c r="AH90" s="73">
        <f>IFERROR(INDEX('Euro Qual stats'!$A$1:$L$2071,MATCH(Players!$AE90,'Euro Qual stats'!$A$1:$A$2071,0),MATCH(Players!AH$2,'Euro Qual stats'!$A$1:$L$1,0)),0)</f>
        <v>0</v>
      </c>
      <c r="AI90" s="73">
        <f>IFERROR(INDEX('Euro Qual stats'!$A$1:$L$2071,MATCH(Players!$AE90,'Euro Qual stats'!$A$1:$A$2071,0),MATCH(Players!AI$2,'Euro Qual stats'!$A$1:$L$1,0)),0)</f>
        <v>0</v>
      </c>
      <c r="AJ90" s="93">
        <f>(12-AF90)/12*INDEX(BV$9:BV$12,MATCH($AB90,$BU$9:$BU$12,0))+AF90/12*AG90</f>
        <v>0.12651832460732984</v>
      </c>
      <c r="AK90" s="93">
        <f>(12-AG90)/12*INDEX(BW$9:BW$12,MATCH($AB90,$BU$9:$BU$12,0))+AG90/12*AH90</f>
        <v>0.22340314136125652</v>
      </c>
      <c r="AL90" s="93">
        <f>(12-AH90)/12*INDEX(BX$9:BX$12,MATCH($AB90,$BU$9:$BU$12,0))+AH90/12*AI90</f>
        <v>0.23942408376963353</v>
      </c>
      <c r="AM90" s="93">
        <f>IF($BC90=1,AJ90/SUMIFS(AJ$3:AJ$623,$BC$3:$BC$623,1,$G$3:$G$623,$G90),0)</f>
        <v>0</v>
      </c>
      <c r="AN90" s="93">
        <f>IF($BC90=1,AK90/SUMIFS(AK$3:AK$623,$BC$3:$BC$623,1,$G$3:$G$623,$G90),0)</f>
        <v>0</v>
      </c>
      <c r="AO90" s="93">
        <f>IF($BC90=1,AL90/SUMIFS(AL$3:AL$623,$BC$3:$BC$623,1,$G$3:$G$623,$G90),0)</f>
        <v>0</v>
      </c>
      <c r="AP90" s="2">
        <f>IFERROR(R90/$V90*90,"")</f>
        <v>0</v>
      </c>
      <c r="AQ90" s="2">
        <f>IFERROR(S90/$V90*90,"")</f>
        <v>8.3916083916083919E-2</v>
      </c>
      <c r="AR90" s="2">
        <f>IFERROR(W90/$V90*90,"")</f>
        <v>0.12587412587412589</v>
      </c>
      <c r="AS90" s="2">
        <f>IFERROR(X90/$V90*90,"")</f>
        <v>0.2937062937062937</v>
      </c>
      <c r="AT90" s="2">
        <f>IFERROR(Y90/$V90*90,"")</f>
        <v>0</v>
      </c>
      <c r="AU90" s="2">
        <f>IF(AP90="",INDEX(BV$4:BV$7,MATCH(O90,$BU$4:$BU$7,0)),AP90)</f>
        <v>0</v>
      </c>
      <c r="AV90" s="2">
        <f>IF(AQ90="",INDEX(BW$4:BW$7,MATCH($O90,$BU$4:$BU$7,0)),AQ90)</f>
        <v>8.3916083916083919E-2</v>
      </c>
      <c r="AW90" s="2">
        <f t="shared" si="12"/>
        <v>0.12587412587412589</v>
      </c>
      <c r="AX90" s="2">
        <f t="shared" si="13"/>
        <v>0.2937062937062937</v>
      </c>
      <c r="AY90" s="2">
        <f t="shared" si="14"/>
        <v>0</v>
      </c>
      <c r="AZ90" s="2">
        <f>AU90*0.5+AK90*0.5</f>
        <v>0.11170157068062826</v>
      </c>
      <c r="BA90" s="2">
        <f>AV90*0.5+AJ90*0.5</f>
        <v>0.10521720426170689</v>
      </c>
      <c r="BB90" s="2">
        <f t="shared" si="15"/>
        <v>0.14685314685314685</v>
      </c>
      <c r="BC90">
        <f>IF(I90="expected",1,0)</f>
        <v>0</v>
      </c>
      <c r="BD90" s="78">
        <f>IF(BC90=1,AZ90/SUMIFS(AZ$3:AZ$623,$BC$3:$BC$623,1,$G$3:$G$623,$G90),0)</f>
        <v>0</v>
      </c>
      <c r="BE90" s="78">
        <f>IF(BC90=1,BA90/SUMIFS(BA$3:BA$623,$BC$3:$BC$623,1,$G$3:$G$623,$G90),0)</f>
        <v>0</v>
      </c>
      <c r="BF90" s="78">
        <f t="shared" si="16"/>
        <v>0</v>
      </c>
      <c r="BG90" s="2">
        <f t="shared" si="17"/>
        <v>0.14685314685314685</v>
      </c>
      <c r="BH90" s="2">
        <f t="shared" si="18"/>
        <v>0</v>
      </c>
      <c r="BI90" s="2">
        <f t="shared" si="19"/>
        <v>0</v>
      </c>
      <c r="BJ90" s="2">
        <f t="shared" si="20"/>
        <v>0</v>
      </c>
      <c r="BK90" s="2">
        <f t="shared" si="21"/>
        <v>0</v>
      </c>
      <c r="BL90" s="2">
        <f t="shared" si="22"/>
        <v>0.14685314685314685</v>
      </c>
      <c r="BM90" s="2">
        <f t="shared" si="23"/>
        <v>0</v>
      </c>
      <c r="BN90" s="2">
        <f>BI90/SUMIFS(BI$3:BI$623,$BC$3:$BC$623,1,$G$3:$G$623,$G90)</f>
        <v>0</v>
      </c>
      <c r="BO90" s="2">
        <f>BJ90/SUMIFS(BJ$3:BJ$623,$BC$3:$BC$623,1,$G$3:$G$623,$G90)</f>
        <v>0</v>
      </c>
      <c r="BP90" s="2">
        <f>BK90/SUMIFS(BK$3:BK$623,$BC$3:$BC$623,1,$G$3:$G$623,$G90)</f>
        <v>0</v>
      </c>
      <c r="BQ90" s="2">
        <f>BL90</f>
        <v>0.14685314685314685</v>
      </c>
      <c r="BR90" s="2">
        <f>BM90</f>
        <v>0</v>
      </c>
    </row>
    <row r="91" spans="1:70" hidden="1">
      <c r="A91" s="74">
        <v>0</v>
      </c>
      <c r="B91" s="73">
        <v>204730</v>
      </c>
      <c r="C91" s="73" t="s">
        <v>1339</v>
      </c>
      <c r="D91" s="73" t="s">
        <v>1340</v>
      </c>
      <c r="E91" s="73" t="s">
        <v>1341</v>
      </c>
      <c r="F91" s="73">
        <v>18708</v>
      </c>
      <c r="G91" s="73" t="s">
        <v>866</v>
      </c>
      <c r="H91" s="73" t="s">
        <v>923</v>
      </c>
      <c r="I91" s="73" t="s">
        <v>981</v>
      </c>
      <c r="J91" s="73">
        <v>0</v>
      </c>
      <c r="K91" s="73">
        <v>7</v>
      </c>
      <c r="L91" s="73">
        <v>0</v>
      </c>
      <c r="M91" s="73">
        <v>0</v>
      </c>
      <c r="N91" s="73">
        <v>0</v>
      </c>
      <c r="O91" s="73" t="s">
        <v>994</v>
      </c>
      <c r="P91" s="73" t="s">
        <v>38</v>
      </c>
      <c r="Q91" s="73" t="s">
        <v>38</v>
      </c>
      <c r="R91" s="73">
        <v>0</v>
      </c>
      <c r="S91" s="73">
        <v>2</v>
      </c>
      <c r="T91" s="73">
        <v>0</v>
      </c>
      <c r="U91" s="73">
        <v>0</v>
      </c>
      <c r="V91" s="73">
        <v>553</v>
      </c>
      <c r="W91" s="73">
        <v>0</v>
      </c>
      <c r="X91" s="73">
        <v>2</v>
      </c>
      <c r="Y91" s="73">
        <v>0</v>
      </c>
      <c r="Z91" s="73" t="s">
        <v>1342</v>
      </c>
      <c r="AA91" s="73" t="s">
        <v>691</v>
      </c>
      <c r="AB91" s="73" t="str">
        <f>IF(AA91&lt;&gt;"",INDEX(Lookup!$N$2:$N$5,MATCH(Players!AA91,Lookup!$P$2:$P$5,0)),INDEX(Lookup!$N$2:$N$5,MATCH(Players!O91,Lookup!$O$2:$O$5,0)))</f>
        <v>Midfield</v>
      </c>
      <c r="AC91" s="73">
        <v>4000000</v>
      </c>
      <c r="AD91" s="73" t="s">
        <v>816</v>
      </c>
      <c r="AE91" s="73" t="str">
        <f>INDEX('Translate table'!$H$2:$H$622,MATCH(Players!P91,'Translate table'!$G$2:$G$622,0))</f>
        <v>Sheran Yeini</v>
      </c>
      <c r="AF91" s="73">
        <f>IFERROR(INDEX('Euro Qual stats'!$A$1:$L$2071,MATCH(Players!$AE91,'Euro Qual stats'!$A$1:$A$2071,0),MATCH(Players!AF$2,'Euro Qual stats'!$A$1:$L$1,0)),0)</f>
        <v>5</v>
      </c>
      <c r="AG91" s="73">
        <f>IFERROR(INDEX('Euro Qual stats'!$A$1:$L$2071,MATCH(Players!$AE91,'Euro Qual stats'!$A$1:$A$2071,0),MATCH(Players!AG$2,'Euro Qual stats'!$A$1:$L$1,0)),0)</f>
        <v>0.2</v>
      </c>
      <c r="AH91" s="73">
        <f>IFERROR(INDEX('Euro Qual stats'!$A$1:$L$2071,MATCH(Players!$AE91,'Euro Qual stats'!$A$1:$A$2071,0),MATCH(Players!AH$2,'Euro Qual stats'!$A$1:$L$1,0)),0)</f>
        <v>0</v>
      </c>
      <c r="AI91" s="73">
        <f>IFERROR(INDEX('Euro Qual stats'!$A$1:$L$2071,MATCH(Players!$AE91,'Euro Qual stats'!$A$1:$A$2071,0),MATCH(Players!AI$2,'Euro Qual stats'!$A$1:$L$1,0)),0)</f>
        <v>0</v>
      </c>
      <c r="AJ91" s="93">
        <f>(12-AF91)/12*INDEX(BV$9:BV$12,MATCH($AB91,$BU$9:$BU$12,0))+AF91/12*AG91</f>
        <v>0.18173647469458989</v>
      </c>
      <c r="AK91" s="93">
        <f>(12-AG91)/12*INDEX(BW$9:BW$12,MATCH($AB91,$BU$9:$BU$12,0))+AG91/12*AH91</f>
        <v>0.21967975567190226</v>
      </c>
      <c r="AL91" s="93">
        <f>(12-AH91)/12*INDEX(BX$9:BX$12,MATCH($AB91,$BU$9:$BU$12,0))+AH91/12*AI91</f>
        <v>0.23942408376963353</v>
      </c>
      <c r="AM91" s="93">
        <f>IF($BC91=1,AJ91/SUMIFS(AJ$3:AJ$623,$BC$3:$BC$623,1,$G$3:$G$623,$G91),0)</f>
        <v>0.13064261905727206</v>
      </c>
      <c r="AN91" s="93">
        <f>IF($BC91=1,AK91/SUMIFS(AK$3:AK$623,$BC$3:$BC$623,1,$G$3:$G$623,$G91),0)</f>
        <v>9.2627434464794697E-2</v>
      </c>
      <c r="AO91" s="93">
        <f>IF($BC91=1,AL91/SUMIFS(AL$3:AL$623,$BC$3:$BC$623,1,$G$3:$G$623,$G91),0)</f>
        <v>0.11726034756966811</v>
      </c>
      <c r="AP91" s="2">
        <f>IFERROR(R91/$V91*90,"")</f>
        <v>0</v>
      </c>
      <c r="AQ91" s="2">
        <f>IFERROR(S91/$V91*90,"")</f>
        <v>0.32549728752260398</v>
      </c>
      <c r="AR91" s="2">
        <f>IFERROR(W91/$V91*90,"")</f>
        <v>0</v>
      </c>
      <c r="AS91" s="2">
        <f>IFERROR(X91/$V91*90,"")</f>
        <v>0.32549728752260398</v>
      </c>
      <c r="AT91" s="2">
        <f>IFERROR(Y91/$V91*90,"")</f>
        <v>0</v>
      </c>
      <c r="AU91" s="2">
        <f>IF(AP91="",INDEX(BV$4:BV$7,MATCH(O91,$BU$4:$BU$7,0)),AP91)</f>
        <v>0</v>
      </c>
      <c r="AV91" s="2">
        <f>IF(AQ91="",INDEX(BW$4:BW$7,MATCH($O91,$BU$4:$BU$7,0)),AQ91)</f>
        <v>0.32549728752260398</v>
      </c>
      <c r="AW91" s="2">
        <f t="shared" si="12"/>
        <v>0</v>
      </c>
      <c r="AX91" s="2">
        <f t="shared" si="13"/>
        <v>0.32549728752260398</v>
      </c>
      <c r="AY91" s="2">
        <f t="shared" si="14"/>
        <v>0</v>
      </c>
      <c r="AZ91" s="2">
        <f>AU91*0.5+AK91*0.5</f>
        <v>0.10983987783595113</v>
      </c>
      <c r="BA91" s="2">
        <f>AV91*0.5+AJ91*0.5</f>
        <v>0.25361688110859693</v>
      </c>
      <c r="BB91" s="2">
        <f t="shared" si="15"/>
        <v>0.16274864376130199</v>
      </c>
      <c r="BC91">
        <f>IF(I91="expected",1,0)</f>
        <v>1</v>
      </c>
      <c r="BD91" s="78">
        <f>IF(BC91=1,AZ91/SUMIFS(AZ$3:AZ$623,$BC$3:$BC$623,1,$G$3:$G$623,$G91),0)</f>
        <v>7.396404899077795E-2</v>
      </c>
      <c r="BE91" s="78">
        <f>IF(BC91=1,BA91/SUMIFS(BA$3:BA$623,$BC$3:$BC$623,1,$G$3:$G$623,$G91),0)</f>
        <v>0.1831865378175474</v>
      </c>
      <c r="BF91" s="78">
        <f t="shared" si="16"/>
        <v>0</v>
      </c>
      <c r="BG91" s="2">
        <f t="shared" si="17"/>
        <v>0.16274864376130199</v>
      </c>
      <c r="BH91" s="2">
        <f t="shared" si="18"/>
        <v>0</v>
      </c>
      <c r="BI91" s="2">
        <f t="shared" si="19"/>
        <v>7.396404899077795E-2</v>
      </c>
      <c r="BJ91" s="2">
        <f t="shared" si="20"/>
        <v>0.1831865378175474</v>
      </c>
      <c r="BK91" s="2">
        <f t="shared" si="21"/>
        <v>0</v>
      </c>
      <c r="BL91" s="2">
        <f t="shared" si="22"/>
        <v>0.16274864376130199</v>
      </c>
      <c r="BM91" s="2">
        <f t="shared" si="23"/>
        <v>0</v>
      </c>
      <c r="BN91" s="2">
        <f>BI91/SUMIFS(BI$3:BI$623,$BC$3:$BC$623,1,$G$3:$G$623,$G91)</f>
        <v>7.3964048990777964E-2</v>
      </c>
      <c r="BO91" s="2">
        <f>BJ91/SUMIFS(BJ$3:BJ$623,$BC$3:$BC$623,1,$G$3:$G$623,$G91)</f>
        <v>0.1831865378175474</v>
      </c>
      <c r="BP91" s="2">
        <f>BK91/SUMIFS(BK$3:BK$623,$BC$3:$BC$623,1,$G$3:$G$623,$G91)</f>
        <v>0</v>
      </c>
      <c r="BQ91" s="2">
        <f>BL91</f>
        <v>0.16274864376130199</v>
      </c>
      <c r="BR91" s="2">
        <f>BM91</f>
        <v>0</v>
      </c>
    </row>
    <row r="92" spans="1:70" hidden="1">
      <c r="A92" s="74">
        <v>0</v>
      </c>
      <c r="B92" s="73">
        <v>204953</v>
      </c>
      <c r="C92" s="73" t="s">
        <v>1343</v>
      </c>
      <c r="D92" s="73" t="s">
        <v>1150</v>
      </c>
      <c r="E92" s="73" t="s">
        <v>1344</v>
      </c>
      <c r="F92" s="73">
        <v>18583</v>
      </c>
      <c r="G92" s="73" t="s">
        <v>869</v>
      </c>
      <c r="H92" s="73" t="s">
        <v>905</v>
      </c>
      <c r="I92" s="73" t="s">
        <v>981</v>
      </c>
      <c r="J92" s="73">
        <v>0</v>
      </c>
      <c r="K92" s="73">
        <v>7</v>
      </c>
      <c r="L92" s="73">
        <v>0</v>
      </c>
      <c r="M92" s="73">
        <v>0</v>
      </c>
      <c r="N92" s="73">
        <v>0</v>
      </c>
      <c r="O92" s="73" t="s">
        <v>994</v>
      </c>
      <c r="P92" s="73" t="s">
        <v>1345</v>
      </c>
      <c r="Q92" s="73" t="s">
        <v>1345</v>
      </c>
      <c r="R92" s="73">
        <v>3</v>
      </c>
      <c r="S92" s="73">
        <v>0</v>
      </c>
      <c r="T92" s="73">
        <v>0</v>
      </c>
      <c r="U92" s="73">
        <v>2</v>
      </c>
      <c r="V92" s="73">
        <v>1392</v>
      </c>
      <c r="W92" s="73">
        <v>12</v>
      </c>
      <c r="X92" s="73">
        <v>1</v>
      </c>
      <c r="Y92" s="73">
        <v>0</v>
      </c>
      <c r="Z92" s="73" t="s">
        <v>1267</v>
      </c>
      <c r="AA92" s="73" t="s">
        <v>691</v>
      </c>
      <c r="AB92" s="73" t="str">
        <f>IF(AA92&lt;&gt;"",INDEX(Lookup!$N$2:$N$5,MATCH(Players!AA92,Lookup!$P$2:$P$5,0)),INDEX(Lookup!$N$2:$N$5,MATCH(Players!O92,Lookup!$O$2:$O$5,0)))</f>
        <v>Midfield</v>
      </c>
      <c r="AC92" s="73">
        <v>6000000</v>
      </c>
      <c r="AD92" s="73" t="s">
        <v>846</v>
      </c>
      <c r="AE92" s="73" t="str">
        <f>INDEX('Translate table'!$H$2:$H$622,MATCH(Players!P92,'Translate table'!$G$2:$G$622,0))</f>
        <v>Christian Eriksen</v>
      </c>
      <c r="AF92" s="73">
        <f>IFERROR(INDEX('Euro Qual stats'!$A$1:$L$2071,MATCH(Players!$AE92,'Euro Qual stats'!$A$1:$A$2071,0),MATCH(Players!AF$2,'Euro Qual stats'!$A$1:$L$1,0)),0)</f>
        <v>8</v>
      </c>
      <c r="AG92" s="73">
        <f>IFERROR(INDEX('Euro Qual stats'!$A$1:$L$2071,MATCH(Players!$AE92,'Euro Qual stats'!$A$1:$A$2071,0),MATCH(Players!AG$2,'Euro Qual stats'!$A$1:$L$1,0)),0)</f>
        <v>0.38</v>
      </c>
      <c r="AH92" s="73">
        <f>IFERROR(INDEX('Euro Qual stats'!$A$1:$L$2071,MATCH(Players!$AE92,'Euro Qual stats'!$A$1:$A$2071,0),MATCH(Players!AH$2,'Euro Qual stats'!$A$1:$L$1,0)),0)</f>
        <v>0.63</v>
      </c>
      <c r="AI92" s="73">
        <f>IFERROR(INDEX('Euro Qual stats'!$A$1:$L$2071,MATCH(Players!$AE92,'Euro Qual stats'!$A$1:$A$2071,0),MATCH(Players!AI$2,'Euro Qual stats'!$A$1:$L$1,0)),0)</f>
        <v>0</v>
      </c>
      <c r="AJ92" s="93">
        <f>(12-AF92)/12*INDEX(BV$9:BV$12,MATCH($AB92,$BU$9:$BU$12,0))+AF92/12*AG92</f>
        <v>0.30956369982547988</v>
      </c>
      <c r="AK92" s="93">
        <f>(12-AG92)/12*INDEX(BW$9:BW$12,MATCH($AB92,$BU$9:$BU$12,0))+AG92/12*AH92</f>
        <v>0.23627870855148339</v>
      </c>
      <c r="AL92" s="93">
        <f>(12-AH92)/12*INDEX(BX$9:BX$12,MATCH($AB92,$BU$9:$BU$12,0))+AH92/12*AI92</f>
        <v>0.22685431937172776</v>
      </c>
      <c r="AM92" s="93">
        <f>IF($BC92=1,AJ92/SUMIFS(AJ$3:AJ$623,$BC$3:$BC$623,1,$G$3:$G$623,$G92),0)</f>
        <v>0.20434628771285382</v>
      </c>
      <c r="AN92" s="93">
        <f>IF($BC92=1,AK92/SUMIFS(AK$3:AK$623,$BC$3:$BC$623,1,$G$3:$G$623,$G92),0)</f>
        <v>8.4509757290633383E-2</v>
      </c>
      <c r="AO92" s="93">
        <f>IF($BC92=1,AL92/SUMIFS(AL$3:AL$623,$BC$3:$BC$623,1,$G$3:$G$623,$G92),0)</f>
        <v>0.11361181748216728</v>
      </c>
      <c r="AP92" s="2">
        <f>IFERROR(R92/$V92*90,"")</f>
        <v>0.19396551724137931</v>
      </c>
      <c r="AQ92" s="2">
        <f>IFERROR(S92/$V92*90,"")</f>
        <v>0</v>
      </c>
      <c r="AR92" s="2">
        <f>IFERROR(W92/$V92*90,"")</f>
        <v>0.77586206896551724</v>
      </c>
      <c r="AS92" s="2">
        <f>IFERROR(X92/$V92*90,"")</f>
        <v>6.4655172413793108E-2</v>
      </c>
      <c r="AT92" s="2">
        <f>IFERROR(Y92/$V92*90,"")</f>
        <v>0</v>
      </c>
      <c r="AU92" s="2">
        <f>IF(AP92="",INDEX(BV$4:BV$7,MATCH(O92,$BU$4:$BU$7,0)),AP92)</f>
        <v>0.19396551724137931</v>
      </c>
      <c r="AV92" s="2">
        <f>IF(AQ92="",INDEX(BW$4:BW$7,MATCH($O92,$BU$4:$BU$7,0)),AQ92)</f>
        <v>0</v>
      </c>
      <c r="AW92" s="2">
        <f t="shared" si="12"/>
        <v>0.77586206896551724</v>
      </c>
      <c r="AX92" s="2">
        <f t="shared" si="13"/>
        <v>6.4655172413793108E-2</v>
      </c>
      <c r="AY92" s="2">
        <f t="shared" si="14"/>
        <v>0</v>
      </c>
      <c r="AZ92" s="2">
        <f>AU92*0.5+AK92*0.5</f>
        <v>0.21512211289643135</v>
      </c>
      <c r="BA92" s="2">
        <f>AV92*0.5+AJ92*0.5</f>
        <v>0.15478184991273994</v>
      </c>
      <c r="BB92" s="2">
        <f t="shared" si="15"/>
        <v>3.2327586206896554E-2</v>
      </c>
      <c r="BC92">
        <f>IF(I92="expected",1,0)</f>
        <v>1</v>
      </c>
      <c r="BD92" s="78">
        <f>IF(BC92=1,AZ92/SUMIFS(AZ$3:AZ$623,$BC$3:$BC$623,1,$G$3:$G$623,$G92),0)</f>
        <v>0.10753744332885136</v>
      </c>
      <c r="BE92" s="78">
        <f>IF(BC92=1,BA92/SUMIFS(BA$3:BA$623,$BC$3:$BC$623,1,$G$3:$G$623,$G92),0)</f>
        <v>0.12589968683243793</v>
      </c>
      <c r="BF92" s="78">
        <f t="shared" si="16"/>
        <v>0.174974231322268</v>
      </c>
      <c r="BG92" s="2">
        <f t="shared" si="17"/>
        <v>3.2327586206896554E-2</v>
      </c>
      <c r="BH92" s="2">
        <f t="shared" si="18"/>
        <v>0</v>
      </c>
      <c r="BI92" s="2">
        <f t="shared" si="19"/>
        <v>0.10753744332885136</v>
      </c>
      <c r="BJ92" s="2">
        <f t="shared" si="20"/>
        <v>0.12589968683243793</v>
      </c>
      <c r="BK92" s="2">
        <f t="shared" si="21"/>
        <v>0.174974231322268</v>
      </c>
      <c r="BL92" s="2">
        <f t="shared" si="22"/>
        <v>3.2327586206896554E-2</v>
      </c>
      <c r="BM92" s="2">
        <f t="shared" si="23"/>
        <v>0</v>
      </c>
      <c r="BN92" s="2">
        <f>BI92/SUMIFS(BI$3:BI$623,$BC$3:$BC$623,1,$G$3:$G$623,$G92)</f>
        <v>0.10753744332885137</v>
      </c>
      <c r="BO92" s="2">
        <f>BJ92/SUMIFS(BJ$3:BJ$623,$BC$3:$BC$623,1,$G$3:$G$623,$G92)</f>
        <v>0.12589968683243796</v>
      </c>
      <c r="BP92" s="2">
        <f>BK92/SUMIFS(BK$3:BK$623,$BC$3:$BC$623,1,$G$3:$G$623,$G92)</f>
        <v>0.17497423132226803</v>
      </c>
      <c r="BQ92" s="2">
        <f>BL92</f>
        <v>3.2327586206896554E-2</v>
      </c>
      <c r="BR92" s="2">
        <f>BM92</f>
        <v>0</v>
      </c>
    </row>
    <row r="93" spans="1:70" hidden="1">
      <c r="A93" s="74">
        <v>0</v>
      </c>
      <c r="B93" s="73">
        <v>213449</v>
      </c>
      <c r="C93" s="73" t="s">
        <v>1346</v>
      </c>
      <c r="D93" s="73" t="s">
        <v>1347</v>
      </c>
      <c r="E93" s="73" t="s">
        <v>1348</v>
      </c>
      <c r="F93" s="73">
        <v>18588</v>
      </c>
      <c r="G93" s="73" t="s">
        <v>880</v>
      </c>
      <c r="H93" s="73" t="s">
        <v>949</v>
      </c>
      <c r="I93" s="73" t="s">
        <v>981</v>
      </c>
      <c r="J93" s="73">
        <v>0</v>
      </c>
      <c r="K93" s="73">
        <v>6.5</v>
      </c>
      <c r="L93" s="73">
        <v>0</v>
      </c>
      <c r="M93" s="73">
        <v>0</v>
      </c>
      <c r="N93" s="73">
        <v>0</v>
      </c>
      <c r="O93" s="73" t="s">
        <v>994</v>
      </c>
      <c r="P93" s="73" t="s">
        <v>1349</v>
      </c>
      <c r="Q93" s="73" t="s">
        <v>1350</v>
      </c>
      <c r="R93" s="73">
        <v>2</v>
      </c>
      <c r="S93" s="73">
        <v>6</v>
      </c>
      <c r="T93" s="73">
        <v>0</v>
      </c>
      <c r="U93" s="73">
        <v>8</v>
      </c>
      <c r="V93" s="73">
        <v>2585</v>
      </c>
      <c r="W93" s="73">
        <v>4</v>
      </c>
      <c r="X93" s="73">
        <v>7</v>
      </c>
      <c r="Y93" s="73">
        <v>1</v>
      </c>
      <c r="Z93" s="73" t="s">
        <v>1133</v>
      </c>
      <c r="AA93" s="73" t="s">
        <v>691</v>
      </c>
      <c r="AB93" s="73" t="str">
        <f>IF(AA93&lt;&gt;"",INDEX(Lookup!$N$2:$N$5,MATCH(Players!AA93,Lookup!$P$2:$P$5,0)),INDEX(Lookup!$N$2:$N$5,MATCH(Players!O93,Lookup!$O$2:$O$5,0)))</f>
        <v>Midfield</v>
      </c>
      <c r="AC93" s="73">
        <v>3000000</v>
      </c>
      <c r="AD93" s="73" t="s">
        <v>805</v>
      </c>
      <c r="AE93" s="73" t="str">
        <f>INDEX('Translate table'!$H$2:$H$622,MATCH(Players!P93,'Translate table'!$G$2:$G$622,0))</f>
        <v>Marcelo BrozoviÄ‡</v>
      </c>
      <c r="AF93" s="73">
        <f>IFERROR(INDEX('Euro Qual stats'!$A$1:$L$2071,MATCH(Players!$AE93,'Euro Qual stats'!$A$1:$A$2071,0),MATCH(Players!AF$2,'Euro Qual stats'!$A$1:$L$1,0)),0)</f>
        <v>6</v>
      </c>
      <c r="AG93" s="73">
        <f>IFERROR(INDEX('Euro Qual stats'!$A$1:$L$2071,MATCH(Players!$AE93,'Euro Qual stats'!$A$1:$A$2071,0),MATCH(Players!AG$2,'Euro Qual stats'!$A$1:$L$1,0)),0)</f>
        <v>0.33</v>
      </c>
      <c r="AH93" s="73">
        <f>IFERROR(INDEX('Euro Qual stats'!$A$1:$L$2071,MATCH(Players!$AE93,'Euro Qual stats'!$A$1:$A$2071,0),MATCH(Players!AH$2,'Euro Qual stats'!$A$1:$L$1,0)),0)</f>
        <v>0</v>
      </c>
      <c r="AI93" s="73">
        <f>IFERROR(INDEX('Euro Qual stats'!$A$1:$L$2071,MATCH(Players!$AE93,'Euro Qual stats'!$A$1:$A$2071,0),MATCH(Players!AI$2,'Euro Qual stats'!$A$1:$L$1,0)),0)</f>
        <v>0.5</v>
      </c>
      <c r="AJ93" s="93">
        <f>(12-AF93)/12*INDEX(BV$9:BV$12,MATCH($AB93,$BU$9:$BU$12,0))+AF93/12*AG93</f>
        <v>0.2493455497382199</v>
      </c>
      <c r="AK93" s="93">
        <f>(12-AG93)/12*INDEX(BW$9:BW$12,MATCH($AB93,$BU$9:$BU$12,0))+AG93/12*AH93</f>
        <v>0.21725955497382199</v>
      </c>
      <c r="AL93" s="93">
        <f>(12-AH93)/12*INDEX(BX$9:BX$12,MATCH($AB93,$BU$9:$BU$12,0))+AH93/12*AI93</f>
        <v>0.23942408376963353</v>
      </c>
      <c r="AM93" s="93">
        <f>IF($BC93=1,AJ93/SUMIFS(AJ$3:AJ$623,$BC$3:$BC$623,1,$G$3:$G$623,$G93),0)</f>
        <v>0.15703697028268468</v>
      </c>
      <c r="AN93" s="93">
        <f>IF($BC93=1,AK93/SUMIFS(AK$3:AK$623,$BC$3:$BC$623,1,$G$3:$G$623,$G93),0)</f>
        <v>8.1731755674922024E-2</v>
      </c>
      <c r="AO93" s="93">
        <f>IF($BC93=1,AL93/SUMIFS(AL$3:AL$623,$BC$3:$BC$623,1,$G$3:$G$623,$G93),0)</f>
        <v>0.12080044218940712</v>
      </c>
      <c r="AP93" s="2">
        <f>IFERROR(R93/$V93*90,"")</f>
        <v>6.9632495164410058E-2</v>
      </c>
      <c r="AQ93" s="2">
        <f>IFERROR(S93/$V93*90,"")</f>
        <v>0.20889748549323017</v>
      </c>
      <c r="AR93" s="2">
        <f>IFERROR(W93/$V93*90,"")</f>
        <v>0.13926499032882012</v>
      </c>
      <c r="AS93" s="2">
        <f>IFERROR(X93/$V93*90,"")</f>
        <v>0.2437137330754352</v>
      </c>
      <c r="AT93" s="2">
        <f>IFERROR(Y93/$V93*90,"")</f>
        <v>3.4816247582205029E-2</v>
      </c>
      <c r="AU93" s="2">
        <f>IF(AP93="",INDEX(BV$4:BV$7,MATCH(O93,$BU$4:$BU$7,0)),AP93)</f>
        <v>6.9632495164410058E-2</v>
      </c>
      <c r="AV93" s="2">
        <f>IF(AQ93="",INDEX(BW$4:BW$7,MATCH($O93,$BU$4:$BU$7,0)),AQ93)</f>
        <v>0.20889748549323017</v>
      </c>
      <c r="AW93" s="2">
        <f t="shared" si="12"/>
        <v>0.13926499032882012</v>
      </c>
      <c r="AX93" s="2">
        <f t="shared" si="13"/>
        <v>0.2437137330754352</v>
      </c>
      <c r="AY93" s="2">
        <f t="shared" si="14"/>
        <v>3.4816247582205029E-2</v>
      </c>
      <c r="AZ93" s="2">
        <f>AU93*0.5+AK93*0.5</f>
        <v>0.14344602506911602</v>
      </c>
      <c r="BA93" s="2">
        <f>AV93*0.5+AJ93*0.5</f>
        <v>0.22912151761572502</v>
      </c>
      <c r="BB93" s="2">
        <f t="shared" si="15"/>
        <v>0.3718568665377176</v>
      </c>
      <c r="BC93">
        <f>IF(I93="expected",1,0)</f>
        <v>1</v>
      </c>
      <c r="BD93" s="78">
        <f>IF(BC93=1,AZ93/SUMIFS(AZ$3:AZ$623,$BC$3:$BC$623,1,$G$3:$G$623,$G93),0)</f>
        <v>6.1207979254597748E-2</v>
      </c>
      <c r="BE93" s="78">
        <f>IF(BC93=1,BA93/SUMIFS(BA$3:BA$623,$BC$3:$BC$623,1,$G$3:$G$623,$G93),0)</f>
        <v>0.16735038539072253</v>
      </c>
      <c r="BF93" s="78">
        <f t="shared" si="16"/>
        <v>2.8185897109815287E-2</v>
      </c>
      <c r="BG93" s="2">
        <f t="shared" si="17"/>
        <v>0.3718568665377176</v>
      </c>
      <c r="BH93" s="2">
        <f t="shared" si="18"/>
        <v>3.4816247582205029E-2</v>
      </c>
      <c r="BI93" s="2">
        <f t="shared" si="19"/>
        <v>6.1207979254597748E-2</v>
      </c>
      <c r="BJ93" s="2">
        <f t="shared" si="20"/>
        <v>0.16735038539072253</v>
      </c>
      <c r="BK93" s="2">
        <f t="shared" si="21"/>
        <v>2.8185897109815287E-2</v>
      </c>
      <c r="BL93" s="2">
        <f t="shared" si="22"/>
        <v>0.3718568665377176</v>
      </c>
      <c r="BM93" s="2">
        <f t="shared" si="23"/>
        <v>3.4816247582205029E-2</v>
      </c>
      <c r="BN93" s="2">
        <f>BI93/SUMIFS(BI$3:BI$623,$BC$3:$BC$623,1,$G$3:$G$623,$G93)</f>
        <v>6.1207979254597748E-2</v>
      </c>
      <c r="BO93" s="2">
        <f>BJ93/SUMIFS(BJ$3:BJ$623,$BC$3:$BC$623,1,$G$3:$G$623,$G93)</f>
        <v>0.16735038539072253</v>
      </c>
      <c r="BP93" s="2">
        <f>BK93/SUMIFS(BK$3:BK$623,$BC$3:$BC$623,1,$G$3:$G$623,$G93)</f>
        <v>2.9261260536364356E-2</v>
      </c>
      <c r="BQ93" s="2">
        <f>BL93</f>
        <v>0.3718568665377176</v>
      </c>
      <c r="BR93" s="2">
        <f>BM93</f>
        <v>3.4816247582205029E-2</v>
      </c>
    </row>
    <row r="94" spans="1:70" hidden="1">
      <c r="A94" s="74">
        <v>0</v>
      </c>
      <c r="B94" s="73">
        <v>204590</v>
      </c>
      <c r="C94" s="73" t="s">
        <v>1351</v>
      </c>
      <c r="D94" s="73" t="s">
        <v>1352</v>
      </c>
      <c r="E94" s="73" t="s">
        <v>1353</v>
      </c>
      <c r="F94" s="73">
        <v>18588</v>
      </c>
      <c r="G94" s="73" t="s">
        <v>880</v>
      </c>
      <c r="H94" s="73" t="s">
        <v>949</v>
      </c>
      <c r="I94" s="73" t="s">
        <v>1012</v>
      </c>
      <c r="J94" s="73">
        <v>0</v>
      </c>
      <c r="K94" s="73">
        <v>6.5</v>
      </c>
      <c r="L94" s="73">
        <v>0</v>
      </c>
      <c r="M94" s="73">
        <v>0</v>
      </c>
      <c r="N94" s="73">
        <v>0</v>
      </c>
      <c r="O94" s="73" t="s">
        <v>982</v>
      </c>
      <c r="P94" s="73" t="s">
        <v>1354</v>
      </c>
      <c r="Q94" s="73" t="s">
        <v>1354</v>
      </c>
      <c r="R94" s="73">
        <v>7</v>
      </c>
      <c r="S94" s="73">
        <v>3</v>
      </c>
      <c r="T94" s="73">
        <v>0</v>
      </c>
      <c r="U94" s="73">
        <v>2</v>
      </c>
      <c r="V94" s="73">
        <v>1823</v>
      </c>
      <c r="W94" s="73">
        <v>21</v>
      </c>
      <c r="X94" s="73">
        <v>1</v>
      </c>
      <c r="Y94" s="73">
        <v>0</v>
      </c>
      <c r="Z94" s="73" t="s">
        <v>1133</v>
      </c>
      <c r="AA94" s="73" t="s">
        <v>693</v>
      </c>
      <c r="AB94" s="73" t="str">
        <f>IF(AA94&lt;&gt;"",INDEX(Lookup!$N$2:$N$5,MATCH(Players!AA94,Lookup!$P$2:$P$5,0)),INDEX(Lookup!$N$2:$N$5,MATCH(Players!O94,Lookup!$O$2:$O$5,0)))</f>
        <v>Striker</v>
      </c>
      <c r="AC94" s="73">
        <v>4000000</v>
      </c>
      <c r="AD94" s="73" t="s">
        <v>789</v>
      </c>
      <c r="AE94" s="73" t="str">
        <f>INDEX('Translate table'!$H$2:$H$622,MATCH(Players!P94,'Translate table'!$G$2:$G$622,0))</f>
        <v>Josip Brekalo</v>
      </c>
      <c r="AF94" s="73">
        <f>IFERROR(INDEX('Euro Qual stats'!$A$1:$L$2071,MATCH(Players!$AE94,'Euro Qual stats'!$A$1:$A$2071,0),MATCH(Players!AF$2,'Euro Qual stats'!$A$1:$L$1,0)),0)</f>
        <v>8</v>
      </c>
      <c r="AG94" s="73">
        <f>IFERROR(INDEX('Euro Qual stats'!$A$1:$L$2071,MATCH(Players!$AE94,'Euro Qual stats'!$A$1:$A$2071,0),MATCH(Players!AG$2,'Euro Qual stats'!$A$1:$L$1,0)),0)</f>
        <v>0.24</v>
      </c>
      <c r="AH94" s="73">
        <f>IFERROR(INDEX('Euro Qual stats'!$A$1:$L$2071,MATCH(Players!$AE94,'Euro Qual stats'!$A$1:$A$2071,0),MATCH(Players!AH$2,'Euro Qual stats'!$A$1:$L$1,0)),0)</f>
        <v>0</v>
      </c>
      <c r="AI94" s="73">
        <f>IFERROR(INDEX('Euro Qual stats'!$A$1:$L$2071,MATCH(Players!$AE94,'Euro Qual stats'!$A$1:$A$2071,0),MATCH(Players!AI$2,'Euro Qual stats'!$A$1:$L$1,0)),0)</f>
        <v>0.24</v>
      </c>
      <c r="AJ94" s="93">
        <f>(12-AF94)/12*INDEX(BV$9:BV$12,MATCH($AB94,$BU$9:$BU$12,0))+AF94/12*AG94</f>
        <v>0.22830459770114941</v>
      </c>
      <c r="AK94" s="93">
        <f>(12-AG94)/12*INDEX(BW$9:BW$12,MATCH($AB94,$BU$9:$BU$12,0))+AG94/12*AH94</f>
        <v>0.52320172413793087</v>
      </c>
      <c r="AL94" s="93">
        <f>(12-AH94)/12*INDEX(BX$9:BX$12,MATCH($AB94,$BU$9:$BU$12,0))+AH94/12*AI94</f>
        <v>0.16482758620689658</v>
      </c>
      <c r="AM94" s="93">
        <f>IF($BC94=1,AJ94/SUMIFS(AJ$3:AJ$623,$BC$3:$BC$623,1,$G$3:$G$623,$G94),0)</f>
        <v>0</v>
      </c>
      <c r="AN94" s="93">
        <f>IF($BC94=1,AK94/SUMIFS(AK$3:AK$623,$BC$3:$BC$623,1,$G$3:$G$623,$G94),0)</f>
        <v>0</v>
      </c>
      <c r="AO94" s="93">
        <f>IF($BC94=1,AL94/SUMIFS(AL$3:AL$623,$BC$3:$BC$623,1,$G$3:$G$623,$G94),0)</f>
        <v>0</v>
      </c>
      <c r="AP94" s="2">
        <f>IFERROR(R94/$V94*90,"")</f>
        <v>0.34558420186505756</v>
      </c>
      <c r="AQ94" s="2">
        <f>IFERROR(S94/$V94*90,"")</f>
        <v>0.14810751508502468</v>
      </c>
      <c r="AR94" s="2">
        <f>IFERROR(W94/$V94*90,"")</f>
        <v>1.0367526055951728</v>
      </c>
      <c r="AS94" s="2">
        <f>IFERROR(X94/$V94*90,"")</f>
        <v>4.9369171695008228E-2</v>
      </c>
      <c r="AT94" s="2">
        <f>IFERROR(Y94/$V94*90,"")</f>
        <v>0</v>
      </c>
      <c r="AU94" s="2">
        <f>IF(AP94="",INDEX(BV$4:BV$7,MATCH(O94,$BU$4:$BU$7,0)),AP94)</f>
        <v>0.34558420186505756</v>
      </c>
      <c r="AV94" s="2">
        <f>IF(AQ94="",INDEX(BW$4:BW$7,MATCH($O94,$BU$4:$BU$7,0)),AQ94)</f>
        <v>0.14810751508502468</v>
      </c>
      <c r="AW94" s="2">
        <f t="shared" si="12"/>
        <v>1.0367526055951728</v>
      </c>
      <c r="AX94" s="2">
        <f t="shared" si="13"/>
        <v>4.9369171695008228E-2</v>
      </c>
      <c r="AY94" s="2">
        <f t="shared" si="14"/>
        <v>0</v>
      </c>
      <c r="AZ94" s="2">
        <f>AU94*0.5+AK94*0.5</f>
        <v>0.43439296300149421</v>
      </c>
      <c r="BA94" s="2">
        <f>AV94*0.5+AJ94*0.5</f>
        <v>0.18820605639308705</v>
      </c>
      <c r="BB94" s="2">
        <f t="shared" si="15"/>
        <v>0.1446845858475041</v>
      </c>
      <c r="BC94">
        <f>IF(I94="expected",1,0)</f>
        <v>0</v>
      </c>
      <c r="BD94" s="78">
        <f>IF(BC94=1,AZ94/SUMIFS(AZ$3:AZ$623,$BC$3:$BC$623,1,$G$3:$G$623,$G94),0)</f>
        <v>0</v>
      </c>
      <c r="BE94" s="78">
        <f>IF(BC94=1,BA94/SUMIFS(BA$3:BA$623,$BC$3:$BC$623,1,$G$3:$G$623,$G94),0)</f>
        <v>0</v>
      </c>
      <c r="BF94" s="78">
        <f t="shared" si="16"/>
        <v>0</v>
      </c>
      <c r="BG94" s="2">
        <f t="shared" si="17"/>
        <v>0.1446845858475041</v>
      </c>
      <c r="BH94" s="2">
        <f t="shared" si="18"/>
        <v>0</v>
      </c>
      <c r="BI94" s="2">
        <f t="shared" si="19"/>
        <v>0</v>
      </c>
      <c r="BJ94" s="2">
        <f t="shared" si="20"/>
        <v>0</v>
      </c>
      <c r="BK94" s="2">
        <f t="shared" si="21"/>
        <v>0</v>
      </c>
      <c r="BL94" s="2">
        <f t="shared" si="22"/>
        <v>0.1446845858475041</v>
      </c>
      <c r="BM94" s="2">
        <f t="shared" si="23"/>
        <v>0</v>
      </c>
      <c r="BN94" s="2">
        <f>BI94/SUMIFS(BI$3:BI$623,$BC$3:$BC$623,1,$G$3:$G$623,$G94)</f>
        <v>0</v>
      </c>
      <c r="BO94" s="2">
        <f>BJ94/SUMIFS(BJ$3:BJ$623,$BC$3:$BC$623,1,$G$3:$G$623,$G94)</f>
        <v>0</v>
      </c>
      <c r="BP94" s="2">
        <f>BK94/SUMIFS(BK$3:BK$623,$BC$3:$BC$623,1,$G$3:$G$623,$G94)</f>
        <v>0</v>
      </c>
      <c r="BQ94" s="2">
        <f>BL94</f>
        <v>0.1446845858475041</v>
      </c>
      <c r="BR94" s="2">
        <f>BM94</f>
        <v>0</v>
      </c>
    </row>
    <row r="95" spans="1:70" hidden="1">
      <c r="A95" s="74">
        <v>0</v>
      </c>
      <c r="B95" s="73">
        <v>204514</v>
      </c>
      <c r="C95" s="73" t="s">
        <v>1355</v>
      </c>
      <c r="D95" s="73" t="s">
        <v>1356</v>
      </c>
      <c r="E95" s="73" t="s">
        <v>1357</v>
      </c>
      <c r="F95" s="73">
        <v>18658</v>
      </c>
      <c r="G95" s="73" t="s">
        <v>863</v>
      </c>
      <c r="H95" s="73" t="s">
        <v>939</v>
      </c>
      <c r="I95" s="73" t="s">
        <v>981</v>
      </c>
      <c r="J95" s="73">
        <v>0</v>
      </c>
      <c r="K95" s="73">
        <v>6.5</v>
      </c>
      <c r="L95" s="73">
        <v>0</v>
      </c>
      <c r="M95" s="73">
        <v>0</v>
      </c>
      <c r="N95" s="73">
        <v>0</v>
      </c>
      <c r="O95" s="73" t="s">
        <v>1318</v>
      </c>
      <c r="P95" s="73" t="s">
        <v>1358</v>
      </c>
      <c r="Q95" s="73" t="s">
        <v>1358</v>
      </c>
      <c r="R95" s="73">
        <v>2</v>
      </c>
      <c r="S95" s="73">
        <v>1</v>
      </c>
      <c r="T95" s="73">
        <v>0</v>
      </c>
      <c r="U95" s="73">
        <v>5</v>
      </c>
      <c r="V95" s="73">
        <v>1542</v>
      </c>
      <c r="W95" s="73">
        <v>8</v>
      </c>
      <c r="X95" s="73">
        <v>1</v>
      </c>
      <c r="Y95" s="73">
        <v>0</v>
      </c>
      <c r="Z95" s="73" t="s">
        <v>1054</v>
      </c>
      <c r="AA95" s="73" t="s">
        <v>692</v>
      </c>
      <c r="AB95" s="73" t="str">
        <f>IF(AA95&lt;&gt;"",INDEX(Lookup!$N$2:$N$5,MATCH(Players!AA95,Lookup!$P$2:$P$5,0)),INDEX(Lookup!$N$2:$N$5,MATCH(Players!O95,Lookup!$O$2:$O$5,0)))</f>
        <v>Defense</v>
      </c>
      <c r="AC95" s="73">
        <v>4500000</v>
      </c>
      <c r="AD95" s="73" t="s">
        <v>819</v>
      </c>
      <c r="AE95" s="73" t="str">
        <f>INDEX('Translate table'!$H$2:$H$622,MATCH(Players!P95,'Translate table'!$G$2:$G$622,0))</f>
        <v>Alessandro Florenzi</v>
      </c>
      <c r="AF95" s="73">
        <f>IFERROR(INDEX('Euro Qual stats'!$A$1:$L$2071,MATCH(Players!$AE95,'Euro Qual stats'!$A$1:$A$2071,0),MATCH(Players!AF$2,'Euro Qual stats'!$A$1:$L$1,0)),0)</f>
        <v>4</v>
      </c>
      <c r="AG95" s="73">
        <f>IFERROR(INDEX('Euro Qual stats'!$A$1:$L$2071,MATCH(Players!$AE95,'Euro Qual stats'!$A$1:$A$2071,0),MATCH(Players!AG$2,'Euro Qual stats'!$A$1:$L$1,0)),0)</f>
        <v>0</v>
      </c>
      <c r="AH95" s="73">
        <f>IFERROR(INDEX('Euro Qual stats'!$A$1:$L$2071,MATCH(Players!$AE95,'Euro Qual stats'!$A$1:$A$2071,0),MATCH(Players!AH$2,'Euro Qual stats'!$A$1:$L$1,0)),0)</f>
        <v>0</v>
      </c>
      <c r="AI95" s="73">
        <f>IFERROR(INDEX('Euro Qual stats'!$A$1:$L$2071,MATCH(Players!$AE95,'Euro Qual stats'!$A$1:$A$2071,0),MATCH(Players!AI$2,'Euro Qual stats'!$A$1:$L$1,0)),0)</f>
        <v>0</v>
      </c>
      <c r="AJ95" s="93">
        <f>(12-AF95)/12*INDEX(BV$9:BV$12,MATCH($AB95,$BU$9:$BU$12,0))+AF95/12*AG95</f>
        <v>5.9450549450549464E-2</v>
      </c>
      <c r="AK95" s="93">
        <f>(12-AG95)/12*INDEX(BW$9:BW$12,MATCH($AB95,$BU$9:$BU$12,0))+AG95/12*AH95</f>
        <v>0.10357142857142858</v>
      </c>
      <c r="AL95" s="93">
        <f>(12-AH95)/12*INDEX(BX$9:BX$12,MATCH($AB95,$BU$9:$BU$12,0))+AH95/12*AI95</f>
        <v>0.19357142857142848</v>
      </c>
      <c r="AM95" s="93">
        <f>IF($BC95=1,AJ95/SUMIFS(AJ$3:AJ$623,$BC$3:$BC$623,1,$G$3:$G$623,$G95),0)</f>
        <v>2.9223622559647465E-2</v>
      </c>
      <c r="AN95" s="93">
        <f>IF($BC95=1,AK95/SUMIFS(AK$3:AK$623,$BC$3:$BC$623,1,$G$3:$G$623,$G95),0)</f>
        <v>4.3225050264338288E-2</v>
      </c>
      <c r="AO95" s="93">
        <f>IF($BC95=1,AL95/SUMIFS(AL$3:AL$623,$BC$3:$BC$623,1,$G$3:$G$623,$G95),0)</f>
        <v>9.5340116475708836E-2</v>
      </c>
      <c r="AP95" s="2">
        <f>IFERROR(R95/$V95*90,"")</f>
        <v>0.11673151750972763</v>
      </c>
      <c r="AQ95" s="2">
        <f>IFERROR(S95/$V95*90,"")</f>
        <v>5.8365758754863814E-2</v>
      </c>
      <c r="AR95" s="2">
        <f>IFERROR(W95/$V95*90,"")</f>
        <v>0.46692607003891051</v>
      </c>
      <c r="AS95" s="2">
        <f>IFERROR(X95/$V95*90,"")</f>
        <v>5.8365758754863814E-2</v>
      </c>
      <c r="AT95" s="2">
        <f>IFERROR(Y95/$V95*90,"")</f>
        <v>0</v>
      </c>
      <c r="AU95" s="2">
        <f>IF(AP95="",INDEX(BV$4:BV$7,MATCH(O95,$BU$4:$BU$7,0)),AP95)</f>
        <v>0.11673151750972763</v>
      </c>
      <c r="AV95" s="2">
        <f>IF(AQ95="",INDEX(BW$4:BW$7,MATCH($O95,$BU$4:$BU$7,0)),AQ95)</f>
        <v>5.8365758754863814E-2</v>
      </c>
      <c r="AW95" s="2">
        <f t="shared" si="12"/>
        <v>0.46692607003891051</v>
      </c>
      <c r="AX95" s="2">
        <f t="shared" si="13"/>
        <v>5.8365758754863814E-2</v>
      </c>
      <c r="AY95" s="2">
        <f t="shared" si="14"/>
        <v>0</v>
      </c>
      <c r="AZ95" s="2">
        <f>AU95*0.5+AK95*0.5</f>
        <v>0.1101514730405781</v>
      </c>
      <c r="BA95" s="2">
        <f>AV95*0.5+AJ95*0.5</f>
        <v>5.8908154102706639E-2</v>
      </c>
      <c r="BB95" s="2">
        <f t="shared" si="15"/>
        <v>2.9182879377431907E-2</v>
      </c>
      <c r="BC95">
        <f>IF(I95="expected",1,0)</f>
        <v>1</v>
      </c>
      <c r="BD95" s="78">
        <f>IF(BC95=1,AZ95/SUMIFS(AZ$3:AZ$623,$BC$3:$BC$623,1,$G$3:$G$623,$G95),0)</f>
        <v>4.7441276800057039E-2</v>
      </c>
      <c r="BE95" s="78">
        <f>IF(BC95=1,BA95/SUMIFS(BA$3:BA$623,$BC$3:$BC$623,1,$G$3:$G$623,$G95),0)</f>
        <v>3.4525229555515437E-2</v>
      </c>
      <c r="BF95" s="78">
        <f t="shared" si="16"/>
        <v>7.967792181265855E-2</v>
      </c>
      <c r="BG95" s="2">
        <f t="shared" si="17"/>
        <v>2.9182879377431907E-2</v>
      </c>
      <c r="BH95" s="2">
        <f t="shared" si="18"/>
        <v>0</v>
      </c>
      <c r="BI95" s="2">
        <f t="shared" si="19"/>
        <v>4.7441276800057039E-2</v>
      </c>
      <c r="BJ95" s="2">
        <f t="shared" si="20"/>
        <v>3.4525229555515437E-2</v>
      </c>
      <c r="BK95" s="2">
        <f t="shared" si="21"/>
        <v>7.967792181265855E-2</v>
      </c>
      <c r="BL95" s="2">
        <f t="shared" si="22"/>
        <v>2.9182879377431907E-2</v>
      </c>
      <c r="BM95" s="2">
        <f t="shared" si="23"/>
        <v>0</v>
      </c>
      <c r="BN95" s="2">
        <f>BI95/SUMIFS(BI$3:BI$623,$BC$3:$BC$623,1,$G$3:$G$623,$G95)</f>
        <v>4.7441276800057039E-2</v>
      </c>
      <c r="BO95" s="2">
        <f>BJ95/SUMIFS(BJ$3:BJ$623,$BC$3:$BC$623,1,$G$3:$G$623,$G95)</f>
        <v>3.4525229555515437E-2</v>
      </c>
      <c r="BP95" s="2">
        <f>BK95/SUMIFS(BK$3:BK$623,$BC$3:$BC$623,1,$G$3:$G$623,$G95)</f>
        <v>7.967792181265855E-2</v>
      </c>
      <c r="BQ95" s="2">
        <f>BL95</f>
        <v>2.9182879377431907E-2</v>
      </c>
      <c r="BR95" s="2">
        <f>BM95</f>
        <v>0</v>
      </c>
    </row>
    <row r="96" spans="1:70" hidden="1">
      <c r="A96" s="74">
        <v>0</v>
      </c>
      <c r="B96" s="73">
        <v>213395</v>
      </c>
      <c r="C96" s="73" t="s">
        <v>1359</v>
      </c>
      <c r="D96" s="73" t="s">
        <v>1141</v>
      </c>
      <c r="E96" s="73" t="s">
        <v>1360</v>
      </c>
      <c r="F96" s="73">
        <v>18658</v>
      </c>
      <c r="G96" s="73" t="s">
        <v>863</v>
      </c>
      <c r="H96" s="73" t="s">
        <v>939</v>
      </c>
      <c r="I96" s="73" t="s">
        <v>1012</v>
      </c>
      <c r="J96" s="73">
        <v>0</v>
      </c>
      <c r="K96" s="73">
        <v>6.5</v>
      </c>
      <c r="L96" s="73">
        <v>0</v>
      </c>
      <c r="M96" s="73">
        <v>0</v>
      </c>
      <c r="N96" s="73">
        <v>0</v>
      </c>
      <c r="O96" s="73" t="s">
        <v>994</v>
      </c>
      <c r="P96" s="73" t="s">
        <v>1361</v>
      </c>
      <c r="Q96" s="73" t="s">
        <v>1361</v>
      </c>
      <c r="R96" s="73">
        <v>7</v>
      </c>
      <c r="S96" s="73">
        <v>6</v>
      </c>
      <c r="T96" s="73">
        <v>0</v>
      </c>
      <c r="U96" s="73">
        <v>3</v>
      </c>
      <c r="V96" s="73">
        <v>2608</v>
      </c>
      <c r="W96" s="73">
        <v>28</v>
      </c>
      <c r="X96" s="73">
        <v>10</v>
      </c>
      <c r="Y96" s="73">
        <v>0</v>
      </c>
      <c r="Z96" s="73" t="s">
        <v>1054</v>
      </c>
      <c r="AA96" s="73" t="s">
        <v>691</v>
      </c>
      <c r="AB96" s="73" t="str">
        <f>IF(AA96&lt;&gt;"",INDEX(Lookup!$N$2:$N$5,MATCH(Players!AA96,Lookup!$P$2:$P$5,0)),INDEX(Lookup!$N$2:$N$5,MATCH(Players!O96,Lookup!$O$2:$O$5,0)))</f>
        <v>Midfield</v>
      </c>
      <c r="AC96" s="73">
        <v>3500000</v>
      </c>
      <c r="AD96" s="73" t="s">
        <v>796</v>
      </c>
      <c r="AE96" s="73" t="str">
        <f>INDEX('Translate table'!$H$2:$H$622,MATCH(Players!P96,'Translate table'!$G$2:$G$622,0))</f>
        <v>Lorenzo Pellegrini</v>
      </c>
      <c r="AF96" s="73">
        <f>IFERROR(INDEX('Euro Qual stats'!$A$1:$L$2071,MATCH(Players!$AE96,'Euro Qual stats'!$A$1:$A$2071,0),MATCH(Players!AF$2,'Euro Qual stats'!$A$1:$L$1,0)),0)</f>
        <v>3</v>
      </c>
      <c r="AG96" s="73">
        <f>IFERROR(INDEX('Euro Qual stats'!$A$1:$L$2071,MATCH(Players!$AE96,'Euro Qual stats'!$A$1:$A$2071,0),MATCH(Players!AG$2,'Euro Qual stats'!$A$1:$L$1,0)),0)</f>
        <v>0</v>
      </c>
      <c r="AH96" s="73">
        <f>IFERROR(INDEX('Euro Qual stats'!$A$1:$L$2071,MATCH(Players!$AE96,'Euro Qual stats'!$A$1:$A$2071,0),MATCH(Players!AH$2,'Euro Qual stats'!$A$1:$L$1,0)),0)</f>
        <v>0.7</v>
      </c>
      <c r="AI96" s="73">
        <f>IFERROR(INDEX('Euro Qual stats'!$A$1:$L$2071,MATCH(Players!$AE96,'Euro Qual stats'!$A$1:$A$2071,0),MATCH(Players!AI$2,'Euro Qual stats'!$A$1:$L$1,0)),0)</f>
        <v>0</v>
      </c>
      <c r="AJ96" s="93">
        <f>(12-AF96)/12*INDEX(BV$9:BV$12,MATCH($AB96,$BU$9:$BU$12,0))+AF96/12*AG96</f>
        <v>0.12651832460732984</v>
      </c>
      <c r="AK96" s="93">
        <f>(12-AG96)/12*INDEX(BW$9:BW$12,MATCH($AB96,$BU$9:$BU$12,0))+AG96/12*AH96</f>
        <v>0.22340314136125652</v>
      </c>
      <c r="AL96" s="93">
        <f>(12-AH96)/12*INDEX(BX$9:BX$12,MATCH($AB96,$BU$9:$BU$12,0))+AH96/12*AI96</f>
        <v>0.22545767888307161</v>
      </c>
      <c r="AM96" s="93">
        <f>IF($BC96=1,AJ96/SUMIFS(AJ$3:AJ$623,$BC$3:$BC$623,1,$G$3:$G$623,$G96),0)</f>
        <v>0</v>
      </c>
      <c r="AN96" s="93">
        <f>IF($BC96=1,AK96/SUMIFS(AK$3:AK$623,$BC$3:$BC$623,1,$G$3:$G$623,$G96),0)</f>
        <v>0</v>
      </c>
      <c r="AO96" s="93">
        <f>IF($BC96=1,AL96/SUMIFS(AL$3:AL$623,$BC$3:$BC$623,1,$G$3:$G$623,$G96),0)</f>
        <v>0</v>
      </c>
      <c r="AP96" s="2">
        <f>IFERROR(R96/$V96*90,"")</f>
        <v>0.24156441717791413</v>
      </c>
      <c r="AQ96" s="2">
        <f>IFERROR(S96/$V96*90,"")</f>
        <v>0.20705521472392641</v>
      </c>
      <c r="AR96" s="2">
        <f>IFERROR(W96/$V96*90,"")</f>
        <v>0.96625766871165653</v>
      </c>
      <c r="AS96" s="2">
        <f>IFERROR(X96/$V96*90,"")</f>
        <v>0.34509202453987731</v>
      </c>
      <c r="AT96" s="2">
        <f>IFERROR(Y96/$V96*90,"")</f>
        <v>0</v>
      </c>
      <c r="AU96" s="2">
        <f>IF(AP96="",INDEX(BV$4:BV$7,MATCH(O96,$BU$4:$BU$7,0)),AP96)</f>
        <v>0.24156441717791413</v>
      </c>
      <c r="AV96" s="2">
        <f>IF(AQ96="",INDEX(BW$4:BW$7,MATCH($O96,$BU$4:$BU$7,0)),AQ96)</f>
        <v>0.20705521472392641</v>
      </c>
      <c r="AW96" s="2">
        <f t="shared" si="12"/>
        <v>0.96625766871165653</v>
      </c>
      <c r="AX96" s="2">
        <f t="shared" si="13"/>
        <v>0.34509202453987731</v>
      </c>
      <c r="AY96" s="2">
        <f t="shared" si="14"/>
        <v>0</v>
      </c>
      <c r="AZ96" s="2">
        <f>AU96*0.5+AK96*0.5</f>
        <v>0.23248377926958533</v>
      </c>
      <c r="BA96" s="2">
        <f>AV96*0.5+AJ96*0.5</f>
        <v>0.16678676966562811</v>
      </c>
      <c r="BB96" s="2">
        <f t="shared" si="15"/>
        <v>0.17254601226993865</v>
      </c>
      <c r="BC96">
        <f>IF(I96="expected",1,0)</f>
        <v>0</v>
      </c>
      <c r="BD96" s="78">
        <f>IF(BC96=1,AZ96/SUMIFS(AZ$3:AZ$623,$BC$3:$BC$623,1,$G$3:$G$623,$G96),0)</f>
        <v>0</v>
      </c>
      <c r="BE96" s="78">
        <f>IF(BC96=1,BA96/SUMIFS(BA$3:BA$623,$BC$3:$BC$623,1,$G$3:$G$623,$G96),0)</f>
        <v>0</v>
      </c>
      <c r="BF96" s="78">
        <f t="shared" si="16"/>
        <v>0</v>
      </c>
      <c r="BG96" s="2">
        <f t="shared" si="17"/>
        <v>0.17254601226993865</v>
      </c>
      <c r="BH96" s="2">
        <f t="shared" si="18"/>
        <v>0</v>
      </c>
      <c r="BI96" s="2">
        <f t="shared" si="19"/>
        <v>0</v>
      </c>
      <c r="BJ96" s="2">
        <f t="shared" si="20"/>
        <v>0</v>
      </c>
      <c r="BK96" s="2">
        <f t="shared" si="21"/>
        <v>0</v>
      </c>
      <c r="BL96" s="2">
        <f t="shared" si="22"/>
        <v>0.17254601226993865</v>
      </c>
      <c r="BM96" s="2">
        <f t="shared" si="23"/>
        <v>0</v>
      </c>
      <c r="BN96" s="2">
        <f>BI96/SUMIFS(BI$3:BI$623,$BC$3:$BC$623,1,$G$3:$G$623,$G96)</f>
        <v>0</v>
      </c>
      <c r="BO96" s="2">
        <f>BJ96/SUMIFS(BJ$3:BJ$623,$BC$3:$BC$623,1,$G$3:$G$623,$G96)</f>
        <v>0</v>
      </c>
      <c r="BP96" s="2">
        <f>BK96/SUMIFS(BK$3:BK$623,$BC$3:$BC$623,1,$G$3:$G$623,$G96)</f>
        <v>0</v>
      </c>
      <c r="BQ96" s="2">
        <f>BL96</f>
        <v>0.17254601226993865</v>
      </c>
      <c r="BR96" s="2">
        <f>BM96</f>
        <v>0</v>
      </c>
    </row>
    <row r="97" spans="1:70" hidden="1">
      <c r="A97" s="74">
        <v>0</v>
      </c>
      <c r="B97" s="73">
        <v>204531</v>
      </c>
      <c r="C97" s="73" t="s">
        <v>1362</v>
      </c>
      <c r="D97" s="73" t="s">
        <v>1363</v>
      </c>
      <c r="E97" s="73" t="s">
        <v>1364</v>
      </c>
      <c r="F97" s="73">
        <v>18658</v>
      </c>
      <c r="G97" s="73" t="s">
        <v>863</v>
      </c>
      <c r="H97" s="73" t="s">
        <v>939</v>
      </c>
      <c r="I97" s="73" t="s">
        <v>1012</v>
      </c>
      <c r="J97" s="73">
        <v>0</v>
      </c>
      <c r="K97" s="73">
        <v>6.5</v>
      </c>
      <c r="L97" s="73">
        <v>0</v>
      </c>
      <c r="M97" s="73">
        <v>0</v>
      </c>
      <c r="N97" s="73">
        <v>0</v>
      </c>
      <c r="O97" s="73" t="s">
        <v>994</v>
      </c>
      <c r="P97" s="73" t="s">
        <v>1365</v>
      </c>
      <c r="Q97" s="73" t="s">
        <v>1365</v>
      </c>
      <c r="R97" s="73">
        <v>4</v>
      </c>
      <c r="S97" s="73">
        <v>2</v>
      </c>
      <c r="T97" s="73">
        <v>0</v>
      </c>
      <c r="U97" s="73">
        <v>8</v>
      </c>
      <c r="V97" s="73">
        <v>2885</v>
      </c>
      <c r="W97" s="73">
        <v>9</v>
      </c>
      <c r="X97" s="73">
        <v>9</v>
      </c>
      <c r="Y97" s="73">
        <v>0</v>
      </c>
      <c r="Z97" s="73" t="s">
        <v>1054</v>
      </c>
      <c r="AA97" s="73" t="s">
        <v>691</v>
      </c>
      <c r="AB97" s="73" t="str">
        <f>IF(AA97&lt;&gt;"",INDEX(Lookup!$N$2:$N$5,MATCH(Players!AA97,Lookup!$P$2:$P$5,0)),INDEX(Lookup!$N$2:$N$5,MATCH(Players!O97,Lookup!$O$2:$O$5,0)))</f>
        <v>Midfield</v>
      </c>
      <c r="AC97" s="73">
        <v>3000000</v>
      </c>
      <c r="AD97" s="73" t="s">
        <v>842</v>
      </c>
      <c r="AE97" s="73" t="str">
        <f>INDEX('Translate table'!$H$2:$H$622,MATCH(Players!P97,'Translate table'!$G$2:$G$622,0))</f>
        <v>Manuel Battistini</v>
      </c>
      <c r="AF97" s="73">
        <f>IFERROR(INDEX('Euro Qual stats'!$A$1:$L$2071,MATCH(Players!$AE97,'Euro Qual stats'!$A$1:$A$2071,0),MATCH(Players!AF$2,'Euro Qual stats'!$A$1:$L$1,0)),0)</f>
        <v>9</v>
      </c>
      <c r="AG97" s="73">
        <f>IFERROR(INDEX('Euro Qual stats'!$A$1:$L$2071,MATCH(Players!$AE97,'Euro Qual stats'!$A$1:$A$2071,0),MATCH(Players!AG$2,'Euro Qual stats'!$A$1:$L$1,0)),0)</f>
        <v>0</v>
      </c>
      <c r="AH97" s="73">
        <f>IFERROR(INDEX('Euro Qual stats'!$A$1:$L$2071,MATCH(Players!$AE97,'Euro Qual stats'!$A$1:$A$2071,0),MATCH(Players!AH$2,'Euro Qual stats'!$A$1:$L$1,0)),0)</f>
        <v>0</v>
      </c>
      <c r="AI97" s="73">
        <f>IFERROR(INDEX('Euro Qual stats'!$A$1:$L$2071,MATCH(Players!$AE97,'Euro Qual stats'!$A$1:$A$2071,0),MATCH(Players!AI$2,'Euro Qual stats'!$A$1:$L$1,0)),0)</f>
        <v>0.13</v>
      </c>
      <c r="AJ97" s="93">
        <f>(12-AF97)/12*INDEX(BV$9:BV$12,MATCH($AB97,$BU$9:$BU$12,0))+AF97/12*AG97</f>
        <v>4.2172774869109947E-2</v>
      </c>
      <c r="AK97" s="93">
        <f>(12-AG97)/12*INDEX(BW$9:BW$12,MATCH($AB97,$BU$9:$BU$12,0))+AG97/12*AH97</f>
        <v>0.22340314136125652</v>
      </c>
      <c r="AL97" s="93">
        <f>(12-AH97)/12*INDEX(BX$9:BX$12,MATCH($AB97,$BU$9:$BU$12,0))+AH97/12*AI97</f>
        <v>0.23942408376963353</v>
      </c>
      <c r="AM97" s="93">
        <f>IF($BC97=1,AJ97/SUMIFS(AJ$3:AJ$623,$BC$3:$BC$623,1,$G$3:$G$623,$G97),0)</f>
        <v>0</v>
      </c>
      <c r="AN97" s="93">
        <f>IF($BC97=1,AK97/SUMIFS(AK$3:AK$623,$BC$3:$BC$623,1,$G$3:$G$623,$G97),0)</f>
        <v>0</v>
      </c>
      <c r="AO97" s="93">
        <f>IF($BC97=1,AL97/SUMIFS(AL$3:AL$623,$BC$3:$BC$623,1,$G$3:$G$623,$G97),0)</f>
        <v>0</v>
      </c>
      <c r="AP97" s="2">
        <f>IFERROR(R97/$V97*90,"")</f>
        <v>0.12478336221837089</v>
      </c>
      <c r="AQ97" s="2">
        <f>IFERROR(S97/$V97*90,"")</f>
        <v>6.2391681109185443E-2</v>
      </c>
      <c r="AR97" s="2">
        <f>IFERROR(W97/$V97*90,"")</f>
        <v>0.28076256499133451</v>
      </c>
      <c r="AS97" s="2">
        <f>IFERROR(X97/$V97*90,"")</f>
        <v>0.28076256499133451</v>
      </c>
      <c r="AT97" s="2">
        <f>IFERROR(Y97/$V97*90,"")</f>
        <v>0</v>
      </c>
      <c r="AU97" s="2">
        <f>IF(AP97="",INDEX(BV$4:BV$7,MATCH(O97,$BU$4:$BU$7,0)),AP97)</f>
        <v>0.12478336221837089</v>
      </c>
      <c r="AV97" s="2">
        <f>IF(AQ97="",INDEX(BW$4:BW$7,MATCH($O97,$BU$4:$BU$7,0)),AQ97)</f>
        <v>6.2391681109185443E-2</v>
      </c>
      <c r="AW97" s="2">
        <f t="shared" si="12"/>
        <v>0.28076256499133451</v>
      </c>
      <c r="AX97" s="2">
        <f t="shared" si="13"/>
        <v>0.28076256499133451</v>
      </c>
      <c r="AY97" s="2">
        <f t="shared" si="14"/>
        <v>0</v>
      </c>
      <c r="AZ97" s="2">
        <f>AU97*0.5+AK97*0.5</f>
        <v>0.17409325178981372</v>
      </c>
      <c r="BA97" s="2">
        <f>AV97*0.5+AJ97*0.5</f>
        <v>5.2282227989147695E-2</v>
      </c>
      <c r="BB97" s="2">
        <f t="shared" si="15"/>
        <v>0.20538128249566726</v>
      </c>
      <c r="BC97">
        <f>IF(I97="expected",1,0)</f>
        <v>0</v>
      </c>
      <c r="BD97" s="78">
        <f>IF(BC97=1,AZ97/SUMIFS(AZ$3:AZ$623,$BC$3:$BC$623,1,$G$3:$G$623,$G97),0)</f>
        <v>0</v>
      </c>
      <c r="BE97" s="78">
        <f>IF(BC97=1,BA97/SUMIFS(BA$3:BA$623,$BC$3:$BC$623,1,$G$3:$G$623,$G97),0)</f>
        <v>0</v>
      </c>
      <c r="BF97" s="78">
        <f t="shared" si="16"/>
        <v>0</v>
      </c>
      <c r="BG97" s="2">
        <f t="shared" si="17"/>
        <v>0.20538128249566726</v>
      </c>
      <c r="BH97" s="2">
        <f t="shared" si="18"/>
        <v>0</v>
      </c>
      <c r="BI97" s="2">
        <f t="shared" si="19"/>
        <v>0</v>
      </c>
      <c r="BJ97" s="2">
        <f t="shared" si="20"/>
        <v>0</v>
      </c>
      <c r="BK97" s="2">
        <f t="shared" si="21"/>
        <v>0</v>
      </c>
      <c r="BL97" s="2">
        <f t="shared" si="22"/>
        <v>0.20538128249566726</v>
      </c>
      <c r="BM97" s="2">
        <f t="shared" si="23"/>
        <v>0</v>
      </c>
      <c r="BN97" s="2">
        <f>BI97/SUMIFS(BI$3:BI$623,$BC$3:$BC$623,1,$G$3:$G$623,$G97)</f>
        <v>0</v>
      </c>
      <c r="BO97" s="2">
        <f>BJ97/SUMIFS(BJ$3:BJ$623,$BC$3:$BC$623,1,$G$3:$G$623,$G97)</f>
        <v>0</v>
      </c>
      <c r="BP97" s="2">
        <f>BK97/SUMIFS(BK$3:BK$623,$BC$3:$BC$623,1,$G$3:$G$623,$G97)</f>
        <v>0</v>
      </c>
      <c r="BQ97" s="2">
        <f>BL97</f>
        <v>0.20538128249566726</v>
      </c>
      <c r="BR97" s="2">
        <f>BM97</f>
        <v>0</v>
      </c>
    </row>
    <row r="98" spans="1:70" hidden="1">
      <c r="A98" s="74">
        <v>0</v>
      </c>
      <c r="B98" s="73">
        <v>204533</v>
      </c>
      <c r="C98" s="73" t="s">
        <v>1366</v>
      </c>
      <c r="D98" s="73" t="s">
        <v>1367</v>
      </c>
      <c r="E98" s="73" t="s">
        <v>1368</v>
      </c>
      <c r="F98" s="73">
        <v>18743</v>
      </c>
      <c r="G98" s="73" t="s">
        <v>871</v>
      </c>
      <c r="H98" s="73" t="s">
        <v>945</v>
      </c>
      <c r="I98" s="73" t="s">
        <v>981</v>
      </c>
      <c r="J98" s="73">
        <v>0</v>
      </c>
      <c r="K98" s="73">
        <v>6.5</v>
      </c>
      <c r="L98" s="73">
        <v>0</v>
      </c>
      <c r="M98" s="73">
        <v>0</v>
      </c>
      <c r="N98" s="73">
        <v>0</v>
      </c>
      <c r="O98" s="73" t="s">
        <v>1318</v>
      </c>
      <c r="P98" s="73" t="s">
        <v>138</v>
      </c>
      <c r="Q98" s="73" t="s">
        <v>138</v>
      </c>
      <c r="R98" s="73">
        <v>1</v>
      </c>
      <c r="S98" s="73">
        <v>0</v>
      </c>
      <c r="T98" s="73">
        <v>0</v>
      </c>
      <c r="U98" s="73">
        <v>9</v>
      </c>
      <c r="V98" s="73">
        <v>2241</v>
      </c>
      <c r="W98" s="73">
        <v>3</v>
      </c>
      <c r="X98" s="73">
        <v>2</v>
      </c>
      <c r="Y98" s="73">
        <v>0</v>
      </c>
      <c r="Z98" s="73" t="s">
        <v>995</v>
      </c>
      <c r="AA98" s="73" t="s">
        <v>692</v>
      </c>
      <c r="AB98" s="73" t="str">
        <f>IF(AA98&lt;&gt;"",INDEX(Lookup!$N$2:$N$5,MATCH(Players!AA98,Lookup!$P$2:$P$5,0)),INDEX(Lookup!$N$2:$N$5,MATCH(Players!O98,Lookup!$O$2:$O$5,0)))</f>
        <v>Defense</v>
      </c>
      <c r="AC98" s="73">
        <v>4500000</v>
      </c>
      <c r="AD98" s="73" t="s">
        <v>804</v>
      </c>
      <c r="AE98" s="73" t="str">
        <f>INDEX('Translate table'!$H$2:$H$622,MATCH(Players!P98,'Translate table'!$G$2:$G$622,0))</f>
        <v>Toby Alderweireld</v>
      </c>
      <c r="AF98" s="73">
        <f>IFERROR(INDEX('Euro Qual stats'!$A$1:$L$2071,MATCH(Players!$AE98,'Euro Qual stats'!$A$1:$A$2071,0),MATCH(Players!AF$2,'Euro Qual stats'!$A$1:$L$1,0)),0)</f>
        <v>10</v>
      </c>
      <c r="AG98" s="73">
        <f>IFERROR(INDEX('Euro Qual stats'!$A$1:$L$2071,MATCH(Players!$AE98,'Euro Qual stats'!$A$1:$A$2071,0),MATCH(Players!AG$2,'Euro Qual stats'!$A$1:$L$1,0)),0)</f>
        <v>0</v>
      </c>
      <c r="AH98" s="73">
        <f>IFERROR(INDEX('Euro Qual stats'!$A$1:$L$2071,MATCH(Players!$AE98,'Euro Qual stats'!$A$1:$A$2071,0),MATCH(Players!AH$2,'Euro Qual stats'!$A$1:$L$1,0)),0)</f>
        <v>0.2</v>
      </c>
      <c r="AI98" s="73">
        <f>IFERROR(INDEX('Euro Qual stats'!$A$1:$L$2071,MATCH(Players!$AE98,'Euro Qual stats'!$A$1:$A$2071,0),MATCH(Players!AI$2,'Euro Qual stats'!$A$1:$L$1,0)),0)</f>
        <v>0</v>
      </c>
      <c r="AJ98" s="93">
        <f>(12-AF98)/12*INDEX(BV$9:BV$12,MATCH($AB98,$BU$9:$BU$12,0))+AF98/12*AG98</f>
        <v>1.4862637362637366E-2</v>
      </c>
      <c r="AK98" s="93">
        <f>(12-AG98)/12*INDEX(BW$9:BW$12,MATCH($AB98,$BU$9:$BU$12,0))+AG98/12*AH98</f>
        <v>0.10357142857142858</v>
      </c>
      <c r="AL98" s="93">
        <f>(12-AH98)/12*INDEX(BX$9:BX$12,MATCH($AB98,$BU$9:$BU$12,0))+AH98/12*AI98</f>
        <v>0.19034523809523801</v>
      </c>
      <c r="AM98" s="93">
        <f>IF($BC98=1,AJ98/SUMIFS(AJ$3:AJ$623,$BC$3:$BC$623,1,$G$3:$G$623,$G98),0)</f>
        <v>6.4530643313322616E-3</v>
      </c>
      <c r="AN98" s="93">
        <f>IF($BC98=1,AK98/SUMIFS(AK$3:AK$623,$BC$3:$BC$623,1,$G$3:$G$623,$G98),0)</f>
        <v>4.1555769875923902E-2</v>
      </c>
      <c r="AO98" s="93">
        <f>IF($BC98=1,AL98/SUMIFS(AL$3:AL$623,$BC$3:$BC$623,1,$G$3:$G$623,$G98),0)</f>
        <v>9.4578360262120909E-2</v>
      </c>
      <c r="AP98" s="2">
        <f>IFERROR(R98/$V98*90,"")</f>
        <v>4.0160642570281124E-2</v>
      </c>
      <c r="AQ98" s="2">
        <f>IFERROR(S98/$V98*90,"")</f>
        <v>0</v>
      </c>
      <c r="AR98" s="2">
        <f>IFERROR(W98/$V98*90,"")</f>
        <v>0.12048192771084337</v>
      </c>
      <c r="AS98" s="2">
        <f>IFERROR(X98/$V98*90,"")</f>
        <v>8.0321285140562249E-2</v>
      </c>
      <c r="AT98" s="2">
        <f>IFERROR(Y98/$V98*90,"")</f>
        <v>0</v>
      </c>
      <c r="AU98" s="2">
        <f>IF(AP98="",INDEX(BV$4:BV$7,MATCH(O98,$BU$4:$BU$7,0)),AP98)</f>
        <v>4.0160642570281124E-2</v>
      </c>
      <c r="AV98" s="2">
        <f>IF(AQ98="",INDEX(BW$4:BW$7,MATCH($O98,$BU$4:$BU$7,0)),AQ98)</f>
        <v>0</v>
      </c>
      <c r="AW98" s="2">
        <f t="shared" si="12"/>
        <v>0.12048192771084337</v>
      </c>
      <c r="AX98" s="2">
        <f t="shared" si="13"/>
        <v>8.0321285140562249E-2</v>
      </c>
      <c r="AY98" s="2">
        <f t="shared" si="14"/>
        <v>0</v>
      </c>
      <c r="AZ98" s="2">
        <f>AU98*0.5+AK98*0.5</f>
        <v>7.1866035570854858E-2</v>
      </c>
      <c r="BA98" s="2">
        <f>AV98*0.5+AJ98*0.5</f>
        <v>7.431318681318683E-3</v>
      </c>
      <c r="BB98" s="2">
        <f t="shared" si="15"/>
        <v>4.0160642570281124E-2</v>
      </c>
      <c r="BC98">
        <f>IF(I98="expected",1,0)</f>
        <v>1</v>
      </c>
      <c r="BD98" s="78">
        <f>IF(BC98=1,AZ98/SUMIFS(AZ$3:AZ$623,$BC$3:$BC$623,1,$G$3:$G$623,$G98),0)</f>
        <v>2.8997637959420348E-2</v>
      </c>
      <c r="BE98" s="78">
        <f>IF(BC98=1,BA98/SUMIFS(BA$3:BA$623,$BC$3:$BC$623,1,$G$3:$G$623,$G98),0)</f>
        <v>3.3854786744196689E-3</v>
      </c>
      <c r="BF98" s="78">
        <f t="shared" si="16"/>
        <v>1.7868492324224022E-2</v>
      </c>
      <c r="BG98" s="2">
        <f t="shared" si="17"/>
        <v>4.0160642570281124E-2</v>
      </c>
      <c r="BH98" s="2">
        <f t="shared" si="18"/>
        <v>0</v>
      </c>
      <c r="BI98" s="2">
        <f t="shared" si="19"/>
        <v>2.8997637959420348E-2</v>
      </c>
      <c r="BJ98" s="2">
        <f t="shared" si="20"/>
        <v>3.3854786744196689E-3</v>
      </c>
      <c r="BK98" s="2">
        <f t="shared" si="21"/>
        <v>1.7868492324224022E-2</v>
      </c>
      <c r="BL98" s="2">
        <f t="shared" si="22"/>
        <v>4.0160642570281124E-2</v>
      </c>
      <c r="BM98" s="2">
        <f t="shared" si="23"/>
        <v>0</v>
      </c>
      <c r="BN98" s="2">
        <f>BI98/SUMIFS(BI$3:BI$623,$BC$3:$BC$623,1,$G$3:$G$623,$G98)</f>
        <v>2.8997637959420352E-2</v>
      </c>
      <c r="BO98" s="2">
        <f>BJ98/SUMIFS(BJ$3:BJ$623,$BC$3:$BC$623,1,$G$3:$G$623,$G98)</f>
        <v>3.3854786744196693E-3</v>
      </c>
      <c r="BP98" s="2">
        <f>BK98/SUMIFS(BK$3:BK$623,$BC$3:$BC$623,1,$G$3:$G$623,$G98)</f>
        <v>1.7868492324224019E-2</v>
      </c>
      <c r="BQ98" s="2">
        <f>BL98</f>
        <v>4.0160642570281124E-2</v>
      </c>
      <c r="BR98" s="2">
        <f>BM98</f>
        <v>0</v>
      </c>
    </row>
    <row r="99" spans="1:70" hidden="1">
      <c r="A99" s="74">
        <v>0</v>
      </c>
      <c r="B99" s="73">
        <v>204558</v>
      </c>
      <c r="C99" s="73" t="s">
        <v>1369</v>
      </c>
      <c r="D99" s="73" t="s">
        <v>1370</v>
      </c>
      <c r="E99" s="73" t="s">
        <v>1371</v>
      </c>
      <c r="F99" s="73">
        <v>18743</v>
      </c>
      <c r="G99" s="73" t="s">
        <v>871</v>
      </c>
      <c r="H99" s="73" t="s">
        <v>945</v>
      </c>
      <c r="I99" s="73" t="s">
        <v>1012</v>
      </c>
      <c r="J99" s="73">
        <v>0</v>
      </c>
      <c r="K99" s="73">
        <v>6.5</v>
      </c>
      <c r="L99" s="73">
        <v>0</v>
      </c>
      <c r="M99" s="73">
        <v>0</v>
      </c>
      <c r="N99" s="73">
        <v>0</v>
      </c>
      <c r="O99" s="73" t="s">
        <v>994</v>
      </c>
      <c r="P99" s="73" t="s">
        <v>1372</v>
      </c>
      <c r="Q99" s="73" t="s">
        <v>1164</v>
      </c>
      <c r="R99" s="73"/>
      <c r="S99" s="73"/>
      <c r="T99" s="73"/>
      <c r="U99" s="73"/>
      <c r="V99" s="73"/>
      <c r="W99" s="73"/>
      <c r="X99" s="73"/>
      <c r="Y99" s="73"/>
      <c r="Z99" s="73" t="s">
        <v>995</v>
      </c>
      <c r="AA99" s="73" t="s">
        <v>691</v>
      </c>
      <c r="AB99" s="73" t="str">
        <f>IF(AA99&lt;&gt;"",INDEX(Lookup!$N$2:$N$5,MATCH(Players!AA99,Lookup!$P$2:$P$5,0)),INDEX(Lookup!$N$2:$N$5,MATCH(Players!O99,Lookup!$O$2:$O$5,0)))</f>
        <v>Midfield</v>
      </c>
      <c r="AC99" s="73">
        <v>3500000</v>
      </c>
      <c r="AD99" s="73" t="s">
        <v>789</v>
      </c>
      <c r="AE99" s="73" t="str">
        <f>INDEX('Translate table'!$H$2:$H$622,MATCH(Players!P99,'Translate table'!$G$2:$G$622,0))</f>
        <v>Hans Vanaken</v>
      </c>
      <c r="AF99" s="73">
        <f>IFERROR(INDEX('Euro Qual stats'!$A$1:$L$2071,MATCH(Players!$AE99,'Euro Qual stats'!$A$1:$A$2071,0),MATCH(Players!AF$2,'Euro Qual stats'!$A$1:$L$1,0)),0)</f>
        <v>2</v>
      </c>
      <c r="AG99" s="73">
        <f>IFERROR(INDEX('Euro Qual stats'!$A$1:$L$2071,MATCH(Players!$AE99,'Euro Qual stats'!$A$1:$A$2071,0),MATCH(Players!AG$2,'Euro Qual stats'!$A$1:$L$1,0)),0)</f>
        <v>0</v>
      </c>
      <c r="AH99" s="73">
        <f>IFERROR(INDEX('Euro Qual stats'!$A$1:$L$2071,MATCH(Players!$AE99,'Euro Qual stats'!$A$1:$A$2071,0),MATCH(Players!AH$2,'Euro Qual stats'!$A$1:$L$1,0)),0)</f>
        <v>0</v>
      </c>
      <c r="AI99" s="73">
        <f>IFERROR(INDEX('Euro Qual stats'!$A$1:$L$2071,MATCH(Players!$AE99,'Euro Qual stats'!$A$1:$A$2071,0),MATCH(Players!AI$2,'Euro Qual stats'!$A$1:$L$1,0)),0)</f>
        <v>0</v>
      </c>
      <c r="AJ99" s="93">
        <f>(12-AF99)/12*INDEX(BV$9:BV$12,MATCH($AB99,$BU$9:$BU$12,0))+AF99/12*AG99</f>
        <v>0.1405759162303665</v>
      </c>
      <c r="AK99" s="93">
        <f>(12-AG99)/12*INDEX(BW$9:BW$12,MATCH($AB99,$BU$9:$BU$12,0))+AG99/12*AH99</f>
        <v>0.22340314136125652</v>
      </c>
      <c r="AL99" s="93">
        <f>(12-AH99)/12*INDEX(BX$9:BX$12,MATCH($AB99,$BU$9:$BU$12,0))+AH99/12*AI99</f>
        <v>0.23942408376963353</v>
      </c>
      <c r="AM99" s="93">
        <f>IF($BC99=1,AJ99/SUMIFS(AJ$3:AJ$623,$BC$3:$BC$623,1,$G$3:$G$623,$G99),0)</f>
        <v>0</v>
      </c>
      <c r="AN99" s="93">
        <f>IF($BC99=1,AK99/SUMIFS(AK$3:AK$623,$BC$3:$BC$623,1,$G$3:$G$623,$G99),0)</f>
        <v>0</v>
      </c>
      <c r="AO99" s="93">
        <f>IF($BC99=1,AL99/SUMIFS(AL$3:AL$623,$BC$3:$BC$623,1,$G$3:$G$623,$G99),0)</f>
        <v>0</v>
      </c>
      <c r="AP99" s="2" t="str">
        <f>IFERROR(R99/$V99*90,"")</f>
        <v/>
      </c>
      <c r="AQ99" s="2" t="str">
        <f>IFERROR(S99/$V99*90,"")</f>
        <v/>
      </c>
      <c r="AR99" s="2" t="str">
        <f>IFERROR(W99/$V99*90,"")</f>
        <v/>
      </c>
      <c r="AS99" s="2" t="str">
        <f>IFERROR(X99/$V99*90,"")</f>
        <v/>
      </c>
      <c r="AT99" s="2" t="str">
        <f>IFERROR(Y99/$V99*90,"")</f>
        <v/>
      </c>
      <c r="AU99" s="2">
        <f>IF(AP99="",INDEX(BV$4:BV$7,MATCH(O99,$BU$4:$BU$7,0)),AP99)</f>
        <v>3.6526142445450806E-2</v>
      </c>
      <c r="AV99" s="2">
        <f>IF(AQ99="",INDEX(BW$4:BW$7,MATCH($O99,$BU$4:$BU$7,0)),AQ99)</f>
        <v>3.2427739661688867E-2</v>
      </c>
      <c r="AW99" s="2">
        <f t="shared" si="12"/>
        <v>0.20013349649571699</v>
      </c>
      <c r="AX99" s="2">
        <f t="shared" si="13"/>
        <v>0.16081000595592615</v>
      </c>
      <c r="AY99" s="2">
        <f t="shared" si="14"/>
        <v>0</v>
      </c>
      <c r="AZ99" s="2">
        <f>AU99*0.5+AK99*0.5</f>
        <v>0.12996464190335366</v>
      </c>
      <c r="BA99" s="2">
        <f>AV99*0.5+AJ99*0.5</f>
        <v>8.6501827946027676E-2</v>
      </c>
      <c r="BB99" s="2">
        <f t="shared" si="15"/>
        <v>8.0405002977963075E-2</v>
      </c>
      <c r="BC99">
        <f>IF(I99="expected",1,0)</f>
        <v>0</v>
      </c>
      <c r="BD99" s="78">
        <f>IF(BC99=1,AZ99/SUMIFS(AZ$3:AZ$623,$BC$3:$BC$623,1,$G$3:$G$623,$G99),0)</f>
        <v>0</v>
      </c>
      <c r="BE99" s="78">
        <f>IF(BC99=1,BA99/SUMIFS(BA$3:BA$623,$BC$3:$BC$623,1,$G$3:$G$623,$G99),0)</f>
        <v>0</v>
      </c>
      <c r="BF99" s="78">
        <f t="shared" si="16"/>
        <v>0</v>
      </c>
      <c r="BG99" s="2">
        <f t="shared" si="17"/>
        <v>8.0405002977963075E-2</v>
      </c>
      <c r="BH99" s="2">
        <f t="shared" si="18"/>
        <v>0</v>
      </c>
      <c r="BI99" s="2">
        <f t="shared" si="19"/>
        <v>0</v>
      </c>
      <c r="BJ99" s="2">
        <f t="shared" si="20"/>
        <v>0</v>
      </c>
      <c r="BK99" s="2">
        <f t="shared" si="21"/>
        <v>0</v>
      </c>
      <c r="BL99" s="2">
        <f t="shared" si="22"/>
        <v>8.0405002977963075E-2</v>
      </c>
      <c r="BM99" s="2">
        <f t="shared" si="23"/>
        <v>0</v>
      </c>
      <c r="BN99" s="2">
        <f>BI99/SUMIFS(BI$3:BI$623,$BC$3:$BC$623,1,$G$3:$G$623,$G99)</f>
        <v>0</v>
      </c>
      <c r="BO99" s="2">
        <f>BJ99/SUMIFS(BJ$3:BJ$623,$BC$3:$BC$623,1,$G$3:$G$623,$G99)</f>
        <v>0</v>
      </c>
      <c r="BP99" s="2">
        <f>BK99/SUMIFS(BK$3:BK$623,$BC$3:$BC$623,1,$G$3:$G$623,$G99)</f>
        <v>0</v>
      </c>
      <c r="BQ99" s="2">
        <f>BL99</f>
        <v>8.0405002977963075E-2</v>
      </c>
      <c r="BR99" s="2">
        <f>BM99</f>
        <v>0</v>
      </c>
    </row>
    <row r="100" spans="1:70" hidden="1">
      <c r="A100" s="74">
        <v>0</v>
      </c>
      <c r="B100" s="73">
        <v>204548</v>
      </c>
      <c r="C100" s="73" t="s">
        <v>1373</v>
      </c>
      <c r="D100" s="73" t="s">
        <v>1374</v>
      </c>
      <c r="E100" s="73" t="s">
        <v>1375</v>
      </c>
      <c r="F100" s="73">
        <v>18743</v>
      </c>
      <c r="G100" s="73" t="s">
        <v>871</v>
      </c>
      <c r="H100" s="73" t="s">
        <v>945</v>
      </c>
      <c r="I100" s="73" t="s">
        <v>1012</v>
      </c>
      <c r="J100" s="73">
        <v>0</v>
      </c>
      <c r="K100" s="73">
        <v>6.5</v>
      </c>
      <c r="L100" s="73">
        <v>0</v>
      </c>
      <c r="M100" s="73">
        <v>0</v>
      </c>
      <c r="N100" s="73">
        <v>0</v>
      </c>
      <c r="O100" s="73" t="s">
        <v>994</v>
      </c>
      <c r="P100" s="73" t="s">
        <v>1376</v>
      </c>
      <c r="Q100" s="73" t="s">
        <v>1377</v>
      </c>
      <c r="R100" s="73">
        <v>0</v>
      </c>
      <c r="S100" s="73">
        <v>0</v>
      </c>
      <c r="T100" s="73">
        <v>0</v>
      </c>
      <c r="U100" s="73">
        <v>0</v>
      </c>
      <c r="V100" s="73">
        <v>28</v>
      </c>
      <c r="W100" s="73">
        <v>0</v>
      </c>
      <c r="X100" s="73">
        <v>0</v>
      </c>
      <c r="Y100" s="73">
        <v>0</v>
      </c>
      <c r="Z100" s="73" t="s">
        <v>995</v>
      </c>
      <c r="AA100" s="73" t="s">
        <v>691</v>
      </c>
      <c r="AB100" s="73" t="str">
        <f>IF(AA100&lt;&gt;"",INDEX(Lookup!$N$2:$N$5,MATCH(Players!AA100,Lookup!$P$2:$P$5,0)),INDEX(Lookup!$N$2:$N$5,MATCH(Players!O100,Lookup!$O$2:$O$5,0)))</f>
        <v>Midfield</v>
      </c>
      <c r="AC100" s="73">
        <v>4000000</v>
      </c>
      <c r="AD100" s="73" t="s">
        <v>802</v>
      </c>
      <c r="AE100" s="73" t="str">
        <f>INDEX('Translate table'!$H$2:$H$622,MATCH(Players!P100,'Translate table'!$G$2:$G$622,0))</f>
        <v>Nacer Chadli</v>
      </c>
      <c r="AF100" s="73">
        <f>IFERROR(INDEX('Euro Qual stats'!$A$1:$L$2071,MATCH(Players!$AE100,'Euro Qual stats'!$A$1:$A$2071,0),MATCH(Players!AF$2,'Euro Qual stats'!$A$1:$L$1,0)),0)</f>
        <v>4</v>
      </c>
      <c r="AG100" s="73">
        <f>IFERROR(INDEX('Euro Qual stats'!$A$1:$L$2071,MATCH(Players!$AE100,'Euro Qual stats'!$A$1:$A$2071,0),MATCH(Players!AG$2,'Euro Qual stats'!$A$1:$L$1,0)),0)</f>
        <v>0.43</v>
      </c>
      <c r="AH100" s="73">
        <f>IFERROR(INDEX('Euro Qual stats'!$A$1:$L$2071,MATCH(Players!$AE100,'Euro Qual stats'!$A$1:$A$2071,0),MATCH(Players!AH$2,'Euro Qual stats'!$A$1:$L$1,0)),0)</f>
        <v>0.87</v>
      </c>
      <c r="AI100" s="73">
        <f>IFERROR(INDEX('Euro Qual stats'!$A$1:$L$2071,MATCH(Players!$AE100,'Euro Qual stats'!$A$1:$A$2071,0),MATCH(Players!AI$2,'Euro Qual stats'!$A$1:$L$1,0)),0)</f>
        <v>0</v>
      </c>
      <c r="AJ100" s="93">
        <f>(12-AF100)/12*INDEX(BV$9:BV$12,MATCH($AB100,$BU$9:$BU$12,0))+AF100/12*AG100</f>
        <v>0.25579406631762647</v>
      </c>
      <c r="AK100" s="93">
        <f>(12-AG100)/12*INDEX(BW$9:BW$12,MATCH($AB100,$BU$9:$BU$12,0))+AG100/12*AH100</f>
        <v>0.24657286212914487</v>
      </c>
      <c r="AL100" s="93">
        <f>(12-AH100)/12*INDEX(BX$9:BX$12,MATCH($AB100,$BU$9:$BU$12,0))+AH100/12*AI100</f>
        <v>0.22206583769633512</v>
      </c>
      <c r="AM100" s="93">
        <f>IF($BC100=1,AJ100/SUMIFS(AJ$3:AJ$623,$BC$3:$BC$623,1,$G$3:$G$623,$G100),0)</f>
        <v>0</v>
      </c>
      <c r="AN100" s="93">
        <f>IF($BC100=1,AK100/SUMIFS(AK$3:AK$623,$BC$3:$BC$623,1,$G$3:$G$623,$G100),0)</f>
        <v>0</v>
      </c>
      <c r="AO100" s="93">
        <f>IF($BC100=1,AL100/SUMIFS(AL$3:AL$623,$BC$3:$BC$623,1,$G$3:$G$623,$G100),0)</f>
        <v>0</v>
      </c>
      <c r="AP100" s="2">
        <f>IFERROR(R100/$V100*90,"")</f>
        <v>0</v>
      </c>
      <c r="AQ100" s="2">
        <f>IFERROR(S100/$V100*90,"")</f>
        <v>0</v>
      </c>
      <c r="AR100" s="2">
        <f>IFERROR(W100/$V100*90,"")</f>
        <v>0</v>
      </c>
      <c r="AS100" s="2">
        <f>IFERROR(X100/$V100*90,"")</f>
        <v>0</v>
      </c>
      <c r="AT100" s="2">
        <f>IFERROR(Y100/$V100*90,"")</f>
        <v>0</v>
      </c>
      <c r="AU100" s="2">
        <f>IF(AP100="",INDEX(BV$4:BV$7,MATCH(O100,$BU$4:$BU$7,0)),AP100)</f>
        <v>0</v>
      </c>
      <c r="AV100" s="2">
        <f>IF(AQ100="",INDEX(BW$4:BW$7,MATCH($O100,$BU$4:$BU$7,0)),AQ100)</f>
        <v>0</v>
      </c>
      <c r="AW100" s="2">
        <f t="shared" si="12"/>
        <v>0</v>
      </c>
      <c r="AX100" s="2">
        <f t="shared" si="13"/>
        <v>0</v>
      </c>
      <c r="AY100" s="2">
        <f t="shared" si="14"/>
        <v>0</v>
      </c>
      <c r="AZ100" s="2">
        <f>AU100*0.5+AK100*0.5</f>
        <v>0.12328643106457243</v>
      </c>
      <c r="BA100" s="2">
        <f>AV100*0.5+AJ100*0.5</f>
        <v>0.12789703315881323</v>
      </c>
      <c r="BB100" s="2">
        <f t="shared" si="15"/>
        <v>0</v>
      </c>
      <c r="BC100">
        <f>IF(I100="expected",1,0)</f>
        <v>0</v>
      </c>
      <c r="BD100" s="78">
        <f>IF(BC100=1,AZ100/SUMIFS(AZ$3:AZ$623,$BC$3:$BC$623,1,$G$3:$G$623,$G100),0)</f>
        <v>0</v>
      </c>
      <c r="BE100" s="78">
        <f>IF(BC100=1,BA100/SUMIFS(BA$3:BA$623,$BC$3:$BC$623,1,$G$3:$G$623,$G100),0)</f>
        <v>0</v>
      </c>
      <c r="BF100" s="78">
        <f t="shared" si="16"/>
        <v>0</v>
      </c>
      <c r="BG100" s="2">
        <f t="shared" si="17"/>
        <v>0</v>
      </c>
      <c r="BH100" s="2">
        <f t="shared" si="18"/>
        <v>0</v>
      </c>
      <c r="BI100" s="2">
        <f t="shared" si="19"/>
        <v>0</v>
      </c>
      <c r="BJ100" s="2">
        <f t="shared" si="20"/>
        <v>0</v>
      </c>
      <c r="BK100" s="2">
        <f t="shared" si="21"/>
        <v>0</v>
      </c>
      <c r="BL100" s="2">
        <f t="shared" si="22"/>
        <v>0</v>
      </c>
      <c r="BM100" s="2">
        <f t="shared" si="23"/>
        <v>0</v>
      </c>
      <c r="BN100" s="2">
        <f>BI100/SUMIFS(BI$3:BI$623,$BC$3:$BC$623,1,$G$3:$G$623,$G100)</f>
        <v>0</v>
      </c>
      <c r="BO100" s="2">
        <f>BJ100/SUMIFS(BJ$3:BJ$623,$BC$3:$BC$623,1,$G$3:$G$623,$G100)</f>
        <v>0</v>
      </c>
      <c r="BP100" s="2">
        <f>BK100/SUMIFS(BK$3:BK$623,$BC$3:$BC$623,1,$G$3:$G$623,$G100)</f>
        <v>0</v>
      </c>
      <c r="BQ100" s="2">
        <f>BL100</f>
        <v>0</v>
      </c>
      <c r="BR100" s="2">
        <f>BM100</f>
        <v>0</v>
      </c>
    </row>
    <row r="101" spans="1:70" hidden="1">
      <c r="A101" s="74">
        <v>0</v>
      </c>
      <c r="B101" s="73">
        <v>204544</v>
      </c>
      <c r="C101" s="73" t="s">
        <v>1378</v>
      </c>
      <c r="D101" s="73" t="s">
        <v>1379</v>
      </c>
      <c r="E101" s="73" t="s">
        <v>1380</v>
      </c>
      <c r="F101" s="73">
        <v>18743</v>
      </c>
      <c r="G101" s="73" t="s">
        <v>871</v>
      </c>
      <c r="H101" s="73" t="s">
        <v>945</v>
      </c>
      <c r="I101" s="73" t="s">
        <v>1012</v>
      </c>
      <c r="J101" s="73">
        <v>0</v>
      </c>
      <c r="K101" s="73">
        <v>6.5</v>
      </c>
      <c r="L101" s="73">
        <v>0</v>
      </c>
      <c r="M101" s="73">
        <v>0</v>
      </c>
      <c r="N101" s="73">
        <v>0</v>
      </c>
      <c r="O101" s="73" t="s">
        <v>994</v>
      </c>
      <c r="P101" s="73" t="s">
        <v>297</v>
      </c>
      <c r="Q101" s="73" t="s">
        <v>297</v>
      </c>
      <c r="R101" s="73">
        <v>1</v>
      </c>
      <c r="S101" s="73">
        <v>1</v>
      </c>
      <c r="T101" s="73">
        <v>0</v>
      </c>
      <c r="U101" s="73">
        <v>0</v>
      </c>
      <c r="V101" s="73">
        <v>723</v>
      </c>
      <c r="W101" s="73">
        <v>2</v>
      </c>
      <c r="X101" s="73">
        <v>0</v>
      </c>
      <c r="Y101" s="73">
        <v>0</v>
      </c>
      <c r="Z101" s="73" t="s">
        <v>995</v>
      </c>
      <c r="AA101" s="73" t="s">
        <v>691</v>
      </c>
      <c r="AB101" s="73" t="str">
        <f>IF(AA101&lt;&gt;"",INDEX(Lookup!$N$2:$N$5,MATCH(Players!AA101,Lookup!$P$2:$P$5,0)),INDEX(Lookup!$N$2:$N$5,MATCH(Players!O101,Lookup!$O$2:$O$5,0)))</f>
        <v>Midfield</v>
      </c>
      <c r="AC101" s="73">
        <v>3500000</v>
      </c>
      <c r="AD101" s="73" t="s">
        <v>790</v>
      </c>
      <c r="AE101" s="73" t="str">
        <f>INDEX('Translate table'!$H$2:$H$622,MATCH(Players!P101,'Translate table'!$G$2:$G$622,0))</f>
        <v>Dennis Praet</v>
      </c>
      <c r="AF101" s="73">
        <f>IFERROR(INDEX('Euro Qual stats'!$A$1:$L$2071,MATCH(Players!$AE101,'Euro Qual stats'!$A$1:$A$2071,0),MATCH(Players!AF$2,'Euro Qual stats'!$A$1:$L$1,0)),0)</f>
        <v>4</v>
      </c>
      <c r="AG101" s="73">
        <f>IFERROR(INDEX('Euro Qual stats'!$A$1:$L$2071,MATCH(Players!$AE101,'Euro Qual stats'!$A$1:$A$2071,0),MATCH(Players!AG$2,'Euro Qual stats'!$A$1:$L$1,0)),0)</f>
        <v>0.71</v>
      </c>
      <c r="AH101" s="73">
        <f>IFERROR(INDEX('Euro Qual stats'!$A$1:$L$2071,MATCH(Players!$AE101,'Euro Qual stats'!$A$1:$A$2071,0),MATCH(Players!AH$2,'Euro Qual stats'!$A$1:$L$1,0)),0)</f>
        <v>0</v>
      </c>
      <c r="AI101" s="73">
        <f>IFERROR(INDEX('Euro Qual stats'!$A$1:$L$2071,MATCH(Players!$AE101,'Euro Qual stats'!$A$1:$A$2071,0),MATCH(Players!AI$2,'Euro Qual stats'!$A$1:$L$1,0)),0)</f>
        <v>0</v>
      </c>
      <c r="AJ101" s="93">
        <f>(12-AF101)/12*INDEX(BV$9:BV$12,MATCH($AB101,$BU$9:$BU$12,0))+AF101/12*AG101</f>
        <v>0.34912739965095985</v>
      </c>
      <c r="AK101" s="93">
        <f>(12-AG101)/12*INDEX(BW$9:BW$12,MATCH($AB101,$BU$9:$BU$12,0))+AG101/12*AH101</f>
        <v>0.21018512216404883</v>
      </c>
      <c r="AL101" s="93">
        <f>(12-AH101)/12*INDEX(BX$9:BX$12,MATCH($AB101,$BU$9:$BU$12,0))+AH101/12*AI101</f>
        <v>0.23942408376963353</v>
      </c>
      <c r="AM101" s="93">
        <f>IF($BC101=1,AJ101/SUMIFS(AJ$3:AJ$623,$BC$3:$BC$623,1,$G$3:$G$623,$G101),0)</f>
        <v>0</v>
      </c>
      <c r="AN101" s="93">
        <f>IF($BC101=1,AK101/SUMIFS(AK$3:AK$623,$BC$3:$BC$623,1,$G$3:$G$623,$G101),0)</f>
        <v>0</v>
      </c>
      <c r="AO101" s="93">
        <f>IF($BC101=1,AL101/SUMIFS(AL$3:AL$623,$BC$3:$BC$623,1,$G$3:$G$623,$G101),0)</f>
        <v>0</v>
      </c>
      <c r="AP101" s="2">
        <f>IFERROR(R101/$V101*90,"")</f>
        <v>0.12448132780082988</v>
      </c>
      <c r="AQ101" s="2">
        <f>IFERROR(S101/$V101*90,"")</f>
        <v>0.12448132780082988</v>
      </c>
      <c r="AR101" s="2">
        <f>IFERROR(W101/$V101*90,"")</f>
        <v>0.24896265560165975</v>
      </c>
      <c r="AS101" s="2">
        <f>IFERROR(X101/$V101*90,"")</f>
        <v>0</v>
      </c>
      <c r="AT101" s="2">
        <f>IFERROR(Y101/$V101*90,"")</f>
        <v>0</v>
      </c>
      <c r="AU101" s="2">
        <f>IF(AP101="",INDEX(BV$4:BV$7,MATCH(O101,$BU$4:$BU$7,0)),AP101)</f>
        <v>0.12448132780082988</v>
      </c>
      <c r="AV101" s="2">
        <f>IF(AQ101="",INDEX(BW$4:BW$7,MATCH($O101,$BU$4:$BU$7,0)),AQ101)</f>
        <v>0.12448132780082988</v>
      </c>
      <c r="AW101" s="2">
        <f t="shared" si="12"/>
        <v>0.24896265560165975</v>
      </c>
      <c r="AX101" s="2">
        <f t="shared" si="13"/>
        <v>0</v>
      </c>
      <c r="AY101" s="2">
        <f t="shared" si="14"/>
        <v>0</v>
      </c>
      <c r="AZ101" s="2">
        <f>AU101*0.5+AK101*0.5</f>
        <v>0.16733322498243935</v>
      </c>
      <c r="BA101" s="2">
        <f>AV101*0.5+AJ101*0.5</f>
        <v>0.23680436372589486</v>
      </c>
      <c r="BB101" s="2">
        <f t="shared" si="15"/>
        <v>0</v>
      </c>
      <c r="BC101">
        <f>IF(I101="expected",1,0)</f>
        <v>0</v>
      </c>
      <c r="BD101" s="78">
        <f>IF(BC101=1,AZ101/SUMIFS(AZ$3:AZ$623,$BC$3:$BC$623,1,$G$3:$G$623,$G101),0)</f>
        <v>0</v>
      </c>
      <c r="BE101" s="78">
        <f>IF(BC101=1,BA101/SUMIFS(BA$3:BA$623,$BC$3:$BC$623,1,$G$3:$G$623,$G101),0)</f>
        <v>0</v>
      </c>
      <c r="BF101" s="78">
        <f t="shared" si="16"/>
        <v>0</v>
      </c>
      <c r="BG101" s="2">
        <f t="shared" si="17"/>
        <v>0</v>
      </c>
      <c r="BH101" s="2">
        <f t="shared" si="18"/>
        <v>0</v>
      </c>
      <c r="BI101" s="2">
        <f t="shared" si="19"/>
        <v>0</v>
      </c>
      <c r="BJ101" s="2">
        <f t="shared" si="20"/>
        <v>0</v>
      </c>
      <c r="BK101" s="2">
        <f t="shared" si="21"/>
        <v>0</v>
      </c>
      <c r="BL101" s="2">
        <f t="shared" si="22"/>
        <v>0</v>
      </c>
      <c r="BM101" s="2">
        <f t="shared" si="23"/>
        <v>0</v>
      </c>
      <c r="BN101" s="2">
        <f>BI101/SUMIFS(BI$3:BI$623,$BC$3:$BC$623,1,$G$3:$G$623,$G101)</f>
        <v>0</v>
      </c>
      <c r="BO101" s="2">
        <f>BJ101/SUMIFS(BJ$3:BJ$623,$BC$3:$BC$623,1,$G$3:$G$623,$G101)</f>
        <v>0</v>
      </c>
      <c r="BP101" s="2">
        <f>BK101/SUMIFS(BK$3:BK$623,$BC$3:$BC$623,1,$G$3:$G$623,$G101)</f>
        <v>0</v>
      </c>
      <c r="BQ101" s="2">
        <f>BL101</f>
        <v>0</v>
      </c>
      <c r="BR101" s="2">
        <f>BM101</f>
        <v>0</v>
      </c>
    </row>
    <row r="102" spans="1:70" hidden="1">
      <c r="A102" s="74">
        <v>0</v>
      </c>
      <c r="B102" s="73">
        <v>204534</v>
      </c>
      <c r="C102" s="73" t="s">
        <v>1381</v>
      </c>
      <c r="D102" s="73" t="s">
        <v>1382</v>
      </c>
      <c r="E102" s="73" t="s">
        <v>1383</v>
      </c>
      <c r="F102" s="73">
        <v>18743</v>
      </c>
      <c r="G102" s="73" t="s">
        <v>871</v>
      </c>
      <c r="H102" s="73" t="s">
        <v>945</v>
      </c>
      <c r="I102" s="73" t="s">
        <v>981</v>
      </c>
      <c r="J102" s="73">
        <v>0</v>
      </c>
      <c r="K102" s="73">
        <v>6.5</v>
      </c>
      <c r="L102" s="73">
        <v>0</v>
      </c>
      <c r="M102" s="73">
        <v>0</v>
      </c>
      <c r="N102" s="73">
        <v>0</v>
      </c>
      <c r="O102" s="73" t="s">
        <v>994</v>
      </c>
      <c r="P102" s="73" t="s">
        <v>45</v>
      </c>
      <c r="Q102" s="73" t="s">
        <v>45</v>
      </c>
      <c r="R102" s="73">
        <v>1</v>
      </c>
      <c r="S102" s="73">
        <v>0</v>
      </c>
      <c r="T102" s="73">
        <v>0</v>
      </c>
      <c r="U102" s="73">
        <v>10</v>
      </c>
      <c r="V102" s="73">
        <v>2500</v>
      </c>
      <c r="W102" s="73">
        <v>8</v>
      </c>
      <c r="X102" s="73">
        <v>4</v>
      </c>
      <c r="Y102" s="73">
        <v>0</v>
      </c>
      <c r="Z102" s="73" t="s">
        <v>995</v>
      </c>
      <c r="AA102" s="73" t="s">
        <v>691</v>
      </c>
      <c r="AB102" s="73" t="str">
        <f>IF(AA102&lt;&gt;"",INDEX(Lookup!$N$2:$N$5,MATCH(Players!AA102,Lookup!$P$2:$P$5,0)),INDEX(Lookup!$N$2:$N$5,MATCH(Players!O102,Lookup!$O$2:$O$5,0)))</f>
        <v>Midfield</v>
      </c>
      <c r="AC102" s="73">
        <v>3500000</v>
      </c>
      <c r="AD102" s="73" t="s">
        <v>1384</v>
      </c>
      <c r="AE102" s="73" t="str">
        <f>INDEX('Translate table'!$H$2:$H$622,MATCH(Players!P102,'Translate table'!$G$2:$G$622,0))</f>
        <v>Leander Dendoncker</v>
      </c>
      <c r="AF102" s="73">
        <f>IFERROR(INDEX('Euro Qual stats'!$A$1:$L$2071,MATCH(Players!$AE102,'Euro Qual stats'!$A$1:$A$2071,0),MATCH(Players!AF$2,'Euro Qual stats'!$A$1:$L$1,0)),0)</f>
        <v>3</v>
      </c>
      <c r="AG102" s="73">
        <f>IFERROR(INDEX('Euro Qual stats'!$A$1:$L$2071,MATCH(Players!$AE102,'Euro Qual stats'!$A$1:$A$2071,0),MATCH(Players!AG$2,'Euro Qual stats'!$A$1:$L$1,0)),0)</f>
        <v>0</v>
      </c>
      <c r="AH102" s="73">
        <f>IFERROR(INDEX('Euro Qual stats'!$A$1:$L$2071,MATCH(Players!$AE102,'Euro Qual stats'!$A$1:$A$2071,0),MATCH(Players!AH$2,'Euro Qual stats'!$A$1:$L$1,0)),0)</f>
        <v>0</v>
      </c>
      <c r="AI102" s="73">
        <f>IFERROR(INDEX('Euro Qual stats'!$A$1:$L$2071,MATCH(Players!$AE102,'Euro Qual stats'!$A$1:$A$2071,0),MATCH(Players!AI$2,'Euro Qual stats'!$A$1:$L$1,0)),0)</f>
        <v>0</v>
      </c>
      <c r="AJ102" s="93">
        <f>(12-AF102)/12*INDEX(BV$9:BV$12,MATCH($AB102,$BU$9:$BU$12,0))+AF102/12*AG102</f>
        <v>0.12651832460732984</v>
      </c>
      <c r="AK102" s="93">
        <f>(12-AG102)/12*INDEX(BW$9:BW$12,MATCH($AB102,$BU$9:$BU$12,0))+AG102/12*AH102</f>
        <v>0.22340314136125652</v>
      </c>
      <c r="AL102" s="93">
        <f>(12-AH102)/12*INDEX(BX$9:BX$12,MATCH($AB102,$BU$9:$BU$12,0))+AH102/12*AI102</f>
        <v>0.23942408376963353</v>
      </c>
      <c r="AM102" s="93">
        <f>IF($BC102=1,AJ102/SUMIFS(AJ$3:AJ$623,$BC$3:$BC$623,1,$G$3:$G$623,$G102),0)</f>
        <v>5.4931763983952962E-2</v>
      </c>
      <c r="AN102" s="93">
        <f>IF($BC102=1,AK102/SUMIFS(AK$3:AK$623,$BC$3:$BC$623,1,$G$3:$G$623,$G102),0)</f>
        <v>8.9635623067266357E-2</v>
      </c>
      <c r="AO102" s="93">
        <f>IF($BC102=1,AL102/SUMIFS(AL$3:AL$623,$BC$3:$BC$623,1,$G$3:$G$623,$G102),0)</f>
        <v>0.11896455869761591</v>
      </c>
      <c r="AP102" s="2">
        <f>IFERROR(R102/$V102*90,"")</f>
        <v>3.6000000000000004E-2</v>
      </c>
      <c r="AQ102" s="2">
        <f>IFERROR(S102/$V102*90,"")</f>
        <v>0</v>
      </c>
      <c r="AR102" s="2">
        <f>IFERROR(W102/$V102*90,"")</f>
        <v>0.28800000000000003</v>
      </c>
      <c r="AS102" s="2">
        <f>IFERROR(X102/$V102*90,"")</f>
        <v>0.14400000000000002</v>
      </c>
      <c r="AT102" s="2">
        <f>IFERROR(Y102/$V102*90,"")</f>
        <v>0</v>
      </c>
      <c r="AU102" s="2">
        <f>IF(AP102="",INDEX(BV$4:BV$7,MATCH(O102,$BU$4:$BU$7,0)),AP102)</f>
        <v>3.6000000000000004E-2</v>
      </c>
      <c r="AV102" s="2">
        <f>IF(AQ102="",INDEX(BW$4:BW$7,MATCH($O102,$BU$4:$BU$7,0)),AQ102)</f>
        <v>0</v>
      </c>
      <c r="AW102" s="2">
        <f t="shared" si="12"/>
        <v>0.28800000000000003</v>
      </c>
      <c r="AX102" s="2">
        <f t="shared" si="13"/>
        <v>0.14400000000000002</v>
      </c>
      <c r="AY102" s="2">
        <f t="shared" si="14"/>
        <v>0</v>
      </c>
      <c r="AZ102" s="2">
        <f>AU102*0.5+AK102*0.5</f>
        <v>0.12970157068062826</v>
      </c>
      <c r="BA102" s="2">
        <f>AV102*0.5+AJ102*0.5</f>
        <v>6.325916230366492E-2</v>
      </c>
      <c r="BB102" s="2">
        <f t="shared" si="15"/>
        <v>7.2000000000000008E-2</v>
      </c>
      <c r="BC102">
        <f>IF(I102="expected",1,0)</f>
        <v>1</v>
      </c>
      <c r="BD102" s="78">
        <f>IF(BC102=1,AZ102/SUMIFS(AZ$3:AZ$623,$BC$3:$BC$623,1,$G$3:$G$623,$G102),0)</f>
        <v>5.2334028995615144E-2</v>
      </c>
      <c r="BE102" s="78">
        <f>IF(BC102=1,BA102/SUMIFS(BA$3:BA$623,$BC$3:$BC$623,1,$G$3:$G$623,$G102),0)</f>
        <v>2.881891547446155E-2</v>
      </c>
      <c r="BF102" s="78">
        <f t="shared" si="16"/>
        <v>4.2712844051825107E-2</v>
      </c>
      <c r="BG102" s="2">
        <f t="shared" si="17"/>
        <v>7.2000000000000008E-2</v>
      </c>
      <c r="BH102" s="2">
        <f t="shared" si="18"/>
        <v>0</v>
      </c>
      <c r="BI102" s="2">
        <f t="shared" si="19"/>
        <v>5.2334028995615144E-2</v>
      </c>
      <c r="BJ102" s="2">
        <f t="shared" si="20"/>
        <v>2.881891547446155E-2</v>
      </c>
      <c r="BK102" s="2">
        <f t="shared" si="21"/>
        <v>4.2712844051825107E-2</v>
      </c>
      <c r="BL102" s="2">
        <f t="shared" si="22"/>
        <v>7.2000000000000008E-2</v>
      </c>
      <c r="BM102" s="2">
        <f t="shared" si="23"/>
        <v>0</v>
      </c>
      <c r="BN102" s="2">
        <f>BI102/SUMIFS(BI$3:BI$623,$BC$3:$BC$623,1,$G$3:$G$623,$G102)</f>
        <v>5.2334028995615151E-2</v>
      </c>
      <c r="BO102" s="2">
        <f>BJ102/SUMIFS(BJ$3:BJ$623,$BC$3:$BC$623,1,$G$3:$G$623,$G102)</f>
        <v>2.8818915474461554E-2</v>
      </c>
      <c r="BP102" s="2">
        <f>BK102/SUMIFS(BK$3:BK$623,$BC$3:$BC$623,1,$G$3:$G$623,$G102)</f>
        <v>4.27128440518251E-2</v>
      </c>
      <c r="BQ102" s="2">
        <f>BL102</f>
        <v>7.2000000000000008E-2</v>
      </c>
      <c r="BR102" s="2">
        <f>BM102</f>
        <v>0</v>
      </c>
    </row>
    <row r="103" spans="1:70" hidden="1">
      <c r="A103" s="74">
        <v>0</v>
      </c>
      <c r="B103" s="73">
        <v>213416</v>
      </c>
      <c r="C103" s="73" t="s">
        <v>1385</v>
      </c>
      <c r="D103" s="73" t="s">
        <v>1386</v>
      </c>
      <c r="E103" s="73" t="s">
        <v>1387</v>
      </c>
      <c r="F103" s="73">
        <v>18743</v>
      </c>
      <c r="G103" s="73" t="s">
        <v>871</v>
      </c>
      <c r="H103" s="73" t="s">
        <v>945</v>
      </c>
      <c r="I103" s="73" t="s">
        <v>1012</v>
      </c>
      <c r="J103" s="73">
        <v>0</v>
      </c>
      <c r="K103" s="73">
        <v>6.5</v>
      </c>
      <c r="L103" s="73">
        <v>0</v>
      </c>
      <c r="M103" s="73">
        <v>0</v>
      </c>
      <c r="N103" s="73">
        <v>0</v>
      </c>
      <c r="O103" s="73" t="s">
        <v>982</v>
      </c>
      <c r="P103" s="73" t="s">
        <v>150</v>
      </c>
      <c r="Q103" s="73" t="s">
        <v>150</v>
      </c>
      <c r="R103" s="73">
        <v>5</v>
      </c>
      <c r="S103" s="73">
        <v>5</v>
      </c>
      <c r="T103" s="73">
        <v>0</v>
      </c>
      <c r="U103" s="73">
        <v>4</v>
      </c>
      <c r="V103" s="73">
        <v>2620</v>
      </c>
      <c r="W103" s="73">
        <v>23</v>
      </c>
      <c r="X103" s="73">
        <v>2</v>
      </c>
      <c r="Y103" s="73">
        <v>0</v>
      </c>
      <c r="Z103" s="73" t="s">
        <v>995</v>
      </c>
      <c r="AA103" s="73" t="s">
        <v>693</v>
      </c>
      <c r="AB103" s="73" t="str">
        <f>IF(AA103&lt;&gt;"",INDEX(Lookup!$N$2:$N$5,MATCH(Players!AA103,Lookup!$P$2:$P$5,0)),INDEX(Lookup!$N$2:$N$5,MATCH(Players!O103,Lookup!$O$2:$O$5,0)))</f>
        <v>Striker</v>
      </c>
      <c r="AC103" s="73">
        <v>4500000</v>
      </c>
      <c r="AD103" s="73" t="s">
        <v>790</v>
      </c>
      <c r="AE103" s="73" t="str">
        <f>INDEX('Translate table'!$H$2:$H$622,MATCH(Players!P103,'Translate table'!$G$2:$G$622,0))</f>
        <v>Leandro Trossard</v>
      </c>
      <c r="AF103" s="73">
        <f>IFERROR(INDEX('Euro Qual stats'!$A$1:$L$2071,MATCH(Players!$AE103,'Euro Qual stats'!$A$1:$A$2071,0),MATCH(Players!AF$2,'Euro Qual stats'!$A$1:$L$1,0)),0)</f>
        <v>0</v>
      </c>
      <c r="AG103" s="73">
        <f>IFERROR(INDEX('Euro Qual stats'!$A$1:$L$2071,MATCH(Players!$AE103,'Euro Qual stats'!$A$1:$A$2071,0),MATCH(Players!AG$2,'Euro Qual stats'!$A$1:$L$1,0)),0)</f>
        <v>0</v>
      </c>
      <c r="AH103" s="73">
        <f>IFERROR(INDEX('Euro Qual stats'!$A$1:$L$2071,MATCH(Players!$AE103,'Euro Qual stats'!$A$1:$A$2071,0),MATCH(Players!AH$2,'Euro Qual stats'!$A$1:$L$1,0)),0)</f>
        <v>0</v>
      </c>
      <c r="AI103" s="73">
        <f>IFERROR(INDEX('Euro Qual stats'!$A$1:$L$2071,MATCH(Players!$AE103,'Euro Qual stats'!$A$1:$A$2071,0),MATCH(Players!AI$2,'Euro Qual stats'!$A$1:$L$1,0)),0)</f>
        <v>0</v>
      </c>
      <c r="AJ103" s="93">
        <f>(12-AF103)/12*INDEX(BV$9:BV$12,MATCH($AB103,$BU$9:$BU$12,0))+AF103/12*AG103</f>
        <v>0.20491379310344832</v>
      </c>
      <c r="AK103" s="93">
        <f>(12-AG103)/12*INDEX(BW$9:BW$12,MATCH($AB103,$BU$9:$BU$12,0))+AG103/12*AH103</f>
        <v>0.53387931034482738</v>
      </c>
      <c r="AL103" s="93">
        <f>(12-AH103)/12*INDEX(BX$9:BX$12,MATCH($AB103,$BU$9:$BU$12,0))+AH103/12*AI103</f>
        <v>0.16482758620689658</v>
      </c>
      <c r="AM103" s="93">
        <f>IF($BC103=1,AJ103/SUMIFS(AJ$3:AJ$623,$BC$3:$BC$623,1,$G$3:$G$623,$G103),0)</f>
        <v>0</v>
      </c>
      <c r="AN103" s="93">
        <f>IF($BC103=1,AK103/SUMIFS(AK$3:AK$623,$BC$3:$BC$623,1,$G$3:$G$623,$G103),0)</f>
        <v>0</v>
      </c>
      <c r="AO103" s="93">
        <f>IF($BC103=1,AL103/SUMIFS(AL$3:AL$623,$BC$3:$BC$623,1,$G$3:$G$623,$G103),0)</f>
        <v>0</v>
      </c>
      <c r="AP103" s="2">
        <f>IFERROR(R103/$V103*90,"")</f>
        <v>0.17175572519083968</v>
      </c>
      <c r="AQ103" s="2">
        <f>IFERROR(S103/$V103*90,"")</f>
        <v>0.17175572519083968</v>
      </c>
      <c r="AR103" s="2">
        <f>IFERROR(W103/$V103*90,"")</f>
        <v>0.79007633587786263</v>
      </c>
      <c r="AS103" s="2">
        <f>IFERROR(X103/$V103*90,"")</f>
        <v>6.8702290076335881E-2</v>
      </c>
      <c r="AT103" s="2">
        <f>IFERROR(Y103/$V103*90,"")</f>
        <v>0</v>
      </c>
      <c r="AU103" s="2">
        <f>IF(AP103="",INDEX(BV$4:BV$7,MATCH(O103,$BU$4:$BU$7,0)),AP103)</f>
        <v>0.17175572519083968</v>
      </c>
      <c r="AV103" s="2">
        <f>IF(AQ103="",INDEX(BW$4:BW$7,MATCH($O103,$BU$4:$BU$7,0)),AQ103)</f>
        <v>0.17175572519083968</v>
      </c>
      <c r="AW103" s="2">
        <f t="shared" si="12"/>
        <v>0.79007633587786263</v>
      </c>
      <c r="AX103" s="2">
        <f t="shared" si="13"/>
        <v>6.8702290076335881E-2</v>
      </c>
      <c r="AY103" s="2">
        <f t="shared" si="14"/>
        <v>0</v>
      </c>
      <c r="AZ103" s="2">
        <f>AU103*0.5+AK103*0.5</f>
        <v>0.35281751776783354</v>
      </c>
      <c r="BA103" s="2">
        <f>AV103*0.5+AJ103*0.5</f>
        <v>0.18833475914714398</v>
      </c>
      <c r="BB103" s="2">
        <f t="shared" si="15"/>
        <v>3.4351145038167941E-2</v>
      </c>
      <c r="BC103">
        <f>IF(I103="expected",1,0)</f>
        <v>0</v>
      </c>
      <c r="BD103" s="78">
        <f>IF(BC103=1,AZ103/SUMIFS(AZ$3:AZ$623,$BC$3:$BC$623,1,$G$3:$G$623,$G103),0)</f>
        <v>0</v>
      </c>
      <c r="BE103" s="78">
        <f>IF(BC103=1,BA103/SUMIFS(BA$3:BA$623,$BC$3:$BC$623,1,$G$3:$G$623,$G103),0)</f>
        <v>0</v>
      </c>
      <c r="BF103" s="78">
        <f t="shared" si="16"/>
        <v>0</v>
      </c>
      <c r="BG103" s="2">
        <f t="shared" si="17"/>
        <v>3.4351145038167941E-2</v>
      </c>
      <c r="BH103" s="2">
        <f t="shared" si="18"/>
        <v>0</v>
      </c>
      <c r="BI103" s="2">
        <f t="shared" si="19"/>
        <v>0</v>
      </c>
      <c r="BJ103" s="2">
        <f t="shared" si="20"/>
        <v>0</v>
      </c>
      <c r="BK103" s="2">
        <f t="shared" si="21"/>
        <v>0</v>
      </c>
      <c r="BL103" s="2">
        <f t="shared" si="22"/>
        <v>3.4351145038167941E-2</v>
      </c>
      <c r="BM103" s="2">
        <f t="shared" si="23"/>
        <v>0</v>
      </c>
      <c r="BN103" s="2">
        <f>BI103/SUMIFS(BI$3:BI$623,$BC$3:$BC$623,1,$G$3:$G$623,$G103)</f>
        <v>0</v>
      </c>
      <c r="BO103" s="2">
        <f>BJ103/SUMIFS(BJ$3:BJ$623,$BC$3:$BC$623,1,$G$3:$G$623,$G103)</f>
        <v>0</v>
      </c>
      <c r="BP103" s="2">
        <f>BK103/SUMIFS(BK$3:BK$623,$BC$3:$BC$623,1,$G$3:$G$623,$G103)</f>
        <v>0</v>
      </c>
      <c r="BQ103" s="2">
        <f>BL103</f>
        <v>3.4351145038167941E-2</v>
      </c>
      <c r="BR103" s="2">
        <f>BM103</f>
        <v>0</v>
      </c>
    </row>
    <row r="104" spans="1:70" hidden="1">
      <c r="A104" s="74">
        <v>0</v>
      </c>
      <c r="B104" s="73">
        <v>204568</v>
      </c>
      <c r="C104" s="73" t="s">
        <v>1388</v>
      </c>
      <c r="D104" s="73" t="s">
        <v>1389</v>
      </c>
      <c r="E104" s="73" t="s">
        <v>1390</v>
      </c>
      <c r="F104" s="73">
        <v>18694</v>
      </c>
      <c r="G104" s="73" t="s">
        <v>876</v>
      </c>
      <c r="H104" s="73" t="s">
        <v>909</v>
      </c>
      <c r="I104" s="73" t="s">
        <v>1012</v>
      </c>
      <c r="J104" s="73">
        <v>0</v>
      </c>
      <c r="K104" s="73">
        <v>6.5</v>
      </c>
      <c r="L104" s="73">
        <v>0</v>
      </c>
      <c r="M104" s="73">
        <v>0</v>
      </c>
      <c r="N104" s="73">
        <v>0</v>
      </c>
      <c r="O104" s="73" t="s">
        <v>1318</v>
      </c>
      <c r="P104" s="73" t="s">
        <v>407</v>
      </c>
      <c r="Q104" s="73" t="s">
        <v>407</v>
      </c>
      <c r="R104" s="73">
        <v>0</v>
      </c>
      <c r="S104" s="73">
        <v>1</v>
      </c>
      <c r="T104" s="73">
        <v>0</v>
      </c>
      <c r="U104" s="73">
        <v>4</v>
      </c>
      <c r="V104" s="73">
        <v>1775</v>
      </c>
      <c r="W104" s="73">
        <v>5</v>
      </c>
      <c r="X104" s="73">
        <v>2</v>
      </c>
      <c r="Y104" s="73">
        <v>0</v>
      </c>
      <c r="Z104" s="73" t="s">
        <v>1095</v>
      </c>
      <c r="AA104" s="73" t="s">
        <v>692</v>
      </c>
      <c r="AB104" s="73" t="str">
        <f>IF(AA104&lt;&gt;"",INDEX(Lookup!$N$2:$N$5,MATCH(Players!AA104,Lookup!$P$2:$P$5,0)),INDEX(Lookup!$N$2:$N$5,MATCH(Players!O104,Lookup!$O$2:$O$5,0)))</f>
        <v>Defense</v>
      </c>
      <c r="AC104" s="73">
        <v>3000000</v>
      </c>
      <c r="AD104" s="73" t="s">
        <v>826</v>
      </c>
      <c r="AE104" s="73" t="str">
        <f>INDEX('Translate table'!$H$2:$H$622,MATCH(Players!P104,'Translate table'!$G$2:$G$622,0))</f>
        <v>Patrick van Aanholt</v>
      </c>
      <c r="AF104" s="73">
        <f>IFERROR(INDEX('Euro Qual stats'!$A$1:$L$2071,MATCH(Players!$AE104,'Euro Qual stats'!$A$1:$A$2071,0),MATCH(Players!AF$2,'Euro Qual stats'!$A$1:$L$1,0)),0)</f>
        <v>1</v>
      </c>
      <c r="AG104" s="73">
        <f>IFERROR(INDEX('Euro Qual stats'!$A$1:$L$2071,MATCH(Players!$AE104,'Euro Qual stats'!$A$1:$A$2071,0),MATCH(Players!AG$2,'Euro Qual stats'!$A$1:$L$1,0)),0)</f>
        <v>0</v>
      </c>
      <c r="AH104" s="73">
        <f>IFERROR(INDEX('Euro Qual stats'!$A$1:$L$2071,MATCH(Players!$AE104,'Euro Qual stats'!$A$1:$A$2071,0),MATCH(Players!AH$2,'Euro Qual stats'!$A$1:$L$1,0)),0)</f>
        <v>0</v>
      </c>
      <c r="AI104" s="73">
        <f>IFERROR(INDEX('Euro Qual stats'!$A$1:$L$2071,MATCH(Players!$AE104,'Euro Qual stats'!$A$1:$A$2071,0),MATCH(Players!AI$2,'Euro Qual stats'!$A$1:$L$1,0)),0)</f>
        <v>0</v>
      </c>
      <c r="AJ104" s="93">
        <f>(12-AF104)/12*INDEX(BV$9:BV$12,MATCH($AB104,$BU$9:$BU$12,0))+AF104/12*AG104</f>
        <v>8.1744505494505515E-2</v>
      </c>
      <c r="AK104" s="93">
        <f>(12-AG104)/12*INDEX(BW$9:BW$12,MATCH($AB104,$BU$9:$BU$12,0))+AG104/12*AH104</f>
        <v>0.10357142857142858</v>
      </c>
      <c r="AL104" s="93">
        <f>(12-AH104)/12*INDEX(BX$9:BX$12,MATCH($AB104,$BU$9:$BU$12,0))+AH104/12*AI104</f>
        <v>0.19357142857142848</v>
      </c>
      <c r="AM104" s="93">
        <f>IF($BC104=1,AJ104/SUMIFS(AJ$3:AJ$623,$BC$3:$BC$623,1,$G$3:$G$623,$G104),0)</f>
        <v>0</v>
      </c>
      <c r="AN104" s="93">
        <f>IF($BC104=1,AK104/SUMIFS(AK$3:AK$623,$BC$3:$BC$623,1,$G$3:$G$623,$G104),0)</f>
        <v>0</v>
      </c>
      <c r="AO104" s="93">
        <f>IF($BC104=1,AL104/SUMIFS(AL$3:AL$623,$BC$3:$BC$623,1,$G$3:$G$623,$G104),0)</f>
        <v>0</v>
      </c>
      <c r="AP104" s="2">
        <f>IFERROR(R104/$V104*90,"")</f>
        <v>0</v>
      </c>
      <c r="AQ104" s="2">
        <f>IFERROR(S104/$V104*90,"")</f>
        <v>5.0704225352112678E-2</v>
      </c>
      <c r="AR104" s="2">
        <f>IFERROR(W104/$V104*90,"")</f>
        <v>0.25352112676056338</v>
      </c>
      <c r="AS104" s="2">
        <f>IFERROR(X104/$V104*90,"")</f>
        <v>0.10140845070422536</v>
      </c>
      <c r="AT104" s="2">
        <f>IFERROR(Y104/$V104*90,"")</f>
        <v>0</v>
      </c>
      <c r="AU104" s="2">
        <f>IF(AP104="",INDEX(BV$4:BV$7,MATCH(O104,$BU$4:$BU$7,0)),AP104)</f>
        <v>0</v>
      </c>
      <c r="AV104" s="2">
        <f>IF(AQ104="",INDEX(BW$4:BW$7,MATCH($O104,$BU$4:$BU$7,0)),AQ104)</f>
        <v>5.0704225352112678E-2</v>
      </c>
      <c r="AW104" s="2">
        <f t="shared" si="12"/>
        <v>0.25352112676056338</v>
      </c>
      <c r="AX104" s="2">
        <f t="shared" si="13"/>
        <v>0.10140845070422536</v>
      </c>
      <c r="AY104" s="2">
        <f t="shared" si="14"/>
        <v>0</v>
      </c>
      <c r="AZ104" s="2">
        <f>AU104*0.5+AK104*0.5</f>
        <v>5.1785714285714289E-2</v>
      </c>
      <c r="BA104" s="2">
        <f>AV104*0.5+AJ104*0.5</f>
        <v>6.6224365423309089E-2</v>
      </c>
      <c r="BB104" s="2">
        <f t="shared" si="15"/>
        <v>5.0704225352112678E-2</v>
      </c>
      <c r="BC104">
        <f>IF(I104="expected",1,0)</f>
        <v>0</v>
      </c>
      <c r="BD104" s="78">
        <f>IF(BC104=1,AZ104/SUMIFS(AZ$3:AZ$623,$BC$3:$BC$623,1,$G$3:$G$623,$G104),0)</f>
        <v>0</v>
      </c>
      <c r="BE104" s="78">
        <f>IF(BC104=1,BA104/SUMIFS(BA$3:BA$623,$BC$3:$BC$623,1,$G$3:$G$623,$G104),0)</f>
        <v>0</v>
      </c>
      <c r="BF104" s="78">
        <f t="shared" si="16"/>
        <v>0</v>
      </c>
      <c r="BG104" s="2">
        <f t="shared" si="17"/>
        <v>5.0704225352112678E-2</v>
      </c>
      <c r="BH104" s="2">
        <f t="shared" si="18"/>
        <v>0</v>
      </c>
      <c r="BI104" s="2">
        <f t="shared" si="19"/>
        <v>0</v>
      </c>
      <c r="BJ104" s="2">
        <f t="shared" si="20"/>
        <v>0</v>
      </c>
      <c r="BK104" s="2">
        <f t="shared" si="21"/>
        <v>0</v>
      </c>
      <c r="BL104" s="2">
        <f t="shared" si="22"/>
        <v>5.0704225352112678E-2</v>
      </c>
      <c r="BM104" s="2">
        <f t="shared" si="23"/>
        <v>0</v>
      </c>
      <c r="BN104" s="2">
        <f>BI104/SUMIFS(BI$3:BI$623,$BC$3:$BC$623,1,$G$3:$G$623,$G104)</f>
        <v>0</v>
      </c>
      <c r="BO104" s="2">
        <f>BJ104/SUMIFS(BJ$3:BJ$623,$BC$3:$BC$623,1,$G$3:$G$623,$G104)</f>
        <v>0</v>
      </c>
      <c r="BP104" s="2">
        <f>BK104/SUMIFS(BK$3:BK$623,$BC$3:$BC$623,1,$G$3:$G$623,$G104)</f>
        <v>0</v>
      </c>
      <c r="BQ104" s="2">
        <f>BL104</f>
        <v>5.0704225352112678E-2</v>
      </c>
      <c r="BR104" s="2">
        <f>BM104</f>
        <v>0</v>
      </c>
    </row>
    <row r="105" spans="1:70" hidden="1">
      <c r="A105" s="74">
        <v>0</v>
      </c>
      <c r="B105" s="73">
        <v>220790</v>
      </c>
      <c r="C105" s="73" t="s">
        <v>1391</v>
      </c>
      <c r="D105" s="73" t="s">
        <v>1392</v>
      </c>
      <c r="E105" s="73" t="s">
        <v>1393</v>
      </c>
      <c r="F105" s="73">
        <v>18694</v>
      </c>
      <c r="G105" s="73" t="s">
        <v>876</v>
      </c>
      <c r="H105" s="73" t="s">
        <v>909</v>
      </c>
      <c r="I105" s="73" t="s">
        <v>981</v>
      </c>
      <c r="J105" s="73">
        <v>0</v>
      </c>
      <c r="K105" s="73">
        <v>6.5</v>
      </c>
      <c r="L105" s="73">
        <v>0</v>
      </c>
      <c r="M105" s="73">
        <v>0</v>
      </c>
      <c r="N105" s="73">
        <v>0</v>
      </c>
      <c r="O105" s="73" t="s">
        <v>994</v>
      </c>
      <c r="P105" s="73" t="s">
        <v>1394</v>
      </c>
      <c r="Q105" s="73" t="s">
        <v>1395</v>
      </c>
      <c r="R105" s="73">
        <v>1</v>
      </c>
      <c r="S105" s="73">
        <v>1</v>
      </c>
      <c r="T105" s="73">
        <v>0</v>
      </c>
      <c r="U105" s="73">
        <v>10</v>
      </c>
      <c r="V105" s="73">
        <v>3021</v>
      </c>
      <c r="W105" s="73">
        <v>3</v>
      </c>
      <c r="X105" s="73">
        <v>8</v>
      </c>
      <c r="Y105" s="73">
        <v>1</v>
      </c>
      <c r="Z105" s="73" t="s">
        <v>1095</v>
      </c>
      <c r="AA105" s="73" t="s">
        <v>691</v>
      </c>
      <c r="AB105" s="73" t="str">
        <f>IF(AA105&lt;&gt;"",INDEX(Lookup!$N$2:$N$5,MATCH(Players!AA105,Lookup!$P$2:$P$5,0)),INDEX(Lookup!$N$2:$N$5,MATCH(Players!O105,Lookup!$O$2:$O$5,0)))</f>
        <v>Midfield</v>
      </c>
      <c r="AC105" s="73">
        <v>3500000</v>
      </c>
      <c r="AD105" s="73" t="s">
        <v>798</v>
      </c>
      <c r="AE105" s="73" t="str">
        <f>INDEX('Translate table'!$H$2:$H$622,MATCH(Players!P105,'Translate table'!$G$2:$G$622,0))</f>
        <v>Marten de Roon</v>
      </c>
      <c r="AF105" s="73">
        <f>IFERROR(INDEX('Euro Qual stats'!$A$1:$L$2071,MATCH(Players!$AE105,'Euro Qual stats'!$A$1:$A$2071,0),MATCH(Players!AF$2,'Euro Qual stats'!$A$1:$L$1,0)),0)</f>
        <v>6</v>
      </c>
      <c r="AG105" s="73">
        <f>IFERROR(INDEX('Euro Qual stats'!$A$1:$L$2071,MATCH(Players!$AE105,'Euro Qual stats'!$A$1:$A$2071,0),MATCH(Players!AG$2,'Euro Qual stats'!$A$1:$L$1,0)),0)</f>
        <v>0</v>
      </c>
      <c r="AH105" s="73">
        <f>IFERROR(INDEX('Euro Qual stats'!$A$1:$L$2071,MATCH(Players!$AE105,'Euro Qual stats'!$A$1:$A$2071,0),MATCH(Players!AH$2,'Euro Qual stats'!$A$1:$L$1,0)),0)</f>
        <v>0</v>
      </c>
      <c r="AI105" s="73">
        <f>IFERROR(INDEX('Euro Qual stats'!$A$1:$L$2071,MATCH(Players!$AE105,'Euro Qual stats'!$A$1:$A$2071,0),MATCH(Players!AI$2,'Euro Qual stats'!$A$1:$L$1,0)),0)</f>
        <v>0.85</v>
      </c>
      <c r="AJ105" s="93">
        <f>(12-AF105)/12*INDEX(BV$9:BV$12,MATCH($AB105,$BU$9:$BU$12,0))+AF105/12*AG105</f>
        <v>8.4345549738219894E-2</v>
      </c>
      <c r="AK105" s="93">
        <f>(12-AG105)/12*INDEX(BW$9:BW$12,MATCH($AB105,$BU$9:$BU$12,0))+AG105/12*AH105</f>
        <v>0.22340314136125652</v>
      </c>
      <c r="AL105" s="93">
        <f>(12-AH105)/12*INDEX(BX$9:BX$12,MATCH($AB105,$BU$9:$BU$12,0))+AH105/12*AI105</f>
        <v>0.23942408376963353</v>
      </c>
      <c r="AM105" s="93">
        <f>IF($BC105=1,AJ105/SUMIFS(AJ$3:AJ$623,$BC$3:$BC$623,1,$G$3:$G$623,$G105),0)</f>
        <v>4.7202142282123216E-2</v>
      </c>
      <c r="AN105" s="93">
        <f>IF($BC105=1,AK105/SUMIFS(AK$3:AK$623,$BC$3:$BC$623,1,$G$3:$G$623,$G105),0)</f>
        <v>8.0790766055159294E-2</v>
      </c>
      <c r="AO105" s="93">
        <f>IF($BC105=1,AL105/SUMIFS(AL$3:AL$623,$BC$3:$BC$623,1,$G$3:$G$623,$G105),0)</f>
        <v>0.12152965782760368</v>
      </c>
      <c r="AP105" s="2">
        <f>IFERROR(R105/$V105*90,"")</f>
        <v>2.9791459781529295E-2</v>
      </c>
      <c r="AQ105" s="2">
        <f>IFERROR(S105/$V105*90,"")</f>
        <v>2.9791459781529295E-2</v>
      </c>
      <c r="AR105" s="2">
        <f>IFERROR(W105/$V105*90,"")</f>
        <v>8.9374379344587876E-2</v>
      </c>
      <c r="AS105" s="2">
        <f>IFERROR(X105/$V105*90,"")</f>
        <v>0.23833167825223436</v>
      </c>
      <c r="AT105" s="2">
        <f>IFERROR(Y105/$V105*90,"")</f>
        <v>2.9791459781529295E-2</v>
      </c>
      <c r="AU105" s="2">
        <f>IF(AP105="",INDEX(BV$4:BV$7,MATCH(O105,$BU$4:$BU$7,0)),AP105)</f>
        <v>2.9791459781529295E-2</v>
      </c>
      <c r="AV105" s="2">
        <f>IF(AQ105="",INDEX(BW$4:BW$7,MATCH($O105,$BU$4:$BU$7,0)),AQ105)</f>
        <v>2.9791459781529295E-2</v>
      </c>
      <c r="AW105" s="2">
        <f t="shared" si="12"/>
        <v>8.9374379344587876E-2</v>
      </c>
      <c r="AX105" s="2">
        <f t="shared" si="13"/>
        <v>0.23833167825223436</v>
      </c>
      <c r="AY105" s="2">
        <f t="shared" si="14"/>
        <v>2.9791459781529295E-2</v>
      </c>
      <c r="AZ105" s="2">
        <f>AU105*0.5+AK105*0.5</f>
        <v>0.1265973005713929</v>
      </c>
      <c r="BA105" s="2">
        <f>AV105*0.5+AJ105*0.5</f>
        <v>5.7068504759874593E-2</v>
      </c>
      <c r="BB105" s="2">
        <f t="shared" si="15"/>
        <v>0.54416583912611716</v>
      </c>
      <c r="BC105">
        <f>IF(I105="expected",1,0)</f>
        <v>1</v>
      </c>
      <c r="BD105" s="78">
        <f>IF(BC105=1,AZ105/SUMIFS(AZ$3:AZ$623,$BC$3:$BC$623,1,$G$3:$G$623,$G105),0)</f>
        <v>6.4009128489934231E-2</v>
      </c>
      <c r="BE105" s="78">
        <f>IF(BC105=1,BA105/SUMIFS(BA$3:BA$623,$BC$3:$BC$623,1,$G$3:$G$623,$G105),0)</f>
        <v>4.4540980835606439E-2</v>
      </c>
      <c r="BF105" s="78">
        <f t="shared" si="16"/>
        <v>2.1266627415370973E-2</v>
      </c>
      <c r="BG105" s="2">
        <f t="shared" si="17"/>
        <v>0.54416583912611716</v>
      </c>
      <c r="BH105" s="2">
        <f t="shared" si="18"/>
        <v>2.9791459781529295E-2</v>
      </c>
      <c r="BI105" s="2">
        <f t="shared" si="19"/>
        <v>6.4009128489934231E-2</v>
      </c>
      <c r="BJ105" s="2">
        <f t="shared" si="20"/>
        <v>4.4540980835606439E-2</v>
      </c>
      <c r="BK105" s="2">
        <f t="shared" si="21"/>
        <v>2.1266627415370973E-2</v>
      </c>
      <c r="BL105" s="2">
        <f t="shared" si="22"/>
        <v>0.54416583912611716</v>
      </c>
      <c r="BM105" s="2">
        <f t="shared" si="23"/>
        <v>2.9791459781529295E-2</v>
      </c>
      <c r="BN105" s="2">
        <f>BI105/SUMIFS(BI$3:BI$623,$BC$3:$BC$623,1,$G$3:$G$623,$G105)</f>
        <v>6.4009128489934244E-2</v>
      </c>
      <c r="BO105" s="2">
        <f>BJ105/SUMIFS(BJ$3:BJ$623,$BC$3:$BC$623,1,$G$3:$G$623,$G105)</f>
        <v>5.1286799464717328E-2</v>
      </c>
      <c r="BP105" s="2">
        <f>BK105/SUMIFS(BK$3:BK$623,$BC$3:$BC$623,1,$G$3:$G$623,$G105)</f>
        <v>2.3296063962169562E-2</v>
      </c>
      <c r="BQ105" s="2">
        <f>BL105</f>
        <v>0.54416583912611716</v>
      </c>
      <c r="BR105" s="2">
        <f>BM105</f>
        <v>2.9791459781529295E-2</v>
      </c>
    </row>
    <row r="106" spans="1:70" hidden="1">
      <c r="A106" s="74">
        <v>0</v>
      </c>
      <c r="B106" s="73">
        <v>204583</v>
      </c>
      <c r="C106" s="73" t="s">
        <v>1396</v>
      </c>
      <c r="D106" s="73" t="s">
        <v>1397</v>
      </c>
      <c r="E106" s="73" t="s">
        <v>1398</v>
      </c>
      <c r="F106" s="73">
        <v>18694</v>
      </c>
      <c r="G106" s="73" t="s">
        <v>876</v>
      </c>
      <c r="H106" s="73" t="s">
        <v>909</v>
      </c>
      <c r="I106" s="73" t="s">
        <v>981</v>
      </c>
      <c r="J106" s="73">
        <v>0</v>
      </c>
      <c r="K106" s="73">
        <v>6.5</v>
      </c>
      <c r="L106" s="73">
        <v>0</v>
      </c>
      <c r="M106" s="73">
        <v>0</v>
      </c>
      <c r="N106" s="73">
        <v>0</v>
      </c>
      <c r="O106" s="73" t="s">
        <v>994</v>
      </c>
      <c r="P106" s="73" t="s">
        <v>1399</v>
      </c>
      <c r="Q106" s="73" t="s">
        <v>341</v>
      </c>
      <c r="R106" s="73">
        <v>1</v>
      </c>
      <c r="S106" s="73">
        <v>3</v>
      </c>
      <c r="T106" s="73">
        <v>0</v>
      </c>
      <c r="U106" s="73">
        <v>1</v>
      </c>
      <c r="V106" s="73">
        <v>1211</v>
      </c>
      <c r="W106" s="73">
        <v>6</v>
      </c>
      <c r="X106" s="73">
        <v>3</v>
      </c>
      <c r="Y106" s="73">
        <v>0</v>
      </c>
      <c r="Z106" s="73" t="s">
        <v>1095</v>
      </c>
      <c r="AA106" s="73" t="s">
        <v>693</v>
      </c>
      <c r="AB106" s="73" t="str">
        <f>IF(AA106&lt;&gt;"",INDEX(Lookup!$N$2:$N$5,MATCH(Players!AA106,Lookup!$P$2:$P$5,0)),INDEX(Lookup!$N$2:$N$5,MATCH(Players!O106,Lookup!$O$2:$O$5,0)))</f>
        <v>Striker</v>
      </c>
      <c r="AC106" s="73">
        <v>4500000</v>
      </c>
      <c r="AD106" s="73" t="s">
        <v>810</v>
      </c>
      <c r="AE106" s="73" t="str">
        <f>INDEX('Translate table'!$H$2:$H$622,MATCH(Players!P106,'Translate table'!$G$2:$G$622,0))</f>
        <v>Steven Berghuis</v>
      </c>
      <c r="AF106" s="73">
        <f>IFERROR(INDEX('Euro Qual stats'!$A$1:$L$2071,MATCH(Players!$AE106,'Euro Qual stats'!$A$1:$A$2071,0),MATCH(Players!AF$2,'Euro Qual stats'!$A$1:$L$1,0)),0)</f>
        <v>2</v>
      </c>
      <c r="AG106" s="73">
        <f>IFERROR(INDEX('Euro Qual stats'!$A$1:$L$2071,MATCH(Players!$AE106,'Euro Qual stats'!$A$1:$A$2071,0),MATCH(Players!AG$2,'Euro Qual stats'!$A$1:$L$1,0)),0)</f>
        <v>0</v>
      </c>
      <c r="AH106" s="73">
        <f>IFERROR(INDEX('Euro Qual stats'!$A$1:$L$2071,MATCH(Players!$AE106,'Euro Qual stats'!$A$1:$A$2071,0),MATCH(Players!AH$2,'Euro Qual stats'!$A$1:$L$1,0)),0)</f>
        <v>0</v>
      </c>
      <c r="AI106" s="73">
        <f>IFERROR(INDEX('Euro Qual stats'!$A$1:$L$2071,MATCH(Players!$AE106,'Euro Qual stats'!$A$1:$A$2071,0),MATCH(Players!AI$2,'Euro Qual stats'!$A$1:$L$1,0)),0)</f>
        <v>0</v>
      </c>
      <c r="AJ106" s="93">
        <f>(12-AF106)/12*INDEX(BV$9:BV$12,MATCH($AB106,$BU$9:$BU$12,0))+AF106/12*AG106</f>
        <v>0.1707614942528736</v>
      </c>
      <c r="AK106" s="93">
        <f>(12-AG106)/12*INDEX(BW$9:BW$12,MATCH($AB106,$BU$9:$BU$12,0))+AG106/12*AH106</f>
        <v>0.53387931034482738</v>
      </c>
      <c r="AL106" s="93">
        <f>(12-AH106)/12*INDEX(BX$9:BX$12,MATCH($AB106,$BU$9:$BU$12,0))+AH106/12*AI106</f>
        <v>0.16482758620689658</v>
      </c>
      <c r="AM106" s="93">
        <f>IF($BC106=1,AJ106/SUMIFS(AJ$3:AJ$623,$BC$3:$BC$623,1,$G$3:$G$623,$G106),0)</f>
        <v>9.5562935721547615E-2</v>
      </c>
      <c r="AN106" s="93">
        <f>IF($BC106=1,AK106/SUMIFS(AK$3:AK$623,$BC$3:$BC$623,1,$G$3:$G$623,$G106),0)</f>
        <v>0.19307033106580546</v>
      </c>
      <c r="AO106" s="93">
        <f>IF($BC106=1,AL106/SUMIFS(AL$3:AL$623,$BC$3:$BC$623,1,$G$3:$G$623,$G106),0)</f>
        <v>8.3665101007748335E-2</v>
      </c>
      <c r="AP106" s="2">
        <f>IFERROR(R106/$V106*90,"")</f>
        <v>7.4318744838976047E-2</v>
      </c>
      <c r="AQ106" s="2">
        <f>IFERROR(S106/$V106*90,"")</f>
        <v>0.22295623451692814</v>
      </c>
      <c r="AR106" s="2">
        <f>IFERROR(W106/$V106*90,"")</f>
        <v>0.44591246903385628</v>
      </c>
      <c r="AS106" s="2">
        <f>IFERROR(X106/$V106*90,"")</f>
        <v>0.22295623451692814</v>
      </c>
      <c r="AT106" s="2">
        <f>IFERROR(Y106/$V106*90,"")</f>
        <v>0</v>
      </c>
      <c r="AU106" s="2">
        <f>IF(AP106="",INDEX(BV$4:BV$7,MATCH(O106,$BU$4:$BU$7,0)),AP106)</f>
        <v>7.4318744838976047E-2</v>
      </c>
      <c r="AV106" s="2">
        <f>IF(AQ106="",INDEX(BW$4:BW$7,MATCH($O106,$BU$4:$BU$7,0)),AQ106)</f>
        <v>0.22295623451692814</v>
      </c>
      <c r="AW106" s="2">
        <f t="shared" si="12"/>
        <v>0.44591246903385628</v>
      </c>
      <c r="AX106" s="2">
        <f t="shared" si="13"/>
        <v>0.22295623451692814</v>
      </c>
      <c r="AY106" s="2">
        <f t="shared" si="14"/>
        <v>0</v>
      </c>
      <c r="AZ106" s="2">
        <f>AU106*0.5+AK106*0.5</f>
        <v>0.30409902759190172</v>
      </c>
      <c r="BA106" s="2">
        <f>AV106*0.5+AJ106*0.5</f>
        <v>0.19685886438490086</v>
      </c>
      <c r="BB106" s="2">
        <f t="shared" si="15"/>
        <v>0.11147811725846407</v>
      </c>
      <c r="BC106">
        <f>IF(I106="expected",1,0)</f>
        <v>1</v>
      </c>
      <c r="BD106" s="78">
        <f>IF(BC106=1,AZ106/SUMIFS(AZ$3:AZ$623,$BC$3:$BC$623,1,$G$3:$G$623,$G106),0)</f>
        <v>0.1537561515367146</v>
      </c>
      <c r="BE106" s="78">
        <f>IF(BC106=1,BA106/SUMIFS(BA$3:BA$623,$BC$3:$BC$623,1,$G$3:$G$623,$G106),0)</f>
        <v>0.15364493853100181</v>
      </c>
      <c r="BF106" s="78">
        <f t="shared" si="16"/>
        <v>0.10610484132425387</v>
      </c>
      <c r="BG106" s="2">
        <f t="shared" si="17"/>
        <v>0.11147811725846407</v>
      </c>
      <c r="BH106" s="2">
        <f t="shared" si="18"/>
        <v>0</v>
      </c>
      <c r="BI106" s="2">
        <f t="shared" si="19"/>
        <v>0.1537561515367146</v>
      </c>
      <c r="BJ106" s="2">
        <f t="shared" si="20"/>
        <v>0.15364493853100181</v>
      </c>
      <c r="BK106" s="2">
        <f t="shared" si="21"/>
        <v>0.10610484132425387</v>
      </c>
      <c r="BL106" s="2">
        <f t="shared" si="22"/>
        <v>0.11147811725846407</v>
      </c>
      <c r="BM106" s="2">
        <f t="shared" si="23"/>
        <v>0</v>
      </c>
      <c r="BN106" s="2">
        <f>BI106/SUMIFS(BI$3:BI$623,$BC$3:$BC$623,1,$G$3:$G$623,$G106)</f>
        <v>0.15375615153671462</v>
      </c>
      <c r="BO106" s="2">
        <f>BJ106/SUMIFS(BJ$3:BJ$623,$BC$3:$BC$623,1,$G$3:$G$623,$G106)</f>
        <v>0.1769147648609706</v>
      </c>
      <c r="BP106" s="2">
        <f>BK106/SUMIFS(BK$3:BK$623,$BC$3:$BC$623,1,$G$3:$G$623,$G106)</f>
        <v>0.11623023819936293</v>
      </c>
      <c r="BQ106" s="2">
        <f>BL106</f>
        <v>0.11147811725846407</v>
      </c>
      <c r="BR106" s="2">
        <f>BM106</f>
        <v>0</v>
      </c>
    </row>
    <row r="107" spans="1:70" hidden="1">
      <c r="A107" s="74">
        <v>0</v>
      </c>
      <c r="B107" s="73">
        <v>204566</v>
      </c>
      <c r="C107" s="73" t="s">
        <v>1400</v>
      </c>
      <c r="D107" s="73" t="s">
        <v>1401</v>
      </c>
      <c r="E107" s="73" t="s">
        <v>1402</v>
      </c>
      <c r="F107" s="73">
        <v>18694</v>
      </c>
      <c r="G107" s="73" t="s">
        <v>876</v>
      </c>
      <c r="H107" s="73" t="s">
        <v>909</v>
      </c>
      <c r="I107" s="73" t="s">
        <v>1012</v>
      </c>
      <c r="J107" s="73">
        <v>0</v>
      </c>
      <c r="K107" s="73">
        <v>6.5</v>
      </c>
      <c r="L107" s="73">
        <v>0</v>
      </c>
      <c r="M107" s="73">
        <v>0</v>
      </c>
      <c r="N107" s="73">
        <v>0</v>
      </c>
      <c r="O107" s="73" t="s">
        <v>994</v>
      </c>
      <c r="P107" s="73" t="s">
        <v>1403</v>
      </c>
      <c r="Q107" s="73" t="s">
        <v>1403</v>
      </c>
      <c r="R107" s="73">
        <v>0</v>
      </c>
      <c r="S107" s="73">
        <v>0</v>
      </c>
      <c r="T107" s="73">
        <v>0</v>
      </c>
      <c r="U107" s="73">
        <v>0</v>
      </c>
      <c r="V107" s="73">
        <v>225</v>
      </c>
      <c r="W107" s="73">
        <v>0</v>
      </c>
      <c r="X107" s="73">
        <v>1</v>
      </c>
      <c r="Y107" s="73">
        <v>0</v>
      </c>
      <c r="Z107" s="73" t="s">
        <v>1095</v>
      </c>
      <c r="AA107" s="73" t="s">
        <v>691</v>
      </c>
      <c r="AB107" s="73" t="str">
        <f>IF(AA107&lt;&gt;"",INDEX(Lookup!$N$2:$N$5,MATCH(Players!AA107,Lookup!$P$2:$P$5,0)),INDEX(Lookup!$N$2:$N$5,MATCH(Players!O107,Lookup!$O$2:$O$5,0)))</f>
        <v>Midfield</v>
      </c>
      <c r="AC107" s="73">
        <v>4000000</v>
      </c>
      <c r="AD107" s="73" t="s">
        <v>819</v>
      </c>
      <c r="AE107" s="73" t="str">
        <f>INDEX('Translate table'!$H$2:$H$622,MATCH(Players!P107,'Translate table'!$G$2:$G$622,0))</f>
        <v>Davy PrÃ¶pper</v>
      </c>
      <c r="AF107" s="73">
        <f>IFERROR(INDEX('Euro Qual stats'!$A$1:$L$2071,MATCH(Players!$AE107,'Euro Qual stats'!$A$1:$A$2071,0),MATCH(Players!AF$2,'Euro Qual stats'!$A$1:$L$1,0)),0)</f>
        <v>5</v>
      </c>
      <c r="AG107" s="73">
        <f>IFERROR(INDEX('Euro Qual stats'!$A$1:$L$2071,MATCH(Players!$AE107,'Euro Qual stats'!$A$1:$A$2071,0),MATCH(Players!AG$2,'Euro Qual stats'!$A$1:$L$1,0)),0)</f>
        <v>0</v>
      </c>
      <c r="AH107" s="73">
        <f>IFERROR(INDEX('Euro Qual stats'!$A$1:$L$2071,MATCH(Players!$AE107,'Euro Qual stats'!$A$1:$A$2071,0),MATCH(Players!AH$2,'Euro Qual stats'!$A$1:$L$1,0)),0)</f>
        <v>0</v>
      </c>
      <c r="AI107" s="73">
        <f>IFERROR(INDEX('Euro Qual stats'!$A$1:$L$2071,MATCH(Players!$AE107,'Euro Qual stats'!$A$1:$A$2071,0),MATCH(Players!AI$2,'Euro Qual stats'!$A$1:$L$1,0)),0)</f>
        <v>0</v>
      </c>
      <c r="AJ107" s="93">
        <f>(12-AF107)/12*INDEX(BV$9:BV$12,MATCH($AB107,$BU$9:$BU$12,0))+AF107/12*AG107</f>
        <v>9.8403141361256552E-2</v>
      </c>
      <c r="AK107" s="93">
        <f>(12-AG107)/12*INDEX(BW$9:BW$12,MATCH($AB107,$BU$9:$BU$12,0))+AG107/12*AH107</f>
        <v>0.22340314136125652</v>
      </c>
      <c r="AL107" s="93">
        <f>(12-AH107)/12*INDEX(BX$9:BX$12,MATCH($AB107,$BU$9:$BU$12,0))+AH107/12*AI107</f>
        <v>0.23942408376963353</v>
      </c>
      <c r="AM107" s="93">
        <f>IF($BC107=1,AJ107/SUMIFS(AJ$3:AJ$623,$BC$3:$BC$623,1,$G$3:$G$623,$G107),0)</f>
        <v>0</v>
      </c>
      <c r="AN107" s="93">
        <f>IF($BC107=1,AK107/SUMIFS(AK$3:AK$623,$BC$3:$BC$623,1,$G$3:$G$623,$G107),0)</f>
        <v>0</v>
      </c>
      <c r="AO107" s="93">
        <f>IF($BC107=1,AL107/SUMIFS(AL$3:AL$623,$BC$3:$BC$623,1,$G$3:$G$623,$G107),0)</f>
        <v>0</v>
      </c>
      <c r="AP107" s="2">
        <f>IFERROR(R107/$V107*90,"")</f>
        <v>0</v>
      </c>
      <c r="AQ107" s="2">
        <f>IFERROR(S107/$V107*90,"")</f>
        <v>0</v>
      </c>
      <c r="AR107" s="2">
        <f>IFERROR(W107/$V107*90,"")</f>
        <v>0</v>
      </c>
      <c r="AS107" s="2">
        <f>IFERROR(X107/$V107*90,"")</f>
        <v>0.4</v>
      </c>
      <c r="AT107" s="2">
        <f>IFERROR(Y107/$V107*90,"")</f>
        <v>0</v>
      </c>
      <c r="AU107" s="2">
        <f>IF(AP107="",INDEX(BV$4:BV$7,MATCH(O107,$BU$4:$BU$7,0)),AP107)</f>
        <v>0</v>
      </c>
      <c r="AV107" s="2">
        <f>IF(AQ107="",INDEX(BW$4:BW$7,MATCH($O107,$BU$4:$BU$7,0)),AQ107)</f>
        <v>0</v>
      </c>
      <c r="AW107" s="2">
        <f t="shared" si="12"/>
        <v>0</v>
      </c>
      <c r="AX107" s="2">
        <f t="shared" si="13"/>
        <v>0.4</v>
      </c>
      <c r="AY107" s="2">
        <f t="shared" si="14"/>
        <v>0</v>
      </c>
      <c r="AZ107" s="2">
        <f>AU107*0.5+AK107*0.5</f>
        <v>0.11170157068062826</v>
      </c>
      <c r="BA107" s="2">
        <f>AV107*0.5+AJ107*0.5</f>
        <v>4.9201570680628276E-2</v>
      </c>
      <c r="BB107" s="2">
        <f t="shared" si="15"/>
        <v>0.2</v>
      </c>
      <c r="BC107">
        <f>IF(I107="expected",1,0)</f>
        <v>0</v>
      </c>
      <c r="BD107" s="78">
        <f>IF(BC107=1,AZ107/SUMIFS(AZ$3:AZ$623,$BC$3:$BC$623,1,$G$3:$G$623,$G107),0)</f>
        <v>0</v>
      </c>
      <c r="BE107" s="78">
        <f>IF(BC107=1,BA107/SUMIFS(BA$3:BA$623,$BC$3:$BC$623,1,$G$3:$G$623,$G107),0)</f>
        <v>0</v>
      </c>
      <c r="BF107" s="78">
        <f t="shared" si="16"/>
        <v>0</v>
      </c>
      <c r="BG107" s="2">
        <f t="shared" si="17"/>
        <v>0.2</v>
      </c>
      <c r="BH107" s="2">
        <f t="shared" si="18"/>
        <v>0</v>
      </c>
      <c r="BI107" s="2">
        <f t="shared" si="19"/>
        <v>0</v>
      </c>
      <c r="BJ107" s="2">
        <f t="shared" si="20"/>
        <v>0</v>
      </c>
      <c r="BK107" s="2">
        <f t="shared" si="21"/>
        <v>0</v>
      </c>
      <c r="BL107" s="2">
        <f t="shared" si="22"/>
        <v>0.2</v>
      </c>
      <c r="BM107" s="2">
        <f t="shared" si="23"/>
        <v>0</v>
      </c>
      <c r="BN107" s="2">
        <f>BI107/SUMIFS(BI$3:BI$623,$BC$3:$BC$623,1,$G$3:$G$623,$G107)</f>
        <v>0</v>
      </c>
      <c r="BO107" s="2">
        <f>BJ107/SUMIFS(BJ$3:BJ$623,$BC$3:$BC$623,1,$G$3:$G$623,$G107)</f>
        <v>0</v>
      </c>
      <c r="BP107" s="2">
        <f>BK107/SUMIFS(BK$3:BK$623,$BC$3:$BC$623,1,$G$3:$G$623,$G107)</f>
        <v>0</v>
      </c>
      <c r="BQ107" s="2">
        <f>BL107</f>
        <v>0.2</v>
      </c>
      <c r="BR107" s="2">
        <f>BM107</f>
        <v>0</v>
      </c>
    </row>
    <row r="108" spans="1:70" hidden="1">
      <c r="A108" s="74">
        <v>0</v>
      </c>
      <c r="B108" s="73">
        <v>204642</v>
      </c>
      <c r="C108" s="73" t="s">
        <v>1404</v>
      </c>
      <c r="D108" s="73" t="s">
        <v>1363</v>
      </c>
      <c r="E108" s="73" t="s">
        <v>1405</v>
      </c>
      <c r="F108" s="73">
        <v>18660</v>
      </c>
      <c r="G108" s="73" t="s">
        <v>892</v>
      </c>
      <c r="H108" s="73" t="s">
        <v>915</v>
      </c>
      <c r="I108" s="73" t="s">
        <v>981</v>
      </c>
      <c r="J108" s="73">
        <v>0</v>
      </c>
      <c r="K108" s="73">
        <v>6.5</v>
      </c>
      <c r="L108" s="73">
        <v>0</v>
      </c>
      <c r="M108" s="73">
        <v>0</v>
      </c>
      <c r="N108" s="73">
        <v>0</v>
      </c>
      <c r="O108" s="73" t="s">
        <v>1290</v>
      </c>
      <c r="P108" s="73" t="s">
        <v>1406</v>
      </c>
      <c r="Q108" s="73" t="s">
        <v>1406</v>
      </c>
      <c r="R108" s="73">
        <v>0</v>
      </c>
      <c r="S108" s="73">
        <v>0</v>
      </c>
      <c r="T108" s="73">
        <v>83</v>
      </c>
      <c r="U108" s="73">
        <v>9</v>
      </c>
      <c r="V108" s="73">
        <v>2970</v>
      </c>
      <c r="W108" s="73">
        <v>0</v>
      </c>
      <c r="X108" s="73">
        <v>1</v>
      </c>
      <c r="Y108" s="73">
        <v>0</v>
      </c>
      <c r="Z108" s="73" t="s">
        <v>1046</v>
      </c>
      <c r="AA108" s="73" t="s">
        <v>690</v>
      </c>
      <c r="AB108" s="73" t="str">
        <f>IF(AA108&lt;&gt;"",INDEX(Lookup!$N$2:$N$5,MATCH(Players!AA108,Lookup!$P$2:$P$5,0)),INDEX(Lookup!$N$2:$N$5,MATCH(Players!O108,Lookup!$O$2:$O$5,0)))</f>
        <v>Goalkeeper</v>
      </c>
      <c r="AC108" s="73">
        <v>5500000</v>
      </c>
      <c r="AD108" s="73" t="s">
        <v>812</v>
      </c>
      <c r="AE108" s="73" t="str">
        <f>INDEX('Translate table'!$H$2:$H$622,MATCH(Players!P108,'Translate table'!$G$2:$G$622,0))</f>
        <v>Manuel Neuer</v>
      </c>
      <c r="AF108" s="73">
        <f>IFERROR(INDEX('Euro Qual stats'!$A$1:$L$2071,MATCH(Players!$AE108,'Euro Qual stats'!$A$1:$A$2071,0),MATCH(Players!AF$2,'Euro Qual stats'!$A$1:$L$1,0)),0)</f>
        <v>7</v>
      </c>
      <c r="AG108" s="73">
        <f>IFERROR(INDEX('Euro Qual stats'!$A$1:$L$2071,MATCH(Players!$AE108,'Euro Qual stats'!$A$1:$A$2071,0),MATCH(Players!AG$2,'Euro Qual stats'!$A$1:$L$1,0)),0)</f>
        <v>0</v>
      </c>
      <c r="AH108" s="73">
        <f>IFERROR(INDEX('Euro Qual stats'!$A$1:$L$2071,MATCH(Players!$AE108,'Euro Qual stats'!$A$1:$A$2071,0),MATCH(Players!AH$2,'Euro Qual stats'!$A$1:$L$1,0)),0)</f>
        <v>0</v>
      </c>
      <c r="AI108" s="73">
        <f>IFERROR(INDEX('Euro Qual stats'!$A$1:$L$2071,MATCH(Players!$AE108,'Euro Qual stats'!$A$1:$A$2071,0),MATCH(Players!AI$2,'Euro Qual stats'!$A$1:$L$1,0)),0)</f>
        <v>0</v>
      </c>
      <c r="AJ108" s="93">
        <f>(12-AF108)/12*INDEX(BV$9:BV$12,MATCH($AB108,$BU$9:$BU$12,0))+AF108/12*AG108</f>
        <v>0</v>
      </c>
      <c r="AK108" s="93">
        <f>(12-AG108)/12*INDEX(BW$9:BW$12,MATCH($AB108,$BU$9:$BU$12,0))+AG108/12*AH108</f>
        <v>0</v>
      </c>
      <c r="AL108" s="93">
        <f>(12-AH108)/12*INDEX(BX$9:BX$12,MATCH($AB108,$BU$9:$BU$12,0))+AH108/12*AI108</f>
        <v>0</v>
      </c>
      <c r="AM108" s="93">
        <f>IF($BC108=1,AJ108/SUMIFS(AJ$3:AJ$623,$BC$3:$BC$623,1,$G$3:$G$623,$G108),0)</f>
        <v>0</v>
      </c>
      <c r="AN108" s="93">
        <f>IF($BC108=1,AK108/SUMIFS(AK$3:AK$623,$BC$3:$BC$623,1,$G$3:$G$623,$G108),0)</f>
        <v>0</v>
      </c>
      <c r="AO108" s="93">
        <f>IF($BC108=1,AL108/SUMIFS(AL$3:AL$623,$BC$3:$BC$623,1,$G$3:$G$623,$G108),0)</f>
        <v>0</v>
      </c>
      <c r="AP108" s="2">
        <f>IFERROR(R108/$V108*90,"")</f>
        <v>0</v>
      </c>
      <c r="AQ108" s="2">
        <f>IFERROR(S108/$V108*90,"")</f>
        <v>0</v>
      </c>
      <c r="AR108" s="2">
        <f>IFERROR(W108/$V108*90,"")</f>
        <v>0</v>
      </c>
      <c r="AS108" s="2">
        <f>IFERROR(X108/$V108*90,"")</f>
        <v>3.0303030303030304E-2</v>
      </c>
      <c r="AT108" s="2">
        <f>IFERROR(Y108/$V108*90,"")</f>
        <v>0</v>
      </c>
      <c r="AU108" s="2">
        <f>IF(AP108="",INDEX(BV$4:BV$7,MATCH(O108,$BU$4:$BU$7,0)),AP108)</f>
        <v>0</v>
      </c>
      <c r="AV108" s="2">
        <f>IF(AQ108="",INDEX(BW$4:BW$7,MATCH($O108,$BU$4:$BU$7,0)),AQ108)</f>
        <v>0</v>
      </c>
      <c r="AW108" s="2">
        <f t="shared" si="12"/>
        <v>0</v>
      </c>
      <c r="AX108" s="2">
        <f t="shared" si="13"/>
        <v>3.0303030303030304E-2</v>
      </c>
      <c r="AY108" s="2">
        <f t="shared" si="14"/>
        <v>0</v>
      </c>
      <c r="AZ108" s="2">
        <f>AU108*0.5+AK108*0.5</f>
        <v>0</v>
      </c>
      <c r="BA108" s="2">
        <f>AV108*0.5+AJ108*0.5</f>
        <v>0</v>
      </c>
      <c r="BB108" s="2">
        <f t="shared" si="15"/>
        <v>1.5151515151515152E-2</v>
      </c>
      <c r="BC108">
        <f>IF(I108="expected",1,0)</f>
        <v>1</v>
      </c>
      <c r="BD108" s="78">
        <f>IF(BC108=1,AZ108/SUMIFS(AZ$3:AZ$623,$BC$3:$BC$623,1,$G$3:$G$623,$G108),0)</f>
        <v>0</v>
      </c>
      <c r="BE108" s="78">
        <f>IF(BC108=1,BA108/SUMIFS(BA$3:BA$623,$BC$3:$BC$623,1,$G$3:$G$623,$G108),0)</f>
        <v>0</v>
      </c>
      <c r="BF108" s="78">
        <f t="shared" si="16"/>
        <v>0</v>
      </c>
      <c r="BG108" s="2">
        <f t="shared" si="17"/>
        <v>1.5151515151515152E-2</v>
      </c>
      <c r="BH108" s="2">
        <f t="shared" si="18"/>
        <v>0</v>
      </c>
      <c r="BI108" s="2">
        <f t="shared" si="19"/>
        <v>0</v>
      </c>
      <c r="BJ108" s="2">
        <f t="shared" si="20"/>
        <v>0</v>
      </c>
      <c r="BK108" s="2">
        <f t="shared" si="21"/>
        <v>0</v>
      </c>
      <c r="BL108" s="2">
        <f t="shared" si="22"/>
        <v>1.5151515151515152E-2</v>
      </c>
      <c r="BM108" s="2">
        <f t="shared" si="23"/>
        <v>0</v>
      </c>
      <c r="BN108" s="2">
        <f>BI108/SUMIFS(BI$3:BI$623,$BC$3:$BC$623,1,$G$3:$G$623,$G108)</f>
        <v>0</v>
      </c>
      <c r="BO108" s="2">
        <f>BJ108/SUMIFS(BJ$3:BJ$623,$BC$3:$BC$623,1,$G$3:$G$623,$G108)</f>
        <v>0</v>
      </c>
      <c r="BP108" s="2">
        <f>BK108/SUMIFS(BK$3:BK$623,$BC$3:$BC$623,1,$G$3:$G$623,$G108)</f>
        <v>0</v>
      </c>
      <c r="BQ108" s="2">
        <f>BL108</f>
        <v>1.5151515151515152E-2</v>
      </c>
      <c r="BR108" s="2">
        <f>BM108</f>
        <v>0</v>
      </c>
    </row>
    <row r="109" spans="1:70" hidden="1">
      <c r="A109" s="74">
        <v>0</v>
      </c>
      <c r="B109" s="73">
        <v>204645</v>
      </c>
      <c r="C109" s="73" t="s">
        <v>1407</v>
      </c>
      <c r="D109" s="73" t="s">
        <v>1408</v>
      </c>
      <c r="E109" s="73" t="s">
        <v>1409</v>
      </c>
      <c r="F109" s="73">
        <v>18660</v>
      </c>
      <c r="G109" s="73" t="s">
        <v>892</v>
      </c>
      <c r="H109" s="73" t="s">
        <v>915</v>
      </c>
      <c r="I109" s="73" t="s">
        <v>1012</v>
      </c>
      <c r="J109" s="73">
        <v>0</v>
      </c>
      <c r="K109" s="73">
        <v>6.5</v>
      </c>
      <c r="L109" s="73">
        <v>0</v>
      </c>
      <c r="M109" s="73">
        <v>0</v>
      </c>
      <c r="N109" s="73">
        <v>0</v>
      </c>
      <c r="O109" s="73" t="s">
        <v>1318</v>
      </c>
      <c r="P109" s="73" t="s">
        <v>1410</v>
      </c>
      <c r="Q109" s="73" t="s">
        <v>1410</v>
      </c>
      <c r="R109" s="73">
        <v>2</v>
      </c>
      <c r="S109" s="73">
        <v>1</v>
      </c>
      <c r="T109" s="73">
        <v>0</v>
      </c>
      <c r="U109" s="73">
        <v>7</v>
      </c>
      <c r="V109" s="73">
        <v>3060</v>
      </c>
      <c r="W109" s="73">
        <v>8</v>
      </c>
      <c r="X109" s="73">
        <v>2</v>
      </c>
      <c r="Y109" s="73">
        <v>0</v>
      </c>
      <c r="Z109" s="73" t="s">
        <v>1046</v>
      </c>
      <c r="AA109" s="73" t="s">
        <v>692</v>
      </c>
      <c r="AB109" s="73" t="str">
        <f>IF(AA109&lt;&gt;"",INDEX(Lookup!$N$2:$N$5,MATCH(Players!AA109,Lookup!$P$2:$P$5,0)),INDEX(Lookup!$N$2:$N$5,MATCH(Players!O109,Lookup!$O$2:$O$5,0)))</f>
        <v>Defense</v>
      </c>
      <c r="AC109" s="73">
        <v>4000000</v>
      </c>
      <c r="AD109" s="73" t="s">
        <v>801</v>
      </c>
      <c r="AE109" s="73" t="str">
        <f>INDEX('Translate table'!$H$2:$H$622,MATCH(Players!P109,'Translate table'!$G$2:$G$622,0))</f>
        <v>Matthias Ginter</v>
      </c>
      <c r="AF109" s="73">
        <f>IFERROR(INDEX('Euro Qual stats'!$A$1:$L$2071,MATCH(Players!$AE109,'Euro Qual stats'!$A$1:$A$2071,0),MATCH(Players!AF$2,'Euro Qual stats'!$A$1:$L$1,0)),0)</f>
        <v>6</v>
      </c>
      <c r="AG109" s="73">
        <f>IFERROR(INDEX('Euro Qual stats'!$A$1:$L$2071,MATCH(Players!$AE109,'Euro Qual stats'!$A$1:$A$2071,0),MATCH(Players!AG$2,'Euro Qual stats'!$A$1:$L$1,0)),0)</f>
        <v>0.37</v>
      </c>
      <c r="AH109" s="73">
        <f>IFERROR(INDEX('Euro Qual stats'!$A$1:$L$2071,MATCH(Players!$AE109,'Euro Qual stats'!$A$1:$A$2071,0),MATCH(Players!AH$2,'Euro Qual stats'!$A$1:$L$1,0)),0)</f>
        <v>0.19</v>
      </c>
      <c r="AI109" s="73">
        <f>IFERROR(INDEX('Euro Qual stats'!$A$1:$L$2071,MATCH(Players!$AE109,'Euro Qual stats'!$A$1:$A$2071,0),MATCH(Players!AI$2,'Euro Qual stats'!$A$1:$L$1,0)),0)</f>
        <v>0</v>
      </c>
      <c r="AJ109" s="93">
        <f>(12-AF109)/12*INDEX(BV$9:BV$12,MATCH($AB109,$BU$9:$BU$12,0))+AF109/12*AG109</f>
        <v>0.2295879120879121</v>
      </c>
      <c r="AK109" s="93">
        <f>(12-AG109)/12*INDEX(BW$9:BW$12,MATCH($AB109,$BU$9:$BU$12,0))+AG109/12*AH109</f>
        <v>0.10623630952380952</v>
      </c>
      <c r="AL109" s="93">
        <f>(12-AH109)/12*INDEX(BX$9:BX$12,MATCH($AB109,$BU$9:$BU$12,0))+AH109/12*AI109</f>
        <v>0.19050654761904753</v>
      </c>
      <c r="AM109" s="93">
        <f>IF($BC109=1,AJ109/SUMIFS(AJ$3:AJ$623,$BC$3:$BC$623,1,$G$3:$G$623,$G109),0)</f>
        <v>0</v>
      </c>
      <c r="AN109" s="93">
        <f>IF($BC109=1,AK109/SUMIFS(AK$3:AK$623,$BC$3:$BC$623,1,$G$3:$G$623,$G109),0)</f>
        <v>0</v>
      </c>
      <c r="AO109" s="93">
        <f>IF($BC109=1,AL109/SUMIFS(AL$3:AL$623,$BC$3:$BC$623,1,$G$3:$G$623,$G109),0)</f>
        <v>0</v>
      </c>
      <c r="AP109" s="2">
        <f>IFERROR(R109/$V109*90,"")</f>
        <v>5.8823529411764705E-2</v>
      </c>
      <c r="AQ109" s="2">
        <f>IFERROR(S109/$V109*90,"")</f>
        <v>2.9411764705882353E-2</v>
      </c>
      <c r="AR109" s="2">
        <f>IFERROR(W109/$V109*90,"")</f>
        <v>0.23529411764705882</v>
      </c>
      <c r="AS109" s="2">
        <f>IFERROR(X109/$V109*90,"")</f>
        <v>5.8823529411764705E-2</v>
      </c>
      <c r="AT109" s="2">
        <f>IFERROR(Y109/$V109*90,"")</f>
        <v>0</v>
      </c>
      <c r="AU109" s="2">
        <f>IF(AP109="",INDEX(BV$4:BV$7,MATCH(O109,$BU$4:$BU$7,0)),AP109)</f>
        <v>5.8823529411764705E-2</v>
      </c>
      <c r="AV109" s="2">
        <f>IF(AQ109="",INDEX(BW$4:BW$7,MATCH($O109,$BU$4:$BU$7,0)),AQ109)</f>
        <v>2.9411764705882353E-2</v>
      </c>
      <c r="AW109" s="2">
        <f t="shared" si="12"/>
        <v>0.23529411764705882</v>
      </c>
      <c r="AX109" s="2">
        <f t="shared" si="13"/>
        <v>5.8823529411764705E-2</v>
      </c>
      <c r="AY109" s="2">
        <f t="shared" si="14"/>
        <v>0</v>
      </c>
      <c r="AZ109" s="2">
        <f>AU109*0.5+AK109*0.5</f>
        <v>8.2529919467787122E-2</v>
      </c>
      <c r="BA109" s="2">
        <f>AV109*0.5+AJ109*0.5</f>
        <v>0.12949983839689722</v>
      </c>
      <c r="BB109" s="2">
        <f t="shared" si="15"/>
        <v>2.9411764705882353E-2</v>
      </c>
      <c r="BC109">
        <f>IF(I109="expected",1,0)</f>
        <v>0</v>
      </c>
      <c r="BD109" s="78">
        <f>IF(BC109=1,AZ109/SUMIFS(AZ$3:AZ$623,$BC$3:$BC$623,1,$G$3:$G$623,$G109),0)</f>
        <v>0</v>
      </c>
      <c r="BE109" s="78">
        <f>IF(BC109=1,BA109/SUMIFS(BA$3:BA$623,$BC$3:$BC$623,1,$G$3:$G$623,$G109),0)</f>
        <v>0</v>
      </c>
      <c r="BF109" s="78">
        <f t="shared" si="16"/>
        <v>0</v>
      </c>
      <c r="BG109" s="2">
        <f t="shared" si="17"/>
        <v>2.9411764705882353E-2</v>
      </c>
      <c r="BH109" s="2">
        <f t="shared" si="18"/>
        <v>0</v>
      </c>
      <c r="BI109" s="2">
        <f t="shared" si="19"/>
        <v>0</v>
      </c>
      <c r="BJ109" s="2">
        <f t="shared" si="20"/>
        <v>0</v>
      </c>
      <c r="BK109" s="2">
        <f t="shared" si="21"/>
        <v>0</v>
      </c>
      <c r="BL109" s="2">
        <f t="shared" si="22"/>
        <v>2.9411764705882353E-2</v>
      </c>
      <c r="BM109" s="2">
        <f t="shared" si="23"/>
        <v>0</v>
      </c>
      <c r="BN109" s="2">
        <f>BI109/SUMIFS(BI$3:BI$623,$BC$3:$BC$623,1,$G$3:$G$623,$G109)</f>
        <v>0</v>
      </c>
      <c r="BO109" s="2">
        <f>BJ109/SUMIFS(BJ$3:BJ$623,$BC$3:$BC$623,1,$G$3:$G$623,$G109)</f>
        <v>0</v>
      </c>
      <c r="BP109" s="2">
        <f>BK109/SUMIFS(BK$3:BK$623,$BC$3:$BC$623,1,$G$3:$G$623,$G109)</f>
        <v>0</v>
      </c>
      <c r="BQ109" s="2">
        <f>BL109</f>
        <v>2.9411764705882353E-2</v>
      </c>
      <c r="BR109" s="2">
        <f>BM109</f>
        <v>0</v>
      </c>
    </row>
    <row r="110" spans="1:70" hidden="1">
      <c r="A110" s="74">
        <v>0</v>
      </c>
      <c r="B110" s="73">
        <v>204653</v>
      </c>
      <c r="C110" s="73" t="s">
        <v>1411</v>
      </c>
      <c r="D110" s="73" t="s">
        <v>1412</v>
      </c>
      <c r="E110" s="73" t="s">
        <v>1413</v>
      </c>
      <c r="F110" s="73">
        <v>18660</v>
      </c>
      <c r="G110" s="73" t="s">
        <v>892</v>
      </c>
      <c r="H110" s="73" t="s">
        <v>915</v>
      </c>
      <c r="I110" s="73" t="s">
        <v>1012</v>
      </c>
      <c r="J110" s="73">
        <v>0</v>
      </c>
      <c r="K110" s="73">
        <v>6.5</v>
      </c>
      <c r="L110" s="73">
        <v>0</v>
      </c>
      <c r="M110" s="73">
        <v>0</v>
      </c>
      <c r="N110" s="73">
        <v>0</v>
      </c>
      <c r="O110" s="73" t="s">
        <v>994</v>
      </c>
      <c r="P110" s="73" t="s">
        <v>1414</v>
      </c>
      <c r="Q110" s="73" t="s">
        <v>1414</v>
      </c>
      <c r="R110" s="73">
        <v>6</v>
      </c>
      <c r="S110" s="73">
        <v>5</v>
      </c>
      <c r="T110" s="73">
        <v>0</v>
      </c>
      <c r="U110" s="73">
        <v>2</v>
      </c>
      <c r="V110" s="73">
        <v>2630</v>
      </c>
      <c r="W110" s="73">
        <v>17</v>
      </c>
      <c r="X110" s="73">
        <v>9</v>
      </c>
      <c r="Y110" s="73">
        <v>0</v>
      </c>
      <c r="Z110" s="73" t="s">
        <v>1046</v>
      </c>
      <c r="AA110" s="73" t="s">
        <v>691</v>
      </c>
      <c r="AB110" s="73" t="str">
        <f>IF(AA110&lt;&gt;"",INDEX(Lookup!$N$2:$N$5,MATCH(Players!AA110,Lookup!$P$2:$P$5,0)),INDEX(Lookup!$N$2:$N$5,MATCH(Players!O110,Lookup!$O$2:$O$5,0)))</f>
        <v>Midfield</v>
      </c>
      <c r="AC110" s="73">
        <v>3500000</v>
      </c>
      <c r="AD110" s="73" t="s">
        <v>798</v>
      </c>
      <c r="AE110" s="73" t="str">
        <f>INDEX('Translate table'!$H$2:$H$622,MATCH(Players!P110,'Translate table'!$G$2:$G$622,0))</f>
        <v>Fiorin Durmishaj</v>
      </c>
      <c r="AF110" s="73">
        <f>IFERROR(INDEX('Euro Qual stats'!$A$1:$L$2071,MATCH(Players!$AE110,'Euro Qual stats'!$A$1:$A$2071,0),MATCH(Players!AF$2,'Euro Qual stats'!$A$1:$L$1,0)),0)</f>
        <v>0</v>
      </c>
      <c r="AG110" s="73">
        <f>IFERROR(INDEX('Euro Qual stats'!$A$1:$L$2071,MATCH(Players!$AE110,'Euro Qual stats'!$A$1:$A$2071,0),MATCH(Players!AG$2,'Euro Qual stats'!$A$1:$L$1,0)),0)</f>
        <v>0</v>
      </c>
      <c r="AH110" s="73">
        <f>IFERROR(INDEX('Euro Qual stats'!$A$1:$L$2071,MATCH(Players!$AE110,'Euro Qual stats'!$A$1:$A$2071,0),MATCH(Players!AH$2,'Euro Qual stats'!$A$1:$L$1,0)),0)</f>
        <v>0</v>
      </c>
      <c r="AI110" s="73">
        <f>IFERROR(INDEX('Euro Qual stats'!$A$1:$L$2071,MATCH(Players!$AE110,'Euro Qual stats'!$A$1:$A$2071,0),MATCH(Players!AI$2,'Euro Qual stats'!$A$1:$L$1,0)),0)</f>
        <v>0</v>
      </c>
      <c r="AJ110" s="93">
        <f>(12-AF110)/12*INDEX(BV$9:BV$12,MATCH($AB110,$BU$9:$BU$12,0))+AF110/12*AG110</f>
        <v>0.16869109947643979</v>
      </c>
      <c r="AK110" s="93">
        <f>(12-AG110)/12*INDEX(BW$9:BW$12,MATCH($AB110,$BU$9:$BU$12,0))+AG110/12*AH110</f>
        <v>0.22340314136125652</v>
      </c>
      <c r="AL110" s="93">
        <f>(12-AH110)/12*INDEX(BX$9:BX$12,MATCH($AB110,$BU$9:$BU$12,0))+AH110/12*AI110</f>
        <v>0.23942408376963353</v>
      </c>
      <c r="AM110" s="93">
        <f>IF($BC110=1,AJ110/SUMIFS(AJ$3:AJ$623,$BC$3:$BC$623,1,$G$3:$G$623,$G110),0)</f>
        <v>0</v>
      </c>
      <c r="AN110" s="93">
        <f>IF($BC110=1,AK110/SUMIFS(AK$3:AK$623,$BC$3:$BC$623,1,$G$3:$G$623,$G110),0)</f>
        <v>0</v>
      </c>
      <c r="AO110" s="93">
        <f>IF($BC110=1,AL110/SUMIFS(AL$3:AL$623,$BC$3:$BC$623,1,$G$3:$G$623,$G110),0)</f>
        <v>0</v>
      </c>
      <c r="AP110" s="2">
        <f>IFERROR(R110/$V110*90,"")</f>
        <v>0.20532319391634982</v>
      </c>
      <c r="AQ110" s="2">
        <f>IFERROR(S110/$V110*90,"")</f>
        <v>0.17110266159695817</v>
      </c>
      <c r="AR110" s="2">
        <f>IFERROR(W110/$V110*90,"")</f>
        <v>0.58174904942965777</v>
      </c>
      <c r="AS110" s="2">
        <f>IFERROR(X110/$V110*90,"")</f>
        <v>0.30798479087452474</v>
      </c>
      <c r="AT110" s="2">
        <f>IFERROR(Y110/$V110*90,"")</f>
        <v>0</v>
      </c>
      <c r="AU110" s="2">
        <f>IF(AP110="",INDEX(BV$4:BV$7,MATCH(O110,$BU$4:$BU$7,0)),AP110)</f>
        <v>0.20532319391634982</v>
      </c>
      <c r="AV110" s="2">
        <f>IF(AQ110="",INDEX(BW$4:BW$7,MATCH($O110,$BU$4:$BU$7,0)),AQ110)</f>
        <v>0.17110266159695817</v>
      </c>
      <c r="AW110" s="2">
        <f t="shared" si="12"/>
        <v>0.58174904942965777</v>
      </c>
      <c r="AX110" s="2">
        <f t="shared" si="13"/>
        <v>0.30798479087452474</v>
      </c>
      <c r="AY110" s="2">
        <f t="shared" si="14"/>
        <v>0</v>
      </c>
      <c r="AZ110" s="2">
        <f>AU110*0.5+AK110*0.5</f>
        <v>0.21436316763880317</v>
      </c>
      <c r="BA110" s="2">
        <f>AV110*0.5+AJ110*0.5</f>
        <v>0.16989688053669899</v>
      </c>
      <c r="BB110" s="2">
        <f t="shared" si="15"/>
        <v>0.15399239543726237</v>
      </c>
      <c r="BC110">
        <f>IF(I110="expected",1,0)</f>
        <v>0</v>
      </c>
      <c r="BD110" s="78">
        <f>IF(BC110=1,AZ110/SUMIFS(AZ$3:AZ$623,$BC$3:$BC$623,1,$G$3:$G$623,$G110),0)</f>
        <v>0</v>
      </c>
      <c r="BE110" s="78">
        <f>IF(BC110=1,BA110/SUMIFS(BA$3:BA$623,$BC$3:$BC$623,1,$G$3:$G$623,$G110),0)</f>
        <v>0</v>
      </c>
      <c r="BF110" s="78">
        <f t="shared" si="16"/>
        <v>0</v>
      </c>
      <c r="BG110" s="2">
        <f t="shared" si="17"/>
        <v>0.15399239543726237</v>
      </c>
      <c r="BH110" s="2">
        <f t="shared" si="18"/>
        <v>0</v>
      </c>
      <c r="BI110" s="2">
        <f t="shared" si="19"/>
        <v>0</v>
      </c>
      <c r="BJ110" s="2">
        <f t="shared" si="20"/>
        <v>0</v>
      </c>
      <c r="BK110" s="2">
        <f t="shared" si="21"/>
        <v>0</v>
      </c>
      <c r="BL110" s="2">
        <f t="shared" si="22"/>
        <v>0.15399239543726237</v>
      </c>
      <c r="BM110" s="2">
        <f t="shared" si="23"/>
        <v>0</v>
      </c>
      <c r="BN110" s="2">
        <f>BI110/SUMIFS(BI$3:BI$623,$BC$3:$BC$623,1,$G$3:$G$623,$G110)</f>
        <v>0</v>
      </c>
      <c r="BO110" s="2">
        <f>BJ110/SUMIFS(BJ$3:BJ$623,$BC$3:$BC$623,1,$G$3:$G$623,$G110)</f>
        <v>0</v>
      </c>
      <c r="BP110" s="2">
        <f>BK110/SUMIFS(BK$3:BK$623,$BC$3:$BC$623,1,$G$3:$G$623,$G110)</f>
        <v>0</v>
      </c>
      <c r="BQ110" s="2">
        <f>BL110</f>
        <v>0.15399239543726237</v>
      </c>
      <c r="BR110" s="2">
        <f>BM110</f>
        <v>0</v>
      </c>
    </row>
    <row r="111" spans="1:70" hidden="1">
      <c r="A111" s="74">
        <v>0</v>
      </c>
      <c r="B111" s="73">
        <v>204603</v>
      </c>
      <c r="C111" s="73" t="s">
        <v>1415</v>
      </c>
      <c r="D111" s="73" t="s">
        <v>1416</v>
      </c>
      <c r="E111" s="73" t="s">
        <v>1320</v>
      </c>
      <c r="F111" s="73">
        <v>18645</v>
      </c>
      <c r="G111" s="73" t="s">
        <v>879</v>
      </c>
      <c r="H111" s="73" t="s">
        <v>933</v>
      </c>
      <c r="I111" s="73" t="s">
        <v>981</v>
      </c>
      <c r="J111" s="73">
        <v>0</v>
      </c>
      <c r="K111" s="73">
        <v>6.5</v>
      </c>
      <c r="L111" s="73">
        <v>0</v>
      </c>
      <c r="M111" s="73">
        <v>0</v>
      </c>
      <c r="N111" s="73">
        <v>0</v>
      </c>
      <c r="O111" s="73" t="s">
        <v>1290</v>
      </c>
      <c r="P111" s="73" t="s">
        <v>103</v>
      </c>
      <c r="Q111" s="73" t="s">
        <v>103</v>
      </c>
      <c r="R111" s="73">
        <v>0</v>
      </c>
      <c r="S111" s="73">
        <v>0</v>
      </c>
      <c r="T111" s="73">
        <v>40</v>
      </c>
      <c r="U111" s="73">
        <v>4</v>
      </c>
      <c r="V111" s="73">
        <v>1125</v>
      </c>
      <c r="W111" s="73">
        <v>0</v>
      </c>
      <c r="X111" s="73">
        <v>3</v>
      </c>
      <c r="Y111" s="73">
        <v>0</v>
      </c>
      <c r="Z111" s="73" t="s">
        <v>879</v>
      </c>
      <c r="AA111" s="73" t="s">
        <v>690</v>
      </c>
      <c r="AB111" s="73" t="str">
        <f>IF(AA111&lt;&gt;"",INDEX(Lookup!$N$2:$N$5,MATCH(Players!AA111,Lookup!$P$2:$P$5,0)),INDEX(Lookup!$N$2:$N$5,MATCH(Players!O111,Lookup!$O$2:$O$5,0)))</f>
        <v>Goalkeeper</v>
      </c>
      <c r="AC111" s="73">
        <v>5000000</v>
      </c>
      <c r="AD111" s="73" t="s">
        <v>801</v>
      </c>
      <c r="AE111" s="73" t="str">
        <f>INDEX('Translate table'!$H$2:$H$622,MATCH(Players!P111,'Translate table'!$G$2:$G$622,0))</f>
        <v>Dean Henderson</v>
      </c>
      <c r="AF111" s="73">
        <f>IFERROR(INDEX('Euro Qual stats'!$A$1:$L$2071,MATCH(Players!$AE111,'Euro Qual stats'!$A$1:$A$2071,0),MATCH(Players!AF$2,'Euro Qual stats'!$A$1:$L$1,0)),0)</f>
        <v>0</v>
      </c>
      <c r="AG111" s="73">
        <f>IFERROR(INDEX('Euro Qual stats'!$A$1:$L$2071,MATCH(Players!$AE111,'Euro Qual stats'!$A$1:$A$2071,0),MATCH(Players!AG$2,'Euro Qual stats'!$A$1:$L$1,0)),0)</f>
        <v>0</v>
      </c>
      <c r="AH111" s="73">
        <f>IFERROR(INDEX('Euro Qual stats'!$A$1:$L$2071,MATCH(Players!$AE111,'Euro Qual stats'!$A$1:$A$2071,0),MATCH(Players!AH$2,'Euro Qual stats'!$A$1:$L$1,0)),0)</f>
        <v>0</v>
      </c>
      <c r="AI111" s="73">
        <f>IFERROR(INDEX('Euro Qual stats'!$A$1:$L$2071,MATCH(Players!$AE111,'Euro Qual stats'!$A$1:$A$2071,0),MATCH(Players!AI$2,'Euro Qual stats'!$A$1:$L$1,0)),0)</f>
        <v>0</v>
      </c>
      <c r="AJ111" s="93">
        <f>(12-AF111)/12*INDEX(BV$9:BV$12,MATCH($AB111,$BU$9:$BU$12,0))+AF111/12*AG111</f>
        <v>0</v>
      </c>
      <c r="AK111" s="93">
        <f>(12-AG111)/12*INDEX(BW$9:BW$12,MATCH($AB111,$BU$9:$BU$12,0))+AG111/12*AH111</f>
        <v>0</v>
      </c>
      <c r="AL111" s="93">
        <f>(12-AH111)/12*INDEX(BX$9:BX$12,MATCH($AB111,$BU$9:$BU$12,0))+AH111/12*AI111</f>
        <v>0</v>
      </c>
      <c r="AM111" s="93">
        <f>IF($BC111=1,AJ111/SUMIFS(AJ$3:AJ$623,$BC$3:$BC$623,1,$G$3:$G$623,$G111),0)</f>
        <v>0</v>
      </c>
      <c r="AN111" s="93">
        <f>IF($BC111=1,AK111/SUMIFS(AK$3:AK$623,$BC$3:$BC$623,1,$G$3:$G$623,$G111),0)</f>
        <v>0</v>
      </c>
      <c r="AO111" s="93">
        <f>IF($BC111=1,AL111/SUMIFS(AL$3:AL$623,$BC$3:$BC$623,1,$G$3:$G$623,$G111),0)</f>
        <v>0</v>
      </c>
      <c r="AP111" s="2">
        <f>IFERROR(R111/$V111*90,"")</f>
        <v>0</v>
      </c>
      <c r="AQ111" s="2">
        <f>IFERROR(S111/$V111*90,"")</f>
        <v>0</v>
      </c>
      <c r="AR111" s="2">
        <f>IFERROR(W111/$V111*90,"")</f>
        <v>0</v>
      </c>
      <c r="AS111" s="2">
        <f>IFERROR(X111/$V111*90,"")</f>
        <v>0.24</v>
      </c>
      <c r="AT111" s="2">
        <f>IFERROR(Y111/$V111*90,"")</f>
        <v>0</v>
      </c>
      <c r="AU111" s="2">
        <f>IF(AP111="",INDEX(BV$4:BV$7,MATCH(O111,$BU$4:$BU$7,0)),AP111)</f>
        <v>0</v>
      </c>
      <c r="AV111" s="2">
        <f>IF(AQ111="",INDEX(BW$4:BW$7,MATCH($O111,$BU$4:$BU$7,0)),AQ111)</f>
        <v>0</v>
      </c>
      <c r="AW111" s="2">
        <f t="shared" si="12"/>
        <v>0</v>
      </c>
      <c r="AX111" s="2">
        <f t="shared" si="13"/>
        <v>0.24</v>
      </c>
      <c r="AY111" s="2">
        <f t="shared" si="14"/>
        <v>0</v>
      </c>
      <c r="AZ111" s="2">
        <f>AU111*0.5+AK111*0.5</f>
        <v>0</v>
      </c>
      <c r="BA111" s="2">
        <f>AV111*0.5+AJ111*0.5</f>
        <v>0</v>
      </c>
      <c r="BB111" s="2">
        <f t="shared" si="15"/>
        <v>0.12</v>
      </c>
      <c r="BC111">
        <f>IF(I111="expected",1,0)</f>
        <v>1</v>
      </c>
      <c r="BD111" s="78">
        <f>IF(BC111=1,AZ111/SUMIFS(AZ$3:AZ$623,$BC$3:$BC$623,1,$G$3:$G$623,$G111),0)</f>
        <v>0</v>
      </c>
      <c r="BE111" s="78">
        <f>IF(BC111=1,BA111/SUMIFS(BA$3:BA$623,$BC$3:$BC$623,1,$G$3:$G$623,$G111),0)</f>
        <v>0</v>
      </c>
      <c r="BF111" s="78">
        <f t="shared" si="16"/>
        <v>0</v>
      </c>
      <c r="BG111" s="2">
        <f t="shared" si="17"/>
        <v>0.12</v>
      </c>
      <c r="BH111" s="2">
        <f t="shared" si="18"/>
        <v>0</v>
      </c>
      <c r="BI111" s="2">
        <f t="shared" si="19"/>
        <v>0</v>
      </c>
      <c r="BJ111" s="2">
        <f t="shared" si="20"/>
        <v>0</v>
      </c>
      <c r="BK111" s="2">
        <f t="shared" si="21"/>
        <v>0</v>
      </c>
      <c r="BL111" s="2">
        <f t="shared" si="22"/>
        <v>0.12</v>
      </c>
      <c r="BM111" s="2">
        <f t="shared" si="23"/>
        <v>0</v>
      </c>
      <c r="BN111" s="2">
        <f>BI111/SUMIFS(BI$3:BI$623,$BC$3:$BC$623,1,$G$3:$G$623,$G111)</f>
        <v>0</v>
      </c>
      <c r="BO111" s="2">
        <f>BJ111/SUMIFS(BJ$3:BJ$623,$BC$3:$BC$623,1,$G$3:$G$623,$G111)</f>
        <v>0</v>
      </c>
      <c r="BP111" s="2">
        <f>BK111/SUMIFS(BK$3:BK$623,$BC$3:$BC$623,1,$G$3:$G$623,$G111)</f>
        <v>0</v>
      </c>
      <c r="BQ111" s="2">
        <f>BL111</f>
        <v>0.12</v>
      </c>
      <c r="BR111" s="2">
        <f>BM111</f>
        <v>0</v>
      </c>
    </row>
    <row r="112" spans="1:70" hidden="1">
      <c r="A112" s="74">
        <v>0</v>
      </c>
      <c r="B112" s="73">
        <v>213442</v>
      </c>
      <c r="C112" s="73" t="s">
        <v>1417</v>
      </c>
      <c r="D112" s="73" t="s">
        <v>1418</v>
      </c>
      <c r="E112" s="73" t="s">
        <v>1419</v>
      </c>
      <c r="F112" s="73">
        <v>18645</v>
      </c>
      <c r="G112" s="73" t="s">
        <v>879</v>
      </c>
      <c r="H112" s="73" t="s">
        <v>933</v>
      </c>
      <c r="I112" s="73" t="s">
        <v>1012</v>
      </c>
      <c r="J112" s="73">
        <v>0</v>
      </c>
      <c r="K112" s="73">
        <v>6.5</v>
      </c>
      <c r="L112" s="73">
        <v>0</v>
      </c>
      <c r="M112" s="73">
        <v>0</v>
      </c>
      <c r="N112" s="73">
        <v>0</v>
      </c>
      <c r="O112" s="73" t="s">
        <v>1318</v>
      </c>
      <c r="P112" s="73" t="s">
        <v>100</v>
      </c>
      <c r="Q112" s="73" t="s">
        <v>100</v>
      </c>
      <c r="R112" s="73">
        <v>1</v>
      </c>
      <c r="S112" s="73">
        <v>5</v>
      </c>
      <c r="T112" s="73">
        <v>0</v>
      </c>
      <c r="U112" s="73">
        <v>10</v>
      </c>
      <c r="V112" s="73">
        <v>2655</v>
      </c>
      <c r="W112" s="73">
        <v>6</v>
      </c>
      <c r="X112" s="73">
        <v>8</v>
      </c>
      <c r="Y112" s="73">
        <v>0</v>
      </c>
      <c r="Z112" s="73" t="s">
        <v>879</v>
      </c>
      <c r="AA112" s="73" t="s">
        <v>692</v>
      </c>
      <c r="AB112" s="73" t="str">
        <f>IF(AA112&lt;&gt;"",INDEX(Lookup!$N$2:$N$5,MATCH(Players!AA112,Lookup!$P$2:$P$5,0)),INDEX(Lookup!$N$2:$N$5,MATCH(Players!O112,Lookup!$O$2:$O$5,0)))</f>
        <v>Defense</v>
      </c>
      <c r="AC112" s="73">
        <v>3500000</v>
      </c>
      <c r="AD112" s="73" t="s">
        <v>1420</v>
      </c>
      <c r="AE112" s="73" t="str">
        <f>INDEX('Translate table'!$H$2:$H$622,MATCH(Players!P112,'Translate table'!$G$2:$G$622,0))</f>
        <v>Kurt Shaw</v>
      </c>
      <c r="AF112" s="73">
        <f>IFERROR(INDEX('Euro Qual stats'!$A$1:$L$2071,MATCH(Players!$AE112,'Euro Qual stats'!$A$1:$A$2071,0),MATCH(Players!AF$2,'Euro Qual stats'!$A$1:$L$1,0)),0)</f>
        <v>1</v>
      </c>
      <c r="AG112" s="73">
        <f>IFERROR(INDEX('Euro Qual stats'!$A$1:$L$2071,MATCH(Players!$AE112,'Euro Qual stats'!$A$1:$A$2071,0),MATCH(Players!AG$2,'Euro Qual stats'!$A$1:$L$1,0)),0)</f>
        <v>0</v>
      </c>
      <c r="AH112" s="73">
        <f>IFERROR(INDEX('Euro Qual stats'!$A$1:$L$2071,MATCH(Players!$AE112,'Euro Qual stats'!$A$1:$A$2071,0),MATCH(Players!AH$2,'Euro Qual stats'!$A$1:$L$1,0)),0)</f>
        <v>0</v>
      </c>
      <c r="AI112" s="73">
        <f>IFERROR(INDEX('Euro Qual stats'!$A$1:$L$2071,MATCH(Players!$AE112,'Euro Qual stats'!$A$1:$A$2071,0),MATCH(Players!AI$2,'Euro Qual stats'!$A$1:$L$1,0)),0)</f>
        <v>1</v>
      </c>
      <c r="AJ112" s="93">
        <f>(12-AF112)/12*INDEX(BV$9:BV$12,MATCH($AB112,$BU$9:$BU$12,0))+AF112/12*AG112</f>
        <v>8.1744505494505515E-2</v>
      </c>
      <c r="AK112" s="93">
        <f>(12-AG112)/12*INDEX(BW$9:BW$12,MATCH($AB112,$BU$9:$BU$12,0))+AG112/12*AH112</f>
        <v>0.10357142857142858</v>
      </c>
      <c r="AL112" s="93">
        <f>(12-AH112)/12*INDEX(BX$9:BX$12,MATCH($AB112,$BU$9:$BU$12,0))+AH112/12*AI112</f>
        <v>0.19357142857142848</v>
      </c>
      <c r="AM112" s="93">
        <f>IF($BC112=1,AJ112/SUMIFS(AJ$3:AJ$623,$BC$3:$BC$623,1,$G$3:$G$623,$G112),0)</f>
        <v>0</v>
      </c>
      <c r="AN112" s="93">
        <f>IF($BC112=1,AK112/SUMIFS(AK$3:AK$623,$BC$3:$BC$623,1,$G$3:$G$623,$G112),0)</f>
        <v>0</v>
      </c>
      <c r="AO112" s="93">
        <f>IF($BC112=1,AL112/SUMIFS(AL$3:AL$623,$BC$3:$BC$623,1,$G$3:$G$623,$G112),0)</f>
        <v>0</v>
      </c>
      <c r="AP112" s="2">
        <f>IFERROR(R112/$V112*90,"")</f>
        <v>3.3898305084745763E-2</v>
      </c>
      <c r="AQ112" s="2">
        <f>IFERROR(S112/$V112*90,"")</f>
        <v>0.16949152542372881</v>
      </c>
      <c r="AR112" s="2">
        <f>IFERROR(W112/$V112*90,"")</f>
        <v>0.20338983050847459</v>
      </c>
      <c r="AS112" s="2">
        <f>IFERROR(X112/$V112*90,"")</f>
        <v>0.2711864406779661</v>
      </c>
      <c r="AT112" s="2">
        <f>IFERROR(Y112/$V112*90,"")</f>
        <v>0</v>
      </c>
      <c r="AU112" s="2">
        <f>IF(AP112="",INDEX(BV$4:BV$7,MATCH(O112,$BU$4:$BU$7,0)),AP112)</f>
        <v>3.3898305084745763E-2</v>
      </c>
      <c r="AV112" s="2">
        <f>IF(AQ112="",INDEX(BW$4:BW$7,MATCH($O112,$BU$4:$BU$7,0)),AQ112)</f>
        <v>0.16949152542372881</v>
      </c>
      <c r="AW112" s="2">
        <f t="shared" si="12"/>
        <v>0.20338983050847459</v>
      </c>
      <c r="AX112" s="2">
        <f t="shared" si="13"/>
        <v>0.2711864406779661</v>
      </c>
      <c r="AY112" s="2">
        <f t="shared" si="14"/>
        <v>0</v>
      </c>
      <c r="AZ112" s="2">
        <f>AU112*0.5+AK112*0.5</f>
        <v>6.8734866828087174E-2</v>
      </c>
      <c r="BA112" s="2">
        <f>AV112*0.5+AJ112*0.5</f>
        <v>0.12561801545911716</v>
      </c>
      <c r="BB112" s="2">
        <f t="shared" si="15"/>
        <v>0.63559322033898302</v>
      </c>
      <c r="BC112">
        <f>IF(I112="expected",1,0)</f>
        <v>0</v>
      </c>
      <c r="BD112" s="78">
        <f>IF(BC112=1,AZ112/SUMIFS(AZ$3:AZ$623,$BC$3:$BC$623,1,$G$3:$G$623,$G112),0)</f>
        <v>0</v>
      </c>
      <c r="BE112" s="78">
        <f>IF(BC112=1,BA112/SUMIFS(BA$3:BA$623,$BC$3:$BC$623,1,$G$3:$G$623,$G112),0)</f>
        <v>0</v>
      </c>
      <c r="BF112" s="78">
        <f t="shared" si="16"/>
        <v>0</v>
      </c>
      <c r="BG112" s="2">
        <f t="shared" si="17"/>
        <v>0.63559322033898302</v>
      </c>
      <c r="BH112" s="2">
        <f t="shared" si="18"/>
        <v>0</v>
      </c>
      <c r="BI112" s="2">
        <f t="shared" si="19"/>
        <v>0</v>
      </c>
      <c r="BJ112" s="2">
        <f t="shared" si="20"/>
        <v>0</v>
      </c>
      <c r="BK112" s="2">
        <f t="shared" si="21"/>
        <v>0</v>
      </c>
      <c r="BL112" s="2">
        <f t="shared" si="22"/>
        <v>0.63559322033898302</v>
      </c>
      <c r="BM112" s="2">
        <f t="shared" si="23"/>
        <v>0</v>
      </c>
      <c r="BN112" s="2">
        <f>BI112/SUMIFS(BI$3:BI$623,$BC$3:$BC$623,1,$G$3:$G$623,$G112)</f>
        <v>0</v>
      </c>
      <c r="BO112" s="2">
        <f>BJ112/SUMIFS(BJ$3:BJ$623,$BC$3:$BC$623,1,$G$3:$G$623,$G112)</f>
        <v>0</v>
      </c>
      <c r="BP112" s="2">
        <f>BK112/SUMIFS(BK$3:BK$623,$BC$3:$BC$623,1,$G$3:$G$623,$G112)</f>
        <v>0</v>
      </c>
      <c r="BQ112" s="2">
        <f>BL112</f>
        <v>0.63559322033898302</v>
      </c>
      <c r="BR112" s="2">
        <f>BM112</f>
        <v>0</v>
      </c>
    </row>
    <row r="113" spans="1:70" hidden="1">
      <c r="A113" s="74">
        <v>0</v>
      </c>
      <c r="B113" s="73">
        <v>204614</v>
      </c>
      <c r="C113" s="73" t="s">
        <v>1421</v>
      </c>
      <c r="D113" s="73" t="s">
        <v>979</v>
      </c>
      <c r="E113" s="73" t="s">
        <v>1422</v>
      </c>
      <c r="F113" s="73">
        <v>18645</v>
      </c>
      <c r="G113" s="73" t="s">
        <v>879</v>
      </c>
      <c r="H113" s="73" t="s">
        <v>933</v>
      </c>
      <c r="I113" s="73" t="s">
        <v>1012</v>
      </c>
      <c r="J113" s="73">
        <v>0</v>
      </c>
      <c r="K113" s="73">
        <v>6.5</v>
      </c>
      <c r="L113" s="73">
        <v>0</v>
      </c>
      <c r="M113" s="73">
        <v>0</v>
      </c>
      <c r="N113" s="73">
        <v>0</v>
      </c>
      <c r="O113" s="73" t="s">
        <v>1318</v>
      </c>
      <c r="P113" s="73" t="s">
        <v>301</v>
      </c>
      <c r="Q113" s="73" t="s">
        <v>301</v>
      </c>
      <c r="R113" s="73">
        <v>2</v>
      </c>
      <c r="S113" s="73">
        <v>1</v>
      </c>
      <c r="T113" s="73">
        <v>0</v>
      </c>
      <c r="U113" s="73">
        <v>13</v>
      </c>
      <c r="V113" s="73">
        <v>3048</v>
      </c>
      <c r="W113" s="73">
        <v>10</v>
      </c>
      <c r="X113" s="73">
        <v>11</v>
      </c>
      <c r="Y113" s="73">
        <v>0</v>
      </c>
      <c r="Z113" s="73" t="s">
        <v>879</v>
      </c>
      <c r="AA113" s="73" t="s">
        <v>692</v>
      </c>
      <c r="AB113" s="73" t="str">
        <f>IF(AA113&lt;&gt;"",INDEX(Lookup!$N$2:$N$5,MATCH(Players!AA113,Lookup!$P$2:$P$5,0)),INDEX(Lookup!$N$2:$N$5,MATCH(Players!O113,Lookup!$O$2:$O$5,0)))</f>
        <v>Defense</v>
      </c>
      <c r="AC113" s="73">
        <v>4500000</v>
      </c>
      <c r="AD113" s="73" t="s">
        <v>804</v>
      </c>
      <c r="AE113" s="73" t="str">
        <f>INDEX('Translate table'!$H$2:$H$622,MATCH(Players!P113,'Translate table'!$G$2:$G$622,0))</f>
        <v>Harry Maguire</v>
      </c>
      <c r="AF113" s="73">
        <f>IFERROR(INDEX('Euro Qual stats'!$A$1:$L$2071,MATCH(Players!$AE113,'Euro Qual stats'!$A$1:$A$2071,0),MATCH(Players!AF$2,'Euro Qual stats'!$A$1:$L$1,0)),0)</f>
        <v>8</v>
      </c>
      <c r="AG113" s="73">
        <f>IFERROR(INDEX('Euro Qual stats'!$A$1:$L$2071,MATCH(Players!$AE113,'Euro Qual stats'!$A$1:$A$2071,0),MATCH(Players!AG$2,'Euro Qual stats'!$A$1:$L$1,0)),0)</f>
        <v>0</v>
      </c>
      <c r="AH113" s="73">
        <f>IFERROR(INDEX('Euro Qual stats'!$A$1:$L$2071,MATCH(Players!$AE113,'Euro Qual stats'!$A$1:$A$2071,0),MATCH(Players!AH$2,'Euro Qual stats'!$A$1:$L$1,0)),0)</f>
        <v>0</v>
      </c>
      <c r="AI113" s="73">
        <f>IFERROR(INDEX('Euro Qual stats'!$A$1:$L$2071,MATCH(Players!$AE113,'Euro Qual stats'!$A$1:$A$2071,0),MATCH(Players!AI$2,'Euro Qual stats'!$A$1:$L$1,0)),0)</f>
        <v>0</v>
      </c>
      <c r="AJ113" s="93">
        <f>(12-AF113)/12*INDEX(BV$9:BV$12,MATCH($AB113,$BU$9:$BU$12,0))+AF113/12*AG113</f>
        <v>2.9725274725274732E-2</v>
      </c>
      <c r="AK113" s="93">
        <f>(12-AG113)/12*INDEX(BW$9:BW$12,MATCH($AB113,$BU$9:$BU$12,0))+AG113/12*AH113</f>
        <v>0.10357142857142858</v>
      </c>
      <c r="AL113" s="93">
        <f>(12-AH113)/12*INDEX(BX$9:BX$12,MATCH($AB113,$BU$9:$BU$12,0))+AH113/12*AI113</f>
        <v>0.19357142857142848</v>
      </c>
      <c r="AM113" s="93">
        <f>IF($BC113=1,AJ113/SUMIFS(AJ$3:AJ$623,$BC$3:$BC$623,1,$G$3:$G$623,$G113),0)</f>
        <v>0</v>
      </c>
      <c r="AN113" s="93">
        <f>IF($BC113=1,AK113/SUMIFS(AK$3:AK$623,$BC$3:$BC$623,1,$G$3:$G$623,$G113),0)</f>
        <v>0</v>
      </c>
      <c r="AO113" s="93">
        <f>IF($BC113=1,AL113/SUMIFS(AL$3:AL$623,$BC$3:$BC$623,1,$G$3:$G$623,$G113),0)</f>
        <v>0</v>
      </c>
      <c r="AP113" s="2">
        <f>IFERROR(R113/$V113*90,"")</f>
        <v>5.905511811023622E-2</v>
      </c>
      <c r="AQ113" s="2">
        <f>IFERROR(S113/$V113*90,"")</f>
        <v>2.952755905511811E-2</v>
      </c>
      <c r="AR113" s="2">
        <f>IFERROR(W113/$V113*90,"")</f>
        <v>0.29527559055118108</v>
      </c>
      <c r="AS113" s="2">
        <f>IFERROR(X113/$V113*90,"")</f>
        <v>0.32480314960629919</v>
      </c>
      <c r="AT113" s="2">
        <f>IFERROR(Y113/$V113*90,"")</f>
        <v>0</v>
      </c>
      <c r="AU113" s="2">
        <f>IF(AP113="",INDEX(BV$4:BV$7,MATCH(O113,$BU$4:$BU$7,0)),AP113)</f>
        <v>5.905511811023622E-2</v>
      </c>
      <c r="AV113" s="2">
        <f>IF(AQ113="",INDEX(BW$4:BW$7,MATCH($O113,$BU$4:$BU$7,0)),AQ113)</f>
        <v>2.952755905511811E-2</v>
      </c>
      <c r="AW113" s="2">
        <f t="shared" si="12"/>
        <v>0.29527559055118108</v>
      </c>
      <c r="AX113" s="2">
        <f t="shared" si="13"/>
        <v>0.32480314960629919</v>
      </c>
      <c r="AY113" s="2">
        <f t="shared" si="14"/>
        <v>0</v>
      </c>
      <c r="AZ113" s="2">
        <f>AU113*0.5+AK113*0.5</f>
        <v>8.1313273340832395E-2</v>
      </c>
      <c r="BA113" s="2">
        <f>AV113*0.5+AJ113*0.5</f>
        <v>2.9626416890196419E-2</v>
      </c>
      <c r="BB113" s="2">
        <f t="shared" si="15"/>
        <v>0.1624015748031496</v>
      </c>
      <c r="BC113">
        <f>IF(I113="expected",1,0)</f>
        <v>0</v>
      </c>
      <c r="BD113" s="78">
        <f>IF(BC113=1,AZ113/SUMIFS(AZ$3:AZ$623,$BC$3:$BC$623,1,$G$3:$G$623,$G113),0)</f>
        <v>0</v>
      </c>
      <c r="BE113" s="78">
        <f>IF(BC113=1,BA113/SUMIFS(BA$3:BA$623,$BC$3:$BC$623,1,$G$3:$G$623,$G113),0)</f>
        <v>0</v>
      </c>
      <c r="BF113" s="78">
        <f t="shared" si="16"/>
        <v>0</v>
      </c>
      <c r="BG113" s="2">
        <f t="shared" si="17"/>
        <v>0.1624015748031496</v>
      </c>
      <c r="BH113" s="2">
        <f t="shared" si="18"/>
        <v>0</v>
      </c>
      <c r="BI113" s="2">
        <f t="shared" si="19"/>
        <v>0</v>
      </c>
      <c r="BJ113" s="2">
        <f t="shared" si="20"/>
        <v>0</v>
      </c>
      <c r="BK113" s="2">
        <f t="shared" si="21"/>
        <v>0</v>
      </c>
      <c r="BL113" s="2">
        <f t="shared" si="22"/>
        <v>0.1624015748031496</v>
      </c>
      <c r="BM113" s="2">
        <f t="shared" si="23"/>
        <v>0</v>
      </c>
      <c r="BN113" s="2">
        <f>BI113/SUMIFS(BI$3:BI$623,$BC$3:$BC$623,1,$G$3:$G$623,$G113)</f>
        <v>0</v>
      </c>
      <c r="BO113" s="2">
        <f>BJ113/SUMIFS(BJ$3:BJ$623,$BC$3:$BC$623,1,$G$3:$G$623,$G113)</f>
        <v>0</v>
      </c>
      <c r="BP113" s="2">
        <f>BK113/SUMIFS(BK$3:BK$623,$BC$3:$BC$623,1,$G$3:$G$623,$G113)</f>
        <v>0</v>
      </c>
      <c r="BQ113" s="2">
        <f>BL113</f>
        <v>0.1624015748031496</v>
      </c>
      <c r="BR113" s="2">
        <f>BM113</f>
        <v>0</v>
      </c>
    </row>
    <row r="114" spans="1:70" hidden="1">
      <c r="A114" s="74">
        <v>0</v>
      </c>
      <c r="B114" s="73">
        <v>204609</v>
      </c>
      <c r="C114" s="73" t="s">
        <v>1423</v>
      </c>
      <c r="D114" s="73" t="s">
        <v>1424</v>
      </c>
      <c r="E114" s="73" t="s">
        <v>1425</v>
      </c>
      <c r="F114" s="73">
        <v>18645</v>
      </c>
      <c r="G114" s="73" t="s">
        <v>879</v>
      </c>
      <c r="H114" s="73" t="s">
        <v>933</v>
      </c>
      <c r="I114" s="73" t="s">
        <v>981</v>
      </c>
      <c r="J114" s="73">
        <v>0</v>
      </c>
      <c r="K114" s="73">
        <v>6.5</v>
      </c>
      <c r="L114" s="73">
        <v>0</v>
      </c>
      <c r="M114" s="73">
        <v>0</v>
      </c>
      <c r="N114" s="73">
        <v>0</v>
      </c>
      <c r="O114" s="73" t="s">
        <v>1318</v>
      </c>
      <c r="P114" s="73" t="s">
        <v>67</v>
      </c>
      <c r="Q114" s="73" t="s">
        <v>67</v>
      </c>
      <c r="R114" s="73">
        <v>3</v>
      </c>
      <c r="S114" s="73">
        <v>5</v>
      </c>
      <c r="T114" s="73">
        <v>0</v>
      </c>
      <c r="U114" s="73">
        <v>9</v>
      </c>
      <c r="V114" s="73">
        <v>2290</v>
      </c>
      <c r="W114" s="73">
        <v>10</v>
      </c>
      <c r="X114" s="73">
        <v>3</v>
      </c>
      <c r="Y114" s="73">
        <v>0</v>
      </c>
      <c r="Z114" s="73" t="s">
        <v>879</v>
      </c>
      <c r="AA114" s="73" t="s">
        <v>692</v>
      </c>
      <c r="AB114" s="73" t="str">
        <f>IF(AA114&lt;&gt;"",INDEX(Lookup!$N$2:$N$5,MATCH(Players!AA114,Lookup!$P$2:$P$5,0)),INDEX(Lookup!$N$2:$N$5,MATCH(Players!O114,Lookup!$O$2:$O$5,0)))</f>
        <v>Defense</v>
      </c>
      <c r="AC114" s="73">
        <v>4500000</v>
      </c>
      <c r="AD114" s="73" t="s">
        <v>805</v>
      </c>
      <c r="AE114" s="73" t="str">
        <f>INDEX('Translate table'!$H$2:$H$622,MATCH(Players!P114,'Translate table'!$G$2:$G$622,0))</f>
        <v>Ben Chilwell</v>
      </c>
      <c r="AF114" s="73">
        <f>IFERROR(INDEX('Euro Qual stats'!$A$1:$L$2071,MATCH(Players!$AE114,'Euro Qual stats'!$A$1:$A$2071,0),MATCH(Players!AF$2,'Euro Qual stats'!$A$1:$L$1,0)),0)</f>
        <v>5</v>
      </c>
      <c r="AG114" s="73">
        <f>IFERROR(INDEX('Euro Qual stats'!$A$1:$L$2071,MATCH(Players!$AE114,'Euro Qual stats'!$A$1:$A$2071,0),MATCH(Players!AG$2,'Euro Qual stats'!$A$1:$L$1,0)),0)</f>
        <v>0.6</v>
      </c>
      <c r="AH114" s="73">
        <f>IFERROR(INDEX('Euro Qual stats'!$A$1:$L$2071,MATCH(Players!$AE114,'Euro Qual stats'!$A$1:$A$2071,0),MATCH(Players!AH$2,'Euro Qual stats'!$A$1:$L$1,0)),0)</f>
        <v>0</v>
      </c>
      <c r="AI114" s="73">
        <f>IFERROR(INDEX('Euro Qual stats'!$A$1:$L$2071,MATCH(Players!$AE114,'Euro Qual stats'!$A$1:$A$2071,0),MATCH(Players!AI$2,'Euro Qual stats'!$A$1:$L$1,0)),0)</f>
        <v>0</v>
      </c>
      <c r="AJ114" s="93">
        <f>(12-AF114)/12*INDEX(BV$9:BV$12,MATCH($AB114,$BU$9:$BU$12,0))+AF114/12*AG114</f>
        <v>0.30201923076923076</v>
      </c>
      <c r="AK114" s="93">
        <f>(12-AG114)/12*INDEX(BW$9:BW$12,MATCH($AB114,$BU$9:$BU$12,0))+AG114/12*AH114</f>
        <v>9.8392857142857157E-2</v>
      </c>
      <c r="AL114" s="93">
        <f>(12-AH114)/12*INDEX(BX$9:BX$12,MATCH($AB114,$BU$9:$BU$12,0))+AH114/12*AI114</f>
        <v>0.19357142857142848</v>
      </c>
      <c r="AM114" s="93">
        <f>IF($BC114=1,AJ114/SUMIFS(AJ$3:AJ$623,$BC$3:$BC$623,1,$G$3:$G$623,$G114),0)</f>
        <v>0.13757812050783624</v>
      </c>
      <c r="AN114" s="93">
        <f>IF($BC114=1,AK114/SUMIFS(AK$3:AK$623,$BC$3:$BC$623,1,$G$3:$G$623,$G114),0)</f>
        <v>3.5169291180520722E-2</v>
      </c>
      <c r="AO114" s="93">
        <f>IF($BC114=1,AL114/SUMIFS(AL$3:AL$623,$BC$3:$BC$623,1,$G$3:$G$623,$G114),0)</f>
        <v>8.6253189396557808E-2</v>
      </c>
      <c r="AP114" s="2">
        <f>IFERROR(R114/$V114*90,"")</f>
        <v>0.11790393013100436</v>
      </c>
      <c r="AQ114" s="2">
        <f>IFERROR(S114/$V114*90,"")</f>
        <v>0.1965065502183406</v>
      </c>
      <c r="AR114" s="2">
        <f>IFERROR(W114/$V114*90,"")</f>
        <v>0.3930131004366812</v>
      </c>
      <c r="AS114" s="2">
        <f>IFERROR(X114/$V114*90,"")</f>
        <v>0.11790393013100436</v>
      </c>
      <c r="AT114" s="2">
        <f>IFERROR(Y114/$V114*90,"")</f>
        <v>0</v>
      </c>
      <c r="AU114" s="2">
        <f>IF(AP114="",INDEX(BV$4:BV$7,MATCH(O114,$BU$4:$BU$7,0)),AP114)</f>
        <v>0.11790393013100436</v>
      </c>
      <c r="AV114" s="2">
        <f>IF(AQ114="",INDEX(BW$4:BW$7,MATCH($O114,$BU$4:$BU$7,0)),AQ114)</f>
        <v>0.1965065502183406</v>
      </c>
      <c r="AW114" s="2">
        <f t="shared" si="12"/>
        <v>0.3930131004366812</v>
      </c>
      <c r="AX114" s="2">
        <f t="shared" si="13"/>
        <v>0.11790393013100436</v>
      </c>
      <c r="AY114" s="2">
        <f t="shared" si="14"/>
        <v>0</v>
      </c>
      <c r="AZ114" s="2">
        <f>AU114*0.5+AK114*0.5</f>
        <v>0.10814839363693077</v>
      </c>
      <c r="BA114" s="2">
        <f>AV114*0.5+AJ114*0.5</f>
        <v>0.24926289049378569</v>
      </c>
      <c r="BB114" s="2">
        <f t="shared" si="15"/>
        <v>5.8951965065502182E-2</v>
      </c>
      <c r="BC114">
        <f>IF(I114="expected",1,0)</f>
        <v>1</v>
      </c>
      <c r="BD114" s="78">
        <f>IF(BC114=1,AZ114/SUMIFS(AZ$3:AZ$623,$BC$3:$BC$623,1,$G$3:$G$623,$G114),0)</f>
        <v>4.3257499629972634E-2</v>
      </c>
      <c r="BE114" s="78">
        <f>IF(BC114=1,BA114/SUMIFS(BA$3:BA$623,$BC$3:$BC$623,1,$G$3:$G$623,$G114),0)</f>
        <v>0.13434599865554453</v>
      </c>
      <c r="BF114" s="78">
        <f t="shared" si="16"/>
        <v>6.4283904096604838E-2</v>
      </c>
      <c r="BG114" s="2">
        <f t="shared" si="17"/>
        <v>5.8951965065502182E-2</v>
      </c>
      <c r="BH114" s="2">
        <f t="shared" si="18"/>
        <v>0</v>
      </c>
      <c r="BI114" s="2">
        <f t="shared" si="19"/>
        <v>4.3257499629972634E-2</v>
      </c>
      <c r="BJ114" s="2">
        <f t="shared" si="20"/>
        <v>0.13434599865554453</v>
      </c>
      <c r="BK114" s="2">
        <f t="shared" si="21"/>
        <v>6.4283904096604838E-2</v>
      </c>
      <c r="BL114" s="2">
        <f t="shared" si="22"/>
        <v>5.8951965065502182E-2</v>
      </c>
      <c r="BM114" s="2">
        <f t="shared" si="23"/>
        <v>0</v>
      </c>
      <c r="BN114" s="2">
        <f>BI114/SUMIFS(BI$3:BI$623,$BC$3:$BC$623,1,$G$3:$G$623,$G114)</f>
        <v>4.3257499629972641E-2</v>
      </c>
      <c r="BO114" s="2">
        <f>BJ114/SUMIFS(BJ$3:BJ$623,$BC$3:$BC$623,1,$G$3:$G$623,$G114)</f>
        <v>0.13434599865554453</v>
      </c>
      <c r="BP114" s="2">
        <f>BK114/SUMIFS(BK$3:BK$623,$BC$3:$BC$623,1,$G$3:$G$623,$G114)</f>
        <v>6.4283904096604824E-2</v>
      </c>
      <c r="BQ114" s="2">
        <f>BL114</f>
        <v>5.8951965065502182E-2</v>
      </c>
      <c r="BR114" s="2">
        <f>BM114</f>
        <v>0</v>
      </c>
    </row>
    <row r="115" spans="1:70" hidden="1">
      <c r="A115" s="74">
        <v>0</v>
      </c>
      <c r="B115" s="73">
        <v>204604</v>
      </c>
      <c r="C115" s="73" t="s">
        <v>1426</v>
      </c>
      <c r="D115" s="73" t="s">
        <v>1427</v>
      </c>
      <c r="E115" s="73" t="s">
        <v>1428</v>
      </c>
      <c r="F115" s="73">
        <v>18645</v>
      </c>
      <c r="G115" s="73" t="s">
        <v>879</v>
      </c>
      <c r="H115" s="73" t="s">
        <v>933</v>
      </c>
      <c r="I115" s="73" t="s">
        <v>1012</v>
      </c>
      <c r="J115" s="73">
        <v>0</v>
      </c>
      <c r="K115" s="73">
        <v>6.5</v>
      </c>
      <c r="L115" s="73">
        <v>0</v>
      </c>
      <c r="M115" s="73">
        <v>0</v>
      </c>
      <c r="N115" s="73">
        <v>0</v>
      </c>
      <c r="O115" s="73" t="s">
        <v>1318</v>
      </c>
      <c r="P115" s="73" t="s">
        <v>1429</v>
      </c>
      <c r="Q115" s="73" t="s">
        <v>1429</v>
      </c>
      <c r="R115" s="73">
        <v>0</v>
      </c>
      <c r="S115" s="73">
        <v>6</v>
      </c>
      <c r="T115" s="73">
        <v>0</v>
      </c>
      <c r="U115" s="73">
        <v>16</v>
      </c>
      <c r="V115" s="73">
        <v>2477</v>
      </c>
      <c r="W115" s="73">
        <v>1</v>
      </c>
      <c r="X115" s="73">
        <v>0</v>
      </c>
      <c r="Y115" s="73">
        <v>0</v>
      </c>
      <c r="Z115" s="73" t="s">
        <v>879</v>
      </c>
      <c r="AA115" s="73" t="s">
        <v>692</v>
      </c>
      <c r="AB115" s="73" t="str">
        <f>IF(AA115&lt;&gt;"",INDEX(Lookup!$N$2:$N$5,MATCH(Players!AA115,Lookup!$P$2:$P$5,0)),INDEX(Lookup!$N$2:$N$5,MATCH(Players!O115,Lookup!$O$2:$O$5,0)))</f>
        <v>Defense</v>
      </c>
      <c r="AC115" s="73">
        <v>3500000</v>
      </c>
      <c r="AD115" s="73" t="s">
        <v>815</v>
      </c>
      <c r="AE115" s="73" t="str">
        <f>INDEX('Translate table'!$H$2:$H$622,MATCH(Players!P115,'Translate table'!$G$2:$G$622,0))</f>
        <v>Kieran Trippier</v>
      </c>
      <c r="AF115" s="73">
        <f>IFERROR(INDEX('Euro Qual stats'!$A$1:$L$2071,MATCH(Players!$AE115,'Euro Qual stats'!$A$1:$A$2071,0),MATCH(Players!AF$2,'Euro Qual stats'!$A$1:$L$1,0)),0)</f>
        <v>3</v>
      </c>
      <c r="AG115" s="73">
        <f>IFERROR(INDEX('Euro Qual stats'!$A$1:$L$2071,MATCH(Players!$AE115,'Euro Qual stats'!$A$1:$A$2071,0),MATCH(Players!AG$2,'Euro Qual stats'!$A$1:$L$1,0)),0)</f>
        <v>0</v>
      </c>
      <c r="AH115" s="73">
        <f>IFERROR(INDEX('Euro Qual stats'!$A$1:$L$2071,MATCH(Players!$AE115,'Euro Qual stats'!$A$1:$A$2071,0),MATCH(Players!AH$2,'Euro Qual stats'!$A$1:$L$1,0)),0)</f>
        <v>0</v>
      </c>
      <c r="AI115" s="73">
        <f>IFERROR(INDEX('Euro Qual stats'!$A$1:$L$2071,MATCH(Players!$AE115,'Euro Qual stats'!$A$1:$A$2071,0),MATCH(Players!AI$2,'Euro Qual stats'!$A$1:$L$1,0)),0)</f>
        <v>0</v>
      </c>
      <c r="AJ115" s="93">
        <f>(12-AF115)/12*INDEX(BV$9:BV$12,MATCH($AB115,$BU$9:$BU$12,0))+AF115/12*AG115</f>
        <v>6.6881868131868152E-2</v>
      </c>
      <c r="AK115" s="93">
        <f>(12-AG115)/12*INDEX(BW$9:BW$12,MATCH($AB115,$BU$9:$BU$12,0))+AG115/12*AH115</f>
        <v>0.10357142857142858</v>
      </c>
      <c r="AL115" s="93">
        <f>(12-AH115)/12*INDEX(BX$9:BX$12,MATCH($AB115,$BU$9:$BU$12,0))+AH115/12*AI115</f>
        <v>0.19357142857142848</v>
      </c>
      <c r="AM115" s="93">
        <f>IF($BC115=1,AJ115/SUMIFS(AJ$3:AJ$623,$BC$3:$BC$623,1,$G$3:$G$623,$G115),0)</f>
        <v>0</v>
      </c>
      <c r="AN115" s="93">
        <f>IF($BC115=1,AK115/SUMIFS(AK$3:AK$623,$BC$3:$BC$623,1,$G$3:$G$623,$G115),0)</f>
        <v>0</v>
      </c>
      <c r="AO115" s="93">
        <f>IF($BC115=1,AL115/SUMIFS(AL$3:AL$623,$BC$3:$BC$623,1,$G$3:$G$623,$G115),0)</f>
        <v>0</v>
      </c>
      <c r="AP115" s="2">
        <f>IFERROR(R115/$V115*90,"")</f>
        <v>0</v>
      </c>
      <c r="AQ115" s="2">
        <f>IFERROR(S115/$V115*90,"")</f>
        <v>0.21800565199838515</v>
      </c>
      <c r="AR115" s="2">
        <f>IFERROR(W115/$V115*90,"")</f>
        <v>3.6334275333064187E-2</v>
      </c>
      <c r="AS115" s="2">
        <f>IFERROR(X115/$V115*90,"")</f>
        <v>0</v>
      </c>
      <c r="AT115" s="2">
        <f>IFERROR(Y115/$V115*90,"")</f>
        <v>0</v>
      </c>
      <c r="AU115" s="2">
        <f>IF(AP115="",INDEX(BV$4:BV$7,MATCH(O115,$BU$4:$BU$7,0)),AP115)</f>
        <v>0</v>
      </c>
      <c r="AV115" s="2">
        <f>IF(AQ115="",INDEX(BW$4:BW$7,MATCH($O115,$BU$4:$BU$7,0)),AQ115)</f>
        <v>0.21800565199838515</v>
      </c>
      <c r="AW115" s="2">
        <f t="shared" si="12"/>
        <v>3.6334275333064187E-2</v>
      </c>
      <c r="AX115" s="2">
        <f t="shared" si="13"/>
        <v>0</v>
      </c>
      <c r="AY115" s="2">
        <f t="shared" si="14"/>
        <v>0</v>
      </c>
      <c r="AZ115" s="2">
        <f>AU115*0.5+AK115*0.5</f>
        <v>5.1785714285714289E-2</v>
      </c>
      <c r="BA115" s="2">
        <f>AV115*0.5+AJ115*0.5</f>
        <v>0.14244376006512666</v>
      </c>
      <c r="BB115" s="2">
        <f t="shared" si="15"/>
        <v>0</v>
      </c>
      <c r="BC115">
        <f>IF(I115="expected",1,0)</f>
        <v>0</v>
      </c>
      <c r="BD115" s="78">
        <f>IF(BC115=1,AZ115/SUMIFS(AZ$3:AZ$623,$BC$3:$BC$623,1,$G$3:$G$623,$G115),0)</f>
        <v>0</v>
      </c>
      <c r="BE115" s="78">
        <f>IF(BC115=1,BA115/SUMIFS(BA$3:BA$623,$BC$3:$BC$623,1,$G$3:$G$623,$G115),0)</f>
        <v>0</v>
      </c>
      <c r="BF115" s="78">
        <f t="shared" si="16"/>
        <v>0</v>
      </c>
      <c r="BG115" s="2">
        <f t="shared" si="17"/>
        <v>0</v>
      </c>
      <c r="BH115" s="2">
        <f t="shared" si="18"/>
        <v>0</v>
      </c>
      <c r="BI115" s="2">
        <f t="shared" si="19"/>
        <v>0</v>
      </c>
      <c r="BJ115" s="2">
        <f t="shared" si="20"/>
        <v>0</v>
      </c>
      <c r="BK115" s="2">
        <f t="shared" si="21"/>
        <v>0</v>
      </c>
      <c r="BL115" s="2">
        <f t="shared" si="22"/>
        <v>0</v>
      </c>
      <c r="BM115" s="2">
        <f t="shared" si="23"/>
        <v>0</v>
      </c>
      <c r="BN115" s="2">
        <f>BI115/SUMIFS(BI$3:BI$623,$BC$3:$BC$623,1,$G$3:$G$623,$G115)</f>
        <v>0</v>
      </c>
      <c r="BO115" s="2">
        <f>BJ115/SUMIFS(BJ$3:BJ$623,$BC$3:$BC$623,1,$G$3:$G$623,$G115)</f>
        <v>0</v>
      </c>
      <c r="BP115" s="2">
        <f>BK115/SUMIFS(BK$3:BK$623,$BC$3:$BC$623,1,$G$3:$G$623,$G115)</f>
        <v>0</v>
      </c>
      <c r="BQ115" s="2">
        <f>BL115</f>
        <v>0</v>
      </c>
      <c r="BR115" s="2">
        <f>BM115</f>
        <v>0</v>
      </c>
    </row>
    <row r="116" spans="1:70" hidden="1">
      <c r="A116" s="74">
        <v>0</v>
      </c>
      <c r="B116" s="73">
        <v>223174</v>
      </c>
      <c r="C116" s="73" t="s">
        <v>1430</v>
      </c>
      <c r="D116" s="73" t="s">
        <v>1431</v>
      </c>
      <c r="E116" s="73" t="s">
        <v>1432</v>
      </c>
      <c r="F116" s="73">
        <v>18645</v>
      </c>
      <c r="G116" s="73" t="s">
        <v>879</v>
      </c>
      <c r="H116" s="73" t="s">
        <v>933</v>
      </c>
      <c r="I116" s="73" t="s">
        <v>1012</v>
      </c>
      <c r="J116" s="73">
        <v>0</v>
      </c>
      <c r="K116" s="73">
        <v>6.5</v>
      </c>
      <c r="L116" s="73">
        <v>0</v>
      </c>
      <c r="M116" s="73">
        <v>0</v>
      </c>
      <c r="N116" s="73">
        <v>0</v>
      </c>
      <c r="O116" s="73" t="s">
        <v>994</v>
      </c>
      <c r="P116" s="73" t="s">
        <v>1433</v>
      </c>
      <c r="Q116" s="73" t="s">
        <v>1434</v>
      </c>
      <c r="R116" s="73">
        <v>1</v>
      </c>
      <c r="S116" s="73">
        <v>3</v>
      </c>
      <c r="T116" s="73">
        <v>0</v>
      </c>
      <c r="U116" s="73">
        <v>3</v>
      </c>
      <c r="V116" s="73">
        <v>1701</v>
      </c>
      <c r="W116" s="73">
        <v>8</v>
      </c>
      <c r="X116" s="73">
        <v>4</v>
      </c>
      <c r="Y116" s="73">
        <v>1</v>
      </c>
      <c r="Z116" s="73" t="s">
        <v>879</v>
      </c>
      <c r="AA116" s="73" t="s">
        <v>691</v>
      </c>
      <c r="AB116" s="73" t="str">
        <f>IF(AA116&lt;&gt;"",INDEX(Lookup!$N$2:$N$5,MATCH(Players!AA116,Lookup!$P$2:$P$5,0)),INDEX(Lookup!$N$2:$N$5,MATCH(Players!O116,Lookup!$O$2:$O$5,0)))</f>
        <v>Midfield</v>
      </c>
      <c r="AC116" s="73">
        <v>3000000</v>
      </c>
      <c r="AD116" s="73" t="s">
        <v>850</v>
      </c>
      <c r="AE116" s="73" t="str">
        <f>INDEX('Translate table'!$H$2:$H$622,MATCH(Players!P116,'Translate table'!$G$2:$G$622,0))</f>
        <v>Alan Judge</v>
      </c>
      <c r="AF116" s="73">
        <f>IFERROR(INDEX('Euro Qual stats'!$A$1:$L$2071,MATCH(Players!$AE116,'Euro Qual stats'!$A$1:$A$2071,0),MATCH(Players!AF$2,'Euro Qual stats'!$A$1:$L$1,0)),0)</f>
        <v>2</v>
      </c>
      <c r="AG116" s="73">
        <f>IFERROR(INDEX('Euro Qual stats'!$A$1:$L$2071,MATCH(Players!$AE116,'Euro Qual stats'!$A$1:$A$2071,0),MATCH(Players!AG$2,'Euro Qual stats'!$A$1:$L$1,0)),0)</f>
        <v>1.61</v>
      </c>
      <c r="AH116" s="73">
        <f>IFERROR(INDEX('Euro Qual stats'!$A$1:$L$2071,MATCH(Players!$AE116,'Euro Qual stats'!$A$1:$A$2071,0),MATCH(Players!AH$2,'Euro Qual stats'!$A$1:$L$1,0)),0)</f>
        <v>0</v>
      </c>
      <c r="AI116" s="73">
        <f>IFERROR(INDEX('Euro Qual stats'!$A$1:$L$2071,MATCH(Players!$AE116,'Euro Qual stats'!$A$1:$A$2071,0),MATCH(Players!AI$2,'Euro Qual stats'!$A$1:$L$1,0)),0)</f>
        <v>1.61</v>
      </c>
      <c r="AJ116" s="93">
        <f>(12-AF116)/12*INDEX(BV$9:BV$12,MATCH($AB116,$BU$9:$BU$12,0))+AF116/12*AG116</f>
        <v>0.40890924956369978</v>
      </c>
      <c r="AK116" s="93">
        <f>(12-AG116)/12*INDEX(BW$9:BW$12,MATCH($AB116,$BU$9:$BU$12,0))+AG116/12*AH116</f>
        <v>0.19342988656195462</v>
      </c>
      <c r="AL116" s="93">
        <f>(12-AH116)/12*INDEX(BX$9:BX$12,MATCH($AB116,$BU$9:$BU$12,0))+AH116/12*AI116</f>
        <v>0.23942408376963353</v>
      </c>
      <c r="AM116" s="93">
        <f>IF($BC116=1,AJ116/SUMIFS(AJ$3:AJ$623,$BC$3:$BC$623,1,$G$3:$G$623,$G116),0)</f>
        <v>0</v>
      </c>
      <c r="AN116" s="93">
        <f>IF($BC116=1,AK116/SUMIFS(AK$3:AK$623,$BC$3:$BC$623,1,$G$3:$G$623,$G116),0)</f>
        <v>0</v>
      </c>
      <c r="AO116" s="93">
        <f>IF($BC116=1,AL116/SUMIFS(AL$3:AL$623,$BC$3:$BC$623,1,$G$3:$G$623,$G116),0)</f>
        <v>0</v>
      </c>
      <c r="AP116" s="2">
        <f>IFERROR(R116/$V116*90,"")</f>
        <v>5.2910052910052907E-2</v>
      </c>
      <c r="AQ116" s="2">
        <f>IFERROR(S116/$V116*90,"")</f>
        <v>0.15873015873015872</v>
      </c>
      <c r="AR116" s="2">
        <f>IFERROR(W116/$V116*90,"")</f>
        <v>0.42328042328042326</v>
      </c>
      <c r="AS116" s="2">
        <f>IFERROR(X116/$V116*90,"")</f>
        <v>0.21164021164021163</v>
      </c>
      <c r="AT116" s="2">
        <f>IFERROR(Y116/$V116*90,"")</f>
        <v>5.2910052910052907E-2</v>
      </c>
      <c r="AU116" s="2">
        <f>IF(AP116="",INDEX(BV$4:BV$7,MATCH(O116,$BU$4:$BU$7,0)),AP116)</f>
        <v>5.2910052910052907E-2</v>
      </c>
      <c r="AV116" s="2">
        <f>IF(AQ116="",INDEX(BW$4:BW$7,MATCH($O116,$BU$4:$BU$7,0)),AQ116)</f>
        <v>0.15873015873015872</v>
      </c>
      <c r="AW116" s="2">
        <f t="shared" si="12"/>
        <v>0.42328042328042326</v>
      </c>
      <c r="AX116" s="2">
        <f t="shared" si="13"/>
        <v>0.21164021164021163</v>
      </c>
      <c r="AY116" s="2">
        <f t="shared" si="14"/>
        <v>5.2910052910052907E-2</v>
      </c>
      <c r="AZ116" s="2">
        <f>AU116*0.5+AK116*0.5</f>
        <v>0.12316996973600376</v>
      </c>
      <c r="BA116" s="2">
        <f>AV116*0.5+AJ116*0.5</f>
        <v>0.28381970414692925</v>
      </c>
      <c r="BB116" s="2">
        <f t="shared" si="15"/>
        <v>0.91082010582010586</v>
      </c>
      <c r="BC116">
        <f>IF(I116="expected",1,0)</f>
        <v>0</v>
      </c>
      <c r="BD116" s="78">
        <f>IF(BC116=1,AZ116/SUMIFS(AZ$3:AZ$623,$BC$3:$BC$623,1,$G$3:$G$623,$G116),0)</f>
        <v>0</v>
      </c>
      <c r="BE116" s="78">
        <f>IF(BC116=1,BA116/SUMIFS(BA$3:BA$623,$BC$3:$BC$623,1,$G$3:$G$623,$G116),0)</f>
        <v>0</v>
      </c>
      <c r="BF116" s="78">
        <f t="shared" si="16"/>
        <v>0</v>
      </c>
      <c r="BG116" s="2">
        <f t="shared" si="17"/>
        <v>0.91082010582010586</v>
      </c>
      <c r="BH116" s="2">
        <f t="shared" si="18"/>
        <v>5.2910052910052907E-2</v>
      </c>
      <c r="BI116" s="2">
        <f t="shared" si="19"/>
        <v>0</v>
      </c>
      <c r="BJ116" s="2">
        <f t="shared" si="20"/>
        <v>0</v>
      </c>
      <c r="BK116" s="2">
        <f t="shared" si="21"/>
        <v>0</v>
      </c>
      <c r="BL116" s="2">
        <f t="shared" si="22"/>
        <v>0.91082010582010586</v>
      </c>
      <c r="BM116" s="2">
        <f t="shared" si="23"/>
        <v>5.2910052910052907E-2</v>
      </c>
      <c r="BN116" s="2">
        <f>BI116/SUMIFS(BI$3:BI$623,$BC$3:$BC$623,1,$G$3:$G$623,$G116)</f>
        <v>0</v>
      </c>
      <c r="BO116" s="2">
        <f>BJ116/SUMIFS(BJ$3:BJ$623,$BC$3:$BC$623,1,$G$3:$G$623,$G116)</f>
        <v>0</v>
      </c>
      <c r="BP116" s="2">
        <f>BK116/SUMIFS(BK$3:BK$623,$BC$3:$BC$623,1,$G$3:$G$623,$G116)</f>
        <v>0</v>
      </c>
      <c r="BQ116" s="2">
        <f>BL116</f>
        <v>0.91082010582010586</v>
      </c>
      <c r="BR116" s="2">
        <f>BM116</f>
        <v>5.2910052910052907E-2</v>
      </c>
    </row>
    <row r="117" spans="1:70" hidden="1">
      <c r="A117" s="74">
        <v>0</v>
      </c>
      <c r="B117" s="73">
        <v>204610</v>
      </c>
      <c r="C117" s="73" t="s">
        <v>1435</v>
      </c>
      <c r="D117" s="73" t="s">
        <v>1436</v>
      </c>
      <c r="E117" s="73" t="s">
        <v>1437</v>
      </c>
      <c r="F117" s="73">
        <v>18645</v>
      </c>
      <c r="G117" s="73" t="s">
        <v>879</v>
      </c>
      <c r="H117" s="73" t="s">
        <v>933</v>
      </c>
      <c r="I117" s="73" t="s">
        <v>981</v>
      </c>
      <c r="J117" s="73">
        <v>0</v>
      </c>
      <c r="K117" s="73">
        <v>6.5</v>
      </c>
      <c r="L117" s="73">
        <v>0</v>
      </c>
      <c r="M117" s="73">
        <v>0</v>
      </c>
      <c r="N117" s="73">
        <v>0</v>
      </c>
      <c r="O117" s="73" t="s">
        <v>994</v>
      </c>
      <c r="P117" s="73" t="s">
        <v>49</v>
      </c>
      <c r="Q117" s="73" t="s">
        <v>49</v>
      </c>
      <c r="R117" s="73">
        <v>2</v>
      </c>
      <c r="S117" s="73">
        <v>1</v>
      </c>
      <c r="T117" s="73">
        <v>0</v>
      </c>
      <c r="U117" s="73">
        <v>10</v>
      </c>
      <c r="V117" s="73">
        <v>2879</v>
      </c>
      <c r="W117" s="73">
        <v>8</v>
      </c>
      <c r="X117" s="73">
        <v>2</v>
      </c>
      <c r="Y117" s="73">
        <v>0</v>
      </c>
      <c r="Z117" s="73" t="s">
        <v>879</v>
      </c>
      <c r="AA117" s="73" t="s">
        <v>691</v>
      </c>
      <c r="AB117" s="73" t="str">
        <f>IF(AA117&lt;&gt;"",INDEX(Lookup!$N$2:$N$5,MATCH(Players!AA117,Lookup!$P$2:$P$5,0)),INDEX(Lookup!$N$2:$N$5,MATCH(Players!O117,Lookup!$O$2:$O$5,0)))</f>
        <v>Midfield</v>
      </c>
      <c r="AC117" s="73">
        <v>3500000</v>
      </c>
      <c r="AD117" s="73" t="s">
        <v>1438</v>
      </c>
      <c r="AE117" s="73" t="str">
        <f>INDEX('Translate table'!$H$2:$H$622,MATCH(Players!P117,'Translate table'!$G$2:$G$622,0))</f>
        <v>Declan Rice</v>
      </c>
      <c r="AF117" s="73">
        <f>IFERROR(INDEX('Euro Qual stats'!$A$1:$L$2071,MATCH(Players!$AE117,'Euro Qual stats'!$A$1:$A$2071,0),MATCH(Players!AF$2,'Euro Qual stats'!$A$1:$L$1,0)),0)</f>
        <v>6</v>
      </c>
      <c r="AG117" s="73">
        <f>IFERROR(INDEX('Euro Qual stats'!$A$1:$L$2071,MATCH(Players!$AE117,'Euro Qual stats'!$A$1:$A$2071,0),MATCH(Players!AG$2,'Euro Qual stats'!$A$1:$L$1,0)),0)</f>
        <v>0</v>
      </c>
      <c r="AH117" s="73">
        <f>IFERROR(INDEX('Euro Qual stats'!$A$1:$L$2071,MATCH(Players!$AE117,'Euro Qual stats'!$A$1:$A$2071,0),MATCH(Players!AH$2,'Euro Qual stats'!$A$1:$L$1,0)),0)</f>
        <v>0</v>
      </c>
      <c r="AI117" s="73">
        <f>IFERROR(INDEX('Euro Qual stats'!$A$1:$L$2071,MATCH(Players!$AE117,'Euro Qual stats'!$A$1:$A$2071,0),MATCH(Players!AI$2,'Euro Qual stats'!$A$1:$L$1,0)),0)</f>
        <v>0</v>
      </c>
      <c r="AJ117" s="93">
        <f>(12-AF117)/12*INDEX(BV$9:BV$12,MATCH($AB117,$BU$9:$BU$12,0))+AF117/12*AG117</f>
        <v>8.4345549738219894E-2</v>
      </c>
      <c r="AK117" s="93">
        <f>(12-AG117)/12*INDEX(BW$9:BW$12,MATCH($AB117,$BU$9:$BU$12,0))+AG117/12*AH117</f>
        <v>0.22340314136125652</v>
      </c>
      <c r="AL117" s="93">
        <f>(12-AH117)/12*INDEX(BX$9:BX$12,MATCH($AB117,$BU$9:$BU$12,0))+AH117/12*AI117</f>
        <v>0.23942408376963353</v>
      </c>
      <c r="AM117" s="93">
        <f>IF($BC117=1,AJ117/SUMIFS(AJ$3:AJ$623,$BC$3:$BC$623,1,$G$3:$G$623,$G117),0)</f>
        <v>3.8421732869888231E-2</v>
      </c>
      <c r="AN117" s="93">
        <f>IF($BC117=1,AK117/SUMIFS(AK$3:AK$623,$BC$3:$BC$623,1,$G$3:$G$623,$G117),0)</f>
        <v>7.9852647410873959E-2</v>
      </c>
      <c r="AO117" s="93">
        <f>IF($BC117=1,AL117/SUMIFS(AL$3:AL$623,$BC$3:$BC$623,1,$G$3:$G$623,$G117),0)</f>
        <v>0.1066846021434367</v>
      </c>
      <c r="AP117" s="2">
        <f>IFERROR(R117/$V117*90,"")</f>
        <v>6.2521708926710662E-2</v>
      </c>
      <c r="AQ117" s="2">
        <f>IFERROR(S117/$V117*90,"")</f>
        <v>3.1260854463355331E-2</v>
      </c>
      <c r="AR117" s="2">
        <f>IFERROR(W117/$V117*90,"")</f>
        <v>0.25008683570684265</v>
      </c>
      <c r="AS117" s="2">
        <f>IFERROR(X117/$V117*90,"")</f>
        <v>6.2521708926710662E-2</v>
      </c>
      <c r="AT117" s="2">
        <f>IFERROR(Y117/$V117*90,"")</f>
        <v>0</v>
      </c>
      <c r="AU117" s="2">
        <f>IF(AP117="",INDEX(BV$4:BV$7,MATCH(O117,$BU$4:$BU$7,0)),AP117)</f>
        <v>6.2521708926710662E-2</v>
      </c>
      <c r="AV117" s="2">
        <f>IF(AQ117="",INDEX(BW$4:BW$7,MATCH($O117,$BU$4:$BU$7,0)),AQ117)</f>
        <v>3.1260854463355331E-2</v>
      </c>
      <c r="AW117" s="2">
        <f t="shared" si="12"/>
        <v>0.25008683570684265</v>
      </c>
      <c r="AX117" s="2">
        <f t="shared" si="13"/>
        <v>6.2521708926710662E-2</v>
      </c>
      <c r="AY117" s="2">
        <f t="shared" si="14"/>
        <v>0</v>
      </c>
      <c r="AZ117" s="2">
        <f>AU117*0.5+AK117*0.5</f>
        <v>0.14296242514398361</v>
      </c>
      <c r="BA117" s="2">
        <f>AV117*0.5+AJ117*0.5</f>
        <v>5.7803202100787612E-2</v>
      </c>
      <c r="BB117" s="2">
        <f t="shared" si="15"/>
        <v>3.1260854463355331E-2</v>
      </c>
      <c r="BC117">
        <f>IF(I117="expected",1,0)</f>
        <v>1</v>
      </c>
      <c r="BD117" s="78">
        <f>IF(BC117=1,AZ117/SUMIFS(AZ$3:AZ$623,$BC$3:$BC$623,1,$G$3:$G$623,$G117),0)</f>
        <v>5.7182514180719811E-2</v>
      </c>
      <c r="BE117" s="78">
        <f>IF(BC117=1,BA117/SUMIFS(BA$3:BA$623,$BC$3:$BC$623,1,$G$3:$G$623,$G117),0)</f>
        <v>3.1154372383049071E-2</v>
      </c>
      <c r="BF117" s="78">
        <f t="shared" si="16"/>
        <v>4.0905909102111872E-2</v>
      </c>
      <c r="BG117" s="2">
        <f t="shared" si="17"/>
        <v>3.1260854463355331E-2</v>
      </c>
      <c r="BH117" s="2">
        <f t="shared" si="18"/>
        <v>0</v>
      </c>
      <c r="BI117" s="2">
        <f t="shared" si="19"/>
        <v>5.7182514180719811E-2</v>
      </c>
      <c r="BJ117" s="2">
        <f t="shared" si="20"/>
        <v>3.1154372383049071E-2</v>
      </c>
      <c r="BK117" s="2">
        <f t="shared" si="21"/>
        <v>4.0905909102111872E-2</v>
      </c>
      <c r="BL117" s="2">
        <f t="shared" si="22"/>
        <v>3.1260854463355331E-2</v>
      </c>
      <c r="BM117" s="2">
        <f t="shared" si="23"/>
        <v>0</v>
      </c>
      <c r="BN117" s="2">
        <f>BI117/SUMIFS(BI$3:BI$623,$BC$3:$BC$623,1,$G$3:$G$623,$G117)</f>
        <v>5.7182514180719825E-2</v>
      </c>
      <c r="BO117" s="2">
        <f>BJ117/SUMIFS(BJ$3:BJ$623,$BC$3:$BC$623,1,$G$3:$G$623,$G117)</f>
        <v>3.1154372383049071E-2</v>
      </c>
      <c r="BP117" s="2">
        <f>BK117/SUMIFS(BK$3:BK$623,$BC$3:$BC$623,1,$G$3:$G$623,$G117)</f>
        <v>4.0905909102111865E-2</v>
      </c>
      <c r="BQ117" s="2">
        <f>BL117</f>
        <v>3.1260854463355331E-2</v>
      </c>
      <c r="BR117" s="2">
        <f>BM117</f>
        <v>0</v>
      </c>
    </row>
    <row r="118" spans="1:70" hidden="1">
      <c r="A118" s="74">
        <v>0</v>
      </c>
      <c r="B118" s="73">
        <v>204687</v>
      </c>
      <c r="C118" s="73" t="s">
        <v>1439</v>
      </c>
      <c r="D118" s="73" t="s">
        <v>1112</v>
      </c>
      <c r="E118" s="73" t="s">
        <v>1440</v>
      </c>
      <c r="F118" s="73">
        <v>18701</v>
      </c>
      <c r="G118" s="73" t="s">
        <v>893</v>
      </c>
      <c r="H118" s="73" t="s">
        <v>947</v>
      </c>
      <c r="I118" s="73" t="s">
        <v>981</v>
      </c>
      <c r="J118" s="73">
        <v>0</v>
      </c>
      <c r="K118" s="73">
        <v>6.5</v>
      </c>
      <c r="L118" s="73">
        <v>0</v>
      </c>
      <c r="M118" s="73">
        <v>0</v>
      </c>
      <c r="N118" s="73">
        <v>0</v>
      </c>
      <c r="O118" s="73" t="s">
        <v>1318</v>
      </c>
      <c r="P118" s="73" t="s">
        <v>1441</v>
      </c>
      <c r="Q118" s="73" t="s">
        <v>59</v>
      </c>
      <c r="R118" s="73">
        <v>2</v>
      </c>
      <c r="S118" s="73">
        <v>3</v>
      </c>
      <c r="T118" s="73">
        <v>0</v>
      </c>
      <c r="U118" s="73">
        <v>13</v>
      </c>
      <c r="V118" s="73">
        <v>2302</v>
      </c>
      <c r="W118" s="73">
        <v>11</v>
      </c>
      <c r="X118" s="73">
        <v>5</v>
      </c>
      <c r="Y118" s="73">
        <v>1</v>
      </c>
      <c r="Z118" s="73" t="s">
        <v>893</v>
      </c>
      <c r="AA118" s="73" t="s">
        <v>692</v>
      </c>
      <c r="AB118" s="73" t="str">
        <f>IF(AA118&lt;&gt;"",INDEX(Lookup!$N$2:$N$5,MATCH(Players!AA118,Lookup!$P$2:$P$5,0)),INDEX(Lookup!$N$2:$N$5,MATCH(Players!O118,Lookup!$O$2:$O$5,0)))</f>
        <v>Defense</v>
      </c>
      <c r="AC118" s="73">
        <v>5000000</v>
      </c>
      <c r="AD118" s="73" t="s">
        <v>794</v>
      </c>
      <c r="AE118" s="73" t="str">
        <f>INDEX('Translate table'!$H$2:$H$622,MATCH(Players!P118,'Translate table'!$G$2:$G$622,0))</f>
        <v>JoÃ£o Cancelo</v>
      </c>
      <c r="AF118" s="73">
        <f>IFERROR(INDEX('Euro Qual stats'!$A$1:$L$2071,MATCH(Players!$AE118,'Euro Qual stats'!$A$1:$A$2071,0),MATCH(Players!AF$2,'Euro Qual stats'!$A$1:$L$1,0)),0)</f>
        <v>4</v>
      </c>
      <c r="AG118" s="73">
        <f>IFERROR(INDEX('Euro Qual stats'!$A$1:$L$2071,MATCH(Players!$AE118,'Euro Qual stats'!$A$1:$A$2071,0),MATCH(Players!AG$2,'Euro Qual stats'!$A$1:$L$1,0)),0)</f>
        <v>0</v>
      </c>
      <c r="AH118" s="73">
        <f>IFERROR(INDEX('Euro Qual stats'!$A$1:$L$2071,MATCH(Players!$AE118,'Euro Qual stats'!$A$1:$A$2071,0),MATCH(Players!AH$2,'Euro Qual stats'!$A$1:$L$1,0)),0)</f>
        <v>0</v>
      </c>
      <c r="AI118" s="73">
        <f>IFERROR(INDEX('Euro Qual stats'!$A$1:$L$2071,MATCH(Players!$AE118,'Euro Qual stats'!$A$1:$A$2071,0),MATCH(Players!AI$2,'Euro Qual stats'!$A$1:$L$1,0)),0)</f>
        <v>0</v>
      </c>
      <c r="AJ118" s="93">
        <f>(12-AF118)/12*INDEX(BV$9:BV$12,MATCH($AB118,$BU$9:$BU$12,0))+AF118/12*AG118</f>
        <v>5.9450549450549464E-2</v>
      </c>
      <c r="AK118" s="93">
        <f>(12-AG118)/12*INDEX(BW$9:BW$12,MATCH($AB118,$BU$9:$BU$12,0))+AG118/12*AH118</f>
        <v>0.10357142857142858</v>
      </c>
      <c r="AL118" s="93">
        <f>(12-AH118)/12*INDEX(BX$9:BX$12,MATCH($AB118,$BU$9:$BU$12,0))+AH118/12*AI118</f>
        <v>0.19357142857142848</v>
      </c>
      <c r="AM118" s="93">
        <f>IF($BC118=1,AJ118/SUMIFS(AJ$3:AJ$623,$BC$3:$BC$623,1,$G$3:$G$623,$G118),0)</f>
        <v>3.8395102604753588E-2</v>
      </c>
      <c r="AN118" s="93">
        <f>IF($BC118=1,AK118/SUMIFS(AK$3:AK$623,$BC$3:$BC$623,1,$G$3:$G$623,$G118),0)</f>
        <v>4.2109002399275265E-2</v>
      </c>
      <c r="AO118" s="93">
        <f>IF($BC118=1,AL118/SUMIFS(AL$3:AL$623,$BC$3:$BC$623,1,$G$3:$G$623,$G118),0)</f>
        <v>9.5993003824520626E-2</v>
      </c>
      <c r="AP118" s="2">
        <f>IFERROR(R118/$V118*90,"")</f>
        <v>7.8192875760208516E-2</v>
      </c>
      <c r="AQ118" s="2">
        <f>IFERROR(S118/$V118*90,"")</f>
        <v>0.11728931364031278</v>
      </c>
      <c r="AR118" s="2">
        <f>IFERROR(W118/$V118*90,"")</f>
        <v>0.43006081668114687</v>
      </c>
      <c r="AS118" s="2">
        <f>IFERROR(X118/$V118*90,"")</f>
        <v>0.19548218940052131</v>
      </c>
      <c r="AT118" s="2">
        <f>IFERROR(Y118/$V118*90,"")</f>
        <v>3.9096437880104258E-2</v>
      </c>
      <c r="AU118" s="2">
        <f>IF(AP118="",INDEX(BV$4:BV$7,MATCH(O118,$BU$4:$BU$7,0)),AP118)</f>
        <v>7.8192875760208516E-2</v>
      </c>
      <c r="AV118" s="2">
        <f>IF(AQ118="",INDEX(BW$4:BW$7,MATCH($O118,$BU$4:$BU$7,0)),AQ118)</f>
        <v>0.11728931364031278</v>
      </c>
      <c r="AW118" s="2">
        <f t="shared" si="12"/>
        <v>0.43006081668114687</v>
      </c>
      <c r="AX118" s="2">
        <f t="shared" si="13"/>
        <v>0.19548218940052131</v>
      </c>
      <c r="AY118" s="2">
        <f t="shared" si="14"/>
        <v>3.9096437880104258E-2</v>
      </c>
      <c r="AZ118" s="2">
        <f>AU118*0.5+AK118*0.5</f>
        <v>9.0882152165818547E-2</v>
      </c>
      <c r="BA118" s="2">
        <f>AV118*0.5+AJ118*0.5</f>
        <v>8.836993154543113E-2</v>
      </c>
      <c r="BB118" s="2">
        <f t="shared" si="15"/>
        <v>9.7741094700260656E-2</v>
      </c>
      <c r="BC118">
        <f>IF(I118="expected",1,0)</f>
        <v>1</v>
      </c>
      <c r="BD118" s="78">
        <f>IF(BC118=1,AZ118/SUMIFS(AZ$3:AZ$623,$BC$3:$BC$623,1,$G$3:$G$623,$G118),0)</f>
        <v>3.5185833609252808E-2</v>
      </c>
      <c r="BE118" s="78">
        <f>IF(BC118=1,BA118/SUMIFS(BA$3:BA$623,$BC$3:$BC$623,1,$G$3:$G$623,$G118),0)</f>
        <v>7.1276736236818447E-2</v>
      </c>
      <c r="BF118" s="78">
        <f t="shared" si="16"/>
        <v>5.5277856927474826E-2</v>
      </c>
      <c r="BG118" s="2">
        <f t="shared" si="17"/>
        <v>9.7741094700260656E-2</v>
      </c>
      <c r="BH118" s="2">
        <f t="shared" si="18"/>
        <v>3.9096437880104258E-2</v>
      </c>
      <c r="BI118" s="2">
        <f t="shared" si="19"/>
        <v>3.5185833609252808E-2</v>
      </c>
      <c r="BJ118" s="2">
        <f t="shared" si="20"/>
        <v>7.1276736236818447E-2</v>
      </c>
      <c r="BK118" s="2">
        <f t="shared" si="21"/>
        <v>5.5277856927474826E-2</v>
      </c>
      <c r="BL118" s="2">
        <f t="shared" si="22"/>
        <v>9.7741094700260656E-2</v>
      </c>
      <c r="BM118" s="2">
        <f t="shared" si="23"/>
        <v>3.9096437880104258E-2</v>
      </c>
      <c r="BN118" s="2">
        <f>BI118/SUMIFS(BI$3:BI$623,$BC$3:$BC$623,1,$G$3:$G$623,$G118)</f>
        <v>3.5185833609252815E-2</v>
      </c>
      <c r="BO118" s="2">
        <f>BJ118/SUMIFS(BJ$3:BJ$623,$BC$3:$BC$623,1,$G$3:$G$623,$G118)</f>
        <v>7.1654866554943242E-2</v>
      </c>
      <c r="BP118" s="2">
        <f>BK118/SUMIFS(BK$3:BK$623,$BC$3:$BC$623,1,$G$3:$G$623,$G118)</f>
        <v>5.5277856927474826E-2</v>
      </c>
      <c r="BQ118" s="2">
        <f>BL118</f>
        <v>9.7741094700260656E-2</v>
      </c>
      <c r="BR118" s="2">
        <f>BM118</f>
        <v>3.9096437880104258E-2</v>
      </c>
    </row>
    <row r="119" spans="1:70" hidden="1">
      <c r="A119" s="74">
        <v>0</v>
      </c>
      <c r="B119" s="73">
        <v>204686</v>
      </c>
      <c r="C119" s="73" t="s">
        <v>1442</v>
      </c>
      <c r="D119" s="73" t="s">
        <v>1443</v>
      </c>
      <c r="E119" s="73" t="s">
        <v>1444</v>
      </c>
      <c r="F119" s="73">
        <v>18701</v>
      </c>
      <c r="G119" s="73" t="s">
        <v>893</v>
      </c>
      <c r="H119" s="73" t="s">
        <v>947</v>
      </c>
      <c r="I119" s="73" t="s">
        <v>1012</v>
      </c>
      <c r="J119" s="73">
        <v>0</v>
      </c>
      <c r="K119" s="73">
        <v>6.5</v>
      </c>
      <c r="L119" s="73">
        <v>0</v>
      </c>
      <c r="M119" s="73">
        <v>0</v>
      </c>
      <c r="N119" s="73">
        <v>0</v>
      </c>
      <c r="O119" s="73" t="s">
        <v>1318</v>
      </c>
      <c r="P119" s="73" t="s">
        <v>1445</v>
      </c>
      <c r="Q119" s="73" t="s">
        <v>679</v>
      </c>
      <c r="R119" s="73">
        <v>1</v>
      </c>
      <c r="S119" s="73">
        <v>1</v>
      </c>
      <c r="T119" s="73">
        <v>0</v>
      </c>
      <c r="U119" s="73">
        <v>8</v>
      </c>
      <c r="V119" s="73">
        <v>2988</v>
      </c>
      <c r="W119" s="73">
        <v>11</v>
      </c>
      <c r="X119" s="73">
        <v>5</v>
      </c>
      <c r="Y119" s="73">
        <v>0</v>
      </c>
      <c r="Z119" s="73" t="s">
        <v>893</v>
      </c>
      <c r="AA119" s="73" t="s">
        <v>692</v>
      </c>
      <c r="AB119" s="73" t="str">
        <f>IF(AA119&lt;&gt;"",INDEX(Lookup!$N$2:$N$5,MATCH(Players!AA119,Lookup!$P$2:$P$5,0)),INDEX(Lookup!$N$2:$N$5,MATCH(Players!O119,Lookup!$O$2:$O$5,0)))</f>
        <v>Defense</v>
      </c>
      <c r="AC119" s="73">
        <v>2500000</v>
      </c>
      <c r="AD119" s="73" t="s">
        <v>794</v>
      </c>
      <c r="AE119" s="73" t="str">
        <f>INDEX('Translate table'!$H$2:$H$622,MATCH(Players!P119,'Translate table'!$G$2:$G$622,0))</f>
        <v>NÃ©lson Semedo</v>
      </c>
      <c r="AF119" s="73">
        <f>IFERROR(INDEX('Euro Qual stats'!$A$1:$L$2071,MATCH(Players!$AE119,'Euro Qual stats'!$A$1:$A$2071,0),MATCH(Players!AF$2,'Euro Qual stats'!$A$1:$L$1,0)),0)</f>
        <v>3</v>
      </c>
      <c r="AG119" s="73">
        <f>IFERROR(INDEX('Euro Qual stats'!$A$1:$L$2071,MATCH(Players!$AE119,'Euro Qual stats'!$A$1:$A$2071,0),MATCH(Players!AG$2,'Euro Qual stats'!$A$1:$L$1,0)),0)</f>
        <v>0</v>
      </c>
      <c r="AH119" s="73">
        <f>IFERROR(INDEX('Euro Qual stats'!$A$1:$L$2071,MATCH(Players!$AE119,'Euro Qual stats'!$A$1:$A$2071,0),MATCH(Players!AH$2,'Euro Qual stats'!$A$1:$L$1,0)),0)</f>
        <v>0</v>
      </c>
      <c r="AI119" s="73">
        <f>IFERROR(INDEX('Euro Qual stats'!$A$1:$L$2071,MATCH(Players!$AE119,'Euro Qual stats'!$A$1:$A$2071,0),MATCH(Players!AI$2,'Euro Qual stats'!$A$1:$L$1,0)),0)</f>
        <v>0</v>
      </c>
      <c r="AJ119" s="93">
        <f>(12-AF119)/12*INDEX(BV$9:BV$12,MATCH($AB119,$BU$9:$BU$12,0))+AF119/12*AG119</f>
        <v>6.6881868131868152E-2</v>
      </c>
      <c r="AK119" s="93">
        <f>(12-AG119)/12*INDEX(BW$9:BW$12,MATCH($AB119,$BU$9:$BU$12,0))+AG119/12*AH119</f>
        <v>0.10357142857142858</v>
      </c>
      <c r="AL119" s="93">
        <f>(12-AH119)/12*INDEX(BX$9:BX$12,MATCH($AB119,$BU$9:$BU$12,0))+AH119/12*AI119</f>
        <v>0.19357142857142848</v>
      </c>
      <c r="AM119" s="93">
        <f>IF($BC119=1,AJ119/SUMIFS(AJ$3:AJ$623,$BC$3:$BC$623,1,$G$3:$G$623,$G119),0)</f>
        <v>0</v>
      </c>
      <c r="AN119" s="93">
        <f>IF($BC119=1,AK119/SUMIFS(AK$3:AK$623,$BC$3:$BC$623,1,$G$3:$G$623,$G119),0)</f>
        <v>0</v>
      </c>
      <c r="AO119" s="93">
        <f>IF($BC119=1,AL119/SUMIFS(AL$3:AL$623,$BC$3:$BC$623,1,$G$3:$G$623,$G119),0)</f>
        <v>0</v>
      </c>
      <c r="AP119" s="2">
        <f>IFERROR(R119/$V119*90,"")</f>
        <v>3.0120481927710843E-2</v>
      </c>
      <c r="AQ119" s="2">
        <f>IFERROR(S119/$V119*90,"")</f>
        <v>3.0120481927710843E-2</v>
      </c>
      <c r="AR119" s="2">
        <f>IFERROR(W119/$V119*90,"")</f>
        <v>0.33132530120481923</v>
      </c>
      <c r="AS119" s="2">
        <f>IFERROR(X119/$V119*90,"")</f>
        <v>0.1506024096385542</v>
      </c>
      <c r="AT119" s="2">
        <f>IFERROR(Y119/$V119*90,"")</f>
        <v>0</v>
      </c>
      <c r="AU119" s="2">
        <f>IF(AP119="",INDEX(BV$4:BV$7,MATCH(O119,$BU$4:$BU$7,0)),AP119)</f>
        <v>3.0120481927710843E-2</v>
      </c>
      <c r="AV119" s="2">
        <f>IF(AQ119="",INDEX(BW$4:BW$7,MATCH($O119,$BU$4:$BU$7,0)),AQ119)</f>
        <v>3.0120481927710843E-2</v>
      </c>
      <c r="AW119" s="2">
        <f t="shared" si="12"/>
        <v>0.33132530120481923</v>
      </c>
      <c r="AX119" s="2">
        <f t="shared" si="13"/>
        <v>0.1506024096385542</v>
      </c>
      <c r="AY119" s="2">
        <f t="shared" si="14"/>
        <v>0</v>
      </c>
      <c r="AZ119" s="2">
        <f>AU119*0.5+AK119*0.5</f>
        <v>6.6845955249569711E-2</v>
      </c>
      <c r="BA119" s="2">
        <f>AV119*0.5+AJ119*0.5</f>
        <v>4.8501175029789498E-2</v>
      </c>
      <c r="BB119" s="2">
        <f t="shared" si="15"/>
        <v>7.5301204819277101E-2</v>
      </c>
      <c r="BC119">
        <f>IF(I119="expected",1,0)</f>
        <v>0</v>
      </c>
      <c r="BD119" s="78">
        <f>IF(BC119=1,AZ119/SUMIFS(AZ$3:AZ$623,$BC$3:$BC$623,1,$G$3:$G$623,$G119),0)</f>
        <v>0</v>
      </c>
      <c r="BE119" s="78">
        <f>IF(BC119=1,BA119/SUMIFS(BA$3:BA$623,$BC$3:$BC$623,1,$G$3:$G$623,$G119),0)</f>
        <v>0</v>
      </c>
      <c r="BF119" s="78">
        <f t="shared" si="16"/>
        <v>0</v>
      </c>
      <c r="BG119" s="2">
        <f t="shared" si="17"/>
        <v>7.5301204819277101E-2</v>
      </c>
      <c r="BH119" s="2">
        <f t="shared" si="18"/>
        <v>0</v>
      </c>
      <c r="BI119" s="2">
        <f t="shared" si="19"/>
        <v>0</v>
      </c>
      <c r="BJ119" s="2">
        <f t="shared" si="20"/>
        <v>0</v>
      </c>
      <c r="BK119" s="2">
        <f t="shared" si="21"/>
        <v>0</v>
      </c>
      <c r="BL119" s="2">
        <f t="shared" si="22"/>
        <v>7.5301204819277101E-2</v>
      </c>
      <c r="BM119" s="2">
        <f t="shared" si="23"/>
        <v>0</v>
      </c>
      <c r="BN119" s="2">
        <f>BI119/SUMIFS(BI$3:BI$623,$BC$3:$BC$623,1,$G$3:$G$623,$G119)</f>
        <v>0</v>
      </c>
      <c r="BO119" s="2">
        <f>BJ119/SUMIFS(BJ$3:BJ$623,$BC$3:$BC$623,1,$G$3:$G$623,$G119)</f>
        <v>0</v>
      </c>
      <c r="BP119" s="2">
        <f>BK119/SUMIFS(BK$3:BK$623,$BC$3:$BC$623,1,$G$3:$G$623,$G119)</f>
        <v>0</v>
      </c>
      <c r="BQ119" s="2">
        <f>BL119</f>
        <v>7.5301204819277101E-2</v>
      </c>
      <c r="BR119" s="2">
        <f>BM119</f>
        <v>0</v>
      </c>
    </row>
    <row r="120" spans="1:70" hidden="1">
      <c r="A120" s="74">
        <v>0</v>
      </c>
      <c r="B120" s="73">
        <v>221614</v>
      </c>
      <c r="C120" s="73" t="s">
        <v>1446</v>
      </c>
      <c r="D120" s="73" t="s">
        <v>1447</v>
      </c>
      <c r="E120" s="73" t="s">
        <v>1448</v>
      </c>
      <c r="F120" s="73">
        <v>18701</v>
      </c>
      <c r="G120" s="73" t="s">
        <v>893</v>
      </c>
      <c r="H120" s="73" t="s">
        <v>947</v>
      </c>
      <c r="I120" s="73" t="s">
        <v>1012</v>
      </c>
      <c r="J120" s="73">
        <v>0</v>
      </c>
      <c r="K120" s="73">
        <v>6.5</v>
      </c>
      <c r="L120" s="73">
        <v>0</v>
      </c>
      <c r="M120" s="73">
        <v>0</v>
      </c>
      <c r="N120" s="73">
        <v>0</v>
      </c>
      <c r="O120" s="73" t="s">
        <v>994</v>
      </c>
      <c r="P120" s="73" t="s">
        <v>1449</v>
      </c>
      <c r="Q120" s="73" t="s">
        <v>1450</v>
      </c>
      <c r="R120" s="73">
        <v>5</v>
      </c>
      <c r="S120" s="73">
        <v>5</v>
      </c>
      <c r="T120" s="73">
        <v>0</v>
      </c>
      <c r="U120" s="73">
        <v>1</v>
      </c>
      <c r="V120" s="73">
        <v>2297</v>
      </c>
      <c r="W120" s="73">
        <v>15</v>
      </c>
      <c r="X120" s="73">
        <v>3</v>
      </c>
      <c r="Y120" s="73">
        <v>1</v>
      </c>
      <c r="Z120" s="73" t="s">
        <v>893</v>
      </c>
      <c r="AA120" s="73" t="s">
        <v>693</v>
      </c>
      <c r="AB120" s="73" t="str">
        <f>IF(AA120&lt;&gt;"",INDEX(Lookup!$N$2:$N$5,MATCH(Players!AA120,Lookup!$P$2:$P$5,0)),INDEX(Lookup!$N$2:$N$5,MATCH(Players!O120,Lookup!$O$2:$O$5,0)))</f>
        <v>Striker</v>
      </c>
      <c r="AC120" s="73">
        <v>3000000</v>
      </c>
      <c r="AD120" s="73" t="s">
        <v>789</v>
      </c>
      <c r="AE120" s="73" t="str">
        <f>INDEX('Translate table'!$H$2:$H$622,MATCH(Players!P120,'Translate table'!$G$2:$G$622,0))</f>
        <v>GonÃ§alo Guedes</v>
      </c>
      <c r="AF120" s="73">
        <f>IFERROR(INDEX('Euro Qual stats'!$A$1:$L$2071,MATCH(Players!$AE120,'Euro Qual stats'!$A$1:$A$2071,0),MATCH(Players!AF$2,'Euro Qual stats'!$A$1:$L$1,0)),0)</f>
        <v>5</v>
      </c>
      <c r="AG120" s="73">
        <f>IFERROR(INDEX('Euro Qual stats'!$A$1:$L$2071,MATCH(Players!$AE120,'Euro Qual stats'!$A$1:$A$2071,0),MATCH(Players!AG$2,'Euro Qual stats'!$A$1:$L$1,0)),0)</f>
        <v>0</v>
      </c>
      <c r="AH120" s="73">
        <f>IFERROR(INDEX('Euro Qual stats'!$A$1:$L$2071,MATCH(Players!$AE120,'Euro Qual stats'!$A$1:$A$2071,0),MATCH(Players!AH$2,'Euro Qual stats'!$A$1:$L$1,0)),0)</f>
        <v>1.23</v>
      </c>
      <c r="AI120" s="73">
        <f>IFERROR(INDEX('Euro Qual stats'!$A$1:$L$2071,MATCH(Players!$AE120,'Euro Qual stats'!$A$1:$A$2071,0),MATCH(Players!AI$2,'Euro Qual stats'!$A$1:$L$1,0)),0)</f>
        <v>0</v>
      </c>
      <c r="AJ120" s="93">
        <f>(12-AF120)/12*INDEX(BV$9:BV$12,MATCH($AB120,$BU$9:$BU$12,0))+AF120/12*AG120</f>
        <v>0.11953304597701153</v>
      </c>
      <c r="AK120" s="93">
        <f>(12-AG120)/12*INDEX(BW$9:BW$12,MATCH($AB120,$BU$9:$BU$12,0))+AG120/12*AH120</f>
        <v>0.53387931034482738</v>
      </c>
      <c r="AL120" s="93">
        <f>(12-AH120)/12*INDEX(BX$9:BX$12,MATCH($AB120,$BU$9:$BU$12,0))+AH120/12*AI120</f>
        <v>0.14793275862068966</v>
      </c>
      <c r="AM120" s="93">
        <f>IF($BC120=1,AJ120/SUMIFS(AJ$3:AJ$623,$BC$3:$BC$623,1,$G$3:$G$623,$G120),0)</f>
        <v>0</v>
      </c>
      <c r="AN120" s="93">
        <f>IF($BC120=1,AK120/SUMIFS(AK$3:AK$623,$BC$3:$BC$623,1,$G$3:$G$623,$G120),0)</f>
        <v>0</v>
      </c>
      <c r="AO120" s="93">
        <f>IF($BC120=1,AL120/SUMIFS(AL$3:AL$623,$BC$3:$BC$623,1,$G$3:$G$623,$G120),0)</f>
        <v>0</v>
      </c>
      <c r="AP120" s="2">
        <f>IFERROR(R120/$V120*90,"")</f>
        <v>0.19590770570309099</v>
      </c>
      <c r="AQ120" s="2">
        <f>IFERROR(S120/$V120*90,"")</f>
        <v>0.19590770570309099</v>
      </c>
      <c r="AR120" s="2">
        <f>IFERROR(W120/$V120*90,"")</f>
        <v>0.58772311710927294</v>
      </c>
      <c r="AS120" s="2">
        <f>IFERROR(X120/$V120*90,"")</f>
        <v>0.11754462342185459</v>
      </c>
      <c r="AT120" s="2">
        <f>IFERROR(Y120/$V120*90,"")</f>
        <v>3.9181541140618198E-2</v>
      </c>
      <c r="AU120" s="2">
        <f>IF(AP120="",INDEX(BV$4:BV$7,MATCH(O120,$BU$4:$BU$7,0)),AP120)</f>
        <v>0.19590770570309099</v>
      </c>
      <c r="AV120" s="2">
        <f>IF(AQ120="",INDEX(BW$4:BW$7,MATCH($O120,$BU$4:$BU$7,0)),AQ120)</f>
        <v>0.19590770570309099</v>
      </c>
      <c r="AW120" s="2">
        <f t="shared" si="12"/>
        <v>0.58772311710927294</v>
      </c>
      <c r="AX120" s="2">
        <f t="shared" si="13"/>
        <v>0.11754462342185459</v>
      </c>
      <c r="AY120" s="2">
        <f t="shared" si="14"/>
        <v>3.9181541140618198E-2</v>
      </c>
      <c r="AZ120" s="2">
        <f>AU120*0.5+AK120*0.5</f>
        <v>0.3648935080239592</v>
      </c>
      <c r="BA120" s="2">
        <f>AV120*0.5+AJ120*0.5</f>
        <v>0.15772037584005127</v>
      </c>
      <c r="BB120" s="2">
        <f t="shared" si="15"/>
        <v>5.8772311710927297E-2</v>
      </c>
      <c r="BC120">
        <f>IF(I120="expected",1,0)</f>
        <v>0</v>
      </c>
      <c r="BD120" s="78">
        <f>IF(BC120=1,AZ120/SUMIFS(AZ$3:AZ$623,$BC$3:$BC$623,1,$G$3:$G$623,$G120),0)</f>
        <v>0</v>
      </c>
      <c r="BE120" s="78">
        <f>IF(BC120=1,BA120/SUMIFS(BA$3:BA$623,$BC$3:$BC$623,1,$G$3:$G$623,$G120),0)</f>
        <v>0</v>
      </c>
      <c r="BF120" s="78">
        <f t="shared" si="16"/>
        <v>0</v>
      </c>
      <c r="BG120" s="2">
        <f t="shared" si="17"/>
        <v>5.8772311710927297E-2</v>
      </c>
      <c r="BH120" s="2">
        <f t="shared" si="18"/>
        <v>3.9181541140618198E-2</v>
      </c>
      <c r="BI120" s="2">
        <f t="shared" si="19"/>
        <v>0</v>
      </c>
      <c r="BJ120" s="2">
        <f t="shared" si="20"/>
        <v>0</v>
      </c>
      <c r="BK120" s="2">
        <f t="shared" si="21"/>
        <v>0</v>
      </c>
      <c r="BL120" s="2">
        <f t="shared" si="22"/>
        <v>5.8772311710927297E-2</v>
      </c>
      <c r="BM120" s="2">
        <f t="shared" si="23"/>
        <v>3.9181541140618198E-2</v>
      </c>
      <c r="BN120" s="2">
        <f>BI120/SUMIFS(BI$3:BI$623,$BC$3:$BC$623,1,$G$3:$G$623,$G120)</f>
        <v>0</v>
      </c>
      <c r="BO120" s="2">
        <f>BJ120/SUMIFS(BJ$3:BJ$623,$BC$3:$BC$623,1,$G$3:$G$623,$G120)</f>
        <v>0</v>
      </c>
      <c r="BP120" s="2">
        <f>BK120/SUMIFS(BK$3:BK$623,$BC$3:$BC$623,1,$G$3:$G$623,$G120)</f>
        <v>0</v>
      </c>
      <c r="BQ120" s="2">
        <f>BL120</f>
        <v>5.8772311710927297E-2</v>
      </c>
      <c r="BR120" s="2">
        <f>BM120</f>
        <v>3.9181541140618198E-2</v>
      </c>
    </row>
    <row r="121" spans="1:70" hidden="1">
      <c r="A121" s="74">
        <v>0</v>
      </c>
      <c r="B121" s="73">
        <v>221613</v>
      </c>
      <c r="C121" s="73" t="s">
        <v>1451</v>
      </c>
      <c r="D121" s="73" t="s">
        <v>1452</v>
      </c>
      <c r="E121" s="73" t="s">
        <v>1453</v>
      </c>
      <c r="F121" s="73">
        <v>18701</v>
      </c>
      <c r="G121" s="73" t="s">
        <v>893</v>
      </c>
      <c r="H121" s="73" t="s">
        <v>947</v>
      </c>
      <c r="I121" s="73" t="s">
        <v>1012</v>
      </c>
      <c r="J121" s="73">
        <v>0</v>
      </c>
      <c r="K121" s="73">
        <v>6.5</v>
      </c>
      <c r="L121" s="73">
        <v>0</v>
      </c>
      <c r="M121" s="73">
        <v>0</v>
      </c>
      <c r="N121" s="73">
        <v>0</v>
      </c>
      <c r="O121" s="73" t="s">
        <v>994</v>
      </c>
      <c r="P121" s="73" t="s">
        <v>1454</v>
      </c>
      <c r="Q121" s="73" t="s">
        <v>1455</v>
      </c>
      <c r="R121" s="73">
        <v>0</v>
      </c>
      <c r="S121" s="73">
        <v>0</v>
      </c>
      <c r="T121" s="73">
        <v>69</v>
      </c>
      <c r="U121" s="73">
        <v>4</v>
      </c>
      <c r="V121" s="73">
        <v>2199</v>
      </c>
      <c r="W121" s="73">
        <v>0</v>
      </c>
      <c r="X121" s="73">
        <v>3</v>
      </c>
      <c r="Y121" s="73">
        <v>1</v>
      </c>
      <c r="Z121" s="73" t="s">
        <v>893</v>
      </c>
      <c r="AA121" s="73" t="s">
        <v>693</v>
      </c>
      <c r="AB121" s="73" t="str">
        <f>IF(AA121&lt;&gt;"",INDEX(Lookup!$N$2:$N$5,MATCH(Players!AA121,Lookup!$P$2:$P$5,0)),INDEX(Lookup!$N$2:$N$5,MATCH(Players!O121,Lookup!$O$2:$O$5,0)))</f>
        <v>Striker</v>
      </c>
      <c r="AC121" s="73">
        <v>3000000</v>
      </c>
      <c r="AD121" s="73" t="s">
        <v>789</v>
      </c>
      <c r="AE121" s="73" t="str">
        <f>INDEX('Translate table'!$H$2:$H$622,MATCH(Players!P121,'Translate table'!$G$2:$G$622,0))</f>
        <v>JosÃ© Pedro Malheiro de SÃ¡</v>
      </c>
      <c r="AF121" s="73">
        <f>IFERROR(INDEX('Euro Qual stats'!$A$1:$L$2071,MATCH(Players!$AE121,'Euro Qual stats'!$A$1:$A$2071,0),MATCH(Players!AF$2,'Euro Qual stats'!$A$1:$L$1,0)),0)</f>
        <v>0</v>
      </c>
      <c r="AG121" s="73">
        <f>IFERROR(INDEX('Euro Qual stats'!$A$1:$L$2071,MATCH(Players!$AE121,'Euro Qual stats'!$A$1:$A$2071,0),MATCH(Players!AG$2,'Euro Qual stats'!$A$1:$L$1,0)),0)</f>
        <v>0</v>
      </c>
      <c r="AH121" s="73">
        <f>IFERROR(INDEX('Euro Qual stats'!$A$1:$L$2071,MATCH(Players!$AE121,'Euro Qual stats'!$A$1:$A$2071,0),MATCH(Players!AH$2,'Euro Qual stats'!$A$1:$L$1,0)),0)</f>
        <v>0</v>
      </c>
      <c r="AI121" s="73">
        <f>IFERROR(INDEX('Euro Qual stats'!$A$1:$L$2071,MATCH(Players!$AE121,'Euro Qual stats'!$A$1:$A$2071,0),MATCH(Players!AI$2,'Euro Qual stats'!$A$1:$L$1,0)),0)</f>
        <v>0</v>
      </c>
      <c r="AJ121" s="93">
        <f>(12-AF121)/12*INDEX(BV$9:BV$12,MATCH($AB121,$BU$9:$BU$12,0))+AF121/12*AG121</f>
        <v>0.20491379310344832</v>
      </c>
      <c r="AK121" s="93">
        <f>(12-AG121)/12*INDEX(BW$9:BW$12,MATCH($AB121,$BU$9:$BU$12,0))+AG121/12*AH121</f>
        <v>0.53387931034482738</v>
      </c>
      <c r="AL121" s="93">
        <f>(12-AH121)/12*INDEX(BX$9:BX$12,MATCH($AB121,$BU$9:$BU$12,0))+AH121/12*AI121</f>
        <v>0.16482758620689658</v>
      </c>
      <c r="AM121" s="93">
        <f>IF($BC121=1,AJ121/SUMIFS(AJ$3:AJ$623,$BC$3:$BC$623,1,$G$3:$G$623,$G121),0)</f>
        <v>0</v>
      </c>
      <c r="AN121" s="93">
        <f>IF($BC121=1,AK121/SUMIFS(AK$3:AK$623,$BC$3:$BC$623,1,$G$3:$G$623,$G121),0)</f>
        <v>0</v>
      </c>
      <c r="AO121" s="93">
        <f>IF($BC121=1,AL121/SUMIFS(AL$3:AL$623,$BC$3:$BC$623,1,$G$3:$G$623,$G121),0)</f>
        <v>0</v>
      </c>
      <c r="AP121" s="2">
        <f>IFERROR(R121/$V121*90,"")</f>
        <v>0</v>
      </c>
      <c r="AQ121" s="2">
        <f>IFERROR(S121/$V121*90,"")</f>
        <v>0</v>
      </c>
      <c r="AR121" s="2">
        <f>IFERROR(W121/$V121*90,"")</f>
        <v>0</v>
      </c>
      <c r="AS121" s="2">
        <f>IFERROR(X121/$V121*90,"")</f>
        <v>0.12278308321964529</v>
      </c>
      <c r="AT121" s="2">
        <f>IFERROR(Y121/$V121*90,"")</f>
        <v>4.0927694406548427E-2</v>
      </c>
      <c r="AU121" s="2">
        <f>IF(AP121="",INDEX(BV$4:BV$7,MATCH(O121,$BU$4:$BU$7,0)),AP121)</f>
        <v>0</v>
      </c>
      <c r="AV121" s="2">
        <f>IF(AQ121="",INDEX(BW$4:BW$7,MATCH($O121,$BU$4:$BU$7,0)),AQ121)</f>
        <v>0</v>
      </c>
      <c r="AW121" s="2">
        <f t="shared" si="12"/>
        <v>0</v>
      </c>
      <c r="AX121" s="2">
        <f t="shared" si="13"/>
        <v>0.12278308321964529</v>
      </c>
      <c r="AY121" s="2">
        <f t="shared" si="14"/>
        <v>4.0927694406548427E-2</v>
      </c>
      <c r="AZ121" s="2">
        <f>AU121*0.5+AK121*0.5</f>
        <v>0.26693965517241369</v>
      </c>
      <c r="BA121" s="2">
        <f>AV121*0.5+AJ121*0.5</f>
        <v>0.10245689655172416</v>
      </c>
      <c r="BB121" s="2">
        <f t="shared" si="15"/>
        <v>6.1391541609822645E-2</v>
      </c>
      <c r="BC121">
        <f>IF(I121="expected",1,0)</f>
        <v>0</v>
      </c>
      <c r="BD121" s="78">
        <f>IF(BC121=1,AZ121/SUMIFS(AZ$3:AZ$623,$BC$3:$BC$623,1,$G$3:$G$623,$G121),0)</f>
        <v>0</v>
      </c>
      <c r="BE121" s="78">
        <f>IF(BC121=1,BA121/SUMIFS(BA$3:BA$623,$BC$3:$BC$623,1,$G$3:$G$623,$G121),0)</f>
        <v>0</v>
      </c>
      <c r="BF121" s="78">
        <f t="shared" si="16"/>
        <v>0</v>
      </c>
      <c r="BG121" s="2">
        <f t="shared" si="17"/>
        <v>6.1391541609822645E-2</v>
      </c>
      <c r="BH121" s="2">
        <f t="shared" si="18"/>
        <v>4.0927694406548427E-2</v>
      </c>
      <c r="BI121" s="2">
        <f t="shared" si="19"/>
        <v>0</v>
      </c>
      <c r="BJ121" s="2">
        <f t="shared" si="20"/>
        <v>0</v>
      </c>
      <c r="BK121" s="2">
        <f t="shared" si="21"/>
        <v>0</v>
      </c>
      <c r="BL121" s="2">
        <f t="shared" si="22"/>
        <v>6.1391541609822645E-2</v>
      </c>
      <c r="BM121" s="2">
        <f t="shared" si="23"/>
        <v>4.0927694406548427E-2</v>
      </c>
      <c r="BN121" s="2">
        <f>BI121/SUMIFS(BI$3:BI$623,$BC$3:$BC$623,1,$G$3:$G$623,$G121)</f>
        <v>0</v>
      </c>
      <c r="BO121" s="2">
        <f>BJ121/SUMIFS(BJ$3:BJ$623,$BC$3:$BC$623,1,$G$3:$G$623,$G121)</f>
        <v>0</v>
      </c>
      <c r="BP121" s="2">
        <f>BK121/SUMIFS(BK$3:BK$623,$BC$3:$BC$623,1,$G$3:$G$623,$G121)</f>
        <v>0</v>
      </c>
      <c r="BQ121" s="2">
        <f>BL121</f>
        <v>6.1391541609822645E-2</v>
      </c>
      <c r="BR121" s="2">
        <f>BM121</f>
        <v>4.0927694406548427E-2</v>
      </c>
    </row>
    <row r="122" spans="1:70" hidden="1">
      <c r="A122" s="74">
        <v>0</v>
      </c>
      <c r="B122" s="73">
        <v>221612</v>
      </c>
      <c r="C122" s="73" t="s">
        <v>1456</v>
      </c>
      <c r="D122" s="73" t="s">
        <v>1457</v>
      </c>
      <c r="E122" s="73" t="s">
        <v>1458</v>
      </c>
      <c r="F122" s="73">
        <v>18701</v>
      </c>
      <c r="G122" s="73" t="s">
        <v>893</v>
      </c>
      <c r="H122" s="73" t="s">
        <v>947</v>
      </c>
      <c r="I122" s="73" t="s">
        <v>1012</v>
      </c>
      <c r="J122" s="73">
        <v>0</v>
      </c>
      <c r="K122" s="73">
        <v>6.5</v>
      </c>
      <c r="L122" s="73">
        <v>0</v>
      </c>
      <c r="M122" s="73">
        <v>0</v>
      </c>
      <c r="N122" s="73">
        <v>0</v>
      </c>
      <c r="O122" s="73" t="s">
        <v>994</v>
      </c>
      <c r="P122" s="73" t="s">
        <v>1459</v>
      </c>
      <c r="Q122" s="73" t="s">
        <v>1460</v>
      </c>
      <c r="R122" s="73">
        <v>1</v>
      </c>
      <c r="S122" s="73">
        <v>0</v>
      </c>
      <c r="T122" s="73">
        <v>0</v>
      </c>
      <c r="U122" s="73">
        <v>0</v>
      </c>
      <c r="V122" s="73">
        <v>261</v>
      </c>
      <c r="W122" s="73">
        <v>1</v>
      </c>
      <c r="X122" s="73">
        <v>0</v>
      </c>
      <c r="Y122" s="73">
        <v>0</v>
      </c>
      <c r="Z122" s="73" t="s">
        <v>893</v>
      </c>
      <c r="AA122" s="73" t="s">
        <v>691</v>
      </c>
      <c r="AB122" s="73" t="str">
        <f>IF(AA122&lt;&gt;"",INDEX(Lookup!$N$2:$N$5,MATCH(Players!AA122,Lookup!$P$2:$P$5,0)),INDEX(Lookup!$N$2:$N$5,MATCH(Players!O122,Lookup!$O$2:$O$5,0)))</f>
        <v>Midfield</v>
      </c>
      <c r="AC122" s="73">
        <v>4000000</v>
      </c>
      <c r="AD122" s="73" t="s">
        <v>792</v>
      </c>
      <c r="AE122" s="73" t="str">
        <f>INDEX('Translate table'!$H$2:$H$622,MATCH(Players!P122,'Translate table'!$G$2:$G$622,0))</f>
        <v>RiÃ§ard Almeyda de Oliveira</v>
      </c>
      <c r="AF122" s="73">
        <f>IFERROR(INDEX('Euro Qual stats'!$A$1:$L$2071,MATCH(Players!$AE122,'Euro Qual stats'!$A$1:$A$2071,0),MATCH(Players!AF$2,'Euro Qual stats'!$A$1:$L$1,0)),0)</f>
        <v>6</v>
      </c>
      <c r="AG122" s="73">
        <f>IFERROR(INDEX('Euro Qual stats'!$A$1:$L$2071,MATCH(Players!$AE122,'Euro Qual stats'!$A$1:$A$2071,0),MATCH(Players!AG$2,'Euro Qual stats'!$A$1:$L$1,0)),0)</f>
        <v>0.19</v>
      </c>
      <c r="AH122" s="73">
        <f>IFERROR(INDEX('Euro Qual stats'!$A$1:$L$2071,MATCH(Players!$AE122,'Euro Qual stats'!$A$1:$A$2071,0),MATCH(Players!AH$2,'Euro Qual stats'!$A$1:$L$1,0)),0)</f>
        <v>0</v>
      </c>
      <c r="AI122" s="73">
        <f>IFERROR(INDEX('Euro Qual stats'!$A$1:$L$2071,MATCH(Players!$AE122,'Euro Qual stats'!$A$1:$A$2071,0),MATCH(Players!AI$2,'Euro Qual stats'!$A$1:$L$1,0)),0)</f>
        <v>0.19</v>
      </c>
      <c r="AJ122" s="93">
        <f>(12-AF122)/12*INDEX(BV$9:BV$12,MATCH($AB122,$BU$9:$BU$12,0))+AF122/12*AG122</f>
        <v>0.17934554973821989</v>
      </c>
      <c r="AK122" s="93">
        <f>(12-AG122)/12*INDEX(BW$9:BW$12,MATCH($AB122,$BU$9:$BU$12,0))+AG122/12*AH122</f>
        <v>0.21986592495636997</v>
      </c>
      <c r="AL122" s="93">
        <f>(12-AH122)/12*INDEX(BX$9:BX$12,MATCH($AB122,$BU$9:$BU$12,0))+AH122/12*AI122</f>
        <v>0.23942408376963353</v>
      </c>
      <c r="AM122" s="93">
        <f>IF($BC122=1,AJ122/SUMIFS(AJ$3:AJ$623,$BC$3:$BC$623,1,$G$3:$G$623,$G122),0)</f>
        <v>0</v>
      </c>
      <c r="AN122" s="93">
        <f>IF($BC122=1,AK122/SUMIFS(AK$3:AK$623,$BC$3:$BC$623,1,$G$3:$G$623,$G122),0)</f>
        <v>0</v>
      </c>
      <c r="AO122" s="93">
        <f>IF($BC122=1,AL122/SUMIFS(AL$3:AL$623,$BC$3:$BC$623,1,$G$3:$G$623,$G122),0)</f>
        <v>0</v>
      </c>
      <c r="AP122" s="2">
        <f>IFERROR(R122/$V122*90,"")</f>
        <v>0.34482758620689652</v>
      </c>
      <c r="AQ122" s="2">
        <f>IFERROR(S122/$V122*90,"")</f>
        <v>0</v>
      </c>
      <c r="AR122" s="2">
        <f>IFERROR(W122/$V122*90,"")</f>
        <v>0.34482758620689652</v>
      </c>
      <c r="AS122" s="2">
        <f>IFERROR(X122/$V122*90,"")</f>
        <v>0</v>
      </c>
      <c r="AT122" s="2">
        <f>IFERROR(Y122/$V122*90,"")</f>
        <v>0</v>
      </c>
      <c r="AU122" s="2">
        <f>IF(AP122="",INDEX(BV$4:BV$7,MATCH(O122,$BU$4:$BU$7,0)),AP122)</f>
        <v>0.34482758620689652</v>
      </c>
      <c r="AV122" s="2">
        <f>IF(AQ122="",INDEX(BW$4:BW$7,MATCH($O122,$BU$4:$BU$7,0)),AQ122)</f>
        <v>0</v>
      </c>
      <c r="AW122" s="2">
        <f t="shared" si="12"/>
        <v>0.34482758620689652</v>
      </c>
      <c r="AX122" s="2">
        <f t="shared" si="13"/>
        <v>0</v>
      </c>
      <c r="AY122" s="2">
        <f t="shared" si="14"/>
        <v>0</v>
      </c>
      <c r="AZ122" s="2">
        <f>AU122*0.5+AK122*0.5</f>
        <v>0.28234675558163325</v>
      </c>
      <c r="BA122" s="2">
        <f>AV122*0.5+AJ122*0.5</f>
        <v>8.9672774869109947E-2</v>
      </c>
      <c r="BB122" s="2">
        <f t="shared" si="15"/>
        <v>9.5000000000000001E-2</v>
      </c>
      <c r="BC122">
        <f>IF(I122="expected",1,0)</f>
        <v>0</v>
      </c>
      <c r="BD122" s="78">
        <f>IF(BC122=1,AZ122/SUMIFS(AZ$3:AZ$623,$BC$3:$BC$623,1,$G$3:$G$623,$G122),0)</f>
        <v>0</v>
      </c>
      <c r="BE122" s="78">
        <f>IF(BC122=1,BA122/SUMIFS(BA$3:BA$623,$BC$3:$BC$623,1,$G$3:$G$623,$G122),0)</f>
        <v>0</v>
      </c>
      <c r="BF122" s="78">
        <f t="shared" si="16"/>
        <v>0</v>
      </c>
      <c r="BG122" s="2">
        <f t="shared" si="17"/>
        <v>9.5000000000000001E-2</v>
      </c>
      <c r="BH122" s="2">
        <f t="shared" si="18"/>
        <v>0</v>
      </c>
      <c r="BI122" s="2">
        <f t="shared" si="19"/>
        <v>0</v>
      </c>
      <c r="BJ122" s="2">
        <f t="shared" si="20"/>
        <v>0</v>
      </c>
      <c r="BK122" s="2">
        <f t="shared" si="21"/>
        <v>0</v>
      </c>
      <c r="BL122" s="2">
        <f t="shared" si="22"/>
        <v>9.5000000000000001E-2</v>
      </c>
      <c r="BM122" s="2">
        <f t="shared" si="23"/>
        <v>0</v>
      </c>
      <c r="BN122" s="2">
        <f>BI122/SUMIFS(BI$3:BI$623,$BC$3:$BC$623,1,$G$3:$G$623,$G122)</f>
        <v>0</v>
      </c>
      <c r="BO122" s="2">
        <f>BJ122/SUMIFS(BJ$3:BJ$623,$BC$3:$BC$623,1,$G$3:$G$623,$G122)</f>
        <v>0</v>
      </c>
      <c r="BP122" s="2">
        <f>BK122/SUMIFS(BK$3:BK$623,$BC$3:$BC$623,1,$G$3:$G$623,$G122)</f>
        <v>0</v>
      </c>
      <c r="BQ122" s="2">
        <f>BL122</f>
        <v>9.5000000000000001E-2</v>
      </c>
      <c r="BR122" s="2">
        <f>BM122</f>
        <v>0</v>
      </c>
    </row>
    <row r="123" spans="1:70" hidden="1">
      <c r="A123" s="74">
        <v>0</v>
      </c>
      <c r="B123" s="73">
        <v>204693</v>
      </c>
      <c r="C123" s="73" t="s">
        <v>1461</v>
      </c>
      <c r="D123" s="73" t="s">
        <v>1462</v>
      </c>
      <c r="E123" s="73" t="s">
        <v>1463</v>
      </c>
      <c r="F123" s="73">
        <v>18701</v>
      </c>
      <c r="G123" s="73" t="s">
        <v>893</v>
      </c>
      <c r="H123" s="73" t="s">
        <v>947</v>
      </c>
      <c r="I123" s="73" t="s">
        <v>1012</v>
      </c>
      <c r="J123" s="73">
        <v>0</v>
      </c>
      <c r="K123" s="73">
        <v>6.5</v>
      </c>
      <c r="L123" s="73">
        <v>0</v>
      </c>
      <c r="M123" s="73">
        <v>0</v>
      </c>
      <c r="N123" s="73">
        <v>0</v>
      </c>
      <c r="O123" s="73" t="s">
        <v>994</v>
      </c>
      <c r="P123" s="73" t="s">
        <v>1464</v>
      </c>
      <c r="Q123" s="73" t="s">
        <v>1465</v>
      </c>
      <c r="R123" s="73">
        <v>5</v>
      </c>
      <c r="S123" s="73">
        <v>10</v>
      </c>
      <c r="T123" s="73">
        <v>0</v>
      </c>
      <c r="U123" s="73">
        <v>6</v>
      </c>
      <c r="V123" s="73">
        <v>2222</v>
      </c>
      <c r="W123" s="73">
        <v>15</v>
      </c>
      <c r="X123" s="73">
        <v>1</v>
      </c>
      <c r="Y123" s="73">
        <v>0</v>
      </c>
      <c r="Z123" s="73" t="s">
        <v>893</v>
      </c>
      <c r="AA123" s="73" t="s">
        <v>692</v>
      </c>
      <c r="AB123" s="73" t="str">
        <f>IF(AA123&lt;&gt;"",INDEX(Lookup!$N$2:$N$5,MATCH(Players!AA123,Lookup!$P$2:$P$5,0)),INDEX(Lookup!$N$2:$N$5,MATCH(Players!O123,Lookup!$O$2:$O$5,0)))</f>
        <v>Defense</v>
      </c>
      <c r="AC123" s="73">
        <v>4000000</v>
      </c>
      <c r="AD123" s="73" t="s">
        <v>796</v>
      </c>
      <c r="AE123" s="73" t="str">
        <f>INDEX('Translate table'!$H$2:$H$622,MATCH(Players!P123,'Translate table'!$G$2:$G$622,0))</f>
        <v>RaphaÃ«l Adelino JosÃ© Guerreiro</v>
      </c>
      <c r="AF123" s="73">
        <f>IFERROR(INDEX('Euro Qual stats'!$A$1:$L$2071,MATCH(Players!$AE123,'Euro Qual stats'!$A$1:$A$2071,0),MATCH(Players!AF$2,'Euro Qual stats'!$A$1:$L$1,0)),0)</f>
        <v>7</v>
      </c>
      <c r="AG123" s="73">
        <f>IFERROR(INDEX('Euro Qual stats'!$A$1:$L$2071,MATCH(Players!$AE123,'Euro Qual stats'!$A$1:$A$2071,0),MATCH(Players!AG$2,'Euro Qual stats'!$A$1:$L$1,0)),0)</f>
        <v>0.28999999999999998</v>
      </c>
      <c r="AH123" s="73">
        <f>IFERROR(INDEX('Euro Qual stats'!$A$1:$L$2071,MATCH(Players!$AE123,'Euro Qual stats'!$A$1:$A$2071,0),MATCH(Players!AH$2,'Euro Qual stats'!$A$1:$L$1,0)),0)</f>
        <v>0</v>
      </c>
      <c r="AI123" s="73">
        <f>IFERROR(INDEX('Euro Qual stats'!$A$1:$L$2071,MATCH(Players!$AE123,'Euro Qual stats'!$A$1:$A$2071,0),MATCH(Players!AI$2,'Euro Qual stats'!$A$1:$L$1,0)),0)</f>
        <v>0</v>
      </c>
      <c r="AJ123" s="93">
        <f>(12-AF123)/12*INDEX(BV$9:BV$12,MATCH($AB123,$BU$9:$BU$12,0))+AF123/12*AG123</f>
        <v>0.20632326007326007</v>
      </c>
      <c r="AK123" s="93">
        <f>(12-AG123)/12*INDEX(BW$9:BW$12,MATCH($AB123,$BU$9:$BU$12,0))+AG123/12*AH123</f>
        <v>0.1010684523809524</v>
      </c>
      <c r="AL123" s="93">
        <f>(12-AH123)/12*INDEX(BX$9:BX$12,MATCH($AB123,$BU$9:$BU$12,0))+AH123/12*AI123</f>
        <v>0.19357142857142848</v>
      </c>
      <c r="AM123" s="93">
        <f>IF($BC123=1,AJ123/SUMIFS(AJ$3:AJ$623,$BC$3:$BC$623,1,$G$3:$G$623,$G123),0)</f>
        <v>0</v>
      </c>
      <c r="AN123" s="93">
        <f>IF($BC123=1,AK123/SUMIFS(AK$3:AK$623,$BC$3:$BC$623,1,$G$3:$G$623,$G123),0)</f>
        <v>0</v>
      </c>
      <c r="AO123" s="93">
        <f>IF($BC123=1,AL123/SUMIFS(AL$3:AL$623,$BC$3:$BC$623,1,$G$3:$G$623,$G123),0)</f>
        <v>0</v>
      </c>
      <c r="AP123" s="2">
        <f>IFERROR(R123/$V123*90,"")</f>
        <v>0.20252025202520252</v>
      </c>
      <c r="AQ123" s="2">
        <f>IFERROR(S123/$V123*90,"")</f>
        <v>0.40504050405040504</v>
      </c>
      <c r="AR123" s="2">
        <f>IFERROR(W123/$V123*90,"")</f>
        <v>0.60756075607560756</v>
      </c>
      <c r="AS123" s="2">
        <f>IFERROR(X123/$V123*90,"")</f>
        <v>4.0504050405040501E-2</v>
      </c>
      <c r="AT123" s="2">
        <f>IFERROR(Y123/$V123*90,"")</f>
        <v>0</v>
      </c>
      <c r="AU123" s="2">
        <f>IF(AP123="",INDEX(BV$4:BV$7,MATCH(O123,$BU$4:$BU$7,0)),AP123)</f>
        <v>0.20252025202520252</v>
      </c>
      <c r="AV123" s="2">
        <f>IF(AQ123="",INDEX(BW$4:BW$7,MATCH($O123,$BU$4:$BU$7,0)),AQ123)</f>
        <v>0.40504050405040504</v>
      </c>
      <c r="AW123" s="2">
        <f t="shared" si="12"/>
        <v>0.60756075607560756</v>
      </c>
      <c r="AX123" s="2">
        <f t="shared" si="13"/>
        <v>4.0504050405040501E-2</v>
      </c>
      <c r="AY123" s="2">
        <f t="shared" si="14"/>
        <v>0</v>
      </c>
      <c r="AZ123" s="2">
        <f>AU123*0.5+AK123*0.5</f>
        <v>0.15179435220307747</v>
      </c>
      <c r="BA123" s="2">
        <f>AV123*0.5+AJ123*0.5</f>
        <v>0.30568188206183255</v>
      </c>
      <c r="BB123" s="2">
        <f t="shared" si="15"/>
        <v>2.025202520252025E-2</v>
      </c>
      <c r="BC123">
        <f>IF(I123="expected",1,0)</f>
        <v>0</v>
      </c>
      <c r="BD123" s="78">
        <f>IF(BC123=1,AZ123/SUMIFS(AZ$3:AZ$623,$BC$3:$BC$623,1,$G$3:$G$623,$G123),0)</f>
        <v>0</v>
      </c>
      <c r="BE123" s="78">
        <f>IF(BC123=1,BA123/SUMIFS(BA$3:BA$623,$BC$3:$BC$623,1,$G$3:$G$623,$G123),0)</f>
        <v>0</v>
      </c>
      <c r="BF123" s="78">
        <f t="shared" si="16"/>
        <v>0</v>
      </c>
      <c r="BG123" s="2">
        <f t="shared" si="17"/>
        <v>2.025202520252025E-2</v>
      </c>
      <c r="BH123" s="2">
        <f t="shared" si="18"/>
        <v>0</v>
      </c>
      <c r="BI123" s="2">
        <f t="shared" si="19"/>
        <v>0</v>
      </c>
      <c r="BJ123" s="2">
        <f t="shared" si="20"/>
        <v>0</v>
      </c>
      <c r="BK123" s="2">
        <f t="shared" si="21"/>
        <v>0</v>
      </c>
      <c r="BL123" s="2">
        <f t="shared" si="22"/>
        <v>2.025202520252025E-2</v>
      </c>
      <c r="BM123" s="2">
        <f t="shared" si="23"/>
        <v>0</v>
      </c>
      <c r="BN123" s="2">
        <f>BI123/SUMIFS(BI$3:BI$623,$BC$3:$BC$623,1,$G$3:$G$623,$G123)</f>
        <v>0</v>
      </c>
      <c r="BO123" s="2">
        <f>BJ123/SUMIFS(BJ$3:BJ$623,$BC$3:$BC$623,1,$G$3:$G$623,$G123)</f>
        <v>0</v>
      </c>
      <c r="BP123" s="2">
        <f>BK123/SUMIFS(BK$3:BK$623,$BC$3:$BC$623,1,$G$3:$G$623,$G123)</f>
        <v>0</v>
      </c>
      <c r="BQ123" s="2">
        <f>BL123</f>
        <v>2.025202520252025E-2</v>
      </c>
      <c r="BR123" s="2">
        <f>BM123</f>
        <v>0</v>
      </c>
    </row>
    <row r="124" spans="1:70" hidden="1">
      <c r="A124" s="74">
        <v>0</v>
      </c>
      <c r="B124" s="73">
        <v>213472</v>
      </c>
      <c r="C124" s="73" t="s">
        <v>1466</v>
      </c>
      <c r="D124" s="73" t="s">
        <v>1467</v>
      </c>
      <c r="E124" s="73" t="s">
        <v>1468</v>
      </c>
      <c r="F124" s="73">
        <v>18701</v>
      </c>
      <c r="G124" s="73" t="s">
        <v>893</v>
      </c>
      <c r="H124" s="73" t="s">
        <v>947</v>
      </c>
      <c r="I124" s="73" t="s">
        <v>1012</v>
      </c>
      <c r="J124" s="73">
        <v>0</v>
      </c>
      <c r="K124" s="73">
        <v>6.5</v>
      </c>
      <c r="L124" s="73">
        <v>0</v>
      </c>
      <c r="M124" s="73">
        <v>0</v>
      </c>
      <c r="N124" s="73">
        <v>0</v>
      </c>
      <c r="O124" s="73" t="s">
        <v>982</v>
      </c>
      <c r="P124" s="73" t="s">
        <v>1469</v>
      </c>
      <c r="Q124" s="73" t="s">
        <v>1470</v>
      </c>
      <c r="R124" s="73">
        <v>28</v>
      </c>
      <c r="S124" s="73">
        <v>5</v>
      </c>
      <c r="T124" s="73">
        <v>0</v>
      </c>
      <c r="U124" s="73">
        <v>2</v>
      </c>
      <c r="V124" s="73">
        <v>2770</v>
      </c>
      <c r="W124" s="73">
        <v>62</v>
      </c>
      <c r="X124" s="73">
        <v>1</v>
      </c>
      <c r="Y124" s="73">
        <v>0</v>
      </c>
      <c r="Z124" s="73" t="s">
        <v>893</v>
      </c>
      <c r="AA124" s="73" t="s">
        <v>693</v>
      </c>
      <c r="AB124" s="73" t="str">
        <f>IF(AA124&lt;&gt;"",INDEX(Lookup!$N$2:$N$5,MATCH(Players!AA124,Lookup!$P$2:$P$5,0)),INDEX(Lookup!$N$2:$N$5,MATCH(Players!O124,Lookup!$O$2:$O$5,0)))</f>
        <v>Striker</v>
      </c>
      <c r="AC124" s="73">
        <v>5000000</v>
      </c>
      <c r="AD124" s="73" t="s">
        <v>798</v>
      </c>
      <c r="AE124" s="73" t="str">
        <f>INDEX('Translate table'!$H$2:$H$622,MATCH(Players!P124,'Translate table'!$G$2:$G$622,0))</f>
        <v>AndrÃ© Silva</v>
      </c>
      <c r="AF124" s="73">
        <f>IFERROR(INDEX('Euro Qual stats'!$A$1:$L$2071,MATCH(Players!$AE124,'Euro Qual stats'!$A$1:$A$2071,0),MATCH(Players!AF$2,'Euro Qual stats'!$A$1:$L$1,0)),0)</f>
        <v>3</v>
      </c>
      <c r="AG124" s="73">
        <f>IFERROR(INDEX('Euro Qual stats'!$A$1:$L$2071,MATCH(Players!$AE124,'Euro Qual stats'!$A$1:$A$2071,0),MATCH(Players!AG$2,'Euro Qual stats'!$A$1:$L$1,0)),0)</f>
        <v>0</v>
      </c>
      <c r="AH124" s="73">
        <f>IFERROR(INDEX('Euro Qual stats'!$A$1:$L$2071,MATCH(Players!$AE124,'Euro Qual stats'!$A$1:$A$2071,0),MATCH(Players!AH$2,'Euro Qual stats'!$A$1:$L$1,0)),0)</f>
        <v>0</v>
      </c>
      <c r="AI124" s="73">
        <f>IFERROR(INDEX('Euro Qual stats'!$A$1:$L$2071,MATCH(Players!$AE124,'Euro Qual stats'!$A$1:$A$2071,0),MATCH(Players!AI$2,'Euro Qual stats'!$A$1:$L$1,0)),0)</f>
        <v>0</v>
      </c>
      <c r="AJ124" s="93">
        <f>(12-AF124)/12*INDEX(BV$9:BV$12,MATCH($AB124,$BU$9:$BU$12,0))+AF124/12*AG124</f>
        <v>0.15368534482758622</v>
      </c>
      <c r="AK124" s="93">
        <f>(12-AG124)/12*INDEX(BW$9:BW$12,MATCH($AB124,$BU$9:$BU$12,0))+AG124/12*AH124</f>
        <v>0.53387931034482738</v>
      </c>
      <c r="AL124" s="93">
        <f>(12-AH124)/12*INDEX(BX$9:BX$12,MATCH($AB124,$BU$9:$BU$12,0))+AH124/12*AI124</f>
        <v>0.16482758620689658</v>
      </c>
      <c r="AM124" s="93">
        <f>IF($BC124=1,AJ124/SUMIFS(AJ$3:AJ$623,$BC$3:$BC$623,1,$G$3:$G$623,$G124),0)</f>
        <v>0</v>
      </c>
      <c r="AN124" s="93">
        <f>IF($BC124=1,AK124/SUMIFS(AK$3:AK$623,$BC$3:$BC$623,1,$G$3:$G$623,$G124),0)</f>
        <v>0</v>
      </c>
      <c r="AO124" s="93">
        <f>IF($BC124=1,AL124/SUMIFS(AL$3:AL$623,$BC$3:$BC$623,1,$G$3:$G$623,$G124),0)</f>
        <v>0</v>
      </c>
      <c r="AP124" s="2">
        <f>IFERROR(R124/$V124*90,"")</f>
        <v>0.9097472924187725</v>
      </c>
      <c r="AQ124" s="2">
        <f>IFERROR(S124/$V124*90,"")</f>
        <v>0.16245487364620939</v>
      </c>
      <c r="AR124" s="2">
        <f>IFERROR(W124/$V124*90,"")</f>
        <v>2.0144404332129962</v>
      </c>
      <c r="AS124" s="2">
        <f>IFERROR(X124/$V124*90,"")</f>
        <v>3.2490974729241874E-2</v>
      </c>
      <c r="AT124" s="2">
        <f>IFERROR(Y124/$V124*90,"")</f>
        <v>0</v>
      </c>
      <c r="AU124" s="2">
        <f>IF(AP124="",INDEX(BV$4:BV$7,MATCH(O124,$BU$4:$BU$7,0)),AP124)</f>
        <v>0.9097472924187725</v>
      </c>
      <c r="AV124" s="2">
        <f>IF(AQ124="",INDEX(BW$4:BW$7,MATCH($O124,$BU$4:$BU$7,0)),AQ124)</f>
        <v>0.16245487364620939</v>
      </c>
      <c r="AW124" s="2">
        <f t="shared" si="12"/>
        <v>2.0144404332129962</v>
      </c>
      <c r="AX124" s="2">
        <f t="shared" si="13"/>
        <v>3.2490974729241874E-2</v>
      </c>
      <c r="AY124" s="2">
        <f t="shared" si="14"/>
        <v>0</v>
      </c>
      <c r="AZ124" s="2">
        <f>AU124*0.5+AK124*0.5</f>
        <v>0.7218133013818</v>
      </c>
      <c r="BA124" s="2">
        <f>AV124*0.5+AJ124*0.5</f>
        <v>0.15807010923689779</v>
      </c>
      <c r="BB124" s="2">
        <f t="shared" si="15"/>
        <v>1.6245487364620937E-2</v>
      </c>
      <c r="BC124">
        <f>IF(I124="expected",1,0)</f>
        <v>0</v>
      </c>
      <c r="BD124" s="78">
        <f>IF(BC124=1,AZ124/SUMIFS(AZ$3:AZ$623,$BC$3:$BC$623,1,$G$3:$G$623,$G124),0)</f>
        <v>0</v>
      </c>
      <c r="BE124" s="78">
        <f>IF(BC124=1,BA124/SUMIFS(BA$3:BA$623,$BC$3:$BC$623,1,$G$3:$G$623,$G124),0)</f>
        <v>0</v>
      </c>
      <c r="BF124" s="78">
        <f t="shared" si="16"/>
        <v>0</v>
      </c>
      <c r="BG124" s="2">
        <f t="shared" si="17"/>
        <v>1.6245487364620937E-2</v>
      </c>
      <c r="BH124" s="2">
        <f t="shared" si="18"/>
        <v>0</v>
      </c>
      <c r="BI124" s="2">
        <f t="shared" si="19"/>
        <v>0</v>
      </c>
      <c r="BJ124" s="2">
        <f t="shared" si="20"/>
        <v>0</v>
      </c>
      <c r="BK124" s="2">
        <f t="shared" si="21"/>
        <v>0</v>
      </c>
      <c r="BL124" s="2">
        <f t="shared" si="22"/>
        <v>1.6245487364620937E-2</v>
      </c>
      <c r="BM124" s="2">
        <f t="shared" si="23"/>
        <v>0</v>
      </c>
      <c r="BN124" s="2">
        <f>BI124/SUMIFS(BI$3:BI$623,$BC$3:$BC$623,1,$G$3:$G$623,$G124)</f>
        <v>0</v>
      </c>
      <c r="BO124" s="2">
        <f>BJ124/SUMIFS(BJ$3:BJ$623,$BC$3:$BC$623,1,$G$3:$G$623,$G124)</f>
        <v>0</v>
      </c>
      <c r="BP124" s="2">
        <f>BK124/SUMIFS(BK$3:BK$623,$BC$3:$BC$623,1,$G$3:$G$623,$G124)</f>
        <v>0</v>
      </c>
      <c r="BQ124" s="2">
        <f>BL124</f>
        <v>1.6245487364620937E-2</v>
      </c>
      <c r="BR124" s="2">
        <f>BM124</f>
        <v>0</v>
      </c>
    </row>
    <row r="125" spans="1:70" hidden="1">
      <c r="A125" s="74">
        <v>0</v>
      </c>
      <c r="B125" s="73">
        <v>204623</v>
      </c>
      <c r="C125" s="73" t="s">
        <v>1471</v>
      </c>
      <c r="D125" s="73" t="s">
        <v>1472</v>
      </c>
      <c r="E125" s="73" t="s">
        <v>1473</v>
      </c>
      <c r="F125" s="73">
        <v>18710</v>
      </c>
      <c r="G125" s="73" t="s">
        <v>885</v>
      </c>
      <c r="H125" s="73" t="s">
        <v>943</v>
      </c>
      <c r="I125" s="73" t="s">
        <v>981</v>
      </c>
      <c r="J125" s="73">
        <v>0</v>
      </c>
      <c r="K125" s="73">
        <v>6.5</v>
      </c>
      <c r="L125" s="73">
        <v>0</v>
      </c>
      <c r="M125" s="73">
        <v>0</v>
      </c>
      <c r="N125" s="73">
        <v>0</v>
      </c>
      <c r="O125" s="73" t="s">
        <v>1290</v>
      </c>
      <c r="P125" s="73" t="s">
        <v>266</v>
      </c>
      <c r="Q125" s="73" t="s">
        <v>266</v>
      </c>
      <c r="R125" s="73">
        <v>0</v>
      </c>
      <c r="S125" s="73">
        <v>0</v>
      </c>
      <c r="T125" s="73">
        <v>60</v>
      </c>
      <c r="U125" s="73">
        <v>9</v>
      </c>
      <c r="V125" s="73">
        <v>2295</v>
      </c>
      <c r="W125" s="73">
        <v>0</v>
      </c>
      <c r="X125" s="73">
        <v>0</v>
      </c>
      <c r="Y125" s="73">
        <v>0</v>
      </c>
      <c r="Z125" s="73" t="s">
        <v>1037</v>
      </c>
      <c r="AA125" s="73" t="s">
        <v>690</v>
      </c>
      <c r="AB125" s="73" t="str">
        <f>IF(AA125&lt;&gt;"",INDEX(Lookup!$N$2:$N$5,MATCH(Players!AA125,Lookup!$P$2:$P$5,0)),INDEX(Lookup!$N$2:$N$5,MATCH(Players!O125,Lookup!$O$2:$O$5,0)))</f>
        <v>Goalkeeper</v>
      </c>
      <c r="AC125" s="73">
        <v>5000000</v>
      </c>
      <c r="AD125" s="73" t="s">
        <v>807</v>
      </c>
      <c r="AE125" s="73" t="str">
        <f>INDEX('Translate table'!$H$2:$H$622,MATCH(Players!P125,'Translate table'!$G$2:$G$622,0))</f>
        <v>David de Gea</v>
      </c>
      <c r="AF125" s="73">
        <f>IFERROR(INDEX('Euro Qual stats'!$A$1:$L$2071,MATCH(Players!$AE125,'Euro Qual stats'!$A$1:$A$2071,0),MATCH(Players!AF$2,'Euro Qual stats'!$A$1:$L$1,0)),0)</f>
        <v>3</v>
      </c>
      <c r="AG125" s="73">
        <f>IFERROR(INDEX('Euro Qual stats'!$A$1:$L$2071,MATCH(Players!$AE125,'Euro Qual stats'!$A$1:$A$2071,0),MATCH(Players!AG$2,'Euro Qual stats'!$A$1:$L$1,0)),0)</f>
        <v>0</v>
      </c>
      <c r="AH125" s="73">
        <f>IFERROR(INDEX('Euro Qual stats'!$A$1:$L$2071,MATCH(Players!$AE125,'Euro Qual stats'!$A$1:$A$2071,0),MATCH(Players!AH$2,'Euro Qual stats'!$A$1:$L$1,0)),0)</f>
        <v>0</v>
      </c>
      <c r="AI125" s="73">
        <f>IFERROR(INDEX('Euro Qual stats'!$A$1:$L$2071,MATCH(Players!$AE125,'Euro Qual stats'!$A$1:$A$2071,0),MATCH(Players!AI$2,'Euro Qual stats'!$A$1:$L$1,0)),0)</f>
        <v>0</v>
      </c>
      <c r="AJ125" s="93">
        <f>(12-AF125)/12*INDEX(BV$9:BV$12,MATCH($AB125,$BU$9:$BU$12,0))+AF125/12*AG125</f>
        <v>0</v>
      </c>
      <c r="AK125" s="93">
        <f>(12-AG125)/12*INDEX(BW$9:BW$12,MATCH($AB125,$BU$9:$BU$12,0))+AG125/12*AH125</f>
        <v>0</v>
      </c>
      <c r="AL125" s="93">
        <f>(12-AH125)/12*INDEX(BX$9:BX$12,MATCH($AB125,$BU$9:$BU$12,0))+AH125/12*AI125</f>
        <v>0</v>
      </c>
      <c r="AM125" s="93">
        <f>IF($BC125=1,AJ125/SUMIFS(AJ$3:AJ$623,$BC$3:$BC$623,1,$G$3:$G$623,$G125),0)</f>
        <v>0</v>
      </c>
      <c r="AN125" s="93">
        <f>IF($BC125=1,AK125/SUMIFS(AK$3:AK$623,$BC$3:$BC$623,1,$G$3:$G$623,$G125),0)</f>
        <v>0</v>
      </c>
      <c r="AO125" s="93">
        <f>IF($BC125=1,AL125/SUMIFS(AL$3:AL$623,$BC$3:$BC$623,1,$G$3:$G$623,$G125),0)</f>
        <v>0</v>
      </c>
      <c r="AP125" s="2">
        <f>IFERROR(R125/$V125*90,"")</f>
        <v>0</v>
      </c>
      <c r="AQ125" s="2">
        <f>IFERROR(S125/$V125*90,"")</f>
        <v>0</v>
      </c>
      <c r="AR125" s="2">
        <f>IFERROR(W125/$V125*90,"")</f>
        <v>0</v>
      </c>
      <c r="AS125" s="2">
        <f>IFERROR(X125/$V125*90,"")</f>
        <v>0</v>
      </c>
      <c r="AT125" s="2">
        <f>IFERROR(Y125/$V125*90,"")</f>
        <v>0</v>
      </c>
      <c r="AU125" s="2">
        <f>IF(AP125="",INDEX(BV$4:BV$7,MATCH(O125,$BU$4:$BU$7,0)),AP125)</f>
        <v>0</v>
      </c>
      <c r="AV125" s="2">
        <f>IF(AQ125="",INDEX(BW$4:BW$7,MATCH($O125,$BU$4:$BU$7,0)),AQ125)</f>
        <v>0</v>
      </c>
      <c r="AW125" s="2">
        <f t="shared" si="12"/>
        <v>0</v>
      </c>
      <c r="AX125" s="2">
        <f t="shared" si="13"/>
        <v>0</v>
      </c>
      <c r="AY125" s="2">
        <f t="shared" si="14"/>
        <v>0</v>
      </c>
      <c r="AZ125" s="2">
        <f>AU125*0.5+AK125*0.5</f>
        <v>0</v>
      </c>
      <c r="BA125" s="2">
        <f>AV125*0.5+AJ125*0.5</f>
        <v>0</v>
      </c>
      <c r="BB125" s="2">
        <f t="shared" si="15"/>
        <v>0</v>
      </c>
      <c r="BC125">
        <f>IF(I125="expected",1,0)</f>
        <v>1</v>
      </c>
      <c r="BD125" s="78">
        <f>IF(BC125=1,AZ125/SUMIFS(AZ$3:AZ$623,$BC$3:$BC$623,1,$G$3:$G$623,$G125),0)</f>
        <v>0</v>
      </c>
      <c r="BE125" s="78">
        <f>IF(BC125=1,BA125/SUMIFS(BA$3:BA$623,$BC$3:$BC$623,1,$G$3:$G$623,$G125),0)</f>
        <v>0</v>
      </c>
      <c r="BF125" s="78">
        <f t="shared" si="16"/>
        <v>0</v>
      </c>
      <c r="BG125" s="2">
        <f t="shared" si="17"/>
        <v>0</v>
      </c>
      <c r="BH125" s="2">
        <f t="shared" si="18"/>
        <v>0</v>
      </c>
      <c r="BI125" s="2">
        <f t="shared" si="19"/>
        <v>0</v>
      </c>
      <c r="BJ125" s="2">
        <f t="shared" si="20"/>
        <v>0</v>
      </c>
      <c r="BK125" s="2">
        <f t="shared" si="21"/>
        <v>0</v>
      </c>
      <c r="BL125" s="2">
        <f t="shared" si="22"/>
        <v>0</v>
      </c>
      <c r="BM125" s="2">
        <f t="shared" si="23"/>
        <v>0</v>
      </c>
      <c r="BN125" s="2">
        <f>BI125/SUMIFS(BI$3:BI$623,$BC$3:$BC$623,1,$G$3:$G$623,$G125)</f>
        <v>0</v>
      </c>
      <c r="BO125" s="2">
        <f>BJ125/SUMIFS(BJ$3:BJ$623,$BC$3:$BC$623,1,$G$3:$G$623,$G125)</f>
        <v>0</v>
      </c>
      <c r="BP125" s="2">
        <f>BK125/SUMIFS(BK$3:BK$623,$BC$3:$BC$623,1,$G$3:$G$623,$G125)</f>
        <v>0</v>
      </c>
      <c r="BQ125" s="2">
        <f>BL125</f>
        <v>0</v>
      </c>
      <c r="BR125" s="2">
        <f>BM125</f>
        <v>0</v>
      </c>
    </row>
    <row r="126" spans="1:70" hidden="1">
      <c r="A126" s="74">
        <v>0</v>
      </c>
      <c r="B126" s="73">
        <v>222098</v>
      </c>
      <c r="C126" s="73" t="s">
        <v>1474</v>
      </c>
      <c r="D126" s="73" t="s">
        <v>1475</v>
      </c>
      <c r="E126" s="73" t="s">
        <v>1476</v>
      </c>
      <c r="F126" s="73">
        <v>18710</v>
      </c>
      <c r="G126" s="73" t="s">
        <v>885</v>
      </c>
      <c r="H126" s="73" t="s">
        <v>943</v>
      </c>
      <c r="I126" s="73" t="s">
        <v>1012</v>
      </c>
      <c r="J126" s="73">
        <v>0</v>
      </c>
      <c r="K126" s="73">
        <v>6.5</v>
      </c>
      <c r="L126" s="73">
        <v>0</v>
      </c>
      <c r="M126" s="73">
        <v>0</v>
      </c>
      <c r="N126" s="73">
        <v>0</v>
      </c>
      <c r="O126" s="73" t="s">
        <v>1318</v>
      </c>
      <c r="P126" s="73" t="s">
        <v>1477</v>
      </c>
      <c r="Q126" s="73" t="s">
        <v>183</v>
      </c>
      <c r="R126" s="73">
        <v>1</v>
      </c>
      <c r="S126" s="73">
        <v>2</v>
      </c>
      <c r="T126" s="73">
        <v>0</v>
      </c>
      <c r="U126" s="73">
        <v>12</v>
      </c>
      <c r="V126" s="73">
        <v>2191</v>
      </c>
      <c r="W126" s="73">
        <v>5</v>
      </c>
      <c r="X126" s="73">
        <v>5</v>
      </c>
      <c r="Y126" s="73">
        <v>1</v>
      </c>
      <c r="Z126" s="73" t="s">
        <v>1037</v>
      </c>
      <c r="AA126" s="73" t="s">
        <v>692</v>
      </c>
      <c r="AB126" s="73" t="str">
        <f>IF(AA126&lt;&gt;"",INDEX(Lookup!$N$2:$N$5,MATCH(Players!AA126,Lookup!$P$2:$P$5,0)),INDEX(Lookup!$N$2:$N$5,MATCH(Players!O126,Lookup!$O$2:$O$5,0)))</f>
        <v>Defense</v>
      </c>
      <c r="AC126" s="73">
        <v>3500000</v>
      </c>
      <c r="AD126" s="73" t="s">
        <v>791</v>
      </c>
      <c r="AE126" s="73" t="str">
        <f>INDEX('Translate table'!$H$2:$H$622,MATCH(Players!P126,'Translate table'!$G$2:$G$622,0))</f>
        <v>Besar Halimi</v>
      </c>
      <c r="AF126" s="73">
        <f>IFERROR(INDEX('Euro Qual stats'!$A$1:$L$2071,MATCH(Players!$AE126,'Euro Qual stats'!$A$1:$A$2071,0),MATCH(Players!AF$2,'Euro Qual stats'!$A$1:$L$1,0)),0)</f>
        <v>7</v>
      </c>
      <c r="AG126" s="73">
        <f>IFERROR(INDEX('Euro Qual stats'!$A$1:$L$2071,MATCH(Players!$AE126,'Euro Qual stats'!$A$1:$A$2071,0),MATCH(Players!AG$2,'Euro Qual stats'!$A$1:$L$1,0)),0)</f>
        <v>0</v>
      </c>
      <c r="AH126" s="73">
        <f>IFERROR(INDEX('Euro Qual stats'!$A$1:$L$2071,MATCH(Players!$AE126,'Euro Qual stats'!$A$1:$A$2071,0),MATCH(Players!AH$2,'Euro Qual stats'!$A$1:$L$1,0)),0)</f>
        <v>0</v>
      </c>
      <c r="AI126" s="73">
        <f>IFERROR(INDEX('Euro Qual stats'!$A$1:$L$2071,MATCH(Players!$AE126,'Euro Qual stats'!$A$1:$A$2071,0),MATCH(Players!AI$2,'Euro Qual stats'!$A$1:$L$1,0)),0)</f>
        <v>0.59</v>
      </c>
      <c r="AJ126" s="93">
        <f>(12-AF126)/12*INDEX(BV$9:BV$12,MATCH($AB126,$BU$9:$BU$12,0))+AF126/12*AG126</f>
        <v>3.715659340659342E-2</v>
      </c>
      <c r="AK126" s="93">
        <f>(12-AG126)/12*INDEX(BW$9:BW$12,MATCH($AB126,$BU$9:$BU$12,0))+AG126/12*AH126</f>
        <v>0.10357142857142858</v>
      </c>
      <c r="AL126" s="93">
        <f>(12-AH126)/12*INDEX(BX$9:BX$12,MATCH($AB126,$BU$9:$BU$12,0))+AH126/12*AI126</f>
        <v>0.19357142857142848</v>
      </c>
      <c r="AM126" s="93">
        <f>IF($BC126=1,AJ126/SUMIFS(AJ$3:AJ$623,$BC$3:$BC$623,1,$G$3:$G$623,$G126),0)</f>
        <v>0</v>
      </c>
      <c r="AN126" s="93">
        <f>IF($BC126=1,AK126/SUMIFS(AK$3:AK$623,$BC$3:$BC$623,1,$G$3:$G$623,$G126),0)</f>
        <v>0</v>
      </c>
      <c r="AO126" s="93">
        <f>IF($BC126=1,AL126/SUMIFS(AL$3:AL$623,$BC$3:$BC$623,1,$G$3:$G$623,$G126),0)</f>
        <v>0</v>
      </c>
      <c r="AP126" s="2">
        <f>IFERROR(R126/$V126*90,"")</f>
        <v>4.1077133728890915E-2</v>
      </c>
      <c r="AQ126" s="2">
        <f>IFERROR(S126/$V126*90,"")</f>
        <v>8.2154267457781829E-2</v>
      </c>
      <c r="AR126" s="2">
        <f>IFERROR(W126/$V126*90,"")</f>
        <v>0.20538566864445459</v>
      </c>
      <c r="AS126" s="2">
        <f>IFERROR(X126/$V126*90,"")</f>
        <v>0.20538566864445459</v>
      </c>
      <c r="AT126" s="2">
        <f>IFERROR(Y126/$V126*90,"")</f>
        <v>4.1077133728890915E-2</v>
      </c>
      <c r="AU126" s="2">
        <f>IF(AP126="",INDEX(BV$4:BV$7,MATCH(O126,$BU$4:$BU$7,0)),AP126)</f>
        <v>4.1077133728890915E-2</v>
      </c>
      <c r="AV126" s="2">
        <f>IF(AQ126="",INDEX(BW$4:BW$7,MATCH($O126,$BU$4:$BU$7,0)),AQ126)</f>
        <v>8.2154267457781829E-2</v>
      </c>
      <c r="AW126" s="2">
        <f t="shared" si="12"/>
        <v>0.20538566864445459</v>
      </c>
      <c r="AX126" s="2">
        <f t="shared" si="13"/>
        <v>0.20538566864445459</v>
      </c>
      <c r="AY126" s="2">
        <f t="shared" si="14"/>
        <v>4.1077133728890915E-2</v>
      </c>
      <c r="AZ126" s="2">
        <f>AU126*0.5+AK126*0.5</f>
        <v>7.232428115015975E-2</v>
      </c>
      <c r="BA126" s="2">
        <f>AV126*0.5+AJ126*0.5</f>
        <v>5.9655430432187628E-2</v>
      </c>
      <c r="BB126" s="2">
        <f t="shared" si="15"/>
        <v>0.3976928343222273</v>
      </c>
      <c r="BC126">
        <f>IF(I126="expected",1,0)</f>
        <v>0</v>
      </c>
      <c r="BD126" s="78">
        <f>IF(BC126=1,AZ126/SUMIFS(AZ$3:AZ$623,$BC$3:$BC$623,1,$G$3:$G$623,$G126),0)</f>
        <v>0</v>
      </c>
      <c r="BE126" s="78">
        <f>IF(BC126=1,BA126/SUMIFS(BA$3:BA$623,$BC$3:$BC$623,1,$G$3:$G$623,$G126),0)</f>
        <v>0</v>
      </c>
      <c r="BF126" s="78">
        <f t="shared" si="16"/>
        <v>0</v>
      </c>
      <c r="BG126" s="2">
        <f t="shared" si="17"/>
        <v>0.3976928343222273</v>
      </c>
      <c r="BH126" s="2">
        <f t="shared" si="18"/>
        <v>4.1077133728890915E-2</v>
      </c>
      <c r="BI126" s="2">
        <f t="shared" si="19"/>
        <v>0</v>
      </c>
      <c r="BJ126" s="2">
        <f t="shared" si="20"/>
        <v>0</v>
      </c>
      <c r="BK126" s="2">
        <f t="shared" si="21"/>
        <v>0</v>
      </c>
      <c r="BL126" s="2">
        <f t="shared" si="22"/>
        <v>0.3976928343222273</v>
      </c>
      <c r="BM126" s="2">
        <f t="shared" si="23"/>
        <v>4.1077133728890915E-2</v>
      </c>
      <c r="BN126" s="2">
        <f>BI126/SUMIFS(BI$3:BI$623,$BC$3:$BC$623,1,$G$3:$G$623,$G126)</f>
        <v>0</v>
      </c>
      <c r="BO126" s="2">
        <f>BJ126/SUMIFS(BJ$3:BJ$623,$BC$3:$BC$623,1,$G$3:$G$623,$G126)</f>
        <v>0</v>
      </c>
      <c r="BP126" s="2">
        <f>BK126/SUMIFS(BK$3:BK$623,$BC$3:$BC$623,1,$G$3:$G$623,$G126)</f>
        <v>0</v>
      </c>
      <c r="BQ126" s="2">
        <f>BL126</f>
        <v>0.3976928343222273</v>
      </c>
      <c r="BR126" s="2">
        <f>BM126</f>
        <v>4.1077133728890915E-2</v>
      </c>
    </row>
    <row r="127" spans="1:70" hidden="1">
      <c r="A127" s="74">
        <v>0</v>
      </c>
      <c r="B127" s="73">
        <v>213455</v>
      </c>
      <c r="C127" s="73" t="s">
        <v>1478</v>
      </c>
      <c r="D127" s="73" t="s">
        <v>1479</v>
      </c>
      <c r="E127" s="73" t="s">
        <v>1480</v>
      </c>
      <c r="F127" s="73">
        <v>18710</v>
      </c>
      <c r="G127" s="73" t="s">
        <v>885</v>
      </c>
      <c r="H127" s="73" t="s">
        <v>943</v>
      </c>
      <c r="I127" s="73" t="s">
        <v>981</v>
      </c>
      <c r="J127" s="73">
        <v>0</v>
      </c>
      <c r="K127" s="73">
        <v>6.5</v>
      </c>
      <c r="L127" s="73">
        <v>0</v>
      </c>
      <c r="M127" s="73">
        <v>0</v>
      </c>
      <c r="N127" s="73">
        <v>0</v>
      </c>
      <c r="O127" s="73" t="s">
        <v>1318</v>
      </c>
      <c r="P127" s="73" t="s">
        <v>1481</v>
      </c>
      <c r="Q127" s="73" t="s">
        <v>1481</v>
      </c>
      <c r="R127" s="73">
        <v>3</v>
      </c>
      <c r="S127" s="73">
        <v>5</v>
      </c>
      <c r="T127" s="73">
        <v>0</v>
      </c>
      <c r="U127" s="73">
        <v>10</v>
      </c>
      <c r="V127" s="73">
        <v>3030</v>
      </c>
      <c r="W127" s="73">
        <v>10</v>
      </c>
      <c r="X127" s="73">
        <v>9</v>
      </c>
      <c r="Y127" s="73">
        <v>0</v>
      </c>
      <c r="Z127" s="73" t="s">
        <v>1037</v>
      </c>
      <c r="AA127" s="73" t="s">
        <v>692</v>
      </c>
      <c r="AB127" s="73" t="str">
        <f>IF(AA127&lt;&gt;"",INDEX(Lookup!$N$2:$N$5,MATCH(Players!AA127,Lookup!$P$2:$P$5,0)),INDEX(Lookup!$N$2:$N$5,MATCH(Players!O127,Lookup!$O$2:$O$5,0)))</f>
        <v>Defense</v>
      </c>
      <c r="AC127" s="73">
        <v>4500000</v>
      </c>
      <c r="AD127" s="73" t="s">
        <v>836</v>
      </c>
      <c r="AE127" s="73" t="str">
        <f>INDEX('Translate table'!$H$2:$H$622,MATCH(Players!P127,'Translate table'!$G$2:$G$622,0))</f>
        <v>Jordi Alba</v>
      </c>
      <c r="AF127" s="73">
        <f>IFERROR(INDEX('Euro Qual stats'!$A$1:$L$2071,MATCH(Players!$AE127,'Euro Qual stats'!$A$1:$A$2071,0),MATCH(Players!AF$2,'Euro Qual stats'!$A$1:$L$1,0)),0)</f>
        <v>3</v>
      </c>
      <c r="AG127" s="73">
        <f>IFERROR(INDEX('Euro Qual stats'!$A$1:$L$2071,MATCH(Players!$AE127,'Euro Qual stats'!$A$1:$A$2071,0),MATCH(Players!AG$2,'Euro Qual stats'!$A$1:$L$1,0)),0)</f>
        <v>0.67</v>
      </c>
      <c r="AH127" s="73">
        <f>IFERROR(INDEX('Euro Qual stats'!$A$1:$L$2071,MATCH(Players!$AE127,'Euro Qual stats'!$A$1:$A$2071,0),MATCH(Players!AH$2,'Euro Qual stats'!$A$1:$L$1,0)),0)</f>
        <v>0</v>
      </c>
      <c r="AI127" s="73">
        <f>IFERROR(INDEX('Euro Qual stats'!$A$1:$L$2071,MATCH(Players!$AE127,'Euro Qual stats'!$A$1:$A$2071,0),MATCH(Players!AI$2,'Euro Qual stats'!$A$1:$L$1,0)),0)</f>
        <v>0.33</v>
      </c>
      <c r="AJ127" s="93">
        <f>(12-AF127)/12*INDEX(BV$9:BV$12,MATCH($AB127,$BU$9:$BU$12,0))+AF127/12*AG127</f>
        <v>0.23438186813186818</v>
      </c>
      <c r="AK127" s="93">
        <f>(12-AG127)/12*INDEX(BW$9:BW$12,MATCH($AB127,$BU$9:$BU$12,0))+AG127/12*AH127</f>
        <v>9.7788690476190487E-2</v>
      </c>
      <c r="AL127" s="93">
        <f>(12-AH127)/12*INDEX(BX$9:BX$12,MATCH($AB127,$BU$9:$BU$12,0))+AH127/12*AI127</f>
        <v>0.19357142857142848</v>
      </c>
      <c r="AM127" s="93">
        <f>IF($BC127=1,AJ127/SUMIFS(AJ$3:AJ$623,$BC$3:$BC$623,1,$G$3:$G$623,$G127),0)</f>
        <v>0.12406554528350756</v>
      </c>
      <c r="AN127" s="93">
        <f>IF($BC127=1,AK127/SUMIFS(AK$3:AK$623,$BC$3:$BC$623,1,$G$3:$G$623,$G127),0)</f>
        <v>3.0789949217941277E-2</v>
      </c>
      <c r="AO127" s="93">
        <f>IF($BC127=1,AL127/SUMIFS(AL$3:AL$623,$BC$3:$BC$623,1,$G$3:$G$623,$G127),0)</f>
        <v>0.10665338814153895</v>
      </c>
      <c r="AP127" s="2">
        <f>IFERROR(R127/$V127*90,"")</f>
        <v>8.9108910891089105E-2</v>
      </c>
      <c r="AQ127" s="2">
        <f>IFERROR(S127/$V127*90,"")</f>
        <v>0.14851485148514851</v>
      </c>
      <c r="AR127" s="2">
        <f>IFERROR(W127/$V127*90,"")</f>
        <v>0.29702970297029702</v>
      </c>
      <c r="AS127" s="2">
        <f>IFERROR(X127/$V127*90,"")</f>
        <v>0.26732673267326734</v>
      </c>
      <c r="AT127" s="2">
        <f>IFERROR(Y127/$V127*90,"")</f>
        <v>0</v>
      </c>
      <c r="AU127" s="2">
        <f>IF(AP127="",INDEX(BV$4:BV$7,MATCH(O127,$BU$4:$BU$7,0)),AP127)</f>
        <v>8.9108910891089105E-2</v>
      </c>
      <c r="AV127" s="2">
        <f>IF(AQ127="",INDEX(BW$4:BW$7,MATCH($O127,$BU$4:$BU$7,0)),AQ127)</f>
        <v>0.14851485148514851</v>
      </c>
      <c r="AW127" s="2">
        <f t="shared" si="12"/>
        <v>0.29702970297029702</v>
      </c>
      <c r="AX127" s="2">
        <f t="shared" si="13"/>
        <v>0.26732673267326734</v>
      </c>
      <c r="AY127" s="2">
        <f t="shared" si="14"/>
        <v>0</v>
      </c>
      <c r="AZ127" s="2">
        <f>AU127*0.5+AK127*0.5</f>
        <v>9.3448800683639796E-2</v>
      </c>
      <c r="BA127" s="2">
        <f>AV127*0.5+AJ127*0.5</f>
        <v>0.19144835980850833</v>
      </c>
      <c r="BB127" s="2">
        <f t="shared" si="15"/>
        <v>0.29866336633663371</v>
      </c>
      <c r="BC127">
        <f>IF(I127="expected",1,0)</f>
        <v>1</v>
      </c>
      <c r="BD127" s="78">
        <f>IF(BC127=1,AZ127/SUMIFS(AZ$3:AZ$623,$BC$3:$BC$623,1,$G$3:$G$623,$G127),0)</f>
        <v>3.3226004580941854E-2</v>
      </c>
      <c r="BE127" s="78">
        <f>IF(BC127=1,BA127/SUMIFS(BA$3:BA$623,$BC$3:$BC$623,1,$G$3:$G$623,$G127),0)</f>
        <v>9.5441772551225934E-2</v>
      </c>
      <c r="BF127" s="78">
        <f t="shared" si="16"/>
        <v>4.8448131886110107E-2</v>
      </c>
      <c r="BG127" s="2">
        <f t="shared" si="17"/>
        <v>0.29866336633663371</v>
      </c>
      <c r="BH127" s="2">
        <f t="shared" si="18"/>
        <v>0</v>
      </c>
      <c r="BI127" s="2">
        <f t="shared" si="19"/>
        <v>3.3226004580941854E-2</v>
      </c>
      <c r="BJ127" s="2">
        <f t="shared" si="20"/>
        <v>9.5441772551225934E-2</v>
      </c>
      <c r="BK127" s="2">
        <f t="shared" si="21"/>
        <v>4.8448131886110107E-2</v>
      </c>
      <c r="BL127" s="2">
        <f t="shared" si="22"/>
        <v>0.29866336633663371</v>
      </c>
      <c r="BM127" s="2">
        <f t="shared" si="23"/>
        <v>0</v>
      </c>
      <c r="BN127" s="2">
        <f>BI127/SUMIFS(BI$3:BI$623,$BC$3:$BC$623,1,$G$3:$G$623,$G127)</f>
        <v>3.3226004580941847E-2</v>
      </c>
      <c r="BO127" s="2">
        <f>BJ127/SUMIFS(BJ$3:BJ$623,$BC$3:$BC$623,1,$G$3:$G$623,$G127)</f>
        <v>9.5441772551225934E-2</v>
      </c>
      <c r="BP127" s="2">
        <f>BK127/SUMIFS(BK$3:BK$623,$BC$3:$BC$623,1,$G$3:$G$623,$G127)</f>
        <v>4.8448131886110121E-2</v>
      </c>
      <c r="BQ127" s="2">
        <f>BL127</f>
        <v>0.29866336633663371</v>
      </c>
      <c r="BR127" s="2">
        <f>BM127</f>
        <v>0</v>
      </c>
    </row>
    <row r="128" spans="1:70" hidden="1">
      <c r="A128" s="74">
        <v>0</v>
      </c>
      <c r="B128" s="73">
        <v>204627</v>
      </c>
      <c r="C128" s="73" t="s">
        <v>1482</v>
      </c>
      <c r="D128" s="73" t="s">
        <v>1483</v>
      </c>
      <c r="E128" s="73" t="s">
        <v>1484</v>
      </c>
      <c r="F128" s="73">
        <v>18710</v>
      </c>
      <c r="G128" s="73" t="s">
        <v>885</v>
      </c>
      <c r="H128" s="73" t="s">
        <v>943</v>
      </c>
      <c r="I128" s="73" t="s">
        <v>981</v>
      </c>
      <c r="J128" s="73">
        <v>0</v>
      </c>
      <c r="K128" s="73">
        <v>6.5</v>
      </c>
      <c r="L128" s="73">
        <v>0</v>
      </c>
      <c r="M128" s="73">
        <v>0</v>
      </c>
      <c r="N128" s="73">
        <v>0</v>
      </c>
      <c r="O128" s="73" t="s">
        <v>1318</v>
      </c>
      <c r="P128" s="73" t="s">
        <v>1485</v>
      </c>
      <c r="Q128" s="73" t="s">
        <v>1486</v>
      </c>
      <c r="R128" s="73">
        <v>1</v>
      </c>
      <c r="S128" s="73">
        <v>7</v>
      </c>
      <c r="T128" s="73">
        <v>0</v>
      </c>
      <c r="U128" s="73">
        <v>5</v>
      </c>
      <c r="V128" s="73">
        <v>2847</v>
      </c>
      <c r="W128" s="73">
        <v>5</v>
      </c>
      <c r="X128" s="73">
        <v>6</v>
      </c>
      <c r="Y128" s="73">
        <v>0</v>
      </c>
      <c r="Z128" s="73" t="s">
        <v>1037</v>
      </c>
      <c r="AA128" s="73" t="s">
        <v>692</v>
      </c>
      <c r="AB128" s="73" t="str">
        <f>IF(AA128&lt;&gt;"",INDEX(Lookup!$N$2:$N$5,MATCH(Players!AA128,Lookup!$P$2:$P$5,0)),INDEX(Lookup!$N$2:$N$5,MATCH(Players!O128,Lookup!$O$2:$O$5,0)))</f>
        <v>Defense</v>
      </c>
      <c r="AC128" s="73">
        <v>4000000</v>
      </c>
      <c r="AD128" s="73" t="s">
        <v>801</v>
      </c>
      <c r="AE128" s="73" t="str">
        <f>INDEX('Translate table'!$H$2:$H$622,MATCH(Players!P128,'Translate table'!$G$2:$G$622,0))</f>
        <v>JosÃ© Luis GayÃ </v>
      </c>
      <c r="AF128" s="73">
        <f>IFERROR(INDEX('Euro Qual stats'!$A$1:$L$2071,MATCH(Players!$AE128,'Euro Qual stats'!$A$1:$A$2071,0),MATCH(Players!AF$2,'Euro Qual stats'!$A$1:$L$1,0)),0)</f>
        <v>4</v>
      </c>
      <c r="AG128" s="73">
        <f>IFERROR(INDEX('Euro Qual stats'!$A$1:$L$2071,MATCH(Players!$AE128,'Euro Qual stats'!$A$1:$A$2071,0),MATCH(Players!AG$2,'Euro Qual stats'!$A$1:$L$1,0)),0)</f>
        <v>0.5</v>
      </c>
      <c r="AH128" s="73">
        <f>IFERROR(INDEX('Euro Qual stats'!$A$1:$L$2071,MATCH(Players!$AE128,'Euro Qual stats'!$A$1:$A$2071,0),MATCH(Players!AH$2,'Euro Qual stats'!$A$1:$L$1,0)),0)</f>
        <v>0.25</v>
      </c>
      <c r="AI128" s="73">
        <f>IFERROR(INDEX('Euro Qual stats'!$A$1:$L$2071,MATCH(Players!$AE128,'Euro Qual stats'!$A$1:$A$2071,0),MATCH(Players!AI$2,'Euro Qual stats'!$A$1:$L$1,0)),0)</f>
        <v>0</v>
      </c>
      <c r="AJ128" s="93">
        <f>(12-AF128)/12*INDEX(BV$9:BV$12,MATCH($AB128,$BU$9:$BU$12,0))+AF128/12*AG128</f>
        <v>0.22611721611721614</v>
      </c>
      <c r="AK128" s="93">
        <f>(12-AG128)/12*INDEX(BW$9:BW$12,MATCH($AB128,$BU$9:$BU$12,0))+AG128/12*AH128</f>
        <v>0.10967261904761906</v>
      </c>
      <c r="AL128" s="93">
        <f>(12-AH128)/12*INDEX(BX$9:BX$12,MATCH($AB128,$BU$9:$BU$12,0))+AH128/12*AI128</f>
        <v>0.18953869047619037</v>
      </c>
      <c r="AM128" s="93">
        <f>IF($BC128=1,AJ128/SUMIFS(AJ$3:AJ$623,$BC$3:$BC$623,1,$G$3:$G$623,$G128),0)</f>
        <v>0.11969081029675784</v>
      </c>
      <c r="AN128" s="93">
        <f>IF($BC128=1,AK128/SUMIFS(AK$3:AK$623,$BC$3:$BC$623,1,$G$3:$G$623,$G128),0)</f>
        <v>3.4531747532676023E-2</v>
      </c>
      <c r="AO128" s="93">
        <f>IF($BC128=1,AL128/SUMIFS(AL$3:AL$623,$BC$3:$BC$623,1,$G$3:$G$623,$G128),0)</f>
        <v>0.10443144255525688</v>
      </c>
      <c r="AP128" s="2">
        <f>IFERROR(R128/$V128*90,"")</f>
        <v>3.1612223393045313E-2</v>
      </c>
      <c r="AQ128" s="2">
        <f>IFERROR(S128/$V128*90,"")</f>
        <v>0.22128556375131717</v>
      </c>
      <c r="AR128" s="2">
        <f>IFERROR(W128/$V128*90,"")</f>
        <v>0.15806111696522657</v>
      </c>
      <c r="AS128" s="2">
        <f>IFERROR(X128/$V128*90,"")</f>
        <v>0.18967334035827185</v>
      </c>
      <c r="AT128" s="2">
        <f>IFERROR(Y128/$V128*90,"")</f>
        <v>0</v>
      </c>
      <c r="AU128" s="2">
        <f>IF(AP128="",INDEX(BV$4:BV$7,MATCH(O128,$BU$4:$BU$7,0)),AP128)</f>
        <v>3.1612223393045313E-2</v>
      </c>
      <c r="AV128" s="2">
        <f>IF(AQ128="",INDEX(BW$4:BW$7,MATCH($O128,$BU$4:$BU$7,0)),AQ128)</f>
        <v>0.22128556375131717</v>
      </c>
      <c r="AW128" s="2">
        <f t="shared" si="12"/>
        <v>0.15806111696522657</v>
      </c>
      <c r="AX128" s="2">
        <f t="shared" si="13"/>
        <v>0.18967334035827185</v>
      </c>
      <c r="AY128" s="2">
        <f t="shared" si="14"/>
        <v>0</v>
      </c>
      <c r="AZ128" s="2">
        <f>AU128*0.5+AK128*0.5</f>
        <v>7.064242122033218E-2</v>
      </c>
      <c r="BA128" s="2">
        <f>AV128*0.5+AJ128*0.5</f>
        <v>0.22370138993426664</v>
      </c>
      <c r="BB128" s="2">
        <f t="shared" si="15"/>
        <v>9.4836670179135926E-2</v>
      </c>
      <c r="BC128">
        <f>IF(I128="expected",1,0)</f>
        <v>1</v>
      </c>
      <c r="BD128" s="78">
        <f>IF(BC128=1,AZ128/SUMIFS(AZ$3:AZ$623,$BC$3:$BC$623,1,$G$3:$G$623,$G128),0)</f>
        <v>2.5117127174501045E-2</v>
      </c>
      <c r="BE128" s="78">
        <f>IF(BC128=1,BA128/SUMIFS(BA$3:BA$623,$BC$3:$BC$623,1,$G$3:$G$623,$G128),0)</f>
        <v>0.11152071085307111</v>
      </c>
      <c r="BF128" s="78">
        <f t="shared" si="16"/>
        <v>2.5781144997350482E-2</v>
      </c>
      <c r="BG128" s="2">
        <f t="shared" si="17"/>
        <v>9.4836670179135926E-2</v>
      </c>
      <c r="BH128" s="2">
        <f t="shared" si="18"/>
        <v>0</v>
      </c>
      <c r="BI128" s="2">
        <f t="shared" si="19"/>
        <v>2.5117127174501045E-2</v>
      </c>
      <c r="BJ128" s="2">
        <f t="shared" si="20"/>
        <v>0.11152071085307111</v>
      </c>
      <c r="BK128" s="2">
        <f t="shared" si="21"/>
        <v>2.5781144997350482E-2</v>
      </c>
      <c r="BL128" s="2">
        <f t="shared" si="22"/>
        <v>9.4836670179135926E-2</v>
      </c>
      <c r="BM128" s="2">
        <f t="shared" si="23"/>
        <v>0</v>
      </c>
      <c r="BN128" s="2">
        <f>BI128/SUMIFS(BI$3:BI$623,$BC$3:$BC$623,1,$G$3:$G$623,$G128)</f>
        <v>2.5117127174501038E-2</v>
      </c>
      <c r="BO128" s="2">
        <f>BJ128/SUMIFS(BJ$3:BJ$623,$BC$3:$BC$623,1,$G$3:$G$623,$G128)</f>
        <v>0.11152071085307111</v>
      </c>
      <c r="BP128" s="2">
        <f>BK128/SUMIFS(BK$3:BK$623,$BC$3:$BC$623,1,$G$3:$G$623,$G128)</f>
        <v>2.5781144997350489E-2</v>
      </c>
      <c r="BQ128" s="2">
        <f>BL128</f>
        <v>9.4836670179135926E-2</v>
      </c>
      <c r="BR128" s="2">
        <f>BM128</f>
        <v>0</v>
      </c>
    </row>
    <row r="129" spans="1:70" hidden="1">
      <c r="A129" s="74">
        <v>0</v>
      </c>
      <c r="B129" s="73">
        <v>204641</v>
      </c>
      <c r="C129" s="73" t="s">
        <v>1487</v>
      </c>
      <c r="D129" s="73" t="s">
        <v>1488</v>
      </c>
      <c r="E129" s="73" t="s">
        <v>1489</v>
      </c>
      <c r="F129" s="73">
        <v>18710</v>
      </c>
      <c r="G129" s="73" t="s">
        <v>885</v>
      </c>
      <c r="H129" s="73" t="s">
        <v>943</v>
      </c>
      <c r="I129" s="73" t="s">
        <v>1012</v>
      </c>
      <c r="J129" s="73">
        <v>0</v>
      </c>
      <c r="K129" s="73">
        <v>6.5</v>
      </c>
      <c r="L129" s="73">
        <v>0</v>
      </c>
      <c r="M129" s="73">
        <v>0</v>
      </c>
      <c r="N129" s="73">
        <v>0</v>
      </c>
      <c r="O129" s="73" t="s">
        <v>994</v>
      </c>
      <c r="P129" s="73" t="s">
        <v>1490</v>
      </c>
      <c r="Q129" s="73" t="s">
        <v>1491</v>
      </c>
      <c r="R129" s="73">
        <v>3</v>
      </c>
      <c r="S129" s="73">
        <v>1</v>
      </c>
      <c r="T129" s="73">
        <v>0</v>
      </c>
      <c r="U129" s="73">
        <v>7</v>
      </c>
      <c r="V129" s="73">
        <v>2572</v>
      </c>
      <c r="W129" s="73">
        <v>16</v>
      </c>
      <c r="X129" s="73">
        <v>1</v>
      </c>
      <c r="Y129" s="73">
        <v>0</v>
      </c>
      <c r="Z129" s="73" t="s">
        <v>1037</v>
      </c>
      <c r="AA129" s="73" t="s">
        <v>691</v>
      </c>
      <c r="AB129" s="73" t="str">
        <f>IF(AA129&lt;&gt;"",INDEX(Lookup!$N$2:$N$5,MATCH(Players!AA129,Lookup!$P$2:$P$5,0)),INDEX(Lookup!$N$2:$N$5,MATCH(Players!O129,Lookup!$O$2:$O$5,0)))</f>
        <v>Midfield</v>
      </c>
      <c r="AC129" s="73">
        <v>3000000</v>
      </c>
      <c r="AD129" s="73" t="s">
        <v>796</v>
      </c>
      <c r="AE129" s="73" t="str">
        <f>INDEX('Translate table'!$H$2:$H$622,MATCH(Players!P129,'Translate table'!$G$2:$G$622,0))</f>
        <v>FabiÃ¡n</v>
      </c>
      <c r="AF129" s="73">
        <f>IFERROR(INDEX('Euro Qual stats'!$A$1:$L$2071,MATCH(Players!$AE129,'Euro Qual stats'!$A$1:$A$2071,0),MATCH(Players!AF$2,'Euro Qual stats'!$A$1:$L$1,0)),0)</f>
        <v>6</v>
      </c>
      <c r="AG129" s="73">
        <f>IFERROR(INDEX('Euro Qual stats'!$A$1:$L$2071,MATCH(Players!$AE129,'Euro Qual stats'!$A$1:$A$2071,0),MATCH(Players!AG$2,'Euro Qual stats'!$A$1:$L$1,0)),0)</f>
        <v>0.39</v>
      </c>
      <c r="AH129" s="73">
        <f>IFERROR(INDEX('Euro Qual stats'!$A$1:$L$2071,MATCH(Players!$AE129,'Euro Qual stats'!$A$1:$A$2071,0),MATCH(Players!AH$2,'Euro Qual stats'!$A$1:$L$1,0)),0)</f>
        <v>0.19</v>
      </c>
      <c r="AI129" s="73">
        <f>IFERROR(INDEX('Euro Qual stats'!$A$1:$L$2071,MATCH(Players!$AE129,'Euro Qual stats'!$A$1:$A$2071,0),MATCH(Players!AI$2,'Euro Qual stats'!$A$1:$L$1,0)),0)</f>
        <v>0.39</v>
      </c>
      <c r="AJ129" s="93">
        <f>(12-AF129)/12*INDEX(BV$9:BV$12,MATCH($AB129,$BU$9:$BU$12,0))+AF129/12*AG129</f>
        <v>0.2793455497382199</v>
      </c>
      <c r="AK129" s="93">
        <f>(12-AG129)/12*INDEX(BW$9:BW$12,MATCH($AB129,$BU$9:$BU$12,0))+AG129/12*AH129</f>
        <v>0.2223175392670157</v>
      </c>
      <c r="AL129" s="93">
        <f>(12-AH129)/12*INDEX(BX$9:BX$12,MATCH($AB129,$BU$9:$BU$12,0))+AH129/12*AI129</f>
        <v>0.24180820244328102</v>
      </c>
      <c r="AM129" s="93">
        <f>IF($BC129=1,AJ129/SUMIFS(AJ$3:AJ$623,$BC$3:$BC$623,1,$G$3:$G$623,$G129),0)</f>
        <v>0</v>
      </c>
      <c r="AN129" s="93">
        <f>IF($BC129=1,AK129/SUMIFS(AK$3:AK$623,$BC$3:$BC$623,1,$G$3:$G$623,$G129),0)</f>
        <v>0</v>
      </c>
      <c r="AO129" s="93">
        <f>IF($BC129=1,AL129/SUMIFS(AL$3:AL$623,$BC$3:$BC$623,1,$G$3:$G$623,$G129),0)</f>
        <v>0</v>
      </c>
      <c r="AP129" s="2">
        <f>IFERROR(R129/$V129*90,"")</f>
        <v>0.10497667185069985</v>
      </c>
      <c r="AQ129" s="2">
        <f>IFERROR(S129/$V129*90,"")</f>
        <v>3.4992223950233284E-2</v>
      </c>
      <c r="AR129" s="2">
        <f>IFERROR(W129/$V129*90,"")</f>
        <v>0.55987558320373254</v>
      </c>
      <c r="AS129" s="2">
        <f>IFERROR(X129/$V129*90,"")</f>
        <v>3.4992223950233284E-2</v>
      </c>
      <c r="AT129" s="2">
        <f>IFERROR(Y129/$V129*90,"")</f>
        <v>0</v>
      </c>
      <c r="AU129" s="2">
        <f>IF(AP129="",INDEX(BV$4:BV$7,MATCH(O129,$BU$4:$BU$7,0)),AP129)</f>
        <v>0.10497667185069985</v>
      </c>
      <c r="AV129" s="2">
        <f>IF(AQ129="",INDEX(BW$4:BW$7,MATCH($O129,$BU$4:$BU$7,0)),AQ129)</f>
        <v>3.4992223950233284E-2</v>
      </c>
      <c r="AW129" s="2">
        <f t="shared" si="12"/>
        <v>0.55987558320373254</v>
      </c>
      <c r="AX129" s="2">
        <f t="shared" si="13"/>
        <v>3.4992223950233284E-2</v>
      </c>
      <c r="AY129" s="2">
        <f t="shared" si="14"/>
        <v>0</v>
      </c>
      <c r="AZ129" s="2">
        <f>AU129*0.5+AK129*0.5</f>
        <v>0.16364710555885778</v>
      </c>
      <c r="BA129" s="2">
        <f>AV129*0.5+AJ129*0.5</f>
        <v>0.15716888684422659</v>
      </c>
      <c r="BB129" s="2">
        <f t="shared" si="15"/>
        <v>0.21249611197511664</v>
      </c>
      <c r="BC129">
        <f>IF(I129="expected",1,0)</f>
        <v>0</v>
      </c>
      <c r="BD129" s="78">
        <f>IF(BC129=1,AZ129/SUMIFS(AZ$3:AZ$623,$BC$3:$BC$623,1,$G$3:$G$623,$G129),0)</f>
        <v>0</v>
      </c>
      <c r="BE129" s="78">
        <f>IF(BC129=1,BA129/SUMIFS(BA$3:BA$623,$BC$3:$BC$623,1,$G$3:$G$623,$G129),0)</f>
        <v>0</v>
      </c>
      <c r="BF129" s="78">
        <f t="shared" si="16"/>
        <v>0</v>
      </c>
      <c r="BG129" s="2">
        <f t="shared" si="17"/>
        <v>0.21249611197511664</v>
      </c>
      <c r="BH129" s="2">
        <f t="shared" si="18"/>
        <v>0</v>
      </c>
      <c r="BI129" s="2">
        <f t="shared" si="19"/>
        <v>0</v>
      </c>
      <c r="BJ129" s="2">
        <f t="shared" si="20"/>
        <v>0</v>
      </c>
      <c r="BK129" s="2">
        <f t="shared" si="21"/>
        <v>0</v>
      </c>
      <c r="BL129" s="2">
        <f t="shared" si="22"/>
        <v>0.21249611197511664</v>
      </c>
      <c r="BM129" s="2">
        <f t="shared" si="23"/>
        <v>0</v>
      </c>
      <c r="BN129" s="2">
        <f>BI129/SUMIFS(BI$3:BI$623,$BC$3:$BC$623,1,$G$3:$G$623,$G129)</f>
        <v>0</v>
      </c>
      <c r="BO129" s="2">
        <f>BJ129/SUMIFS(BJ$3:BJ$623,$BC$3:$BC$623,1,$G$3:$G$623,$G129)</f>
        <v>0</v>
      </c>
      <c r="BP129" s="2">
        <f>BK129/SUMIFS(BK$3:BK$623,$BC$3:$BC$623,1,$G$3:$G$623,$G129)</f>
        <v>0</v>
      </c>
      <c r="BQ129" s="2">
        <f>BL129</f>
        <v>0.21249611197511664</v>
      </c>
      <c r="BR129" s="2">
        <f>BM129</f>
        <v>0</v>
      </c>
    </row>
    <row r="130" spans="1:70" hidden="1">
      <c r="A130" s="74">
        <v>0</v>
      </c>
      <c r="B130" s="73">
        <v>204662</v>
      </c>
      <c r="C130" s="73" t="s">
        <v>1492</v>
      </c>
      <c r="D130" s="73" t="s">
        <v>1493</v>
      </c>
      <c r="E130" s="73" t="s">
        <v>1494</v>
      </c>
      <c r="F130" s="73">
        <v>18647</v>
      </c>
      <c r="G130" s="73" t="s">
        <v>891</v>
      </c>
      <c r="H130" s="73" t="s">
        <v>927</v>
      </c>
      <c r="I130" s="73" t="s">
        <v>1012</v>
      </c>
      <c r="J130" s="73">
        <v>0</v>
      </c>
      <c r="K130" s="73">
        <v>6.5</v>
      </c>
      <c r="L130" s="73">
        <v>0</v>
      </c>
      <c r="M130" s="73">
        <v>0</v>
      </c>
      <c r="N130" s="73">
        <v>0</v>
      </c>
      <c r="O130" s="73" t="s">
        <v>1290</v>
      </c>
      <c r="P130" s="73" t="s">
        <v>1495</v>
      </c>
      <c r="Q130" s="73" t="s">
        <v>1495</v>
      </c>
      <c r="R130" s="73">
        <v>0</v>
      </c>
      <c r="S130" s="73">
        <v>0</v>
      </c>
      <c r="T130" s="73">
        <v>84</v>
      </c>
      <c r="U130" s="73">
        <v>8</v>
      </c>
      <c r="V130" s="73">
        <v>3330</v>
      </c>
      <c r="W130" s="73">
        <v>0</v>
      </c>
      <c r="X130" s="73">
        <v>1</v>
      </c>
      <c r="Y130" s="73">
        <v>0</v>
      </c>
      <c r="Z130" s="73" t="s">
        <v>989</v>
      </c>
      <c r="AA130" s="73" t="s">
        <v>690</v>
      </c>
      <c r="AB130" s="73" t="str">
        <f>IF(AA130&lt;&gt;"",INDEX(Lookup!$N$2:$N$5,MATCH(Players!AA130,Lookup!$P$2:$P$5,0)),INDEX(Lookup!$N$2:$N$5,MATCH(Players!O130,Lookup!$O$2:$O$5,0)))</f>
        <v>Goalkeeper</v>
      </c>
      <c r="AC130" s="73">
        <v>5500000</v>
      </c>
      <c r="AD130" s="73" t="s">
        <v>788</v>
      </c>
      <c r="AE130" s="73" t="str">
        <f>INDEX('Translate table'!$H$2:$H$622,MATCH(Players!P130,'Translate table'!$G$2:$G$622,0))</f>
        <v>Steve Mandanda</v>
      </c>
      <c r="AF130" s="73">
        <f>IFERROR(INDEX('Euro Qual stats'!$A$1:$L$2071,MATCH(Players!$AE130,'Euro Qual stats'!$A$1:$A$2071,0),MATCH(Players!AF$2,'Euro Qual stats'!$A$1:$L$1,0)),0)</f>
        <v>4</v>
      </c>
      <c r="AG130" s="73">
        <f>IFERROR(INDEX('Euro Qual stats'!$A$1:$L$2071,MATCH(Players!$AE130,'Euro Qual stats'!$A$1:$A$2071,0),MATCH(Players!AG$2,'Euro Qual stats'!$A$1:$L$1,0)),0)</f>
        <v>0</v>
      </c>
      <c r="AH130" s="73">
        <f>IFERROR(INDEX('Euro Qual stats'!$A$1:$L$2071,MATCH(Players!$AE130,'Euro Qual stats'!$A$1:$A$2071,0),MATCH(Players!AH$2,'Euro Qual stats'!$A$1:$L$1,0)),0)</f>
        <v>0</v>
      </c>
      <c r="AI130" s="73">
        <f>IFERROR(INDEX('Euro Qual stats'!$A$1:$L$2071,MATCH(Players!$AE130,'Euro Qual stats'!$A$1:$A$2071,0),MATCH(Players!AI$2,'Euro Qual stats'!$A$1:$L$1,0)),0)</f>
        <v>0</v>
      </c>
      <c r="AJ130" s="93">
        <f>(12-AF130)/12*INDEX(BV$9:BV$12,MATCH($AB130,$BU$9:$BU$12,0))+AF130/12*AG130</f>
        <v>0</v>
      </c>
      <c r="AK130" s="93">
        <f>(12-AG130)/12*INDEX(BW$9:BW$12,MATCH($AB130,$BU$9:$BU$12,0))+AG130/12*AH130</f>
        <v>0</v>
      </c>
      <c r="AL130" s="93">
        <f>(12-AH130)/12*INDEX(BX$9:BX$12,MATCH($AB130,$BU$9:$BU$12,0))+AH130/12*AI130</f>
        <v>0</v>
      </c>
      <c r="AM130" s="93">
        <f>IF($BC130=1,AJ130/SUMIFS(AJ$3:AJ$623,$BC$3:$BC$623,1,$G$3:$G$623,$G130),0)</f>
        <v>0</v>
      </c>
      <c r="AN130" s="93">
        <f>IF($BC130=1,AK130/SUMIFS(AK$3:AK$623,$BC$3:$BC$623,1,$G$3:$G$623,$G130),0)</f>
        <v>0</v>
      </c>
      <c r="AO130" s="93">
        <f>IF($BC130=1,AL130/SUMIFS(AL$3:AL$623,$BC$3:$BC$623,1,$G$3:$G$623,$G130),0)</f>
        <v>0</v>
      </c>
      <c r="AP130" s="2">
        <f>IFERROR(R130/$V130*90,"")</f>
        <v>0</v>
      </c>
      <c r="AQ130" s="2">
        <f>IFERROR(S130/$V130*90,"")</f>
        <v>0</v>
      </c>
      <c r="AR130" s="2">
        <f>IFERROR(W130/$V130*90,"")</f>
        <v>0</v>
      </c>
      <c r="AS130" s="2">
        <f>IFERROR(X130/$V130*90,"")</f>
        <v>2.7027027027027025E-2</v>
      </c>
      <c r="AT130" s="2">
        <f>IFERROR(Y130/$V130*90,"")</f>
        <v>0</v>
      </c>
      <c r="AU130" s="2">
        <f>IF(AP130="",INDEX(BV$4:BV$7,MATCH(O130,$BU$4:$BU$7,0)),AP130)</f>
        <v>0</v>
      </c>
      <c r="AV130" s="2">
        <f>IF(AQ130="",INDEX(BW$4:BW$7,MATCH($O130,$BU$4:$BU$7,0)),AQ130)</f>
        <v>0</v>
      </c>
      <c r="AW130" s="2">
        <f t="shared" si="12"/>
        <v>0</v>
      </c>
      <c r="AX130" s="2">
        <f t="shared" si="13"/>
        <v>2.7027027027027025E-2</v>
      </c>
      <c r="AY130" s="2">
        <f t="shared" si="14"/>
        <v>0</v>
      </c>
      <c r="AZ130" s="2">
        <f>AU130*0.5+AK130*0.5</f>
        <v>0</v>
      </c>
      <c r="BA130" s="2">
        <f>AV130*0.5+AJ130*0.5</f>
        <v>0</v>
      </c>
      <c r="BB130" s="2">
        <f t="shared" si="15"/>
        <v>1.3513513513513513E-2</v>
      </c>
      <c r="BC130">
        <f>IF(I130="expected",1,0)</f>
        <v>0</v>
      </c>
      <c r="BD130" s="78">
        <f>IF(BC130=1,AZ130/SUMIFS(AZ$3:AZ$623,$BC$3:$BC$623,1,$G$3:$G$623,$G130),0)</f>
        <v>0</v>
      </c>
      <c r="BE130" s="78">
        <f>IF(BC130=1,BA130/SUMIFS(BA$3:BA$623,$BC$3:$BC$623,1,$G$3:$G$623,$G130),0)</f>
        <v>0</v>
      </c>
      <c r="BF130" s="78">
        <f t="shared" si="16"/>
        <v>0</v>
      </c>
      <c r="BG130" s="2">
        <f t="shared" si="17"/>
        <v>1.3513513513513513E-2</v>
      </c>
      <c r="BH130" s="2">
        <f t="shared" si="18"/>
        <v>0</v>
      </c>
      <c r="BI130" s="2">
        <f t="shared" si="19"/>
        <v>0</v>
      </c>
      <c r="BJ130" s="2">
        <f t="shared" si="20"/>
        <v>0</v>
      </c>
      <c r="BK130" s="2">
        <f t="shared" si="21"/>
        <v>0</v>
      </c>
      <c r="BL130" s="2">
        <f t="shared" si="22"/>
        <v>1.3513513513513513E-2</v>
      </c>
      <c r="BM130" s="2">
        <f t="shared" si="23"/>
        <v>0</v>
      </c>
      <c r="BN130" s="2">
        <f>BI130/SUMIFS(BI$3:BI$623,$BC$3:$BC$623,1,$G$3:$G$623,$G130)</f>
        <v>0</v>
      </c>
      <c r="BO130" s="2">
        <f>BJ130/SUMIFS(BJ$3:BJ$623,$BC$3:$BC$623,1,$G$3:$G$623,$G130)</f>
        <v>0</v>
      </c>
      <c r="BP130" s="2">
        <f>BK130/SUMIFS(BK$3:BK$623,$BC$3:$BC$623,1,$G$3:$G$623,$G130)</f>
        <v>0</v>
      </c>
      <c r="BQ130" s="2">
        <f>BL130</f>
        <v>1.3513513513513513E-2</v>
      </c>
      <c r="BR130" s="2">
        <f>BM130</f>
        <v>0</v>
      </c>
    </row>
    <row r="131" spans="1:70" hidden="1">
      <c r="A131" s="74">
        <v>0</v>
      </c>
      <c r="B131" s="73">
        <v>204670</v>
      </c>
      <c r="C131" s="73" t="s">
        <v>1496</v>
      </c>
      <c r="D131" s="73" t="s">
        <v>1497</v>
      </c>
      <c r="E131" s="73" t="s">
        <v>1498</v>
      </c>
      <c r="F131" s="73">
        <v>18647</v>
      </c>
      <c r="G131" s="73" t="s">
        <v>891</v>
      </c>
      <c r="H131" s="73" t="s">
        <v>927</v>
      </c>
      <c r="I131" s="73" t="s">
        <v>981</v>
      </c>
      <c r="J131" s="73">
        <v>0</v>
      </c>
      <c r="K131" s="73">
        <v>6.5</v>
      </c>
      <c r="L131" s="73">
        <v>0</v>
      </c>
      <c r="M131" s="73">
        <v>0</v>
      </c>
      <c r="N131" s="73">
        <v>0</v>
      </c>
      <c r="O131" s="73" t="s">
        <v>1318</v>
      </c>
      <c r="P131" s="73" t="s">
        <v>1499</v>
      </c>
      <c r="Q131" s="73" t="s">
        <v>1499</v>
      </c>
      <c r="R131" s="73">
        <v>0</v>
      </c>
      <c r="S131" s="73">
        <v>0</v>
      </c>
      <c r="T131" s="73">
        <v>0</v>
      </c>
      <c r="U131" s="73">
        <v>6</v>
      </c>
      <c r="V131" s="73">
        <v>1943</v>
      </c>
      <c r="W131" s="73">
        <v>3</v>
      </c>
      <c r="X131" s="73">
        <v>3</v>
      </c>
      <c r="Y131" s="73">
        <v>0</v>
      </c>
      <c r="Z131" s="73" t="s">
        <v>989</v>
      </c>
      <c r="AA131" s="73" t="s">
        <v>692</v>
      </c>
      <c r="AB131" s="73" t="str">
        <f>IF(AA131&lt;&gt;"",INDEX(Lookup!$N$2:$N$5,MATCH(Players!AA131,Lookup!$P$2:$P$5,0)),INDEX(Lookup!$N$2:$N$5,MATCH(Players!O131,Lookup!$O$2:$O$5,0)))</f>
        <v>Defense</v>
      </c>
      <c r="AC131" s="73">
        <v>4000000</v>
      </c>
      <c r="AD131" s="73" t="s">
        <v>1500</v>
      </c>
      <c r="AE131" s="73" t="str">
        <f>INDEX('Translate table'!$H$2:$H$622,MATCH(Players!P131,'Translate table'!$G$2:$G$622,0))</f>
        <v>Benjamin Pavard</v>
      </c>
      <c r="AF131" s="73">
        <f>IFERROR(INDEX('Euro Qual stats'!$A$1:$L$2071,MATCH(Players!$AE131,'Euro Qual stats'!$A$1:$A$2071,0),MATCH(Players!AF$2,'Euro Qual stats'!$A$1:$L$1,0)),0)</f>
        <v>8</v>
      </c>
      <c r="AG131" s="73">
        <f>IFERROR(INDEX('Euro Qual stats'!$A$1:$L$2071,MATCH(Players!$AE131,'Euro Qual stats'!$A$1:$A$2071,0),MATCH(Players!AG$2,'Euro Qual stats'!$A$1:$L$1,0)),0)</f>
        <v>0.14000000000000001</v>
      </c>
      <c r="AH131" s="73">
        <f>IFERROR(INDEX('Euro Qual stats'!$A$1:$L$2071,MATCH(Players!$AE131,'Euro Qual stats'!$A$1:$A$2071,0),MATCH(Players!AH$2,'Euro Qual stats'!$A$1:$L$1,0)),0)</f>
        <v>0</v>
      </c>
      <c r="AI131" s="73">
        <f>IFERROR(INDEX('Euro Qual stats'!$A$1:$L$2071,MATCH(Players!$AE131,'Euro Qual stats'!$A$1:$A$2071,0),MATCH(Players!AI$2,'Euro Qual stats'!$A$1:$L$1,0)),0)</f>
        <v>0.14000000000000001</v>
      </c>
      <c r="AJ131" s="93">
        <f>(12-AF131)/12*INDEX(BV$9:BV$12,MATCH($AB131,$BU$9:$BU$12,0))+AF131/12*AG131</f>
        <v>0.12305860805860808</v>
      </c>
      <c r="AK131" s="93">
        <f>(12-AG131)/12*INDEX(BW$9:BW$12,MATCH($AB131,$BU$9:$BU$12,0))+AG131/12*AH131</f>
        <v>0.10236309523809524</v>
      </c>
      <c r="AL131" s="93">
        <f>(12-AH131)/12*INDEX(BX$9:BX$12,MATCH($AB131,$BU$9:$BU$12,0))+AH131/12*AI131</f>
        <v>0.19357142857142848</v>
      </c>
      <c r="AM131" s="93">
        <f>IF($BC131=1,AJ131/SUMIFS(AJ$3:AJ$623,$BC$3:$BC$623,1,$G$3:$G$623,$G131),0)</f>
        <v>6.3524047557705063E-2</v>
      </c>
      <c r="AN131" s="93">
        <f>IF($BC131=1,AK131/SUMIFS(AK$3:AK$623,$BC$3:$BC$623,1,$G$3:$G$623,$G131),0)</f>
        <v>3.4381189946638968E-2</v>
      </c>
      <c r="AO131" s="93">
        <f>IF($BC131=1,AL131/SUMIFS(AL$3:AL$623,$BC$3:$BC$623,1,$G$3:$G$623,$G131),0)</f>
        <v>0.10109245548674702</v>
      </c>
      <c r="AP131" s="2">
        <f>IFERROR(R131/$V131*90,"")</f>
        <v>0</v>
      </c>
      <c r="AQ131" s="2">
        <f>IFERROR(S131/$V131*90,"")</f>
        <v>0</v>
      </c>
      <c r="AR131" s="2">
        <f>IFERROR(W131/$V131*90,"")</f>
        <v>0.13896037056098817</v>
      </c>
      <c r="AS131" s="2">
        <f>IFERROR(X131/$V131*90,"")</f>
        <v>0.13896037056098817</v>
      </c>
      <c r="AT131" s="2">
        <f>IFERROR(Y131/$V131*90,"")</f>
        <v>0</v>
      </c>
      <c r="AU131" s="2">
        <f>IF(AP131="",INDEX(BV$4:BV$7,MATCH(O131,$BU$4:$BU$7,0)),AP131)</f>
        <v>0</v>
      </c>
      <c r="AV131" s="2">
        <f>IF(AQ131="",INDEX(BW$4:BW$7,MATCH($O131,$BU$4:$BU$7,0)),AQ131)</f>
        <v>0</v>
      </c>
      <c r="AW131" s="2">
        <f t="shared" si="12"/>
        <v>0.13896037056098817</v>
      </c>
      <c r="AX131" s="2">
        <f t="shared" si="13"/>
        <v>0.13896037056098817</v>
      </c>
      <c r="AY131" s="2">
        <f t="shared" si="14"/>
        <v>0</v>
      </c>
      <c r="AZ131" s="2">
        <f>AU131*0.5+AK131*0.5</f>
        <v>5.118154761904762E-2</v>
      </c>
      <c r="BA131" s="2">
        <f>AV131*0.5+AJ131*0.5</f>
        <v>6.1529304029304038E-2</v>
      </c>
      <c r="BB131" s="2">
        <f t="shared" si="15"/>
        <v>0.13948018528049411</v>
      </c>
      <c r="BC131">
        <f>IF(I131="expected",1,0)</f>
        <v>1</v>
      </c>
      <c r="BD131" s="78">
        <f>IF(BC131=1,AZ131/SUMIFS(AZ$3:AZ$623,$BC$3:$BC$623,1,$G$3:$G$623,$G131),0)</f>
        <v>1.7728292297483624E-2</v>
      </c>
      <c r="BE131" s="78">
        <f>IF(BC131=1,BA131/SUMIFS(BA$3:BA$623,$BC$3:$BC$623,1,$G$3:$G$623,$G131),0)</f>
        <v>3.45316306154747E-2</v>
      </c>
      <c r="BF131" s="78">
        <f t="shared" si="16"/>
        <v>1.9110144892514877E-2</v>
      </c>
      <c r="BG131" s="2">
        <f t="shared" si="17"/>
        <v>0.13948018528049411</v>
      </c>
      <c r="BH131" s="2">
        <f t="shared" si="18"/>
        <v>0</v>
      </c>
      <c r="BI131" s="2">
        <f t="shared" si="19"/>
        <v>1.7728292297483624E-2</v>
      </c>
      <c r="BJ131" s="2">
        <f t="shared" si="20"/>
        <v>3.45316306154747E-2</v>
      </c>
      <c r="BK131" s="2">
        <f t="shared" si="21"/>
        <v>1.9110144892514877E-2</v>
      </c>
      <c r="BL131" s="2">
        <f t="shared" si="22"/>
        <v>0.13948018528049411</v>
      </c>
      <c r="BM131" s="2">
        <f t="shared" si="23"/>
        <v>0</v>
      </c>
      <c r="BN131" s="2">
        <f>BI131/SUMIFS(BI$3:BI$623,$BC$3:$BC$623,1,$G$3:$G$623,$G131)</f>
        <v>1.7728292297483624E-2</v>
      </c>
      <c r="BO131" s="2">
        <f>BJ131/SUMIFS(BJ$3:BJ$623,$BC$3:$BC$623,1,$G$3:$G$623,$G131)</f>
        <v>3.45316306154747E-2</v>
      </c>
      <c r="BP131" s="2">
        <f>BK131/SUMIFS(BK$3:BK$623,$BC$3:$BC$623,1,$G$3:$G$623,$G131)</f>
        <v>1.9110144892514877E-2</v>
      </c>
      <c r="BQ131" s="2">
        <f>BL131</f>
        <v>0.13948018528049411</v>
      </c>
      <c r="BR131" s="2">
        <f>BM131</f>
        <v>0</v>
      </c>
    </row>
    <row r="132" spans="1:70" hidden="1">
      <c r="A132" s="74">
        <v>0</v>
      </c>
      <c r="B132" s="73">
        <v>204666</v>
      </c>
      <c r="C132" s="73" t="s">
        <v>1501</v>
      </c>
      <c r="D132" s="73" t="s">
        <v>1502</v>
      </c>
      <c r="E132" s="73" t="s">
        <v>1503</v>
      </c>
      <c r="F132" s="73">
        <v>18647</v>
      </c>
      <c r="G132" s="73" t="s">
        <v>891</v>
      </c>
      <c r="H132" s="73" t="s">
        <v>927</v>
      </c>
      <c r="I132" s="73" t="s">
        <v>1012</v>
      </c>
      <c r="J132" s="73">
        <v>0</v>
      </c>
      <c r="K132" s="73">
        <v>6.5</v>
      </c>
      <c r="L132" s="73">
        <v>0</v>
      </c>
      <c r="M132" s="73">
        <v>0</v>
      </c>
      <c r="N132" s="73">
        <v>0</v>
      </c>
      <c r="O132" s="73" t="s">
        <v>1318</v>
      </c>
      <c r="P132" s="73" t="s">
        <v>1504</v>
      </c>
      <c r="Q132" s="73" t="s">
        <v>1505</v>
      </c>
      <c r="R132" s="73">
        <v>1</v>
      </c>
      <c r="S132" s="73">
        <v>0</v>
      </c>
      <c r="T132" s="73">
        <v>0</v>
      </c>
      <c r="U132" s="73">
        <v>8</v>
      </c>
      <c r="V132" s="73">
        <v>2476</v>
      </c>
      <c r="W132" s="73">
        <v>5</v>
      </c>
      <c r="X132" s="73">
        <v>7</v>
      </c>
      <c r="Y132" s="73">
        <v>2</v>
      </c>
      <c r="Z132" s="73" t="s">
        <v>989</v>
      </c>
      <c r="AA132" s="73" t="s">
        <v>692</v>
      </c>
      <c r="AB132" s="73" t="str">
        <f>IF(AA132&lt;&gt;"",INDEX(Lookup!$N$2:$N$5,MATCH(Players!AA132,Lookup!$P$2:$P$5,0)),INDEX(Lookup!$N$2:$N$5,MATCH(Players!O132,Lookup!$O$2:$O$5,0)))</f>
        <v>Defense</v>
      </c>
      <c r="AC132" s="73">
        <v>3500000</v>
      </c>
      <c r="AD132" s="73" t="s">
        <v>793</v>
      </c>
      <c r="AE132" s="73" t="str">
        <f>INDEX('Translate table'!$H$2:$H$622,MATCH(Players!P132,'Translate table'!$G$2:$G$622,0))</f>
        <v>ClÃ©ment Lenglet</v>
      </c>
      <c r="AF132" s="73">
        <f>IFERROR(INDEX('Euro Qual stats'!$A$1:$L$2071,MATCH(Players!$AE132,'Euro Qual stats'!$A$1:$A$2071,0),MATCH(Players!AF$2,'Euro Qual stats'!$A$1:$L$1,0)),0)</f>
        <v>7</v>
      </c>
      <c r="AG132" s="73">
        <f>IFERROR(INDEX('Euro Qual stats'!$A$1:$L$2071,MATCH(Players!$AE132,'Euro Qual stats'!$A$1:$A$2071,0),MATCH(Players!AG$2,'Euro Qual stats'!$A$1:$L$1,0)),0)</f>
        <v>0</v>
      </c>
      <c r="AH132" s="73">
        <f>IFERROR(INDEX('Euro Qual stats'!$A$1:$L$2071,MATCH(Players!$AE132,'Euro Qual stats'!$A$1:$A$2071,0),MATCH(Players!AH$2,'Euro Qual stats'!$A$1:$L$1,0)),0)</f>
        <v>0.14000000000000001</v>
      </c>
      <c r="AI132" s="73">
        <f>IFERROR(INDEX('Euro Qual stats'!$A$1:$L$2071,MATCH(Players!$AE132,'Euro Qual stats'!$A$1:$A$2071,0),MATCH(Players!AI$2,'Euro Qual stats'!$A$1:$L$1,0)),0)</f>
        <v>0.14000000000000001</v>
      </c>
      <c r="AJ132" s="93">
        <f>(12-AF132)/12*INDEX(BV$9:BV$12,MATCH($AB132,$BU$9:$BU$12,0))+AF132/12*AG132</f>
        <v>3.715659340659342E-2</v>
      </c>
      <c r="AK132" s="93">
        <f>(12-AG132)/12*INDEX(BW$9:BW$12,MATCH($AB132,$BU$9:$BU$12,0))+AG132/12*AH132</f>
        <v>0.10357142857142858</v>
      </c>
      <c r="AL132" s="93">
        <f>(12-AH132)/12*INDEX(BX$9:BX$12,MATCH($AB132,$BU$9:$BU$12,0))+AH132/12*AI132</f>
        <v>0.19294642857142846</v>
      </c>
      <c r="AM132" s="93">
        <f>IF($BC132=1,AJ132/SUMIFS(AJ$3:AJ$623,$BC$3:$BC$623,1,$G$3:$G$623,$G132),0)</f>
        <v>0</v>
      </c>
      <c r="AN132" s="93">
        <f>IF($BC132=1,AK132/SUMIFS(AK$3:AK$623,$BC$3:$BC$623,1,$G$3:$G$623,$G132),0)</f>
        <v>0</v>
      </c>
      <c r="AO132" s="93">
        <f>IF($BC132=1,AL132/SUMIFS(AL$3:AL$623,$BC$3:$BC$623,1,$G$3:$G$623,$G132),0)</f>
        <v>0</v>
      </c>
      <c r="AP132" s="2">
        <f>IFERROR(R132/$V132*90,"")</f>
        <v>3.6348949919224556E-2</v>
      </c>
      <c r="AQ132" s="2">
        <f>IFERROR(S132/$V132*90,"")</f>
        <v>0</v>
      </c>
      <c r="AR132" s="2">
        <f>IFERROR(W132/$V132*90,"")</f>
        <v>0.18174474959612277</v>
      </c>
      <c r="AS132" s="2">
        <f>IFERROR(X132/$V132*90,"")</f>
        <v>0.2544426494345719</v>
      </c>
      <c r="AT132" s="2">
        <f>IFERROR(Y132/$V132*90,"")</f>
        <v>7.2697899838449112E-2</v>
      </c>
      <c r="AU132" s="2">
        <f>IF(AP132="",INDEX(BV$4:BV$7,MATCH(O132,$BU$4:$BU$7,0)),AP132)</f>
        <v>3.6348949919224556E-2</v>
      </c>
      <c r="AV132" s="2">
        <f>IF(AQ132="",INDEX(BW$4:BW$7,MATCH($O132,$BU$4:$BU$7,0)),AQ132)</f>
        <v>0</v>
      </c>
      <c r="AW132" s="2">
        <f t="shared" ref="AW132:AW195" si="24">IF(AR132="",INDEX(BX$4:BX$7,MATCH($O132,$BU$4:$BU$7,0)),AR132)</f>
        <v>0.18174474959612277</v>
      </c>
      <c r="AX132" s="2">
        <f t="shared" ref="AX132:AX195" si="25">IF(AS132="",INDEX(BY$4:BY$7,MATCH($O132,$BU$4:$BU$7,0)),AS132)</f>
        <v>0.2544426494345719</v>
      </c>
      <c r="AY132" s="2">
        <f t="shared" ref="AY132:AY195" si="26">IF(AT132="",INDEX(BZ$4:BZ$7,MATCH($O132,$BU$4:$BU$7,0)),AT132)</f>
        <v>7.2697899838449112E-2</v>
      </c>
      <c r="AZ132" s="2">
        <f>AU132*0.5+AK132*0.5</f>
        <v>6.9960189245326571E-2</v>
      </c>
      <c r="BA132" s="2">
        <f>AV132*0.5+AJ132*0.5</f>
        <v>1.857829670329671E-2</v>
      </c>
      <c r="BB132" s="2">
        <f t="shared" ref="BB132:BB195" si="27">AX132*0.5+AI132*0.5</f>
        <v>0.19722132471728596</v>
      </c>
      <c r="BC132">
        <f>IF(I132="expected",1,0)</f>
        <v>0</v>
      </c>
      <c r="BD132" s="78">
        <f>IF(BC132=1,AZ132/SUMIFS(AZ$3:AZ$623,$BC$3:$BC$623,1,$G$3:$G$623,$G132),0)</f>
        <v>0</v>
      </c>
      <c r="BE132" s="78">
        <f>IF(BC132=1,BA132/SUMIFS(BA$3:BA$623,$BC$3:$BC$623,1,$G$3:$G$623,$G132),0)</f>
        <v>0</v>
      </c>
      <c r="BF132" s="78">
        <f t="shared" ref="BF132:BF195" si="28">IF(BC132=1,AW132/SUMIFS(AW$3:AW$623,$BC$3:$BC$623,1,$G$3:$G$623,$G132),0)</f>
        <v>0</v>
      </c>
      <c r="BG132" s="2">
        <f t="shared" ref="BG132:BG195" si="29">BB132</f>
        <v>0.19722132471728596</v>
      </c>
      <c r="BH132" s="2">
        <f t="shared" ref="BH132:BH195" si="30">AY132</f>
        <v>7.2697899838449112E-2</v>
      </c>
      <c r="BI132" s="2">
        <f t="shared" ref="BI132:BI195" si="31">MIN(BI$1,BD132)</f>
        <v>0</v>
      </c>
      <c r="BJ132" s="2">
        <f t="shared" ref="BJ132:BJ195" si="32">MIN(BJ$1,BE132)</f>
        <v>0</v>
      </c>
      <c r="BK132" s="2">
        <f t="shared" ref="BK132:BK195" si="33">MIN(BK$1,BF132)</f>
        <v>0</v>
      </c>
      <c r="BL132" s="2">
        <f t="shared" ref="BL132:BL195" si="34">BG132</f>
        <v>0.19722132471728596</v>
      </c>
      <c r="BM132" s="2">
        <f t="shared" ref="BM132:BM195" si="35">MIN($BM$1,BH132)</f>
        <v>0.06</v>
      </c>
      <c r="BN132" s="2">
        <f>BI132/SUMIFS(BI$3:BI$623,$BC$3:$BC$623,1,$G$3:$G$623,$G132)</f>
        <v>0</v>
      </c>
      <c r="BO132" s="2">
        <f>BJ132/SUMIFS(BJ$3:BJ$623,$BC$3:$BC$623,1,$G$3:$G$623,$G132)</f>
        <v>0</v>
      </c>
      <c r="BP132" s="2">
        <f>BK132/SUMIFS(BK$3:BK$623,$BC$3:$BC$623,1,$G$3:$G$623,$G132)</f>
        <v>0</v>
      </c>
      <c r="BQ132" s="2">
        <f>BL132</f>
        <v>0.19722132471728596</v>
      </c>
      <c r="BR132" s="2">
        <f>BM132</f>
        <v>0.06</v>
      </c>
    </row>
    <row r="133" spans="1:70" hidden="1">
      <c r="A133" s="74">
        <v>0</v>
      </c>
      <c r="B133" s="73">
        <v>204665</v>
      </c>
      <c r="C133" s="73" t="s">
        <v>1506</v>
      </c>
      <c r="D133" s="73" t="s">
        <v>1507</v>
      </c>
      <c r="E133" s="73" t="s">
        <v>1508</v>
      </c>
      <c r="F133" s="73">
        <v>18647</v>
      </c>
      <c r="G133" s="73" t="s">
        <v>891</v>
      </c>
      <c r="H133" s="73" t="s">
        <v>927</v>
      </c>
      <c r="I133" s="73" t="s">
        <v>1012</v>
      </c>
      <c r="J133" s="73">
        <v>0</v>
      </c>
      <c r="K133" s="73">
        <v>6.5</v>
      </c>
      <c r="L133" s="73">
        <v>0</v>
      </c>
      <c r="M133" s="73">
        <v>0</v>
      </c>
      <c r="N133" s="73">
        <v>0</v>
      </c>
      <c r="O133" s="73" t="s">
        <v>1318</v>
      </c>
      <c r="P133" s="73" t="s">
        <v>239</v>
      </c>
      <c r="Q133" s="73" t="s">
        <v>239</v>
      </c>
      <c r="R133" s="73">
        <v>0</v>
      </c>
      <c r="S133" s="73">
        <v>7</v>
      </c>
      <c r="T133" s="73">
        <v>0</v>
      </c>
      <c r="U133" s="73">
        <v>9</v>
      </c>
      <c r="V133" s="73">
        <v>2682</v>
      </c>
      <c r="W133" s="73">
        <v>0</v>
      </c>
      <c r="X133" s="73">
        <v>2</v>
      </c>
      <c r="Y133" s="73">
        <v>1</v>
      </c>
      <c r="Z133" s="73" t="s">
        <v>989</v>
      </c>
      <c r="AA133" s="73" t="s">
        <v>692</v>
      </c>
      <c r="AB133" s="73" t="str">
        <f>IF(AA133&lt;&gt;"",INDEX(Lookup!$N$2:$N$5,MATCH(Players!AA133,Lookup!$P$2:$P$5,0)),INDEX(Lookup!$N$2:$N$5,MATCH(Players!O133,Lookup!$O$2:$O$5,0)))</f>
        <v>Defense</v>
      </c>
      <c r="AC133" s="73">
        <v>3500000</v>
      </c>
      <c r="AD133" s="73" t="s">
        <v>807</v>
      </c>
      <c r="AE133" s="73" t="str">
        <f>INDEX('Translate table'!$H$2:$H$622,MATCH(Players!P133,'Translate table'!$G$2:$G$622,0))</f>
        <v>Lucas Digne</v>
      </c>
      <c r="AF133" s="73">
        <f>IFERROR(INDEX('Euro Qual stats'!$A$1:$L$2071,MATCH(Players!$AE133,'Euro Qual stats'!$A$1:$A$2071,0),MATCH(Players!AF$2,'Euro Qual stats'!$A$1:$L$1,0)),0)</f>
        <v>6</v>
      </c>
      <c r="AG133" s="73">
        <f>IFERROR(INDEX('Euro Qual stats'!$A$1:$L$2071,MATCH(Players!$AE133,'Euro Qual stats'!$A$1:$A$2071,0),MATCH(Players!AG$2,'Euro Qual stats'!$A$1:$L$1,0)),0)</f>
        <v>0</v>
      </c>
      <c r="AH133" s="73">
        <f>IFERROR(INDEX('Euro Qual stats'!$A$1:$L$2071,MATCH(Players!$AE133,'Euro Qual stats'!$A$1:$A$2071,0),MATCH(Players!AH$2,'Euro Qual stats'!$A$1:$L$1,0)),0)</f>
        <v>0</v>
      </c>
      <c r="AI133" s="73">
        <f>IFERROR(INDEX('Euro Qual stats'!$A$1:$L$2071,MATCH(Players!$AE133,'Euro Qual stats'!$A$1:$A$2071,0),MATCH(Players!AI$2,'Euro Qual stats'!$A$1:$L$1,0)),0)</f>
        <v>0.26</v>
      </c>
      <c r="AJ133" s="93">
        <f>(12-AF133)/12*INDEX(BV$9:BV$12,MATCH($AB133,$BU$9:$BU$12,0))+AF133/12*AG133</f>
        <v>4.4587912087912102E-2</v>
      </c>
      <c r="AK133" s="93">
        <f>(12-AG133)/12*INDEX(BW$9:BW$12,MATCH($AB133,$BU$9:$BU$12,0))+AG133/12*AH133</f>
        <v>0.10357142857142858</v>
      </c>
      <c r="AL133" s="93">
        <f>(12-AH133)/12*INDEX(BX$9:BX$12,MATCH($AB133,$BU$9:$BU$12,0))+AH133/12*AI133</f>
        <v>0.19357142857142848</v>
      </c>
      <c r="AM133" s="93">
        <f>IF($BC133=1,AJ133/SUMIFS(AJ$3:AJ$623,$BC$3:$BC$623,1,$G$3:$G$623,$G133),0)</f>
        <v>0</v>
      </c>
      <c r="AN133" s="93">
        <f>IF($BC133=1,AK133/SUMIFS(AK$3:AK$623,$BC$3:$BC$623,1,$G$3:$G$623,$G133),0)</f>
        <v>0</v>
      </c>
      <c r="AO133" s="93">
        <f>IF($BC133=1,AL133/SUMIFS(AL$3:AL$623,$BC$3:$BC$623,1,$G$3:$G$623,$G133),0)</f>
        <v>0</v>
      </c>
      <c r="AP133" s="2">
        <f>IFERROR(R133/$V133*90,"")</f>
        <v>0</v>
      </c>
      <c r="AQ133" s="2">
        <f>IFERROR(S133/$V133*90,"")</f>
        <v>0.2348993288590604</v>
      </c>
      <c r="AR133" s="2">
        <f>IFERROR(W133/$V133*90,"")</f>
        <v>0</v>
      </c>
      <c r="AS133" s="2">
        <f>IFERROR(X133/$V133*90,"")</f>
        <v>6.7114093959731544E-2</v>
      </c>
      <c r="AT133" s="2">
        <f>IFERROR(Y133/$V133*90,"")</f>
        <v>3.3557046979865772E-2</v>
      </c>
      <c r="AU133" s="2">
        <f>IF(AP133="",INDEX(BV$4:BV$7,MATCH(O133,$BU$4:$BU$7,0)),AP133)</f>
        <v>0</v>
      </c>
      <c r="AV133" s="2">
        <f>IF(AQ133="",INDEX(BW$4:BW$7,MATCH($O133,$BU$4:$BU$7,0)),AQ133)</f>
        <v>0.2348993288590604</v>
      </c>
      <c r="AW133" s="2">
        <f t="shared" si="24"/>
        <v>0</v>
      </c>
      <c r="AX133" s="2">
        <f t="shared" si="25"/>
        <v>6.7114093959731544E-2</v>
      </c>
      <c r="AY133" s="2">
        <f t="shared" si="26"/>
        <v>3.3557046979865772E-2</v>
      </c>
      <c r="AZ133" s="2">
        <f>AU133*0.5+AK133*0.5</f>
        <v>5.1785714285714289E-2</v>
      </c>
      <c r="BA133" s="2">
        <f>AV133*0.5+AJ133*0.5</f>
        <v>0.13974362047348626</v>
      </c>
      <c r="BB133" s="2">
        <f t="shared" si="27"/>
        <v>0.16355704697986578</v>
      </c>
      <c r="BC133">
        <f>IF(I133="expected",1,0)</f>
        <v>0</v>
      </c>
      <c r="BD133" s="78">
        <f>IF(BC133=1,AZ133/SUMIFS(AZ$3:AZ$623,$BC$3:$BC$623,1,$G$3:$G$623,$G133),0)</f>
        <v>0</v>
      </c>
      <c r="BE133" s="78">
        <f>IF(BC133=1,BA133/SUMIFS(BA$3:BA$623,$BC$3:$BC$623,1,$G$3:$G$623,$G133),0)</f>
        <v>0</v>
      </c>
      <c r="BF133" s="78">
        <f t="shared" si="28"/>
        <v>0</v>
      </c>
      <c r="BG133" s="2">
        <f t="shared" si="29"/>
        <v>0.16355704697986578</v>
      </c>
      <c r="BH133" s="2">
        <f t="shared" si="30"/>
        <v>3.3557046979865772E-2</v>
      </c>
      <c r="BI133" s="2">
        <f t="shared" si="31"/>
        <v>0</v>
      </c>
      <c r="BJ133" s="2">
        <f t="shared" si="32"/>
        <v>0</v>
      </c>
      <c r="BK133" s="2">
        <f t="shared" si="33"/>
        <v>0</v>
      </c>
      <c r="BL133" s="2">
        <f t="shared" si="34"/>
        <v>0.16355704697986578</v>
      </c>
      <c r="BM133" s="2">
        <f t="shared" si="35"/>
        <v>3.3557046979865772E-2</v>
      </c>
      <c r="BN133" s="2">
        <f>BI133/SUMIFS(BI$3:BI$623,$BC$3:$BC$623,1,$G$3:$G$623,$G133)</f>
        <v>0</v>
      </c>
      <c r="BO133" s="2">
        <f>BJ133/SUMIFS(BJ$3:BJ$623,$BC$3:$BC$623,1,$G$3:$G$623,$G133)</f>
        <v>0</v>
      </c>
      <c r="BP133" s="2">
        <f>BK133/SUMIFS(BK$3:BK$623,$BC$3:$BC$623,1,$G$3:$G$623,$G133)</f>
        <v>0</v>
      </c>
      <c r="BQ133" s="2">
        <f>BL133</f>
        <v>0.16355704697986578</v>
      </c>
      <c r="BR133" s="2">
        <f>BM133</f>
        <v>3.3557046979865772E-2</v>
      </c>
    </row>
    <row r="134" spans="1:70" hidden="1">
      <c r="A134" s="74">
        <v>0</v>
      </c>
      <c r="B134" s="73">
        <v>204664</v>
      </c>
      <c r="C134" s="73" t="s">
        <v>1509</v>
      </c>
      <c r="D134" s="73" t="s">
        <v>1507</v>
      </c>
      <c r="E134" s="73" t="s">
        <v>1510</v>
      </c>
      <c r="F134" s="73">
        <v>18647</v>
      </c>
      <c r="G134" s="73" t="s">
        <v>891</v>
      </c>
      <c r="H134" s="73" t="s">
        <v>927</v>
      </c>
      <c r="I134" s="73" t="s">
        <v>981</v>
      </c>
      <c r="J134" s="73">
        <v>0</v>
      </c>
      <c r="K134" s="73">
        <v>6.5</v>
      </c>
      <c r="L134" s="73">
        <v>0</v>
      </c>
      <c r="M134" s="73">
        <v>0</v>
      </c>
      <c r="N134" s="73">
        <v>0</v>
      </c>
      <c r="O134" s="73" t="s">
        <v>1318</v>
      </c>
      <c r="P134" s="73" t="s">
        <v>1511</v>
      </c>
      <c r="Q134" s="73" t="s">
        <v>1512</v>
      </c>
      <c r="R134" s="73">
        <v>0</v>
      </c>
      <c r="S134" s="73">
        <v>2</v>
      </c>
      <c r="T134" s="73">
        <v>0</v>
      </c>
      <c r="U134" s="73">
        <v>6</v>
      </c>
      <c r="V134" s="73">
        <v>1598</v>
      </c>
      <c r="W134" s="73">
        <v>1</v>
      </c>
      <c r="X134" s="73">
        <v>4</v>
      </c>
      <c r="Y134" s="73">
        <v>0</v>
      </c>
      <c r="Z134" s="73" t="s">
        <v>989</v>
      </c>
      <c r="AA134" s="73" t="s">
        <v>692</v>
      </c>
      <c r="AB134" s="73" t="str">
        <f>IF(AA134&lt;&gt;"",INDEX(Lookup!$N$2:$N$5,MATCH(Players!AA134,Lookup!$P$2:$P$5,0)),INDEX(Lookup!$N$2:$N$5,MATCH(Players!O134,Lookup!$O$2:$O$5,0)))</f>
        <v>Defense</v>
      </c>
      <c r="AC134" s="73">
        <v>4000000</v>
      </c>
      <c r="AD134" s="73" t="s">
        <v>810</v>
      </c>
      <c r="AE134" s="73" t="str">
        <f>INDEX('Translate table'!$H$2:$H$622,MATCH(Players!P134,'Translate table'!$G$2:$G$622,0))</f>
        <v>Lucas HernÃ¡ndez Pi</v>
      </c>
      <c r="AF134" s="73">
        <f>IFERROR(INDEX('Euro Qual stats'!$A$1:$L$2071,MATCH(Players!$AE134,'Euro Qual stats'!$A$1:$A$2071,0),MATCH(Players!AF$2,'Euro Qual stats'!$A$1:$L$1,0)),0)</f>
        <v>2</v>
      </c>
      <c r="AG134" s="73">
        <f>IFERROR(INDEX('Euro Qual stats'!$A$1:$L$2071,MATCH(Players!$AE134,'Euro Qual stats'!$A$1:$A$2071,0),MATCH(Players!AG$2,'Euro Qual stats'!$A$1:$L$1,0)),0)</f>
        <v>0.53</v>
      </c>
      <c r="AH134" s="73">
        <f>IFERROR(INDEX('Euro Qual stats'!$A$1:$L$2071,MATCH(Players!$AE134,'Euro Qual stats'!$A$1:$A$2071,0),MATCH(Players!AH$2,'Euro Qual stats'!$A$1:$L$1,0)),0)</f>
        <v>0</v>
      </c>
      <c r="AI134" s="73">
        <f>IFERROR(INDEX('Euro Qual stats'!$A$1:$L$2071,MATCH(Players!$AE134,'Euro Qual stats'!$A$1:$A$2071,0),MATCH(Players!AI$2,'Euro Qual stats'!$A$1:$L$1,0)),0)</f>
        <v>0.53</v>
      </c>
      <c r="AJ134" s="93">
        <f>(12-AF134)/12*INDEX(BV$9:BV$12,MATCH($AB134,$BU$9:$BU$12,0))+AF134/12*AG134</f>
        <v>0.16264652014652017</v>
      </c>
      <c r="AK134" s="93">
        <f>(12-AG134)/12*INDEX(BW$9:BW$12,MATCH($AB134,$BU$9:$BU$12,0))+AG134/12*AH134</f>
        <v>9.8997023809523826E-2</v>
      </c>
      <c r="AL134" s="93">
        <f>(12-AH134)/12*INDEX(BX$9:BX$12,MATCH($AB134,$BU$9:$BU$12,0))+AH134/12*AI134</f>
        <v>0.19357142857142848</v>
      </c>
      <c r="AM134" s="93">
        <f>IF($BC134=1,AJ134/SUMIFS(AJ$3:AJ$623,$BC$3:$BC$623,1,$G$3:$G$623,$G134),0)</f>
        <v>8.3959711911921392E-2</v>
      </c>
      <c r="AN134" s="93">
        <f>IF($BC134=1,AK134/SUMIFS(AK$3:AK$623,$BC$3:$BC$623,1,$G$3:$G$623,$G134),0)</f>
        <v>3.3250611187854051E-2</v>
      </c>
      <c r="AO134" s="93">
        <f>IF($BC134=1,AL134/SUMIFS(AL$3:AL$623,$BC$3:$BC$623,1,$G$3:$G$623,$G134),0)</f>
        <v>0.10109245548674702</v>
      </c>
      <c r="AP134" s="2">
        <f>IFERROR(R134/$V134*90,"")</f>
        <v>0</v>
      </c>
      <c r="AQ134" s="2">
        <f>IFERROR(S134/$V134*90,"")</f>
        <v>0.11264080100125157</v>
      </c>
      <c r="AR134" s="2">
        <f>IFERROR(W134/$V134*90,"")</f>
        <v>5.6320400500625784E-2</v>
      </c>
      <c r="AS134" s="2">
        <f>IFERROR(X134/$V134*90,"")</f>
        <v>0.22528160200250313</v>
      </c>
      <c r="AT134" s="2">
        <f>IFERROR(Y134/$V134*90,"")</f>
        <v>0</v>
      </c>
      <c r="AU134" s="2">
        <f>IF(AP134="",INDEX(BV$4:BV$7,MATCH(O134,$BU$4:$BU$7,0)),AP134)</f>
        <v>0</v>
      </c>
      <c r="AV134" s="2">
        <f>IF(AQ134="",INDEX(BW$4:BW$7,MATCH($O134,$BU$4:$BU$7,0)),AQ134)</f>
        <v>0.11264080100125157</v>
      </c>
      <c r="AW134" s="2">
        <f t="shared" si="24"/>
        <v>5.6320400500625784E-2</v>
      </c>
      <c r="AX134" s="2">
        <f t="shared" si="25"/>
        <v>0.22528160200250313</v>
      </c>
      <c r="AY134" s="2">
        <f t="shared" si="26"/>
        <v>0</v>
      </c>
      <c r="AZ134" s="2">
        <f>AU134*0.5+AK134*0.5</f>
        <v>4.9498511904761913E-2</v>
      </c>
      <c r="BA134" s="2">
        <f>AV134*0.5+AJ134*0.5</f>
        <v>0.13764366057388588</v>
      </c>
      <c r="BB134" s="2">
        <f t="shared" si="27"/>
        <v>0.37764080100125158</v>
      </c>
      <c r="BC134">
        <f>IF(I134="expected",1,0)</f>
        <v>1</v>
      </c>
      <c r="BD134" s="78">
        <f>IF(BC134=1,AZ134/SUMIFS(AZ$3:AZ$623,$BC$3:$BC$623,1,$G$3:$G$623,$G134),0)</f>
        <v>1.7145321471512414E-2</v>
      </c>
      <c r="BE134" s="78">
        <f>IF(BC134=1,BA134/SUMIFS(BA$3:BA$623,$BC$3:$BC$623,1,$G$3:$G$623,$G134),0)</f>
        <v>7.7248721052256761E-2</v>
      </c>
      <c r="BF134" s="78">
        <f t="shared" si="28"/>
        <v>7.745309037579559E-3</v>
      </c>
      <c r="BG134" s="2">
        <f t="shared" si="29"/>
        <v>0.37764080100125158</v>
      </c>
      <c r="BH134" s="2">
        <f t="shared" si="30"/>
        <v>0</v>
      </c>
      <c r="BI134" s="2">
        <f t="shared" si="31"/>
        <v>1.7145321471512414E-2</v>
      </c>
      <c r="BJ134" s="2">
        <f t="shared" si="32"/>
        <v>7.7248721052256761E-2</v>
      </c>
      <c r="BK134" s="2">
        <f t="shared" si="33"/>
        <v>7.745309037579559E-3</v>
      </c>
      <c r="BL134" s="2">
        <f t="shared" si="34"/>
        <v>0.37764080100125158</v>
      </c>
      <c r="BM134" s="2">
        <f t="shared" si="35"/>
        <v>0</v>
      </c>
      <c r="BN134" s="2">
        <f>BI134/SUMIFS(BI$3:BI$623,$BC$3:$BC$623,1,$G$3:$G$623,$G134)</f>
        <v>1.7145321471512414E-2</v>
      </c>
      <c r="BO134" s="2">
        <f>BJ134/SUMIFS(BJ$3:BJ$623,$BC$3:$BC$623,1,$G$3:$G$623,$G134)</f>
        <v>7.7248721052256761E-2</v>
      </c>
      <c r="BP134" s="2">
        <f>BK134/SUMIFS(BK$3:BK$623,$BC$3:$BC$623,1,$G$3:$G$623,$G134)</f>
        <v>7.745309037579559E-3</v>
      </c>
      <c r="BQ134" s="2">
        <f>BL134</f>
        <v>0.37764080100125158</v>
      </c>
      <c r="BR134" s="2">
        <f>BM134</f>
        <v>0</v>
      </c>
    </row>
    <row r="135" spans="1:70" hidden="1">
      <c r="A135" s="74">
        <v>0</v>
      </c>
      <c r="B135" s="73">
        <v>204660</v>
      </c>
      <c r="C135" s="73" t="s">
        <v>1513</v>
      </c>
      <c r="D135" s="73" t="s">
        <v>1462</v>
      </c>
      <c r="E135" s="73" t="s">
        <v>1514</v>
      </c>
      <c r="F135" s="73">
        <v>18647</v>
      </c>
      <c r="G135" s="73" t="s">
        <v>891</v>
      </c>
      <c r="H135" s="73" t="s">
        <v>927</v>
      </c>
      <c r="I135" s="73" t="s">
        <v>981</v>
      </c>
      <c r="J135" s="73">
        <v>0</v>
      </c>
      <c r="K135" s="73">
        <v>6.5</v>
      </c>
      <c r="L135" s="73">
        <v>0</v>
      </c>
      <c r="M135" s="73">
        <v>0</v>
      </c>
      <c r="N135" s="73">
        <v>0</v>
      </c>
      <c r="O135" s="73" t="s">
        <v>1318</v>
      </c>
      <c r="P135" s="73" t="s">
        <v>1515</v>
      </c>
      <c r="Q135" s="73" t="s">
        <v>1516</v>
      </c>
      <c r="R135" s="73">
        <v>2</v>
      </c>
      <c r="S135" s="73">
        <v>0</v>
      </c>
      <c r="T135" s="73">
        <v>0</v>
      </c>
      <c r="U135" s="73">
        <v>12</v>
      </c>
      <c r="V135" s="73">
        <v>2716</v>
      </c>
      <c r="W135" s="73">
        <v>4</v>
      </c>
      <c r="X135" s="73">
        <v>2</v>
      </c>
      <c r="Y135" s="73">
        <v>0</v>
      </c>
      <c r="Z135" s="73" t="s">
        <v>989</v>
      </c>
      <c r="AA135" s="73" t="s">
        <v>692</v>
      </c>
      <c r="AB135" s="73" t="str">
        <f>IF(AA135&lt;&gt;"",INDEX(Lookup!$N$2:$N$5,MATCH(Players!AA135,Lookup!$P$2:$P$5,0)),INDEX(Lookup!$N$2:$N$5,MATCH(Players!O135,Lookup!$O$2:$O$5,0)))</f>
        <v>Defense</v>
      </c>
      <c r="AC135" s="73">
        <v>4500000</v>
      </c>
      <c r="AD135" s="73" t="s">
        <v>844</v>
      </c>
      <c r="AE135" s="73" t="str">
        <f>INDEX('Translate table'!$H$2:$H$622,MATCH(Players!P135,'Translate table'!$G$2:$G$622,0))</f>
        <v>RaphaÃ«l Varane</v>
      </c>
      <c r="AF135" s="73">
        <f>IFERROR(INDEX('Euro Qual stats'!$A$1:$L$2071,MATCH(Players!$AE135,'Euro Qual stats'!$A$1:$A$2071,0),MATCH(Players!AF$2,'Euro Qual stats'!$A$1:$L$1,0)),0)</f>
        <v>9</v>
      </c>
      <c r="AG135" s="73">
        <f>IFERROR(INDEX('Euro Qual stats'!$A$1:$L$2071,MATCH(Players!$AE135,'Euro Qual stats'!$A$1:$A$2071,0),MATCH(Players!AG$2,'Euro Qual stats'!$A$1:$L$1,0)),0)</f>
        <v>0.11</v>
      </c>
      <c r="AH135" s="73">
        <f>IFERROR(INDEX('Euro Qual stats'!$A$1:$L$2071,MATCH(Players!$AE135,'Euro Qual stats'!$A$1:$A$2071,0),MATCH(Players!AH$2,'Euro Qual stats'!$A$1:$L$1,0)),0)</f>
        <v>0.22</v>
      </c>
      <c r="AI135" s="73">
        <f>IFERROR(INDEX('Euro Qual stats'!$A$1:$L$2071,MATCH(Players!$AE135,'Euro Qual stats'!$A$1:$A$2071,0),MATCH(Players!AI$2,'Euro Qual stats'!$A$1:$L$1,0)),0)</f>
        <v>0.11</v>
      </c>
      <c r="AJ135" s="93">
        <f>(12-AF135)/12*INDEX(BV$9:BV$12,MATCH($AB135,$BU$9:$BU$12,0))+AF135/12*AG135</f>
        <v>0.10479395604395605</v>
      </c>
      <c r="AK135" s="93">
        <f>(12-AG135)/12*INDEX(BW$9:BW$12,MATCH($AB135,$BU$9:$BU$12,0))+AG135/12*AH135</f>
        <v>0.10463869047619048</v>
      </c>
      <c r="AL135" s="93">
        <f>(12-AH135)/12*INDEX(BX$9:BX$12,MATCH($AB135,$BU$9:$BU$12,0))+AH135/12*AI135</f>
        <v>0.19203928571428561</v>
      </c>
      <c r="AM135" s="93">
        <f>IF($BC135=1,AJ135/SUMIFS(AJ$3:AJ$623,$BC$3:$BC$623,1,$G$3:$G$623,$G135),0)</f>
        <v>5.409565695985994E-2</v>
      </c>
      <c r="AN135" s="93">
        <f>IF($BC135=1,AK135/SUMIFS(AK$3:AK$623,$BC$3:$BC$623,1,$G$3:$G$623,$G135),0)</f>
        <v>3.5145505171189771E-2</v>
      </c>
      <c r="AO135" s="93">
        <f>IF($BC135=1,AL135/SUMIFS(AL$3:AL$623,$BC$3:$BC$623,1,$G$3:$G$623,$G135),0)</f>
        <v>0.10029229564534821</v>
      </c>
      <c r="AP135" s="2">
        <f>IFERROR(R135/$V135*90,"")</f>
        <v>6.6273932253313697E-2</v>
      </c>
      <c r="AQ135" s="2">
        <f>IFERROR(S135/$V135*90,"")</f>
        <v>0</v>
      </c>
      <c r="AR135" s="2">
        <f>IFERROR(W135/$V135*90,"")</f>
        <v>0.13254786450662739</v>
      </c>
      <c r="AS135" s="2">
        <f>IFERROR(X135/$V135*90,"")</f>
        <v>6.6273932253313697E-2</v>
      </c>
      <c r="AT135" s="2">
        <f>IFERROR(Y135/$V135*90,"")</f>
        <v>0</v>
      </c>
      <c r="AU135" s="2">
        <f>IF(AP135="",INDEX(BV$4:BV$7,MATCH(O135,$BU$4:$BU$7,0)),AP135)</f>
        <v>6.6273932253313697E-2</v>
      </c>
      <c r="AV135" s="2">
        <f>IF(AQ135="",INDEX(BW$4:BW$7,MATCH($O135,$BU$4:$BU$7,0)),AQ135)</f>
        <v>0</v>
      </c>
      <c r="AW135" s="2">
        <f t="shared" si="24"/>
        <v>0.13254786450662739</v>
      </c>
      <c r="AX135" s="2">
        <f t="shared" si="25"/>
        <v>6.6273932253313697E-2</v>
      </c>
      <c r="AY135" s="2">
        <f t="shared" si="26"/>
        <v>0</v>
      </c>
      <c r="AZ135" s="2">
        <f>AU135*0.5+AK135*0.5</f>
        <v>8.5456311364752097E-2</v>
      </c>
      <c r="BA135" s="2">
        <f>AV135*0.5+AJ135*0.5</f>
        <v>5.2396978021978027E-2</v>
      </c>
      <c r="BB135" s="2">
        <f t="shared" si="27"/>
        <v>8.8136966126656849E-2</v>
      </c>
      <c r="BC135">
        <f>IF(I135="expected",1,0)</f>
        <v>1</v>
      </c>
      <c r="BD135" s="78">
        <f>IF(BC135=1,AZ135/SUMIFS(AZ$3:AZ$623,$BC$3:$BC$623,1,$G$3:$G$623,$G135),0)</f>
        <v>2.9600403602787498E-2</v>
      </c>
      <c r="BE135" s="78">
        <f>IF(BC135=1,BA135/SUMIFS(BA$3:BA$623,$BC$3:$BC$623,1,$G$3:$G$623,$G135),0)</f>
        <v>2.9406363666333136E-2</v>
      </c>
      <c r="BF135" s="78">
        <f t="shared" si="28"/>
        <v>1.8228282536159258E-2</v>
      </c>
      <c r="BG135" s="2">
        <f t="shared" si="29"/>
        <v>8.8136966126656849E-2</v>
      </c>
      <c r="BH135" s="2">
        <f t="shared" si="30"/>
        <v>0</v>
      </c>
      <c r="BI135" s="2">
        <f t="shared" si="31"/>
        <v>2.9600403602787498E-2</v>
      </c>
      <c r="BJ135" s="2">
        <f t="shared" si="32"/>
        <v>2.9406363666333136E-2</v>
      </c>
      <c r="BK135" s="2">
        <f t="shared" si="33"/>
        <v>1.8228282536159258E-2</v>
      </c>
      <c r="BL135" s="2">
        <f t="shared" si="34"/>
        <v>8.8136966126656849E-2</v>
      </c>
      <c r="BM135" s="2">
        <f t="shared" si="35"/>
        <v>0</v>
      </c>
      <c r="BN135" s="2">
        <f>BI135/SUMIFS(BI$3:BI$623,$BC$3:$BC$623,1,$G$3:$G$623,$G135)</f>
        <v>2.9600403602787498E-2</v>
      </c>
      <c r="BO135" s="2">
        <f>BJ135/SUMIFS(BJ$3:BJ$623,$BC$3:$BC$623,1,$G$3:$G$623,$G135)</f>
        <v>2.9406363666333136E-2</v>
      </c>
      <c r="BP135" s="2">
        <f>BK135/SUMIFS(BK$3:BK$623,$BC$3:$BC$623,1,$G$3:$G$623,$G135)</f>
        <v>1.8228282536159258E-2</v>
      </c>
      <c r="BQ135" s="2">
        <f>BL135</f>
        <v>8.8136966126656849E-2</v>
      </c>
      <c r="BR135" s="2">
        <f>BM135</f>
        <v>0</v>
      </c>
    </row>
    <row r="136" spans="1:70" hidden="1">
      <c r="A136" s="74">
        <v>0</v>
      </c>
      <c r="B136" s="73">
        <v>213475</v>
      </c>
      <c r="C136" s="73" t="s">
        <v>1517</v>
      </c>
      <c r="D136" s="73" t="s">
        <v>1518</v>
      </c>
      <c r="E136" s="73" t="s">
        <v>1519</v>
      </c>
      <c r="F136" s="73">
        <v>18647</v>
      </c>
      <c r="G136" s="73" t="s">
        <v>891</v>
      </c>
      <c r="H136" s="73" t="s">
        <v>927</v>
      </c>
      <c r="I136" s="73" t="s">
        <v>1012</v>
      </c>
      <c r="J136" s="73">
        <v>0</v>
      </c>
      <c r="K136" s="73">
        <v>6.5</v>
      </c>
      <c r="L136" s="73">
        <v>0</v>
      </c>
      <c r="M136" s="73">
        <v>0</v>
      </c>
      <c r="N136" s="73">
        <v>0</v>
      </c>
      <c r="O136" s="73" t="s">
        <v>994</v>
      </c>
      <c r="P136" s="73" t="s">
        <v>1520</v>
      </c>
      <c r="Q136" s="73" t="s">
        <v>1520</v>
      </c>
      <c r="R136" s="73">
        <v>1</v>
      </c>
      <c r="S136" s="73">
        <v>3</v>
      </c>
      <c r="T136" s="73">
        <v>0</v>
      </c>
      <c r="U136" s="73">
        <v>0</v>
      </c>
      <c r="V136" s="73">
        <v>1373</v>
      </c>
      <c r="W136" s="73">
        <v>11</v>
      </c>
      <c r="X136" s="73">
        <v>4</v>
      </c>
      <c r="Y136" s="73">
        <v>0</v>
      </c>
      <c r="Z136" s="73" t="s">
        <v>989</v>
      </c>
      <c r="AA136" s="73" t="s">
        <v>693</v>
      </c>
      <c r="AB136" s="73" t="str">
        <f>IF(AA136&lt;&gt;"",INDEX(Lookup!$N$2:$N$5,MATCH(Players!AA136,Lookup!$P$2:$P$5,0)),INDEX(Lookup!$N$2:$N$5,MATCH(Players!O136,Lookup!$O$2:$O$5,0)))</f>
        <v>Striker</v>
      </c>
      <c r="AC136" s="73">
        <v>3500000</v>
      </c>
      <c r="AD136" s="73" t="s">
        <v>790</v>
      </c>
      <c r="AE136" s="73" t="str">
        <f>INDEX('Translate table'!$H$2:$H$622,MATCH(Players!P136,'Translate table'!$G$2:$G$622,0))</f>
        <v>Thomas Lemar</v>
      </c>
      <c r="AF136" s="73">
        <f>IFERROR(INDEX('Euro Qual stats'!$A$1:$L$2071,MATCH(Players!$AE136,'Euro Qual stats'!$A$1:$A$2071,0),MATCH(Players!AF$2,'Euro Qual stats'!$A$1:$L$1,0)),0)</f>
        <v>7</v>
      </c>
      <c r="AG136" s="73">
        <f>IFERROR(INDEX('Euro Qual stats'!$A$1:$L$2071,MATCH(Players!$AE136,'Euro Qual stats'!$A$1:$A$2071,0),MATCH(Players!AG$2,'Euro Qual stats'!$A$1:$L$1,0)),0)</f>
        <v>0.55000000000000004</v>
      </c>
      <c r="AH136" s="73">
        <f>IFERROR(INDEX('Euro Qual stats'!$A$1:$L$2071,MATCH(Players!$AE136,'Euro Qual stats'!$A$1:$A$2071,0),MATCH(Players!AH$2,'Euro Qual stats'!$A$1:$L$1,0)),0)</f>
        <v>0</v>
      </c>
      <c r="AI136" s="73">
        <f>IFERROR(INDEX('Euro Qual stats'!$A$1:$L$2071,MATCH(Players!$AE136,'Euro Qual stats'!$A$1:$A$2071,0),MATCH(Players!AI$2,'Euro Qual stats'!$A$1:$L$1,0)),0)</f>
        <v>0</v>
      </c>
      <c r="AJ136" s="93">
        <f>(12-AF136)/12*INDEX(BV$9:BV$12,MATCH($AB136,$BU$9:$BU$12,0))+AF136/12*AG136</f>
        <v>0.40621408045977014</v>
      </c>
      <c r="AK136" s="93">
        <f>(12-AG136)/12*INDEX(BW$9:BW$12,MATCH($AB136,$BU$9:$BU$12,0))+AG136/12*AH136</f>
        <v>0.50940984195402272</v>
      </c>
      <c r="AL136" s="93">
        <f>(12-AH136)/12*INDEX(BX$9:BX$12,MATCH($AB136,$BU$9:$BU$12,0))+AH136/12*AI136</f>
        <v>0.16482758620689658</v>
      </c>
      <c r="AM136" s="93">
        <f>IF($BC136=1,AJ136/SUMIFS(AJ$3:AJ$623,$BC$3:$BC$623,1,$G$3:$G$623,$G136),0)</f>
        <v>0</v>
      </c>
      <c r="AN136" s="93">
        <f>IF($BC136=1,AK136/SUMIFS(AK$3:AK$623,$BC$3:$BC$623,1,$G$3:$G$623,$G136),0)</f>
        <v>0</v>
      </c>
      <c r="AO136" s="93">
        <f>IF($BC136=1,AL136/SUMIFS(AL$3:AL$623,$BC$3:$BC$623,1,$G$3:$G$623,$G136),0)</f>
        <v>0</v>
      </c>
      <c r="AP136" s="2">
        <f>IFERROR(R136/$V136*90,"")</f>
        <v>6.5549890750182083E-2</v>
      </c>
      <c r="AQ136" s="2">
        <f>IFERROR(S136/$V136*90,"")</f>
        <v>0.19664967225054625</v>
      </c>
      <c r="AR136" s="2">
        <f>IFERROR(W136/$V136*90,"")</f>
        <v>0.72104879825200296</v>
      </c>
      <c r="AS136" s="2">
        <f>IFERROR(X136/$V136*90,"")</f>
        <v>0.26219956300072833</v>
      </c>
      <c r="AT136" s="2">
        <f>IFERROR(Y136/$V136*90,"")</f>
        <v>0</v>
      </c>
      <c r="AU136" s="2">
        <f>IF(AP136="",INDEX(BV$4:BV$7,MATCH(O136,$BU$4:$BU$7,0)),AP136)</f>
        <v>6.5549890750182083E-2</v>
      </c>
      <c r="AV136" s="2">
        <f>IF(AQ136="",INDEX(BW$4:BW$7,MATCH($O136,$BU$4:$BU$7,0)),AQ136)</f>
        <v>0.19664967225054625</v>
      </c>
      <c r="AW136" s="2">
        <f t="shared" si="24"/>
        <v>0.72104879825200296</v>
      </c>
      <c r="AX136" s="2">
        <f t="shared" si="25"/>
        <v>0.26219956300072833</v>
      </c>
      <c r="AY136" s="2">
        <f t="shared" si="26"/>
        <v>0</v>
      </c>
      <c r="AZ136" s="2">
        <f>AU136*0.5+AK136*0.5</f>
        <v>0.28747986635210243</v>
      </c>
      <c r="BA136" s="2">
        <f>AV136*0.5+AJ136*0.5</f>
        <v>0.30143187635515822</v>
      </c>
      <c r="BB136" s="2">
        <f t="shared" si="27"/>
        <v>0.13109978150036417</v>
      </c>
      <c r="BC136">
        <f>IF(I136="expected",1,0)</f>
        <v>0</v>
      </c>
      <c r="BD136" s="78">
        <f>IF(BC136=1,AZ136/SUMIFS(AZ$3:AZ$623,$BC$3:$BC$623,1,$G$3:$G$623,$G136),0)</f>
        <v>0</v>
      </c>
      <c r="BE136" s="78">
        <f>IF(BC136=1,BA136/SUMIFS(BA$3:BA$623,$BC$3:$BC$623,1,$G$3:$G$623,$G136),0)</f>
        <v>0</v>
      </c>
      <c r="BF136" s="78">
        <f t="shared" si="28"/>
        <v>0</v>
      </c>
      <c r="BG136" s="2">
        <f t="shared" si="29"/>
        <v>0.13109978150036417</v>
      </c>
      <c r="BH136" s="2">
        <f t="shared" si="30"/>
        <v>0</v>
      </c>
      <c r="BI136" s="2">
        <f t="shared" si="31"/>
        <v>0</v>
      </c>
      <c r="BJ136" s="2">
        <f t="shared" si="32"/>
        <v>0</v>
      </c>
      <c r="BK136" s="2">
        <f t="shared" si="33"/>
        <v>0</v>
      </c>
      <c r="BL136" s="2">
        <f t="shared" si="34"/>
        <v>0.13109978150036417</v>
      </c>
      <c r="BM136" s="2">
        <f t="shared" si="35"/>
        <v>0</v>
      </c>
      <c r="BN136" s="2">
        <f>BI136/SUMIFS(BI$3:BI$623,$BC$3:$BC$623,1,$G$3:$G$623,$G136)</f>
        <v>0</v>
      </c>
      <c r="BO136" s="2">
        <f>BJ136/SUMIFS(BJ$3:BJ$623,$BC$3:$BC$623,1,$G$3:$G$623,$G136)</f>
        <v>0</v>
      </c>
      <c r="BP136" s="2">
        <f>BK136/SUMIFS(BK$3:BK$623,$BC$3:$BC$623,1,$G$3:$G$623,$G136)</f>
        <v>0</v>
      </c>
      <c r="BQ136" s="2">
        <f>BL136</f>
        <v>0.13109978150036417</v>
      </c>
      <c r="BR136" s="2">
        <f>BM136</f>
        <v>0</v>
      </c>
    </row>
    <row r="137" spans="1:70" hidden="1">
      <c r="A137" s="74">
        <v>0</v>
      </c>
      <c r="B137" s="73">
        <v>204669</v>
      </c>
      <c r="C137" s="73" t="s">
        <v>1521</v>
      </c>
      <c r="D137" s="73" t="s">
        <v>1522</v>
      </c>
      <c r="E137" s="73" t="s">
        <v>1523</v>
      </c>
      <c r="F137" s="73">
        <v>18647</v>
      </c>
      <c r="G137" s="73" t="s">
        <v>891</v>
      </c>
      <c r="H137" s="73" t="s">
        <v>927</v>
      </c>
      <c r="I137" s="73" t="s">
        <v>1012</v>
      </c>
      <c r="J137" s="73">
        <v>0</v>
      </c>
      <c r="K137" s="73">
        <v>6.5</v>
      </c>
      <c r="L137" s="73">
        <v>0</v>
      </c>
      <c r="M137" s="73">
        <v>0</v>
      </c>
      <c r="N137" s="73">
        <v>0</v>
      </c>
      <c r="O137" s="73" t="s">
        <v>994</v>
      </c>
      <c r="P137" s="73" t="s">
        <v>43</v>
      </c>
      <c r="Q137" s="73" t="s">
        <v>43</v>
      </c>
      <c r="R137" s="73">
        <v>0</v>
      </c>
      <c r="S137" s="73">
        <v>0</v>
      </c>
      <c r="T137" s="73">
        <v>0</v>
      </c>
      <c r="U137" s="73">
        <v>4</v>
      </c>
      <c r="V137" s="73">
        <v>1577</v>
      </c>
      <c r="W137" s="73">
        <v>1</v>
      </c>
      <c r="X137" s="73">
        <v>3</v>
      </c>
      <c r="Y137" s="73">
        <v>0</v>
      </c>
      <c r="Z137" s="73" t="s">
        <v>989</v>
      </c>
      <c r="AA137" s="73" t="s">
        <v>691</v>
      </c>
      <c r="AB137" s="73" t="str">
        <f>IF(AA137&lt;&gt;"",INDEX(Lookup!$N$2:$N$5,MATCH(Players!AA137,Lookup!$P$2:$P$5,0)),INDEX(Lookup!$N$2:$N$5,MATCH(Players!O137,Lookup!$O$2:$O$5,0)))</f>
        <v>Midfield</v>
      </c>
      <c r="AC137" s="73">
        <v>3000000</v>
      </c>
      <c r="AD137" s="73" t="s">
        <v>811</v>
      </c>
      <c r="AE137" s="73" t="str">
        <f>INDEX('Translate table'!$H$2:$H$622,MATCH(Players!P137,'Translate table'!$G$2:$G$622,0))</f>
        <v>Moussa Sissoko</v>
      </c>
      <c r="AF137" s="73">
        <f>IFERROR(INDEX('Euro Qual stats'!$A$1:$L$2071,MATCH(Players!$AE137,'Euro Qual stats'!$A$1:$A$2071,0),MATCH(Players!AF$2,'Euro Qual stats'!$A$1:$L$1,0)),0)</f>
        <v>7</v>
      </c>
      <c r="AG137" s="73">
        <f>IFERROR(INDEX('Euro Qual stats'!$A$1:$L$2071,MATCH(Players!$AE137,'Euro Qual stats'!$A$1:$A$2071,0),MATCH(Players!AG$2,'Euro Qual stats'!$A$1:$L$1,0)),0)</f>
        <v>0</v>
      </c>
      <c r="AH137" s="73">
        <f>IFERROR(INDEX('Euro Qual stats'!$A$1:$L$2071,MATCH(Players!$AE137,'Euro Qual stats'!$A$1:$A$2071,0),MATCH(Players!AH$2,'Euro Qual stats'!$A$1:$L$1,0)),0)</f>
        <v>0</v>
      </c>
      <c r="AI137" s="73">
        <f>IFERROR(INDEX('Euro Qual stats'!$A$1:$L$2071,MATCH(Players!$AE137,'Euro Qual stats'!$A$1:$A$2071,0),MATCH(Players!AI$2,'Euro Qual stats'!$A$1:$L$1,0)),0)</f>
        <v>0</v>
      </c>
      <c r="AJ137" s="93">
        <f>(12-AF137)/12*INDEX(BV$9:BV$12,MATCH($AB137,$BU$9:$BU$12,0))+AF137/12*AG137</f>
        <v>7.0287958115183249E-2</v>
      </c>
      <c r="AK137" s="93">
        <f>(12-AG137)/12*INDEX(BW$9:BW$12,MATCH($AB137,$BU$9:$BU$12,0))+AG137/12*AH137</f>
        <v>0.22340314136125652</v>
      </c>
      <c r="AL137" s="93">
        <f>(12-AH137)/12*INDEX(BX$9:BX$12,MATCH($AB137,$BU$9:$BU$12,0))+AH137/12*AI137</f>
        <v>0.23942408376963353</v>
      </c>
      <c r="AM137" s="93">
        <f>IF($BC137=1,AJ137/SUMIFS(AJ$3:AJ$623,$BC$3:$BC$623,1,$G$3:$G$623,$G137),0)</f>
        <v>0</v>
      </c>
      <c r="AN137" s="93">
        <f>IF($BC137=1,AK137/SUMIFS(AK$3:AK$623,$BC$3:$BC$623,1,$G$3:$G$623,$G137),0)</f>
        <v>0</v>
      </c>
      <c r="AO137" s="93">
        <f>IF($BC137=1,AL137/SUMIFS(AL$3:AL$623,$BC$3:$BC$623,1,$G$3:$G$623,$G137),0)</f>
        <v>0</v>
      </c>
      <c r="AP137" s="2">
        <f>IFERROR(R137/$V137*90,"")</f>
        <v>0</v>
      </c>
      <c r="AQ137" s="2">
        <f>IFERROR(S137/$V137*90,"")</f>
        <v>0</v>
      </c>
      <c r="AR137" s="2">
        <f>IFERROR(W137/$V137*90,"")</f>
        <v>5.7070386810399491E-2</v>
      </c>
      <c r="AS137" s="2">
        <f>IFERROR(X137/$V137*90,"")</f>
        <v>0.17121116043119847</v>
      </c>
      <c r="AT137" s="2">
        <f>IFERROR(Y137/$V137*90,"")</f>
        <v>0</v>
      </c>
      <c r="AU137" s="2">
        <f>IF(AP137="",INDEX(BV$4:BV$7,MATCH(O137,$BU$4:$BU$7,0)),AP137)</f>
        <v>0</v>
      </c>
      <c r="AV137" s="2">
        <f>IF(AQ137="",INDEX(BW$4:BW$7,MATCH($O137,$BU$4:$BU$7,0)),AQ137)</f>
        <v>0</v>
      </c>
      <c r="AW137" s="2">
        <f t="shared" si="24"/>
        <v>5.7070386810399491E-2</v>
      </c>
      <c r="AX137" s="2">
        <f t="shared" si="25"/>
        <v>0.17121116043119847</v>
      </c>
      <c r="AY137" s="2">
        <f t="shared" si="26"/>
        <v>0</v>
      </c>
      <c r="AZ137" s="2">
        <f>AU137*0.5+AK137*0.5</f>
        <v>0.11170157068062826</v>
      </c>
      <c r="BA137" s="2">
        <f>AV137*0.5+AJ137*0.5</f>
        <v>3.5143979057591625E-2</v>
      </c>
      <c r="BB137" s="2">
        <f t="shared" si="27"/>
        <v>8.5605580215599233E-2</v>
      </c>
      <c r="BC137">
        <f>IF(I137="expected",1,0)</f>
        <v>0</v>
      </c>
      <c r="BD137" s="78">
        <f>IF(BC137=1,AZ137/SUMIFS(AZ$3:AZ$623,$BC$3:$BC$623,1,$G$3:$G$623,$G137),0)</f>
        <v>0</v>
      </c>
      <c r="BE137" s="78">
        <f>IF(BC137=1,BA137/SUMIFS(BA$3:BA$623,$BC$3:$BC$623,1,$G$3:$G$623,$G137),0)</f>
        <v>0</v>
      </c>
      <c r="BF137" s="78">
        <f t="shared" si="28"/>
        <v>0</v>
      </c>
      <c r="BG137" s="2">
        <f t="shared" si="29"/>
        <v>8.5605580215599233E-2</v>
      </c>
      <c r="BH137" s="2">
        <f t="shared" si="30"/>
        <v>0</v>
      </c>
      <c r="BI137" s="2">
        <f t="shared" si="31"/>
        <v>0</v>
      </c>
      <c r="BJ137" s="2">
        <f t="shared" si="32"/>
        <v>0</v>
      </c>
      <c r="BK137" s="2">
        <f t="shared" si="33"/>
        <v>0</v>
      </c>
      <c r="BL137" s="2">
        <f t="shared" si="34"/>
        <v>8.5605580215599233E-2</v>
      </c>
      <c r="BM137" s="2">
        <f t="shared" si="35"/>
        <v>0</v>
      </c>
      <c r="BN137" s="2">
        <f>BI137/SUMIFS(BI$3:BI$623,$BC$3:$BC$623,1,$G$3:$G$623,$G137)</f>
        <v>0</v>
      </c>
      <c r="BO137" s="2">
        <f>BJ137/SUMIFS(BJ$3:BJ$623,$BC$3:$BC$623,1,$G$3:$G$623,$G137)</f>
        <v>0</v>
      </c>
      <c r="BP137" s="2">
        <f>BK137/SUMIFS(BK$3:BK$623,$BC$3:$BC$623,1,$G$3:$G$623,$G137)</f>
        <v>0</v>
      </c>
      <c r="BQ137" s="2">
        <f>BL137</f>
        <v>8.5605580215599233E-2</v>
      </c>
      <c r="BR137" s="2">
        <f>BM137</f>
        <v>0</v>
      </c>
    </row>
    <row r="138" spans="1:70" hidden="1">
      <c r="A138" s="74">
        <v>0</v>
      </c>
      <c r="B138" s="73">
        <v>204744</v>
      </c>
      <c r="C138" s="73" t="s">
        <v>1524</v>
      </c>
      <c r="D138" s="73" t="s">
        <v>1525</v>
      </c>
      <c r="E138" s="73" t="s">
        <v>1526</v>
      </c>
      <c r="F138" s="73">
        <v>18708</v>
      </c>
      <c r="G138" s="73" t="s">
        <v>866</v>
      </c>
      <c r="H138" s="73" t="s">
        <v>923</v>
      </c>
      <c r="I138" s="73" t="s">
        <v>981</v>
      </c>
      <c r="J138" s="73">
        <v>0</v>
      </c>
      <c r="K138" s="73">
        <v>6.5</v>
      </c>
      <c r="L138" s="73">
        <v>0</v>
      </c>
      <c r="M138" s="73">
        <v>0</v>
      </c>
      <c r="N138" s="73">
        <v>0</v>
      </c>
      <c r="O138" s="73" t="s">
        <v>982</v>
      </c>
      <c r="P138" s="73" t="s">
        <v>1527</v>
      </c>
      <c r="Q138" s="73" t="s">
        <v>1528</v>
      </c>
      <c r="R138" s="73">
        <v>0</v>
      </c>
      <c r="S138" s="73">
        <v>2</v>
      </c>
      <c r="T138" s="73">
        <v>0</v>
      </c>
      <c r="U138" s="73">
        <v>0</v>
      </c>
      <c r="V138" s="73">
        <v>768</v>
      </c>
      <c r="W138" s="73">
        <v>5</v>
      </c>
      <c r="X138" s="73">
        <v>1</v>
      </c>
      <c r="Y138" s="73">
        <v>0</v>
      </c>
      <c r="Z138" s="73" t="s">
        <v>1342</v>
      </c>
      <c r="AA138" s="73" t="s">
        <v>693</v>
      </c>
      <c r="AB138" s="73" t="str">
        <f>IF(AA138&lt;&gt;"",INDEX(Lookup!$N$2:$N$5,MATCH(Players!AA138,Lookup!$P$2:$P$5,0)),INDEX(Lookup!$N$2:$N$5,MATCH(Players!O138,Lookup!$O$2:$O$5,0)))</f>
        <v>Striker</v>
      </c>
      <c r="AC138" s="73">
        <v>4000000</v>
      </c>
      <c r="AD138" s="73" t="s">
        <v>807</v>
      </c>
      <c r="AE138" s="73" t="str">
        <f>INDEX('Translate table'!$H$2:$H$622,MATCH(Players!P138,'Translate table'!$G$2:$G$622,0))</f>
        <v>Haris SeferoviÄ‡</v>
      </c>
      <c r="AF138" s="73">
        <f>IFERROR(INDEX('Euro Qual stats'!$A$1:$L$2071,MATCH(Players!$AE138,'Euro Qual stats'!$A$1:$A$2071,0),MATCH(Players!AF$2,'Euro Qual stats'!$A$1:$L$1,0)),0)</f>
        <v>3</v>
      </c>
      <c r="AG138" s="73">
        <f>IFERROR(INDEX('Euro Qual stats'!$A$1:$L$2071,MATCH(Players!$AE138,'Euro Qual stats'!$A$1:$A$2071,0),MATCH(Players!AG$2,'Euro Qual stats'!$A$1:$L$1,0)),0)</f>
        <v>0</v>
      </c>
      <c r="AH138" s="73">
        <f>IFERROR(INDEX('Euro Qual stats'!$A$1:$L$2071,MATCH(Players!$AE138,'Euro Qual stats'!$A$1:$A$2071,0),MATCH(Players!AH$2,'Euro Qual stats'!$A$1:$L$1,0)),0)</f>
        <v>0.33</v>
      </c>
      <c r="AI138" s="73">
        <f>IFERROR(INDEX('Euro Qual stats'!$A$1:$L$2071,MATCH(Players!$AE138,'Euro Qual stats'!$A$1:$A$2071,0),MATCH(Players!AI$2,'Euro Qual stats'!$A$1:$L$1,0)),0)</f>
        <v>0</v>
      </c>
      <c r="AJ138" s="93">
        <f>(12-AF138)/12*INDEX(BV$9:BV$12,MATCH($AB138,$BU$9:$BU$12,0))+AF138/12*AG138</f>
        <v>0.15368534482758622</v>
      </c>
      <c r="AK138" s="93">
        <f>(12-AG138)/12*INDEX(BW$9:BW$12,MATCH($AB138,$BU$9:$BU$12,0))+AG138/12*AH138</f>
        <v>0.53387931034482738</v>
      </c>
      <c r="AL138" s="93">
        <f>(12-AH138)/12*INDEX(BX$9:BX$12,MATCH($AB138,$BU$9:$BU$12,0))+AH138/12*AI138</f>
        <v>0.16029482758620692</v>
      </c>
      <c r="AM138" s="93">
        <f>IF($BC138=1,AJ138/SUMIFS(AJ$3:AJ$623,$BC$3:$BC$623,1,$G$3:$G$623,$G138),0)</f>
        <v>0.11047785532726381</v>
      </c>
      <c r="AN138" s="93">
        <f>IF($BC138=1,AK138/SUMIFS(AK$3:AK$623,$BC$3:$BC$623,1,$G$3:$G$623,$G138),0)</f>
        <v>0.22510891219732151</v>
      </c>
      <c r="AO138" s="93">
        <f>IF($BC138=1,AL138/SUMIFS(AL$3:AL$623,$BC$3:$BC$623,1,$G$3:$G$623,$G138),0)</f>
        <v>7.850600031726046E-2</v>
      </c>
      <c r="AP138" s="2">
        <f>IFERROR(R138/$V138*90,"")</f>
        <v>0</v>
      </c>
      <c r="AQ138" s="2">
        <f>IFERROR(S138/$V138*90,"")</f>
        <v>0.234375</v>
      </c>
      <c r="AR138" s="2">
        <f>IFERROR(W138/$V138*90,"")</f>
        <v>0.5859375</v>
      </c>
      <c r="AS138" s="2">
        <f>IFERROR(X138/$V138*90,"")</f>
        <v>0.1171875</v>
      </c>
      <c r="AT138" s="2">
        <f>IFERROR(Y138/$V138*90,"")</f>
        <v>0</v>
      </c>
      <c r="AU138" s="2">
        <f>IF(AP138="",INDEX(BV$4:BV$7,MATCH(O138,$BU$4:$BU$7,0)),AP138)</f>
        <v>0</v>
      </c>
      <c r="AV138" s="2">
        <f>IF(AQ138="",INDEX(BW$4:BW$7,MATCH($O138,$BU$4:$BU$7,0)),AQ138)</f>
        <v>0.234375</v>
      </c>
      <c r="AW138" s="2">
        <f t="shared" si="24"/>
        <v>0.5859375</v>
      </c>
      <c r="AX138" s="2">
        <f t="shared" si="25"/>
        <v>0.1171875</v>
      </c>
      <c r="AY138" s="2">
        <f t="shared" si="26"/>
        <v>0</v>
      </c>
      <c r="AZ138" s="2">
        <f>AU138*0.5+AK138*0.5</f>
        <v>0.26693965517241369</v>
      </c>
      <c r="BA138" s="2">
        <f>AV138*0.5+AJ138*0.5</f>
        <v>0.19403017241379311</v>
      </c>
      <c r="BB138" s="2">
        <f t="shared" si="27"/>
        <v>5.859375E-2</v>
      </c>
      <c r="BC138">
        <f>IF(I138="expected",1,0)</f>
        <v>1</v>
      </c>
      <c r="BD138" s="78">
        <f>IF(BC138=1,AZ138/SUMIFS(AZ$3:AZ$623,$BC$3:$BC$623,1,$G$3:$G$623,$G138),0)</f>
        <v>0.17975200010912148</v>
      </c>
      <c r="BE138" s="78">
        <f>IF(BC138=1,BA138/SUMIFS(BA$3:BA$623,$BC$3:$BC$623,1,$G$3:$G$623,$G138),0)</f>
        <v>0.14014727789908035</v>
      </c>
      <c r="BF138" s="78">
        <f t="shared" si="28"/>
        <v>0.16652697835499922</v>
      </c>
      <c r="BG138" s="2">
        <f t="shared" si="29"/>
        <v>5.859375E-2</v>
      </c>
      <c r="BH138" s="2">
        <f t="shared" si="30"/>
        <v>0</v>
      </c>
      <c r="BI138" s="2">
        <f t="shared" si="31"/>
        <v>0.17975200010912148</v>
      </c>
      <c r="BJ138" s="2">
        <f t="shared" si="32"/>
        <v>0.14014727789908035</v>
      </c>
      <c r="BK138" s="2">
        <f t="shared" si="33"/>
        <v>0.16652697835499922</v>
      </c>
      <c r="BL138" s="2">
        <f t="shared" si="34"/>
        <v>5.859375E-2</v>
      </c>
      <c r="BM138" s="2">
        <f t="shared" si="35"/>
        <v>0</v>
      </c>
      <c r="BN138" s="2">
        <f>BI138/SUMIFS(BI$3:BI$623,$BC$3:$BC$623,1,$G$3:$G$623,$G138)</f>
        <v>0.17975200010912151</v>
      </c>
      <c r="BO138" s="2">
        <f>BJ138/SUMIFS(BJ$3:BJ$623,$BC$3:$BC$623,1,$G$3:$G$623,$G138)</f>
        <v>0.14014727789908035</v>
      </c>
      <c r="BP138" s="2">
        <f>BK138/SUMIFS(BK$3:BK$623,$BC$3:$BC$623,1,$G$3:$G$623,$G138)</f>
        <v>0.17989694722610114</v>
      </c>
      <c r="BQ138" s="2">
        <f>BL138</f>
        <v>5.859375E-2</v>
      </c>
      <c r="BR138" s="2">
        <f>BM138</f>
        <v>0</v>
      </c>
    </row>
    <row r="139" spans="1:70" hidden="1">
      <c r="A139" s="74">
        <v>0</v>
      </c>
      <c r="B139" s="73">
        <v>204960</v>
      </c>
      <c r="C139" s="73" t="s">
        <v>1529</v>
      </c>
      <c r="D139" s="73" t="s">
        <v>1530</v>
      </c>
      <c r="E139" s="73" t="s">
        <v>1531</v>
      </c>
      <c r="F139" s="73">
        <v>18583</v>
      </c>
      <c r="G139" s="73" t="s">
        <v>869</v>
      </c>
      <c r="H139" s="73" t="s">
        <v>905</v>
      </c>
      <c r="I139" s="73" t="s">
        <v>981</v>
      </c>
      <c r="J139" s="73">
        <v>0</v>
      </c>
      <c r="K139" s="73">
        <v>6.5</v>
      </c>
      <c r="L139" s="73">
        <v>0</v>
      </c>
      <c r="M139" s="73">
        <v>0</v>
      </c>
      <c r="N139" s="73">
        <v>0</v>
      </c>
      <c r="O139" s="73" t="s">
        <v>994</v>
      </c>
      <c r="P139" s="73" t="s">
        <v>1532</v>
      </c>
      <c r="Q139" s="73" t="s">
        <v>411</v>
      </c>
      <c r="R139" s="73">
        <v>2</v>
      </c>
      <c r="S139" s="73">
        <v>4</v>
      </c>
      <c r="T139" s="73">
        <v>0</v>
      </c>
      <c r="U139" s="73">
        <v>12</v>
      </c>
      <c r="V139" s="73">
        <v>3420</v>
      </c>
      <c r="W139" s="73">
        <v>7</v>
      </c>
      <c r="X139" s="73">
        <v>9</v>
      </c>
      <c r="Y139" s="73">
        <v>0</v>
      </c>
      <c r="Z139" s="73" t="s">
        <v>1267</v>
      </c>
      <c r="AA139" s="73" t="s">
        <v>691</v>
      </c>
      <c r="AB139" s="73" t="str">
        <f>IF(AA139&lt;&gt;"",INDEX(Lookup!$N$2:$N$5,MATCH(Players!AA139,Lookup!$P$2:$P$5,0)),INDEX(Lookup!$N$2:$N$5,MATCH(Players!O139,Lookup!$O$2:$O$5,0)))</f>
        <v>Midfield</v>
      </c>
      <c r="AC139" s="73">
        <v>4000000</v>
      </c>
      <c r="AD139" s="73" t="s">
        <v>821</v>
      </c>
      <c r="AE139" s="73" t="str">
        <f>INDEX('Translate table'!$H$2:$H$622,MATCH(Players!P139,'Translate table'!$G$2:$G$622,0))</f>
        <v>Pierre-Emile HÃ¸jbjerg</v>
      </c>
      <c r="AF139" s="73">
        <f>IFERROR(INDEX('Euro Qual stats'!$A$1:$L$2071,MATCH(Players!$AE139,'Euro Qual stats'!$A$1:$A$2071,0),MATCH(Players!AF$2,'Euro Qual stats'!$A$1:$L$1,0)),0)</f>
        <v>8</v>
      </c>
      <c r="AG139" s="73">
        <f>IFERROR(INDEX('Euro Qual stats'!$A$1:$L$2071,MATCH(Players!$AE139,'Euro Qual stats'!$A$1:$A$2071,0),MATCH(Players!AG$2,'Euro Qual stats'!$A$1:$L$1,0)),0)</f>
        <v>0</v>
      </c>
      <c r="AH139" s="73">
        <f>IFERROR(INDEX('Euro Qual stats'!$A$1:$L$2071,MATCH(Players!$AE139,'Euro Qual stats'!$A$1:$A$2071,0),MATCH(Players!AH$2,'Euro Qual stats'!$A$1:$L$1,0)),0)</f>
        <v>0.21</v>
      </c>
      <c r="AI139" s="73">
        <f>IFERROR(INDEX('Euro Qual stats'!$A$1:$L$2071,MATCH(Players!$AE139,'Euro Qual stats'!$A$1:$A$2071,0),MATCH(Players!AI$2,'Euro Qual stats'!$A$1:$L$1,0)),0)</f>
        <v>0</v>
      </c>
      <c r="AJ139" s="93">
        <f>(12-AF139)/12*INDEX(BV$9:BV$12,MATCH($AB139,$BU$9:$BU$12,0))+AF139/12*AG139</f>
        <v>5.6230366492146591E-2</v>
      </c>
      <c r="AK139" s="93">
        <f>(12-AG139)/12*INDEX(BW$9:BW$12,MATCH($AB139,$BU$9:$BU$12,0))+AG139/12*AH139</f>
        <v>0.22340314136125652</v>
      </c>
      <c r="AL139" s="93">
        <f>(12-AH139)/12*INDEX(BX$9:BX$12,MATCH($AB139,$BU$9:$BU$12,0))+AH139/12*AI139</f>
        <v>0.23523416230366492</v>
      </c>
      <c r="AM139" s="93">
        <f>IF($BC139=1,AJ139/SUMIFS(AJ$3:AJ$623,$BC$3:$BC$623,1,$G$3:$G$623,$G139),0)</f>
        <v>3.7118262431548942E-2</v>
      </c>
      <c r="AN139" s="93">
        <f>IF($BC139=1,AK139/SUMIFS(AK$3:AK$623,$BC$3:$BC$623,1,$G$3:$G$623,$G139),0)</f>
        <v>7.9904555811007791E-2</v>
      </c>
      <c r="AO139" s="93">
        <f>IF($BC139=1,AL139/SUMIFS(AL$3:AL$623,$BC$3:$BC$623,1,$G$3:$G$623,$G139),0)</f>
        <v>0.11780856008045314</v>
      </c>
      <c r="AP139" s="2">
        <f>IFERROR(R139/$V139*90,"")</f>
        <v>5.2631578947368425E-2</v>
      </c>
      <c r="AQ139" s="2">
        <f>IFERROR(S139/$V139*90,"")</f>
        <v>0.10526315789473685</v>
      </c>
      <c r="AR139" s="2">
        <f>IFERROR(W139/$V139*90,"")</f>
        <v>0.18421052631578949</v>
      </c>
      <c r="AS139" s="2">
        <f>IFERROR(X139/$V139*90,"")</f>
        <v>0.23684210526315788</v>
      </c>
      <c r="AT139" s="2">
        <f>IFERROR(Y139/$V139*90,"")</f>
        <v>0</v>
      </c>
      <c r="AU139" s="2">
        <f>IF(AP139="",INDEX(BV$4:BV$7,MATCH(O139,$BU$4:$BU$7,0)),AP139)</f>
        <v>5.2631578947368425E-2</v>
      </c>
      <c r="AV139" s="2">
        <f>IF(AQ139="",INDEX(BW$4:BW$7,MATCH($O139,$BU$4:$BU$7,0)),AQ139)</f>
        <v>0.10526315789473685</v>
      </c>
      <c r="AW139" s="2">
        <f t="shared" si="24"/>
        <v>0.18421052631578949</v>
      </c>
      <c r="AX139" s="2">
        <f t="shared" si="25"/>
        <v>0.23684210526315788</v>
      </c>
      <c r="AY139" s="2">
        <f t="shared" si="26"/>
        <v>0</v>
      </c>
      <c r="AZ139" s="2">
        <f>AU139*0.5+AK139*0.5</f>
        <v>0.13801736015431249</v>
      </c>
      <c r="BA139" s="2">
        <f>AV139*0.5+AJ139*0.5</f>
        <v>8.0746762193441721E-2</v>
      </c>
      <c r="BB139" s="2">
        <f t="shared" si="27"/>
        <v>0.11842105263157894</v>
      </c>
      <c r="BC139">
        <f>IF(I139="expected",1,0)</f>
        <v>1</v>
      </c>
      <c r="BD139" s="78">
        <f>IF(BC139=1,AZ139/SUMIFS(AZ$3:AZ$623,$BC$3:$BC$623,1,$G$3:$G$623,$G139),0)</f>
        <v>6.8993530447228418E-2</v>
      </c>
      <c r="BE139" s="78">
        <f>IF(BC139=1,BA139/SUMIFS(BA$3:BA$623,$BC$3:$BC$623,1,$G$3:$G$623,$G139),0)</f>
        <v>6.5679484245852127E-2</v>
      </c>
      <c r="BF139" s="78">
        <f t="shared" si="28"/>
        <v>4.154358942505311E-2</v>
      </c>
      <c r="BG139" s="2">
        <f t="shared" si="29"/>
        <v>0.11842105263157894</v>
      </c>
      <c r="BH139" s="2">
        <f t="shared" si="30"/>
        <v>0</v>
      </c>
      <c r="BI139" s="2">
        <f t="shared" si="31"/>
        <v>6.8993530447228418E-2</v>
      </c>
      <c r="BJ139" s="2">
        <f t="shared" si="32"/>
        <v>6.5679484245852127E-2</v>
      </c>
      <c r="BK139" s="2">
        <f t="shared" si="33"/>
        <v>4.154358942505311E-2</v>
      </c>
      <c r="BL139" s="2">
        <f t="shared" si="34"/>
        <v>0.11842105263157894</v>
      </c>
      <c r="BM139" s="2">
        <f t="shared" si="35"/>
        <v>0</v>
      </c>
      <c r="BN139" s="2">
        <f>BI139/SUMIFS(BI$3:BI$623,$BC$3:$BC$623,1,$G$3:$G$623,$G139)</f>
        <v>6.8993530447228432E-2</v>
      </c>
      <c r="BO139" s="2">
        <f>BJ139/SUMIFS(BJ$3:BJ$623,$BC$3:$BC$623,1,$G$3:$G$623,$G139)</f>
        <v>6.5679484245852141E-2</v>
      </c>
      <c r="BP139" s="2">
        <f>BK139/SUMIFS(BK$3:BK$623,$BC$3:$BC$623,1,$G$3:$G$623,$G139)</f>
        <v>4.1543589425053117E-2</v>
      </c>
      <c r="BQ139" s="2">
        <f>BL139</f>
        <v>0.11842105263157894</v>
      </c>
      <c r="BR139" s="2">
        <f>BM139</f>
        <v>0</v>
      </c>
    </row>
    <row r="140" spans="1:70" hidden="1">
      <c r="A140" s="74">
        <v>0</v>
      </c>
      <c r="B140" s="73">
        <v>204955</v>
      </c>
      <c r="C140" s="73" t="s">
        <v>1533</v>
      </c>
      <c r="D140" s="73" t="s">
        <v>1518</v>
      </c>
      <c r="E140" s="73" t="s">
        <v>1534</v>
      </c>
      <c r="F140" s="73">
        <v>18583</v>
      </c>
      <c r="G140" s="73" t="s">
        <v>869</v>
      </c>
      <c r="H140" s="73" t="s">
        <v>905</v>
      </c>
      <c r="I140" s="73" t="s">
        <v>981</v>
      </c>
      <c r="J140" s="73">
        <v>0</v>
      </c>
      <c r="K140" s="73">
        <v>6.5</v>
      </c>
      <c r="L140" s="73">
        <v>0</v>
      </c>
      <c r="M140" s="73">
        <v>0</v>
      </c>
      <c r="N140" s="73">
        <v>0</v>
      </c>
      <c r="O140" s="73" t="s">
        <v>994</v>
      </c>
      <c r="P140" s="73" t="s">
        <v>1535</v>
      </c>
      <c r="Q140" s="73" t="s">
        <v>1535</v>
      </c>
      <c r="R140" s="73">
        <v>1</v>
      </c>
      <c r="S140" s="73">
        <v>1</v>
      </c>
      <c r="T140" s="73">
        <v>0</v>
      </c>
      <c r="U140" s="73">
        <v>2</v>
      </c>
      <c r="V140" s="73">
        <v>1287</v>
      </c>
      <c r="W140" s="73">
        <v>3</v>
      </c>
      <c r="X140" s="73">
        <v>6</v>
      </c>
      <c r="Y140" s="73">
        <v>0</v>
      </c>
      <c r="Z140" s="73" t="s">
        <v>1267</v>
      </c>
      <c r="AA140" s="73" t="s">
        <v>691</v>
      </c>
      <c r="AB140" s="73" t="str">
        <f>IF(AA140&lt;&gt;"",INDEX(Lookup!$N$2:$N$5,MATCH(Players!AA140,Lookup!$P$2:$P$5,0)),INDEX(Lookup!$N$2:$N$5,MATCH(Players!O140,Lookup!$O$2:$O$5,0)))</f>
        <v>Midfield</v>
      </c>
      <c r="AC140" s="73">
        <v>4000000</v>
      </c>
      <c r="AD140" s="73" t="s">
        <v>1536</v>
      </c>
      <c r="AE140" s="73" t="str">
        <f>INDEX('Translate table'!$H$2:$H$622,MATCH(Players!P140,'Translate table'!$G$2:$G$622,0))</f>
        <v>Thomas Delaney</v>
      </c>
      <c r="AF140" s="73">
        <f>IFERROR(INDEX('Euro Qual stats'!$A$1:$L$2071,MATCH(Players!$AE140,'Euro Qual stats'!$A$1:$A$2071,0),MATCH(Players!AF$2,'Euro Qual stats'!$A$1:$L$1,0)),0)</f>
        <v>8</v>
      </c>
      <c r="AG140" s="73">
        <f>IFERROR(INDEX('Euro Qual stats'!$A$1:$L$2071,MATCH(Players!$AE140,'Euro Qual stats'!$A$1:$A$2071,0),MATCH(Players!AG$2,'Euro Qual stats'!$A$1:$L$1,0)),0)</f>
        <v>0</v>
      </c>
      <c r="AH140" s="73">
        <f>IFERROR(INDEX('Euro Qual stats'!$A$1:$L$2071,MATCH(Players!$AE140,'Euro Qual stats'!$A$1:$A$2071,0),MATCH(Players!AH$2,'Euro Qual stats'!$A$1:$L$1,0)),0)</f>
        <v>0.14000000000000001</v>
      </c>
      <c r="AI140" s="73">
        <f>IFERROR(INDEX('Euro Qual stats'!$A$1:$L$2071,MATCH(Players!$AE140,'Euro Qual stats'!$A$1:$A$2071,0),MATCH(Players!AI$2,'Euro Qual stats'!$A$1:$L$1,0)),0)</f>
        <v>0</v>
      </c>
      <c r="AJ140" s="93">
        <f>(12-AF140)/12*INDEX(BV$9:BV$12,MATCH($AB140,$BU$9:$BU$12,0))+AF140/12*AG140</f>
        <v>5.6230366492146591E-2</v>
      </c>
      <c r="AK140" s="93">
        <f>(12-AG140)/12*INDEX(BW$9:BW$12,MATCH($AB140,$BU$9:$BU$12,0))+AG140/12*AH140</f>
        <v>0.22340314136125652</v>
      </c>
      <c r="AL140" s="93">
        <f>(12-AH140)/12*INDEX(BX$9:BX$12,MATCH($AB140,$BU$9:$BU$12,0))+AH140/12*AI140</f>
        <v>0.23663080279232113</v>
      </c>
      <c r="AM140" s="93">
        <f>IF($BC140=1,AJ140/SUMIFS(AJ$3:AJ$623,$BC$3:$BC$623,1,$G$3:$G$623,$G140),0)</f>
        <v>3.7118262431548942E-2</v>
      </c>
      <c r="AN140" s="93">
        <f>IF($BC140=1,AK140/SUMIFS(AK$3:AK$623,$BC$3:$BC$623,1,$G$3:$G$623,$G140),0)</f>
        <v>7.9904555811007791E-2</v>
      </c>
      <c r="AO140" s="93">
        <f>IF($BC140=1,AL140/SUMIFS(AL$3:AL$623,$BC$3:$BC$623,1,$G$3:$G$623,$G140),0)</f>
        <v>0.11850801718016744</v>
      </c>
      <c r="AP140" s="2">
        <f>IFERROR(R140/$V140*90,"")</f>
        <v>6.9930069930069935E-2</v>
      </c>
      <c r="AQ140" s="2">
        <f>IFERROR(S140/$V140*90,"")</f>
        <v>6.9930069930069935E-2</v>
      </c>
      <c r="AR140" s="2">
        <f>IFERROR(W140/$V140*90,"")</f>
        <v>0.20979020979020979</v>
      </c>
      <c r="AS140" s="2">
        <f>IFERROR(X140/$V140*90,"")</f>
        <v>0.41958041958041958</v>
      </c>
      <c r="AT140" s="2">
        <f>IFERROR(Y140/$V140*90,"")</f>
        <v>0</v>
      </c>
      <c r="AU140" s="2">
        <f>IF(AP140="",INDEX(BV$4:BV$7,MATCH(O140,$BU$4:$BU$7,0)),AP140)</f>
        <v>6.9930069930069935E-2</v>
      </c>
      <c r="AV140" s="2">
        <f>IF(AQ140="",INDEX(BW$4:BW$7,MATCH($O140,$BU$4:$BU$7,0)),AQ140)</f>
        <v>6.9930069930069935E-2</v>
      </c>
      <c r="AW140" s="2">
        <f t="shared" si="24"/>
        <v>0.20979020979020979</v>
      </c>
      <c r="AX140" s="2">
        <f t="shared" si="25"/>
        <v>0.41958041958041958</v>
      </c>
      <c r="AY140" s="2">
        <f t="shared" si="26"/>
        <v>0</v>
      </c>
      <c r="AZ140" s="2">
        <f>AU140*0.5+AK140*0.5</f>
        <v>0.14666660564566322</v>
      </c>
      <c r="BA140" s="2">
        <f>AV140*0.5+AJ140*0.5</f>
        <v>6.3080218211108263E-2</v>
      </c>
      <c r="BB140" s="2">
        <f t="shared" si="27"/>
        <v>0.20979020979020979</v>
      </c>
      <c r="BC140">
        <f>IF(I140="expected",1,0)</f>
        <v>1</v>
      </c>
      <c r="BD140" s="78">
        <f>IF(BC140=1,AZ140/SUMIFS(AZ$3:AZ$623,$BC$3:$BC$623,1,$G$3:$G$623,$G140),0)</f>
        <v>7.3317203798797123E-2</v>
      </c>
      <c r="BE140" s="78">
        <f>IF(BC140=1,BA140/SUMIFS(BA$3:BA$623,$BC$3:$BC$623,1,$G$3:$G$623,$G140),0)</f>
        <v>5.1309502519692386E-2</v>
      </c>
      <c r="BF140" s="78">
        <f t="shared" si="28"/>
        <v>4.7312379564995545E-2</v>
      </c>
      <c r="BG140" s="2">
        <f t="shared" si="29"/>
        <v>0.20979020979020979</v>
      </c>
      <c r="BH140" s="2">
        <f t="shared" si="30"/>
        <v>0</v>
      </c>
      <c r="BI140" s="2">
        <f t="shared" si="31"/>
        <v>7.3317203798797123E-2</v>
      </c>
      <c r="BJ140" s="2">
        <f t="shared" si="32"/>
        <v>5.1309502519692386E-2</v>
      </c>
      <c r="BK140" s="2">
        <f t="shared" si="33"/>
        <v>4.7312379564995545E-2</v>
      </c>
      <c r="BL140" s="2">
        <f t="shared" si="34"/>
        <v>0.20979020979020979</v>
      </c>
      <c r="BM140" s="2">
        <f t="shared" si="35"/>
        <v>0</v>
      </c>
      <c r="BN140" s="2">
        <f>BI140/SUMIFS(BI$3:BI$623,$BC$3:$BC$623,1,$G$3:$G$623,$G140)</f>
        <v>7.3317203798797137E-2</v>
      </c>
      <c r="BO140" s="2">
        <f>BJ140/SUMIFS(BJ$3:BJ$623,$BC$3:$BC$623,1,$G$3:$G$623,$G140)</f>
        <v>5.1309502519692393E-2</v>
      </c>
      <c r="BP140" s="2">
        <f>BK140/SUMIFS(BK$3:BK$623,$BC$3:$BC$623,1,$G$3:$G$623,$G140)</f>
        <v>4.7312379564995559E-2</v>
      </c>
      <c r="BQ140" s="2">
        <f>BL140</f>
        <v>0.20979020979020979</v>
      </c>
      <c r="BR140" s="2">
        <f>BM140</f>
        <v>0</v>
      </c>
    </row>
    <row r="141" spans="1:70" hidden="1">
      <c r="A141" s="74">
        <v>0</v>
      </c>
      <c r="B141" s="73">
        <v>205003</v>
      </c>
      <c r="C141" s="73" t="s">
        <v>1537</v>
      </c>
      <c r="D141" s="73" t="s">
        <v>1538</v>
      </c>
      <c r="E141" s="73" t="s">
        <v>1539</v>
      </c>
      <c r="F141" s="73">
        <v>18583</v>
      </c>
      <c r="G141" s="73" t="s">
        <v>869</v>
      </c>
      <c r="H141" s="73" t="s">
        <v>905</v>
      </c>
      <c r="I141" s="73" t="s">
        <v>1012</v>
      </c>
      <c r="J141" s="73">
        <v>0</v>
      </c>
      <c r="K141" s="73">
        <v>6.5</v>
      </c>
      <c r="L141" s="73">
        <v>0</v>
      </c>
      <c r="M141" s="73">
        <v>0</v>
      </c>
      <c r="N141" s="73">
        <v>0</v>
      </c>
      <c r="O141" s="73" t="s">
        <v>982</v>
      </c>
      <c r="P141" s="73" t="s">
        <v>1540</v>
      </c>
      <c r="Q141" s="73" t="s">
        <v>1541</v>
      </c>
      <c r="R141" s="73">
        <v>0</v>
      </c>
      <c r="S141" s="73">
        <v>0</v>
      </c>
      <c r="T141" s="73">
        <v>106</v>
      </c>
      <c r="U141" s="73">
        <v>2</v>
      </c>
      <c r="V141" s="73">
        <v>2674</v>
      </c>
      <c r="W141" s="73">
        <v>0</v>
      </c>
      <c r="X141" s="73">
        <v>0</v>
      </c>
      <c r="Y141" s="73">
        <v>1</v>
      </c>
      <c r="Z141" s="73" t="s">
        <v>1267</v>
      </c>
      <c r="AA141" s="73" t="s">
        <v>693</v>
      </c>
      <c r="AB141" s="73" t="str">
        <f>IF(AA141&lt;&gt;"",INDEX(Lookup!$N$2:$N$5,MATCH(Players!AA141,Lookup!$P$2:$P$5,0)),INDEX(Lookup!$N$2:$N$5,MATCH(Players!O141,Lookup!$O$2:$O$5,0)))</f>
        <v>Striker</v>
      </c>
      <c r="AC141" s="73">
        <v>3500000</v>
      </c>
      <c r="AD141" s="73" t="s">
        <v>1542</v>
      </c>
      <c r="AE141" s="73" t="str">
        <f>INDEX('Translate table'!$H$2:$H$622,MATCH(Players!P141,'Translate table'!$G$2:$G$622,0))</f>
        <v>Jordan Jones</v>
      </c>
      <c r="AF141" s="73">
        <f>IFERROR(INDEX('Euro Qual stats'!$A$1:$L$2071,MATCH(Players!$AE141,'Euro Qual stats'!$A$1:$A$2071,0),MATCH(Players!AF$2,'Euro Qual stats'!$A$1:$L$1,0)),0)</f>
        <v>5</v>
      </c>
      <c r="AG141" s="73">
        <f>IFERROR(INDEX('Euro Qual stats'!$A$1:$L$2071,MATCH(Players!$AE141,'Euro Qual stats'!$A$1:$A$2071,0),MATCH(Players!AG$2,'Euro Qual stats'!$A$1:$L$1,0)),0)</f>
        <v>0.28000000000000003</v>
      </c>
      <c r="AH141" s="73">
        <f>IFERROR(INDEX('Euro Qual stats'!$A$1:$L$2071,MATCH(Players!$AE141,'Euro Qual stats'!$A$1:$A$2071,0),MATCH(Players!AH$2,'Euro Qual stats'!$A$1:$L$1,0)),0)</f>
        <v>0</v>
      </c>
      <c r="AI141" s="73">
        <f>IFERROR(INDEX('Euro Qual stats'!$A$1:$L$2071,MATCH(Players!$AE141,'Euro Qual stats'!$A$1:$A$2071,0),MATCH(Players!AI$2,'Euro Qual stats'!$A$1:$L$1,0)),0)</f>
        <v>0</v>
      </c>
      <c r="AJ141" s="93">
        <f>(12-AF141)/12*INDEX(BV$9:BV$12,MATCH($AB141,$BU$9:$BU$12,0))+AF141/12*AG141</f>
        <v>0.23619971264367823</v>
      </c>
      <c r="AK141" s="93">
        <f>(12-AG141)/12*INDEX(BW$9:BW$12,MATCH($AB141,$BU$9:$BU$12,0))+AG141/12*AH141</f>
        <v>0.52142212643678143</v>
      </c>
      <c r="AL141" s="93">
        <f>(12-AH141)/12*INDEX(BX$9:BX$12,MATCH($AB141,$BU$9:$BU$12,0))+AH141/12*AI141</f>
        <v>0.16482758620689658</v>
      </c>
      <c r="AM141" s="93">
        <f>IF($BC141=1,AJ141/SUMIFS(AJ$3:AJ$623,$BC$3:$BC$623,1,$G$3:$G$623,$G141),0)</f>
        <v>0</v>
      </c>
      <c r="AN141" s="93">
        <f>IF($BC141=1,AK141/SUMIFS(AK$3:AK$623,$BC$3:$BC$623,1,$G$3:$G$623,$G141),0)</f>
        <v>0</v>
      </c>
      <c r="AO141" s="93">
        <f>IF($BC141=1,AL141/SUMIFS(AL$3:AL$623,$BC$3:$BC$623,1,$G$3:$G$623,$G141),0)</f>
        <v>0</v>
      </c>
      <c r="AP141" s="2">
        <f>IFERROR(R141/$V141*90,"")</f>
        <v>0</v>
      </c>
      <c r="AQ141" s="2">
        <f>IFERROR(S141/$V141*90,"")</f>
        <v>0</v>
      </c>
      <c r="AR141" s="2">
        <f>IFERROR(W141/$V141*90,"")</f>
        <v>0</v>
      </c>
      <c r="AS141" s="2">
        <f>IFERROR(X141/$V141*90,"")</f>
        <v>0</v>
      </c>
      <c r="AT141" s="2">
        <f>IFERROR(Y141/$V141*90,"")</f>
        <v>3.3657442034405384E-2</v>
      </c>
      <c r="AU141" s="2">
        <f>IF(AP141="",INDEX(BV$4:BV$7,MATCH(O141,$BU$4:$BU$7,0)),AP141)</f>
        <v>0</v>
      </c>
      <c r="AV141" s="2">
        <f>IF(AQ141="",INDEX(BW$4:BW$7,MATCH($O141,$BU$4:$BU$7,0)),AQ141)</f>
        <v>0</v>
      </c>
      <c r="AW141" s="2">
        <f t="shared" si="24"/>
        <v>0</v>
      </c>
      <c r="AX141" s="2">
        <f t="shared" si="25"/>
        <v>0</v>
      </c>
      <c r="AY141" s="2">
        <f t="shared" si="26"/>
        <v>3.3657442034405384E-2</v>
      </c>
      <c r="AZ141" s="2">
        <f>AU141*0.5+AK141*0.5</f>
        <v>0.26071106321839072</v>
      </c>
      <c r="BA141" s="2">
        <f>AV141*0.5+AJ141*0.5</f>
        <v>0.11809985632183911</v>
      </c>
      <c r="BB141" s="2">
        <f t="shared" si="27"/>
        <v>0</v>
      </c>
      <c r="BC141">
        <f>IF(I141="expected",1,0)</f>
        <v>0</v>
      </c>
      <c r="BD141" s="78">
        <f>IF(BC141=1,AZ141/SUMIFS(AZ$3:AZ$623,$BC$3:$BC$623,1,$G$3:$G$623,$G141),0)</f>
        <v>0</v>
      </c>
      <c r="BE141" s="78">
        <f>IF(BC141=1,BA141/SUMIFS(BA$3:BA$623,$BC$3:$BC$623,1,$G$3:$G$623,$G141),0)</f>
        <v>0</v>
      </c>
      <c r="BF141" s="78">
        <f t="shared" si="28"/>
        <v>0</v>
      </c>
      <c r="BG141" s="2">
        <f t="shared" si="29"/>
        <v>0</v>
      </c>
      <c r="BH141" s="2">
        <f t="shared" si="30"/>
        <v>3.3657442034405384E-2</v>
      </c>
      <c r="BI141" s="2">
        <f t="shared" si="31"/>
        <v>0</v>
      </c>
      <c r="BJ141" s="2">
        <f t="shared" si="32"/>
        <v>0</v>
      </c>
      <c r="BK141" s="2">
        <f t="shared" si="33"/>
        <v>0</v>
      </c>
      <c r="BL141" s="2">
        <f t="shared" si="34"/>
        <v>0</v>
      </c>
      <c r="BM141" s="2">
        <f t="shared" si="35"/>
        <v>3.3657442034405384E-2</v>
      </c>
      <c r="BN141" s="2">
        <f>BI141/SUMIFS(BI$3:BI$623,$BC$3:$BC$623,1,$G$3:$G$623,$G141)</f>
        <v>0</v>
      </c>
      <c r="BO141" s="2">
        <f>BJ141/SUMIFS(BJ$3:BJ$623,$BC$3:$BC$623,1,$G$3:$G$623,$G141)</f>
        <v>0</v>
      </c>
      <c r="BP141" s="2">
        <f>BK141/SUMIFS(BK$3:BK$623,$BC$3:$BC$623,1,$G$3:$G$623,$G141)</f>
        <v>0</v>
      </c>
      <c r="BQ141" s="2">
        <f>BL141</f>
        <v>0</v>
      </c>
      <c r="BR141" s="2">
        <f>BM141</f>
        <v>3.3657442034405384E-2</v>
      </c>
    </row>
    <row r="142" spans="1:70" hidden="1">
      <c r="A142" s="74">
        <v>0</v>
      </c>
      <c r="B142" s="73">
        <v>204951</v>
      </c>
      <c r="C142" s="73" t="s">
        <v>1543</v>
      </c>
      <c r="D142" s="73" t="s">
        <v>1544</v>
      </c>
      <c r="E142" s="73" t="s">
        <v>1545</v>
      </c>
      <c r="F142" s="73">
        <v>18583</v>
      </c>
      <c r="G142" s="73" t="s">
        <v>869</v>
      </c>
      <c r="H142" s="73" t="s">
        <v>905</v>
      </c>
      <c r="I142" s="73" t="s">
        <v>981</v>
      </c>
      <c r="J142" s="73">
        <v>0</v>
      </c>
      <c r="K142" s="73">
        <v>6.5</v>
      </c>
      <c r="L142" s="73">
        <v>0</v>
      </c>
      <c r="M142" s="73">
        <v>0</v>
      </c>
      <c r="N142" s="73">
        <v>0</v>
      </c>
      <c r="O142" s="73" t="s">
        <v>982</v>
      </c>
      <c r="P142" s="73" t="s">
        <v>1546</v>
      </c>
      <c r="Q142" s="73" t="s">
        <v>1546</v>
      </c>
      <c r="R142" s="73">
        <v>5</v>
      </c>
      <c r="S142" s="73">
        <v>4</v>
      </c>
      <c r="T142" s="73">
        <v>0</v>
      </c>
      <c r="U142" s="73">
        <v>3</v>
      </c>
      <c r="V142" s="73">
        <v>1351</v>
      </c>
      <c r="W142" s="73">
        <v>15</v>
      </c>
      <c r="X142" s="73">
        <v>1</v>
      </c>
      <c r="Y142" s="73">
        <v>0</v>
      </c>
      <c r="Z142" s="73" t="s">
        <v>1267</v>
      </c>
      <c r="AA142" s="73" t="s">
        <v>693</v>
      </c>
      <c r="AB142" s="73" t="str">
        <f>IF(AA142&lt;&gt;"",INDEX(Lookup!$N$2:$N$5,MATCH(Players!AA142,Lookup!$P$2:$P$5,0)),INDEX(Lookup!$N$2:$N$5,MATCH(Players!O142,Lookup!$O$2:$O$5,0)))</f>
        <v>Striker</v>
      </c>
      <c r="AC142" s="73">
        <v>4500000</v>
      </c>
      <c r="AD142" s="73" t="s">
        <v>1547</v>
      </c>
      <c r="AE142" s="73" t="str">
        <f>INDEX('Translate table'!$H$2:$H$622,MATCH(Players!P142,'Translate table'!$G$2:$G$622,0))</f>
        <v>Yussuf Poulsen</v>
      </c>
      <c r="AF142" s="73">
        <f>IFERROR(INDEX('Euro Qual stats'!$A$1:$L$2071,MATCH(Players!$AE142,'Euro Qual stats'!$A$1:$A$2071,0),MATCH(Players!AF$2,'Euro Qual stats'!$A$1:$L$1,0)),0)</f>
        <v>7</v>
      </c>
      <c r="AG142" s="73">
        <f>IFERROR(INDEX('Euro Qual stats'!$A$1:$L$2071,MATCH(Players!$AE142,'Euro Qual stats'!$A$1:$A$2071,0),MATCH(Players!AG$2,'Euro Qual stats'!$A$1:$L$1,0)),0)</f>
        <v>0.15</v>
      </c>
      <c r="AH142" s="73">
        <f>IFERROR(INDEX('Euro Qual stats'!$A$1:$L$2071,MATCH(Players!$AE142,'Euro Qual stats'!$A$1:$A$2071,0),MATCH(Players!AH$2,'Euro Qual stats'!$A$1:$L$1,0)),0)</f>
        <v>0.31</v>
      </c>
      <c r="AI142" s="73">
        <f>IFERROR(INDEX('Euro Qual stats'!$A$1:$L$2071,MATCH(Players!$AE142,'Euro Qual stats'!$A$1:$A$2071,0),MATCH(Players!AI$2,'Euro Qual stats'!$A$1:$L$1,0)),0)</f>
        <v>0.15</v>
      </c>
      <c r="AJ142" s="93">
        <f>(12-AF142)/12*INDEX(BV$9:BV$12,MATCH($AB142,$BU$9:$BU$12,0))+AF142/12*AG142</f>
        <v>0.17288074712643681</v>
      </c>
      <c r="AK142" s="93">
        <f>(12-AG142)/12*INDEX(BW$9:BW$12,MATCH($AB142,$BU$9:$BU$12,0))+AG142/12*AH142</f>
        <v>0.53108081896551695</v>
      </c>
      <c r="AL142" s="93">
        <f>(12-AH142)/12*INDEX(BX$9:BX$12,MATCH($AB142,$BU$9:$BU$12,0))+AH142/12*AI142</f>
        <v>0.16444454022988506</v>
      </c>
      <c r="AM142" s="93">
        <f>IF($BC142=1,AJ142/SUMIFS(AJ$3:AJ$623,$BC$3:$BC$623,1,$G$3:$G$623,$G142),0)</f>
        <v>0.11412041822806838</v>
      </c>
      <c r="AN142" s="93">
        <f>IF($BC142=1,AK142/SUMIFS(AK$3:AK$623,$BC$3:$BC$623,1,$G$3:$G$623,$G142),0)</f>
        <v>0.18995156773809474</v>
      </c>
      <c r="AO142" s="93">
        <f>IF($BC142=1,AL142/SUMIFS(AL$3:AL$623,$BC$3:$BC$623,1,$G$3:$G$623,$G142),0)</f>
        <v>8.2356126796609752E-2</v>
      </c>
      <c r="AP142" s="2">
        <f>IFERROR(R142/$V142*90,"")</f>
        <v>0.33308660251665434</v>
      </c>
      <c r="AQ142" s="2">
        <f>IFERROR(S142/$V142*90,"")</f>
        <v>0.26646928201332343</v>
      </c>
      <c r="AR142" s="2">
        <f>IFERROR(W142/$V142*90,"")</f>
        <v>0.99925980754996302</v>
      </c>
      <c r="AS142" s="2">
        <f>IFERROR(X142/$V142*90,"")</f>
        <v>6.6617320503330857E-2</v>
      </c>
      <c r="AT142" s="2">
        <f>IFERROR(Y142/$V142*90,"")</f>
        <v>0</v>
      </c>
      <c r="AU142" s="2">
        <f>IF(AP142="",INDEX(BV$4:BV$7,MATCH(O142,$BU$4:$BU$7,0)),AP142)</f>
        <v>0.33308660251665434</v>
      </c>
      <c r="AV142" s="2">
        <f>IF(AQ142="",INDEX(BW$4:BW$7,MATCH($O142,$BU$4:$BU$7,0)),AQ142)</f>
        <v>0.26646928201332343</v>
      </c>
      <c r="AW142" s="2">
        <f t="shared" si="24"/>
        <v>0.99925980754996302</v>
      </c>
      <c r="AX142" s="2">
        <f t="shared" si="25"/>
        <v>6.6617320503330857E-2</v>
      </c>
      <c r="AY142" s="2">
        <f t="shared" si="26"/>
        <v>0</v>
      </c>
      <c r="AZ142" s="2">
        <f>AU142*0.5+AK142*0.5</f>
        <v>0.43208371074108565</v>
      </c>
      <c r="BA142" s="2">
        <f>AV142*0.5+AJ142*0.5</f>
        <v>0.21967501456988012</v>
      </c>
      <c r="BB142" s="2">
        <f t="shared" si="27"/>
        <v>0.10830866025166543</v>
      </c>
      <c r="BC142">
        <f>IF(I142="expected",1,0)</f>
        <v>1</v>
      </c>
      <c r="BD142" s="78">
        <f>IF(BC142=1,AZ142/SUMIFS(AZ$3:AZ$623,$BC$3:$BC$623,1,$G$3:$G$623,$G142),0)</f>
        <v>0.21599442721869114</v>
      </c>
      <c r="BE142" s="78">
        <f>IF(BC142=1,BA142/SUMIFS(BA$3:BA$623,$BC$3:$BC$623,1,$G$3:$G$623,$G142),0)</f>
        <v>0.17868384151533989</v>
      </c>
      <c r="BF142" s="78">
        <f t="shared" si="28"/>
        <v>0.22535541265784334</v>
      </c>
      <c r="BG142" s="2">
        <f t="shared" si="29"/>
        <v>0.10830866025166543</v>
      </c>
      <c r="BH142" s="2">
        <f t="shared" si="30"/>
        <v>0</v>
      </c>
      <c r="BI142" s="2">
        <f t="shared" si="31"/>
        <v>0.21599442721869114</v>
      </c>
      <c r="BJ142" s="2">
        <f t="shared" si="32"/>
        <v>0.17868384151533989</v>
      </c>
      <c r="BK142" s="2">
        <f t="shared" si="33"/>
        <v>0.22535541265784334</v>
      </c>
      <c r="BL142" s="2">
        <f t="shared" si="34"/>
        <v>0.10830866025166543</v>
      </c>
      <c r="BM142" s="2">
        <f t="shared" si="35"/>
        <v>0</v>
      </c>
      <c r="BN142" s="2">
        <f>BI142/SUMIFS(BI$3:BI$623,$BC$3:$BC$623,1,$G$3:$G$623,$G142)</f>
        <v>0.21599442721869117</v>
      </c>
      <c r="BO142" s="2">
        <f>BJ142/SUMIFS(BJ$3:BJ$623,$BC$3:$BC$623,1,$G$3:$G$623,$G142)</f>
        <v>0.17868384151533992</v>
      </c>
      <c r="BP142" s="2">
        <f>BK142/SUMIFS(BK$3:BK$623,$BC$3:$BC$623,1,$G$3:$G$623,$G142)</f>
        <v>0.2253554126578434</v>
      </c>
      <c r="BQ142" s="2">
        <f>BL142</f>
        <v>0.10830866025166543</v>
      </c>
      <c r="BR142" s="2">
        <f>BM142</f>
        <v>0</v>
      </c>
    </row>
    <row r="143" spans="1:70" hidden="1">
      <c r="A143" s="74">
        <v>0</v>
      </c>
      <c r="B143" s="73">
        <v>204602</v>
      </c>
      <c r="C143" s="73" t="s">
        <v>1548</v>
      </c>
      <c r="D143" s="73" t="s">
        <v>1069</v>
      </c>
      <c r="E143" s="73" t="s">
        <v>1549</v>
      </c>
      <c r="F143" s="73">
        <v>18588</v>
      </c>
      <c r="G143" s="73" t="s">
        <v>880</v>
      </c>
      <c r="H143" s="73" t="s">
        <v>949</v>
      </c>
      <c r="I143" s="73" t="s">
        <v>1012</v>
      </c>
      <c r="J143" s="73">
        <v>0</v>
      </c>
      <c r="K143" s="73">
        <v>6</v>
      </c>
      <c r="L143" s="73">
        <v>0</v>
      </c>
      <c r="M143" s="73">
        <v>0</v>
      </c>
      <c r="N143" s="73">
        <v>0</v>
      </c>
      <c r="O143" s="73" t="s">
        <v>982</v>
      </c>
      <c r="P143" s="73" t="s">
        <v>1550</v>
      </c>
      <c r="Q143" s="73" t="s">
        <v>1551</v>
      </c>
      <c r="R143" s="73">
        <v>1</v>
      </c>
      <c r="S143" s="73">
        <v>2</v>
      </c>
      <c r="T143" s="73">
        <v>0</v>
      </c>
      <c r="U143" s="73">
        <v>3</v>
      </c>
      <c r="V143" s="73">
        <v>1415</v>
      </c>
      <c r="W143" s="73">
        <v>6</v>
      </c>
      <c r="X143" s="73">
        <v>6</v>
      </c>
      <c r="Y143" s="73">
        <v>0</v>
      </c>
      <c r="Z143" s="73" t="s">
        <v>1133</v>
      </c>
      <c r="AA143" s="73" t="s">
        <v>693</v>
      </c>
      <c r="AB143" s="73" t="str">
        <f>IF(AA143&lt;&gt;"",INDEX(Lookup!$N$2:$N$5,MATCH(Players!AA143,Lookup!$P$2:$P$5,0)),INDEX(Lookup!$N$2:$N$5,MATCH(Players!O143,Lookup!$O$2:$O$5,0)))</f>
        <v>Striker</v>
      </c>
      <c r="AC143" s="73">
        <v>3500000</v>
      </c>
      <c r="AD143" s="73" t="s">
        <v>789</v>
      </c>
      <c r="AE143" s="73" t="str">
        <f>INDEX('Translate table'!$H$2:$H$622,MATCH(Players!P143,'Translate table'!$G$2:$G$622,0))</f>
        <v>Bruno PetkoviÄ‡</v>
      </c>
      <c r="AF143" s="73">
        <f>IFERROR(INDEX('Euro Qual stats'!$A$1:$L$2071,MATCH(Players!$AE143,'Euro Qual stats'!$A$1:$A$2071,0),MATCH(Players!AF$2,'Euro Qual stats'!$A$1:$L$1,0)),0)</f>
        <v>7</v>
      </c>
      <c r="AG143" s="73">
        <f>IFERROR(INDEX('Euro Qual stats'!$A$1:$L$2071,MATCH(Players!$AE143,'Euro Qual stats'!$A$1:$A$2071,0),MATCH(Players!AG$2,'Euro Qual stats'!$A$1:$L$1,0)),0)</f>
        <v>0.18</v>
      </c>
      <c r="AH143" s="73">
        <f>IFERROR(INDEX('Euro Qual stats'!$A$1:$L$2071,MATCH(Players!$AE143,'Euro Qual stats'!$A$1:$A$2071,0),MATCH(Players!AH$2,'Euro Qual stats'!$A$1:$L$1,0)),0)</f>
        <v>0.72</v>
      </c>
      <c r="AI143" s="73">
        <f>IFERROR(INDEX('Euro Qual stats'!$A$1:$L$2071,MATCH(Players!$AE143,'Euro Qual stats'!$A$1:$A$2071,0),MATCH(Players!AI$2,'Euro Qual stats'!$A$1:$L$1,0)),0)</f>
        <v>0.18</v>
      </c>
      <c r="AJ143" s="93">
        <f>(12-AF143)/12*INDEX(BV$9:BV$12,MATCH($AB143,$BU$9:$BU$12,0))+AF143/12*AG143</f>
        <v>0.19038074712643679</v>
      </c>
      <c r="AK143" s="93">
        <f>(12-AG143)/12*INDEX(BW$9:BW$12,MATCH($AB143,$BU$9:$BU$12,0))+AG143/12*AH143</f>
        <v>0.53667112068965495</v>
      </c>
      <c r="AL143" s="93">
        <f>(12-AH143)/12*INDEX(BX$9:BX$12,MATCH($AB143,$BU$9:$BU$12,0))+AH143/12*AI143</f>
        <v>0.16573793103448278</v>
      </c>
      <c r="AM143" s="93">
        <f>IF($BC143=1,AJ143/SUMIFS(AJ$3:AJ$623,$BC$3:$BC$623,1,$G$3:$G$623,$G143),0)</f>
        <v>0</v>
      </c>
      <c r="AN143" s="93">
        <f>IF($BC143=1,AK143/SUMIFS(AK$3:AK$623,$BC$3:$BC$623,1,$G$3:$G$623,$G143),0)</f>
        <v>0</v>
      </c>
      <c r="AO143" s="93">
        <f>IF($BC143=1,AL143/SUMIFS(AL$3:AL$623,$BC$3:$BC$623,1,$G$3:$G$623,$G143),0)</f>
        <v>0</v>
      </c>
      <c r="AP143" s="2">
        <f>IFERROR(R143/$V143*90,"")</f>
        <v>6.3604240282685506E-2</v>
      </c>
      <c r="AQ143" s="2">
        <f>IFERROR(S143/$V143*90,"")</f>
        <v>0.12720848056537101</v>
      </c>
      <c r="AR143" s="2">
        <f>IFERROR(W143/$V143*90,"")</f>
        <v>0.38162544169611301</v>
      </c>
      <c r="AS143" s="2">
        <f>IFERROR(X143/$V143*90,"")</f>
        <v>0.38162544169611301</v>
      </c>
      <c r="AT143" s="2">
        <f>IFERROR(Y143/$V143*90,"")</f>
        <v>0</v>
      </c>
      <c r="AU143" s="2">
        <f>IF(AP143="",INDEX(BV$4:BV$7,MATCH(O143,$BU$4:$BU$7,0)),AP143)</f>
        <v>6.3604240282685506E-2</v>
      </c>
      <c r="AV143" s="2">
        <f>IF(AQ143="",INDEX(BW$4:BW$7,MATCH($O143,$BU$4:$BU$7,0)),AQ143)</f>
        <v>0.12720848056537101</v>
      </c>
      <c r="AW143" s="2">
        <f t="shared" si="24"/>
        <v>0.38162544169611301</v>
      </c>
      <c r="AX143" s="2">
        <f t="shared" si="25"/>
        <v>0.38162544169611301</v>
      </c>
      <c r="AY143" s="2">
        <f t="shared" si="26"/>
        <v>0</v>
      </c>
      <c r="AZ143" s="2">
        <f>AU143*0.5+AK143*0.5</f>
        <v>0.30013768048617023</v>
      </c>
      <c r="BA143" s="2">
        <f>AV143*0.5+AJ143*0.5</f>
        <v>0.1587946138459039</v>
      </c>
      <c r="BB143" s="2">
        <f t="shared" si="27"/>
        <v>0.28081272084805653</v>
      </c>
      <c r="BC143">
        <f>IF(I143="expected",1,0)</f>
        <v>0</v>
      </c>
      <c r="BD143" s="78">
        <f>IF(BC143=1,AZ143/SUMIFS(AZ$3:AZ$623,$BC$3:$BC$623,1,$G$3:$G$623,$G143),0)</f>
        <v>0</v>
      </c>
      <c r="BE143" s="78">
        <f>IF(BC143=1,BA143/SUMIFS(BA$3:BA$623,$BC$3:$BC$623,1,$G$3:$G$623,$G143),0)</f>
        <v>0</v>
      </c>
      <c r="BF143" s="78">
        <f t="shared" si="28"/>
        <v>0</v>
      </c>
      <c r="BG143" s="2">
        <f t="shared" si="29"/>
        <v>0.28081272084805653</v>
      </c>
      <c r="BH143" s="2">
        <f t="shared" si="30"/>
        <v>0</v>
      </c>
      <c r="BI143" s="2">
        <f t="shared" si="31"/>
        <v>0</v>
      </c>
      <c r="BJ143" s="2">
        <f t="shared" si="32"/>
        <v>0</v>
      </c>
      <c r="BK143" s="2">
        <f t="shared" si="33"/>
        <v>0</v>
      </c>
      <c r="BL143" s="2">
        <f t="shared" si="34"/>
        <v>0.28081272084805653</v>
      </c>
      <c r="BM143" s="2">
        <f t="shared" si="35"/>
        <v>0</v>
      </c>
      <c r="BN143" s="2">
        <f>BI143/SUMIFS(BI$3:BI$623,$BC$3:$BC$623,1,$G$3:$G$623,$G143)</f>
        <v>0</v>
      </c>
      <c r="BO143" s="2">
        <f>BJ143/SUMIFS(BJ$3:BJ$623,$BC$3:$BC$623,1,$G$3:$G$623,$G143)</f>
        <v>0</v>
      </c>
      <c r="BP143" s="2">
        <f>BK143/SUMIFS(BK$3:BK$623,$BC$3:$BC$623,1,$G$3:$G$623,$G143)</f>
        <v>0</v>
      </c>
      <c r="BQ143" s="2">
        <f>BL143</f>
        <v>0.28081272084805653</v>
      </c>
      <c r="BR143" s="2">
        <f>BM143</f>
        <v>0</v>
      </c>
    </row>
    <row r="144" spans="1:70" hidden="1">
      <c r="A144" s="74">
        <v>0</v>
      </c>
      <c r="B144" s="73">
        <v>204599</v>
      </c>
      <c r="C144" s="73" t="s">
        <v>1552</v>
      </c>
      <c r="D144" s="73" t="s">
        <v>1215</v>
      </c>
      <c r="E144" s="73" t="s">
        <v>1553</v>
      </c>
      <c r="F144" s="73">
        <v>18588</v>
      </c>
      <c r="G144" s="73" t="s">
        <v>880</v>
      </c>
      <c r="H144" s="73" t="s">
        <v>949</v>
      </c>
      <c r="I144" s="73" t="s">
        <v>1012</v>
      </c>
      <c r="J144" s="73">
        <v>0</v>
      </c>
      <c r="K144" s="73">
        <v>6</v>
      </c>
      <c r="L144" s="73">
        <v>0</v>
      </c>
      <c r="M144" s="73">
        <v>0</v>
      </c>
      <c r="N144" s="73">
        <v>0</v>
      </c>
      <c r="O144" s="73" t="s">
        <v>982</v>
      </c>
      <c r="P144" s="73" t="s">
        <v>1554</v>
      </c>
      <c r="Q144" s="73" t="s">
        <v>1554</v>
      </c>
      <c r="R144" s="73">
        <v>11</v>
      </c>
      <c r="S144" s="73">
        <v>0</v>
      </c>
      <c r="T144" s="73">
        <v>0</v>
      </c>
      <c r="U144" s="73">
        <v>1</v>
      </c>
      <c r="V144" s="73">
        <v>1620</v>
      </c>
      <c r="W144" s="73">
        <v>22</v>
      </c>
      <c r="X144" s="73">
        <v>3</v>
      </c>
      <c r="Y144" s="73">
        <v>0</v>
      </c>
      <c r="Z144" s="73" t="s">
        <v>1133</v>
      </c>
      <c r="AA144" s="73" t="s">
        <v>693</v>
      </c>
      <c r="AB144" s="73" t="str">
        <f>IF(AA144&lt;&gt;"",INDEX(Lookup!$N$2:$N$5,MATCH(Players!AA144,Lookup!$P$2:$P$5,0)),INDEX(Lookup!$N$2:$N$5,MATCH(Players!O144,Lookup!$O$2:$O$5,0)))</f>
        <v>Striker</v>
      </c>
      <c r="AC144" s="73">
        <v>3000000</v>
      </c>
      <c r="AD144" s="73" t="s">
        <v>788</v>
      </c>
      <c r="AE144" s="73" t="str">
        <f>INDEX('Translate table'!$H$2:$H$622,MATCH(Players!P144,'Translate table'!$G$2:$G$622,0))</f>
        <v>Ante RebiÄ‡</v>
      </c>
      <c r="AF144" s="73">
        <f>IFERROR(INDEX('Euro Qual stats'!$A$1:$L$2071,MATCH(Players!$AE144,'Euro Qual stats'!$A$1:$A$2071,0),MATCH(Players!AF$2,'Euro Qual stats'!$A$1:$L$1,0)),0)</f>
        <v>7</v>
      </c>
      <c r="AG144" s="73">
        <f>IFERROR(INDEX('Euro Qual stats'!$A$1:$L$2071,MATCH(Players!$AE144,'Euro Qual stats'!$A$1:$A$2071,0),MATCH(Players!AG$2,'Euro Qual stats'!$A$1:$L$1,0)),0)</f>
        <v>0.65</v>
      </c>
      <c r="AH144" s="73">
        <f>IFERROR(INDEX('Euro Qual stats'!$A$1:$L$2071,MATCH(Players!$AE144,'Euro Qual stats'!$A$1:$A$2071,0),MATCH(Players!AH$2,'Euro Qual stats'!$A$1:$L$1,0)),0)</f>
        <v>0.22</v>
      </c>
      <c r="AI144" s="73">
        <f>IFERROR(INDEX('Euro Qual stats'!$A$1:$L$2071,MATCH(Players!$AE144,'Euro Qual stats'!$A$1:$A$2071,0),MATCH(Players!AI$2,'Euro Qual stats'!$A$1:$L$1,0)),0)</f>
        <v>0.22</v>
      </c>
      <c r="AJ144" s="93">
        <f>(12-AF144)/12*INDEX(BV$9:BV$12,MATCH($AB144,$BU$9:$BU$12,0))+AF144/12*AG144</f>
        <v>0.46454741379310349</v>
      </c>
      <c r="AK144" s="93">
        <f>(12-AG144)/12*INDEX(BW$9:BW$12,MATCH($AB144,$BU$9:$BU$12,0))+AG144/12*AH144</f>
        <v>0.51687751436781593</v>
      </c>
      <c r="AL144" s="93">
        <f>(12-AH144)/12*INDEX(BX$9:BX$12,MATCH($AB144,$BU$9:$BU$12,0))+AH144/12*AI144</f>
        <v>0.16583908045977014</v>
      </c>
      <c r="AM144" s="93">
        <f>IF($BC144=1,AJ144/SUMIFS(AJ$3:AJ$623,$BC$3:$BC$623,1,$G$3:$G$623,$G144),0)</f>
        <v>0</v>
      </c>
      <c r="AN144" s="93">
        <f>IF($BC144=1,AK144/SUMIFS(AK$3:AK$623,$BC$3:$BC$623,1,$G$3:$G$623,$G144),0)</f>
        <v>0</v>
      </c>
      <c r="AO144" s="93">
        <f>IF($BC144=1,AL144/SUMIFS(AL$3:AL$623,$BC$3:$BC$623,1,$G$3:$G$623,$G144),0)</f>
        <v>0</v>
      </c>
      <c r="AP144" s="2">
        <f>IFERROR(R144/$V144*90,"")</f>
        <v>0.61111111111111116</v>
      </c>
      <c r="AQ144" s="2">
        <f>IFERROR(S144/$V144*90,"")</f>
        <v>0</v>
      </c>
      <c r="AR144" s="2">
        <f>IFERROR(W144/$V144*90,"")</f>
        <v>1.2222222222222223</v>
      </c>
      <c r="AS144" s="2">
        <f>IFERROR(X144/$V144*90,"")</f>
        <v>0.16666666666666669</v>
      </c>
      <c r="AT144" s="2">
        <f>IFERROR(Y144/$V144*90,"")</f>
        <v>0</v>
      </c>
      <c r="AU144" s="2">
        <f>IF(AP144="",INDEX(BV$4:BV$7,MATCH(O144,$BU$4:$BU$7,0)),AP144)</f>
        <v>0.61111111111111116</v>
      </c>
      <c r="AV144" s="2">
        <f>IF(AQ144="",INDEX(BW$4:BW$7,MATCH($O144,$BU$4:$BU$7,0)),AQ144)</f>
        <v>0</v>
      </c>
      <c r="AW144" s="2">
        <f t="shared" si="24"/>
        <v>1.2222222222222223</v>
      </c>
      <c r="AX144" s="2">
        <f t="shared" si="25"/>
        <v>0.16666666666666669</v>
      </c>
      <c r="AY144" s="2">
        <f t="shared" si="26"/>
        <v>0</v>
      </c>
      <c r="AZ144" s="2">
        <f>AU144*0.5+AK144*0.5</f>
        <v>0.56399431273946354</v>
      </c>
      <c r="BA144" s="2">
        <f>AV144*0.5+AJ144*0.5</f>
        <v>0.23227370689655175</v>
      </c>
      <c r="BB144" s="2">
        <f t="shared" si="27"/>
        <v>0.19333333333333336</v>
      </c>
      <c r="BC144">
        <f>IF(I144="expected",1,0)</f>
        <v>0</v>
      </c>
      <c r="BD144" s="78">
        <f>IF(BC144=1,AZ144/SUMIFS(AZ$3:AZ$623,$BC$3:$BC$623,1,$G$3:$G$623,$G144),0)</f>
        <v>0</v>
      </c>
      <c r="BE144" s="78">
        <f>IF(BC144=1,BA144/SUMIFS(BA$3:BA$623,$BC$3:$BC$623,1,$G$3:$G$623,$G144),0)</f>
        <v>0</v>
      </c>
      <c r="BF144" s="78">
        <f t="shared" si="28"/>
        <v>0</v>
      </c>
      <c r="BG144" s="2">
        <f t="shared" si="29"/>
        <v>0.19333333333333336</v>
      </c>
      <c r="BH144" s="2">
        <f t="shared" si="30"/>
        <v>0</v>
      </c>
      <c r="BI144" s="2">
        <f t="shared" si="31"/>
        <v>0</v>
      </c>
      <c r="BJ144" s="2">
        <f t="shared" si="32"/>
        <v>0</v>
      </c>
      <c r="BK144" s="2">
        <f t="shared" si="33"/>
        <v>0</v>
      </c>
      <c r="BL144" s="2">
        <f t="shared" si="34"/>
        <v>0.19333333333333336</v>
      </c>
      <c r="BM144" s="2">
        <f t="shared" si="35"/>
        <v>0</v>
      </c>
      <c r="BN144" s="2">
        <f>BI144/SUMIFS(BI$3:BI$623,$BC$3:$BC$623,1,$G$3:$G$623,$G144)</f>
        <v>0</v>
      </c>
      <c r="BO144" s="2">
        <f>BJ144/SUMIFS(BJ$3:BJ$623,$BC$3:$BC$623,1,$G$3:$G$623,$G144)</f>
        <v>0</v>
      </c>
      <c r="BP144" s="2">
        <f>BK144/SUMIFS(BK$3:BK$623,$BC$3:$BC$623,1,$G$3:$G$623,$G144)</f>
        <v>0</v>
      </c>
      <c r="BQ144" s="2">
        <f>BL144</f>
        <v>0.19333333333333336</v>
      </c>
      <c r="BR144" s="2">
        <f>BM144</f>
        <v>0</v>
      </c>
    </row>
    <row r="145" spans="1:70" hidden="1">
      <c r="A145" s="74">
        <v>0</v>
      </c>
      <c r="B145" s="73">
        <v>204520</v>
      </c>
      <c r="C145" s="73" t="s">
        <v>1555</v>
      </c>
      <c r="D145" s="73" t="s">
        <v>1556</v>
      </c>
      <c r="E145" s="73" t="s">
        <v>1557</v>
      </c>
      <c r="F145" s="73">
        <v>18658</v>
      </c>
      <c r="G145" s="73" t="s">
        <v>863</v>
      </c>
      <c r="H145" s="73" t="s">
        <v>939</v>
      </c>
      <c r="I145" s="73" t="s">
        <v>981</v>
      </c>
      <c r="J145" s="73">
        <v>0</v>
      </c>
      <c r="K145" s="73">
        <v>6</v>
      </c>
      <c r="L145" s="73">
        <v>0</v>
      </c>
      <c r="M145" s="73">
        <v>0</v>
      </c>
      <c r="N145" s="73">
        <v>0</v>
      </c>
      <c r="O145" s="73" t="s">
        <v>1290</v>
      </c>
      <c r="P145" s="73" t="s">
        <v>1558</v>
      </c>
      <c r="Q145" s="73" t="s">
        <v>1558</v>
      </c>
      <c r="R145" s="73">
        <v>0</v>
      </c>
      <c r="S145" s="73">
        <v>0</v>
      </c>
      <c r="T145" s="73">
        <v>92</v>
      </c>
      <c r="U145" s="73">
        <v>14</v>
      </c>
      <c r="V145" s="73">
        <v>3330</v>
      </c>
      <c r="W145" s="73">
        <v>0</v>
      </c>
      <c r="X145" s="73">
        <v>1</v>
      </c>
      <c r="Y145" s="73">
        <v>0</v>
      </c>
      <c r="Z145" s="73" t="s">
        <v>1054</v>
      </c>
      <c r="AA145" s="73" t="s">
        <v>690</v>
      </c>
      <c r="AB145" s="73" t="str">
        <f>IF(AA145&lt;&gt;"",INDEX(Lookup!$N$2:$N$5,MATCH(Players!AA145,Lookup!$P$2:$P$5,0)),INDEX(Lookup!$N$2:$N$5,MATCH(Players!O145,Lookup!$O$2:$O$5,0)))</f>
        <v>Goalkeeper</v>
      </c>
      <c r="AC145" s="73">
        <v>5000000</v>
      </c>
      <c r="AD145" s="73" t="s">
        <v>1559</v>
      </c>
      <c r="AE145" s="73" t="str">
        <f>INDEX('Translate table'!$H$2:$H$622,MATCH(Players!P145,'Translate table'!$G$2:$G$622,0))</f>
        <v>Gianluigi Donnarumma</v>
      </c>
      <c r="AF145" s="73">
        <f>IFERROR(INDEX('Euro Qual stats'!$A$1:$L$2071,MATCH(Players!$AE145,'Euro Qual stats'!$A$1:$A$2071,0),MATCH(Players!AF$2,'Euro Qual stats'!$A$1:$L$1,0)),0)</f>
        <v>5</v>
      </c>
      <c r="AG145" s="73">
        <f>IFERROR(INDEX('Euro Qual stats'!$A$1:$L$2071,MATCH(Players!$AE145,'Euro Qual stats'!$A$1:$A$2071,0),MATCH(Players!AG$2,'Euro Qual stats'!$A$1:$L$1,0)),0)</f>
        <v>0</v>
      </c>
      <c r="AH145" s="73">
        <f>IFERROR(INDEX('Euro Qual stats'!$A$1:$L$2071,MATCH(Players!$AE145,'Euro Qual stats'!$A$1:$A$2071,0),MATCH(Players!AH$2,'Euro Qual stats'!$A$1:$L$1,0)),0)</f>
        <v>0</v>
      </c>
      <c r="AI145" s="73">
        <f>IFERROR(INDEX('Euro Qual stats'!$A$1:$L$2071,MATCH(Players!$AE145,'Euro Qual stats'!$A$1:$A$2071,0),MATCH(Players!AI$2,'Euro Qual stats'!$A$1:$L$1,0)),0)</f>
        <v>0.2</v>
      </c>
      <c r="AJ145" s="93">
        <f>(12-AF145)/12*INDEX(BV$9:BV$12,MATCH($AB145,$BU$9:$BU$12,0))+AF145/12*AG145</f>
        <v>0</v>
      </c>
      <c r="AK145" s="93">
        <f>(12-AG145)/12*INDEX(BW$9:BW$12,MATCH($AB145,$BU$9:$BU$12,0))+AG145/12*AH145</f>
        <v>0</v>
      </c>
      <c r="AL145" s="93">
        <f>(12-AH145)/12*INDEX(BX$9:BX$12,MATCH($AB145,$BU$9:$BU$12,0))+AH145/12*AI145</f>
        <v>0</v>
      </c>
      <c r="AM145" s="93">
        <f>IF($BC145=1,AJ145/SUMIFS(AJ$3:AJ$623,$BC$3:$BC$623,1,$G$3:$G$623,$G145),0)</f>
        <v>0</v>
      </c>
      <c r="AN145" s="93">
        <f>IF($BC145=1,AK145/SUMIFS(AK$3:AK$623,$BC$3:$BC$623,1,$G$3:$G$623,$G145),0)</f>
        <v>0</v>
      </c>
      <c r="AO145" s="93">
        <f>IF($BC145=1,AL145/SUMIFS(AL$3:AL$623,$BC$3:$BC$623,1,$G$3:$G$623,$G145),0)</f>
        <v>0</v>
      </c>
      <c r="AP145" s="2">
        <f>IFERROR(R145/$V145*90,"")</f>
        <v>0</v>
      </c>
      <c r="AQ145" s="2">
        <f>IFERROR(S145/$V145*90,"")</f>
        <v>0</v>
      </c>
      <c r="AR145" s="2">
        <f>IFERROR(W145/$V145*90,"")</f>
        <v>0</v>
      </c>
      <c r="AS145" s="2">
        <f>IFERROR(X145/$V145*90,"")</f>
        <v>2.7027027027027025E-2</v>
      </c>
      <c r="AT145" s="2">
        <f>IFERROR(Y145/$V145*90,"")</f>
        <v>0</v>
      </c>
      <c r="AU145" s="2">
        <f>IF(AP145="",INDEX(BV$4:BV$7,MATCH(O145,$BU$4:$BU$7,0)),AP145)</f>
        <v>0</v>
      </c>
      <c r="AV145" s="2">
        <f>IF(AQ145="",INDEX(BW$4:BW$7,MATCH($O145,$BU$4:$BU$7,0)),AQ145)</f>
        <v>0</v>
      </c>
      <c r="AW145" s="2">
        <f t="shared" si="24"/>
        <v>0</v>
      </c>
      <c r="AX145" s="2">
        <f t="shared" si="25"/>
        <v>2.7027027027027025E-2</v>
      </c>
      <c r="AY145" s="2">
        <f t="shared" si="26"/>
        <v>0</v>
      </c>
      <c r="AZ145" s="2">
        <f>AU145*0.5+AK145*0.5</f>
        <v>0</v>
      </c>
      <c r="BA145" s="2">
        <f>AV145*0.5+AJ145*0.5</f>
        <v>0</v>
      </c>
      <c r="BB145" s="2">
        <f t="shared" si="27"/>
        <v>0.11351351351351352</v>
      </c>
      <c r="BC145">
        <f>IF(I145="expected",1,0)</f>
        <v>1</v>
      </c>
      <c r="BD145" s="78">
        <f>IF(BC145=1,AZ145/SUMIFS(AZ$3:AZ$623,$BC$3:$BC$623,1,$G$3:$G$623,$G145),0)</f>
        <v>0</v>
      </c>
      <c r="BE145" s="78">
        <f>IF(BC145=1,BA145/SUMIFS(BA$3:BA$623,$BC$3:$BC$623,1,$G$3:$G$623,$G145),0)</f>
        <v>0</v>
      </c>
      <c r="BF145" s="78">
        <f t="shared" si="28"/>
        <v>0</v>
      </c>
      <c r="BG145" s="2">
        <f t="shared" si="29"/>
        <v>0.11351351351351352</v>
      </c>
      <c r="BH145" s="2">
        <f t="shared" si="30"/>
        <v>0</v>
      </c>
      <c r="BI145" s="2">
        <f t="shared" si="31"/>
        <v>0</v>
      </c>
      <c r="BJ145" s="2">
        <f t="shared" si="32"/>
        <v>0</v>
      </c>
      <c r="BK145" s="2">
        <f t="shared" si="33"/>
        <v>0</v>
      </c>
      <c r="BL145" s="2">
        <f t="shared" si="34"/>
        <v>0.11351351351351352</v>
      </c>
      <c r="BM145" s="2">
        <f t="shared" si="35"/>
        <v>0</v>
      </c>
      <c r="BN145" s="2">
        <f>BI145/SUMIFS(BI$3:BI$623,$BC$3:$BC$623,1,$G$3:$G$623,$G145)</f>
        <v>0</v>
      </c>
      <c r="BO145" s="2">
        <f>BJ145/SUMIFS(BJ$3:BJ$623,$BC$3:$BC$623,1,$G$3:$G$623,$G145)</f>
        <v>0</v>
      </c>
      <c r="BP145" s="2">
        <f>BK145/SUMIFS(BK$3:BK$623,$BC$3:$BC$623,1,$G$3:$G$623,$G145)</f>
        <v>0</v>
      </c>
      <c r="BQ145" s="2">
        <f>BL145</f>
        <v>0.11351351351351352</v>
      </c>
      <c r="BR145" s="2">
        <f>BM145</f>
        <v>0</v>
      </c>
    </row>
    <row r="146" spans="1:70" hidden="1">
      <c r="A146" s="74">
        <v>0</v>
      </c>
      <c r="B146" s="73">
        <v>204516</v>
      </c>
      <c r="C146" s="73" t="s">
        <v>1560</v>
      </c>
      <c r="D146" s="73"/>
      <c r="E146" s="73" t="s">
        <v>1561</v>
      </c>
      <c r="F146" s="73">
        <v>18658</v>
      </c>
      <c r="G146" s="73" t="s">
        <v>863</v>
      </c>
      <c r="H146" s="73" t="s">
        <v>939</v>
      </c>
      <c r="I146" s="73" t="s">
        <v>1012</v>
      </c>
      <c r="J146" s="73">
        <v>0</v>
      </c>
      <c r="K146" s="73">
        <v>6</v>
      </c>
      <c r="L146" s="73">
        <v>0</v>
      </c>
      <c r="M146" s="73">
        <v>0</v>
      </c>
      <c r="N146" s="73">
        <v>0</v>
      </c>
      <c r="O146" s="73" t="s">
        <v>1318</v>
      </c>
      <c r="P146" s="73" t="s">
        <v>1561</v>
      </c>
      <c r="Q146" s="73" t="s">
        <v>1561</v>
      </c>
      <c r="R146" s="73">
        <v>1</v>
      </c>
      <c r="S146" s="73">
        <v>4</v>
      </c>
      <c r="T146" s="73">
        <v>0</v>
      </c>
      <c r="U146" s="73">
        <v>12</v>
      </c>
      <c r="V146" s="73">
        <v>2992</v>
      </c>
      <c r="W146" s="73">
        <v>3</v>
      </c>
      <c r="X146" s="73">
        <v>9</v>
      </c>
      <c r="Y146" s="73">
        <v>1</v>
      </c>
      <c r="Z146" s="73" t="s">
        <v>1054</v>
      </c>
      <c r="AA146" s="73" t="s">
        <v>692</v>
      </c>
      <c r="AB146" s="73" t="str">
        <f>IF(AA146&lt;&gt;"",INDEX(Lookup!$N$2:$N$5,MATCH(Players!AA146,Lookup!$P$2:$P$5,0)),INDEX(Lookup!$N$2:$N$5,MATCH(Players!O146,Lookup!$O$2:$O$5,0)))</f>
        <v>Defense</v>
      </c>
      <c r="AC146" s="73">
        <v>4000000</v>
      </c>
      <c r="AD146" s="73" t="s">
        <v>807</v>
      </c>
      <c r="AE146" s="73" t="str">
        <f>INDEX('Translate table'!$H$2:$H$622,MATCH(Players!P146,'Translate table'!$G$2:$G$622,0))</f>
        <v>Emerson Palmieri dos Santos</v>
      </c>
      <c r="AF146" s="73">
        <f>IFERROR(INDEX('Euro Qual stats'!$A$1:$L$2071,MATCH(Players!$AE146,'Euro Qual stats'!$A$1:$A$2071,0),MATCH(Players!AF$2,'Euro Qual stats'!$A$1:$L$1,0)),0)</f>
        <v>5</v>
      </c>
      <c r="AG146" s="73">
        <f>IFERROR(INDEX('Euro Qual stats'!$A$1:$L$2071,MATCH(Players!$AE146,'Euro Qual stats'!$A$1:$A$2071,0),MATCH(Players!AG$2,'Euro Qual stats'!$A$1:$L$1,0)),0)</f>
        <v>0.52</v>
      </c>
      <c r="AH146" s="73">
        <f>IFERROR(INDEX('Euro Qual stats'!$A$1:$L$2071,MATCH(Players!$AE146,'Euro Qual stats'!$A$1:$A$2071,0),MATCH(Players!AH$2,'Euro Qual stats'!$A$1:$L$1,0)),0)</f>
        <v>0</v>
      </c>
      <c r="AI146" s="73">
        <f>IFERROR(INDEX('Euro Qual stats'!$A$1:$L$2071,MATCH(Players!$AE146,'Euro Qual stats'!$A$1:$A$2071,0),MATCH(Players!AI$2,'Euro Qual stats'!$A$1:$L$1,0)),0)</f>
        <v>0</v>
      </c>
      <c r="AJ146" s="93">
        <f>(12-AF146)/12*INDEX(BV$9:BV$12,MATCH($AB146,$BU$9:$BU$12,0))+AF146/12*AG146</f>
        <v>0.26868589743589744</v>
      </c>
      <c r="AK146" s="93">
        <f>(12-AG146)/12*INDEX(BW$9:BW$12,MATCH($AB146,$BU$9:$BU$12,0))+AG146/12*AH146</f>
        <v>9.9083333333333343E-2</v>
      </c>
      <c r="AL146" s="93">
        <f>(12-AH146)/12*INDEX(BX$9:BX$12,MATCH($AB146,$BU$9:$BU$12,0))+AH146/12*AI146</f>
        <v>0.19357142857142848</v>
      </c>
      <c r="AM146" s="93">
        <f>IF($BC146=1,AJ146/SUMIFS(AJ$3:AJ$623,$BC$3:$BC$623,1,$G$3:$G$623,$G146),0)</f>
        <v>0</v>
      </c>
      <c r="AN146" s="93">
        <f>IF($BC146=1,AK146/SUMIFS(AK$3:AK$623,$BC$3:$BC$623,1,$G$3:$G$623,$G146),0)</f>
        <v>0</v>
      </c>
      <c r="AO146" s="93">
        <f>IF($BC146=1,AL146/SUMIFS(AL$3:AL$623,$BC$3:$BC$623,1,$G$3:$G$623,$G146),0)</f>
        <v>0</v>
      </c>
      <c r="AP146" s="2">
        <f>IFERROR(R146/$V146*90,"")</f>
        <v>3.0080213903743314E-2</v>
      </c>
      <c r="AQ146" s="2">
        <f>IFERROR(S146/$V146*90,"")</f>
        <v>0.12032085561497326</v>
      </c>
      <c r="AR146" s="2">
        <f>IFERROR(W146/$V146*90,"")</f>
        <v>9.024064171122996E-2</v>
      </c>
      <c r="AS146" s="2">
        <f>IFERROR(X146/$V146*90,"")</f>
        <v>0.27072192513368981</v>
      </c>
      <c r="AT146" s="2">
        <f>IFERROR(Y146/$V146*90,"")</f>
        <v>3.0080213903743314E-2</v>
      </c>
      <c r="AU146" s="2">
        <f>IF(AP146="",INDEX(BV$4:BV$7,MATCH(O146,$BU$4:$BU$7,0)),AP146)</f>
        <v>3.0080213903743314E-2</v>
      </c>
      <c r="AV146" s="2">
        <f>IF(AQ146="",INDEX(BW$4:BW$7,MATCH($O146,$BU$4:$BU$7,0)),AQ146)</f>
        <v>0.12032085561497326</v>
      </c>
      <c r="AW146" s="2">
        <f t="shared" si="24"/>
        <v>9.024064171122996E-2</v>
      </c>
      <c r="AX146" s="2">
        <f t="shared" si="25"/>
        <v>0.27072192513368981</v>
      </c>
      <c r="AY146" s="2">
        <f t="shared" si="26"/>
        <v>3.0080213903743314E-2</v>
      </c>
      <c r="AZ146" s="2">
        <f>AU146*0.5+AK146*0.5</f>
        <v>6.4581773618538327E-2</v>
      </c>
      <c r="BA146" s="2">
        <f>AV146*0.5+AJ146*0.5</f>
        <v>0.19450337652543534</v>
      </c>
      <c r="BB146" s="2">
        <f t="shared" si="27"/>
        <v>0.13536096256684491</v>
      </c>
      <c r="BC146">
        <f>IF(I146="expected",1,0)</f>
        <v>0</v>
      </c>
      <c r="BD146" s="78">
        <f>IF(BC146=1,AZ146/SUMIFS(AZ$3:AZ$623,$BC$3:$BC$623,1,$G$3:$G$623,$G146),0)</f>
        <v>0</v>
      </c>
      <c r="BE146" s="78">
        <f>IF(BC146=1,BA146/SUMIFS(BA$3:BA$623,$BC$3:$BC$623,1,$G$3:$G$623,$G146),0)</f>
        <v>0</v>
      </c>
      <c r="BF146" s="78">
        <f t="shared" si="28"/>
        <v>0</v>
      </c>
      <c r="BG146" s="2">
        <f t="shared" si="29"/>
        <v>0.13536096256684491</v>
      </c>
      <c r="BH146" s="2">
        <f t="shared" si="30"/>
        <v>3.0080213903743314E-2</v>
      </c>
      <c r="BI146" s="2">
        <f t="shared" si="31"/>
        <v>0</v>
      </c>
      <c r="BJ146" s="2">
        <f t="shared" si="32"/>
        <v>0</v>
      </c>
      <c r="BK146" s="2">
        <f t="shared" si="33"/>
        <v>0</v>
      </c>
      <c r="BL146" s="2">
        <f t="shared" si="34"/>
        <v>0.13536096256684491</v>
      </c>
      <c r="BM146" s="2">
        <f t="shared" si="35"/>
        <v>3.0080213903743314E-2</v>
      </c>
      <c r="BN146" s="2">
        <f>BI146/SUMIFS(BI$3:BI$623,$BC$3:$BC$623,1,$G$3:$G$623,$G146)</f>
        <v>0</v>
      </c>
      <c r="BO146" s="2">
        <f>BJ146/SUMIFS(BJ$3:BJ$623,$BC$3:$BC$623,1,$G$3:$G$623,$G146)</f>
        <v>0</v>
      </c>
      <c r="BP146" s="2">
        <f>BK146/SUMIFS(BK$3:BK$623,$BC$3:$BC$623,1,$G$3:$G$623,$G146)</f>
        <v>0</v>
      </c>
      <c r="BQ146" s="2">
        <f>BL146</f>
        <v>0.13536096256684491</v>
      </c>
      <c r="BR146" s="2">
        <f>BM146</f>
        <v>3.0080213903743314E-2</v>
      </c>
    </row>
    <row r="147" spans="1:70" hidden="1">
      <c r="A147" s="74">
        <v>0</v>
      </c>
      <c r="B147" s="73">
        <v>204546</v>
      </c>
      <c r="C147" s="73" t="s">
        <v>1562</v>
      </c>
      <c r="D147" s="73" t="s">
        <v>1563</v>
      </c>
      <c r="E147" s="73" t="s">
        <v>1564</v>
      </c>
      <c r="F147" s="73">
        <v>18743</v>
      </c>
      <c r="G147" s="73" t="s">
        <v>871</v>
      </c>
      <c r="H147" s="73" t="s">
        <v>945</v>
      </c>
      <c r="I147" s="73" t="s">
        <v>1012</v>
      </c>
      <c r="J147" s="73">
        <v>0</v>
      </c>
      <c r="K147" s="73">
        <v>6</v>
      </c>
      <c r="L147" s="73">
        <v>0</v>
      </c>
      <c r="M147" s="73">
        <v>0</v>
      </c>
      <c r="N147" s="73">
        <v>0</v>
      </c>
      <c r="O147" s="73" t="s">
        <v>1318</v>
      </c>
      <c r="P147" s="73" t="s">
        <v>1565</v>
      </c>
      <c r="Q147" s="73" t="s">
        <v>1565</v>
      </c>
      <c r="R147" s="73">
        <v>1</v>
      </c>
      <c r="S147" s="73">
        <v>0</v>
      </c>
      <c r="T147" s="73">
        <v>0</v>
      </c>
      <c r="U147" s="73">
        <v>3</v>
      </c>
      <c r="V147" s="73">
        <v>1544</v>
      </c>
      <c r="W147" s="73">
        <v>1</v>
      </c>
      <c r="X147" s="73">
        <v>3</v>
      </c>
      <c r="Y147" s="73">
        <v>0</v>
      </c>
      <c r="Z147" s="73" t="s">
        <v>995</v>
      </c>
      <c r="AA147" s="73" t="s">
        <v>692</v>
      </c>
      <c r="AB147" s="73" t="str">
        <f>IF(AA147&lt;&gt;"",INDEX(Lookup!$N$2:$N$5,MATCH(Players!AA147,Lookup!$P$2:$P$5,0)),INDEX(Lookup!$N$2:$N$5,MATCH(Players!O147,Lookup!$O$2:$O$5,0)))</f>
        <v>Defense</v>
      </c>
      <c r="AC147" s="73">
        <v>3500000</v>
      </c>
      <c r="AD147" s="73" t="s">
        <v>803</v>
      </c>
      <c r="AE147" s="73" t="str">
        <f>INDEX('Translate table'!$H$2:$H$622,MATCH(Players!P147,'Translate table'!$G$2:$G$622,0))</f>
        <v>Dedryck Boyata</v>
      </c>
      <c r="AF147" s="73">
        <f>IFERROR(INDEX('Euro Qual stats'!$A$1:$L$2071,MATCH(Players!$AE147,'Euro Qual stats'!$A$1:$A$2071,0),MATCH(Players!AF$2,'Euro Qual stats'!$A$1:$L$1,0)),0)</f>
        <v>2</v>
      </c>
      <c r="AG147" s="73">
        <f>IFERROR(INDEX('Euro Qual stats'!$A$1:$L$2071,MATCH(Players!$AE147,'Euro Qual stats'!$A$1:$A$2071,0),MATCH(Players!AG$2,'Euro Qual stats'!$A$1:$L$1,0)),0)</f>
        <v>0</v>
      </c>
      <c r="AH147" s="73">
        <f>IFERROR(INDEX('Euro Qual stats'!$A$1:$L$2071,MATCH(Players!$AE147,'Euro Qual stats'!$A$1:$A$2071,0),MATCH(Players!AH$2,'Euro Qual stats'!$A$1:$L$1,0)),0)</f>
        <v>0</v>
      </c>
      <c r="AI147" s="73">
        <f>IFERROR(INDEX('Euro Qual stats'!$A$1:$L$2071,MATCH(Players!$AE147,'Euro Qual stats'!$A$1:$A$2071,0),MATCH(Players!AI$2,'Euro Qual stats'!$A$1:$L$1,0)),0)</f>
        <v>0</v>
      </c>
      <c r="AJ147" s="93">
        <f>(12-AF147)/12*INDEX(BV$9:BV$12,MATCH($AB147,$BU$9:$BU$12,0))+AF147/12*AG147</f>
        <v>7.4313186813186841E-2</v>
      </c>
      <c r="AK147" s="93">
        <f>(12-AG147)/12*INDEX(BW$9:BW$12,MATCH($AB147,$BU$9:$BU$12,0))+AG147/12*AH147</f>
        <v>0.10357142857142858</v>
      </c>
      <c r="AL147" s="93">
        <f>(12-AH147)/12*INDEX(BX$9:BX$12,MATCH($AB147,$BU$9:$BU$12,0))+AH147/12*AI147</f>
        <v>0.19357142857142848</v>
      </c>
      <c r="AM147" s="93">
        <f>IF($BC147=1,AJ147/SUMIFS(AJ$3:AJ$623,$BC$3:$BC$623,1,$G$3:$G$623,$G147),0)</f>
        <v>0</v>
      </c>
      <c r="AN147" s="93">
        <f>IF($BC147=1,AK147/SUMIFS(AK$3:AK$623,$BC$3:$BC$623,1,$G$3:$G$623,$G147),0)</f>
        <v>0</v>
      </c>
      <c r="AO147" s="93">
        <f>IF($BC147=1,AL147/SUMIFS(AL$3:AL$623,$BC$3:$BC$623,1,$G$3:$G$623,$G147),0)</f>
        <v>0</v>
      </c>
      <c r="AP147" s="2">
        <f>IFERROR(R147/$V147*90,"")</f>
        <v>5.8290155440414507E-2</v>
      </c>
      <c r="AQ147" s="2">
        <f>IFERROR(S147/$V147*90,"")</f>
        <v>0</v>
      </c>
      <c r="AR147" s="2">
        <f>IFERROR(W147/$V147*90,"")</f>
        <v>5.8290155440414507E-2</v>
      </c>
      <c r="AS147" s="2">
        <f>IFERROR(X147/$V147*90,"")</f>
        <v>0.17487046632124353</v>
      </c>
      <c r="AT147" s="2">
        <f>IFERROR(Y147/$V147*90,"")</f>
        <v>0</v>
      </c>
      <c r="AU147" s="2">
        <f>IF(AP147="",INDEX(BV$4:BV$7,MATCH(O147,$BU$4:$BU$7,0)),AP147)</f>
        <v>5.8290155440414507E-2</v>
      </c>
      <c r="AV147" s="2">
        <f>IF(AQ147="",INDEX(BW$4:BW$7,MATCH($O147,$BU$4:$BU$7,0)),AQ147)</f>
        <v>0</v>
      </c>
      <c r="AW147" s="2">
        <f t="shared" si="24"/>
        <v>5.8290155440414507E-2</v>
      </c>
      <c r="AX147" s="2">
        <f t="shared" si="25"/>
        <v>0.17487046632124353</v>
      </c>
      <c r="AY147" s="2">
        <f t="shared" si="26"/>
        <v>0</v>
      </c>
      <c r="AZ147" s="2">
        <f>AU147*0.5+AK147*0.5</f>
        <v>8.0930792005921542E-2</v>
      </c>
      <c r="BA147" s="2">
        <f>AV147*0.5+AJ147*0.5</f>
        <v>3.715659340659342E-2</v>
      </c>
      <c r="BB147" s="2">
        <f t="shared" si="27"/>
        <v>8.7435233160621767E-2</v>
      </c>
      <c r="BC147">
        <f>IF(I147="expected",1,0)</f>
        <v>0</v>
      </c>
      <c r="BD147" s="78">
        <f>IF(BC147=1,AZ147/SUMIFS(AZ$3:AZ$623,$BC$3:$BC$623,1,$G$3:$G$623,$G147),0)</f>
        <v>0</v>
      </c>
      <c r="BE147" s="78">
        <f>IF(BC147=1,BA147/SUMIFS(BA$3:BA$623,$BC$3:$BC$623,1,$G$3:$G$623,$G147),0)</f>
        <v>0</v>
      </c>
      <c r="BF147" s="78">
        <f t="shared" si="28"/>
        <v>0</v>
      </c>
      <c r="BG147" s="2">
        <f t="shared" si="29"/>
        <v>8.7435233160621767E-2</v>
      </c>
      <c r="BH147" s="2">
        <f t="shared" si="30"/>
        <v>0</v>
      </c>
      <c r="BI147" s="2">
        <f t="shared" si="31"/>
        <v>0</v>
      </c>
      <c r="BJ147" s="2">
        <f t="shared" si="32"/>
        <v>0</v>
      </c>
      <c r="BK147" s="2">
        <f t="shared" si="33"/>
        <v>0</v>
      </c>
      <c r="BL147" s="2">
        <f t="shared" si="34"/>
        <v>8.7435233160621767E-2</v>
      </c>
      <c r="BM147" s="2">
        <f t="shared" si="35"/>
        <v>0</v>
      </c>
      <c r="BN147" s="2">
        <f>BI147/SUMIFS(BI$3:BI$623,$BC$3:$BC$623,1,$G$3:$G$623,$G147)</f>
        <v>0</v>
      </c>
      <c r="BO147" s="2">
        <f>BJ147/SUMIFS(BJ$3:BJ$623,$BC$3:$BC$623,1,$G$3:$G$623,$G147)</f>
        <v>0</v>
      </c>
      <c r="BP147" s="2">
        <f>BK147/SUMIFS(BK$3:BK$623,$BC$3:$BC$623,1,$G$3:$G$623,$G147)</f>
        <v>0</v>
      </c>
      <c r="BQ147" s="2">
        <f>BL147</f>
        <v>8.7435233160621767E-2</v>
      </c>
      <c r="BR147" s="2">
        <f>BM147</f>
        <v>0</v>
      </c>
    </row>
    <row r="148" spans="1:70" hidden="1">
      <c r="A148" s="74">
        <v>0</v>
      </c>
      <c r="B148" s="73">
        <v>204532</v>
      </c>
      <c r="C148" s="73" t="s">
        <v>1566</v>
      </c>
      <c r="D148" s="73" t="s">
        <v>1567</v>
      </c>
      <c r="E148" s="73" t="s">
        <v>1568</v>
      </c>
      <c r="F148" s="73">
        <v>18743</v>
      </c>
      <c r="G148" s="73" t="s">
        <v>871</v>
      </c>
      <c r="H148" s="73" t="s">
        <v>945</v>
      </c>
      <c r="I148" s="73" t="s">
        <v>1012</v>
      </c>
      <c r="J148" s="73">
        <v>0</v>
      </c>
      <c r="K148" s="73">
        <v>6</v>
      </c>
      <c r="L148" s="73">
        <v>0</v>
      </c>
      <c r="M148" s="73">
        <v>0</v>
      </c>
      <c r="N148" s="73">
        <v>0</v>
      </c>
      <c r="O148" s="73" t="s">
        <v>1318</v>
      </c>
      <c r="P148" s="73" t="s">
        <v>1569</v>
      </c>
      <c r="Q148" s="73" t="s">
        <v>1569</v>
      </c>
      <c r="R148" s="73">
        <v>1</v>
      </c>
      <c r="S148" s="73">
        <v>0</v>
      </c>
      <c r="T148" s="73">
        <v>0</v>
      </c>
      <c r="U148" s="73">
        <v>9</v>
      </c>
      <c r="V148" s="73">
        <v>2619</v>
      </c>
      <c r="W148" s="73">
        <v>1</v>
      </c>
      <c r="X148" s="73">
        <v>1</v>
      </c>
      <c r="Y148" s="73">
        <v>0</v>
      </c>
      <c r="Z148" s="73" t="s">
        <v>995</v>
      </c>
      <c r="AA148" s="73" t="s">
        <v>692</v>
      </c>
      <c r="AB148" s="73" t="str">
        <f>IF(AA148&lt;&gt;"",INDEX(Lookup!$N$2:$N$5,MATCH(Players!AA148,Lookup!$P$2:$P$5,0)),INDEX(Lookup!$N$2:$N$5,MATCH(Players!O148,Lookup!$O$2:$O$5,0)))</f>
        <v>Defense</v>
      </c>
      <c r="AC148" s="73">
        <v>4000000</v>
      </c>
      <c r="AD148" s="73" t="s">
        <v>795</v>
      </c>
      <c r="AE148" s="73" t="str">
        <f>INDEX('Translate table'!$H$2:$H$622,MATCH(Players!P148,'Translate table'!$G$2:$G$622,0))</f>
        <v>Jason Denayer</v>
      </c>
      <c r="AF148" s="73">
        <f>IFERROR(INDEX('Euro Qual stats'!$A$1:$L$2071,MATCH(Players!$AE148,'Euro Qual stats'!$A$1:$A$2071,0),MATCH(Players!AF$2,'Euro Qual stats'!$A$1:$L$1,0)),0)</f>
        <v>3</v>
      </c>
      <c r="AG148" s="73">
        <f>IFERROR(INDEX('Euro Qual stats'!$A$1:$L$2071,MATCH(Players!$AE148,'Euro Qual stats'!$A$1:$A$2071,0),MATCH(Players!AG$2,'Euro Qual stats'!$A$1:$L$1,0)),0)</f>
        <v>0</v>
      </c>
      <c r="AH148" s="73">
        <f>IFERROR(INDEX('Euro Qual stats'!$A$1:$L$2071,MATCH(Players!$AE148,'Euro Qual stats'!$A$1:$A$2071,0),MATCH(Players!AH$2,'Euro Qual stats'!$A$1:$L$1,0)),0)</f>
        <v>0</v>
      </c>
      <c r="AI148" s="73">
        <f>IFERROR(INDEX('Euro Qual stats'!$A$1:$L$2071,MATCH(Players!$AE148,'Euro Qual stats'!$A$1:$A$2071,0),MATCH(Players!AI$2,'Euro Qual stats'!$A$1:$L$1,0)),0)</f>
        <v>0</v>
      </c>
      <c r="AJ148" s="93">
        <f>(12-AF148)/12*INDEX(BV$9:BV$12,MATCH($AB148,$BU$9:$BU$12,0))+AF148/12*AG148</f>
        <v>6.6881868131868152E-2</v>
      </c>
      <c r="AK148" s="93">
        <f>(12-AG148)/12*INDEX(BW$9:BW$12,MATCH($AB148,$BU$9:$BU$12,0))+AG148/12*AH148</f>
        <v>0.10357142857142858</v>
      </c>
      <c r="AL148" s="93">
        <f>(12-AH148)/12*INDEX(BX$9:BX$12,MATCH($AB148,$BU$9:$BU$12,0))+AH148/12*AI148</f>
        <v>0.19357142857142848</v>
      </c>
      <c r="AM148" s="93">
        <f>IF($BC148=1,AJ148/SUMIFS(AJ$3:AJ$623,$BC$3:$BC$623,1,$G$3:$G$623,$G148),0)</f>
        <v>0</v>
      </c>
      <c r="AN148" s="93">
        <f>IF($BC148=1,AK148/SUMIFS(AK$3:AK$623,$BC$3:$BC$623,1,$G$3:$G$623,$G148),0)</f>
        <v>0</v>
      </c>
      <c r="AO148" s="93">
        <f>IF($BC148=1,AL148/SUMIFS(AL$3:AL$623,$BC$3:$BC$623,1,$G$3:$G$623,$G148),0)</f>
        <v>0</v>
      </c>
      <c r="AP148" s="2">
        <f>IFERROR(R148/$V148*90,"")</f>
        <v>3.4364261168384883E-2</v>
      </c>
      <c r="AQ148" s="2">
        <f>IFERROR(S148/$V148*90,"")</f>
        <v>0</v>
      </c>
      <c r="AR148" s="2">
        <f>IFERROR(W148/$V148*90,"")</f>
        <v>3.4364261168384883E-2</v>
      </c>
      <c r="AS148" s="2">
        <f>IFERROR(X148/$V148*90,"")</f>
        <v>3.4364261168384883E-2</v>
      </c>
      <c r="AT148" s="2">
        <f>IFERROR(Y148/$V148*90,"")</f>
        <v>0</v>
      </c>
      <c r="AU148" s="2">
        <f>IF(AP148="",INDEX(BV$4:BV$7,MATCH(O148,$BU$4:$BU$7,0)),AP148)</f>
        <v>3.4364261168384883E-2</v>
      </c>
      <c r="AV148" s="2">
        <f>IF(AQ148="",INDEX(BW$4:BW$7,MATCH($O148,$BU$4:$BU$7,0)),AQ148)</f>
        <v>0</v>
      </c>
      <c r="AW148" s="2">
        <f t="shared" si="24"/>
        <v>3.4364261168384883E-2</v>
      </c>
      <c r="AX148" s="2">
        <f t="shared" si="25"/>
        <v>3.4364261168384883E-2</v>
      </c>
      <c r="AY148" s="2">
        <f t="shared" si="26"/>
        <v>0</v>
      </c>
      <c r="AZ148" s="2">
        <f>AU148*0.5+AK148*0.5</f>
        <v>6.896784486990673E-2</v>
      </c>
      <c r="BA148" s="2">
        <f>AV148*0.5+AJ148*0.5</f>
        <v>3.3440934065934076E-2</v>
      </c>
      <c r="BB148" s="2">
        <f t="shared" si="27"/>
        <v>1.7182130584192441E-2</v>
      </c>
      <c r="BC148">
        <f>IF(I148="expected",1,0)</f>
        <v>0</v>
      </c>
      <c r="BD148" s="78">
        <f>IF(BC148=1,AZ148/SUMIFS(AZ$3:AZ$623,$BC$3:$BC$623,1,$G$3:$G$623,$G148),0)</f>
        <v>0</v>
      </c>
      <c r="BE148" s="78">
        <f>IF(BC148=1,BA148/SUMIFS(BA$3:BA$623,$BC$3:$BC$623,1,$G$3:$G$623,$G148),0)</f>
        <v>0</v>
      </c>
      <c r="BF148" s="78">
        <f t="shared" si="28"/>
        <v>0</v>
      </c>
      <c r="BG148" s="2">
        <f t="shared" si="29"/>
        <v>1.7182130584192441E-2</v>
      </c>
      <c r="BH148" s="2">
        <f t="shared" si="30"/>
        <v>0</v>
      </c>
      <c r="BI148" s="2">
        <f t="shared" si="31"/>
        <v>0</v>
      </c>
      <c r="BJ148" s="2">
        <f t="shared" si="32"/>
        <v>0</v>
      </c>
      <c r="BK148" s="2">
        <f t="shared" si="33"/>
        <v>0</v>
      </c>
      <c r="BL148" s="2">
        <f t="shared" si="34"/>
        <v>1.7182130584192441E-2</v>
      </c>
      <c r="BM148" s="2">
        <f t="shared" si="35"/>
        <v>0</v>
      </c>
      <c r="BN148" s="2">
        <f>BI148/SUMIFS(BI$3:BI$623,$BC$3:$BC$623,1,$G$3:$G$623,$G148)</f>
        <v>0</v>
      </c>
      <c r="BO148" s="2">
        <f>BJ148/SUMIFS(BJ$3:BJ$623,$BC$3:$BC$623,1,$G$3:$G$623,$G148)</f>
        <v>0</v>
      </c>
      <c r="BP148" s="2">
        <f>BK148/SUMIFS(BK$3:BK$623,$BC$3:$BC$623,1,$G$3:$G$623,$G148)</f>
        <v>0</v>
      </c>
      <c r="BQ148" s="2">
        <f>BL148</f>
        <v>1.7182130584192441E-2</v>
      </c>
      <c r="BR148" s="2">
        <f>BM148</f>
        <v>0</v>
      </c>
    </row>
    <row r="149" spans="1:70" hidden="1">
      <c r="A149" s="74">
        <v>0</v>
      </c>
      <c r="B149" s="73">
        <v>204552</v>
      </c>
      <c r="C149" s="73" t="s">
        <v>1570</v>
      </c>
      <c r="D149" s="73" t="s">
        <v>1571</v>
      </c>
      <c r="E149" s="73" t="s">
        <v>1572</v>
      </c>
      <c r="F149" s="73">
        <v>18694</v>
      </c>
      <c r="G149" s="73" t="s">
        <v>876</v>
      </c>
      <c r="H149" s="73" t="s">
        <v>909</v>
      </c>
      <c r="I149" s="73" t="s">
        <v>981</v>
      </c>
      <c r="J149" s="73">
        <v>0</v>
      </c>
      <c r="K149" s="73">
        <v>6</v>
      </c>
      <c r="L149" s="73">
        <v>0</v>
      </c>
      <c r="M149" s="73">
        <v>0</v>
      </c>
      <c r="N149" s="73">
        <v>0</v>
      </c>
      <c r="O149" s="73" t="s">
        <v>1290</v>
      </c>
      <c r="P149" s="73" t="s">
        <v>1573</v>
      </c>
      <c r="Q149" s="73" t="s">
        <v>1574</v>
      </c>
      <c r="R149" s="73">
        <v>0</v>
      </c>
      <c r="S149" s="73">
        <v>0</v>
      </c>
      <c r="T149" s="73">
        <v>0</v>
      </c>
      <c r="U149" s="73">
        <v>4</v>
      </c>
      <c r="V149" s="73">
        <v>1385</v>
      </c>
      <c r="W149" s="73">
        <v>5</v>
      </c>
      <c r="X149" s="73">
        <v>5</v>
      </c>
      <c r="Y149" s="73">
        <v>1</v>
      </c>
      <c r="Z149" s="73" t="s">
        <v>1095</v>
      </c>
      <c r="AA149" s="73" t="s">
        <v>690</v>
      </c>
      <c r="AB149" s="73" t="str">
        <f>IF(AA149&lt;&gt;"",INDEX(Lookup!$N$2:$N$5,MATCH(Players!AA149,Lookup!$P$2:$P$5,0)),INDEX(Lookup!$N$2:$N$5,MATCH(Players!O149,Lookup!$O$2:$O$5,0)))</f>
        <v>Goalkeeper</v>
      </c>
      <c r="AC149" s="73">
        <v>5000000</v>
      </c>
      <c r="AD149" s="73" t="s">
        <v>816</v>
      </c>
      <c r="AE149" s="73" t="str">
        <f>INDEX('Translate table'!$H$2:$H$622,MATCH(Players!P149,'Translate table'!$G$2:$G$622,0))</f>
        <v>Timm Klose</v>
      </c>
      <c r="AF149" s="73">
        <f>IFERROR(INDEX('Euro Qual stats'!$A$1:$L$2071,MATCH(Players!$AE149,'Euro Qual stats'!$A$1:$A$2071,0),MATCH(Players!AF$2,'Euro Qual stats'!$A$1:$L$1,0)),0)</f>
        <v>0</v>
      </c>
      <c r="AG149" s="73">
        <f>IFERROR(INDEX('Euro Qual stats'!$A$1:$L$2071,MATCH(Players!$AE149,'Euro Qual stats'!$A$1:$A$2071,0),MATCH(Players!AG$2,'Euro Qual stats'!$A$1:$L$1,0)),0)</f>
        <v>0</v>
      </c>
      <c r="AH149" s="73">
        <f>IFERROR(INDEX('Euro Qual stats'!$A$1:$L$2071,MATCH(Players!$AE149,'Euro Qual stats'!$A$1:$A$2071,0),MATCH(Players!AH$2,'Euro Qual stats'!$A$1:$L$1,0)),0)</f>
        <v>0</v>
      </c>
      <c r="AI149" s="73">
        <f>IFERROR(INDEX('Euro Qual stats'!$A$1:$L$2071,MATCH(Players!$AE149,'Euro Qual stats'!$A$1:$A$2071,0),MATCH(Players!AI$2,'Euro Qual stats'!$A$1:$L$1,0)),0)</f>
        <v>0</v>
      </c>
      <c r="AJ149" s="93">
        <f>(12-AF149)/12*INDEX(BV$9:BV$12,MATCH($AB149,$BU$9:$BU$12,0))+AF149/12*AG149</f>
        <v>0</v>
      </c>
      <c r="AK149" s="93">
        <f>(12-AG149)/12*INDEX(BW$9:BW$12,MATCH($AB149,$BU$9:$BU$12,0))+AG149/12*AH149</f>
        <v>0</v>
      </c>
      <c r="AL149" s="93">
        <f>(12-AH149)/12*INDEX(BX$9:BX$12,MATCH($AB149,$BU$9:$BU$12,0))+AH149/12*AI149</f>
        <v>0</v>
      </c>
      <c r="AM149" s="93">
        <f>IF($BC149=1,AJ149/SUMIFS(AJ$3:AJ$623,$BC$3:$BC$623,1,$G$3:$G$623,$G149),0)</f>
        <v>0</v>
      </c>
      <c r="AN149" s="93">
        <f>IF($BC149=1,AK149/SUMIFS(AK$3:AK$623,$BC$3:$BC$623,1,$G$3:$G$623,$G149),0)</f>
        <v>0</v>
      </c>
      <c r="AO149" s="93">
        <f>IF($BC149=1,AL149/SUMIFS(AL$3:AL$623,$BC$3:$BC$623,1,$G$3:$G$623,$G149),0)</f>
        <v>0</v>
      </c>
      <c r="AP149" s="2">
        <f>IFERROR(R149/$V149*90,"")</f>
        <v>0</v>
      </c>
      <c r="AQ149" s="2">
        <f>IFERROR(S149/$V149*90,"")</f>
        <v>0</v>
      </c>
      <c r="AR149" s="2">
        <f>IFERROR(W149/$V149*90,"")</f>
        <v>0.32490974729241878</v>
      </c>
      <c r="AS149" s="2">
        <f>IFERROR(X149/$V149*90,"")</f>
        <v>0.32490974729241878</v>
      </c>
      <c r="AT149" s="2">
        <f>IFERROR(Y149/$V149*90,"")</f>
        <v>6.4981949458483748E-2</v>
      </c>
      <c r="AU149" s="2">
        <f>IF(AP149="",INDEX(BV$4:BV$7,MATCH(O149,$BU$4:$BU$7,0)),AP149)</f>
        <v>0</v>
      </c>
      <c r="AV149" s="2">
        <f>IF(AQ149="",INDEX(BW$4:BW$7,MATCH($O149,$BU$4:$BU$7,0)),AQ149)</f>
        <v>0</v>
      </c>
      <c r="AW149" s="2">
        <f t="shared" si="24"/>
        <v>0.32490974729241878</v>
      </c>
      <c r="AX149" s="2">
        <f t="shared" si="25"/>
        <v>0.32490974729241878</v>
      </c>
      <c r="AY149" s="2">
        <f t="shared" si="26"/>
        <v>6.4981949458483748E-2</v>
      </c>
      <c r="AZ149" s="2">
        <f>AU149*0.5+AK149*0.5</f>
        <v>0</v>
      </c>
      <c r="BA149" s="2">
        <f>AV149*0.5+AJ149*0.5</f>
        <v>0</v>
      </c>
      <c r="BB149" s="2">
        <f t="shared" si="27"/>
        <v>0.16245487364620939</v>
      </c>
      <c r="BC149">
        <f>IF(I149="expected",1,0)</f>
        <v>1</v>
      </c>
      <c r="BD149" s="78">
        <f>IF(BC149=1,AZ149/SUMIFS(AZ$3:AZ$623,$BC$3:$BC$623,1,$G$3:$G$623,$G149),0)</f>
        <v>0</v>
      </c>
      <c r="BE149" s="78">
        <f>IF(BC149=1,BA149/SUMIFS(BA$3:BA$623,$BC$3:$BC$623,1,$G$3:$G$623,$G149),0)</f>
        <v>0</v>
      </c>
      <c r="BF149" s="78">
        <f t="shared" si="28"/>
        <v>7.7312252011836002E-2</v>
      </c>
      <c r="BG149" s="2">
        <f t="shared" si="29"/>
        <v>0.16245487364620939</v>
      </c>
      <c r="BH149" s="2">
        <f t="shared" si="30"/>
        <v>6.4981949458483748E-2</v>
      </c>
      <c r="BI149" s="2">
        <f t="shared" si="31"/>
        <v>0</v>
      </c>
      <c r="BJ149" s="2">
        <f t="shared" si="32"/>
        <v>0</v>
      </c>
      <c r="BK149" s="2">
        <f t="shared" si="33"/>
        <v>7.7312252011836002E-2</v>
      </c>
      <c r="BL149" s="2">
        <f t="shared" si="34"/>
        <v>0.16245487364620939</v>
      </c>
      <c r="BM149" s="2">
        <f t="shared" si="35"/>
        <v>0.06</v>
      </c>
      <c r="BN149" s="2">
        <f>BI149/SUMIFS(BI$3:BI$623,$BC$3:$BC$623,1,$G$3:$G$623,$G149)</f>
        <v>0</v>
      </c>
      <c r="BO149" s="2">
        <f>BJ149/SUMIFS(BJ$3:BJ$623,$BC$3:$BC$623,1,$G$3:$G$623,$G149)</f>
        <v>0</v>
      </c>
      <c r="BP149" s="2">
        <f>BK149/SUMIFS(BK$3:BK$623,$BC$3:$BC$623,1,$G$3:$G$623,$G149)</f>
        <v>8.4690023140450363E-2</v>
      </c>
      <c r="BQ149" s="2">
        <f>BL149</f>
        <v>0.16245487364620939</v>
      </c>
      <c r="BR149" s="2">
        <f>BM149</f>
        <v>0.06</v>
      </c>
    </row>
    <row r="150" spans="1:70" hidden="1">
      <c r="A150" s="74">
        <v>0</v>
      </c>
      <c r="B150" s="73">
        <v>220787</v>
      </c>
      <c r="C150" s="73" t="s">
        <v>1575</v>
      </c>
      <c r="D150" s="73" t="s">
        <v>1576</v>
      </c>
      <c r="E150" s="73" t="s">
        <v>1577</v>
      </c>
      <c r="F150" s="73">
        <v>18694</v>
      </c>
      <c r="G150" s="73" t="s">
        <v>876</v>
      </c>
      <c r="H150" s="73" t="s">
        <v>909</v>
      </c>
      <c r="I150" s="73" t="s">
        <v>1012</v>
      </c>
      <c r="J150" s="73">
        <v>0</v>
      </c>
      <c r="K150" s="73">
        <v>6</v>
      </c>
      <c r="L150" s="73">
        <v>0</v>
      </c>
      <c r="M150" s="73">
        <v>0</v>
      </c>
      <c r="N150" s="73">
        <v>0</v>
      </c>
      <c r="O150" s="73" t="s">
        <v>1318</v>
      </c>
      <c r="P150" s="73" t="s">
        <v>1578</v>
      </c>
      <c r="Q150" s="73" t="s">
        <v>148</v>
      </c>
      <c r="R150" s="73">
        <v>1</v>
      </c>
      <c r="S150" s="73">
        <v>0</v>
      </c>
      <c r="T150" s="73">
        <v>0</v>
      </c>
      <c r="U150" s="73">
        <v>3</v>
      </c>
      <c r="V150" s="73">
        <v>797</v>
      </c>
      <c r="W150" s="73">
        <v>1</v>
      </c>
      <c r="X150" s="73">
        <v>4</v>
      </c>
      <c r="Y150" s="73">
        <v>0</v>
      </c>
      <c r="Z150" s="73" t="s">
        <v>1095</v>
      </c>
      <c r="AA150" s="73" t="s">
        <v>692</v>
      </c>
      <c r="AB150" s="73" t="str">
        <f>IF(AA150&lt;&gt;"",INDEX(Lookup!$N$2:$N$5,MATCH(Players!AA150,Lookup!$P$2:$P$5,0)),INDEX(Lookup!$N$2:$N$5,MATCH(Players!O150,Lookup!$O$2:$O$5,0)))</f>
        <v>Defense</v>
      </c>
      <c r="AC150" s="73">
        <v>3500000</v>
      </c>
      <c r="AD150" s="73" t="s">
        <v>801</v>
      </c>
      <c r="AE150" s="73" t="str">
        <f>INDEX('Translate table'!$H$2:$H$622,MATCH(Players!P150,'Translate table'!$G$2:$G$622,0))</f>
        <v>Nathan AkÃ©</v>
      </c>
      <c r="AF150" s="73">
        <f>IFERROR(INDEX('Euro Qual stats'!$A$1:$L$2071,MATCH(Players!$AE150,'Euro Qual stats'!$A$1:$A$2071,0),MATCH(Players!AF$2,'Euro Qual stats'!$A$1:$L$1,0)),0)</f>
        <v>3</v>
      </c>
      <c r="AG150" s="73">
        <f>IFERROR(INDEX('Euro Qual stats'!$A$1:$L$2071,MATCH(Players!$AE150,'Euro Qual stats'!$A$1:$A$2071,0),MATCH(Players!AG$2,'Euro Qual stats'!$A$1:$L$1,0)),0)</f>
        <v>0</v>
      </c>
      <c r="AH150" s="73">
        <f>IFERROR(INDEX('Euro Qual stats'!$A$1:$L$2071,MATCH(Players!$AE150,'Euro Qual stats'!$A$1:$A$2071,0),MATCH(Players!AH$2,'Euro Qual stats'!$A$1:$L$1,0)),0)</f>
        <v>0.91</v>
      </c>
      <c r="AI150" s="73">
        <f>IFERROR(INDEX('Euro Qual stats'!$A$1:$L$2071,MATCH(Players!$AE150,'Euro Qual stats'!$A$1:$A$2071,0),MATCH(Players!AI$2,'Euro Qual stats'!$A$1:$L$1,0)),0)</f>
        <v>0</v>
      </c>
      <c r="AJ150" s="93">
        <f>(12-AF150)/12*INDEX(BV$9:BV$12,MATCH($AB150,$BU$9:$BU$12,0))+AF150/12*AG150</f>
        <v>6.6881868131868152E-2</v>
      </c>
      <c r="AK150" s="93">
        <f>(12-AG150)/12*INDEX(BW$9:BW$12,MATCH($AB150,$BU$9:$BU$12,0))+AG150/12*AH150</f>
        <v>0.10357142857142858</v>
      </c>
      <c r="AL150" s="93">
        <f>(12-AH150)/12*INDEX(BX$9:BX$12,MATCH($AB150,$BU$9:$BU$12,0))+AH150/12*AI150</f>
        <v>0.17889226190476182</v>
      </c>
      <c r="AM150" s="93">
        <f>IF($BC150=1,AJ150/SUMIFS(AJ$3:AJ$623,$BC$3:$BC$623,1,$G$3:$G$623,$G150),0)</f>
        <v>0</v>
      </c>
      <c r="AN150" s="93">
        <f>IF($BC150=1,AK150/SUMIFS(AK$3:AK$623,$BC$3:$BC$623,1,$G$3:$G$623,$G150),0)</f>
        <v>0</v>
      </c>
      <c r="AO150" s="93">
        <f>IF($BC150=1,AL150/SUMIFS(AL$3:AL$623,$BC$3:$BC$623,1,$G$3:$G$623,$G150),0)</f>
        <v>0</v>
      </c>
      <c r="AP150" s="2">
        <f>IFERROR(R150/$V150*90,"")</f>
        <v>0.11292346298619824</v>
      </c>
      <c r="AQ150" s="2">
        <f>IFERROR(S150/$V150*90,"")</f>
        <v>0</v>
      </c>
      <c r="AR150" s="2">
        <f>IFERROR(W150/$V150*90,"")</f>
        <v>0.11292346298619824</v>
      </c>
      <c r="AS150" s="2">
        <f>IFERROR(X150/$V150*90,"")</f>
        <v>0.45169385194479295</v>
      </c>
      <c r="AT150" s="2">
        <f>IFERROR(Y150/$V150*90,"")</f>
        <v>0</v>
      </c>
      <c r="AU150" s="2">
        <f>IF(AP150="",INDEX(BV$4:BV$7,MATCH(O150,$BU$4:$BU$7,0)),AP150)</f>
        <v>0.11292346298619824</v>
      </c>
      <c r="AV150" s="2">
        <f>IF(AQ150="",INDEX(BW$4:BW$7,MATCH($O150,$BU$4:$BU$7,0)),AQ150)</f>
        <v>0</v>
      </c>
      <c r="AW150" s="2">
        <f t="shared" si="24"/>
        <v>0.11292346298619824</v>
      </c>
      <c r="AX150" s="2">
        <f t="shared" si="25"/>
        <v>0.45169385194479295</v>
      </c>
      <c r="AY150" s="2">
        <f t="shared" si="26"/>
        <v>0</v>
      </c>
      <c r="AZ150" s="2">
        <f>AU150*0.5+AK150*0.5</f>
        <v>0.1082474457788134</v>
      </c>
      <c r="BA150" s="2">
        <f>AV150*0.5+AJ150*0.5</f>
        <v>3.3440934065934076E-2</v>
      </c>
      <c r="BB150" s="2">
        <f t="shared" si="27"/>
        <v>0.22584692597239647</v>
      </c>
      <c r="BC150">
        <f>IF(I150="expected",1,0)</f>
        <v>0</v>
      </c>
      <c r="BD150" s="78">
        <f>IF(BC150=1,AZ150/SUMIFS(AZ$3:AZ$623,$BC$3:$BC$623,1,$G$3:$G$623,$G150),0)</f>
        <v>0</v>
      </c>
      <c r="BE150" s="78">
        <f>IF(BC150=1,BA150/SUMIFS(BA$3:BA$623,$BC$3:$BC$623,1,$G$3:$G$623,$G150),0)</f>
        <v>0</v>
      </c>
      <c r="BF150" s="78">
        <f t="shared" si="28"/>
        <v>0</v>
      </c>
      <c r="BG150" s="2">
        <f t="shared" si="29"/>
        <v>0.22584692597239647</v>
      </c>
      <c r="BH150" s="2">
        <f t="shared" si="30"/>
        <v>0</v>
      </c>
      <c r="BI150" s="2">
        <f t="shared" si="31"/>
        <v>0</v>
      </c>
      <c r="BJ150" s="2">
        <f t="shared" si="32"/>
        <v>0</v>
      </c>
      <c r="BK150" s="2">
        <f t="shared" si="33"/>
        <v>0</v>
      </c>
      <c r="BL150" s="2">
        <f t="shared" si="34"/>
        <v>0.22584692597239647</v>
      </c>
      <c r="BM150" s="2">
        <f t="shared" si="35"/>
        <v>0</v>
      </c>
      <c r="BN150" s="2">
        <f>BI150/SUMIFS(BI$3:BI$623,$BC$3:$BC$623,1,$G$3:$G$623,$G150)</f>
        <v>0</v>
      </c>
      <c r="BO150" s="2">
        <f>BJ150/SUMIFS(BJ$3:BJ$623,$BC$3:$BC$623,1,$G$3:$G$623,$G150)</f>
        <v>0</v>
      </c>
      <c r="BP150" s="2">
        <f>BK150/SUMIFS(BK$3:BK$623,$BC$3:$BC$623,1,$G$3:$G$623,$G150)</f>
        <v>0</v>
      </c>
      <c r="BQ150" s="2">
        <f>BL150</f>
        <v>0.22584692597239647</v>
      </c>
      <c r="BR150" s="2">
        <f>BM150</f>
        <v>0</v>
      </c>
    </row>
    <row r="151" spans="1:70" hidden="1">
      <c r="A151" s="74">
        <v>0</v>
      </c>
      <c r="B151" s="73">
        <v>213424</v>
      </c>
      <c r="C151" s="73" t="s">
        <v>1579</v>
      </c>
      <c r="D151" s="73" t="s">
        <v>1580</v>
      </c>
      <c r="E151" s="73" t="s">
        <v>1581</v>
      </c>
      <c r="F151" s="73">
        <v>18694</v>
      </c>
      <c r="G151" s="73" t="s">
        <v>876</v>
      </c>
      <c r="H151" s="73" t="s">
        <v>909</v>
      </c>
      <c r="I151" s="73" t="s">
        <v>981</v>
      </c>
      <c r="J151" s="73">
        <v>0</v>
      </c>
      <c r="K151" s="73">
        <v>6</v>
      </c>
      <c r="L151" s="73">
        <v>0</v>
      </c>
      <c r="M151" s="73">
        <v>0</v>
      </c>
      <c r="N151" s="73">
        <v>0</v>
      </c>
      <c r="O151" s="73" t="s">
        <v>1318</v>
      </c>
      <c r="P151" s="73" t="s">
        <v>1582</v>
      </c>
      <c r="Q151" s="73" t="s">
        <v>1583</v>
      </c>
      <c r="R151" s="73">
        <v>1</v>
      </c>
      <c r="S151" s="73">
        <v>1</v>
      </c>
      <c r="T151" s="73">
        <v>0</v>
      </c>
      <c r="U151" s="73">
        <v>3</v>
      </c>
      <c r="V151" s="73">
        <v>2219</v>
      </c>
      <c r="W151" s="73">
        <v>6</v>
      </c>
      <c r="X151" s="73">
        <v>4</v>
      </c>
      <c r="Y151" s="73">
        <v>0</v>
      </c>
      <c r="Z151" s="73" t="s">
        <v>1095</v>
      </c>
      <c r="AA151" s="73" t="s">
        <v>692</v>
      </c>
      <c r="AB151" s="73" t="str">
        <f>IF(AA151&lt;&gt;"",INDEX(Lookup!$N$2:$N$5,MATCH(Players!AA151,Lookup!$P$2:$P$5,0)),INDEX(Lookup!$N$2:$N$5,MATCH(Players!O151,Lookup!$O$2:$O$5,0)))</f>
        <v>Defense</v>
      </c>
      <c r="AC151" s="73">
        <v>4000000</v>
      </c>
      <c r="AD151" s="73" t="s">
        <v>851</v>
      </c>
      <c r="AE151" s="73" t="str">
        <f>INDEX('Translate table'!$H$2:$H$622,MATCH(Players!P151,'Translate table'!$G$2:$G$622,0))</f>
        <v>Matthijs de Ligt</v>
      </c>
      <c r="AF151" s="73">
        <f>IFERROR(INDEX('Euro Qual stats'!$A$1:$L$2071,MATCH(Players!$AE151,'Euro Qual stats'!$A$1:$A$2071,0),MATCH(Players!AF$2,'Euro Qual stats'!$A$1:$L$1,0)),0)</f>
        <v>8</v>
      </c>
      <c r="AG151" s="73">
        <f>IFERROR(INDEX('Euro Qual stats'!$A$1:$L$2071,MATCH(Players!$AE151,'Euro Qual stats'!$A$1:$A$2071,0),MATCH(Players!AG$2,'Euro Qual stats'!$A$1:$L$1,0)),0)</f>
        <v>0.13</v>
      </c>
      <c r="AH151" s="73">
        <f>IFERROR(INDEX('Euro Qual stats'!$A$1:$L$2071,MATCH(Players!$AE151,'Euro Qual stats'!$A$1:$A$2071,0),MATCH(Players!AH$2,'Euro Qual stats'!$A$1:$L$1,0)),0)</f>
        <v>0.13</v>
      </c>
      <c r="AI151" s="73">
        <f>IFERROR(INDEX('Euro Qual stats'!$A$1:$L$2071,MATCH(Players!$AE151,'Euro Qual stats'!$A$1:$A$2071,0),MATCH(Players!AI$2,'Euro Qual stats'!$A$1:$L$1,0)),0)</f>
        <v>0</v>
      </c>
      <c r="AJ151" s="93">
        <f>(12-AF151)/12*INDEX(BV$9:BV$12,MATCH($AB151,$BU$9:$BU$12,0))+AF151/12*AG151</f>
        <v>0.11639194139194139</v>
      </c>
      <c r="AK151" s="93">
        <f>(12-AG151)/12*INDEX(BW$9:BW$12,MATCH($AB151,$BU$9:$BU$12,0))+AG151/12*AH151</f>
        <v>0.1038577380952381</v>
      </c>
      <c r="AL151" s="93">
        <f>(12-AH151)/12*INDEX(BX$9:BX$12,MATCH($AB151,$BU$9:$BU$12,0))+AH151/12*AI151</f>
        <v>0.19147440476190467</v>
      </c>
      <c r="AM151" s="93">
        <f>IF($BC151=1,AJ151/SUMIFS(AJ$3:AJ$623,$BC$3:$BC$623,1,$G$3:$G$623,$G151),0)</f>
        <v>6.5136204519696969E-2</v>
      </c>
      <c r="AN151" s="93">
        <f>IF($BC151=1,AK151/SUMIFS(AK$3:AK$623,$BC$3:$BC$623,1,$G$3:$G$623,$G151),0)</f>
        <v>3.7558765603488253E-2</v>
      </c>
      <c r="AO151" s="93">
        <f>IF($BC151=1,AL151/SUMIFS(AL$3:AL$623,$BC$3:$BC$623,1,$G$3:$G$623,$G151),0)</f>
        <v>9.7190802725793723E-2</v>
      </c>
      <c r="AP151" s="2">
        <f>IFERROR(R151/$V151*90,"")</f>
        <v>4.0558810274898605E-2</v>
      </c>
      <c r="AQ151" s="2">
        <f>IFERROR(S151/$V151*90,"")</f>
        <v>4.0558810274898605E-2</v>
      </c>
      <c r="AR151" s="2">
        <f>IFERROR(W151/$V151*90,"")</f>
        <v>0.24335286164939163</v>
      </c>
      <c r="AS151" s="2">
        <f>IFERROR(X151/$V151*90,"")</f>
        <v>0.16223524109959442</v>
      </c>
      <c r="AT151" s="2">
        <f>IFERROR(Y151/$V151*90,"")</f>
        <v>0</v>
      </c>
      <c r="AU151" s="2">
        <f>IF(AP151="",INDEX(BV$4:BV$7,MATCH(O151,$BU$4:$BU$7,0)),AP151)</f>
        <v>4.0558810274898605E-2</v>
      </c>
      <c r="AV151" s="2">
        <f>IF(AQ151="",INDEX(BW$4:BW$7,MATCH($O151,$BU$4:$BU$7,0)),AQ151)</f>
        <v>4.0558810274898605E-2</v>
      </c>
      <c r="AW151" s="2">
        <f t="shared" si="24"/>
        <v>0.24335286164939163</v>
      </c>
      <c r="AX151" s="2">
        <f t="shared" si="25"/>
        <v>0.16223524109959442</v>
      </c>
      <c r="AY151" s="2">
        <f t="shared" si="26"/>
        <v>0</v>
      </c>
      <c r="AZ151" s="2">
        <f>AU151*0.5+AK151*0.5</f>
        <v>7.2208274185068352E-2</v>
      </c>
      <c r="BA151" s="2">
        <f>AV151*0.5+AJ151*0.5</f>
        <v>7.847537583342E-2</v>
      </c>
      <c r="BB151" s="2">
        <f t="shared" si="27"/>
        <v>8.1117620549797209E-2</v>
      </c>
      <c r="BC151">
        <f>IF(I151="expected",1,0)</f>
        <v>1</v>
      </c>
      <c r="BD151" s="78">
        <f>IF(BC151=1,AZ151/SUMIFS(AZ$3:AZ$623,$BC$3:$BC$623,1,$G$3:$G$623,$G151),0)</f>
        <v>3.6509378000061946E-2</v>
      </c>
      <c r="BE151" s="78">
        <f>IF(BC151=1,BA151/SUMIFS(BA$3:BA$623,$BC$3:$BC$623,1,$G$3:$G$623,$G151),0)</f>
        <v>6.1248673428027173E-2</v>
      </c>
      <c r="BF151" s="78">
        <f t="shared" si="28"/>
        <v>5.7905796684845176E-2</v>
      </c>
      <c r="BG151" s="2">
        <f t="shared" si="29"/>
        <v>8.1117620549797209E-2</v>
      </c>
      <c r="BH151" s="2">
        <f t="shared" si="30"/>
        <v>0</v>
      </c>
      <c r="BI151" s="2">
        <f t="shared" si="31"/>
        <v>3.6509378000061946E-2</v>
      </c>
      <c r="BJ151" s="2">
        <f t="shared" si="32"/>
        <v>6.1248673428027173E-2</v>
      </c>
      <c r="BK151" s="2">
        <f t="shared" si="33"/>
        <v>5.7905796684845176E-2</v>
      </c>
      <c r="BL151" s="2">
        <f t="shared" si="34"/>
        <v>8.1117620549797209E-2</v>
      </c>
      <c r="BM151" s="2">
        <f t="shared" si="35"/>
        <v>0</v>
      </c>
      <c r="BN151" s="2">
        <f>BI151/SUMIFS(BI$3:BI$623,$BC$3:$BC$623,1,$G$3:$G$623,$G151)</f>
        <v>3.6509378000061952E-2</v>
      </c>
      <c r="BO151" s="2">
        <f>BJ151/SUMIFS(BJ$3:BJ$623,$BC$3:$BC$623,1,$G$3:$G$623,$G151)</f>
        <v>7.052490476527741E-2</v>
      </c>
      <c r="BP151" s="2">
        <f>BK151/SUMIFS(BK$3:BK$623,$BC$3:$BC$623,1,$G$3:$G$623,$G151)</f>
        <v>6.3431644190819522E-2</v>
      </c>
      <c r="BQ151" s="2">
        <f>BL151</f>
        <v>8.1117620549797209E-2</v>
      </c>
      <c r="BR151" s="2">
        <f>BM151</f>
        <v>0</v>
      </c>
    </row>
    <row r="152" spans="1:70" hidden="1">
      <c r="A152" s="74">
        <v>0</v>
      </c>
      <c r="B152" s="73">
        <v>204564</v>
      </c>
      <c r="C152" s="73" t="s">
        <v>1584</v>
      </c>
      <c r="D152" s="73" t="s">
        <v>1585</v>
      </c>
      <c r="E152" s="73" t="s">
        <v>1586</v>
      </c>
      <c r="F152" s="73">
        <v>18694</v>
      </c>
      <c r="G152" s="73" t="s">
        <v>876</v>
      </c>
      <c r="H152" s="73" t="s">
        <v>909</v>
      </c>
      <c r="I152" s="73" t="s">
        <v>1012</v>
      </c>
      <c r="J152" s="73">
        <v>0</v>
      </c>
      <c r="K152" s="73">
        <v>6</v>
      </c>
      <c r="L152" s="73">
        <v>0</v>
      </c>
      <c r="M152" s="73">
        <v>0</v>
      </c>
      <c r="N152" s="73">
        <v>0</v>
      </c>
      <c r="O152" s="73" t="s">
        <v>1318</v>
      </c>
      <c r="P152" s="73" t="s">
        <v>1587</v>
      </c>
      <c r="Q152" s="73" t="s">
        <v>1587</v>
      </c>
      <c r="R152" s="73">
        <v>1</v>
      </c>
      <c r="S152" s="73">
        <v>0</v>
      </c>
      <c r="T152" s="73">
        <v>0</v>
      </c>
      <c r="U152" s="73">
        <v>11</v>
      </c>
      <c r="V152" s="73">
        <v>2732</v>
      </c>
      <c r="W152" s="73">
        <v>4</v>
      </c>
      <c r="X152" s="73">
        <v>2</v>
      </c>
      <c r="Y152" s="73">
        <v>0</v>
      </c>
      <c r="Z152" s="73" t="s">
        <v>1095</v>
      </c>
      <c r="AA152" s="73" t="s">
        <v>692</v>
      </c>
      <c r="AB152" s="73" t="str">
        <f>IF(AA152&lt;&gt;"",INDEX(Lookup!$N$2:$N$5,MATCH(Players!AA152,Lookup!$P$2:$P$5,0)),INDEX(Lookup!$N$2:$N$5,MATCH(Players!O152,Lookup!$O$2:$O$5,0)))</f>
        <v>Defense</v>
      </c>
      <c r="AC152" s="73">
        <v>3500000</v>
      </c>
      <c r="AD152" s="73" t="s">
        <v>794</v>
      </c>
      <c r="AE152" s="73" t="str">
        <f>INDEX('Translate table'!$H$2:$H$622,MATCH(Players!P152,'Translate table'!$G$2:$G$622,0))</f>
        <v>Stefan de Vrij</v>
      </c>
      <c r="AF152" s="73">
        <f>IFERROR(INDEX('Euro Qual stats'!$A$1:$L$2071,MATCH(Players!$AE152,'Euro Qual stats'!$A$1:$A$2071,0),MATCH(Players!AF$2,'Euro Qual stats'!$A$1:$L$1,0)),0)</f>
        <v>0</v>
      </c>
      <c r="AG152" s="73">
        <f>IFERROR(INDEX('Euro Qual stats'!$A$1:$L$2071,MATCH(Players!$AE152,'Euro Qual stats'!$A$1:$A$2071,0),MATCH(Players!AG$2,'Euro Qual stats'!$A$1:$L$1,0)),0)</f>
        <v>0</v>
      </c>
      <c r="AH152" s="73">
        <f>IFERROR(INDEX('Euro Qual stats'!$A$1:$L$2071,MATCH(Players!$AE152,'Euro Qual stats'!$A$1:$A$2071,0),MATCH(Players!AH$2,'Euro Qual stats'!$A$1:$L$1,0)),0)</f>
        <v>0</v>
      </c>
      <c r="AI152" s="73">
        <f>IFERROR(INDEX('Euro Qual stats'!$A$1:$L$2071,MATCH(Players!$AE152,'Euro Qual stats'!$A$1:$A$2071,0),MATCH(Players!AI$2,'Euro Qual stats'!$A$1:$L$1,0)),0)</f>
        <v>0</v>
      </c>
      <c r="AJ152" s="93">
        <f>(12-AF152)/12*INDEX(BV$9:BV$12,MATCH($AB152,$BU$9:$BU$12,0))+AF152/12*AG152</f>
        <v>8.9175824175824203E-2</v>
      </c>
      <c r="AK152" s="93">
        <f>(12-AG152)/12*INDEX(BW$9:BW$12,MATCH($AB152,$BU$9:$BU$12,0))+AG152/12*AH152</f>
        <v>0.10357142857142858</v>
      </c>
      <c r="AL152" s="93">
        <f>(12-AH152)/12*INDEX(BX$9:BX$12,MATCH($AB152,$BU$9:$BU$12,0))+AH152/12*AI152</f>
        <v>0.19357142857142848</v>
      </c>
      <c r="AM152" s="93">
        <f>IF($BC152=1,AJ152/SUMIFS(AJ$3:AJ$623,$BC$3:$BC$623,1,$G$3:$G$623,$G152),0)</f>
        <v>0</v>
      </c>
      <c r="AN152" s="93">
        <f>IF($BC152=1,AK152/SUMIFS(AK$3:AK$623,$BC$3:$BC$623,1,$G$3:$G$623,$G152),0)</f>
        <v>0</v>
      </c>
      <c r="AO152" s="93">
        <f>IF($BC152=1,AL152/SUMIFS(AL$3:AL$623,$BC$3:$BC$623,1,$G$3:$G$623,$G152),0)</f>
        <v>0</v>
      </c>
      <c r="AP152" s="2">
        <f>IFERROR(R152/$V152*90,"")</f>
        <v>3.2942898975109811E-2</v>
      </c>
      <c r="AQ152" s="2">
        <f>IFERROR(S152/$V152*90,"")</f>
        <v>0</v>
      </c>
      <c r="AR152" s="2">
        <f>IFERROR(W152/$V152*90,"")</f>
        <v>0.13177159590043924</v>
      </c>
      <c r="AS152" s="2">
        <f>IFERROR(X152/$V152*90,"")</f>
        <v>6.5885797950219621E-2</v>
      </c>
      <c r="AT152" s="2">
        <f>IFERROR(Y152/$V152*90,"")</f>
        <v>0</v>
      </c>
      <c r="AU152" s="2">
        <f>IF(AP152="",INDEX(BV$4:BV$7,MATCH(O152,$BU$4:$BU$7,0)),AP152)</f>
        <v>3.2942898975109811E-2</v>
      </c>
      <c r="AV152" s="2">
        <f>IF(AQ152="",INDEX(BW$4:BW$7,MATCH($O152,$BU$4:$BU$7,0)),AQ152)</f>
        <v>0</v>
      </c>
      <c r="AW152" s="2">
        <f t="shared" si="24"/>
        <v>0.13177159590043924</v>
      </c>
      <c r="AX152" s="2">
        <f t="shared" si="25"/>
        <v>6.5885797950219621E-2</v>
      </c>
      <c r="AY152" s="2">
        <f t="shared" si="26"/>
        <v>0</v>
      </c>
      <c r="AZ152" s="2">
        <f>AU152*0.5+AK152*0.5</f>
        <v>6.8257163773269194E-2</v>
      </c>
      <c r="BA152" s="2">
        <f>AV152*0.5+AJ152*0.5</f>
        <v>4.4587912087912102E-2</v>
      </c>
      <c r="BB152" s="2">
        <f t="shared" si="27"/>
        <v>3.2942898975109811E-2</v>
      </c>
      <c r="BC152">
        <f>IF(I152="expected",1,0)</f>
        <v>0</v>
      </c>
      <c r="BD152" s="78">
        <f>IF(BC152=1,AZ152/SUMIFS(AZ$3:AZ$623,$BC$3:$BC$623,1,$G$3:$G$623,$G152),0)</f>
        <v>0</v>
      </c>
      <c r="BE152" s="78">
        <f>IF(BC152=1,BA152/SUMIFS(BA$3:BA$623,$BC$3:$BC$623,1,$G$3:$G$623,$G152),0)</f>
        <v>0</v>
      </c>
      <c r="BF152" s="78">
        <f t="shared" si="28"/>
        <v>0</v>
      </c>
      <c r="BG152" s="2">
        <f t="shared" si="29"/>
        <v>3.2942898975109811E-2</v>
      </c>
      <c r="BH152" s="2">
        <f t="shared" si="30"/>
        <v>0</v>
      </c>
      <c r="BI152" s="2">
        <f t="shared" si="31"/>
        <v>0</v>
      </c>
      <c r="BJ152" s="2">
        <f t="shared" si="32"/>
        <v>0</v>
      </c>
      <c r="BK152" s="2">
        <f t="shared" si="33"/>
        <v>0</v>
      </c>
      <c r="BL152" s="2">
        <f t="shared" si="34"/>
        <v>3.2942898975109811E-2</v>
      </c>
      <c r="BM152" s="2">
        <f t="shared" si="35"/>
        <v>0</v>
      </c>
      <c r="BN152" s="2">
        <f>BI152/SUMIFS(BI$3:BI$623,$BC$3:$BC$623,1,$G$3:$G$623,$G152)</f>
        <v>0</v>
      </c>
      <c r="BO152" s="2">
        <f>BJ152/SUMIFS(BJ$3:BJ$623,$BC$3:$BC$623,1,$G$3:$G$623,$G152)</f>
        <v>0</v>
      </c>
      <c r="BP152" s="2">
        <f>BK152/SUMIFS(BK$3:BK$623,$BC$3:$BC$623,1,$G$3:$G$623,$G152)</f>
        <v>0</v>
      </c>
      <c r="BQ152" s="2">
        <f>BL152</f>
        <v>3.2942898975109811E-2</v>
      </c>
      <c r="BR152" s="2">
        <f>BM152</f>
        <v>0</v>
      </c>
    </row>
    <row r="153" spans="1:70" hidden="1">
      <c r="A153" s="74">
        <v>0</v>
      </c>
      <c r="B153" s="73">
        <v>204563</v>
      </c>
      <c r="C153" s="73" t="s">
        <v>1588</v>
      </c>
      <c r="D153" s="73" t="s">
        <v>1589</v>
      </c>
      <c r="E153" s="73" t="s">
        <v>1590</v>
      </c>
      <c r="F153" s="73">
        <v>18694</v>
      </c>
      <c r="G153" s="73" t="s">
        <v>876</v>
      </c>
      <c r="H153" s="73" t="s">
        <v>909</v>
      </c>
      <c r="I153" s="73" t="s">
        <v>1012</v>
      </c>
      <c r="J153" s="73">
        <v>0</v>
      </c>
      <c r="K153" s="73">
        <v>6</v>
      </c>
      <c r="L153" s="73">
        <v>0</v>
      </c>
      <c r="M153" s="73">
        <v>0</v>
      </c>
      <c r="N153" s="73">
        <v>0</v>
      </c>
      <c r="O153" s="73" t="s">
        <v>1318</v>
      </c>
      <c r="P153" s="73" t="s">
        <v>552</v>
      </c>
      <c r="Q153" s="73" t="s">
        <v>553</v>
      </c>
      <c r="R153" s="73">
        <v>1</v>
      </c>
      <c r="S153" s="73">
        <v>1</v>
      </c>
      <c r="T153" s="73">
        <v>0</v>
      </c>
      <c r="U153" s="73">
        <v>7</v>
      </c>
      <c r="V153" s="73">
        <v>2282</v>
      </c>
      <c r="W153" s="73">
        <v>4</v>
      </c>
      <c r="X153" s="73">
        <v>3</v>
      </c>
      <c r="Y153" s="73">
        <v>0</v>
      </c>
      <c r="Z153" s="73" t="s">
        <v>1095</v>
      </c>
      <c r="AA153" s="73" t="s">
        <v>692</v>
      </c>
      <c r="AB153" s="73" t="str">
        <f>IF(AA153&lt;&gt;"",INDEX(Lookup!$N$2:$N$5,MATCH(Players!AA153,Lookup!$P$2:$P$5,0)),INDEX(Lookup!$N$2:$N$5,MATCH(Players!O153,Lookup!$O$2:$O$5,0)))</f>
        <v>Defense</v>
      </c>
      <c r="AC153" s="73">
        <v>3000000</v>
      </c>
      <c r="AD153" s="73" t="s">
        <v>788</v>
      </c>
      <c r="AE153" s="73" t="str">
        <f>INDEX('Translate table'!$H$2:$H$622,MATCH(Players!P153,'Translate table'!$G$2:$G$622,0))</f>
        <v>Joel Pohjanpalo</v>
      </c>
      <c r="AF153" s="73">
        <f>IFERROR(INDEX('Euro Qual stats'!$A$1:$L$2071,MATCH(Players!$AE153,'Euro Qual stats'!$A$1:$A$2071,0),MATCH(Players!AF$2,'Euro Qual stats'!$A$1:$L$1,0)),0)</f>
        <v>2</v>
      </c>
      <c r="AG153" s="73">
        <f>IFERROR(INDEX('Euro Qual stats'!$A$1:$L$2071,MATCH(Players!$AE153,'Euro Qual stats'!$A$1:$A$2071,0),MATCH(Players!AG$2,'Euro Qual stats'!$A$1:$L$1,0)),0)</f>
        <v>1.1100000000000001</v>
      </c>
      <c r="AH153" s="73">
        <f>IFERROR(INDEX('Euro Qual stats'!$A$1:$L$2071,MATCH(Players!$AE153,'Euro Qual stats'!$A$1:$A$2071,0),MATCH(Players!AH$2,'Euro Qual stats'!$A$1:$L$1,0)),0)</f>
        <v>1.1100000000000001</v>
      </c>
      <c r="AI153" s="73">
        <f>IFERROR(INDEX('Euro Qual stats'!$A$1:$L$2071,MATCH(Players!$AE153,'Euro Qual stats'!$A$1:$A$2071,0),MATCH(Players!AI$2,'Euro Qual stats'!$A$1:$L$1,0)),0)</f>
        <v>0</v>
      </c>
      <c r="AJ153" s="93">
        <f>(12-AF153)/12*INDEX(BV$9:BV$12,MATCH($AB153,$BU$9:$BU$12,0))+AF153/12*AG153</f>
        <v>0.25931318681318682</v>
      </c>
      <c r="AK153" s="93">
        <f>(12-AG153)/12*INDEX(BW$9:BW$12,MATCH($AB153,$BU$9:$BU$12,0))+AG153/12*AH153</f>
        <v>0.19666607142857145</v>
      </c>
      <c r="AL153" s="93">
        <f>(12-AH153)/12*INDEX(BX$9:BX$12,MATCH($AB153,$BU$9:$BU$12,0))+AH153/12*AI153</f>
        <v>0.17566607142857135</v>
      </c>
      <c r="AM153" s="93">
        <f>IF($BC153=1,AJ153/SUMIFS(AJ$3:AJ$623,$BC$3:$BC$623,1,$G$3:$G$623,$G153),0)</f>
        <v>0</v>
      </c>
      <c r="AN153" s="93">
        <f>IF($BC153=1,AK153/SUMIFS(AK$3:AK$623,$BC$3:$BC$623,1,$G$3:$G$623,$G153),0)</f>
        <v>0</v>
      </c>
      <c r="AO153" s="93">
        <f>IF($BC153=1,AL153/SUMIFS(AL$3:AL$623,$BC$3:$BC$623,1,$G$3:$G$623,$G153),0)</f>
        <v>0</v>
      </c>
      <c r="AP153" s="2">
        <f>IFERROR(R153/$V153*90,"")</f>
        <v>3.9439088518843118E-2</v>
      </c>
      <c r="AQ153" s="2">
        <f>IFERROR(S153/$V153*90,"")</f>
        <v>3.9439088518843118E-2</v>
      </c>
      <c r="AR153" s="2">
        <f>IFERROR(W153/$V153*90,"")</f>
        <v>0.15775635407537247</v>
      </c>
      <c r="AS153" s="2">
        <f>IFERROR(X153/$V153*90,"")</f>
        <v>0.11831726555652937</v>
      </c>
      <c r="AT153" s="2">
        <f>IFERROR(Y153/$V153*90,"")</f>
        <v>0</v>
      </c>
      <c r="AU153" s="2">
        <f>IF(AP153="",INDEX(BV$4:BV$7,MATCH(O153,$BU$4:$BU$7,0)),AP153)</f>
        <v>3.9439088518843118E-2</v>
      </c>
      <c r="AV153" s="2">
        <f>IF(AQ153="",INDEX(BW$4:BW$7,MATCH($O153,$BU$4:$BU$7,0)),AQ153)</f>
        <v>3.9439088518843118E-2</v>
      </c>
      <c r="AW153" s="2">
        <f t="shared" si="24"/>
        <v>0.15775635407537247</v>
      </c>
      <c r="AX153" s="2">
        <f t="shared" si="25"/>
        <v>0.11831726555652937</v>
      </c>
      <c r="AY153" s="2">
        <f t="shared" si="26"/>
        <v>0</v>
      </c>
      <c r="AZ153" s="2">
        <f>AU153*0.5+AK153*0.5</f>
        <v>0.11805257997370729</v>
      </c>
      <c r="BA153" s="2">
        <f>AV153*0.5+AJ153*0.5</f>
        <v>0.14937613766601499</v>
      </c>
      <c r="BB153" s="2">
        <f t="shared" si="27"/>
        <v>5.9158632778264685E-2</v>
      </c>
      <c r="BC153">
        <f>IF(I153="expected",1,0)</f>
        <v>0</v>
      </c>
      <c r="BD153" s="78">
        <f>IF(BC153=1,AZ153/SUMIFS(AZ$3:AZ$623,$BC$3:$BC$623,1,$G$3:$G$623,$G153),0)</f>
        <v>0</v>
      </c>
      <c r="BE153" s="78">
        <f>IF(BC153=1,BA153/SUMIFS(BA$3:BA$623,$BC$3:$BC$623,1,$G$3:$G$623,$G153),0)</f>
        <v>0</v>
      </c>
      <c r="BF153" s="78">
        <f t="shared" si="28"/>
        <v>0</v>
      </c>
      <c r="BG153" s="2">
        <f t="shared" si="29"/>
        <v>5.9158632778264685E-2</v>
      </c>
      <c r="BH153" s="2">
        <f t="shared" si="30"/>
        <v>0</v>
      </c>
      <c r="BI153" s="2">
        <f t="shared" si="31"/>
        <v>0</v>
      </c>
      <c r="BJ153" s="2">
        <f t="shared" si="32"/>
        <v>0</v>
      </c>
      <c r="BK153" s="2">
        <f t="shared" si="33"/>
        <v>0</v>
      </c>
      <c r="BL153" s="2">
        <f t="shared" si="34"/>
        <v>5.9158632778264685E-2</v>
      </c>
      <c r="BM153" s="2">
        <f t="shared" si="35"/>
        <v>0</v>
      </c>
      <c r="BN153" s="2">
        <f>BI153/SUMIFS(BI$3:BI$623,$BC$3:$BC$623,1,$G$3:$G$623,$G153)</f>
        <v>0</v>
      </c>
      <c r="BO153" s="2">
        <f>BJ153/SUMIFS(BJ$3:BJ$623,$BC$3:$BC$623,1,$G$3:$G$623,$G153)</f>
        <v>0</v>
      </c>
      <c r="BP153" s="2">
        <f>BK153/SUMIFS(BK$3:BK$623,$BC$3:$BC$623,1,$G$3:$G$623,$G153)</f>
        <v>0</v>
      </c>
      <c r="BQ153" s="2">
        <f>BL153</f>
        <v>5.9158632778264685E-2</v>
      </c>
      <c r="BR153" s="2">
        <f>BM153</f>
        <v>0</v>
      </c>
    </row>
    <row r="154" spans="1:70" hidden="1">
      <c r="A154" s="74">
        <v>0</v>
      </c>
      <c r="B154" s="73">
        <v>204562</v>
      </c>
      <c r="C154" s="73" t="s">
        <v>1591</v>
      </c>
      <c r="D154" s="73" t="s">
        <v>1592</v>
      </c>
      <c r="E154" s="73" t="s">
        <v>1593</v>
      </c>
      <c r="F154" s="73">
        <v>18694</v>
      </c>
      <c r="G154" s="73" t="s">
        <v>876</v>
      </c>
      <c r="H154" s="73" t="s">
        <v>909</v>
      </c>
      <c r="I154" s="73" t="s">
        <v>981</v>
      </c>
      <c r="J154" s="73">
        <v>0</v>
      </c>
      <c r="K154" s="73">
        <v>6</v>
      </c>
      <c r="L154" s="73">
        <v>0</v>
      </c>
      <c r="M154" s="73">
        <v>0</v>
      </c>
      <c r="N154" s="73">
        <v>0</v>
      </c>
      <c r="O154" s="73" t="s">
        <v>1318</v>
      </c>
      <c r="P154" s="73" t="s">
        <v>1594</v>
      </c>
      <c r="Q154" s="73" t="s">
        <v>1595</v>
      </c>
      <c r="R154" s="73">
        <v>0</v>
      </c>
      <c r="S154" s="73">
        <v>0</v>
      </c>
      <c r="T154" s="73">
        <v>0</v>
      </c>
      <c r="U154" s="73">
        <v>0</v>
      </c>
      <c r="V154" s="73">
        <v>0</v>
      </c>
      <c r="W154" s="73">
        <v>0</v>
      </c>
      <c r="X154" s="73">
        <v>0</v>
      </c>
      <c r="Y154" s="73">
        <v>0</v>
      </c>
      <c r="Z154" s="73" t="s">
        <v>1095</v>
      </c>
      <c r="AA154" s="73" t="s">
        <v>692</v>
      </c>
      <c r="AB154" s="73" t="str">
        <f>IF(AA154&lt;&gt;"",INDEX(Lookup!$N$2:$N$5,MATCH(Players!AA154,Lookup!$P$2:$P$5,0)),INDEX(Lookup!$N$2:$N$5,MATCH(Players!O154,Lookup!$O$2:$O$5,0)))</f>
        <v>Defense</v>
      </c>
      <c r="AC154" s="73">
        <v>4000000</v>
      </c>
      <c r="AD154" s="73" t="s">
        <v>798</v>
      </c>
      <c r="AE154" s="73" t="str">
        <f>INDEX('Translate table'!$H$2:$H$622,MATCH(Players!P154,'Translate table'!$G$2:$G$622,0))</f>
        <v>Daley Blind</v>
      </c>
      <c r="AF154" s="73">
        <f>IFERROR(INDEX('Euro Qual stats'!$A$1:$L$2071,MATCH(Players!$AE154,'Euro Qual stats'!$A$1:$A$2071,0),MATCH(Players!AF$2,'Euro Qual stats'!$A$1:$L$1,0)),0)</f>
        <v>7</v>
      </c>
      <c r="AG154" s="73">
        <f>IFERROR(INDEX('Euro Qual stats'!$A$1:$L$2071,MATCH(Players!$AE154,'Euro Qual stats'!$A$1:$A$2071,0),MATCH(Players!AG$2,'Euro Qual stats'!$A$1:$L$1,0)),0)</f>
        <v>0.14000000000000001</v>
      </c>
      <c r="AH154" s="73">
        <f>IFERROR(INDEX('Euro Qual stats'!$A$1:$L$2071,MATCH(Players!$AE154,'Euro Qual stats'!$A$1:$A$2071,0),MATCH(Players!AH$2,'Euro Qual stats'!$A$1:$L$1,0)),0)</f>
        <v>0</v>
      </c>
      <c r="AI154" s="73">
        <f>IFERROR(INDEX('Euro Qual stats'!$A$1:$L$2071,MATCH(Players!$AE154,'Euro Qual stats'!$A$1:$A$2071,0),MATCH(Players!AI$2,'Euro Qual stats'!$A$1:$L$1,0)),0)</f>
        <v>0.14000000000000001</v>
      </c>
      <c r="AJ154" s="93">
        <f>(12-AF154)/12*INDEX(BV$9:BV$12,MATCH($AB154,$BU$9:$BU$12,0))+AF154/12*AG154</f>
        <v>0.11882326007326011</v>
      </c>
      <c r="AK154" s="93">
        <f>(12-AG154)/12*INDEX(BW$9:BW$12,MATCH($AB154,$BU$9:$BU$12,0))+AG154/12*AH154</f>
        <v>0.10236309523809524</v>
      </c>
      <c r="AL154" s="93">
        <f>(12-AH154)/12*INDEX(BX$9:BX$12,MATCH($AB154,$BU$9:$BU$12,0))+AH154/12*AI154</f>
        <v>0.19357142857142848</v>
      </c>
      <c r="AM154" s="93">
        <f>IF($BC154=1,AJ154/SUMIFS(AJ$3:AJ$623,$BC$3:$BC$623,1,$G$3:$G$623,$G154),0)</f>
        <v>6.6496838846996711E-2</v>
      </c>
      <c r="AN154" s="93">
        <f>IF($BC154=1,AK154/SUMIFS(AK$3:AK$623,$BC$3:$BC$623,1,$G$3:$G$623,$G154),0)</f>
        <v>3.7018247951535556E-2</v>
      </c>
      <c r="AO154" s="93">
        <f>IF($BC154=1,AL154/SUMIFS(AL$3:AL$623,$BC$3:$BC$623,1,$G$3:$G$623,$G154),0)</f>
        <v>9.8255234432141916E-2</v>
      </c>
      <c r="AP154" s="2" t="str">
        <f>IFERROR(R154/$V154*90,"")</f>
        <v/>
      </c>
      <c r="AQ154" s="2" t="str">
        <f>IFERROR(S154/$V154*90,"")</f>
        <v/>
      </c>
      <c r="AR154" s="2" t="str">
        <f>IFERROR(W154/$V154*90,"")</f>
        <v/>
      </c>
      <c r="AS154" s="2" t="str">
        <f>IFERROR(X154/$V154*90,"")</f>
        <v/>
      </c>
      <c r="AT154" s="2" t="str">
        <f>IFERROR(Y154/$V154*90,"")</f>
        <v/>
      </c>
      <c r="AU154" s="2">
        <f>IF(AP154="",INDEX(BV$4:BV$7,MATCH(O154,$BU$4:$BU$7,0)),AP154)</f>
        <v>0</v>
      </c>
      <c r="AV154" s="2">
        <f>IF(AQ154="",INDEX(BW$4:BW$7,MATCH($O154,$BU$4:$BU$7,0)),AQ154)</f>
        <v>0</v>
      </c>
      <c r="AW154" s="2">
        <f t="shared" si="24"/>
        <v>8.0624805297505417E-2</v>
      </c>
      <c r="AX154" s="2">
        <f t="shared" si="25"/>
        <v>0.1265377855887522</v>
      </c>
      <c r="AY154" s="2">
        <f t="shared" si="26"/>
        <v>0</v>
      </c>
      <c r="AZ154" s="2">
        <f>AU154*0.5+AK154*0.5</f>
        <v>5.118154761904762E-2</v>
      </c>
      <c r="BA154" s="2">
        <f>AV154*0.5+AJ154*0.5</f>
        <v>5.9411630036630053E-2</v>
      </c>
      <c r="BB154" s="2">
        <f t="shared" si="27"/>
        <v>0.13326889279437609</v>
      </c>
      <c r="BC154">
        <f>IF(I154="expected",1,0)</f>
        <v>1</v>
      </c>
      <c r="BD154" s="78">
        <f>IF(BC154=1,AZ154/SUMIFS(AZ$3:AZ$623,$BC$3:$BC$623,1,$G$3:$G$623,$G154),0)</f>
        <v>2.5878010376799467E-2</v>
      </c>
      <c r="BE154" s="78">
        <f>IF(BC154=1,BA154/SUMIFS(BA$3:BA$623,$BC$3:$BC$623,1,$G$3:$G$623,$G154),0)</f>
        <v>4.6369749584437757E-2</v>
      </c>
      <c r="BF154" s="78">
        <f t="shared" si="28"/>
        <v>1.9184666872908533E-2</v>
      </c>
      <c r="BG154" s="2">
        <f t="shared" si="29"/>
        <v>0.13326889279437609</v>
      </c>
      <c r="BH154" s="2">
        <f t="shared" si="30"/>
        <v>0</v>
      </c>
      <c r="BI154" s="2">
        <f t="shared" si="31"/>
        <v>2.5878010376799467E-2</v>
      </c>
      <c r="BJ154" s="2">
        <f t="shared" si="32"/>
        <v>4.6369749584437757E-2</v>
      </c>
      <c r="BK154" s="2">
        <f t="shared" si="33"/>
        <v>1.9184666872908533E-2</v>
      </c>
      <c r="BL154" s="2">
        <f t="shared" si="34"/>
        <v>0.13326889279437609</v>
      </c>
      <c r="BM154" s="2">
        <f t="shared" si="35"/>
        <v>0</v>
      </c>
      <c r="BN154" s="2">
        <f>BI154/SUMIFS(BI$3:BI$623,$BC$3:$BC$623,1,$G$3:$G$623,$G154)</f>
        <v>2.587801037679947E-2</v>
      </c>
      <c r="BO154" s="2">
        <f>BJ154/SUMIFS(BJ$3:BJ$623,$BC$3:$BC$623,1,$G$3:$G$623,$G154)</f>
        <v>5.3392538815963855E-2</v>
      </c>
      <c r="BP154" s="2">
        <f>BK154/SUMIFS(BK$3:BK$623,$BC$3:$BC$623,1,$G$3:$G$623,$G154)</f>
        <v>2.1015425616624343E-2</v>
      </c>
      <c r="BQ154" s="2">
        <f>BL154</f>
        <v>0.13326889279437609</v>
      </c>
      <c r="BR154" s="2">
        <f>BM154</f>
        <v>0</v>
      </c>
    </row>
    <row r="155" spans="1:70" hidden="1">
      <c r="A155" s="74">
        <v>0</v>
      </c>
      <c r="B155" s="73">
        <v>204643</v>
      </c>
      <c r="C155" s="73" t="s">
        <v>1596</v>
      </c>
      <c r="D155" s="73" t="s">
        <v>1597</v>
      </c>
      <c r="E155" s="73" t="s">
        <v>1598</v>
      </c>
      <c r="F155" s="73">
        <v>18660</v>
      </c>
      <c r="G155" s="73" t="s">
        <v>892</v>
      </c>
      <c r="H155" s="73" t="s">
        <v>915</v>
      </c>
      <c r="I155" s="73" t="s">
        <v>1012</v>
      </c>
      <c r="J155" s="73">
        <v>0</v>
      </c>
      <c r="K155" s="73">
        <v>6</v>
      </c>
      <c r="L155" s="73">
        <v>0</v>
      </c>
      <c r="M155" s="73">
        <v>0</v>
      </c>
      <c r="N155" s="73">
        <v>0</v>
      </c>
      <c r="O155" s="73" t="s">
        <v>1290</v>
      </c>
      <c r="P155" s="73" t="s">
        <v>247</v>
      </c>
      <c r="Q155" s="73" t="s">
        <v>247</v>
      </c>
      <c r="R155" s="73">
        <v>0</v>
      </c>
      <c r="S155" s="73">
        <v>0</v>
      </c>
      <c r="T155" s="73">
        <v>86</v>
      </c>
      <c r="U155" s="73">
        <v>11</v>
      </c>
      <c r="V155" s="73">
        <v>3132</v>
      </c>
      <c r="W155" s="73">
        <v>0</v>
      </c>
      <c r="X155" s="73">
        <v>0</v>
      </c>
      <c r="Y155" s="73">
        <v>1</v>
      </c>
      <c r="Z155" s="73" t="s">
        <v>1046</v>
      </c>
      <c r="AA155" s="73" t="s">
        <v>690</v>
      </c>
      <c r="AB155" s="73" t="str">
        <f>IF(AA155&lt;&gt;"",INDEX(Lookup!$N$2:$N$5,MATCH(Players!AA155,Lookup!$P$2:$P$5,0)),INDEX(Lookup!$N$2:$N$5,MATCH(Players!O155,Lookup!$O$2:$O$5,0)))</f>
        <v>Goalkeeper</v>
      </c>
      <c r="AC155" s="73">
        <v>4500000</v>
      </c>
      <c r="AD155" s="73" t="s">
        <v>788</v>
      </c>
      <c r="AE155" s="73" t="str">
        <f>INDEX('Translate table'!$H$2:$H$622,MATCH(Players!P155,'Translate table'!$G$2:$G$622,0))</f>
        <v>Bernd Leno</v>
      </c>
      <c r="AF155" s="73">
        <f>IFERROR(INDEX('Euro Qual stats'!$A$1:$L$2071,MATCH(Players!$AE155,'Euro Qual stats'!$A$1:$A$2071,0),MATCH(Players!AF$2,'Euro Qual stats'!$A$1:$L$1,0)),0)</f>
        <v>0</v>
      </c>
      <c r="AG155" s="73">
        <f>IFERROR(INDEX('Euro Qual stats'!$A$1:$L$2071,MATCH(Players!$AE155,'Euro Qual stats'!$A$1:$A$2071,0),MATCH(Players!AG$2,'Euro Qual stats'!$A$1:$L$1,0)),0)</f>
        <v>0</v>
      </c>
      <c r="AH155" s="73">
        <f>IFERROR(INDEX('Euro Qual stats'!$A$1:$L$2071,MATCH(Players!$AE155,'Euro Qual stats'!$A$1:$A$2071,0),MATCH(Players!AH$2,'Euro Qual stats'!$A$1:$L$1,0)),0)</f>
        <v>0</v>
      </c>
      <c r="AI155" s="73">
        <f>IFERROR(INDEX('Euro Qual stats'!$A$1:$L$2071,MATCH(Players!$AE155,'Euro Qual stats'!$A$1:$A$2071,0),MATCH(Players!AI$2,'Euro Qual stats'!$A$1:$L$1,0)),0)</f>
        <v>0</v>
      </c>
      <c r="AJ155" s="93">
        <f>(12-AF155)/12*INDEX(BV$9:BV$12,MATCH($AB155,$BU$9:$BU$12,0))+AF155/12*AG155</f>
        <v>0</v>
      </c>
      <c r="AK155" s="93">
        <f>(12-AG155)/12*INDEX(BW$9:BW$12,MATCH($AB155,$BU$9:$BU$12,0))+AG155/12*AH155</f>
        <v>0</v>
      </c>
      <c r="AL155" s="93">
        <f>(12-AH155)/12*INDEX(BX$9:BX$12,MATCH($AB155,$BU$9:$BU$12,0))+AH155/12*AI155</f>
        <v>0</v>
      </c>
      <c r="AM155" s="93">
        <f>IF($BC155=1,AJ155/SUMIFS(AJ$3:AJ$623,$BC$3:$BC$623,1,$G$3:$G$623,$G155),0)</f>
        <v>0</v>
      </c>
      <c r="AN155" s="93">
        <f>IF($BC155=1,AK155/SUMIFS(AK$3:AK$623,$BC$3:$BC$623,1,$G$3:$G$623,$G155),0)</f>
        <v>0</v>
      </c>
      <c r="AO155" s="93">
        <f>IF($BC155=1,AL155/SUMIFS(AL$3:AL$623,$BC$3:$BC$623,1,$G$3:$G$623,$G155),0)</f>
        <v>0</v>
      </c>
      <c r="AP155" s="2">
        <f>IFERROR(R155/$V155*90,"")</f>
        <v>0</v>
      </c>
      <c r="AQ155" s="2">
        <f>IFERROR(S155/$V155*90,"")</f>
        <v>0</v>
      </c>
      <c r="AR155" s="2">
        <f>IFERROR(W155/$V155*90,"")</f>
        <v>0</v>
      </c>
      <c r="AS155" s="2">
        <f>IFERROR(X155/$V155*90,"")</f>
        <v>0</v>
      </c>
      <c r="AT155" s="2">
        <f>IFERROR(Y155/$V155*90,"")</f>
        <v>2.8735632183908049E-2</v>
      </c>
      <c r="AU155" s="2">
        <f>IF(AP155="",INDEX(BV$4:BV$7,MATCH(O155,$BU$4:$BU$7,0)),AP155)</f>
        <v>0</v>
      </c>
      <c r="AV155" s="2">
        <f>IF(AQ155="",INDEX(BW$4:BW$7,MATCH($O155,$BU$4:$BU$7,0)),AQ155)</f>
        <v>0</v>
      </c>
      <c r="AW155" s="2">
        <f t="shared" si="24"/>
        <v>0</v>
      </c>
      <c r="AX155" s="2">
        <f t="shared" si="25"/>
        <v>0</v>
      </c>
      <c r="AY155" s="2">
        <f t="shared" si="26"/>
        <v>2.8735632183908049E-2</v>
      </c>
      <c r="AZ155" s="2">
        <f>AU155*0.5+AK155*0.5</f>
        <v>0</v>
      </c>
      <c r="BA155" s="2">
        <f>AV155*0.5+AJ155*0.5</f>
        <v>0</v>
      </c>
      <c r="BB155" s="2">
        <f t="shared" si="27"/>
        <v>0</v>
      </c>
      <c r="BC155">
        <f>IF(I155="expected",1,0)</f>
        <v>0</v>
      </c>
      <c r="BD155" s="78">
        <f>IF(BC155=1,AZ155/SUMIFS(AZ$3:AZ$623,$BC$3:$BC$623,1,$G$3:$G$623,$G155),0)</f>
        <v>0</v>
      </c>
      <c r="BE155" s="78">
        <f>IF(BC155=1,BA155/SUMIFS(BA$3:BA$623,$BC$3:$BC$623,1,$G$3:$G$623,$G155),0)</f>
        <v>0</v>
      </c>
      <c r="BF155" s="78">
        <f t="shared" si="28"/>
        <v>0</v>
      </c>
      <c r="BG155" s="2">
        <f t="shared" si="29"/>
        <v>0</v>
      </c>
      <c r="BH155" s="2">
        <f t="shared" si="30"/>
        <v>2.8735632183908049E-2</v>
      </c>
      <c r="BI155" s="2">
        <f t="shared" si="31"/>
        <v>0</v>
      </c>
      <c r="BJ155" s="2">
        <f t="shared" si="32"/>
        <v>0</v>
      </c>
      <c r="BK155" s="2">
        <f t="shared" si="33"/>
        <v>0</v>
      </c>
      <c r="BL155" s="2">
        <f t="shared" si="34"/>
        <v>0</v>
      </c>
      <c r="BM155" s="2">
        <f t="shared" si="35"/>
        <v>2.8735632183908049E-2</v>
      </c>
      <c r="BN155" s="2">
        <f>BI155/SUMIFS(BI$3:BI$623,$BC$3:$BC$623,1,$G$3:$G$623,$G155)</f>
        <v>0</v>
      </c>
      <c r="BO155" s="2">
        <f>BJ155/SUMIFS(BJ$3:BJ$623,$BC$3:$BC$623,1,$G$3:$G$623,$G155)</f>
        <v>0</v>
      </c>
      <c r="BP155" s="2">
        <f>BK155/SUMIFS(BK$3:BK$623,$BC$3:$BC$623,1,$G$3:$G$623,$G155)</f>
        <v>0</v>
      </c>
      <c r="BQ155" s="2">
        <f>BL155</f>
        <v>0</v>
      </c>
      <c r="BR155" s="2">
        <f>BM155</f>
        <v>2.8735632183908049E-2</v>
      </c>
    </row>
    <row r="156" spans="1:70" hidden="1">
      <c r="A156" s="74">
        <v>0</v>
      </c>
      <c r="B156" s="73">
        <v>221519</v>
      </c>
      <c r="C156" s="73" t="s">
        <v>1599</v>
      </c>
      <c r="D156" s="73" t="s">
        <v>1600</v>
      </c>
      <c r="E156" s="73" t="s">
        <v>1601</v>
      </c>
      <c r="F156" s="73">
        <v>18660</v>
      </c>
      <c r="G156" s="73" t="s">
        <v>892</v>
      </c>
      <c r="H156" s="73" t="s">
        <v>915</v>
      </c>
      <c r="I156" s="73" t="s">
        <v>1012</v>
      </c>
      <c r="J156" s="73">
        <v>0</v>
      </c>
      <c r="K156" s="73">
        <v>6</v>
      </c>
      <c r="L156" s="73">
        <v>0</v>
      </c>
      <c r="M156" s="73">
        <v>0</v>
      </c>
      <c r="N156" s="73">
        <v>0</v>
      </c>
      <c r="O156" s="73" t="s">
        <v>1318</v>
      </c>
      <c r="P156" s="73" t="s">
        <v>1602</v>
      </c>
      <c r="Q156" s="73" t="s">
        <v>1603</v>
      </c>
      <c r="R156" s="73">
        <v>5</v>
      </c>
      <c r="S156" s="73">
        <v>0</v>
      </c>
      <c r="T156" s="73">
        <v>0</v>
      </c>
      <c r="U156" s="73">
        <v>7</v>
      </c>
      <c r="V156" s="73">
        <v>2816</v>
      </c>
      <c r="W156" s="73">
        <v>16</v>
      </c>
      <c r="X156" s="73">
        <v>6</v>
      </c>
      <c r="Y156" s="73">
        <v>0</v>
      </c>
      <c r="Z156" s="73" t="s">
        <v>1046</v>
      </c>
      <c r="AA156" s="73" t="s">
        <v>692</v>
      </c>
      <c r="AB156" s="73" t="str">
        <f>IF(AA156&lt;&gt;"",INDEX(Lookup!$N$2:$N$5,MATCH(Players!AA156,Lookup!$P$2:$P$5,0)),INDEX(Lookup!$N$2:$N$5,MATCH(Players!O156,Lookup!$O$2:$O$5,0)))</f>
        <v>Defense</v>
      </c>
      <c r="AC156" s="73">
        <v>3500000</v>
      </c>
      <c r="AD156" s="73" t="s">
        <v>814</v>
      </c>
      <c r="AE156" s="73" t="str">
        <f>INDEX('Translate table'!$H$2:$H$622,MATCH(Players!P156,'Translate table'!$G$2:$G$622,0))</f>
        <v>Mats MÃ¸ller DÃ¦hli</v>
      </c>
      <c r="AF156" s="73">
        <f>IFERROR(INDEX('Euro Qual stats'!$A$1:$L$2071,MATCH(Players!$AE156,'Euro Qual stats'!$A$1:$A$2071,0),MATCH(Players!AF$2,'Euro Qual stats'!$A$1:$L$1,0)),0)</f>
        <v>2</v>
      </c>
      <c r="AG156" s="73">
        <f>IFERROR(INDEX('Euro Qual stats'!$A$1:$L$2071,MATCH(Players!$AE156,'Euro Qual stats'!$A$1:$A$2071,0),MATCH(Players!AG$2,'Euro Qual stats'!$A$1:$L$1,0)),0)</f>
        <v>0</v>
      </c>
      <c r="AH156" s="73">
        <f>IFERROR(INDEX('Euro Qual stats'!$A$1:$L$2071,MATCH(Players!$AE156,'Euro Qual stats'!$A$1:$A$2071,0),MATCH(Players!AH$2,'Euro Qual stats'!$A$1:$L$1,0)),0)</f>
        <v>0</v>
      </c>
      <c r="AI156" s="73">
        <f>IFERROR(INDEX('Euro Qual stats'!$A$1:$L$2071,MATCH(Players!$AE156,'Euro Qual stats'!$A$1:$A$2071,0),MATCH(Players!AI$2,'Euro Qual stats'!$A$1:$L$1,0)),0)</f>
        <v>0</v>
      </c>
      <c r="AJ156" s="93">
        <f>(12-AF156)/12*INDEX(BV$9:BV$12,MATCH($AB156,$BU$9:$BU$12,0))+AF156/12*AG156</f>
        <v>7.4313186813186841E-2</v>
      </c>
      <c r="AK156" s="93">
        <f>(12-AG156)/12*INDEX(BW$9:BW$12,MATCH($AB156,$BU$9:$BU$12,0))+AG156/12*AH156</f>
        <v>0.10357142857142858</v>
      </c>
      <c r="AL156" s="93">
        <f>(12-AH156)/12*INDEX(BX$9:BX$12,MATCH($AB156,$BU$9:$BU$12,0))+AH156/12*AI156</f>
        <v>0.19357142857142848</v>
      </c>
      <c r="AM156" s="93">
        <f>IF($BC156=1,AJ156/SUMIFS(AJ$3:AJ$623,$BC$3:$BC$623,1,$G$3:$G$623,$G156),0)</f>
        <v>0</v>
      </c>
      <c r="AN156" s="93">
        <f>IF($BC156=1,AK156/SUMIFS(AK$3:AK$623,$BC$3:$BC$623,1,$G$3:$G$623,$G156),0)</f>
        <v>0</v>
      </c>
      <c r="AO156" s="93">
        <f>IF($BC156=1,AL156/SUMIFS(AL$3:AL$623,$BC$3:$BC$623,1,$G$3:$G$623,$G156),0)</f>
        <v>0</v>
      </c>
      <c r="AP156" s="2">
        <f>IFERROR(R156/$V156*90,"")</f>
        <v>0.15980113636363635</v>
      </c>
      <c r="AQ156" s="2">
        <f>IFERROR(S156/$V156*90,"")</f>
        <v>0</v>
      </c>
      <c r="AR156" s="2">
        <f>IFERROR(W156/$V156*90,"")</f>
        <v>0.51136363636363635</v>
      </c>
      <c r="AS156" s="2">
        <f>IFERROR(X156/$V156*90,"")</f>
        <v>0.19176136363636362</v>
      </c>
      <c r="AT156" s="2">
        <f>IFERROR(Y156/$V156*90,"")</f>
        <v>0</v>
      </c>
      <c r="AU156" s="2">
        <f>IF(AP156="",INDEX(BV$4:BV$7,MATCH(O156,$BU$4:$BU$7,0)),AP156)</f>
        <v>0.15980113636363635</v>
      </c>
      <c r="AV156" s="2">
        <f>IF(AQ156="",INDEX(BW$4:BW$7,MATCH($O156,$BU$4:$BU$7,0)),AQ156)</f>
        <v>0</v>
      </c>
      <c r="AW156" s="2">
        <f t="shared" si="24"/>
        <v>0.51136363636363635</v>
      </c>
      <c r="AX156" s="2">
        <f t="shared" si="25"/>
        <v>0.19176136363636362</v>
      </c>
      <c r="AY156" s="2">
        <f t="shared" si="26"/>
        <v>0</v>
      </c>
      <c r="AZ156" s="2">
        <f>AU156*0.5+AK156*0.5</f>
        <v>0.13168628246753247</v>
      </c>
      <c r="BA156" s="2">
        <f>AV156*0.5+AJ156*0.5</f>
        <v>3.715659340659342E-2</v>
      </c>
      <c r="BB156" s="2">
        <f t="shared" si="27"/>
        <v>9.5880681818181809E-2</v>
      </c>
      <c r="BC156">
        <f>IF(I156="expected",1,0)</f>
        <v>0</v>
      </c>
      <c r="BD156" s="78">
        <f>IF(BC156=1,AZ156/SUMIFS(AZ$3:AZ$623,$BC$3:$BC$623,1,$G$3:$G$623,$G156),0)</f>
        <v>0</v>
      </c>
      <c r="BE156" s="78">
        <f>IF(BC156=1,BA156/SUMIFS(BA$3:BA$623,$BC$3:$BC$623,1,$G$3:$G$623,$G156),0)</f>
        <v>0</v>
      </c>
      <c r="BF156" s="78">
        <f t="shared" si="28"/>
        <v>0</v>
      </c>
      <c r="BG156" s="2">
        <f t="shared" si="29"/>
        <v>9.5880681818181809E-2</v>
      </c>
      <c r="BH156" s="2">
        <f t="shared" si="30"/>
        <v>0</v>
      </c>
      <c r="BI156" s="2">
        <f t="shared" si="31"/>
        <v>0</v>
      </c>
      <c r="BJ156" s="2">
        <f t="shared" si="32"/>
        <v>0</v>
      </c>
      <c r="BK156" s="2">
        <f t="shared" si="33"/>
        <v>0</v>
      </c>
      <c r="BL156" s="2">
        <f t="shared" si="34"/>
        <v>9.5880681818181809E-2</v>
      </c>
      <c r="BM156" s="2">
        <f t="shared" si="35"/>
        <v>0</v>
      </c>
      <c r="BN156" s="2">
        <f>BI156/SUMIFS(BI$3:BI$623,$BC$3:$BC$623,1,$G$3:$G$623,$G156)</f>
        <v>0</v>
      </c>
      <c r="BO156" s="2">
        <f>BJ156/SUMIFS(BJ$3:BJ$623,$BC$3:$BC$623,1,$G$3:$G$623,$G156)</f>
        <v>0</v>
      </c>
      <c r="BP156" s="2">
        <f>BK156/SUMIFS(BK$3:BK$623,$BC$3:$BC$623,1,$G$3:$G$623,$G156)</f>
        <v>0</v>
      </c>
      <c r="BQ156" s="2">
        <f>BL156</f>
        <v>9.5880681818181809E-2</v>
      </c>
      <c r="BR156" s="2">
        <f>BM156</f>
        <v>0</v>
      </c>
    </row>
    <row r="157" spans="1:70" hidden="1">
      <c r="A157" s="74">
        <v>0</v>
      </c>
      <c r="B157" s="73">
        <v>204658</v>
      </c>
      <c r="C157" s="73" t="s">
        <v>1604</v>
      </c>
      <c r="D157" s="73" t="s">
        <v>1605</v>
      </c>
      <c r="E157" s="73" t="s">
        <v>1606</v>
      </c>
      <c r="F157" s="73">
        <v>18660</v>
      </c>
      <c r="G157" s="73" t="s">
        <v>892</v>
      </c>
      <c r="H157" s="73" t="s">
        <v>915</v>
      </c>
      <c r="I157" s="73" t="s">
        <v>981</v>
      </c>
      <c r="J157" s="73">
        <v>0</v>
      </c>
      <c r="K157" s="73">
        <v>6</v>
      </c>
      <c r="L157" s="73">
        <v>0</v>
      </c>
      <c r="M157" s="73">
        <v>0</v>
      </c>
      <c r="N157" s="73">
        <v>0</v>
      </c>
      <c r="O157" s="73" t="s">
        <v>1318</v>
      </c>
      <c r="P157" s="73" t="s">
        <v>124</v>
      </c>
      <c r="Q157" s="73" t="s">
        <v>410</v>
      </c>
      <c r="R157" s="73">
        <v>1</v>
      </c>
      <c r="S157" s="73">
        <v>0</v>
      </c>
      <c r="T157" s="73">
        <v>0</v>
      </c>
      <c r="U157" s="73">
        <v>11</v>
      </c>
      <c r="V157" s="73">
        <v>1710</v>
      </c>
      <c r="W157" s="73">
        <v>7</v>
      </c>
      <c r="X157" s="73">
        <v>0</v>
      </c>
      <c r="Y157" s="73">
        <v>0</v>
      </c>
      <c r="Z157" s="73" t="s">
        <v>1046</v>
      </c>
      <c r="AA157" s="73" t="s">
        <v>692</v>
      </c>
      <c r="AB157" s="73" t="str">
        <f>IF(AA157&lt;&gt;"",INDEX(Lookup!$N$2:$N$5,MATCH(Players!AA157,Lookup!$P$2:$P$5,0)),INDEX(Lookup!$N$2:$N$5,MATCH(Players!O157,Lookup!$O$2:$O$5,0)))</f>
        <v>Defense</v>
      </c>
      <c r="AC157" s="73">
        <v>4000000</v>
      </c>
      <c r="AD157" s="73" t="s">
        <v>825</v>
      </c>
      <c r="AE157" s="73" t="str">
        <f>INDEX('Translate table'!$H$2:$H$622,MATCH(Players!P157,'Translate table'!$G$2:$G$622,0))</f>
        <v>Antonio RÃ¼diger</v>
      </c>
      <c r="AF157" s="73">
        <f>IFERROR(INDEX('Euro Qual stats'!$A$1:$L$2071,MATCH(Players!$AE157,'Euro Qual stats'!$A$1:$A$2071,0),MATCH(Players!AF$2,'Euro Qual stats'!$A$1:$L$1,0)),0)</f>
        <v>1</v>
      </c>
      <c r="AG157" s="73">
        <f>IFERROR(INDEX('Euro Qual stats'!$A$1:$L$2071,MATCH(Players!$AE157,'Euro Qual stats'!$A$1:$A$2071,0),MATCH(Players!AG$2,'Euro Qual stats'!$A$1:$L$1,0)),0)</f>
        <v>1</v>
      </c>
      <c r="AH157" s="73">
        <f>IFERROR(INDEX('Euro Qual stats'!$A$1:$L$2071,MATCH(Players!$AE157,'Euro Qual stats'!$A$1:$A$2071,0),MATCH(Players!AH$2,'Euro Qual stats'!$A$1:$L$1,0)),0)</f>
        <v>0</v>
      </c>
      <c r="AI157" s="73">
        <f>IFERROR(INDEX('Euro Qual stats'!$A$1:$L$2071,MATCH(Players!$AE157,'Euro Qual stats'!$A$1:$A$2071,0),MATCH(Players!AI$2,'Euro Qual stats'!$A$1:$L$1,0)),0)</f>
        <v>0</v>
      </c>
      <c r="AJ157" s="93">
        <f>(12-AF157)/12*INDEX(BV$9:BV$12,MATCH($AB157,$BU$9:$BU$12,0))+AF157/12*AG157</f>
        <v>0.16507783882783883</v>
      </c>
      <c r="AK157" s="93">
        <f>(12-AG157)/12*INDEX(BW$9:BW$12,MATCH($AB157,$BU$9:$BU$12,0))+AG157/12*AH157</f>
        <v>9.4940476190476186E-2</v>
      </c>
      <c r="AL157" s="93">
        <f>(12-AH157)/12*INDEX(BX$9:BX$12,MATCH($AB157,$BU$9:$BU$12,0))+AH157/12*AI157</f>
        <v>0.19357142857142848</v>
      </c>
      <c r="AM157" s="93">
        <f>IF($BC157=1,AJ157/SUMIFS(AJ$3:AJ$623,$BC$3:$BC$623,1,$G$3:$G$623,$G157),0)</f>
        <v>8.7752003408468185E-2</v>
      </c>
      <c r="AN157" s="93">
        <f>IF($BC157=1,AK157/SUMIFS(AK$3:AK$623,$BC$3:$BC$623,1,$G$3:$G$623,$G157),0)</f>
        <v>4.0019335995740681E-2</v>
      </c>
      <c r="AO157" s="93">
        <f>IF($BC157=1,AL157/SUMIFS(AL$3:AL$623,$BC$3:$BC$623,1,$G$3:$G$623,$G157),0)</f>
        <v>9.5147499348732539E-2</v>
      </c>
      <c r="AP157" s="2">
        <f>IFERROR(R157/$V157*90,"")</f>
        <v>5.2631578947368425E-2</v>
      </c>
      <c r="AQ157" s="2">
        <f>IFERROR(S157/$V157*90,"")</f>
        <v>0</v>
      </c>
      <c r="AR157" s="2">
        <f>IFERROR(W157/$V157*90,"")</f>
        <v>0.36842105263157898</v>
      </c>
      <c r="AS157" s="2">
        <f>IFERROR(X157/$V157*90,"")</f>
        <v>0</v>
      </c>
      <c r="AT157" s="2">
        <f>IFERROR(Y157/$V157*90,"")</f>
        <v>0</v>
      </c>
      <c r="AU157" s="2">
        <f>IF(AP157="",INDEX(BV$4:BV$7,MATCH(O157,$BU$4:$BU$7,0)),AP157)</f>
        <v>5.2631578947368425E-2</v>
      </c>
      <c r="AV157" s="2">
        <f>IF(AQ157="",INDEX(BW$4:BW$7,MATCH($O157,$BU$4:$BU$7,0)),AQ157)</f>
        <v>0</v>
      </c>
      <c r="AW157" s="2">
        <f t="shared" si="24"/>
        <v>0.36842105263157898</v>
      </c>
      <c r="AX157" s="2">
        <f t="shared" si="25"/>
        <v>0</v>
      </c>
      <c r="AY157" s="2">
        <f t="shared" si="26"/>
        <v>0</v>
      </c>
      <c r="AZ157" s="2">
        <f>AU157*0.5+AK157*0.5</f>
        <v>7.3786027568922302E-2</v>
      </c>
      <c r="BA157" s="2">
        <f>AV157*0.5+AJ157*0.5</f>
        <v>8.2538919413919415E-2</v>
      </c>
      <c r="BB157" s="2">
        <f t="shared" si="27"/>
        <v>0</v>
      </c>
      <c r="BC157">
        <f>IF(I157="expected",1,0)</f>
        <v>1</v>
      </c>
      <c r="BD157" s="78">
        <f>IF(BC157=1,AZ157/SUMIFS(AZ$3:AZ$623,$BC$3:$BC$623,1,$G$3:$G$623,$G157),0)</f>
        <v>3.0037265710439756E-2</v>
      </c>
      <c r="BE157" s="78">
        <f>IF(BC157=1,BA157/SUMIFS(BA$3:BA$623,$BC$3:$BC$623,1,$G$3:$G$623,$G157),0)</f>
        <v>4.2975670025980538E-2</v>
      </c>
      <c r="BF157" s="78">
        <f t="shared" si="28"/>
        <v>5.1303909118886173E-2</v>
      </c>
      <c r="BG157" s="2">
        <f t="shared" si="29"/>
        <v>0</v>
      </c>
      <c r="BH157" s="2">
        <f t="shared" si="30"/>
        <v>0</v>
      </c>
      <c r="BI157" s="2">
        <f t="shared" si="31"/>
        <v>3.0037265710439756E-2</v>
      </c>
      <c r="BJ157" s="2">
        <f t="shared" si="32"/>
        <v>4.2975670025980538E-2</v>
      </c>
      <c r="BK157" s="2">
        <f t="shared" si="33"/>
        <v>5.1303909118886173E-2</v>
      </c>
      <c r="BL157" s="2">
        <f t="shared" si="34"/>
        <v>0</v>
      </c>
      <c r="BM157" s="2">
        <f t="shared" si="35"/>
        <v>0</v>
      </c>
      <c r="BN157" s="2">
        <f>BI157/SUMIFS(BI$3:BI$623,$BC$3:$BC$623,1,$G$3:$G$623,$G157)</f>
        <v>3.0037265710439756E-2</v>
      </c>
      <c r="BO157" s="2">
        <f>BJ157/SUMIFS(BJ$3:BJ$623,$BC$3:$BC$623,1,$G$3:$G$623,$G157)</f>
        <v>4.2975670025980538E-2</v>
      </c>
      <c r="BP157" s="2">
        <f>BK157/SUMIFS(BK$3:BK$623,$BC$3:$BC$623,1,$G$3:$G$623,$G157)</f>
        <v>5.1303909118886173E-2</v>
      </c>
      <c r="BQ157" s="2">
        <f>BL157</f>
        <v>0</v>
      </c>
      <c r="BR157" s="2">
        <f>BM157</f>
        <v>0</v>
      </c>
    </row>
    <row r="158" spans="1:70" hidden="1">
      <c r="A158" s="74">
        <v>0</v>
      </c>
      <c r="B158" s="73">
        <v>204647</v>
      </c>
      <c r="C158" s="73" t="s">
        <v>1607</v>
      </c>
      <c r="D158" s="73" t="s">
        <v>1608</v>
      </c>
      <c r="E158" s="73" t="s">
        <v>1609</v>
      </c>
      <c r="F158" s="73">
        <v>18660</v>
      </c>
      <c r="G158" s="73" t="s">
        <v>892</v>
      </c>
      <c r="H158" s="73" t="s">
        <v>915</v>
      </c>
      <c r="I158" s="73" t="s">
        <v>981</v>
      </c>
      <c r="J158" s="73">
        <v>0</v>
      </c>
      <c r="K158" s="73">
        <v>6</v>
      </c>
      <c r="L158" s="73">
        <v>0</v>
      </c>
      <c r="M158" s="73">
        <v>0</v>
      </c>
      <c r="N158" s="73">
        <v>0</v>
      </c>
      <c r="O158" s="73" t="s">
        <v>1318</v>
      </c>
      <c r="P158" s="73" t="s">
        <v>1610</v>
      </c>
      <c r="Q158" s="73" t="s">
        <v>1611</v>
      </c>
      <c r="R158" s="73">
        <v>1</v>
      </c>
      <c r="S158" s="73">
        <v>0</v>
      </c>
      <c r="T158" s="73">
        <v>0</v>
      </c>
      <c r="U158" s="73">
        <v>5</v>
      </c>
      <c r="V158" s="73">
        <v>1503</v>
      </c>
      <c r="W158" s="73">
        <v>5</v>
      </c>
      <c r="X158" s="73">
        <v>1</v>
      </c>
      <c r="Y158" s="73">
        <v>0</v>
      </c>
      <c r="Z158" s="73" t="s">
        <v>1046</v>
      </c>
      <c r="AA158" s="73" t="s">
        <v>692</v>
      </c>
      <c r="AB158" s="73" t="str">
        <f>IF(AA158&lt;&gt;"",INDEX(Lookup!$N$2:$N$5,MATCH(Players!AA158,Lookup!$P$2:$P$5,0)),INDEX(Lookup!$N$2:$N$5,MATCH(Players!O158,Lookup!$O$2:$O$5,0)))</f>
        <v>Defense</v>
      </c>
      <c r="AC158" s="73">
        <v>3500000</v>
      </c>
      <c r="AD158" s="73" t="s">
        <v>794</v>
      </c>
      <c r="AE158" s="73" t="str">
        <f>INDEX('Translate table'!$H$2:$H$622,MATCH(Players!P158,'Translate table'!$G$2:$G$622,0))</f>
        <v>Nikolas Å palek</v>
      </c>
      <c r="AF158" s="73">
        <f>IFERROR(INDEX('Euro Qual stats'!$A$1:$L$2071,MATCH(Players!$AE158,'Euro Qual stats'!$A$1:$A$2071,0),MATCH(Players!AF$2,'Euro Qual stats'!$A$1:$L$1,0)),0)</f>
        <v>0</v>
      </c>
      <c r="AG158" s="73">
        <f>IFERROR(INDEX('Euro Qual stats'!$A$1:$L$2071,MATCH(Players!$AE158,'Euro Qual stats'!$A$1:$A$2071,0),MATCH(Players!AG$2,'Euro Qual stats'!$A$1:$L$1,0)),0)</f>
        <v>0</v>
      </c>
      <c r="AH158" s="73">
        <f>IFERROR(INDEX('Euro Qual stats'!$A$1:$L$2071,MATCH(Players!$AE158,'Euro Qual stats'!$A$1:$A$2071,0),MATCH(Players!AH$2,'Euro Qual stats'!$A$1:$L$1,0)),0)</f>
        <v>0</v>
      </c>
      <c r="AI158" s="73">
        <f>IFERROR(INDEX('Euro Qual stats'!$A$1:$L$2071,MATCH(Players!$AE158,'Euro Qual stats'!$A$1:$A$2071,0),MATCH(Players!AI$2,'Euro Qual stats'!$A$1:$L$1,0)),0)</f>
        <v>0</v>
      </c>
      <c r="AJ158" s="93">
        <f>(12-AF158)/12*INDEX(BV$9:BV$12,MATCH($AB158,$BU$9:$BU$12,0))+AF158/12*AG158</f>
        <v>8.9175824175824203E-2</v>
      </c>
      <c r="AK158" s="93">
        <f>(12-AG158)/12*INDEX(BW$9:BW$12,MATCH($AB158,$BU$9:$BU$12,0))+AG158/12*AH158</f>
        <v>0.10357142857142858</v>
      </c>
      <c r="AL158" s="93">
        <f>(12-AH158)/12*INDEX(BX$9:BX$12,MATCH($AB158,$BU$9:$BU$12,0))+AH158/12*AI158</f>
        <v>0.19357142857142848</v>
      </c>
      <c r="AM158" s="93">
        <f>IF($BC158=1,AJ158/SUMIFS(AJ$3:AJ$623,$BC$3:$BC$623,1,$G$3:$G$623,$G158),0)</f>
        <v>4.7404044556162511E-2</v>
      </c>
      <c r="AN158" s="93">
        <f>IF($BC158=1,AK158/SUMIFS(AK$3:AK$623,$BC$3:$BC$623,1,$G$3:$G$623,$G158),0)</f>
        <v>4.3657457449898927E-2</v>
      </c>
      <c r="AO158" s="93">
        <f>IF($BC158=1,AL158/SUMIFS(AL$3:AL$623,$BC$3:$BC$623,1,$G$3:$G$623,$G158),0)</f>
        <v>9.5147499348732539E-2</v>
      </c>
      <c r="AP158" s="2">
        <f>IFERROR(R158/$V158*90,"")</f>
        <v>5.9880239520958084E-2</v>
      </c>
      <c r="AQ158" s="2">
        <f>IFERROR(S158/$V158*90,"")</f>
        <v>0</v>
      </c>
      <c r="AR158" s="2">
        <f>IFERROR(W158/$V158*90,"")</f>
        <v>0.29940119760479039</v>
      </c>
      <c r="AS158" s="2">
        <f>IFERROR(X158/$V158*90,"")</f>
        <v>5.9880239520958084E-2</v>
      </c>
      <c r="AT158" s="2">
        <f>IFERROR(Y158/$V158*90,"")</f>
        <v>0</v>
      </c>
      <c r="AU158" s="2">
        <f>IF(AP158="",INDEX(BV$4:BV$7,MATCH(O158,$BU$4:$BU$7,0)),AP158)</f>
        <v>5.9880239520958084E-2</v>
      </c>
      <c r="AV158" s="2">
        <f>IF(AQ158="",INDEX(BW$4:BW$7,MATCH($O158,$BU$4:$BU$7,0)),AQ158)</f>
        <v>0</v>
      </c>
      <c r="AW158" s="2">
        <f t="shared" si="24"/>
        <v>0.29940119760479039</v>
      </c>
      <c r="AX158" s="2">
        <f t="shared" si="25"/>
        <v>5.9880239520958084E-2</v>
      </c>
      <c r="AY158" s="2">
        <f t="shared" si="26"/>
        <v>0</v>
      </c>
      <c r="AZ158" s="2">
        <f>AU158*0.5+AK158*0.5</f>
        <v>8.1725834046193324E-2</v>
      </c>
      <c r="BA158" s="2">
        <f>AV158*0.5+AJ158*0.5</f>
        <v>4.4587912087912102E-2</v>
      </c>
      <c r="BB158" s="2">
        <f t="shared" si="27"/>
        <v>2.9940119760479042E-2</v>
      </c>
      <c r="BC158">
        <f>IF(I158="expected",1,0)</f>
        <v>1</v>
      </c>
      <c r="BD158" s="78">
        <f>IF(BC158=1,AZ158/SUMIFS(AZ$3:AZ$623,$BC$3:$BC$623,1,$G$3:$G$623,$G158),0)</f>
        <v>3.3269450511613535E-2</v>
      </c>
      <c r="BE158" s="78">
        <f>IF(BC158=1,BA158/SUMIFS(BA$3:BA$623,$BC$3:$BC$623,1,$G$3:$G$623,$G158),0)</f>
        <v>2.3215658875155944E-2</v>
      </c>
      <c r="BF158" s="78">
        <f t="shared" si="28"/>
        <v>4.1692654972576439E-2</v>
      </c>
      <c r="BG158" s="2">
        <f t="shared" si="29"/>
        <v>2.9940119760479042E-2</v>
      </c>
      <c r="BH158" s="2">
        <f t="shared" si="30"/>
        <v>0</v>
      </c>
      <c r="BI158" s="2">
        <f t="shared" si="31"/>
        <v>3.3269450511613535E-2</v>
      </c>
      <c r="BJ158" s="2">
        <f t="shared" si="32"/>
        <v>2.3215658875155944E-2</v>
      </c>
      <c r="BK158" s="2">
        <f t="shared" si="33"/>
        <v>4.1692654972576439E-2</v>
      </c>
      <c r="BL158" s="2">
        <f t="shared" si="34"/>
        <v>2.9940119760479042E-2</v>
      </c>
      <c r="BM158" s="2">
        <f t="shared" si="35"/>
        <v>0</v>
      </c>
      <c r="BN158" s="2">
        <f>BI158/SUMIFS(BI$3:BI$623,$BC$3:$BC$623,1,$G$3:$G$623,$G158)</f>
        <v>3.3269450511613535E-2</v>
      </c>
      <c r="BO158" s="2">
        <f>BJ158/SUMIFS(BJ$3:BJ$623,$BC$3:$BC$623,1,$G$3:$G$623,$G158)</f>
        <v>2.3215658875155944E-2</v>
      </c>
      <c r="BP158" s="2">
        <f>BK158/SUMIFS(BK$3:BK$623,$BC$3:$BC$623,1,$G$3:$G$623,$G158)</f>
        <v>4.1692654972576439E-2</v>
      </c>
      <c r="BQ158" s="2">
        <f>BL158</f>
        <v>2.9940119760479042E-2</v>
      </c>
      <c r="BR158" s="2">
        <f>BM158</f>
        <v>0</v>
      </c>
    </row>
    <row r="159" spans="1:70" hidden="1">
      <c r="A159" s="74">
        <v>0</v>
      </c>
      <c r="B159" s="73">
        <v>221522</v>
      </c>
      <c r="C159" s="73" t="s">
        <v>1612</v>
      </c>
      <c r="D159" s="73" t="s">
        <v>1613</v>
      </c>
      <c r="E159" s="73" t="s">
        <v>1614</v>
      </c>
      <c r="F159" s="73">
        <v>18660</v>
      </c>
      <c r="G159" s="73" t="s">
        <v>892</v>
      </c>
      <c r="H159" s="73" t="s">
        <v>915</v>
      </c>
      <c r="I159" s="73" t="s">
        <v>1012</v>
      </c>
      <c r="J159" s="73">
        <v>0</v>
      </c>
      <c r="K159" s="73">
        <v>6</v>
      </c>
      <c r="L159" s="73">
        <v>0</v>
      </c>
      <c r="M159" s="73">
        <v>0</v>
      </c>
      <c r="N159" s="73">
        <v>0</v>
      </c>
      <c r="O159" s="73" t="s">
        <v>994</v>
      </c>
      <c r="P159" s="73" t="s">
        <v>1615</v>
      </c>
      <c r="Q159" s="73" t="s">
        <v>1616</v>
      </c>
      <c r="R159" s="73">
        <v>6</v>
      </c>
      <c r="S159" s="73">
        <v>11</v>
      </c>
      <c r="T159" s="73">
        <v>0</v>
      </c>
      <c r="U159" s="73">
        <v>3</v>
      </c>
      <c r="V159" s="73">
        <v>1824</v>
      </c>
      <c r="W159" s="73">
        <v>11</v>
      </c>
      <c r="X159" s="73">
        <v>1</v>
      </c>
      <c r="Y159" s="73">
        <v>0</v>
      </c>
      <c r="Z159" s="73" t="s">
        <v>1046</v>
      </c>
      <c r="AA159" s="73" t="s">
        <v>691</v>
      </c>
      <c r="AB159" s="73" t="str">
        <f>IF(AA159&lt;&gt;"",INDEX(Lookup!$N$2:$N$5,MATCH(Players!AA159,Lookup!$P$2:$P$5,0)),INDEX(Lookup!$N$2:$N$5,MATCH(Players!O159,Lookup!$O$2:$O$5,0)))</f>
        <v>Midfield</v>
      </c>
      <c r="AC159" s="73">
        <v>3000000</v>
      </c>
      <c r="AD159" s="73" t="s">
        <v>789</v>
      </c>
      <c r="AE159" s="73" t="str">
        <f>INDEX('Translate table'!$H$2:$H$622,MATCH(Players!P159,'Translate table'!$G$2:$G$622,0))</f>
        <v>Jordan Jones</v>
      </c>
      <c r="AF159" s="73">
        <f>IFERROR(INDEX('Euro Qual stats'!$A$1:$L$2071,MATCH(Players!$AE159,'Euro Qual stats'!$A$1:$A$2071,0),MATCH(Players!AF$2,'Euro Qual stats'!$A$1:$L$1,0)),0)</f>
        <v>5</v>
      </c>
      <c r="AG159" s="73">
        <f>IFERROR(INDEX('Euro Qual stats'!$A$1:$L$2071,MATCH(Players!$AE159,'Euro Qual stats'!$A$1:$A$2071,0),MATCH(Players!AG$2,'Euro Qual stats'!$A$1:$L$1,0)),0)</f>
        <v>0.28000000000000003</v>
      </c>
      <c r="AH159" s="73">
        <f>IFERROR(INDEX('Euro Qual stats'!$A$1:$L$2071,MATCH(Players!$AE159,'Euro Qual stats'!$A$1:$A$2071,0),MATCH(Players!AH$2,'Euro Qual stats'!$A$1:$L$1,0)),0)</f>
        <v>0</v>
      </c>
      <c r="AI159" s="73">
        <f>IFERROR(INDEX('Euro Qual stats'!$A$1:$L$2071,MATCH(Players!$AE159,'Euro Qual stats'!$A$1:$A$2071,0),MATCH(Players!AI$2,'Euro Qual stats'!$A$1:$L$1,0)),0)</f>
        <v>0</v>
      </c>
      <c r="AJ159" s="93">
        <f>(12-AF159)/12*INDEX(BV$9:BV$12,MATCH($AB159,$BU$9:$BU$12,0))+AF159/12*AG159</f>
        <v>0.21506980802792325</v>
      </c>
      <c r="AK159" s="93">
        <f>(12-AG159)/12*INDEX(BW$9:BW$12,MATCH($AB159,$BU$9:$BU$12,0))+AG159/12*AH159</f>
        <v>0.21819040139616055</v>
      </c>
      <c r="AL159" s="93">
        <f>(12-AH159)/12*INDEX(BX$9:BX$12,MATCH($AB159,$BU$9:$BU$12,0))+AH159/12*AI159</f>
        <v>0.23942408376963353</v>
      </c>
      <c r="AM159" s="93">
        <f>IF($BC159=1,AJ159/SUMIFS(AJ$3:AJ$623,$BC$3:$BC$623,1,$G$3:$G$623,$G159),0)</f>
        <v>0</v>
      </c>
      <c r="AN159" s="93">
        <f>IF($BC159=1,AK159/SUMIFS(AK$3:AK$623,$BC$3:$BC$623,1,$G$3:$G$623,$G159),0)</f>
        <v>0</v>
      </c>
      <c r="AO159" s="93">
        <f>IF($BC159=1,AL159/SUMIFS(AL$3:AL$623,$BC$3:$BC$623,1,$G$3:$G$623,$G159),0)</f>
        <v>0</v>
      </c>
      <c r="AP159" s="2">
        <f>IFERROR(R159/$V159*90,"")</f>
        <v>0.29605263157894735</v>
      </c>
      <c r="AQ159" s="2">
        <f>IFERROR(S159/$V159*90,"")</f>
        <v>0.54276315789473684</v>
      </c>
      <c r="AR159" s="2">
        <f>IFERROR(W159/$V159*90,"")</f>
        <v>0.54276315789473684</v>
      </c>
      <c r="AS159" s="2">
        <f>IFERROR(X159/$V159*90,"")</f>
        <v>4.9342105263157895E-2</v>
      </c>
      <c r="AT159" s="2">
        <f>IFERROR(Y159/$V159*90,"")</f>
        <v>0</v>
      </c>
      <c r="AU159" s="2">
        <f>IF(AP159="",INDEX(BV$4:BV$7,MATCH(O159,$BU$4:$BU$7,0)),AP159)</f>
        <v>0.29605263157894735</v>
      </c>
      <c r="AV159" s="2">
        <f>IF(AQ159="",INDEX(BW$4:BW$7,MATCH($O159,$BU$4:$BU$7,0)),AQ159)</f>
        <v>0.54276315789473684</v>
      </c>
      <c r="AW159" s="2">
        <f t="shared" si="24"/>
        <v>0.54276315789473684</v>
      </c>
      <c r="AX159" s="2">
        <f t="shared" si="25"/>
        <v>4.9342105263157895E-2</v>
      </c>
      <c r="AY159" s="2">
        <f t="shared" si="26"/>
        <v>0</v>
      </c>
      <c r="AZ159" s="2">
        <f>AU159*0.5+AK159*0.5</f>
        <v>0.25712151648755394</v>
      </c>
      <c r="BA159" s="2">
        <f>AV159*0.5+AJ159*0.5</f>
        <v>0.37891648296133007</v>
      </c>
      <c r="BB159" s="2">
        <f t="shared" si="27"/>
        <v>2.4671052631578948E-2</v>
      </c>
      <c r="BC159">
        <f>IF(I159="expected",1,0)</f>
        <v>0</v>
      </c>
      <c r="BD159" s="78">
        <f>IF(BC159=1,AZ159/SUMIFS(AZ$3:AZ$623,$BC$3:$BC$623,1,$G$3:$G$623,$G159),0)</f>
        <v>0</v>
      </c>
      <c r="BE159" s="78">
        <f>IF(BC159=1,BA159/SUMIFS(BA$3:BA$623,$BC$3:$BC$623,1,$G$3:$G$623,$G159),0)</f>
        <v>0</v>
      </c>
      <c r="BF159" s="78">
        <f t="shared" si="28"/>
        <v>0</v>
      </c>
      <c r="BG159" s="2">
        <f t="shared" si="29"/>
        <v>2.4671052631578948E-2</v>
      </c>
      <c r="BH159" s="2">
        <f t="shared" si="30"/>
        <v>0</v>
      </c>
      <c r="BI159" s="2">
        <f t="shared" si="31"/>
        <v>0</v>
      </c>
      <c r="BJ159" s="2">
        <f t="shared" si="32"/>
        <v>0</v>
      </c>
      <c r="BK159" s="2">
        <f t="shared" si="33"/>
        <v>0</v>
      </c>
      <c r="BL159" s="2">
        <f t="shared" si="34"/>
        <v>2.4671052631578948E-2</v>
      </c>
      <c r="BM159" s="2">
        <f t="shared" si="35"/>
        <v>0</v>
      </c>
      <c r="BN159" s="2">
        <f>BI159/SUMIFS(BI$3:BI$623,$BC$3:$BC$623,1,$G$3:$G$623,$G159)</f>
        <v>0</v>
      </c>
      <c r="BO159" s="2">
        <f>BJ159/SUMIFS(BJ$3:BJ$623,$BC$3:$BC$623,1,$G$3:$G$623,$G159)</f>
        <v>0</v>
      </c>
      <c r="BP159" s="2">
        <f>BK159/SUMIFS(BK$3:BK$623,$BC$3:$BC$623,1,$G$3:$G$623,$G159)</f>
        <v>0</v>
      </c>
      <c r="BQ159" s="2">
        <f>BL159</f>
        <v>2.4671052631578948E-2</v>
      </c>
      <c r="BR159" s="2">
        <f>BM159</f>
        <v>0</v>
      </c>
    </row>
    <row r="160" spans="1:70" hidden="1">
      <c r="A160" s="74">
        <v>0</v>
      </c>
      <c r="B160" s="73">
        <v>213481</v>
      </c>
      <c r="C160" s="73" t="s">
        <v>1617</v>
      </c>
      <c r="D160" s="73" t="s">
        <v>1618</v>
      </c>
      <c r="E160" s="73" t="s">
        <v>1619</v>
      </c>
      <c r="F160" s="73">
        <v>18660</v>
      </c>
      <c r="G160" s="73" t="s">
        <v>892</v>
      </c>
      <c r="H160" s="73" t="s">
        <v>915</v>
      </c>
      <c r="I160" s="73" t="s">
        <v>1012</v>
      </c>
      <c r="J160" s="73">
        <v>0</v>
      </c>
      <c r="K160" s="73">
        <v>6</v>
      </c>
      <c r="L160" s="73">
        <v>0</v>
      </c>
      <c r="M160" s="73">
        <v>0</v>
      </c>
      <c r="N160" s="73">
        <v>0</v>
      </c>
      <c r="O160" s="73" t="s">
        <v>994</v>
      </c>
      <c r="P160" s="73" t="s">
        <v>1620</v>
      </c>
      <c r="Q160" s="73" t="s">
        <v>1620</v>
      </c>
      <c r="R160" s="73">
        <v>6</v>
      </c>
      <c r="S160" s="73">
        <v>1</v>
      </c>
      <c r="T160" s="73">
        <v>0</v>
      </c>
      <c r="U160" s="73">
        <v>0</v>
      </c>
      <c r="V160" s="73">
        <v>871</v>
      </c>
      <c r="W160" s="73">
        <v>11</v>
      </c>
      <c r="X160" s="73">
        <v>0</v>
      </c>
      <c r="Y160" s="73">
        <v>0</v>
      </c>
      <c r="Z160" s="73" t="s">
        <v>1046</v>
      </c>
      <c r="AA160" s="73" t="s">
        <v>691</v>
      </c>
      <c r="AB160" s="73" t="str">
        <f>IF(AA160&lt;&gt;"",INDEX(Lookup!$N$2:$N$5,MATCH(Players!AA160,Lookup!$P$2:$P$5,0)),INDEX(Lookup!$N$2:$N$5,MATCH(Players!O160,Lookup!$O$2:$O$5,0)))</f>
        <v>Midfield</v>
      </c>
      <c r="AC160" s="73">
        <v>3500000</v>
      </c>
      <c r="AD160" s="73" t="s">
        <v>801</v>
      </c>
      <c r="AE160" s="73" t="str">
        <f>INDEX('Translate table'!$H$2:$H$622,MATCH(Players!P160,'Translate table'!$G$2:$G$622,0))</f>
        <v>Jamal Lewis</v>
      </c>
      <c r="AF160" s="73">
        <f>IFERROR(INDEX('Euro Qual stats'!$A$1:$L$2071,MATCH(Players!$AE160,'Euro Qual stats'!$A$1:$A$2071,0),MATCH(Players!AF$2,'Euro Qual stats'!$A$1:$L$1,0)),0)</f>
        <v>8</v>
      </c>
      <c r="AG160" s="73">
        <f>IFERROR(INDEX('Euro Qual stats'!$A$1:$L$2071,MATCH(Players!$AE160,'Euro Qual stats'!$A$1:$A$2071,0),MATCH(Players!AG$2,'Euro Qual stats'!$A$1:$L$1,0)),0)</f>
        <v>0.13</v>
      </c>
      <c r="AH160" s="73">
        <f>IFERROR(INDEX('Euro Qual stats'!$A$1:$L$2071,MATCH(Players!$AE160,'Euro Qual stats'!$A$1:$A$2071,0),MATCH(Players!AH$2,'Euro Qual stats'!$A$1:$L$1,0)),0)</f>
        <v>0</v>
      </c>
      <c r="AI160" s="73">
        <f>IFERROR(INDEX('Euro Qual stats'!$A$1:$L$2071,MATCH(Players!$AE160,'Euro Qual stats'!$A$1:$A$2071,0),MATCH(Players!AI$2,'Euro Qual stats'!$A$1:$L$1,0)),0)</f>
        <v>0.13</v>
      </c>
      <c r="AJ160" s="93">
        <f>(12-AF160)/12*INDEX(BV$9:BV$12,MATCH($AB160,$BU$9:$BU$12,0))+AF160/12*AG160</f>
        <v>0.14289703315881325</v>
      </c>
      <c r="AK160" s="93">
        <f>(12-AG160)/12*INDEX(BW$9:BW$12,MATCH($AB160,$BU$9:$BU$12,0))+AG160/12*AH160</f>
        <v>0.22098294066317625</v>
      </c>
      <c r="AL160" s="93">
        <f>(12-AH160)/12*INDEX(BX$9:BX$12,MATCH($AB160,$BU$9:$BU$12,0))+AH160/12*AI160</f>
        <v>0.23942408376963353</v>
      </c>
      <c r="AM160" s="93">
        <f>IF($BC160=1,AJ160/SUMIFS(AJ$3:AJ$623,$BC$3:$BC$623,1,$G$3:$G$623,$G160),0)</f>
        <v>0</v>
      </c>
      <c r="AN160" s="93">
        <f>IF($BC160=1,AK160/SUMIFS(AK$3:AK$623,$BC$3:$BC$623,1,$G$3:$G$623,$G160),0)</f>
        <v>0</v>
      </c>
      <c r="AO160" s="93">
        <f>IF($BC160=1,AL160/SUMIFS(AL$3:AL$623,$BC$3:$BC$623,1,$G$3:$G$623,$G160),0)</f>
        <v>0</v>
      </c>
      <c r="AP160" s="2">
        <f>IFERROR(R160/$V160*90,"")</f>
        <v>0.61997703788748559</v>
      </c>
      <c r="AQ160" s="2">
        <f>IFERROR(S160/$V160*90,"")</f>
        <v>0.10332950631458095</v>
      </c>
      <c r="AR160" s="2">
        <f>IFERROR(W160/$V160*90,"")</f>
        <v>1.1366245694603903</v>
      </c>
      <c r="AS160" s="2">
        <f>IFERROR(X160/$V160*90,"")</f>
        <v>0</v>
      </c>
      <c r="AT160" s="2">
        <f>IFERROR(Y160/$V160*90,"")</f>
        <v>0</v>
      </c>
      <c r="AU160" s="2">
        <f>IF(AP160="",INDEX(BV$4:BV$7,MATCH(O160,$BU$4:$BU$7,0)),AP160)</f>
        <v>0.61997703788748559</v>
      </c>
      <c r="AV160" s="2">
        <f>IF(AQ160="",INDEX(BW$4:BW$7,MATCH($O160,$BU$4:$BU$7,0)),AQ160)</f>
        <v>0.10332950631458095</v>
      </c>
      <c r="AW160" s="2">
        <f t="shared" si="24"/>
        <v>1.1366245694603903</v>
      </c>
      <c r="AX160" s="2">
        <f t="shared" si="25"/>
        <v>0</v>
      </c>
      <c r="AY160" s="2">
        <f t="shared" si="26"/>
        <v>0</v>
      </c>
      <c r="AZ160" s="2">
        <f>AU160*0.5+AK160*0.5</f>
        <v>0.42047998927533092</v>
      </c>
      <c r="BA160" s="2">
        <f>AV160*0.5+AJ160*0.5</f>
        <v>0.12311326973669709</v>
      </c>
      <c r="BB160" s="2">
        <f t="shared" si="27"/>
        <v>6.5000000000000002E-2</v>
      </c>
      <c r="BC160">
        <f>IF(I160="expected",1,0)</f>
        <v>0</v>
      </c>
      <c r="BD160" s="78">
        <f>IF(BC160=1,AZ160/SUMIFS(AZ$3:AZ$623,$BC$3:$BC$623,1,$G$3:$G$623,$G160),0)</f>
        <v>0</v>
      </c>
      <c r="BE160" s="78">
        <f>IF(BC160=1,BA160/SUMIFS(BA$3:BA$623,$BC$3:$BC$623,1,$G$3:$G$623,$G160),0)</f>
        <v>0</v>
      </c>
      <c r="BF160" s="78">
        <f t="shared" si="28"/>
        <v>0</v>
      </c>
      <c r="BG160" s="2">
        <f t="shared" si="29"/>
        <v>6.5000000000000002E-2</v>
      </c>
      <c r="BH160" s="2">
        <f t="shared" si="30"/>
        <v>0</v>
      </c>
      <c r="BI160" s="2">
        <f t="shared" si="31"/>
        <v>0</v>
      </c>
      <c r="BJ160" s="2">
        <f t="shared" si="32"/>
        <v>0</v>
      </c>
      <c r="BK160" s="2">
        <f t="shared" si="33"/>
        <v>0</v>
      </c>
      <c r="BL160" s="2">
        <f t="shared" si="34"/>
        <v>6.5000000000000002E-2</v>
      </c>
      <c r="BM160" s="2">
        <f t="shared" si="35"/>
        <v>0</v>
      </c>
      <c r="BN160" s="2">
        <f>BI160/SUMIFS(BI$3:BI$623,$BC$3:$BC$623,1,$G$3:$G$623,$G160)</f>
        <v>0</v>
      </c>
      <c r="BO160" s="2">
        <f>BJ160/SUMIFS(BJ$3:BJ$623,$BC$3:$BC$623,1,$G$3:$G$623,$G160)</f>
        <v>0</v>
      </c>
      <c r="BP160" s="2">
        <f>BK160/SUMIFS(BK$3:BK$623,$BC$3:$BC$623,1,$G$3:$G$623,$G160)</f>
        <v>0</v>
      </c>
      <c r="BQ160" s="2">
        <f>BL160</f>
        <v>6.5000000000000002E-2</v>
      </c>
      <c r="BR160" s="2">
        <f>BM160</f>
        <v>0</v>
      </c>
    </row>
    <row r="161" spans="1:70" hidden="1">
      <c r="A161" s="74">
        <v>0</v>
      </c>
      <c r="B161" s="73">
        <v>223172</v>
      </c>
      <c r="C161" s="73" t="s">
        <v>1621</v>
      </c>
      <c r="D161" s="73" t="s">
        <v>1622</v>
      </c>
      <c r="E161" s="73" t="s">
        <v>1623</v>
      </c>
      <c r="F161" s="73">
        <v>18645</v>
      </c>
      <c r="G161" s="73" t="s">
        <v>879</v>
      </c>
      <c r="H161" s="73" t="s">
        <v>933</v>
      </c>
      <c r="I161" s="73" t="s">
        <v>1012</v>
      </c>
      <c r="J161" s="73">
        <v>0</v>
      </c>
      <c r="K161" s="73">
        <v>6</v>
      </c>
      <c r="L161" s="73">
        <v>0</v>
      </c>
      <c r="M161" s="73">
        <v>0</v>
      </c>
      <c r="N161" s="73">
        <v>0</v>
      </c>
      <c r="O161" s="73" t="s">
        <v>1318</v>
      </c>
      <c r="P161" s="73" t="s">
        <v>8</v>
      </c>
      <c r="Q161" s="73" t="s">
        <v>8</v>
      </c>
      <c r="R161" s="73">
        <v>2</v>
      </c>
      <c r="S161" s="73">
        <v>2</v>
      </c>
      <c r="T161" s="73">
        <v>0</v>
      </c>
      <c r="U161" s="73">
        <v>14</v>
      </c>
      <c r="V161" s="73">
        <v>3195</v>
      </c>
      <c r="W161" s="73">
        <v>7</v>
      </c>
      <c r="X161" s="73">
        <v>4</v>
      </c>
      <c r="Y161" s="73">
        <v>1</v>
      </c>
      <c r="Z161" s="73" t="s">
        <v>879</v>
      </c>
      <c r="AA161" s="73" t="s">
        <v>692</v>
      </c>
      <c r="AB161" s="73" t="str">
        <f>IF(AA161&lt;&gt;"",INDEX(Lookup!$N$2:$N$5,MATCH(Players!AA161,Lookup!$P$2:$P$5,0)),INDEX(Lookup!$N$2:$N$5,MATCH(Players!O161,Lookup!$O$2:$O$5,0)))</f>
        <v>Defense</v>
      </c>
      <c r="AC161" s="73">
        <v>2500000</v>
      </c>
      <c r="AD161" s="73" t="s">
        <v>802</v>
      </c>
      <c r="AE161" s="73" t="str">
        <f>INDEX('Translate table'!$H$2:$H$622,MATCH(Players!P161,'Translate table'!$G$2:$G$622,0))</f>
        <v>Tyrone Mings</v>
      </c>
      <c r="AF161" s="73">
        <f>IFERROR(INDEX('Euro Qual stats'!$A$1:$L$2071,MATCH(Players!$AE161,'Euro Qual stats'!$A$1:$A$2071,0),MATCH(Players!AF$2,'Euro Qual stats'!$A$1:$L$1,0)),0)</f>
        <v>2</v>
      </c>
      <c r="AG161" s="73">
        <f>IFERROR(INDEX('Euro Qual stats'!$A$1:$L$2071,MATCH(Players!$AE161,'Euro Qual stats'!$A$1:$A$2071,0),MATCH(Players!AG$2,'Euro Qual stats'!$A$1:$L$1,0)),0)</f>
        <v>0</v>
      </c>
      <c r="AH161" s="73">
        <f>IFERROR(INDEX('Euro Qual stats'!$A$1:$L$2071,MATCH(Players!$AE161,'Euro Qual stats'!$A$1:$A$2071,0),MATCH(Players!AH$2,'Euro Qual stats'!$A$1:$L$1,0)),0)</f>
        <v>0</v>
      </c>
      <c r="AI161" s="73">
        <f>IFERROR(INDEX('Euro Qual stats'!$A$1:$L$2071,MATCH(Players!$AE161,'Euro Qual stats'!$A$1:$A$2071,0),MATCH(Players!AI$2,'Euro Qual stats'!$A$1:$L$1,0)),0)</f>
        <v>0</v>
      </c>
      <c r="AJ161" s="93">
        <f>(12-AF161)/12*INDEX(BV$9:BV$12,MATCH($AB161,$BU$9:$BU$12,0))+AF161/12*AG161</f>
        <v>7.4313186813186841E-2</v>
      </c>
      <c r="AK161" s="93">
        <f>(12-AG161)/12*INDEX(BW$9:BW$12,MATCH($AB161,$BU$9:$BU$12,0))+AG161/12*AH161</f>
        <v>0.10357142857142858</v>
      </c>
      <c r="AL161" s="93">
        <f>(12-AH161)/12*INDEX(BX$9:BX$12,MATCH($AB161,$BU$9:$BU$12,0))+AH161/12*AI161</f>
        <v>0.19357142857142848</v>
      </c>
      <c r="AM161" s="93">
        <f>IF($BC161=1,AJ161/SUMIFS(AJ$3:AJ$623,$BC$3:$BC$623,1,$G$3:$G$623,$G161),0)</f>
        <v>0</v>
      </c>
      <c r="AN161" s="93">
        <f>IF($BC161=1,AK161/SUMIFS(AK$3:AK$623,$BC$3:$BC$623,1,$G$3:$G$623,$G161),0)</f>
        <v>0</v>
      </c>
      <c r="AO161" s="93">
        <f>IF($BC161=1,AL161/SUMIFS(AL$3:AL$623,$BC$3:$BC$623,1,$G$3:$G$623,$G161),0)</f>
        <v>0</v>
      </c>
      <c r="AP161" s="2">
        <f>IFERROR(R161/$V161*90,"")</f>
        <v>5.6338028169014079E-2</v>
      </c>
      <c r="AQ161" s="2">
        <f>IFERROR(S161/$V161*90,"")</f>
        <v>5.6338028169014079E-2</v>
      </c>
      <c r="AR161" s="2">
        <f>IFERROR(W161/$V161*90,"")</f>
        <v>0.19718309859154928</v>
      </c>
      <c r="AS161" s="2">
        <f>IFERROR(X161/$V161*90,"")</f>
        <v>0.11267605633802816</v>
      </c>
      <c r="AT161" s="2">
        <f>IFERROR(Y161/$V161*90,"")</f>
        <v>2.8169014084507039E-2</v>
      </c>
      <c r="AU161" s="2">
        <f>IF(AP161="",INDEX(BV$4:BV$7,MATCH(O161,$BU$4:$BU$7,0)),AP161)</f>
        <v>5.6338028169014079E-2</v>
      </c>
      <c r="AV161" s="2">
        <f>IF(AQ161="",INDEX(BW$4:BW$7,MATCH($O161,$BU$4:$BU$7,0)),AQ161)</f>
        <v>5.6338028169014079E-2</v>
      </c>
      <c r="AW161" s="2">
        <f t="shared" si="24"/>
        <v>0.19718309859154928</v>
      </c>
      <c r="AX161" s="2">
        <f t="shared" si="25"/>
        <v>0.11267605633802816</v>
      </c>
      <c r="AY161" s="2">
        <f t="shared" si="26"/>
        <v>2.8169014084507039E-2</v>
      </c>
      <c r="AZ161" s="2">
        <f>AU161*0.5+AK161*0.5</f>
        <v>7.9954728370221329E-2</v>
      </c>
      <c r="BA161" s="2">
        <f>AV161*0.5+AJ161*0.5</f>
        <v>6.532560749110046E-2</v>
      </c>
      <c r="BB161" s="2">
        <f t="shared" si="27"/>
        <v>5.6338028169014079E-2</v>
      </c>
      <c r="BC161">
        <f>IF(I161="expected",1,0)</f>
        <v>0</v>
      </c>
      <c r="BD161" s="78">
        <f>IF(BC161=1,AZ161/SUMIFS(AZ$3:AZ$623,$BC$3:$BC$623,1,$G$3:$G$623,$G161),0)</f>
        <v>0</v>
      </c>
      <c r="BE161" s="78">
        <f>IF(BC161=1,BA161/SUMIFS(BA$3:BA$623,$BC$3:$BC$623,1,$G$3:$G$623,$G161),0)</f>
        <v>0</v>
      </c>
      <c r="BF161" s="78">
        <f t="shared" si="28"/>
        <v>0</v>
      </c>
      <c r="BG161" s="2">
        <f t="shared" si="29"/>
        <v>5.6338028169014079E-2</v>
      </c>
      <c r="BH161" s="2">
        <f t="shared" si="30"/>
        <v>2.8169014084507039E-2</v>
      </c>
      <c r="BI161" s="2">
        <f t="shared" si="31"/>
        <v>0</v>
      </c>
      <c r="BJ161" s="2">
        <f t="shared" si="32"/>
        <v>0</v>
      </c>
      <c r="BK161" s="2">
        <f t="shared" si="33"/>
        <v>0</v>
      </c>
      <c r="BL161" s="2">
        <f t="shared" si="34"/>
        <v>5.6338028169014079E-2</v>
      </c>
      <c r="BM161" s="2">
        <f t="shared" si="35"/>
        <v>2.8169014084507039E-2</v>
      </c>
      <c r="BN161" s="2">
        <f>BI161/SUMIFS(BI$3:BI$623,$BC$3:$BC$623,1,$G$3:$G$623,$G161)</f>
        <v>0</v>
      </c>
      <c r="BO161" s="2">
        <f>BJ161/SUMIFS(BJ$3:BJ$623,$BC$3:$BC$623,1,$G$3:$G$623,$G161)</f>
        <v>0</v>
      </c>
      <c r="BP161" s="2">
        <f>BK161/SUMIFS(BK$3:BK$623,$BC$3:$BC$623,1,$G$3:$G$623,$G161)</f>
        <v>0</v>
      </c>
      <c r="BQ161" s="2">
        <f>BL161</f>
        <v>5.6338028169014079E-2</v>
      </c>
      <c r="BR161" s="2">
        <f>BM161</f>
        <v>2.8169014084507039E-2</v>
      </c>
    </row>
    <row r="162" spans="1:70" hidden="1">
      <c r="A162" s="74">
        <v>0</v>
      </c>
      <c r="B162" s="73">
        <v>223170</v>
      </c>
      <c r="C162" s="73" t="s">
        <v>1624</v>
      </c>
      <c r="D162" s="73" t="s">
        <v>1625</v>
      </c>
      <c r="E162" s="73" t="s">
        <v>1626</v>
      </c>
      <c r="F162" s="73">
        <v>18645</v>
      </c>
      <c r="G162" s="73" t="s">
        <v>879</v>
      </c>
      <c r="H162" s="73" t="s">
        <v>933</v>
      </c>
      <c r="I162" s="73" t="s">
        <v>1012</v>
      </c>
      <c r="J162" s="73">
        <v>0</v>
      </c>
      <c r="K162" s="73">
        <v>6</v>
      </c>
      <c r="L162" s="73">
        <v>0</v>
      </c>
      <c r="M162" s="73">
        <v>0</v>
      </c>
      <c r="N162" s="73">
        <v>0</v>
      </c>
      <c r="O162" s="73" t="s">
        <v>1318</v>
      </c>
      <c r="P162" s="73" t="s">
        <v>1627</v>
      </c>
      <c r="Q162" s="73" t="s">
        <v>308</v>
      </c>
      <c r="R162" s="73">
        <v>1</v>
      </c>
      <c r="S162" s="73">
        <v>0</v>
      </c>
      <c r="T162" s="73">
        <v>0</v>
      </c>
      <c r="U162" s="73">
        <v>10</v>
      </c>
      <c r="V162" s="73">
        <v>3304</v>
      </c>
      <c r="W162" s="73">
        <v>2</v>
      </c>
      <c r="X162" s="73">
        <v>5</v>
      </c>
      <c r="Y162" s="73">
        <v>0</v>
      </c>
      <c r="Z162" s="73" t="s">
        <v>879</v>
      </c>
      <c r="AA162" s="73" t="s">
        <v>692</v>
      </c>
      <c r="AB162" s="73" t="str">
        <f>IF(AA162&lt;&gt;"",INDEX(Lookup!$N$2:$N$5,MATCH(Players!AA162,Lookup!$P$2:$P$5,0)),INDEX(Lookup!$N$2:$N$5,MATCH(Players!O162,Lookup!$O$2:$O$5,0)))</f>
        <v>Defense</v>
      </c>
      <c r="AC162" s="73">
        <v>3000000</v>
      </c>
      <c r="AD162" s="73" t="s">
        <v>801</v>
      </c>
      <c r="AE162" s="73" t="str">
        <f>INDEX('Translate table'!$H$2:$H$622,MATCH(Players!P162,'Translate table'!$G$2:$G$622,0))</f>
        <v>Connor Roberts</v>
      </c>
      <c r="AF162" s="73">
        <f>IFERROR(INDEX('Euro Qual stats'!$A$1:$L$2071,MATCH(Players!$AE162,'Euro Qual stats'!$A$1:$A$2071,0),MATCH(Players!AF$2,'Euro Qual stats'!$A$1:$L$1,0)),0)</f>
        <v>7</v>
      </c>
      <c r="AG162" s="73">
        <f>IFERROR(INDEX('Euro Qual stats'!$A$1:$L$2071,MATCH(Players!$AE162,'Euro Qual stats'!$A$1:$A$2071,0),MATCH(Players!AG$2,'Euro Qual stats'!$A$1:$L$1,0)),0)</f>
        <v>0.14000000000000001</v>
      </c>
      <c r="AH162" s="73">
        <f>IFERROR(INDEX('Euro Qual stats'!$A$1:$L$2071,MATCH(Players!$AE162,'Euro Qual stats'!$A$1:$A$2071,0),MATCH(Players!AH$2,'Euro Qual stats'!$A$1:$L$1,0)),0)</f>
        <v>0</v>
      </c>
      <c r="AI162" s="73">
        <f>IFERROR(INDEX('Euro Qual stats'!$A$1:$L$2071,MATCH(Players!$AE162,'Euro Qual stats'!$A$1:$A$2071,0),MATCH(Players!AI$2,'Euro Qual stats'!$A$1:$L$1,0)),0)</f>
        <v>0</v>
      </c>
      <c r="AJ162" s="93">
        <f>(12-AF162)/12*INDEX(BV$9:BV$12,MATCH($AB162,$BU$9:$BU$12,0))+AF162/12*AG162</f>
        <v>0.11882326007326011</v>
      </c>
      <c r="AK162" s="93">
        <f>(12-AG162)/12*INDEX(BW$9:BW$12,MATCH($AB162,$BU$9:$BU$12,0))+AG162/12*AH162</f>
        <v>0.10236309523809524</v>
      </c>
      <c r="AL162" s="93">
        <f>(12-AH162)/12*INDEX(BX$9:BX$12,MATCH($AB162,$BU$9:$BU$12,0))+AH162/12*AI162</f>
        <v>0.19357142857142848</v>
      </c>
      <c r="AM162" s="93">
        <f>IF($BC162=1,AJ162/SUMIFS(AJ$3:AJ$623,$BC$3:$BC$623,1,$G$3:$G$623,$G162),0)</f>
        <v>0</v>
      </c>
      <c r="AN162" s="93">
        <f>IF($BC162=1,AK162/SUMIFS(AK$3:AK$623,$BC$3:$BC$623,1,$G$3:$G$623,$G162),0)</f>
        <v>0</v>
      </c>
      <c r="AO162" s="93">
        <f>IF($BC162=1,AL162/SUMIFS(AL$3:AL$623,$BC$3:$BC$623,1,$G$3:$G$623,$G162),0)</f>
        <v>0</v>
      </c>
      <c r="AP162" s="2">
        <f>IFERROR(R162/$V162*90,"")</f>
        <v>2.7239709443099273E-2</v>
      </c>
      <c r="AQ162" s="2">
        <f>IFERROR(S162/$V162*90,"")</f>
        <v>0</v>
      </c>
      <c r="AR162" s="2">
        <f>IFERROR(W162/$V162*90,"")</f>
        <v>5.4479418886198547E-2</v>
      </c>
      <c r="AS162" s="2">
        <f>IFERROR(X162/$V162*90,"")</f>
        <v>0.13619854721549637</v>
      </c>
      <c r="AT162" s="2">
        <f>IFERROR(Y162/$V162*90,"")</f>
        <v>0</v>
      </c>
      <c r="AU162" s="2">
        <f>IF(AP162="",INDEX(BV$4:BV$7,MATCH(O162,$BU$4:$BU$7,0)),AP162)</f>
        <v>2.7239709443099273E-2</v>
      </c>
      <c r="AV162" s="2">
        <f>IF(AQ162="",INDEX(BW$4:BW$7,MATCH($O162,$BU$4:$BU$7,0)),AQ162)</f>
        <v>0</v>
      </c>
      <c r="AW162" s="2">
        <f t="shared" si="24"/>
        <v>5.4479418886198547E-2</v>
      </c>
      <c r="AX162" s="2">
        <f t="shared" si="25"/>
        <v>0.13619854721549637</v>
      </c>
      <c r="AY162" s="2">
        <f t="shared" si="26"/>
        <v>0</v>
      </c>
      <c r="AZ162" s="2">
        <f>AU162*0.5+AK162*0.5</f>
        <v>6.4801402340597253E-2</v>
      </c>
      <c r="BA162" s="2">
        <f>AV162*0.5+AJ162*0.5</f>
        <v>5.9411630036630053E-2</v>
      </c>
      <c r="BB162" s="2">
        <f t="shared" si="27"/>
        <v>6.8099273607748187E-2</v>
      </c>
      <c r="BC162">
        <f>IF(I162="expected",1,0)</f>
        <v>0</v>
      </c>
      <c r="BD162" s="78">
        <f>IF(BC162=1,AZ162/SUMIFS(AZ$3:AZ$623,$BC$3:$BC$623,1,$G$3:$G$623,$G162),0)</f>
        <v>0</v>
      </c>
      <c r="BE162" s="78">
        <f>IF(BC162=1,BA162/SUMIFS(BA$3:BA$623,$BC$3:$BC$623,1,$G$3:$G$623,$G162),0)</f>
        <v>0</v>
      </c>
      <c r="BF162" s="78">
        <f t="shared" si="28"/>
        <v>0</v>
      </c>
      <c r="BG162" s="2">
        <f t="shared" si="29"/>
        <v>6.8099273607748187E-2</v>
      </c>
      <c r="BH162" s="2">
        <f t="shared" si="30"/>
        <v>0</v>
      </c>
      <c r="BI162" s="2">
        <f t="shared" si="31"/>
        <v>0</v>
      </c>
      <c r="BJ162" s="2">
        <f t="shared" si="32"/>
        <v>0</v>
      </c>
      <c r="BK162" s="2">
        <f t="shared" si="33"/>
        <v>0</v>
      </c>
      <c r="BL162" s="2">
        <f t="shared" si="34"/>
        <v>6.8099273607748187E-2</v>
      </c>
      <c r="BM162" s="2">
        <f t="shared" si="35"/>
        <v>0</v>
      </c>
      <c r="BN162" s="2">
        <f>BI162/SUMIFS(BI$3:BI$623,$BC$3:$BC$623,1,$G$3:$G$623,$G162)</f>
        <v>0</v>
      </c>
      <c r="BO162" s="2">
        <f>BJ162/SUMIFS(BJ$3:BJ$623,$BC$3:$BC$623,1,$G$3:$G$623,$G162)</f>
        <v>0</v>
      </c>
      <c r="BP162" s="2">
        <f>BK162/SUMIFS(BK$3:BK$623,$BC$3:$BC$623,1,$G$3:$G$623,$G162)</f>
        <v>0</v>
      </c>
      <c r="BQ162" s="2">
        <f>BL162</f>
        <v>6.8099273607748187E-2</v>
      </c>
      <c r="BR162" s="2">
        <f>BM162</f>
        <v>0</v>
      </c>
    </row>
    <row r="163" spans="1:70" hidden="1">
      <c r="A163" s="74">
        <v>0</v>
      </c>
      <c r="B163" s="73">
        <v>213441</v>
      </c>
      <c r="C163" s="73" t="s">
        <v>1628</v>
      </c>
      <c r="D163" s="73" t="s">
        <v>1629</v>
      </c>
      <c r="E163" s="73" t="s">
        <v>1630</v>
      </c>
      <c r="F163" s="73">
        <v>18645</v>
      </c>
      <c r="G163" s="73" t="s">
        <v>879</v>
      </c>
      <c r="H163" s="73" t="s">
        <v>933</v>
      </c>
      <c r="I163" s="73" t="s">
        <v>981</v>
      </c>
      <c r="J163" s="73">
        <v>0</v>
      </c>
      <c r="K163" s="73">
        <v>6</v>
      </c>
      <c r="L163" s="73">
        <v>0</v>
      </c>
      <c r="M163" s="73">
        <v>0</v>
      </c>
      <c r="N163" s="73">
        <v>0</v>
      </c>
      <c r="O163" s="73" t="s">
        <v>1318</v>
      </c>
      <c r="P163" s="73" t="s">
        <v>217</v>
      </c>
      <c r="Q163" s="73" t="s">
        <v>217</v>
      </c>
      <c r="R163" s="73">
        <v>1</v>
      </c>
      <c r="S163" s="73">
        <v>2</v>
      </c>
      <c r="T163" s="73">
        <v>0</v>
      </c>
      <c r="U163" s="73">
        <v>9</v>
      </c>
      <c r="V163" s="73">
        <v>2367</v>
      </c>
      <c r="W163" s="73">
        <v>11</v>
      </c>
      <c r="X163" s="73">
        <v>3</v>
      </c>
      <c r="Y163" s="73">
        <v>0</v>
      </c>
      <c r="Z163" s="73" t="s">
        <v>879</v>
      </c>
      <c r="AA163" s="73" t="s">
        <v>692</v>
      </c>
      <c r="AB163" s="73" t="str">
        <f>IF(AA163&lt;&gt;"",INDEX(Lookup!$N$2:$N$5,MATCH(Players!AA163,Lookup!$P$2:$P$5,0)),INDEX(Lookup!$N$2:$N$5,MATCH(Players!O163,Lookup!$O$2:$O$5,0)))</f>
        <v>Defense</v>
      </c>
      <c r="AC163" s="73">
        <v>3500000</v>
      </c>
      <c r="AD163" s="73" t="s">
        <v>794</v>
      </c>
      <c r="AE163" s="73" t="str">
        <f>INDEX('Translate table'!$H$2:$H$622,MATCH(Players!P163,'Translate table'!$G$2:$G$622,0))</f>
        <v>Reece Styche</v>
      </c>
      <c r="AF163" s="73">
        <f>IFERROR(INDEX('Euro Qual stats'!$A$1:$L$2071,MATCH(Players!$AE163,'Euro Qual stats'!$A$1:$A$2071,0),MATCH(Players!AF$2,'Euro Qual stats'!$A$1:$L$1,0)),0)</f>
        <v>2</v>
      </c>
      <c r="AG163" s="73">
        <f>IFERROR(INDEX('Euro Qual stats'!$A$1:$L$2071,MATCH(Players!$AE163,'Euro Qual stats'!$A$1:$A$2071,0),MATCH(Players!AG$2,'Euro Qual stats'!$A$1:$L$1,0)),0)</f>
        <v>0</v>
      </c>
      <c r="AH163" s="73">
        <f>IFERROR(INDEX('Euro Qual stats'!$A$1:$L$2071,MATCH(Players!$AE163,'Euro Qual stats'!$A$1:$A$2071,0),MATCH(Players!AH$2,'Euro Qual stats'!$A$1:$L$1,0)),0)</f>
        <v>1.96</v>
      </c>
      <c r="AI163" s="73">
        <f>IFERROR(INDEX('Euro Qual stats'!$A$1:$L$2071,MATCH(Players!$AE163,'Euro Qual stats'!$A$1:$A$2071,0),MATCH(Players!AI$2,'Euro Qual stats'!$A$1:$L$1,0)),0)</f>
        <v>1.96</v>
      </c>
      <c r="AJ163" s="93">
        <f>(12-AF163)/12*INDEX(BV$9:BV$12,MATCH($AB163,$BU$9:$BU$12,0))+AF163/12*AG163</f>
        <v>7.4313186813186841E-2</v>
      </c>
      <c r="AK163" s="93">
        <f>(12-AG163)/12*INDEX(BW$9:BW$12,MATCH($AB163,$BU$9:$BU$12,0))+AG163/12*AH163</f>
        <v>0.10357142857142858</v>
      </c>
      <c r="AL163" s="93">
        <f>(12-AH163)/12*INDEX(BX$9:BX$12,MATCH($AB163,$BU$9:$BU$12,0))+AH163/12*AI163</f>
        <v>0.48208809523809515</v>
      </c>
      <c r="AM163" s="93">
        <f>IF($BC163=1,AJ163/SUMIFS(AJ$3:AJ$623,$BC$3:$BC$623,1,$G$3:$G$623,$G163),0)</f>
        <v>3.3851713828507497E-2</v>
      </c>
      <c r="AN163" s="93">
        <f>IF($BC163=1,AK163/SUMIFS(AK$3:AK$623,$BC$3:$BC$623,1,$G$3:$G$623,$G163),0)</f>
        <v>3.7020306505811285E-2</v>
      </c>
      <c r="AO163" s="93">
        <f>IF($BC163=1,AL163/SUMIFS(AL$3:AL$623,$BC$3:$BC$623,1,$G$3:$G$623,$G163),0)</f>
        <v>0.21481287859098203</v>
      </c>
      <c r="AP163" s="2">
        <f>IFERROR(R163/$V163*90,"")</f>
        <v>3.8022813688212927E-2</v>
      </c>
      <c r="AQ163" s="2">
        <f>IFERROR(S163/$V163*90,"")</f>
        <v>7.6045627376425853E-2</v>
      </c>
      <c r="AR163" s="2">
        <f>IFERROR(W163/$V163*90,"")</f>
        <v>0.41825095057034217</v>
      </c>
      <c r="AS163" s="2">
        <f>IFERROR(X163/$V163*90,"")</f>
        <v>0.11406844106463877</v>
      </c>
      <c r="AT163" s="2">
        <f>IFERROR(Y163/$V163*90,"")</f>
        <v>0</v>
      </c>
      <c r="AU163" s="2">
        <f>IF(AP163="",INDEX(BV$4:BV$7,MATCH(O163,$BU$4:$BU$7,0)),AP163)</f>
        <v>3.8022813688212927E-2</v>
      </c>
      <c r="AV163" s="2">
        <f>IF(AQ163="",INDEX(BW$4:BW$7,MATCH($O163,$BU$4:$BU$7,0)),AQ163)</f>
        <v>7.6045627376425853E-2</v>
      </c>
      <c r="AW163" s="2">
        <f t="shared" si="24"/>
        <v>0.41825095057034217</v>
      </c>
      <c r="AX163" s="2">
        <f t="shared" si="25"/>
        <v>0.11406844106463877</v>
      </c>
      <c r="AY163" s="2">
        <f t="shared" si="26"/>
        <v>0</v>
      </c>
      <c r="AZ163" s="2">
        <f>AU163*0.5+AK163*0.5</f>
        <v>7.0797121129820756E-2</v>
      </c>
      <c r="BA163" s="2">
        <f>AV163*0.5+AJ163*0.5</f>
        <v>7.5179407094806347E-2</v>
      </c>
      <c r="BB163" s="2">
        <f t="shared" si="27"/>
        <v>1.0370342205323193</v>
      </c>
      <c r="BC163">
        <f>IF(I163="expected",1,0)</f>
        <v>1</v>
      </c>
      <c r="BD163" s="78">
        <f>IF(BC163=1,AZ163/SUMIFS(AZ$3:AZ$623,$BC$3:$BC$623,1,$G$3:$G$623,$G163),0)</f>
        <v>2.8317632265141269E-2</v>
      </c>
      <c r="BE163" s="78">
        <f>IF(BC163=1,BA163/SUMIFS(BA$3:BA$623,$BC$3:$BC$623,1,$G$3:$G$623,$G163),0)</f>
        <v>4.0519679862796469E-2</v>
      </c>
      <c r="BF163" s="78">
        <f t="shared" si="28"/>
        <v>6.8411979053378785E-2</v>
      </c>
      <c r="BG163" s="2">
        <f t="shared" si="29"/>
        <v>1.0370342205323193</v>
      </c>
      <c r="BH163" s="2">
        <f t="shared" si="30"/>
        <v>0</v>
      </c>
      <c r="BI163" s="2">
        <f t="shared" si="31"/>
        <v>2.8317632265141269E-2</v>
      </c>
      <c r="BJ163" s="2">
        <f t="shared" si="32"/>
        <v>4.0519679862796469E-2</v>
      </c>
      <c r="BK163" s="2">
        <f t="shared" si="33"/>
        <v>6.8411979053378785E-2</v>
      </c>
      <c r="BL163" s="2">
        <f t="shared" si="34"/>
        <v>1.0370342205323193</v>
      </c>
      <c r="BM163" s="2">
        <f t="shared" si="35"/>
        <v>0</v>
      </c>
      <c r="BN163" s="2">
        <f>BI163/SUMIFS(BI$3:BI$623,$BC$3:$BC$623,1,$G$3:$G$623,$G163)</f>
        <v>2.8317632265141276E-2</v>
      </c>
      <c r="BO163" s="2">
        <f>BJ163/SUMIFS(BJ$3:BJ$623,$BC$3:$BC$623,1,$G$3:$G$623,$G163)</f>
        <v>4.0519679862796469E-2</v>
      </c>
      <c r="BP163" s="2">
        <f>BK163/SUMIFS(BK$3:BK$623,$BC$3:$BC$623,1,$G$3:$G$623,$G163)</f>
        <v>6.8411979053378771E-2</v>
      </c>
      <c r="BQ163" s="2">
        <f>BL163</f>
        <v>1.0370342205323193</v>
      </c>
      <c r="BR163" s="2">
        <f>BM163</f>
        <v>0</v>
      </c>
    </row>
    <row r="164" spans="1:70" hidden="1">
      <c r="A164" s="74">
        <v>0</v>
      </c>
      <c r="B164" s="73">
        <v>213440</v>
      </c>
      <c r="C164" s="73" t="s">
        <v>1631</v>
      </c>
      <c r="D164" s="73" t="s">
        <v>1632</v>
      </c>
      <c r="E164" s="73" t="s">
        <v>1633</v>
      </c>
      <c r="F164" s="73">
        <v>18645</v>
      </c>
      <c r="G164" s="73" t="s">
        <v>879</v>
      </c>
      <c r="H164" s="73" t="s">
        <v>933</v>
      </c>
      <c r="I164" s="73" t="s">
        <v>981</v>
      </c>
      <c r="J164" s="73">
        <v>0</v>
      </c>
      <c r="K164" s="73">
        <v>6</v>
      </c>
      <c r="L164" s="73">
        <v>0</v>
      </c>
      <c r="M164" s="73">
        <v>0</v>
      </c>
      <c r="N164" s="73">
        <v>0</v>
      </c>
      <c r="O164" s="73" t="s">
        <v>1318</v>
      </c>
      <c r="P164" s="73" t="s">
        <v>300</v>
      </c>
      <c r="Q164" s="73" t="s">
        <v>300</v>
      </c>
      <c r="R164" s="73">
        <v>4</v>
      </c>
      <c r="S164" s="73">
        <v>0</v>
      </c>
      <c r="T164" s="73">
        <v>0</v>
      </c>
      <c r="U164" s="73">
        <v>14</v>
      </c>
      <c r="V164" s="73">
        <v>1934</v>
      </c>
      <c r="W164" s="73">
        <v>5</v>
      </c>
      <c r="X164" s="73">
        <v>0</v>
      </c>
      <c r="Y164" s="73">
        <v>1</v>
      </c>
      <c r="Z164" s="73" t="s">
        <v>879</v>
      </c>
      <c r="AA164" s="73" t="s">
        <v>692</v>
      </c>
      <c r="AB164" s="73" t="str">
        <f>IF(AA164&lt;&gt;"",INDEX(Lookup!$N$2:$N$5,MATCH(Players!AA164,Lookup!$P$2:$P$5,0)),INDEX(Lookup!$N$2:$N$5,MATCH(Players!O164,Lookup!$O$2:$O$5,0)))</f>
        <v>Defense</v>
      </c>
      <c r="AC164" s="73">
        <v>4000000</v>
      </c>
      <c r="AD164" s="73" t="s">
        <v>1634</v>
      </c>
      <c r="AE164" s="73" t="str">
        <f>INDEX('Translate table'!$H$2:$H$622,MATCH(Players!P164,'Translate table'!$G$2:$G$622,0))</f>
        <v>John Stones</v>
      </c>
      <c r="AF164" s="73">
        <f>IFERROR(INDEX('Euro Qual stats'!$A$1:$L$2071,MATCH(Players!$AE164,'Euro Qual stats'!$A$1:$A$2071,0),MATCH(Players!AF$2,'Euro Qual stats'!$A$1:$L$1,0)),0)</f>
        <v>1</v>
      </c>
      <c r="AG164" s="73">
        <f>IFERROR(INDEX('Euro Qual stats'!$A$1:$L$2071,MATCH(Players!$AE164,'Euro Qual stats'!$A$1:$A$2071,0),MATCH(Players!AG$2,'Euro Qual stats'!$A$1:$L$1,0)),0)</f>
        <v>0</v>
      </c>
      <c r="AH164" s="73">
        <f>IFERROR(INDEX('Euro Qual stats'!$A$1:$L$2071,MATCH(Players!$AE164,'Euro Qual stats'!$A$1:$A$2071,0),MATCH(Players!AH$2,'Euro Qual stats'!$A$1:$L$1,0)),0)</f>
        <v>0</v>
      </c>
      <c r="AI164" s="73">
        <f>IFERROR(INDEX('Euro Qual stats'!$A$1:$L$2071,MATCH(Players!$AE164,'Euro Qual stats'!$A$1:$A$2071,0),MATCH(Players!AI$2,'Euro Qual stats'!$A$1:$L$1,0)),0)</f>
        <v>0</v>
      </c>
      <c r="AJ164" s="93">
        <f>(12-AF164)/12*INDEX(BV$9:BV$12,MATCH($AB164,$BU$9:$BU$12,0))+AF164/12*AG164</f>
        <v>8.1744505494505515E-2</v>
      </c>
      <c r="AK164" s="93">
        <f>(12-AG164)/12*INDEX(BW$9:BW$12,MATCH($AB164,$BU$9:$BU$12,0))+AG164/12*AH164</f>
        <v>0.10357142857142858</v>
      </c>
      <c r="AL164" s="93">
        <f>(12-AH164)/12*INDEX(BX$9:BX$12,MATCH($AB164,$BU$9:$BU$12,0))+AH164/12*AI164</f>
        <v>0.19357142857142848</v>
      </c>
      <c r="AM164" s="93">
        <f>IF($BC164=1,AJ164/SUMIFS(AJ$3:AJ$623,$BC$3:$BC$623,1,$G$3:$G$623,$G164),0)</f>
        <v>3.7236885211358241E-2</v>
      </c>
      <c r="AN164" s="93">
        <f>IF($BC164=1,AK164/SUMIFS(AK$3:AK$623,$BC$3:$BC$623,1,$G$3:$G$623,$G164),0)</f>
        <v>3.7020306505811285E-2</v>
      </c>
      <c r="AO164" s="93">
        <f>IF($BC164=1,AL164/SUMIFS(AL$3:AL$623,$BC$3:$BC$623,1,$G$3:$G$623,$G164),0)</f>
        <v>8.6253189396557808E-2</v>
      </c>
      <c r="AP164" s="2">
        <f>IFERROR(R164/$V164*90,"")</f>
        <v>0.18614270941054811</v>
      </c>
      <c r="AQ164" s="2">
        <f>IFERROR(S164/$V164*90,"")</f>
        <v>0</v>
      </c>
      <c r="AR164" s="2">
        <f>IFERROR(W164/$V164*90,"")</f>
        <v>0.23267838676318511</v>
      </c>
      <c r="AS164" s="2">
        <f>IFERROR(X164/$V164*90,"")</f>
        <v>0</v>
      </c>
      <c r="AT164" s="2">
        <f>IFERROR(Y164/$V164*90,"")</f>
        <v>4.6535677352637028E-2</v>
      </c>
      <c r="AU164" s="2">
        <f>IF(AP164="",INDEX(BV$4:BV$7,MATCH(O164,$BU$4:$BU$7,0)),AP164)</f>
        <v>0.18614270941054811</v>
      </c>
      <c r="AV164" s="2">
        <f>IF(AQ164="",INDEX(BW$4:BW$7,MATCH($O164,$BU$4:$BU$7,0)),AQ164)</f>
        <v>0</v>
      </c>
      <c r="AW164" s="2">
        <f t="shared" si="24"/>
        <v>0.23267838676318511</v>
      </c>
      <c r="AX164" s="2">
        <f t="shared" si="25"/>
        <v>0</v>
      </c>
      <c r="AY164" s="2">
        <f t="shared" si="26"/>
        <v>4.6535677352637028E-2</v>
      </c>
      <c r="AZ164" s="2">
        <f>AU164*0.5+AK164*0.5</f>
        <v>0.14485706899098835</v>
      </c>
      <c r="BA164" s="2">
        <f>AV164*0.5+AJ164*0.5</f>
        <v>4.0872252747252757E-2</v>
      </c>
      <c r="BB164" s="2">
        <f t="shared" si="27"/>
        <v>0</v>
      </c>
      <c r="BC164">
        <f>IF(I164="expected",1,0)</f>
        <v>1</v>
      </c>
      <c r="BD164" s="78">
        <f>IF(BC164=1,AZ164/SUMIFS(AZ$3:AZ$623,$BC$3:$BC$623,1,$G$3:$G$623,$G164),0)</f>
        <v>5.7940339172424082E-2</v>
      </c>
      <c r="BE164" s="78">
        <f>IF(BC164=1,BA164/SUMIFS(BA$3:BA$623,$BC$3:$BC$623,1,$G$3:$G$623,$G164),0)</f>
        <v>2.2029045726597602E-2</v>
      </c>
      <c r="BF164" s="78">
        <f t="shared" si="28"/>
        <v>3.8058464421206077E-2</v>
      </c>
      <c r="BG164" s="2">
        <f t="shared" si="29"/>
        <v>0</v>
      </c>
      <c r="BH164" s="2">
        <f t="shared" si="30"/>
        <v>4.6535677352637028E-2</v>
      </c>
      <c r="BI164" s="2">
        <f t="shared" si="31"/>
        <v>5.7940339172424082E-2</v>
      </c>
      <c r="BJ164" s="2">
        <f t="shared" si="32"/>
        <v>2.2029045726597602E-2</v>
      </c>
      <c r="BK164" s="2">
        <f t="shared" si="33"/>
        <v>3.8058464421206077E-2</v>
      </c>
      <c r="BL164" s="2">
        <f t="shared" si="34"/>
        <v>0</v>
      </c>
      <c r="BM164" s="2">
        <f t="shared" si="35"/>
        <v>4.6535677352637028E-2</v>
      </c>
      <c r="BN164" s="2">
        <f>BI164/SUMIFS(BI$3:BI$623,$BC$3:$BC$623,1,$G$3:$G$623,$G164)</f>
        <v>5.7940339172424096E-2</v>
      </c>
      <c r="BO164" s="2">
        <f>BJ164/SUMIFS(BJ$3:BJ$623,$BC$3:$BC$623,1,$G$3:$G$623,$G164)</f>
        <v>2.2029045726597602E-2</v>
      </c>
      <c r="BP164" s="2">
        <f>BK164/SUMIFS(BK$3:BK$623,$BC$3:$BC$623,1,$G$3:$G$623,$G164)</f>
        <v>3.805846442120607E-2</v>
      </c>
      <c r="BQ164" s="2">
        <f>BL164</f>
        <v>0</v>
      </c>
      <c r="BR164" s="2">
        <f>BM164</f>
        <v>4.6535677352637028E-2</v>
      </c>
    </row>
    <row r="165" spans="1:70" hidden="1">
      <c r="A165" s="74">
        <v>0</v>
      </c>
      <c r="B165" s="73">
        <v>213443</v>
      </c>
      <c r="C165" s="73" t="s">
        <v>1635</v>
      </c>
      <c r="D165" s="73" t="s">
        <v>1636</v>
      </c>
      <c r="E165" s="73" t="s">
        <v>1637</v>
      </c>
      <c r="F165" s="73">
        <v>18645</v>
      </c>
      <c r="G165" s="73" t="s">
        <v>879</v>
      </c>
      <c r="H165" s="73" t="s">
        <v>933</v>
      </c>
      <c r="I165" s="73" t="s">
        <v>981</v>
      </c>
      <c r="J165" s="73">
        <v>0</v>
      </c>
      <c r="K165" s="73">
        <v>6</v>
      </c>
      <c r="L165" s="73">
        <v>0</v>
      </c>
      <c r="M165" s="73">
        <v>0</v>
      </c>
      <c r="N165" s="73">
        <v>0</v>
      </c>
      <c r="O165" s="73" t="s">
        <v>994</v>
      </c>
      <c r="P165" s="73" t="s">
        <v>572</v>
      </c>
      <c r="Q165" s="73" t="s">
        <v>572</v>
      </c>
      <c r="R165" s="73">
        <v>1</v>
      </c>
      <c r="S165" s="73">
        <v>2</v>
      </c>
      <c r="T165" s="73">
        <v>0</v>
      </c>
      <c r="U165" s="73">
        <v>8</v>
      </c>
      <c r="V165" s="73">
        <v>2429</v>
      </c>
      <c r="W165" s="73">
        <v>5</v>
      </c>
      <c r="X165" s="73">
        <v>10</v>
      </c>
      <c r="Y165" s="73">
        <v>0</v>
      </c>
      <c r="Z165" s="73" t="s">
        <v>879</v>
      </c>
      <c r="AA165" s="73" t="s">
        <v>691</v>
      </c>
      <c r="AB165" s="73" t="str">
        <f>IF(AA165&lt;&gt;"",INDEX(Lookup!$N$2:$N$5,MATCH(Players!AA165,Lookup!$P$2:$P$5,0)),INDEX(Lookup!$N$2:$N$5,MATCH(Players!O165,Lookup!$O$2:$O$5,0)))</f>
        <v>Midfield</v>
      </c>
      <c r="AC165" s="73">
        <v>3500000</v>
      </c>
      <c r="AD165" s="73" t="s">
        <v>807</v>
      </c>
      <c r="AE165" s="73" t="str">
        <f>INDEX('Translate table'!$H$2:$H$622,MATCH(Players!P165,'Translate table'!$G$2:$G$622,0))</f>
        <v>Matt Phillips</v>
      </c>
      <c r="AF165" s="73">
        <f>IFERROR(INDEX('Euro Qual stats'!$A$1:$L$2071,MATCH(Players!$AE165,'Euro Qual stats'!$A$1:$A$2071,0),MATCH(Players!AF$2,'Euro Qual stats'!$A$1:$L$1,0)),0)</f>
        <v>2</v>
      </c>
      <c r="AG165" s="73">
        <f>IFERROR(INDEX('Euro Qual stats'!$A$1:$L$2071,MATCH(Players!$AE165,'Euro Qual stats'!$A$1:$A$2071,0),MATCH(Players!AG$2,'Euro Qual stats'!$A$1:$L$1,0)),0)</f>
        <v>0</v>
      </c>
      <c r="AH165" s="73">
        <f>IFERROR(INDEX('Euro Qual stats'!$A$1:$L$2071,MATCH(Players!$AE165,'Euro Qual stats'!$A$1:$A$2071,0),MATCH(Players!AH$2,'Euro Qual stats'!$A$1:$L$1,0)),0)</f>
        <v>0</v>
      </c>
      <c r="AI165" s="73">
        <f>IFERROR(INDEX('Euro Qual stats'!$A$1:$L$2071,MATCH(Players!$AE165,'Euro Qual stats'!$A$1:$A$2071,0),MATCH(Players!AI$2,'Euro Qual stats'!$A$1:$L$1,0)),0)</f>
        <v>0</v>
      </c>
      <c r="AJ165" s="93">
        <f>(12-AF165)/12*INDEX(BV$9:BV$12,MATCH($AB165,$BU$9:$BU$12,0))+AF165/12*AG165</f>
        <v>0.1405759162303665</v>
      </c>
      <c r="AK165" s="93">
        <f>(12-AG165)/12*INDEX(BW$9:BW$12,MATCH($AB165,$BU$9:$BU$12,0))+AG165/12*AH165</f>
        <v>0.22340314136125652</v>
      </c>
      <c r="AL165" s="93">
        <f>(12-AH165)/12*INDEX(BX$9:BX$12,MATCH($AB165,$BU$9:$BU$12,0))+AH165/12*AI165</f>
        <v>0.23942408376963353</v>
      </c>
      <c r="AM165" s="93">
        <f>IF($BC165=1,AJ165/SUMIFS(AJ$3:AJ$623,$BC$3:$BC$623,1,$G$3:$G$623,$G165),0)</f>
        <v>6.4036221449813718E-2</v>
      </c>
      <c r="AN165" s="93">
        <f>IF($BC165=1,AK165/SUMIFS(AK$3:AK$623,$BC$3:$BC$623,1,$G$3:$G$623,$G165),0)</f>
        <v>7.9852647410873959E-2</v>
      </c>
      <c r="AO165" s="93">
        <f>IF($BC165=1,AL165/SUMIFS(AL$3:AL$623,$BC$3:$BC$623,1,$G$3:$G$623,$G165),0)</f>
        <v>0.1066846021434367</v>
      </c>
      <c r="AP165" s="2">
        <f>IFERROR(R165/$V165*90,"")</f>
        <v>3.7052284890901607E-2</v>
      </c>
      <c r="AQ165" s="2">
        <f>IFERROR(S165/$V165*90,"")</f>
        <v>7.4104569781803215E-2</v>
      </c>
      <c r="AR165" s="2">
        <f>IFERROR(W165/$V165*90,"")</f>
        <v>0.18526142445450802</v>
      </c>
      <c r="AS165" s="2">
        <f>IFERROR(X165/$V165*90,"")</f>
        <v>0.37052284890901604</v>
      </c>
      <c r="AT165" s="2">
        <f>IFERROR(Y165/$V165*90,"")</f>
        <v>0</v>
      </c>
      <c r="AU165" s="2">
        <f>IF(AP165="",INDEX(BV$4:BV$7,MATCH(O165,$BU$4:$BU$7,0)),AP165)</f>
        <v>3.7052284890901607E-2</v>
      </c>
      <c r="AV165" s="2">
        <f>IF(AQ165="",INDEX(BW$4:BW$7,MATCH($O165,$BU$4:$BU$7,0)),AQ165)</f>
        <v>7.4104569781803215E-2</v>
      </c>
      <c r="AW165" s="2">
        <f t="shared" si="24"/>
        <v>0.18526142445450802</v>
      </c>
      <c r="AX165" s="2">
        <f t="shared" si="25"/>
        <v>0.37052284890901604</v>
      </c>
      <c r="AY165" s="2">
        <f t="shared" si="26"/>
        <v>0</v>
      </c>
      <c r="AZ165" s="2">
        <f>AU165*0.5+AK165*0.5</f>
        <v>0.13022771312607906</v>
      </c>
      <c r="BA165" s="2">
        <f>AV165*0.5+AJ165*0.5</f>
        <v>0.10734024300608486</v>
      </c>
      <c r="BB165" s="2">
        <f t="shared" si="27"/>
        <v>0.18526142445450802</v>
      </c>
      <c r="BC165">
        <f>IF(I165="expected",1,0)</f>
        <v>1</v>
      </c>
      <c r="BD165" s="78">
        <f>IF(BC165=1,AZ165/SUMIFS(AZ$3:AZ$623,$BC$3:$BC$623,1,$G$3:$G$623,$G165),0)</f>
        <v>5.2088848136528088E-2</v>
      </c>
      <c r="BE165" s="78">
        <f>IF(BC165=1,BA165/SUMIFS(BA$3:BA$623,$BC$3:$BC$623,1,$G$3:$G$623,$G165),0)</f>
        <v>5.7853506047426742E-2</v>
      </c>
      <c r="BF165" s="78">
        <f t="shared" si="28"/>
        <v>3.0302622556859837E-2</v>
      </c>
      <c r="BG165" s="2">
        <f t="shared" si="29"/>
        <v>0.18526142445450802</v>
      </c>
      <c r="BH165" s="2">
        <f t="shared" si="30"/>
        <v>0</v>
      </c>
      <c r="BI165" s="2">
        <f t="shared" si="31"/>
        <v>5.2088848136528088E-2</v>
      </c>
      <c r="BJ165" s="2">
        <f t="shared" si="32"/>
        <v>5.7853506047426742E-2</v>
      </c>
      <c r="BK165" s="2">
        <f t="shared" si="33"/>
        <v>3.0302622556859837E-2</v>
      </c>
      <c r="BL165" s="2">
        <f t="shared" si="34"/>
        <v>0.18526142445450802</v>
      </c>
      <c r="BM165" s="2">
        <f t="shared" si="35"/>
        <v>0</v>
      </c>
      <c r="BN165" s="2">
        <f>BI165/SUMIFS(BI$3:BI$623,$BC$3:$BC$623,1,$G$3:$G$623,$G165)</f>
        <v>5.2088848136528101E-2</v>
      </c>
      <c r="BO165" s="2">
        <f>BJ165/SUMIFS(BJ$3:BJ$623,$BC$3:$BC$623,1,$G$3:$G$623,$G165)</f>
        <v>5.7853506047426742E-2</v>
      </c>
      <c r="BP165" s="2">
        <f>BK165/SUMIFS(BK$3:BK$623,$BC$3:$BC$623,1,$G$3:$G$623,$G165)</f>
        <v>3.030262255685983E-2</v>
      </c>
      <c r="BQ165" s="2">
        <f>BL165</f>
        <v>0.18526142445450802</v>
      </c>
      <c r="BR165" s="2">
        <f>BM165</f>
        <v>0</v>
      </c>
    </row>
    <row r="166" spans="1:70" hidden="1">
      <c r="A166" s="74">
        <v>0</v>
      </c>
      <c r="B166" s="73">
        <v>204679</v>
      </c>
      <c r="C166" s="73" t="s">
        <v>1638</v>
      </c>
      <c r="D166" s="73" t="s">
        <v>1639</v>
      </c>
      <c r="E166" s="73" t="s">
        <v>1640</v>
      </c>
      <c r="F166" s="73">
        <v>18701</v>
      </c>
      <c r="G166" s="73" t="s">
        <v>893</v>
      </c>
      <c r="H166" s="73" t="s">
        <v>947</v>
      </c>
      <c r="I166" s="73" t="s">
        <v>1012</v>
      </c>
      <c r="J166" s="73">
        <v>0</v>
      </c>
      <c r="K166" s="73">
        <v>6</v>
      </c>
      <c r="L166" s="73">
        <v>0</v>
      </c>
      <c r="M166" s="73">
        <v>0</v>
      </c>
      <c r="N166" s="73">
        <v>0</v>
      </c>
      <c r="O166" s="73" t="s">
        <v>1290</v>
      </c>
      <c r="P166" s="73" t="s">
        <v>1641</v>
      </c>
      <c r="Q166" s="73" t="s">
        <v>220</v>
      </c>
      <c r="R166" s="73">
        <v>0</v>
      </c>
      <c r="S166" s="73">
        <v>0</v>
      </c>
      <c r="T166" s="73">
        <v>100</v>
      </c>
      <c r="U166" s="73">
        <v>10</v>
      </c>
      <c r="V166" s="73">
        <v>3329</v>
      </c>
      <c r="W166" s="73">
        <v>0</v>
      </c>
      <c r="X166" s="73">
        <v>1</v>
      </c>
      <c r="Y166" s="73">
        <v>0</v>
      </c>
      <c r="Z166" s="73" t="s">
        <v>893</v>
      </c>
      <c r="AA166" s="73" t="s">
        <v>690</v>
      </c>
      <c r="AB166" s="73" t="str">
        <f>IF(AA166&lt;&gt;"",INDEX(Lookup!$N$2:$N$5,MATCH(Players!AA166,Lookup!$P$2:$P$5,0)),INDEX(Lookup!$N$2:$N$5,MATCH(Players!O166,Lookup!$O$2:$O$5,0)))</f>
        <v>Goalkeeper</v>
      </c>
      <c r="AC166" s="73">
        <v>4500000</v>
      </c>
      <c r="AD166" s="73" t="s">
        <v>822</v>
      </c>
      <c r="AE166" s="73" t="str">
        <f>INDEX('Translate table'!$H$2:$H$622,MATCH(Players!P166,'Translate table'!$G$2:$G$622,0))</f>
        <v>MÃ¡rio Rui Silva Duarte</v>
      </c>
      <c r="AF166" s="73">
        <f>IFERROR(INDEX('Euro Qual stats'!$A$1:$L$2071,MATCH(Players!$AE166,'Euro Qual stats'!$A$1:$A$2071,0),MATCH(Players!AF$2,'Euro Qual stats'!$A$1:$L$1,0)),0)</f>
        <v>1</v>
      </c>
      <c r="AG166" s="73">
        <f>IFERROR(INDEX('Euro Qual stats'!$A$1:$L$2071,MATCH(Players!$AE166,'Euro Qual stats'!$A$1:$A$2071,0),MATCH(Players!AG$2,'Euro Qual stats'!$A$1:$L$1,0)),0)</f>
        <v>0</v>
      </c>
      <c r="AH166" s="73">
        <f>IFERROR(INDEX('Euro Qual stats'!$A$1:$L$2071,MATCH(Players!$AE166,'Euro Qual stats'!$A$1:$A$2071,0),MATCH(Players!AH$2,'Euro Qual stats'!$A$1:$L$1,0)),0)</f>
        <v>0</v>
      </c>
      <c r="AI166" s="73">
        <f>IFERROR(INDEX('Euro Qual stats'!$A$1:$L$2071,MATCH(Players!$AE166,'Euro Qual stats'!$A$1:$A$2071,0),MATCH(Players!AI$2,'Euro Qual stats'!$A$1:$L$1,0)),0)</f>
        <v>0</v>
      </c>
      <c r="AJ166" s="93">
        <f>(12-AF166)/12*INDEX(BV$9:BV$12,MATCH($AB166,$BU$9:$BU$12,0))+AF166/12*AG166</f>
        <v>0</v>
      </c>
      <c r="AK166" s="93">
        <f>(12-AG166)/12*INDEX(BW$9:BW$12,MATCH($AB166,$BU$9:$BU$12,0))+AG166/12*AH166</f>
        <v>0</v>
      </c>
      <c r="AL166" s="93">
        <f>(12-AH166)/12*INDEX(BX$9:BX$12,MATCH($AB166,$BU$9:$BU$12,0))+AH166/12*AI166</f>
        <v>0</v>
      </c>
      <c r="AM166" s="93">
        <f>IF($BC166=1,AJ166/SUMIFS(AJ$3:AJ$623,$BC$3:$BC$623,1,$G$3:$G$623,$G166),0)</f>
        <v>0</v>
      </c>
      <c r="AN166" s="93">
        <f>IF($BC166=1,AK166/SUMIFS(AK$3:AK$623,$BC$3:$BC$623,1,$G$3:$G$623,$G166),0)</f>
        <v>0</v>
      </c>
      <c r="AO166" s="93">
        <f>IF($BC166=1,AL166/SUMIFS(AL$3:AL$623,$BC$3:$BC$623,1,$G$3:$G$623,$G166),0)</f>
        <v>0</v>
      </c>
      <c r="AP166" s="2">
        <f>IFERROR(R166/$V166*90,"")</f>
        <v>0</v>
      </c>
      <c r="AQ166" s="2">
        <f>IFERROR(S166/$V166*90,"")</f>
        <v>0</v>
      </c>
      <c r="AR166" s="2">
        <f>IFERROR(W166/$V166*90,"")</f>
        <v>0</v>
      </c>
      <c r="AS166" s="2">
        <f>IFERROR(X166/$V166*90,"")</f>
        <v>2.7035145689396217E-2</v>
      </c>
      <c r="AT166" s="2">
        <f>IFERROR(Y166/$V166*90,"")</f>
        <v>0</v>
      </c>
      <c r="AU166" s="2">
        <f>IF(AP166="",INDEX(BV$4:BV$7,MATCH(O166,$BU$4:$BU$7,0)),AP166)</f>
        <v>0</v>
      </c>
      <c r="AV166" s="2">
        <f>IF(AQ166="",INDEX(BW$4:BW$7,MATCH($O166,$BU$4:$BU$7,0)),AQ166)</f>
        <v>0</v>
      </c>
      <c r="AW166" s="2">
        <f t="shared" si="24"/>
        <v>0</v>
      </c>
      <c r="AX166" s="2">
        <f t="shared" si="25"/>
        <v>2.7035145689396217E-2</v>
      </c>
      <c r="AY166" s="2">
        <f t="shared" si="26"/>
        <v>0</v>
      </c>
      <c r="AZ166" s="2">
        <f>AU166*0.5+AK166*0.5</f>
        <v>0</v>
      </c>
      <c r="BA166" s="2">
        <f>AV166*0.5+AJ166*0.5</f>
        <v>0</v>
      </c>
      <c r="BB166" s="2">
        <f t="shared" si="27"/>
        <v>1.3517572844698109E-2</v>
      </c>
      <c r="BC166">
        <f>IF(I166="expected",1,0)</f>
        <v>0</v>
      </c>
      <c r="BD166" s="78">
        <f>IF(BC166=1,AZ166/SUMIFS(AZ$3:AZ$623,$BC$3:$BC$623,1,$G$3:$G$623,$G166),0)</f>
        <v>0</v>
      </c>
      <c r="BE166" s="78">
        <f>IF(BC166=1,BA166/SUMIFS(BA$3:BA$623,$BC$3:$BC$623,1,$G$3:$G$623,$G166),0)</f>
        <v>0</v>
      </c>
      <c r="BF166" s="78">
        <f t="shared" si="28"/>
        <v>0</v>
      </c>
      <c r="BG166" s="2">
        <f t="shared" si="29"/>
        <v>1.3517572844698109E-2</v>
      </c>
      <c r="BH166" s="2">
        <f t="shared" si="30"/>
        <v>0</v>
      </c>
      <c r="BI166" s="2">
        <f t="shared" si="31"/>
        <v>0</v>
      </c>
      <c r="BJ166" s="2">
        <f t="shared" si="32"/>
        <v>0</v>
      </c>
      <c r="BK166" s="2">
        <f t="shared" si="33"/>
        <v>0</v>
      </c>
      <c r="BL166" s="2">
        <f t="shared" si="34"/>
        <v>1.3517572844698109E-2</v>
      </c>
      <c r="BM166" s="2">
        <f t="shared" si="35"/>
        <v>0</v>
      </c>
      <c r="BN166" s="2">
        <f>BI166/SUMIFS(BI$3:BI$623,$BC$3:$BC$623,1,$G$3:$G$623,$G166)</f>
        <v>0</v>
      </c>
      <c r="BO166" s="2">
        <f>BJ166/SUMIFS(BJ$3:BJ$623,$BC$3:$BC$623,1,$G$3:$G$623,$G166)</f>
        <v>0</v>
      </c>
      <c r="BP166" s="2">
        <f>BK166/SUMIFS(BK$3:BK$623,$BC$3:$BC$623,1,$G$3:$G$623,$G166)</f>
        <v>0</v>
      </c>
      <c r="BQ166" s="2">
        <f>BL166</f>
        <v>1.3517572844698109E-2</v>
      </c>
      <c r="BR166" s="2">
        <f>BM166</f>
        <v>0</v>
      </c>
    </row>
    <row r="167" spans="1:70" hidden="1">
      <c r="A167" s="74">
        <v>0</v>
      </c>
      <c r="B167" s="73">
        <v>204688</v>
      </c>
      <c r="C167" s="73" t="s">
        <v>1642</v>
      </c>
      <c r="D167" s="73" t="s">
        <v>1246</v>
      </c>
      <c r="E167" s="73" t="s">
        <v>1643</v>
      </c>
      <c r="F167" s="73">
        <v>18701</v>
      </c>
      <c r="G167" s="73" t="s">
        <v>893</v>
      </c>
      <c r="H167" s="73" t="s">
        <v>947</v>
      </c>
      <c r="I167" s="73" t="s">
        <v>981</v>
      </c>
      <c r="J167" s="73">
        <v>0</v>
      </c>
      <c r="K167" s="73">
        <v>6</v>
      </c>
      <c r="L167" s="73">
        <v>0</v>
      </c>
      <c r="M167" s="73">
        <v>0</v>
      </c>
      <c r="N167" s="73">
        <v>0</v>
      </c>
      <c r="O167" s="73" t="s">
        <v>1318</v>
      </c>
      <c r="P167" s="73" t="s">
        <v>1644</v>
      </c>
      <c r="Q167" s="73" t="s">
        <v>684</v>
      </c>
      <c r="R167" s="73">
        <v>1</v>
      </c>
      <c r="S167" s="73">
        <v>0</v>
      </c>
      <c r="T167" s="73">
        <v>0</v>
      </c>
      <c r="U167" s="73">
        <v>15</v>
      </c>
      <c r="V167" s="73">
        <v>2845</v>
      </c>
      <c r="W167" s="73">
        <v>6</v>
      </c>
      <c r="X167" s="73">
        <v>4</v>
      </c>
      <c r="Y167" s="73">
        <v>0</v>
      </c>
      <c r="Z167" s="73" t="s">
        <v>893</v>
      </c>
      <c r="AA167" s="73" t="s">
        <v>692</v>
      </c>
      <c r="AB167" s="73" t="str">
        <f>IF(AA167&lt;&gt;"",INDEX(Lookup!$N$2:$N$5,MATCH(Players!AA167,Lookup!$P$2:$P$5,0)),INDEX(Lookup!$N$2:$N$5,MATCH(Players!O167,Lookup!$O$2:$O$5,0)))</f>
        <v>Defense</v>
      </c>
      <c r="AC167" s="73">
        <v>4500000</v>
      </c>
      <c r="AD167" s="73" t="s">
        <v>833</v>
      </c>
      <c r="AE167" s="73" t="str">
        <f>INDEX('Translate table'!$H$2:$H$622,MATCH(Players!P167,'Translate table'!$G$2:$G$622,0))</f>
        <v>RÃºben Santos Gato Alves Dias</v>
      </c>
      <c r="AF167" s="73">
        <f>IFERROR(INDEX('Euro Qual stats'!$A$1:$L$2071,MATCH(Players!$AE167,'Euro Qual stats'!$A$1:$A$2071,0),MATCH(Players!AF$2,'Euro Qual stats'!$A$1:$L$1,0)),0)</f>
        <v>8</v>
      </c>
      <c r="AG167" s="73">
        <f>IFERROR(INDEX('Euro Qual stats'!$A$1:$L$2071,MATCH(Players!$AE167,'Euro Qual stats'!$A$1:$A$2071,0),MATCH(Players!AG$2,'Euro Qual stats'!$A$1:$L$1,0)),0)</f>
        <v>0</v>
      </c>
      <c r="AH167" s="73">
        <f>IFERROR(INDEX('Euro Qual stats'!$A$1:$L$2071,MATCH(Players!$AE167,'Euro Qual stats'!$A$1:$A$2071,0),MATCH(Players!AH$2,'Euro Qual stats'!$A$1:$L$1,0)),0)</f>
        <v>0</v>
      </c>
      <c r="AI167" s="73">
        <f>IFERROR(INDEX('Euro Qual stats'!$A$1:$L$2071,MATCH(Players!$AE167,'Euro Qual stats'!$A$1:$A$2071,0),MATCH(Players!AI$2,'Euro Qual stats'!$A$1:$L$1,0)),0)</f>
        <v>0.25</v>
      </c>
      <c r="AJ167" s="93">
        <f>(12-AF167)/12*INDEX(BV$9:BV$12,MATCH($AB167,$BU$9:$BU$12,0))+AF167/12*AG167</f>
        <v>2.9725274725274732E-2</v>
      </c>
      <c r="AK167" s="93">
        <f>(12-AG167)/12*INDEX(BW$9:BW$12,MATCH($AB167,$BU$9:$BU$12,0))+AG167/12*AH167</f>
        <v>0.10357142857142858</v>
      </c>
      <c r="AL167" s="93">
        <f>(12-AH167)/12*INDEX(BX$9:BX$12,MATCH($AB167,$BU$9:$BU$12,0))+AH167/12*AI167</f>
        <v>0.19357142857142848</v>
      </c>
      <c r="AM167" s="93">
        <f>IF($BC167=1,AJ167/SUMIFS(AJ$3:AJ$623,$BC$3:$BC$623,1,$G$3:$G$623,$G167),0)</f>
        <v>1.9197551302376794E-2</v>
      </c>
      <c r="AN167" s="93">
        <f>IF($BC167=1,AK167/SUMIFS(AK$3:AK$623,$BC$3:$BC$623,1,$G$3:$G$623,$G167),0)</f>
        <v>4.2109002399275265E-2</v>
      </c>
      <c r="AO167" s="93">
        <f>IF($BC167=1,AL167/SUMIFS(AL$3:AL$623,$BC$3:$BC$623,1,$G$3:$G$623,$G167),0)</f>
        <v>9.5993003824520626E-2</v>
      </c>
      <c r="AP167" s="2">
        <f>IFERROR(R167/$V167*90,"")</f>
        <v>3.163444639718805E-2</v>
      </c>
      <c r="AQ167" s="2">
        <f>IFERROR(S167/$V167*90,"")</f>
        <v>0</v>
      </c>
      <c r="AR167" s="2">
        <f>IFERROR(W167/$V167*90,"")</f>
        <v>0.18980667838312831</v>
      </c>
      <c r="AS167" s="2">
        <f>IFERROR(X167/$V167*90,"")</f>
        <v>0.1265377855887522</v>
      </c>
      <c r="AT167" s="2">
        <f>IFERROR(Y167/$V167*90,"")</f>
        <v>0</v>
      </c>
      <c r="AU167" s="2">
        <f>IF(AP167="",INDEX(BV$4:BV$7,MATCH(O167,$BU$4:$BU$7,0)),AP167)</f>
        <v>3.163444639718805E-2</v>
      </c>
      <c r="AV167" s="2">
        <f>IF(AQ167="",INDEX(BW$4:BW$7,MATCH($O167,$BU$4:$BU$7,0)),AQ167)</f>
        <v>0</v>
      </c>
      <c r="AW167" s="2">
        <f t="shared" si="24"/>
        <v>0.18980667838312831</v>
      </c>
      <c r="AX167" s="2">
        <f t="shared" si="25"/>
        <v>0.1265377855887522</v>
      </c>
      <c r="AY167" s="2">
        <f t="shared" si="26"/>
        <v>0</v>
      </c>
      <c r="AZ167" s="2">
        <f>AU167*0.5+AK167*0.5</f>
        <v>6.7602937484308318E-2</v>
      </c>
      <c r="BA167" s="2">
        <f>AV167*0.5+AJ167*0.5</f>
        <v>1.4862637362637366E-2</v>
      </c>
      <c r="BB167" s="2">
        <f t="shared" si="27"/>
        <v>0.18826889279437609</v>
      </c>
      <c r="BC167">
        <f>IF(I167="expected",1,0)</f>
        <v>1</v>
      </c>
      <c r="BD167" s="78">
        <f>IF(BC167=1,AZ167/SUMIFS(AZ$3:AZ$623,$BC$3:$BC$623,1,$G$3:$G$623,$G167),0)</f>
        <v>2.6173078576304069E-2</v>
      </c>
      <c r="BE167" s="78">
        <f>IF(BC167=1,BA167/SUMIFS(BA$3:BA$623,$BC$3:$BC$623,1,$G$3:$G$623,$G167),0)</f>
        <v>1.1987791147439869E-2</v>
      </c>
      <c r="BF167" s="78">
        <f t="shared" si="28"/>
        <v>2.4396796928655769E-2</v>
      </c>
      <c r="BG167" s="2">
        <f t="shared" si="29"/>
        <v>0.18826889279437609</v>
      </c>
      <c r="BH167" s="2">
        <f t="shared" si="30"/>
        <v>0</v>
      </c>
      <c r="BI167" s="2">
        <f t="shared" si="31"/>
        <v>2.6173078576304069E-2</v>
      </c>
      <c r="BJ167" s="2">
        <f t="shared" si="32"/>
        <v>1.1987791147439869E-2</v>
      </c>
      <c r="BK167" s="2">
        <f t="shared" si="33"/>
        <v>2.4396796928655769E-2</v>
      </c>
      <c r="BL167" s="2">
        <f t="shared" si="34"/>
        <v>0.18826889279437609</v>
      </c>
      <c r="BM167" s="2">
        <f t="shared" si="35"/>
        <v>0</v>
      </c>
      <c r="BN167" s="2">
        <f>BI167/SUMIFS(BI$3:BI$623,$BC$3:$BC$623,1,$G$3:$G$623,$G167)</f>
        <v>2.6173078576304073E-2</v>
      </c>
      <c r="BO167" s="2">
        <f>BJ167/SUMIFS(BJ$3:BJ$623,$BC$3:$BC$623,1,$G$3:$G$623,$G167)</f>
        <v>1.2051387595867784E-2</v>
      </c>
      <c r="BP167" s="2">
        <f>BK167/SUMIFS(BK$3:BK$623,$BC$3:$BC$623,1,$G$3:$G$623,$G167)</f>
        <v>2.4396796928655769E-2</v>
      </c>
      <c r="BQ167" s="2">
        <f>BL167</f>
        <v>0.18826889279437609</v>
      </c>
      <c r="BR167" s="2">
        <f>BM167</f>
        <v>0</v>
      </c>
    </row>
    <row r="168" spans="1:70" hidden="1">
      <c r="A168" s="74">
        <v>0</v>
      </c>
      <c r="B168" s="73">
        <v>204695</v>
      </c>
      <c r="C168" s="73" t="s">
        <v>1645</v>
      </c>
      <c r="D168" s="73" t="s">
        <v>1646</v>
      </c>
      <c r="E168" s="73" t="s">
        <v>1647</v>
      </c>
      <c r="F168" s="73">
        <v>18701</v>
      </c>
      <c r="G168" s="73" t="s">
        <v>893</v>
      </c>
      <c r="H168" s="73" t="s">
        <v>947</v>
      </c>
      <c r="I168" s="73" t="s">
        <v>1012</v>
      </c>
      <c r="J168" s="73">
        <v>0</v>
      </c>
      <c r="K168" s="73">
        <v>6</v>
      </c>
      <c r="L168" s="73">
        <v>0</v>
      </c>
      <c r="M168" s="73">
        <v>0</v>
      </c>
      <c r="N168" s="73">
        <v>0</v>
      </c>
      <c r="O168" s="73" t="s">
        <v>994</v>
      </c>
      <c r="P168" s="73" t="s">
        <v>1648</v>
      </c>
      <c r="Q168" s="73" t="s">
        <v>1648</v>
      </c>
      <c r="R168" s="73">
        <v>2</v>
      </c>
      <c r="S168" s="73">
        <v>0</v>
      </c>
      <c r="T168" s="73">
        <v>0</v>
      </c>
      <c r="U168" s="73">
        <v>1</v>
      </c>
      <c r="V168" s="73">
        <v>1215</v>
      </c>
      <c r="W168" s="73">
        <v>6</v>
      </c>
      <c r="X168" s="73">
        <v>4</v>
      </c>
      <c r="Y168" s="73">
        <v>1</v>
      </c>
      <c r="Z168" s="73" t="s">
        <v>893</v>
      </c>
      <c r="AA168" s="73" t="s">
        <v>691</v>
      </c>
      <c r="AB168" s="73" t="str">
        <f>IF(AA168&lt;&gt;"",INDEX(Lookup!$N$2:$N$5,MATCH(Players!AA168,Lookup!$P$2:$P$5,0)),INDEX(Lookup!$N$2:$N$5,MATCH(Players!O168,Lookup!$O$2:$O$5,0)))</f>
        <v>Midfield</v>
      </c>
      <c r="AC168" s="73">
        <v>2500000</v>
      </c>
      <c r="AD168" s="73" t="s">
        <v>792</v>
      </c>
      <c r="AE168" s="73" t="str">
        <f>INDEX('Translate table'!$H$2:$H$622,MATCH(Players!P168,'Translate table'!$G$2:$G$622,0))</f>
        <v>William Silva de Carvalho</v>
      </c>
      <c r="AF168" s="73">
        <f>IFERROR(INDEX('Euro Qual stats'!$A$1:$L$2071,MATCH(Players!$AE168,'Euro Qual stats'!$A$1:$A$2071,0),MATCH(Players!AF$2,'Euro Qual stats'!$A$1:$L$1,0)),0)</f>
        <v>4</v>
      </c>
      <c r="AG168" s="73">
        <f>IFERROR(INDEX('Euro Qual stats'!$A$1:$L$2071,MATCH(Players!$AE168,'Euro Qual stats'!$A$1:$A$2071,0),MATCH(Players!AG$2,'Euro Qual stats'!$A$1:$L$1,0)),0)</f>
        <v>0</v>
      </c>
      <c r="AH168" s="73">
        <f>IFERROR(INDEX('Euro Qual stats'!$A$1:$L$2071,MATCH(Players!$AE168,'Euro Qual stats'!$A$1:$A$2071,0),MATCH(Players!AH$2,'Euro Qual stats'!$A$1:$L$1,0)),0)</f>
        <v>0.5</v>
      </c>
      <c r="AI168" s="73">
        <f>IFERROR(INDEX('Euro Qual stats'!$A$1:$L$2071,MATCH(Players!$AE168,'Euro Qual stats'!$A$1:$A$2071,0),MATCH(Players!AI$2,'Euro Qual stats'!$A$1:$L$1,0)),0)</f>
        <v>0.25</v>
      </c>
      <c r="AJ168" s="93">
        <f>(12-AF168)/12*INDEX(BV$9:BV$12,MATCH($AB168,$BU$9:$BU$12,0))+AF168/12*AG168</f>
        <v>0.11246073298429318</v>
      </c>
      <c r="AK168" s="93">
        <f>(12-AG168)/12*INDEX(BW$9:BW$12,MATCH($AB168,$BU$9:$BU$12,0))+AG168/12*AH168</f>
        <v>0.22340314136125652</v>
      </c>
      <c r="AL168" s="93">
        <f>(12-AH168)/12*INDEX(BX$9:BX$12,MATCH($AB168,$BU$9:$BU$12,0))+AH168/12*AI168</f>
        <v>0.23986474694589879</v>
      </c>
      <c r="AM168" s="93">
        <f>IF($BC168=1,AJ168/SUMIFS(AJ$3:AJ$623,$BC$3:$BC$623,1,$G$3:$G$623,$G168),0)</f>
        <v>0</v>
      </c>
      <c r="AN168" s="93">
        <f>IF($BC168=1,AK168/SUMIFS(AK$3:AK$623,$BC$3:$BC$623,1,$G$3:$G$623,$G168),0)</f>
        <v>0</v>
      </c>
      <c r="AO168" s="93">
        <f>IF($BC168=1,AL168/SUMIFS(AL$3:AL$623,$BC$3:$BC$623,1,$G$3:$G$623,$G168),0)</f>
        <v>0</v>
      </c>
      <c r="AP168" s="2">
        <f>IFERROR(R168/$V168*90,"")</f>
        <v>0.14814814814814814</v>
      </c>
      <c r="AQ168" s="2">
        <f>IFERROR(S168/$V168*90,"")</f>
        <v>0</v>
      </c>
      <c r="AR168" s="2">
        <f>IFERROR(W168/$V168*90,"")</f>
        <v>0.44444444444444442</v>
      </c>
      <c r="AS168" s="2">
        <f>IFERROR(X168/$V168*90,"")</f>
        <v>0.29629629629629628</v>
      </c>
      <c r="AT168" s="2">
        <f>IFERROR(Y168/$V168*90,"")</f>
        <v>7.407407407407407E-2</v>
      </c>
      <c r="AU168" s="2">
        <f>IF(AP168="",INDEX(BV$4:BV$7,MATCH(O168,$BU$4:$BU$7,0)),AP168)</f>
        <v>0.14814814814814814</v>
      </c>
      <c r="AV168" s="2">
        <f>IF(AQ168="",INDEX(BW$4:BW$7,MATCH($O168,$BU$4:$BU$7,0)),AQ168)</f>
        <v>0</v>
      </c>
      <c r="AW168" s="2">
        <f t="shared" si="24"/>
        <v>0.44444444444444442</v>
      </c>
      <c r="AX168" s="2">
        <f t="shared" si="25"/>
        <v>0.29629629629629628</v>
      </c>
      <c r="AY168" s="2">
        <f t="shared" si="26"/>
        <v>7.407407407407407E-2</v>
      </c>
      <c r="AZ168" s="2">
        <f>AU168*0.5+AK168*0.5</f>
        <v>0.18577564475470232</v>
      </c>
      <c r="BA168" s="2">
        <f>AV168*0.5+AJ168*0.5</f>
        <v>5.6230366492146591E-2</v>
      </c>
      <c r="BB168" s="2">
        <f t="shared" si="27"/>
        <v>0.27314814814814814</v>
      </c>
      <c r="BC168">
        <f>IF(I168="expected",1,0)</f>
        <v>0</v>
      </c>
      <c r="BD168" s="78">
        <f>IF(BC168=1,AZ168/SUMIFS(AZ$3:AZ$623,$BC$3:$BC$623,1,$G$3:$G$623,$G168),0)</f>
        <v>0</v>
      </c>
      <c r="BE168" s="78">
        <f>IF(BC168=1,BA168/SUMIFS(BA$3:BA$623,$BC$3:$BC$623,1,$G$3:$G$623,$G168),0)</f>
        <v>0</v>
      </c>
      <c r="BF168" s="78">
        <f t="shared" si="28"/>
        <v>0</v>
      </c>
      <c r="BG168" s="2">
        <f t="shared" si="29"/>
        <v>0.27314814814814814</v>
      </c>
      <c r="BH168" s="2">
        <f t="shared" si="30"/>
        <v>7.407407407407407E-2</v>
      </c>
      <c r="BI168" s="2">
        <f t="shared" si="31"/>
        <v>0</v>
      </c>
      <c r="BJ168" s="2">
        <f t="shared" si="32"/>
        <v>0</v>
      </c>
      <c r="BK168" s="2">
        <f t="shared" si="33"/>
        <v>0</v>
      </c>
      <c r="BL168" s="2">
        <f t="shared" si="34"/>
        <v>0.27314814814814814</v>
      </c>
      <c r="BM168" s="2">
        <f t="shared" si="35"/>
        <v>0.06</v>
      </c>
      <c r="BN168" s="2">
        <f>BI168/SUMIFS(BI$3:BI$623,$BC$3:$BC$623,1,$G$3:$G$623,$G168)</f>
        <v>0</v>
      </c>
      <c r="BO168" s="2">
        <f>BJ168/SUMIFS(BJ$3:BJ$623,$BC$3:$BC$623,1,$G$3:$G$623,$G168)</f>
        <v>0</v>
      </c>
      <c r="BP168" s="2">
        <f>BK168/SUMIFS(BK$3:BK$623,$BC$3:$BC$623,1,$G$3:$G$623,$G168)</f>
        <v>0</v>
      </c>
      <c r="BQ168" s="2">
        <f>BL168</f>
        <v>0.27314814814814814</v>
      </c>
      <c r="BR168" s="2">
        <f>BM168</f>
        <v>0.06</v>
      </c>
    </row>
    <row r="169" spans="1:70" hidden="1">
      <c r="A169" s="74">
        <v>0</v>
      </c>
      <c r="B169" s="73">
        <v>213473</v>
      </c>
      <c r="C169" s="73" t="s">
        <v>1649</v>
      </c>
      <c r="D169" s="73" t="s">
        <v>1650</v>
      </c>
      <c r="E169" s="73" t="s">
        <v>1651</v>
      </c>
      <c r="F169" s="73">
        <v>18701</v>
      </c>
      <c r="G169" s="73" t="s">
        <v>893</v>
      </c>
      <c r="H169" s="73" t="s">
        <v>947</v>
      </c>
      <c r="I169" s="73" t="s">
        <v>1012</v>
      </c>
      <c r="J169" s="73">
        <v>0</v>
      </c>
      <c r="K169" s="73">
        <v>6</v>
      </c>
      <c r="L169" s="73">
        <v>0</v>
      </c>
      <c r="M169" s="73">
        <v>0</v>
      </c>
      <c r="N169" s="73">
        <v>0</v>
      </c>
      <c r="O169" s="73" t="s">
        <v>982</v>
      </c>
      <c r="P169" s="73" t="s">
        <v>1652</v>
      </c>
      <c r="Q169" s="73" t="s">
        <v>1653</v>
      </c>
      <c r="R169" s="73">
        <v>4</v>
      </c>
      <c r="S169" s="73">
        <v>0</v>
      </c>
      <c r="T169" s="73">
        <v>0</v>
      </c>
      <c r="U169" s="73">
        <v>7</v>
      </c>
      <c r="V169" s="73">
        <v>2664</v>
      </c>
      <c r="W169" s="73">
        <v>11</v>
      </c>
      <c r="X169" s="73">
        <v>7</v>
      </c>
      <c r="Y169" s="73">
        <v>1</v>
      </c>
      <c r="Z169" s="73" t="s">
        <v>893</v>
      </c>
      <c r="AA169" s="73" t="s">
        <v>693</v>
      </c>
      <c r="AB169" s="73" t="str">
        <f>IF(AA169&lt;&gt;"",INDEX(Lookup!$N$2:$N$5,MATCH(Players!AA169,Lookup!$P$2:$P$5,0)),INDEX(Lookup!$N$2:$N$5,MATCH(Players!O169,Lookup!$O$2:$O$5,0)))</f>
        <v>Striker</v>
      </c>
      <c r="AC169" s="73">
        <v>3500000</v>
      </c>
      <c r="AD169" s="73" t="s">
        <v>790</v>
      </c>
      <c r="AE169" s="73" t="str">
        <f>INDEX('Translate table'!$H$2:$H$622,MATCH(Players!P169,'Translate table'!$G$2:$G$622,0))</f>
        <v>AndrÃ© Silva</v>
      </c>
      <c r="AF169" s="73">
        <f>IFERROR(INDEX('Euro Qual stats'!$A$1:$L$2071,MATCH(Players!$AE169,'Euro Qual stats'!$A$1:$A$2071,0),MATCH(Players!AF$2,'Euro Qual stats'!$A$1:$L$1,0)),0)</f>
        <v>3</v>
      </c>
      <c r="AG169" s="73">
        <f>IFERROR(INDEX('Euro Qual stats'!$A$1:$L$2071,MATCH(Players!$AE169,'Euro Qual stats'!$A$1:$A$2071,0),MATCH(Players!AG$2,'Euro Qual stats'!$A$1:$L$1,0)),0)</f>
        <v>0</v>
      </c>
      <c r="AH169" s="73">
        <f>IFERROR(INDEX('Euro Qual stats'!$A$1:$L$2071,MATCH(Players!$AE169,'Euro Qual stats'!$A$1:$A$2071,0),MATCH(Players!AH$2,'Euro Qual stats'!$A$1:$L$1,0)),0)</f>
        <v>0</v>
      </c>
      <c r="AI169" s="73">
        <f>IFERROR(INDEX('Euro Qual stats'!$A$1:$L$2071,MATCH(Players!$AE169,'Euro Qual stats'!$A$1:$A$2071,0),MATCH(Players!AI$2,'Euro Qual stats'!$A$1:$L$1,0)),0)</f>
        <v>0</v>
      </c>
      <c r="AJ169" s="93">
        <f>(12-AF169)/12*INDEX(BV$9:BV$12,MATCH($AB169,$BU$9:$BU$12,0))+AF169/12*AG169</f>
        <v>0.15368534482758622</v>
      </c>
      <c r="AK169" s="93">
        <f>(12-AG169)/12*INDEX(BW$9:BW$12,MATCH($AB169,$BU$9:$BU$12,0))+AG169/12*AH169</f>
        <v>0.53387931034482738</v>
      </c>
      <c r="AL169" s="93">
        <f>(12-AH169)/12*INDEX(BX$9:BX$12,MATCH($AB169,$BU$9:$BU$12,0))+AH169/12*AI169</f>
        <v>0.16482758620689658</v>
      </c>
      <c r="AM169" s="93">
        <f>IF($BC169=1,AJ169/SUMIFS(AJ$3:AJ$623,$BC$3:$BC$623,1,$G$3:$G$623,$G169),0)</f>
        <v>0</v>
      </c>
      <c r="AN169" s="93">
        <f>IF($BC169=1,AK169/SUMIFS(AK$3:AK$623,$BC$3:$BC$623,1,$G$3:$G$623,$G169),0)</f>
        <v>0</v>
      </c>
      <c r="AO169" s="93">
        <f>IF($BC169=1,AL169/SUMIFS(AL$3:AL$623,$BC$3:$BC$623,1,$G$3:$G$623,$G169),0)</f>
        <v>0</v>
      </c>
      <c r="AP169" s="2">
        <f>IFERROR(R169/$V169*90,"")</f>
        <v>0.13513513513513514</v>
      </c>
      <c r="AQ169" s="2">
        <f>IFERROR(S169/$V169*90,"")</f>
        <v>0</v>
      </c>
      <c r="AR169" s="2">
        <f>IFERROR(W169/$V169*90,"")</f>
        <v>0.3716216216216216</v>
      </c>
      <c r="AS169" s="2">
        <f>IFERROR(X169/$V169*90,"")</f>
        <v>0.23648648648648651</v>
      </c>
      <c r="AT169" s="2">
        <f>IFERROR(Y169/$V169*90,"")</f>
        <v>3.3783783783783786E-2</v>
      </c>
      <c r="AU169" s="2">
        <f>IF(AP169="",INDEX(BV$4:BV$7,MATCH(O169,$BU$4:$BU$7,0)),AP169)</f>
        <v>0.13513513513513514</v>
      </c>
      <c r="AV169" s="2">
        <f>IF(AQ169="",INDEX(BW$4:BW$7,MATCH($O169,$BU$4:$BU$7,0)),AQ169)</f>
        <v>0</v>
      </c>
      <c r="AW169" s="2">
        <f t="shared" si="24"/>
        <v>0.3716216216216216</v>
      </c>
      <c r="AX169" s="2">
        <f t="shared" si="25"/>
        <v>0.23648648648648651</v>
      </c>
      <c r="AY169" s="2">
        <f t="shared" si="26"/>
        <v>3.3783783783783786E-2</v>
      </c>
      <c r="AZ169" s="2">
        <f>AU169*0.5+AK169*0.5</f>
        <v>0.33450722273998124</v>
      </c>
      <c r="BA169" s="2">
        <f>AV169*0.5+AJ169*0.5</f>
        <v>7.6842672413793112E-2</v>
      </c>
      <c r="BB169" s="2">
        <f t="shared" si="27"/>
        <v>0.11824324324324326</v>
      </c>
      <c r="BC169">
        <f>IF(I169="expected",1,0)</f>
        <v>0</v>
      </c>
      <c r="BD169" s="78">
        <f>IF(BC169=1,AZ169/SUMIFS(AZ$3:AZ$623,$BC$3:$BC$623,1,$G$3:$G$623,$G169),0)</f>
        <v>0</v>
      </c>
      <c r="BE169" s="78">
        <f>IF(BC169=1,BA169/SUMIFS(BA$3:BA$623,$BC$3:$BC$623,1,$G$3:$G$623,$G169),0)</f>
        <v>0</v>
      </c>
      <c r="BF169" s="78">
        <f t="shared" si="28"/>
        <v>0</v>
      </c>
      <c r="BG169" s="2">
        <f t="shared" si="29"/>
        <v>0.11824324324324326</v>
      </c>
      <c r="BH169" s="2">
        <f t="shared" si="30"/>
        <v>3.3783783783783786E-2</v>
      </c>
      <c r="BI169" s="2">
        <f t="shared" si="31"/>
        <v>0</v>
      </c>
      <c r="BJ169" s="2">
        <f t="shared" si="32"/>
        <v>0</v>
      </c>
      <c r="BK169" s="2">
        <f t="shared" si="33"/>
        <v>0</v>
      </c>
      <c r="BL169" s="2">
        <f t="shared" si="34"/>
        <v>0.11824324324324326</v>
      </c>
      <c r="BM169" s="2">
        <f t="shared" si="35"/>
        <v>3.3783783783783786E-2</v>
      </c>
      <c r="BN169" s="2">
        <f>BI169/SUMIFS(BI$3:BI$623,$BC$3:$BC$623,1,$G$3:$G$623,$G169)</f>
        <v>0</v>
      </c>
      <c r="BO169" s="2">
        <f>BJ169/SUMIFS(BJ$3:BJ$623,$BC$3:$BC$623,1,$G$3:$G$623,$G169)</f>
        <v>0</v>
      </c>
      <c r="BP169" s="2">
        <f>BK169/SUMIFS(BK$3:BK$623,$BC$3:$BC$623,1,$G$3:$G$623,$G169)</f>
        <v>0</v>
      </c>
      <c r="BQ169" s="2">
        <f>BL169</f>
        <v>0.11824324324324326</v>
      </c>
      <c r="BR169" s="2">
        <f>BM169</f>
        <v>3.3783783783783786E-2</v>
      </c>
    </row>
    <row r="170" spans="1:70" hidden="1">
      <c r="A170" s="74">
        <v>0</v>
      </c>
      <c r="B170" s="73">
        <v>204633</v>
      </c>
      <c r="C170" s="73" t="s">
        <v>1654</v>
      </c>
      <c r="D170" s="73" t="s">
        <v>1655</v>
      </c>
      <c r="E170" s="73" t="s">
        <v>1656</v>
      </c>
      <c r="F170" s="73">
        <v>18710</v>
      </c>
      <c r="G170" s="73" t="s">
        <v>885</v>
      </c>
      <c r="H170" s="73" t="s">
        <v>943</v>
      </c>
      <c r="I170" s="73" t="s">
        <v>1012</v>
      </c>
      <c r="J170" s="73">
        <v>0</v>
      </c>
      <c r="K170" s="73">
        <v>6</v>
      </c>
      <c r="L170" s="73">
        <v>0</v>
      </c>
      <c r="M170" s="73">
        <v>0</v>
      </c>
      <c r="N170" s="73">
        <v>0</v>
      </c>
      <c r="O170" s="73" t="s">
        <v>1290</v>
      </c>
      <c r="P170" s="73" t="s">
        <v>1657</v>
      </c>
      <c r="Q170" s="73" t="s">
        <v>1658</v>
      </c>
      <c r="R170" s="73">
        <v>0</v>
      </c>
      <c r="S170" s="73">
        <v>0</v>
      </c>
      <c r="T170" s="73">
        <v>70</v>
      </c>
      <c r="U170" s="73">
        <v>9</v>
      </c>
      <c r="V170" s="73">
        <v>3330</v>
      </c>
      <c r="W170" s="73">
        <v>0</v>
      </c>
      <c r="X170" s="73">
        <v>1</v>
      </c>
      <c r="Y170" s="73">
        <v>0</v>
      </c>
      <c r="Z170" s="73" t="s">
        <v>1037</v>
      </c>
      <c r="AA170" s="73" t="s">
        <v>690</v>
      </c>
      <c r="AB170" s="73" t="str">
        <f>IF(AA170&lt;&gt;"",INDEX(Lookup!$N$2:$N$5,MATCH(Players!AA170,Lookup!$P$2:$P$5,0)),INDEX(Lookup!$N$2:$N$5,MATCH(Players!O170,Lookup!$O$2:$O$5,0)))</f>
        <v>Goalkeeper</v>
      </c>
      <c r="AC170" s="73">
        <v>5500000</v>
      </c>
      <c r="AD170" s="73" t="s">
        <v>798</v>
      </c>
      <c r="AE170" s="73" t="str">
        <f>INDEX('Translate table'!$H$2:$H$622,MATCH(Players!P170,'Translate table'!$G$2:$G$622,0))</f>
        <v>Unai NÃºÃ±ez</v>
      </c>
      <c r="AF170" s="73">
        <f>IFERROR(INDEX('Euro Qual stats'!$A$1:$L$2071,MATCH(Players!$AE170,'Euro Qual stats'!$A$1:$A$2071,0),MATCH(Players!AF$2,'Euro Qual stats'!$A$1:$L$1,0)),0)</f>
        <v>1</v>
      </c>
      <c r="AG170" s="73">
        <f>IFERROR(INDEX('Euro Qual stats'!$A$1:$L$2071,MATCH(Players!$AE170,'Euro Qual stats'!$A$1:$A$2071,0),MATCH(Players!AG$2,'Euro Qual stats'!$A$1:$L$1,0)),0)</f>
        <v>0</v>
      </c>
      <c r="AH170" s="73">
        <f>IFERROR(INDEX('Euro Qual stats'!$A$1:$L$2071,MATCH(Players!$AE170,'Euro Qual stats'!$A$1:$A$2071,0),MATCH(Players!AH$2,'Euro Qual stats'!$A$1:$L$1,0)),0)</f>
        <v>0</v>
      </c>
      <c r="AI170" s="73">
        <f>IFERROR(INDEX('Euro Qual stats'!$A$1:$L$2071,MATCH(Players!$AE170,'Euro Qual stats'!$A$1:$A$2071,0),MATCH(Players!AI$2,'Euro Qual stats'!$A$1:$L$1,0)),0)</f>
        <v>0</v>
      </c>
      <c r="AJ170" s="93">
        <f>(12-AF170)/12*INDEX(BV$9:BV$12,MATCH($AB170,$BU$9:$BU$12,0))+AF170/12*AG170</f>
        <v>0</v>
      </c>
      <c r="AK170" s="93">
        <f>(12-AG170)/12*INDEX(BW$9:BW$12,MATCH($AB170,$BU$9:$BU$12,0))+AG170/12*AH170</f>
        <v>0</v>
      </c>
      <c r="AL170" s="93">
        <f>(12-AH170)/12*INDEX(BX$9:BX$12,MATCH($AB170,$BU$9:$BU$12,0))+AH170/12*AI170</f>
        <v>0</v>
      </c>
      <c r="AM170" s="93">
        <f>IF($BC170=1,AJ170/SUMIFS(AJ$3:AJ$623,$BC$3:$BC$623,1,$G$3:$G$623,$G170),0)</f>
        <v>0</v>
      </c>
      <c r="AN170" s="93">
        <f>IF($BC170=1,AK170/SUMIFS(AK$3:AK$623,$BC$3:$BC$623,1,$G$3:$G$623,$G170),0)</f>
        <v>0</v>
      </c>
      <c r="AO170" s="93">
        <f>IF($BC170=1,AL170/SUMIFS(AL$3:AL$623,$BC$3:$BC$623,1,$G$3:$G$623,$G170),0)</f>
        <v>0</v>
      </c>
      <c r="AP170" s="2">
        <f>IFERROR(R170/$V170*90,"")</f>
        <v>0</v>
      </c>
      <c r="AQ170" s="2">
        <f>IFERROR(S170/$V170*90,"")</f>
        <v>0</v>
      </c>
      <c r="AR170" s="2">
        <f>IFERROR(W170/$V170*90,"")</f>
        <v>0</v>
      </c>
      <c r="AS170" s="2">
        <f>IFERROR(X170/$V170*90,"")</f>
        <v>2.7027027027027025E-2</v>
      </c>
      <c r="AT170" s="2">
        <f>IFERROR(Y170/$V170*90,"")</f>
        <v>0</v>
      </c>
      <c r="AU170" s="2">
        <f>IF(AP170="",INDEX(BV$4:BV$7,MATCH(O170,$BU$4:$BU$7,0)),AP170)</f>
        <v>0</v>
      </c>
      <c r="AV170" s="2">
        <f>IF(AQ170="",INDEX(BW$4:BW$7,MATCH($O170,$BU$4:$BU$7,0)),AQ170)</f>
        <v>0</v>
      </c>
      <c r="AW170" s="2">
        <f t="shared" si="24"/>
        <v>0</v>
      </c>
      <c r="AX170" s="2">
        <f t="shared" si="25"/>
        <v>2.7027027027027025E-2</v>
      </c>
      <c r="AY170" s="2">
        <f t="shared" si="26"/>
        <v>0</v>
      </c>
      <c r="AZ170" s="2">
        <f>AU170*0.5+AK170*0.5</f>
        <v>0</v>
      </c>
      <c r="BA170" s="2">
        <f>AV170*0.5+AJ170*0.5</f>
        <v>0</v>
      </c>
      <c r="BB170" s="2">
        <f t="shared" si="27"/>
        <v>1.3513513513513513E-2</v>
      </c>
      <c r="BC170">
        <f>IF(I170="expected",1,0)</f>
        <v>0</v>
      </c>
      <c r="BD170" s="78">
        <f>IF(BC170=1,AZ170/SUMIFS(AZ$3:AZ$623,$BC$3:$BC$623,1,$G$3:$G$623,$G170),0)</f>
        <v>0</v>
      </c>
      <c r="BE170" s="78">
        <f>IF(BC170=1,BA170/SUMIFS(BA$3:BA$623,$BC$3:$BC$623,1,$G$3:$G$623,$G170),0)</f>
        <v>0</v>
      </c>
      <c r="BF170" s="78">
        <f t="shared" si="28"/>
        <v>0</v>
      </c>
      <c r="BG170" s="2">
        <f t="shared" si="29"/>
        <v>1.3513513513513513E-2</v>
      </c>
      <c r="BH170" s="2">
        <f t="shared" si="30"/>
        <v>0</v>
      </c>
      <c r="BI170" s="2">
        <f t="shared" si="31"/>
        <v>0</v>
      </c>
      <c r="BJ170" s="2">
        <f t="shared" si="32"/>
        <v>0</v>
      </c>
      <c r="BK170" s="2">
        <f t="shared" si="33"/>
        <v>0</v>
      </c>
      <c r="BL170" s="2">
        <f t="shared" si="34"/>
        <v>1.3513513513513513E-2</v>
      </c>
      <c r="BM170" s="2">
        <f t="shared" si="35"/>
        <v>0</v>
      </c>
      <c r="BN170" s="2">
        <f>BI170/SUMIFS(BI$3:BI$623,$BC$3:$BC$623,1,$G$3:$G$623,$G170)</f>
        <v>0</v>
      </c>
      <c r="BO170" s="2">
        <f>BJ170/SUMIFS(BJ$3:BJ$623,$BC$3:$BC$623,1,$G$3:$G$623,$G170)</f>
        <v>0</v>
      </c>
      <c r="BP170" s="2">
        <f>BK170/SUMIFS(BK$3:BK$623,$BC$3:$BC$623,1,$G$3:$G$623,$G170)</f>
        <v>0</v>
      </c>
      <c r="BQ170" s="2">
        <f>BL170</f>
        <v>1.3513513513513513E-2</v>
      </c>
      <c r="BR170" s="2">
        <f>BM170</f>
        <v>0</v>
      </c>
    </row>
    <row r="171" spans="1:70" hidden="1">
      <c r="A171" s="74">
        <v>0</v>
      </c>
      <c r="B171" s="73">
        <v>222097</v>
      </c>
      <c r="C171" s="73" t="s">
        <v>1659</v>
      </c>
      <c r="D171" s="73" t="s">
        <v>1660</v>
      </c>
      <c r="E171" s="73" t="s">
        <v>1661</v>
      </c>
      <c r="F171" s="73">
        <v>18710</v>
      </c>
      <c r="G171" s="73" t="s">
        <v>885</v>
      </c>
      <c r="H171" s="73" t="s">
        <v>943</v>
      </c>
      <c r="I171" s="73" t="s">
        <v>1012</v>
      </c>
      <c r="J171" s="73">
        <v>0</v>
      </c>
      <c r="K171" s="73">
        <v>6</v>
      </c>
      <c r="L171" s="73">
        <v>0</v>
      </c>
      <c r="M171" s="73">
        <v>0</v>
      </c>
      <c r="N171" s="73">
        <v>0</v>
      </c>
      <c r="O171" s="73" t="s">
        <v>1318</v>
      </c>
      <c r="P171" s="73" t="s">
        <v>15</v>
      </c>
      <c r="Q171" s="73" t="s">
        <v>15</v>
      </c>
      <c r="R171" s="73">
        <v>0</v>
      </c>
      <c r="S171" s="73">
        <v>0</v>
      </c>
      <c r="T171" s="73">
        <v>0</v>
      </c>
      <c r="U171" s="73">
        <v>7</v>
      </c>
      <c r="V171" s="73">
        <v>1343</v>
      </c>
      <c r="W171" s="73">
        <v>1</v>
      </c>
      <c r="X171" s="73">
        <v>1</v>
      </c>
      <c r="Y171" s="73">
        <v>0</v>
      </c>
      <c r="Z171" s="73" t="s">
        <v>1037</v>
      </c>
      <c r="AA171" s="73" t="s">
        <v>692</v>
      </c>
      <c r="AB171" s="73" t="str">
        <f>IF(AA171&lt;&gt;"",INDEX(Lookup!$N$2:$N$5,MATCH(Players!AA171,Lookup!$P$2:$P$5,0)),INDEX(Lookup!$N$2:$N$5,MATCH(Players!O171,Lookup!$O$2:$O$5,0)))</f>
        <v>Defense</v>
      </c>
      <c r="AC171" s="73">
        <v>3500000</v>
      </c>
      <c r="AD171" s="73" t="s">
        <v>1662</v>
      </c>
      <c r="AE171" s="73">
        <f>INDEX('Translate table'!$H$2:$H$622,MATCH(Players!P171,'Translate table'!$G$2:$G$622,0))</f>
        <v>0</v>
      </c>
      <c r="AF171" s="73">
        <f>IFERROR(INDEX('Euro Qual stats'!$A$1:$L$2071,MATCH(Players!$AE171,'Euro Qual stats'!$A$1:$A$2071,0),MATCH(Players!AF$2,'Euro Qual stats'!$A$1:$L$1,0)),0)</f>
        <v>0</v>
      </c>
      <c r="AG171" s="73">
        <f>IFERROR(INDEX('Euro Qual stats'!$A$1:$L$2071,MATCH(Players!$AE171,'Euro Qual stats'!$A$1:$A$2071,0),MATCH(Players!AG$2,'Euro Qual stats'!$A$1:$L$1,0)),0)</f>
        <v>0</v>
      </c>
      <c r="AH171" s="73">
        <f>IFERROR(INDEX('Euro Qual stats'!$A$1:$L$2071,MATCH(Players!$AE171,'Euro Qual stats'!$A$1:$A$2071,0),MATCH(Players!AH$2,'Euro Qual stats'!$A$1:$L$1,0)),0)</f>
        <v>0</v>
      </c>
      <c r="AI171" s="73">
        <f>IFERROR(INDEX('Euro Qual stats'!$A$1:$L$2071,MATCH(Players!$AE171,'Euro Qual stats'!$A$1:$A$2071,0),MATCH(Players!AI$2,'Euro Qual stats'!$A$1:$L$1,0)),0)</f>
        <v>0</v>
      </c>
      <c r="AJ171" s="93">
        <f>(12-AF171)/12*INDEX(BV$9:BV$12,MATCH($AB171,$BU$9:$BU$12,0))+AF171/12*AG171</f>
        <v>8.9175824175824203E-2</v>
      </c>
      <c r="AK171" s="93">
        <f>(12-AG171)/12*INDEX(BW$9:BW$12,MATCH($AB171,$BU$9:$BU$12,0))+AG171/12*AH171</f>
        <v>0.10357142857142858</v>
      </c>
      <c r="AL171" s="93">
        <f>(12-AH171)/12*INDEX(BX$9:BX$12,MATCH($AB171,$BU$9:$BU$12,0))+AH171/12*AI171</f>
        <v>0.19357142857142848</v>
      </c>
      <c r="AM171" s="93">
        <f>IF($BC171=1,AJ171/SUMIFS(AJ$3:AJ$623,$BC$3:$BC$623,1,$G$3:$G$623,$G171),0)</f>
        <v>0</v>
      </c>
      <c r="AN171" s="93">
        <f>IF($BC171=1,AK171/SUMIFS(AK$3:AK$623,$BC$3:$BC$623,1,$G$3:$G$623,$G171),0)</f>
        <v>0</v>
      </c>
      <c r="AO171" s="93">
        <f>IF($BC171=1,AL171/SUMIFS(AL$3:AL$623,$BC$3:$BC$623,1,$G$3:$G$623,$G171),0)</f>
        <v>0</v>
      </c>
      <c r="AP171" s="2">
        <f>IFERROR(R171/$V171*90,"")</f>
        <v>0</v>
      </c>
      <c r="AQ171" s="2">
        <f>IFERROR(S171/$V171*90,"")</f>
        <v>0</v>
      </c>
      <c r="AR171" s="2">
        <f>IFERROR(W171/$V171*90,"")</f>
        <v>6.7014147431124355E-2</v>
      </c>
      <c r="AS171" s="2">
        <f>IFERROR(X171/$V171*90,"")</f>
        <v>6.7014147431124355E-2</v>
      </c>
      <c r="AT171" s="2">
        <f>IFERROR(Y171/$V171*90,"")</f>
        <v>0</v>
      </c>
      <c r="AU171" s="2">
        <f>IF(AP171="",INDEX(BV$4:BV$7,MATCH(O171,$BU$4:$BU$7,0)),AP171)</f>
        <v>0</v>
      </c>
      <c r="AV171" s="2">
        <f>IF(AQ171="",INDEX(BW$4:BW$7,MATCH($O171,$BU$4:$BU$7,0)),AQ171)</f>
        <v>0</v>
      </c>
      <c r="AW171" s="2">
        <f t="shared" si="24"/>
        <v>6.7014147431124355E-2</v>
      </c>
      <c r="AX171" s="2">
        <f t="shared" si="25"/>
        <v>6.7014147431124355E-2</v>
      </c>
      <c r="AY171" s="2">
        <f t="shared" si="26"/>
        <v>0</v>
      </c>
      <c r="AZ171" s="2">
        <f>AU171*0.5+AK171*0.5</f>
        <v>5.1785714285714289E-2</v>
      </c>
      <c r="BA171" s="2">
        <f>AV171*0.5+AJ171*0.5</f>
        <v>4.4587912087912102E-2</v>
      </c>
      <c r="BB171" s="2">
        <f t="shared" si="27"/>
        <v>3.3507073715562177E-2</v>
      </c>
      <c r="BC171">
        <f>IF(I171="expected",1,0)</f>
        <v>0</v>
      </c>
      <c r="BD171" s="78">
        <f>IF(BC171=1,AZ171/SUMIFS(AZ$3:AZ$623,$BC$3:$BC$623,1,$G$3:$G$623,$G171),0)</f>
        <v>0</v>
      </c>
      <c r="BE171" s="78">
        <f>IF(BC171=1,BA171/SUMIFS(BA$3:BA$623,$BC$3:$BC$623,1,$G$3:$G$623,$G171),0)</f>
        <v>0</v>
      </c>
      <c r="BF171" s="78">
        <f t="shared" si="28"/>
        <v>0</v>
      </c>
      <c r="BG171" s="2">
        <f t="shared" si="29"/>
        <v>3.3507073715562177E-2</v>
      </c>
      <c r="BH171" s="2">
        <f t="shared" si="30"/>
        <v>0</v>
      </c>
      <c r="BI171" s="2">
        <f t="shared" si="31"/>
        <v>0</v>
      </c>
      <c r="BJ171" s="2">
        <f t="shared" si="32"/>
        <v>0</v>
      </c>
      <c r="BK171" s="2">
        <f t="shared" si="33"/>
        <v>0</v>
      </c>
      <c r="BL171" s="2">
        <f t="shared" si="34"/>
        <v>3.3507073715562177E-2</v>
      </c>
      <c r="BM171" s="2">
        <f t="shared" si="35"/>
        <v>0</v>
      </c>
      <c r="BN171" s="2">
        <f>BI171/SUMIFS(BI$3:BI$623,$BC$3:$BC$623,1,$G$3:$G$623,$G171)</f>
        <v>0</v>
      </c>
      <c r="BO171" s="2">
        <f>BJ171/SUMIFS(BJ$3:BJ$623,$BC$3:$BC$623,1,$G$3:$G$623,$G171)</f>
        <v>0</v>
      </c>
      <c r="BP171" s="2">
        <f>BK171/SUMIFS(BK$3:BK$623,$BC$3:$BC$623,1,$G$3:$G$623,$G171)</f>
        <v>0</v>
      </c>
      <c r="BQ171" s="2">
        <f>BL171</f>
        <v>3.3507073715562177E-2</v>
      </c>
      <c r="BR171" s="2">
        <f>BM171</f>
        <v>0</v>
      </c>
    </row>
    <row r="172" spans="1:70" hidden="1">
      <c r="A172" s="74">
        <v>0</v>
      </c>
      <c r="B172" s="73">
        <v>213454</v>
      </c>
      <c r="C172" s="73" t="s">
        <v>1663</v>
      </c>
      <c r="D172" s="73" t="s">
        <v>1664</v>
      </c>
      <c r="E172" s="73" t="s">
        <v>1192</v>
      </c>
      <c r="F172" s="73">
        <v>18710</v>
      </c>
      <c r="G172" s="73" t="s">
        <v>885</v>
      </c>
      <c r="H172" s="73" t="s">
        <v>943</v>
      </c>
      <c r="I172" s="73" t="s">
        <v>1012</v>
      </c>
      <c r="J172" s="73">
        <v>0</v>
      </c>
      <c r="K172" s="73">
        <v>6</v>
      </c>
      <c r="L172" s="73">
        <v>0</v>
      </c>
      <c r="M172" s="73">
        <v>0</v>
      </c>
      <c r="N172" s="73">
        <v>0</v>
      </c>
      <c r="O172" s="73" t="s">
        <v>1318</v>
      </c>
      <c r="P172" s="73" t="s">
        <v>680</v>
      </c>
      <c r="Q172" s="73" t="s">
        <v>680</v>
      </c>
      <c r="R172" s="73">
        <v>1</v>
      </c>
      <c r="S172" s="73">
        <v>0</v>
      </c>
      <c r="T172" s="73">
        <v>0</v>
      </c>
      <c r="U172" s="73">
        <v>4</v>
      </c>
      <c r="V172" s="73">
        <v>1295</v>
      </c>
      <c r="W172" s="73">
        <v>3</v>
      </c>
      <c r="X172" s="73">
        <v>1</v>
      </c>
      <c r="Y172" s="73">
        <v>0</v>
      </c>
      <c r="Z172" s="73" t="s">
        <v>1037</v>
      </c>
      <c r="AA172" s="73" t="s">
        <v>692</v>
      </c>
      <c r="AB172" s="73" t="str">
        <f>IF(AA172&lt;&gt;"",INDEX(Lookup!$N$2:$N$5,MATCH(Players!AA172,Lookup!$P$2:$P$5,0)),INDEX(Lookup!$N$2:$N$5,MATCH(Players!O172,Lookup!$O$2:$O$5,0)))</f>
        <v>Defense</v>
      </c>
      <c r="AC172" s="73">
        <v>3000000</v>
      </c>
      <c r="AD172" s="73" t="s">
        <v>801</v>
      </c>
      <c r="AE172" s="73" t="str">
        <f>INDEX('Translate table'!$H$2:$H$622,MATCH(Players!P172,'Translate table'!$G$2:$G$622,0))</f>
        <v>Diego Llorente</v>
      </c>
      <c r="AF172" s="73">
        <f>IFERROR(INDEX('Euro Qual stats'!$A$1:$L$2071,MATCH(Players!$AE172,'Euro Qual stats'!$A$1:$A$2071,0),MATCH(Players!AF$2,'Euro Qual stats'!$A$1:$L$1,0)),0)</f>
        <v>3</v>
      </c>
      <c r="AG172" s="73">
        <f>IFERROR(INDEX('Euro Qual stats'!$A$1:$L$2071,MATCH(Players!$AE172,'Euro Qual stats'!$A$1:$A$2071,0),MATCH(Players!AG$2,'Euro Qual stats'!$A$1:$L$1,0)),0)</f>
        <v>0</v>
      </c>
      <c r="AH172" s="73">
        <f>IFERROR(INDEX('Euro Qual stats'!$A$1:$L$2071,MATCH(Players!$AE172,'Euro Qual stats'!$A$1:$A$2071,0),MATCH(Players!AH$2,'Euro Qual stats'!$A$1:$L$1,0)),0)</f>
        <v>0</v>
      </c>
      <c r="AI172" s="73">
        <f>IFERROR(INDEX('Euro Qual stats'!$A$1:$L$2071,MATCH(Players!$AE172,'Euro Qual stats'!$A$1:$A$2071,0),MATCH(Players!AI$2,'Euro Qual stats'!$A$1:$L$1,0)),0)</f>
        <v>1.44</v>
      </c>
      <c r="AJ172" s="93">
        <f>(12-AF172)/12*INDEX(BV$9:BV$12,MATCH($AB172,$BU$9:$BU$12,0))+AF172/12*AG172</f>
        <v>6.6881868131868152E-2</v>
      </c>
      <c r="AK172" s="93">
        <f>(12-AG172)/12*INDEX(BW$9:BW$12,MATCH($AB172,$BU$9:$BU$12,0))+AG172/12*AH172</f>
        <v>0.10357142857142858</v>
      </c>
      <c r="AL172" s="93">
        <f>(12-AH172)/12*INDEX(BX$9:BX$12,MATCH($AB172,$BU$9:$BU$12,0))+AH172/12*AI172</f>
        <v>0.19357142857142848</v>
      </c>
      <c r="AM172" s="93">
        <f>IF($BC172=1,AJ172/SUMIFS(AJ$3:AJ$623,$BC$3:$BC$623,1,$G$3:$G$623,$G172),0)</f>
        <v>0</v>
      </c>
      <c r="AN172" s="93">
        <f>IF($BC172=1,AK172/SUMIFS(AK$3:AK$623,$BC$3:$BC$623,1,$G$3:$G$623,$G172),0)</f>
        <v>0</v>
      </c>
      <c r="AO172" s="93">
        <f>IF($BC172=1,AL172/SUMIFS(AL$3:AL$623,$BC$3:$BC$623,1,$G$3:$G$623,$G172),0)</f>
        <v>0</v>
      </c>
      <c r="AP172" s="2">
        <f>IFERROR(R172/$V172*90,"")</f>
        <v>6.9498069498069498E-2</v>
      </c>
      <c r="AQ172" s="2">
        <f>IFERROR(S172/$V172*90,"")</f>
        <v>0</v>
      </c>
      <c r="AR172" s="2">
        <f>IFERROR(W172/$V172*90,"")</f>
        <v>0.20849420849420849</v>
      </c>
      <c r="AS172" s="2">
        <f>IFERROR(X172/$V172*90,"")</f>
        <v>6.9498069498069498E-2</v>
      </c>
      <c r="AT172" s="2">
        <f>IFERROR(Y172/$V172*90,"")</f>
        <v>0</v>
      </c>
      <c r="AU172" s="2">
        <f>IF(AP172="",INDEX(BV$4:BV$7,MATCH(O172,$BU$4:$BU$7,0)),AP172)</f>
        <v>6.9498069498069498E-2</v>
      </c>
      <c r="AV172" s="2">
        <f>IF(AQ172="",INDEX(BW$4:BW$7,MATCH($O172,$BU$4:$BU$7,0)),AQ172)</f>
        <v>0</v>
      </c>
      <c r="AW172" s="2">
        <f t="shared" si="24"/>
        <v>0.20849420849420849</v>
      </c>
      <c r="AX172" s="2">
        <f t="shared" si="25"/>
        <v>6.9498069498069498E-2</v>
      </c>
      <c r="AY172" s="2">
        <f t="shared" si="26"/>
        <v>0</v>
      </c>
      <c r="AZ172" s="2">
        <f>AU172*0.5+AK172*0.5</f>
        <v>8.6534749034749031E-2</v>
      </c>
      <c r="BA172" s="2">
        <f>AV172*0.5+AJ172*0.5</f>
        <v>3.3440934065934076E-2</v>
      </c>
      <c r="BB172" s="2">
        <f t="shared" si="27"/>
        <v>0.75474903474903476</v>
      </c>
      <c r="BC172">
        <f>IF(I172="expected",1,0)</f>
        <v>0</v>
      </c>
      <c r="BD172" s="78">
        <f>IF(BC172=1,AZ172/SUMIFS(AZ$3:AZ$623,$BC$3:$BC$623,1,$G$3:$G$623,$G172),0)</f>
        <v>0</v>
      </c>
      <c r="BE172" s="78">
        <f>IF(BC172=1,BA172/SUMIFS(BA$3:BA$623,$BC$3:$BC$623,1,$G$3:$G$623,$G172),0)</f>
        <v>0</v>
      </c>
      <c r="BF172" s="78">
        <f t="shared" si="28"/>
        <v>0</v>
      </c>
      <c r="BG172" s="2">
        <f t="shared" si="29"/>
        <v>0.75474903474903476</v>
      </c>
      <c r="BH172" s="2">
        <f t="shared" si="30"/>
        <v>0</v>
      </c>
      <c r="BI172" s="2">
        <f t="shared" si="31"/>
        <v>0</v>
      </c>
      <c r="BJ172" s="2">
        <f t="shared" si="32"/>
        <v>0</v>
      </c>
      <c r="BK172" s="2">
        <f t="shared" si="33"/>
        <v>0</v>
      </c>
      <c r="BL172" s="2">
        <f t="shared" si="34"/>
        <v>0.75474903474903476</v>
      </c>
      <c r="BM172" s="2">
        <f t="shared" si="35"/>
        <v>0</v>
      </c>
      <c r="BN172" s="2">
        <f>BI172/SUMIFS(BI$3:BI$623,$BC$3:$BC$623,1,$G$3:$G$623,$G172)</f>
        <v>0</v>
      </c>
      <c r="BO172" s="2">
        <f>BJ172/SUMIFS(BJ$3:BJ$623,$BC$3:$BC$623,1,$G$3:$G$623,$G172)</f>
        <v>0</v>
      </c>
      <c r="BP172" s="2">
        <f>BK172/SUMIFS(BK$3:BK$623,$BC$3:$BC$623,1,$G$3:$G$623,$G172)</f>
        <v>0</v>
      </c>
      <c r="BQ172" s="2">
        <f>BL172</f>
        <v>0.75474903474903476</v>
      </c>
      <c r="BR172" s="2">
        <f>BM172</f>
        <v>0</v>
      </c>
    </row>
    <row r="173" spans="1:70" hidden="1">
      <c r="A173" s="74">
        <v>0</v>
      </c>
      <c r="B173" s="73">
        <v>204629</v>
      </c>
      <c r="C173" s="73" t="s">
        <v>1665</v>
      </c>
      <c r="D173" s="73" t="s">
        <v>1666</v>
      </c>
      <c r="E173" s="73" t="s">
        <v>1667</v>
      </c>
      <c r="F173" s="73">
        <v>18710</v>
      </c>
      <c r="G173" s="73" t="s">
        <v>885</v>
      </c>
      <c r="H173" s="73" t="s">
        <v>943</v>
      </c>
      <c r="I173" s="73" t="s">
        <v>1012</v>
      </c>
      <c r="J173" s="73">
        <v>0</v>
      </c>
      <c r="K173" s="73">
        <v>6</v>
      </c>
      <c r="L173" s="73">
        <v>0</v>
      </c>
      <c r="M173" s="73">
        <v>0</v>
      </c>
      <c r="N173" s="73">
        <v>0</v>
      </c>
      <c r="O173" s="73" t="s">
        <v>1318</v>
      </c>
      <c r="P173" s="73" t="s">
        <v>1668</v>
      </c>
      <c r="Q173" s="73" t="s">
        <v>355</v>
      </c>
      <c r="R173" s="73">
        <v>0</v>
      </c>
      <c r="S173" s="73">
        <v>0</v>
      </c>
      <c r="T173" s="73">
        <v>0</v>
      </c>
      <c r="U173" s="73">
        <v>0</v>
      </c>
      <c r="V173" s="73">
        <v>380</v>
      </c>
      <c r="W173" s="73">
        <v>0</v>
      </c>
      <c r="X173" s="73">
        <v>0</v>
      </c>
      <c r="Y173" s="73">
        <v>0</v>
      </c>
      <c r="Z173" s="73" t="s">
        <v>1037</v>
      </c>
      <c r="AA173" s="73" t="s">
        <v>692</v>
      </c>
      <c r="AB173" s="73" t="str">
        <f>IF(AA173&lt;&gt;"",INDEX(Lookup!$N$2:$N$5,MATCH(Players!AA173,Lookup!$P$2:$P$5,0)),INDEX(Lookup!$N$2:$N$5,MATCH(Players!O173,Lookup!$O$2:$O$5,0)))</f>
        <v>Defense</v>
      </c>
      <c r="AC173" s="73">
        <v>4000000</v>
      </c>
      <c r="AD173" s="73" t="s">
        <v>796</v>
      </c>
      <c r="AE173" s="73" t="str">
        <f>INDEX('Translate table'!$H$2:$H$622,MATCH(Players!P173,'Translate table'!$G$2:$G$622,0))</f>
        <v>Eric Dier</v>
      </c>
      <c r="AF173" s="73">
        <f>IFERROR(INDEX('Euro Qual stats'!$A$1:$L$2071,MATCH(Players!$AE173,'Euro Qual stats'!$A$1:$A$2071,0),MATCH(Players!AF$2,'Euro Qual stats'!$A$1:$L$1,0)),0)</f>
        <v>1</v>
      </c>
      <c r="AG173" s="73">
        <f>IFERROR(INDEX('Euro Qual stats'!$A$1:$L$2071,MATCH(Players!$AE173,'Euro Qual stats'!$A$1:$A$2071,0),MATCH(Players!AG$2,'Euro Qual stats'!$A$1:$L$1,0)),0)</f>
        <v>0</v>
      </c>
      <c r="AH173" s="73">
        <f>IFERROR(INDEX('Euro Qual stats'!$A$1:$L$2071,MATCH(Players!$AE173,'Euro Qual stats'!$A$1:$A$2071,0),MATCH(Players!AH$2,'Euro Qual stats'!$A$1:$L$1,0)),0)</f>
        <v>0</v>
      </c>
      <c r="AI173" s="73">
        <f>IFERROR(INDEX('Euro Qual stats'!$A$1:$L$2071,MATCH(Players!$AE173,'Euro Qual stats'!$A$1:$A$2071,0),MATCH(Players!AI$2,'Euro Qual stats'!$A$1:$L$1,0)),0)</f>
        <v>0</v>
      </c>
      <c r="AJ173" s="93">
        <f>(12-AF173)/12*INDEX(BV$9:BV$12,MATCH($AB173,$BU$9:$BU$12,0))+AF173/12*AG173</f>
        <v>8.1744505494505515E-2</v>
      </c>
      <c r="AK173" s="93">
        <f>(12-AG173)/12*INDEX(BW$9:BW$12,MATCH($AB173,$BU$9:$BU$12,0))+AG173/12*AH173</f>
        <v>0.10357142857142858</v>
      </c>
      <c r="AL173" s="93">
        <f>(12-AH173)/12*INDEX(BX$9:BX$12,MATCH($AB173,$BU$9:$BU$12,0))+AH173/12*AI173</f>
        <v>0.19357142857142848</v>
      </c>
      <c r="AM173" s="93">
        <f>IF($BC173=1,AJ173/SUMIFS(AJ$3:AJ$623,$BC$3:$BC$623,1,$G$3:$G$623,$G173),0)</f>
        <v>0</v>
      </c>
      <c r="AN173" s="93">
        <f>IF($BC173=1,AK173/SUMIFS(AK$3:AK$623,$BC$3:$BC$623,1,$G$3:$G$623,$G173),0)</f>
        <v>0</v>
      </c>
      <c r="AO173" s="93">
        <f>IF($BC173=1,AL173/SUMIFS(AL$3:AL$623,$BC$3:$BC$623,1,$G$3:$G$623,$G173),0)</f>
        <v>0</v>
      </c>
      <c r="AP173" s="2">
        <f>IFERROR(R173/$V173*90,"")</f>
        <v>0</v>
      </c>
      <c r="AQ173" s="2">
        <f>IFERROR(S173/$V173*90,"")</f>
        <v>0</v>
      </c>
      <c r="AR173" s="2">
        <f>IFERROR(W173/$V173*90,"")</f>
        <v>0</v>
      </c>
      <c r="AS173" s="2">
        <f>IFERROR(X173/$V173*90,"")</f>
        <v>0</v>
      </c>
      <c r="AT173" s="2">
        <f>IFERROR(Y173/$V173*90,"")</f>
        <v>0</v>
      </c>
      <c r="AU173" s="2">
        <f>IF(AP173="",INDEX(BV$4:BV$7,MATCH(O173,$BU$4:$BU$7,0)),AP173)</f>
        <v>0</v>
      </c>
      <c r="AV173" s="2">
        <f>IF(AQ173="",INDEX(BW$4:BW$7,MATCH($O173,$BU$4:$BU$7,0)),AQ173)</f>
        <v>0</v>
      </c>
      <c r="AW173" s="2">
        <f t="shared" si="24"/>
        <v>0</v>
      </c>
      <c r="AX173" s="2">
        <f t="shared" si="25"/>
        <v>0</v>
      </c>
      <c r="AY173" s="2">
        <f t="shared" si="26"/>
        <v>0</v>
      </c>
      <c r="AZ173" s="2">
        <f>AU173*0.5+AK173*0.5</f>
        <v>5.1785714285714289E-2</v>
      </c>
      <c r="BA173" s="2">
        <f>AV173*0.5+AJ173*0.5</f>
        <v>4.0872252747252757E-2</v>
      </c>
      <c r="BB173" s="2">
        <f t="shared" si="27"/>
        <v>0</v>
      </c>
      <c r="BC173">
        <f>IF(I173="expected",1,0)</f>
        <v>0</v>
      </c>
      <c r="BD173" s="78">
        <f>IF(BC173=1,AZ173/SUMIFS(AZ$3:AZ$623,$BC$3:$BC$623,1,$G$3:$G$623,$G173),0)</f>
        <v>0</v>
      </c>
      <c r="BE173" s="78">
        <f>IF(BC173=1,BA173/SUMIFS(BA$3:BA$623,$BC$3:$BC$623,1,$G$3:$G$623,$G173),0)</f>
        <v>0</v>
      </c>
      <c r="BF173" s="78">
        <f t="shared" si="28"/>
        <v>0</v>
      </c>
      <c r="BG173" s="2">
        <f t="shared" si="29"/>
        <v>0</v>
      </c>
      <c r="BH173" s="2">
        <f t="shared" si="30"/>
        <v>0</v>
      </c>
      <c r="BI173" s="2">
        <f t="shared" si="31"/>
        <v>0</v>
      </c>
      <c r="BJ173" s="2">
        <f t="shared" si="32"/>
        <v>0</v>
      </c>
      <c r="BK173" s="2">
        <f t="shared" si="33"/>
        <v>0</v>
      </c>
      <c r="BL173" s="2">
        <f t="shared" si="34"/>
        <v>0</v>
      </c>
      <c r="BM173" s="2">
        <f t="shared" si="35"/>
        <v>0</v>
      </c>
      <c r="BN173" s="2">
        <f>BI173/SUMIFS(BI$3:BI$623,$BC$3:$BC$623,1,$G$3:$G$623,$G173)</f>
        <v>0</v>
      </c>
      <c r="BO173" s="2">
        <f>BJ173/SUMIFS(BJ$3:BJ$623,$BC$3:$BC$623,1,$G$3:$G$623,$G173)</f>
        <v>0</v>
      </c>
      <c r="BP173" s="2">
        <f>BK173/SUMIFS(BK$3:BK$623,$BC$3:$BC$623,1,$G$3:$G$623,$G173)</f>
        <v>0</v>
      </c>
      <c r="BQ173" s="2">
        <f>BL173</f>
        <v>0</v>
      </c>
      <c r="BR173" s="2">
        <f>BM173</f>
        <v>0</v>
      </c>
    </row>
    <row r="174" spans="1:70" hidden="1">
      <c r="A174" s="74">
        <v>0</v>
      </c>
      <c r="B174" s="73">
        <v>204619</v>
      </c>
      <c r="C174" s="73" t="s">
        <v>1669</v>
      </c>
      <c r="D174" s="73" t="s">
        <v>1670</v>
      </c>
      <c r="E174" s="73" t="s">
        <v>1073</v>
      </c>
      <c r="F174" s="73">
        <v>18710</v>
      </c>
      <c r="G174" s="73" t="s">
        <v>885</v>
      </c>
      <c r="H174" s="73" t="s">
        <v>943</v>
      </c>
      <c r="I174" s="73" t="s">
        <v>981</v>
      </c>
      <c r="J174" s="73">
        <v>0</v>
      </c>
      <c r="K174" s="73">
        <v>6</v>
      </c>
      <c r="L174" s="73">
        <v>0</v>
      </c>
      <c r="M174" s="73">
        <v>0</v>
      </c>
      <c r="N174" s="73">
        <v>0</v>
      </c>
      <c r="O174" s="73" t="s">
        <v>1318</v>
      </c>
      <c r="P174" s="73" t="s">
        <v>1671</v>
      </c>
      <c r="Q174" s="73" t="s">
        <v>1671</v>
      </c>
      <c r="R174" s="73">
        <v>2</v>
      </c>
      <c r="S174" s="73">
        <v>2</v>
      </c>
      <c r="T174" s="73">
        <v>0</v>
      </c>
      <c r="U174" s="73">
        <v>10</v>
      </c>
      <c r="V174" s="73">
        <v>2970</v>
      </c>
      <c r="W174" s="73">
        <v>3</v>
      </c>
      <c r="X174" s="73">
        <v>2</v>
      </c>
      <c r="Y174" s="73">
        <v>0</v>
      </c>
      <c r="Z174" s="73" t="s">
        <v>1037</v>
      </c>
      <c r="AA174" s="73" t="s">
        <v>692</v>
      </c>
      <c r="AB174" s="73" t="str">
        <f>IF(AA174&lt;&gt;"",INDEX(Lookup!$N$2:$N$5,MATCH(Players!AA174,Lookup!$P$2:$P$5,0)),INDEX(Lookup!$N$2:$N$5,MATCH(Players!O174,Lookup!$O$2:$O$5,0)))</f>
        <v>Defense</v>
      </c>
      <c r="AC174" s="73">
        <v>3000000</v>
      </c>
      <c r="AD174" s="73" t="s">
        <v>820</v>
      </c>
      <c r="AE174" s="73" t="str">
        <f>INDEX('Translate table'!$H$2:$H$622,MATCH(Players!P174,'Translate table'!$G$2:$G$622,0))</f>
        <v>Pau Francisco Torres</v>
      </c>
      <c r="AF174" s="73">
        <f>IFERROR(INDEX('Euro Qual stats'!$A$1:$L$2071,MATCH(Players!$AE174,'Euro Qual stats'!$A$1:$A$2071,0),MATCH(Players!AF$2,'Euro Qual stats'!$A$1:$L$1,0)),0)</f>
        <v>1</v>
      </c>
      <c r="AG174" s="73">
        <f>IFERROR(INDEX('Euro Qual stats'!$A$1:$L$2071,MATCH(Players!$AE174,'Euro Qual stats'!$A$1:$A$2071,0),MATCH(Players!AG$2,'Euro Qual stats'!$A$1:$L$1,0)),0)</f>
        <v>0</v>
      </c>
      <c r="AH174" s="73">
        <f>IFERROR(INDEX('Euro Qual stats'!$A$1:$L$2071,MATCH(Players!$AE174,'Euro Qual stats'!$A$1:$A$2071,0),MATCH(Players!AH$2,'Euro Qual stats'!$A$1:$L$1,0)),0)</f>
        <v>3.1</v>
      </c>
      <c r="AI174" s="73">
        <f>IFERROR(INDEX('Euro Qual stats'!$A$1:$L$2071,MATCH(Players!$AE174,'Euro Qual stats'!$A$1:$A$2071,0),MATCH(Players!AI$2,'Euro Qual stats'!$A$1:$L$1,0)),0)</f>
        <v>0</v>
      </c>
      <c r="AJ174" s="93">
        <f>(12-AF174)/12*INDEX(BV$9:BV$12,MATCH($AB174,$BU$9:$BU$12,0))+AF174/12*AG174</f>
        <v>8.1744505494505515E-2</v>
      </c>
      <c r="AK174" s="93">
        <f>(12-AG174)/12*INDEX(BW$9:BW$12,MATCH($AB174,$BU$9:$BU$12,0))+AG174/12*AH174</f>
        <v>0.10357142857142858</v>
      </c>
      <c r="AL174" s="93">
        <f>(12-AH174)/12*INDEX(BX$9:BX$12,MATCH($AB174,$BU$9:$BU$12,0))+AH174/12*AI174</f>
        <v>0.14356547619047613</v>
      </c>
      <c r="AM174" s="93">
        <f>IF($BC174=1,AJ174/SUMIFS(AJ$3:AJ$623,$BC$3:$BC$623,1,$G$3:$G$623,$G174),0)</f>
        <v>4.3269885716588734E-2</v>
      </c>
      <c r="AN174" s="93">
        <f>IF($BC174=1,AK174/SUMIFS(AK$3:AK$623,$BC$3:$BC$623,1,$G$3:$G$623,$G174),0)</f>
        <v>3.2610714087846014E-2</v>
      </c>
      <c r="AO174" s="93">
        <f>IF($BC174=1,AL174/SUMIFS(AL$3:AL$623,$BC$3:$BC$623,1,$G$3:$G$623,$G174),0)</f>
        <v>7.910126287164139E-2</v>
      </c>
      <c r="AP174" s="2">
        <f>IFERROR(R174/$V174*90,"")</f>
        <v>6.0606060606060608E-2</v>
      </c>
      <c r="AQ174" s="2">
        <f>IFERROR(S174/$V174*90,"")</f>
        <v>6.0606060606060608E-2</v>
      </c>
      <c r="AR174" s="2">
        <f>IFERROR(W174/$V174*90,"")</f>
        <v>9.0909090909090912E-2</v>
      </c>
      <c r="AS174" s="2">
        <f>IFERROR(X174/$V174*90,"")</f>
        <v>6.0606060606060608E-2</v>
      </c>
      <c r="AT174" s="2">
        <f>IFERROR(Y174/$V174*90,"")</f>
        <v>0</v>
      </c>
      <c r="AU174" s="2">
        <f>IF(AP174="",INDEX(BV$4:BV$7,MATCH(O174,$BU$4:$BU$7,0)),AP174)</f>
        <v>6.0606060606060608E-2</v>
      </c>
      <c r="AV174" s="2">
        <f>IF(AQ174="",INDEX(BW$4:BW$7,MATCH($O174,$BU$4:$BU$7,0)),AQ174)</f>
        <v>6.0606060606060608E-2</v>
      </c>
      <c r="AW174" s="2">
        <f t="shared" si="24"/>
        <v>9.0909090909090912E-2</v>
      </c>
      <c r="AX174" s="2">
        <f t="shared" si="25"/>
        <v>6.0606060606060608E-2</v>
      </c>
      <c r="AY174" s="2">
        <f t="shared" si="26"/>
        <v>0</v>
      </c>
      <c r="AZ174" s="2">
        <f>AU174*0.5+AK174*0.5</f>
        <v>8.20887445887446E-2</v>
      </c>
      <c r="BA174" s="2">
        <f>AV174*0.5+AJ174*0.5</f>
        <v>7.1175283050283061E-2</v>
      </c>
      <c r="BB174" s="2">
        <f t="shared" si="27"/>
        <v>3.0303030303030304E-2</v>
      </c>
      <c r="BC174">
        <f>IF(I174="expected",1,0)</f>
        <v>1</v>
      </c>
      <c r="BD174" s="78">
        <f>IF(BC174=1,AZ174/SUMIFS(AZ$3:AZ$623,$BC$3:$BC$623,1,$G$3:$G$623,$G174),0)</f>
        <v>2.9186902173126528E-2</v>
      </c>
      <c r="BE174" s="78">
        <f>IF(BC174=1,BA174/SUMIFS(BA$3:BA$623,$BC$3:$BC$623,1,$G$3:$G$623,$G174),0)</f>
        <v>3.5482650167120128E-2</v>
      </c>
      <c r="BF174" s="78">
        <f t="shared" si="28"/>
        <v>1.4828064607567035E-2</v>
      </c>
      <c r="BG174" s="2">
        <f t="shared" si="29"/>
        <v>3.0303030303030304E-2</v>
      </c>
      <c r="BH174" s="2">
        <f t="shared" si="30"/>
        <v>0</v>
      </c>
      <c r="BI174" s="2">
        <f t="shared" si="31"/>
        <v>2.9186902173126528E-2</v>
      </c>
      <c r="BJ174" s="2">
        <f t="shared" si="32"/>
        <v>3.5482650167120128E-2</v>
      </c>
      <c r="BK174" s="2">
        <f t="shared" si="33"/>
        <v>1.4828064607567035E-2</v>
      </c>
      <c r="BL174" s="2">
        <f t="shared" si="34"/>
        <v>3.0303030303030304E-2</v>
      </c>
      <c r="BM174" s="2">
        <f t="shared" si="35"/>
        <v>0</v>
      </c>
      <c r="BN174" s="2">
        <f>BI174/SUMIFS(BI$3:BI$623,$BC$3:$BC$623,1,$G$3:$G$623,$G174)</f>
        <v>2.9186902173126521E-2</v>
      </c>
      <c r="BO174" s="2">
        <f>BJ174/SUMIFS(BJ$3:BJ$623,$BC$3:$BC$623,1,$G$3:$G$623,$G174)</f>
        <v>3.5482650167120128E-2</v>
      </c>
      <c r="BP174" s="2">
        <f>BK174/SUMIFS(BK$3:BK$623,$BC$3:$BC$623,1,$G$3:$G$623,$G174)</f>
        <v>1.4828064607567039E-2</v>
      </c>
      <c r="BQ174" s="2">
        <f>BL174</f>
        <v>3.0303030303030304E-2</v>
      </c>
      <c r="BR174" s="2">
        <f>BM174</f>
        <v>0</v>
      </c>
    </row>
    <row r="175" spans="1:70" hidden="1">
      <c r="A175" s="74">
        <v>0</v>
      </c>
      <c r="B175" s="73">
        <v>213457</v>
      </c>
      <c r="C175" s="73" t="s">
        <v>1672</v>
      </c>
      <c r="D175" s="73"/>
      <c r="E175" s="73" t="s">
        <v>1673</v>
      </c>
      <c r="F175" s="73">
        <v>18710</v>
      </c>
      <c r="G175" s="73" t="s">
        <v>885</v>
      </c>
      <c r="H175" s="73" t="s">
        <v>943</v>
      </c>
      <c r="I175" s="73" t="s">
        <v>1012</v>
      </c>
      <c r="J175" s="73">
        <v>0</v>
      </c>
      <c r="K175" s="73">
        <v>6</v>
      </c>
      <c r="L175" s="73">
        <v>0</v>
      </c>
      <c r="M175" s="73">
        <v>0</v>
      </c>
      <c r="N175" s="73">
        <v>0</v>
      </c>
      <c r="O175" s="73" t="s">
        <v>994</v>
      </c>
      <c r="P175" s="73" t="s">
        <v>1674</v>
      </c>
      <c r="Q175" s="73" t="s">
        <v>1675</v>
      </c>
      <c r="R175" s="73">
        <v>2</v>
      </c>
      <c r="S175" s="73">
        <v>1</v>
      </c>
      <c r="T175" s="73">
        <v>0</v>
      </c>
      <c r="U175" s="73">
        <v>3</v>
      </c>
      <c r="V175" s="73">
        <v>1440</v>
      </c>
      <c r="W175" s="73">
        <v>4</v>
      </c>
      <c r="X175" s="73">
        <v>8</v>
      </c>
      <c r="Y175" s="73">
        <v>0</v>
      </c>
      <c r="Z175" s="73" t="s">
        <v>1037</v>
      </c>
      <c r="AA175" s="73" t="s">
        <v>691</v>
      </c>
      <c r="AB175" s="73" t="str">
        <f>IF(AA175&lt;&gt;"",INDEX(Lookup!$N$2:$N$5,MATCH(Players!AA175,Lookup!$P$2:$P$5,0)),INDEX(Lookup!$N$2:$N$5,MATCH(Players!O175,Lookup!$O$2:$O$5,0)))</f>
        <v>Midfield</v>
      </c>
      <c r="AC175" s="73">
        <v>3500000</v>
      </c>
      <c r="AD175" s="73" t="s">
        <v>848</v>
      </c>
      <c r="AE175" s="73" t="str">
        <f>INDEX('Translate table'!$H$2:$H$622,MATCH(Players!P175,'Translate table'!$G$2:$G$622,0))</f>
        <v>Marc Vales GonzÃ¡lez</v>
      </c>
      <c r="AF175" s="73">
        <f>IFERROR(INDEX('Euro Qual stats'!$A$1:$L$2071,MATCH(Players!$AE175,'Euro Qual stats'!$A$1:$A$2071,0),MATCH(Players!AF$2,'Euro Qual stats'!$A$1:$L$1,0)),0)</f>
        <v>10</v>
      </c>
      <c r="AG175" s="73">
        <f>IFERROR(INDEX('Euro Qual stats'!$A$1:$L$2071,MATCH(Players!$AE175,'Euro Qual stats'!$A$1:$A$2071,0),MATCH(Players!AG$2,'Euro Qual stats'!$A$1:$L$1,0)),0)</f>
        <v>0</v>
      </c>
      <c r="AH175" s="73">
        <f>IFERROR(INDEX('Euro Qual stats'!$A$1:$L$2071,MATCH(Players!$AE175,'Euro Qual stats'!$A$1:$A$2071,0),MATCH(Players!AH$2,'Euro Qual stats'!$A$1:$L$1,0)),0)</f>
        <v>0.1</v>
      </c>
      <c r="AI175" s="73">
        <f>IFERROR(INDEX('Euro Qual stats'!$A$1:$L$2071,MATCH(Players!$AE175,'Euro Qual stats'!$A$1:$A$2071,0),MATCH(Players!AI$2,'Euro Qual stats'!$A$1:$L$1,0)),0)</f>
        <v>0.2</v>
      </c>
      <c r="AJ175" s="93">
        <f>(12-AF175)/12*INDEX(BV$9:BV$12,MATCH($AB175,$BU$9:$BU$12,0))+AF175/12*AG175</f>
        <v>2.8115183246073296E-2</v>
      </c>
      <c r="AK175" s="93">
        <f>(12-AG175)/12*INDEX(BW$9:BW$12,MATCH($AB175,$BU$9:$BU$12,0))+AG175/12*AH175</f>
        <v>0.22340314136125652</v>
      </c>
      <c r="AL175" s="93">
        <f>(12-AH175)/12*INDEX(BX$9:BX$12,MATCH($AB175,$BU$9:$BU$12,0))+AH175/12*AI175</f>
        <v>0.23909554973821995</v>
      </c>
      <c r="AM175" s="93">
        <f>IF($BC175=1,AJ175/SUMIFS(AJ$3:AJ$623,$BC$3:$BC$623,1,$G$3:$G$623,$G175),0)</f>
        <v>0</v>
      </c>
      <c r="AN175" s="93">
        <f>IF($BC175=1,AK175/SUMIFS(AK$3:AK$623,$BC$3:$BC$623,1,$G$3:$G$623,$G175),0)</f>
        <v>0</v>
      </c>
      <c r="AO175" s="93">
        <f>IF($BC175=1,AL175/SUMIFS(AL$3:AL$623,$BC$3:$BC$623,1,$G$3:$G$623,$G175),0)</f>
        <v>0</v>
      </c>
      <c r="AP175" s="2">
        <f>IFERROR(R175/$V175*90,"")</f>
        <v>0.125</v>
      </c>
      <c r="AQ175" s="2">
        <f>IFERROR(S175/$V175*90,"")</f>
        <v>6.25E-2</v>
      </c>
      <c r="AR175" s="2">
        <f>IFERROR(W175/$V175*90,"")</f>
        <v>0.25</v>
      </c>
      <c r="AS175" s="2">
        <f>IFERROR(X175/$V175*90,"")</f>
        <v>0.5</v>
      </c>
      <c r="AT175" s="2">
        <f>IFERROR(Y175/$V175*90,"")</f>
        <v>0</v>
      </c>
      <c r="AU175" s="2">
        <f>IF(AP175="",INDEX(BV$4:BV$7,MATCH(O175,$BU$4:$BU$7,0)),AP175)</f>
        <v>0.125</v>
      </c>
      <c r="AV175" s="2">
        <f>IF(AQ175="",INDEX(BW$4:BW$7,MATCH($O175,$BU$4:$BU$7,0)),AQ175)</f>
        <v>6.25E-2</v>
      </c>
      <c r="AW175" s="2">
        <f t="shared" si="24"/>
        <v>0.25</v>
      </c>
      <c r="AX175" s="2">
        <f t="shared" si="25"/>
        <v>0.5</v>
      </c>
      <c r="AY175" s="2">
        <f t="shared" si="26"/>
        <v>0</v>
      </c>
      <c r="AZ175" s="2">
        <f>AU175*0.5+AK175*0.5</f>
        <v>0.17420157068062825</v>
      </c>
      <c r="BA175" s="2">
        <f>AV175*0.5+AJ175*0.5</f>
        <v>4.5307591623036644E-2</v>
      </c>
      <c r="BB175" s="2">
        <f t="shared" si="27"/>
        <v>0.35</v>
      </c>
      <c r="BC175">
        <f>IF(I175="expected",1,0)</f>
        <v>0</v>
      </c>
      <c r="BD175" s="78">
        <f>IF(BC175=1,AZ175/SUMIFS(AZ$3:AZ$623,$BC$3:$BC$623,1,$G$3:$G$623,$G175),0)</f>
        <v>0</v>
      </c>
      <c r="BE175" s="78">
        <f>IF(BC175=1,BA175/SUMIFS(BA$3:BA$623,$BC$3:$BC$623,1,$G$3:$G$623,$G175),0)</f>
        <v>0</v>
      </c>
      <c r="BF175" s="78">
        <f t="shared" si="28"/>
        <v>0</v>
      </c>
      <c r="BG175" s="2">
        <f t="shared" si="29"/>
        <v>0.35</v>
      </c>
      <c r="BH175" s="2">
        <f t="shared" si="30"/>
        <v>0</v>
      </c>
      <c r="BI175" s="2">
        <f t="shared" si="31"/>
        <v>0</v>
      </c>
      <c r="BJ175" s="2">
        <f t="shared" si="32"/>
        <v>0</v>
      </c>
      <c r="BK175" s="2">
        <f t="shared" si="33"/>
        <v>0</v>
      </c>
      <c r="BL175" s="2">
        <f t="shared" si="34"/>
        <v>0.35</v>
      </c>
      <c r="BM175" s="2">
        <f t="shared" si="35"/>
        <v>0</v>
      </c>
      <c r="BN175" s="2">
        <f>BI175/SUMIFS(BI$3:BI$623,$BC$3:$BC$623,1,$G$3:$G$623,$G175)</f>
        <v>0</v>
      </c>
      <c r="BO175" s="2">
        <f>BJ175/SUMIFS(BJ$3:BJ$623,$BC$3:$BC$623,1,$G$3:$G$623,$G175)</f>
        <v>0</v>
      </c>
      <c r="BP175" s="2">
        <f>BK175/SUMIFS(BK$3:BK$623,$BC$3:$BC$623,1,$G$3:$G$623,$G175)</f>
        <v>0</v>
      </c>
      <c r="BQ175" s="2">
        <f>BL175</f>
        <v>0.35</v>
      </c>
      <c r="BR175" s="2">
        <f>BM175</f>
        <v>0</v>
      </c>
    </row>
    <row r="176" spans="1:70" hidden="1">
      <c r="A176" s="74">
        <v>0</v>
      </c>
      <c r="B176" s="73">
        <v>204648</v>
      </c>
      <c r="C176" s="73" t="s">
        <v>1676</v>
      </c>
      <c r="D176" s="73" t="s">
        <v>1457</v>
      </c>
      <c r="E176" s="73" t="s">
        <v>1677</v>
      </c>
      <c r="F176" s="73">
        <v>18710</v>
      </c>
      <c r="G176" s="73" t="s">
        <v>885</v>
      </c>
      <c r="H176" s="73" t="s">
        <v>943</v>
      </c>
      <c r="I176" s="73" t="s">
        <v>1012</v>
      </c>
      <c r="J176" s="73">
        <v>0</v>
      </c>
      <c r="K176" s="73">
        <v>6</v>
      </c>
      <c r="L176" s="73">
        <v>0</v>
      </c>
      <c r="M176" s="73">
        <v>0</v>
      </c>
      <c r="N176" s="73">
        <v>0</v>
      </c>
      <c r="O176" s="73" t="s">
        <v>994</v>
      </c>
      <c r="P176" s="73" t="s">
        <v>1678</v>
      </c>
      <c r="Q176" s="73" t="s">
        <v>1678</v>
      </c>
      <c r="R176" s="73">
        <v>0</v>
      </c>
      <c r="S176" s="73">
        <v>5</v>
      </c>
      <c r="T176" s="73">
        <v>0</v>
      </c>
      <c r="U176" s="73">
        <v>5</v>
      </c>
      <c r="V176" s="73">
        <v>2527</v>
      </c>
      <c r="W176" s="73">
        <v>1</v>
      </c>
      <c r="X176" s="73">
        <v>9</v>
      </c>
      <c r="Y176" s="73">
        <v>0</v>
      </c>
      <c r="Z176" s="73" t="s">
        <v>1037</v>
      </c>
      <c r="AA176" s="73" t="s">
        <v>691</v>
      </c>
      <c r="AB176" s="73" t="str">
        <f>IF(AA176&lt;&gt;"",INDEX(Lookup!$N$2:$N$5,MATCH(Players!AA176,Lookup!$P$2:$P$5,0)),INDEX(Lookup!$N$2:$N$5,MATCH(Players!O176,Lookup!$O$2:$O$5,0)))</f>
        <v>Midfield</v>
      </c>
      <c r="AC176" s="73">
        <v>4500000</v>
      </c>
      <c r="AD176" s="73" t="s">
        <v>805</v>
      </c>
      <c r="AE176" s="73" t="str">
        <f>INDEX('Translate table'!$H$2:$H$622,MATCH(Players!P176,'Translate table'!$G$2:$G$622,0))</f>
        <v>Sergio Busquets</v>
      </c>
      <c r="AF176" s="73">
        <f>IFERROR(INDEX('Euro Qual stats'!$A$1:$L$2071,MATCH(Players!$AE176,'Euro Qual stats'!$A$1:$A$2071,0),MATCH(Players!AF$2,'Euro Qual stats'!$A$1:$L$1,0)),0)</f>
        <v>5</v>
      </c>
      <c r="AG176" s="73">
        <f>IFERROR(INDEX('Euro Qual stats'!$A$1:$L$2071,MATCH(Players!$AE176,'Euro Qual stats'!$A$1:$A$2071,0),MATCH(Players!AG$2,'Euro Qual stats'!$A$1:$L$1,0)),0)</f>
        <v>0.4</v>
      </c>
      <c r="AH176" s="73">
        <f>IFERROR(INDEX('Euro Qual stats'!$A$1:$L$2071,MATCH(Players!$AE176,'Euro Qual stats'!$A$1:$A$2071,0),MATCH(Players!AH$2,'Euro Qual stats'!$A$1:$L$1,0)),0)</f>
        <v>0</v>
      </c>
      <c r="AI176" s="73">
        <f>IFERROR(INDEX('Euro Qual stats'!$A$1:$L$2071,MATCH(Players!$AE176,'Euro Qual stats'!$A$1:$A$2071,0),MATCH(Players!AI$2,'Euro Qual stats'!$A$1:$L$1,0)),0)</f>
        <v>0.4</v>
      </c>
      <c r="AJ176" s="93">
        <f>(12-AF176)/12*INDEX(BV$9:BV$12,MATCH($AB176,$BU$9:$BU$12,0))+AF176/12*AG176</f>
        <v>0.26506980802792324</v>
      </c>
      <c r="AK176" s="93">
        <f>(12-AG176)/12*INDEX(BW$9:BW$12,MATCH($AB176,$BU$9:$BU$12,0))+AG176/12*AH176</f>
        <v>0.21595636998254797</v>
      </c>
      <c r="AL176" s="93">
        <f>(12-AH176)/12*INDEX(BX$9:BX$12,MATCH($AB176,$BU$9:$BU$12,0))+AH176/12*AI176</f>
        <v>0.23942408376963353</v>
      </c>
      <c r="AM176" s="93">
        <f>IF($BC176=1,AJ176/SUMIFS(AJ$3:AJ$623,$BC$3:$BC$623,1,$G$3:$G$623,$G176),0)</f>
        <v>0</v>
      </c>
      <c r="AN176" s="93">
        <f>IF($BC176=1,AK176/SUMIFS(AK$3:AK$623,$BC$3:$BC$623,1,$G$3:$G$623,$G176),0)</f>
        <v>0</v>
      </c>
      <c r="AO176" s="93">
        <f>IF($BC176=1,AL176/SUMIFS(AL$3:AL$623,$BC$3:$BC$623,1,$G$3:$G$623,$G176),0)</f>
        <v>0</v>
      </c>
      <c r="AP176" s="2">
        <f>IFERROR(R176/$V176*90,"")</f>
        <v>0</v>
      </c>
      <c r="AQ176" s="2">
        <f>IFERROR(S176/$V176*90,"")</f>
        <v>0.17807677087455481</v>
      </c>
      <c r="AR176" s="2">
        <f>IFERROR(W176/$V176*90,"")</f>
        <v>3.5615354174910963E-2</v>
      </c>
      <c r="AS176" s="2">
        <f>IFERROR(X176/$V176*90,"")</f>
        <v>0.32053818757419866</v>
      </c>
      <c r="AT176" s="2">
        <f>IFERROR(Y176/$V176*90,"")</f>
        <v>0</v>
      </c>
      <c r="AU176" s="2">
        <f>IF(AP176="",INDEX(BV$4:BV$7,MATCH(O176,$BU$4:$BU$7,0)),AP176)</f>
        <v>0</v>
      </c>
      <c r="AV176" s="2">
        <f>IF(AQ176="",INDEX(BW$4:BW$7,MATCH($O176,$BU$4:$BU$7,0)),AQ176)</f>
        <v>0.17807677087455481</v>
      </c>
      <c r="AW176" s="2">
        <f t="shared" si="24"/>
        <v>3.5615354174910963E-2</v>
      </c>
      <c r="AX176" s="2">
        <f t="shared" si="25"/>
        <v>0.32053818757419866</v>
      </c>
      <c r="AY176" s="2">
        <f t="shared" si="26"/>
        <v>0</v>
      </c>
      <c r="AZ176" s="2">
        <f>AU176*0.5+AK176*0.5</f>
        <v>0.10797818499127398</v>
      </c>
      <c r="BA176" s="2">
        <f>AV176*0.5+AJ176*0.5</f>
        <v>0.22157328945123902</v>
      </c>
      <c r="BB176" s="2">
        <f t="shared" si="27"/>
        <v>0.36026909378709937</v>
      </c>
      <c r="BC176">
        <f>IF(I176="expected",1,0)</f>
        <v>0</v>
      </c>
      <c r="BD176" s="78">
        <f>IF(BC176=1,AZ176/SUMIFS(AZ$3:AZ$623,$BC$3:$BC$623,1,$G$3:$G$623,$G176),0)</f>
        <v>0</v>
      </c>
      <c r="BE176" s="78">
        <f>IF(BC176=1,BA176/SUMIFS(BA$3:BA$623,$BC$3:$BC$623,1,$G$3:$G$623,$G176),0)</f>
        <v>0</v>
      </c>
      <c r="BF176" s="78">
        <f t="shared" si="28"/>
        <v>0</v>
      </c>
      <c r="BG176" s="2">
        <f t="shared" si="29"/>
        <v>0.36026909378709937</v>
      </c>
      <c r="BH176" s="2">
        <f t="shared" si="30"/>
        <v>0</v>
      </c>
      <c r="BI176" s="2">
        <f t="shared" si="31"/>
        <v>0</v>
      </c>
      <c r="BJ176" s="2">
        <f t="shared" si="32"/>
        <v>0</v>
      </c>
      <c r="BK176" s="2">
        <f t="shared" si="33"/>
        <v>0</v>
      </c>
      <c r="BL176" s="2">
        <f t="shared" si="34"/>
        <v>0.36026909378709937</v>
      </c>
      <c r="BM176" s="2">
        <f t="shared" si="35"/>
        <v>0</v>
      </c>
      <c r="BN176" s="2">
        <f>BI176/SUMIFS(BI$3:BI$623,$BC$3:$BC$623,1,$G$3:$G$623,$G176)</f>
        <v>0</v>
      </c>
      <c r="BO176" s="2">
        <f>BJ176/SUMIFS(BJ$3:BJ$623,$BC$3:$BC$623,1,$G$3:$G$623,$G176)</f>
        <v>0</v>
      </c>
      <c r="BP176" s="2">
        <f>BK176/SUMIFS(BK$3:BK$623,$BC$3:$BC$623,1,$G$3:$G$623,$G176)</f>
        <v>0</v>
      </c>
      <c r="BQ176" s="2">
        <f>BL176</f>
        <v>0.36026909378709937</v>
      </c>
      <c r="BR176" s="2">
        <f>BM176</f>
        <v>0</v>
      </c>
    </row>
    <row r="177" spans="1:70" hidden="1">
      <c r="A177" s="74">
        <v>0</v>
      </c>
      <c r="B177" s="73">
        <v>204505</v>
      </c>
      <c r="C177" s="73" t="s">
        <v>1679</v>
      </c>
      <c r="D177" s="73" t="s">
        <v>1680</v>
      </c>
      <c r="E177" s="73" t="s">
        <v>1681</v>
      </c>
      <c r="F177" s="73">
        <v>18624</v>
      </c>
      <c r="G177" s="73" t="s">
        <v>877</v>
      </c>
      <c r="H177" s="73" t="s">
        <v>951</v>
      </c>
      <c r="I177" s="73" t="s">
        <v>981</v>
      </c>
      <c r="J177" s="73">
        <v>0</v>
      </c>
      <c r="K177" s="73">
        <v>6</v>
      </c>
      <c r="L177" s="73">
        <v>0</v>
      </c>
      <c r="M177" s="73">
        <v>0</v>
      </c>
      <c r="N177" s="73">
        <v>0</v>
      </c>
      <c r="O177" s="73" t="s">
        <v>994</v>
      </c>
      <c r="P177" s="73" t="s">
        <v>449</v>
      </c>
      <c r="Q177" s="73" t="s">
        <v>449</v>
      </c>
      <c r="R177" s="73">
        <v>0</v>
      </c>
      <c r="S177" s="73">
        <v>0</v>
      </c>
      <c r="T177" s="73">
        <v>0</v>
      </c>
      <c r="U177" s="73">
        <v>7</v>
      </c>
      <c r="V177" s="73">
        <v>1474</v>
      </c>
      <c r="W177" s="73">
        <v>4</v>
      </c>
      <c r="X177" s="73">
        <v>0</v>
      </c>
      <c r="Y177" s="73">
        <v>0</v>
      </c>
      <c r="Z177" s="73" t="s">
        <v>877</v>
      </c>
      <c r="AA177" s="73" t="s">
        <v>691</v>
      </c>
      <c r="AB177" s="73" t="str">
        <f>IF(AA177&lt;&gt;"",INDEX(Lookup!$N$2:$N$5,MATCH(Players!AA177,Lookup!$P$2:$P$5,0)),INDEX(Lookup!$N$2:$N$5,MATCH(Players!O177,Lookup!$O$2:$O$5,0)))</f>
        <v>Midfield</v>
      </c>
      <c r="AC177" s="73">
        <v>3500000</v>
      </c>
      <c r="AD177" s="73" t="s">
        <v>798</v>
      </c>
      <c r="AE177" s="73" t="str">
        <f>INDEX('Translate table'!$H$2:$H$622,MATCH(Players!P177,'Translate table'!$G$2:$G$622,0))</f>
        <v>Oleksandr Zinchenko</v>
      </c>
      <c r="AF177" s="73">
        <f>IFERROR(INDEX('Euro Qual stats'!$A$1:$L$2071,MATCH(Players!$AE177,'Euro Qual stats'!$A$1:$A$2071,0),MATCH(Players!AF$2,'Euro Qual stats'!$A$1:$L$1,0)),0)</f>
        <v>7</v>
      </c>
      <c r="AG177" s="73">
        <f>IFERROR(INDEX('Euro Qual stats'!$A$1:$L$2071,MATCH(Players!$AE177,'Euro Qual stats'!$A$1:$A$2071,0),MATCH(Players!AG$2,'Euro Qual stats'!$A$1:$L$1,0)),0)</f>
        <v>0.14000000000000001</v>
      </c>
      <c r="AH177" s="73">
        <f>IFERROR(INDEX('Euro Qual stats'!$A$1:$L$2071,MATCH(Players!$AE177,'Euro Qual stats'!$A$1:$A$2071,0),MATCH(Players!AH$2,'Euro Qual stats'!$A$1:$L$1,0)),0)</f>
        <v>0.14000000000000001</v>
      </c>
      <c r="AI177" s="73">
        <f>IFERROR(INDEX('Euro Qual stats'!$A$1:$L$2071,MATCH(Players!$AE177,'Euro Qual stats'!$A$1:$A$2071,0),MATCH(Players!AI$2,'Euro Qual stats'!$A$1:$L$1,0)),0)</f>
        <v>0.28999999999999998</v>
      </c>
      <c r="AJ177" s="93">
        <f>(12-AF177)/12*INDEX(BV$9:BV$12,MATCH($AB177,$BU$9:$BU$12,0))+AF177/12*AG177</f>
        <v>0.15195462478184993</v>
      </c>
      <c r="AK177" s="93">
        <f>(12-AG177)/12*INDEX(BW$9:BW$12,MATCH($AB177,$BU$9:$BU$12,0))+AG177/12*AH177</f>
        <v>0.22243010471204183</v>
      </c>
      <c r="AL177" s="93">
        <f>(12-AH177)/12*INDEX(BX$9:BX$12,MATCH($AB177,$BU$9:$BU$12,0))+AH177/12*AI177</f>
        <v>0.24001413612565445</v>
      </c>
      <c r="AM177" s="93">
        <f>IF($BC177=1,AJ177/SUMIFS(AJ$3:AJ$623,$BC$3:$BC$623,1,$G$3:$G$623,$G177),0)</f>
        <v>9.4346031192924285E-2</v>
      </c>
      <c r="AN177" s="93">
        <f>IF($BC177=1,AK177/SUMIFS(AK$3:AK$623,$BC$3:$BC$623,1,$G$3:$G$623,$G177),0)</f>
        <v>0.10706364031617834</v>
      </c>
      <c r="AO177" s="93">
        <f>IF($BC177=1,AL177/SUMIFS(AL$3:AL$623,$BC$3:$BC$623,1,$G$3:$G$623,$G177),0)</f>
        <v>0.11429659775987706</v>
      </c>
      <c r="AP177" s="2">
        <f>IFERROR(R177/$V177*90,"")</f>
        <v>0</v>
      </c>
      <c r="AQ177" s="2">
        <f>IFERROR(S177/$V177*90,"")</f>
        <v>0</v>
      </c>
      <c r="AR177" s="2">
        <f>IFERROR(W177/$V177*90,"")</f>
        <v>0.24423337856173674</v>
      </c>
      <c r="AS177" s="2">
        <f>IFERROR(X177/$V177*90,"")</f>
        <v>0</v>
      </c>
      <c r="AT177" s="2">
        <f>IFERROR(Y177/$V177*90,"")</f>
        <v>0</v>
      </c>
      <c r="AU177" s="2">
        <f>IF(AP177="",INDEX(BV$4:BV$7,MATCH(O177,$BU$4:$BU$7,0)),AP177)</f>
        <v>0</v>
      </c>
      <c r="AV177" s="2">
        <f>IF(AQ177="",INDEX(BW$4:BW$7,MATCH($O177,$BU$4:$BU$7,0)),AQ177)</f>
        <v>0</v>
      </c>
      <c r="AW177" s="2">
        <f t="shared" si="24"/>
        <v>0.24423337856173674</v>
      </c>
      <c r="AX177" s="2">
        <f t="shared" si="25"/>
        <v>0</v>
      </c>
      <c r="AY177" s="2">
        <f t="shared" si="26"/>
        <v>0</v>
      </c>
      <c r="AZ177" s="2">
        <f>AU177*0.5+AK177*0.5</f>
        <v>0.11121505235602092</v>
      </c>
      <c r="BA177" s="2">
        <f>AV177*0.5+AJ177*0.5</f>
        <v>7.5977312390924964E-2</v>
      </c>
      <c r="BB177" s="2">
        <f t="shared" si="27"/>
        <v>0.14499999999999999</v>
      </c>
      <c r="BC177">
        <f>IF(I177="expected",1,0)</f>
        <v>1</v>
      </c>
      <c r="BD177" s="78">
        <f>IF(BC177=1,AZ177/SUMIFS(AZ$3:AZ$623,$BC$3:$BC$623,1,$G$3:$G$623,$G177),0)</f>
        <v>8.0244159222431194E-2</v>
      </c>
      <c r="BE177" s="78">
        <f>IF(BC177=1,BA177/SUMIFS(BA$3:BA$623,$BC$3:$BC$623,1,$G$3:$G$623,$G177),0)</f>
        <v>5.7681430077683421E-2</v>
      </c>
      <c r="BF177" s="78">
        <f t="shared" si="28"/>
        <v>7.6579489259242281E-2</v>
      </c>
      <c r="BG177" s="2">
        <f t="shared" si="29"/>
        <v>0.14499999999999999</v>
      </c>
      <c r="BH177" s="2">
        <f t="shared" si="30"/>
        <v>0</v>
      </c>
      <c r="BI177" s="2">
        <f t="shared" si="31"/>
        <v>8.0244159222431194E-2</v>
      </c>
      <c r="BJ177" s="2">
        <f t="shared" si="32"/>
        <v>5.7681430077683421E-2</v>
      </c>
      <c r="BK177" s="2">
        <f t="shared" si="33"/>
        <v>7.6579489259242281E-2</v>
      </c>
      <c r="BL177" s="2">
        <f t="shared" si="34"/>
        <v>0.14499999999999999</v>
      </c>
      <c r="BM177" s="2">
        <f t="shared" si="35"/>
        <v>0</v>
      </c>
      <c r="BN177" s="2">
        <f>BI177/SUMIFS(BI$3:BI$623,$BC$3:$BC$623,1,$G$3:$G$623,$G177)</f>
        <v>8.0244159222431194E-2</v>
      </c>
      <c r="BO177" s="2">
        <f>BJ177/SUMIFS(BJ$3:BJ$623,$BC$3:$BC$623,1,$G$3:$G$623,$G177)</f>
        <v>5.9794790449753832E-2</v>
      </c>
      <c r="BP177" s="2">
        <f>BK177/SUMIFS(BK$3:BK$623,$BC$3:$BC$623,1,$G$3:$G$623,$G177)</f>
        <v>7.7736464674416195E-2</v>
      </c>
      <c r="BQ177" s="2">
        <f>BL177</f>
        <v>0.14499999999999999</v>
      </c>
      <c r="BR177" s="2">
        <f>BM177</f>
        <v>0</v>
      </c>
    </row>
    <row r="178" spans="1:70" hidden="1">
      <c r="A178" s="74">
        <v>0</v>
      </c>
      <c r="B178" s="73">
        <v>204504</v>
      </c>
      <c r="C178" s="73" t="s">
        <v>1682</v>
      </c>
      <c r="D178" s="73" t="s">
        <v>1683</v>
      </c>
      <c r="E178" s="73" t="s">
        <v>1684</v>
      </c>
      <c r="F178" s="73">
        <v>18624</v>
      </c>
      <c r="G178" s="73" t="s">
        <v>877</v>
      </c>
      <c r="H178" s="73" t="s">
        <v>951</v>
      </c>
      <c r="I178" s="73" t="s">
        <v>1012</v>
      </c>
      <c r="J178" s="73">
        <v>0</v>
      </c>
      <c r="K178" s="73">
        <v>6</v>
      </c>
      <c r="L178" s="73">
        <v>0</v>
      </c>
      <c r="M178" s="73">
        <v>0</v>
      </c>
      <c r="N178" s="73">
        <v>0</v>
      </c>
      <c r="O178" s="73" t="s">
        <v>994</v>
      </c>
      <c r="P178" s="73" t="s">
        <v>280</v>
      </c>
      <c r="Q178" s="73" t="s">
        <v>280</v>
      </c>
      <c r="R178" s="73">
        <v>0</v>
      </c>
      <c r="S178" s="73">
        <v>1</v>
      </c>
      <c r="T178" s="73">
        <v>0</v>
      </c>
      <c r="U178" s="73">
        <v>0</v>
      </c>
      <c r="V178" s="73">
        <v>363</v>
      </c>
      <c r="W178" s="73">
        <v>2</v>
      </c>
      <c r="X178" s="73">
        <v>3</v>
      </c>
      <c r="Y178" s="73">
        <v>0</v>
      </c>
      <c r="Z178" s="73" t="s">
        <v>877</v>
      </c>
      <c r="AA178" s="73" t="s">
        <v>691</v>
      </c>
      <c r="AB178" s="73" t="str">
        <f>IF(AA178&lt;&gt;"",INDEX(Lookup!$N$2:$N$5,MATCH(Players!AA178,Lookup!$P$2:$P$5,0)),INDEX(Lookup!$N$2:$N$5,MATCH(Players!O178,Lookup!$O$2:$O$5,0)))</f>
        <v>Midfield</v>
      </c>
      <c r="AC178" s="73">
        <v>4500000</v>
      </c>
      <c r="AD178" s="73" t="s">
        <v>801</v>
      </c>
      <c r="AE178" s="73" t="str">
        <f>INDEX('Translate table'!$H$2:$H$622,MATCH(Players!P178,'Translate table'!$G$2:$G$622,0))</f>
        <v>Andriy Yarmolenko</v>
      </c>
      <c r="AF178" s="73">
        <f>IFERROR(INDEX('Euro Qual stats'!$A$1:$L$2071,MATCH(Players!$AE178,'Euro Qual stats'!$A$1:$A$2071,0),MATCH(Players!AF$2,'Euro Qual stats'!$A$1:$L$1,0)),0)</f>
        <v>4</v>
      </c>
      <c r="AG178" s="73">
        <f>IFERROR(INDEX('Euro Qual stats'!$A$1:$L$2071,MATCH(Players!$AE178,'Euro Qual stats'!$A$1:$A$2071,0),MATCH(Players!AG$2,'Euro Qual stats'!$A$1:$L$1,0)),0)</f>
        <v>0</v>
      </c>
      <c r="AH178" s="73">
        <f>IFERROR(INDEX('Euro Qual stats'!$A$1:$L$2071,MATCH(Players!$AE178,'Euro Qual stats'!$A$1:$A$2071,0),MATCH(Players!AH$2,'Euro Qual stats'!$A$1:$L$1,0)),0)</f>
        <v>0.3</v>
      </c>
      <c r="AI178" s="73">
        <f>IFERROR(INDEX('Euro Qual stats'!$A$1:$L$2071,MATCH(Players!$AE178,'Euro Qual stats'!$A$1:$A$2071,0),MATCH(Players!AI$2,'Euro Qual stats'!$A$1:$L$1,0)),0)</f>
        <v>0.3</v>
      </c>
      <c r="AJ178" s="93">
        <f>(12-AF178)/12*INDEX(BV$9:BV$12,MATCH($AB178,$BU$9:$BU$12,0))+AF178/12*AG178</f>
        <v>0.11246073298429318</v>
      </c>
      <c r="AK178" s="93">
        <f>(12-AG178)/12*INDEX(BW$9:BW$12,MATCH($AB178,$BU$9:$BU$12,0))+AG178/12*AH178</f>
        <v>0.22340314136125652</v>
      </c>
      <c r="AL178" s="93">
        <f>(12-AH178)/12*INDEX(BX$9:BX$12,MATCH($AB178,$BU$9:$BU$12,0))+AH178/12*AI178</f>
        <v>0.2409384816753927</v>
      </c>
      <c r="AM178" s="93">
        <f>IF($BC178=1,AJ178/SUMIFS(AJ$3:AJ$623,$BC$3:$BC$623,1,$G$3:$G$623,$G178),0)</f>
        <v>0</v>
      </c>
      <c r="AN178" s="93">
        <f>IF($BC178=1,AK178/SUMIFS(AK$3:AK$623,$BC$3:$BC$623,1,$G$3:$G$623,$G178),0)</f>
        <v>0</v>
      </c>
      <c r="AO178" s="93">
        <f>IF($BC178=1,AL178/SUMIFS(AL$3:AL$623,$BC$3:$BC$623,1,$G$3:$G$623,$G178),0)</f>
        <v>0</v>
      </c>
      <c r="AP178" s="2">
        <f>IFERROR(R178/$V178*90,"")</f>
        <v>0</v>
      </c>
      <c r="AQ178" s="2">
        <f>IFERROR(S178/$V178*90,"")</f>
        <v>0.24793388429752067</v>
      </c>
      <c r="AR178" s="2">
        <f>IFERROR(W178/$V178*90,"")</f>
        <v>0.49586776859504134</v>
      </c>
      <c r="AS178" s="2">
        <f>IFERROR(X178/$V178*90,"")</f>
        <v>0.74380165289256195</v>
      </c>
      <c r="AT178" s="2">
        <f>IFERROR(Y178/$V178*90,"")</f>
        <v>0</v>
      </c>
      <c r="AU178" s="2">
        <f>IF(AP178="",INDEX(BV$4:BV$7,MATCH(O178,$BU$4:$BU$7,0)),AP178)</f>
        <v>0</v>
      </c>
      <c r="AV178" s="2">
        <f>IF(AQ178="",INDEX(BW$4:BW$7,MATCH($O178,$BU$4:$BU$7,0)),AQ178)</f>
        <v>0.24793388429752067</v>
      </c>
      <c r="AW178" s="2">
        <f t="shared" si="24"/>
        <v>0.49586776859504134</v>
      </c>
      <c r="AX178" s="2">
        <f t="shared" si="25"/>
        <v>0.74380165289256195</v>
      </c>
      <c r="AY178" s="2">
        <f t="shared" si="26"/>
        <v>0</v>
      </c>
      <c r="AZ178" s="2">
        <f>AU178*0.5+AK178*0.5</f>
        <v>0.11170157068062826</v>
      </c>
      <c r="BA178" s="2">
        <f>AV178*0.5+AJ178*0.5</f>
        <v>0.18019730864090694</v>
      </c>
      <c r="BB178" s="2">
        <f t="shared" si="27"/>
        <v>0.521900826446281</v>
      </c>
      <c r="BC178">
        <f>IF(I178="expected",1,0)</f>
        <v>0</v>
      </c>
      <c r="BD178" s="78">
        <f>IF(BC178=1,AZ178/SUMIFS(AZ$3:AZ$623,$BC$3:$BC$623,1,$G$3:$G$623,$G178),0)</f>
        <v>0</v>
      </c>
      <c r="BE178" s="78">
        <f>IF(BC178=1,BA178/SUMIFS(BA$3:BA$623,$BC$3:$BC$623,1,$G$3:$G$623,$G178),0)</f>
        <v>0</v>
      </c>
      <c r="BF178" s="78">
        <f t="shared" si="28"/>
        <v>0</v>
      </c>
      <c r="BG178" s="2">
        <f t="shared" si="29"/>
        <v>0.521900826446281</v>
      </c>
      <c r="BH178" s="2">
        <f t="shared" si="30"/>
        <v>0</v>
      </c>
      <c r="BI178" s="2">
        <f t="shared" si="31"/>
        <v>0</v>
      </c>
      <c r="BJ178" s="2">
        <f t="shared" si="32"/>
        <v>0</v>
      </c>
      <c r="BK178" s="2">
        <f t="shared" si="33"/>
        <v>0</v>
      </c>
      <c r="BL178" s="2">
        <f t="shared" si="34"/>
        <v>0.521900826446281</v>
      </c>
      <c r="BM178" s="2">
        <f t="shared" si="35"/>
        <v>0</v>
      </c>
      <c r="BN178" s="2">
        <f>BI178/SUMIFS(BI$3:BI$623,$BC$3:$BC$623,1,$G$3:$G$623,$G178)</f>
        <v>0</v>
      </c>
      <c r="BO178" s="2">
        <f>BJ178/SUMIFS(BJ$3:BJ$623,$BC$3:$BC$623,1,$G$3:$G$623,$G178)</f>
        <v>0</v>
      </c>
      <c r="BP178" s="2">
        <f>BK178/SUMIFS(BK$3:BK$623,$BC$3:$BC$623,1,$G$3:$G$623,$G178)</f>
        <v>0</v>
      </c>
      <c r="BQ178" s="2">
        <f>BL178</f>
        <v>0.521900826446281</v>
      </c>
      <c r="BR178" s="2">
        <f>BM178</f>
        <v>0</v>
      </c>
    </row>
    <row r="179" spans="1:70" hidden="1">
      <c r="A179" s="74">
        <v>0</v>
      </c>
      <c r="B179" s="73">
        <v>213420</v>
      </c>
      <c r="C179" s="73" t="s">
        <v>1685</v>
      </c>
      <c r="D179" s="73" t="s">
        <v>1686</v>
      </c>
      <c r="E179" s="73" t="s">
        <v>1687</v>
      </c>
      <c r="F179" s="73">
        <v>18702</v>
      </c>
      <c r="G179" s="73" t="s">
        <v>872</v>
      </c>
      <c r="H179" s="73" t="s">
        <v>913</v>
      </c>
      <c r="I179" s="73" t="s">
        <v>981</v>
      </c>
      <c r="J179" s="73">
        <v>0</v>
      </c>
      <c r="K179" s="73">
        <v>6</v>
      </c>
      <c r="L179" s="73">
        <v>0</v>
      </c>
      <c r="M179" s="73">
        <v>0</v>
      </c>
      <c r="N179" s="73">
        <v>0</v>
      </c>
      <c r="O179" s="73" t="s">
        <v>994</v>
      </c>
      <c r="P179" s="73" t="s">
        <v>1688</v>
      </c>
      <c r="Q179" s="73" t="s">
        <v>1688</v>
      </c>
      <c r="R179" s="73">
        <v>5</v>
      </c>
      <c r="S179" s="73">
        <v>9</v>
      </c>
      <c r="T179" s="73">
        <v>0</v>
      </c>
      <c r="U179" s="73">
        <v>1</v>
      </c>
      <c r="V179" s="73">
        <v>1072</v>
      </c>
      <c r="W179" s="73">
        <v>13</v>
      </c>
      <c r="X179" s="73">
        <v>2</v>
      </c>
      <c r="Y179" s="73">
        <v>0</v>
      </c>
      <c r="Z179" s="73" t="s">
        <v>1689</v>
      </c>
      <c r="AA179" s="73" t="s">
        <v>691</v>
      </c>
      <c r="AB179" s="73" t="str">
        <f>IF(AA179&lt;&gt;"",INDEX(Lookup!$N$2:$N$5,MATCH(Players!AA179,Lookup!$P$2:$P$5,0)),INDEX(Lookup!$N$2:$N$5,MATCH(Players!O179,Lookup!$O$2:$O$5,0)))</f>
        <v>Midfield</v>
      </c>
      <c r="AC179" s="73">
        <v>4000000</v>
      </c>
      <c r="AD179" s="73" t="s">
        <v>790</v>
      </c>
      <c r="AE179" s="73" t="str">
        <f>INDEX('Translate table'!$H$2:$H$622,MATCH(Players!P179,'Translate table'!$G$2:$G$622,0))</f>
        <v>Aleksandr Golovin</v>
      </c>
      <c r="AF179" s="73">
        <f>IFERROR(INDEX('Euro Qual stats'!$A$1:$L$2071,MATCH(Players!$AE179,'Euro Qual stats'!$A$1:$A$2071,0),MATCH(Players!AF$2,'Euro Qual stats'!$A$1:$L$1,0)),0)</f>
        <v>8</v>
      </c>
      <c r="AG179" s="73">
        <f>IFERROR(INDEX('Euro Qual stats'!$A$1:$L$2071,MATCH(Players!$AE179,'Euro Qual stats'!$A$1:$A$2071,0),MATCH(Players!AG$2,'Euro Qual stats'!$A$1:$L$1,0)),0)</f>
        <v>0.55000000000000004</v>
      </c>
      <c r="AH179" s="73">
        <f>IFERROR(INDEX('Euro Qual stats'!$A$1:$L$2071,MATCH(Players!$AE179,'Euro Qual stats'!$A$1:$A$2071,0),MATCH(Players!AH$2,'Euro Qual stats'!$A$1:$L$1,0)),0)</f>
        <v>0.27</v>
      </c>
      <c r="AI179" s="73">
        <f>IFERROR(INDEX('Euro Qual stats'!$A$1:$L$2071,MATCH(Players!$AE179,'Euro Qual stats'!$A$1:$A$2071,0),MATCH(Players!AI$2,'Euro Qual stats'!$A$1:$L$1,0)),0)</f>
        <v>0.41</v>
      </c>
      <c r="AJ179" s="93">
        <f>(12-AF179)/12*INDEX(BV$9:BV$12,MATCH($AB179,$BU$9:$BU$12,0))+AF179/12*AG179</f>
        <v>0.42289703315881327</v>
      </c>
      <c r="AK179" s="93">
        <f>(12-AG179)/12*INDEX(BW$9:BW$12,MATCH($AB179,$BU$9:$BU$12,0))+AG179/12*AH179</f>
        <v>0.22553883071553224</v>
      </c>
      <c r="AL179" s="93">
        <f>(12-AH179)/12*INDEX(BX$9:BX$12,MATCH($AB179,$BU$9:$BU$12,0))+AH179/12*AI179</f>
        <v>0.24326204188481679</v>
      </c>
      <c r="AM179" s="93">
        <f>IF($BC179=1,AJ179/SUMIFS(AJ$3:AJ$623,$BC$3:$BC$623,1,$G$3:$G$623,$G179),0)</f>
        <v>0.2053398221317479</v>
      </c>
      <c r="AN179" s="93">
        <f>IF($BC179=1,AK179/SUMIFS(AK$3:AK$623,$BC$3:$BC$623,1,$G$3:$G$623,$G179),0)</f>
        <v>9.8652676372381259E-2</v>
      </c>
      <c r="AO179" s="93">
        <f>IF($BC179=1,AL179/SUMIFS(AL$3:AL$623,$BC$3:$BC$623,1,$G$3:$G$623,$G179),0)</f>
        <v>0.11278569972215105</v>
      </c>
      <c r="AP179" s="2">
        <f>IFERROR(R179/$V179*90,"")</f>
        <v>0.41977611940298504</v>
      </c>
      <c r="AQ179" s="2">
        <f>IFERROR(S179/$V179*90,"")</f>
        <v>0.75559701492537312</v>
      </c>
      <c r="AR179" s="2">
        <f>IFERROR(W179/$V179*90,"")</f>
        <v>1.0914179104477613</v>
      </c>
      <c r="AS179" s="2">
        <f>IFERROR(X179/$V179*90,"")</f>
        <v>0.16791044776119401</v>
      </c>
      <c r="AT179" s="2">
        <f>IFERROR(Y179/$V179*90,"")</f>
        <v>0</v>
      </c>
      <c r="AU179" s="2">
        <f>IF(AP179="",INDEX(BV$4:BV$7,MATCH(O179,$BU$4:$BU$7,0)),AP179)</f>
        <v>0.41977611940298504</v>
      </c>
      <c r="AV179" s="2">
        <f>IF(AQ179="",INDEX(BW$4:BW$7,MATCH($O179,$BU$4:$BU$7,0)),AQ179)</f>
        <v>0.75559701492537312</v>
      </c>
      <c r="AW179" s="2">
        <f t="shared" si="24"/>
        <v>1.0914179104477613</v>
      </c>
      <c r="AX179" s="2">
        <f t="shared" si="25"/>
        <v>0.16791044776119401</v>
      </c>
      <c r="AY179" s="2">
        <f t="shared" si="26"/>
        <v>0</v>
      </c>
      <c r="AZ179" s="2">
        <f>AU179*0.5+AK179*0.5</f>
        <v>0.32265747505925862</v>
      </c>
      <c r="BA179" s="2">
        <f>AV179*0.5+AJ179*0.5</f>
        <v>0.58924702404209317</v>
      </c>
      <c r="BB179" s="2">
        <f t="shared" si="27"/>
        <v>0.28895522388059702</v>
      </c>
      <c r="BC179">
        <f>IF(I179="expected",1,0)</f>
        <v>1</v>
      </c>
      <c r="BD179" s="78">
        <f>IF(BC179=1,AZ179/SUMIFS(AZ$3:AZ$623,$BC$3:$BC$623,1,$G$3:$G$623,$G179),0)</f>
        <v>0.21487286642474585</v>
      </c>
      <c r="BE179" s="78">
        <f>IF(BC179=1,BA179/SUMIFS(BA$3:BA$623,$BC$3:$BC$623,1,$G$3:$G$623,$G179),0)</f>
        <v>0.34123848425687819</v>
      </c>
      <c r="BF179" s="78">
        <f t="shared" si="28"/>
        <v>0.30795502741389985</v>
      </c>
      <c r="BG179" s="2">
        <f t="shared" si="29"/>
        <v>0.28895522388059702</v>
      </c>
      <c r="BH179" s="2">
        <f t="shared" si="30"/>
        <v>0</v>
      </c>
      <c r="BI179" s="2">
        <f t="shared" si="31"/>
        <v>0.21487286642474585</v>
      </c>
      <c r="BJ179" s="2">
        <f t="shared" si="32"/>
        <v>0.3</v>
      </c>
      <c r="BK179" s="2">
        <f t="shared" si="33"/>
        <v>0.3</v>
      </c>
      <c r="BL179" s="2">
        <f t="shared" si="34"/>
        <v>0.28895522388059702</v>
      </c>
      <c r="BM179" s="2">
        <f t="shared" si="35"/>
        <v>0</v>
      </c>
      <c r="BN179" s="2">
        <f>BI179/SUMIFS(BI$3:BI$623,$BC$3:$BC$623,1,$G$3:$G$623,$G179)</f>
        <v>0.21487286642474587</v>
      </c>
      <c r="BO179" s="2">
        <f>BJ179/SUMIFS(BJ$3:BJ$623,$BC$3:$BC$623,1,$G$3:$G$623,$G179)</f>
        <v>0.31290367320122819</v>
      </c>
      <c r="BP179" s="2">
        <f>BK179/SUMIFS(BK$3:BK$623,$BC$3:$BC$623,1,$G$3:$G$623,$G179)</f>
        <v>0.30240564519766555</v>
      </c>
      <c r="BQ179" s="2">
        <f>BL179</f>
        <v>0.28895522388059702</v>
      </c>
      <c r="BR179" s="2">
        <f>BM179</f>
        <v>0</v>
      </c>
    </row>
    <row r="180" spans="1:70" hidden="1">
      <c r="A180" s="74">
        <v>0</v>
      </c>
      <c r="B180" s="73">
        <v>221498</v>
      </c>
      <c r="C180" s="73" t="s">
        <v>1690</v>
      </c>
      <c r="D180" s="73" t="s">
        <v>1691</v>
      </c>
      <c r="E180" s="73" t="s">
        <v>1692</v>
      </c>
      <c r="F180" s="73">
        <v>18647</v>
      </c>
      <c r="G180" s="73" t="s">
        <v>891</v>
      </c>
      <c r="H180" s="73" t="s">
        <v>927</v>
      </c>
      <c r="I180" s="73" t="s">
        <v>1012</v>
      </c>
      <c r="J180" s="73">
        <v>0</v>
      </c>
      <c r="K180" s="73">
        <v>6</v>
      </c>
      <c r="L180" s="73">
        <v>0</v>
      </c>
      <c r="M180" s="73">
        <v>0</v>
      </c>
      <c r="N180" s="73">
        <v>0</v>
      </c>
      <c r="O180" s="73" t="s">
        <v>1318</v>
      </c>
      <c r="P180" s="73" t="s">
        <v>1693</v>
      </c>
      <c r="Q180" s="73" t="s">
        <v>1693</v>
      </c>
      <c r="R180" s="73">
        <v>2</v>
      </c>
      <c r="S180" s="73">
        <v>1</v>
      </c>
      <c r="T180" s="73">
        <v>0</v>
      </c>
      <c r="U180" s="73">
        <v>15</v>
      </c>
      <c r="V180" s="73">
        <v>2976</v>
      </c>
      <c r="W180" s="73">
        <v>6</v>
      </c>
      <c r="X180" s="73">
        <v>4</v>
      </c>
      <c r="Y180" s="73">
        <v>0</v>
      </c>
      <c r="Z180" s="73" t="s">
        <v>989</v>
      </c>
      <c r="AA180" s="73" t="s">
        <v>692</v>
      </c>
      <c r="AB180" s="73" t="str">
        <f>IF(AA180&lt;&gt;"",INDEX(Lookup!$N$2:$N$5,MATCH(Players!AA180,Lookup!$P$2:$P$5,0)),INDEX(Lookup!$N$2:$N$5,MATCH(Players!O180,Lookup!$O$2:$O$5,0)))</f>
        <v>Defense</v>
      </c>
      <c r="AC180" s="73">
        <v>3000000</v>
      </c>
      <c r="AD180" s="73" t="s">
        <v>790</v>
      </c>
      <c r="AE180" s="73">
        <f>INDEX('Translate table'!$H$2:$H$622,MATCH(Players!P180,'Translate table'!$G$2:$G$622,0))</f>
        <v>0</v>
      </c>
      <c r="AF180" s="73">
        <f>IFERROR(INDEX('Euro Qual stats'!$A$1:$L$2071,MATCH(Players!$AE180,'Euro Qual stats'!$A$1:$A$2071,0),MATCH(Players!AF$2,'Euro Qual stats'!$A$1:$L$1,0)),0)</f>
        <v>0</v>
      </c>
      <c r="AG180" s="73">
        <f>IFERROR(INDEX('Euro Qual stats'!$A$1:$L$2071,MATCH(Players!$AE180,'Euro Qual stats'!$A$1:$A$2071,0),MATCH(Players!AG$2,'Euro Qual stats'!$A$1:$L$1,0)),0)</f>
        <v>0</v>
      </c>
      <c r="AH180" s="73">
        <f>IFERROR(INDEX('Euro Qual stats'!$A$1:$L$2071,MATCH(Players!$AE180,'Euro Qual stats'!$A$1:$A$2071,0),MATCH(Players!AH$2,'Euro Qual stats'!$A$1:$L$1,0)),0)</f>
        <v>0</v>
      </c>
      <c r="AI180" s="73">
        <f>IFERROR(INDEX('Euro Qual stats'!$A$1:$L$2071,MATCH(Players!$AE180,'Euro Qual stats'!$A$1:$A$2071,0),MATCH(Players!AI$2,'Euro Qual stats'!$A$1:$L$1,0)),0)</f>
        <v>0</v>
      </c>
      <c r="AJ180" s="93">
        <f>(12-AF180)/12*INDEX(BV$9:BV$12,MATCH($AB180,$BU$9:$BU$12,0))+AF180/12*AG180</f>
        <v>8.9175824175824203E-2</v>
      </c>
      <c r="AK180" s="93">
        <f>(12-AG180)/12*INDEX(BW$9:BW$12,MATCH($AB180,$BU$9:$BU$12,0))+AG180/12*AH180</f>
        <v>0.10357142857142858</v>
      </c>
      <c r="AL180" s="93">
        <f>(12-AH180)/12*INDEX(BX$9:BX$12,MATCH($AB180,$BU$9:$BU$12,0))+AH180/12*AI180</f>
        <v>0.19357142857142848</v>
      </c>
      <c r="AM180" s="93">
        <f>IF($BC180=1,AJ180/SUMIFS(AJ$3:AJ$623,$BC$3:$BC$623,1,$G$3:$G$623,$G180),0)</f>
        <v>0</v>
      </c>
      <c r="AN180" s="93">
        <f>IF($BC180=1,AK180/SUMIFS(AK$3:AK$623,$BC$3:$BC$623,1,$G$3:$G$623,$G180),0)</f>
        <v>0</v>
      </c>
      <c r="AO180" s="93">
        <f>IF($BC180=1,AL180/SUMIFS(AL$3:AL$623,$BC$3:$BC$623,1,$G$3:$G$623,$G180),0)</f>
        <v>0</v>
      </c>
      <c r="AP180" s="2">
        <f>IFERROR(R180/$V180*90,"")</f>
        <v>6.0483870967741937E-2</v>
      </c>
      <c r="AQ180" s="2">
        <f>IFERROR(S180/$V180*90,"")</f>
        <v>3.0241935483870969E-2</v>
      </c>
      <c r="AR180" s="2">
        <f>IFERROR(W180/$V180*90,"")</f>
        <v>0.18145161290322581</v>
      </c>
      <c r="AS180" s="2">
        <f>IFERROR(X180/$V180*90,"")</f>
        <v>0.12096774193548387</v>
      </c>
      <c r="AT180" s="2">
        <f>IFERROR(Y180/$V180*90,"")</f>
        <v>0</v>
      </c>
      <c r="AU180" s="2">
        <f>IF(AP180="",INDEX(BV$4:BV$7,MATCH(O180,$BU$4:$BU$7,0)),AP180)</f>
        <v>6.0483870967741937E-2</v>
      </c>
      <c r="AV180" s="2">
        <f>IF(AQ180="",INDEX(BW$4:BW$7,MATCH($O180,$BU$4:$BU$7,0)),AQ180)</f>
        <v>3.0241935483870969E-2</v>
      </c>
      <c r="AW180" s="2">
        <f t="shared" si="24"/>
        <v>0.18145161290322581</v>
      </c>
      <c r="AX180" s="2">
        <f t="shared" si="25"/>
        <v>0.12096774193548387</v>
      </c>
      <c r="AY180" s="2">
        <f t="shared" si="26"/>
        <v>0</v>
      </c>
      <c r="AZ180" s="2">
        <f>AU180*0.5+AK180*0.5</f>
        <v>8.2027649769585265E-2</v>
      </c>
      <c r="BA180" s="2">
        <f>AV180*0.5+AJ180*0.5</f>
        <v>5.9708879829847586E-2</v>
      </c>
      <c r="BB180" s="2">
        <f t="shared" si="27"/>
        <v>6.0483870967741937E-2</v>
      </c>
      <c r="BC180">
        <f>IF(I180="expected",1,0)</f>
        <v>0</v>
      </c>
      <c r="BD180" s="78">
        <f>IF(BC180=1,AZ180/SUMIFS(AZ$3:AZ$623,$BC$3:$BC$623,1,$G$3:$G$623,$G180),0)</f>
        <v>0</v>
      </c>
      <c r="BE180" s="78">
        <f>IF(BC180=1,BA180/SUMIFS(BA$3:BA$623,$BC$3:$BC$623,1,$G$3:$G$623,$G180),0)</f>
        <v>0</v>
      </c>
      <c r="BF180" s="78">
        <f t="shared" si="28"/>
        <v>0</v>
      </c>
      <c r="BG180" s="2">
        <f t="shared" si="29"/>
        <v>6.0483870967741937E-2</v>
      </c>
      <c r="BH180" s="2">
        <f t="shared" si="30"/>
        <v>0</v>
      </c>
      <c r="BI180" s="2">
        <f t="shared" si="31"/>
        <v>0</v>
      </c>
      <c r="BJ180" s="2">
        <f t="shared" si="32"/>
        <v>0</v>
      </c>
      <c r="BK180" s="2">
        <f t="shared" si="33"/>
        <v>0</v>
      </c>
      <c r="BL180" s="2">
        <f t="shared" si="34"/>
        <v>6.0483870967741937E-2</v>
      </c>
      <c r="BM180" s="2">
        <f t="shared" si="35"/>
        <v>0</v>
      </c>
      <c r="BN180" s="2">
        <f>BI180/SUMIFS(BI$3:BI$623,$BC$3:$BC$623,1,$G$3:$G$623,$G180)</f>
        <v>0</v>
      </c>
      <c r="BO180" s="2">
        <f>BJ180/SUMIFS(BJ$3:BJ$623,$BC$3:$BC$623,1,$G$3:$G$623,$G180)</f>
        <v>0</v>
      </c>
      <c r="BP180" s="2">
        <f>BK180/SUMIFS(BK$3:BK$623,$BC$3:$BC$623,1,$G$3:$G$623,$G180)</f>
        <v>0</v>
      </c>
      <c r="BQ180" s="2">
        <f>BL180</f>
        <v>6.0483870967741937E-2</v>
      </c>
      <c r="BR180" s="2">
        <f>BM180</f>
        <v>0</v>
      </c>
    </row>
    <row r="181" spans="1:70" hidden="1">
      <c r="A181" s="74">
        <v>0</v>
      </c>
      <c r="B181" s="73">
        <v>204685</v>
      </c>
      <c r="C181" s="73" t="s">
        <v>1694</v>
      </c>
      <c r="D181" s="73" t="s">
        <v>1695</v>
      </c>
      <c r="E181" s="73" t="s">
        <v>1696</v>
      </c>
      <c r="F181" s="73">
        <v>18647</v>
      </c>
      <c r="G181" s="73" t="s">
        <v>891</v>
      </c>
      <c r="H181" s="73" t="s">
        <v>927</v>
      </c>
      <c r="I181" s="73" t="s">
        <v>1012</v>
      </c>
      <c r="J181" s="73">
        <v>0</v>
      </c>
      <c r="K181" s="73">
        <v>6</v>
      </c>
      <c r="L181" s="73">
        <v>0</v>
      </c>
      <c r="M181" s="73">
        <v>0</v>
      </c>
      <c r="N181" s="73">
        <v>0</v>
      </c>
      <c r="O181" s="73" t="s">
        <v>1318</v>
      </c>
      <c r="P181" s="73" t="s">
        <v>340</v>
      </c>
      <c r="Q181" s="73" t="s">
        <v>340</v>
      </c>
      <c r="R181" s="73">
        <v>5</v>
      </c>
      <c r="S181" s="73">
        <v>0</v>
      </c>
      <c r="T181" s="73">
        <v>0</v>
      </c>
      <c r="U181" s="73">
        <v>9</v>
      </c>
      <c r="V181" s="73">
        <v>2027</v>
      </c>
      <c r="W181" s="73">
        <v>12</v>
      </c>
      <c r="X181" s="73">
        <v>3</v>
      </c>
      <c r="Y181" s="73">
        <v>0</v>
      </c>
      <c r="Z181" s="73" t="s">
        <v>989</v>
      </c>
      <c r="AA181" s="73" t="s">
        <v>692</v>
      </c>
      <c r="AB181" s="73" t="str">
        <f>IF(AA181&lt;&gt;"",INDEX(Lookup!$N$2:$N$5,MATCH(Players!AA181,Lookup!$P$2:$P$5,0)),INDEX(Lookup!$N$2:$N$5,MATCH(Players!O181,Lookup!$O$2:$O$5,0)))</f>
        <v>Defense</v>
      </c>
      <c r="AC181" s="73">
        <v>3500000</v>
      </c>
      <c r="AD181" s="73" t="s">
        <v>801</v>
      </c>
      <c r="AE181" s="73" t="str">
        <f>INDEX('Translate table'!$H$2:$H$622,MATCH(Players!P181,'Translate table'!$G$2:$G$622,0))</f>
        <v>Kurt Zouma</v>
      </c>
      <c r="AF181" s="73">
        <f>IFERROR(INDEX('Euro Qual stats'!$A$1:$L$2071,MATCH(Players!$AE181,'Euro Qual stats'!$A$1:$A$2071,0),MATCH(Players!AF$2,'Euro Qual stats'!$A$1:$L$1,0)),0)</f>
        <v>1</v>
      </c>
      <c r="AG181" s="73">
        <f>IFERROR(INDEX('Euro Qual stats'!$A$1:$L$2071,MATCH(Players!$AE181,'Euro Qual stats'!$A$1:$A$2071,0),MATCH(Players!AG$2,'Euro Qual stats'!$A$1:$L$1,0)),0)</f>
        <v>0</v>
      </c>
      <c r="AH181" s="73">
        <f>IFERROR(INDEX('Euro Qual stats'!$A$1:$L$2071,MATCH(Players!$AE181,'Euro Qual stats'!$A$1:$A$2071,0),MATCH(Players!AH$2,'Euro Qual stats'!$A$1:$L$1,0)),0)</f>
        <v>1</v>
      </c>
      <c r="AI181" s="73">
        <f>IFERROR(INDEX('Euro Qual stats'!$A$1:$L$2071,MATCH(Players!$AE181,'Euro Qual stats'!$A$1:$A$2071,0),MATCH(Players!AI$2,'Euro Qual stats'!$A$1:$L$1,0)),0)</f>
        <v>1</v>
      </c>
      <c r="AJ181" s="93">
        <f>(12-AF181)/12*INDEX(BV$9:BV$12,MATCH($AB181,$BU$9:$BU$12,0))+AF181/12*AG181</f>
        <v>8.1744505494505515E-2</v>
      </c>
      <c r="AK181" s="93">
        <f>(12-AG181)/12*INDEX(BW$9:BW$12,MATCH($AB181,$BU$9:$BU$12,0))+AG181/12*AH181</f>
        <v>0.10357142857142858</v>
      </c>
      <c r="AL181" s="93">
        <f>(12-AH181)/12*INDEX(BX$9:BX$12,MATCH($AB181,$BU$9:$BU$12,0))+AH181/12*AI181</f>
        <v>0.26077380952380941</v>
      </c>
      <c r="AM181" s="93">
        <f>IF($BC181=1,AJ181/SUMIFS(AJ$3:AJ$623,$BC$3:$BC$623,1,$G$3:$G$623,$G181),0)</f>
        <v>0</v>
      </c>
      <c r="AN181" s="93">
        <f>IF($BC181=1,AK181/SUMIFS(AK$3:AK$623,$BC$3:$BC$623,1,$G$3:$G$623,$G181),0)</f>
        <v>0</v>
      </c>
      <c r="AO181" s="93">
        <f>IF($BC181=1,AL181/SUMIFS(AL$3:AL$623,$BC$3:$BC$623,1,$G$3:$G$623,$G181),0)</f>
        <v>0</v>
      </c>
      <c r="AP181" s="2">
        <f>IFERROR(R181/$V181*90,"")</f>
        <v>0.22200296003946718</v>
      </c>
      <c r="AQ181" s="2">
        <f>IFERROR(S181/$V181*90,"")</f>
        <v>0</v>
      </c>
      <c r="AR181" s="2">
        <f>IFERROR(W181/$V181*90,"")</f>
        <v>0.53280710409472121</v>
      </c>
      <c r="AS181" s="2">
        <f>IFERROR(X181/$V181*90,"")</f>
        <v>0.1332017760236803</v>
      </c>
      <c r="AT181" s="2">
        <f>IFERROR(Y181/$V181*90,"")</f>
        <v>0</v>
      </c>
      <c r="AU181" s="2">
        <f>IF(AP181="",INDEX(BV$4:BV$7,MATCH(O181,$BU$4:$BU$7,0)),AP181)</f>
        <v>0.22200296003946718</v>
      </c>
      <c r="AV181" s="2">
        <f>IF(AQ181="",INDEX(BW$4:BW$7,MATCH($O181,$BU$4:$BU$7,0)),AQ181)</f>
        <v>0</v>
      </c>
      <c r="AW181" s="2">
        <f t="shared" si="24"/>
        <v>0.53280710409472121</v>
      </c>
      <c r="AX181" s="2">
        <f t="shared" si="25"/>
        <v>0.1332017760236803</v>
      </c>
      <c r="AY181" s="2">
        <f t="shared" si="26"/>
        <v>0</v>
      </c>
      <c r="AZ181" s="2">
        <f>AU181*0.5+AK181*0.5</f>
        <v>0.16278719430544789</v>
      </c>
      <c r="BA181" s="2">
        <f>AV181*0.5+AJ181*0.5</f>
        <v>4.0872252747252757E-2</v>
      </c>
      <c r="BB181" s="2">
        <f t="shared" si="27"/>
        <v>0.56660088801184016</v>
      </c>
      <c r="BC181">
        <f>IF(I181="expected",1,0)</f>
        <v>0</v>
      </c>
      <c r="BD181" s="78">
        <f>IF(BC181=1,AZ181/SUMIFS(AZ$3:AZ$623,$BC$3:$BC$623,1,$G$3:$G$623,$G181),0)</f>
        <v>0</v>
      </c>
      <c r="BE181" s="78">
        <f>IF(BC181=1,BA181/SUMIFS(BA$3:BA$623,$BC$3:$BC$623,1,$G$3:$G$623,$G181),0)</f>
        <v>0</v>
      </c>
      <c r="BF181" s="78">
        <f t="shared" si="28"/>
        <v>0</v>
      </c>
      <c r="BG181" s="2">
        <f t="shared" si="29"/>
        <v>0.56660088801184016</v>
      </c>
      <c r="BH181" s="2">
        <f t="shared" si="30"/>
        <v>0</v>
      </c>
      <c r="BI181" s="2">
        <f t="shared" si="31"/>
        <v>0</v>
      </c>
      <c r="BJ181" s="2">
        <f t="shared" si="32"/>
        <v>0</v>
      </c>
      <c r="BK181" s="2">
        <f t="shared" si="33"/>
        <v>0</v>
      </c>
      <c r="BL181" s="2">
        <f t="shared" si="34"/>
        <v>0.56660088801184016</v>
      </c>
      <c r="BM181" s="2">
        <f t="shared" si="35"/>
        <v>0</v>
      </c>
      <c r="BN181" s="2">
        <f>BI181/SUMIFS(BI$3:BI$623,$BC$3:$BC$623,1,$G$3:$G$623,$G181)</f>
        <v>0</v>
      </c>
      <c r="BO181" s="2">
        <f>BJ181/SUMIFS(BJ$3:BJ$623,$BC$3:$BC$623,1,$G$3:$G$623,$G181)</f>
        <v>0</v>
      </c>
      <c r="BP181" s="2">
        <f>BK181/SUMIFS(BK$3:BK$623,$BC$3:$BC$623,1,$G$3:$G$623,$G181)</f>
        <v>0</v>
      </c>
      <c r="BQ181" s="2">
        <f>BL181</f>
        <v>0.56660088801184016</v>
      </c>
      <c r="BR181" s="2">
        <f>BM181</f>
        <v>0</v>
      </c>
    </row>
    <row r="182" spans="1:70" hidden="1">
      <c r="A182" s="74">
        <v>0</v>
      </c>
      <c r="B182" s="73">
        <v>204676</v>
      </c>
      <c r="C182" s="73" t="s">
        <v>1697</v>
      </c>
      <c r="D182" s="73" t="s">
        <v>1698</v>
      </c>
      <c r="E182" s="73" t="s">
        <v>1699</v>
      </c>
      <c r="F182" s="73">
        <v>18647</v>
      </c>
      <c r="G182" s="73" t="s">
        <v>891</v>
      </c>
      <c r="H182" s="73" t="s">
        <v>927</v>
      </c>
      <c r="I182" s="73" t="s">
        <v>1012</v>
      </c>
      <c r="J182" s="73">
        <v>0</v>
      </c>
      <c r="K182" s="73">
        <v>6</v>
      </c>
      <c r="L182" s="73">
        <v>0</v>
      </c>
      <c r="M182" s="73">
        <v>0</v>
      </c>
      <c r="N182" s="73">
        <v>0</v>
      </c>
      <c r="O182" s="73" t="s">
        <v>1318</v>
      </c>
      <c r="P182" s="73" t="s">
        <v>1700</v>
      </c>
      <c r="Q182" s="73" t="s">
        <v>1701</v>
      </c>
      <c r="R182" s="73">
        <v>2</v>
      </c>
      <c r="S182" s="73">
        <v>4</v>
      </c>
      <c r="T182" s="73">
        <v>0</v>
      </c>
      <c r="U182" s="73">
        <v>5</v>
      </c>
      <c r="V182" s="73">
        <v>2916</v>
      </c>
      <c r="W182" s="73">
        <v>3</v>
      </c>
      <c r="X182" s="73">
        <v>3</v>
      </c>
      <c r="Y182" s="73">
        <v>0</v>
      </c>
      <c r="Z182" s="73" t="s">
        <v>989</v>
      </c>
      <c r="AA182" s="73" t="s">
        <v>692</v>
      </c>
      <c r="AB182" s="73" t="str">
        <f>IF(AA182&lt;&gt;"",INDEX(Lookup!$N$2:$N$5,MATCH(Players!AA182,Lookup!$P$2:$P$5,0)),INDEX(Lookup!$N$2:$N$5,MATCH(Players!O182,Lookup!$O$2:$O$5,0)))</f>
        <v>Defense</v>
      </c>
      <c r="AC182" s="73">
        <v>3500000</v>
      </c>
      <c r="AD182" s="73" t="s">
        <v>788</v>
      </c>
      <c r="AE182" s="73" t="str">
        <f>INDEX('Translate table'!$H$2:$H$622,MATCH(Players!P182,'Translate table'!$G$2:$G$622,0))</f>
        <v>LÃ©o Dubois</v>
      </c>
      <c r="AF182" s="73">
        <f>IFERROR(INDEX('Euro Qual stats'!$A$1:$L$2071,MATCH(Players!$AE182,'Euro Qual stats'!$A$1:$A$2071,0),MATCH(Players!AF$2,'Euro Qual stats'!$A$1:$L$1,0)),0)</f>
        <v>3</v>
      </c>
      <c r="AG182" s="73">
        <f>IFERROR(INDEX('Euro Qual stats'!$A$1:$L$2071,MATCH(Players!$AE182,'Euro Qual stats'!$A$1:$A$2071,0),MATCH(Players!AG$2,'Euro Qual stats'!$A$1:$L$1,0)),0)</f>
        <v>0.34</v>
      </c>
      <c r="AH182" s="73">
        <f>IFERROR(INDEX('Euro Qual stats'!$A$1:$L$2071,MATCH(Players!$AE182,'Euro Qual stats'!$A$1:$A$2071,0),MATCH(Players!AH$2,'Euro Qual stats'!$A$1:$L$1,0)),0)</f>
        <v>0</v>
      </c>
      <c r="AI182" s="73">
        <f>IFERROR(INDEX('Euro Qual stats'!$A$1:$L$2071,MATCH(Players!$AE182,'Euro Qual stats'!$A$1:$A$2071,0),MATCH(Players!AI$2,'Euro Qual stats'!$A$1:$L$1,0)),0)</f>
        <v>0</v>
      </c>
      <c r="AJ182" s="93">
        <f>(12-AF182)/12*INDEX(BV$9:BV$12,MATCH($AB182,$BU$9:$BU$12,0))+AF182/12*AG182</f>
        <v>0.15188186813186816</v>
      </c>
      <c r="AK182" s="93">
        <f>(12-AG182)/12*INDEX(BW$9:BW$12,MATCH($AB182,$BU$9:$BU$12,0))+AG182/12*AH182</f>
        <v>0.10063690476190477</v>
      </c>
      <c r="AL182" s="93">
        <f>(12-AH182)/12*INDEX(BX$9:BX$12,MATCH($AB182,$BU$9:$BU$12,0))+AH182/12*AI182</f>
        <v>0.19357142857142848</v>
      </c>
      <c r="AM182" s="93">
        <f>IF($BC182=1,AJ182/SUMIFS(AJ$3:AJ$623,$BC$3:$BC$623,1,$G$3:$G$623,$G182),0)</f>
        <v>0</v>
      </c>
      <c r="AN182" s="93">
        <f>IF($BC182=1,AK182/SUMIFS(AK$3:AK$623,$BC$3:$BC$623,1,$G$3:$G$623,$G182),0)</f>
        <v>0</v>
      </c>
      <c r="AO182" s="93">
        <f>IF($BC182=1,AL182/SUMIFS(AL$3:AL$623,$BC$3:$BC$623,1,$G$3:$G$623,$G182),0)</f>
        <v>0</v>
      </c>
      <c r="AP182" s="2">
        <f>IFERROR(R182/$V182*90,"")</f>
        <v>6.1728395061728392E-2</v>
      </c>
      <c r="AQ182" s="2">
        <f>IFERROR(S182/$V182*90,"")</f>
        <v>0.12345679012345678</v>
      </c>
      <c r="AR182" s="2">
        <f>IFERROR(W182/$V182*90,"")</f>
        <v>9.2592592592592601E-2</v>
      </c>
      <c r="AS182" s="2">
        <f>IFERROR(X182/$V182*90,"")</f>
        <v>9.2592592592592601E-2</v>
      </c>
      <c r="AT182" s="2">
        <f>IFERROR(Y182/$V182*90,"")</f>
        <v>0</v>
      </c>
      <c r="AU182" s="2">
        <f>IF(AP182="",INDEX(BV$4:BV$7,MATCH(O182,$BU$4:$BU$7,0)),AP182)</f>
        <v>6.1728395061728392E-2</v>
      </c>
      <c r="AV182" s="2">
        <f>IF(AQ182="",INDEX(BW$4:BW$7,MATCH($O182,$BU$4:$BU$7,0)),AQ182)</f>
        <v>0.12345679012345678</v>
      </c>
      <c r="AW182" s="2">
        <f t="shared" si="24"/>
        <v>9.2592592592592601E-2</v>
      </c>
      <c r="AX182" s="2">
        <f t="shared" si="25"/>
        <v>9.2592592592592601E-2</v>
      </c>
      <c r="AY182" s="2">
        <f t="shared" si="26"/>
        <v>0</v>
      </c>
      <c r="AZ182" s="2">
        <f>AU182*0.5+AK182*0.5</f>
        <v>8.118264991181659E-2</v>
      </c>
      <c r="BA182" s="2">
        <f>AV182*0.5+AJ182*0.5</f>
        <v>0.13766932912766247</v>
      </c>
      <c r="BB182" s="2">
        <f t="shared" si="27"/>
        <v>4.6296296296296301E-2</v>
      </c>
      <c r="BC182">
        <f>IF(I182="expected",1,0)</f>
        <v>0</v>
      </c>
      <c r="BD182" s="78">
        <f>IF(BC182=1,AZ182/SUMIFS(AZ$3:AZ$623,$BC$3:$BC$623,1,$G$3:$G$623,$G182),0)</f>
        <v>0</v>
      </c>
      <c r="BE182" s="78">
        <f>IF(BC182=1,BA182/SUMIFS(BA$3:BA$623,$BC$3:$BC$623,1,$G$3:$G$623,$G182),0)</f>
        <v>0</v>
      </c>
      <c r="BF182" s="78">
        <f t="shared" si="28"/>
        <v>0</v>
      </c>
      <c r="BG182" s="2">
        <f t="shared" si="29"/>
        <v>4.6296296296296301E-2</v>
      </c>
      <c r="BH182" s="2">
        <f t="shared" si="30"/>
        <v>0</v>
      </c>
      <c r="BI182" s="2">
        <f t="shared" si="31"/>
        <v>0</v>
      </c>
      <c r="BJ182" s="2">
        <f t="shared" si="32"/>
        <v>0</v>
      </c>
      <c r="BK182" s="2">
        <f t="shared" si="33"/>
        <v>0</v>
      </c>
      <c r="BL182" s="2">
        <f t="shared" si="34"/>
        <v>4.6296296296296301E-2</v>
      </c>
      <c r="BM182" s="2">
        <f t="shared" si="35"/>
        <v>0</v>
      </c>
      <c r="BN182" s="2">
        <f>BI182/SUMIFS(BI$3:BI$623,$BC$3:$BC$623,1,$G$3:$G$623,$G182)</f>
        <v>0</v>
      </c>
      <c r="BO182" s="2">
        <f>BJ182/SUMIFS(BJ$3:BJ$623,$BC$3:$BC$623,1,$G$3:$G$623,$G182)</f>
        <v>0</v>
      </c>
      <c r="BP182" s="2">
        <f>BK182/SUMIFS(BK$3:BK$623,$BC$3:$BC$623,1,$G$3:$G$623,$G182)</f>
        <v>0</v>
      </c>
      <c r="BQ182" s="2">
        <f>BL182</f>
        <v>4.6296296296296301E-2</v>
      </c>
      <c r="BR182" s="2">
        <f>BM182</f>
        <v>0</v>
      </c>
    </row>
    <row r="183" spans="1:70" hidden="1">
      <c r="A183" s="74">
        <v>0</v>
      </c>
      <c r="B183" s="73">
        <v>204661</v>
      </c>
      <c r="C183" s="73" t="s">
        <v>1702</v>
      </c>
      <c r="D183" s="73" t="s">
        <v>1703</v>
      </c>
      <c r="E183" s="73" t="s">
        <v>1704</v>
      </c>
      <c r="F183" s="73">
        <v>18647</v>
      </c>
      <c r="G183" s="73" t="s">
        <v>891</v>
      </c>
      <c r="H183" s="73" t="s">
        <v>927</v>
      </c>
      <c r="I183" s="73" t="s">
        <v>981</v>
      </c>
      <c r="J183" s="73">
        <v>0</v>
      </c>
      <c r="K183" s="73">
        <v>6</v>
      </c>
      <c r="L183" s="73">
        <v>0</v>
      </c>
      <c r="M183" s="73">
        <v>0</v>
      </c>
      <c r="N183" s="73">
        <v>0</v>
      </c>
      <c r="O183" s="73" t="s">
        <v>1318</v>
      </c>
      <c r="P183" s="73" t="s">
        <v>1705</v>
      </c>
      <c r="Q183" s="73" t="s">
        <v>1705</v>
      </c>
      <c r="R183" s="73">
        <v>0</v>
      </c>
      <c r="S183" s="73">
        <v>0</v>
      </c>
      <c r="T183" s="73">
        <v>0</v>
      </c>
      <c r="U183" s="73">
        <v>6</v>
      </c>
      <c r="V183" s="73">
        <v>2307</v>
      </c>
      <c r="W183" s="73">
        <v>1</v>
      </c>
      <c r="X183" s="73">
        <v>6</v>
      </c>
      <c r="Y183" s="73">
        <v>1</v>
      </c>
      <c r="Z183" s="73" t="s">
        <v>989</v>
      </c>
      <c r="AA183" s="73" t="s">
        <v>692</v>
      </c>
      <c r="AB183" s="73" t="str">
        <f>IF(AA183&lt;&gt;"",INDEX(Lookup!$N$2:$N$5,MATCH(Players!AA183,Lookup!$P$2:$P$5,0)),INDEX(Lookup!$N$2:$N$5,MATCH(Players!O183,Lookup!$O$2:$O$5,0)))</f>
        <v>Defense</v>
      </c>
      <c r="AC183" s="73">
        <v>4000000</v>
      </c>
      <c r="AD183" s="73" t="s">
        <v>824</v>
      </c>
      <c r="AE183" s="73" t="str">
        <f>INDEX('Translate table'!$H$2:$H$622,MATCH(Players!P183,'Translate table'!$G$2:$G$622,0))</f>
        <v>Presnel Kimpembe</v>
      </c>
      <c r="AF183" s="73">
        <f>IFERROR(INDEX('Euro Qual stats'!$A$1:$L$2071,MATCH(Players!$AE183,'Euro Qual stats'!$A$1:$A$2071,0),MATCH(Players!AF$2,'Euro Qual stats'!$A$1:$L$1,0)),0)</f>
        <v>2</v>
      </c>
      <c r="AG183" s="73">
        <f>IFERROR(INDEX('Euro Qual stats'!$A$1:$L$2071,MATCH(Players!$AE183,'Euro Qual stats'!$A$1:$A$2071,0),MATCH(Players!AG$2,'Euro Qual stats'!$A$1:$L$1,0)),0)</f>
        <v>0</v>
      </c>
      <c r="AH183" s="73">
        <f>IFERROR(INDEX('Euro Qual stats'!$A$1:$L$2071,MATCH(Players!$AE183,'Euro Qual stats'!$A$1:$A$2071,0),MATCH(Players!AH$2,'Euro Qual stats'!$A$1:$L$1,0)),0)</f>
        <v>0</v>
      </c>
      <c r="AI183" s="73">
        <f>IFERROR(INDEX('Euro Qual stats'!$A$1:$L$2071,MATCH(Players!$AE183,'Euro Qual stats'!$A$1:$A$2071,0),MATCH(Players!AI$2,'Euro Qual stats'!$A$1:$L$1,0)),0)</f>
        <v>0</v>
      </c>
      <c r="AJ183" s="93">
        <f>(12-AF183)/12*INDEX(BV$9:BV$12,MATCH($AB183,$BU$9:$BU$12,0))+AF183/12*AG183</f>
        <v>7.4313186813186841E-2</v>
      </c>
      <c r="AK183" s="93">
        <f>(12-AG183)/12*INDEX(BW$9:BW$12,MATCH($AB183,$BU$9:$BU$12,0))+AG183/12*AH183</f>
        <v>0.10357142857142858</v>
      </c>
      <c r="AL183" s="93">
        <f>(12-AH183)/12*INDEX(BX$9:BX$12,MATCH($AB183,$BU$9:$BU$12,0))+AH183/12*AI183</f>
        <v>0.19357142857142848</v>
      </c>
      <c r="AM183" s="93">
        <f>IF($BC183=1,AJ183/SUMIFS(AJ$3:AJ$623,$BC$3:$BC$623,1,$G$3:$G$623,$G183),0)</f>
        <v>3.836118811808132E-2</v>
      </c>
      <c r="AN183" s="93">
        <f>IF($BC183=1,AK183/SUMIFS(AK$3:AK$623,$BC$3:$BC$623,1,$G$3:$G$623,$G183),0)</f>
        <v>3.4787038731843821E-2</v>
      </c>
      <c r="AO183" s="93">
        <f>IF($BC183=1,AL183/SUMIFS(AL$3:AL$623,$BC$3:$BC$623,1,$G$3:$G$623,$G183),0)</f>
        <v>0.10109245548674702</v>
      </c>
      <c r="AP183" s="2">
        <f>IFERROR(R183/$V183*90,"")</f>
        <v>0</v>
      </c>
      <c r="AQ183" s="2">
        <f>IFERROR(S183/$V183*90,"")</f>
        <v>0</v>
      </c>
      <c r="AR183" s="2">
        <f>IFERROR(W183/$V183*90,"")</f>
        <v>3.9011703511053313E-2</v>
      </c>
      <c r="AS183" s="2">
        <f>IFERROR(X183/$V183*90,"")</f>
        <v>0.23407022106631989</v>
      </c>
      <c r="AT183" s="2">
        <f>IFERROR(Y183/$V183*90,"")</f>
        <v>3.9011703511053313E-2</v>
      </c>
      <c r="AU183" s="2">
        <f>IF(AP183="",INDEX(BV$4:BV$7,MATCH(O183,$BU$4:$BU$7,0)),AP183)</f>
        <v>0</v>
      </c>
      <c r="AV183" s="2">
        <f>IF(AQ183="",INDEX(BW$4:BW$7,MATCH($O183,$BU$4:$BU$7,0)),AQ183)</f>
        <v>0</v>
      </c>
      <c r="AW183" s="2">
        <f t="shared" si="24"/>
        <v>3.9011703511053313E-2</v>
      </c>
      <c r="AX183" s="2">
        <f t="shared" si="25"/>
        <v>0.23407022106631989</v>
      </c>
      <c r="AY183" s="2">
        <f t="shared" si="26"/>
        <v>3.9011703511053313E-2</v>
      </c>
      <c r="AZ183" s="2">
        <f>AU183*0.5+AK183*0.5</f>
        <v>5.1785714285714289E-2</v>
      </c>
      <c r="BA183" s="2">
        <f>AV183*0.5+AJ183*0.5</f>
        <v>3.715659340659342E-2</v>
      </c>
      <c r="BB183" s="2">
        <f t="shared" si="27"/>
        <v>0.11703511053315994</v>
      </c>
      <c r="BC183">
        <f>IF(I183="expected",1,0)</f>
        <v>1</v>
      </c>
      <c r="BD183" s="78">
        <f>IF(BC183=1,AZ183/SUMIFS(AZ$3:AZ$623,$BC$3:$BC$623,1,$G$3:$G$623,$G183),0)</f>
        <v>1.7937563876037396E-2</v>
      </c>
      <c r="BE183" s="78">
        <f>IF(BC183=1,BA183/SUMIFS(BA$3:BA$623,$BC$3:$BC$623,1,$G$3:$G$623,$G183),0)</f>
        <v>2.0853116717113949E-2</v>
      </c>
      <c r="BF183" s="78">
        <f t="shared" si="28"/>
        <v>5.3649778249033955E-3</v>
      </c>
      <c r="BG183" s="2">
        <f t="shared" si="29"/>
        <v>0.11703511053315994</v>
      </c>
      <c r="BH183" s="2">
        <f t="shared" si="30"/>
        <v>3.9011703511053313E-2</v>
      </c>
      <c r="BI183" s="2">
        <f t="shared" si="31"/>
        <v>1.7937563876037396E-2</v>
      </c>
      <c r="BJ183" s="2">
        <f t="shared" si="32"/>
        <v>2.0853116717113949E-2</v>
      </c>
      <c r="BK183" s="2">
        <f t="shared" si="33"/>
        <v>5.3649778249033955E-3</v>
      </c>
      <c r="BL183" s="2">
        <f t="shared" si="34"/>
        <v>0.11703511053315994</v>
      </c>
      <c r="BM183" s="2">
        <f t="shared" si="35"/>
        <v>3.9011703511053313E-2</v>
      </c>
      <c r="BN183" s="2">
        <f>BI183/SUMIFS(BI$3:BI$623,$BC$3:$BC$623,1,$G$3:$G$623,$G183)</f>
        <v>1.7937563876037396E-2</v>
      </c>
      <c r="BO183" s="2">
        <f>BJ183/SUMIFS(BJ$3:BJ$623,$BC$3:$BC$623,1,$G$3:$G$623,$G183)</f>
        <v>2.0853116717113949E-2</v>
      </c>
      <c r="BP183" s="2">
        <f>BK183/SUMIFS(BK$3:BK$623,$BC$3:$BC$623,1,$G$3:$G$623,$G183)</f>
        <v>5.3649778249033955E-3</v>
      </c>
      <c r="BQ183" s="2">
        <f>BL183</f>
        <v>0.11703511053315994</v>
      </c>
      <c r="BR183" s="2">
        <f>BM183</f>
        <v>3.9011703511053313E-2</v>
      </c>
    </row>
    <row r="184" spans="1:70" hidden="1">
      <c r="A184" s="74">
        <v>0</v>
      </c>
      <c r="B184" s="73">
        <v>204671</v>
      </c>
      <c r="C184" s="73" t="s">
        <v>1706</v>
      </c>
      <c r="D184" s="73" t="s">
        <v>1707</v>
      </c>
      <c r="E184" s="73" t="s">
        <v>1708</v>
      </c>
      <c r="F184" s="73">
        <v>18647</v>
      </c>
      <c r="G184" s="73" t="s">
        <v>891</v>
      </c>
      <c r="H184" s="73" t="s">
        <v>927</v>
      </c>
      <c r="I184" s="73" t="s">
        <v>981</v>
      </c>
      <c r="J184" s="73">
        <v>0</v>
      </c>
      <c r="K184" s="73">
        <v>6</v>
      </c>
      <c r="L184" s="73">
        <v>0</v>
      </c>
      <c r="M184" s="73">
        <v>0</v>
      </c>
      <c r="N184" s="73">
        <v>0</v>
      </c>
      <c r="O184" s="73" t="s">
        <v>994</v>
      </c>
      <c r="P184" s="73" t="s">
        <v>1709</v>
      </c>
      <c r="Q184" s="73" t="s">
        <v>1709</v>
      </c>
      <c r="R184" s="73">
        <v>4</v>
      </c>
      <c r="S184" s="73">
        <v>2</v>
      </c>
      <c r="T184" s="73">
        <v>0</v>
      </c>
      <c r="U184" s="73">
        <v>3</v>
      </c>
      <c r="V184" s="73">
        <v>2313</v>
      </c>
      <c r="W184" s="73">
        <v>12</v>
      </c>
      <c r="X184" s="73">
        <v>5</v>
      </c>
      <c r="Y184" s="73">
        <v>1</v>
      </c>
      <c r="Z184" s="73" t="s">
        <v>989</v>
      </c>
      <c r="AA184" s="73" t="s">
        <v>691</v>
      </c>
      <c r="AB184" s="73" t="str">
        <f>IF(AA184&lt;&gt;"",INDEX(Lookup!$N$2:$N$5,MATCH(Players!AA184,Lookup!$P$2:$P$5,0)),INDEX(Lookup!$N$2:$N$5,MATCH(Players!O184,Lookup!$O$2:$O$5,0)))</f>
        <v>Midfield</v>
      </c>
      <c r="AC184" s="73">
        <v>4000000</v>
      </c>
      <c r="AD184" s="73" t="s">
        <v>806</v>
      </c>
      <c r="AE184" s="73" t="str">
        <f>INDEX('Translate table'!$H$2:$H$622,MATCH(Players!P184,'Translate table'!$G$2:$G$622,0))</f>
        <v>Ardian Ismajli</v>
      </c>
      <c r="AF184" s="73">
        <f>IFERROR(INDEX('Euro Qual stats'!$A$1:$L$2071,MATCH(Players!$AE184,'Euro Qual stats'!$A$1:$A$2071,0),MATCH(Players!AF$2,'Euro Qual stats'!$A$1:$L$1,0)),0)</f>
        <v>9</v>
      </c>
      <c r="AG184" s="73">
        <f>IFERROR(INDEX('Euro Qual stats'!$A$1:$L$2071,MATCH(Players!$AE184,'Euro Qual stats'!$A$1:$A$2071,0),MATCH(Players!AG$2,'Euro Qual stats'!$A$1:$L$1,0)),0)</f>
        <v>0</v>
      </c>
      <c r="AH184" s="73">
        <f>IFERROR(INDEX('Euro Qual stats'!$A$1:$L$2071,MATCH(Players!$AE184,'Euro Qual stats'!$A$1:$A$2071,0),MATCH(Players!AH$2,'Euro Qual stats'!$A$1:$L$1,0)),0)</f>
        <v>0</v>
      </c>
      <c r="AI184" s="73">
        <f>IFERROR(INDEX('Euro Qual stats'!$A$1:$L$2071,MATCH(Players!$AE184,'Euro Qual stats'!$A$1:$A$2071,0),MATCH(Players!AI$2,'Euro Qual stats'!$A$1:$L$1,0)),0)</f>
        <v>0.11</v>
      </c>
      <c r="AJ184" s="93">
        <f>(12-AF184)/12*INDEX(BV$9:BV$12,MATCH($AB184,$BU$9:$BU$12,0))+AF184/12*AG184</f>
        <v>4.2172774869109947E-2</v>
      </c>
      <c r="AK184" s="93">
        <f>(12-AG184)/12*INDEX(BW$9:BW$12,MATCH($AB184,$BU$9:$BU$12,0))+AG184/12*AH184</f>
        <v>0.22340314136125652</v>
      </c>
      <c r="AL184" s="93">
        <f>(12-AH184)/12*INDEX(BX$9:BX$12,MATCH($AB184,$BU$9:$BU$12,0))+AH184/12*AI184</f>
        <v>0.23942408376963353</v>
      </c>
      <c r="AM184" s="93">
        <f>IF($BC184=1,AJ184/SUMIFS(AJ$3:AJ$623,$BC$3:$BC$623,1,$G$3:$G$623,$G184),0)</f>
        <v>2.1769995603638161E-2</v>
      </c>
      <c r="AN184" s="93">
        <f>IF($BC184=1,AK184/SUMIFS(AK$3:AK$623,$BC$3:$BC$623,1,$G$3:$G$623,$G184),0)</f>
        <v>7.5035498095789341E-2</v>
      </c>
      <c r="AO184" s="93">
        <f>IF($BC184=1,AL184/SUMIFS(AL$3:AL$623,$BC$3:$BC$623,1,$G$3:$G$623,$G184),0)</f>
        <v>0.12503895182033811</v>
      </c>
      <c r="AP184" s="2">
        <f>IFERROR(R184/$V184*90,"")</f>
        <v>0.1556420233463035</v>
      </c>
      <c r="AQ184" s="2">
        <f>IFERROR(S184/$V184*90,"")</f>
        <v>7.7821011673151752E-2</v>
      </c>
      <c r="AR184" s="2">
        <f>IFERROR(W184/$V184*90,"")</f>
        <v>0.46692607003891051</v>
      </c>
      <c r="AS184" s="2">
        <f>IFERROR(X184/$V184*90,"")</f>
        <v>0.19455252918287938</v>
      </c>
      <c r="AT184" s="2">
        <f>IFERROR(Y184/$V184*90,"")</f>
        <v>3.8910505836575876E-2</v>
      </c>
      <c r="AU184" s="2">
        <f>IF(AP184="",INDEX(BV$4:BV$7,MATCH(O184,$BU$4:$BU$7,0)),AP184)</f>
        <v>0.1556420233463035</v>
      </c>
      <c r="AV184" s="2">
        <f>IF(AQ184="",INDEX(BW$4:BW$7,MATCH($O184,$BU$4:$BU$7,0)),AQ184)</f>
        <v>7.7821011673151752E-2</v>
      </c>
      <c r="AW184" s="2">
        <f t="shared" si="24"/>
        <v>0.46692607003891051</v>
      </c>
      <c r="AX184" s="2">
        <f t="shared" si="25"/>
        <v>0.19455252918287938</v>
      </c>
      <c r="AY184" s="2">
        <f t="shared" si="26"/>
        <v>3.8910505836575876E-2</v>
      </c>
      <c r="AZ184" s="2">
        <f>AU184*0.5+AK184*0.5</f>
        <v>0.18952258235378</v>
      </c>
      <c r="BA184" s="2">
        <f>AV184*0.5+AJ184*0.5</f>
        <v>5.9996893271130849E-2</v>
      </c>
      <c r="BB184" s="2">
        <f t="shared" si="27"/>
        <v>0.1522762645914397</v>
      </c>
      <c r="BC184">
        <f>IF(I184="expected",1,0)</f>
        <v>1</v>
      </c>
      <c r="BD184" s="78">
        <f>IF(BC184=1,AZ184/SUMIFS(AZ$3:AZ$623,$BC$3:$BC$623,1,$G$3:$G$623,$G184),0)</f>
        <v>6.5646935140572155E-2</v>
      </c>
      <c r="BE184" s="78">
        <f>IF(BC184=1,BA184/SUMIFS(BA$3:BA$623,$BC$3:$BC$623,1,$G$3:$G$623,$G184),0)</f>
        <v>3.3671607199197894E-2</v>
      </c>
      <c r="BF184" s="78">
        <f t="shared" si="28"/>
        <v>6.4212730698065545E-2</v>
      </c>
      <c r="BG184" s="2">
        <f t="shared" si="29"/>
        <v>0.1522762645914397</v>
      </c>
      <c r="BH184" s="2">
        <f t="shared" si="30"/>
        <v>3.8910505836575876E-2</v>
      </c>
      <c r="BI184" s="2">
        <f t="shared" si="31"/>
        <v>6.5646935140572155E-2</v>
      </c>
      <c r="BJ184" s="2">
        <f t="shared" si="32"/>
        <v>3.3671607199197894E-2</v>
      </c>
      <c r="BK184" s="2">
        <f t="shared" si="33"/>
        <v>6.4212730698065545E-2</v>
      </c>
      <c r="BL184" s="2">
        <f t="shared" si="34"/>
        <v>0.1522762645914397</v>
      </c>
      <c r="BM184" s="2">
        <f t="shared" si="35"/>
        <v>3.8910505836575876E-2</v>
      </c>
      <c r="BN184" s="2">
        <f>BI184/SUMIFS(BI$3:BI$623,$BC$3:$BC$623,1,$G$3:$G$623,$G184)</f>
        <v>6.5646935140572155E-2</v>
      </c>
      <c r="BO184" s="2">
        <f>BJ184/SUMIFS(BJ$3:BJ$623,$BC$3:$BC$623,1,$G$3:$G$623,$G184)</f>
        <v>3.3671607199197894E-2</v>
      </c>
      <c r="BP184" s="2">
        <f>BK184/SUMIFS(BK$3:BK$623,$BC$3:$BC$623,1,$G$3:$G$623,$G184)</f>
        <v>6.4212730698065545E-2</v>
      </c>
      <c r="BQ184" s="2">
        <f>BL184</f>
        <v>0.1522762645914397</v>
      </c>
      <c r="BR184" s="2">
        <f>BM184</f>
        <v>3.8910505836575876E-2</v>
      </c>
    </row>
    <row r="185" spans="1:70" hidden="1">
      <c r="A185" s="74">
        <v>0</v>
      </c>
      <c r="B185" s="73">
        <v>204858</v>
      </c>
      <c r="C185" s="73" t="s">
        <v>1710</v>
      </c>
      <c r="D185" s="73" t="s">
        <v>1711</v>
      </c>
      <c r="E185" s="73" t="s">
        <v>1712</v>
      </c>
      <c r="F185" s="73">
        <v>18721</v>
      </c>
      <c r="G185" s="73" t="s">
        <v>865</v>
      </c>
      <c r="H185" s="73" t="s">
        <v>921</v>
      </c>
      <c r="I185" s="73" t="s">
        <v>981</v>
      </c>
      <c r="J185" s="73">
        <v>0</v>
      </c>
      <c r="K185" s="73">
        <v>6</v>
      </c>
      <c r="L185" s="73">
        <v>0</v>
      </c>
      <c r="M185" s="73">
        <v>0</v>
      </c>
      <c r="N185" s="73">
        <v>0</v>
      </c>
      <c r="O185" s="73" t="s">
        <v>994</v>
      </c>
      <c r="P185" s="73" t="s">
        <v>662</v>
      </c>
      <c r="Q185" s="73" t="s">
        <v>662</v>
      </c>
      <c r="R185" s="73">
        <v>11</v>
      </c>
      <c r="S185" s="73">
        <v>2</v>
      </c>
      <c r="T185" s="73">
        <v>0</v>
      </c>
      <c r="U185" s="73">
        <v>0</v>
      </c>
      <c r="V185" s="73">
        <v>923</v>
      </c>
      <c r="W185" s="73">
        <v>19</v>
      </c>
      <c r="X185" s="73">
        <v>1</v>
      </c>
      <c r="Y185" s="73">
        <v>0</v>
      </c>
      <c r="Z185" s="73" t="s">
        <v>865</v>
      </c>
      <c r="AA185" s="73" t="s">
        <v>693</v>
      </c>
      <c r="AB185" s="73" t="str">
        <f>IF(AA185&lt;&gt;"",INDEX(Lookup!$N$2:$N$5,MATCH(Players!AA185,Lookup!$P$2:$P$5,0)),INDEX(Lookup!$N$2:$N$5,MATCH(Players!O185,Lookup!$O$2:$O$5,0)))</f>
        <v>Striker</v>
      </c>
      <c r="AC185" s="73">
        <v>5000000</v>
      </c>
      <c r="AD185" s="73" t="s">
        <v>838</v>
      </c>
      <c r="AE185" s="73" t="str">
        <f>INDEX('Translate table'!$H$2:$H$622,MATCH(Players!P185,'Translate table'!$G$2:$G$622,0))</f>
        <v>Gareth Bale</v>
      </c>
      <c r="AF185" s="73">
        <f>IFERROR(INDEX('Euro Qual stats'!$A$1:$L$2071,MATCH(Players!$AE185,'Euro Qual stats'!$A$1:$A$2071,0),MATCH(Players!AF$2,'Euro Qual stats'!$A$1:$L$1,0)),0)</f>
        <v>8</v>
      </c>
      <c r="AG185" s="73">
        <f>IFERROR(INDEX('Euro Qual stats'!$A$1:$L$2071,MATCH(Players!$AE185,'Euro Qual stats'!$A$1:$A$2071,0),MATCH(Players!AG$2,'Euro Qual stats'!$A$1:$L$1,0)),0)</f>
        <v>0.13</v>
      </c>
      <c r="AH185" s="73">
        <f>IFERROR(INDEX('Euro Qual stats'!$A$1:$L$2071,MATCH(Players!$AE185,'Euro Qual stats'!$A$1:$A$2071,0),MATCH(Players!AH$2,'Euro Qual stats'!$A$1:$L$1,0)),0)</f>
        <v>0.26</v>
      </c>
      <c r="AI185" s="73">
        <f>IFERROR(INDEX('Euro Qual stats'!$A$1:$L$2071,MATCH(Players!$AE185,'Euro Qual stats'!$A$1:$A$2071,0),MATCH(Players!AI$2,'Euro Qual stats'!$A$1:$L$1,0)),0)</f>
        <v>0.26</v>
      </c>
      <c r="AJ185" s="93">
        <f>(12-AF185)/12*INDEX(BV$9:BV$12,MATCH($AB185,$BU$9:$BU$12,0))+AF185/12*AG185</f>
        <v>0.15497126436781611</v>
      </c>
      <c r="AK185" s="93">
        <f>(12-AG185)/12*INDEX(BW$9:BW$12,MATCH($AB185,$BU$9:$BU$12,0))+AG185/12*AH185</f>
        <v>0.5309122844827584</v>
      </c>
      <c r="AL185" s="93">
        <f>(12-AH185)/12*INDEX(BX$9:BX$12,MATCH($AB185,$BU$9:$BU$12,0))+AH185/12*AI185</f>
        <v>0.16688965517241383</v>
      </c>
      <c r="AM185" s="93">
        <f>IF($BC185=1,AJ185/SUMIFS(AJ$3:AJ$623,$BC$3:$BC$623,1,$G$3:$G$623,$G185),0)</f>
        <v>0.14864759014886289</v>
      </c>
      <c r="AN185" s="93">
        <f>IF($BC185=1,AK185/SUMIFS(AK$3:AK$623,$BC$3:$BC$623,1,$G$3:$G$623,$G185),0)</f>
        <v>0.2918305971884983</v>
      </c>
      <c r="AO185" s="93">
        <f>IF($BC185=1,AL185/SUMIFS(AL$3:AL$623,$BC$3:$BC$623,1,$G$3:$G$623,$G185),0)</f>
        <v>8.1487454568546919E-2</v>
      </c>
      <c r="AP185" s="2">
        <f>IFERROR(R185/$V185*90,"")</f>
        <v>1.0725893824485373</v>
      </c>
      <c r="AQ185" s="2">
        <f>IFERROR(S185/$V185*90,"")</f>
        <v>0.19501625135427952</v>
      </c>
      <c r="AR185" s="2">
        <f>IFERROR(W185/$V185*90,"")</f>
        <v>1.8526543878656554</v>
      </c>
      <c r="AS185" s="2">
        <f>IFERROR(X185/$V185*90,"")</f>
        <v>9.7508125677139762E-2</v>
      </c>
      <c r="AT185" s="2">
        <f>IFERROR(Y185/$V185*90,"")</f>
        <v>0</v>
      </c>
      <c r="AU185" s="2">
        <f>IF(AP185="",INDEX(BV$4:BV$7,MATCH(O185,$BU$4:$BU$7,0)),AP185)</f>
        <v>1.0725893824485373</v>
      </c>
      <c r="AV185" s="2">
        <f>IF(AQ185="",INDEX(BW$4:BW$7,MATCH($O185,$BU$4:$BU$7,0)),AQ185)</f>
        <v>0.19501625135427952</v>
      </c>
      <c r="AW185" s="2">
        <f t="shared" si="24"/>
        <v>1.8526543878656554</v>
      </c>
      <c r="AX185" s="2">
        <f t="shared" si="25"/>
        <v>9.7508125677139762E-2</v>
      </c>
      <c r="AY185" s="2">
        <f t="shared" si="26"/>
        <v>0</v>
      </c>
      <c r="AZ185" s="2">
        <f>AU185*0.5+AK185*0.5</f>
        <v>0.80175083346564779</v>
      </c>
      <c r="BA185" s="2">
        <f>AV185*0.5+AJ185*0.5</f>
        <v>0.17499375786104782</v>
      </c>
      <c r="BB185" s="2">
        <f t="shared" si="27"/>
        <v>0.17875406283856987</v>
      </c>
      <c r="BC185">
        <f>IF(I185="expected",1,0)</f>
        <v>1</v>
      </c>
      <c r="BD185" s="78">
        <f>IF(BC185=1,AZ185/SUMIFS(AZ$3:AZ$623,$BC$3:$BC$623,1,$G$3:$G$623,$G185),0)</f>
        <v>0.50294650103614802</v>
      </c>
      <c r="BE185" s="78">
        <f>IF(BC185=1,BA185/SUMIFS(BA$3:BA$623,$BC$3:$BC$623,1,$G$3:$G$623,$G185),0)</f>
        <v>0.24333125661416694</v>
      </c>
      <c r="BF185" s="78">
        <f t="shared" si="28"/>
        <v>0.67332738737520859</v>
      </c>
      <c r="BG185" s="2">
        <f t="shared" si="29"/>
        <v>0.17875406283856987</v>
      </c>
      <c r="BH185" s="2">
        <f t="shared" si="30"/>
        <v>0</v>
      </c>
      <c r="BI185" s="2">
        <f t="shared" si="31"/>
        <v>0.35</v>
      </c>
      <c r="BJ185" s="2">
        <f t="shared" si="32"/>
        <v>0.24333125661416694</v>
      </c>
      <c r="BK185" s="2">
        <f t="shared" si="33"/>
        <v>0.3</v>
      </c>
      <c r="BL185" s="2">
        <f t="shared" si="34"/>
        <v>0.17875406283856987</v>
      </c>
      <c r="BM185" s="2">
        <f t="shared" si="35"/>
        <v>0</v>
      </c>
      <c r="BN185" s="2">
        <f>BI185/SUMIFS(BI$3:BI$623,$BC$3:$BC$623,1,$G$3:$G$623,$G185)</f>
        <v>0.4131970417785103</v>
      </c>
      <c r="BO185" s="2">
        <f>BJ185/SUMIFS(BJ$3:BJ$623,$BC$3:$BC$623,1,$G$3:$G$623,$G185)</f>
        <v>0.24333125661416694</v>
      </c>
      <c r="BP185" s="2">
        <f>BK185/SUMIFS(BK$3:BK$623,$BC$3:$BC$623,1,$G$3:$G$623,$G185)</f>
        <v>0.4787188620601478</v>
      </c>
      <c r="BQ185" s="2">
        <f>BL185</f>
        <v>0.17875406283856987</v>
      </c>
      <c r="BR185" s="2">
        <f>BM185</f>
        <v>0</v>
      </c>
    </row>
    <row r="186" spans="1:70" hidden="1">
      <c r="A186" s="74">
        <v>0</v>
      </c>
      <c r="B186" s="73">
        <v>204803</v>
      </c>
      <c r="C186" s="73" t="s">
        <v>1713</v>
      </c>
      <c r="D186" s="73" t="s">
        <v>1714</v>
      </c>
      <c r="E186" s="73" t="s">
        <v>1715</v>
      </c>
      <c r="F186" s="73">
        <v>18564</v>
      </c>
      <c r="G186" s="73" t="s">
        <v>886</v>
      </c>
      <c r="H186" s="73" t="s">
        <v>919</v>
      </c>
      <c r="I186" s="73" t="s">
        <v>981</v>
      </c>
      <c r="J186" s="73">
        <v>0</v>
      </c>
      <c r="K186" s="73">
        <v>6</v>
      </c>
      <c r="L186" s="73">
        <v>0</v>
      </c>
      <c r="M186" s="73">
        <v>0</v>
      </c>
      <c r="N186" s="73">
        <v>0</v>
      </c>
      <c r="O186" s="73" t="s">
        <v>982</v>
      </c>
      <c r="P186" s="73" t="s">
        <v>1716</v>
      </c>
      <c r="Q186" s="73" t="s">
        <v>1716</v>
      </c>
      <c r="R186" s="73">
        <v>4</v>
      </c>
      <c r="S186" s="73">
        <v>3</v>
      </c>
      <c r="T186" s="73">
        <v>0</v>
      </c>
      <c r="U186" s="73">
        <v>1</v>
      </c>
      <c r="V186" s="73">
        <v>1918</v>
      </c>
      <c r="W186" s="73">
        <v>7</v>
      </c>
      <c r="X186" s="73">
        <v>7</v>
      </c>
      <c r="Y186" s="73">
        <v>0</v>
      </c>
      <c r="Z186" s="73" t="s">
        <v>1717</v>
      </c>
      <c r="AA186" s="73" t="s">
        <v>691</v>
      </c>
      <c r="AB186" s="73" t="str">
        <f>IF(AA186&lt;&gt;"",INDEX(Lookup!$N$2:$N$5,MATCH(Players!AA186,Lookup!$P$2:$P$5,0)),INDEX(Lookup!$N$2:$N$5,MATCH(Players!O186,Lookup!$O$2:$O$5,0)))</f>
        <v>Midfield</v>
      </c>
      <c r="AC186" s="73">
        <v>4000000</v>
      </c>
      <c r="AD186" s="73" t="s">
        <v>807</v>
      </c>
      <c r="AE186" s="73" t="str">
        <f>INDEX('Translate table'!$H$2:$H$622,MATCH(Players!P186,'Translate table'!$G$2:$G$622,0))</f>
        <v>Dejan Kulusevski</v>
      </c>
      <c r="AF186" s="73">
        <f>IFERROR(INDEX('Euro Qual stats'!$A$1:$L$2071,MATCH(Players!$AE186,'Euro Qual stats'!$A$1:$A$2071,0),MATCH(Players!AF$2,'Euro Qual stats'!$A$1:$L$1,0)),0)</f>
        <v>1</v>
      </c>
      <c r="AG186" s="73">
        <f>IFERROR(INDEX('Euro Qual stats'!$A$1:$L$2071,MATCH(Players!$AE186,'Euro Qual stats'!$A$1:$A$2071,0),MATCH(Players!AG$2,'Euro Qual stats'!$A$1:$L$1,0)),0)</f>
        <v>0</v>
      </c>
      <c r="AH186" s="73">
        <f>IFERROR(INDEX('Euro Qual stats'!$A$1:$L$2071,MATCH(Players!$AE186,'Euro Qual stats'!$A$1:$A$2071,0),MATCH(Players!AH$2,'Euro Qual stats'!$A$1:$L$1,0)),0)</f>
        <v>0</v>
      </c>
      <c r="AI186" s="73">
        <f>IFERROR(INDEX('Euro Qual stats'!$A$1:$L$2071,MATCH(Players!$AE186,'Euro Qual stats'!$A$1:$A$2071,0),MATCH(Players!AI$2,'Euro Qual stats'!$A$1:$L$1,0)),0)</f>
        <v>0</v>
      </c>
      <c r="AJ186" s="93">
        <f>(12-AF186)/12*INDEX(BV$9:BV$12,MATCH($AB186,$BU$9:$BU$12,0))+AF186/12*AG186</f>
        <v>0.15463350785340313</v>
      </c>
      <c r="AK186" s="93">
        <f>(12-AG186)/12*INDEX(BW$9:BW$12,MATCH($AB186,$BU$9:$BU$12,0))+AG186/12*AH186</f>
        <v>0.22340314136125652</v>
      </c>
      <c r="AL186" s="93">
        <f>(12-AH186)/12*INDEX(BX$9:BX$12,MATCH($AB186,$BU$9:$BU$12,0))+AH186/12*AI186</f>
        <v>0.23942408376963353</v>
      </c>
      <c r="AM186" s="93">
        <f>IF($BC186=1,AJ186/SUMIFS(AJ$3:AJ$623,$BC$3:$BC$623,1,$G$3:$G$623,$G186),0)</f>
        <v>0.12117410268532219</v>
      </c>
      <c r="AN186" s="93">
        <f>IF($BC186=1,AK186/SUMIFS(AK$3:AK$623,$BC$3:$BC$623,1,$G$3:$G$623,$G186),0)</f>
        <v>0.10335502098919211</v>
      </c>
      <c r="AO186" s="93">
        <f>IF($BC186=1,AL186/SUMIFS(AL$3:AL$623,$BC$3:$BC$623,1,$G$3:$G$623,$G186),0)</f>
        <v>0.13134800562899818</v>
      </c>
      <c r="AP186" s="2">
        <f>IFERROR(R186/$V186*90,"")</f>
        <v>0.18769551616266944</v>
      </c>
      <c r="AQ186" s="2">
        <f>IFERROR(S186/$V186*90,"")</f>
        <v>0.14077163712200208</v>
      </c>
      <c r="AR186" s="2">
        <f>IFERROR(W186/$V186*90,"")</f>
        <v>0.32846715328467152</v>
      </c>
      <c r="AS186" s="2">
        <f>IFERROR(X186/$V186*90,"")</f>
        <v>0.32846715328467152</v>
      </c>
      <c r="AT186" s="2">
        <f>IFERROR(Y186/$V186*90,"")</f>
        <v>0</v>
      </c>
      <c r="AU186" s="2">
        <f>IF(AP186="",INDEX(BV$4:BV$7,MATCH(O186,$BU$4:$BU$7,0)),AP186)</f>
        <v>0.18769551616266944</v>
      </c>
      <c r="AV186" s="2">
        <f>IF(AQ186="",INDEX(BW$4:BW$7,MATCH($O186,$BU$4:$BU$7,0)),AQ186)</f>
        <v>0.14077163712200208</v>
      </c>
      <c r="AW186" s="2">
        <f t="shared" si="24"/>
        <v>0.32846715328467152</v>
      </c>
      <c r="AX186" s="2">
        <f t="shared" si="25"/>
        <v>0.32846715328467152</v>
      </c>
      <c r="AY186" s="2">
        <f t="shared" si="26"/>
        <v>0</v>
      </c>
      <c r="AZ186" s="2">
        <f>AU186*0.5+AK186*0.5</f>
        <v>0.20554932876196297</v>
      </c>
      <c r="BA186" s="2">
        <f>AV186*0.5+AJ186*0.5</f>
        <v>0.1477025724877026</v>
      </c>
      <c r="BB186" s="2">
        <f t="shared" si="27"/>
        <v>0.16423357664233576</v>
      </c>
      <c r="BC186">
        <f>IF(I186="expected",1,0)</f>
        <v>1</v>
      </c>
      <c r="BD186" s="78">
        <f>IF(BC186=1,AZ186/SUMIFS(AZ$3:AZ$623,$BC$3:$BC$623,1,$G$3:$G$623,$G186),0)</f>
        <v>0.13000053809683126</v>
      </c>
      <c r="BE186" s="78">
        <f>IF(BC186=1,BA186/SUMIFS(BA$3:BA$623,$BC$3:$BC$623,1,$G$3:$G$623,$G186),0)</f>
        <v>0.16443997800974405</v>
      </c>
      <c r="BF186" s="78">
        <f t="shared" si="28"/>
        <v>0.10213520481217281</v>
      </c>
      <c r="BG186" s="2">
        <f t="shared" si="29"/>
        <v>0.16423357664233576</v>
      </c>
      <c r="BH186" s="2">
        <f t="shared" si="30"/>
        <v>0</v>
      </c>
      <c r="BI186" s="2">
        <f t="shared" si="31"/>
        <v>0.13000053809683126</v>
      </c>
      <c r="BJ186" s="2">
        <f t="shared" si="32"/>
        <v>0.16443997800974405</v>
      </c>
      <c r="BK186" s="2">
        <f t="shared" si="33"/>
        <v>0.10213520481217281</v>
      </c>
      <c r="BL186" s="2">
        <f t="shared" si="34"/>
        <v>0.16423357664233576</v>
      </c>
      <c r="BM186" s="2">
        <f t="shared" si="35"/>
        <v>0</v>
      </c>
      <c r="BN186" s="2">
        <f>BI186/SUMIFS(BI$3:BI$623,$BC$3:$BC$623,1,$G$3:$G$623,$G186)</f>
        <v>0.13318712726158849</v>
      </c>
      <c r="BO186" s="2">
        <f>BJ186/SUMIFS(BJ$3:BJ$623,$BC$3:$BC$623,1,$G$3:$G$623,$G186)</f>
        <v>0.16443997800974405</v>
      </c>
      <c r="BP186" s="2">
        <f>BK186/SUMIFS(BK$3:BK$623,$BC$3:$BC$623,1,$G$3:$G$623,$G186)</f>
        <v>0.12739035224116738</v>
      </c>
      <c r="BQ186" s="2">
        <f>BL186</f>
        <v>0.16423357664233576</v>
      </c>
      <c r="BR186" s="2">
        <f>BM186</f>
        <v>0</v>
      </c>
    </row>
    <row r="187" spans="1:70" hidden="1">
      <c r="A187" s="74">
        <v>0</v>
      </c>
      <c r="B187" s="73">
        <v>204836</v>
      </c>
      <c r="C187" s="73" t="s">
        <v>1718</v>
      </c>
      <c r="D187" s="73" t="s">
        <v>1719</v>
      </c>
      <c r="E187" s="73" t="s">
        <v>1720</v>
      </c>
      <c r="F187" s="73">
        <v>18699</v>
      </c>
      <c r="G187" s="73" t="s">
        <v>888</v>
      </c>
      <c r="H187" s="73" t="s">
        <v>941</v>
      </c>
      <c r="I187" s="73" t="s">
        <v>981</v>
      </c>
      <c r="J187" s="73">
        <v>0</v>
      </c>
      <c r="K187" s="73">
        <v>6</v>
      </c>
      <c r="L187" s="73">
        <v>0</v>
      </c>
      <c r="M187" s="73">
        <v>0</v>
      </c>
      <c r="N187" s="73">
        <v>0</v>
      </c>
      <c r="O187" s="73" t="s">
        <v>982</v>
      </c>
      <c r="P187" s="73" t="s">
        <v>1721</v>
      </c>
      <c r="Q187" s="73" t="s">
        <v>1721</v>
      </c>
      <c r="R187" s="73">
        <v>9</v>
      </c>
      <c r="S187" s="73">
        <v>1</v>
      </c>
      <c r="T187" s="73">
        <v>0</v>
      </c>
      <c r="U187" s="73">
        <v>0</v>
      </c>
      <c r="V187" s="73">
        <v>1223</v>
      </c>
      <c r="W187" s="73">
        <v>21</v>
      </c>
      <c r="X187" s="73">
        <v>2</v>
      </c>
      <c r="Y187" s="73">
        <v>0</v>
      </c>
      <c r="Z187" s="73" t="s">
        <v>1083</v>
      </c>
      <c r="AA187" s="73" t="s">
        <v>693</v>
      </c>
      <c r="AB187" s="73" t="str">
        <f>IF(AA187&lt;&gt;"",INDEX(Lookup!$N$2:$N$5,MATCH(Players!AA187,Lookup!$P$2:$P$5,0)),INDEX(Lookup!$N$2:$N$5,MATCH(Players!O187,Lookup!$O$2:$O$5,0)))</f>
        <v>Striker</v>
      </c>
      <c r="AC187" s="73">
        <v>4000000</v>
      </c>
      <c r="AD187" s="73" t="s">
        <v>793</v>
      </c>
      <c r="AE187" s="73" t="str">
        <f>INDEX('Translate table'!$H$2:$H$622,MATCH(Players!P187,'Translate table'!$G$2:$G$622,0))</f>
        <v>Arkadiusz Milik</v>
      </c>
      <c r="AF187" s="73">
        <f>IFERROR(INDEX('Euro Qual stats'!$A$1:$L$2071,MATCH(Players!$AE187,'Euro Qual stats'!$A$1:$A$2071,0),MATCH(Players!AF$2,'Euro Qual stats'!$A$1:$L$1,0)),0)</f>
        <v>4</v>
      </c>
      <c r="AG187" s="73">
        <f>IFERROR(INDEX('Euro Qual stats'!$A$1:$L$2071,MATCH(Players!$AE187,'Euro Qual stats'!$A$1:$A$2071,0),MATCH(Players!AG$2,'Euro Qual stats'!$A$1:$L$1,0)),0)</f>
        <v>1.02</v>
      </c>
      <c r="AH187" s="73">
        <f>IFERROR(INDEX('Euro Qual stats'!$A$1:$L$2071,MATCH(Players!$AE187,'Euro Qual stats'!$A$1:$A$2071,0),MATCH(Players!AH$2,'Euro Qual stats'!$A$1:$L$1,0)),0)</f>
        <v>1.02</v>
      </c>
      <c r="AI187" s="73">
        <f>IFERROR(INDEX('Euro Qual stats'!$A$1:$L$2071,MATCH(Players!$AE187,'Euro Qual stats'!$A$1:$A$2071,0),MATCH(Players!AI$2,'Euro Qual stats'!$A$1:$L$1,0)),0)</f>
        <v>0</v>
      </c>
      <c r="AJ187" s="93">
        <f>(12-AF187)/12*INDEX(BV$9:BV$12,MATCH($AB187,$BU$9:$BU$12,0))+AF187/12*AG187</f>
        <v>0.47660919540229885</v>
      </c>
      <c r="AK187" s="93">
        <f>(12-AG187)/12*INDEX(BW$9:BW$12,MATCH($AB187,$BU$9:$BU$12,0))+AG187/12*AH187</f>
        <v>0.57519956896551705</v>
      </c>
      <c r="AL187" s="93">
        <f>(12-AH187)/12*INDEX(BX$9:BX$12,MATCH($AB187,$BU$9:$BU$12,0))+AH187/12*AI187</f>
        <v>0.15081724137931038</v>
      </c>
      <c r="AM187" s="93">
        <f>IF($BC187=1,AJ187/SUMIFS(AJ$3:AJ$623,$BC$3:$BC$623,1,$G$3:$G$623,$G187),0)</f>
        <v>0.35064418751646786</v>
      </c>
      <c r="AN187" s="93">
        <f>IF($BC187=1,AK187/SUMIFS(AK$3:AK$623,$BC$3:$BC$623,1,$G$3:$G$623,$G187),0)</f>
        <v>0.2379567336809435</v>
      </c>
      <c r="AO187" s="93">
        <f>IF($BC187=1,AL187/SUMIFS(AL$3:AL$623,$BC$3:$BC$623,1,$G$3:$G$623,$G187),0)</f>
        <v>7.4249485518345038E-2</v>
      </c>
      <c r="AP187" s="2">
        <f>IFERROR(R187/$V187*90,"")</f>
        <v>0.66230580539656581</v>
      </c>
      <c r="AQ187" s="2">
        <f>IFERROR(S187/$V187*90,"")</f>
        <v>7.3589533932951756E-2</v>
      </c>
      <c r="AR187" s="2">
        <f>IFERROR(W187/$V187*90,"")</f>
        <v>1.5453802125919869</v>
      </c>
      <c r="AS187" s="2">
        <f>IFERROR(X187/$V187*90,"")</f>
        <v>0.14717906786590351</v>
      </c>
      <c r="AT187" s="2">
        <f>IFERROR(Y187/$V187*90,"")</f>
        <v>0</v>
      </c>
      <c r="AU187" s="2">
        <f>IF(AP187="",INDEX(BV$4:BV$7,MATCH(O187,$BU$4:$BU$7,0)),AP187)</f>
        <v>0.66230580539656581</v>
      </c>
      <c r="AV187" s="2">
        <f>IF(AQ187="",INDEX(BW$4:BW$7,MATCH($O187,$BU$4:$BU$7,0)),AQ187)</f>
        <v>7.3589533932951756E-2</v>
      </c>
      <c r="AW187" s="2">
        <f t="shared" si="24"/>
        <v>1.5453802125919869</v>
      </c>
      <c r="AX187" s="2">
        <f t="shared" si="25"/>
        <v>0.14717906786590351</v>
      </c>
      <c r="AY187" s="2">
        <f t="shared" si="26"/>
        <v>0</v>
      </c>
      <c r="AZ187" s="2">
        <f>AU187*0.5+AK187*0.5</f>
        <v>0.61875268718104137</v>
      </c>
      <c r="BA187" s="2">
        <f>AV187*0.5+AJ187*0.5</f>
        <v>0.2750993646676253</v>
      </c>
      <c r="BB187" s="2">
        <f t="shared" si="27"/>
        <v>7.3589533932951756E-2</v>
      </c>
      <c r="BC187">
        <f>IF(I187="expected",1,0)</f>
        <v>1</v>
      </c>
      <c r="BD187" s="78">
        <f>IF(BC187=1,AZ187/SUMIFS(AZ$3:AZ$623,$BC$3:$BC$623,1,$G$3:$G$623,$G187),0)</f>
        <v>0.224415328266348</v>
      </c>
      <c r="BE187" s="78">
        <f>IF(BC187=1,BA187/SUMIFS(BA$3:BA$623,$BC$3:$BC$623,1,$G$3:$G$623,$G187),0)</f>
        <v>0.23190046356996097</v>
      </c>
      <c r="BF187" s="78">
        <f t="shared" si="28"/>
        <v>0.21041518768504586</v>
      </c>
      <c r="BG187" s="2">
        <f t="shared" si="29"/>
        <v>7.3589533932951756E-2</v>
      </c>
      <c r="BH187" s="2">
        <f t="shared" si="30"/>
        <v>0</v>
      </c>
      <c r="BI187" s="2">
        <f t="shared" si="31"/>
        <v>0.224415328266348</v>
      </c>
      <c r="BJ187" s="2">
        <f t="shared" si="32"/>
        <v>0.23190046356996097</v>
      </c>
      <c r="BK187" s="2">
        <f t="shared" si="33"/>
        <v>0.21041518768504586</v>
      </c>
      <c r="BL187" s="2">
        <f t="shared" si="34"/>
        <v>7.3589533932951756E-2</v>
      </c>
      <c r="BM187" s="2">
        <f t="shared" si="35"/>
        <v>0</v>
      </c>
      <c r="BN187" s="2">
        <f>BI187/SUMIFS(BI$3:BI$623,$BC$3:$BC$623,1,$G$3:$G$623,$G187)</f>
        <v>0.22873579115622397</v>
      </c>
      <c r="BO187" s="2">
        <f>BJ187/SUMIFS(BJ$3:BJ$623,$BC$3:$BC$623,1,$G$3:$G$623,$G187)</f>
        <v>0.23190046356996097</v>
      </c>
      <c r="BP187" s="2">
        <f>BK187/SUMIFS(BK$3:BK$623,$BC$3:$BC$623,1,$G$3:$G$623,$G187)</f>
        <v>0.21879977839843703</v>
      </c>
      <c r="BQ187" s="2">
        <f>BL187</f>
        <v>7.3589533932951756E-2</v>
      </c>
      <c r="BR187" s="2">
        <f>BM187</f>
        <v>0</v>
      </c>
    </row>
    <row r="188" spans="1:70" hidden="1">
      <c r="A188" s="74">
        <v>0</v>
      </c>
      <c r="B188" s="73">
        <v>204731</v>
      </c>
      <c r="C188" s="73" t="s">
        <v>1722</v>
      </c>
      <c r="D188" s="73" t="s">
        <v>1723</v>
      </c>
      <c r="E188" s="73" t="s">
        <v>1724</v>
      </c>
      <c r="F188" s="73">
        <v>18708</v>
      </c>
      <c r="G188" s="73" t="s">
        <v>866</v>
      </c>
      <c r="H188" s="73" t="s">
        <v>923</v>
      </c>
      <c r="I188" s="73" t="s">
        <v>981</v>
      </c>
      <c r="J188" s="73">
        <v>0</v>
      </c>
      <c r="K188" s="73">
        <v>6</v>
      </c>
      <c r="L188" s="73">
        <v>0</v>
      </c>
      <c r="M188" s="73">
        <v>0</v>
      </c>
      <c r="N188" s="73">
        <v>0</v>
      </c>
      <c r="O188" s="73" t="s">
        <v>994</v>
      </c>
      <c r="P188" s="73" t="s">
        <v>92</v>
      </c>
      <c r="Q188" s="73" t="s">
        <v>92</v>
      </c>
      <c r="R188" s="73">
        <v>1</v>
      </c>
      <c r="S188" s="73">
        <v>2</v>
      </c>
      <c r="T188" s="73">
        <v>0</v>
      </c>
      <c r="U188" s="73">
        <v>9</v>
      </c>
      <c r="V188" s="73">
        <v>2522</v>
      </c>
      <c r="W188" s="73">
        <v>7</v>
      </c>
      <c r="X188" s="73">
        <v>7</v>
      </c>
      <c r="Y188" s="73">
        <v>1</v>
      </c>
      <c r="Z188" s="73" t="s">
        <v>1342</v>
      </c>
      <c r="AA188" s="73" t="s">
        <v>691</v>
      </c>
      <c r="AB188" s="73" t="str">
        <f>IF(AA188&lt;&gt;"",INDEX(Lookup!$N$2:$N$5,MATCH(Players!AA188,Lookup!$P$2:$P$5,0)),INDEX(Lookup!$N$2:$N$5,MATCH(Players!O188,Lookup!$O$2:$O$5,0)))</f>
        <v>Midfield</v>
      </c>
      <c r="AC188" s="73">
        <v>3500000</v>
      </c>
      <c r="AD188" s="73" t="s">
        <v>806</v>
      </c>
      <c r="AE188" s="73" t="str">
        <f>INDEX('Translate table'!$H$2:$H$622,MATCH(Players!P188,'Translate table'!$G$2:$G$622,0))</f>
        <v>Granit Xhaka</v>
      </c>
      <c r="AF188" s="73">
        <f>IFERROR(INDEX('Euro Qual stats'!$A$1:$L$2071,MATCH(Players!$AE188,'Euro Qual stats'!$A$1:$A$2071,0),MATCH(Players!AF$2,'Euro Qual stats'!$A$1:$L$1,0)),0)</f>
        <v>8</v>
      </c>
      <c r="AG188" s="73">
        <f>IFERROR(INDEX('Euro Qual stats'!$A$1:$L$2071,MATCH(Players!$AE188,'Euro Qual stats'!$A$1:$A$2071,0),MATCH(Players!AG$2,'Euro Qual stats'!$A$1:$L$1,0)),0)</f>
        <v>0.13</v>
      </c>
      <c r="AH188" s="73">
        <f>IFERROR(INDEX('Euro Qual stats'!$A$1:$L$2071,MATCH(Players!$AE188,'Euro Qual stats'!$A$1:$A$2071,0),MATCH(Players!AH$2,'Euro Qual stats'!$A$1:$L$1,0)),0)</f>
        <v>0.26</v>
      </c>
      <c r="AI188" s="73">
        <f>IFERROR(INDEX('Euro Qual stats'!$A$1:$L$2071,MATCH(Players!$AE188,'Euro Qual stats'!$A$1:$A$2071,0),MATCH(Players!AI$2,'Euro Qual stats'!$A$1:$L$1,0)),0)</f>
        <v>0.26</v>
      </c>
      <c r="AJ188" s="93">
        <f>(12-AF188)/12*INDEX(BV$9:BV$12,MATCH($AB188,$BU$9:$BU$12,0))+AF188/12*AG188</f>
        <v>0.14289703315881325</v>
      </c>
      <c r="AK188" s="93">
        <f>(12-AG188)/12*INDEX(BW$9:BW$12,MATCH($AB188,$BU$9:$BU$12,0))+AG188/12*AH188</f>
        <v>0.22379960732984291</v>
      </c>
      <c r="AL188" s="93">
        <f>(12-AH188)/12*INDEX(BX$9:BX$12,MATCH($AB188,$BU$9:$BU$12,0))+AH188/12*AI188</f>
        <v>0.23986989528795816</v>
      </c>
      <c r="AM188" s="93">
        <f>IF($BC188=1,AJ188/SUMIFS(AJ$3:AJ$623,$BC$3:$BC$623,1,$G$3:$G$623,$G188),0)</f>
        <v>0.10272259709424722</v>
      </c>
      <c r="AN188" s="93">
        <f>IF($BC188=1,AK188/SUMIFS(AK$3:AK$623,$BC$3:$BC$623,1,$G$3:$G$623,$G188),0)</f>
        <v>9.4364559892139585E-2</v>
      </c>
      <c r="AO188" s="93">
        <f>IF($BC188=1,AL188/SUMIFS(AL$3:AL$623,$BC$3:$BC$623,1,$G$3:$G$623,$G188),0)</f>
        <v>0.11747868823434245</v>
      </c>
      <c r="AP188" s="2">
        <f>IFERROR(R188/$V188*90,"")</f>
        <v>3.5685963521015066E-2</v>
      </c>
      <c r="AQ188" s="2">
        <f>IFERROR(S188/$V188*90,"")</f>
        <v>7.1371927042030131E-2</v>
      </c>
      <c r="AR188" s="2">
        <f>IFERROR(W188/$V188*90,"")</f>
        <v>0.24980174464710547</v>
      </c>
      <c r="AS188" s="2">
        <f>IFERROR(X188/$V188*90,"")</f>
        <v>0.24980174464710547</v>
      </c>
      <c r="AT188" s="2">
        <f>IFERROR(Y188/$V188*90,"")</f>
        <v>3.5685963521015066E-2</v>
      </c>
      <c r="AU188" s="2">
        <f>IF(AP188="",INDEX(BV$4:BV$7,MATCH(O188,$BU$4:$BU$7,0)),AP188)</f>
        <v>3.5685963521015066E-2</v>
      </c>
      <c r="AV188" s="2">
        <f>IF(AQ188="",INDEX(BW$4:BW$7,MATCH($O188,$BU$4:$BU$7,0)),AQ188)</f>
        <v>7.1371927042030131E-2</v>
      </c>
      <c r="AW188" s="2">
        <f t="shared" si="24"/>
        <v>0.24980174464710547</v>
      </c>
      <c r="AX188" s="2">
        <f t="shared" si="25"/>
        <v>0.24980174464710547</v>
      </c>
      <c r="AY188" s="2">
        <f t="shared" si="26"/>
        <v>3.5685963521015066E-2</v>
      </c>
      <c r="AZ188" s="2">
        <f>AU188*0.5+AK188*0.5</f>
        <v>0.129742785425429</v>
      </c>
      <c r="BA188" s="2">
        <f>AV188*0.5+AJ188*0.5</f>
        <v>0.10713448010042169</v>
      </c>
      <c r="BB188" s="2">
        <f t="shared" si="27"/>
        <v>0.25490087232355274</v>
      </c>
      <c r="BC188">
        <f>IF(I188="expected",1,0)</f>
        <v>1</v>
      </c>
      <c r="BD188" s="78">
        <f>IF(BC188=1,AZ188/SUMIFS(AZ$3:AZ$623,$BC$3:$BC$623,1,$G$3:$G$623,$G188),0)</f>
        <v>8.736628195944246E-2</v>
      </c>
      <c r="BE188" s="78">
        <f>IF(BC188=1,BA188/SUMIFS(BA$3:BA$623,$BC$3:$BC$623,1,$G$3:$G$623,$G188),0)</f>
        <v>7.7382839835790099E-2</v>
      </c>
      <c r="BF188" s="78">
        <f t="shared" si="28"/>
        <v>7.0995165395438209E-2</v>
      </c>
      <c r="BG188" s="2">
        <f t="shared" si="29"/>
        <v>0.25490087232355274</v>
      </c>
      <c r="BH188" s="2">
        <f t="shared" si="30"/>
        <v>3.5685963521015066E-2</v>
      </c>
      <c r="BI188" s="2">
        <f t="shared" si="31"/>
        <v>8.736628195944246E-2</v>
      </c>
      <c r="BJ188" s="2">
        <f t="shared" si="32"/>
        <v>7.7382839835790099E-2</v>
      </c>
      <c r="BK188" s="2">
        <f t="shared" si="33"/>
        <v>7.0995165395438209E-2</v>
      </c>
      <c r="BL188" s="2">
        <f t="shared" si="34"/>
        <v>0.25490087232355274</v>
      </c>
      <c r="BM188" s="2">
        <f t="shared" si="35"/>
        <v>3.5685963521015066E-2</v>
      </c>
      <c r="BN188" s="2">
        <f>BI188/SUMIFS(BI$3:BI$623,$BC$3:$BC$623,1,$G$3:$G$623,$G188)</f>
        <v>8.7366281959442474E-2</v>
      </c>
      <c r="BO188" s="2">
        <f>BJ188/SUMIFS(BJ$3:BJ$623,$BC$3:$BC$623,1,$G$3:$G$623,$G188)</f>
        <v>7.7382839835790099E-2</v>
      </c>
      <c r="BP188" s="2">
        <f>BK188/SUMIFS(BK$3:BK$623,$BC$3:$BC$623,1,$G$3:$G$623,$G188)</f>
        <v>7.6695161640564613E-2</v>
      </c>
      <c r="BQ188" s="2">
        <f>BL188</f>
        <v>0.25490087232355274</v>
      </c>
      <c r="BR188" s="2">
        <f>BM188</f>
        <v>3.5685963521015066E-2</v>
      </c>
    </row>
    <row r="189" spans="1:70" hidden="1">
      <c r="A189" s="74">
        <v>0</v>
      </c>
      <c r="B189" s="73">
        <v>204734</v>
      </c>
      <c r="C189" s="73" t="s">
        <v>1725</v>
      </c>
      <c r="D189" s="73" t="s">
        <v>1726</v>
      </c>
      <c r="E189" s="73" t="s">
        <v>1727</v>
      </c>
      <c r="F189" s="73">
        <v>18708</v>
      </c>
      <c r="G189" s="73" t="s">
        <v>866</v>
      </c>
      <c r="H189" s="73" t="s">
        <v>923</v>
      </c>
      <c r="I189" s="73" t="s">
        <v>981</v>
      </c>
      <c r="J189" s="73">
        <v>0</v>
      </c>
      <c r="K189" s="73">
        <v>6</v>
      </c>
      <c r="L189" s="73">
        <v>0</v>
      </c>
      <c r="M189" s="73">
        <v>0</v>
      </c>
      <c r="N189" s="73">
        <v>0</v>
      </c>
      <c r="O189" s="73" t="s">
        <v>982</v>
      </c>
      <c r="P189" s="73" t="s">
        <v>1728</v>
      </c>
      <c r="Q189" s="73" t="s">
        <v>1728</v>
      </c>
      <c r="R189" s="73">
        <v>5</v>
      </c>
      <c r="S189" s="73">
        <v>2</v>
      </c>
      <c r="T189" s="73">
        <v>0</v>
      </c>
      <c r="U189" s="73">
        <v>1</v>
      </c>
      <c r="V189" s="73">
        <v>1435</v>
      </c>
      <c r="W189" s="73">
        <v>21</v>
      </c>
      <c r="X189" s="73">
        <v>4</v>
      </c>
      <c r="Y189" s="73">
        <v>0</v>
      </c>
      <c r="Z189" s="73" t="s">
        <v>1342</v>
      </c>
      <c r="AA189" s="73" t="s">
        <v>693</v>
      </c>
      <c r="AB189" s="73" t="str">
        <f>IF(AA189&lt;&gt;"",INDEX(Lookup!$N$2:$N$5,MATCH(Players!AA189,Lookup!$P$2:$P$5,0)),INDEX(Lookup!$N$2:$N$5,MATCH(Players!O189,Lookup!$O$2:$O$5,0)))</f>
        <v>Striker</v>
      </c>
      <c r="AC189" s="73">
        <v>4000000</v>
      </c>
      <c r="AD189" s="73" t="s">
        <v>801</v>
      </c>
      <c r="AE189" s="73" t="str">
        <f>INDEX('Translate table'!$H$2:$H$622,MATCH(Players!P189,'Translate table'!$G$2:$G$622,0))</f>
        <v>Breel Embolo</v>
      </c>
      <c r="AF189" s="73">
        <f>IFERROR(INDEX('Euro Qual stats'!$A$1:$L$2071,MATCH(Players!$AE189,'Euro Qual stats'!$A$1:$A$2071,0),MATCH(Players!AF$2,'Euro Qual stats'!$A$1:$L$1,0)),0)</f>
        <v>6</v>
      </c>
      <c r="AG189" s="73">
        <f>IFERROR(INDEX('Euro Qual stats'!$A$1:$L$2071,MATCH(Players!$AE189,'Euro Qual stats'!$A$1:$A$2071,0),MATCH(Players!AG$2,'Euro Qual stats'!$A$1:$L$1,0)),0)</f>
        <v>0.37</v>
      </c>
      <c r="AH189" s="73">
        <f>IFERROR(INDEX('Euro Qual stats'!$A$1:$L$2071,MATCH(Players!$AE189,'Euro Qual stats'!$A$1:$A$2071,0),MATCH(Players!AH$2,'Euro Qual stats'!$A$1:$L$1,0)),0)</f>
        <v>0.18</v>
      </c>
      <c r="AI189" s="73">
        <f>IFERROR(INDEX('Euro Qual stats'!$A$1:$L$2071,MATCH(Players!$AE189,'Euro Qual stats'!$A$1:$A$2071,0),MATCH(Players!AI$2,'Euro Qual stats'!$A$1:$L$1,0)),0)</f>
        <v>0.18</v>
      </c>
      <c r="AJ189" s="93">
        <f>(12-AF189)/12*INDEX(BV$9:BV$12,MATCH($AB189,$BU$9:$BU$12,0))+AF189/12*AG189</f>
        <v>0.28745689655172413</v>
      </c>
      <c r="AK189" s="93">
        <f>(12-AG189)/12*INDEX(BW$9:BW$12,MATCH($AB189,$BU$9:$BU$12,0))+AG189/12*AH189</f>
        <v>0.52296803160919525</v>
      </c>
      <c r="AL189" s="93">
        <f>(12-AH189)/12*INDEX(BX$9:BX$12,MATCH($AB189,$BU$9:$BU$12,0))+AH189/12*AI189</f>
        <v>0.16505517241379314</v>
      </c>
      <c r="AM189" s="93">
        <f>IF($BC189=1,AJ189/SUMIFS(AJ$3:AJ$623,$BC$3:$BC$623,1,$G$3:$G$623,$G189),0)</f>
        <v>0.20664053209298058</v>
      </c>
      <c r="AN189" s="93">
        <f>IF($BC189=1,AK189/SUMIFS(AK$3:AK$623,$BC$3:$BC$623,1,$G$3:$G$623,$G189),0)</f>
        <v>0.2205081980672432</v>
      </c>
      <c r="AO189" s="93">
        <f>IF($BC189=1,AL189/SUMIFS(AL$3:AL$623,$BC$3:$BC$623,1,$G$3:$G$623,$G189),0)</f>
        <v>8.0837426965096423E-2</v>
      </c>
      <c r="AP189" s="2">
        <f>IFERROR(R189/$V189*90,"")</f>
        <v>0.31358885017421601</v>
      </c>
      <c r="AQ189" s="2">
        <f>IFERROR(S189/$V189*90,"")</f>
        <v>0.12543554006968641</v>
      </c>
      <c r="AR189" s="2">
        <f>IFERROR(W189/$V189*90,"")</f>
        <v>1.3170731707317074</v>
      </c>
      <c r="AS189" s="2">
        <f>IFERROR(X189/$V189*90,"")</f>
        <v>0.25087108013937282</v>
      </c>
      <c r="AT189" s="2">
        <f>IFERROR(Y189/$V189*90,"")</f>
        <v>0</v>
      </c>
      <c r="AU189" s="2">
        <f>IF(AP189="",INDEX(BV$4:BV$7,MATCH(O189,$BU$4:$BU$7,0)),AP189)</f>
        <v>0.31358885017421601</v>
      </c>
      <c r="AV189" s="2">
        <f>IF(AQ189="",INDEX(BW$4:BW$7,MATCH($O189,$BU$4:$BU$7,0)),AQ189)</f>
        <v>0.12543554006968641</v>
      </c>
      <c r="AW189" s="2">
        <f t="shared" si="24"/>
        <v>1.3170731707317074</v>
      </c>
      <c r="AX189" s="2">
        <f t="shared" si="25"/>
        <v>0.25087108013937282</v>
      </c>
      <c r="AY189" s="2">
        <f t="shared" si="26"/>
        <v>0</v>
      </c>
      <c r="AZ189" s="2">
        <f>AU189*0.5+AK189*0.5</f>
        <v>0.41827844089170563</v>
      </c>
      <c r="BA189" s="2">
        <f>AV189*0.5+AJ189*0.5</f>
        <v>0.20644621831070525</v>
      </c>
      <c r="BB189" s="2">
        <f t="shared" si="27"/>
        <v>0.2154355400696864</v>
      </c>
      <c r="BC189">
        <f>IF(I189="expected",1,0)</f>
        <v>1</v>
      </c>
      <c r="BD189" s="78">
        <f>IF(BC189=1,AZ189/SUMIFS(AZ$3:AZ$623,$BC$3:$BC$623,1,$G$3:$G$623,$G189),0)</f>
        <v>0.2816606109131552</v>
      </c>
      <c r="BE189" s="78">
        <f>IF(BC189=1,BA189/SUMIFS(BA$3:BA$623,$BC$3:$BC$623,1,$G$3:$G$623,$G189),0)</f>
        <v>0.14911534205670712</v>
      </c>
      <c r="BF189" s="78">
        <f t="shared" si="28"/>
        <v>0.37432015427309095</v>
      </c>
      <c r="BG189" s="2">
        <f t="shared" si="29"/>
        <v>0.2154355400696864</v>
      </c>
      <c r="BH189" s="2">
        <f t="shared" si="30"/>
        <v>0</v>
      </c>
      <c r="BI189" s="2">
        <f t="shared" si="31"/>
        <v>0.2816606109131552</v>
      </c>
      <c r="BJ189" s="2">
        <f t="shared" si="32"/>
        <v>0.14911534205670712</v>
      </c>
      <c r="BK189" s="2">
        <f t="shared" si="33"/>
        <v>0.3</v>
      </c>
      <c r="BL189" s="2">
        <f t="shared" si="34"/>
        <v>0.2154355400696864</v>
      </c>
      <c r="BM189" s="2">
        <f t="shared" si="35"/>
        <v>0</v>
      </c>
      <c r="BN189" s="2">
        <f>BI189/SUMIFS(BI$3:BI$623,$BC$3:$BC$623,1,$G$3:$G$623,$G189)</f>
        <v>0.28166061091315525</v>
      </c>
      <c r="BO189" s="2">
        <f>BJ189/SUMIFS(BJ$3:BJ$623,$BC$3:$BC$623,1,$G$3:$G$623,$G189)</f>
        <v>0.14911534205670712</v>
      </c>
      <c r="BP189" s="2">
        <f>BK189/SUMIFS(BK$3:BK$623,$BC$3:$BC$623,1,$G$3:$G$623,$G189)</f>
        <v>0.32408613127405711</v>
      </c>
      <c r="BQ189" s="2">
        <f>BL189</f>
        <v>0.2154355400696864</v>
      </c>
      <c r="BR189" s="2">
        <f>BM189</f>
        <v>0</v>
      </c>
    </row>
    <row r="190" spans="1:70" hidden="1">
      <c r="A190" s="74">
        <v>0</v>
      </c>
      <c r="B190" s="73">
        <v>221567</v>
      </c>
      <c r="C190" s="73" t="s">
        <v>1729</v>
      </c>
      <c r="D190" s="73" t="s">
        <v>1730</v>
      </c>
      <c r="E190" s="73" t="s">
        <v>1731</v>
      </c>
      <c r="F190" s="73">
        <v>18643</v>
      </c>
      <c r="G190" s="73" t="s">
        <v>878</v>
      </c>
      <c r="H190" s="73" t="s">
        <v>911</v>
      </c>
      <c r="I190" s="73" t="s">
        <v>981</v>
      </c>
      <c r="J190" s="73">
        <v>0</v>
      </c>
      <c r="K190" s="73">
        <v>6</v>
      </c>
      <c r="L190" s="73">
        <v>0</v>
      </c>
      <c r="M190" s="73">
        <v>0</v>
      </c>
      <c r="N190" s="73">
        <v>0</v>
      </c>
      <c r="O190" s="73" t="s">
        <v>982</v>
      </c>
      <c r="P190" s="73" t="s">
        <v>1732</v>
      </c>
      <c r="Q190" s="73" t="s">
        <v>1733</v>
      </c>
      <c r="R190" s="73">
        <v>16</v>
      </c>
      <c r="S190" s="73">
        <v>5</v>
      </c>
      <c r="T190" s="73">
        <v>0</v>
      </c>
      <c r="U190" s="73">
        <v>3</v>
      </c>
      <c r="V190" s="73">
        <v>2139</v>
      </c>
      <c r="W190" s="73">
        <v>29</v>
      </c>
      <c r="X190" s="73">
        <v>1</v>
      </c>
      <c r="Y190" s="73">
        <v>0</v>
      </c>
      <c r="Z190" s="73" t="s">
        <v>1734</v>
      </c>
      <c r="AA190" s="73" t="s">
        <v>693</v>
      </c>
      <c r="AB190" s="73" t="str">
        <f>IF(AA190&lt;&gt;"",INDEX(Lookup!$N$2:$N$5,MATCH(Players!AA190,Lookup!$P$2:$P$5,0)),INDEX(Lookup!$N$2:$N$5,MATCH(Players!O190,Lookup!$O$2:$O$5,0)))</f>
        <v>Striker</v>
      </c>
      <c r="AC190" s="73">
        <v>4000000</v>
      </c>
      <c r="AD190" s="73" t="s">
        <v>800</v>
      </c>
      <c r="AE190" s="73" t="str">
        <f>INDEX('Translate table'!$H$2:$H$622,MATCH(Players!P190,'Translate table'!$G$2:$G$622,0))</f>
        <v>Leroy SanÃ©</v>
      </c>
      <c r="AF190" s="73">
        <f>IFERROR(INDEX('Euro Qual stats'!$A$1:$L$2071,MATCH(Players!$AE190,'Euro Qual stats'!$A$1:$A$2071,0),MATCH(Players!AF$2,'Euro Qual stats'!$A$1:$L$1,0)),0)</f>
        <v>3</v>
      </c>
      <c r="AG190" s="73">
        <f>IFERROR(INDEX('Euro Qual stats'!$A$1:$L$2071,MATCH(Players!$AE190,'Euro Qual stats'!$A$1:$A$2071,0),MATCH(Players!AG$2,'Euro Qual stats'!$A$1:$L$1,0)),0)</f>
        <v>0.33</v>
      </c>
      <c r="AH190" s="73">
        <f>IFERROR(INDEX('Euro Qual stats'!$A$1:$L$2071,MATCH(Players!$AE190,'Euro Qual stats'!$A$1:$A$2071,0),MATCH(Players!AH$2,'Euro Qual stats'!$A$1:$L$1,0)),0)</f>
        <v>1</v>
      </c>
      <c r="AI190" s="73">
        <f>IFERROR(INDEX('Euro Qual stats'!$A$1:$L$2071,MATCH(Players!$AE190,'Euro Qual stats'!$A$1:$A$2071,0),MATCH(Players!AI$2,'Euro Qual stats'!$A$1:$L$1,0)),0)</f>
        <v>0</v>
      </c>
      <c r="AJ190" s="93">
        <f>(12-AF190)/12*INDEX(BV$9:BV$12,MATCH($AB190,$BU$9:$BU$12,0))+AF190/12*AG190</f>
        <v>0.23618534482758624</v>
      </c>
      <c r="AK190" s="93">
        <f>(12-AG190)/12*INDEX(BW$9:BW$12,MATCH($AB190,$BU$9:$BU$12,0))+AG190/12*AH190</f>
        <v>0.5466976293103446</v>
      </c>
      <c r="AL190" s="93">
        <f>(12-AH190)/12*INDEX(BX$9:BX$12,MATCH($AB190,$BU$9:$BU$12,0))+AH190/12*AI190</f>
        <v>0.15109195402298853</v>
      </c>
      <c r="AM190" s="93">
        <f>IF($BC190=1,AJ190/SUMIFS(AJ$3:AJ$623,$BC$3:$BC$623,1,$G$3:$G$623,$G190),0)</f>
        <v>0.20009769153297788</v>
      </c>
      <c r="AN190" s="93">
        <f>IF($BC190=1,AK190/SUMIFS(AK$3:AK$623,$BC$3:$BC$623,1,$G$3:$G$623,$G190),0)</f>
        <v>0.2177429105306101</v>
      </c>
      <c r="AO190" s="93">
        <f>IF($BC190=1,AL190/SUMIFS(AL$3:AL$623,$BC$3:$BC$623,1,$G$3:$G$623,$G190),0)</f>
        <v>7.2094483610807059E-2</v>
      </c>
      <c r="AP190" s="2">
        <f>IFERROR(R190/$V190*90,"")</f>
        <v>0.67321178120617109</v>
      </c>
      <c r="AQ190" s="2">
        <f>IFERROR(S190/$V190*90,"")</f>
        <v>0.21037868162692847</v>
      </c>
      <c r="AR190" s="2">
        <f>IFERROR(W190/$V190*90,"")</f>
        <v>1.2201963534361853</v>
      </c>
      <c r="AS190" s="2">
        <f>IFERROR(X190/$V190*90,"")</f>
        <v>4.2075736325385693E-2</v>
      </c>
      <c r="AT190" s="2">
        <f>IFERROR(Y190/$V190*90,"")</f>
        <v>0</v>
      </c>
      <c r="AU190" s="2">
        <f>IF(AP190="",INDEX(BV$4:BV$7,MATCH(O190,$BU$4:$BU$7,0)),AP190)</f>
        <v>0.67321178120617109</v>
      </c>
      <c r="AV190" s="2">
        <f>IF(AQ190="",INDEX(BW$4:BW$7,MATCH($O190,$BU$4:$BU$7,0)),AQ190)</f>
        <v>0.21037868162692847</v>
      </c>
      <c r="AW190" s="2">
        <f t="shared" si="24"/>
        <v>1.2201963534361853</v>
      </c>
      <c r="AX190" s="2">
        <f t="shared" si="25"/>
        <v>4.2075736325385693E-2</v>
      </c>
      <c r="AY190" s="2">
        <f t="shared" si="26"/>
        <v>0</v>
      </c>
      <c r="AZ190" s="2">
        <f>AU190*0.5+AK190*0.5</f>
        <v>0.6099547052582579</v>
      </c>
      <c r="BA190" s="2">
        <f>AV190*0.5+AJ190*0.5</f>
        <v>0.22328201322725735</v>
      </c>
      <c r="BB190" s="2">
        <f t="shared" si="27"/>
        <v>2.1037868162692847E-2</v>
      </c>
      <c r="BC190">
        <f>IF(I190="expected",1,0)</f>
        <v>1</v>
      </c>
      <c r="BD190" s="78">
        <f>IF(BC190=1,AZ190/SUMIFS(AZ$3:AZ$623,$BC$3:$BC$623,1,$G$3:$G$623,$G190),0)</f>
        <v>0.30550384561310867</v>
      </c>
      <c r="BE190" s="78">
        <f>IF(BC190=1,BA190/SUMIFS(BA$3:BA$623,$BC$3:$BC$623,1,$G$3:$G$623,$G190),0)</f>
        <v>0.2407906372207618</v>
      </c>
      <c r="BF190" s="78">
        <f t="shared" si="28"/>
        <v>0.33159670999730562</v>
      </c>
      <c r="BG190" s="2">
        <f t="shared" si="29"/>
        <v>2.1037868162692847E-2</v>
      </c>
      <c r="BH190" s="2">
        <f t="shared" si="30"/>
        <v>0</v>
      </c>
      <c r="BI190" s="2">
        <f t="shared" si="31"/>
        <v>0.30550384561310867</v>
      </c>
      <c r="BJ190" s="2">
        <f t="shared" si="32"/>
        <v>0.2407906372207618</v>
      </c>
      <c r="BK190" s="2">
        <f t="shared" si="33"/>
        <v>0.3</v>
      </c>
      <c r="BL190" s="2">
        <f t="shared" si="34"/>
        <v>2.1037868162692847E-2</v>
      </c>
      <c r="BM190" s="2">
        <f t="shared" si="35"/>
        <v>0</v>
      </c>
      <c r="BN190" s="2">
        <f>BI190/SUMIFS(BI$3:BI$623,$BC$3:$BC$623,1,$G$3:$G$623,$G190)</f>
        <v>0.30550384561310867</v>
      </c>
      <c r="BO190" s="2">
        <f>BJ190/SUMIFS(BJ$3:BJ$623,$BC$3:$BC$623,1,$G$3:$G$623,$G190)</f>
        <v>0.2407906372207618</v>
      </c>
      <c r="BP190" s="2">
        <f>BK190/SUMIFS(BK$3:BK$623,$BC$3:$BC$623,1,$G$3:$G$623,$G190)</f>
        <v>0.30978829078447812</v>
      </c>
      <c r="BQ190" s="2">
        <f>BL190</f>
        <v>2.1037868162692847E-2</v>
      </c>
      <c r="BR190" s="2">
        <f>BM190</f>
        <v>0</v>
      </c>
    </row>
    <row r="191" spans="1:70" hidden="1">
      <c r="A191" s="74">
        <v>0</v>
      </c>
      <c r="B191" s="73">
        <v>204949</v>
      </c>
      <c r="C191" s="73" t="s">
        <v>1735</v>
      </c>
      <c r="D191" s="73" t="s">
        <v>1736</v>
      </c>
      <c r="E191" s="73" t="s">
        <v>1737</v>
      </c>
      <c r="F191" s="73">
        <v>18583</v>
      </c>
      <c r="G191" s="73" t="s">
        <v>869</v>
      </c>
      <c r="H191" s="73" t="s">
        <v>905</v>
      </c>
      <c r="I191" s="73" t="s">
        <v>981</v>
      </c>
      <c r="J191" s="73">
        <v>0</v>
      </c>
      <c r="K191" s="73">
        <v>6</v>
      </c>
      <c r="L191" s="73">
        <v>0</v>
      </c>
      <c r="M191" s="73">
        <v>0</v>
      </c>
      <c r="N191" s="73">
        <v>0</v>
      </c>
      <c r="O191" s="73" t="s">
        <v>1318</v>
      </c>
      <c r="P191" s="73" t="s">
        <v>1738</v>
      </c>
      <c r="Q191" s="73" t="s">
        <v>1738</v>
      </c>
      <c r="R191" s="73">
        <v>4</v>
      </c>
      <c r="S191" s="73">
        <v>1</v>
      </c>
      <c r="T191" s="73">
        <v>0</v>
      </c>
      <c r="U191" s="73">
        <v>4</v>
      </c>
      <c r="V191" s="73">
        <v>2990</v>
      </c>
      <c r="W191" s="73">
        <v>12</v>
      </c>
      <c r="X191" s="73">
        <v>8</v>
      </c>
      <c r="Y191" s="73">
        <v>0</v>
      </c>
      <c r="Z191" s="73" t="s">
        <v>1267</v>
      </c>
      <c r="AA191" s="73" t="s">
        <v>691</v>
      </c>
      <c r="AB191" s="73" t="str">
        <f>IF(AA191&lt;&gt;"",INDEX(Lookup!$N$2:$N$5,MATCH(Players!AA191,Lookup!$P$2:$P$5,0)),INDEX(Lookup!$N$2:$N$5,MATCH(Players!O191,Lookup!$O$2:$O$5,0)))</f>
        <v>Midfield</v>
      </c>
      <c r="AC191" s="73">
        <v>4000000</v>
      </c>
      <c r="AD191" s="73" t="s">
        <v>796</v>
      </c>
      <c r="AE191" s="73" t="str">
        <f>INDEX('Translate table'!$H$2:$H$622,MATCH(Players!P191,'Translate table'!$G$2:$G$622,0))</f>
        <v>Daniel Wass</v>
      </c>
      <c r="AF191" s="73">
        <f>IFERROR(INDEX('Euro Qual stats'!$A$1:$L$2071,MATCH(Players!$AE191,'Euro Qual stats'!$A$1:$A$2071,0),MATCH(Players!AF$2,'Euro Qual stats'!$A$1:$L$1,0)),0)</f>
        <v>3</v>
      </c>
      <c r="AG191" s="73">
        <f>IFERROR(INDEX('Euro Qual stats'!$A$1:$L$2071,MATCH(Players!$AE191,'Euro Qual stats'!$A$1:$A$2071,0),MATCH(Players!AG$2,'Euro Qual stats'!$A$1:$L$1,0)),0)</f>
        <v>0.87</v>
      </c>
      <c r="AH191" s="73">
        <f>IFERROR(INDEX('Euro Qual stats'!$A$1:$L$2071,MATCH(Players!$AE191,'Euro Qual stats'!$A$1:$A$2071,0),MATCH(Players!AH$2,'Euro Qual stats'!$A$1:$L$1,0)),0)</f>
        <v>0</v>
      </c>
      <c r="AI191" s="73">
        <f>IFERROR(INDEX('Euro Qual stats'!$A$1:$L$2071,MATCH(Players!$AE191,'Euro Qual stats'!$A$1:$A$2071,0),MATCH(Players!AI$2,'Euro Qual stats'!$A$1:$L$1,0)),0)</f>
        <v>0</v>
      </c>
      <c r="AJ191" s="93">
        <f>(12-AF191)/12*INDEX(BV$9:BV$12,MATCH($AB191,$BU$9:$BU$12,0))+AF191/12*AG191</f>
        <v>0.34401832460732984</v>
      </c>
      <c r="AK191" s="93">
        <f>(12-AG191)/12*INDEX(BW$9:BW$12,MATCH($AB191,$BU$9:$BU$12,0))+AG191/12*AH191</f>
        <v>0.20720641361256545</v>
      </c>
      <c r="AL191" s="93">
        <f>(12-AH191)/12*INDEX(BX$9:BX$12,MATCH($AB191,$BU$9:$BU$12,0))+AH191/12*AI191</f>
        <v>0.23942408376963353</v>
      </c>
      <c r="AM191" s="93">
        <f>IF($BC191=1,AJ191/SUMIFS(AJ$3:AJ$623,$BC$3:$BC$623,1,$G$3:$G$623,$G191),0)</f>
        <v>0.22709015165000021</v>
      </c>
      <c r="AN191" s="93">
        <f>IF($BC191=1,AK191/SUMIFS(AK$3:AK$623,$BC$3:$BC$623,1,$G$3:$G$623,$G191),0)</f>
        <v>7.4111475514709729E-2</v>
      </c>
      <c r="AO191" s="93">
        <f>IF($BC191=1,AL191/SUMIFS(AL$3:AL$623,$BC$3:$BC$623,1,$G$3:$G$623,$G191),0)</f>
        <v>0.11990693137959607</v>
      </c>
      <c r="AP191" s="2">
        <f>IFERROR(R191/$V191*90,"")</f>
        <v>0.12040133779264213</v>
      </c>
      <c r="AQ191" s="2">
        <f>IFERROR(S191/$V191*90,"")</f>
        <v>3.0100334448160532E-2</v>
      </c>
      <c r="AR191" s="2">
        <f>IFERROR(W191/$V191*90,"")</f>
        <v>0.3612040133779264</v>
      </c>
      <c r="AS191" s="2">
        <f>IFERROR(X191/$V191*90,"")</f>
        <v>0.24080267558528426</v>
      </c>
      <c r="AT191" s="2">
        <f>IFERROR(Y191/$V191*90,"")</f>
        <v>0</v>
      </c>
      <c r="AU191" s="2">
        <f>IF(AP191="",INDEX(BV$4:BV$7,MATCH(O191,$BU$4:$BU$7,0)),AP191)</f>
        <v>0.12040133779264213</v>
      </c>
      <c r="AV191" s="2">
        <f>IF(AQ191="",INDEX(BW$4:BW$7,MATCH($O191,$BU$4:$BU$7,0)),AQ191)</f>
        <v>3.0100334448160532E-2</v>
      </c>
      <c r="AW191" s="2">
        <f t="shared" si="24"/>
        <v>0.3612040133779264</v>
      </c>
      <c r="AX191" s="2">
        <f t="shared" si="25"/>
        <v>0.24080267558528426</v>
      </c>
      <c r="AY191" s="2">
        <f t="shared" si="26"/>
        <v>0</v>
      </c>
      <c r="AZ191" s="2">
        <f>AU191*0.5+AK191*0.5</f>
        <v>0.1638038757026038</v>
      </c>
      <c r="BA191" s="2">
        <f>AV191*0.5+AJ191*0.5</f>
        <v>0.18705932952774518</v>
      </c>
      <c r="BB191" s="2">
        <f t="shared" si="27"/>
        <v>0.12040133779264213</v>
      </c>
      <c r="BC191">
        <f>IF(I191="expected",1,0)</f>
        <v>1</v>
      </c>
      <c r="BD191" s="78">
        <f>IF(BC191=1,AZ191/SUMIFS(AZ$3:AZ$623,$BC$3:$BC$623,1,$G$3:$G$623,$G191),0)</f>
        <v>8.1883957735649326E-2</v>
      </c>
      <c r="BE191" s="78">
        <f>IF(BC191=1,BA191/SUMIFS(BA$3:BA$623,$BC$3:$BC$623,1,$G$3:$G$623,$G191),0)</f>
        <v>0.15215421588452338</v>
      </c>
      <c r="BF191" s="78">
        <f t="shared" si="28"/>
        <v>8.145957525103581E-2</v>
      </c>
      <c r="BG191" s="2">
        <f t="shared" si="29"/>
        <v>0.12040133779264213</v>
      </c>
      <c r="BH191" s="2">
        <f t="shared" si="30"/>
        <v>0</v>
      </c>
      <c r="BI191" s="2">
        <f t="shared" si="31"/>
        <v>8.1883957735649326E-2</v>
      </c>
      <c r="BJ191" s="2">
        <f t="shared" si="32"/>
        <v>0.15215421588452338</v>
      </c>
      <c r="BK191" s="2">
        <f t="shared" si="33"/>
        <v>8.145957525103581E-2</v>
      </c>
      <c r="BL191" s="2">
        <f t="shared" si="34"/>
        <v>0.12040133779264213</v>
      </c>
      <c r="BM191" s="2">
        <f t="shared" si="35"/>
        <v>0</v>
      </c>
      <c r="BN191" s="2">
        <f>BI191/SUMIFS(BI$3:BI$623,$BC$3:$BC$623,1,$G$3:$G$623,$G191)</f>
        <v>8.188395773564934E-2</v>
      </c>
      <c r="BO191" s="2">
        <f>BJ191/SUMIFS(BJ$3:BJ$623,$BC$3:$BC$623,1,$G$3:$G$623,$G191)</f>
        <v>0.15215421588452341</v>
      </c>
      <c r="BP191" s="2">
        <f>BK191/SUMIFS(BK$3:BK$623,$BC$3:$BC$623,1,$G$3:$G$623,$G191)</f>
        <v>8.1459575251035823E-2</v>
      </c>
      <c r="BQ191" s="2">
        <f>BL191</f>
        <v>0.12040133779264213</v>
      </c>
      <c r="BR191" s="2">
        <f>BM191</f>
        <v>0</v>
      </c>
    </row>
    <row r="192" spans="1:70" hidden="1">
      <c r="A192" s="74">
        <v>0</v>
      </c>
      <c r="B192" s="73">
        <v>223182</v>
      </c>
      <c r="C192" s="73" t="s">
        <v>1739</v>
      </c>
      <c r="D192" s="73" t="s">
        <v>1740</v>
      </c>
      <c r="E192" s="73" t="s">
        <v>1741</v>
      </c>
      <c r="F192" s="73">
        <v>18583</v>
      </c>
      <c r="G192" s="73" t="s">
        <v>869</v>
      </c>
      <c r="H192" s="73" t="s">
        <v>905</v>
      </c>
      <c r="I192" s="73" t="s">
        <v>1012</v>
      </c>
      <c r="J192" s="73">
        <v>0</v>
      </c>
      <c r="K192" s="73">
        <v>6</v>
      </c>
      <c r="L192" s="73">
        <v>0</v>
      </c>
      <c r="M192" s="73">
        <v>0</v>
      </c>
      <c r="N192" s="73">
        <v>0</v>
      </c>
      <c r="O192" s="73" t="s">
        <v>994</v>
      </c>
      <c r="P192" s="73" t="s">
        <v>1742</v>
      </c>
      <c r="Q192" s="73" t="s">
        <v>1743</v>
      </c>
      <c r="R192" s="73">
        <v>2</v>
      </c>
      <c r="S192" s="73">
        <v>2</v>
      </c>
      <c r="T192" s="73">
        <v>0</v>
      </c>
      <c r="U192" s="73">
        <v>0</v>
      </c>
      <c r="V192" s="73">
        <v>1176</v>
      </c>
      <c r="W192" s="73">
        <v>10</v>
      </c>
      <c r="X192" s="73">
        <v>1</v>
      </c>
      <c r="Y192" s="73">
        <v>0</v>
      </c>
      <c r="Z192" s="73" t="s">
        <v>1267</v>
      </c>
      <c r="AA192" s="73" t="s">
        <v>693</v>
      </c>
      <c r="AB192" s="73" t="str">
        <f>IF(AA192&lt;&gt;"",INDEX(Lookup!$N$2:$N$5,MATCH(Players!AA192,Lookup!$P$2:$P$5,0)),INDEX(Lookup!$N$2:$N$5,MATCH(Players!O192,Lookup!$O$2:$O$5,0)))</f>
        <v>Striker</v>
      </c>
      <c r="AC192" s="73">
        <v>4000000</v>
      </c>
      <c r="AD192" s="73" t="s">
        <v>835</v>
      </c>
      <c r="AE192" s="73" t="str">
        <f>INDEX('Translate table'!$H$2:$H$622,MATCH(Players!P192,'Translate table'!$G$2:$G$622,0))</f>
        <v>Robert Skov</v>
      </c>
      <c r="AF192" s="73">
        <f>IFERROR(INDEX('Euro Qual stats'!$A$1:$L$2071,MATCH(Players!$AE192,'Euro Qual stats'!$A$1:$A$2071,0),MATCH(Players!AF$2,'Euro Qual stats'!$A$1:$L$1,0)),0)</f>
        <v>3</v>
      </c>
      <c r="AG192" s="73">
        <f>IFERROR(INDEX('Euro Qual stats'!$A$1:$L$2071,MATCH(Players!$AE192,'Euro Qual stats'!$A$1:$A$2071,0),MATCH(Players!AG$2,'Euro Qual stats'!$A$1:$L$1,0)),0)</f>
        <v>0.74</v>
      </c>
      <c r="AH192" s="73">
        <f>IFERROR(INDEX('Euro Qual stats'!$A$1:$L$2071,MATCH(Players!$AE192,'Euro Qual stats'!$A$1:$A$2071,0),MATCH(Players!AH$2,'Euro Qual stats'!$A$1:$L$1,0)),0)</f>
        <v>1.1200000000000001</v>
      </c>
      <c r="AI192" s="73">
        <f>IFERROR(INDEX('Euro Qual stats'!$A$1:$L$2071,MATCH(Players!$AE192,'Euro Qual stats'!$A$1:$A$2071,0),MATCH(Players!AI$2,'Euro Qual stats'!$A$1:$L$1,0)),0)</f>
        <v>0</v>
      </c>
      <c r="AJ192" s="93">
        <f>(12-AF192)/12*INDEX(BV$9:BV$12,MATCH($AB192,$BU$9:$BU$12,0))+AF192/12*AG192</f>
        <v>0.33868534482758622</v>
      </c>
      <c r="AK192" s="93">
        <f>(12-AG192)/12*INDEX(BW$9:BW$12,MATCH($AB192,$BU$9:$BU$12,0))+AG192/12*AH192</f>
        <v>0.57002341954022973</v>
      </c>
      <c r="AL192" s="93">
        <f>(12-AH192)/12*INDEX(BX$9:BX$12,MATCH($AB192,$BU$9:$BU$12,0))+AH192/12*AI192</f>
        <v>0.14944367816091955</v>
      </c>
      <c r="AM192" s="93">
        <f>IF($BC192=1,AJ192/SUMIFS(AJ$3:AJ$623,$BC$3:$BC$623,1,$G$3:$G$623,$G192),0)</f>
        <v>0</v>
      </c>
      <c r="AN192" s="93">
        <f>IF($BC192=1,AK192/SUMIFS(AK$3:AK$623,$BC$3:$BC$623,1,$G$3:$G$623,$G192),0)</f>
        <v>0</v>
      </c>
      <c r="AO192" s="93">
        <f>IF($BC192=1,AL192/SUMIFS(AL$3:AL$623,$BC$3:$BC$623,1,$G$3:$G$623,$G192),0)</f>
        <v>0</v>
      </c>
      <c r="AP192" s="2">
        <f>IFERROR(R192/$V192*90,"")</f>
        <v>0.15306122448979592</v>
      </c>
      <c r="AQ192" s="2">
        <f>IFERROR(S192/$V192*90,"")</f>
        <v>0.15306122448979592</v>
      </c>
      <c r="AR192" s="2">
        <f>IFERROR(W192/$V192*90,"")</f>
        <v>0.76530612244897966</v>
      </c>
      <c r="AS192" s="2">
        <f>IFERROR(X192/$V192*90,"")</f>
        <v>7.6530612244897961E-2</v>
      </c>
      <c r="AT192" s="2">
        <f>IFERROR(Y192/$V192*90,"")</f>
        <v>0</v>
      </c>
      <c r="AU192" s="2">
        <f>IF(AP192="",INDEX(BV$4:BV$7,MATCH(O192,$BU$4:$BU$7,0)),AP192)</f>
        <v>0.15306122448979592</v>
      </c>
      <c r="AV192" s="2">
        <f>IF(AQ192="",INDEX(BW$4:BW$7,MATCH($O192,$BU$4:$BU$7,0)),AQ192)</f>
        <v>0.15306122448979592</v>
      </c>
      <c r="AW192" s="2">
        <f t="shared" si="24"/>
        <v>0.76530612244897966</v>
      </c>
      <c r="AX192" s="2">
        <f t="shared" si="25"/>
        <v>7.6530612244897961E-2</v>
      </c>
      <c r="AY192" s="2">
        <f t="shared" si="26"/>
        <v>0</v>
      </c>
      <c r="AZ192" s="2">
        <f>AU192*0.5+AK192*0.5</f>
        <v>0.3615423220150128</v>
      </c>
      <c r="BA192" s="2">
        <f>AV192*0.5+AJ192*0.5</f>
        <v>0.24587328465869107</v>
      </c>
      <c r="BB192" s="2">
        <f t="shared" si="27"/>
        <v>3.826530612244898E-2</v>
      </c>
      <c r="BC192">
        <f>IF(I192="expected",1,0)</f>
        <v>0</v>
      </c>
      <c r="BD192" s="78">
        <f>IF(BC192=1,AZ192/SUMIFS(AZ$3:AZ$623,$BC$3:$BC$623,1,$G$3:$G$623,$G192),0)</f>
        <v>0</v>
      </c>
      <c r="BE192" s="78">
        <f>IF(BC192=1,BA192/SUMIFS(BA$3:BA$623,$BC$3:$BC$623,1,$G$3:$G$623,$G192),0)</f>
        <v>0</v>
      </c>
      <c r="BF192" s="78">
        <f t="shared" si="28"/>
        <v>0</v>
      </c>
      <c r="BG192" s="2">
        <f t="shared" si="29"/>
        <v>3.826530612244898E-2</v>
      </c>
      <c r="BH192" s="2">
        <f t="shared" si="30"/>
        <v>0</v>
      </c>
      <c r="BI192" s="2">
        <f t="shared" si="31"/>
        <v>0</v>
      </c>
      <c r="BJ192" s="2">
        <f t="shared" si="32"/>
        <v>0</v>
      </c>
      <c r="BK192" s="2">
        <f t="shared" si="33"/>
        <v>0</v>
      </c>
      <c r="BL192" s="2">
        <f t="shared" si="34"/>
        <v>3.826530612244898E-2</v>
      </c>
      <c r="BM192" s="2">
        <f t="shared" si="35"/>
        <v>0</v>
      </c>
      <c r="BN192" s="2">
        <f>BI192/SUMIFS(BI$3:BI$623,$BC$3:$BC$623,1,$G$3:$G$623,$G192)</f>
        <v>0</v>
      </c>
      <c r="BO192" s="2">
        <f>BJ192/SUMIFS(BJ$3:BJ$623,$BC$3:$BC$623,1,$G$3:$G$623,$G192)</f>
        <v>0</v>
      </c>
      <c r="BP192" s="2">
        <f>BK192/SUMIFS(BK$3:BK$623,$BC$3:$BC$623,1,$G$3:$G$623,$G192)</f>
        <v>0</v>
      </c>
      <c r="BQ192" s="2">
        <f>BL192</f>
        <v>3.826530612244898E-2</v>
      </c>
      <c r="BR192" s="2">
        <f>BM192</f>
        <v>0</v>
      </c>
    </row>
    <row r="193" spans="1:70" hidden="1">
      <c r="A193" s="74">
        <v>0</v>
      </c>
      <c r="B193" s="73">
        <v>204962</v>
      </c>
      <c r="C193" s="73" t="s">
        <v>1744</v>
      </c>
      <c r="D193" s="73" t="s">
        <v>1745</v>
      </c>
      <c r="E193" s="73" t="s">
        <v>1746</v>
      </c>
      <c r="F193" s="73">
        <v>18583</v>
      </c>
      <c r="G193" s="73" t="s">
        <v>869</v>
      </c>
      <c r="H193" s="73" t="s">
        <v>905</v>
      </c>
      <c r="I193" s="73" t="s">
        <v>1012</v>
      </c>
      <c r="J193" s="73">
        <v>0</v>
      </c>
      <c r="K193" s="73">
        <v>6</v>
      </c>
      <c r="L193" s="73">
        <v>0</v>
      </c>
      <c r="M193" s="73">
        <v>0</v>
      </c>
      <c r="N193" s="73">
        <v>0</v>
      </c>
      <c r="O193" s="73" t="s">
        <v>994</v>
      </c>
      <c r="P193" s="73" t="s">
        <v>1747</v>
      </c>
      <c r="Q193" s="73" t="s">
        <v>1748</v>
      </c>
      <c r="R193" s="73">
        <v>0</v>
      </c>
      <c r="S193" s="73">
        <v>0</v>
      </c>
      <c r="T193" s="73">
        <v>0</v>
      </c>
      <c r="U193" s="73">
        <v>0</v>
      </c>
      <c r="V193" s="73">
        <v>265</v>
      </c>
      <c r="W193" s="73">
        <v>1</v>
      </c>
      <c r="X193" s="73">
        <v>0</v>
      </c>
      <c r="Y193" s="73">
        <v>0</v>
      </c>
      <c r="Z193" s="73" t="s">
        <v>1267</v>
      </c>
      <c r="AA193" s="73" t="s">
        <v>691</v>
      </c>
      <c r="AB193" s="73" t="str">
        <f>IF(AA193&lt;&gt;"",INDEX(Lookup!$N$2:$N$5,MATCH(Players!AA193,Lookup!$P$2:$P$5,0)),INDEX(Lookup!$N$2:$N$5,MATCH(Players!O193,Lookup!$O$2:$O$5,0)))</f>
        <v>Midfield</v>
      </c>
      <c r="AC193" s="73">
        <v>3000000</v>
      </c>
      <c r="AD193" s="73" t="s">
        <v>802</v>
      </c>
      <c r="AE193" s="73" t="str">
        <f>INDEX('Translate table'!$H$2:$H$622,MATCH(Players!P193,'Translate table'!$G$2:$G$622,0))</f>
        <v>Kristian Joensen</v>
      </c>
      <c r="AF193" s="73">
        <f>IFERROR(INDEX('Euro Qual stats'!$A$1:$L$2071,MATCH(Players!$AE193,'Euro Qual stats'!$A$1:$A$2071,0),MATCH(Players!AF$2,'Euro Qual stats'!$A$1:$L$1,0)),0)</f>
        <v>0</v>
      </c>
      <c r="AG193" s="73">
        <f>IFERROR(INDEX('Euro Qual stats'!$A$1:$L$2071,MATCH(Players!$AE193,'Euro Qual stats'!$A$1:$A$2071,0),MATCH(Players!AG$2,'Euro Qual stats'!$A$1:$L$1,0)),0)</f>
        <v>0</v>
      </c>
      <c r="AH193" s="73">
        <f>IFERROR(INDEX('Euro Qual stats'!$A$1:$L$2071,MATCH(Players!$AE193,'Euro Qual stats'!$A$1:$A$2071,0),MATCH(Players!AH$2,'Euro Qual stats'!$A$1:$L$1,0)),0)</f>
        <v>0</v>
      </c>
      <c r="AI193" s="73">
        <f>IFERROR(INDEX('Euro Qual stats'!$A$1:$L$2071,MATCH(Players!$AE193,'Euro Qual stats'!$A$1:$A$2071,0),MATCH(Players!AI$2,'Euro Qual stats'!$A$1:$L$1,0)),0)</f>
        <v>0</v>
      </c>
      <c r="AJ193" s="93">
        <f>(12-AF193)/12*INDEX(BV$9:BV$12,MATCH($AB193,$BU$9:$BU$12,0))+AF193/12*AG193</f>
        <v>0.16869109947643979</v>
      </c>
      <c r="AK193" s="93">
        <f>(12-AG193)/12*INDEX(BW$9:BW$12,MATCH($AB193,$BU$9:$BU$12,0))+AG193/12*AH193</f>
        <v>0.22340314136125652</v>
      </c>
      <c r="AL193" s="93">
        <f>(12-AH193)/12*INDEX(BX$9:BX$12,MATCH($AB193,$BU$9:$BU$12,0))+AH193/12*AI193</f>
        <v>0.23942408376963353</v>
      </c>
      <c r="AM193" s="93">
        <f>IF($BC193=1,AJ193/SUMIFS(AJ$3:AJ$623,$BC$3:$BC$623,1,$G$3:$G$623,$G193),0)</f>
        <v>0</v>
      </c>
      <c r="AN193" s="93">
        <f>IF($BC193=1,AK193/SUMIFS(AK$3:AK$623,$BC$3:$BC$623,1,$G$3:$G$623,$G193),0)</f>
        <v>0</v>
      </c>
      <c r="AO193" s="93">
        <f>IF($BC193=1,AL193/SUMIFS(AL$3:AL$623,$BC$3:$BC$623,1,$G$3:$G$623,$G193),0)</f>
        <v>0</v>
      </c>
      <c r="AP193" s="2">
        <f>IFERROR(R193/$V193*90,"")</f>
        <v>0</v>
      </c>
      <c r="AQ193" s="2">
        <f>IFERROR(S193/$V193*90,"")</f>
        <v>0</v>
      </c>
      <c r="AR193" s="2">
        <f>IFERROR(W193/$V193*90,"")</f>
        <v>0.33962264150943394</v>
      </c>
      <c r="AS193" s="2">
        <f>IFERROR(X193/$V193*90,"")</f>
        <v>0</v>
      </c>
      <c r="AT193" s="2">
        <f>IFERROR(Y193/$V193*90,"")</f>
        <v>0</v>
      </c>
      <c r="AU193" s="2">
        <f>IF(AP193="",INDEX(BV$4:BV$7,MATCH(O193,$BU$4:$BU$7,0)),AP193)</f>
        <v>0</v>
      </c>
      <c r="AV193" s="2">
        <f>IF(AQ193="",INDEX(BW$4:BW$7,MATCH($O193,$BU$4:$BU$7,0)),AQ193)</f>
        <v>0</v>
      </c>
      <c r="AW193" s="2">
        <f t="shared" si="24"/>
        <v>0.33962264150943394</v>
      </c>
      <c r="AX193" s="2">
        <f t="shared" si="25"/>
        <v>0</v>
      </c>
      <c r="AY193" s="2">
        <f t="shared" si="26"/>
        <v>0</v>
      </c>
      <c r="AZ193" s="2">
        <f>AU193*0.5+AK193*0.5</f>
        <v>0.11170157068062826</v>
      </c>
      <c r="BA193" s="2">
        <f>AV193*0.5+AJ193*0.5</f>
        <v>8.4345549738219894E-2</v>
      </c>
      <c r="BB193" s="2">
        <f t="shared" si="27"/>
        <v>0</v>
      </c>
      <c r="BC193">
        <f>IF(I193="expected",1,0)</f>
        <v>0</v>
      </c>
      <c r="BD193" s="78">
        <f>IF(BC193=1,AZ193/SUMIFS(AZ$3:AZ$623,$BC$3:$BC$623,1,$G$3:$G$623,$G193),0)</f>
        <v>0</v>
      </c>
      <c r="BE193" s="78">
        <f>IF(BC193=1,BA193/SUMIFS(BA$3:BA$623,$BC$3:$BC$623,1,$G$3:$G$623,$G193),0)</f>
        <v>0</v>
      </c>
      <c r="BF193" s="78">
        <f t="shared" si="28"/>
        <v>0</v>
      </c>
      <c r="BG193" s="2">
        <f t="shared" si="29"/>
        <v>0</v>
      </c>
      <c r="BH193" s="2">
        <f t="shared" si="30"/>
        <v>0</v>
      </c>
      <c r="BI193" s="2">
        <f t="shared" si="31"/>
        <v>0</v>
      </c>
      <c r="BJ193" s="2">
        <f t="shared" si="32"/>
        <v>0</v>
      </c>
      <c r="BK193" s="2">
        <f t="shared" si="33"/>
        <v>0</v>
      </c>
      <c r="BL193" s="2">
        <f t="shared" si="34"/>
        <v>0</v>
      </c>
      <c r="BM193" s="2">
        <f t="shared" si="35"/>
        <v>0</v>
      </c>
      <c r="BN193" s="2">
        <f>BI193/SUMIFS(BI$3:BI$623,$BC$3:$BC$623,1,$G$3:$G$623,$G193)</f>
        <v>0</v>
      </c>
      <c r="BO193" s="2">
        <f>BJ193/SUMIFS(BJ$3:BJ$623,$BC$3:$BC$623,1,$G$3:$G$623,$G193)</f>
        <v>0</v>
      </c>
      <c r="BP193" s="2">
        <f>BK193/SUMIFS(BK$3:BK$623,$BC$3:$BC$623,1,$G$3:$G$623,$G193)</f>
        <v>0</v>
      </c>
      <c r="BQ193" s="2">
        <f>BL193</f>
        <v>0</v>
      </c>
      <c r="BR193" s="2">
        <f>BM193</f>
        <v>0</v>
      </c>
    </row>
    <row r="194" spans="1:70" hidden="1">
      <c r="A194" s="74">
        <v>0</v>
      </c>
      <c r="B194" s="73">
        <v>223181</v>
      </c>
      <c r="C194" s="73" t="s">
        <v>1749</v>
      </c>
      <c r="D194" s="73" t="s">
        <v>1740</v>
      </c>
      <c r="E194" s="73" t="s">
        <v>1750</v>
      </c>
      <c r="F194" s="73">
        <v>18583</v>
      </c>
      <c r="G194" s="73" t="s">
        <v>869</v>
      </c>
      <c r="H194" s="73" t="s">
        <v>905</v>
      </c>
      <c r="I194" s="73" t="s">
        <v>1012</v>
      </c>
      <c r="J194" s="73">
        <v>0</v>
      </c>
      <c r="K194" s="73">
        <v>6</v>
      </c>
      <c r="L194" s="73">
        <v>0</v>
      </c>
      <c r="M194" s="73">
        <v>0</v>
      </c>
      <c r="N194" s="73">
        <v>0</v>
      </c>
      <c r="O194" s="73" t="s">
        <v>982</v>
      </c>
      <c r="P194" s="73" t="s">
        <v>1751</v>
      </c>
      <c r="Q194" s="73" t="s">
        <v>1752</v>
      </c>
      <c r="R194" s="73">
        <v>1</v>
      </c>
      <c r="S194" s="73">
        <v>4</v>
      </c>
      <c r="T194" s="73">
        <v>0</v>
      </c>
      <c r="U194" s="73">
        <v>0</v>
      </c>
      <c r="V194" s="73">
        <v>1902</v>
      </c>
      <c r="W194" s="73">
        <v>7</v>
      </c>
      <c r="X194" s="73">
        <v>4</v>
      </c>
      <c r="Y194" s="73">
        <v>0</v>
      </c>
      <c r="Z194" s="73" t="s">
        <v>1267</v>
      </c>
      <c r="AA194" s="73" t="s">
        <v>693</v>
      </c>
      <c r="AB194" s="73" t="str">
        <f>IF(AA194&lt;&gt;"",INDEX(Lookup!$N$2:$N$5,MATCH(Players!AA194,Lookup!$P$2:$P$5,0)),INDEX(Lookup!$N$2:$N$5,MATCH(Players!O194,Lookup!$O$2:$O$5,0)))</f>
        <v>Striker</v>
      </c>
      <c r="AC194" s="73">
        <v>2500000</v>
      </c>
      <c r="AD194" s="73" t="s">
        <v>802</v>
      </c>
      <c r="AE194" s="73" t="str">
        <f>INDEX('Translate table'!$H$2:$H$622,MATCH(Players!P194,'Translate table'!$G$2:$G$622,0))</f>
        <v>Andreas Cornelius</v>
      </c>
      <c r="AF194" s="73">
        <f>IFERROR(INDEX('Euro Qual stats'!$A$1:$L$2071,MATCH(Players!$AE194,'Euro Qual stats'!$A$1:$A$2071,0),MATCH(Players!AF$2,'Euro Qual stats'!$A$1:$L$1,0)),0)</f>
        <v>2</v>
      </c>
      <c r="AG194" s="73">
        <f>IFERROR(INDEX('Euro Qual stats'!$A$1:$L$2071,MATCH(Players!$AE194,'Euro Qual stats'!$A$1:$A$2071,0),MATCH(Players!AG$2,'Euro Qual stats'!$A$1:$L$1,0)),0)</f>
        <v>0</v>
      </c>
      <c r="AH194" s="73">
        <f>IFERROR(INDEX('Euro Qual stats'!$A$1:$L$2071,MATCH(Players!$AE194,'Euro Qual stats'!$A$1:$A$2071,0),MATCH(Players!AH$2,'Euro Qual stats'!$A$1:$L$1,0)),0)</f>
        <v>0</v>
      </c>
      <c r="AI194" s="73">
        <f>IFERROR(INDEX('Euro Qual stats'!$A$1:$L$2071,MATCH(Players!$AE194,'Euro Qual stats'!$A$1:$A$2071,0),MATCH(Players!AI$2,'Euro Qual stats'!$A$1:$L$1,0)),0)</f>
        <v>0</v>
      </c>
      <c r="AJ194" s="93">
        <f>(12-AF194)/12*INDEX(BV$9:BV$12,MATCH($AB194,$BU$9:$BU$12,0))+AF194/12*AG194</f>
        <v>0.1707614942528736</v>
      </c>
      <c r="AK194" s="93">
        <f>(12-AG194)/12*INDEX(BW$9:BW$12,MATCH($AB194,$BU$9:$BU$12,0))+AG194/12*AH194</f>
        <v>0.53387931034482738</v>
      </c>
      <c r="AL194" s="93">
        <f>(12-AH194)/12*INDEX(BX$9:BX$12,MATCH($AB194,$BU$9:$BU$12,0))+AH194/12*AI194</f>
        <v>0.16482758620689658</v>
      </c>
      <c r="AM194" s="93">
        <f>IF($BC194=1,AJ194/SUMIFS(AJ$3:AJ$623,$BC$3:$BC$623,1,$G$3:$G$623,$G194),0)</f>
        <v>0</v>
      </c>
      <c r="AN194" s="93">
        <f>IF($BC194=1,AK194/SUMIFS(AK$3:AK$623,$BC$3:$BC$623,1,$G$3:$G$623,$G194),0)</f>
        <v>0</v>
      </c>
      <c r="AO194" s="93">
        <f>IF($BC194=1,AL194/SUMIFS(AL$3:AL$623,$BC$3:$BC$623,1,$G$3:$G$623,$G194),0)</f>
        <v>0</v>
      </c>
      <c r="AP194" s="2">
        <f>IFERROR(R194/$V194*90,"")</f>
        <v>4.7318611987381701E-2</v>
      </c>
      <c r="AQ194" s="2">
        <f>IFERROR(S194/$V194*90,"")</f>
        <v>0.1892744479495268</v>
      </c>
      <c r="AR194" s="2">
        <f>IFERROR(W194/$V194*90,"")</f>
        <v>0.33123028391167192</v>
      </c>
      <c r="AS194" s="2">
        <f>IFERROR(X194/$V194*90,"")</f>
        <v>0.1892744479495268</v>
      </c>
      <c r="AT194" s="2">
        <f>IFERROR(Y194/$V194*90,"")</f>
        <v>0</v>
      </c>
      <c r="AU194" s="2">
        <f>IF(AP194="",INDEX(BV$4:BV$7,MATCH(O194,$BU$4:$BU$7,0)),AP194)</f>
        <v>4.7318611987381701E-2</v>
      </c>
      <c r="AV194" s="2">
        <f>IF(AQ194="",INDEX(BW$4:BW$7,MATCH($O194,$BU$4:$BU$7,0)),AQ194)</f>
        <v>0.1892744479495268</v>
      </c>
      <c r="AW194" s="2">
        <f t="shared" si="24"/>
        <v>0.33123028391167192</v>
      </c>
      <c r="AX194" s="2">
        <f t="shared" si="25"/>
        <v>0.1892744479495268</v>
      </c>
      <c r="AY194" s="2">
        <f t="shared" si="26"/>
        <v>0</v>
      </c>
      <c r="AZ194" s="2">
        <f>AU194*0.5+AK194*0.5</f>
        <v>0.29059896116610456</v>
      </c>
      <c r="BA194" s="2">
        <f>AV194*0.5+AJ194*0.5</f>
        <v>0.18001797110120021</v>
      </c>
      <c r="BB194" s="2">
        <f t="shared" si="27"/>
        <v>9.4637223974763401E-2</v>
      </c>
      <c r="BC194">
        <f>IF(I194="expected",1,0)</f>
        <v>0</v>
      </c>
      <c r="BD194" s="78">
        <f>IF(BC194=1,AZ194/SUMIFS(AZ$3:AZ$623,$BC$3:$BC$623,1,$G$3:$G$623,$G194),0)</f>
        <v>0</v>
      </c>
      <c r="BE194" s="78">
        <f>IF(BC194=1,BA194/SUMIFS(BA$3:BA$623,$BC$3:$BC$623,1,$G$3:$G$623,$G194),0)</f>
        <v>0</v>
      </c>
      <c r="BF194" s="78">
        <f t="shared" si="28"/>
        <v>0</v>
      </c>
      <c r="BG194" s="2">
        <f t="shared" si="29"/>
        <v>9.4637223974763401E-2</v>
      </c>
      <c r="BH194" s="2">
        <f t="shared" si="30"/>
        <v>0</v>
      </c>
      <c r="BI194" s="2">
        <f t="shared" si="31"/>
        <v>0</v>
      </c>
      <c r="BJ194" s="2">
        <f t="shared" si="32"/>
        <v>0</v>
      </c>
      <c r="BK194" s="2">
        <f t="shared" si="33"/>
        <v>0</v>
      </c>
      <c r="BL194" s="2">
        <f t="shared" si="34"/>
        <v>9.4637223974763401E-2</v>
      </c>
      <c r="BM194" s="2">
        <f t="shared" si="35"/>
        <v>0</v>
      </c>
      <c r="BN194" s="2">
        <f>BI194/SUMIFS(BI$3:BI$623,$BC$3:$BC$623,1,$G$3:$G$623,$G194)</f>
        <v>0</v>
      </c>
      <c r="BO194" s="2">
        <f>BJ194/SUMIFS(BJ$3:BJ$623,$BC$3:$BC$623,1,$G$3:$G$623,$G194)</f>
        <v>0</v>
      </c>
      <c r="BP194" s="2">
        <f>BK194/SUMIFS(BK$3:BK$623,$BC$3:$BC$623,1,$G$3:$G$623,$G194)</f>
        <v>0</v>
      </c>
      <c r="BQ194" s="2">
        <f>BL194</f>
        <v>9.4637223974763401E-2</v>
      </c>
      <c r="BR194" s="2">
        <f>BM194</f>
        <v>0</v>
      </c>
    </row>
    <row r="195" spans="1:70" hidden="1">
      <c r="A195" s="74">
        <v>0</v>
      </c>
      <c r="B195" s="73">
        <v>204964</v>
      </c>
      <c r="C195" s="73" t="s">
        <v>1753</v>
      </c>
      <c r="D195" s="73" t="s">
        <v>1754</v>
      </c>
      <c r="E195" s="73" t="s">
        <v>1755</v>
      </c>
      <c r="F195" s="73">
        <v>18583</v>
      </c>
      <c r="G195" s="73" t="s">
        <v>869</v>
      </c>
      <c r="H195" s="73" t="s">
        <v>905</v>
      </c>
      <c r="I195" s="73" t="s">
        <v>981</v>
      </c>
      <c r="J195" s="73">
        <v>0</v>
      </c>
      <c r="K195" s="73">
        <v>6</v>
      </c>
      <c r="L195" s="73">
        <v>0</v>
      </c>
      <c r="M195" s="73">
        <v>0</v>
      </c>
      <c r="N195" s="73">
        <v>0</v>
      </c>
      <c r="O195" s="73" t="s">
        <v>982</v>
      </c>
      <c r="P195" s="73" t="s">
        <v>1756</v>
      </c>
      <c r="Q195" s="73" t="s">
        <v>1756</v>
      </c>
      <c r="R195" s="73">
        <v>6</v>
      </c>
      <c r="S195" s="73">
        <v>2</v>
      </c>
      <c r="T195" s="73">
        <v>0</v>
      </c>
      <c r="U195" s="73">
        <v>2</v>
      </c>
      <c r="V195" s="73">
        <v>1928</v>
      </c>
      <c r="W195" s="73">
        <v>18</v>
      </c>
      <c r="X195" s="73">
        <v>2</v>
      </c>
      <c r="Y195" s="73">
        <v>0</v>
      </c>
      <c r="Z195" s="73" t="s">
        <v>1267</v>
      </c>
      <c r="AA195" s="73" t="s">
        <v>693</v>
      </c>
      <c r="AB195" s="73" t="str">
        <f>IF(AA195&lt;&gt;"",INDEX(Lookup!$N$2:$N$5,MATCH(Players!AA195,Lookup!$P$2:$P$5,0)),INDEX(Lookup!$N$2:$N$5,MATCH(Players!O195,Lookup!$O$2:$O$5,0)))</f>
        <v>Striker</v>
      </c>
      <c r="AC195" s="73">
        <v>4000000</v>
      </c>
      <c r="AD195" s="73" t="s">
        <v>795</v>
      </c>
      <c r="AE195" s="73" t="str">
        <f>INDEX('Translate table'!$H$2:$H$622,MATCH(Players!P195,'Translate table'!$G$2:$G$622,0))</f>
        <v>Kasper Dolberg</v>
      </c>
      <c r="AF195" s="73">
        <f>IFERROR(INDEX('Euro Qual stats'!$A$1:$L$2071,MATCH(Players!$AE195,'Euro Qual stats'!$A$1:$A$2071,0),MATCH(Players!AF$2,'Euro Qual stats'!$A$1:$L$1,0)),0)</f>
        <v>5</v>
      </c>
      <c r="AG195" s="73">
        <f>IFERROR(INDEX('Euro Qual stats'!$A$1:$L$2071,MATCH(Players!$AE195,'Euro Qual stats'!$A$1:$A$2071,0),MATCH(Players!AG$2,'Euro Qual stats'!$A$1:$L$1,0)),0)</f>
        <v>0</v>
      </c>
      <c r="AH195" s="73">
        <f>IFERROR(INDEX('Euro Qual stats'!$A$1:$L$2071,MATCH(Players!$AE195,'Euro Qual stats'!$A$1:$A$2071,0),MATCH(Players!AH$2,'Euro Qual stats'!$A$1:$L$1,0)),0)</f>
        <v>0.66</v>
      </c>
      <c r="AI195" s="73">
        <f>IFERROR(INDEX('Euro Qual stats'!$A$1:$L$2071,MATCH(Players!$AE195,'Euro Qual stats'!$A$1:$A$2071,0),MATCH(Players!AI$2,'Euro Qual stats'!$A$1:$L$1,0)),0)</f>
        <v>0</v>
      </c>
      <c r="AJ195" s="93">
        <f>(12-AF195)/12*INDEX(BV$9:BV$12,MATCH($AB195,$BU$9:$BU$12,0))+AF195/12*AG195</f>
        <v>0.11953304597701153</v>
      </c>
      <c r="AK195" s="93">
        <f>(12-AG195)/12*INDEX(BW$9:BW$12,MATCH($AB195,$BU$9:$BU$12,0))+AG195/12*AH195</f>
        <v>0.53387931034482738</v>
      </c>
      <c r="AL195" s="93">
        <f>(12-AH195)/12*INDEX(BX$9:BX$12,MATCH($AB195,$BU$9:$BU$12,0))+AH195/12*AI195</f>
        <v>0.15576206896551725</v>
      </c>
      <c r="AM195" s="93">
        <f>IF($BC195=1,AJ195/SUMIFS(AJ$3:AJ$623,$BC$3:$BC$623,1,$G$3:$G$623,$G195),0)</f>
        <v>7.8905033820770007E-2</v>
      </c>
      <c r="AN195" s="93">
        <f>IF($BC195=1,AK195/SUMIFS(AK$3:AK$623,$BC$3:$BC$623,1,$G$3:$G$623,$G195),0)</f>
        <v>0.19095250357651761</v>
      </c>
      <c r="AO195" s="93">
        <f>IF($BC195=1,AL195/SUMIFS(AL$3:AL$623,$BC$3:$BC$623,1,$G$3:$G$623,$G195),0)</f>
        <v>7.8007823694806647E-2</v>
      </c>
      <c r="AP195" s="2">
        <f>IFERROR(R195/$V195*90,"")</f>
        <v>0.28008298755186722</v>
      </c>
      <c r="AQ195" s="2">
        <f>IFERROR(S195/$V195*90,"")</f>
        <v>9.3360995850622408E-2</v>
      </c>
      <c r="AR195" s="2">
        <f>IFERROR(W195/$V195*90,"")</f>
        <v>0.84024896265560167</v>
      </c>
      <c r="AS195" s="2">
        <f>IFERROR(X195/$V195*90,"")</f>
        <v>9.3360995850622408E-2</v>
      </c>
      <c r="AT195" s="2">
        <f>IFERROR(Y195/$V195*90,"")</f>
        <v>0</v>
      </c>
      <c r="AU195" s="2">
        <f>IF(AP195="",INDEX(BV$4:BV$7,MATCH(O195,$BU$4:$BU$7,0)),AP195)</f>
        <v>0.28008298755186722</v>
      </c>
      <c r="AV195" s="2">
        <f>IF(AQ195="",INDEX(BW$4:BW$7,MATCH($O195,$BU$4:$BU$7,0)),AQ195)</f>
        <v>9.3360995850622408E-2</v>
      </c>
      <c r="AW195" s="2">
        <f t="shared" si="24"/>
        <v>0.84024896265560167</v>
      </c>
      <c r="AX195" s="2">
        <f t="shared" si="25"/>
        <v>9.3360995850622408E-2</v>
      </c>
      <c r="AY195" s="2">
        <f t="shared" si="26"/>
        <v>0</v>
      </c>
      <c r="AZ195" s="2">
        <f>AU195*0.5+AK195*0.5</f>
        <v>0.4069811489483473</v>
      </c>
      <c r="BA195" s="2">
        <f>AV195*0.5+AJ195*0.5</f>
        <v>0.10644702091381697</v>
      </c>
      <c r="BB195" s="2">
        <f t="shared" si="27"/>
        <v>4.6680497925311204E-2</v>
      </c>
      <c r="BC195">
        <f>IF(I195="expected",1,0)</f>
        <v>1</v>
      </c>
      <c r="BD195" s="78">
        <f>IF(BC195=1,AZ195/SUMIFS(AZ$3:AZ$623,$BC$3:$BC$623,1,$G$3:$G$623,$G195),0)</f>
        <v>0.20344590173309765</v>
      </c>
      <c r="BE195" s="78">
        <f>IF(BC195=1,BA195/SUMIFS(BA$3:BA$623,$BC$3:$BC$623,1,$G$3:$G$623,$G195),0)</f>
        <v>8.6584096293272503E-2</v>
      </c>
      <c r="BF195" s="78">
        <f t="shared" si="28"/>
        <v>0.18949491441955166</v>
      </c>
      <c r="BG195" s="2">
        <f t="shared" si="29"/>
        <v>4.6680497925311204E-2</v>
      </c>
      <c r="BH195" s="2">
        <f t="shared" si="30"/>
        <v>0</v>
      </c>
      <c r="BI195" s="2">
        <f t="shared" si="31"/>
        <v>0.20344590173309765</v>
      </c>
      <c r="BJ195" s="2">
        <f t="shared" si="32"/>
        <v>8.6584096293272503E-2</v>
      </c>
      <c r="BK195" s="2">
        <f t="shared" si="33"/>
        <v>0.18949491441955166</v>
      </c>
      <c r="BL195" s="2">
        <f t="shared" si="34"/>
        <v>4.6680497925311204E-2</v>
      </c>
      <c r="BM195" s="2">
        <f t="shared" si="35"/>
        <v>0</v>
      </c>
      <c r="BN195" s="2">
        <f>BI195/SUMIFS(BI$3:BI$623,$BC$3:$BC$623,1,$G$3:$G$623,$G195)</f>
        <v>0.20344590173309768</v>
      </c>
      <c r="BO195" s="2">
        <f>BJ195/SUMIFS(BJ$3:BJ$623,$BC$3:$BC$623,1,$G$3:$G$623,$G195)</f>
        <v>8.6584096293272517E-2</v>
      </c>
      <c r="BP195" s="2">
        <f>BK195/SUMIFS(BK$3:BK$623,$BC$3:$BC$623,1,$G$3:$G$623,$G195)</f>
        <v>0.18949491441955171</v>
      </c>
      <c r="BQ195" s="2">
        <f>BL195</f>
        <v>4.6680497925311204E-2</v>
      </c>
      <c r="BR195" s="2">
        <f>BM195</f>
        <v>0</v>
      </c>
    </row>
    <row r="196" spans="1:70" hidden="1">
      <c r="A196" s="74">
        <v>0</v>
      </c>
      <c r="B196" s="73">
        <v>204581</v>
      </c>
      <c r="C196" s="73" t="s">
        <v>1757</v>
      </c>
      <c r="D196" s="73" t="s">
        <v>1758</v>
      </c>
      <c r="E196" s="73" t="s">
        <v>1759</v>
      </c>
      <c r="F196" s="73">
        <v>18588</v>
      </c>
      <c r="G196" s="73" t="s">
        <v>880</v>
      </c>
      <c r="H196" s="73" t="s">
        <v>949</v>
      </c>
      <c r="I196" s="73" t="s">
        <v>981</v>
      </c>
      <c r="J196" s="73">
        <v>0</v>
      </c>
      <c r="K196" s="73">
        <v>5.5</v>
      </c>
      <c r="L196" s="73">
        <v>0</v>
      </c>
      <c r="M196" s="73">
        <v>0</v>
      </c>
      <c r="N196" s="73">
        <v>0</v>
      </c>
      <c r="O196" s="73" t="s">
        <v>1290</v>
      </c>
      <c r="P196" s="73" t="s">
        <v>1760</v>
      </c>
      <c r="Q196" s="73" t="s">
        <v>1761</v>
      </c>
      <c r="R196" s="73">
        <v>1</v>
      </c>
      <c r="S196" s="73">
        <v>1</v>
      </c>
      <c r="T196" s="73">
        <v>0</v>
      </c>
      <c r="U196" s="73">
        <v>3</v>
      </c>
      <c r="V196" s="73">
        <v>1524</v>
      </c>
      <c r="W196" s="73">
        <v>4</v>
      </c>
      <c r="X196" s="73">
        <v>4</v>
      </c>
      <c r="Y196" s="73">
        <v>0</v>
      </c>
      <c r="Z196" s="73" t="s">
        <v>1133</v>
      </c>
      <c r="AA196" s="73" t="s">
        <v>690</v>
      </c>
      <c r="AB196" s="73" t="str">
        <f>IF(AA196&lt;&gt;"",INDEX(Lookup!$N$2:$N$5,MATCH(Players!AA196,Lookup!$P$2:$P$5,0)),INDEX(Lookup!$N$2:$N$5,MATCH(Players!O196,Lookup!$O$2:$O$5,0)))</f>
        <v>Goalkeeper</v>
      </c>
      <c r="AC196" s="73">
        <v>4500000</v>
      </c>
      <c r="AD196" s="73" t="s">
        <v>798</v>
      </c>
      <c r="AE196" s="73" t="str">
        <f>INDEX('Translate table'!$H$2:$H$622,MATCH(Players!P196,'Translate table'!$G$2:$G$622,0))</f>
        <v>Dominik LivakoviÄ‡</v>
      </c>
      <c r="AF196" s="73">
        <f>IFERROR(INDEX('Euro Qual stats'!$A$1:$L$2071,MATCH(Players!$AE196,'Euro Qual stats'!$A$1:$A$2071,0),MATCH(Players!AF$2,'Euro Qual stats'!$A$1:$L$1,0)),0)</f>
        <v>6</v>
      </c>
      <c r="AG196" s="73">
        <f>IFERROR(INDEX('Euro Qual stats'!$A$1:$L$2071,MATCH(Players!$AE196,'Euro Qual stats'!$A$1:$A$2071,0),MATCH(Players!AG$2,'Euro Qual stats'!$A$1:$L$1,0)),0)</f>
        <v>0</v>
      </c>
      <c r="AH196" s="73">
        <f>IFERROR(INDEX('Euro Qual stats'!$A$1:$L$2071,MATCH(Players!$AE196,'Euro Qual stats'!$A$1:$A$2071,0),MATCH(Players!AH$2,'Euro Qual stats'!$A$1:$L$1,0)),0)</f>
        <v>0</v>
      </c>
      <c r="AI196" s="73">
        <f>IFERROR(INDEX('Euro Qual stats'!$A$1:$L$2071,MATCH(Players!$AE196,'Euro Qual stats'!$A$1:$A$2071,0),MATCH(Players!AI$2,'Euro Qual stats'!$A$1:$L$1,0)),0)</f>
        <v>0</v>
      </c>
      <c r="AJ196" s="93">
        <f>(12-AF196)/12*INDEX(BV$9:BV$12,MATCH($AB196,$BU$9:$BU$12,0))+AF196/12*AG196</f>
        <v>0</v>
      </c>
      <c r="AK196" s="93">
        <f>(12-AG196)/12*INDEX(BW$9:BW$12,MATCH($AB196,$BU$9:$BU$12,0))+AG196/12*AH196</f>
        <v>0</v>
      </c>
      <c r="AL196" s="93">
        <f>(12-AH196)/12*INDEX(BX$9:BX$12,MATCH($AB196,$BU$9:$BU$12,0))+AH196/12*AI196</f>
        <v>0</v>
      </c>
      <c r="AM196" s="93">
        <f>IF($BC196=1,AJ196/SUMIFS(AJ$3:AJ$623,$BC$3:$BC$623,1,$G$3:$G$623,$G196),0)</f>
        <v>0</v>
      </c>
      <c r="AN196" s="93">
        <f>IF($BC196=1,AK196/SUMIFS(AK$3:AK$623,$BC$3:$BC$623,1,$G$3:$G$623,$G196),0)</f>
        <v>0</v>
      </c>
      <c r="AO196" s="93">
        <f>IF($BC196=1,AL196/SUMIFS(AL$3:AL$623,$BC$3:$BC$623,1,$G$3:$G$623,$G196),0)</f>
        <v>0</v>
      </c>
      <c r="AP196" s="2">
        <f>IFERROR(R196/$V196*90,"")</f>
        <v>5.905511811023622E-2</v>
      </c>
      <c r="AQ196" s="2">
        <f>IFERROR(S196/$V196*90,"")</f>
        <v>5.905511811023622E-2</v>
      </c>
      <c r="AR196" s="2">
        <f>IFERROR(W196/$V196*90,"")</f>
        <v>0.23622047244094488</v>
      </c>
      <c r="AS196" s="2">
        <f>IFERROR(X196/$V196*90,"")</f>
        <v>0.23622047244094488</v>
      </c>
      <c r="AT196" s="2">
        <f>IFERROR(Y196/$V196*90,"")</f>
        <v>0</v>
      </c>
      <c r="AU196" s="2">
        <f>IF(AP196="",INDEX(BV$4:BV$7,MATCH(O196,$BU$4:$BU$7,0)),AP196)</f>
        <v>5.905511811023622E-2</v>
      </c>
      <c r="AV196" s="2">
        <f>IF(AQ196="",INDEX(BW$4:BW$7,MATCH($O196,$BU$4:$BU$7,0)),AQ196)</f>
        <v>5.905511811023622E-2</v>
      </c>
      <c r="AW196" s="2">
        <f t="shared" ref="AW196:AW259" si="36">IF(AR196="",INDEX(BX$4:BX$7,MATCH($O196,$BU$4:$BU$7,0)),AR196)</f>
        <v>0.23622047244094488</v>
      </c>
      <c r="AX196" s="2">
        <f t="shared" ref="AX196:AX259" si="37">IF(AS196="",INDEX(BY$4:BY$7,MATCH($O196,$BU$4:$BU$7,0)),AS196)</f>
        <v>0.23622047244094488</v>
      </c>
      <c r="AY196" s="2">
        <f t="shared" ref="AY196:AY259" si="38">IF(AT196="",INDEX(BZ$4:BZ$7,MATCH($O196,$BU$4:$BU$7,0)),AT196)</f>
        <v>0</v>
      </c>
      <c r="AZ196" s="2">
        <f>AU196*0.5+AK196*0.5</f>
        <v>2.952755905511811E-2</v>
      </c>
      <c r="BA196" s="2">
        <f>AV196*0.5+AJ196*0.5</f>
        <v>2.952755905511811E-2</v>
      </c>
      <c r="BB196" s="2">
        <f t="shared" ref="BB196:BB259" si="39">AX196*0.5+AI196*0.5</f>
        <v>0.11811023622047244</v>
      </c>
      <c r="BC196">
        <f>IF(I196="expected",1,0)</f>
        <v>1</v>
      </c>
      <c r="BD196" s="78">
        <f>IF(BC196=1,AZ196/SUMIFS(AZ$3:AZ$623,$BC$3:$BC$623,1,$G$3:$G$623,$G196),0)</f>
        <v>1.2599318950899925E-2</v>
      </c>
      <c r="BE196" s="78">
        <f>IF(BC196=1,BA196/SUMIFS(BA$3:BA$623,$BC$3:$BC$623,1,$G$3:$G$623,$G196),0)</f>
        <v>2.1566932861403997E-2</v>
      </c>
      <c r="BF196" s="78">
        <f t="shared" ref="BF196:BF259" si="40">IF(BC196=1,AW196/SUMIFS(AW$3:AW$623,$BC$3:$BC$623,1,$G$3:$G$623,$G196),0)</f>
        <v>4.7808755924457026E-2</v>
      </c>
      <c r="BG196" s="2">
        <f t="shared" ref="BG196:BG259" si="41">BB196</f>
        <v>0.11811023622047244</v>
      </c>
      <c r="BH196" s="2">
        <f t="shared" ref="BH196:BH259" si="42">AY196</f>
        <v>0</v>
      </c>
      <c r="BI196" s="2">
        <f t="shared" ref="BI196:BI259" si="43">MIN(BI$1,BD196)</f>
        <v>1.2599318950899925E-2</v>
      </c>
      <c r="BJ196" s="2">
        <f t="shared" ref="BJ196:BJ259" si="44">MIN(BJ$1,BE196)</f>
        <v>2.1566932861403997E-2</v>
      </c>
      <c r="BK196" s="2">
        <f t="shared" ref="BK196:BK259" si="45">MIN(BK$1,BF196)</f>
        <v>4.7808755924457026E-2</v>
      </c>
      <c r="BL196" s="2">
        <f t="shared" ref="BL196:BL259" si="46">BG196</f>
        <v>0.11811023622047244</v>
      </c>
      <c r="BM196" s="2">
        <f t="shared" ref="BM196:BM259" si="47">MIN($BM$1,BH196)</f>
        <v>0</v>
      </c>
      <c r="BN196" s="2">
        <f>BI196/SUMIFS(BI$3:BI$623,$BC$3:$BC$623,1,$G$3:$G$623,$G196)</f>
        <v>1.2599318950899925E-2</v>
      </c>
      <c r="BO196" s="2">
        <f>BJ196/SUMIFS(BJ$3:BJ$623,$BC$3:$BC$623,1,$G$3:$G$623,$G196)</f>
        <v>2.1566932861403997E-2</v>
      </c>
      <c r="BP196" s="2">
        <f>BK196/SUMIFS(BK$3:BK$623,$BC$3:$BC$623,1,$G$3:$G$623,$G196)</f>
        <v>4.9632781159121953E-2</v>
      </c>
      <c r="BQ196" s="2">
        <f>BL196</f>
        <v>0.11811023622047244</v>
      </c>
      <c r="BR196" s="2">
        <f>BM196</f>
        <v>0</v>
      </c>
    </row>
    <row r="197" spans="1:70" hidden="1">
      <c r="A197" s="74">
        <v>0</v>
      </c>
      <c r="B197" s="73">
        <v>204584</v>
      </c>
      <c r="C197" s="73" t="s">
        <v>1762</v>
      </c>
      <c r="D197" s="73" t="s">
        <v>1763</v>
      </c>
      <c r="E197" s="73" t="s">
        <v>1764</v>
      </c>
      <c r="F197" s="73">
        <v>18588</v>
      </c>
      <c r="G197" s="73" t="s">
        <v>880</v>
      </c>
      <c r="H197" s="73" t="s">
        <v>949</v>
      </c>
      <c r="I197" s="73" t="s">
        <v>1012</v>
      </c>
      <c r="J197" s="73">
        <v>0</v>
      </c>
      <c r="K197" s="73">
        <v>5.5</v>
      </c>
      <c r="L197" s="73">
        <v>0</v>
      </c>
      <c r="M197" s="73">
        <v>0</v>
      </c>
      <c r="N197" s="73">
        <v>0</v>
      </c>
      <c r="O197" s="73" t="s">
        <v>1318</v>
      </c>
      <c r="P197" s="73" t="s">
        <v>1765</v>
      </c>
      <c r="Q197" s="73" t="s">
        <v>1766</v>
      </c>
      <c r="R197" s="73">
        <v>1</v>
      </c>
      <c r="S197" s="73">
        <v>2</v>
      </c>
      <c r="T197" s="73">
        <v>0</v>
      </c>
      <c r="U197" s="73">
        <v>7</v>
      </c>
      <c r="V197" s="73">
        <v>1257</v>
      </c>
      <c r="W197" s="73">
        <v>3</v>
      </c>
      <c r="X197" s="73">
        <v>4</v>
      </c>
      <c r="Y197" s="73">
        <v>0</v>
      </c>
      <c r="Z197" s="73" t="s">
        <v>1133</v>
      </c>
      <c r="AA197" s="73" t="s">
        <v>692</v>
      </c>
      <c r="AB197" s="73" t="str">
        <f>IF(AA197&lt;&gt;"",INDEX(Lookup!$N$2:$N$5,MATCH(Players!AA197,Lookup!$P$2:$P$5,0)),INDEX(Lookup!$N$2:$N$5,MATCH(Players!O197,Lookup!$O$2:$O$5,0)))</f>
        <v>Defense</v>
      </c>
      <c r="AC197" s="73">
        <v>2000000</v>
      </c>
      <c r="AD197" s="73" t="s">
        <v>789</v>
      </c>
      <c r="AE197" s="73" t="str">
        <f>INDEX('Translate table'!$H$2:$H$622,MATCH(Players!P197,'Translate table'!$G$2:$G$622,0))</f>
        <v>Domagoj Vida</v>
      </c>
      <c r="AF197" s="73">
        <f>IFERROR(INDEX('Euro Qual stats'!$A$1:$L$2071,MATCH(Players!$AE197,'Euro Qual stats'!$A$1:$A$2071,0),MATCH(Players!AF$2,'Euro Qual stats'!$A$1:$L$1,0)),0)</f>
        <v>7</v>
      </c>
      <c r="AG197" s="73">
        <f>IFERROR(INDEX('Euro Qual stats'!$A$1:$L$2071,MATCH(Players!$AE197,'Euro Qual stats'!$A$1:$A$2071,0),MATCH(Players!AG$2,'Euro Qual stats'!$A$1:$L$1,0)),0)</f>
        <v>0</v>
      </c>
      <c r="AH197" s="73">
        <f>IFERROR(INDEX('Euro Qual stats'!$A$1:$L$2071,MATCH(Players!$AE197,'Euro Qual stats'!$A$1:$A$2071,0),MATCH(Players!AH$2,'Euro Qual stats'!$A$1:$L$1,0)),0)</f>
        <v>0</v>
      </c>
      <c r="AI197" s="73">
        <f>IFERROR(INDEX('Euro Qual stats'!$A$1:$L$2071,MATCH(Players!$AE197,'Euro Qual stats'!$A$1:$A$2071,0),MATCH(Players!AI$2,'Euro Qual stats'!$A$1:$L$1,0)),0)</f>
        <v>0.43</v>
      </c>
      <c r="AJ197" s="93">
        <f>(12-AF197)/12*INDEX(BV$9:BV$12,MATCH($AB197,$BU$9:$BU$12,0))+AF197/12*AG197</f>
        <v>3.715659340659342E-2</v>
      </c>
      <c r="AK197" s="93">
        <f>(12-AG197)/12*INDEX(BW$9:BW$12,MATCH($AB197,$BU$9:$BU$12,0))+AG197/12*AH197</f>
        <v>0.10357142857142858</v>
      </c>
      <c r="AL197" s="93">
        <f>(12-AH197)/12*INDEX(BX$9:BX$12,MATCH($AB197,$BU$9:$BU$12,0))+AH197/12*AI197</f>
        <v>0.19357142857142848</v>
      </c>
      <c r="AM197" s="93">
        <f>IF($BC197=1,AJ197/SUMIFS(AJ$3:AJ$623,$BC$3:$BC$623,1,$G$3:$G$623,$G197),0)</f>
        <v>0</v>
      </c>
      <c r="AN197" s="93">
        <f>IF($BC197=1,AK197/SUMIFS(AK$3:AK$623,$BC$3:$BC$623,1,$G$3:$G$623,$G197),0)</f>
        <v>0</v>
      </c>
      <c r="AO197" s="93">
        <f>IF($BC197=1,AL197/SUMIFS(AL$3:AL$623,$BC$3:$BC$623,1,$G$3:$G$623,$G197),0)</f>
        <v>0</v>
      </c>
      <c r="AP197" s="2">
        <f>IFERROR(R197/$V197*90,"")</f>
        <v>7.1599045346062054E-2</v>
      </c>
      <c r="AQ197" s="2">
        <f>IFERROR(S197/$V197*90,"")</f>
        <v>0.14319809069212411</v>
      </c>
      <c r="AR197" s="2">
        <f>IFERROR(W197/$V197*90,"")</f>
        <v>0.21479713603818618</v>
      </c>
      <c r="AS197" s="2">
        <f>IFERROR(X197/$V197*90,"")</f>
        <v>0.28639618138424822</v>
      </c>
      <c r="AT197" s="2">
        <f>IFERROR(Y197/$V197*90,"")</f>
        <v>0</v>
      </c>
      <c r="AU197" s="2">
        <f>IF(AP197="",INDEX(BV$4:BV$7,MATCH(O197,$BU$4:$BU$7,0)),AP197)</f>
        <v>7.1599045346062054E-2</v>
      </c>
      <c r="AV197" s="2">
        <f>IF(AQ197="",INDEX(BW$4:BW$7,MATCH($O197,$BU$4:$BU$7,0)),AQ197)</f>
        <v>0.14319809069212411</v>
      </c>
      <c r="AW197" s="2">
        <f t="shared" si="36"/>
        <v>0.21479713603818618</v>
      </c>
      <c r="AX197" s="2">
        <f t="shared" si="37"/>
        <v>0.28639618138424822</v>
      </c>
      <c r="AY197" s="2">
        <f t="shared" si="38"/>
        <v>0</v>
      </c>
      <c r="AZ197" s="2">
        <f>AU197*0.5+AK197*0.5</f>
        <v>8.7585236958745316E-2</v>
      </c>
      <c r="BA197" s="2">
        <f>AV197*0.5+AJ197*0.5</f>
        <v>9.0177342049358761E-2</v>
      </c>
      <c r="BB197" s="2">
        <f t="shared" si="39"/>
        <v>0.3581980906921241</v>
      </c>
      <c r="BC197">
        <f>IF(I197="expected",1,0)</f>
        <v>0</v>
      </c>
      <c r="BD197" s="78">
        <f>IF(BC197=1,AZ197/SUMIFS(AZ$3:AZ$623,$BC$3:$BC$623,1,$G$3:$G$623,$G197),0)</f>
        <v>0</v>
      </c>
      <c r="BE197" s="78">
        <f>IF(BC197=1,BA197/SUMIFS(BA$3:BA$623,$BC$3:$BC$623,1,$G$3:$G$623,$G197),0)</f>
        <v>0</v>
      </c>
      <c r="BF197" s="78">
        <f t="shared" si="40"/>
        <v>0</v>
      </c>
      <c r="BG197" s="2">
        <f t="shared" si="41"/>
        <v>0.3581980906921241</v>
      </c>
      <c r="BH197" s="2">
        <f t="shared" si="42"/>
        <v>0</v>
      </c>
      <c r="BI197" s="2">
        <f t="shared" si="43"/>
        <v>0</v>
      </c>
      <c r="BJ197" s="2">
        <f t="shared" si="44"/>
        <v>0</v>
      </c>
      <c r="BK197" s="2">
        <f t="shared" si="45"/>
        <v>0</v>
      </c>
      <c r="BL197" s="2">
        <f t="shared" si="46"/>
        <v>0.3581980906921241</v>
      </c>
      <c r="BM197" s="2">
        <f t="shared" si="47"/>
        <v>0</v>
      </c>
      <c r="BN197" s="2">
        <f>BI197/SUMIFS(BI$3:BI$623,$BC$3:$BC$623,1,$G$3:$G$623,$G197)</f>
        <v>0</v>
      </c>
      <c r="BO197" s="2">
        <f>BJ197/SUMIFS(BJ$3:BJ$623,$BC$3:$BC$623,1,$G$3:$G$623,$G197)</f>
        <v>0</v>
      </c>
      <c r="BP197" s="2">
        <f>BK197/SUMIFS(BK$3:BK$623,$BC$3:$BC$623,1,$G$3:$G$623,$G197)</f>
        <v>0</v>
      </c>
      <c r="BQ197" s="2">
        <f>BL197</f>
        <v>0.3581980906921241</v>
      </c>
      <c r="BR197" s="2">
        <f>BM197</f>
        <v>0</v>
      </c>
    </row>
    <row r="198" spans="1:70" hidden="1">
      <c r="A198" s="74">
        <v>0</v>
      </c>
      <c r="B198" s="73">
        <v>220767</v>
      </c>
      <c r="C198" s="73" t="s">
        <v>1767</v>
      </c>
      <c r="D198" s="73" t="s">
        <v>1768</v>
      </c>
      <c r="E198" s="73" t="s">
        <v>1769</v>
      </c>
      <c r="F198" s="73">
        <v>18588</v>
      </c>
      <c r="G198" s="73" t="s">
        <v>880</v>
      </c>
      <c r="H198" s="73" t="s">
        <v>949</v>
      </c>
      <c r="I198" s="73" t="s">
        <v>981</v>
      </c>
      <c r="J198" s="73">
        <v>0</v>
      </c>
      <c r="K198" s="73">
        <v>5.5</v>
      </c>
      <c r="L198" s="73">
        <v>0</v>
      </c>
      <c r="M198" s="73">
        <v>0</v>
      </c>
      <c r="N198" s="73">
        <v>0</v>
      </c>
      <c r="O198" s="73" t="s">
        <v>982</v>
      </c>
      <c r="P198" s="73" t="s">
        <v>1770</v>
      </c>
      <c r="Q198" s="73" t="s">
        <v>1770</v>
      </c>
      <c r="R198" s="73">
        <v>20</v>
      </c>
      <c r="S198" s="73">
        <v>5</v>
      </c>
      <c r="T198" s="73">
        <v>0</v>
      </c>
      <c r="U198" s="73">
        <v>1</v>
      </c>
      <c r="V198" s="73">
        <v>2380</v>
      </c>
      <c r="W198" s="73">
        <v>44</v>
      </c>
      <c r="X198" s="73">
        <v>2</v>
      </c>
      <c r="Y198" s="73">
        <v>0</v>
      </c>
      <c r="Z198" s="73" t="s">
        <v>1133</v>
      </c>
      <c r="AA198" s="73" t="s">
        <v>693</v>
      </c>
      <c r="AB198" s="73" t="str">
        <f>IF(AA198&lt;&gt;"",INDEX(Lookup!$N$2:$N$5,MATCH(Players!AA198,Lookup!$P$2:$P$5,0)),INDEX(Lookup!$N$2:$N$5,MATCH(Players!O198,Lookup!$O$2:$O$5,0)))</f>
        <v>Striker</v>
      </c>
      <c r="AC198" s="73">
        <v>5000000</v>
      </c>
      <c r="AD198" s="73" t="s">
        <v>807</v>
      </c>
      <c r="AE198" s="73" t="str">
        <f>INDEX('Translate table'!$H$2:$H$622,MATCH(Players!P198,'Translate table'!$G$2:$G$622,0))</f>
        <v>Andrej KramariÄ‡</v>
      </c>
      <c r="AF198" s="73">
        <f>IFERROR(INDEX('Euro Qual stats'!$A$1:$L$2071,MATCH(Players!$AE198,'Euro Qual stats'!$A$1:$A$2071,0),MATCH(Players!AF$2,'Euro Qual stats'!$A$1:$L$1,0)),0)</f>
        <v>3</v>
      </c>
      <c r="AG198" s="73">
        <f>IFERROR(INDEX('Euro Qual stats'!$A$1:$L$2071,MATCH(Players!$AE198,'Euro Qual stats'!$A$1:$A$2071,0),MATCH(Players!AG$2,'Euro Qual stats'!$A$1:$L$1,0)),0)</f>
        <v>0.33</v>
      </c>
      <c r="AH198" s="73">
        <f>IFERROR(INDEX('Euro Qual stats'!$A$1:$L$2071,MATCH(Players!$AE198,'Euro Qual stats'!$A$1:$A$2071,0),MATCH(Players!AH$2,'Euro Qual stats'!$A$1:$L$1,0)),0)</f>
        <v>0.33</v>
      </c>
      <c r="AI198" s="73">
        <f>IFERROR(INDEX('Euro Qual stats'!$A$1:$L$2071,MATCH(Players!$AE198,'Euro Qual stats'!$A$1:$A$2071,0),MATCH(Players!AI$2,'Euro Qual stats'!$A$1:$L$1,0)),0)</f>
        <v>0</v>
      </c>
      <c r="AJ198" s="93">
        <f>(12-AF198)/12*INDEX(BV$9:BV$12,MATCH($AB198,$BU$9:$BU$12,0))+AF198/12*AG198</f>
        <v>0.23618534482758624</v>
      </c>
      <c r="AK198" s="93">
        <f>(12-AG198)/12*INDEX(BW$9:BW$12,MATCH($AB198,$BU$9:$BU$12,0))+AG198/12*AH198</f>
        <v>0.52827262931034458</v>
      </c>
      <c r="AL198" s="93">
        <f>(12-AH198)/12*INDEX(BX$9:BX$12,MATCH($AB198,$BU$9:$BU$12,0))+AH198/12*AI198</f>
        <v>0.16029482758620692</v>
      </c>
      <c r="AM198" s="93">
        <f>IF($BC198=1,AJ198/SUMIFS(AJ$3:AJ$623,$BC$3:$BC$623,1,$G$3:$G$623,$G198),0)</f>
        <v>0.14874871845851972</v>
      </c>
      <c r="AN198" s="93">
        <f>IF($BC198=1,AK198/SUMIFS(AK$3:AK$623,$BC$3:$BC$623,1,$G$3:$G$623,$G198),0)</f>
        <v>0.19873302913533156</v>
      </c>
      <c r="AO198" s="93">
        <f>IF($BC198=1,AL198/SUMIFS(AL$3:AL$623,$BC$3:$BC$623,1,$G$3:$G$623,$G198),0)</f>
        <v>8.0876099631312412E-2</v>
      </c>
      <c r="AP198" s="2">
        <f>IFERROR(R198/$V198*90,"")</f>
        <v>0.75630252100840334</v>
      </c>
      <c r="AQ198" s="2">
        <f>IFERROR(S198/$V198*90,"")</f>
        <v>0.18907563025210083</v>
      </c>
      <c r="AR198" s="2">
        <f>IFERROR(W198/$V198*90,"")</f>
        <v>1.6638655462184875</v>
      </c>
      <c r="AS198" s="2">
        <f>IFERROR(X198/$V198*90,"")</f>
        <v>7.5630252100840345E-2</v>
      </c>
      <c r="AT198" s="2">
        <f>IFERROR(Y198/$V198*90,"")</f>
        <v>0</v>
      </c>
      <c r="AU198" s="2">
        <f>IF(AP198="",INDEX(BV$4:BV$7,MATCH(O198,$BU$4:$BU$7,0)),AP198)</f>
        <v>0.75630252100840334</v>
      </c>
      <c r="AV198" s="2">
        <f>IF(AQ198="",INDEX(BW$4:BW$7,MATCH($O198,$BU$4:$BU$7,0)),AQ198)</f>
        <v>0.18907563025210083</v>
      </c>
      <c r="AW198" s="2">
        <f t="shared" si="36"/>
        <v>1.6638655462184875</v>
      </c>
      <c r="AX198" s="2">
        <f t="shared" si="37"/>
        <v>7.5630252100840345E-2</v>
      </c>
      <c r="AY198" s="2">
        <f t="shared" si="38"/>
        <v>0</v>
      </c>
      <c r="AZ198" s="2">
        <f>AU198*0.5+AK198*0.5</f>
        <v>0.64228757515937396</v>
      </c>
      <c r="BA198" s="2">
        <f>AV198*0.5+AJ198*0.5</f>
        <v>0.21263048753984354</v>
      </c>
      <c r="BB198" s="2">
        <f t="shared" si="39"/>
        <v>3.7815126050420172E-2</v>
      </c>
      <c r="BC198">
        <f>IF(I198="expected",1,0)</f>
        <v>1</v>
      </c>
      <c r="BD198" s="78">
        <f>IF(BC198=1,AZ198/SUMIFS(AZ$3:AZ$623,$BC$3:$BC$623,1,$G$3:$G$623,$G198),0)</f>
        <v>0.27406213979717298</v>
      </c>
      <c r="BE198" s="78">
        <f>IF(BC198=1,BA198/SUMIFS(BA$3:BA$623,$BC$3:$BC$623,1,$G$3:$G$623,$G198),0)</f>
        <v>0.1553053349414785</v>
      </c>
      <c r="BF198" s="78">
        <f t="shared" si="40"/>
        <v>0.33675041357882257</v>
      </c>
      <c r="BG198" s="2">
        <f t="shared" si="41"/>
        <v>3.7815126050420172E-2</v>
      </c>
      <c r="BH198" s="2">
        <f t="shared" si="42"/>
        <v>0</v>
      </c>
      <c r="BI198" s="2">
        <f t="shared" si="43"/>
        <v>0.27406213979717298</v>
      </c>
      <c r="BJ198" s="2">
        <f t="shared" si="44"/>
        <v>0.1553053349414785</v>
      </c>
      <c r="BK198" s="2">
        <f t="shared" si="45"/>
        <v>0.3</v>
      </c>
      <c r="BL198" s="2">
        <f t="shared" si="46"/>
        <v>3.7815126050420172E-2</v>
      </c>
      <c r="BM198" s="2">
        <f t="shared" si="47"/>
        <v>0</v>
      </c>
      <c r="BN198" s="2">
        <f>BI198/SUMIFS(BI$3:BI$623,$BC$3:$BC$623,1,$G$3:$G$623,$G198)</f>
        <v>0.27406213979717298</v>
      </c>
      <c r="BO198" s="2">
        <f>BJ198/SUMIFS(BJ$3:BJ$623,$BC$3:$BC$623,1,$G$3:$G$623,$G198)</f>
        <v>0.1553053349414785</v>
      </c>
      <c r="BP198" s="2">
        <f>BK198/SUMIFS(BK$3:BK$623,$BC$3:$BC$623,1,$G$3:$G$623,$G198)</f>
        <v>0.31144576050596512</v>
      </c>
      <c r="BQ198" s="2">
        <f>BL198</f>
        <v>3.7815126050420172E-2</v>
      </c>
      <c r="BR198" s="2">
        <f>BM198</f>
        <v>0</v>
      </c>
    </row>
    <row r="199" spans="1:70" hidden="1">
      <c r="A199" s="74">
        <v>0</v>
      </c>
      <c r="B199" s="73">
        <v>204598</v>
      </c>
      <c r="C199" s="73" t="s">
        <v>1771</v>
      </c>
      <c r="D199" s="73" t="s">
        <v>1772</v>
      </c>
      <c r="E199" s="73" t="s">
        <v>1773</v>
      </c>
      <c r="F199" s="73">
        <v>18588</v>
      </c>
      <c r="G199" s="73" t="s">
        <v>880</v>
      </c>
      <c r="H199" s="73" t="s">
        <v>949</v>
      </c>
      <c r="I199" s="73" t="s">
        <v>1012</v>
      </c>
      <c r="J199" s="73">
        <v>0</v>
      </c>
      <c r="K199" s="73">
        <v>5.5</v>
      </c>
      <c r="L199" s="73">
        <v>0</v>
      </c>
      <c r="M199" s="73">
        <v>0</v>
      </c>
      <c r="N199" s="73">
        <v>0</v>
      </c>
      <c r="O199" s="73" t="s">
        <v>982</v>
      </c>
      <c r="P199" s="73" t="s">
        <v>1774</v>
      </c>
      <c r="Q199" s="73" t="s">
        <v>1164</v>
      </c>
      <c r="R199" s="73"/>
      <c r="S199" s="73"/>
      <c r="T199" s="73"/>
      <c r="U199" s="73"/>
      <c r="V199" s="73"/>
      <c r="W199" s="73"/>
      <c r="X199" s="73"/>
      <c r="Y199" s="73"/>
      <c r="Z199" s="73" t="s">
        <v>1133</v>
      </c>
      <c r="AA199" s="73" t="s">
        <v>693</v>
      </c>
      <c r="AB199" s="73" t="str">
        <f>IF(AA199&lt;&gt;"",INDEX(Lookup!$N$2:$N$5,MATCH(Players!AA199,Lookup!$P$2:$P$5,0)),INDEX(Lookup!$N$2:$N$5,MATCH(Players!O199,Lookup!$O$2:$O$5,0)))</f>
        <v>Striker</v>
      </c>
      <c r="AC199" s="73">
        <v>3000000</v>
      </c>
      <c r="AD199" s="73" t="s">
        <v>793</v>
      </c>
      <c r="AE199" s="73" t="str">
        <f>INDEX('Translate table'!$H$2:$H$622,MATCH(Players!P199,'Translate table'!$G$2:$G$622,0))</f>
        <v>Mislav OrÅ¡iÄ‡</v>
      </c>
      <c r="AF199" s="73">
        <f>IFERROR(INDEX('Euro Qual stats'!$A$1:$L$2071,MATCH(Players!$AE199,'Euro Qual stats'!$A$1:$A$2071,0),MATCH(Players!AF$2,'Euro Qual stats'!$A$1:$L$1,0)),0)</f>
        <v>2</v>
      </c>
      <c r="AG199" s="73">
        <f>IFERROR(INDEX('Euro Qual stats'!$A$1:$L$2071,MATCH(Players!$AE199,'Euro Qual stats'!$A$1:$A$2071,0),MATCH(Players!AG$2,'Euro Qual stats'!$A$1:$L$1,0)),0)</f>
        <v>0</v>
      </c>
      <c r="AH199" s="73">
        <f>IFERROR(INDEX('Euro Qual stats'!$A$1:$L$2071,MATCH(Players!$AE199,'Euro Qual stats'!$A$1:$A$2071,0),MATCH(Players!AH$2,'Euro Qual stats'!$A$1:$L$1,0)),0)</f>
        <v>0</v>
      </c>
      <c r="AI199" s="73">
        <f>IFERROR(INDEX('Euro Qual stats'!$A$1:$L$2071,MATCH(Players!$AE199,'Euro Qual stats'!$A$1:$A$2071,0),MATCH(Players!AI$2,'Euro Qual stats'!$A$1:$L$1,0)),0)</f>
        <v>0</v>
      </c>
      <c r="AJ199" s="93">
        <f>(12-AF199)/12*INDEX(BV$9:BV$12,MATCH($AB199,$BU$9:$BU$12,0))+AF199/12*AG199</f>
        <v>0.1707614942528736</v>
      </c>
      <c r="AK199" s="93">
        <f>(12-AG199)/12*INDEX(BW$9:BW$12,MATCH($AB199,$BU$9:$BU$12,0))+AG199/12*AH199</f>
        <v>0.53387931034482738</v>
      </c>
      <c r="AL199" s="93">
        <f>(12-AH199)/12*INDEX(BX$9:BX$12,MATCH($AB199,$BU$9:$BU$12,0))+AH199/12*AI199</f>
        <v>0.16482758620689658</v>
      </c>
      <c r="AM199" s="93">
        <f>IF($BC199=1,AJ199/SUMIFS(AJ$3:AJ$623,$BC$3:$BC$623,1,$G$3:$G$623,$G199),0)</f>
        <v>0</v>
      </c>
      <c r="AN199" s="93">
        <f>IF($BC199=1,AK199/SUMIFS(AK$3:AK$623,$BC$3:$BC$623,1,$G$3:$G$623,$G199),0)</f>
        <v>0</v>
      </c>
      <c r="AO199" s="93">
        <f>IF($BC199=1,AL199/SUMIFS(AL$3:AL$623,$BC$3:$BC$623,1,$G$3:$G$623,$G199),0)</f>
        <v>0</v>
      </c>
      <c r="AP199" s="2" t="str">
        <f>IFERROR(R199/$V199*90,"")</f>
        <v/>
      </c>
      <c r="AQ199" s="2" t="str">
        <f>IFERROR(S199/$V199*90,"")</f>
        <v/>
      </c>
      <c r="AR199" s="2" t="str">
        <f>IFERROR(W199/$V199*90,"")</f>
        <v/>
      </c>
      <c r="AS199" s="2" t="str">
        <f>IFERROR(X199/$V199*90,"")</f>
        <v/>
      </c>
      <c r="AT199" s="2" t="str">
        <f>IFERROR(Y199/$V199*90,"")</f>
        <v/>
      </c>
      <c r="AU199" s="2">
        <f>IF(AP199="",INDEX(BV$4:BV$7,MATCH(O199,$BU$4:$BU$7,0)),AP199)</f>
        <v>0.18769551616266944</v>
      </c>
      <c r="AV199" s="2">
        <f>IF(AQ199="",INDEX(BW$4:BW$7,MATCH($O199,$BU$4:$BU$7,0)),AQ199)</f>
        <v>4.82573726541555E-2</v>
      </c>
      <c r="AW199" s="2">
        <f t="shared" si="36"/>
        <v>0.70512820512820518</v>
      </c>
      <c r="AX199" s="2">
        <f t="shared" si="37"/>
        <v>0.12295081967213115</v>
      </c>
      <c r="AY199" s="2">
        <f t="shared" si="38"/>
        <v>0</v>
      </c>
      <c r="AZ199" s="2">
        <f>AU199*0.5+AK199*0.5</f>
        <v>0.36078741325374841</v>
      </c>
      <c r="BA199" s="2">
        <f>AV199*0.5+AJ199*0.5</f>
        <v>0.10950943345351455</v>
      </c>
      <c r="BB199" s="2">
        <f t="shared" si="39"/>
        <v>6.1475409836065573E-2</v>
      </c>
      <c r="BC199">
        <f>IF(I199="expected",1,0)</f>
        <v>0</v>
      </c>
      <c r="BD199" s="78">
        <f>IF(BC199=1,AZ199/SUMIFS(AZ$3:AZ$623,$BC$3:$BC$623,1,$G$3:$G$623,$G199),0)</f>
        <v>0</v>
      </c>
      <c r="BE199" s="78">
        <f>IF(BC199=1,BA199/SUMIFS(BA$3:BA$623,$BC$3:$BC$623,1,$G$3:$G$623,$G199),0)</f>
        <v>0</v>
      </c>
      <c r="BF199" s="78">
        <f t="shared" si="40"/>
        <v>0</v>
      </c>
      <c r="BG199" s="2">
        <f t="shared" si="41"/>
        <v>6.1475409836065573E-2</v>
      </c>
      <c r="BH199" s="2">
        <f t="shared" si="42"/>
        <v>0</v>
      </c>
      <c r="BI199" s="2">
        <f t="shared" si="43"/>
        <v>0</v>
      </c>
      <c r="BJ199" s="2">
        <f t="shared" si="44"/>
        <v>0</v>
      </c>
      <c r="BK199" s="2">
        <f t="shared" si="45"/>
        <v>0</v>
      </c>
      <c r="BL199" s="2">
        <f t="shared" si="46"/>
        <v>6.1475409836065573E-2</v>
      </c>
      <c r="BM199" s="2">
        <f t="shared" si="47"/>
        <v>0</v>
      </c>
      <c r="BN199" s="2">
        <f>BI199/SUMIFS(BI$3:BI$623,$BC$3:$BC$623,1,$G$3:$G$623,$G199)</f>
        <v>0</v>
      </c>
      <c r="BO199" s="2">
        <f>BJ199/SUMIFS(BJ$3:BJ$623,$BC$3:$BC$623,1,$G$3:$G$623,$G199)</f>
        <v>0</v>
      </c>
      <c r="BP199" s="2">
        <f>BK199/SUMIFS(BK$3:BK$623,$BC$3:$BC$623,1,$G$3:$G$623,$G199)</f>
        <v>0</v>
      </c>
      <c r="BQ199" s="2">
        <f>BL199</f>
        <v>6.1475409836065573E-2</v>
      </c>
      <c r="BR199" s="2">
        <f>BM199</f>
        <v>0</v>
      </c>
    </row>
    <row r="200" spans="1:70" hidden="1">
      <c r="A200" s="74">
        <v>0</v>
      </c>
      <c r="B200" s="73">
        <v>204513</v>
      </c>
      <c r="C200" s="73" t="s">
        <v>1775</v>
      </c>
      <c r="D200" s="73" t="s">
        <v>1776</v>
      </c>
      <c r="E200" s="73" t="s">
        <v>1777</v>
      </c>
      <c r="F200" s="73">
        <v>18658</v>
      </c>
      <c r="G200" s="73" t="s">
        <v>863</v>
      </c>
      <c r="H200" s="73" t="s">
        <v>939</v>
      </c>
      <c r="I200" s="73" t="s">
        <v>1012</v>
      </c>
      <c r="J200" s="73">
        <v>0</v>
      </c>
      <c r="K200" s="73">
        <v>5.5</v>
      </c>
      <c r="L200" s="73">
        <v>0</v>
      </c>
      <c r="M200" s="73">
        <v>0</v>
      </c>
      <c r="N200" s="73">
        <v>0</v>
      </c>
      <c r="O200" s="73" t="s">
        <v>1290</v>
      </c>
      <c r="P200" s="73" t="s">
        <v>1778</v>
      </c>
      <c r="Q200" s="73" t="s">
        <v>1778</v>
      </c>
      <c r="R200" s="73">
        <v>0</v>
      </c>
      <c r="S200" s="73">
        <v>0</v>
      </c>
      <c r="T200" s="73">
        <v>73</v>
      </c>
      <c r="U200" s="73">
        <v>7</v>
      </c>
      <c r="V200" s="73">
        <v>2880</v>
      </c>
      <c r="W200" s="73">
        <v>0</v>
      </c>
      <c r="X200" s="73">
        <v>0</v>
      </c>
      <c r="Y200" s="73">
        <v>0</v>
      </c>
      <c r="Z200" s="73" t="s">
        <v>1054</v>
      </c>
      <c r="AA200" s="73" t="s">
        <v>690</v>
      </c>
      <c r="AB200" s="73" t="str">
        <f>IF(AA200&lt;&gt;"",INDEX(Lookup!$N$2:$N$5,MATCH(Players!AA200,Lookup!$P$2:$P$5,0)),INDEX(Lookup!$N$2:$N$5,MATCH(Players!O200,Lookup!$O$2:$O$5,0)))</f>
        <v>Goalkeeper</v>
      </c>
      <c r="AC200" s="73">
        <v>4500000</v>
      </c>
      <c r="AD200" s="73" t="s">
        <v>788</v>
      </c>
      <c r="AE200" s="73" t="str">
        <f>INDEX('Translate table'!$H$2:$H$622,MATCH(Players!P200,'Translate table'!$G$2:$G$622,0))</f>
        <v>Salvatore Sirigu</v>
      </c>
      <c r="AF200" s="73">
        <f>IFERROR(INDEX('Euro Qual stats'!$A$1:$L$2071,MATCH(Players!$AE200,'Euro Qual stats'!$A$1:$A$2071,0),MATCH(Players!AF$2,'Euro Qual stats'!$A$1:$L$1,0)),0)</f>
        <v>5</v>
      </c>
      <c r="AG200" s="73">
        <f>IFERROR(INDEX('Euro Qual stats'!$A$1:$L$2071,MATCH(Players!$AE200,'Euro Qual stats'!$A$1:$A$2071,0),MATCH(Players!AG$2,'Euro Qual stats'!$A$1:$L$1,0)),0)</f>
        <v>0</v>
      </c>
      <c r="AH200" s="73">
        <f>IFERROR(INDEX('Euro Qual stats'!$A$1:$L$2071,MATCH(Players!$AE200,'Euro Qual stats'!$A$1:$A$2071,0),MATCH(Players!AH$2,'Euro Qual stats'!$A$1:$L$1,0)),0)</f>
        <v>0</v>
      </c>
      <c r="AI200" s="73">
        <f>IFERROR(INDEX('Euro Qual stats'!$A$1:$L$2071,MATCH(Players!$AE200,'Euro Qual stats'!$A$1:$A$2071,0),MATCH(Players!AI$2,'Euro Qual stats'!$A$1:$L$1,0)),0)</f>
        <v>0</v>
      </c>
      <c r="AJ200" s="93">
        <f>(12-AF200)/12*INDEX(BV$9:BV$12,MATCH($AB200,$BU$9:$BU$12,0))+AF200/12*AG200</f>
        <v>0</v>
      </c>
      <c r="AK200" s="93">
        <f>(12-AG200)/12*INDEX(BW$9:BW$12,MATCH($AB200,$BU$9:$BU$12,0))+AG200/12*AH200</f>
        <v>0</v>
      </c>
      <c r="AL200" s="93">
        <f>(12-AH200)/12*INDEX(BX$9:BX$12,MATCH($AB200,$BU$9:$BU$12,0))+AH200/12*AI200</f>
        <v>0</v>
      </c>
      <c r="AM200" s="93">
        <f>IF($BC200=1,AJ200/SUMIFS(AJ$3:AJ$623,$BC$3:$BC$623,1,$G$3:$G$623,$G200),0)</f>
        <v>0</v>
      </c>
      <c r="AN200" s="93">
        <f>IF($BC200=1,AK200/SUMIFS(AK$3:AK$623,$BC$3:$BC$623,1,$G$3:$G$623,$G200),0)</f>
        <v>0</v>
      </c>
      <c r="AO200" s="93">
        <f>IF($BC200=1,AL200/SUMIFS(AL$3:AL$623,$BC$3:$BC$623,1,$G$3:$G$623,$G200),0)</f>
        <v>0</v>
      </c>
      <c r="AP200" s="2">
        <f>IFERROR(R200/$V200*90,"")</f>
        <v>0</v>
      </c>
      <c r="AQ200" s="2">
        <f>IFERROR(S200/$V200*90,"")</f>
        <v>0</v>
      </c>
      <c r="AR200" s="2">
        <f>IFERROR(W200/$V200*90,"")</f>
        <v>0</v>
      </c>
      <c r="AS200" s="2">
        <f>IFERROR(X200/$V200*90,"")</f>
        <v>0</v>
      </c>
      <c r="AT200" s="2">
        <f>IFERROR(Y200/$V200*90,"")</f>
        <v>0</v>
      </c>
      <c r="AU200" s="2">
        <f>IF(AP200="",INDEX(BV$4:BV$7,MATCH(O200,$BU$4:$BU$7,0)),AP200)</f>
        <v>0</v>
      </c>
      <c r="AV200" s="2">
        <f>IF(AQ200="",INDEX(BW$4:BW$7,MATCH($O200,$BU$4:$BU$7,0)),AQ200)</f>
        <v>0</v>
      </c>
      <c r="AW200" s="2">
        <f t="shared" si="36"/>
        <v>0</v>
      </c>
      <c r="AX200" s="2">
        <f t="shared" si="37"/>
        <v>0</v>
      </c>
      <c r="AY200" s="2">
        <f t="shared" si="38"/>
        <v>0</v>
      </c>
      <c r="AZ200" s="2">
        <f>AU200*0.5+AK200*0.5</f>
        <v>0</v>
      </c>
      <c r="BA200" s="2">
        <f>AV200*0.5+AJ200*0.5</f>
        <v>0</v>
      </c>
      <c r="BB200" s="2">
        <f t="shared" si="39"/>
        <v>0</v>
      </c>
      <c r="BC200">
        <f>IF(I200="expected",1,0)</f>
        <v>0</v>
      </c>
      <c r="BD200" s="78">
        <f>IF(BC200=1,AZ200/SUMIFS(AZ$3:AZ$623,$BC$3:$BC$623,1,$G$3:$G$623,$G200),0)</f>
        <v>0</v>
      </c>
      <c r="BE200" s="78">
        <f>IF(BC200=1,BA200/SUMIFS(BA$3:BA$623,$BC$3:$BC$623,1,$G$3:$G$623,$G200),0)</f>
        <v>0</v>
      </c>
      <c r="BF200" s="78">
        <f t="shared" si="40"/>
        <v>0</v>
      </c>
      <c r="BG200" s="2">
        <f t="shared" si="41"/>
        <v>0</v>
      </c>
      <c r="BH200" s="2">
        <f t="shared" si="42"/>
        <v>0</v>
      </c>
      <c r="BI200" s="2">
        <f t="shared" si="43"/>
        <v>0</v>
      </c>
      <c r="BJ200" s="2">
        <f t="shared" si="44"/>
        <v>0</v>
      </c>
      <c r="BK200" s="2">
        <f t="shared" si="45"/>
        <v>0</v>
      </c>
      <c r="BL200" s="2">
        <f t="shared" si="46"/>
        <v>0</v>
      </c>
      <c r="BM200" s="2">
        <f t="shared" si="47"/>
        <v>0</v>
      </c>
      <c r="BN200" s="2">
        <f>BI200/SUMIFS(BI$3:BI$623,$BC$3:$BC$623,1,$G$3:$G$623,$G200)</f>
        <v>0</v>
      </c>
      <c r="BO200" s="2">
        <f>BJ200/SUMIFS(BJ$3:BJ$623,$BC$3:$BC$623,1,$G$3:$G$623,$G200)</f>
        <v>0</v>
      </c>
      <c r="BP200" s="2">
        <f>BK200/SUMIFS(BK$3:BK$623,$BC$3:$BC$623,1,$G$3:$G$623,$G200)</f>
        <v>0</v>
      </c>
      <c r="BQ200" s="2">
        <f>BL200</f>
        <v>0</v>
      </c>
      <c r="BR200" s="2">
        <f>BM200</f>
        <v>0</v>
      </c>
    </row>
    <row r="201" spans="1:70" hidden="1">
      <c r="A201" s="74">
        <v>0</v>
      </c>
      <c r="B201" s="73">
        <v>204509</v>
      </c>
      <c r="C201" s="73" t="s">
        <v>1779</v>
      </c>
      <c r="D201" s="73" t="s">
        <v>1780</v>
      </c>
      <c r="E201" s="73" t="s">
        <v>1781</v>
      </c>
      <c r="F201" s="73">
        <v>18658</v>
      </c>
      <c r="G201" s="73" t="s">
        <v>863</v>
      </c>
      <c r="H201" s="73" t="s">
        <v>939</v>
      </c>
      <c r="I201" s="73" t="s">
        <v>1012</v>
      </c>
      <c r="J201" s="73">
        <v>0</v>
      </c>
      <c r="K201" s="73">
        <v>5.5</v>
      </c>
      <c r="L201" s="73">
        <v>0</v>
      </c>
      <c r="M201" s="73">
        <v>0</v>
      </c>
      <c r="N201" s="73">
        <v>0</v>
      </c>
      <c r="O201" s="73" t="s">
        <v>1290</v>
      </c>
      <c r="P201" s="73" t="s">
        <v>1782</v>
      </c>
      <c r="Q201" s="73" t="s">
        <v>1782</v>
      </c>
      <c r="R201" s="73">
        <v>0</v>
      </c>
      <c r="S201" s="73">
        <v>0</v>
      </c>
      <c r="T201" s="73">
        <v>53</v>
      </c>
      <c r="U201" s="73">
        <v>6</v>
      </c>
      <c r="V201" s="73">
        <v>1980</v>
      </c>
      <c r="W201" s="73">
        <v>0</v>
      </c>
      <c r="X201" s="73">
        <v>0</v>
      </c>
      <c r="Y201" s="73">
        <v>0</v>
      </c>
      <c r="Z201" s="73" t="s">
        <v>1054</v>
      </c>
      <c r="AA201" s="73" t="s">
        <v>690</v>
      </c>
      <c r="AB201" s="73" t="str">
        <f>IF(AA201&lt;&gt;"",INDEX(Lookup!$N$2:$N$5,MATCH(Players!AA201,Lookup!$P$2:$P$5,0)),INDEX(Lookup!$N$2:$N$5,MATCH(Players!O201,Lookup!$O$2:$O$5,0)))</f>
        <v>Goalkeeper</v>
      </c>
      <c r="AC201" s="73">
        <v>4500000</v>
      </c>
      <c r="AD201" s="73" t="s">
        <v>753</v>
      </c>
      <c r="AE201" s="73" t="str">
        <f>INDEX('Translate table'!$H$2:$H$622,MATCH(Players!P201,'Translate table'!$G$2:$G$622,0))</f>
        <v>Alex Meret</v>
      </c>
      <c r="AF201" s="73">
        <f>IFERROR(INDEX('Euro Qual stats'!$A$1:$L$2071,MATCH(Players!$AE201,'Euro Qual stats'!$A$1:$A$2071,0),MATCH(Players!AF$2,'Euro Qual stats'!$A$1:$L$1,0)),0)</f>
        <v>1</v>
      </c>
      <c r="AG201" s="73">
        <f>IFERROR(INDEX('Euro Qual stats'!$A$1:$L$2071,MATCH(Players!$AE201,'Euro Qual stats'!$A$1:$A$2071,0),MATCH(Players!AG$2,'Euro Qual stats'!$A$1:$L$1,0)),0)</f>
        <v>0</v>
      </c>
      <c r="AH201" s="73">
        <f>IFERROR(INDEX('Euro Qual stats'!$A$1:$L$2071,MATCH(Players!$AE201,'Euro Qual stats'!$A$1:$A$2071,0),MATCH(Players!AH$2,'Euro Qual stats'!$A$1:$L$1,0)),0)</f>
        <v>0</v>
      </c>
      <c r="AI201" s="73">
        <f>IFERROR(INDEX('Euro Qual stats'!$A$1:$L$2071,MATCH(Players!$AE201,'Euro Qual stats'!$A$1:$A$2071,0),MATCH(Players!AI$2,'Euro Qual stats'!$A$1:$L$1,0)),0)</f>
        <v>0</v>
      </c>
      <c r="AJ201" s="93">
        <f>(12-AF201)/12*INDEX(BV$9:BV$12,MATCH($AB201,$BU$9:$BU$12,0))+AF201/12*AG201</f>
        <v>0</v>
      </c>
      <c r="AK201" s="93">
        <f>(12-AG201)/12*INDEX(BW$9:BW$12,MATCH($AB201,$BU$9:$BU$12,0))+AG201/12*AH201</f>
        <v>0</v>
      </c>
      <c r="AL201" s="93">
        <f>(12-AH201)/12*INDEX(BX$9:BX$12,MATCH($AB201,$BU$9:$BU$12,0))+AH201/12*AI201</f>
        <v>0</v>
      </c>
      <c r="AM201" s="93">
        <f>IF($BC201=1,AJ201/SUMIFS(AJ$3:AJ$623,$BC$3:$BC$623,1,$G$3:$G$623,$G201),0)</f>
        <v>0</v>
      </c>
      <c r="AN201" s="93">
        <f>IF($BC201=1,AK201/SUMIFS(AK$3:AK$623,$BC$3:$BC$623,1,$G$3:$G$623,$G201),0)</f>
        <v>0</v>
      </c>
      <c r="AO201" s="93">
        <f>IF($BC201=1,AL201/SUMIFS(AL$3:AL$623,$BC$3:$BC$623,1,$G$3:$G$623,$G201),0)</f>
        <v>0</v>
      </c>
      <c r="AP201" s="2">
        <f>IFERROR(R201/$V201*90,"")</f>
        <v>0</v>
      </c>
      <c r="AQ201" s="2">
        <f>IFERROR(S201/$V201*90,"")</f>
        <v>0</v>
      </c>
      <c r="AR201" s="2">
        <f>IFERROR(W201/$V201*90,"")</f>
        <v>0</v>
      </c>
      <c r="AS201" s="2">
        <f>IFERROR(X201/$V201*90,"")</f>
        <v>0</v>
      </c>
      <c r="AT201" s="2">
        <f>IFERROR(Y201/$V201*90,"")</f>
        <v>0</v>
      </c>
      <c r="AU201" s="2">
        <f>IF(AP201="",INDEX(BV$4:BV$7,MATCH(O201,$BU$4:$BU$7,0)),AP201)</f>
        <v>0</v>
      </c>
      <c r="AV201" s="2">
        <f>IF(AQ201="",INDEX(BW$4:BW$7,MATCH($O201,$BU$4:$BU$7,0)),AQ201)</f>
        <v>0</v>
      </c>
      <c r="AW201" s="2">
        <f t="shared" si="36"/>
        <v>0</v>
      </c>
      <c r="AX201" s="2">
        <f t="shared" si="37"/>
        <v>0</v>
      </c>
      <c r="AY201" s="2">
        <f t="shared" si="38"/>
        <v>0</v>
      </c>
      <c r="AZ201" s="2">
        <f>AU201*0.5+AK201*0.5</f>
        <v>0</v>
      </c>
      <c r="BA201" s="2">
        <f>AV201*0.5+AJ201*0.5</f>
        <v>0</v>
      </c>
      <c r="BB201" s="2">
        <f t="shared" si="39"/>
        <v>0</v>
      </c>
      <c r="BC201">
        <f>IF(I201="expected",1,0)</f>
        <v>0</v>
      </c>
      <c r="BD201" s="78">
        <f>IF(BC201=1,AZ201/SUMIFS(AZ$3:AZ$623,$BC$3:$BC$623,1,$G$3:$G$623,$G201),0)</f>
        <v>0</v>
      </c>
      <c r="BE201" s="78">
        <f>IF(BC201=1,BA201/SUMIFS(BA$3:BA$623,$BC$3:$BC$623,1,$G$3:$G$623,$G201),0)</f>
        <v>0</v>
      </c>
      <c r="BF201" s="78">
        <f t="shared" si="40"/>
        <v>0</v>
      </c>
      <c r="BG201" s="2">
        <f t="shared" si="41"/>
        <v>0</v>
      </c>
      <c r="BH201" s="2">
        <f t="shared" si="42"/>
        <v>0</v>
      </c>
      <c r="BI201" s="2">
        <f t="shared" si="43"/>
        <v>0</v>
      </c>
      <c r="BJ201" s="2">
        <f t="shared" si="44"/>
        <v>0</v>
      </c>
      <c r="BK201" s="2">
        <f t="shared" si="45"/>
        <v>0</v>
      </c>
      <c r="BL201" s="2">
        <f t="shared" si="46"/>
        <v>0</v>
      </c>
      <c r="BM201" s="2">
        <f t="shared" si="47"/>
        <v>0</v>
      </c>
      <c r="BN201" s="2">
        <f>BI201/SUMIFS(BI$3:BI$623,$BC$3:$BC$623,1,$G$3:$G$623,$G201)</f>
        <v>0</v>
      </c>
      <c r="BO201" s="2">
        <f>BJ201/SUMIFS(BJ$3:BJ$623,$BC$3:$BC$623,1,$G$3:$G$623,$G201)</f>
        <v>0</v>
      </c>
      <c r="BP201" s="2">
        <f>BK201/SUMIFS(BK$3:BK$623,$BC$3:$BC$623,1,$G$3:$G$623,$G201)</f>
        <v>0</v>
      </c>
      <c r="BQ201" s="2">
        <f>BL201</f>
        <v>0</v>
      </c>
      <c r="BR201" s="2">
        <f>BM201</f>
        <v>0</v>
      </c>
    </row>
    <row r="202" spans="1:70" hidden="1">
      <c r="A202" s="74">
        <v>0</v>
      </c>
      <c r="B202" s="73">
        <v>213393</v>
      </c>
      <c r="C202" s="73" t="s">
        <v>1783</v>
      </c>
      <c r="D202" s="73" t="s">
        <v>1784</v>
      </c>
      <c r="E202" s="73" t="s">
        <v>1785</v>
      </c>
      <c r="F202" s="73">
        <v>18658</v>
      </c>
      <c r="G202" s="73" t="s">
        <v>863</v>
      </c>
      <c r="H202" s="73" t="s">
        <v>939</v>
      </c>
      <c r="I202" s="73" t="s">
        <v>981</v>
      </c>
      <c r="J202" s="73">
        <v>0</v>
      </c>
      <c r="K202" s="73">
        <v>5.5</v>
      </c>
      <c r="L202" s="73">
        <v>0</v>
      </c>
      <c r="M202" s="73">
        <v>0</v>
      </c>
      <c r="N202" s="73">
        <v>0</v>
      </c>
      <c r="O202" s="73" t="s">
        <v>1318</v>
      </c>
      <c r="P202" s="73" t="s">
        <v>1786</v>
      </c>
      <c r="Q202" s="73" t="s">
        <v>1786</v>
      </c>
      <c r="R202" s="73">
        <v>2</v>
      </c>
      <c r="S202" s="73">
        <v>0</v>
      </c>
      <c r="T202" s="73">
        <v>0</v>
      </c>
      <c r="U202" s="73">
        <v>2</v>
      </c>
      <c r="V202" s="73">
        <v>2032</v>
      </c>
      <c r="W202" s="73">
        <v>3</v>
      </c>
      <c r="X202" s="73">
        <v>4</v>
      </c>
      <c r="Y202" s="73">
        <v>0</v>
      </c>
      <c r="Z202" s="73" t="s">
        <v>1054</v>
      </c>
      <c r="AA202" s="73" t="s">
        <v>692</v>
      </c>
      <c r="AB202" s="73" t="str">
        <f>IF(AA202&lt;&gt;"",INDEX(Lookup!$N$2:$N$5,MATCH(Players!AA202,Lookup!$P$2:$P$5,0)),INDEX(Lookup!$N$2:$N$5,MATCH(Players!O202,Lookup!$O$2:$O$5,0)))</f>
        <v>Defense</v>
      </c>
      <c r="AC202" s="73">
        <v>4000000</v>
      </c>
      <c r="AD202" s="73" t="s">
        <v>839</v>
      </c>
      <c r="AE202" s="73" t="str">
        <f>INDEX('Translate table'!$H$2:$H$622,MATCH(Players!P202,'Translate table'!$G$2:$G$622,0))</f>
        <v>Leonardo Bonucci</v>
      </c>
      <c r="AF202" s="73">
        <f>IFERROR(INDEX('Euro Qual stats'!$A$1:$L$2071,MATCH(Players!$AE202,'Euro Qual stats'!$A$1:$A$2071,0),MATCH(Players!AF$2,'Euro Qual stats'!$A$1:$L$1,0)),0)</f>
        <v>10</v>
      </c>
      <c r="AG202" s="73">
        <f>IFERROR(INDEX('Euro Qual stats'!$A$1:$L$2071,MATCH(Players!$AE202,'Euro Qual stats'!$A$1:$A$2071,0),MATCH(Players!AG$2,'Euro Qual stats'!$A$1:$L$1,0)),0)</f>
        <v>0.35</v>
      </c>
      <c r="AH202" s="73">
        <f>IFERROR(INDEX('Euro Qual stats'!$A$1:$L$2071,MATCH(Players!$AE202,'Euro Qual stats'!$A$1:$A$2071,0),MATCH(Players!AH$2,'Euro Qual stats'!$A$1:$L$1,0)),0)</f>
        <v>0.12</v>
      </c>
      <c r="AI202" s="73">
        <f>IFERROR(INDEX('Euro Qual stats'!$A$1:$L$2071,MATCH(Players!$AE202,'Euro Qual stats'!$A$1:$A$2071,0),MATCH(Players!AI$2,'Euro Qual stats'!$A$1:$L$1,0)),0)</f>
        <v>0.12</v>
      </c>
      <c r="AJ202" s="93">
        <f>(12-AF202)/12*INDEX(BV$9:BV$12,MATCH($AB202,$BU$9:$BU$12,0))+AF202/12*AG202</f>
        <v>0.30652930402930406</v>
      </c>
      <c r="AK202" s="93">
        <f>(12-AG202)/12*INDEX(BW$9:BW$12,MATCH($AB202,$BU$9:$BU$12,0))+AG202/12*AH202</f>
        <v>0.10405059523809525</v>
      </c>
      <c r="AL202" s="93">
        <f>(12-AH202)/12*INDEX(BX$9:BX$12,MATCH($AB202,$BU$9:$BU$12,0))+AH202/12*AI202</f>
        <v>0.19283571428571422</v>
      </c>
      <c r="AM202" s="93">
        <f>IF($BC202=1,AJ202/SUMIFS(AJ$3:AJ$623,$BC$3:$BC$623,1,$G$3:$G$623,$G202),0)</f>
        <v>0.15067811428513239</v>
      </c>
      <c r="AN202" s="93">
        <f>IF($BC202=1,AK202/SUMIFS(AK$3:AK$623,$BC$3:$BC$623,1,$G$3:$G$623,$G202),0)</f>
        <v>4.342502822676813E-2</v>
      </c>
      <c r="AO202" s="93">
        <f>IF($BC202=1,AL202/SUMIFS(AL$3:AL$623,$BC$3:$BC$623,1,$G$3:$G$623,$G202),0)</f>
        <v>9.4977753671391579E-2</v>
      </c>
      <c r="AP202" s="2">
        <f>IFERROR(R202/$V202*90,"")</f>
        <v>8.8582677165354326E-2</v>
      </c>
      <c r="AQ202" s="2">
        <f>IFERROR(S202/$V202*90,"")</f>
        <v>0</v>
      </c>
      <c r="AR202" s="2">
        <f>IFERROR(W202/$V202*90,"")</f>
        <v>0.13287401574803148</v>
      </c>
      <c r="AS202" s="2">
        <f>IFERROR(X202/$V202*90,"")</f>
        <v>0.17716535433070865</v>
      </c>
      <c r="AT202" s="2">
        <f>IFERROR(Y202/$V202*90,"")</f>
        <v>0</v>
      </c>
      <c r="AU202" s="2">
        <f>IF(AP202="",INDEX(BV$4:BV$7,MATCH(O202,$BU$4:$BU$7,0)),AP202)</f>
        <v>8.8582677165354326E-2</v>
      </c>
      <c r="AV202" s="2">
        <f>IF(AQ202="",INDEX(BW$4:BW$7,MATCH($O202,$BU$4:$BU$7,0)),AQ202)</f>
        <v>0</v>
      </c>
      <c r="AW202" s="2">
        <f t="shared" si="36"/>
        <v>0.13287401574803148</v>
      </c>
      <c r="AX202" s="2">
        <f t="shared" si="37"/>
        <v>0.17716535433070865</v>
      </c>
      <c r="AY202" s="2">
        <f t="shared" si="38"/>
        <v>0</v>
      </c>
      <c r="AZ202" s="2">
        <f>AU202*0.5+AK202*0.5</f>
        <v>9.6316636201724787E-2</v>
      </c>
      <c r="BA202" s="2">
        <f>AV202*0.5+AJ202*0.5</f>
        <v>0.15326465201465203</v>
      </c>
      <c r="BB202" s="2">
        <f t="shared" si="39"/>
        <v>0.14858267716535434</v>
      </c>
      <c r="BC202">
        <f>IF(I202="expected",1,0)</f>
        <v>1</v>
      </c>
      <c r="BD202" s="78">
        <f>IF(BC202=1,AZ202/SUMIFS(AZ$3:AZ$623,$BC$3:$BC$623,1,$G$3:$G$623,$G202),0)</f>
        <v>4.1482733479316518E-2</v>
      </c>
      <c r="BE202" s="78">
        <f>IF(BC202=1,BA202/SUMIFS(BA$3:BA$623,$BC$3:$BC$623,1,$G$3:$G$623,$G202),0)</f>
        <v>8.9826228204779632E-2</v>
      </c>
      <c r="BF202" s="78">
        <f t="shared" si="40"/>
        <v>2.2674093645752857E-2</v>
      </c>
      <c r="BG202" s="2">
        <f t="shared" si="41"/>
        <v>0.14858267716535434</v>
      </c>
      <c r="BH202" s="2">
        <f t="shared" si="42"/>
        <v>0</v>
      </c>
      <c r="BI202" s="2">
        <f t="shared" si="43"/>
        <v>4.1482733479316518E-2</v>
      </c>
      <c r="BJ202" s="2">
        <f t="shared" si="44"/>
        <v>8.9826228204779632E-2</v>
      </c>
      <c r="BK202" s="2">
        <f t="shared" si="45"/>
        <v>2.2674093645752857E-2</v>
      </c>
      <c r="BL202" s="2">
        <f t="shared" si="46"/>
        <v>0.14858267716535434</v>
      </c>
      <c r="BM202" s="2">
        <f t="shared" si="47"/>
        <v>0</v>
      </c>
      <c r="BN202" s="2">
        <f>BI202/SUMIFS(BI$3:BI$623,$BC$3:$BC$623,1,$G$3:$G$623,$G202)</f>
        <v>4.1482733479316518E-2</v>
      </c>
      <c r="BO202" s="2">
        <f>BJ202/SUMIFS(BJ$3:BJ$623,$BC$3:$BC$623,1,$G$3:$G$623,$G202)</f>
        <v>8.9826228204779632E-2</v>
      </c>
      <c r="BP202" s="2">
        <f>BK202/SUMIFS(BK$3:BK$623,$BC$3:$BC$623,1,$G$3:$G$623,$G202)</f>
        <v>2.2674093645752857E-2</v>
      </c>
      <c r="BQ202" s="2">
        <f>BL202</f>
        <v>0.14858267716535434</v>
      </c>
      <c r="BR202" s="2">
        <f>BM202</f>
        <v>0</v>
      </c>
    </row>
    <row r="203" spans="1:70" hidden="1">
      <c r="A203" s="74">
        <v>0</v>
      </c>
      <c r="B203" s="73">
        <v>213392</v>
      </c>
      <c r="C203" s="73" t="s">
        <v>1787</v>
      </c>
      <c r="D203" s="73" t="s">
        <v>1788</v>
      </c>
      <c r="E203" s="73" t="s">
        <v>1789</v>
      </c>
      <c r="F203" s="73">
        <v>18658</v>
      </c>
      <c r="G203" s="73" t="s">
        <v>863</v>
      </c>
      <c r="H203" s="73" t="s">
        <v>939</v>
      </c>
      <c r="I203" s="73" t="s">
        <v>1012</v>
      </c>
      <c r="J203" s="73">
        <v>0</v>
      </c>
      <c r="K203" s="73">
        <v>5.5</v>
      </c>
      <c r="L203" s="73">
        <v>0</v>
      </c>
      <c r="M203" s="73">
        <v>0</v>
      </c>
      <c r="N203" s="73">
        <v>0</v>
      </c>
      <c r="O203" s="73" t="s">
        <v>1318</v>
      </c>
      <c r="P203" s="73" t="s">
        <v>1790</v>
      </c>
      <c r="Q203" s="73" t="s">
        <v>1790</v>
      </c>
      <c r="R203" s="73">
        <v>0</v>
      </c>
      <c r="S203" s="73">
        <v>1</v>
      </c>
      <c r="T203" s="73">
        <v>0</v>
      </c>
      <c r="U203" s="73">
        <v>3</v>
      </c>
      <c r="V203" s="73">
        <v>1387</v>
      </c>
      <c r="W203" s="73">
        <v>0</v>
      </c>
      <c r="X203" s="73">
        <v>4</v>
      </c>
      <c r="Y203" s="73">
        <v>0</v>
      </c>
      <c r="Z203" s="73" t="s">
        <v>1054</v>
      </c>
      <c r="AA203" s="73" t="s">
        <v>692</v>
      </c>
      <c r="AB203" s="73" t="str">
        <f>IF(AA203&lt;&gt;"",INDEX(Lookup!$N$2:$N$5,MATCH(Players!AA203,Lookup!$P$2:$P$5,0)),INDEX(Lookup!$N$2:$N$5,MATCH(Players!O203,Lookup!$O$2:$O$5,0)))</f>
        <v>Defense</v>
      </c>
      <c r="AC203" s="73">
        <v>4500000</v>
      </c>
      <c r="AD203" s="73" t="s">
        <v>806</v>
      </c>
      <c r="AE203" s="73" t="str">
        <f>INDEX('Translate table'!$H$2:$H$622,MATCH(Players!P203,'Translate table'!$G$2:$G$622,0))</f>
        <v>Giorgio Chiellini</v>
      </c>
      <c r="AF203" s="73">
        <f>IFERROR(INDEX('Euro Qual stats'!$A$1:$L$2071,MATCH(Players!$AE203,'Euro Qual stats'!$A$1:$A$2071,0),MATCH(Players!AF$2,'Euro Qual stats'!$A$1:$L$1,0)),0)</f>
        <v>3</v>
      </c>
      <c r="AG203" s="73">
        <f>IFERROR(INDEX('Euro Qual stats'!$A$1:$L$2071,MATCH(Players!$AE203,'Euro Qual stats'!$A$1:$A$2071,0),MATCH(Players!AG$2,'Euro Qual stats'!$A$1:$L$1,0)),0)</f>
        <v>0</v>
      </c>
      <c r="AH203" s="73">
        <f>IFERROR(INDEX('Euro Qual stats'!$A$1:$L$2071,MATCH(Players!$AE203,'Euro Qual stats'!$A$1:$A$2071,0),MATCH(Players!AH$2,'Euro Qual stats'!$A$1:$L$1,0)),0)</f>
        <v>0</v>
      </c>
      <c r="AI203" s="73">
        <f>IFERROR(INDEX('Euro Qual stats'!$A$1:$L$2071,MATCH(Players!$AE203,'Euro Qual stats'!$A$1:$A$2071,0),MATCH(Players!AI$2,'Euro Qual stats'!$A$1:$L$1,0)),0)</f>
        <v>0</v>
      </c>
      <c r="AJ203" s="93">
        <f>(12-AF203)/12*INDEX(BV$9:BV$12,MATCH($AB203,$BU$9:$BU$12,0))+AF203/12*AG203</f>
        <v>6.6881868131868152E-2</v>
      </c>
      <c r="AK203" s="93">
        <f>(12-AG203)/12*INDEX(BW$9:BW$12,MATCH($AB203,$BU$9:$BU$12,0))+AG203/12*AH203</f>
        <v>0.10357142857142858</v>
      </c>
      <c r="AL203" s="93">
        <f>(12-AH203)/12*INDEX(BX$9:BX$12,MATCH($AB203,$BU$9:$BU$12,0))+AH203/12*AI203</f>
        <v>0.19357142857142848</v>
      </c>
      <c r="AM203" s="93">
        <f>IF($BC203=1,AJ203/SUMIFS(AJ$3:AJ$623,$BC$3:$BC$623,1,$G$3:$G$623,$G203),0)</f>
        <v>0</v>
      </c>
      <c r="AN203" s="93">
        <f>IF($BC203=1,AK203/SUMIFS(AK$3:AK$623,$BC$3:$BC$623,1,$G$3:$G$623,$G203),0)</f>
        <v>0</v>
      </c>
      <c r="AO203" s="93">
        <f>IF($BC203=1,AL203/SUMIFS(AL$3:AL$623,$BC$3:$BC$623,1,$G$3:$G$623,$G203),0)</f>
        <v>0</v>
      </c>
      <c r="AP203" s="2">
        <f>IFERROR(R203/$V203*90,"")</f>
        <v>0</v>
      </c>
      <c r="AQ203" s="2">
        <f>IFERROR(S203/$V203*90,"")</f>
        <v>6.4888248017303529E-2</v>
      </c>
      <c r="AR203" s="2">
        <f>IFERROR(W203/$V203*90,"")</f>
        <v>0</v>
      </c>
      <c r="AS203" s="2">
        <f>IFERROR(X203/$V203*90,"")</f>
        <v>0.25955299206921412</v>
      </c>
      <c r="AT203" s="2">
        <f>IFERROR(Y203/$V203*90,"")</f>
        <v>0</v>
      </c>
      <c r="AU203" s="2">
        <f>IF(AP203="",INDEX(BV$4:BV$7,MATCH(O203,$BU$4:$BU$7,0)),AP203)</f>
        <v>0</v>
      </c>
      <c r="AV203" s="2">
        <f>IF(AQ203="",INDEX(BW$4:BW$7,MATCH($O203,$BU$4:$BU$7,0)),AQ203)</f>
        <v>6.4888248017303529E-2</v>
      </c>
      <c r="AW203" s="2">
        <f t="shared" si="36"/>
        <v>0</v>
      </c>
      <c r="AX203" s="2">
        <f t="shared" si="37"/>
        <v>0.25955299206921412</v>
      </c>
      <c r="AY203" s="2">
        <f t="shared" si="38"/>
        <v>0</v>
      </c>
      <c r="AZ203" s="2">
        <f>AU203*0.5+AK203*0.5</f>
        <v>5.1785714285714289E-2</v>
      </c>
      <c r="BA203" s="2">
        <f>AV203*0.5+AJ203*0.5</f>
        <v>6.5885058074585834E-2</v>
      </c>
      <c r="BB203" s="2">
        <f t="shared" si="39"/>
        <v>0.12977649603460706</v>
      </c>
      <c r="BC203">
        <f>IF(I203="expected",1,0)</f>
        <v>0</v>
      </c>
      <c r="BD203" s="78">
        <f>IF(BC203=1,AZ203/SUMIFS(AZ$3:AZ$623,$BC$3:$BC$623,1,$G$3:$G$623,$G203),0)</f>
        <v>0</v>
      </c>
      <c r="BE203" s="78">
        <f>IF(BC203=1,BA203/SUMIFS(BA$3:BA$623,$BC$3:$BC$623,1,$G$3:$G$623,$G203),0)</f>
        <v>0</v>
      </c>
      <c r="BF203" s="78">
        <f t="shared" si="40"/>
        <v>0</v>
      </c>
      <c r="BG203" s="2">
        <f t="shared" si="41"/>
        <v>0.12977649603460706</v>
      </c>
      <c r="BH203" s="2">
        <f t="shared" si="42"/>
        <v>0</v>
      </c>
      <c r="BI203" s="2">
        <f t="shared" si="43"/>
        <v>0</v>
      </c>
      <c r="BJ203" s="2">
        <f t="shared" si="44"/>
        <v>0</v>
      </c>
      <c r="BK203" s="2">
        <f t="shared" si="45"/>
        <v>0</v>
      </c>
      <c r="BL203" s="2">
        <f t="shared" si="46"/>
        <v>0.12977649603460706</v>
      </c>
      <c r="BM203" s="2">
        <f t="shared" si="47"/>
        <v>0</v>
      </c>
      <c r="BN203" s="2">
        <f>BI203/SUMIFS(BI$3:BI$623,$BC$3:$BC$623,1,$G$3:$G$623,$G203)</f>
        <v>0</v>
      </c>
      <c r="BO203" s="2">
        <f>BJ203/SUMIFS(BJ$3:BJ$623,$BC$3:$BC$623,1,$G$3:$G$623,$G203)</f>
        <v>0</v>
      </c>
      <c r="BP203" s="2">
        <f>BK203/SUMIFS(BK$3:BK$623,$BC$3:$BC$623,1,$G$3:$G$623,$G203)</f>
        <v>0</v>
      </c>
      <c r="BQ203" s="2">
        <f>BL203</f>
        <v>0.12977649603460706</v>
      </c>
      <c r="BR203" s="2">
        <f>BM203</f>
        <v>0</v>
      </c>
    </row>
    <row r="204" spans="1:70" hidden="1">
      <c r="A204" s="74">
        <v>0</v>
      </c>
      <c r="B204" s="73">
        <v>213388</v>
      </c>
      <c r="C204" s="73" t="s">
        <v>1791</v>
      </c>
      <c r="D204" s="73" t="s">
        <v>1784</v>
      </c>
      <c r="E204" s="73" t="s">
        <v>1792</v>
      </c>
      <c r="F204" s="73">
        <v>18658</v>
      </c>
      <c r="G204" s="73" t="s">
        <v>863</v>
      </c>
      <c r="H204" s="73" t="s">
        <v>939</v>
      </c>
      <c r="I204" s="73" t="s">
        <v>981</v>
      </c>
      <c r="J204" s="73">
        <v>0</v>
      </c>
      <c r="K204" s="73">
        <v>5.5</v>
      </c>
      <c r="L204" s="73">
        <v>0</v>
      </c>
      <c r="M204" s="73">
        <v>0</v>
      </c>
      <c r="N204" s="73">
        <v>0</v>
      </c>
      <c r="O204" s="73" t="s">
        <v>1318</v>
      </c>
      <c r="P204" s="73" t="s">
        <v>1793</v>
      </c>
      <c r="Q204" s="73" t="s">
        <v>1793</v>
      </c>
      <c r="R204" s="73">
        <v>2</v>
      </c>
      <c r="S204" s="73">
        <v>4</v>
      </c>
      <c r="T204" s="73">
        <v>0</v>
      </c>
      <c r="U204" s="73">
        <v>5</v>
      </c>
      <c r="V204" s="73">
        <v>2130</v>
      </c>
      <c r="W204" s="73">
        <v>6</v>
      </c>
      <c r="X204" s="73">
        <v>0</v>
      </c>
      <c r="Y204" s="73">
        <v>0</v>
      </c>
      <c r="Z204" s="73" t="s">
        <v>1054</v>
      </c>
      <c r="AA204" s="73" t="s">
        <v>692</v>
      </c>
      <c r="AB204" s="73" t="str">
        <f>IF(AA204&lt;&gt;"",INDEX(Lookup!$N$2:$N$5,MATCH(Players!AA204,Lookup!$P$2:$P$5,0)),INDEX(Lookup!$N$2:$N$5,MATCH(Players!O204,Lookup!$O$2:$O$5,0)))</f>
        <v>Defense</v>
      </c>
      <c r="AC204" s="73">
        <v>3500000</v>
      </c>
      <c r="AD204" s="73" t="s">
        <v>825</v>
      </c>
      <c r="AE204" s="73" t="str">
        <f>INDEX('Translate table'!$H$2:$H$622,MATCH(Players!P204,'Translate table'!$G$2:$G$622,0))</f>
        <v>Leonardo Spinazzola</v>
      </c>
      <c r="AF204" s="73">
        <f>IFERROR(INDEX('Euro Qual stats'!$A$1:$L$2071,MATCH(Players!$AE204,'Euro Qual stats'!$A$1:$A$2071,0),MATCH(Players!AF$2,'Euro Qual stats'!$A$1:$L$1,0)),0)</f>
        <v>3</v>
      </c>
      <c r="AG204" s="73">
        <f>IFERROR(INDEX('Euro Qual stats'!$A$1:$L$2071,MATCH(Players!$AE204,'Euro Qual stats'!$A$1:$A$2071,0),MATCH(Players!AG$2,'Euro Qual stats'!$A$1:$L$1,0)),0)</f>
        <v>0.5</v>
      </c>
      <c r="AH204" s="73">
        <f>IFERROR(INDEX('Euro Qual stats'!$A$1:$L$2071,MATCH(Players!$AE204,'Euro Qual stats'!$A$1:$A$2071,0),MATCH(Players!AH$2,'Euro Qual stats'!$A$1:$L$1,0)),0)</f>
        <v>0</v>
      </c>
      <c r="AI204" s="73">
        <f>IFERROR(INDEX('Euro Qual stats'!$A$1:$L$2071,MATCH(Players!$AE204,'Euro Qual stats'!$A$1:$A$2071,0),MATCH(Players!AI$2,'Euro Qual stats'!$A$1:$L$1,0)),0)</f>
        <v>0</v>
      </c>
      <c r="AJ204" s="93">
        <f>(12-AF204)/12*INDEX(BV$9:BV$12,MATCH($AB204,$BU$9:$BU$12,0))+AF204/12*AG204</f>
        <v>0.19188186813186814</v>
      </c>
      <c r="AK204" s="93">
        <f>(12-AG204)/12*INDEX(BW$9:BW$12,MATCH($AB204,$BU$9:$BU$12,0))+AG204/12*AH204</f>
        <v>9.9255952380952389E-2</v>
      </c>
      <c r="AL204" s="93">
        <f>(12-AH204)/12*INDEX(BX$9:BX$12,MATCH($AB204,$BU$9:$BU$12,0))+AH204/12*AI204</f>
        <v>0.19357142857142848</v>
      </c>
      <c r="AM204" s="93">
        <f>IF($BC204=1,AJ204/SUMIFS(AJ$3:AJ$623,$BC$3:$BC$623,1,$G$3:$G$623,$G204),0)</f>
        <v>9.4321807656126466E-2</v>
      </c>
      <c r="AN204" s="93">
        <f>IF($BC204=1,AK204/SUMIFS(AK$3:AK$623,$BC$3:$BC$623,1,$G$3:$G$623,$G204),0)</f>
        <v>4.1424006503324194E-2</v>
      </c>
      <c r="AO204" s="93">
        <f>IF($BC204=1,AL204/SUMIFS(AL$3:AL$623,$BC$3:$BC$623,1,$G$3:$G$623,$G204),0)</f>
        <v>9.5340116475708836E-2</v>
      </c>
      <c r="AP204" s="2">
        <f>IFERROR(R204/$V204*90,"")</f>
        <v>8.4507042253521125E-2</v>
      </c>
      <c r="AQ204" s="2">
        <f>IFERROR(S204/$V204*90,"")</f>
        <v>0.16901408450704225</v>
      </c>
      <c r="AR204" s="2">
        <f>IFERROR(W204/$V204*90,"")</f>
        <v>0.25352112676056338</v>
      </c>
      <c r="AS204" s="2">
        <f>IFERROR(X204/$V204*90,"")</f>
        <v>0</v>
      </c>
      <c r="AT204" s="2">
        <f>IFERROR(Y204/$V204*90,"")</f>
        <v>0</v>
      </c>
      <c r="AU204" s="2">
        <f>IF(AP204="",INDEX(BV$4:BV$7,MATCH(O204,$BU$4:$BU$7,0)),AP204)</f>
        <v>8.4507042253521125E-2</v>
      </c>
      <c r="AV204" s="2">
        <f>IF(AQ204="",INDEX(BW$4:BW$7,MATCH($O204,$BU$4:$BU$7,0)),AQ204)</f>
        <v>0.16901408450704225</v>
      </c>
      <c r="AW204" s="2">
        <f t="shared" si="36"/>
        <v>0.25352112676056338</v>
      </c>
      <c r="AX204" s="2">
        <f t="shared" si="37"/>
        <v>0</v>
      </c>
      <c r="AY204" s="2">
        <f t="shared" si="38"/>
        <v>0</v>
      </c>
      <c r="AZ204" s="2">
        <f>AU204*0.5+AK204*0.5</f>
        <v>9.1881497317236757E-2</v>
      </c>
      <c r="BA204" s="2">
        <f>AV204*0.5+AJ204*0.5</f>
        <v>0.18044797631945519</v>
      </c>
      <c r="BB204" s="2">
        <f t="shared" si="39"/>
        <v>0</v>
      </c>
      <c r="BC204">
        <f>IF(I204="expected",1,0)</f>
        <v>1</v>
      </c>
      <c r="BD204" s="78">
        <f>IF(BC204=1,AZ204/SUMIFS(AZ$3:AZ$623,$BC$3:$BC$623,1,$G$3:$G$623,$G204),0)</f>
        <v>3.9572557921444665E-2</v>
      </c>
      <c r="BE204" s="78">
        <f>IF(BC204=1,BA204/SUMIFS(BA$3:BA$623,$BC$3:$BC$623,1,$G$3:$G$623,$G204),0)</f>
        <v>0.10575798716074783</v>
      </c>
      <c r="BF204" s="78">
        <f t="shared" si="40"/>
        <v>4.3261744871520944E-2</v>
      </c>
      <c r="BG204" s="2">
        <f t="shared" si="41"/>
        <v>0</v>
      </c>
      <c r="BH204" s="2">
        <f t="shared" si="42"/>
        <v>0</v>
      </c>
      <c r="BI204" s="2">
        <f t="shared" si="43"/>
        <v>3.9572557921444665E-2</v>
      </c>
      <c r="BJ204" s="2">
        <f t="shared" si="44"/>
        <v>0.10575798716074783</v>
      </c>
      <c r="BK204" s="2">
        <f t="shared" si="45"/>
        <v>4.3261744871520944E-2</v>
      </c>
      <c r="BL204" s="2">
        <f t="shared" si="46"/>
        <v>0</v>
      </c>
      <c r="BM204" s="2">
        <f t="shared" si="47"/>
        <v>0</v>
      </c>
      <c r="BN204" s="2">
        <f>BI204/SUMIFS(BI$3:BI$623,$BC$3:$BC$623,1,$G$3:$G$623,$G204)</f>
        <v>3.9572557921444665E-2</v>
      </c>
      <c r="BO204" s="2">
        <f>BJ204/SUMIFS(BJ$3:BJ$623,$BC$3:$BC$623,1,$G$3:$G$623,$G204)</f>
        <v>0.10575798716074783</v>
      </c>
      <c r="BP204" s="2">
        <f>BK204/SUMIFS(BK$3:BK$623,$BC$3:$BC$623,1,$G$3:$G$623,$G204)</f>
        <v>4.3261744871520944E-2</v>
      </c>
      <c r="BQ204" s="2">
        <f>BL204</f>
        <v>0</v>
      </c>
      <c r="BR204" s="2">
        <f>BM204</f>
        <v>0</v>
      </c>
    </row>
    <row r="205" spans="1:70" hidden="1">
      <c r="A205" s="74">
        <v>0</v>
      </c>
      <c r="B205" s="73">
        <v>205001</v>
      </c>
      <c r="C205" s="73" t="s">
        <v>1794</v>
      </c>
      <c r="D205" s="73" t="s">
        <v>1795</v>
      </c>
      <c r="E205" s="73" t="s">
        <v>1796</v>
      </c>
      <c r="F205" s="73">
        <v>18658</v>
      </c>
      <c r="G205" s="73" t="s">
        <v>863</v>
      </c>
      <c r="H205" s="73" t="s">
        <v>939</v>
      </c>
      <c r="I205" s="73" t="s">
        <v>981</v>
      </c>
      <c r="J205" s="73">
        <v>0</v>
      </c>
      <c r="K205" s="73">
        <v>5.5</v>
      </c>
      <c r="L205" s="73">
        <v>0</v>
      </c>
      <c r="M205" s="73">
        <v>0</v>
      </c>
      <c r="N205" s="73">
        <v>0</v>
      </c>
      <c r="O205" s="73" t="s">
        <v>1318</v>
      </c>
      <c r="P205" s="73" t="s">
        <v>1797</v>
      </c>
      <c r="Q205" s="73" t="s">
        <v>1797</v>
      </c>
      <c r="R205" s="73">
        <v>0</v>
      </c>
      <c r="S205" s="73">
        <v>1</v>
      </c>
      <c r="T205" s="73">
        <v>0</v>
      </c>
      <c r="U205" s="73">
        <v>10</v>
      </c>
      <c r="V205" s="73">
        <v>2815</v>
      </c>
      <c r="W205" s="73">
        <v>0</v>
      </c>
      <c r="X205" s="73">
        <v>7</v>
      </c>
      <c r="Y205" s="73">
        <v>1</v>
      </c>
      <c r="Z205" s="73" t="s">
        <v>1054</v>
      </c>
      <c r="AA205" s="73" t="s">
        <v>692</v>
      </c>
      <c r="AB205" s="73" t="str">
        <f>IF(AA205&lt;&gt;"",INDEX(Lookup!$N$2:$N$5,MATCH(Players!AA205,Lookup!$P$2:$P$5,0)),INDEX(Lookup!$N$2:$N$5,MATCH(Players!O205,Lookup!$O$2:$O$5,0)))</f>
        <v>Defense</v>
      </c>
      <c r="AC205" s="73">
        <v>3500000</v>
      </c>
      <c r="AD205" s="73" t="s">
        <v>790</v>
      </c>
      <c r="AE205" s="73" t="str">
        <f>INDEX('Translate table'!$H$2:$H$622,MATCH(Players!P205,'Translate table'!$G$2:$G$622,0))</f>
        <v>Francesco Acerbi</v>
      </c>
      <c r="AF205" s="73">
        <f>IFERROR(INDEX('Euro Qual stats'!$A$1:$L$2071,MATCH(Players!$AE205,'Euro Qual stats'!$A$1:$A$2071,0),MATCH(Players!AF$2,'Euro Qual stats'!$A$1:$L$1,0)),0)</f>
        <v>3</v>
      </c>
      <c r="AG205" s="73">
        <f>IFERROR(INDEX('Euro Qual stats'!$A$1:$L$2071,MATCH(Players!$AE205,'Euro Qual stats'!$A$1:$A$2071,0),MATCH(Players!AG$2,'Euro Qual stats'!$A$1:$L$1,0)),0)</f>
        <v>0</v>
      </c>
      <c r="AH205" s="73">
        <f>IFERROR(INDEX('Euro Qual stats'!$A$1:$L$2071,MATCH(Players!$AE205,'Euro Qual stats'!$A$1:$A$2071,0),MATCH(Players!AH$2,'Euro Qual stats'!$A$1:$L$1,0)),0)</f>
        <v>0.33</v>
      </c>
      <c r="AI205" s="73">
        <f>IFERROR(INDEX('Euro Qual stats'!$A$1:$L$2071,MATCH(Players!$AE205,'Euro Qual stats'!$A$1:$A$2071,0),MATCH(Players!AI$2,'Euro Qual stats'!$A$1:$L$1,0)),0)</f>
        <v>0</v>
      </c>
      <c r="AJ205" s="93">
        <f>(12-AF205)/12*INDEX(BV$9:BV$12,MATCH($AB205,$BU$9:$BU$12,0))+AF205/12*AG205</f>
        <v>6.6881868131868152E-2</v>
      </c>
      <c r="AK205" s="93">
        <f>(12-AG205)/12*INDEX(BW$9:BW$12,MATCH($AB205,$BU$9:$BU$12,0))+AG205/12*AH205</f>
        <v>0.10357142857142858</v>
      </c>
      <c r="AL205" s="93">
        <f>(12-AH205)/12*INDEX(BX$9:BX$12,MATCH($AB205,$BU$9:$BU$12,0))+AH205/12*AI205</f>
        <v>0.1882482142857142</v>
      </c>
      <c r="AM205" s="93">
        <f>IF($BC205=1,AJ205/SUMIFS(AJ$3:AJ$623,$BC$3:$BC$623,1,$G$3:$G$623,$G205),0)</f>
        <v>3.2876575379603402E-2</v>
      </c>
      <c r="AN205" s="93">
        <f>IF($BC205=1,AK205/SUMIFS(AK$3:AK$623,$BC$3:$BC$623,1,$G$3:$G$623,$G205),0)</f>
        <v>4.3225050264338288E-2</v>
      </c>
      <c r="AO205" s="93">
        <f>IF($BC205=1,AL205/SUMIFS(AL$3:AL$623,$BC$3:$BC$623,1,$G$3:$G$623,$G205),0)</f>
        <v>9.2718263272626847E-2</v>
      </c>
      <c r="AP205" s="2">
        <f>IFERROR(R205/$V205*90,"")</f>
        <v>0</v>
      </c>
      <c r="AQ205" s="2">
        <f>IFERROR(S205/$V205*90,"")</f>
        <v>3.1971580817051509E-2</v>
      </c>
      <c r="AR205" s="2">
        <f>IFERROR(W205/$V205*90,"")</f>
        <v>0</v>
      </c>
      <c r="AS205" s="2">
        <f>IFERROR(X205/$V205*90,"")</f>
        <v>0.22380106571936056</v>
      </c>
      <c r="AT205" s="2">
        <f>IFERROR(Y205/$V205*90,"")</f>
        <v>3.1971580817051509E-2</v>
      </c>
      <c r="AU205" s="2">
        <f>IF(AP205="",INDEX(BV$4:BV$7,MATCH(O205,$BU$4:$BU$7,0)),AP205)</f>
        <v>0</v>
      </c>
      <c r="AV205" s="2">
        <f>IF(AQ205="",INDEX(BW$4:BW$7,MATCH($O205,$BU$4:$BU$7,0)),AQ205)</f>
        <v>3.1971580817051509E-2</v>
      </c>
      <c r="AW205" s="2">
        <f t="shared" si="36"/>
        <v>0</v>
      </c>
      <c r="AX205" s="2">
        <f t="shared" si="37"/>
        <v>0.22380106571936056</v>
      </c>
      <c r="AY205" s="2">
        <f t="shared" si="38"/>
        <v>3.1971580817051509E-2</v>
      </c>
      <c r="AZ205" s="2">
        <f>AU205*0.5+AK205*0.5</f>
        <v>5.1785714285714289E-2</v>
      </c>
      <c r="BA205" s="2">
        <f>AV205*0.5+AJ205*0.5</f>
        <v>4.9426724474459831E-2</v>
      </c>
      <c r="BB205" s="2">
        <f t="shared" si="39"/>
        <v>0.11190053285968028</v>
      </c>
      <c r="BC205">
        <f>IF(I205="expected",1,0)</f>
        <v>1</v>
      </c>
      <c r="BD205" s="78">
        <f>IF(BC205=1,AZ205/SUMIFS(AZ$3:AZ$623,$BC$3:$BC$623,1,$G$3:$G$623,$G205),0)</f>
        <v>2.230365457584212E-2</v>
      </c>
      <c r="BE205" s="78">
        <f>IF(BC205=1,BA205/SUMIFS(BA$3:BA$623,$BC$3:$BC$623,1,$G$3:$G$623,$G205),0)</f>
        <v>2.8968298780550857E-2</v>
      </c>
      <c r="BF205" s="78">
        <f t="shared" si="40"/>
        <v>0</v>
      </c>
      <c r="BG205" s="2">
        <f t="shared" si="41"/>
        <v>0.11190053285968028</v>
      </c>
      <c r="BH205" s="2">
        <f t="shared" si="42"/>
        <v>3.1971580817051509E-2</v>
      </c>
      <c r="BI205" s="2">
        <f t="shared" si="43"/>
        <v>2.230365457584212E-2</v>
      </c>
      <c r="BJ205" s="2">
        <f t="shared" si="44"/>
        <v>2.8968298780550857E-2</v>
      </c>
      <c r="BK205" s="2">
        <f t="shared" si="45"/>
        <v>0</v>
      </c>
      <c r="BL205" s="2">
        <f t="shared" si="46"/>
        <v>0.11190053285968028</v>
      </c>
      <c r="BM205" s="2">
        <f t="shared" si="47"/>
        <v>3.1971580817051509E-2</v>
      </c>
      <c r="BN205" s="2">
        <f>BI205/SUMIFS(BI$3:BI$623,$BC$3:$BC$623,1,$G$3:$G$623,$G205)</f>
        <v>2.230365457584212E-2</v>
      </c>
      <c r="BO205" s="2">
        <f>BJ205/SUMIFS(BJ$3:BJ$623,$BC$3:$BC$623,1,$G$3:$G$623,$G205)</f>
        <v>2.8968298780550857E-2</v>
      </c>
      <c r="BP205" s="2">
        <f>BK205/SUMIFS(BK$3:BK$623,$BC$3:$BC$623,1,$G$3:$G$623,$G205)</f>
        <v>0</v>
      </c>
      <c r="BQ205" s="2">
        <f>BL205</f>
        <v>0.11190053285968028</v>
      </c>
      <c r="BR205" s="2">
        <f>BM205</f>
        <v>3.1971580817051509E-2</v>
      </c>
    </row>
    <row r="206" spans="1:70" hidden="1">
      <c r="A206" s="74">
        <v>0</v>
      </c>
      <c r="B206" s="73">
        <v>204517</v>
      </c>
      <c r="C206" s="73" t="s">
        <v>1798</v>
      </c>
      <c r="D206" s="73" t="s">
        <v>1799</v>
      </c>
      <c r="E206" s="73" t="s">
        <v>1800</v>
      </c>
      <c r="F206" s="73">
        <v>18658</v>
      </c>
      <c r="G206" s="73" t="s">
        <v>863</v>
      </c>
      <c r="H206" s="73" t="s">
        <v>939</v>
      </c>
      <c r="I206" s="73" t="s">
        <v>1012</v>
      </c>
      <c r="J206" s="73">
        <v>0</v>
      </c>
      <c r="K206" s="73">
        <v>5.5</v>
      </c>
      <c r="L206" s="73">
        <v>0</v>
      </c>
      <c r="M206" s="73">
        <v>0</v>
      </c>
      <c r="N206" s="73">
        <v>0</v>
      </c>
      <c r="O206" s="73" t="s">
        <v>1318</v>
      </c>
      <c r="P206" s="73" t="s">
        <v>1801</v>
      </c>
      <c r="Q206" s="73" t="s">
        <v>1801</v>
      </c>
      <c r="R206" s="73">
        <v>3</v>
      </c>
      <c r="S206" s="73">
        <v>6</v>
      </c>
      <c r="T206" s="73">
        <v>0</v>
      </c>
      <c r="U206" s="73">
        <v>12</v>
      </c>
      <c r="V206" s="73">
        <v>3240</v>
      </c>
      <c r="W206" s="73">
        <v>12</v>
      </c>
      <c r="X206" s="73">
        <v>11</v>
      </c>
      <c r="Y206" s="73">
        <v>0</v>
      </c>
      <c r="Z206" s="73" t="s">
        <v>1054</v>
      </c>
      <c r="AA206" s="73" t="s">
        <v>692</v>
      </c>
      <c r="AB206" s="73" t="str">
        <f>IF(AA206&lt;&gt;"",INDEX(Lookup!$N$2:$N$5,MATCH(Players!AA206,Lookup!$P$2:$P$5,0)),INDEX(Lookup!$N$2:$N$5,MATCH(Players!O206,Lookup!$O$2:$O$5,0)))</f>
        <v>Defense</v>
      </c>
      <c r="AC206" s="73">
        <v>2500000</v>
      </c>
      <c r="AD206" s="73" t="s">
        <v>830</v>
      </c>
      <c r="AE206" s="73" t="str">
        <f>INDEX('Translate table'!$H$2:$H$622,MATCH(Players!P206,'Translate table'!$G$2:$G$622,0))</f>
        <v>Giovanni Di Lorenzo</v>
      </c>
      <c r="AF206" s="73">
        <f>IFERROR(INDEX('Euro Qual stats'!$A$1:$L$2071,MATCH(Players!$AE206,'Euro Qual stats'!$A$1:$A$2071,0),MATCH(Players!AF$2,'Euro Qual stats'!$A$1:$L$1,0)),0)</f>
        <v>2</v>
      </c>
      <c r="AG206" s="73">
        <f>IFERROR(INDEX('Euro Qual stats'!$A$1:$L$2071,MATCH(Players!$AE206,'Euro Qual stats'!$A$1:$A$2071,0),MATCH(Players!AG$2,'Euro Qual stats'!$A$1:$L$1,0)),0)</f>
        <v>0.5</v>
      </c>
      <c r="AH206" s="73">
        <f>IFERROR(INDEX('Euro Qual stats'!$A$1:$L$2071,MATCH(Players!$AE206,'Euro Qual stats'!$A$1:$A$2071,0),MATCH(Players!AH$2,'Euro Qual stats'!$A$1:$L$1,0)),0)</f>
        <v>0</v>
      </c>
      <c r="AI206" s="73">
        <f>IFERROR(INDEX('Euro Qual stats'!$A$1:$L$2071,MATCH(Players!$AE206,'Euro Qual stats'!$A$1:$A$2071,0),MATCH(Players!AI$2,'Euro Qual stats'!$A$1:$L$1,0)),0)</f>
        <v>0</v>
      </c>
      <c r="AJ206" s="93">
        <f>(12-AF206)/12*INDEX(BV$9:BV$12,MATCH($AB206,$BU$9:$BU$12,0))+AF206/12*AG206</f>
        <v>0.15764652014652017</v>
      </c>
      <c r="AK206" s="93">
        <f>(12-AG206)/12*INDEX(BW$9:BW$12,MATCH($AB206,$BU$9:$BU$12,0))+AG206/12*AH206</f>
        <v>9.9255952380952389E-2</v>
      </c>
      <c r="AL206" s="93">
        <f>(12-AH206)/12*INDEX(BX$9:BX$12,MATCH($AB206,$BU$9:$BU$12,0))+AH206/12*AI206</f>
        <v>0.19357142857142848</v>
      </c>
      <c r="AM206" s="93">
        <f>IF($BC206=1,AJ206/SUMIFS(AJ$3:AJ$623,$BC$3:$BC$623,1,$G$3:$G$623,$G206),0)</f>
        <v>0</v>
      </c>
      <c r="AN206" s="93">
        <f>IF($BC206=1,AK206/SUMIFS(AK$3:AK$623,$BC$3:$BC$623,1,$G$3:$G$623,$G206),0)</f>
        <v>0</v>
      </c>
      <c r="AO206" s="93">
        <f>IF($BC206=1,AL206/SUMIFS(AL$3:AL$623,$BC$3:$BC$623,1,$G$3:$G$623,$G206),0)</f>
        <v>0</v>
      </c>
      <c r="AP206" s="2">
        <f>IFERROR(R206/$V206*90,"")</f>
        <v>8.3333333333333343E-2</v>
      </c>
      <c r="AQ206" s="2">
        <f>IFERROR(S206/$V206*90,"")</f>
        <v>0.16666666666666669</v>
      </c>
      <c r="AR206" s="2">
        <f>IFERROR(W206/$V206*90,"")</f>
        <v>0.33333333333333337</v>
      </c>
      <c r="AS206" s="2">
        <f>IFERROR(X206/$V206*90,"")</f>
        <v>0.30555555555555558</v>
      </c>
      <c r="AT206" s="2">
        <f>IFERROR(Y206/$V206*90,"")</f>
        <v>0</v>
      </c>
      <c r="AU206" s="2">
        <f>IF(AP206="",INDEX(BV$4:BV$7,MATCH(O206,$BU$4:$BU$7,0)),AP206)</f>
        <v>8.3333333333333343E-2</v>
      </c>
      <c r="AV206" s="2">
        <f>IF(AQ206="",INDEX(BW$4:BW$7,MATCH($O206,$BU$4:$BU$7,0)),AQ206)</f>
        <v>0.16666666666666669</v>
      </c>
      <c r="AW206" s="2">
        <f t="shared" si="36"/>
        <v>0.33333333333333337</v>
      </c>
      <c r="AX206" s="2">
        <f t="shared" si="37"/>
        <v>0.30555555555555558</v>
      </c>
      <c r="AY206" s="2">
        <f t="shared" si="38"/>
        <v>0</v>
      </c>
      <c r="AZ206" s="2">
        <f>AU206*0.5+AK206*0.5</f>
        <v>9.1294642857142866E-2</v>
      </c>
      <c r="BA206" s="2">
        <f>AV206*0.5+AJ206*0.5</f>
        <v>0.16215659340659344</v>
      </c>
      <c r="BB206" s="2">
        <f t="shared" si="39"/>
        <v>0.15277777777777779</v>
      </c>
      <c r="BC206">
        <f>IF(I206="expected",1,0)</f>
        <v>0</v>
      </c>
      <c r="BD206" s="78">
        <f>IF(BC206=1,AZ206/SUMIFS(AZ$3:AZ$623,$BC$3:$BC$623,1,$G$3:$G$623,$G206),0)</f>
        <v>0</v>
      </c>
      <c r="BE206" s="78">
        <f>IF(BC206=1,BA206/SUMIFS(BA$3:BA$623,$BC$3:$BC$623,1,$G$3:$G$623,$G206),0)</f>
        <v>0</v>
      </c>
      <c r="BF206" s="78">
        <f t="shared" si="40"/>
        <v>0</v>
      </c>
      <c r="BG206" s="2">
        <f t="shared" si="41"/>
        <v>0.15277777777777779</v>
      </c>
      <c r="BH206" s="2">
        <f t="shared" si="42"/>
        <v>0</v>
      </c>
      <c r="BI206" s="2">
        <f t="shared" si="43"/>
        <v>0</v>
      </c>
      <c r="BJ206" s="2">
        <f t="shared" si="44"/>
        <v>0</v>
      </c>
      <c r="BK206" s="2">
        <f t="shared" si="45"/>
        <v>0</v>
      </c>
      <c r="BL206" s="2">
        <f t="shared" si="46"/>
        <v>0.15277777777777779</v>
      </c>
      <c r="BM206" s="2">
        <f t="shared" si="47"/>
        <v>0</v>
      </c>
      <c r="BN206" s="2">
        <f>BI206/SUMIFS(BI$3:BI$623,$BC$3:$BC$623,1,$G$3:$G$623,$G206)</f>
        <v>0</v>
      </c>
      <c r="BO206" s="2">
        <f>BJ206/SUMIFS(BJ$3:BJ$623,$BC$3:$BC$623,1,$G$3:$G$623,$G206)</f>
        <v>0</v>
      </c>
      <c r="BP206" s="2">
        <f>BK206/SUMIFS(BK$3:BK$623,$BC$3:$BC$623,1,$G$3:$G$623,$G206)</f>
        <v>0</v>
      </c>
      <c r="BQ206" s="2">
        <f>BL206</f>
        <v>0.15277777777777779</v>
      </c>
      <c r="BR206" s="2">
        <f>BM206</f>
        <v>0</v>
      </c>
    </row>
    <row r="207" spans="1:70" hidden="1">
      <c r="A207" s="74">
        <v>0</v>
      </c>
      <c r="B207" s="73">
        <v>204511</v>
      </c>
      <c r="C207" s="73" t="s">
        <v>1802</v>
      </c>
      <c r="D207" s="73" t="s">
        <v>1356</v>
      </c>
      <c r="E207" s="73" t="s">
        <v>1803</v>
      </c>
      <c r="F207" s="73">
        <v>18658</v>
      </c>
      <c r="G207" s="73" t="s">
        <v>863</v>
      </c>
      <c r="H207" s="73" t="s">
        <v>939</v>
      </c>
      <c r="I207" s="73" t="s">
        <v>1012</v>
      </c>
      <c r="J207" s="73">
        <v>0</v>
      </c>
      <c r="K207" s="73">
        <v>5.5</v>
      </c>
      <c r="L207" s="73">
        <v>0</v>
      </c>
      <c r="M207" s="73">
        <v>0</v>
      </c>
      <c r="N207" s="73">
        <v>0</v>
      </c>
      <c r="O207" s="73" t="s">
        <v>1318</v>
      </c>
      <c r="P207" s="73" t="s">
        <v>1804</v>
      </c>
      <c r="Q207" s="73" t="s">
        <v>1804</v>
      </c>
      <c r="R207" s="73">
        <v>0</v>
      </c>
      <c r="S207" s="73">
        <v>3</v>
      </c>
      <c r="T207" s="73">
        <v>0</v>
      </c>
      <c r="U207" s="73">
        <v>14</v>
      </c>
      <c r="V207" s="73">
        <v>2926</v>
      </c>
      <c r="W207" s="73">
        <v>1</v>
      </c>
      <c r="X207" s="73">
        <v>6</v>
      </c>
      <c r="Y207" s="73">
        <v>0</v>
      </c>
      <c r="Z207" s="73" t="s">
        <v>1054</v>
      </c>
      <c r="AA207" s="73" t="s">
        <v>692</v>
      </c>
      <c r="AB207" s="73" t="str">
        <f>IF(AA207&lt;&gt;"",INDEX(Lookup!$N$2:$N$5,MATCH(Players!AA207,Lookup!$P$2:$P$5,0)),INDEX(Lookup!$N$2:$N$5,MATCH(Players!O207,Lookup!$O$2:$O$5,0)))</f>
        <v>Defense</v>
      </c>
      <c r="AC207" s="73">
        <v>3500000</v>
      </c>
      <c r="AD207" s="73" t="s">
        <v>794</v>
      </c>
      <c r="AE207" s="73" t="str">
        <f>INDEX('Translate table'!$H$2:$H$622,MATCH(Players!P207,'Translate table'!$G$2:$G$622,0))</f>
        <v>Alessandro Golinucci</v>
      </c>
      <c r="AF207" s="73">
        <f>IFERROR(INDEX('Euro Qual stats'!$A$1:$L$2071,MATCH(Players!$AE207,'Euro Qual stats'!$A$1:$A$2071,0),MATCH(Players!AF$2,'Euro Qual stats'!$A$1:$L$1,0)),0)</f>
        <v>7</v>
      </c>
      <c r="AG207" s="73">
        <f>IFERROR(INDEX('Euro Qual stats'!$A$1:$L$2071,MATCH(Players!$AE207,'Euro Qual stats'!$A$1:$A$2071,0),MATCH(Players!AG$2,'Euro Qual stats'!$A$1:$L$1,0)),0)</f>
        <v>0</v>
      </c>
      <c r="AH207" s="73">
        <f>IFERROR(INDEX('Euro Qual stats'!$A$1:$L$2071,MATCH(Players!$AE207,'Euro Qual stats'!$A$1:$A$2071,0),MATCH(Players!AH$2,'Euro Qual stats'!$A$1:$L$1,0)),0)</f>
        <v>0</v>
      </c>
      <c r="AI207" s="73">
        <f>IFERROR(INDEX('Euro Qual stats'!$A$1:$L$2071,MATCH(Players!$AE207,'Euro Qual stats'!$A$1:$A$2071,0),MATCH(Players!AI$2,'Euro Qual stats'!$A$1:$L$1,0)),0)</f>
        <v>0.19</v>
      </c>
      <c r="AJ207" s="93">
        <f>(12-AF207)/12*INDEX(BV$9:BV$12,MATCH($AB207,$BU$9:$BU$12,0))+AF207/12*AG207</f>
        <v>3.715659340659342E-2</v>
      </c>
      <c r="AK207" s="93">
        <f>(12-AG207)/12*INDEX(BW$9:BW$12,MATCH($AB207,$BU$9:$BU$12,0))+AG207/12*AH207</f>
        <v>0.10357142857142858</v>
      </c>
      <c r="AL207" s="93">
        <f>(12-AH207)/12*INDEX(BX$9:BX$12,MATCH($AB207,$BU$9:$BU$12,0))+AH207/12*AI207</f>
        <v>0.19357142857142848</v>
      </c>
      <c r="AM207" s="93">
        <f>IF($BC207=1,AJ207/SUMIFS(AJ$3:AJ$623,$BC$3:$BC$623,1,$G$3:$G$623,$G207),0)</f>
        <v>0</v>
      </c>
      <c r="AN207" s="93">
        <f>IF($BC207=1,AK207/SUMIFS(AK$3:AK$623,$BC$3:$BC$623,1,$G$3:$G$623,$G207),0)</f>
        <v>0</v>
      </c>
      <c r="AO207" s="93">
        <f>IF($BC207=1,AL207/SUMIFS(AL$3:AL$623,$BC$3:$BC$623,1,$G$3:$G$623,$G207),0)</f>
        <v>0</v>
      </c>
      <c r="AP207" s="2">
        <f>IFERROR(R207/$V207*90,"")</f>
        <v>0</v>
      </c>
      <c r="AQ207" s="2">
        <f>IFERROR(S207/$V207*90,"")</f>
        <v>9.2276144907723859E-2</v>
      </c>
      <c r="AR207" s="2">
        <f>IFERROR(W207/$V207*90,"")</f>
        <v>3.0758714969241287E-2</v>
      </c>
      <c r="AS207" s="2">
        <f>IFERROR(X207/$V207*90,"")</f>
        <v>0.18455228981544772</v>
      </c>
      <c r="AT207" s="2">
        <f>IFERROR(Y207/$V207*90,"")</f>
        <v>0</v>
      </c>
      <c r="AU207" s="2">
        <f>IF(AP207="",INDEX(BV$4:BV$7,MATCH(O207,$BU$4:$BU$7,0)),AP207)</f>
        <v>0</v>
      </c>
      <c r="AV207" s="2">
        <f>IF(AQ207="",INDEX(BW$4:BW$7,MATCH($O207,$BU$4:$BU$7,0)),AQ207)</f>
        <v>9.2276144907723859E-2</v>
      </c>
      <c r="AW207" s="2">
        <f t="shared" si="36"/>
        <v>3.0758714969241287E-2</v>
      </c>
      <c r="AX207" s="2">
        <f t="shared" si="37"/>
        <v>0.18455228981544772</v>
      </c>
      <c r="AY207" s="2">
        <f t="shared" si="38"/>
        <v>0</v>
      </c>
      <c r="AZ207" s="2">
        <f>AU207*0.5+AK207*0.5</f>
        <v>5.1785714285714289E-2</v>
      </c>
      <c r="BA207" s="2">
        <f>AV207*0.5+AJ207*0.5</f>
        <v>6.4716369157158643E-2</v>
      </c>
      <c r="BB207" s="2">
        <f t="shared" si="39"/>
        <v>0.18727614490772387</v>
      </c>
      <c r="BC207">
        <f>IF(I207="expected",1,0)</f>
        <v>0</v>
      </c>
      <c r="BD207" s="78">
        <f>IF(BC207=1,AZ207/SUMIFS(AZ$3:AZ$623,$BC$3:$BC$623,1,$G$3:$G$623,$G207),0)</f>
        <v>0</v>
      </c>
      <c r="BE207" s="78">
        <f>IF(BC207=1,BA207/SUMIFS(BA$3:BA$623,$BC$3:$BC$623,1,$G$3:$G$623,$G207),0)</f>
        <v>0</v>
      </c>
      <c r="BF207" s="78">
        <f t="shared" si="40"/>
        <v>0</v>
      </c>
      <c r="BG207" s="2">
        <f t="shared" si="41"/>
        <v>0.18727614490772387</v>
      </c>
      <c r="BH207" s="2">
        <f t="shared" si="42"/>
        <v>0</v>
      </c>
      <c r="BI207" s="2">
        <f t="shared" si="43"/>
        <v>0</v>
      </c>
      <c r="BJ207" s="2">
        <f t="shared" si="44"/>
        <v>0</v>
      </c>
      <c r="BK207" s="2">
        <f t="shared" si="45"/>
        <v>0</v>
      </c>
      <c r="BL207" s="2">
        <f t="shared" si="46"/>
        <v>0.18727614490772387</v>
      </c>
      <c r="BM207" s="2">
        <f t="shared" si="47"/>
        <v>0</v>
      </c>
      <c r="BN207" s="2">
        <f>BI207/SUMIFS(BI$3:BI$623,$BC$3:$BC$623,1,$G$3:$G$623,$G207)</f>
        <v>0</v>
      </c>
      <c r="BO207" s="2">
        <f>BJ207/SUMIFS(BJ$3:BJ$623,$BC$3:$BC$623,1,$G$3:$G$623,$G207)</f>
        <v>0</v>
      </c>
      <c r="BP207" s="2">
        <f>BK207/SUMIFS(BK$3:BK$623,$BC$3:$BC$623,1,$G$3:$G$623,$G207)</f>
        <v>0</v>
      </c>
      <c r="BQ207" s="2">
        <f>BL207</f>
        <v>0.18727614490772387</v>
      </c>
      <c r="BR207" s="2">
        <f>BM207</f>
        <v>0</v>
      </c>
    </row>
    <row r="208" spans="1:70" hidden="1">
      <c r="A208" s="74">
        <v>0</v>
      </c>
      <c r="B208" s="73">
        <v>220778</v>
      </c>
      <c r="C208" s="73" t="s">
        <v>1805</v>
      </c>
      <c r="D208" s="73" t="s">
        <v>1806</v>
      </c>
      <c r="E208" s="73" t="s">
        <v>1807</v>
      </c>
      <c r="F208" s="73">
        <v>18658</v>
      </c>
      <c r="G208" s="73" t="s">
        <v>863</v>
      </c>
      <c r="H208" s="73" t="s">
        <v>939</v>
      </c>
      <c r="I208" s="73" t="s">
        <v>1012</v>
      </c>
      <c r="J208" s="73">
        <v>0</v>
      </c>
      <c r="K208" s="73">
        <v>5.5</v>
      </c>
      <c r="L208" s="73">
        <v>0</v>
      </c>
      <c r="M208" s="73">
        <v>0</v>
      </c>
      <c r="N208" s="73">
        <v>0</v>
      </c>
      <c r="O208" s="73" t="s">
        <v>994</v>
      </c>
      <c r="P208" s="73" t="s">
        <v>1808</v>
      </c>
      <c r="Q208" s="73" t="s">
        <v>1808</v>
      </c>
      <c r="R208" s="73">
        <v>1</v>
      </c>
      <c r="S208" s="73">
        <v>3</v>
      </c>
      <c r="T208" s="73">
        <v>0</v>
      </c>
      <c r="U208" s="73">
        <v>6</v>
      </c>
      <c r="V208" s="73">
        <v>2148</v>
      </c>
      <c r="W208" s="73">
        <v>8</v>
      </c>
      <c r="X208" s="73">
        <v>8</v>
      </c>
      <c r="Y208" s="73">
        <v>0</v>
      </c>
      <c r="Z208" s="73" t="s">
        <v>1054</v>
      </c>
      <c r="AA208" s="73" t="s">
        <v>691</v>
      </c>
      <c r="AB208" s="73" t="str">
        <f>IF(AA208&lt;&gt;"",INDEX(Lookup!$N$2:$N$5,MATCH(Players!AA208,Lookup!$P$2:$P$5,0)),INDEX(Lookup!$N$2:$N$5,MATCH(Players!O208,Lookup!$O$2:$O$5,0)))</f>
        <v>Midfield</v>
      </c>
      <c r="AC208" s="73">
        <v>3000000</v>
      </c>
      <c r="AD208" s="73" t="s">
        <v>788</v>
      </c>
      <c r="AE208" s="73" t="str">
        <f>INDEX('Translate table'!$H$2:$H$622,MATCH(Players!P208,'Translate table'!$G$2:$G$622,0))</f>
        <v>Bryan Cristante</v>
      </c>
      <c r="AF208" s="73">
        <f>IFERROR(INDEX('Euro Qual stats'!$A$1:$L$2071,MATCH(Players!$AE208,'Euro Qual stats'!$A$1:$A$2071,0),MATCH(Players!AF$2,'Euro Qual stats'!$A$1:$L$1,0)),0)</f>
        <v>1</v>
      </c>
      <c r="AG208" s="73">
        <f>IFERROR(INDEX('Euro Qual stats'!$A$1:$L$2071,MATCH(Players!$AE208,'Euro Qual stats'!$A$1:$A$2071,0),MATCH(Players!AG$2,'Euro Qual stats'!$A$1:$L$1,0)),0)</f>
        <v>1</v>
      </c>
      <c r="AH208" s="73">
        <f>IFERROR(INDEX('Euro Qual stats'!$A$1:$L$2071,MATCH(Players!$AE208,'Euro Qual stats'!$A$1:$A$2071,0),MATCH(Players!AH$2,'Euro Qual stats'!$A$1:$L$1,0)),0)</f>
        <v>0</v>
      </c>
      <c r="AI208" s="73">
        <f>IFERROR(INDEX('Euro Qual stats'!$A$1:$L$2071,MATCH(Players!$AE208,'Euro Qual stats'!$A$1:$A$2071,0),MATCH(Players!AI$2,'Euro Qual stats'!$A$1:$L$1,0)),0)</f>
        <v>0</v>
      </c>
      <c r="AJ208" s="93">
        <f>(12-AF208)/12*INDEX(BV$9:BV$12,MATCH($AB208,$BU$9:$BU$12,0))+AF208/12*AG208</f>
        <v>0.23796684118673644</v>
      </c>
      <c r="AK208" s="93">
        <f>(12-AG208)/12*INDEX(BW$9:BW$12,MATCH($AB208,$BU$9:$BU$12,0))+AG208/12*AH208</f>
        <v>0.20478621291448515</v>
      </c>
      <c r="AL208" s="93">
        <f>(12-AH208)/12*INDEX(BX$9:BX$12,MATCH($AB208,$BU$9:$BU$12,0))+AH208/12*AI208</f>
        <v>0.23942408376963353</v>
      </c>
      <c r="AM208" s="93">
        <f>IF($BC208=1,AJ208/SUMIFS(AJ$3:AJ$623,$BC$3:$BC$623,1,$G$3:$G$623,$G208),0)</f>
        <v>0</v>
      </c>
      <c r="AN208" s="93">
        <f>IF($BC208=1,AK208/SUMIFS(AK$3:AK$623,$BC$3:$BC$623,1,$G$3:$G$623,$G208),0)</f>
        <v>0</v>
      </c>
      <c r="AO208" s="93">
        <f>IF($BC208=1,AL208/SUMIFS(AL$3:AL$623,$BC$3:$BC$623,1,$G$3:$G$623,$G208),0)</f>
        <v>0</v>
      </c>
      <c r="AP208" s="2">
        <f>IFERROR(R208/$V208*90,"")</f>
        <v>4.189944134078212E-2</v>
      </c>
      <c r="AQ208" s="2">
        <f>IFERROR(S208/$V208*90,"")</f>
        <v>0.12569832402234637</v>
      </c>
      <c r="AR208" s="2">
        <f>IFERROR(W208/$V208*90,"")</f>
        <v>0.33519553072625696</v>
      </c>
      <c r="AS208" s="2">
        <f>IFERROR(X208/$V208*90,"")</f>
        <v>0.33519553072625696</v>
      </c>
      <c r="AT208" s="2">
        <f>IFERROR(Y208/$V208*90,"")</f>
        <v>0</v>
      </c>
      <c r="AU208" s="2">
        <f>IF(AP208="",INDEX(BV$4:BV$7,MATCH(O208,$BU$4:$BU$7,0)),AP208)</f>
        <v>4.189944134078212E-2</v>
      </c>
      <c r="AV208" s="2">
        <f>IF(AQ208="",INDEX(BW$4:BW$7,MATCH($O208,$BU$4:$BU$7,0)),AQ208)</f>
        <v>0.12569832402234637</v>
      </c>
      <c r="AW208" s="2">
        <f t="shared" si="36"/>
        <v>0.33519553072625696</v>
      </c>
      <c r="AX208" s="2">
        <f t="shared" si="37"/>
        <v>0.33519553072625696</v>
      </c>
      <c r="AY208" s="2">
        <f t="shared" si="38"/>
        <v>0</v>
      </c>
      <c r="AZ208" s="2">
        <f>AU208*0.5+AK208*0.5</f>
        <v>0.12334282712763364</v>
      </c>
      <c r="BA208" s="2">
        <f>AV208*0.5+AJ208*0.5</f>
        <v>0.18183258260454141</v>
      </c>
      <c r="BB208" s="2">
        <f t="shared" si="39"/>
        <v>0.16759776536312848</v>
      </c>
      <c r="BC208">
        <f>IF(I208="expected",1,0)</f>
        <v>0</v>
      </c>
      <c r="BD208" s="78">
        <f>IF(BC208=1,AZ208/SUMIFS(AZ$3:AZ$623,$BC$3:$BC$623,1,$G$3:$G$623,$G208),0)</f>
        <v>0</v>
      </c>
      <c r="BE208" s="78">
        <f>IF(BC208=1,BA208/SUMIFS(BA$3:BA$623,$BC$3:$BC$623,1,$G$3:$G$623,$G208),0)</f>
        <v>0</v>
      </c>
      <c r="BF208" s="78">
        <f t="shared" si="40"/>
        <v>0</v>
      </c>
      <c r="BG208" s="2">
        <f t="shared" si="41"/>
        <v>0.16759776536312848</v>
      </c>
      <c r="BH208" s="2">
        <f t="shared" si="42"/>
        <v>0</v>
      </c>
      <c r="BI208" s="2">
        <f t="shared" si="43"/>
        <v>0</v>
      </c>
      <c r="BJ208" s="2">
        <f t="shared" si="44"/>
        <v>0</v>
      </c>
      <c r="BK208" s="2">
        <f t="shared" si="45"/>
        <v>0</v>
      </c>
      <c r="BL208" s="2">
        <f t="shared" si="46"/>
        <v>0.16759776536312848</v>
      </c>
      <c r="BM208" s="2">
        <f t="shared" si="47"/>
        <v>0</v>
      </c>
      <c r="BN208" s="2">
        <f>BI208/SUMIFS(BI$3:BI$623,$BC$3:$BC$623,1,$G$3:$G$623,$G208)</f>
        <v>0</v>
      </c>
      <c r="BO208" s="2">
        <f>BJ208/SUMIFS(BJ$3:BJ$623,$BC$3:$BC$623,1,$G$3:$G$623,$G208)</f>
        <v>0</v>
      </c>
      <c r="BP208" s="2">
        <f>BK208/SUMIFS(BK$3:BK$623,$BC$3:$BC$623,1,$G$3:$G$623,$G208)</f>
        <v>0</v>
      </c>
      <c r="BQ208" s="2">
        <f>BL208</f>
        <v>0.16759776536312848</v>
      </c>
      <c r="BR208" s="2">
        <f>BM208</f>
        <v>0</v>
      </c>
    </row>
    <row r="209" spans="1:70" hidden="1">
      <c r="A209" s="74">
        <v>0</v>
      </c>
      <c r="B209" s="73">
        <v>213397</v>
      </c>
      <c r="C209" s="73" t="s">
        <v>1809</v>
      </c>
      <c r="D209" s="73" t="s">
        <v>1810</v>
      </c>
      <c r="E209" s="73" t="s">
        <v>1811</v>
      </c>
      <c r="F209" s="73">
        <v>18658</v>
      </c>
      <c r="G209" s="73" t="s">
        <v>863</v>
      </c>
      <c r="H209" s="73" t="s">
        <v>939</v>
      </c>
      <c r="I209" s="73" t="s">
        <v>1812</v>
      </c>
      <c r="J209" s="73">
        <v>0</v>
      </c>
      <c r="K209" s="73">
        <v>5.5</v>
      </c>
      <c r="L209" s="73">
        <v>0</v>
      </c>
      <c r="M209" s="73">
        <v>0</v>
      </c>
      <c r="N209" s="73">
        <v>0</v>
      </c>
      <c r="O209" s="73" t="s">
        <v>994</v>
      </c>
      <c r="P209" s="73" t="s">
        <v>1813</v>
      </c>
      <c r="Q209" s="73" t="s">
        <v>1813</v>
      </c>
      <c r="R209" s="73">
        <v>0</v>
      </c>
      <c r="S209" s="73">
        <v>0</v>
      </c>
      <c r="T209" s="73">
        <v>0</v>
      </c>
      <c r="U209" s="73">
        <v>0</v>
      </c>
      <c r="V209" s="73">
        <v>596</v>
      </c>
      <c r="W209" s="73">
        <v>7</v>
      </c>
      <c r="X209" s="73">
        <v>1</v>
      </c>
      <c r="Y209" s="73">
        <v>1</v>
      </c>
      <c r="Z209" s="73" t="s">
        <v>1054</v>
      </c>
      <c r="AA209" s="73" t="s">
        <v>691</v>
      </c>
      <c r="AB209" s="73" t="str">
        <f>IF(AA209&lt;&gt;"",INDEX(Lookup!$N$2:$N$5,MATCH(Players!AA209,Lookup!$P$2:$P$5,0)),INDEX(Lookup!$N$2:$N$5,MATCH(Players!O209,Lookup!$O$2:$O$5,0)))</f>
        <v>Midfield</v>
      </c>
      <c r="AC209" s="73">
        <v>3500000</v>
      </c>
      <c r="AD209" s="73" t="s">
        <v>789</v>
      </c>
      <c r="AE209" s="73" t="str">
        <f>INDEX('Translate table'!$H$2:$H$622,MATCH(Players!P209,'Translate table'!$G$2:$G$622,0))</f>
        <v>Stefano Sensi</v>
      </c>
      <c r="AF209" s="73">
        <f>IFERROR(INDEX('Euro Qual stats'!$A$1:$L$2071,MATCH(Players!$AE209,'Euro Qual stats'!$A$1:$A$2071,0),MATCH(Players!AF$2,'Euro Qual stats'!$A$1:$L$1,0)),0)</f>
        <v>3</v>
      </c>
      <c r="AG209" s="73">
        <f>IFERROR(INDEX('Euro Qual stats'!$A$1:$L$2071,MATCH(Players!$AE209,'Euro Qual stats'!$A$1:$A$2071,0),MATCH(Players!AG$2,'Euro Qual stats'!$A$1:$L$1,0)),0)</f>
        <v>0.45</v>
      </c>
      <c r="AH209" s="73">
        <f>IFERROR(INDEX('Euro Qual stats'!$A$1:$L$2071,MATCH(Players!$AE209,'Euro Qual stats'!$A$1:$A$2071,0),MATCH(Players!AH$2,'Euro Qual stats'!$A$1:$L$1,0)),0)</f>
        <v>0.45</v>
      </c>
      <c r="AI209" s="73">
        <f>IFERROR(INDEX('Euro Qual stats'!$A$1:$L$2071,MATCH(Players!$AE209,'Euro Qual stats'!$A$1:$A$2071,0),MATCH(Players!AI$2,'Euro Qual stats'!$A$1:$L$1,0)),0)</f>
        <v>0</v>
      </c>
      <c r="AJ209" s="93">
        <f>(12-AF209)/12*INDEX(BV$9:BV$12,MATCH($AB209,$BU$9:$BU$12,0))+AF209/12*AG209</f>
        <v>0.23901832460732986</v>
      </c>
      <c r="AK209" s="93">
        <f>(12-AG209)/12*INDEX(BW$9:BW$12,MATCH($AB209,$BU$9:$BU$12,0))+AG209/12*AH209</f>
        <v>0.2319005235602094</v>
      </c>
      <c r="AL209" s="93">
        <f>(12-AH209)/12*INDEX(BX$9:BX$12,MATCH($AB209,$BU$9:$BU$12,0))+AH209/12*AI209</f>
        <v>0.23044568062827228</v>
      </c>
      <c r="AM209" s="93">
        <f>IF($BC209=1,AJ209/SUMIFS(AJ$3:AJ$623,$BC$3:$BC$623,1,$G$3:$G$623,$G209),0)</f>
        <v>0</v>
      </c>
      <c r="AN209" s="93">
        <f>IF($BC209=1,AK209/SUMIFS(AK$3:AK$623,$BC$3:$BC$623,1,$G$3:$G$623,$G209),0)</f>
        <v>0</v>
      </c>
      <c r="AO209" s="93">
        <f>IF($BC209=1,AL209/SUMIFS(AL$3:AL$623,$BC$3:$BC$623,1,$G$3:$G$623,$G209),0)</f>
        <v>0</v>
      </c>
      <c r="AP209" s="2">
        <f>IFERROR(R209/$V209*90,"")</f>
        <v>0</v>
      </c>
      <c r="AQ209" s="2">
        <f>IFERROR(S209/$V209*90,"")</f>
        <v>0</v>
      </c>
      <c r="AR209" s="2">
        <f>IFERROR(W209/$V209*90,"")</f>
        <v>1.0570469798657718</v>
      </c>
      <c r="AS209" s="2">
        <f>IFERROR(X209/$V209*90,"")</f>
        <v>0.15100671140939598</v>
      </c>
      <c r="AT209" s="2">
        <f>IFERROR(Y209/$V209*90,"")</f>
        <v>0.15100671140939598</v>
      </c>
      <c r="AU209" s="2">
        <f>IF(AP209="",INDEX(BV$4:BV$7,MATCH(O209,$BU$4:$BU$7,0)),AP209)</f>
        <v>0</v>
      </c>
      <c r="AV209" s="2">
        <f>IF(AQ209="",INDEX(BW$4:BW$7,MATCH($O209,$BU$4:$BU$7,0)),AQ209)</f>
        <v>0</v>
      </c>
      <c r="AW209" s="2">
        <f t="shared" si="36"/>
        <v>1.0570469798657718</v>
      </c>
      <c r="AX209" s="2">
        <f t="shared" si="37"/>
        <v>0.15100671140939598</v>
      </c>
      <c r="AY209" s="2">
        <f t="shared" si="38"/>
        <v>0.15100671140939598</v>
      </c>
      <c r="AZ209" s="2">
        <f>AU209*0.5+AK209*0.5</f>
        <v>0.1159502617801047</v>
      </c>
      <c r="BA209" s="2">
        <f>AV209*0.5+AJ209*0.5</f>
        <v>0.11950916230366493</v>
      </c>
      <c r="BB209" s="2">
        <f t="shared" si="39"/>
        <v>7.5503355704697989E-2</v>
      </c>
      <c r="BC209">
        <f>IF(I209="expected",1,0)</f>
        <v>0</v>
      </c>
      <c r="BD209" s="78">
        <f>IF(BC209=1,AZ209/SUMIFS(AZ$3:AZ$623,$BC$3:$BC$623,1,$G$3:$G$623,$G209),0)</f>
        <v>0</v>
      </c>
      <c r="BE209" s="78">
        <f>IF(BC209=1,BA209/SUMIFS(BA$3:BA$623,$BC$3:$BC$623,1,$G$3:$G$623,$G209),0)</f>
        <v>0</v>
      </c>
      <c r="BF209" s="78">
        <f t="shared" si="40"/>
        <v>0</v>
      </c>
      <c r="BG209" s="2">
        <f t="shared" si="41"/>
        <v>7.5503355704697989E-2</v>
      </c>
      <c r="BH209" s="2">
        <f t="shared" si="42"/>
        <v>0.15100671140939598</v>
      </c>
      <c r="BI209" s="2">
        <f t="shared" si="43"/>
        <v>0</v>
      </c>
      <c r="BJ209" s="2">
        <f t="shared" si="44"/>
        <v>0</v>
      </c>
      <c r="BK209" s="2">
        <f t="shared" si="45"/>
        <v>0</v>
      </c>
      <c r="BL209" s="2">
        <f t="shared" si="46"/>
        <v>7.5503355704697989E-2</v>
      </c>
      <c r="BM209" s="2">
        <f t="shared" si="47"/>
        <v>0.06</v>
      </c>
      <c r="BN209" s="2">
        <f>BI209/SUMIFS(BI$3:BI$623,$BC$3:$BC$623,1,$G$3:$G$623,$G209)</f>
        <v>0</v>
      </c>
      <c r="BO209" s="2">
        <f>BJ209/SUMIFS(BJ$3:BJ$623,$BC$3:$BC$623,1,$G$3:$G$623,$G209)</f>
        <v>0</v>
      </c>
      <c r="BP209" s="2">
        <f>BK209/SUMIFS(BK$3:BK$623,$BC$3:$BC$623,1,$G$3:$G$623,$G209)</f>
        <v>0</v>
      </c>
      <c r="BQ209" s="2">
        <f>BL209</f>
        <v>7.5503355704697989E-2</v>
      </c>
      <c r="BR209" s="2">
        <f>BM209</f>
        <v>0.06</v>
      </c>
    </row>
    <row r="210" spans="1:70" hidden="1">
      <c r="A210" s="74">
        <v>0</v>
      </c>
      <c r="B210" s="73">
        <v>220774</v>
      </c>
      <c r="C210" s="73" t="s">
        <v>1814</v>
      </c>
      <c r="D210" s="73" t="s">
        <v>1815</v>
      </c>
      <c r="E210" s="73" t="s">
        <v>1816</v>
      </c>
      <c r="F210" s="73">
        <v>18658</v>
      </c>
      <c r="G210" s="73" t="s">
        <v>863</v>
      </c>
      <c r="H210" s="73" t="s">
        <v>939</v>
      </c>
      <c r="I210" s="73" t="s">
        <v>1012</v>
      </c>
      <c r="J210" s="73">
        <v>0</v>
      </c>
      <c r="K210" s="73">
        <v>5.5</v>
      </c>
      <c r="L210" s="73">
        <v>0</v>
      </c>
      <c r="M210" s="73">
        <v>0</v>
      </c>
      <c r="N210" s="73">
        <v>0</v>
      </c>
      <c r="O210" s="73" t="s">
        <v>982</v>
      </c>
      <c r="P210" s="73" t="s">
        <v>1817</v>
      </c>
      <c r="Q210" s="73" t="s">
        <v>1817</v>
      </c>
      <c r="R210" s="73">
        <v>6</v>
      </c>
      <c r="S210" s="73">
        <v>0</v>
      </c>
      <c r="T210" s="73">
        <v>0</v>
      </c>
      <c r="U210" s="73">
        <v>1</v>
      </c>
      <c r="V210" s="73">
        <v>1229</v>
      </c>
      <c r="W210" s="73">
        <v>12</v>
      </c>
      <c r="X210" s="73">
        <v>1</v>
      </c>
      <c r="Y210" s="73">
        <v>0</v>
      </c>
      <c r="Z210" s="73" t="s">
        <v>1054</v>
      </c>
      <c r="AA210" s="73" t="s">
        <v>693</v>
      </c>
      <c r="AB210" s="73" t="str">
        <f>IF(AA210&lt;&gt;"",INDEX(Lookup!$N$2:$N$5,MATCH(Players!AA210,Lookup!$P$2:$P$5,0)),INDEX(Lookup!$N$2:$N$5,MATCH(Players!O210,Lookup!$O$2:$O$5,0)))</f>
        <v>Striker</v>
      </c>
      <c r="AC210" s="73">
        <v>3000000</v>
      </c>
      <c r="AD210" s="73" t="s">
        <v>788</v>
      </c>
      <c r="AE210" s="73">
        <f>INDEX('Translate table'!$H$2:$H$622,MATCH(Players!P210,'Translate table'!$G$2:$G$622,0))</f>
        <v>0</v>
      </c>
      <c r="AF210" s="73">
        <f>IFERROR(INDEX('Euro Qual stats'!$A$1:$L$2071,MATCH(Players!$AE210,'Euro Qual stats'!$A$1:$A$2071,0),MATCH(Players!AF$2,'Euro Qual stats'!$A$1:$L$1,0)),0)</f>
        <v>0</v>
      </c>
      <c r="AG210" s="73">
        <f>IFERROR(INDEX('Euro Qual stats'!$A$1:$L$2071,MATCH(Players!$AE210,'Euro Qual stats'!$A$1:$A$2071,0),MATCH(Players!AG$2,'Euro Qual stats'!$A$1:$L$1,0)),0)</f>
        <v>0</v>
      </c>
      <c r="AH210" s="73">
        <f>IFERROR(INDEX('Euro Qual stats'!$A$1:$L$2071,MATCH(Players!$AE210,'Euro Qual stats'!$A$1:$A$2071,0),MATCH(Players!AH$2,'Euro Qual stats'!$A$1:$L$1,0)),0)</f>
        <v>0</v>
      </c>
      <c r="AI210" s="73">
        <f>IFERROR(INDEX('Euro Qual stats'!$A$1:$L$2071,MATCH(Players!$AE210,'Euro Qual stats'!$A$1:$A$2071,0),MATCH(Players!AI$2,'Euro Qual stats'!$A$1:$L$1,0)),0)</f>
        <v>0</v>
      </c>
      <c r="AJ210" s="93">
        <f>(12-AF210)/12*INDEX(BV$9:BV$12,MATCH($AB210,$BU$9:$BU$12,0))+AF210/12*AG210</f>
        <v>0.20491379310344832</v>
      </c>
      <c r="AK210" s="93">
        <f>(12-AG210)/12*INDEX(BW$9:BW$12,MATCH($AB210,$BU$9:$BU$12,0))+AG210/12*AH210</f>
        <v>0.53387931034482738</v>
      </c>
      <c r="AL210" s="93">
        <f>(12-AH210)/12*INDEX(BX$9:BX$12,MATCH($AB210,$BU$9:$BU$12,0))+AH210/12*AI210</f>
        <v>0.16482758620689658</v>
      </c>
      <c r="AM210" s="93">
        <f>IF($BC210=1,AJ210/SUMIFS(AJ$3:AJ$623,$BC$3:$BC$623,1,$G$3:$G$623,$G210),0)</f>
        <v>0</v>
      </c>
      <c r="AN210" s="93">
        <f>IF($BC210=1,AK210/SUMIFS(AK$3:AK$623,$BC$3:$BC$623,1,$G$3:$G$623,$G210),0)</f>
        <v>0</v>
      </c>
      <c r="AO210" s="93">
        <f>IF($BC210=1,AL210/SUMIFS(AL$3:AL$623,$BC$3:$BC$623,1,$G$3:$G$623,$G210),0)</f>
        <v>0</v>
      </c>
      <c r="AP210" s="2">
        <f>IFERROR(R210/$V210*90,"")</f>
        <v>0.43938161106590723</v>
      </c>
      <c r="AQ210" s="2">
        <f>IFERROR(S210/$V210*90,"")</f>
        <v>0</v>
      </c>
      <c r="AR210" s="2">
        <f>IFERROR(W210/$V210*90,"")</f>
        <v>0.87876322213181446</v>
      </c>
      <c r="AS210" s="2">
        <f>IFERROR(X210/$V210*90,"")</f>
        <v>7.3230268510984534E-2</v>
      </c>
      <c r="AT210" s="2">
        <f>IFERROR(Y210/$V210*90,"")</f>
        <v>0</v>
      </c>
      <c r="AU210" s="2">
        <f>IF(AP210="",INDEX(BV$4:BV$7,MATCH(O210,$BU$4:$BU$7,0)),AP210)</f>
        <v>0.43938161106590723</v>
      </c>
      <c r="AV210" s="2">
        <f>IF(AQ210="",INDEX(BW$4:BW$7,MATCH($O210,$BU$4:$BU$7,0)),AQ210)</f>
        <v>0</v>
      </c>
      <c r="AW210" s="2">
        <f t="shared" si="36"/>
        <v>0.87876322213181446</v>
      </c>
      <c r="AX210" s="2">
        <f t="shared" si="37"/>
        <v>7.3230268510984534E-2</v>
      </c>
      <c r="AY210" s="2">
        <f t="shared" si="38"/>
        <v>0</v>
      </c>
      <c r="AZ210" s="2">
        <f>AU210*0.5+AK210*0.5</f>
        <v>0.48663046070536731</v>
      </c>
      <c r="BA210" s="2">
        <f>AV210*0.5+AJ210*0.5</f>
        <v>0.10245689655172416</v>
      </c>
      <c r="BB210" s="2">
        <f t="shared" si="39"/>
        <v>3.6615134255492267E-2</v>
      </c>
      <c r="BC210">
        <f>IF(I210="expected",1,0)</f>
        <v>0</v>
      </c>
      <c r="BD210" s="78">
        <f>IF(BC210=1,AZ210/SUMIFS(AZ$3:AZ$623,$BC$3:$BC$623,1,$G$3:$G$623,$G210),0)</f>
        <v>0</v>
      </c>
      <c r="BE210" s="78">
        <f>IF(BC210=1,BA210/SUMIFS(BA$3:BA$623,$BC$3:$BC$623,1,$G$3:$G$623,$G210),0)</f>
        <v>0</v>
      </c>
      <c r="BF210" s="78">
        <f t="shared" si="40"/>
        <v>0</v>
      </c>
      <c r="BG210" s="2">
        <f t="shared" si="41"/>
        <v>3.6615134255492267E-2</v>
      </c>
      <c r="BH210" s="2">
        <f t="shared" si="42"/>
        <v>0</v>
      </c>
      <c r="BI210" s="2">
        <f t="shared" si="43"/>
        <v>0</v>
      </c>
      <c r="BJ210" s="2">
        <f t="shared" si="44"/>
        <v>0</v>
      </c>
      <c r="BK210" s="2">
        <f t="shared" si="45"/>
        <v>0</v>
      </c>
      <c r="BL210" s="2">
        <f t="shared" si="46"/>
        <v>3.6615134255492267E-2</v>
      </c>
      <c r="BM210" s="2">
        <f t="shared" si="47"/>
        <v>0</v>
      </c>
      <c r="BN210" s="2">
        <f>BI210/SUMIFS(BI$3:BI$623,$BC$3:$BC$623,1,$G$3:$G$623,$G210)</f>
        <v>0</v>
      </c>
      <c r="BO210" s="2">
        <f>BJ210/SUMIFS(BJ$3:BJ$623,$BC$3:$BC$623,1,$G$3:$G$623,$G210)</f>
        <v>0</v>
      </c>
      <c r="BP210" s="2">
        <f>BK210/SUMIFS(BK$3:BK$623,$BC$3:$BC$623,1,$G$3:$G$623,$G210)</f>
        <v>0</v>
      </c>
      <c r="BQ210" s="2">
        <f>BL210</f>
        <v>3.6615134255492267E-2</v>
      </c>
      <c r="BR210" s="2">
        <f>BM210</f>
        <v>0</v>
      </c>
    </row>
    <row r="211" spans="1:70" hidden="1">
      <c r="A211" s="74">
        <v>0</v>
      </c>
      <c r="B211" s="73">
        <v>213410</v>
      </c>
      <c r="C211" s="73" t="s">
        <v>1818</v>
      </c>
      <c r="D211" s="73" t="s">
        <v>1819</v>
      </c>
      <c r="E211" s="73" t="s">
        <v>1820</v>
      </c>
      <c r="F211" s="73">
        <v>18743</v>
      </c>
      <c r="G211" s="73" t="s">
        <v>871</v>
      </c>
      <c r="H211" s="73" t="s">
        <v>945</v>
      </c>
      <c r="I211" s="73" t="s">
        <v>1012</v>
      </c>
      <c r="J211" s="73">
        <v>0</v>
      </c>
      <c r="K211" s="73">
        <v>5.5</v>
      </c>
      <c r="L211" s="73">
        <v>0</v>
      </c>
      <c r="M211" s="73">
        <v>0</v>
      </c>
      <c r="N211" s="73">
        <v>0</v>
      </c>
      <c r="O211" s="73" t="s">
        <v>1290</v>
      </c>
      <c r="P211" s="73" t="s">
        <v>1821</v>
      </c>
      <c r="Q211" s="73" t="s">
        <v>1822</v>
      </c>
      <c r="R211" s="73">
        <v>0</v>
      </c>
      <c r="S211" s="73">
        <v>0</v>
      </c>
      <c r="T211" s="73">
        <v>0</v>
      </c>
      <c r="U211" s="73">
        <v>0</v>
      </c>
      <c r="V211" s="73">
        <v>0</v>
      </c>
      <c r="W211" s="73">
        <v>0</v>
      </c>
      <c r="X211" s="73">
        <v>0</v>
      </c>
      <c r="Y211" s="73">
        <v>0</v>
      </c>
      <c r="Z211" s="73" t="s">
        <v>995</v>
      </c>
      <c r="AA211" s="73" t="s">
        <v>690</v>
      </c>
      <c r="AB211" s="73" t="str">
        <f>IF(AA211&lt;&gt;"",INDEX(Lookup!$N$2:$N$5,MATCH(Players!AA211,Lookup!$P$2:$P$5,0)),INDEX(Lookup!$N$2:$N$5,MATCH(Players!O211,Lookup!$O$2:$O$5,0)))</f>
        <v>Goalkeeper</v>
      </c>
      <c r="AC211" s="73">
        <v>5500000</v>
      </c>
      <c r="AD211" s="73" t="s">
        <v>789</v>
      </c>
      <c r="AE211" s="73" t="str">
        <f>INDEX('Translate table'!$H$2:$H$622,MATCH(Players!P211,'Translate table'!$G$2:$G$622,0))</f>
        <v>Simon Mignolet</v>
      </c>
      <c r="AF211" s="73">
        <f>IFERROR(INDEX('Euro Qual stats'!$A$1:$L$2071,MATCH(Players!$AE211,'Euro Qual stats'!$A$1:$A$2071,0),MATCH(Players!AF$2,'Euro Qual stats'!$A$1:$L$1,0)),0)</f>
        <v>1</v>
      </c>
      <c r="AG211" s="73">
        <f>IFERROR(INDEX('Euro Qual stats'!$A$1:$L$2071,MATCH(Players!$AE211,'Euro Qual stats'!$A$1:$A$2071,0),MATCH(Players!AG$2,'Euro Qual stats'!$A$1:$L$1,0)),0)</f>
        <v>0</v>
      </c>
      <c r="AH211" s="73">
        <f>IFERROR(INDEX('Euro Qual stats'!$A$1:$L$2071,MATCH(Players!$AE211,'Euro Qual stats'!$A$1:$A$2071,0),MATCH(Players!AH$2,'Euro Qual stats'!$A$1:$L$1,0)),0)</f>
        <v>0</v>
      </c>
      <c r="AI211" s="73">
        <f>IFERROR(INDEX('Euro Qual stats'!$A$1:$L$2071,MATCH(Players!$AE211,'Euro Qual stats'!$A$1:$A$2071,0),MATCH(Players!AI$2,'Euro Qual stats'!$A$1:$L$1,0)),0)</f>
        <v>0</v>
      </c>
      <c r="AJ211" s="93">
        <f>(12-AF211)/12*INDEX(BV$9:BV$12,MATCH($AB211,$BU$9:$BU$12,0))+AF211/12*AG211</f>
        <v>0</v>
      </c>
      <c r="AK211" s="93">
        <f>(12-AG211)/12*INDEX(BW$9:BW$12,MATCH($AB211,$BU$9:$BU$12,0))+AG211/12*AH211</f>
        <v>0</v>
      </c>
      <c r="AL211" s="93">
        <f>(12-AH211)/12*INDEX(BX$9:BX$12,MATCH($AB211,$BU$9:$BU$12,0))+AH211/12*AI211</f>
        <v>0</v>
      </c>
      <c r="AM211" s="93">
        <f>IF($BC211=1,AJ211/SUMIFS(AJ$3:AJ$623,$BC$3:$BC$623,1,$G$3:$G$623,$G211),0)</f>
        <v>0</v>
      </c>
      <c r="AN211" s="93">
        <f>IF($BC211=1,AK211/SUMIFS(AK$3:AK$623,$BC$3:$BC$623,1,$G$3:$G$623,$G211),0)</f>
        <v>0</v>
      </c>
      <c r="AO211" s="93">
        <f>IF($BC211=1,AL211/SUMIFS(AL$3:AL$623,$BC$3:$BC$623,1,$G$3:$G$623,$G211),0)</f>
        <v>0</v>
      </c>
      <c r="AP211" s="2" t="str">
        <f>IFERROR(R211/$V211*90,"")</f>
        <v/>
      </c>
      <c r="AQ211" s="2" t="str">
        <f>IFERROR(S211/$V211*90,"")</f>
        <v/>
      </c>
      <c r="AR211" s="2" t="str">
        <f>IFERROR(W211/$V211*90,"")</f>
        <v/>
      </c>
      <c r="AS211" s="2" t="str">
        <f>IFERROR(X211/$V211*90,"")</f>
        <v/>
      </c>
      <c r="AT211" s="2" t="str">
        <f>IFERROR(Y211/$V211*90,"")</f>
        <v/>
      </c>
      <c r="AU211" s="2">
        <f>IF(AP211="",INDEX(BV$4:BV$7,MATCH(O211,$BU$4:$BU$7,0)),AP211)</f>
        <v>0</v>
      </c>
      <c r="AV211" s="2">
        <f>IF(AQ211="",INDEX(BW$4:BW$7,MATCH($O211,$BU$4:$BU$7,0)),AQ211)</f>
        <v>0</v>
      </c>
      <c r="AW211" s="2">
        <f t="shared" si="36"/>
        <v>0</v>
      </c>
      <c r="AX211" s="2">
        <f t="shared" si="37"/>
        <v>0</v>
      </c>
      <c r="AY211" s="2">
        <f t="shared" si="38"/>
        <v>0</v>
      </c>
      <c r="AZ211" s="2">
        <f>AU211*0.5+AK211*0.5</f>
        <v>0</v>
      </c>
      <c r="BA211" s="2">
        <f>AV211*0.5+AJ211*0.5</f>
        <v>0</v>
      </c>
      <c r="BB211" s="2">
        <f t="shared" si="39"/>
        <v>0</v>
      </c>
      <c r="BC211">
        <f>IF(I211="expected",1,0)</f>
        <v>0</v>
      </c>
      <c r="BD211" s="78">
        <f>IF(BC211=1,AZ211/SUMIFS(AZ$3:AZ$623,$BC$3:$BC$623,1,$G$3:$G$623,$G211),0)</f>
        <v>0</v>
      </c>
      <c r="BE211" s="78">
        <f>IF(BC211=1,BA211/SUMIFS(BA$3:BA$623,$BC$3:$BC$623,1,$G$3:$G$623,$G211),0)</f>
        <v>0</v>
      </c>
      <c r="BF211" s="78">
        <f t="shared" si="40"/>
        <v>0</v>
      </c>
      <c r="BG211" s="2">
        <f t="shared" si="41"/>
        <v>0</v>
      </c>
      <c r="BH211" s="2">
        <f t="shared" si="42"/>
        <v>0</v>
      </c>
      <c r="BI211" s="2">
        <f t="shared" si="43"/>
        <v>0</v>
      </c>
      <c r="BJ211" s="2">
        <f t="shared" si="44"/>
        <v>0</v>
      </c>
      <c r="BK211" s="2">
        <f t="shared" si="45"/>
        <v>0</v>
      </c>
      <c r="BL211" s="2">
        <f t="shared" si="46"/>
        <v>0</v>
      </c>
      <c r="BM211" s="2">
        <f t="shared" si="47"/>
        <v>0</v>
      </c>
      <c r="BN211" s="2">
        <f>BI211/SUMIFS(BI$3:BI$623,$BC$3:$BC$623,1,$G$3:$G$623,$G211)</f>
        <v>0</v>
      </c>
      <c r="BO211" s="2">
        <f>BJ211/SUMIFS(BJ$3:BJ$623,$BC$3:$BC$623,1,$G$3:$G$623,$G211)</f>
        <v>0</v>
      </c>
      <c r="BP211" s="2">
        <f>BK211/SUMIFS(BK$3:BK$623,$BC$3:$BC$623,1,$G$3:$G$623,$G211)</f>
        <v>0</v>
      </c>
      <c r="BQ211" s="2">
        <f>BL211</f>
        <v>0</v>
      </c>
      <c r="BR211" s="2">
        <f>BM211</f>
        <v>0</v>
      </c>
    </row>
    <row r="212" spans="1:70" hidden="1">
      <c r="A212" s="74">
        <v>0</v>
      </c>
      <c r="B212" s="73">
        <v>213413</v>
      </c>
      <c r="C212" s="73" t="s">
        <v>1823</v>
      </c>
      <c r="D212" s="73" t="s">
        <v>1824</v>
      </c>
      <c r="E212" s="73" t="s">
        <v>1825</v>
      </c>
      <c r="F212" s="73">
        <v>18743</v>
      </c>
      <c r="G212" s="73" t="s">
        <v>871</v>
      </c>
      <c r="H212" s="73" t="s">
        <v>945</v>
      </c>
      <c r="I212" s="73" t="s">
        <v>1012</v>
      </c>
      <c r="J212" s="73">
        <v>0</v>
      </c>
      <c r="K212" s="73">
        <v>5.5</v>
      </c>
      <c r="L212" s="73">
        <v>0</v>
      </c>
      <c r="M212" s="73">
        <v>0</v>
      </c>
      <c r="N212" s="73">
        <v>0</v>
      </c>
      <c r="O212" s="73" t="s">
        <v>1318</v>
      </c>
      <c r="P212" s="73" t="s">
        <v>613</v>
      </c>
      <c r="Q212" s="73" t="s">
        <v>613</v>
      </c>
      <c r="R212" s="73">
        <v>2</v>
      </c>
      <c r="S212" s="73">
        <v>3</v>
      </c>
      <c r="T212" s="73">
        <v>0</v>
      </c>
      <c r="U212" s="73">
        <v>6</v>
      </c>
      <c r="V212" s="73">
        <v>2346</v>
      </c>
      <c r="W212" s="73">
        <v>3</v>
      </c>
      <c r="X212" s="73">
        <v>1</v>
      </c>
      <c r="Y212" s="73">
        <v>0</v>
      </c>
      <c r="Z212" s="73" t="s">
        <v>995</v>
      </c>
      <c r="AA212" s="73" t="s">
        <v>692</v>
      </c>
      <c r="AB212" s="73" t="str">
        <f>IF(AA212&lt;&gt;"",INDEX(Lookup!$N$2:$N$5,MATCH(Players!AA212,Lookup!$P$2:$P$5,0)),INDEX(Lookup!$N$2:$N$5,MATCH(Players!O212,Lookup!$O$2:$O$5,0)))</f>
        <v>Defense</v>
      </c>
      <c r="AC212" s="73">
        <v>4500000</v>
      </c>
      <c r="AD212" s="73" t="s">
        <v>796</v>
      </c>
      <c r="AE212" s="73" t="str">
        <f>INDEX('Translate table'!$H$2:$H$622,MATCH(Players!P212,'Translate table'!$G$2:$G$622,0))</f>
        <v>Timothy Castagne</v>
      </c>
      <c r="AF212" s="73">
        <f>IFERROR(INDEX('Euro Qual stats'!$A$1:$L$2071,MATCH(Players!$AE212,'Euro Qual stats'!$A$1:$A$2071,0),MATCH(Players!AF$2,'Euro Qual stats'!$A$1:$L$1,0)),0)</f>
        <v>5</v>
      </c>
      <c r="AG212" s="73">
        <f>IFERROR(INDEX('Euro Qual stats'!$A$1:$L$2071,MATCH(Players!$AE212,'Euro Qual stats'!$A$1:$A$2071,0),MATCH(Players!AG$2,'Euro Qual stats'!$A$1:$L$1,0)),0)</f>
        <v>0.4</v>
      </c>
      <c r="AH212" s="73">
        <f>IFERROR(INDEX('Euro Qual stats'!$A$1:$L$2071,MATCH(Players!$AE212,'Euro Qual stats'!$A$1:$A$2071,0),MATCH(Players!AH$2,'Euro Qual stats'!$A$1:$L$1,0)),0)</f>
        <v>0.4</v>
      </c>
      <c r="AI212" s="73">
        <f>IFERROR(INDEX('Euro Qual stats'!$A$1:$L$2071,MATCH(Players!$AE212,'Euro Qual stats'!$A$1:$A$2071,0),MATCH(Players!AI$2,'Euro Qual stats'!$A$1:$L$1,0)),0)</f>
        <v>0</v>
      </c>
      <c r="AJ212" s="93">
        <f>(12-AF212)/12*INDEX(BV$9:BV$12,MATCH($AB212,$BU$9:$BU$12,0))+AF212/12*AG212</f>
        <v>0.21868589743589747</v>
      </c>
      <c r="AK212" s="93">
        <f>(12-AG212)/12*INDEX(BW$9:BW$12,MATCH($AB212,$BU$9:$BU$12,0))+AG212/12*AH212</f>
        <v>0.11345238095238096</v>
      </c>
      <c r="AL212" s="93">
        <f>(12-AH212)/12*INDEX(BX$9:BX$12,MATCH($AB212,$BU$9:$BU$12,0))+AH212/12*AI212</f>
        <v>0.18711904761904752</v>
      </c>
      <c r="AM212" s="93">
        <f>IF($BC212=1,AJ212/SUMIFS(AJ$3:AJ$623,$BC$3:$BC$623,1,$G$3:$G$623,$G212),0)</f>
        <v>0</v>
      </c>
      <c r="AN212" s="93">
        <f>IF($BC212=1,AK212/SUMIFS(AK$3:AK$623,$BC$3:$BC$623,1,$G$3:$G$623,$G212),0)</f>
        <v>0</v>
      </c>
      <c r="AO212" s="93">
        <f>IF($BC212=1,AL212/SUMIFS(AL$3:AL$623,$BC$3:$BC$623,1,$G$3:$G$623,$G212),0)</f>
        <v>0</v>
      </c>
      <c r="AP212" s="2">
        <f>IFERROR(R212/$V212*90,"")</f>
        <v>7.6726342710997444E-2</v>
      </c>
      <c r="AQ212" s="2">
        <f>IFERROR(S212/$V212*90,"")</f>
        <v>0.11508951406649617</v>
      </c>
      <c r="AR212" s="2">
        <f>IFERROR(W212/$V212*90,"")</f>
        <v>0.11508951406649617</v>
      </c>
      <c r="AS212" s="2">
        <f>IFERROR(X212/$V212*90,"")</f>
        <v>3.8363171355498722E-2</v>
      </c>
      <c r="AT212" s="2">
        <f>IFERROR(Y212/$V212*90,"")</f>
        <v>0</v>
      </c>
      <c r="AU212" s="2">
        <f>IF(AP212="",INDEX(BV$4:BV$7,MATCH(O212,$BU$4:$BU$7,0)),AP212)</f>
        <v>7.6726342710997444E-2</v>
      </c>
      <c r="AV212" s="2">
        <f>IF(AQ212="",INDEX(BW$4:BW$7,MATCH($O212,$BU$4:$BU$7,0)),AQ212)</f>
        <v>0.11508951406649617</v>
      </c>
      <c r="AW212" s="2">
        <f t="shared" si="36"/>
        <v>0.11508951406649617</v>
      </c>
      <c r="AX212" s="2">
        <f t="shared" si="37"/>
        <v>3.8363171355498722E-2</v>
      </c>
      <c r="AY212" s="2">
        <f t="shared" si="38"/>
        <v>0</v>
      </c>
      <c r="AZ212" s="2">
        <f>AU212*0.5+AK212*0.5</f>
        <v>9.5089361831689201E-2</v>
      </c>
      <c r="BA212" s="2">
        <f>AV212*0.5+AJ212*0.5</f>
        <v>0.16688770575119682</v>
      </c>
      <c r="BB212" s="2">
        <f t="shared" si="39"/>
        <v>1.9181585677749361E-2</v>
      </c>
      <c r="BC212">
        <f>IF(I212="expected",1,0)</f>
        <v>0</v>
      </c>
      <c r="BD212" s="78">
        <f>IF(BC212=1,AZ212/SUMIFS(AZ$3:AZ$623,$BC$3:$BC$623,1,$G$3:$G$623,$G212),0)</f>
        <v>0</v>
      </c>
      <c r="BE212" s="78">
        <f>IF(BC212=1,BA212/SUMIFS(BA$3:BA$623,$BC$3:$BC$623,1,$G$3:$G$623,$G212),0)</f>
        <v>0</v>
      </c>
      <c r="BF212" s="78">
        <f t="shared" si="40"/>
        <v>0</v>
      </c>
      <c r="BG212" s="2">
        <f t="shared" si="41"/>
        <v>1.9181585677749361E-2</v>
      </c>
      <c r="BH212" s="2">
        <f t="shared" si="42"/>
        <v>0</v>
      </c>
      <c r="BI212" s="2">
        <f t="shared" si="43"/>
        <v>0</v>
      </c>
      <c r="BJ212" s="2">
        <f t="shared" si="44"/>
        <v>0</v>
      </c>
      <c r="BK212" s="2">
        <f t="shared" si="45"/>
        <v>0</v>
      </c>
      <c r="BL212" s="2">
        <f t="shared" si="46"/>
        <v>1.9181585677749361E-2</v>
      </c>
      <c r="BM212" s="2">
        <f t="shared" si="47"/>
        <v>0</v>
      </c>
      <c r="BN212" s="2">
        <f>BI212/SUMIFS(BI$3:BI$623,$BC$3:$BC$623,1,$G$3:$G$623,$G212)</f>
        <v>0</v>
      </c>
      <c r="BO212" s="2">
        <f>BJ212/SUMIFS(BJ$3:BJ$623,$BC$3:$BC$623,1,$G$3:$G$623,$G212)</f>
        <v>0</v>
      </c>
      <c r="BP212" s="2">
        <f>BK212/SUMIFS(BK$3:BK$623,$BC$3:$BC$623,1,$G$3:$G$623,$G212)</f>
        <v>0</v>
      </c>
      <c r="BQ212" s="2">
        <f>BL212</f>
        <v>1.9181585677749361E-2</v>
      </c>
      <c r="BR212" s="2">
        <f>BM212</f>
        <v>0</v>
      </c>
    </row>
    <row r="213" spans="1:70" hidden="1">
      <c r="A213" s="74">
        <v>0</v>
      </c>
      <c r="B213" s="73">
        <v>213412</v>
      </c>
      <c r="C213" s="73" t="s">
        <v>1826</v>
      </c>
      <c r="D213" s="73" t="s">
        <v>1518</v>
      </c>
      <c r="E213" s="73" t="s">
        <v>1827</v>
      </c>
      <c r="F213" s="73">
        <v>18743</v>
      </c>
      <c r="G213" s="73" t="s">
        <v>871</v>
      </c>
      <c r="H213" s="73" t="s">
        <v>945</v>
      </c>
      <c r="I213" s="73" t="s">
        <v>981</v>
      </c>
      <c r="J213" s="73">
        <v>0</v>
      </c>
      <c r="K213" s="73">
        <v>5.5</v>
      </c>
      <c r="L213" s="73">
        <v>0</v>
      </c>
      <c r="M213" s="73">
        <v>0</v>
      </c>
      <c r="N213" s="73">
        <v>0</v>
      </c>
      <c r="O213" s="73" t="s">
        <v>1318</v>
      </c>
      <c r="P213" s="73" t="s">
        <v>1828</v>
      </c>
      <c r="Q213" s="73" t="s">
        <v>1828</v>
      </c>
      <c r="R213" s="73">
        <v>1</v>
      </c>
      <c r="S213" s="73">
        <v>1</v>
      </c>
      <c r="T213" s="73">
        <v>0</v>
      </c>
      <c r="U213" s="73">
        <v>3</v>
      </c>
      <c r="V213" s="73">
        <v>1474</v>
      </c>
      <c r="W213" s="73">
        <v>3</v>
      </c>
      <c r="X213" s="73">
        <v>3</v>
      </c>
      <c r="Y213" s="73">
        <v>0</v>
      </c>
      <c r="Z213" s="73" t="s">
        <v>995</v>
      </c>
      <c r="AA213" s="73" t="s">
        <v>692</v>
      </c>
      <c r="AB213" s="73" t="str">
        <f>IF(AA213&lt;&gt;"",INDEX(Lookup!$N$2:$N$5,MATCH(Players!AA213,Lookup!$P$2:$P$5,0)),INDEX(Lookup!$N$2:$N$5,MATCH(Players!O213,Lookup!$O$2:$O$5,0)))</f>
        <v>Defense</v>
      </c>
      <c r="AC213" s="73">
        <v>5000000</v>
      </c>
      <c r="AD213" s="73" t="s">
        <v>791</v>
      </c>
      <c r="AE213" s="73" t="str">
        <f>INDEX('Translate table'!$H$2:$H$622,MATCH(Players!P213,'Translate table'!$G$2:$G$622,0))</f>
        <v>Thomas Meunier</v>
      </c>
      <c r="AF213" s="73">
        <f>IFERROR(INDEX('Euro Qual stats'!$A$1:$L$2071,MATCH(Players!$AE213,'Euro Qual stats'!$A$1:$A$2071,0),MATCH(Players!AF$2,'Euro Qual stats'!$A$1:$L$1,0)),0)</f>
        <v>4</v>
      </c>
      <c r="AG213" s="73">
        <f>IFERROR(INDEX('Euro Qual stats'!$A$1:$L$2071,MATCH(Players!$AE213,'Euro Qual stats'!$A$1:$A$2071,0),MATCH(Players!AG$2,'Euro Qual stats'!$A$1:$L$1,0)),0)</f>
        <v>0</v>
      </c>
      <c r="AH213" s="73">
        <f>IFERROR(INDEX('Euro Qual stats'!$A$1:$L$2071,MATCH(Players!$AE213,'Euro Qual stats'!$A$1:$A$2071,0),MATCH(Players!AH$2,'Euro Qual stats'!$A$1:$L$1,0)),0)</f>
        <v>0.25</v>
      </c>
      <c r="AI213" s="73">
        <f>IFERROR(INDEX('Euro Qual stats'!$A$1:$L$2071,MATCH(Players!$AE213,'Euro Qual stats'!$A$1:$A$2071,0),MATCH(Players!AI$2,'Euro Qual stats'!$A$1:$L$1,0)),0)</f>
        <v>0</v>
      </c>
      <c r="AJ213" s="93">
        <f>(12-AF213)/12*INDEX(BV$9:BV$12,MATCH($AB213,$BU$9:$BU$12,0))+AF213/12*AG213</f>
        <v>5.9450549450549464E-2</v>
      </c>
      <c r="AK213" s="93">
        <f>(12-AG213)/12*INDEX(BW$9:BW$12,MATCH($AB213,$BU$9:$BU$12,0))+AG213/12*AH213</f>
        <v>0.10357142857142858</v>
      </c>
      <c r="AL213" s="93">
        <f>(12-AH213)/12*INDEX(BX$9:BX$12,MATCH($AB213,$BU$9:$BU$12,0))+AH213/12*AI213</f>
        <v>0.18953869047619037</v>
      </c>
      <c r="AM213" s="93">
        <f>IF($BC213=1,AJ213/SUMIFS(AJ$3:AJ$623,$BC$3:$BC$623,1,$G$3:$G$623,$G213),0)</f>
        <v>2.5812257325329047E-2</v>
      </c>
      <c r="AN213" s="93">
        <f>IF($BC213=1,AK213/SUMIFS(AK$3:AK$623,$BC$3:$BC$623,1,$G$3:$G$623,$G213),0)</f>
        <v>4.1555769875923902E-2</v>
      </c>
      <c r="AO213" s="93">
        <f>IF($BC213=1,AL213/SUMIFS(AL$3:AL$623,$BC$3:$BC$623,1,$G$3:$G$623,$G213),0)</f>
        <v>9.4177604498298359E-2</v>
      </c>
      <c r="AP213" s="2">
        <f>IFERROR(R213/$V213*90,"")</f>
        <v>6.1058344640434185E-2</v>
      </c>
      <c r="AQ213" s="2">
        <f>IFERROR(S213/$V213*90,"")</f>
        <v>6.1058344640434185E-2</v>
      </c>
      <c r="AR213" s="2">
        <f>IFERROR(W213/$V213*90,"")</f>
        <v>0.18317503392130258</v>
      </c>
      <c r="AS213" s="2">
        <f>IFERROR(X213/$V213*90,"")</f>
        <v>0.18317503392130258</v>
      </c>
      <c r="AT213" s="2">
        <f>IFERROR(Y213/$V213*90,"")</f>
        <v>0</v>
      </c>
      <c r="AU213" s="2">
        <f>IF(AP213="",INDEX(BV$4:BV$7,MATCH(O213,$BU$4:$BU$7,0)),AP213)</f>
        <v>6.1058344640434185E-2</v>
      </c>
      <c r="AV213" s="2">
        <f>IF(AQ213="",INDEX(BW$4:BW$7,MATCH($O213,$BU$4:$BU$7,0)),AQ213)</f>
        <v>6.1058344640434185E-2</v>
      </c>
      <c r="AW213" s="2">
        <f t="shared" si="36"/>
        <v>0.18317503392130258</v>
      </c>
      <c r="AX213" s="2">
        <f t="shared" si="37"/>
        <v>0.18317503392130258</v>
      </c>
      <c r="AY213" s="2">
        <f t="shared" si="38"/>
        <v>0</v>
      </c>
      <c r="AZ213" s="2">
        <f>AU213*0.5+AK213*0.5</f>
        <v>8.2314886605931378E-2</v>
      </c>
      <c r="BA213" s="2">
        <f>AV213*0.5+AJ213*0.5</f>
        <v>6.0254447045491821E-2</v>
      </c>
      <c r="BB213" s="2">
        <f t="shared" si="39"/>
        <v>9.1587516960651288E-2</v>
      </c>
      <c r="BC213">
        <f>IF(I213="expected",1,0)</f>
        <v>1</v>
      </c>
      <c r="BD213" s="78">
        <f>IF(BC213=1,AZ213/SUMIFS(AZ$3:AZ$623,$BC$3:$BC$623,1,$G$3:$G$623,$G213),0)</f>
        <v>3.3213704659083146E-2</v>
      </c>
      <c r="BE213" s="78">
        <f>IF(BC213=1,BA213/SUMIFS(BA$3:BA$623,$BC$3:$BC$623,1,$G$3:$G$623,$G213),0)</f>
        <v>2.7450060246274333E-2</v>
      </c>
      <c r="BF213" s="78">
        <f t="shared" si="40"/>
        <v>2.7166412007181839E-2</v>
      </c>
      <c r="BG213" s="2">
        <f t="shared" si="41"/>
        <v>9.1587516960651288E-2</v>
      </c>
      <c r="BH213" s="2">
        <f t="shared" si="42"/>
        <v>0</v>
      </c>
      <c r="BI213" s="2">
        <f t="shared" si="43"/>
        <v>3.3213704659083146E-2</v>
      </c>
      <c r="BJ213" s="2">
        <f t="shared" si="44"/>
        <v>2.7450060246274333E-2</v>
      </c>
      <c r="BK213" s="2">
        <f t="shared" si="45"/>
        <v>2.7166412007181839E-2</v>
      </c>
      <c r="BL213" s="2">
        <f t="shared" si="46"/>
        <v>9.1587516960651288E-2</v>
      </c>
      <c r="BM213" s="2">
        <f t="shared" si="47"/>
        <v>0</v>
      </c>
      <c r="BN213" s="2">
        <f>BI213/SUMIFS(BI$3:BI$623,$BC$3:$BC$623,1,$G$3:$G$623,$G213)</f>
        <v>3.3213704659083153E-2</v>
      </c>
      <c r="BO213" s="2">
        <f>BJ213/SUMIFS(BJ$3:BJ$623,$BC$3:$BC$623,1,$G$3:$G$623,$G213)</f>
        <v>2.7450060246274336E-2</v>
      </c>
      <c r="BP213" s="2">
        <f>BK213/SUMIFS(BK$3:BK$623,$BC$3:$BC$623,1,$G$3:$G$623,$G213)</f>
        <v>2.7166412007181832E-2</v>
      </c>
      <c r="BQ213" s="2">
        <f>BL213</f>
        <v>9.1587516960651288E-2</v>
      </c>
      <c r="BR213" s="2">
        <f>BM213</f>
        <v>0</v>
      </c>
    </row>
    <row r="214" spans="1:70" hidden="1">
      <c r="A214" s="74">
        <v>0</v>
      </c>
      <c r="B214" s="73">
        <v>204538</v>
      </c>
      <c r="C214" s="73" t="s">
        <v>1829</v>
      </c>
      <c r="D214" s="73" t="s">
        <v>1830</v>
      </c>
      <c r="E214" s="73" t="s">
        <v>1831</v>
      </c>
      <c r="F214" s="73">
        <v>18743</v>
      </c>
      <c r="G214" s="73" t="s">
        <v>871</v>
      </c>
      <c r="H214" s="73" t="s">
        <v>945</v>
      </c>
      <c r="I214" s="73" t="s">
        <v>981</v>
      </c>
      <c r="J214" s="73">
        <v>0</v>
      </c>
      <c r="K214" s="73">
        <v>5.5</v>
      </c>
      <c r="L214" s="73">
        <v>0</v>
      </c>
      <c r="M214" s="73">
        <v>0</v>
      </c>
      <c r="N214" s="73">
        <v>0</v>
      </c>
      <c r="O214" s="73" t="s">
        <v>1318</v>
      </c>
      <c r="P214" s="73" t="s">
        <v>1832</v>
      </c>
      <c r="Q214" s="73" t="s">
        <v>1833</v>
      </c>
      <c r="R214" s="73">
        <v>10</v>
      </c>
      <c r="S214" s="73">
        <v>2</v>
      </c>
      <c r="T214" s="73">
        <v>0</v>
      </c>
      <c r="U214" s="73">
        <v>4</v>
      </c>
      <c r="V214" s="73">
        <v>2059</v>
      </c>
      <c r="W214" s="73">
        <v>19</v>
      </c>
      <c r="X214" s="73">
        <v>4</v>
      </c>
      <c r="Y214" s="73">
        <v>0</v>
      </c>
      <c r="Z214" s="73" t="s">
        <v>995</v>
      </c>
      <c r="AA214" s="73" t="s">
        <v>692</v>
      </c>
      <c r="AB214" s="73" t="str">
        <f>IF(AA214&lt;&gt;"",INDEX(Lookup!$N$2:$N$5,MATCH(Players!AA214,Lookup!$P$2:$P$5,0)),INDEX(Lookup!$N$2:$N$5,MATCH(Players!O214,Lookup!$O$2:$O$5,0)))</f>
        <v>Defense</v>
      </c>
      <c r="AC214" s="73">
        <v>4000000</v>
      </c>
      <c r="AD214" s="73" t="s">
        <v>1834</v>
      </c>
      <c r="AE214" s="73" t="str">
        <f>INDEX('Translate table'!$H$2:$H$622,MATCH(Players!P214,'Translate table'!$G$2:$G$622,0))</f>
        <v>Jan Vertonghen</v>
      </c>
      <c r="AF214" s="73">
        <f>IFERROR(INDEX('Euro Qual stats'!$A$1:$L$2071,MATCH(Players!$AE214,'Euro Qual stats'!$A$1:$A$2071,0),MATCH(Players!AF$2,'Euro Qual stats'!$A$1:$L$1,0)),0)</f>
        <v>8</v>
      </c>
      <c r="AG214" s="73">
        <f>IFERROR(INDEX('Euro Qual stats'!$A$1:$L$2071,MATCH(Players!$AE214,'Euro Qual stats'!$A$1:$A$2071,0),MATCH(Players!AG$2,'Euro Qual stats'!$A$1:$L$1,0)),0)</f>
        <v>0</v>
      </c>
      <c r="AH214" s="73">
        <f>IFERROR(INDEX('Euro Qual stats'!$A$1:$L$2071,MATCH(Players!$AE214,'Euro Qual stats'!$A$1:$A$2071,0),MATCH(Players!AH$2,'Euro Qual stats'!$A$1:$L$1,0)),0)</f>
        <v>0</v>
      </c>
      <c r="AI214" s="73">
        <f>IFERROR(INDEX('Euro Qual stats'!$A$1:$L$2071,MATCH(Players!$AE214,'Euro Qual stats'!$A$1:$A$2071,0),MATCH(Players!AI$2,'Euro Qual stats'!$A$1:$L$1,0)),0)</f>
        <v>0</v>
      </c>
      <c r="AJ214" s="93">
        <f>(12-AF214)/12*INDEX(BV$9:BV$12,MATCH($AB214,$BU$9:$BU$12,0))+AF214/12*AG214</f>
        <v>2.9725274725274732E-2</v>
      </c>
      <c r="AK214" s="93">
        <f>(12-AG214)/12*INDEX(BW$9:BW$12,MATCH($AB214,$BU$9:$BU$12,0))+AG214/12*AH214</f>
        <v>0.10357142857142858</v>
      </c>
      <c r="AL214" s="93">
        <f>(12-AH214)/12*INDEX(BX$9:BX$12,MATCH($AB214,$BU$9:$BU$12,0))+AH214/12*AI214</f>
        <v>0.19357142857142848</v>
      </c>
      <c r="AM214" s="93">
        <f>IF($BC214=1,AJ214/SUMIFS(AJ$3:AJ$623,$BC$3:$BC$623,1,$G$3:$G$623,$G214),0)</f>
        <v>1.2906128662664523E-2</v>
      </c>
      <c r="AN214" s="93">
        <f>IF($BC214=1,AK214/SUMIFS(AK$3:AK$623,$BC$3:$BC$623,1,$G$3:$G$623,$G214),0)</f>
        <v>4.1555769875923902E-2</v>
      </c>
      <c r="AO214" s="93">
        <f>IF($BC214=1,AL214/SUMIFS(AL$3:AL$623,$BC$3:$BC$623,1,$G$3:$G$623,$G214),0)</f>
        <v>9.6181383317411093E-2</v>
      </c>
      <c r="AP214" s="2">
        <f>IFERROR(R214/$V214*90,"")</f>
        <v>0.43710539096648859</v>
      </c>
      <c r="AQ214" s="2">
        <f>IFERROR(S214/$V214*90,"")</f>
        <v>8.742107819329771E-2</v>
      </c>
      <c r="AR214" s="2">
        <f>IFERROR(W214/$V214*90,"")</f>
        <v>0.8305002428363284</v>
      </c>
      <c r="AS214" s="2">
        <f>IFERROR(X214/$V214*90,"")</f>
        <v>0.17484215638659542</v>
      </c>
      <c r="AT214" s="2">
        <f>IFERROR(Y214/$V214*90,"")</f>
        <v>0</v>
      </c>
      <c r="AU214" s="2">
        <f>IF(AP214="",INDEX(BV$4:BV$7,MATCH(O214,$BU$4:$BU$7,0)),AP214)</f>
        <v>0.43710539096648859</v>
      </c>
      <c r="AV214" s="2">
        <f>IF(AQ214="",INDEX(BW$4:BW$7,MATCH($O214,$BU$4:$BU$7,0)),AQ214)</f>
        <v>8.742107819329771E-2</v>
      </c>
      <c r="AW214" s="2">
        <f t="shared" si="36"/>
        <v>0.8305002428363284</v>
      </c>
      <c r="AX214" s="2">
        <f t="shared" si="37"/>
        <v>0.17484215638659542</v>
      </c>
      <c r="AY214" s="2">
        <f t="shared" si="38"/>
        <v>0</v>
      </c>
      <c r="AZ214" s="2">
        <f>AU214*0.5+AK214*0.5</f>
        <v>0.27033840976895857</v>
      </c>
      <c r="BA214" s="2">
        <f>AV214*0.5+AJ214*0.5</f>
        <v>5.8573176459286225E-2</v>
      </c>
      <c r="BB214" s="2">
        <f t="shared" si="39"/>
        <v>8.742107819329771E-2</v>
      </c>
      <c r="BC214">
        <f>IF(I214="expected",1,0)</f>
        <v>1</v>
      </c>
      <c r="BD214" s="78">
        <f>IF(BC214=1,AZ214/SUMIFS(AZ$3:AZ$623,$BC$3:$BC$623,1,$G$3:$G$623,$G214),0)</f>
        <v>0.10908039202018886</v>
      </c>
      <c r="BE214" s="78">
        <f>IF(BC214=1,BA214/SUMIFS(BA$3:BA$623,$BC$3:$BC$623,1,$G$3:$G$623,$G214),0)</f>
        <v>2.6684125429101604E-2</v>
      </c>
      <c r="BF214" s="78">
        <f t="shared" si="40"/>
        <v>0.12317023387941309</v>
      </c>
      <c r="BG214" s="2">
        <f t="shared" si="41"/>
        <v>8.742107819329771E-2</v>
      </c>
      <c r="BH214" s="2">
        <f t="shared" si="42"/>
        <v>0</v>
      </c>
      <c r="BI214" s="2">
        <f t="shared" si="43"/>
        <v>0.10908039202018886</v>
      </c>
      <c r="BJ214" s="2">
        <f t="shared" si="44"/>
        <v>2.6684125429101604E-2</v>
      </c>
      <c r="BK214" s="2">
        <f t="shared" si="45"/>
        <v>0.12317023387941309</v>
      </c>
      <c r="BL214" s="2">
        <f t="shared" si="46"/>
        <v>8.742107819329771E-2</v>
      </c>
      <c r="BM214" s="2">
        <f t="shared" si="47"/>
        <v>0</v>
      </c>
      <c r="BN214" s="2">
        <f>BI214/SUMIFS(BI$3:BI$623,$BC$3:$BC$623,1,$G$3:$G$623,$G214)</f>
        <v>0.10908039202018888</v>
      </c>
      <c r="BO214" s="2">
        <f>BJ214/SUMIFS(BJ$3:BJ$623,$BC$3:$BC$623,1,$G$3:$G$623,$G214)</f>
        <v>2.6684125429101608E-2</v>
      </c>
      <c r="BP214" s="2">
        <f>BK214/SUMIFS(BK$3:BK$623,$BC$3:$BC$623,1,$G$3:$G$623,$G214)</f>
        <v>0.12317023387941306</v>
      </c>
      <c r="BQ214" s="2">
        <f>BL214</f>
        <v>8.742107819329771E-2</v>
      </c>
      <c r="BR214" s="2">
        <f>BM214</f>
        <v>0</v>
      </c>
    </row>
    <row r="215" spans="1:70" hidden="1">
      <c r="A215" s="74">
        <v>0</v>
      </c>
      <c r="B215" s="73">
        <v>220771</v>
      </c>
      <c r="C215" s="73" t="s">
        <v>1835</v>
      </c>
      <c r="D215" s="73" t="s">
        <v>1836</v>
      </c>
      <c r="E215" s="73" t="s">
        <v>1837</v>
      </c>
      <c r="F215" s="73">
        <v>18743</v>
      </c>
      <c r="G215" s="73" t="s">
        <v>871</v>
      </c>
      <c r="H215" s="73" t="s">
        <v>945</v>
      </c>
      <c r="I215" s="73" t="s">
        <v>1012</v>
      </c>
      <c r="J215" s="73">
        <v>0</v>
      </c>
      <c r="K215" s="73">
        <v>5.5</v>
      </c>
      <c r="L215" s="73">
        <v>0</v>
      </c>
      <c r="M215" s="73">
        <v>0</v>
      </c>
      <c r="N215" s="73">
        <v>0</v>
      </c>
      <c r="O215" s="73" t="s">
        <v>982</v>
      </c>
      <c r="P215" s="73" t="s">
        <v>1838</v>
      </c>
      <c r="Q215" s="73" t="s">
        <v>1839</v>
      </c>
      <c r="R215" s="73">
        <v>2</v>
      </c>
      <c r="S215" s="73">
        <v>3</v>
      </c>
      <c r="T215" s="73">
        <v>0</v>
      </c>
      <c r="U215" s="73">
        <v>4</v>
      </c>
      <c r="V215" s="73">
        <v>2318</v>
      </c>
      <c r="W215" s="73">
        <v>7</v>
      </c>
      <c r="X215" s="73">
        <v>1</v>
      </c>
      <c r="Y215" s="73">
        <v>1</v>
      </c>
      <c r="Z215" s="73" t="s">
        <v>995</v>
      </c>
      <c r="AA215" s="73" t="s">
        <v>693</v>
      </c>
      <c r="AB215" s="73" t="str">
        <f>IF(AA215&lt;&gt;"",INDEX(Lookup!$N$2:$N$5,MATCH(Players!AA215,Lookup!$P$2:$P$5,0)),INDEX(Lookup!$N$2:$N$5,MATCH(Players!O215,Lookup!$O$2:$O$5,0)))</f>
        <v>Striker</v>
      </c>
      <c r="AC215" s="73">
        <v>3500000</v>
      </c>
      <c r="AD215" s="73" t="s">
        <v>790</v>
      </c>
      <c r="AE215" s="73" t="str">
        <f>INDEX('Translate table'!$H$2:$H$622,MATCH(Players!P215,'Translate table'!$G$2:$G$622,0))</f>
        <v>Jere Uronen</v>
      </c>
      <c r="AF215" s="73">
        <f>IFERROR(INDEX('Euro Qual stats'!$A$1:$L$2071,MATCH(Players!$AE215,'Euro Qual stats'!$A$1:$A$2071,0),MATCH(Players!AF$2,'Euro Qual stats'!$A$1:$L$1,0)),0)</f>
        <v>6</v>
      </c>
      <c r="AG215" s="73">
        <f>IFERROR(INDEX('Euro Qual stats'!$A$1:$L$2071,MATCH(Players!$AE215,'Euro Qual stats'!$A$1:$A$2071,0),MATCH(Players!AG$2,'Euro Qual stats'!$A$1:$L$1,0)),0)</f>
        <v>0</v>
      </c>
      <c r="AH215" s="73">
        <f>IFERROR(INDEX('Euro Qual stats'!$A$1:$L$2071,MATCH(Players!$AE215,'Euro Qual stats'!$A$1:$A$2071,0),MATCH(Players!AH$2,'Euro Qual stats'!$A$1:$L$1,0)),0)</f>
        <v>0</v>
      </c>
      <c r="AI215" s="73">
        <f>IFERROR(INDEX('Euro Qual stats'!$A$1:$L$2071,MATCH(Players!$AE215,'Euro Qual stats'!$A$1:$A$2071,0),MATCH(Players!AI$2,'Euro Qual stats'!$A$1:$L$1,0)),0)</f>
        <v>0.17</v>
      </c>
      <c r="AJ215" s="93">
        <f>(12-AF215)/12*INDEX(BV$9:BV$12,MATCH($AB215,$BU$9:$BU$12,0))+AF215/12*AG215</f>
        <v>0.10245689655172416</v>
      </c>
      <c r="AK215" s="93">
        <f>(12-AG215)/12*INDEX(BW$9:BW$12,MATCH($AB215,$BU$9:$BU$12,0))+AG215/12*AH215</f>
        <v>0.53387931034482738</v>
      </c>
      <c r="AL215" s="93">
        <f>(12-AH215)/12*INDEX(BX$9:BX$12,MATCH($AB215,$BU$9:$BU$12,0))+AH215/12*AI215</f>
        <v>0.16482758620689658</v>
      </c>
      <c r="AM215" s="93">
        <f>IF($BC215=1,AJ215/SUMIFS(AJ$3:AJ$623,$BC$3:$BC$623,1,$G$3:$G$623,$G215),0)</f>
        <v>0</v>
      </c>
      <c r="AN215" s="93">
        <f>IF($BC215=1,AK215/SUMIFS(AK$3:AK$623,$BC$3:$BC$623,1,$G$3:$G$623,$G215),0)</f>
        <v>0</v>
      </c>
      <c r="AO215" s="93">
        <f>IF($BC215=1,AL215/SUMIFS(AL$3:AL$623,$BC$3:$BC$623,1,$G$3:$G$623,$G215),0)</f>
        <v>0</v>
      </c>
      <c r="AP215" s="2">
        <f>IFERROR(R215/$V215*90,"")</f>
        <v>7.7653149266609156E-2</v>
      </c>
      <c r="AQ215" s="2">
        <f>IFERROR(S215/$V215*90,"")</f>
        <v>0.11647972389991371</v>
      </c>
      <c r="AR215" s="2">
        <f>IFERROR(W215/$V215*90,"")</f>
        <v>0.27178602243313199</v>
      </c>
      <c r="AS215" s="2">
        <f>IFERROR(X215/$V215*90,"")</f>
        <v>3.8826574633304578E-2</v>
      </c>
      <c r="AT215" s="2">
        <f>IFERROR(Y215/$V215*90,"")</f>
        <v>3.8826574633304578E-2</v>
      </c>
      <c r="AU215" s="2">
        <f>IF(AP215="",INDEX(BV$4:BV$7,MATCH(O215,$BU$4:$BU$7,0)),AP215)</f>
        <v>7.7653149266609156E-2</v>
      </c>
      <c r="AV215" s="2">
        <f>IF(AQ215="",INDEX(BW$4:BW$7,MATCH($O215,$BU$4:$BU$7,0)),AQ215)</f>
        <v>0.11647972389991371</v>
      </c>
      <c r="AW215" s="2">
        <f t="shared" si="36"/>
        <v>0.27178602243313199</v>
      </c>
      <c r="AX215" s="2">
        <f t="shared" si="37"/>
        <v>3.8826574633304578E-2</v>
      </c>
      <c r="AY215" s="2">
        <f t="shared" si="38"/>
        <v>3.8826574633304578E-2</v>
      </c>
      <c r="AZ215" s="2">
        <f>AU215*0.5+AK215*0.5</f>
        <v>0.30576622980571827</v>
      </c>
      <c r="BA215" s="2">
        <f>AV215*0.5+AJ215*0.5</f>
        <v>0.10946831022581893</v>
      </c>
      <c r="BB215" s="2">
        <f t="shared" si="39"/>
        <v>0.1044132873166523</v>
      </c>
      <c r="BC215">
        <f>IF(I215="expected",1,0)</f>
        <v>0</v>
      </c>
      <c r="BD215" s="78">
        <f>IF(BC215=1,AZ215/SUMIFS(AZ$3:AZ$623,$BC$3:$BC$623,1,$G$3:$G$623,$G215),0)</f>
        <v>0</v>
      </c>
      <c r="BE215" s="78">
        <f>IF(BC215=1,BA215/SUMIFS(BA$3:BA$623,$BC$3:$BC$623,1,$G$3:$G$623,$G215),0)</f>
        <v>0</v>
      </c>
      <c r="BF215" s="78">
        <f t="shared" si="40"/>
        <v>0</v>
      </c>
      <c r="BG215" s="2">
        <f t="shared" si="41"/>
        <v>0.1044132873166523</v>
      </c>
      <c r="BH215" s="2">
        <f t="shared" si="42"/>
        <v>3.8826574633304578E-2</v>
      </c>
      <c r="BI215" s="2">
        <f t="shared" si="43"/>
        <v>0</v>
      </c>
      <c r="BJ215" s="2">
        <f t="shared" si="44"/>
        <v>0</v>
      </c>
      <c r="BK215" s="2">
        <f t="shared" si="45"/>
        <v>0</v>
      </c>
      <c r="BL215" s="2">
        <f t="shared" si="46"/>
        <v>0.1044132873166523</v>
      </c>
      <c r="BM215" s="2">
        <f t="shared" si="47"/>
        <v>3.8826574633304578E-2</v>
      </c>
      <c r="BN215" s="2">
        <f>BI215/SUMIFS(BI$3:BI$623,$BC$3:$BC$623,1,$G$3:$G$623,$G215)</f>
        <v>0</v>
      </c>
      <c r="BO215" s="2">
        <f>BJ215/SUMIFS(BJ$3:BJ$623,$BC$3:$BC$623,1,$G$3:$G$623,$G215)</f>
        <v>0</v>
      </c>
      <c r="BP215" s="2">
        <f>BK215/SUMIFS(BK$3:BK$623,$BC$3:$BC$623,1,$G$3:$G$623,$G215)</f>
        <v>0</v>
      </c>
      <c r="BQ215" s="2">
        <f>BL215</f>
        <v>0.1044132873166523</v>
      </c>
      <c r="BR215" s="2">
        <f>BM215</f>
        <v>3.8826574633304578E-2</v>
      </c>
    </row>
    <row r="216" spans="1:70" hidden="1">
      <c r="A216" s="74">
        <v>0</v>
      </c>
      <c r="B216" s="73">
        <v>204569</v>
      </c>
      <c r="C216" s="73" t="s">
        <v>1840</v>
      </c>
      <c r="D216" s="73" t="s">
        <v>1841</v>
      </c>
      <c r="E216" s="73" t="s">
        <v>1842</v>
      </c>
      <c r="F216" s="73">
        <v>18694</v>
      </c>
      <c r="G216" s="73" t="s">
        <v>876</v>
      </c>
      <c r="H216" s="73" t="s">
        <v>909</v>
      </c>
      <c r="I216" s="73" t="s">
        <v>981</v>
      </c>
      <c r="J216" s="73">
        <v>0</v>
      </c>
      <c r="K216" s="73">
        <v>5.5</v>
      </c>
      <c r="L216" s="73">
        <v>0</v>
      </c>
      <c r="M216" s="73">
        <v>0</v>
      </c>
      <c r="N216" s="73">
        <v>0</v>
      </c>
      <c r="O216" s="73" t="s">
        <v>1318</v>
      </c>
      <c r="P216" s="73" t="s">
        <v>1843</v>
      </c>
      <c r="Q216" s="73" t="s">
        <v>1164</v>
      </c>
      <c r="R216" s="73"/>
      <c r="S216" s="73"/>
      <c r="T216" s="73"/>
      <c r="U216" s="73"/>
      <c r="V216" s="73"/>
      <c r="W216" s="73"/>
      <c r="X216" s="73"/>
      <c r="Y216" s="73"/>
      <c r="Z216" s="73" t="s">
        <v>1095</v>
      </c>
      <c r="AA216" s="73" t="s">
        <v>692</v>
      </c>
      <c r="AB216" s="73" t="str">
        <f>IF(AA216&lt;&gt;"",INDEX(Lookup!$N$2:$N$5,MATCH(Players!AA216,Lookup!$P$2:$P$5,0)),INDEX(Lookup!$N$2:$N$5,MATCH(Players!O216,Lookup!$O$2:$O$5,0)))</f>
        <v>Defense</v>
      </c>
      <c r="AC216" s="73">
        <v>3500000</v>
      </c>
      <c r="AD216" s="73" t="s">
        <v>1844</v>
      </c>
      <c r="AE216" s="73" t="str">
        <f>INDEX('Translate table'!$H$2:$H$622,MATCH(Players!P216,'Translate table'!$G$2:$G$622,0))</f>
        <v>Rowen Muscat</v>
      </c>
      <c r="AF216" s="73">
        <f>IFERROR(INDEX('Euro Qual stats'!$A$1:$L$2071,MATCH(Players!$AE216,'Euro Qual stats'!$A$1:$A$2071,0),MATCH(Players!AF$2,'Euro Qual stats'!$A$1:$L$1,0)),0)</f>
        <v>10</v>
      </c>
      <c r="AG216" s="73">
        <f>IFERROR(INDEX('Euro Qual stats'!$A$1:$L$2071,MATCH(Players!$AE216,'Euro Qual stats'!$A$1:$A$2071,0),MATCH(Players!AG$2,'Euro Qual stats'!$A$1:$L$1,0)),0)</f>
        <v>0</v>
      </c>
      <c r="AH216" s="73">
        <f>IFERROR(INDEX('Euro Qual stats'!$A$1:$L$2071,MATCH(Players!$AE216,'Euro Qual stats'!$A$1:$A$2071,0),MATCH(Players!AH$2,'Euro Qual stats'!$A$1:$L$1,0)),0)</f>
        <v>0</v>
      </c>
      <c r="AI216" s="73">
        <f>IFERROR(INDEX('Euro Qual stats'!$A$1:$L$2071,MATCH(Players!$AE216,'Euro Qual stats'!$A$1:$A$2071,0),MATCH(Players!AI$2,'Euro Qual stats'!$A$1:$L$1,0)),0)</f>
        <v>0</v>
      </c>
      <c r="AJ216" s="93">
        <f>(12-AF216)/12*INDEX(BV$9:BV$12,MATCH($AB216,$BU$9:$BU$12,0))+AF216/12*AG216</f>
        <v>1.4862637362637366E-2</v>
      </c>
      <c r="AK216" s="93">
        <f>(12-AG216)/12*INDEX(BW$9:BW$12,MATCH($AB216,$BU$9:$BU$12,0))+AG216/12*AH216</f>
        <v>0.10357142857142858</v>
      </c>
      <c r="AL216" s="93">
        <f>(12-AH216)/12*INDEX(BX$9:BX$12,MATCH($AB216,$BU$9:$BU$12,0))+AH216/12*AI216</f>
        <v>0.19357142857142848</v>
      </c>
      <c r="AM216" s="93">
        <f>IF($BC216=1,AJ216/SUMIFS(AJ$3:AJ$623,$BC$3:$BC$623,1,$G$3:$G$623,$G216),0)</f>
        <v>8.3175499555836509E-3</v>
      </c>
      <c r="AN216" s="93">
        <f>IF($BC216=1,AK216/SUMIFS(AK$3:AK$623,$BC$3:$BC$623,1,$G$3:$G$623,$G216),0)</f>
        <v>3.7455225583341203E-2</v>
      </c>
      <c r="AO216" s="93">
        <f>IF($BC216=1,AL216/SUMIFS(AL$3:AL$623,$BC$3:$BC$623,1,$G$3:$G$623,$G216),0)</f>
        <v>9.8255234432141916E-2</v>
      </c>
      <c r="AP216" s="2" t="str">
        <f>IFERROR(R216/$V216*90,"")</f>
        <v/>
      </c>
      <c r="AQ216" s="2" t="str">
        <f>IFERROR(S216/$V216*90,"")</f>
        <v/>
      </c>
      <c r="AR216" s="2" t="str">
        <f>IFERROR(W216/$V216*90,"")</f>
        <v/>
      </c>
      <c r="AS216" s="2" t="str">
        <f>IFERROR(X216/$V216*90,"")</f>
        <v/>
      </c>
      <c r="AT216" s="2" t="str">
        <f>IFERROR(Y216/$V216*90,"")</f>
        <v/>
      </c>
      <c r="AU216" s="2">
        <f>IF(AP216="",INDEX(BV$4:BV$7,MATCH(O216,$BU$4:$BU$7,0)),AP216)</f>
        <v>0</v>
      </c>
      <c r="AV216" s="2">
        <f>IF(AQ216="",INDEX(BW$4:BW$7,MATCH($O216,$BU$4:$BU$7,0)),AQ216)</f>
        <v>0</v>
      </c>
      <c r="AW216" s="2">
        <f t="shared" si="36"/>
        <v>8.0624805297505417E-2</v>
      </c>
      <c r="AX216" s="2">
        <f t="shared" si="37"/>
        <v>0.1265377855887522</v>
      </c>
      <c r="AY216" s="2">
        <f t="shared" si="38"/>
        <v>0</v>
      </c>
      <c r="AZ216" s="2">
        <f>AU216*0.5+AK216*0.5</f>
        <v>5.1785714285714289E-2</v>
      </c>
      <c r="BA216" s="2">
        <f>AV216*0.5+AJ216*0.5</f>
        <v>7.431318681318683E-3</v>
      </c>
      <c r="BB216" s="2">
        <f t="shared" si="39"/>
        <v>6.32688927943761E-2</v>
      </c>
      <c r="BC216">
        <f>IF(I216="expected",1,0)</f>
        <v>1</v>
      </c>
      <c r="BD216" s="78">
        <f>IF(BC216=1,AZ216/SUMIFS(AZ$3:AZ$623,$BC$3:$BC$623,1,$G$3:$G$623,$G216),0)</f>
        <v>2.6183484361011266E-2</v>
      </c>
      <c r="BE216" s="78">
        <f>IF(BC216=1,BA216/SUMIFS(BA$3:BA$623,$BC$3:$BC$623,1,$G$3:$G$623,$G216),0)</f>
        <v>5.8000156892252692E-3</v>
      </c>
      <c r="BF216" s="78">
        <f t="shared" si="40"/>
        <v>1.9184666872908533E-2</v>
      </c>
      <c r="BG216" s="2">
        <f t="shared" si="41"/>
        <v>6.32688927943761E-2</v>
      </c>
      <c r="BH216" s="2">
        <f t="shared" si="42"/>
        <v>0</v>
      </c>
      <c r="BI216" s="2">
        <f t="shared" si="43"/>
        <v>2.6183484361011266E-2</v>
      </c>
      <c r="BJ216" s="2">
        <f t="shared" si="44"/>
        <v>5.8000156892252692E-3</v>
      </c>
      <c r="BK216" s="2">
        <f t="shared" si="45"/>
        <v>1.9184666872908533E-2</v>
      </c>
      <c r="BL216" s="2">
        <f t="shared" si="46"/>
        <v>6.32688927943761E-2</v>
      </c>
      <c r="BM216" s="2">
        <f t="shared" si="47"/>
        <v>0</v>
      </c>
      <c r="BN216" s="2">
        <f>BI216/SUMIFS(BI$3:BI$623,$BC$3:$BC$623,1,$G$3:$G$623,$G216)</f>
        <v>2.6183484361011269E-2</v>
      </c>
      <c r="BO216" s="2">
        <f>BJ216/SUMIFS(BJ$3:BJ$623,$BC$3:$BC$623,1,$G$3:$G$623,$G216)</f>
        <v>6.6784394049022649E-3</v>
      </c>
      <c r="BP216" s="2">
        <f>BK216/SUMIFS(BK$3:BK$623,$BC$3:$BC$623,1,$G$3:$G$623,$G216)</f>
        <v>2.1015425616624343E-2</v>
      </c>
      <c r="BQ216" s="2">
        <f>BL216</f>
        <v>6.32688927943761E-2</v>
      </c>
      <c r="BR216" s="2">
        <f>BM216</f>
        <v>0</v>
      </c>
    </row>
    <row r="217" spans="1:70" hidden="1">
      <c r="A217" s="74">
        <v>0</v>
      </c>
      <c r="B217" s="73">
        <v>204560</v>
      </c>
      <c r="C217" s="73" t="s">
        <v>1845</v>
      </c>
      <c r="D217" s="73" t="s">
        <v>1846</v>
      </c>
      <c r="E217" s="73" t="s">
        <v>1847</v>
      </c>
      <c r="F217" s="73">
        <v>18694</v>
      </c>
      <c r="G217" s="73" t="s">
        <v>876</v>
      </c>
      <c r="H217" s="73" t="s">
        <v>909</v>
      </c>
      <c r="I217" s="73" t="s">
        <v>981</v>
      </c>
      <c r="J217" s="73">
        <v>0</v>
      </c>
      <c r="K217" s="73">
        <v>5.5</v>
      </c>
      <c r="L217" s="73">
        <v>0</v>
      </c>
      <c r="M217" s="73">
        <v>0</v>
      </c>
      <c r="N217" s="73">
        <v>0</v>
      </c>
      <c r="O217" s="73" t="s">
        <v>1318</v>
      </c>
      <c r="P217" s="73" t="s">
        <v>1848</v>
      </c>
      <c r="Q217" s="73" t="s">
        <v>1164</v>
      </c>
      <c r="R217" s="73"/>
      <c r="S217" s="73"/>
      <c r="T217" s="73"/>
      <c r="U217" s="73"/>
      <c r="V217" s="73"/>
      <c r="W217" s="73"/>
      <c r="X217" s="73"/>
      <c r="Y217" s="73"/>
      <c r="Z217" s="73" t="s">
        <v>1095</v>
      </c>
      <c r="AA217" s="73" t="s">
        <v>692</v>
      </c>
      <c r="AB217" s="73" t="str">
        <f>IF(AA217&lt;&gt;"",INDEX(Lookup!$N$2:$N$5,MATCH(Players!AA217,Lookup!$P$2:$P$5,0)),INDEX(Lookup!$N$2:$N$5,MATCH(Players!O217,Lookup!$O$2:$O$5,0)))</f>
        <v>Defense</v>
      </c>
      <c r="AC217" s="73">
        <v>3500000</v>
      </c>
      <c r="AD217" s="73" t="s">
        <v>1849</v>
      </c>
      <c r="AE217" s="73" t="str">
        <f>INDEX('Translate table'!$H$2:$H$622,MATCH(Players!P217,'Translate table'!$G$2:$G$622,0))</f>
        <v>Denzel Dumfries</v>
      </c>
      <c r="AF217" s="73">
        <f>IFERROR(INDEX('Euro Qual stats'!$A$1:$L$2071,MATCH(Players!$AE217,'Euro Qual stats'!$A$1:$A$2071,0),MATCH(Players!AF$2,'Euro Qual stats'!$A$1:$L$1,0)),0)</f>
        <v>4</v>
      </c>
      <c r="AG217" s="73">
        <f>IFERROR(INDEX('Euro Qual stats'!$A$1:$L$2071,MATCH(Players!$AE217,'Euro Qual stats'!$A$1:$A$2071,0),MATCH(Players!AG$2,'Euro Qual stats'!$A$1:$L$1,0)),0)</f>
        <v>0</v>
      </c>
      <c r="AH217" s="73">
        <f>IFERROR(INDEX('Euro Qual stats'!$A$1:$L$2071,MATCH(Players!$AE217,'Euro Qual stats'!$A$1:$A$2071,0),MATCH(Players!AH$2,'Euro Qual stats'!$A$1:$L$1,0)),0)</f>
        <v>0</v>
      </c>
      <c r="AI217" s="73">
        <f>IFERROR(INDEX('Euro Qual stats'!$A$1:$L$2071,MATCH(Players!$AE217,'Euro Qual stats'!$A$1:$A$2071,0),MATCH(Players!AI$2,'Euro Qual stats'!$A$1:$L$1,0)),0)</f>
        <v>0</v>
      </c>
      <c r="AJ217" s="93">
        <f>(12-AF217)/12*INDEX(BV$9:BV$12,MATCH($AB217,$BU$9:$BU$12,0))+AF217/12*AG217</f>
        <v>5.9450549450549464E-2</v>
      </c>
      <c r="AK217" s="93">
        <f>(12-AG217)/12*INDEX(BW$9:BW$12,MATCH($AB217,$BU$9:$BU$12,0))+AG217/12*AH217</f>
        <v>0.10357142857142858</v>
      </c>
      <c r="AL217" s="93">
        <f>(12-AH217)/12*INDEX(BX$9:BX$12,MATCH($AB217,$BU$9:$BU$12,0))+AH217/12*AI217</f>
        <v>0.19357142857142848</v>
      </c>
      <c r="AM217" s="93">
        <f>IF($BC217=1,AJ217/SUMIFS(AJ$3:AJ$623,$BC$3:$BC$623,1,$G$3:$G$623,$G217),0)</f>
        <v>3.3270199822334603E-2</v>
      </c>
      <c r="AN217" s="93">
        <f>IF($BC217=1,AK217/SUMIFS(AK$3:AK$623,$BC$3:$BC$623,1,$G$3:$G$623,$G217),0)</f>
        <v>3.7455225583341203E-2</v>
      </c>
      <c r="AO217" s="93">
        <f>IF($BC217=1,AL217/SUMIFS(AL$3:AL$623,$BC$3:$BC$623,1,$G$3:$G$623,$G217),0)</f>
        <v>9.8255234432141916E-2</v>
      </c>
      <c r="AP217" s="2" t="str">
        <f>IFERROR(R217/$V217*90,"")</f>
        <v/>
      </c>
      <c r="AQ217" s="2" t="str">
        <f>IFERROR(S217/$V217*90,"")</f>
        <v/>
      </c>
      <c r="AR217" s="2" t="str">
        <f>IFERROR(W217/$V217*90,"")</f>
        <v/>
      </c>
      <c r="AS217" s="2" t="str">
        <f>IFERROR(X217/$V217*90,"")</f>
        <v/>
      </c>
      <c r="AT217" s="2" t="str">
        <f>IFERROR(Y217/$V217*90,"")</f>
        <v/>
      </c>
      <c r="AU217" s="2">
        <f>IF(AP217="",INDEX(BV$4:BV$7,MATCH(O217,$BU$4:$BU$7,0)),AP217)</f>
        <v>0</v>
      </c>
      <c r="AV217" s="2">
        <f>IF(AQ217="",INDEX(BW$4:BW$7,MATCH($O217,$BU$4:$BU$7,0)),AQ217)</f>
        <v>0</v>
      </c>
      <c r="AW217" s="2">
        <f t="shared" si="36"/>
        <v>8.0624805297505417E-2</v>
      </c>
      <c r="AX217" s="2">
        <f t="shared" si="37"/>
        <v>0.1265377855887522</v>
      </c>
      <c r="AY217" s="2">
        <f t="shared" si="38"/>
        <v>0</v>
      </c>
      <c r="AZ217" s="2">
        <f>AU217*0.5+AK217*0.5</f>
        <v>5.1785714285714289E-2</v>
      </c>
      <c r="BA217" s="2">
        <f>AV217*0.5+AJ217*0.5</f>
        <v>2.9725274725274732E-2</v>
      </c>
      <c r="BB217" s="2">
        <f t="shared" si="39"/>
        <v>6.32688927943761E-2</v>
      </c>
      <c r="BC217">
        <f>IF(I217="expected",1,0)</f>
        <v>1</v>
      </c>
      <c r="BD217" s="78">
        <f>IF(BC217=1,AZ217/SUMIFS(AZ$3:AZ$623,$BC$3:$BC$623,1,$G$3:$G$623,$G217),0)</f>
        <v>2.6183484361011266E-2</v>
      </c>
      <c r="BE217" s="78">
        <f>IF(BC217=1,BA217/SUMIFS(BA$3:BA$623,$BC$3:$BC$623,1,$G$3:$G$623,$G217),0)</f>
        <v>2.3200062756901077E-2</v>
      </c>
      <c r="BF217" s="78">
        <f t="shared" si="40"/>
        <v>1.9184666872908533E-2</v>
      </c>
      <c r="BG217" s="2">
        <f t="shared" si="41"/>
        <v>6.32688927943761E-2</v>
      </c>
      <c r="BH217" s="2">
        <f t="shared" si="42"/>
        <v>0</v>
      </c>
      <c r="BI217" s="2">
        <f t="shared" si="43"/>
        <v>2.6183484361011266E-2</v>
      </c>
      <c r="BJ217" s="2">
        <f t="shared" si="44"/>
        <v>2.3200062756901077E-2</v>
      </c>
      <c r="BK217" s="2">
        <f t="shared" si="45"/>
        <v>1.9184666872908533E-2</v>
      </c>
      <c r="BL217" s="2">
        <f t="shared" si="46"/>
        <v>6.32688927943761E-2</v>
      </c>
      <c r="BM217" s="2">
        <f t="shared" si="47"/>
        <v>0</v>
      </c>
      <c r="BN217" s="2">
        <f>BI217/SUMIFS(BI$3:BI$623,$BC$3:$BC$623,1,$G$3:$G$623,$G217)</f>
        <v>2.6183484361011269E-2</v>
      </c>
      <c r="BO217" s="2">
        <f>BJ217/SUMIFS(BJ$3:BJ$623,$BC$3:$BC$623,1,$G$3:$G$623,$G217)</f>
        <v>2.671375761960906E-2</v>
      </c>
      <c r="BP217" s="2">
        <f>BK217/SUMIFS(BK$3:BK$623,$BC$3:$BC$623,1,$G$3:$G$623,$G217)</f>
        <v>2.1015425616624343E-2</v>
      </c>
      <c r="BQ217" s="2">
        <f>BL217</f>
        <v>6.32688927943761E-2</v>
      </c>
      <c r="BR217" s="2">
        <f>BM217</f>
        <v>0</v>
      </c>
    </row>
    <row r="218" spans="1:70" hidden="1">
      <c r="A218" s="74">
        <v>0</v>
      </c>
      <c r="B218" s="73">
        <v>220791</v>
      </c>
      <c r="C218" s="73" t="s">
        <v>1850</v>
      </c>
      <c r="D218" s="73" t="s">
        <v>1851</v>
      </c>
      <c r="E218" s="73" t="s">
        <v>1852</v>
      </c>
      <c r="F218" s="73">
        <v>18694</v>
      </c>
      <c r="G218" s="73" t="s">
        <v>876</v>
      </c>
      <c r="H218" s="73" t="s">
        <v>909</v>
      </c>
      <c r="I218" s="73" t="s">
        <v>1012</v>
      </c>
      <c r="J218" s="73">
        <v>0</v>
      </c>
      <c r="K218" s="73">
        <v>5.5</v>
      </c>
      <c r="L218" s="73">
        <v>0</v>
      </c>
      <c r="M218" s="73">
        <v>0</v>
      </c>
      <c r="N218" s="73">
        <v>0</v>
      </c>
      <c r="O218" s="73" t="s">
        <v>994</v>
      </c>
      <c r="P218" s="73" t="s">
        <v>1853</v>
      </c>
      <c r="Q218" s="73" t="s">
        <v>1164</v>
      </c>
      <c r="R218" s="73"/>
      <c r="S218" s="73"/>
      <c r="T218" s="73"/>
      <c r="U218" s="73"/>
      <c r="V218" s="73"/>
      <c r="W218" s="73"/>
      <c r="X218" s="73"/>
      <c r="Y218" s="73"/>
      <c r="Z218" s="73" t="s">
        <v>1095</v>
      </c>
      <c r="AA218" s="73" t="s">
        <v>691</v>
      </c>
      <c r="AB218" s="73" t="str">
        <f>IF(AA218&lt;&gt;"",INDEX(Lookup!$N$2:$N$5,MATCH(Players!AA218,Lookup!$P$2:$P$5,0)),INDEX(Lookup!$N$2:$N$5,MATCH(Players!O218,Lookup!$O$2:$O$5,0)))</f>
        <v>Midfield</v>
      </c>
      <c r="AC218" s="73">
        <v>2500000</v>
      </c>
      <c r="AD218" s="73" t="s">
        <v>790</v>
      </c>
      <c r="AE218" s="73">
        <f>INDEX('Translate table'!$H$2:$H$622,MATCH(Players!P218,'Translate table'!$G$2:$G$622,0))</f>
        <v>0</v>
      </c>
      <c r="AF218" s="73">
        <f>IFERROR(INDEX('Euro Qual stats'!$A$1:$L$2071,MATCH(Players!$AE218,'Euro Qual stats'!$A$1:$A$2071,0),MATCH(Players!AF$2,'Euro Qual stats'!$A$1:$L$1,0)),0)</f>
        <v>0</v>
      </c>
      <c r="AG218" s="73">
        <f>IFERROR(INDEX('Euro Qual stats'!$A$1:$L$2071,MATCH(Players!$AE218,'Euro Qual stats'!$A$1:$A$2071,0),MATCH(Players!AG$2,'Euro Qual stats'!$A$1:$L$1,0)),0)</f>
        <v>0</v>
      </c>
      <c r="AH218" s="73">
        <f>IFERROR(INDEX('Euro Qual stats'!$A$1:$L$2071,MATCH(Players!$AE218,'Euro Qual stats'!$A$1:$A$2071,0),MATCH(Players!AH$2,'Euro Qual stats'!$A$1:$L$1,0)),0)</f>
        <v>0</v>
      </c>
      <c r="AI218" s="73">
        <f>IFERROR(INDEX('Euro Qual stats'!$A$1:$L$2071,MATCH(Players!$AE218,'Euro Qual stats'!$A$1:$A$2071,0),MATCH(Players!AI$2,'Euro Qual stats'!$A$1:$L$1,0)),0)</f>
        <v>0</v>
      </c>
      <c r="AJ218" s="93">
        <f>(12-AF218)/12*INDEX(BV$9:BV$12,MATCH($AB218,$BU$9:$BU$12,0))+AF218/12*AG218</f>
        <v>0.16869109947643979</v>
      </c>
      <c r="AK218" s="93">
        <f>(12-AG218)/12*INDEX(BW$9:BW$12,MATCH($AB218,$BU$9:$BU$12,0))+AG218/12*AH218</f>
        <v>0.22340314136125652</v>
      </c>
      <c r="AL218" s="93">
        <f>(12-AH218)/12*INDEX(BX$9:BX$12,MATCH($AB218,$BU$9:$BU$12,0))+AH218/12*AI218</f>
        <v>0.23942408376963353</v>
      </c>
      <c r="AM218" s="93">
        <f>IF($BC218=1,AJ218/SUMIFS(AJ$3:AJ$623,$BC$3:$BC$623,1,$G$3:$G$623,$G218),0)</f>
        <v>0</v>
      </c>
      <c r="AN218" s="93">
        <f>IF($BC218=1,AK218/SUMIFS(AK$3:AK$623,$BC$3:$BC$623,1,$G$3:$G$623,$G218),0)</f>
        <v>0</v>
      </c>
      <c r="AO218" s="93">
        <f>IF($BC218=1,AL218/SUMIFS(AL$3:AL$623,$BC$3:$BC$623,1,$G$3:$G$623,$G218),0)</f>
        <v>0</v>
      </c>
      <c r="AP218" s="2" t="str">
        <f>IFERROR(R218/$V218*90,"")</f>
        <v/>
      </c>
      <c r="AQ218" s="2" t="str">
        <f>IFERROR(S218/$V218*90,"")</f>
        <v/>
      </c>
      <c r="AR218" s="2" t="str">
        <f>IFERROR(W218/$V218*90,"")</f>
        <v/>
      </c>
      <c r="AS218" s="2" t="str">
        <f>IFERROR(X218/$V218*90,"")</f>
        <v/>
      </c>
      <c r="AT218" s="2" t="str">
        <f>IFERROR(Y218/$V218*90,"")</f>
        <v/>
      </c>
      <c r="AU218" s="2">
        <f>IF(AP218="",INDEX(BV$4:BV$7,MATCH(O218,$BU$4:$BU$7,0)),AP218)</f>
        <v>3.6526142445450806E-2</v>
      </c>
      <c r="AV218" s="2">
        <f>IF(AQ218="",INDEX(BW$4:BW$7,MATCH($O218,$BU$4:$BU$7,0)),AQ218)</f>
        <v>3.2427739661688867E-2</v>
      </c>
      <c r="AW218" s="2">
        <f t="shared" si="36"/>
        <v>0.20013349649571699</v>
      </c>
      <c r="AX218" s="2">
        <f t="shared" si="37"/>
        <v>0.16081000595592615</v>
      </c>
      <c r="AY218" s="2">
        <f t="shared" si="38"/>
        <v>0</v>
      </c>
      <c r="AZ218" s="2">
        <f>AU218*0.5+AK218*0.5</f>
        <v>0.12996464190335366</v>
      </c>
      <c r="BA218" s="2">
        <f>AV218*0.5+AJ218*0.5</f>
        <v>0.10055941956906433</v>
      </c>
      <c r="BB218" s="2">
        <f t="shared" si="39"/>
        <v>8.0405002977963075E-2</v>
      </c>
      <c r="BC218">
        <f>IF(I218="expected",1,0)</f>
        <v>0</v>
      </c>
      <c r="BD218" s="78">
        <f>IF(BC218=1,AZ218/SUMIFS(AZ$3:AZ$623,$BC$3:$BC$623,1,$G$3:$G$623,$G218),0)</f>
        <v>0</v>
      </c>
      <c r="BE218" s="78">
        <f>IF(BC218=1,BA218/SUMIFS(BA$3:BA$623,$BC$3:$BC$623,1,$G$3:$G$623,$G218),0)</f>
        <v>0</v>
      </c>
      <c r="BF218" s="78">
        <f t="shared" si="40"/>
        <v>0</v>
      </c>
      <c r="BG218" s="2">
        <f t="shared" si="41"/>
        <v>8.0405002977963075E-2</v>
      </c>
      <c r="BH218" s="2">
        <f t="shared" si="42"/>
        <v>0</v>
      </c>
      <c r="BI218" s="2">
        <f t="shared" si="43"/>
        <v>0</v>
      </c>
      <c r="BJ218" s="2">
        <f t="shared" si="44"/>
        <v>0</v>
      </c>
      <c r="BK218" s="2">
        <f t="shared" si="45"/>
        <v>0</v>
      </c>
      <c r="BL218" s="2">
        <f t="shared" si="46"/>
        <v>8.0405002977963075E-2</v>
      </c>
      <c r="BM218" s="2">
        <f t="shared" si="47"/>
        <v>0</v>
      </c>
      <c r="BN218" s="2">
        <f>BI218/SUMIFS(BI$3:BI$623,$BC$3:$BC$623,1,$G$3:$G$623,$G218)</f>
        <v>0</v>
      </c>
      <c r="BO218" s="2">
        <f>BJ218/SUMIFS(BJ$3:BJ$623,$BC$3:$BC$623,1,$G$3:$G$623,$G218)</f>
        <v>0</v>
      </c>
      <c r="BP218" s="2">
        <f>BK218/SUMIFS(BK$3:BK$623,$BC$3:$BC$623,1,$G$3:$G$623,$G218)</f>
        <v>0</v>
      </c>
      <c r="BQ218" s="2">
        <f>BL218</f>
        <v>8.0405002977963075E-2</v>
      </c>
      <c r="BR218" s="2">
        <f>BM218</f>
        <v>0</v>
      </c>
    </row>
    <row r="219" spans="1:70" hidden="1">
      <c r="A219" s="74">
        <v>0</v>
      </c>
      <c r="B219" s="73">
        <v>220793</v>
      </c>
      <c r="C219" s="73" t="s">
        <v>1854</v>
      </c>
      <c r="D219" s="73" t="s">
        <v>1855</v>
      </c>
      <c r="E219" s="73" t="s">
        <v>1856</v>
      </c>
      <c r="F219" s="73">
        <v>18694</v>
      </c>
      <c r="G219" s="73" t="s">
        <v>876</v>
      </c>
      <c r="H219" s="73" t="s">
        <v>909</v>
      </c>
      <c r="I219" s="73" t="s">
        <v>1012</v>
      </c>
      <c r="J219" s="73">
        <v>0</v>
      </c>
      <c r="K219" s="73">
        <v>5.5</v>
      </c>
      <c r="L219" s="73">
        <v>0</v>
      </c>
      <c r="M219" s="73">
        <v>0</v>
      </c>
      <c r="N219" s="73">
        <v>0</v>
      </c>
      <c r="O219" s="73" t="s">
        <v>982</v>
      </c>
      <c r="P219" s="73" t="s">
        <v>1857</v>
      </c>
      <c r="Q219" s="73" t="s">
        <v>1857</v>
      </c>
      <c r="R219" s="73">
        <v>20</v>
      </c>
      <c r="S219" s="73">
        <v>8</v>
      </c>
      <c r="T219" s="73">
        <v>0</v>
      </c>
      <c r="U219" s="73">
        <v>7</v>
      </c>
      <c r="V219" s="73">
        <v>2947</v>
      </c>
      <c r="W219" s="73">
        <v>46</v>
      </c>
      <c r="X219" s="73">
        <v>3</v>
      </c>
      <c r="Y219" s="73">
        <v>0</v>
      </c>
      <c r="Z219" s="73" t="s">
        <v>1095</v>
      </c>
      <c r="AA219" s="73" t="s">
        <v>693</v>
      </c>
      <c r="AB219" s="73" t="str">
        <f>IF(AA219&lt;&gt;"",INDEX(Lookup!$N$2:$N$5,MATCH(Players!AA219,Lookup!$P$2:$P$5,0)),INDEX(Lookup!$N$2:$N$5,MATCH(Players!O219,Lookup!$O$2:$O$5,0)))</f>
        <v>Striker</v>
      </c>
      <c r="AC219" s="73">
        <v>5000000</v>
      </c>
      <c r="AD219" s="73" t="s">
        <v>802</v>
      </c>
      <c r="AE219" s="73" t="str">
        <f>INDEX('Translate table'!$H$2:$H$622,MATCH(Players!P219,'Translate table'!$G$2:$G$622,0))</f>
        <v>Wout Weghorst</v>
      </c>
      <c r="AF219" s="73">
        <f>IFERROR(INDEX('Euro Qual stats'!$A$1:$L$2071,MATCH(Players!$AE219,'Euro Qual stats'!$A$1:$A$2071,0),MATCH(Players!AF$2,'Euro Qual stats'!$A$1:$L$1,0)),0)</f>
        <v>1</v>
      </c>
      <c r="AG219" s="73">
        <f>IFERROR(INDEX('Euro Qual stats'!$A$1:$L$2071,MATCH(Players!$AE219,'Euro Qual stats'!$A$1:$A$2071,0),MATCH(Players!AG$2,'Euro Qual stats'!$A$1:$L$1,0)),0)</f>
        <v>0</v>
      </c>
      <c r="AH219" s="73">
        <f>IFERROR(INDEX('Euro Qual stats'!$A$1:$L$2071,MATCH(Players!$AE219,'Euro Qual stats'!$A$1:$A$2071,0),MATCH(Players!AH$2,'Euro Qual stats'!$A$1:$L$1,0)),0)</f>
        <v>0</v>
      </c>
      <c r="AI219" s="73">
        <f>IFERROR(INDEX('Euro Qual stats'!$A$1:$L$2071,MATCH(Players!$AE219,'Euro Qual stats'!$A$1:$A$2071,0),MATCH(Players!AI$2,'Euro Qual stats'!$A$1:$L$1,0)),0)</f>
        <v>0</v>
      </c>
      <c r="AJ219" s="93">
        <f>(12-AF219)/12*INDEX(BV$9:BV$12,MATCH($AB219,$BU$9:$BU$12,0))+AF219/12*AG219</f>
        <v>0.18783764367816094</v>
      </c>
      <c r="AK219" s="93">
        <f>(12-AG219)/12*INDEX(BW$9:BW$12,MATCH($AB219,$BU$9:$BU$12,0))+AG219/12*AH219</f>
        <v>0.53387931034482738</v>
      </c>
      <c r="AL219" s="93">
        <f>(12-AH219)/12*INDEX(BX$9:BX$12,MATCH($AB219,$BU$9:$BU$12,0))+AH219/12*AI219</f>
        <v>0.16482758620689658</v>
      </c>
      <c r="AM219" s="93">
        <f>IF($BC219=1,AJ219/SUMIFS(AJ$3:AJ$623,$BC$3:$BC$623,1,$G$3:$G$623,$G219),0)</f>
        <v>0</v>
      </c>
      <c r="AN219" s="93">
        <f>IF($BC219=1,AK219/SUMIFS(AK$3:AK$623,$BC$3:$BC$623,1,$G$3:$G$623,$G219),0)</f>
        <v>0</v>
      </c>
      <c r="AO219" s="93">
        <f>IF($BC219=1,AL219/SUMIFS(AL$3:AL$623,$BC$3:$BC$623,1,$G$3:$G$623,$G219),0)</f>
        <v>0</v>
      </c>
      <c r="AP219" s="2">
        <f>IFERROR(R219/$V219*90,"")</f>
        <v>0.61079063454360361</v>
      </c>
      <c r="AQ219" s="2">
        <f>IFERROR(S219/$V219*90,"")</f>
        <v>0.24431625381744149</v>
      </c>
      <c r="AR219" s="2">
        <f>IFERROR(W219/$V219*90,"")</f>
        <v>1.4048184594502884</v>
      </c>
      <c r="AS219" s="2">
        <f>IFERROR(X219/$V219*90,"")</f>
        <v>9.1618595181540557E-2</v>
      </c>
      <c r="AT219" s="2">
        <f>IFERROR(Y219/$V219*90,"")</f>
        <v>0</v>
      </c>
      <c r="AU219" s="2">
        <f>IF(AP219="",INDEX(BV$4:BV$7,MATCH(O219,$BU$4:$BU$7,0)),AP219)</f>
        <v>0.61079063454360361</v>
      </c>
      <c r="AV219" s="2">
        <f>IF(AQ219="",INDEX(BW$4:BW$7,MATCH($O219,$BU$4:$BU$7,0)),AQ219)</f>
        <v>0.24431625381744149</v>
      </c>
      <c r="AW219" s="2">
        <f t="shared" si="36"/>
        <v>1.4048184594502884</v>
      </c>
      <c r="AX219" s="2">
        <f t="shared" si="37"/>
        <v>9.1618595181540557E-2</v>
      </c>
      <c r="AY219" s="2">
        <f t="shared" si="38"/>
        <v>0</v>
      </c>
      <c r="AZ219" s="2">
        <f>AU219*0.5+AK219*0.5</f>
        <v>0.5723349724442155</v>
      </c>
      <c r="BA219" s="2">
        <f>AV219*0.5+AJ219*0.5</f>
        <v>0.2160769487478012</v>
      </c>
      <c r="BB219" s="2">
        <f t="shared" si="39"/>
        <v>4.5809297590770279E-2</v>
      </c>
      <c r="BC219">
        <f>IF(I219="expected",1,0)</f>
        <v>0</v>
      </c>
      <c r="BD219" s="78">
        <f>IF(BC219=1,AZ219/SUMIFS(AZ$3:AZ$623,$BC$3:$BC$623,1,$G$3:$G$623,$G219),0)</f>
        <v>0</v>
      </c>
      <c r="BE219" s="78">
        <f>IF(BC219=1,BA219/SUMIFS(BA$3:BA$623,$BC$3:$BC$623,1,$G$3:$G$623,$G219),0)</f>
        <v>0</v>
      </c>
      <c r="BF219" s="78">
        <f t="shared" si="40"/>
        <v>0</v>
      </c>
      <c r="BG219" s="2">
        <f t="shared" si="41"/>
        <v>4.5809297590770279E-2</v>
      </c>
      <c r="BH219" s="2">
        <f t="shared" si="42"/>
        <v>0</v>
      </c>
      <c r="BI219" s="2">
        <f t="shared" si="43"/>
        <v>0</v>
      </c>
      <c r="BJ219" s="2">
        <f t="shared" si="44"/>
        <v>0</v>
      </c>
      <c r="BK219" s="2">
        <f t="shared" si="45"/>
        <v>0</v>
      </c>
      <c r="BL219" s="2">
        <f t="shared" si="46"/>
        <v>4.5809297590770279E-2</v>
      </c>
      <c r="BM219" s="2">
        <f t="shared" si="47"/>
        <v>0</v>
      </c>
      <c r="BN219" s="2">
        <f>BI219/SUMIFS(BI$3:BI$623,$BC$3:$BC$623,1,$G$3:$G$623,$G219)</f>
        <v>0</v>
      </c>
      <c r="BO219" s="2">
        <f>BJ219/SUMIFS(BJ$3:BJ$623,$BC$3:$BC$623,1,$G$3:$G$623,$G219)</f>
        <v>0</v>
      </c>
      <c r="BP219" s="2">
        <f>BK219/SUMIFS(BK$3:BK$623,$BC$3:$BC$623,1,$G$3:$G$623,$G219)</f>
        <v>0</v>
      </c>
      <c r="BQ219" s="2">
        <f>BL219</f>
        <v>4.5809297590770279E-2</v>
      </c>
      <c r="BR219" s="2">
        <f>BM219</f>
        <v>0</v>
      </c>
    </row>
    <row r="220" spans="1:70" hidden="1">
      <c r="A220" s="74">
        <v>0</v>
      </c>
      <c r="B220" s="73">
        <v>213480</v>
      </c>
      <c r="C220" s="73" t="s">
        <v>1858</v>
      </c>
      <c r="D220" s="73" t="s">
        <v>1859</v>
      </c>
      <c r="E220" s="73" t="s">
        <v>1860</v>
      </c>
      <c r="F220" s="73">
        <v>18660</v>
      </c>
      <c r="G220" s="73" t="s">
        <v>892</v>
      </c>
      <c r="H220" s="73" t="s">
        <v>915</v>
      </c>
      <c r="I220" s="73" t="s">
        <v>981</v>
      </c>
      <c r="J220" s="73">
        <v>0</v>
      </c>
      <c r="K220" s="73">
        <v>5.5</v>
      </c>
      <c r="L220" s="73">
        <v>0</v>
      </c>
      <c r="M220" s="73">
        <v>0</v>
      </c>
      <c r="N220" s="73">
        <v>0</v>
      </c>
      <c r="O220" s="73" t="s">
        <v>1318</v>
      </c>
      <c r="P220" s="73" t="s">
        <v>1861</v>
      </c>
      <c r="Q220" s="73" t="s">
        <v>1861</v>
      </c>
      <c r="R220" s="73">
        <v>11</v>
      </c>
      <c r="S220" s="73">
        <v>6</v>
      </c>
      <c r="T220" s="73">
        <v>0</v>
      </c>
      <c r="U220" s="73">
        <v>5</v>
      </c>
      <c r="V220" s="73">
        <v>2535</v>
      </c>
      <c r="W220" s="73">
        <v>22</v>
      </c>
      <c r="X220" s="73">
        <v>7</v>
      </c>
      <c r="Y220" s="73">
        <v>1</v>
      </c>
      <c r="Z220" s="73" t="s">
        <v>1046</v>
      </c>
      <c r="AA220" s="73" t="s">
        <v>692</v>
      </c>
      <c r="AB220" s="73" t="str">
        <f>IF(AA220&lt;&gt;"",INDEX(Lookup!$N$2:$N$5,MATCH(Players!AA220,Lookup!$P$2:$P$5,0)),INDEX(Lookup!$N$2:$N$5,MATCH(Players!O220,Lookup!$O$2:$O$5,0)))</f>
        <v>Defense</v>
      </c>
      <c r="AC220" s="73">
        <v>5000000</v>
      </c>
      <c r="AD220" s="73" t="s">
        <v>793</v>
      </c>
      <c r="AE220" s="73" t="str">
        <f>INDEX('Translate table'!$H$2:$H$622,MATCH(Players!P220,'Translate table'!$G$2:$G$622,0))</f>
        <v>Roin Kvaskhvadze</v>
      </c>
      <c r="AF220" s="73">
        <f>IFERROR(INDEX('Euro Qual stats'!$A$1:$L$2071,MATCH(Players!$AE220,'Euro Qual stats'!$A$1:$A$2071,0),MATCH(Players!AF$2,'Euro Qual stats'!$A$1:$L$1,0)),0)</f>
        <v>0</v>
      </c>
      <c r="AG220" s="73">
        <f>IFERROR(INDEX('Euro Qual stats'!$A$1:$L$2071,MATCH(Players!$AE220,'Euro Qual stats'!$A$1:$A$2071,0),MATCH(Players!AG$2,'Euro Qual stats'!$A$1:$L$1,0)),0)</f>
        <v>0</v>
      </c>
      <c r="AH220" s="73">
        <f>IFERROR(INDEX('Euro Qual stats'!$A$1:$L$2071,MATCH(Players!$AE220,'Euro Qual stats'!$A$1:$A$2071,0),MATCH(Players!AH$2,'Euro Qual stats'!$A$1:$L$1,0)),0)</f>
        <v>0</v>
      </c>
      <c r="AI220" s="73">
        <f>IFERROR(INDEX('Euro Qual stats'!$A$1:$L$2071,MATCH(Players!$AE220,'Euro Qual stats'!$A$1:$A$2071,0),MATCH(Players!AI$2,'Euro Qual stats'!$A$1:$L$1,0)),0)</f>
        <v>0</v>
      </c>
      <c r="AJ220" s="93">
        <f>(12-AF220)/12*INDEX(BV$9:BV$12,MATCH($AB220,$BU$9:$BU$12,0))+AF220/12*AG220</f>
        <v>8.9175824175824203E-2</v>
      </c>
      <c r="AK220" s="93">
        <f>(12-AG220)/12*INDEX(BW$9:BW$12,MATCH($AB220,$BU$9:$BU$12,0))+AG220/12*AH220</f>
        <v>0.10357142857142858</v>
      </c>
      <c r="AL220" s="93">
        <f>(12-AH220)/12*INDEX(BX$9:BX$12,MATCH($AB220,$BU$9:$BU$12,0))+AH220/12*AI220</f>
        <v>0.19357142857142848</v>
      </c>
      <c r="AM220" s="93">
        <f>IF($BC220=1,AJ220/SUMIFS(AJ$3:AJ$623,$BC$3:$BC$623,1,$G$3:$G$623,$G220),0)</f>
        <v>4.7404044556162511E-2</v>
      </c>
      <c r="AN220" s="93">
        <f>IF($BC220=1,AK220/SUMIFS(AK$3:AK$623,$BC$3:$BC$623,1,$G$3:$G$623,$G220),0)</f>
        <v>4.3657457449898927E-2</v>
      </c>
      <c r="AO220" s="93">
        <f>IF($BC220=1,AL220/SUMIFS(AL$3:AL$623,$BC$3:$BC$623,1,$G$3:$G$623,$G220),0)</f>
        <v>9.5147499348732539E-2</v>
      </c>
      <c r="AP220" s="2">
        <f>IFERROR(R220/$V220*90,"")</f>
        <v>0.39053254437869822</v>
      </c>
      <c r="AQ220" s="2">
        <f>IFERROR(S220/$V220*90,"")</f>
        <v>0.21301775147928995</v>
      </c>
      <c r="AR220" s="2">
        <f>IFERROR(W220/$V220*90,"")</f>
        <v>0.78106508875739644</v>
      </c>
      <c r="AS220" s="2">
        <f>IFERROR(X220/$V220*90,"")</f>
        <v>0.24852071005917159</v>
      </c>
      <c r="AT220" s="2">
        <f>IFERROR(Y220/$V220*90,"")</f>
        <v>3.5502958579881658E-2</v>
      </c>
      <c r="AU220" s="2">
        <f>IF(AP220="",INDEX(BV$4:BV$7,MATCH(O220,$BU$4:$BU$7,0)),AP220)</f>
        <v>0.39053254437869822</v>
      </c>
      <c r="AV220" s="2">
        <f>IF(AQ220="",INDEX(BW$4:BW$7,MATCH($O220,$BU$4:$BU$7,0)),AQ220)</f>
        <v>0.21301775147928995</v>
      </c>
      <c r="AW220" s="2">
        <f t="shared" si="36"/>
        <v>0.78106508875739644</v>
      </c>
      <c r="AX220" s="2">
        <f t="shared" si="37"/>
        <v>0.24852071005917159</v>
      </c>
      <c r="AY220" s="2">
        <f t="shared" si="38"/>
        <v>3.5502958579881658E-2</v>
      </c>
      <c r="AZ220" s="2">
        <f>AU220*0.5+AK220*0.5</f>
        <v>0.24705198647506341</v>
      </c>
      <c r="BA220" s="2">
        <f>AV220*0.5+AJ220*0.5</f>
        <v>0.15109678782755709</v>
      </c>
      <c r="BB220" s="2">
        <f t="shared" si="39"/>
        <v>0.1242603550295858</v>
      </c>
      <c r="BC220">
        <f>IF(I220="expected",1,0)</f>
        <v>1</v>
      </c>
      <c r="BD220" s="78">
        <f>IF(BC220=1,AZ220/SUMIFS(AZ$3:AZ$623,$BC$3:$BC$623,1,$G$3:$G$623,$G220),0)</f>
        <v>0.10057142804051666</v>
      </c>
      <c r="BE220" s="78">
        <f>IF(BC220=1,BA220/SUMIFS(BA$3:BA$623,$BC$3:$BC$623,1,$G$3:$G$623,$G220),0)</f>
        <v>7.8671804062504125E-2</v>
      </c>
      <c r="BF220" s="78">
        <f t="shared" si="40"/>
        <v>0.10876602203733433</v>
      </c>
      <c r="BG220" s="2">
        <f t="shared" si="41"/>
        <v>0.1242603550295858</v>
      </c>
      <c r="BH220" s="2">
        <f t="shared" si="42"/>
        <v>3.5502958579881658E-2</v>
      </c>
      <c r="BI220" s="2">
        <f t="shared" si="43"/>
        <v>0.10057142804051666</v>
      </c>
      <c r="BJ220" s="2">
        <f t="shared" si="44"/>
        <v>7.8671804062504125E-2</v>
      </c>
      <c r="BK220" s="2">
        <f t="shared" si="45"/>
        <v>0.10876602203733433</v>
      </c>
      <c r="BL220" s="2">
        <f t="shared" si="46"/>
        <v>0.1242603550295858</v>
      </c>
      <c r="BM220" s="2">
        <f t="shared" si="47"/>
        <v>3.5502958579881658E-2</v>
      </c>
      <c r="BN220" s="2">
        <f>BI220/SUMIFS(BI$3:BI$623,$BC$3:$BC$623,1,$G$3:$G$623,$G220)</f>
        <v>0.10057142804051666</v>
      </c>
      <c r="BO220" s="2">
        <f>BJ220/SUMIFS(BJ$3:BJ$623,$BC$3:$BC$623,1,$G$3:$G$623,$G220)</f>
        <v>7.8671804062504125E-2</v>
      </c>
      <c r="BP220" s="2">
        <f>BK220/SUMIFS(BK$3:BK$623,$BC$3:$BC$623,1,$G$3:$G$623,$G220)</f>
        <v>0.10876602203733433</v>
      </c>
      <c r="BQ220" s="2">
        <f>BL220</f>
        <v>0.1242603550295858</v>
      </c>
      <c r="BR220" s="2">
        <f>BM220</f>
        <v>3.5502958579881658E-2</v>
      </c>
    </row>
    <row r="221" spans="1:70" hidden="1">
      <c r="A221" s="74">
        <v>0</v>
      </c>
      <c r="B221" s="73">
        <v>213479</v>
      </c>
      <c r="C221" s="73" t="s">
        <v>1862</v>
      </c>
      <c r="D221" s="73" t="s">
        <v>1863</v>
      </c>
      <c r="E221" s="73" t="s">
        <v>1864</v>
      </c>
      <c r="F221" s="73">
        <v>18660</v>
      </c>
      <c r="G221" s="73" t="s">
        <v>892</v>
      </c>
      <c r="H221" s="73" t="s">
        <v>915</v>
      </c>
      <c r="I221" s="73" t="s">
        <v>1012</v>
      </c>
      <c r="J221" s="73">
        <v>0</v>
      </c>
      <c r="K221" s="73">
        <v>5.5</v>
      </c>
      <c r="L221" s="73">
        <v>0</v>
      </c>
      <c r="M221" s="73">
        <v>0</v>
      </c>
      <c r="N221" s="73">
        <v>0</v>
      </c>
      <c r="O221" s="73" t="s">
        <v>1318</v>
      </c>
      <c r="P221" s="73" t="s">
        <v>1865</v>
      </c>
      <c r="Q221" s="73" t="s">
        <v>1865</v>
      </c>
      <c r="R221" s="73">
        <v>1</v>
      </c>
      <c r="S221" s="73">
        <v>4</v>
      </c>
      <c r="T221" s="73">
        <v>0</v>
      </c>
      <c r="U221" s="73">
        <v>7</v>
      </c>
      <c r="V221" s="73">
        <v>2133</v>
      </c>
      <c r="W221" s="73">
        <v>5</v>
      </c>
      <c r="X221" s="73">
        <v>5</v>
      </c>
      <c r="Y221" s="73">
        <v>0</v>
      </c>
      <c r="Z221" s="73" t="s">
        <v>1046</v>
      </c>
      <c r="AA221" s="73" t="s">
        <v>692</v>
      </c>
      <c r="AB221" s="73" t="str">
        <f>IF(AA221&lt;&gt;"",INDEX(Lookup!$N$2:$N$5,MATCH(Players!AA221,Lookup!$P$2:$P$5,0)),INDEX(Lookup!$N$2:$N$5,MATCH(Players!O221,Lookup!$O$2:$O$5,0)))</f>
        <v>Defense</v>
      </c>
      <c r="AC221" s="73">
        <v>4000000</v>
      </c>
      <c r="AD221" s="73" t="s">
        <v>792</v>
      </c>
      <c r="AE221" s="73" t="str">
        <f>INDEX('Translate table'!$H$2:$H$622,MATCH(Players!P221,'Translate table'!$G$2:$G$622,0))</f>
        <v>Emre Can</v>
      </c>
      <c r="AF221" s="73">
        <f>IFERROR(INDEX('Euro Qual stats'!$A$1:$L$2071,MATCH(Players!$AE221,'Euro Qual stats'!$A$1:$A$2071,0),MATCH(Players!AF$2,'Euro Qual stats'!$A$1:$L$1,0)),0)</f>
        <v>3</v>
      </c>
      <c r="AG221" s="73">
        <f>IFERROR(INDEX('Euro Qual stats'!$A$1:$L$2071,MATCH(Players!$AE221,'Euro Qual stats'!$A$1:$A$2071,0),MATCH(Players!AG$2,'Euro Qual stats'!$A$1:$L$1,0)),0)</f>
        <v>0</v>
      </c>
      <c r="AH221" s="73">
        <f>IFERROR(INDEX('Euro Qual stats'!$A$1:$L$2071,MATCH(Players!$AE221,'Euro Qual stats'!$A$1:$A$2071,0),MATCH(Players!AH$2,'Euro Qual stats'!$A$1:$L$1,0)),0)</f>
        <v>0</v>
      </c>
      <c r="AI221" s="73">
        <f>IFERROR(INDEX('Euro Qual stats'!$A$1:$L$2071,MATCH(Players!$AE221,'Euro Qual stats'!$A$1:$A$2071,0),MATCH(Players!AI$2,'Euro Qual stats'!$A$1:$L$1,0)),0)</f>
        <v>1.65</v>
      </c>
      <c r="AJ221" s="93">
        <f>(12-AF221)/12*INDEX(BV$9:BV$12,MATCH($AB221,$BU$9:$BU$12,0))+AF221/12*AG221</f>
        <v>6.6881868131868152E-2</v>
      </c>
      <c r="AK221" s="93">
        <f>(12-AG221)/12*INDEX(BW$9:BW$12,MATCH($AB221,$BU$9:$BU$12,0))+AG221/12*AH221</f>
        <v>0.10357142857142858</v>
      </c>
      <c r="AL221" s="93">
        <f>(12-AH221)/12*INDEX(BX$9:BX$12,MATCH($AB221,$BU$9:$BU$12,0))+AH221/12*AI221</f>
        <v>0.19357142857142848</v>
      </c>
      <c r="AM221" s="93">
        <f>IF($BC221=1,AJ221/SUMIFS(AJ$3:AJ$623,$BC$3:$BC$623,1,$G$3:$G$623,$G221),0)</f>
        <v>0</v>
      </c>
      <c r="AN221" s="93">
        <f>IF($BC221=1,AK221/SUMIFS(AK$3:AK$623,$BC$3:$BC$623,1,$G$3:$G$623,$G221),0)</f>
        <v>0</v>
      </c>
      <c r="AO221" s="93">
        <f>IF($BC221=1,AL221/SUMIFS(AL$3:AL$623,$BC$3:$BC$623,1,$G$3:$G$623,$G221),0)</f>
        <v>0</v>
      </c>
      <c r="AP221" s="2">
        <f>IFERROR(R221/$V221*90,"")</f>
        <v>4.2194092827004225E-2</v>
      </c>
      <c r="AQ221" s="2">
        <f>IFERROR(S221/$V221*90,"")</f>
        <v>0.1687763713080169</v>
      </c>
      <c r="AR221" s="2">
        <f>IFERROR(W221/$V221*90,"")</f>
        <v>0.2109704641350211</v>
      </c>
      <c r="AS221" s="2">
        <f>IFERROR(X221/$V221*90,"")</f>
        <v>0.2109704641350211</v>
      </c>
      <c r="AT221" s="2">
        <f>IFERROR(Y221/$V221*90,"")</f>
        <v>0</v>
      </c>
      <c r="AU221" s="2">
        <f>IF(AP221="",INDEX(BV$4:BV$7,MATCH(O221,$BU$4:$BU$7,0)),AP221)</f>
        <v>4.2194092827004225E-2</v>
      </c>
      <c r="AV221" s="2">
        <f>IF(AQ221="",INDEX(BW$4:BW$7,MATCH($O221,$BU$4:$BU$7,0)),AQ221)</f>
        <v>0.1687763713080169</v>
      </c>
      <c r="AW221" s="2">
        <f t="shared" si="36"/>
        <v>0.2109704641350211</v>
      </c>
      <c r="AX221" s="2">
        <f t="shared" si="37"/>
        <v>0.2109704641350211</v>
      </c>
      <c r="AY221" s="2">
        <f t="shared" si="38"/>
        <v>0</v>
      </c>
      <c r="AZ221" s="2">
        <f>AU221*0.5+AK221*0.5</f>
        <v>7.2882760699216398E-2</v>
      </c>
      <c r="BA221" s="2">
        <f>AV221*0.5+AJ221*0.5</f>
        <v>0.11782911971994253</v>
      </c>
      <c r="BB221" s="2">
        <f t="shared" si="39"/>
        <v>0.93048523206751055</v>
      </c>
      <c r="BC221">
        <f>IF(I221="expected",1,0)</f>
        <v>0</v>
      </c>
      <c r="BD221" s="78">
        <f>IF(BC221=1,AZ221/SUMIFS(AZ$3:AZ$623,$BC$3:$BC$623,1,$G$3:$G$623,$G221),0)</f>
        <v>0</v>
      </c>
      <c r="BE221" s="78">
        <f>IF(BC221=1,BA221/SUMIFS(BA$3:BA$623,$BC$3:$BC$623,1,$G$3:$G$623,$G221),0)</f>
        <v>0</v>
      </c>
      <c r="BF221" s="78">
        <f t="shared" si="40"/>
        <v>0</v>
      </c>
      <c r="BG221" s="2">
        <f t="shared" si="41"/>
        <v>0.93048523206751055</v>
      </c>
      <c r="BH221" s="2">
        <f t="shared" si="42"/>
        <v>0</v>
      </c>
      <c r="BI221" s="2">
        <f t="shared" si="43"/>
        <v>0</v>
      </c>
      <c r="BJ221" s="2">
        <f t="shared" si="44"/>
        <v>0</v>
      </c>
      <c r="BK221" s="2">
        <f t="shared" si="45"/>
        <v>0</v>
      </c>
      <c r="BL221" s="2">
        <f t="shared" si="46"/>
        <v>0.93048523206751055</v>
      </c>
      <c r="BM221" s="2">
        <f t="shared" si="47"/>
        <v>0</v>
      </c>
      <c r="BN221" s="2">
        <f>BI221/SUMIFS(BI$3:BI$623,$BC$3:$BC$623,1,$G$3:$G$623,$G221)</f>
        <v>0</v>
      </c>
      <c r="BO221" s="2">
        <f>BJ221/SUMIFS(BJ$3:BJ$623,$BC$3:$BC$623,1,$G$3:$G$623,$G221)</f>
        <v>0</v>
      </c>
      <c r="BP221" s="2">
        <f>BK221/SUMIFS(BK$3:BK$623,$BC$3:$BC$623,1,$G$3:$G$623,$G221)</f>
        <v>0</v>
      </c>
      <c r="BQ221" s="2">
        <f>BL221</f>
        <v>0.93048523206751055</v>
      </c>
      <c r="BR221" s="2">
        <f>BM221</f>
        <v>0</v>
      </c>
    </row>
    <row r="222" spans="1:70" hidden="1">
      <c r="A222" s="74">
        <v>0</v>
      </c>
      <c r="B222" s="73">
        <v>213478</v>
      </c>
      <c r="C222" s="73" t="s">
        <v>1866</v>
      </c>
      <c r="D222" s="73" t="s">
        <v>1867</v>
      </c>
      <c r="E222" s="73" t="s">
        <v>1868</v>
      </c>
      <c r="F222" s="73">
        <v>18660</v>
      </c>
      <c r="G222" s="73" t="s">
        <v>892</v>
      </c>
      <c r="H222" s="73" t="s">
        <v>915</v>
      </c>
      <c r="I222" s="73" t="s">
        <v>1012</v>
      </c>
      <c r="J222" s="73">
        <v>0</v>
      </c>
      <c r="K222" s="73">
        <v>5.5</v>
      </c>
      <c r="L222" s="73">
        <v>0</v>
      </c>
      <c r="M222" s="73">
        <v>0</v>
      </c>
      <c r="N222" s="73">
        <v>0</v>
      </c>
      <c r="O222" s="73" t="s">
        <v>1318</v>
      </c>
      <c r="P222" s="73" t="s">
        <v>1869</v>
      </c>
      <c r="Q222" s="73" t="s">
        <v>1869</v>
      </c>
      <c r="R222" s="73">
        <v>1</v>
      </c>
      <c r="S222" s="73">
        <v>0</v>
      </c>
      <c r="T222" s="73">
        <v>0</v>
      </c>
      <c r="U222" s="73">
        <v>4</v>
      </c>
      <c r="V222" s="73">
        <v>1443</v>
      </c>
      <c r="W222" s="73">
        <v>2</v>
      </c>
      <c r="X222" s="73">
        <v>2</v>
      </c>
      <c r="Y222" s="73">
        <v>0</v>
      </c>
      <c r="Z222" s="73" t="s">
        <v>1046</v>
      </c>
      <c r="AA222" s="73" t="s">
        <v>692</v>
      </c>
      <c r="AB222" s="73" t="str">
        <f>IF(AA222&lt;&gt;"",INDEX(Lookup!$N$2:$N$5,MATCH(Players!AA222,Lookup!$P$2:$P$5,0)),INDEX(Lookup!$N$2:$N$5,MATCH(Players!O222,Lookup!$O$2:$O$5,0)))</f>
        <v>Defense</v>
      </c>
      <c r="AC222" s="73">
        <v>3500000</v>
      </c>
      <c r="AD222" s="73" t="s">
        <v>793</v>
      </c>
      <c r="AE222" s="73" t="str">
        <f>INDEX('Translate table'!$H$2:$H$622,MATCH(Players!P222,'Translate table'!$G$2:$G$622,0))</f>
        <v>Lukas Klostermann</v>
      </c>
      <c r="AF222" s="73">
        <f>IFERROR(INDEX('Euro Qual stats'!$A$1:$L$2071,MATCH(Players!$AE222,'Euro Qual stats'!$A$1:$A$2071,0),MATCH(Players!AF$2,'Euro Qual stats'!$A$1:$L$1,0)),0)</f>
        <v>6</v>
      </c>
      <c r="AG222" s="73">
        <f>IFERROR(INDEX('Euro Qual stats'!$A$1:$L$2071,MATCH(Players!$AE222,'Euro Qual stats'!$A$1:$A$2071,0),MATCH(Players!AG$2,'Euro Qual stats'!$A$1:$L$1,0)),0)</f>
        <v>0.17</v>
      </c>
      <c r="AH222" s="73">
        <f>IFERROR(INDEX('Euro Qual stats'!$A$1:$L$2071,MATCH(Players!$AE222,'Euro Qual stats'!$A$1:$A$2071,0),MATCH(Players!AH$2,'Euro Qual stats'!$A$1:$L$1,0)),0)</f>
        <v>0</v>
      </c>
      <c r="AI222" s="73">
        <f>IFERROR(INDEX('Euro Qual stats'!$A$1:$L$2071,MATCH(Players!$AE222,'Euro Qual stats'!$A$1:$A$2071,0),MATCH(Players!AI$2,'Euro Qual stats'!$A$1:$L$1,0)),0)</f>
        <v>0</v>
      </c>
      <c r="AJ222" s="93">
        <f>(12-AF222)/12*INDEX(BV$9:BV$12,MATCH($AB222,$BU$9:$BU$12,0))+AF222/12*AG222</f>
        <v>0.12958791208791209</v>
      </c>
      <c r="AK222" s="93">
        <f>(12-AG222)/12*INDEX(BW$9:BW$12,MATCH($AB222,$BU$9:$BU$12,0))+AG222/12*AH222</f>
        <v>0.10210416666666668</v>
      </c>
      <c r="AL222" s="93">
        <f>(12-AH222)/12*INDEX(BX$9:BX$12,MATCH($AB222,$BU$9:$BU$12,0))+AH222/12*AI222</f>
        <v>0.19357142857142848</v>
      </c>
      <c r="AM222" s="93">
        <f>IF($BC222=1,AJ222/SUMIFS(AJ$3:AJ$623,$BC$3:$BC$623,1,$G$3:$G$623,$G222),0)</f>
        <v>0</v>
      </c>
      <c r="AN222" s="93">
        <f>IF($BC222=1,AK222/SUMIFS(AK$3:AK$623,$BC$3:$BC$623,1,$G$3:$G$623,$G222),0)</f>
        <v>0</v>
      </c>
      <c r="AO222" s="93">
        <f>IF($BC222=1,AL222/SUMIFS(AL$3:AL$623,$BC$3:$BC$623,1,$G$3:$G$623,$G222),0)</f>
        <v>0</v>
      </c>
      <c r="AP222" s="2">
        <f>IFERROR(R222/$V222*90,"")</f>
        <v>6.2370062370062374E-2</v>
      </c>
      <c r="AQ222" s="2">
        <f>IFERROR(S222/$V222*90,"")</f>
        <v>0</v>
      </c>
      <c r="AR222" s="2">
        <f>IFERROR(W222/$V222*90,"")</f>
        <v>0.12474012474012475</v>
      </c>
      <c r="AS222" s="2">
        <f>IFERROR(X222/$V222*90,"")</f>
        <v>0.12474012474012475</v>
      </c>
      <c r="AT222" s="2">
        <f>IFERROR(Y222/$V222*90,"")</f>
        <v>0</v>
      </c>
      <c r="AU222" s="2">
        <f>IF(AP222="",INDEX(BV$4:BV$7,MATCH(O222,$BU$4:$BU$7,0)),AP222)</f>
        <v>6.2370062370062374E-2</v>
      </c>
      <c r="AV222" s="2">
        <f>IF(AQ222="",INDEX(BW$4:BW$7,MATCH($O222,$BU$4:$BU$7,0)),AQ222)</f>
        <v>0</v>
      </c>
      <c r="AW222" s="2">
        <f t="shared" si="36"/>
        <v>0.12474012474012475</v>
      </c>
      <c r="AX222" s="2">
        <f t="shared" si="37"/>
        <v>0.12474012474012475</v>
      </c>
      <c r="AY222" s="2">
        <f t="shared" si="38"/>
        <v>0</v>
      </c>
      <c r="AZ222" s="2">
        <f>AU222*0.5+AK222*0.5</f>
        <v>8.2237114518364518E-2</v>
      </c>
      <c r="BA222" s="2">
        <f>AV222*0.5+AJ222*0.5</f>
        <v>6.4793956043956047E-2</v>
      </c>
      <c r="BB222" s="2">
        <f t="shared" si="39"/>
        <v>6.2370062370062374E-2</v>
      </c>
      <c r="BC222">
        <f>IF(I222="expected",1,0)</f>
        <v>0</v>
      </c>
      <c r="BD222" s="78">
        <f>IF(BC222=1,AZ222/SUMIFS(AZ$3:AZ$623,$BC$3:$BC$623,1,$G$3:$G$623,$G222),0)</f>
        <v>0</v>
      </c>
      <c r="BE222" s="78">
        <f>IF(BC222=1,BA222/SUMIFS(BA$3:BA$623,$BC$3:$BC$623,1,$G$3:$G$623,$G222),0)</f>
        <v>0</v>
      </c>
      <c r="BF222" s="78">
        <f t="shared" si="40"/>
        <v>0</v>
      </c>
      <c r="BG222" s="2">
        <f t="shared" si="41"/>
        <v>6.2370062370062374E-2</v>
      </c>
      <c r="BH222" s="2">
        <f t="shared" si="42"/>
        <v>0</v>
      </c>
      <c r="BI222" s="2">
        <f t="shared" si="43"/>
        <v>0</v>
      </c>
      <c r="BJ222" s="2">
        <f t="shared" si="44"/>
        <v>0</v>
      </c>
      <c r="BK222" s="2">
        <f t="shared" si="45"/>
        <v>0</v>
      </c>
      <c r="BL222" s="2">
        <f t="shared" si="46"/>
        <v>6.2370062370062374E-2</v>
      </c>
      <c r="BM222" s="2">
        <f t="shared" si="47"/>
        <v>0</v>
      </c>
      <c r="BN222" s="2">
        <f>BI222/SUMIFS(BI$3:BI$623,$BC$3:$BC$623,1,$G$3:$G$623,$G222)</f>
        <v>0</v>
      </c>
      <c r="BO222" s="2">
        <f>BJ222/SUMIFS(BJ$3:BJ$623,$BC$3:$BC$623,1,$G$3:$G$623,$G222)</f>
        <v>0</v>
      </c>
      <c r="BP222" s="2">
        <f>BK222/SUMIFS(BK$3:BK$623,$BC$3:$BC$623,1,$G$3:$G$623,$G222)</f>
        <v>0</v>
      </c>
      <c r="BQ222" s="2">
        <f>BL222</f>
        <v>6.2370062370062374E-2</v>
      </c>
      <c r="BR222" s="2">
        <f>BM222</f>
        <v>0</v>
      </c>
    </row>
    <row r="223" spans="1:70" hidden="1">
      <c r="A223" s="74">
        <v>0</v>
      </c>
      <c r="B223" s="73">
        <v>223168</v>
      </c>
      <c r="C223" s="73" t="s">
        <v>1870</v>
      </c>
      <c r="D223" s="73" t="s">
        <v>1871</v>
      </c>
      <c r="E223" s="73" t="s">
        <v>1872</v>
      </c>
      <c r="F223" s="73">
        <v>18645</v>
      </c>
      <c r="G223" s="73" t="s">
        <v>879</v>
      </c>
      <c r="H223" s="73" t="s">
        <v>933</v>
      </c>
      <c r="I223" s="73" t="s">
        <v>1012</v>
      </c>
      <c r="J223" s="73">
        <v>0</v>
      </c>
      <c r="K223" s="73">
        <v>5.5</v>
      </c>
      <c r="L223" s="73">
        <v>0</v>
      </c>
      <c r="M223" s="73">
        <v>0</v>
      </c>
      <c r="N223" s="73">
        <v>0</v>
      </c>
      <c r="O223" s="73" t="s">
        <v>1290</v>
      </c>
      <c r="P223" s="73" t="s">
        <v>1873</v>
      </c>
      <c r="Q223" s="73" t="s">
        <v>536</v>
      </c>
      <c r="R223" s="73">
        <v>0</v>
      </c>
      <c r="S223" s="73">
        <v>1</v>
      </c>
      <c r="T223" s="73">
        <v>166</v>
      </c>
      <c r="U223" s="73">
        <v>6</v>
      </c>
      <c r="V223" s="73">
        <v>3330</v>
      </c>
      <c r="W223" s="73">
        <v>0</v>
      </c>
      <c r="X223" s="73">
        <v>1</v>
      </c>
      <c r="Y223" s="73">
        <v>0</v>
      </c>
      <c r="Z223" s="73" t="s">
        <v>879</v>
      </c>
      <c r="AA223" s="73" t="s">
        <v>690</v>
      </c>
      <c r="AB223" s="73" t="str">
        <f>IF(AA223&lt;&gt;"",INDEX(Lookup!$N$2:$N$5,MATCH(Players!AA223,Lookup!$P$2:$P$5,0)),INDEX(Lookup!$N$2:$N$5,MATCH(Players!O223,Lookup!$O$2:$O$5,0)))</f>
        <v>Goalkeeper</v>
      </c>
      <c r="AC223" s="73">
        <v>5000000</v>
      </c>
      <c r="AD223" s="73" t="s">
        <v>788</v>
      </c>
      <c r="AE223" s="73" t="str">
        <f>INDEX('Translate table'!$H$2:$H$622,MATCH(Players!P223,'Translate table'!$G$2:$G$622,0))</f>
        <v>Sam Larsson</v>
      </c>
      <c r="AF223" s="73">
        <f>IFERROR(INDEX('Euro Qual stats'!$A$1:$L$2071,MATCH(Players!$AE223,'Euro Qual stats'!$A$1:$A$2071,0),MATCH(Players!AF$2,'Euro Qual stats'!$A$1:$L$1,0)),0)</f>
        <v>0</v>
      </c>
      <c r="AG223" s="73">
        <f>IFERROR(INDEX('Euro Qual stats'!$A$1:$L$2071,MATCH(Players!$AE223,'Euro Qual stats'!$A$1:$A$2071,0),MATCH(Players!AG$2,'Euro Qual stats'!$A$1:$L$1,0)),0)</f>
        <v>0</v>
      </c>
      <c r="AH223" s="73">
        <f>IFERROR(INDEX('Euro Qual stats'!$A$1:$L$2071,MATCH(Players!$AE223,'Euro Qual stats'!$A$1:$A$2071,0),MATCH(Players!AH$2,'Euro Qual stats'!$A$1:$L$1,0)),0)</f>
        <v>0</v>
      </c>
      <c r="AI223" s="73">
        <f>IFERROR(INDEX('Euro Qual stats'!$A$1:$L$2071,MATCH(Players!$AE223,'Euro Qual stats'!$A$1:$A$2071,0),MATCH(Players!AI$2,'Euro Qual stats'!$A$1:$L$1,0)),0)</f>
        <v>0</v>
      </c>
      <c r="AJ223" s="93">
        <f>(12-AF223)/12*INDEX(BV$9:BV$12,MATCH($AB223,$BU$9:$BU$12,0))+AF223/12*AG223</f>
        <v>0</v>
      </c>
      <c r="AK223" s="93">
        <f>(12-AG223)/12*INDEX(BW$9:BW$12,MATCH($AB223,$BU$9:$BU$12,0))+AG223/12*AH223</f>
        <v>0</v>
      </c>
      <c r="AL223" s="93">
        <f>(12-AH223)/12*INDEX(BX$9:BX$12,MATCH($AB223,$BU$9:$BU$12,0))+AH223/12*AI223</f>
        <v>0</v>
      </c>
      <c r="AM223" s="93">
        <f>IF($BC223=1,AJ223/SUMIFS(AJ$3:AJ$623,$BC$3:$BC$623,1,$G$3:$G$623,$G223),0)</f>
        <v>0</v>
      </c>
      <c r="AN223" s="93">
        <f>IF($BC223=1,AK223/SUMIFS(AK$3:AK$623,$BC$3:$BC$623,1,$G$3:$G$623,$G223),0)</f>
        <v>0</v>
      </c>
      <c r="AO223" s="93">
        <f>IF($BC223=1,AL223/SUMIFS(AL$3:AL$623,$BC$3:$BC$623,1,$G$3:$G$623,$G223),0)</f>
        <v>0</v>
      </c>
      <c r="AP223" s="2">
        <f>IFERROR(R223/$V223*90,"")</f>
        <v>0</v>
      </c>
      <c r="AQ223" s="2">
        <f>IFERROR(S223/$V223*90,"")</f>
        <v>2.7027027027027025E-2</v>
      </c>
      <c r="AR223" s="2">
        <f>IFERROR(W223/$V223*90,"")</f>
        <v>0</v>
      </c>
      <c r="AS223" s="2">
        <f>IFERROR(X223/$V223*90,"")</f>
        <v>2.7027027027027025E-2</v>
      </c>
      <c r="AT223" s="2">
        <f>IFERROR(Y223/$V223*90,"")</f>
        <v>0</v>
      </c>
      <c r="AU223" s="2">
        <f>IF(AP223="",INDEX(BV$4:BV$7,MATCH(O223,$BU$4:$BU$7,0)),AP223)</f>
        <v>0</v>
      </c>
      <c r="AV223" s="2">
        <f>IF(AQ223="",INDEX(BW$4:BW$7,MATCH($O223,$BU$4:$BU$7,0)),AQ223)</f>
        <v>2.7027027027027025E-2</v>
      </c>
      <c r="AW223" s="2">
        <f t="shared" si="36"/>
        <v>0</v>
      </c>
      <c r="AX223" s="2">
        <f t="shared" si="37"/>
        <v>2.7027027027027025E-2</v>
      </c>
      <c r="AY223" s="2">
        <f t="shared" si="38"/>
        <v>0</v>
      </c>
      <c r="AZ223" s="2">
        <f>AU223*0.5+AK223*0.5</f>
        <v>0</v>
      </c>
      <c r="BA223" s="2">
        <f>AV223*0.5+AJ223*0.5</f>
        <v>1.3513513513513513E-2</v>
      </c>
      <c r="BB223" s="2">
        <f t="shared" si="39"/>
        <v>1.3513513513513513E-2</v>
      </c>
      <c r="BC223">
        <f>IF(I223="expected",1,0)</f>
        <v>0</v>
      </c>
      <c r="BD223" s="78">
        <f>IF(BC223=1,AZ223/SUMIFS(AZ$3:AZ$623,$BC$3:$BC$623,1,$G$3:$G$623,$G223),0)</f>
        <v>0</v>
      </c>
      <c r="BE223" s="78">
        <f>IF(BC223=1,BA223/SUMIFS(BA$3:BA$623,$BC$3:$BC$623,1,$G$3:$G$623,$G223),0)</f>
        <v>0</v>
      </c>
      <c r="BF223" s="78">
        <f t="shared" si="40"/>
        <v>0</v>
      </c>
      <c r="BG223" s="2">
        <f t="shared" si="41"/>
        <v>1.3513513513513513E-2</v>
      </c>
      <c r="BH223" s="2">
        <f t="shared" si="42"/>
        <v>0</v>
      </c>
      <c r="BI223" s="2">
        <f t="shared" si="43"/>
        <v>0</v>
      </c>
      <c r="BJ223" s="2">
        <f t="shared" si="44"/>
        <v>0</v>
      </c>
      <c r="BK223" s="2">
        <f t="shared" si="45"/>
        <v>0</v>
      </c>
      <c r="BL223" s="2">
        <f t="shared" si="46"/>
        <v>1.3513513513513513E-2</v>
      </c>
      <c r="BM223" s="2">
        <f t="shared" si="47"/>
        <v>0</v>
      </c>
      <c r="BN223" s="2">
        <f>BI223/SUMIFS(BI$3:BI$623,$BC$3:$BC$623,1,$G$3:$G$623,$G223)</f>
        <v>0</v>
      </c>
      <c r="BO223" s="2">
        <f>BJ223/SUMIFS(BJ$3:BJ$623,$BC$3:$BC$623,1,$G$3:$G$623,$G223)</f>
        <v>0</v>
      </c>
      <c r="BP223" s="2">
        <f>BK223/SUMIFS(BK$3:BK$623,$BC$3:$BC$623,1,$G$3:$G$623,$G223)</f>
        <v>0</v>
      </c>
      <c r="BQ223" s="2">
        <f>BL223</f>
        <v>1.3513513513513513E-2</v>
      </c>
      <c r="BR223" s="2">
        <f>BM223</f>
        <v>0</v>
      </c>
    </row>
    <row r="224" spans="1:70" hidden="1">
      <c r="A224" s="74">
        <v>0</v>
      </c>
      <c r="B224" s="73">
        <v>204682</v>
      </c>
      <c r="C224" s="73" t="s">
        <v>1874</v>
      </c>
      <c r="D224" s="73" t="s">
        <v>1875</v>
      </c>
      <c r="E224" s="73" t="s">
        <v>1876</v>
      </c>
      <c r="F224" s="73">
        <v>18701</v>
      </c>
      <c r="G224" s="73" t="s">
        <v>893</v>
      </c>
      <c r="H224" s="73" t="s">
        <v>947</v>
      </c>
      <c r="I224" s="73" t="s">
        <v>981</v>
      </c>
      <c r="J224" s="73">
        <v>0</v>
      </c>
      <c r="K224" s="73">
        <v>5.5</v>
      </c>
      <c r="L224" s="73">
        <v>0</v>
      </c>
      <c r="M224" s="73">
        <v>0</v>
      </c>
      <c r="N224" s="73">
        <v>0</v>
      </c>
      <c r="O224" s="73" t="s">
        <v>1290</v>
      </c>
      <c r="P224" s="73" t="s">
        <v>1877</v>
      </c>
      <c r="Q224" s="73" t="s">
        <v>1877</v>
      </c>
      <c r="R224" s="73">
        <v>0</v>
      </c>
      <c r="S224" s="73">
        <v>0</v>
      </c>
      <c r="T224" s="73">
        <v>95</v>
      </c>
      <c r="U224" s="73">
        <v>11</v>
      </c>
      <c r="V224" s="73">
        <v>3420</v>
      </c>
      <c r="W224" s="73">
        <v>0</v>
      </c>
      <c r="X224" s="73">
        <v>2</v>
      </c>
      <c r="Y224" s="73">
        <v>0</v>
      </c>
      <c r="Z224" s="73" t="s">
        <v>893</v>
      </c>
      <c r="AA224" s="73" t="s">
        <v>690</v>
      </c>
      <c r="AB224" s="73" t="str">
        <f>IF(AA224&lt;&gt;"",INDEX(Lookup!$N$2:$N$5,MATCH(Players!AA224,Lookup!$P$2:$P$5,0)),INDEX(Lookup!$N$2:$N$5,MATCH(Players!O224,Lookup!$O$2:$O$5,0)))</f>
        <v>Goalkeeper</v>
      </c>
      <c r="AC224" s="73">
        <v>5000000</v>
      </c>
      <c r="AD224" s="73" t="s">
        <v>792</v>
      </c>
      <c r="AE224" s="73" t="str">
        <f>INDEX('Translate table'!$H$2:$H$622,MATCH(Players!P224,'Translate table'!$G$2:$G$622,0))</f>
        <v>Ã‰derzito AntÃ³nio Macedo Lopes</v>
      </c>
      <c r="AF224" s="73">
        <f>IFERROR(INDEX('Euro Qual stats'!$A$1:$L$2071,MATCH(Players!$AE224,'Euro Qual stats'!$A$1:$A$2071,0),MATCH(Players!AF$2,'Euro Qual stats'!$A$1:$L$1,0)),0)</f>
        <v>0</v>
      </c>
      <c r="AG224" s="73">
        <f>IFERROR(INDEX('Euro Qual stats'!$A$1:$L$2071,MATCH(Players!$AE224,'Euro Qual stats'!$A$1:$A$2071,0),MATCH(Players!AG$2,'Euro Qual stats'!$A$1:$L$1,0)),0)</f>
        <v>0</v>
      </c>
      <c r="AH224" s="73">
        <f>IFERROR(INDEX('Euro Qual stats'!$A$1:$L$2071,MATCH(Players!$AE224,'Euro Qual stats'!$A$1:$A$2071,0),MATCH(Players!AH$2,'Euro Qual stats'!$A$1:$L$1,0)),0)</f>
        <v>0</v>
      </c>
      <c r="AI224" s="73">
        <f>IFERROR(INDEX('Euro Qual stats'!$A$1:$L$2071,MATCH(Players!$AE224,'Euro Qual stats'!$A$1:$A$2071,0),MATCH(Players!AI$2,'Euro Qual stats'!$A$1:$L$1,0)),0)</f>
        <v>0</v>
      </c>
      <c r="AJ224" s="93">
        <f>(12-AF224)/12*INDEX(BV$9:BV$12,MATCH($AB224,$BU$9:$BU$12,0))+AF224/12*AG224</f>
        <v>0</v>
      </c>
      <c r="AK224" s="93">
        <f>(12-AG224)/12*INDEX(BW$9:BW$12,MATCH($AB224,$BU$9:$BU$12,0))+AG224/12*AH224</f>
        <v>0</v>
      </c>
      <c r="AL224" s="93">
        <f>(12-AH224)/12*INDEX(BX$9:BX$12,MATCH($AB224,$BU$9:$BU$12,0))+AH224/12*AI224</f>
        <v>0</v>
      </c>
      <c r="AM224" s="93">
        <f>IF($BC224=1,AJ224/SUMIFS(AJ$3:AJ$623,$BC$3:$BC$623,1,$G$3:$G$623,$G224),0)</f>
        <v>0</v>
      </c>
      <c r="AN224" s="93">
        <f>IF($BC224=1,AK224/SUMIFS(AK$3:AK$623,$BC$3:$BC$623,1,$G$3:$G$623,$G224),0)</f>
        <v>0</v>
      </c>
      <c r="AO224" s="93">
        <f>IF($BC224=1,AL224/SUMIFS(AL$3:AL$623,$BC$3:$BC$623,1,$G$3:$G$623,$G224),0)</f>
        <v>0</v>
      </c>
      <c r="AP224" s="2">
        <f>IFERROR(R224/$V224*90,"")</f>
        <v>0</v>
      </c>
      <c r="AQ224" s="2">
        <f>IFERROR(S224/$V224*90,"")</f>
        <v>0</v>
      </c>
      <c r="AR224" s="2">
        <f>IFERROR(W224/$V224*90,"")</f>
        <v>0</v>
      </c>
      <c r="AS224" s="2">
        <f>IFERROR(X224/$V224*90,"")</f>
        <v>5.2631578947368425E-2</v>
      </c>
      <c r="AT224" s="2">
        <f>IFERROR(Y224/$V224*90,"")</f>
        <v>0</v>
      </c>
      <c r="AU224" s="2">
        <f>IF(AP224="",INDEX(BV$4:BV$7,MATCH(O224,$BU$4:$BU$7,0)),AP224)</f>
        <v>0</v>
      </c>
      <c r="AV224" s="2">
        <f>IF(AQ224="",INDEX(BW$4:BW$7,MATCH($O224,$BU$4:$BU$7,0)),AQ224)</f>
        <v>0</v>
      </c>
      <c r="AW224" s="2">
        <f t="shared" si="36"/>
        <v>0</v>
      </c>
      <c r="AX224" s="2">
        <f t="shared" si="37"/>
        <v>5.2631578947368425E-2</v>
      </c>
      <c r="AY224" s="2">
        <f t="shared" si="38"/>
        <v>0</v>
      </c>
      <c r="AZ224" s="2">
        <f>AU224*0.5+AK224*0.5</f>
        <v>0</v>
      </c>
      <c r="BA224" s="2">
        <f>AV224*0.5+AJ224*0.5</f>
        <v>0</v>
      </c>
      <c r="BB224" s="2">
        <f t="shared" si="39"/>
        <v>2.6315789473684213E-2</v>
      </c>
      <c r="BC224">
        <f>IF(I224="expected",1,0)</f>
        <v>1</v>
      </c>
      <c r="BD224" s="78">
        <f>IF(BC224=1,AZ224/SUMIFS(AZ$3:AZ$623,$BC$3:$BC$623,1,$G$3:$G$623,$G224),0)</f>
        <v>0</v>
      </c>
      <c r="BE224" s="78">
        <f>IF(BC224=1,BA224/SUMIFS(BA$3:BA$623,$BC$3:$BC$623,1,$G$3:$G$623,$G224),0)</f>
        <v>0</v>
      </c>
      <c r="BF224" s="78">
        <f t="shared" si="40"/>
        <v>0</v>
      </c>
      <c r="BG224" s="2">
        <f t="shared" si="41"/>
        <v>2.6315789473684213E-2</v>
      </c>
      <c r="BH224" s="2">
        <f t="shared" si="42"/>
        <v>0</v>
      </c>
      <c r="BI224" s="2">
        <f t="shared" si="43"/>
        <v>0</v>
      </c>
      <c r="BJ224" s="2">
        <f t="shared" si="44"/>
        <v>0</v>
      </c>
      <c r="BK224" s="2">
        <f t="shared" si="45"/>
        <v>0</v>
      </c>
      <c r="BL224" s="2">
        <f t="shared" si="46"/>
        <v>2.6315789473684213E-2</v>
      </c>
      <c r="BM224" s="2">
        <f t="shared" si="47"/>
        <v>0</v>
      </c>
      <c r="BN224" s="2">
        <f>BI224/SUMIFS(BI$3:BI$623,$BC$3:$BC$623,1,$G$3:$G$623,$G224)</f>
        <v>0</v>
      </c>
      <c r="BO224" s="2">
        <f>BJ224/SUMIFS(BJ$3:BJ$623,$BC$3:$BC$623,1,$G$3:$G$623,$G224)</f>
        <v>0</v>
      </c>
      <c r="BP224" s="2">
        <f>BK224/SUMIFS(BK$3:BK$623,$BC$3:$BC$623,1,$G$3:$G$623,$G224)</f>
        <v>0</v>
      </c>
      <c r="BQ224" s="2">
        <f>BL224</f>
        <v>2.6315789473684213E-2</v>
      </c>
      <c r="BR224" s="2">
        <f>BM224</f>
        <v>0</v>
      </c>
    </row>
    <row r="225" spans="1:70" hidden="1">
      <c r="A225" s="74">
        <v>0</v>
      </c>
      <c r="B225" s="73">
        <v>221610</v>
      </c>
      <c r="C225" s="73" t="s">
        <v>1878</v>
      </c>
      <c r="D225" s="73" t="s">
        <v>1879</v>
      </c>
      <c r="E225" s="73" t="s">
        <v>1880</v>
      </c>
      <c r="F225" s="73">
        <v>18701</v>
      </c>
      <c r="G225" s="73" t="s">
        <v>893</v>
      </c>
      <c r="H225" s="73" t="s">
        <v>947</v>
      </c>
      <c r="I225" s="73" t="s">
        <v>981</v>
      </c>
      <c r="J225" s="73">
        <v>0</v>
      </c>
      <c r="K225" s="73">
        <v>5.5</v>
      </c>
      <c r="L225" s="73">
        <v>0</v>
      </c>
      <c r="M225" s="73">
        <v>0</v>
      </c>
      <c r="N225" s="73">
        <v>0</v>
      </c>
      <c r="O225" s="73" t="s">
        <v>1318</v>
      </c>
      <c r="P225" s="73" t="s">
        <v>1881</v>
      </c>
      <c r="Q225" s="73" t="s">
        <v>1882</v>
      </c>
      <c r="R225" s="73">
        <v>2</v>
      </c>
      <c r="S225" s="73">
        <v>0</v>
      </c>
      <c r="T225" s="73">
        <v>0</v>
      </c>
      <c r="U225" s="73">
        <v>1</v>
      </c>
      <c r="V225" s="73">
        <v>1628</v>
      </c>
      <c r="W225" s="73">
        <v>2</v>
      </c>
      <c r="X225" s="73">
        <v>5</v>
      </c>
      <c r="Y225" s="73">
        <v>0</v>
      </c>
      <c r="Z225" s="73" t="s">
        <v>893</v>
      </c>
      <c r="AA225" s="73" t="s">
        <v>692</v>
      </c>
      <c r="AB225" s="73" t="str">
        <f>IF(AA225&lt;&gt;"",INDEX(Lookup!$N$2:$N$5,MATCH(Players!AA225,Lookup!$P$2:$P$5,0)),INDEX(Lookup!$N$2:$N$5,MATCH(Players!O225,Lookup!$O$2:$O$5,0)))</f>
        <v>Defense</v>
      </c>
      <c r="AC225" s="73">
        <v>3500000</v>
      </c>
      <c r="AD225" s="73" t="s">
        <v>793</v>
      </c>
      <c r="AE225" s="73" t="str">
        <f>INDEX('Translate table'!$H$2:$H$622,MATCH(Players!P225,'Translate table'!$G$2:$G$622,0))</f>
        <v>GonÃ§alo Mendes Paciencia</v>
      </c>
      <c r="AF225" s="73">
        <f>IFERROR(INDEX('Euro Qual stats'!$A$1:$L$2071,MATCH(Players!$AE225,'Euro Qual stats'!$A$1:$A$2071,0),MATCH(Players!AF$2,'Euro Qual stats'!$A$1:$L$1,0)),0)</f>
        <v>1</v>
      </c>
      <c r="AG225" s="73">
        <f>IFERROR(INDEX('Euro Qual stats'!$A$1:$L$2071,MATCH(Players!$AE225,'Euro Qual stats'!$A$1:$A$2071,0),MATCH(Players!AG$2,'Euro Qual stats'!$A$1:$L$1,0)),0)</f>
        <v>1</v>
      </c>
      <c r="AH225" s="73">
        <f>IFERROR(INDEX('Euro Qual stats'!$A$1:$L$2071,MATCH(Players!$AE225,'Euro Qual stats'!$A$1:$A$2071,0),MATCH(Players!AH$2,'Euro Qual stats'!$A$1:$L$1,0)),0)</f>
        <v>1</v>
      </c>
      <c r="AI225" s="73">
        <f>IFERROR(INDEX('Euro Qual stats'!$A$1:$L$2071,MATCH(Players!$AE225,'Euro Qual stats'!$A$1:$A$2071,0),MATCH(Players!AI$2,'Euro Qual stats'!$A$1:$L$1,0)),0)</f>
        <v>0</v>
      </c>
      <c r="AJ225" s="93">
        <f>(12-AF225)/12*INDEX(BV$9:BV$12,MATCH($AB225,$BU$9:$BU$12,0))+AF225/12*AG225</f>
        <v>0.16507783882783883</v>
      </c>
      <c r="AK225" s="93">
        <f>(12-AG225)/12*INDEX(BW$9:BW$12,MATCH($AB225,$BU$9:$BU$12,0))+AG225/12*AH225</f>
        <v>0.1782738095238095</v>
      </c>
      <c r="AL225" s="93">
        <f>(12-AH225)/12*INDEX(BX$9:BX$12,MATCH($AB225,$BU$9:$BU$12,0))+AH225/12*AI225</f>
        <v>0.17744047619047609</v>
      </c>
      <c r="AM225" s="93">
        <f>IF($BC225=1,AJ225/SUMIFS(AJ$3:AJ$623,$BC$3:$BC$623,1,$G$3:$G$623,$G225),0)</f>
        <v>0.10661264896866765</v>
      </c>
      <c r="AN225" s="93">
        <f>IF($BC225=1,AK225/SUMIFS(AK$3:AK$623,$BC$3:$BC$623,1,$G$3:$G$623,$G225),0)</f>
        <v>7.248072539415483E-2</v>
      </c>
      <c r="AO225" s="93">
        <f>IF($BC225=1,AL225/SUMIFS(AL$3:AL$623,$BC$3:$BC$623,1,$G$3:$G$623,$G225),0)</f>
        <v>8.7993586839143906E-2</v>
      </c>
      <c r="AP225" s="2">
        <f>IFERROR(R225/$V225*90,"")</f>
        <v>0.11056511056511056</v>
      </c>
      <c r="AQ225" s="2">
        <f>IFERROR(S225/$V225*90,"")</f>
        <v>0</v>
      </c>
      <c r="AR225" s="2">
        <f>IFERROR(W225/$V225*90,"")</f>
        <v>0.11056511056511056</v>
      </c>
      <c r="AS225" s="2">
        <f>IFERROR(X225/$V225*90,"")</f>
        <v>0.2764127764127764</v>
      </c>
      <c r="AT225" s="2">
        <f>IFERROR(Y225/$V225*90,"")</f>
        <v>0</v>
      </c>
      <c r="AU225" s="2">
        <f>IF(AP225="",INDEX(BV$4:BV$7,MATCH(O225,$BU$4:$BU$7,0)),AP225)</f>
        <v>0.11056511056511056</v>
      </c>
      <c r="AV225" s="2">
        <f>IF(AQ225="",INDEX(BW$4:BW$7,MATCH($O225,$BU$4:$BU$7,0)),AQ225)</f>
        <v>0</v>
      </c>
      <c r="AW225" s="2">
        <f t="shared" si="36"/>
        <v>0.11056511056511056</v>
      </c>
      <c r="AX225" s="2">
        <f t="shared" si="37"/>
        <v>0.2764127764127764</v>
      </c>
      <c r="AY225" s="2">
        <f t="shared" si="38"/>
        <v>0</v>
      </c>
      <c r="AZ225" s="2">
        <f>AU225*0.5+AK225*0.5</f>
        <v>0.14441946004446005</v>
      </c>
      <c r="BA225" s="2">
        <f>AV225*0.5+AJ225*0.5</f>
        <v>8.2538919413919415E-2</v>
      </c>
      <c r="BB225" s="2">
        <f t="shared" si="39"/>
        <v>0.1382063882063882</v>
      </c>
      <c r="BC225">
        <f>IF(I225="expected",1,0)</f>
        <v>1</v>
      </c>
      <c r="BD225" s="78">
        <f>IF(BC225=1,AZ225/SUMIFS(AZ$3:AZ$623,$BC$3:$BC$623,1,$G$3:$G$623,$G225),0)</f>
        <v>5.5913278569713516E-2</v>
      </c>
      <c r="BE225" s="78">
        <f>IF(BC225=1,BA225/SUMIFS(BA$3:BA$623,$BC$3:$BC$623,1,$G$3:$G$623,$G225),0)</f>
        <v>6.657360354877534E-2</v>
      </c>
      <c r="BF225" s="78">
        <f t="shared" si="40"/>
        <v>1.421148387838363E-2</v>
      </c>
      <c r="BG225" s="2">
        <f t="shared" si="41"/>
        <v>0.1382063882063882</v>
      </c>
      <c r="BH225" s="2">
        <f t="shared" si="42"/>
        <v>0</v>
      </c>
      <c r="BI225" s="2">
        <f t="shared" si="43"/>
        <v>5.5913278569713516E-2</v>
      </c>
      <c r="BJ225" s="2">
        <f t="shared" si="44"/>
        <v>6.657360354877534E-2</v>
      </c>
      <c r="BK225" s="2">
        <f t="shared" si="45"/>
        <v>1.421148387838363E-2</v>
      </c>
      <c r="BL225" s="2">
        <f t="shared" si="46"/>
        <v>0.1382063882063882</v>
      </c>
      <c r="BM225" s="2">
        <f t="shared" si="47"/>
        <v>0</v>
      </c>
      <c r="BN225" s="2">
        <f>BI225/SUMIFS(BI$3:BI$623,$BC$3:$BC$623,1,$G$3:$G$623,$G225)</f>
        <v>5.5913278569713523E-2</v>
      </c>
      <c r="BO225" s="2">
        <f>BJ225/SUMIFS(BJ$3:BJ$623,$BC$3:$BC$623,1,$G$3:$G$623,$G225)</f>
        <v>6.6926783270767273E-2</v>
      </c>
      <c r="BP225" s="2">
        <f>BK225/SUMIFS(BK$3:BK$623,$BC$3:$BC$623,1,$G$3:$G$623,$G225)</f>
        <v>1.421148387838363E-2</v>
      </c>
      <c r="BQ225" s="2">
        <f>BL225</f>
        <v>0.1382063882063882</v>
      </c>
      <c r="BR225" s="2">
        <f>BM225</f>
        <v>0</v>
      </c>
    </row>
    <row r="226" spans="1:70" hidden="1">
      <c r="A226" s="74">
        <v>0</v>
      </c>
      <c r="B226" s="73">
        <v>221609</v>
      </c>
      <c r="C226" s="73" t="s">
        <v>1883</v>
      </c>
      <c r="D226" s="73"/>
      <c r="E226" s="73" t="s">
        <v>1884</v>
      </c>
      <c r="F226" s="73">
        <v>18701</v>
      </c>
      <c r="G226" s="73" t="s">
        <v>893</v>
      </c>
      <c r="H226" s="73" t="s">
        <v>947</v>
      </c>
      <c r="I226" s="73" t="s">
        <v>981</v>
      </c>
      <c r="J226" s="73">
        <v>0</v>
      </c>
      <c r="K226" s="73">
        <v>5.5</v>
      </c>
      <c r="L226" s="73">
        <v>0</v>
      </c>
      <c r="M226" s="73">
        <v>0</v>
      </c>
      <c r="N226" s="73">
        <v>0</v>
      </c>
      <c r="O226" s="73" t="s">
        <v>1318</v>
      </c>
      <c r="P226" s="73" t="s">
        <v>1884</v>
      </c>
      <c r="Q226" s="73" t="s">
        <v>1884</v>
      </c>
      <c r="R226" s="73">
        <v>0</v>
      </c>
      <c r="S226" s="73">
        <v>0</v>
      </c>
      <c r="T226" s="73">
        <v>0</v>
      </c>
      <c r="U226" s="73">
        <v>1</v>
      </c>
      <c r="V226" s="73">
        <v>254</v>
      </c>
      <c r="W226" s="73">
        <v>0</v>
      </c>
      <c r="X226" s="73">
        <v>0</v>
      </c>
      <c r="Y226" s="73">
        <v>0</v>
      </c>
      <c r="Z226" s="73" t="s">
        <v>893</v>
      </c>
      <c r="AA226" s="73" t="s">
        <v>692</v>
      </c>
      <c r="AB226" s="73" t="str">
        <f>IF(AA226&lt;&gt;"",INDEX(Lookup!$N$2:$N$5,MATCH(Players!AA226,Lookup!$P$2:$P$5,0)),INDEX(Lookup!$N$2:$N$5,MATCH(Players!O226,Lookup!$O$2:$O$5,0)))</f>
        <v>Defense</v>
      </c>
      <c r="AC226" s="73">
        <v>2500000</v>
      </c>
      <c r="AD226" s="73" t="s">
        <v>818</v>
      </c>
      <c r="AE226" s="73" t="str">
        <f>INDEX('Translate table'!$H$2:$H$622,MATCH(Players!P226,'Translate table'!$G$2:$G$622,0))</f>
        <v>Nick Pope</v>
      </c>
      <c r="AF226" s="73">
        <f>IFERROR(INDEX('Euro Qual stats'!$A$1:$L$2071,MATCH(Players!$AE226,'Euro Qual stats'!$A$1:$A$2071,0),MATCH(Players!AF$2,'Euro Qual stats'!$A$1:$L$1,0)),0)</f>
        <v>1</v>
      </c>
      <c r="AG226" s="73">
        <f>IFERROR(INDEX('Euro Qual stats'!$A$1:$L$2071,MATCH(Players!$AE226,'Euro Qual stats'!$A$1:$A$2071,0),MATCH(Players!AG$2,'Euro Qual stats'!$A$1:$L$1,0)),0)</f>
        <v>0</v>
      </c>
      <c r="AH226" s="73">
        <f>IFERROR(INDEX('Euro Qual stats'!$A$1:$L$2071,MATCH(Players!$AE226,'Euro Qual stats'!$A$1:$A$2071,0),MATCH(Players!AH$2,'Euro Qual stats'!$A$1:$L$1,0)),0)</f>
        <v>0</v>
      </c>
      <c r="AI226" s="73">
        <f>IFERROR(INDEX('Euro Qual stats'!$A$1:$L$2071,MATCH(Players!$AE226,'Euro Qual stats'!$A$1:$A$2071,0),MATCH(Players!AI$2,'Euro Qual stats'!$A$1:$L$1,0)),0)</f>
        <v>0</v>
      </c>
      <c r="AJ226" s="93">
        <f>(12-AF226)/12*INDEX(BV$9:BV$12,MATCH($AB226,$BU$9:$BU$12,0))+AF226/12*AG226</f>
        <v>8.1744505494505515E-2</v>
      </c>
      <c r="AK226" s="93">
        <f>(12-AG226)/12*INDEX(BW$9:BW$12,MATCH($AB226,$BU$9:$BU$12,0))+AG226/12*AH226</f>
        <v>0.10357142857142858</v>
      </c>
      <c r="AL226" s="93">
        <f>(12-AH226)/12*INDEX(BX$9:BX$12,MATCH($AB226,$BU$9:$BU$12,0))+AH226/12*AI226</f>
        <v>0.19357142857142848</v>
      </c>
      <c r="AM226" s="93">
        <f>IF($BC226=1,AJ226/SUMIFS(AJ$3:AJ$623,$BC$3:$BC$623,1,$G$3:$G$623,$G226),0)</f>
        <v>5.2793266081536186E-2</v>
      </c>
      <c r="AN226" s="93">
        <f>IF($BC226=1,AK226/SUMIFS(AK$3:AK$623,$BC$3:$BC$623,1,$G$3:$G$623,$G226),0)</f>
        <v>4.2109002399275265E-2</v>
      </c>
      <c r="AO226" s="93">
        <f>IF($BC226=1,AL226/SUMIFS(AL$3:AL$623,$BC$3:$BC$623,1,$G$3:$G$623,$G226),0)</f>
        <v>9.5993003824520626E-2</v>
      </c>
      <c r="AP226" s="2">
        <f>IFERROR(R226/$V226*90,"")</f>
        <v>0</v>
      </c>
      <c r="AQ226" s="2">
        <f>IFERROR(S226/$V226*90,"")</f>
        <v>0</v>
      </c>
      <c r="AR226" s="2">
        <f>IFERROR(W226/$V226*90,"")</f>
        <v>0</v>
      </c>
      <c r="AS226" s="2">
        <f>IFERROR(X226/$V226*90,"")</f>
        <v>0</v>
      </c>
      <c r="AT226" s="2">
        <f>IFERROR(Y226/$V226*90,"")</f>
        <v>0</v>
      </c>
      <c r="AU226" s="2">
        <f>IF(AP226="",INDEX(BV$4:BV$7,MATCH(O226,$BU$4:$BU$7,0)),AP226)</f>
        <v>0</v>
      </c>
      <c r="AV226" s="2">
        <f>IF(AQ226="",INDEX(BW$4:BW$7,MATCH($O226,$BU$4:$BU$7,0)),AQ226)</f>
        <v>0</v>
      </c>
      <c r="AW226" s="2">
        <f t="shared" si="36"/>
        <v>0</v>
      </c>
      <c r="AX226" s="2">
        <f t="shared" si="37"/>
        <v>0</v>
      </c>
      <c r="AY226" s="2">
        <f t="shared" si="38"/>
        <v>0</v>
      </c>
      <c r="AZ226" s="2">
        <f>AU226*0.5+AK226*0.5</f>
        <v>5.1785714285714289E-2</v>
      </c>
      <c r="BA226" s="2">
        <f>AV226*0.5+AJ226*0.5</f>
        <v>4.0872252747252757E-2</v>
      </c>
      <c r="BB226" s="2">
        <f t="shared" si="39"/>
        <v>0</v>
      </c>
      <c r="BC226">
        <f>IF(I226="expected",1,0)</f>
        <v>1</v>
      </c>
      <c r="BD226" s="78">
        <f>IF(BC226=1,AZ226/SUMIFS(AZ$3:AZ$623,$BC$3:$BC$623,1,$G$3:$G$623,$G226),0)</f>
        <v>2.004929992050478E-2</v>
      </c>
      <c r="BE226" s="78">
        <f>IF(BC226=1,BA226/SUMIFS(BA$3:BA$623,$BC$3:$BC$623,1,$G$3:$G$623,$G226),0)</f>
        <v>3.2966425655459639E-2</v>
      </c>
      <c r="BF226" s="78">
        <f t="shared" si="40"/>
        <v>0</v>
      </c>
      <c r="BG226" s="2">
        <f t="shared" si="41"/>
        <v>0</v>
      </c>
      <c r="BH226" s="2">
        <f t="shared" si="42"/>
        <v>0</v>
      </c>
      <c r="BI226" s="2">
        <f t="shared" si="43"/>
        <v>2.004929992050478E-2</v>
      </c>
      <c r="BJ226" s="2">
        <f t="shared" si="44"/>
        <v>3.2966425655459639E-2</v>
      </c>
      <c r="BK226" s="2">
        <f t="shared" si="45"/>
        <v>0</v>
      </c>
      <c r="BL226" s="2">
        <f t="shared" si="46"/>
        <v>0</v>
      </c>
      <c r="BM226" s="2">
        <f t="shared" si="47"/>
        <v>0</v>
      </c>
      <c r="BN226" s="2">
        <f>BI226/SUMIFS(BI$3:BI$623,$BC$3:$BC$623,1,$G$3:$G$623,$G226)</f>
        <v>2.0049299920504783E-2</v>
      </c>
      <c r="BO226" s="2">
        <f>BJ226/SUMIFS(BJ$3:BJ$623,$BC$3:$BC$623,1,$G$3:$G$623,$G226)</f>
        <v>3.3141315888636405E-2</v>
      </c>
      <c r="BP226" s="2">
        <f>BK226/SUMIFS(BK$3:BK$623,$BC$3:$BC$623,1,$G$3:$G$623,$G226)</f>
        <v>0</v>
      </c>
      <c r="BQ226" s="2">
        <f>BL226</f>
        <v>0</v>
      </c>
      <c r="BR226" s="2">
        <f>BM226</f>
        <v>0</v>
      </c>
    </row>
    <row r="227" spans="1:70" hidden="1">
      <c r="A227" s="74">
        <v>0</v>
      </c>
      <c r="B227" s="73">
        <v>204696</v>
      </c>
      <c r="C227" s="73" t="s">
        <v>1885</v>
      </c>
      <c r="D227" s="73" t="s">
        <v>1483</v>
      </c>
      <c r="E227" s="73" t="s">
        <v>1886</v>
      </c>
      <c r="F227" s="73">
        <v>18701</v>
      </c>
      <c r="G227" s="73" t="s">
        <v>893</v>
      </c>
      <c r="H227" s="73" t="s">
        <v>947</v>
      </c>
      <c r="I227" s="73" t="s">
        <v>1012</v>
      </c>
      <c r="J227" s="73">
        <v>0</v>
      </c>
      <c r="K227" s="73">
        <v>5.5</v>
      </c>
      <c r="L227" s="73">
        <v>0</v>
      </c>
      <c r="M227" s="73">
        <v>0</v>
      </c>
      <c r="N227" s="73">
        <v>0</v>
      </c>
      <c r="O227" s="73" t="s">
        <v>1318</v>
      </c>
      <c r="P227" s="73" t="s">
        <v>1887</v>
      </c>
      <c r="Q227" s="73" t="s">
        <v>1888</v>
      </c>
      <c r="R227" s="73">
        <v>3</v>
      </c>
      <c r="S227" s="73">
        <v>0</v>
      </c>
      <c r="T227" s="73">
        <v>0</v>
      </c>
      <c r="U227" s="73">
        <v>19</v>
      </c>
      <c r="V227" s="73">
        <v>3187</v>
      </c>
      <c r="W227" s="73">
        <v>10</v>
      </c>
      <c r="X227" s="73">
        <v>7</v>
      </c>
      <c r="Y227" s="73">
        <v>0</v>
      </c>
      <c r="Z227" s="73" t="s">
        <v>893</v>
      </c>
      <c r="AA227" s="73" t="s">
        <v>692</v>
      </c>
      <c r="AB227" s="73" t="str">
        <f>IF(AA227&lt;&gt;"",INDEX(Lookup!$N$2:$N$5,MATCH(Players!AA227,Lookup!$P$2:$P$5,0)),INDEX(Lookup!$N$2:$N$5,MATCH(Players!O227,Lookup!$O$2:$O$5,0)))</f>
        <v>Defense</v>
      </c>
      <c r="AC227" s="73">
        <v>3500000</v>
      </c>
      <c r="AD227" s="73" t="s">
        <v>798</v>
      </c>
      <c r="AE227" s="73" t="str">
        <f>INDEX('Translate table'!$H$2:$H$622,MATCH(Players!P227,'Translate table'!$G$2:$G$622,0))</f>
        <v>Jose Fonte</v>
      </c>
      <c r="AF227" s="73">
        <f>IFERROR(INDEX('Euro Qual stats'!$A$1:$L$2071,MATCH(Players!$AE227,'Euro Qual stats'!$A$1:$A$2071,0),MATCH(Players!AF$2,'Euro Qual stats'!$A$1:$L$1,0)),0)</f>
        <v>4</v>
      </c>
      <c r="AG227" s="73">
        <f>IFERROR(INDEX('Euro Qual stats'!$A$1:$L$2071,MATCH(Players!$AE227,'Euro Qual stats'!$A$1:$A$2071,0),MATCH(Players!AG$2,'Euro Qual stats'!$A$1:$L$1,0)),0)</f>
        <v>0</v>
      </c>
      <c r="AH227" s="73">
        <f>IFERROR(INDEX('Euro Qual stats'!$A$1:$L$2071,MATCH(Players!$AE227,'Euro Qual stats'!$A$1:$A$2071,0),MATCH(Players!AH$2,'Euro Qual stats'!$A$1:$L$1,0)),0)</f>
        <v>0</v>
      </c>
      <c r="AI227" s="73">
        <f>IFERROR(INDEX('Euro Qual stats'!$A$1:$L$2071,MATCH(Players!$AE227,'Euro Qual stats'!$A$1:$A$2071,0),MATCH(Players!AI$2,'Euro Qual stats'!$A$1:$L$1,0)),0)</f>
        <v>0</v>
      </c>
      <c r="AJ227" s="93">
        <f>(12-AF227)/12*INDEX(BV$9:BV$12,MATCH($AB227,$BU$9:$BU$12,0))+AF227/12*AG227</f>
        <v>5.9450549450549464E-2</v>
      </c>
      <c r="AK227" s="93">
        <f>(12-AG227)/12*INDEX(BW$9:BW$12,MATCH($AB227,$BU$9:$BU$12,0))+AG227/12*AH227</f>
        <v>0.10357142857142858</v>
      </c>
      <c r="AL227" s="93">
        <f>(12-AH227)/12*INDEX(BX$9:BX$12,MATCH($AB227,$BU$9:$BU$12,0))+AH227/12*AI227</f>
        <v>0.19357142857142848</v>
      </c>
      <c r="AM227" s="93">
        <f>IF($BC227=1,AJ227/SUMIFS(AJ$3:AJ$623,$BC$3:$BC$623,1,$G$3:$G$623,$G227),0)</f>
        <v>0</v>
      </c>
      <c r="AN227" s="93">
        <f>IF($BC227=1,AK227/SUMIFS(AK$3:AK$623,$BC$3:$BC$623,1,$G$3:$G$623,$G227),0)</f>
        <v>0</v>
      </c>
      <c r="AO227" s="93">
        <f>IF($BC227=1,AL227/SUMIFS(AL$3:AL$623,$BC$3:$BC$623,1,$G$3:$G$623,$G227),0)</f>
        <v>0</v>
      </c>
      <c r="AP227" s="2">
        <f>IFERROR(R227/$V227*90,"")</f>
        <v>8.4719171634766235E-2</v>
      </c>
      <c r="AQ227" s="2">
        <f>IFERROR(S227/$V227*90,"")</f>
        <v>0</v>
      </c>
      <c r="AR227" s="2">
        <f>IFERROR(W227/$V227*90,"")</f>
        <v>0.28239723878255413</v>
      </c>
      <c r="AS227" s="2">
        <f>IFERROR(X227/$V227*90,"")</f>
        <v>0.19767806714778788</v>
      </c>
      <c r="AT227" s="2">
        <f>IFERROR(Y227/$V227*90,"")</f>
        <v>0</v>
      </c>
      <c r="AU227" s="2">
        <f>IF(AP227="",INDEX(BV$4:BV$7,MATCH(O227,$BU$4:$BU$7,0)),AP227)</f>
        <v>8.4719171634766235E-2</v>
      </c>
      <c r="AV227" s="2">
        <f>IF(AQ227="",INDEX(BW$4:BW$7,MATCH($O227,$BU$4:$BU$7,0)),AQ227)</f>
        <v>0</v>
      </c>
      <c r="AW227" s="2">
        <f t="shared" si="36"/>
        <v>0.28239723878255413</v>
      </c>
      <c r="AX227" s="2">
        <f t="shared" si="37"/>
        <v>0.19767806714778788</v>
      </c>
      <c r="AY227" s="2">
        <f t="shared" si="38"/>
        <v>0</v>
      </c>
      <c r="AZ227" s="2">
        <f>AU227*0.5+AK227*0.5</f>
        <v>9.4145300103097407E-2</v>
      </c>
      <c r="BA227" s="2">
        <f>AV227*0.5+AJ227*0.5</f>
        <v>2.9725274725274732E-2</v>
      </c>
      <c r="BB227" s="2">
        <f t="shared" si="39"/>
        <v>9.8839033573893939E-2</v>
      </c>
      <c r="BC227">
        <f>IF(I227="expected",1,0)</f>
        <v>0</v>
      </c>
      <c r="BD227" s="78">
        <f>IF(BC227=1,AZ227/SUMIFS(AZ$3:AZ$623,$BC$3:$BC$623,1,$G$3:$G$623,$G227),0)</f>
        <v>0</v>
      </c>
      <c r="BE227" s="78">
        <f>IF(BC227=1,BA227/SUMIFS(BA$3:BA$623,$BC$3:$BC$623,1,$G$3:$G$623,$G227),0)</f>
        <v>0</v>
      </c>
      <c r="BF227" s="78">
        <f t="shared" si="40"/>
        <v>0</v>
      </c>
      <c r="BG227" s="2">
        <f t="shared" si="41"/>
        <v>9.8839033573893939E-2</v>
      </c>
      <c r="BH227" s="2">
        <f t="shared" si="42"/>
        <v>0</v>
      </c>
      <c r="BI227" s="2">
        <f t="shared" si="43"/>
        <v>0</v>
      </c>
      <c r="BJ227" s="2">
        <f t="shared" si="44"/>
        <v>0</v>
      </c>
      <c r="BK227" s="2">
        <f t="shared" si="45"/>
        <v>0</v>
      </c>
      <c r="BL227" s="2">
        <f t="shared" si="46"/>
        <v>9.8839033573893939E-2</v>
      </c>
      <c r="BM227" s="2">
        <f t="shared" si="47"/>
        <v>0</v>
      </c>
      <c r="BN227" s="2">
        <f>BI227/SUMIFS(BI$3:BI$623,$BC$3:$BC$623,1,$G$3:$G$623,$G227)</f>
        <v>0</v>
      </c>
      <c r="BO227" s="2">
        <f>BJ227/SUMIFS(BJ$3:BJ$623,$BC$3:$BC$623,1,$G$3:$G$623,$G227)</f>
        <v>0</v>
      </c>
      <c r="BP227" s="2">
        <f>BK227/SUMIFS(BK$3:BK$623,$BC$3:$BC$623,1,$G$3:$G$623,$G227)</f>
        <v>0</v>
      </c>
      <c r="BQ227" s="2">
        <f>BL227</f>
        <v>9.8839033573893939E-2</v>
      </c>
      <c r="BR227" s="2">
        <f>BM227</f>
        <v>0</v>
      </c>
    </row>
    <row r="228" spans="1:70" hidden="1">
      <c r="A228" s="74">
        <v>0</v>
      </c>
      <c r="B228" s="73">
        <v>221611</v>
      </c>
      <c r="C228" s="73" t="s">
        <v>1889</v>
      </c>
      <c r="D228" s="73" t="s">
        <v>1890</v>
      </c>
      <c r="E228" s="73" t="s">
        <v>1891</v>
      </c>
      <c r="F228" s="73">
        <v>18701</v>
      </c>
      <c r="G228" s="73" t="s">
        <v>893</v>
      </c>
      <c r="H228" s="73" t="s">
        <v>947</v>
      </c>
      <c r="I228" s="73" t="s">
        <v>1012</v>
      </c>
      <c r="J228" s="73">
        <v>0</v>
      </c>
      <c r="K228" s="73">
        <v>5.5</v>
      </c>
      <c r="L228" s="73">
        <v>0</v>
      </c>
      <c r="M228" s="73">
        <v>0</v>
      </c>
      <c r="N228" s="73">
        <v>0</v>
      </c>
      <c r="O228" s="73" t="s">
        <v>994</v>
      </c>
      <c r="P228" s="73" t="s">
        <v>1892</v>
      </c>
      <c r="Q228" s="73" t="s">
        <v>1164</v>
      </c>
      <c r="R228" s="73"/>
      <c r="S228" s="73"/>
      <c r="T228" s="73"/>
      <c r="U228" s="73"/>
      <c r="V228" s="73"/>
      <c r="W228" s="73"/>
      <c r="X228" s="73"/>
      <c r="Y228" s="73"/>
      <c r="Z228" s="73" t="s">
        <v>893</v>
      </c>
      <c r="AA228" s="73" t="s">
        <v>691</v>
      </c>
      <c r="AB228" s="73" t="str">
        <f>IF(AA228&lt;&gt;"",INDEX(Lookup!$N$2:$N$5,MATCH(Players!AA228,Lookup!$P$2:$P$5,0)),INDEX(Lookup!$N$2:$N$5,MATCH(Players!O228,Lookup!$O$2:$O$5,0)))</f>
        <v>Midfield</v>
      </c>
      <c r="AC228" s="73">
        <v>3500000</v>
      </c>
      <c r="AD228" s="73" t="s">
        <v>788</v>
      </c>
      <c r="AE228" s="73" t="str">
        <f>INDEX('Translate table'!$H$2:$H$622,MATCH(Players!P228,'Translate table'!$G$2:$G$622,0))</f>
        <v>Joan CervÃ³s</v>
      </c>
      <c r="AF228" s="73">
        <f>IFERROR(INDEX('Euro Qual stats'!$A$1:$L$2071,MATCH(Players!$AE228,'Euro Qual stats'!$A$1:$A$2071,0),MATCH(Players!AF$2,'Euro Qual stats'!$A$1:$L$1,0)),0)</f>
        <v>10</v>
      </c>
      <c r="AG228" s="73">
        <f>IFERROR(INDEX('Euro Qual stats'!$A$1:$L$2071,MATCH(Players!$AE228,'Euro Qual stats'!$A$1:$A$2071,0),MATCH(Players!AG$2,'Euro Qual stats'!$A$1:$L$1,0)),0)</f>
        <v>0.11</v>
      </c>
      <c r="AH228" s="73">
        <f>IFERROR(INDEX('Euro Qual stats'!$A$1:$L$2071,MATCH(Players!$AE228,'Euro Qual stats'!$A$1:$A$2071,0),MATCH(Players!AH$2,'Euro Qual stats'!$A$1:$L$1,0)),0)</f>
        <v>0</v>
      </c>
      <c r="AI228" s="73">
        <f>IFERROR(INDEX('Euro Qual stats'!$A$1:$L$2071,MATCH(Players!$AE228,'Euro Qual stats'!$A$1:$A$2071,0),MATCH(Players!AI$2,'Euro Qual stats'!$A$1:$L$1,0)),0)</f>
        <v>0.22</v>
      </c>
      <c r="AJ228" s="93">
        <f>(12-AF228)/12*INDEX(BV$9:BV$12,MATCH($AB228,$BU$9:$BU$12,0))+AF228/12*AG228</f>
        <v>0.11978184991273996</v>
      </c>
      <c r="AK228" s="93">
        <f>(12-AG228)/12*INDEX(BW$9:BW$12,MATCH($AB228,$BU$9:$BU$12,0))+AG228/12*AH228</f>
        <v>0.22135527923211168</v>
      </c>
      <c r="AL228" s="93">
        <f>(12-AH228)/12*INDEX(BX$9:BX$12,MATCH($AB228,$BU$9:$BU$12,0))+AH228/12*AI228</f>
        <v>0.23942408376963353</v>
      </c>
      <c r="AM228" s="93">
        <f>IF($BC228=1,AJ228/SUMIFS(AJ$3:AJ$623,$BC$3:$BC$623,1,$G$3:$G$623,$G228),0)</f>
        <v>0</v>
      </c>
      <c r="AN228" s="93">
        <f>IF($BC228=1,AK228/SUMIFS(AK$3:AK$623,$BC$3:$BC$623,1,$G$3:$G$623,$G228),0)</f>
        <v>0</v>
      </c>
      <c r="AO228" s="93">
        <f>IF($BC228=1,AL228/SUMIFS(AL$3:AL$623,$BC$3:$BC$623,1,$G$3:$G$623,$G228),0)</f>
        <v>0</v>
      </c>
      <c r="AP228" s="2" t="str">
        <f>IFERROR(R228/$V228*90,"")</f>
        <v/>
      </c>
      <c r="AQ228" s="2" t="str">
        <f>IFERROR(S228/$V228*90,"")</f>
        <v/>
      </c>
      <c r="AR228" s="2" t="str">
        <f>IFERROR(W228/$V228*90,"")</f>
        <v/>
      </c>
      <c r="AS228" s="2" t="str">
        <f>IFERROR(X228/$V228*90,"")</f>
        <v/>
      </c>
      <c r="AT228" s="2" t="str">
        <f>IFERROR(Y228/$V228*90,"")</f>
        <v/>
      </c>
      <c r="AU228" s="2">
        <f>IF(AP228="",INDEX(BV$4:BV$7,MATCH(O228,$BU$4:$BU$7,0)),AP228)</f>
        <v>3.6526142445450806E-2</v>
      </c>
      <c r="AV228" s="2">
        <f>IF(AQ228="",INDEX(BW$4:BW$7,MATCH($O228,$BU$4:$BU$7,0)),AQ228)</f>
        <v>3.2427739661688867E-2</v>
      </c>
      <c r="AW228" s="2">
        <f t="shared" si="36"/>
        <v>0.20013349649571699</v>
      </c>
      <c r="AX228" s="2">
        <f t="shared" si="37"/>
        <v>0.16081000595592615</v>
      </c>
      <c r="AY228" s="2">
        <f t="shared" si="38"/>
        <v>0</v>
      </c>
      <c r="AZ228" s="2">
        <f>AU228*0.5+AK228*0.5</f>
        <v>0.12894071083878125</v>
      </c>
      <c r="BA228" s="2">
        <f>AV228*0.5+AJ228*0.5</f>
        <v>7.6104794787214408E-2</v>
      </c>
      <c r="BB228" s="2">
        <f t="shared" si="39"/>
        <v>0.19040500297796309</v>
      </c>
      <c r="BC228">
        <f>IF(I228="expected",1,0)</f>
        <v>0</v>
      </c>
      <c r="BD228" s="78">
        <f>IF(BC228=1,AZ228/SUMIFS(AZ$3:AZ$623,$BC$3:$BC$623,1,$G$3:$G$623,$G228),0)</f>
        <v>0</v>
      </c>
      <c r="BE228" s="78">
        <f>IF(BC228=1,BA228/SUMIFS(BA$3:BA$623,$BC$3:$BC$623,1,$G$3:$G$623,$G228),0)</f>
        <v>0</v>
      </c>
      <c r="BF228" s="78">
        <f t="shared" si="40"/>
        <v>0</v>
      </c>
      <c r="BG228" s="2">
        <f t="shared" si="41"/>
        <v>0.19040500297796309</v>
      </c>
      <c r="BH228" s="2">
        <f t="shared" si="42"/>
        <v>0</v>
      </c>
      <c r="BI228" s="2">
        <f t="shared" si="43"/>
        <v>0</v>
      </c>
      <c r="BJ228" s="2">
        <f t="shared" si="44"/>
        <v>0</v>
      </c>
      <c r="BK228" s="2">
        <f t="shared" si="45"/>
        <v>0</v>
      </c>
      <c r="BL228" s="2">
        <f t="shared" si="46"/>
        <v>0.19040500297796309</v>
      </c>
      <c r="BM228" s="2">
        <f t="shared" si="47"/>
        <v>0</v>
      </c>
      <c r="BN228" s="2">
        <f>BI228/SUMIFS(BI$3:BI$623,$BC$3:$BC$623,1,$G$3:$G$623,$G228)</f>
        <v>0</v>
      </c>
      <c r="BO228" s="2">
        <f>BJ228/SUMIFS(BJ$3:BJ$623,$BC$3:$BC$623,1,$G$3:$G$623,$G228)</f>
        <v>0</v>
      </c>
      <c r="BP228" s="2">
        <f>BK228/SUMIFS(BK$3:BK$623,$BC$3:$BC$623,1,$G$3:$G$623,$G228)</f>
        <v>0</v>
      </c>
      <c r="BQ228" s="2">
        <f>BL228</f>
        <v>0.19040500297796309</v>
      </c>
      <c r="BR228" s="2">
        <f>BM228</f>
        <v>0</v>
      </c>
    </row>
    <row r="229" spans="1:70" hidden="1">
      <c r="A229" s="74">
        <v>0</v>
      </c>
      <c r="B229" s="73">
        <v>204697</v>
      </c>
      <c r="C229" s="73" t="s">
        <v>1893</v>
      </c>
      <c r="D229" s="73" t="s">
        <v>1894</v>
      </c>
      <c r="E229" s="73" t="s">
        <v>1895</v>
      </c>
      <c r="F229" s="73">
        <v>18701</v>
      </c>
      <c r="G229" s="73" t="s">
        <v>893</v>
      </c>
      <c r="H229" s="73" t="s">
        <v>947</v>
      </c>
      <c r="I229" s="73" t="s">
        <v>1012</v>
      </c>
      <c r="J229" s="73">
        <v>0</v>
      </c>
      <c r="K229" s="73">
        <v>5.5</v>
      </c>
      <c r="L229" s="73">
        <v>0</v>
      </c>
      <c r="M229" s="73">
        <v>0</v>
      </c>
      <c r="N229" s="73">
        <v>0</v>
      </c>
      <c r="O229" s="73" t="s">
        <v>994</v>
      </c>
      <c r="P229" s="73" t="s">
        <v>1896</v>
      </c>
      <c r="Q229" s="73" t="s">
        <v>1896</v>
      </c>
      <c r="R229" s="73">
        <v>1</v>
      </c>
      <c r="S229" s="73">
        <v>3</v>
      </c>
      <c r="T229" s="73">
        <v>0</v>
      </c>
      <c r="U229" s="73">
        <v>2</v>
      </c>
      <c r="V229" s="73">
        <v>1272</v>
      </c>
      <c r="W229" s="73">
        <v>3</v>
      </c>
      <c r="X229" s="73">
        <v>4</v>
      </c>
      <c r="Y229" s="73">
        <v>0</v>
      </c>
      <c r="Z229" s="73" t="s">
        <v>893</v>
      </c>
      <c r="AA229" s="73" t="s">
        <v>691</v>
      </c>
      <c r="AB229" s="73" t="str">
        <f>IF(AA229&lt;&gt;"",INDEX(Lookup!$N$2:$N$5,MATCH(Players!AA229,Lookup!$P$2:$P$5,0)),INDEX(Lookup!$N$2:$N$5,MATCH(Players!O229,Lookup!$O$2:$O$5,0)))</f>
        <v>Midfield</v>
      </c>
      <c r="AC229" s="73">
        <v>3500000</v>
      </c>
      <c r="AD229" s="73" t="s">
        <v>799</v>
      </c>
      <c r="AE229" s="73" t="str">
        <f>INDEX('Translate table'!$H$2:$H$622,MATCH(Players!P229,'Translate table'!$G$2:$G$622,0))</f>
        <v>Renato Sanches</v>
      </c>
      <c r="AF229" s="73">
        <f>IFERROR(INDEX('Euro Qual stats'!$A$1:$L$2071,MATCH(Players!$AE229,'Euro Qual stats'!$A$1:$A$2071,0),MATCH(Players!AF$2,'Euro Qual stats'!$A$1:$L$1,0)),0)</f>
        <v>0</v>
      </c>
      <c r="AG229" s="73">
        <f>IFERROR(INDEX('Euro Qual stats'!$A$1:$L$2071,MATCH(Players!$AE229,'Euro Qual stats'!$A$1:$A$2071,0),MATCH(Players!AG$2,'Euro Qual stats'!$A$1:$L$1,0)),0)</f>
        <v>0</v>
      </c>
      <c r="AH229" s="73">
        <f>IFERROR(INDEX('Euro Qual stats'!$A$1:$L$2071,MATCH(Players!$AE229,'Euro Qual stats'!$A$1:$A$2071,0),MATCH(Players!AH$2,'Euro Qual stats'!$A$1:$L$1,0)),0)</f>
        <v>0</v>
      </c>
      <c r="AI229" s="73">
        <f>IFERROR(INDEX('Euro Qual stats'!$A$1:$L$2071,MATCH(Players!$AE229,'Euro Qual stats'!$A$1:$A$2071,0),MATCH(Players!AI$2,'Euro Qual stats'!$A$1:$L$1,0)),0)</f>
        <v>0</v>
      </c>
      <c r="AJ229" s="93">
        <f>(12-AF229)/12*INDEX(BV$9:BV$12,MATCH($AB229,$BU$9:$BU$12,0))+AF229/12*AG229</f>
        <v>0.16869109947643979</v>
      </c>
      <c r="AK229" s="93">
        <f>(12-AG229)/12*INDEX(BW$9:BW$12,MATCH($AB229,$BU$9:$BU$12,0))+AG229/12*AH229</f>
        <v>0.22340314136125652</v>
      </c>
      <c r="AL229" s="93">
        <f>(12-AH229)/12*INDEX(BX$9:BX$12,MATCH($AB229,$BU$9:$BU$12,0))+AH229/12*AI229</f>
        <v>0.23942408376963353</v>
      </c>
      <c r="AM229" s="93">
        <f>IF($BC229=1,AJ229/SUMIFS(AJ$3:AJ$623,$BC$3:$BC$623,1,$G$3:$G$623,$G229),0)</f>
        <v>0</v>
      </c>
      <c r="AN229" s="93">
        <f>IF($BC229=1,AK229/SUMIFS(AK$3:AK$623,$BC$3:$BC$623,1,$G$3:$G$623,$G229),0)</f>
        <v>0</v>
      </c>
      <c r="AO229" s="93">
        <f>IF($BC229=1,AL229/SUMIFS(AL$3:AL$623,$BC$3:$BC$623,1,$G$3:$G$623,$G229),0)</f>
        <v>0</v>
      </c>
      <c r="AP229" s="2">
        <f>IFERROR(R229/$V229*90,"")</f>
        <v>7.0754716981132074E-2</v>
      </c>
      <c r="AQ229" s="2">
        <f>IFERROR(S229/$V229*90,"")</f>
        <v>0.21226415094339621</v>
      </c>
      <c r="AR229" s="2">
        <f>IFERROR(W229/$V229*90,"")</f>
        <v>0.21226415094339621</v>
      </c>
      <c r="AS229" s="2">
        <f>IFERROR(X229/$V229*90,"")</f>
        <v>0.28301886792452829</v>
      </c>
      <c r="AT229" s="2">
        <f>IFERROR(Y229/$V229*90,"")</f>
        <v>0</v>
      </c>
      <c r="AU229" s="2">
        <f>IF(AP229="",INDEX(BV$4:BV$7,MATCH(O229,$BU$4:$BU$7,0)),AP229)</f>
        <v>7.0754716981132074E-2</v>
      </c>
      <c r="AV229" s="2">
        <f>IF(AQ229="",INDEX(BW$4:BW$7,MATCH($O229,$BU$4:$BU$7,0)),AQ229)</f>
        <v>0.21226415094339621</v>
      </c>
      <c r="AW229" s="2">
        <f t="shared" si="36"/>
        <v>0.21226415094339621</v>
      </c>
      <c r="AX229" s="2">
        <f t="shared" si="37"/>
        <v>0.28301886792452829</v>
      </c>
      <c r="AY229" s="2">
        <f t="shared" si="38"/>
        <v>0</v>
      </c>
      <c r="AZ229" s="2">
        <f>AU229*0.5+AK229*0.5</f>
        <v>0.14707892917119431</v>
      </c>
      <c r="BA229" s="2">
        <f>AV229*0.5+AJ229*0.5</f>
        <v>0.19047762520991801</v>
      </c>
      <c r="BB229" s="2">
        <f t="shared" si="39"/>
        <v>0.14150943396226415</v>
      </c>
      <c r="BC229">
        <f>IF(I229="expected",1,0)</f>
        <v>0</v>
      </c>
      <c r="BD229" s="78">
        <f>IF(BC229=1,AZ229/SUMIFS(AZ$3:AZ$623,$BC$3:$BC$623,1,$G$3:$G$623,$G229),0)</f>
        <v>0</v>
      </c>
      <c r="BE229" s="78">
        <f>IF(BC229=1,BA229/SUMIFS(BA$3:BA$623,$BC$3:$BC$623,1,$G$3:$G$623,$G229),0)</f>
        <v>0</v>
      </c>
      <c r="BF229" s="78">
        <f t="shared" si="40"/>
        <v>0</v>
      </c>
      <c r="BG229" s="2">
        <f t="shared" si="41"/>
        <v>0.14150943396226415</v>
      </c>
      <c r="BH229" s="2">
        <f t="shared" si="42"/>
        <v>0</v>
      </c>
      <c r="BI229" s="2">
        <f t="shared" si="43"/>
        <v>0</v>
      </c>
      <c r="BJ229" s="2">
        <f t="shared" si="44"/>
        <v>0</v>
      </c>
      <c r="BK229" s="2">
        <f t="shared" si="45"/>
        <v>0</v>
      </c>
      <c r="BL229" s="2">
        <f t="shared" si="46"/>
        <v>0.14150943396226415</v>
      </c>
      <c r="BM229" s="2">
        <f t="shared" si="47"/>
        <v>0</v>
      </c>
      <c r="BN229" s="2">
        <f>BI229/SUMIFS(BI$3:BI$623,$BC$3:$BC$623,1,$G$3:$G$623,$G229)</f>
        <v>0</v>
      </c>
      <c r="BO229" s="2">
        <f>BJ229/SUMIFS(BJ$3:BJ$623,$BC$3:$BC$623,1,$G$3:$G$623,$G229)</f>
        <v>0</v>
      </c>
      <c r="BP229" s="2">
        <f>BK229/SUMIFS(BK$3:BK$623,$BC$3:$BC$623,1,$G$3:$G$623,$G229)</f>
        <v>0</v>
      </c>
      <c r="BQ229" s="2">
        <f>BL229</f>
        <v>0.14150943396226415</v>
      </c>
      <c r="BR229" s="2">
        <f>BM229</f>
        <v>0</v>
      </c>
    </row>
    <row r="230" spans="1:70" hidden="1">
      <c r="A230" s="74">
        <v>0</v>
      </c>
      <c r="B230" s="73">
        <v>204690</v>
      </c>
      <c r="C230" s="73" t="s">
        <v>1897</v>
      </c>
      <c r="D230" s="73" t="s">
        <v>1898</v>
      </c>
      <c r="E230" s="73" t="s">
        <v>1899</v>
      </c>
      <c r="F230" s="73">
        <v>18701</v>
      </c>
      <c r="G230" s="73" t="s">
        <v>893</v>
      </c>
      <c r="H230" s="73" t="s">
        <v>947</v>
      </c>
      <c r="I230" s="73" t="s">
        <v>1012</v>
      </c>
      <c r="J230" s="73">
        <v>0</v>
      </c>
      <c r="K230" s="73">
        <v>5.5</v>
      </c>
      <c r="L230" s="73">
        <v>0</v>
      </c>
      <c r="M230" s="73">
        <v>0</v>
      </c>
      <c r="N230" s="73">
        <v>0</v>
      </c>
      <c r="O230" s="73" t="s">
        <v>994</v>
      </c>
      <c r="P230" s="73" t="s">
        <v>1900</v>
      </c>
      <c r="Q230" s="73" t="s">
        <v>1901</v>
      </c>
      <c r="R230" s="73">
        <v>0</v>
      </c>
      <c r="S230" s="73">
        <v>0</v>
      </c>
      <c r="T230" s="73">
        <v>0</v>
      </c>
      <c r="U230" s="73">
        <v>0</v>
      </c>
      <c r="V230" s="73">
        <v>0</v>
      </c>
      <c r="W230" s="73">
        <v>0</v>
      </c>
      <c r="X230" s="73">
        <v>0</v>
      </c>
      <c r="Y230" s="73">
        <v>0</v>
      </c>
      <c r="Z230" s="73" t="s">
        <v>893</v>
      </c>
      <c r="AA230" s="73" t="s">
        <v>691</v>
      </c>
      <c r="AB230" s="73" t="str">
        <f>IF(AA230&lt;&gt;"",INDEX(Lookup!$N$2:$N$5,MATCH(Players!AA230,Lookup!$P$2:$P$5,0)),INDEX(Lookup!$N$2:$N$5,MATCH(Players!O230,Lookup!$O$2:$O$5,0)))</f>
        <v>Midfield</v>
      </c>
      <c r="AC230" s="73">
        <v>4000000</v>
      </c>
      <c r="AD230" s="73" t="s">
        <v>792</v>
      </c>
      <c r="AE230" s="73" t="str">
        <f>INDEX('Translate table'!$H$2:$H$622,MATCH(Players!P230,'Translate table'!$G$2:$G$622,0))</f>
        <v>Danilo LuÃ­s HÃ©lio Pereira</v>
      </c>
      <c r="AF230" s="73">
        <f>IFERROR(INDEX('Euro Qual stats'!$A$1:$L$2071,MATCH(Players!$AE230,'Euro Qual stats'!$A$1:$A$2071,0),MATCH(Players!AF$2,'Euro Qual stats'!$A$1:$L$1,0)),0)</f>
        <v>5</v>
      </c>
      <c r="AG230" s="73">
        <f>IFERROR(INDEX('Euro Qual stats'!$A$1:$L$2071,MATCH(Players!$AE230,'Euro Qual stats'!$A$1:$A$2071,0),MATCH(Players!AG$2,'Euro Qual stats'!$A$1:$L$1,0)),0)</f>
        <v>0</v>
      </c>
      <c r="AH230" s="73">
        <f>IFERROR(INDEX('Euro Qual stats'!$A$1:$L$2071,MATCH(Players!$AE230,'Euro Qual stats'!$A$1:$A$2071,0),MATCH(Players!AH$2,'Euro Qual stats'!$A$1:$L$1,0)),0)</f>
        <v>0.2</v>
      </c>
      <c r="AI230" s="73">
        <f>IFERROR(INDEX('Euro Qual stats'!$A$1:$L$2071,MATCH(Players!$AE230,'Euro Qual stats'!$A$1:$A$2071,0),MATCH(Players!AI$2,'Euro Qual stats'!$A$1:$L$1,0)),0)</f>
        <v>0</v>
      </c>
      <c r="AJ230" s="93">
        <f>(12-AF230)/12*INDEX(BV$9:BV$12,MATCH($AB230,$BU$9:$BU$12,0))+AF230/12*AG230</f>
        <v>9.8403141361256552E-2</v>
      </c>
      <c r="AK230" s="93">
        <f>(12-AG230)/12*INDEX(BW$9:BW$12,MATCH($AB230,$BU$9:$BU$12,0))+AG230/12*AH230</f>
        <v>0.22340314136125652</v>
      </c>
      <c r="AL230" s="93">
        <f>(12-AH230)/12*INDEX(BX$9:BX$12,MATCH($AB230,$BU$9:$BU$12,0))+AH230/12*AI230</f>
        <v>0.23543368237347298</v>
      </c>
      <c r="AM230" s="93">
        <f>IF($BC230=1,AJ230/SUMIFS(AJ$3:AJ$623,$BC$3:$BC$623,1,$G$3:$G$623,$G230),0)</f>
        <v>0</v>
      </c>
      <c r="AN230" s="93">
        <f>IF($BC230=1,AK230/SUMIFS(AK$3:AK$623,$BC$3:$BC$623,1,$G$3:$G$623,$G230),0)</f>
        <v>0</v>
      </c>
      <c r="AO230" s="93">
        <f>IF($BC230=1,AL230/SUMIFS(AL$3:AL$623,$BC$3:$BC$623,1,$G$3:$G$623,$G230),0)</f>
        <v>0</v>
      </c>
      <c r="AP230" s="2" t="str">
        <f>IFERROR(R230/$V230*90,"")</f>
        <v/>
      </c>
      <c r="AQ230" s="2" t="str">
        <f>IFERROR(S230/$V230*90,"")</f>
        <v/>
      </c>
      <c r="AR230" s="2" t="str">
        <f>IFERROR(W230/$V230*90,"")</f>
        <v/>
      </c>
      <c r="AS230" s="2" t="str">
        <f>IFERROR(X230/$V230*90,"")</f>
        <v/>
      </c>
      <c r="AT230" s="2" t="str">
        <f>IFERROR(Y230/$V230*90,"")</f>
        <v/>
      </c>
      <c r="AU230" s="2">
        <f>IF(AP230="",INDEX(BV$4:BV$7,MATCH(O230,$BU$4:$BU$7,0)),AP230)</f>
        <v>3.6526142445450806E-2</v>
      </c>
      <c r="AV230" s="2">
        <f>IF(AQ230="",INDEX(BW$4:BW$7,MATCH($O230,$BU$4:$BU$7,0)),AQ230)</f>
        <v>3.2427739661688867E-2</v>
      </c>
      <c r="AW230" s="2">
        <f t="shared" si="36"/>
        <v>0.20013349649571699</v>
      </c>
      <c r="AX230" s="2">
        <f t="shared" si="37"/>
        <v>0.16081000595592615</v>
      </c>
      <c r="AY230" s="2">
        <f t="shared" si="38"/>
        <v>0</v>
      </c>
      <c r="AZ230" s="2">
        <f>AU230*0.5+AK230*0.5</f>
        <v>0.12996464190335366</v>
      </c>
      <c r="BA230" s="2">
        <f>AV230*0.5+AJ230*0.5</f>
        <v>6.5415440511472717E-2</v>
      </c>
      <c r="BB230" s="2">
        <f t="shared" si="39"/>
        <v>8.0405002977963075E-2</v>
      </c>
      <c r="BC230">
        <f>IF(I230="expected",1,0)</f>
        <v>0</v>
      </c>
      <c r="BD230" s="78">
        <f>IF(BC230=1,AZ230/SUMIFS(AZ$3:AZ$623,$BC$3:$BC$623,1,$G$3:$G$623,$G230),0)</f>
        <v>0</v>
      </c>
      <c r="BE230" s="78">
        <f>IF(BC230=1,BA230/SUMIFS(BA$3:BA$623,$BC$3:$BC$623,1,$G$3:$G$623,$G230),0)</f>
        <v>0</v>
      </c>
      <c r="BF230" s="78">
        <f t="shared" si="40"/>
        <v>0</v>
      </c>
      <c r="BG230" s="2">
        <f t="shared" si="41"/>
        <v>8.0405002977963075E-2</v>
      </c>
      <c r="BH230" s="2">
        <f t="shared" si="42"/>
        <v>0</v>
      </c>
      <c r="BI230" s="2">
        <f t="shared" si="43"/>
        <v>0</v>
      </c>
      <c r="BJ230" s="2">
        <f t="shared" si="44"/>
        <v>0</v>
      </c>
      <c r="BK230" s="2">
        <f t="shared" si="45"/>
        <v>0</v>
      </c>
      <c r="BL230" s="2">
        <f t="shared" si="46"/>
        <v>8.0405002977963075E-2</v>
      </c>
      <c r="BM230" s="2">
        <f t="shared" si="47"/>
        <v>0</v>
      </c>
      <c r="BN230" s="2">
        <f>BI230/SUMIFS(BI$3:BI$623,$BC$3:$BC$623,1,$G$3:$G$623,$G230)</f>
        <v>0</v>
      </c>
      <c r="BO230" s="2">
        <f>BJ230/SUMIFS(BJ$3:BJ$623,$BC$3:$BC$623,1,$G$3:$G$623,$G230)</f>
        <v>0</v>
      </c>
      <c r="BP230" s="2">
        <f>BK230/SUMIFS(BK$3:BK$623,$BC$3:$BC$623,1,$G$3:$G$623,$G230)</f>
        <v>0</v>
      </c>
      <c r="BQ230" s="2">
        <f>BL230</f>
        <v>8.0405002977963075E-2</v>
      </c>
      <c r="BR230" s="2">
        <f>BM230</f>
        <v>0</v>
      </c>
    </row>
    <row r="231" spans="1:70" hidden="1">
      <c r="A231" s="74">
        <v>0</v>
      </c>
      <c r="B231" s="73">
        <v>220807</v>
      </c>
      <c r="C231" s="73" t="s">
        <v>1902</v>
      </c>
      <c r="D231" s="73" t="s">
        <v>1903</v>
      </c>
      <c r="E231" s="73" t="s">
        <v>1904</v>
      </c>
      <c r="F231" s="73">
        <v>18624</v>
      </c>
      <c r="G231" s="73" t="s">
        <v>877</v>
      </c>
      <c r="H231" s="73" t="s">
        <v>951</v>
      </c>
      <c r="I231" s="73" t="s">
        <v>1012</v>
      </c>
      <c r="J231" s="73">
        <v>0</v>
      </c>
      <c r="K231" s="73">
        <v>5.5</v>
      </c>
      <c r="L231" s="73">
        <v>0</v>
      </c>
      <c r="M231" s="73">
        <v>0</v>
      </c>
      <c r="N231" s="73">
        <v>0</v>
      </c>
      <c r="O231" s="73" t="s">
        <v>994</v>
      </c>
      <c r="P231" s="73" t="s">
        <v>1905</v>
      </c>
      <c r="Q231" s="73" t="s">
        <v>1164</v>
      </c>
      <c r="R231" s="73"/>
      <c r="S231" s="73"/>
      <c r="T231" s="73"/>
      <c r="U231" s="73"/>
      <c r="V231" s="73"/>
      <c r="W231" s="73"/>
      <c r="X231" s="73"/>
      <c r="Y231" s="73"/>
      <c r="Z231" s="73" t="s">
        <v>877</v>
      </c>
      <c r="AA231" s="73" t="s">
        <v>691</v>
      </c>
      <c r="AB231" s="73" t="str">
        <f>IF(AA231&lt;&gt;"",INDEX(Lookup!$N$2:$N$5,MATCH(Players!AA231,Lookup!$P$2:$P$5,0)),INDEX(Lookup!$N$2:$N$5,MATCH(Players!O231,Lookup!$O$2:$O$5,0)))</f>
        <v>Midfield</v>
      </c>
      <c r="AC231" s="73">
        <v>3000000</v>
      </c>
      <c r="AD231" s="73" t="s">
        <v>788</v>
      </c>
      <c r="AE231" s="73" t="str">
        <f>INDEX('Translate table'!$H$2:$H$622,MATCH(Players!P231,'Translate table'!$G$2:$G$622,0))</f>
        <v>Mykola Shaparenko</v>
      </c>
      <c r="AF231" s="73">
        <f>IFERROR(INDEX('Euro Qual stats'!$A$1:$L$2071,MATCH(Players!$AE231,'Euro Qual stats'!$A$1:$A$2071,0),MATCH(Players!AF$2,'Euro Qual stats'!$A$1:$L$1,0)),0)</f>
        <v>0</v>
      </c>
      <c r="AG231" s="73">
        <f>IFERROR(INDEX('Euro Qual stats'!$A$1:$L$2071,MATCH(Players!$AE231,'Euro Qual stats'!$A$1:$A$2071,0),MATCH(Players!AG$2,'Euro Qual stats'!$A$1:$L$1,0)),0)</f>
        <v>0</v>
      </c>
      <c r="AH231" s="73">
        <f>IFERROR(INDEX('Euro Qual stats'!$A$1:$L$2071,MATCH(Players!$AE231,'Euro Qual stats'!$A$1:$A$2071,0),MATCH(Players!AH$2,'Euro Qual stats'!$A$1:$L$1,0)),0)</f>
        <v>0</v>
      </c>
      <c r="AI231" s="73">
        <f>IFERROR(INDEX('Euro Qual stats'!$A$1:$L$2071,MATCH(Players!$AE231,'Euro Qual stats'!$A$1:$A$2071,0),MATCH(Players!AI$2,'Euro Qual stats'!$A$1:$L$1,0)),0)</f>
        <v>0</v>
      </c>
      <c r="AJ231" s="93">
        <f>(12-AF231)/12*INDEX(BV$9:BV$12,MATCH($AB231,$BU$9:$BU$12,0))+AF231/12*AG231</f>
        <v>0.16869109947643979</v>
      </c>
      <c r="AK231" s="93">
        <f>(12-AG231)/12*INDEX(BW$9:BW$12,MATCH($AB231,$BU$9:$BU$12,0))+AG231/12*AH231</f>
        <v>0.22340314136125652</v>
      </c>
      <c r="AL231" s="93">
        <f>(12-AH231)/12*INDEX(BX$9:BX$12,MATCH($AB231,$BU$9:$BU$12,0))+AH231/12*AI231</f>
        <v>0.23942408376963353</v>
      </c>
      <c r="AM231" s="93">
        <f>IF($BC231=1,AJ231/SUMIFS(AJ$3:AJ$623,$BC$3:$BC$623,1,$G$3:$G$623,$G231),0)</f>
        <v>0</v>
      </c>
      <c r="AN231" s="93">
        <f>IF($BC231=1,AK231/SUMIFS(AK$3:AK$623,$BC$3:$BC$623,1,$G$3:$G$623,$G231),0)</f>
        <v>0</v>
      </c>
      <c r="AO231" s="93">
        <f>IF($BC231=1,AL231/SUMIFS(AL$3:AL$623,$BC$3:$BC$623,1,$G$3:$G$623,$G231),0)</f>
        <v>0</v>
      </c>
      <c r="AP231" s="2" t="str">
        <f>IFERROR(R231/$V231*90,"")</f>
        <v/>
      </c>
      <c r="AQ231" s="2" t="str">
        <f>IFERROR(S231/$V231*90,"")</f>
        <v/>
      </c>
      <c r="AR231" s="2" t="str">
        <f>IFERROR(W231/$V231*90,"")</f>
        <v/>
      </c>
      <c r="AS231" s="2" t="str">
        <f>IFERROR(X231/$V231*90,"")</f>
        <v/>
      </c>
      <c r="AT231" s="2" t="str">
        <f>IFERROR(Y231/$V231*90,"")</f>
        <v/>
      </c>
      <c r="AU231" s="2">
        <f>IF(AP231="",INDEX(BV$4:BV$7,MATCH(O231,$BU$4:$BU$7,0)),AP231)</f>
        <v>3.6526142445450806E-2</v>
      </c>
      <c r="AV231" s="2">
        <f>IF(AQ231="",INDEX(BW$4:BW$7,MATCH($O231,$BU$4:$BU$7,0)),AQ231)</f>
        <v>3.2427739661688867E-2</v>
      </c>
      <c r="AW231" s="2">
        <f t="shared" si="36"/>
        <v>0.20013349649571699</v>
      </c>
      <c r="AX231" s="2">
        <f t="shared" si="37"/>
        <v>0.16081000595592615</v>
      </c>
      <c r="AY231" s="2">
        <f t="shared" si="38"/>
        <v>0</v>
      </c>
      <c r="AZ231" s="2">
        <f>AU231*0.5+AK231*0.5</f>
        <v>0.12996464190335366</v>
      </c>
      <c r="BA231" s="2">
        <f>AV231*0.5+AJ231*0.5</f>
        <v>0.10055941956906433</v>
      </c>
      <c r="BB231" s="2">
        <f t="shared" si="39"/>
        <v>8.0405002977963075E-2</v>
      </c>
      <c r="BC231">
        <f>IF(I231="expected",1,0)</f>
        <v>0</v>
      </c>
      <c r="BD231" s="78">
        <f>IF(BC231=1,AZ231/SUMIFS(AZ$3:AZ$623,$BC$3:$BC$623,1,$G$3:$G$623,$G231),0)</f>
        <v>0</v>
      </c>
      <c r="BE231" s="78">
        <f>IF(BC231=1,BA231/SUMIFS(BA$3:BA$623,$BC$3:$BC$623,1,$G$3:$G$623,$G231),0)</f>
        <v>0</v>
      </c>
      <c r="BF231" s="78">
        <f t="shared" si="40"/>
        <v>0</v>
      </c>
      <c r="BG231" s="2">
        <f t="shared" si="41"/>
        <v>8.0405002977963075E-2</v>
      </c>
      <c r="BH231" s="2">
        <f t="shared" si="42"/>
        <v>0</v>
      </c>
      <c r="BI231" s="2">
        <f t="shared" si="43"/>
        <v>0</v>
      </c>
      <c r="BJ231" s="2">
        <f t="shared" si="44"/>
        <v>0</v>
      </c>
      <c r="BK231" s="2">
        <f t="shared" si="45"/>
        <v>0</v>
      </c>
      <c r="BL231" s="2">
        <f t="shared" si="46"/>
        <v>8.0405002977963075E-2</v>
      </c>
      <c r="BM231" s="2">
        <f t="shared" si="47"/>
        <v>0</v>
      </c>
      <c r="BN231" s="2">
        <f>BI231/SUMIFS(BI$3:BI$623,$BC$3:$BC$623,1,$G$3:$G$623,$G231)</f>
        <v>0</v>
      </c>
      <c r="BO231" s="2">
        <f>BJ231/SUMIFS(BJ$3:BJ$623,$BC$3:$BC$623,1,$G$3:$G$623,$G231)</f>
        <v>0</v>
      </c>
      <c r="BP231" s="2">
        <f>BK231/SUMIFS(BK$3:BK$623,$BC$3:$BC$623,1,$G$3:$G$623,$G231)</f>
        <v>0</v>
      </c>
      <c r="BQ231" s="2">
        <f>BL231</f>
        <v>8.0405002977963075E-2</v>
      </c>
      <c r="BR231" s="2">
        <f>BM231</f>
        <v>0</v>
      </c>
    </row>
    <row r="232" spans="1:70" hidden="1">
      <c r="A232" s="74">
        <v>0</v>
      </c>
      <c r="B232" s="73">
        <v>204506</v>
      </c>
      <c r="C232" s="73" t="s">
        <v>1906</v>
      </c>
      <c r="D232" s="73"/>
      <c r="E232" s="73" t="s">
        <v>1907</v>
      </c>
      <c r="F232" s="73">
        <v>18624</v>
      </c>
      <c r="G232" s="73" t="s">
        <v>877</v>
      </c>
      <c r="H232" s="73" t="s">
        <v>951</v>
      </c>
      <c r="I232" s="73" t="s">
        <v>981</v>
      </c>
      <c r="J232" s="73">
        <v>0</v>
      </c>
      <c r="K232" s="73">
        <v>5.5</v>
      </c>
      <c r="L232" s="73">
        <v>0</v>
      </c>
      <c r="M232" s="73">
        <v>0</v>
      </c>
      <c r="N232" s="73">
        <v>0</v>
      </c>
      <c r="O232" s="73" t="s">
        <v>994</v>
      </c>
      <c r="P232" s="73" t="s">
        <v>1907</v>
      </c>
      <c r="Q232" s="73" t="s">
        <v>1908</v>
      </c>
      <c r="R232" s="73">
        <v>0</v>
      </c>
      <c r="S232" s="73">
        <v>0</v>
      </c>
      <c r="T232" s="73">
        <v>0</v>
      </c>
      <c r="U232" s="73">
        <v>4</v>
      </c>
      <c r="V232" s="73">
        <v>1738</v>
      </c>
      <c r="W232" s="73">
        <v>2</v>
      </c>
      <c r="X232" s="73">
        <v>4</v>
      </c>
      <c r="Y232" s="73">
        <v>1</v>
      </c>
      <c r="Z232" s="73" t="s">
        <v>877</v>
      </c>
      <c r="AA232" s="73" t="s">
        <v>691</v>
      </c>
      <c r="AB232" s="73" t="str">
        <f>IF(AA232&lt;&gt;"",INDEX(Lookup!$N$2:$N$5,MATCH(Players!AA232,Lookup!$P$2:$P$5,0)),INDEX(Lookup!$N$2:$N$5,MATCH(Players!O232,Lookup!$O$2:$O$5,0)))</f>
        <v>Midfield</v>
      </c>
      <c r="AC232" s="73">
        <v>2500000</v>
      </c>
      <c r="AD232" s="73" t="s">
        <v>788</v>
      </c>
      <c r="AE232" s="73" t="str">
        <f>INDEX('Translate table'!$H$2:$H$622,MATCH(Players!P232,'Translate table'!$G$2:$G$622,0))</f>
        <v>Marlos Romero Bonfim</v>
      </c>
      <c r="AF232" s="73">
        <f>IFERROR(INDEX('Euro Qual stats'!$A$1:$L$2071,MATCH(Players!$AE232,'Euro Qual stats'!$A$1:$A$2071,0),MATCH(Players!AF$2,'Euro Qual stats'!$A$1:$L$1,0)),0)</f>
        <v>4</v>
      </c>
      <c r="AG232" s="73">
        <f>IFERROR(INDEX('Euro Qual stats'!$A$1:$L$2071,MATCH(Players!$AE232,'Euro Qual stats'!$A$1:$A$2071,0),MATCH(Players!AG$2,'Euro Qual stats'!$A$1:$L$1,0)),0)</f>
        <v>0.32</v>
      </c>
      <c r="AH232" s="73">
        <f>IFERROR(INDEX('Euro Qual stats'!$A$1:$L$2071,MATCH(Players!$AE232,'Euro Qual stats'!$A$1:$A$2071,0),MATCH(Players!AH$2,'Euro Qual stats'!$A$1:$L$1,0)),0)</f>
        <v>0.32</v>
      </c>
      <c r="AI232" s="73">
        <f>IFERROR(INDEX('Euro Qual stats'!$A$1:$L$2071,MATCH(Players!$AE232,'Euro Qual stats'!$A$1:$A$2071,0),MATCH(Players!AI$2,'Euro Qual stats'!$A$1:$L$1,0)),0)</f>
        <v>0</v>
      </c>
      <c r="AJ232" s="93">
        <f>(12-AF232)/12*INDEX(BV$9:BV$12,MATCH($AB232,$BU$9:$BU$12,0))+AF232/12*AG232</f>
        <v>0.21912739965095984</v>
      </c>
      <c r="AK232" s="93">
        <f>(12-AG232)/12*INDEX(BW$9:BW$12,MATCH($AB232,$BU$9:$BU$12,0))+AG232/12*AH232</f>
        <v>0.22597905759162301</v>
      </c>
      <c r="AL232" s="93">
        <f>(12-AH232)/12*INDEX(BX$9:BX$12,MATCH($AB232,$BU$9:$BU$12,0))+AH232/12*AI232</f>
        <v>0.23303944153577663</v>
      </c>
      <c r="AM232" s="93">
        <f>IF($BC232=1,AJ232/SUMIFS(AJ$3:AJ$623,$BC$3:$BC$623,1,$G$3:$G$623,$G232),0)</f>
        <v>0.13605245982064512</v>
      </c>
      <c r="AN232" s="93">
        <f>IF($BC232=1,AK232/SUMIFS(AK$3:AK$623,$BC$3:$BC$623,1,$G$3:$G$623,$G232),0)</f>
        <v>0.1087718794733304</v>
      </c>
      <c r="AO232" s="93">
        <f>IF($BC232=1,AL232/SUMIFS(AL$3:AL$623,$BC$3:$BC$623,1,$G$3:$G$623,$G232),0)</f>
        <v>0.11097519396714418</v>
      </c>
      <c r="AP232" s="2">
        <f>IFERROR(R232/$V232*90,"")</f>
        <v>0</v>
      </c>
      <c r="AQ232" s="2">
        <f>IFERROR(S232/$V232*90,"")</f>
        <v>0</v>
      </c>
      <c r="AR232" s="2">
        <f>IFERROR(W232/$V232*90,"")</f>
        <v>0.10356731875719218</v>
      </c>
      <c r="AS232" s="2">
        <f>IFERROR(X232/$V232*90,"")</f>
        <v>0.20713463751438435</v>
      </c>
      <c r="AT232" s="2">
        <f>IFERROR(Y232/$V232*90,"")</f>
        <v>5.1783659378596088E-2</v>
      </c>
      <c r="AU232" s="2">
        <f>IF(AP232="",INDEX(BV$4:BV$7,MATCH(O232,$BU$4:$BU$7,0)),AP232)</f>
        <v>0</v>
      </c>
      <c r="AV232" s="2">
        <f>IF(AQ232="",INDEX(BW$4:BW$7,MATCH($O232,$BU$4:$BU$7,0)),AQ232)</f>
        <v>0</v>
      </c>
      <c r="AW232" s="2">
        <f t="shared" si="36"/>
        <v>0.10356731875719218</v>
      </c>
      <c r="AX232" s="2">
        <f t="shared" si="37"/>
        <v>0.20713463751438435</v>
      </c>
      <c r="AY232" s="2">
        <f t="shared" si="38"/>
        <v>5.1783659378596088E-2</v>
      </c>
      <c r="AZ232" s="2">
        <f>AU232*0.5+AK232*0.5</f>
        <v>0.11298952879581151</v>
      </c>
      <c r="BA232" s="2">
        <f>AV232*0.5+AJ232*0.5</f>
        <v>0.10956369982547992</v>
      </c>
      <c r="BB232" s="2">
        <f t="shared" si="39"/>
        <v>0.10356731875719218</v>
      </c>
      <c r="BC232">
        <f>IF(I232="expected",1,0)</f>
        <v>1</v>
      </c>
      <c r="BD232" s="78">
        <f>IF(BC232=1,AZ232/SUMIFS(AZ$3:AZ$623,$BC$3:$BC$623,1,$G$3:$G$623,$G232),0)</f>
        <v>8.1524483845353518E-2</v>
      </c>
      <c r="BE232" s="78">
        <f>IF(BC232=1,BA232/SUMIFS(BA$3:BA$623,$BC$3:$BC$623,1,$G$3:$G$623,$G232),0)</f>
        <v>8.3179974279934871E-2</v>
      </c>
      <c r="BF232" s="78">
        <f t="shared" si="40"/>
        <v>3.2473580888412873E-2</v>
      </c>
      <c r="BG232" s="2">
        <f t="shared" si="41"/>
        <v>0.10356731875719218</v>
      </c>
      <c r="BH232" s="2">
        <f t="shared" si="42"/>
        <v>5.1783659378596088E-2</v>
      </c>
      <c r="BI232" s="2">
        <f t="shared" si="43"/>
        <v>8.1524483845353518E-2</v>
      </c>
      <c r="BJ232" s="2">
        <f t="shared" si="44"/>
        <v>8.3179974279934871E-2</v>
      </c>
      <c r="BK232" s="2">
        <f t="shared" si="45"/>
        <v>3.2473580888412873E-2</v>
      </c>
      <c r="BL232" s="2">
        <f t="shared" si="46"/>
        <v>0.10356731875719218</v>
      </c>
      <c r="BM232" s="2">
        <f t="shared" si="47"/>
        <v>5.1783659378596088E-2</v>
      </c>
      <c r="BN232" s="2">
        <f>BI232/SUMIFS(BI$3:BI$623,$BC$3:$BC$623,1,$G$3:$G$623,$G232)</f>
        <v>8.1524483845353518E-2</v>
      </c>
      <c r="BO232" s="2">
        <f>BJ232/SUMIFS(BJ$3:BJ$623,$BC$3:$BC$623,1,$G$3:$G$623,$G232)</f>
        <v>8.6227562752625359E-2</v>
      </c>
      <c r="BP232" s="2">
        <f>BK232/SUMIFS(BK$3:BK$623,$BC$3:$BC$623,1,$G$3:$G$623,$G232)</f>
        <v>3.2964197045480294E-2</v>
      </c>
      <c r="BQ232" s="2">
        <f>BL232</f>
        <v>0.10356731875719218</v>
      </c>
      <c r="BR232" s="2">
        <f>BM232</f>
        <v>5.1783659378596088E-2</v>
      </c>
    </row>
    <row r="233" spans="1:70" hidden="1">
      <c r="A233" s="74">
        <v>0</v>
      </c>
      <c r="B233" s="73">
        <v>204503</v>
      </c>
      <c r="C233" s="73" t="s">
        <v>1909</v>
      </c>
      <c r="D233" s="73" t="s">
        <v>1910</v>
      </c>
      <c r="E233" s="73" t="s">
        <v>1911</v>
      </c>
      <c r="F233" s="73">
        <v>18624</v>
      </c>
      <c r="G233" s="73" t="s">
        <v>877</v>
      </c>
      <c r="H233" s="73" t="s">
        <v>951</v>
      </c>
      <c r="I233" s="73" t="s">
        <v>981</v>
      </c>
      <c r="J233" s="73">
        <v>0</v>
      </c>
      <c r="K233" s="73">
        <v>5.5</v>
      </c>
      <c r="L233" s="73">
        <v>0</v>
      </c>
      <c r="M233" s="73">
        <v>0</v>
      </c>
      <c r="N233" s="73">
        <v>0</v>
      </c>
      <c r="O233" s="73" t="s">
        <v>994</v>
      </c>
      <c r="P233" s="73" t="s">
        <v>1912</v>
      </c>
      <c r="Q233" s="73" t="s">
        <v>1912</v>
      </c>
      <c r="R233" s="73">
        <v>8</v>
      </c>
      <c r="S233" s="73">
        <v>12</v>
      </c>
      <c r="T233" s="73">
        <v>0</v>
      </c>
      <c r="U233" s="73">
        <v>0</v>
      </c>
      <c r="V233" s="73">
        <v>1882</v>
      </c>
      <c r="W233" s="73">
        <v>21</v>
      </c>
      <c r="X233" s="73">
        <v>3</v>
      </c>
      <c r="Y233" s="73">
        <v>0</v>
      </c>
      <c r="Z233" s="73" t="s">
        <v>877</v>
      </c>
      <c r="AA233" s="73" t="s">
        <v>691</v>
      </c>
      <c r="AB233" s="73" t="str">
        <f>IF(AA233&lt;&gt;"",INDEX(Lookup!$N$2:$N$5,MATCH(Players!AA233,Lookup!$P$2:$P$5,0)),INDEX(Lookup!$N$2:$N$5,MATCH(Players!O233,Lookup!$O$2:$O$5,0)))</f>
        <v>Midfield</v>
      </c>
      <c r="AC233" s="73">
        <v>3500000</v>
      </c>
      <c r="AD233" s="73" t="s">
        <v>838</v>
      </c>
      <c r="AE233" s="73" t="str">
        <f>INDEX('Translate table'!$H$2:$H$622,MATCH(Players!P233,'Translate table'!$G$2:$G$622,0))</f>
        <v>Ruslan Malinovskiy</v>
      </c>
      <c r="AF233" s="73">
        <f>IFERROR(INDEX('Euro Qual stats'!$A$1:$L$2071,MATCH(Players!$AE233,'Euro Qual stats'!$A$1:$A$2071,0),MATCH(Players!AF$2,'Euro Qual stats'!$A$1:$L$1,0)),0)</f>
        <v>8</v>
      </c>
      <c r="AG233" s="73">
        <f>IFERROR(INDEX('Euro Qual stats'!$A$1:$L$2071,MATCH(Players!$AE233,'Euro Qual stats'!$A$1:$A$2071,0),MATCH(Players!AG$2,'Euro Qual stats'!$A$1:$L$1,0)),0)</f>
        <v>0.38</v>
      </c>
      <c r="AH233" s="73">
        <f>IFERROR(INDEX('Euro Qual stats'!$A$1:$L$2071,MATCH(Players!$AE233,'Euro Qual stats'!$A$1:$A$2071,0),MATCH(Players!AH$2,'Euro Qual stats'!$A$1:$L$1,0)),0)</f>
        <v>0.38</v>
      </c>
      <c r="AI233" s="73">
        <f>IFERROR(INDEX('Euro Qual stats'!$A$1:$L$2071,MATCH(Players!$AE233,'Euro Qual stats'!$A$1:$A$2071,0),MATCH(Players!AI$2,'Euro Qual stats'!$A$1:$L$1,0)),0)</f>
        <v>0</v>
      </c>
      <c r="AJ233" s="93">
        <f>(12-AF233)/12*INDEX(BV$9:BV$12,MATCH($AB233,$BU$9:$BU$12,0))+AF233/12*AG233</f>
        <v>0.30956369982547988</v>
      </c>
      <c r="AK233" s="93">
        <f>(12-AG233)/12*INDEX(BW$9:BW$12,MATCH($AB233,$BU$9:$BU$12,0))+AG233/12*AH233</f>
        <v>0.22836204188481674</v>
      </c>
      <c r="AL233" s="93">
        <f>(12-AH233)/12*INDEX(BX$9:BX$12,MATCH($AB233,$BU$9:$BU$12,0))+AH233/12*AI233</f>
        <v>0.23184232111692846</v>
      </c>
      <c r="AM233" s="93">
        <f>IF($BC233=1,AJ233/SUMIFS(AJ$3:AJ$623,$BC$3:$BC$623,1,$G$3:$G$623,$G233),0)</f>
        <v>0.19220281397727007</v>
      </c>
      <c r="AN233" s="93">
        <f>IF($BC233=1,AK233/SUMIFS(AK$3:AK$623,$BC$3:$BC$623,1,$G$3:$G$623,$G233),0)</f>
        <v>0.10991889585214247</v>
      </c>
      <c r="AO233" s="93">
        <f>IF($BC233=1,AL233/SUMIFS(AL$3:AL$623,$BC$3:$BC$623,1,$G$3:$G$623,$G233),0)</f>
        <v>0.1104051159159431</v>
      </c>
      <c r="AP233" s="2">
        <f>IFERROR(R233/$V233*90,"")</f>
        <v>0.38257173219978746</v>
      </c>
      <c r="AQ233" s="2">
        <f>IFERROR(S233/$V233*90,"")</f>
        <v>0.57385759829968119</v>
      </c>
      <c r="AR233" s="2">
        <f>IFERROR(W233/$V233*90,"")</f>
        <v>1.0042507970244421</v>
      </c>
      <c r="AS233" s="2">
        <f>IFERROR(X233/$V233*90,"")</f>
        <v>0.1434643995749203</v>
      </c>
      <c r="AT233" s="2">
        <f>IFERROR(Y233/$V233*90,"")</f>
        <v>0</v>
      </c>
      <c r="AU233" s="2">
        <f>IF(AP233="",INDEX(BV$4:BV$7,MATCH(O233,$BU$4:$BU$7,0)),AP233)</f>
        <v>0.38257173219978746</v>
      </c>
      <c r="AV233" s="2">
        <f>IF(AQ233="",INDEX(BW$4:BW$7,MATCH($O233,$BU$4:$BU$7,0)),AQ233)</f>
        <v>0.57385759829968119</v>
      </c>
      <c r="AW233" s="2">
        <f t="shared" si="36"/>
        <v>1.0042507970244421</v>
      </c>
      <c r="AX233" s="2">
        <f t="shared" si="37"/>
        <v>0.1434643995749203</v>
      </c>
      <c r="AY233" s="2">
        <f t="shared" si="38"/>
        <v>0</v>
      </c>
      <c r="AZ233" s="2">
        <f>AU233*0.5+AK233*0.5</f>
        <v>0.30546688704230207</v>
      </c>
      <c r="BA233" s="2">
        <f>AV233*0.5+AJ233*0.5</f>
        <v>0.44171064906258051</v>
      </c>
      <c r="BB233" s="2">
        <f t="shared" si="39"/>
        <v>7.1732199787460149E-2</v>
      </c>
      <c r="BC233">
        <f>IF(I233="expected",1,0)</f>
        <v>1</v>
      </c>
      <c r="BD233" s="78">
        <f>IF(BC233=1,AZ233/SUMIFS(AZ$3:AZ$623,$BC$3:$BC$623,1,$G$3:$G$623,$G233),0)</f>
        <v>0.22040122269182993</v>
      </c>
      <c r="BE233" s="78">
        <f>IF(BC233=1,BA233/SUMIFS(BA$3:BA$623,$BC$3:$BC$623,1,$G$3:$G$623,$G233),0)</f>
        <v>0.33534355344628708</v>
      </c>
      <c r="BF233" s="78">
        <f t="shared" si="40"/>
        <v>0.31488330373679407</v>
      </c>
      <c r="BG233" s="2">
        <f t="shared" si="41"/>
        <v>7.1732199787460149E-2</v>
      </c>
      <c r="BH233" s="2">
        <f t="shared" si="42"/>
        <v>0</v>
      </c>
      <c r="BI233" s="2">
        <f t="shared" si="43"/>
        <v>0.22040122269182993</v>
      </c>
      <c r="BJ233" s="2">
        <f t="shared" si="44"/>
        <v>0.3</v>
      </c>
      <c r="BK233" s="2">
        <f t="shared" si="45"/>
        <v>0.3</v>
      </c>
      <c r="BL233" s="2">
        <f t="shared" si="46"/>
        <v>7.1732199787460149E-2</v>
      </c>
      <c r="BM233" s="2">
        <f t="shared" si="47"/>
        <v>0</v>
      </c>
      <c r="BN233" s="2">
        <f>BI233/SUMIFS(BI$3:BI$623,$BC$3:$BC$623,1,$G$3:$G$623,$G233)</f>
        <v>0.22040122269182993</v>
      </c>
      <c r="BO233" s="2">
        <f>BJ233/SUMIFS(BJ$3:BJ$623,$BC$3:$BC$623,1,$G$3:$G$623,$G233)</f>
        <v>0.31099154633938964</v>
      </c>
      <c r="BP233" s="2">
        <f>BK233/SUMIFS(BK$3:BK$623,$BC$3:$BC$623,1,$G$3:$G$623,$G233)</f>
        <v>0.30453244893521253</v>
      </c>
      <c r="BQ233" s="2">
        <f>BL233</f>
        <v>7.1732199787460149E-2</v>
      </c>
      <c r="BR233" s="2">
        <f>BM233</f>
        <v>0</v>
      </c>
    </row>
    <row r="234" spans="1:70" hidden="1">
      <c r="A234" s="74">
        <v>0</v>
      </c>
      <c r="B234" s="73">
        <v>204507</v>
      </c>
      <c r="C234" s="73" t="s">
        <v>1913</v>
      </c>
      <c r="D234" s="73" t="s">
        <v>1914</v>
      </c>
      <c r="E234" s="73" t="s">
        <v>1915</v>
      </c>
      <c r="F234" s="73">
        <v>18624</v>
      </c>
      <c r="G234" s="73" t="s">
        <v>877</v>
      </c>
      <c r="H234" s="73" t="s">
        <v>951</v>
      </c>
      <c r="I234" s="73" t="s">
        <v>981</v>
      </c>
      <c r="J234" s="73">
        <v>0</v>
      </c>
      <c r="K234" s="73">
        <v>5.5</v>
      </c>
      <c r="L234" s="73">
        <v>0</v>
      </c>
      <c r="M234" s="73">
        <v>0</v>
      </c>
      <c r="N234" s="73">
        <v>0</v>
      </c>
      <c r="O234" s="73" t="s">
        <v>982</v>
      </c>
      <c r="P234" s="73" t="s">
        <v>1916</v>
      </c>
      <c r="Q234" s="73" t="s">
        <v>1917</v>
      </c>
      <c r="R234" s="73">
        <v>6</v>
      </c>
      <c r="S234" s="73">
        <v>5</v>
      </c>
      <c r="T234" s="73">
        <v>0</v>
      </c>
      <c r="U234" s="73">
        <v>3</v>
      </c>
      <c r="V234" s="73">
        <v>2898</v>
      </c>
      <c r="W234" s="73">
        <v>23</v>
      </c>
      <c r="X234" s="73">
        <v>0</v>
      </c>
      <c r="Y234" s="73">
        <v>0</v>
      </c>
      <c r="Z234" s="73" t="s">
        <v>877</v>
      </c>
      <c r="AA234" s="73" t="s">
        <v>693</v>
      </c>
      <c r="AB234" s="73" t="str">
        <f>IF(AA234&lt;&gt;"",INDEX(Lookup!$N$2:$N$5,MATCH(Players!AA234,Lookup!$P$2:$P$5,0)),INDEX(Lookup!$N$2:$N$5,MATCH(Players!O234,Lookup!$O$2:$O$5,0)))</f>
        <v>Striker</v>
      </c>
      <c r="AC234" s="73">
        <v>4000000</v>
      </c>
      <c r="AD234" s="73" t="s">
        <v>801</v>
      </c>
      <c r="AE234" s="73" t="str">
        <f>INDEX('Translate table'!$H$2:$H$622,MATCH(Players!P234,'Translate table'!$G$2:$G$622,0))</f>
        <v>Roman Yaremchuk</v>
      </c>
      <c r="AF234" s="73">
        <f>IFERROR(INDEX('Euro Qual stats'!$A$1:$L$2071,MATCH(Players!$AE234,'Euro Qual stats'!$A$1:$A$2071,0),MATCH(Players!AF$2,'Euro Qual stats'!$A$1:$L$1,0)),0)</f>
        <v>7</v>
      </c>
      <c r="AG234" s="73">
        <f>IFERROR(INDEX('Euro Qual stats'!$A$1:$L$2071,MATCH(Players!$AE234,'Euro Qual stats'!$A$1:$A$2071,0),MATCH(Players!AG$2,'Euro Qual stats'!$A$1:$L$1,0)),0)</f>
        <v>0.18</v>
      </c>
      <c r="AH234" s="73">
        <f>IFERROR(INDEX('Euro Qual stats'!$A$1:$L$2071,MATCH(Players!$AE234,'Euro Qual stats'!$A$1:$A$2071,0),MATCH(Players!AH$2,'Euro Qual stats'!$A$1:$L$1,0)),0)</f>
        <v>0.74</v>
      </c>
      <c r="AI234" s="73">
        <f>IFERROR(INDEX('Euro Qual stats'!$A$1:$L$2071,MATCH(Players!$AE234,'Euro Qual stats'!$A$1:$A$2071,0),MATCH(Players!AI$2,'Euro Qual stats'!$A$1:$L$1,0)),0)</f>
        <v>0</v>
      </c>
      <c r="AJ234" s="93">
        <f>(12-AF234)/12*INDEX(BV$9:BV$12,MATCH($AB234,$BU$9:$BU$12,0))+AF234/12*AG234</f>
        <v>0.19038074712643679</v>
      </c>
      <c r="AK234" s="93">
        <f>(12-AG234)/12*INDEX(BW$9:BW$12,MATCH($AB234,$BU$9:$BU$12,0))+AG234/12*AH234</f>
        <v>0.53697112068965491</v>
      </c>
      <c r="AL234" s="93">
        <f>(12-AH234)/12*INDEX(BX$9:BX$12,MATCH($AB234,$BU$9:$BU$12,0))+AH234/12*AI234</f>
        <v>0.15466321839080463</v>
      </c>
      <c r="AM234" s="93">
        <f>IF($BC234=1,AJ234/SUMIFS(AJ$3:AJ$623,$BC$3:$BC$623,1,$G$3:$G$623,$G234),0)</f>
        <v>0.11820415425137129</v>
      </c>
      <c r="AN234" s="93">
        <f>IF($BC234=1,AK234/SUMIFS(AK$3:AK$623,$BC$3:$BC$623,1,$G$3:$G$623,$G234),0)</f>
        <v>0.25846358792178376</v>
      </c>
      <c r="AO234" s="93">
        <f>IF($BC234=1,AL234/SUMIFS(AL$3:AL$623,$BC$3:$BC$623,1,$G$3:$G$623,$G234),0)</f>
        <v>7.3651827121578944E-2</v>
      </c>
      <c r="AP234" s="2">
        <f>IFERROR(R234/$V234*90,"")</f>
        <v>0.18633540372670809</v>
      </c>
      <c r="AQ234" s="2">
        <f>IFERROR(S234/$V234*90,"")</f>
        <v>0.15527950310559005</v>
      </c>
      <c r="AR234" s="2">
        <f>IFERROR(W234/$V234*90,"")</f>
        <v>0.71428571428571419</v>
      </c>
      <c r="AS234" s="2">
        <f>IFERROR(X234/$V234*90,"")</f>
        <v>0</v>
      </c>
      <c r="AT234" s="2">
        <f>IFERROR(Y234/$V234*90,"")</f>
        <v>0</v>
      </c>
      <c r="AU234" s="2">
        <f>IF(AP234="",INDEX(BV$4:BV$7,MATCH(O234,$BU$4:$BU$7,0)),AP234)</f>
        <v>0.18633540372670809</v>
      </c>
      <c r="AV234" s="2">
        <f>IF(AQ234="",INDEX(BW$4:BW$7,MATCH($O234,$BU$4:$BU$7,0)),AQ234)</f>
        <v>0.15527950310559005</v>
      </c>
      <c r="AW234" s="2">
        <f t="shared" si="36"/>
        <v>0.71428571428571419</v>
      </c>
      <c r="AX234" s="2">
        <f t="shared" si="37"/>
        <v>0</v>
      </c>
      <c r="AY234" s="2">
        <f t="shared" si="38"/>
        <v>0</v>
      </c>
      <c r="AZ234" s="2">
        <f>AU234*0.5+AK234*0.5</f>
        <v>0.3616532622081815</v>
      </c>
      <c r="BA234" s="2">
        <f>AV234*0.5+AJ234*0.5</f>
        <v>0.17283012511601342</v>
      </c>
      <c r="BB234" s="2">
        <f t="shared" si="39"/>
        <v>0</v>
      </c>
      <c r="BC234">
        <f>IF(I234="expected",1,0)</f>
        <v>1</v>
      </c>
      <c r="BD234" s="78">
        <f>IF(BC234=1,AZ234/SUMIFS(AZ$3:AZ$623,$BC$3:$BC$623,1,$G$3:$G$623,$G234),0)</f>
        <v>0.26094095485424523</v>
      </c>
      <c r="BE234" s="78">
        <f>IF(BC234=1,BA234/SUMIFS(BA$3:BA$623,$BC$3:$BC$623,1,$G$3:$G$623,$G234),0)</f>
        <v>0.13121139013055366</v>
      </c>
      <c r="BF234" s="78">
        <f t="shared" si="40"/>
        <v>0.22396461739706969</v>
      </c>
      <c r="BG234" s="2">
        <f t="shared" si="41"/>
        <v>0</v>
      </c>
      <c r="BH234" s="2">
        <f t="shared" si="42"/>
        <v>0</v>
      </c>
      <c r="BI234" s="2">
        <f t="shared" si="43"/>
        <v>0.26094095485424523</v>
      </c>
      <c r="BJ234" s="2">
        <f t="shared" si="44"/>
        <v>0.13121139013055366</v>
      </c>
      <c r="BK234" s="2">
        <f t="shared" si="45"/>
        <v>0.22396461739706969</v>
      </c>
      <c r="BL234" s="2">
        <f t="shared" si="46"/>
        <v>0</v>
      </c>
      <c r="BM234" s="2">
        <f t="shared" si="47"/>
        <v>0</v>
      </c>
      <c r="BN234" s="2">
        <f>BI234/SUMIFS(BI$3:BI$623,$BC$3:$BC$623,1,$G$3:$G$623,$G234)</f>
        <v>0.26094095485424523</v>
      </c>
      <c r="BO234" s="2">
        <f>BJ234/SUMIFS(BJ$3:BJ$623,$BC$3:$BC$623,1,$G$3:$G$623,$G234)</f>
        <v>0.13601877704680604</v>
      </c>
      <c r="BP234" s="2">
        <f>BK234/SUMIFS(BK$3:BK$623,$BC$3:$BC$623,1,$G$3:$G$623,$G234)</f>
        <v>0.22734831136922515</v>
      </c>
      <c r="BQ234" s="2">
        <f>BL234</f>
        <v>0</v>
      </c>
      <c r="BR234" s="2">
        <f>BM234</f>
        <v>0</v>
      </c>
    </row>
    <row r="235" spans="1:70" hidden="1">
      <c r="A235" s="74">
        <v>0</v>
      </c>
      <c r="B235" s="73">
        <v>204712</v>
      </c>
      <c r="C235" s="73" t="s">
        <v>1918</v>
      </c>
      <c r="D235" s="73" t="s">
        <v>1919</v>
      </c>
      <c r="E235" s="73" t="s">
        <v>1920</v>
      </c>
      <c r="F235" s="73">
        <v>18716</v>
      </c>
      <c r="G235" s="73" t="s">
        <v>862</v>
      </c>
      <c r="H235" s="73" t="s">
        <v>935</v>
      </c>
      <c r="I235" s="73" t="s">
        <v>981</v>
      </c>
      <c r="J235" s="73">
        <v>0</v>
      </c>
      <c r="K235" s="73">
        <v>5.5</v>
      </c>
      <c r="L235" s="73">
        <v>0</v>
      </c>
      <c r="M235" s="73">
        <v>0</v>
      </c>
      <c r="N235" s="73">
        <v>0</v>
      </c>
      <c r="O235" s="73" t="s">
        <v>994</v>
      </c>
      <c r="P235" s="73" t="s">
        <v>1921</v>
      </c>
      <c r="Q235" s="73" t="s">
        <v>1921</v>
      </c>
      <c r="R235" s="73">
        <v>4</v>
      </c>
      <c r="S235" s="73">
        <v>9</v>
      </c>
      <c r="T235" s="73">
        <v>0</v>
      </c>
      <c r="U235" s="73">
        <v>4</v>
      </c>
      <c r="V235" s="73">
        <v>2625</v>
      </c>
      <c r="W235" s="73">
        <v>23</v>
      </c>
      <c r="X235" s="73">
        <v>4</v>
      </c>
      <c r="Y235" s="73">
        <v>0</v>
      </c>
      <c r="Z235" s="73" t="s">
        <v>1922</v>
      </c>
      <c r="AA235" s="73" t="s">
        <v>691</v>
      </c>
      <c r="AB235" s="73" t="str">
        <f>IF(AA235&lt;&gt;"",INDEX(Lookup!$N$2:$N$5,MATCH(Players!AA235,Lookup!$P$2:$P$5,0)),INDEX(Lookup!$N$2:$N$5,MATCH(Players!O235,Lookup!$O$2:$O$5,0)))</f>
        <v>Midfield</v>
      </c>
      <c r="AC235" s="73">
        <v>4500000</v>
      </c>
      <c r="AD235" s="73" t="s">
        <v>834</v>
      </c>
      <c r="AE235" s="73" t="str">
        <f>INDEX('Translate table'!$H$2:$H$622,MATCH(Players!P235,'Translate table'!$G$2:$G$622,0))</f>
        <v>Hakan Ã‡alhanoÄŸlu</v>
      </c>
      <c r="AF235" s="73">
        <f>IFERROR(INDEX('Euro Qual stats'!$A$1:$L$2071,MATCH(Players!$AE235,'Euro Qual stats'!$A$1:$A$2071,0),MATCH(Players!AF$2,'Euro Qual stats'!$A$1:$L$1,0)),0)</f>
        <v>9</v>
      </c>
      <c r="AG235" s="73">
        <f>IFERROR(INDEX('Euro Qual stats'!$A$1:$L$2071,MATCH(Players!$AE235,'Euro Qual stats'!$A$1:$A$2071,0),MATCH(Players!AG$2,'Euro Qual stats'!$A$1:$L$1,0)),0)</f>
        <v>0.28999999999999998</v>
      </c>
      <c r="AH235" s="73">
        <f>IFERROR(INDEX('Euro Qual stats'!$A$1:$L$2071,MATCH(Players!$AE235,'Euro Qual stats'!$A$1:$A$2071,0),MATCH(Players!AH$2,'Euro Qual stats'!$A$1:$L$1,0)),0)</f>
        <v>0.14000000000000001</v>
      </c>
      <c r="AI235" s="73">
        <f>IFERROR(INDEX('Euro Qual stats'!$A$1:$L$2071,MATCH(Players!$AE235,'Euro Qual stats'!$A$1:$A$2071,0),MATCH(Players!AI$2,'Euro Qual stats'!$A$1:$L$1,0)),0)</f>
        <v>0</v>
      </c>
      <c r="AJ235" s="93">
        <f>(12-AF235)/12*INDEX(BV$9:BV$12,MATCH($AB235,$BU$9:$BU$12,0))+AF235/12*AG235</f>
        <v>0.25967277486910989</v>
      </c>
      <c r="AK235" s="93">
        <f>(12-AG235)/12*INDEX(BW$9:BW$12,MATCH($AB235,$BU$9:$BU$12,0))+AG235/12*AH235</f>
        <v>0.22138756544502616</v>
      </c>
      <c r="AL235" s="93">
        <f>(12-AH235)/12*INDEX(BX$9:BX$12,MATCH($AB235,$BU$9:$BU$12,0))+AH235/12*AI235</f>
        <v>0.23663080279232113</v>
      </c>
      <c r="AM235" s="93">
        <f>IF($BC235=1,AJ235/SUMIFS(AJ$3:AJ$623,$BC$3:$BC$623,1,$G$3:$G$623,$G235),0)</f>
        <v>0.2117792909193624</v>
      </c>
      <c r="AN235" s="93">
        <f>IF($BC235=1,AK235/SUMIFS(AK$3:AK$623,$BC$3:$BC$623,1,$G$3:$G$623,$G235),0)</f>
        <v>8.2798268362558047E-2</v>
      </c>
      <c r="AO235" s="93">
        <f>IF($BC235=1,AL235/SUMIFS(AL$3:AL$623,$BC$3:$BC$623,1,$G$3:$G$623,$G235),0)</f>
        <v>0.11845505466638527</v>
      </c>
      <c r="AP235" s="2">
        <f>IFERROR(R235/$V235*90,"")</f>
        <v>0.13714285714285715</v>
      </c>
      <c r="AQ235" s="2">
        <f>IFERROR(S235/$V235*90,"")</f>
        <v>0.30857142857142855</v>
      </c>
      <c r="AR235" s="2">
        <f>IFERROR(W235/$V235*90,"")</f>
        <v>0.78857142857142859</v>
      </c>
      <c r="AS235" s="2">
        <f>IFERROR(X235/$V235*90,"")</f>
        <v>0.13714285714285715</v>
      </c>
      <c r="AT235" s="2">
        <f>IFERROR(Y235/$V235*90,"")</f>
        <v>0</v>
      </c>
      <c r="AU235" s="2">
        <f>IF(AP235="",INDEX(BV$4:BV$7,MATCH(O235,$BU$4:$BU$7,0)),AP235)</f>
        <v>0.13714285714285715</v>
      </c>
      <c r="AV235" s="2">
        <f>IF(AQ235="",INDEX(BW$4:BW$7,MATCH($O235,$BU$4:$BU$7,0)),AQ235)</f>
        <v>0.30857142857142855</v>
      </c>
      <c r="AW235" s="2">
        <f t="shared" si="36"/>
        <v>0.78857142857142859</v>
      </c>
      <c r="AX235" s="2">
        <f t="shared" si="37"/>
        <v>0.13714285714285715</v>
      </c>
      <c r="AY235" s="2">
        <f t="shared" si="38"/>
        <v>0</v>
      </c>
      <c r="AZ235" s="2">
        <f>AU235*0.5+AK235*0.5</f>
        <v>0.17926521129394166</v>
      </c>
      <c r="BA235" s="2">
        <f>AV235*0.5+AJ235*0.5</f>
        <v>0.28412210172026919</v>
      </c>
      <c r="BB235" s="2">
        <f t="shared" si="39"/>
        <v>6.8571428571428575E-2</v>
      </c>
      <c r="BC235">
        <f>IF(I235="expected",1,0)</f>
        <v>1</v>
      </c>
      <c r="BD235" s="78">
        <f>IF(BC235=1,AZ235/SUMIFS(AZ$3:AZ$623,$BC$3:$BC$623,1,$G$3:$G$623,$G235),0)</f>
        <v>7.8956099032368804E-2</v>
      </c>
      <c r="BE235" s="78">
        <f>IF(BC235=1,BA235/SUMIFS(BA$3:BA$623,$BC$3:$BC$623,1,$G$3:$G$623,$G235),0)</f>
        <v>0.2382980255477391</v>
      </c>
      <c r="BF235" s="78">
        <f t="shared" si="40"/>
        <v>0.14878645111713859</v>
      </c>
      <c r="BG235" s="2">
        <f t="shared" si="41"/>
        <v>6.8571428571428575E-2</v>
      </c>
      <c r="BH235" s="2">
        <f t="shared" si="42"/>
        <v>0</v>
      </c>
      <c r="BI235" s="2">
        <f t="shared" si="43"/>
        <v>7.8956099032368804E-2</v>
      </c>
      <c r="BJ235" s="2">
        <f t="shared" si="44"/>
        <v>0.2382980255477391</v>
      </c>
      <c r="BK235" s="2">
        <f t="shared" si="45"/>
        <v>0.14878645111713859</v>
      </c>
      <c r="BL235" s="2">
        <f t="shared" si="46"/>
        <v>6.8571428571428575E-2</v>
      </c>
      <c r="BM235" s="2">
        <f t="shared" si="47"/>
        <v>0</v>
      </c>
      <c r="BN235" s="2">
        <f>BI235/SUMIFS(BI$3:BI$623,$BC$3:$BC$623,1,$G$3:$G$623,$G235)</f>
        <v>7.8956099032368818E-2</v>
      </c>
      <c r="BO235" s="2">
        <f>BJ235/SUMIFS(BJ$3:BJ$623,$BC$3:$BC$623,1,$G$3:$G$623,$G235)</f>
        <v>0.23829802554773905</v>
      </c>
      <c r="BP235" s="2">
        <f>BK235/SUMIFS(BK$3:BK$623,$BC$3:$BC$623,1,$G$3:$G$623,$G235)</f>
        <v>0.15361214370065948</v>
      </c>
      <c r="BQ235" s="2">
        <f>BL235</f>
        <v>6.8571428571428575E-2</v>
      </c>
      <c r="BR235" s="2">
        <f>BM235</f>
        <v>0</v>
      </c>
    </row>
    <row r="236" spans="1:70" hidden="1">
      <c r="A236" s="74">
        <v>0</v>
      </c>
      <c r="B236" s="73">
        <v>204762</v>
      </c>
      <c r="C236" s="73" t="s">
        <v>1923</v>
      </c>
      <c r="D236" s="73" t="s">
        <v>1924</v>
      </c>
      <c r="E236" s="73" t="s">
        <v>1925</v>
      </c>
      <c r="F236" s="73">
        <v>18702</v>
      </c>
      <c r="G236" s="73" t="s">
        <v>872</v>
      </c>
      <c r="H236" s="73" t="s">
        <v>913</v>
      </c>
      <c r="I236" s="73" t="s">
        <v>1012</v>
      </c>
      <c r="J236" s="73">
        <v>0</v>
      </c>
      <c r="K236" s="73">
        <v>5.5</v>
      </c>
      <c r="L236" s="73">
        <v>0</v>
      </c>
      <c r="M236" s="73">
        <v>0</v>
      </c>
      <c r="N236" s="73">
        <v>0</v>
      </c>
      <c r="O236" s="73" t="s">
        <v>994</v>
      </c>
      <c r="P236" s="73" t="s">
        <v>1926</v>
      </c>
      <c r="Q236" s="73" t="s">
        <v>1926</v>
      </c>
      <c r="R236" s="73">
        <v>4</v>
      </c>
      <c r="S236" s="73">
        <v>2</v>
      </c>
      <c r="T236" s="73">
        <v>0</v>
      </c>
      <c r="U236" s="73">
        <v>0</v>
      </c>
      <c r="V236" s="73">
        <v>661</v>
      </c>
      <c r="W236" s="73">
        <v>6</v>
      </c>
      <c r="X236" s="73">
        <v>0</v>
      </c>
      <c r="Y236" s="73">
        <v>0</v>
      </c>
      <c r="Z236" s="73" t="s">
        <v>1689</v>
      </c>
      <c r="AA236" s="73" t="s">
        <v>691</v>
      </c>
      <c r="AB236" s="73" t="str">
        <f>IF(AA236&lt;&gt;"",INDEX(Lookup!$N$2:$N$5,MATCH(Players!AA236,Lookup!$P$2:$P$5,0)),INDEX(Lookup!$N$2:$N$5,MATCH(Players!O236,Lookup!$O$2:$O$5,0)))</f>
        <v>Midfield</v>
      </c>
      <c r="AC236" s="73">
        <v>3000000</v>
      </c>
      <c r="AD236" s="73" t="s">
        <v>788</v>
      </c>
      <c r="AE236" s="73" t="str">
        <f>INDEX('Translate table'!$H$2:$H$622,MATCH(Players!P236,'Translate table'!$G$2:$G$622,0))</f>
        <v>Aleksey Miranchuk</v>
      </c>
      <c r="AF236" s="73">
        <f>IFERROR(INDEX('Euro Qual stats'!$A$1:$L$2071,MATCH(Players!$AE236,'Euro Qual stats'!$A$1:$A$2071,0),MATCH(Players!AF$2,'Euro Qual stats'!$A$1:$L$1,0)),0)</f>
        <v>5</v>
      </c>
      <c r="AG236" s="73">
        <f>IFERROR(INDEX('Euro Qual stats'!$A$1:$L$2071,MATCH(Players!$AE236,'Euro Qual stats'!$A$1:$A$2071,0),MATCH(Players!AG$2,'Euro Qual stats'!$A$1:$L$1,0)),0)</f>
        <v>0</v>
      </c>
      <c r="AH236" s="73">
        <f>IFERROR(INDEX('Euro Qual stats'!$A$1:$L$2071,MATCH(Players!$AE236,'Euro Qual stats'!$A$1:$A$2071,0),MATCH(Players!AH$2,'Euro Qual stats'!$A$1:$L$1,0)),0)</f>
        <v>0.35</v>
      </c>
      <c r="AI236" s="73">
        <f>IFERROR(INDEX('Euro Qual stats'!$A$1:$L$2071,MATCH(Players!$AE236,'Euro Qual stats'!$A$1:$A$2071,0),MATCH(Players!AI$2,'Euro Qual stats'!$A$1:$L$1,0)),0)</f>
        <v>0</v>
      </c>
      <c r="AJ236" s="93">
        <f>(12-AF236)/12*INDEX(BV$9:BV$12,MATCH($AB236,$BU$9:$BU$12,0))+AF236/12*AG236</f>
        <v>9.8403141361256552E-2</v>
      </c>
      <c r="AK236" s="93">
        <f>(12-AG236)/12*INDEX(BW$9:BW$12,MATCH($AB236,$BU$9:$BU$12,0))+AG236/12*AH236</f>
        <v>0.22340314136125652</v>
      </c>
      <c r="AL236" s="93">
        <f>(12-AH236)/12*INDEX(BX$9:BX$12,MATCH($AB236,$BU$9:$BU$12,0))+AH236/12*AI236</f>
        <v>0.23244088132635254</v>
      </c>
      <c r="AM236" s="93">
        <f>IF($BC236=1,AJ236/SUMIFS(AJ$3:AJ$623,$BC$3:$BC$623,1,$G$3:$G$623,$G236),0)</f>
        <v>0</v>
      </c>
      <c r="AN236" s="93">
        <f>IF($BC236=1,AK236/SUMIFS(AK$3:AK$623,$BC$3:$BC$623,1,$G$3:$G$623,$G236),0)</f>
        <v>0</v>
      </c>
      <c r="AO236" s="93">
        <f>IF($BC236=1,AL236/SUMIFS(AL$3:AL$623,$BC$3:$BC$623,1,$G$3:$G$623,$G236),0)</f>
        <v>0</v>
      </c>
      <c r="AP236" s="2">
        <f>IFERROR(R236/$V236*90,"")</f>
        <v>0.54462934947049924</v>
      </c>
      <c r="AQ236" s="2">
        <f>IFERROR(S236/$V236*90,"")</f>
        <v>0.27231467473524962</v>
      </c>
      <c r="AR236" s="2">
        <f>IFERROR(W236/$V236*90,"")</f>
        <v>0.81694402420574885</v>
      </c>
      <c r="AS236" s="2">
        <f>IFERROR(X236/$V236*90,"")</f>
        <v>0</v>
      </c>
      <c r="AT236" s="2">
        <f>IFERROR(Y236/$V236*90,"")</f>
        <v>0</v>
      </c>
      <c r="AU236" s="2">
        <f>IF(AP236="",INDEX(BV$4:BV$7,MATCH(O236,$BU$4:$BU$7,0)),AP236)</f>
        <v>0.54462934947049924</v>
      </c>
      <c r="AV236" s="2">
        <f>IF(AQ236="",INDEX(BW$4:BW$7,MATCH($O236,$BU$4:$BU$7,0)),AQ236)</f>
        <v>0.27231467473524962</v>
      </c>
      <c r="AW236" s="2">
        <f t="shared" si="36"/>
        <v>0.81694402420574885</v>
      </c>
      <c r="AX236" s="2">
        <f t="shared" si="37"/>
        <v>0</v>
      </c>
      <c r="AY236" s="2">
        <f t="shared" si="38"/>
        <v>0</v>
      </c>
      <c r="AZ236" s="2">
        <f>AU236*0.5+AK236*0.5</f>
        <v>0.38401624541587787</v>
      </c>
      <c r="BA236" s="2">
        <f>AV236*0.5+AJ236*0.5</f>
        <v>0.18535890804825308</v>
      </c>
      <c r="BB236" s="2">
        <f t="shared" si="39"/>
        <v>0</v>
      </c>
      <c r="BC236">
        <f>IF(I236="expected",1,0)</f>
        <v>0</v>
      </c>
      <c r="BD236" s="78">
        <f>IF(BC236=1,AZ236/SUMIFS(AZ$3:AZ$623,$BC$3:$BC$623,1,$G$3:$G$623,$G236),0)</f>
        <v>0</v>
      </c>
      <c r="BE236" s="78">
        <f>IF(BC236=1,BA236/SUMIFS(BA$3:BA$623,$BC$3:$BC$623,1,$G$3:$G$623,$G236),0)</f>
        <v>0</v>
      </c>
      <c r="BF236" s="78">
        <f t="shared" si="40"/>
        <v>0</v>
      </c>
      <c r="BG236" s="2">
        <f t="shared" si="41"/>
        <v>0</v>
      </c>
      <c r="BH236" s="2">
        <f t="shared" si="42"/>
        <v>0</v>
      </c>
      <c r="BI236" s="2">
        <f t="shared" si="43"/>
        <v>0</v>
      </c>
      <c r="BJ236" s="2">
        <f t="shared" si="44"/>
        <v>0</v>
      </c>
      <c r="BK236" s="2">
        <f t="shared" si="45"/>
        <v>0</v>
      </c>
      <c r="BL236" s="2">
        <f t="shared" si="46"/>
        <v>0</v>
      </c>
      <c r="BM236" s="2">
        <f t="shared" si="47"/>
        <v>0</v>
      </c>
      <c r="BN236" s="2">
        <f>BI236/SUMIFS(BI$3:BI$623,$BC$3:$BC$623,1,$G$3:$G$623,$G236)</f>
        <v>0</v>
      </c>
      <c r="BO236" s="2">
        <f>BJ236/SUMIFS(BJ$3:BJ$623,$BC$3:$BC$623,1,$G$3:$G$623,$G236)</f>
        <v>0</v>
      </c>
      <c r="BP236" s="2">
        <f>BK236/SUMIFS(BK$3:BK$623,$BC$3:$BC$623,1,$G$3:$G$623,$G236)</f>
        <v>0</v>
      </c>
      <c r="BQ236" s="2">
        <f>BL236</f>
        <v>0</v>
      </c>
      <c r="BR236" s="2">
        <f>BM236</f>
        <v>0</v>
      </c>
    </row>
    <row r="237" spans="1:70" hidden="1">
      <c r="A237" s="74">
        <v>0</v>
      </c>
      <c r="B237" s="73">
        <v>213421</v>
      </c>
      <c r="C237" s="73" t="s">
        <v>1927</v>
      </c>
      <c r="D237" s="73" t="s">
        <v>1928</v>
      </c>
      <c r="E237" s="73" t="s">
        <v>1929</v>
      </c>
      <c r="F237" s="73">
        <v>18702</v>
      </c>
      <c r="G237" s="73" t="s">
        <v>872</v>
      </c>
      <c r="H237" s="73" t="s">
        <v>913</v>
      </c>
      <c r="I237" s="73" t="s">
        <v>981</v>
      </c>
      <c r="J237" s="73">
        <v>0</v>
      </c>
      <c r="K237" s="73">
        <v>5.5</v>
      </c>
      <c r="L237" s="73">
        <v>0</v>
      </c>
      <c r="M237" s="73">
        <v>0</v>
      </c>
      <c r="N237" s="73">
        <v>0</v>
      </c>
      <c r="O237" s="73" t="s">
        <v>982</v>
      </c>
      <c r="P237" s="73" t="s">
        <v>1930</v>
      </c>
      <c r="Q237" s="73" t="s">
        <v>1164</v>
      </c>
      <c r="R237" s="73"/>
      <c r="S237" s="73"/>
      <c r="T237" s="73"/>
      <c r="U237" s="73"/>
      <c r="V237" s="73"/>
      <c r="W237" s="73"/>
      <c r="X237" s="73"/>
      <c r="Y237" s="73"/>
      <c r="Z237" s="73" t="s">
        <v>1689</v>
      </c>
      <c r="AA237" s="73" t="s">
        <v>693</v>
      </c>
      <c r="AB237" s="73" t="str">
        <f>IF(AA237&lt;&gt;"",INDEX(Lookup!$N$2:$N$5,MATCH(Players!AA237,Lookup!$P$2:$P$5,0)),INDEX(Lookup!$N$2:$N$5,MATCH(Players!O237,Lookup!$O$2:$O$5,0)))</f>
        <v>Striker</v>
      </c>
      <c r="AC237" s="73">
        <v>4000000</v>
      </c>
      <c r="AD237" s="73" t="s">
        <v>792</v>
      </c>
      <c r="AE237" s="73" t="str">
        <f>INDEX('Translate table'!$H$2:$H$622,MATCH(Players!P237,'Translate table'!$G$2:$G$622,0))</f>
        <v>Artem Dzyuba</v>
      </c>
      <c r="AF237" s="73">
        <f>IFERROR(INDEX('Euro Qual stats'!$A$1:$L$2071,MATCH(Players!$AE237,'Euro Qual stats'!$A$1:$A$2071,0),MATCH(Players!AF$2,'Euro Qual stats'!$A$1:$L$1,0)),0)</f>
        <v>10</v>
      </c>
      <c r="AG237" s="73">
        <f>IFERROR(INDEX('Euro Qual stats'!$A$1:$L$2071,MATCH(Players!$AE237,'Euro Qual stats'!$A$1:$A$2071,0),MATCH(Players!AG$2,'Euro Qual stats'!$A$1:$L$1,0)),0)</f>
        <v>0.52</v>
      </c>
      <c r="AH237" s="73">
        <f>IFERROR(INDEX('Euro Qual stats'!$A$1:$L$2071,MATCH(Players!$AE237,'Euro Qual stats'!$A$1:$A$2071,0),MATCH(Players!AH$2,'Euro Qual stats'!$A$1:$L$1,0)),0)</f>
        <v>0.93</v>
      </c>
      <c r="AI237" s="73">
        <f>IFERROR(INDEX('Euro Qual stats'!$A$1:$L$2071,MATCH(Players!$AE237,'Euro Qual stats'!$A$1:$A$2071,0),MATCH(Players!AI$2,'Euro Qual stats'!$A$1:$L$1,0)),0)</f>
        <v>0</v>
      </c>
      <c r="AJ237" s="93">
        <f>(12-AF237)/12*INDEX(BV$9:BV$12,MATCH($AB237,$BU$9:$BU$12,0))+AF237/12*AG237</f>
        <v>0.46748563218390804</v>
      </c>
      <c r="AK237" s="93">
        <f>(12-AG237)/12*INDEX(BW$9:BW$12,MATCH($AB237,$BU$9:$BU$12,0))+AG237/12*AH237</f>
        <v>0.55104454022988492</v>
      </c>
      <c r="AL237" s="93">
        <f>(12-AH237)/12*INDEX(BX$9:BX$12,MATCH($AB237,$BU$9:$BU$12,0))+AH237/12*AI237</f>
        <v>0.15205344827586209</v>
      </c>
      <c r="AM237" s="93">
        <f>IF($BC237=1,AJ237/SUMIFS(AJ$3:AJ$623,$BC$3:$BC$623,1,$G$3:$G$623,$G237),0)</f>
        <v>0.22699004494018848</v>
      </c>
      <c r="AN237" s="93">
        <f>IF($BC237=1,AK237/SUMIFS(AK$3:AK$623,$BC$3:$BC$623,1,$G$3:$G$623,$G237),0)</f>
        <v>0.24103174837610214</v>
      </c>
      <c r="AO237" s="93">
        <f>IF($BC237=1,AL237/SUMIFS(AL$3:AL$623,$BC$3:$BC$623,1,$G$3:$G$623,$G237),0)</f>
        <v>7.0497864878891286E-2</v>
      </c>
      <c r="AP237" s="2" t="str">
        <f>IFERROR(R237/$V237*90,"")</f>
        <v/>
      </c>
      <c r="AQ237" s="2" t="str">
        <f>IFERROR(S237/$V237*90,"")</f>
        <v/>
      </c>
      <c r="AR237" s="2" t="str">
        <f>IFERROR(W237/$V237*90,"")</f>
        <v/>
      </c>
      <c r="AS237" s="2" t="str">
        <f>IFERROR(X237/$V237*90,"")</f>
        <v/>
      </c>
      <c r="AT237" s="2" t="str">
        <f>IFERROR(Y237/$V237*90,"")</f>
        <v/>
      </c>
      <c r="AU237" s="2">
        <f>IF(AP237="",INDEX(BV$4:BV$7,MATCH(O237,$BU$4:$BU$7,0)),AP237)</f>
        <v>0.18769551616266944</v>
      </c>
      <c r="AV237" s="2">
        <f>IF(AQ237="",INDEX(BW$4:BW$7,MATCH($O237,$BU$4:$BU$7,0)),AQ237)</f>
        <v>4.82573726541555E-2</v>
      </c>
      <c r="AW237" s="2">
        <f t="shared" si="36"/>
        <v>0.70512820512820518</v>
      </c>
      <c r="AX237" s="2">
        <f t="shared" si="37"/>
        <v>0.12295081967213115</v>
      </c>
      <c r="AY237" s="2">
        <f t="shared" si="38"/>
        <v>0</v>
      </c>
      <c r="AZ237" s="2">
        <f>AU237*0.5+AK237*0.5</f>
        <v>0.36937002819627718</v>
      </c>
      <c r="BA237" s="2">
        <f>AV237*0.5+AJ237*0.5</f>
        <v>0.25787150241903178</v>
      </c>
      <c r="BB237" s="2">
        <f t="shared" si="39"/>
        <v>6.1475409836065573E-2</v>
      </c>
      <c r="BC237">
        <f>IF(I237="expected",1,0)</f>
        <v>1</v>
      </c>
      <c r="BD237" s="78">
        <f>IF(BC237=1,AZ237/SUMIFS(AZ$3:AZ$623,$BC$3:$BC$623,1,$G$3:$G$623,$G237),0)</f>
        <v>0.24598096391644664</v>
      </c>
      <c r="BE237" s="78">
        <f>IF(BC237=1,BA237/SUMIFS(BA$3:BA$623,$BC$3:$BC$623,1,$G$3:$G$623,$G237),0)</f>
        <v>0.14933580829120707</v>
      </c>
      <c r="BF237" s="78">
        <f t="shared" si="40"/>
        <v>0.19895932956742859</v>
      </c>
      <c r="BG237" s="2">
        <f t="shared" si="41"/>
        <v>6.1475409836065573E-2</v>
      </c>
      <c r="BH237" s="2">
        <f t="shared" si="42"/>
        <v>0</v>
      </c>
      <c r="BI237" s="2">
        <f t="shared" si="43"/>
        <v>0.24598096391644664</v>
      </c>
      <c r="BJ237" s="2">
        <f t="shared" si="44"/>
        <v>0.14933580829120707</v>
      </c>
      <c r="BK237" s="2">
        <f t="shared" si="45"/>
        <v>0.19895932956742859</v>
      </c>
      <c r="BL237" s="2">
        <f t="shared" si="46"/>
        <v>6.1475409836065573E-2</v>
      </c>
      <c r="BM237" s="2">
        <f t="shared" si="47"/>
        <v>0</v>
      </c>
      <c r="BN237" s="2">
        <f>BI237/SUMIFS(BI$3:BI$623,$BC$3:$BC$623,1,$G$3:$G$623,$G237)</f>
        <v>0.24598096391644667</v>
      </c>
      <c r="BO237" s="2">
        <f>BJ237/SUMIFS(BJ$3:BJ$623,$BC$3:$BC$623,1,$G$3:$G$623,$G237)</f>
        <v>0.15575907651597706</v>
      </c>
      <c r="BP237" s="2">
        <f>BK237/SUMIFS(BK$3:BK$623,$BC$3:$BC$623,1,$G$3:$G$623,$G237)</f>
        <v>0.20055474808644405</v>
      </c>
      <c r="BQ237" s="2">
        <f>BL237</f>
        <v>6.1475409836065573E-2</v>
      </c>
      <c r="BR237" s="2">
        <f>BM237</f>
        <v>0</v>
      </c>
    </row>
    <row r="238" spans="1:70" hidden="1">
      <c r="A238" s="74">
        <v>0</v>
      </c>
      <c r="B238" s="73">
        <v>204754</v>
      </c>
      <c r="C238" s="73" t="s">
        <v>1931</v>
      </c>
      <c r="D238" s="73" t="s">
        <v>1932</v>
      </c>
      <c r="E238" s="73" t="s">
        <v>1933</v>
      </c>
      <c r="F238" s="73">
        <v>18702</v>
      </c>
      <c r="G238" s="73" t="s">
        <v>872</v>
      </c>
      <c r="H238" s="73" t="s">
        <v>913</v>
      </c>
      <c r="I238" s="73" t="s">
        <v>1012</v>
      </c>
      <c r="J238" s="73">
        <v>0</v>
      </c>
      <c r="K238" s="73">
        <v>5.5</v>
      </c>
      <c r="L238" s="73">
        <v>0</v>
      </c>
      <c r="M238" s="73">
        <v>0</v>
      </c>
      <c r="N238" s="73">
        <v>0</v>
      </c>
      <c r="O238" s="73" t="s">
        <v>982</v>
      </c>
      <c r="P238" s="73" t="s">
        <v>1934</v>
      </c>
      <c r="Q238" s="73" t="s">
        <v>1935</v>
      </c>
      <c r="R238" s="73">
        <v>0</v>
      </c>
      <c r="S238" s="73">
        <v>0</v>
      </c>
      <c r="T238" s="73">
        <v>0</v>
      </c>
      <c r="U238" s="73">
        <v>0</v>
      </c>
      <c r="V238" s="73">
        <v>0</v>
      </c>
      <c r="W238" s="73">
        <v>0</v>
      </c>
      <c r="X238" s="73">
        <v>0</v>
      </c>
      <c r="Y238" s="73">
        <v>0</v>
      </c>
      <c r="Z238" s="73" t="s">
        <v>1689</v>
      </c>
      <c r="AA238" s="73" t="s">
        <v>693</v>
      </c>
      <c r="AB238" s="73" t="str">
        <f>IF(AA238&lt;&gt;"",INDEX(Lookup!$N$2:$N$5,MATCH(Players!AA238,Lookup!$P$2:$P$5,0)),INDEX(Lookup!$N$2:$N$5,MATCH(Players!O238,Lookup!$O$2:$O$5,0)))</f>
        <v>Striker</v>
      </c>
      <c r="AC238" s="73">
        <v>2500000</v>
      </c>
      <c r="AD238" s="73" t="s">
        <v>788</v>
      </c>
      <c r="AE238" s="73" t="str">
        <f>INDEX('Translate table'!$H$2:$H$622,MATCH(Players!P238,'Translate table'!$G$2:$G$622,0))</f>
        <v>Valentin Antov</v>
      </c>
      <c r="AF238" s="73">
        <f>IFERROR(INDEX('Euro Qual stats'!$A$1:$L$2071,MATCH(Players!$AE238,'Euro Qual stats'!$A$1:$A$2071,0),MATCH(Players!AF$2,'Euro Qual stats'!$A$1:$L$1,0)),0)</f>
        <v>1</v>
      </c>
      <c r="AG238" s="73">
        <f>IFERROR(INDEX('Euro Qual stats'!$A$1:$L$2071,MATCH(Players!$AE238,'Euro Qual stats'!$A$1:$A$2071,0),MATCH(Players!AG$2,'Euro Qual stats'!$A$1:$L$1,0)),0)</f>
        <v>0</v>
      </c>
      <c r="AH238" s="73">
        <f>IFERROR(INDEX('Euro Qual stats'!$A$1:$L$2071,MATCH(Players!$AE238,'Euro Qual stats'!$A$1:$A$2071,0),MATCH(Players!AH$2,'Euro Qual stats'!$A$1:$L$1,0)),0)</f>
        <v>0</v>
      </c>
      <c r="AI238" s="73">
        <f>IFERROR(INDEX('Euro Qual stats'!$A$1:$L$2071,MATCH(Players!$AE238,'Euro Qual stats'!$A$1:$A$2071,0),MATCH(Players!AI$2,'Euro Qual stats'!$A$1:$L$1,0)),0)</f>
        <v>9</v>
      </c>
      <c r="AJ238" s="93">
        <f>(12-AF238)/12*INDEX(BV$9:BV$12,MATCH($AB238,$BU$9:$BU$12,0))+AF238/12*AG238</f>
        <v>0.18783764367816094</v>
      </c>
      <c r="AK238" s="93">
        <f>(12-AG238)/12*INDEX(BW$9:BW$12,MATCH($AB238,$BU$9:$BU$12,0))+AG238/12*AH238</f>
        <v>0.53387931034482738</v>
      </c>
      <c r="AL238" s="93">
        <f>(12-AH238)/12*INDEX(BX$9:BX$12,MATCH($AB238,$BU$9:$BU$12,0))+AH238/12*AI238</f>
        <v>0.16482758620689658</v>
      </c>
      <c r="AM238" s="93">
        <f>IF($BC238=1,AJ238/SUMIFS(AJ$3:AJ$623,$BC$3:$BC$623,1,$G$3:$G$623,$G238),0)</f>
        <v>0</v>
      </c>
      <c r="AN238" s="93">
        <f>IF($BC238=1,AK238/SUMIFS(AK$3:AK$623,$BC$3:$BC$623,1,$G$3:$G$623,$G238),0)</f>
        <v>0</v>
      </c>
      <c r="AO238" s="93">
        <f>IF($BC238=1,AL238/SUMIFS(AL$3:AL$623,$BC$3:$BC$623,1,$G$3:$G$623,$G238),0)</f>
        <v>0</v>
      </c>
      <c r="AP238" s="2" t="str">
        <f>IFERROR(R238/$V238*90,"")</f>
        <v/>
      </c>
      <c r="AQ238" s="2" t="str">
        <f>IFERROR(S238/$V238*90,"")</f>
        <v/>
      </c>
      <c r="AR238" s="2" t="str">
        <f>IFERROR(W238/$V238*90,"")</f>
        <v/>
      </c>
      <c r="AS238" s="2" t="str">
        <f>IFERROR(X238/$V238*90,"")</f>
        <v/>
      </c>
      <c r="AT238" s="2" t="str">
        <f>IFERROR(Y238/$V238*90,"")</f>
        <v/>
      </c>
      <c r="AU238" s="2">
        <f>IF(AP238="",INDEX(BV$4:BV$7,MATCH(O238,$BU$4:$BU$7,0)),AP238)</f>
        <v>0.18769551616266944</v>
      </c>
      <c r="AV238" s="2">
        <f>IF(AQ238="",INDEX(BW$4:BW$7,MATCH($O238,$BU$4:$BU$7,0)),AQ238)</f>
        <v>4.82573726541555E-2</v>
      </c>
      <c r="AW238" s="2">
        <f t="shared" si="36"/>
        <v>0.70512820512820518</v>
      </c>
      <c r="AX238" s="2">
        <f t="shared" si="37"/>
        <v>0.12295081967213115</v>
      </c>
      <c r="AY238" s="2">
        <f t="shared" si="38"/>
        <v>0</v>
      </c>
      <c r="AZ238" s="2">
        <f>AU238*0.5+AK238*0.5</f>
        <v>0.36078741325374841</v>
      </c>
      <c r="BA238" s="2">
        <f>AV238*0.5+AJ238*0.5</f>
        <v>0.11804750816615822</v>
      </c>
      <c r="BB238" s="2">
        <f t="shared" si="39"/>
        <v>4.5614754098360653</v>
      </c>
      <c r="BC238">
        <f>IF(I238="expected",1,0)</f>
        <v>0</v>
      </c>
      <c r="BD238" s="78">
        <f>IF(BC238=1,AZ238/SUMIFS(AZ$3:AZ$623,$BC$3:$BC$623,1,$G$3:$G$623,$G238),0)</f>
        <v>0</v>
      </c>
      <c r="BE238" s="78">
        <f>IF(BC238=1,BA238/SUMIFS(BA$3:BA$623,$BC$3:$BC$623,1,$G$3:$G$623,$G238),0)</f>
        <v>0</v>
      </c>
      <c r="BF238" s="78">
        <f t="shared" si="40"/>
        <v>0</v>
      </c>
      <c r="BG238" s="2">
        <f t="shared" si="41"/>
        <v>4.5614754098360653</v>
      </c>
      <c r="BH238" s="2">
        <f t="shared" si="42"/>
        <v>0</v>
      </c>
      <c r="BI238" s="2">
        <f t="shared" si="43"/>
        <v>0</v>
      </c>
      <c r="BJ238" s="2">
        <f t="shared" si="44"/>
        <v>0</v>
      </c>
      <c r="BK238" s="2">
        <f t="shared" si="45"/>
        <v>0</v>
      </c>
      <c r="BL238" s="2">
        <f t="shared" si="46"/>
        <v>4.5614754098360653</v>
      </c>
      <c r="BM238" s="2">
        <f t="shared" si="47"/>
        <v>0</v>
      </c>
      <c r="BN238" s="2">
        <f>BI238/SUMIFS(BI$3:BI$623,$BC$3:$BC$623,1,$G$3:$G$623,$G238)</f>
        <v>0</v>
      </c>
      <c r="BO238" s="2">
        <f>BJ238/SUMIFS(BJ$3:BJ$623,$BC$3:$BC$623,1,$G$3:$G$623,$G238)</f>
        <v>0</v>
      </c>
      <c r="BP238" s="2">
        <f>BK238/SUMIFS(BK$3:BK$623,$BC$3:$BC$623,1,$G$3:$G$623,$G238)</f>
        <v>0</v>
      </c>
      <c r="BQ238" s="2">
        <f>BL238</f>
        <v>4.5614754098360653</v>
      </c>
      <c r="BR238" s="2">
        <f>BM238</f>
        <v>0</v>
      </c>
    </row>
    <row r="239" spans="1:70" hidden="1">
      <c r="A239" s="74">
        <v>0</v>
      </c>
      <c r="B239" s="73">
        <v>204857</v>
      </c>
      <c r="C239" s="73" t="s">
        <v>1936</v>
      </c>
      <c r="D239" s="73" t="s">
        <v>979</v>
      </c>
      <c r="E239" s="73" t="s">
        <v>1937</v>
      </c>
      <c r="F239" s="73">
        <v>18721</v>
      </c>
      <c r="G239" s="73" t="s">
        <v>865</v>
      </c>
      <c r="H239" s="73" t="s">
        <v>921</v>
      </c>
      <c r="I239" s="73" t="s">
        <v>981</v>
      </c>
      <c r="J239" s="73">
        <v>0</v>
      </c>
      <c r="K239" s="73">
        <v>5.5</v>
      </c>
      <c r="L239" s="73">
        <v>0</v>
      </c>
      <c r="M239" s="73">
        <v>0</v>
      </c>
      <c r="N239" s="73">
        <v>0</v>
      </c>
      <c r="O239" s="73" t="s">
        <v>994</v>
      </c>
      <c r="P239" s="73" t="s">
        <v>263</v>
      </c>
      <c r="Q239" s="73" t="s">
        <v>358</v>
      </c>
      <c r="R239" s="73">
        <v>0</v>
      </c>
      <c r="S239" s="73">
        <v>0</v>
      </c>
      <c r="T239" s="73">
        <v>0</v>
      </c>
      <c r="U239" s="73">
        <v>0</v>
      </c>
      <c r="V239" s="73">
        <v>861</v>
      </c>
      <c r="W239" s="73">
        <v>1</v>
      </c>
      <c r="X239" s="73">
        <v>5</v>
      </c>
      <c r="Y239" s="73">
        <v>0</v>
      </c>
      <c r="Z239" s="73" t="s">
        <v>865</v>
      </c>
      <c r="AA239" s="73" t="s">
        <v>691</v>
      </c>
      <c r="AB239" s="73" t="str">
        <f>IF(AA239&lt;&gt;"",INDEX(Lookup!$N$2:$N$5,MATCH(Players!AA239,Lookup!$P$2:$P$5,0)),INDEX(Lookup!$N$2:$N$5,MATCH(Players!O239,Lookup!$O$2:$O$5,0)))</f>
        <v>Midfield</v>
      </c>
      <c r="AC239" s="73">
        <v>3500000</v>
      </c>
      <c r="AD239" s="73" t="s">
        <v>801</v>
      </c>
      <c r="AE239" s="73" t="str">
        <f>INDEX('Translate table'!$H$2:$H$622,MATCH(Players!P239,'Translate table'!$G$2:$G$622,0))</f>
        <v>Harry Wilson</v>
      </c>
      <c r="AF239" s="73">
        <f>IFERROR(INDEX('Euro Qual stats'!$A$1:$L$2071,MATCH(Players!$AE239,'Euro Qual stats'!$A$1:$A$2071,0),MATCH(Players!AF$2,'Euro Qual stats'!$A$1:$L$1,0)),0)</f>
        <v>8</v>
      </c>
      <c r="AG239" s="73">
        <f>IFERROR(INDEX('Euro Qual stats'!$A$1:$L$2071,MATCH(Players!$AE239,'Euro Qual stats'!$A$1:$A$2071,0),MATCH(Players!AG$2,'Euro Qual stats'!$A$1:$L$1,0)),0)</f>
        <v>0.23</v>
      </c>
      <c r="AH239" s="73">
        <f>IFERROR(INDEX('Euro Qual stats'!$A$1:$L$2071,MATCH(Players!$AE239,'Euro Qual stats'!$A$1:$A$2071,0),MATCH(Players!AH$2,'Euro Qual stats'!$A$1:$L$1,0)),0)</f>
        <v>0.23</v>
      </c>
      <c r="AI239" s="73">
        <f>IFERROR(INDEX('Euro Qual stats'!$A$1:$L$2071,MATCH(Players!$AE239,'Euro Qual stats'!$A$1:$A$2071,0),MATCH(Players!AI$2,'Euro Qual stats'!$A$1:$L$1,0)),0)</f>
        <v>0.23</v>
      </c>
      <c r="AJ239" s="93">
        <f>(12-AF239)/12*INDEX(BV$9:BV$12,MATCH($AB239,$BU$9:$BU$12,0))+AF239/12*AG239</f>
        <v>0.2095636998254799</v>
      </c>
      <c r="AK239" s="93">
        <f>(12-AG239)/12*INDEX(BW$9:BW$12,MATCH($AB239,$BU$9:$BU$12,0))+AG239/12*AH239</f>
        <v>0.22352958115183247</v>
      </c>
      <c r="AL239" s="93">
        <f>(12-AH239)/12*INDEX(BX$9:BX$12,MATCH($AB239,$BU$9:$BU$12,0))+AH239/12*AI239</f>
        <v>0.23924345549738224</v>
      </c>
      <c r="AM239" s="93">
        <f>IF($BC239=1,AJ239/SUMIFS(AJ$3:AJ$623,$BC$3:$BC$623,1,$G$3:$G$623,$G239),0)</f>
        <v>0.20101235599266767</v>
      </c>
      <c r="AN239" s="93">
        <f>IF($BC239=1,AK239/SUMIFS(AK$3:AK$623,$BC$3:$BC$623,1,$G$3:$G$623,$G239),0)</f>
        <v>0.12286920657785726</v>
      </c>
      <c r="AO239" s="93">
        <f>IF($BC239=1,AL239/SUMIFS(AL$3:AL$623,$BC$3:$BC$623,1,$G$3:$G$623,$G239),0)</f>
        <v>0.11681574984695403</v>
      </c>
      <c r="AP239" s="2">
        <f>IFERROR(R239/$V239*90,"")</f>
        <v>0</v>
      </c>
      <c r="AQ239" s="2">
        <f>IFERROR(S239/$V239*90,"")</f>
        <v>0</v>
      </c>
      <c r="AR239" s="2">
        <f>IFERROR(W239/$V239*90,"")</f>
        <v>0.10452961672473868</v>
      </c>
      <c r="AS239" s="2">
        <f>IFERROR(X239/$V239*90,"")</f>
        <v>0.52264808362369342</v>
      </c>
      <c r="AT239" s="2">
        <f>IFERROR(Y239/$V239*90,"")</f>
        <v>0</v>
      </c>
      <c r="AU239" s="2">
        <f>IF(AP239="",INDEX(BV$4:BV$7,MATCH(O239,$BU$4:$BU$7,0)),AP239)</f>
        <v>0</v>
      </c>
      <c r="AV239" s="2">
        <f>IF(AQ239="",INDEX(BW$4:BW$7,MATCH($O239,$BU$4:$BU$7,0)),AQ239)</f>
        <v>0</v>
      </c>
      <c r="AW239" s="2">
        <f t="shared" si="36"/>
        <v>0.10452961672473868</v>
      </c>
      <c r="AX239" s="2">
        <f t="shared" si="37"/>
        <v>0.52264808362369342</v>
      </c>
      <c r="AY239" s="2">
        <f t="shared" si="38"/>
        <v>0</v>
      </c>
      <c r="AZ239" s="2">
        <f>AU239*0.5+AK239*0.5</f>
        <v>0.11176479057591623</v>
      </c>
      <c r="BA239" s="2">
        <f>AV239*0.5+AJ239*0.5</f>
        <v>0.10478184991273995</v>
      </c>
      <c r="BB239" s="2">
        <f t="shared" si="39"/>
        <v>0.3763240418118467</v>
      </c>
      <c r="BC239">
        <f>IF(I239="expected",1,0)</f>
        <v>1</v>
      </c>
      <c r="BD239" s="78">
        <f>IF(BC239=1,AZ239/SUMIFS(AZ$3:AZ$623,$BC$3:$BC$623,1,$G$3:$G$623,$G239),0)</f>
        <v>7.0111196662202654E-2</v>
      </c>
      <c r="BE239" s="78">
        <f>IF(BC239=1,BA239/SUMIFS(BA$3:BA$623,$BC$3:$BC$623,1,$G$3:$G$623,$G239),0)</f>
        <v>0.14570062110369372</v>
      </c>
      <c r="BF239" s="78">
        <f t="shared" si="40"/>
        <v>3.7990169236953211E-2</v>
      </c>
      <c r="BG239" s="2">
        <f t="shared" si="41"/>
        <v>0.3763240418118467</v>
      </c>
      <c r="BH239" s="2">
        <f t="shared" si="42"/>
        <v>0</v>
      </c>
      <c r="BI239" s="2">
        <f t="shared" si="43"/>
        <v>7.0111196662202654E-2</v>
      </c>
      <c r="BJ239" s="2">
        <f t="shared" si="44"/>
        <v>0.14570062110369372</v>
      </c>
      <c r="BK239" s="2">
        <f t="shared" si="45"/>
        <v>3.7990169236953211E-2</v>
      </c>
      <c r="BL239" s="2">
        <f t="shared" si="46"/>
        <v>0.3763240418118467</v>
      </c>
      <c r="BM239" s="2">
        <f t="shared" si="47"/>
        <v>0</v>
      </c>
      <c r="BN239" s="2">
        <f>BI239/SUMIFS(BI$3:BI$623,$BC$3:$BC$623,1,$G$3:$G$623,$G239)</f>
        <v>8.2770683018210015E-2</v>
      </c>
      <c r="BO239" s="2">
        <f>BJ239/SUMIFS(BJ$3:BJ$623,$BC$3:$BC$623,1,$G$3:$G$623,$G239)</f>
        <v>0.14570062110369372</v>
      </c>
      <c r="BP239" s="2">
        <f>BK239/SUMIFS(BK$3:BK$623,$BC$3:$BC$623,1,$G$3:$G$623,$G239)</f>
        <v>6.0622035288622256E-2</v>
      </c>
      <c r="BQ239" s="2">
        <f>BL239</f>
        <v>0.3763240418118467</v>
      </c>
      <c r="BR239" s="2">
        <f>BM239</f>
        <v>0</v>
      </c>
    </row>
    <row r="240" spans="1:70" hidden="1">
      <c r="A240" s="74">
        <v>0</v>
      </c>
      <c r="B240" s="73">
        <v>204809</v>
      </c>
      <c r="C240" s="73" t="s">
        <v>1938</v>
      </c>
      <c r="D240" s="73" t="s">
        <v>1939</v>
      </c>
      <c r="E240" s="73" t="s">
        <v>1940</v>
      </c>
      <c r="F240" s="73">
        <v>18564</v>
      </c>
      <c r="G240" s="73" t="s">
        <v>886</v>
      </c>
      <c r="H240" s="73" t="s">
        <v>919</v>
      </c>
      <c r="I240" s="73" t="s">
        <v>1012</v>
      </c>
      <c r="J240" s="73">
        <v>0</v>
      </c>
      <c r="K240" s="73">
        <v>5.5</v>
      </c>
      <c r="L240" s="73">
        <v>0</v>
      </c>
      <c r="M240" s="73">
        <v>0</v>
      </c>
      <c r="N240" s="73">
        <v>0</v>
      </c>
      <c r="O240" s="73" t="s">
        <v>994</v>
      </c>
      <c r="P240" s="73" t="s">
        <v>1941</v>
      </c>
      <c r="Q240" s="73" t="s">
        <v>1941</v>
      </c>
      <c r="R240" s="73">
        <v>7</v>
      </c>
      <c r="S240" s="73">
        <v>4</v>
      </c>
      <c r="T240" s="73">
        <v>0</v>
      </c>
      <c r="U240" s="73">
        <v>0</v>
      </c>
      <c r="V240" s="73">
        <v>1548</v>
      </c>
      <c r="W240" s="73">
        <v>17</v>
      </c>
      <c r="X240" s="73">
        <v>0</v>
      </c>
      <c r="Y240" s="73">
        <v>0</v>
      </c>
      <c r="Z240" s="73" t="s">
        <v>1717</v>
      </c>
      <c r="AA240" s="73" t="s">
        <v>691</v>
      </c>
      <c r="AB240" s="73" t="str">
        <f>IF(AA240&lt;&gt;"",INDEX(Lookup!$N$2:$N$5,MATCH(Players!AA240,Lookup!$P$2:$P$5,0)),INDEX(Lookup!$N$2:$N$5,MATCH(Players!O240,Lookup!$O$2:$O$5,0)))</f>
        <v>Midfield</v>
      </c>
      <c r="AC240" s="73">
        <v>4000000</v>
      </c>
      <c r="AD240" s="73" t="s">
        <v>803</v>
      </c>
      <c r="AE240" s="73" t="str">
        <f>INDEX('Translate table'!$H$2:$H$622,MATCH(Players!P240,'Translate table'!$G$2:$G$622,0))</f>
        <v>Emil Forsberg</v>
      </c>
      <c r="AF240" s="73">
        <f>IFERROR(INDEX('Euro Qual stats'!$A$1:$L$2071,MATCH(Players!$AE240,'Euro Qual stats'!$A$1:$A$2071,0),MATCH(Players!AF$2,'Euro Qual stats'!$A$1:$L$1,0)),0)</f>
        <v>7</v>
      </c>
      <c r="AG240" s="73">
        <f>IFERROR(INDEX('Euro Qual stats'!$A$1:$L$2071,MATCH(Players!$AE240,'Euro Qual stats'!$A$1:$A$2071,0),MATCH(Players!AG$2,'Euro Qual stats'!$A$1:$L$1,0)),0)</f>
        <v>0.15</v>
      </c>
      <c r="AH240" s="73">
        <f>IFERROR(INDEX('Euro Qual stats'!$A$1:$L$2071,MATCH(Players!$AE240,'Euro Qual stats'!$A$1:$A$2071,0),MATCH(Players!AH$2,'Euro Qual stats'!$A$1:$L$1,0)),0)</f>
        <v>0.15</v>
      </c>
      <c r="AI240" s="73">
        <f>IFERROR(INDEX('Euro Qual stats'!$A$1:$L$2071,MATCH(Players!$AE240,'Euro Qual stats'!$A$1:$A$2071,0),MATCH(Players!AI$2,'Euro Qual stats'!$A$1:$L$1,0)),0)</f>
        <v>0</v>
      </c>
      <c r="AJ240" s="93">
        <f>(12-AF240)/12*INDEX(BV$9:BV$12,MATCH($AB240,$BU$9:$BU$12,0))+AF240/12*AG240</f>
        <v>0.15778795811518326</v>
      </c>
      <c r="AK240" s="93">
        <f>(12-AG240)/12*INDEX(BW$9:BW$12,MATCH($AB240,$BU$9:$BU$12,0))+AG240/12*AH240</f>
        <v>0.22248560209424079</v>
      </c>
      <c r="AL240" s="93">
        <f>(12-AH240)/12*INDEX(BX$9:BX$12,MATCH($AB240,$BU$9:$BU$12,0))+AH240/12*AI240</f>
        <v>0.2364312827225131</v>
      </c>
      <c r="AM240" s="93">
        <f>IF($BC240=1,AJ240/SUMIFS(AJ$3:AJ$623,$BC$3:$BC$623,1,$G$3:$G$623,$G240),0)</f>
        <v>0</v>
      </c>
      <c r="AN240" s="93">
        <f>IF($BC240=1,AK240/SUMIFS(AK$3:AK$623,$BC$3:$BC$623,1,$G$3:$G$623,$G240),0)</f>
        <v>0</v>
      </c>
      <c r="AO240" s="93">
        <f>IF($BC240=1,AL240/SUMIFS(AL$3:AL$623,$BC$3:$BC$623,1,$G$3:$G$623,$G240),0)</f>
        <v>0</v>
      </c>
      <c r="AP240" s="2">
        <f>IFERROR(R240/$V240*90,"")</f>
        <v>0.40697674418604646</v>
      </c>
      <c r="AQ240" s="2">
        <f>IFERROR(S240/$V240*90,"")</f>
        <v>0.23255813953488372</v>
      </c>
      <c r="AR240" s="2">
        <f>IFERROR(W240/$V240*90,"")</f>
        <v>0.98837209302325579</v>
      </c>
      <c r="AS240" s="2">
        <f>IFERROR(X240/$V240*90,"")</f>
        <v>0</v>
      </c>
      <c r="AT240" s="2">
        <f>IFERROR(Y240/$V240*90,"")</f>
        <v>0</v>
      </c>
      <c r="AU240" s="2">
        <f>IF(AP240="",INDEX(BV$4:BV$7,MATCH(O240,$BU$4:$BU$7,0)),AP240)</f>
        <v>0.40697674418604646</v>
      </c>
      <c r="AV240" s="2">
        <f>IF(AQ240="",INDEX(BW$4:BW$7,MATCH($O240,$BU$4:$BU$7,0)),AQ240)</f>
        <v>0.23255813953488372</v>
      </c>
      <c r="AW240" s="2">
        <f t="shared" si="36"/>
        <v>0.98837209302325579</v>
      </c>
      <c r="AX240" s="2">
        <f t="shared" si="37"/>
        <v>0</v>
      </c>
      <c r="AY240" s="2">
        <f t="shared" si="38"/>
        <v>0</v>
      </c>
      <c r="AZ240" s="2">
        <f>AU240*0.5+AK240*0.5</f>
        <v>0.31473117314014365</v>
      </c>
      <c r="BA240" s="2">
        <f>AV240*0.5+AJ240*0.5</f>
        <v>0.1951730488250335</v>
      </c>
      <c r="BB240" s="2">
        <f t="shared" si="39"/>
        <v>0</v>
      </c>
      <c r="BC240">
        <f>IF(I240="expected",1,0)</f>
        <v>0</v>
      </c>
      <c r="BD240" s="78">
        <f>IF(BC240=1,AZ240/SUMIFS(AZ$3:AZ$623,$BC$3:$BC$623,1,$G$3:$G$623,$G240),0)</f>
        <v>0</v>
      </c>
      <c r="BE240" s="78">
        <f>IF(BC240=1,BA240/SUMIFS(BA$3:BA$623,$BC$3:$BC$623,1,$G$3:$G$623,$G240),0)</f>
        <v>0</v>
      </c>
      <c r="BF240" s="78">
        <f t="shared" si="40"/>
        <v>0</v>
      </c>
      <c r="BG240" s="2">
        <f t="shared" si="41"/>
        <v>0</v>
      </c>
      <c r="BH240" s="2">
        <f t="shared" si="42"/>
        <v>0</v>
      </c>
      <c r="BI240" s="2">
        <f t="shared" si="43"/>
        <v>0</v>
      </c>
      <c r="BJ240" s="2">
        <f t="shared" si="44"/>
        <v>0</v>
      </c>
      <c r="BK240" s="2">
        <f t="shared" si="45"/>
        <v>0</v>
      </c>
      <c r="BL240" s="2">
        <f t="shared" si="46"/>
        <v>0</v>
      </c>
      <c r="BM240" s="2">
        <f t="shared" si="47"/>
        <v>0</v>
      </c>
      <c r="BN240" s="2">
        <f>BI240/SUMIFS(BI$3:BI$623,$BC$3:$BC$623,1,$G$3:$G$623,$G240)</f>
        <v>0</v>
      </c>
      <c r="BO240" s="2">
        <f>BJ240/SUMIFS(BJ$3:BJ$623,$BC$3:$BC$623,1,$G$3:$G$623,$G240)</f>
        <v>0</v>
      </c>
      <c r="BP240" s="2">
        <f>BK240/SUMIFS(BK$3:BK$623,$BC$3:$BC$623,1,$G$3:$G$623,$G240)</f>
        <v>0</v>
      </c>
      <c r="BQ240" s="2">
        <f>BL240</f>
        <v>0</v>
      </c>
      <c r="BR240" s="2">
        <f>BM240</f>
        <v>0</v>
      </c>
    </row>
    <row r="241" spans="1:70" hidden="1">
      <c r="A241" s="74">
        <v>0</v>
      </c>
      <c r="B241" s="73">
        <v>204820</v>
      </c>
      <c r="C241" s="73" t="s">
        <v>1942</v>
      </c>
      <c r="D241" s="73" t="s">
        <v>1943</v>
      </c>
      <c r="E241" s="73" t="s">
        <v>1944</v>
      </c>
      <c r="F241" s="73">
        <v>18564</v>
      </c>
      <c r="G241" s="73" t="s">
        <v>886</v>
      </c>
      <c r="H241" s="73" t="s">
        <v>919</v>
      </c>
      <c r="I241" s="73" t="s">
        <v>981</v>
      </c>
      <c r="J241" s="73">
        <v>0</v>
      </c>
      <c r="K241" s="73">
        <v>5.5</v>
      </c>
      <c r="L241" s="73">
        <v>0</v>
      </c>
      <c r="M241" s="73">
        <v>0</v>
      </c>
      <c r="N241" s="73">
        <v>0</v>
      </c>
      <c r="O241" s="73" t="s">
        <v>982</v>
      </c>
      <c r="P241" s="73" t="s">
        <v>1945</v>
      </c>
      <c r="Q241" s="73" t="s">
        <v>1945</v>
      </c>
      <c r="R241" s="73">
        <v>17</v>
      </c>
      <c r="S241" s="73">
        <v>2</v>
      </c>
      <c r="T241" s="73">
        <v>0</v>
      </c>
      <c r="U241" s="73">
        <v>0</v>
      </c>
      <c r="V241" s="73">
        <v>2359</v>
      </c>
      <c r="W241" s="73">
        <v>42</v>
      </c>
      <c r="X241" s="73">
        <v>4</v>
      </c>
      <c r="Y241" s="73">
        <v>0</v>
      </c>
      <c r="Z241" s="73" t="s">
        <v>1717</v>
      </c>
      <c r="AA241" s="73" t="s">
        <v>693</v>
      </c>
      <c r="AB241" s="73" t="str">
        <f>IF(AA241&lt;&gt;"",INDEX(Lookup!$N$2:$N$5,MATCH(Players!AA241,Lookup!$P$2:$P$5,0)),INDEX(Lookup!$N$2:$N$5,MATCH(Players!O241,Lookup!$O$2:$O$5,0)))</f>
        <v>Striker</v>
      </c>
      <c r="AC241" s="73">
        <v>5000000</v>
      </c>
      <c r="AD241" s="73" t="s">
        <v>792</v>
      </c>
      <c r="AE241" s="73" t="str">
        <f>INDEX('Translate table'!$H$2:$H$622,MATCH(Players!P241,'Translate table'!$G$2:$G$622,0))</f>
        <v>Alexander Isak</v>
      </c>
      <c r="AF241" s="73">
        <f>IFERROR(INDEX('Euro Qual stats'!$A$1:$L$2071,MATCH(Players!$AE241,'Euro Qual stats'!$A$1:$A$2071,0),MATCH(Players!AF$2,'Euro Qual stats'!$A$1:$L$1,0)),0)</f>
        <v>10</v>
      </c>
      <c r="AG241" s="73">
        <f>IFERROR(INDEX('Euro Qual stats'!$A$1:$L$2071,MATCH(Players!$AE241,'Euro Qual stats'!$A$1:$A$2071,0),MATCH(Players!AG$2,'Euro Qual stats'!$A$1:$L$1,0)),0)</f>
        <v>0</v>
      </c>
      <c r="AH241" s="73">
        <f>IFERROR(INDEX('Euro Qual stats'!$A$1:$L$2071,MATCH(Players!$AE241,'Euro Qual stats'!$A$1:$A$2071,0),MATCH(Players!AH$2,'Euro Qual stats'!$A$1:$L$1,0)),0)</f>
        <v>0.75</v>
      </c>
      <c r="AI241" s="73">
        <f>IFERROR(INDEX('Euro Qual stats'!$A$1:$L$2071,MATCH(Players!$AE241,'Euro Qual stats'!$A$1:$A$2071,0),MATCH(Players!AI$2,'Euro Qual stats'!$A$1:$L$1,0)),0)</f>
        <v>0</v>
      </c>
      <c r="AJ241" s="93">
        <f>(12-AF241)/12*INDEX(BV$9:BV$12,MATCH($AB241,$BU$9:$BU$12,0))+AF241/12*AG241</f>
        <v>3.4152298850574719E-2</v>
      </c>
      <c r="AK241" s="93">
        <f>(12-AG241)/12*INDEX(BW$9:BW$12,MATCH($AB241,$BU$9:$BU$12,0))+AG241/12*AH241</f>
        <v>0.53387931034482738</v>
      </c>
      <c r="AL241" s="93">
        <f>(12-AH241)/12*INDEX(BX$9:BX$12,MATCH($AB241,$BU$9:$BU$12,0))+AH241/12*AI241</f>
        <v>0.15452586206896554</v>
      </c>
      <c r="AM241" s="93">
        <f>IF($BC241=1,AJ241/SUMIFS(AJ$3:AJ$623,$BC$3:$BC$623,1,$G$3:$G$623,$G241),0)</f>
        <v>2.6762467108892376E-2</v>
      </c>
      <c r="AN241" s="93">
        <f>IF($BC241=1,AK241/SUMIFS(AK$3:AK$623,$BC$3:$BC$623,1,$G$3:$G$623,$G241),0)</f>
        <v>0.24699342627934248</v>
      </c>
      <c r="AO241" s="93">
        <f>IF($BC241=1,AL241/SUMIFS(AL$3:AL$623,$BC$3:$BC$623,1,$G$3:$G$623,$G241),0)</f>
        <v>8.4772857773109847E-2</v>
      </c>
      <c r="AP241" s="2">
        <f>IFERROR(R241/$V241*90,"")</f>
        <v>0.6485799067401441</v>
      </c>
      <c r="AQ241" s="2">
        <f>IFERROR(S241/$V241*90,"")</f>
        <v>7.6303518440016954E-2</v>
      </c>
      <c r="AR241" s="2">
        <f>IFERROR(W241/$V241*90,"")</f>
        <v>1.6023738872403561</v>
      </c>
      <c r="AS241" s="2">
        <f>IFERROR(X241/$V241*90,"")</f>
        <v>0.15260703688003391</v>
      </c>
      <c r="AT241" s="2">
        <f>IFERROR(Y241/$V241*90,"")</f>
        <v>0</v>
      </c>
      <c r="AU241" s="2">
        <f>IF(AP241="",INDEX(BV$4:BV$7,MATCH(O241,$BU$4:$BU$7,0)),AP241)</f>
        <v>0.6485799067401441</v>
      </c>
      <c r="AV241" s="2">
        <f>IF(AQ241="",INDEX(BW$4:BW$7,MATCH($O241,$BU$4:$BU$7,0)),AQ241)</f>
        <v>7.6303518440016954E-2</v>
      </c>
      <c r="AW241" s="2">
        <f t="shared" si="36"/>
        <v>1.6023738872403561</v>
      </c>
      <c r="AX241" s="2">
        <f t="shared" si="37"/>
        <v>0.15260703688003391</v>
      </c>
      <c r="AY241" s="2">
        <f t="shared" si="38"/>
        <v>0</v>
      </c>
      <c r="AZ241" s="2">
        <f>AU241*0.5+AK241*0.5</f>
        <v>0.59122960854248574</v>
      </c>
      <c r="BA241" s="2">
        <f>AV241*0.5+AJ241*0.5</f>
        <v>5.5227908645295837E-2</v>
      </c>
      <c r="BB241" s="2">
        <f t="shared" si="39"/>
        <v>7.6303518440016954E-2</v>
      </c>
      <c r="BC241">
        <f>IF(I241="expected",1,0)</f>
        <v>1</v>
      </c>
      <c r="BD241" s="78">
        <f>IF(BC241=1,AZ241/SUMIFS(AZ$3:AZ$623,$BC$3:$BC$623,1,$G$3:$G$623,$G241),0)</f>
        <v>0.37392565430515323</v>
      </c>
      <c r="BE241" s="78">
        <f>IF(BC241=1,BA241/SUMIFS(BA$3:BA$623,$BC$3:$BC$623,1,$G$3:$G$623,$G241),0)</f>
        <v>6.1486241777628625E-2</v>
      </c>
      <c r="BF241" s="78">
        <f t="shared" si="40"/>
        <v>0.49825007926175696</v>
      </c>
      <c r="BG241" s="2">
        <f t="shared" si="41"/>
        <v>7.6303518440016954E-2</v>
      </c>
      <c r="BH241" s="2">
        <f t="shared" si="42"/>
        <v>0</v>
      </c>
      <c r="BI241" s="2">
        <f t="shared" si="43"/>
        <v>0.35</v>
      </c>
      <c r="BJ241" s="2">
        <f t="shared" si="44"/>
        <v>6.1486241777628625E-2</v>
      </c>
      <c r="BK241" s="2">
        <f t="shared" si="45"/>
        <v>0.3</v>
      </c>
      <c r="BL241" s="2">
        <f t="shared" si="46"/>
        <v>7.6303518440016954E-2</v>
      </c>
      <c r="BM241" s="2">
        <f t="shared" si="47"/>
        <v>0</v>
      </c>
      <c r="BN241" s="2">
        <f>BI241/SUMIFS(BI$3:BI$623,$BC$3:$BC$623,1,$G$3:$G$623,$G241)</f>
        <v>0.35857924300924265</v>
      </c>
      <c r="BO241" s="2">
        <f>BJ241/SUMIFS(BJ$3:BJ$623,$BC$3:$BC$623,1,$G$3:$G$623,$G241)</f>
        <v>6.1486241777628625E-2</v>
      </c>
      <c r="BP241" s="2">
        <f>BK241/SUMIFS(BK$3:BK$623,$BC$3:$BC$623,1,$G$3:$G$623,$G241)</f>
        <v>0.37418151500877367</v>
      </c>
      <c r="BQ241" s="2">
        <f>BL241</f>
        <v>7.6303518440016954E-2</v>
      </c>
      <c r="BR241" s="2">
        <f>BM241</f>
        <v>0</v>
      </c>
    </row>
    <row r="242" spans="1:70" hidden="1">
      <c r="A242" s="74">
        <v>0</v>
      </c>
      <c r="B242" s="73">
        <v>204738</v>
      </c>
      <c r="C242" s="73" t="s">
        <v>1946</v>
      </c>
      <c r="D242" s="73" t="s">
        <v>1947</v>
      </c>
      <c r="E242" s="73" t="s">
        <v>1948</v>
      </c>
      <c r="F242" s="73">
        <v>18708</v>
      </c>
      <c r="G242" s="73" t="s">
        <v>866</v>
      </c>
      <c r="H242" s="73" t="s">
        <v>923</v>
      </c>
      <c r="I242" s="73" t="s">
        <v>981</v>
      </c>
      <c r="J242" s="73">
        <v>0</v>
      </c>
      <c r="K242" s="73">
        <v>5.5</v>
      </c>
      <c r="L242" s="73">
        <v>0</v>
      </c>
      <c r="M242" s="73">
        <v>0</v>
      </c>
      <c r="N242" s="73">
        <v>0</v>
      </c>
      <c r="O242" s="73" t="s">
        <v>994</v>
      </c>
      <c r="P242" s="73" t="s">
        <v>1949</v>
      </c>
      <c r="Q242" s="73" t="s">
        <v>1949</v>
      </c>
      <c r="R242" s="73">
        <v>2</v>
      </c>
      <c r="S242" s="73">
        <v>3</v>
      </c>
      <c r="T242" s="73">
        <v>0</v>
      </c>
      <c r="U242" s="73">
        <v>8</v>
      </c>
      <c r="V242" s="73">
        <v>2720</v>
      </c>
      <c r="W242" s="73">
        <v>7</v>
      </c>
      <c r="X242" s="73">
        <v>5</v>
      </c>
      <c r="Y242" s="73">
        <v>0</v>
      </c>
      <c r="Z242" s="73" t="s">
        <v>1342</v>
      </c>
      <c r="AA242" s="73" t="s">
        <v>691</v>
      </c>
      <c r="AB242" s="73" t="str">
        <f>IF(AA242&lt;&gt;"",INDEX(Lookup!$N$2:$N$5,MATCH(Players!AA242,Lookup!$P$2:$P$5,0)),INDEX(Lookup!$N$2:$N$5,MATCH(Players!O242,Lookup!$O$2:$O$5,0)))</f>
        <v>Midfield</v>
      </c>
      <c r="AC242" s="73">
        <v>3500000</v>
      </c>
      <c r="AD242" s="73" t="s">
        <v>790</v>
      </c>
      <c r="AE242" s="73" t="str">
        <f>INDEX('Translate table'!$H$2:$H$622,MATCH(Players!P242,'Translate table'!$G$2:$G$622,0))</f>
        <v>Remo Freuler</v>
      </c>
      <c r="AF242" s="73">
        <f>IFERROR(INDEX('Euro Qual stats'!$A$1:$L$2071,MATCH(Players!$AE242,'Euro Qual stats'!$A$1:$A$2071,0),MATCH(Players!AF$2,'Euro Qual stats'!$A$1:$L$1,0)),0)</f>
        <v>5</v>
      </c>
      <c r="AG242" s="73">
        <f>IFERROR(INDEX('Euro Qual stats'!$A$1:$L$2071,MATCH(Players!$AE242,'Euro Qual stats'!$A$1:$A$2071,0),MATCH(Players!AG$2,'Euro Qual stats'!$A$1:$L$1,0)),0)</f>
        <v>0</v>
      </c>
      <c r="AH242" s="73">
        <f>IFERROR(INDEX('Euro Qual stats'!$A$1:$L$2071,MATCH(Players!$AE242,'Euro Qual stats'!$A$1:$A$2071,0),MATCH(Players!AH$2,'Euro Qual stats'!$A$1:$L$1,0)),0)</f>
        <v>0.3</v>
      </c>
      <c r="AI242" s="73">
        <f>IFERROR(INDEX('Euro Qual stats'!$A$1:$L$2071,MATCH(Players!$AE242,'Euro Qual stats'!$A$1:$A$2071,0),MATCH(Players!AI$2,'Euro Qual stats'!$A$1:$L$1,0)),0)</f>
        <v>0</v>
      </c>
      <c r="AJ242" s="93">
        <f>(12-AF242)/12*INDEX(BV$9:BV$12,MATCH($AB242,$BU$9:$BU$12,0))+AF242/12*AG242</f>
        <v>9.8403141361256552E-2</v>
      </c>
      <c r="AK242" s="93">
        <f>(12-AG242)/12*INDEX(BW$9:BW$12,MATCH($AB242,$BU$9:$BU$12,0))+AG242/12*AH242</f>
        <v>0.22340314136125652</v>
      </c>
      <c r="AL242" s="93">
        <f>(12-AH242)/12*INDEX(BX$9:BX$12,MATCH($AB242,$BU$9:$BU$12,0))+AH242/12*AI242</f>
        <v>0.23343848167539269</v>
      </c>
      <c r="AM242" s="93">
        <f>IF($BC242=1,AJ242/SUMIFS(AJ$3:AJ$623,$BC$3:$BC$623,1,$G$3:$G$623,$G242),0)</f>
        <v>7.0737831425978628E-2</v>
      </c>
      <c r="AN242" s="93">
        <f>IF($BC242=1,AK242/SUMIFS(AK$3:AK$623,$BC$3:$BC$623,1,$G$3:$G$623,$G242),0)</f>
        <v>9.4197390981147142E-2</v>
      </c>
      <c r="AO242" s="93">
        <f>IF($BC242=1,AL242/SUMIFS(AL$3:AL$623,$BC$3:$BC$623,1,$G$3:$G$623,$G242),0)</f>
        <v>0.1143288388804264</v>
      </c>
      <c r="AP242" s="2">
        <f>IFERROR(R242/$V242*90,"")</f>
        <v>6.6176470588235295E-2</v>
      </c>
      <c r="AQ242" s="2">
        <f>IFERROR(S242/$V242*90,"")</f>
        <v>9.9264705882352935E-2</v>
      </c>
      <c r="AR242" s="2">
        <f>IFERROR(W242/$V242*90,"")</f>
        <v>0.23161764705882354</v>
      </c>
      <c r="AS242" s="2">
        <f>IFERROR(X242/$V242*90,"")</f>
        <v>0.16544117647058823</v>
      </c>
      <c r="AT242" s="2">
        <f>IFERROR(Y242/$V242*90,"")</f>
        <v>0</v>
      </c>
      <c r="AU242" s="2">
        <f>IF(AP242="",INDEX(BV$4:BV$7,MATCH(O242,$BU$4:$BU$7,0)),AP242)</f>
        <v>6.6176470588235295E-2</v>
      </c>
      <c r="AV242" s="2">
        <f>IF(AQ242="",INDEX(BW$4:BW$7,MATCH($O242,$BU$4:$BU$7,0)),AQ242)</f>
        <v>9.9264705882352935E-2</v>
      </c>
      <c r="AW242" s="2">
        <f t="shared" si="36"/>
        <v>0.23161764705882354</v>
      </c>
      <c r="AX242" s="2">
        <f t="shared" si="37"/>
        <v>0.16544117647058823</v>
      </c>
      <c r="AY242" s="2">
        <f t="shared" si="38"/>
        <v>0</v>
      </c>
      <c r="AZ242" s="2">
        <f>AU242*0.5+AK242*0.5</f>
        <v>0.14478980597474592</v>
      </c>
      <c r="BA242" s="2">
        <f>AV242*0.5+AJ242*0.5</f>
        <v>9.8833923621804737E-2</v>
      </c>
      <c r="BB242" s="2">
        <f t="shared" si="39"/>
        <v>8.2720588235294115E-2</v>
      </c>
      <c r="BC242">
        <f>IF(I242="expected",1,0)</f>
        <v>1</v>
      </c>
      <c r="BD242" s="78">
        <f>IF(BC242=1,AZ242/SUMIFS(AZ$3:AZ$623,$BC$3:$BC$623,1,$G$3:$G$623,$G242),0)</f>
        <v>9.7498654527601383E-2</v>
      </c>
      <c r="BE242" s="78">
        <f>IF(BC242=1,BA242/SUMIFS(BA$3:BA$623,$BC$3:$BC$623,1,$G$3:$G$623,$G242),0)</f>
        <v>7.1387378505967339E-2</v>
      </c>
      <c r="BF242" s="78">
        <f t="shared" si="40"/>
        <v>6.5827134973270279E-2</v>
      </c>
      <c r="BG242" s="2">
        <f t="shared" si="41"/>
        <v>8.2720588235294115E-2</v>
      </c>
      <c r="BH242" s="2">
        <f t="shared" si="42"/>
        <v>0</v>
      </c>
      <c r="BI242" s="2">
        <f t="shared" si="43"/>
        <v>9.7498654527601383E-2</v>
      </c>
      <c r="BJ242" s="2">
        <f t="shared" si="44"/>
        <v>7.1387378505967339E-2</v>
      </c>
      <c r="BK242" s="2">
        <f t="shared" si="45"/>
        <v>6.5827134973270279E-2</v>
      </c>
      <c r="BL242" s="2">
        <f t="shared" si="46"/>
        <v>8.2720588235294115E-2</v>
      </c>
      <c r="BM242" s="2">
        <f t="shared" si="47"/>
        <v>0</v>
      </c>
      <c r="BN242" s="2">
        <f>BI242/SUMIFS(BI$3:BI$623,$BC$3:$BC$623,1,$G$3:$G$623,$G242)</f>
        <v>9.7498654527601411E-2</v>
      </c>
      <c r="BO242" s="2">
        <f>BJ242/SUMIFS(BJ$3:BJ$623,$BC$3:$BC$623,1,$G$3:$G$623,$G242)</f>
        <v>7.1387378505967339E-2</v>
      </c>
      <c r="BP242" s="2">
        <f>BK242/SUMIFS(BK$3:BK$623,$BC$3:$BC$623,1,$G$3:$G$623,$G242)</f>
        <v>7.1112205021141156E-2</v>
      </c>
      <c r="BQ242" s="2">
        <f>BL242</f>
        <v>8.2720588235294115E-2</v>
      </c>
      <c r="BR242" s="2">
        <f>BM242</f>
        <v>0</v>
      </c>
    </row>
    <row r="243" spans="1:70" hidden="1">
      <c r="A243" s="74">
        <v>0</v>
      </c>
      <c r="B243" s="73">
        <v>204972</v>
      </c>
      <c r="C243" s="73" t="s">
        <v>1950</v>
      </c>
      <c r="D243" s="73" t="s">
        <v>1951</v>
      </c>
      <c r="E243" s="73" t="s">
        <v>1952</v>
      </c>
      <c r="F243" s="73">
        <v>18643</v>
      </c>
      <c r="G243" s="73" t="s">
        <v>878</v>
      </c>
      <c r="H243" s="73" t="s">
        <v>911</v>
      </c>
      <c r="I243" s="73" t="s">
        <v>1012</v>
      </c>
      <c r="J243" s="73">
        <v>0</v>
      </c>
      <c r="K243" s="73">
        <v>5.5</v>
      </c>
      <c r="L243" s="73">
        <v>0</v>
      </c>
      <c r="M243" s="73">
        <v>0</v>
      </c>
      <c r="N243" s="73">
        <v>0</v>
      </c>
      <c r="O243" s="73" t="s">
        <v>994</v>
      </c>
      <c r="P243" s="73" t="s">
        <v>1953</v>
      </c>
      <c r="Q243" s="73" t="s">
        <v>1953</v>
      </c>
      <c r="R243" s="73">
        <v>8</v>
      </c>
      <c r="S243" s="73">
        <v>3</v>
      </c>
      <c r="T243" s="73">
        <v>0</v>
      </c>
      <c r="U243" s="73">
        <v>7</v>
      </c>
      <c r="V243" s="73">
        <v>2029</v>
      </c>
      <c r="W243" s="73">
        <v>26</v>
      </c>
      <c r="X243" s="73">
        <v>8</v>
      </c>
      <c r="Y243" s="73">
        <v>0</v>
      </c>
      <c r="Z243" s="73" t="s">
        <v>1734</v>
      </c>
      <c r="AA243" s="73" t="s">
        <v>693</v>
      </c>
      <c r="AB243" s="73" t="str">
        <f>IF(AA243&lt;&gt;"",INDEX(Lookup!$N$2:$N$5,MATCH(Players!AA243,Lookup!$P$2:$P$5,0)),INDEX(Lookup!$N$2:$N$5,MATCH(Players!O243,Lookup!$O$2:$O$5,0)))</f>
        <v>Striker</v>
      </c>
      <c r="AC243" s="73">
        <v>4000000</v>
      </c>
      <c r="AD243" s="73" t="s">
        <v>811</v>
      </c>
      <c r="AE243" s="73" t="str">
        <f>INDEX('Translate table'!$H$2:$H$622,MATCH(Players!P243,'Translate table'!$G$2:$G$622,0))</f>
        <v>Marcel Sabitzer</v>
      </c>
      <c r="AF243" s="73">
        <f>IFERROR(INDEX('Euro Qual stats'!$A$1:$L$2071,MATCH(Players!$AE243,'Euro Qual stats'!$A$1:$A$2071,0),MATCH(Players!AF$2,'Euro Qual stats'!$A$1:$L$1,0)),0)</f>
        <v>9</v>
      </c>
      <c r="AG243" s="73">
        <f>IFERROR(INDEX('Euro Qual stats'!$A$1:$L$2071,MATCH(Players!$AE243,'Euro Qual stats'!$A$1:$A$2071,0),MATCH(Players!AG$2,'Euro Qual stats'!$A$1:$L$1,0)),0)</f>
        <v>0.11</v>
      </c>
      <c r="AH243" s="73">
        <f>IFERROR(INDEX('Euro Qual stats'!$A$1:$L$2071,MATCH(Players!$AE243,'Euro Qual stats'!$A$1:$A$2071,0),MATCH(Players!AH$2,'Euro Qual stats'!$A$1:$L$1,0)),0)</f>
        <v>0.23</v>
      </c>
      <c r="AI243" s="73">
        <f>IFERROR(INDEX('Euro Qual stats'!$A$1:$L$2071,MATCH(Players!$AE243,'Euro Qual stats'!$A$1:$A$2071,0),MATCH(Players!AI$2,'Euro Qual stats'!$A$1:$L$1,0)),0)</f>
        <v>0.23</v>
      </c>
      <c r="AJ243" s="93">
        <f>(12-AF243)/12*INDEX(BV$9:BV$12,MATCH($AB243,$BU$9:$BU$12,0))+AF243/12*AG243</f>
        <v>0.13372844827586208</v>
      </c>
      <c r="AK243" s="93">
        <f>(12-AG243)/12*INDEX(BW$9:BW$12,MATCH($AB243,$BU$9:$BU$12,0))+AG243/12*AH243</f>
        <v>0.53109374999999981</v>
      </c>
      <c r="AL243" s="93">
        <f>(12-AH243)/12*INDEX(BX$9:BX$12,MATCH($AB243,$BU$9:$BU$12,0))+AH243/12*AI243</f>
        <v>0.16607672413793106</v>
      </c>
      <c r="AM243" s="93">
        <f>IF($BC243=1,AJ243/SUMIFS(AJ$3:AJ$623,$BC$3:$BC$623,1,$G$3:$G$623,$G243),0)</f>
        <v>0</v>
      </c>
      <c r="AN243" s="93">
        <f>IF($BC243=1,AK243/SUMIFS(AK$3:AK$623,$BC$3:$BC$623,1,$G$3:$G$623,$G243),0)</f>
        <v>0</v>
      </c>
      <c r="AO243" s="93">
        <f>IF($BC243=1,AL243/SUMIFS(AL$3:AL$623,$BC$3:$BC$623,1,$G$3:$G$623,$G243),0)</f>
        <v>0</v>
      </c>
      <c r="AP243" s="2">
        <f>IFERROR(R243/$V243*90,"")</f>
        <v>0.35485460818137016</v>
      </c>
      <c r="AQ243" s="2">
        <f>IFERROR(S243/$V243*90,"")</f>
        <v>0.13307047806801381</v>
      </c>
      <c r="AR243" s="2">
        <f>IFERROR(W243/$V243*90,"")</f>
        <v>1.1532774765894529</v>
      </c>
      <c r="AS243" s="2">
        <f>IFERROR(X243/$V243*90,"")</f>
        <v>0.35485460818137016</v>
      </c>
      <c r="AT243" s="2">
        <f>IFERROR(Y243/$V243*90,"")</f>
        <v>0</v>
      </c>
      <c r="AU243" s="2">
        <f>IF(AP243="",INDEX(BV$4:BV$7,MATCH(O243,$BU$4:$BU$7,0)),AP243)</f>
        <v>0.35485460818137016</v>
      </c>
      <c r="AV243" s="2">
        <f>IF(AQ243="",INDEX(BW$4:BW$7,MATCH($O243,$BU$4:$BU$7,0)),AQ243)</f>
        <v>0.13307047806801381</v>
      </c>
      <c r="AW243" s="2">
        <f t="shared" si="36"/>
        <v>1.1532774765894529</v>
      </c>
      <c r="AX243" s="2">
        <f t="shared" si="37"/>
        <v>0.35485460818137016</v>
      </c>
      <c r="AY243" s="2">
        <f t="shared" si="38"/>
        <v>0</v>
      </c>
      <c r="AZ243" s="2">
        <f>AU243*0.5+AK243*0.5</f>
        <v>0.44297417909068498</v>
      </c>
      <c r="BA243" s="2">
        <f>AV243*0.5+AJ243*0.5</f>
        <v>0.13339946317193796</v>
      </c>
      <c r="BB243" s="2">
        <f t="shared" si="39"/>
        <v>0.29242730409068507</v>
      </c>
      <c r="BC243">
        <f>IF(I243="expected",1,0)</f>
        <v>0</v>
      </c>
      <c r="BD243" s="78">
        <f>IF(BC243=1,AZ243/SUMIFS(AZ$3:AZ$623,$BC$3:$BC$623,1,$G$3:$G$623,$G243),0)</f>
        <v>0</v>
      </c>
      <c r="BE243" s="78">
        <f>IF(BC243=1,BA243/SUMIFS(BA$3:BA$623,$BC$3:$BC$623,1,$G$3:$G$623,$G243),0)</f>
        <v>0</v>
      </c>
      <c r="BF243" s="78">
        <f t="shared" si="40"/>
        <v>0</v>
      </c>
      <c r="BG243" s="2">
        <f t="shared" si="41"/>
        <v>0.29242730409068507</v>
      </c>
      <c r="BH243" s="2">
        <f t="shared" si="42"/>
        <v>0</v>
      </c>
      <c r="BI243" s="2">
        <f t="shared" si="43"/>
        <v>0</v>
      </c>
      <c r="BJ243" s="2">
        <f t="shared" si="44"/>
        <v>0</v>
      </c>
      <c r="BK243" s="2">
        <f t="shared" si="45"/>
        <v>0</v>
      </c>
      <c r="BL243" s="2">
        <f t="shared" si="46"/>
        <v>0.29242730409068507</v>
      </c>
      <c r="BM243" s="2">
        <f t="shared" si="47"/>
        <v>0</v>
      </c>
      <c r="BN243" s="2">
        <f>BI243/SUMIFS(BI$3:BI$623,$BC$3:$BC$623,1,$G$3:$G$623,$G243)</f>
        <v>0</v>
      </c>
      <c r="BO243" s="2">
        <f>BJ243/SUMIFS(BJ$3:BJ$623,$BC$3:$BC$623,1,$G$3:$G$623,$G243)</f>
        <v>0</v>
      </c>
      <c r="BP243" s="2">
        <f>BK243/SUMIFS(BK$3:BK$623,$BC$3:$BC$623,1,$G$3:$G$623,$G243)</f>
        <v>0</v>
      </c>
      <c r="BQ243" s="2">
        <f>BL243</f>
        <v>0.29242730409068507</v>
      </c>
      <c r="BR243" s="2">
        <f>BM243</f>
        <v>0</v>
      </c>
    </row>
    <row r="244" spans="1:70" hidden="1">
      <c r="A244" s="74">
        <v>0</v>
      </c>
      <c r="B244" s="73">
        <v>204978</v>
      </c>
      <c r="C244" s="73" t="s">
        <v>1954</v>
      </c>
      <c r="D244" s="73" t="s">
        <v>1955</v>
      </c>
      <c r="E244" s="73" t="s">
        <v>1956</v>
      </c>
      <c r="F244" s="73">
        <v>18643</v>
      </c>
      <c r="G244" s="73" t="s">
        <v>878</v>
      </c>
      <c r="H244" s="73" t="s">
        <v>911</v>
      </c>
      <c r="I244" s="73" t="s">
        <v>981</v>
      </c>
      <c r="J244" s="73">
        <v>0</v>
      </c>
      <c r="K244" s="73">
        <v>5.5</v>
      </c>
      <c r="L244" s="73">
        <v>0</v>
      </c>
      <c r="M244" s="73">
        <v>0</v>
      </c>
      <c r="N244" s="73">
        <v>0</v>
      </c>
      <c r="O244" s="73" t="s">
        <v>982</v>
      </c>
      <c r="P244" s="73" t="s">
        <v>1957</v>
      </c>
      <c r="Q244" s="73" t="s">
        <v>1958</v>
      </c>
      <c r="R244" s="73">
        <v>1</v>
      </c>
      <c r="S244" s="73">
        <v>0</v>
      </c>
      <c r="T244" s="73">
        <v>81</v>
      </c>
      <c r="U244" s="73">
        <v>9</v>
      </c>
      <c r="V244" s="73">
        <v>3121</v>
      </c>
      <c r="W244" s="73">
        <v>2</v>
      </c>
      <c r="X244" s="73">
        <v>0</v>
      </c>
      <c r="Y244" s="73">
        <v>0</v>
      </c>
      <c r="Z244" s="73" t="s">
        <v>1734</v>
      </c>
      <c r="AA244" s="73" t="s">
        <v>693</v>
      </c>
      <c r="AB244" s="73" t="str">
        <f>IF(AA244&lt;&gt;"",INDEX(Lookup!$N$2:$N$5,MATCH(Players!AA244,Lookup!$P$2:$P$5,0)),INDEX(Lookup!$N$2:$N$5,MATCH(Players!O244,Lookup!$O$2:$O$5,0)))</f>
        <v>Striker</v>
      </c>
      <c r="AC244" s="73">
        <v>4500000</v>
      </c>
      <c r="AD244" s="73" t="s">
        <v>801</v>
      </c>
      <c r="AE244" s="73" t="str">
        <f>INDEX('Translate table'!$H$2:$H$622,MATCH(Players!P244,'Translate table'!$G$2:$G$622,0))</f>
        <v>Marko ArnautoviÄ‡</v>
      </c>
      <c r="AF244" s="73">
        <f>IFERROR(INDEX('Euro Qual stats'!$A$1:$L$2071,MATCH(Players!$AE244,'Euro Qual stats'!$A$1:$A$2071,0),MATCH(Players!AF$2,'Euro Qual stats'!$A$1:$L$1,0)),0)</f>
        <v>8</v>
      </c>
      <c r="AG244" s="73">
        <f>IFERROR(INDEX('Euro Qual stats'!$A$1:$L$2071,MATCH(Players!$AE244,'Euro Qual stats'!$A$1:$A$2071,0),MATCH(Players!AG$2,'Euro Qual stats'!$A$1:$L$1,0)),0)</f>
        <v>0.13</v>
      </c>
      <c r="AH244" s="73">
        <f>IFERROR(INDEX('Euro Qual stats'!$A$1:$L$2071,MATCH(Players!$AE244,'Euro Qual stats'!$A$1:$A$2071,0),MATCH(Players!AH$2,'Euro Qual stats'!$A$1:$L$1,0)),0)</f>
        <v>0.76</v>
      </c>
      <c r="AI244" s="73">
        <f>IFERROR(INDEX('Euro Qual stats'!$A$1:$L$2071,MATCH(Players!$AE244,'Euro Qual stats'!$A$1:$A$2071,0),MATCH(Players!AI$2,'Euro Qual stats'!$A$1:$L$1,0)),0)</f>
        <v>0.25</v>
      </c>
      <c r="AJ244" s="93">
        <f>(12-AF244)/12*INDEX(BV$9:BV$12,MATCH($AB244,$BU$9:$BU$12,0))+AF244/12*AG244</f>
        <v>0.15497126436781611</v>
      </c>
      <c r="AK244" s="93">
        <f>(12-AG244)/12*INDEX(BW$9:BW$12,MATCH($AB244,$BU$9:$BU$12,0))+AG244/12*AH244</f>
        <v>0.53632895114942503</v>
      </c>
      <c r="AL244" s="93">
        <f>(12-AH244)/12*INDEX(BX$9:BX$12,MATCH($AB244,$BU$9:$BU$12,0))+AH244/12*AI244</f>
        <v>0.17022183908045979</v>
      </c>
      <c r="AM244" s="93">
        <f>IF($BC244=1,AJ244/SUMIFS(AJ$3:AJ$623,$BC$3:$BC$623,1,$G$3:$G$623,$G244),0)</f>
        <v>0.13129261799280342</v>
      </c>
      <c r="AN244" s="93">
        <f>IF($BC244=1,AK244/SUMIFS(AK$3:AK$623,$BC$3:$BC$623,1,$G$3:$G$623,$G244),0)</f>
        <v>0.21361319413882351</v>
      </c>
      <c r="AO244" s="93">
        <f>IF($BC244=1,AL244/SUMIFS(AL$3:AL$623,$BC$3:$BC$623,1,$G$3:$G$623,$G244),0)</f>
        <v>8.1222429527388729E-2</v>
      </c>
      <c r="AP244" s="2">
        <f>IFERROR(R244/$V244*90,"")</f>
        <v>2.8836911246395387E-2</v>
      </c>
      <c r="AQ244" s="2">
        <f>IFERROR(S244/$V244*90,"")</f>
        <v>0</v>
      </c>
      <c r="AR244" s="2">
        <f>IFERROR(W244/$V244*90,"")</f>
        <v>5.7673822492790773E-2</v>
      </c>
      <c r="AS244" s="2">
        <f>IFERROR(X244/$V244*90,"")</f>
        <v>0</v>
      </c>
      <c r="AT244" s="2">
        <f>IFERROR(Y244/$V244*90,"")</f>
        <v>0</v>
      </c>
      <c r="AU244" s="2">
        <f>IF(AP244="",INDEX(BV$4:BV$7,MATCH(O244,$BU$4:$BU$7,0)),AP244)</f>
        <v>2.8836911246395387E-2</v>
      </c>
      <c r="AV244" s="2">
        <f>IF(AQ244="",INDEX(BW$4:BW$7,MATCH($O244,$BU$4:$BU$7,0)),AQ244)</f>
        <v>0</v>
      </c>
      <c r="AW244" s="2">
        <f t="shared" si="36"/>
        <v>5.7673822492790773E-2</v>
      </c>
      <c r="AX244" s="2">
        <f t="shared" si="37"/>
        <v>0</v>
      </c>
      <c r="AY244" s="2">
        <f t="shared" si="38"/>
        <v>0</v>
      </c>
      <c r="AZ244" s="2">
        <f>AU244*0.5+AK244*0.5</f>
        <v>0.28258293119791023</v>
      </c>
      <c r="BA244" s="2">
        <f>AV244*0.5+AJ244*0.5</f>
        <v>7.7485632183908054E-2</v>
      </c>
      <c r="BB244" s="2">
        <f t="shared" si="39"/>
        <v>0.125</v>
      </c>
      <c r="BC244">
        <f>IF(I244="expected",1,0)</f>
        <v>1</v>
      </c>
      <c r="BD244" s="78">
        <f>IF(BC244=1,AZ244/SUMIFS(AZ$3:AZ$623,$BC$3:$BC$623,1,$G$3:$G$623,$G244),0)</f>
        <v>0.14153538195763807</v>
      </c>
      <c r="BE244" s="78">
        <f>IF(BC244=1,BA244/SUMIFS(BA$3:BA$623,$BC$3:$BC$623,1,$G$3:$G$623,$G244),0)</f>
        <v>8.3561655859967499E-2</v>
      </c>
      <c r="BF244" s="78">
        <f t="shared" si="40"/>
        <v>1.5673255978615092E-2</v>
      </c>
      <c r="BG244" s="2">
        <f t="shared" si="41"/>
        <v>0.125</v>
      </c>
      <c r="BH244" s="2">
        <f t="shared" si="42"/>
        <v>0</v>
      </c>
      <c r="BI244" s="2">
        <f t="shared" si="43"/>
        <v>0.14153538195763807</v>
      </c>
      <c r="BJ244" s="2">
        <f t="shared" si="44"/>
        <v>8.3561655859967499E-2</v>
      </c>
      <c r="BK244" s="2">
        <f t="shared" si="45"/>
        <v>1.5673255978615092E-2</v>
      </c>
      <c r="BL244" s="2">
        <f t="shared" si="46"/>
        <v>0.125</v>
      </c>
      <c r="BM244" s="2">
        <f t="shared" si="47"/>
        <v>0</v>
      </c>
      <c r="BN244" s="2">
        <f>BI244/SUMIFS(BI$3:BI$623,$BC$3:$BC$623,1,$G$3:$G$623,$G244)</f>
        <v>0.14153538195763807</v>
      </c>
      <c r="BO244" s="2">
        <f>BJ244/SUMIFS(BJ$3:BJ$623,$BC$3:$BC$623,1,$G$3:$G$623,$G244)</f>
        <v>8.3561655859967499E-2</v>
      </c>
      <c r="BP244" s="2">
        <f>BK244/SUMIFS(BK$3:BK$623,$BC$3:$BC$623,1,$G$3:$G$623,$G244)</f>
        <v>1.618463726880924E-2</v>
      </c>
      <c r="BQ244" s="2">
        <f>BL244</f>
        <v>0.125</v>
      </c>
      <c r="BR244" s="2">
        <f>BM244</f>
        <v>0</v>
      </c>
    </row>
    <row r="245" spans="1:70" hidden="1">
      <c r="A245" s="74">
        <v>0</v>
      </c>
      <c r="B245" s="73">
        <v>204944</v>
      </c>
      <c r="C245" s="73" t="s">
        <v>1959</v>
      </c>
      <c r="D245" s="73" t="s">
        <v>1754</v>
      </c>
      <c r="E245" s="73" t="s">
        <v>1960</v>
      </c>
      <c r="F245" s="73">
        <v>18583</v>
      </c>
      <c r="G245" s="73" t="s">
        <v>869</v>
      </c>
      <c r="H245" s="73" t="s">
        <v>905</v>
      </c>
      <c r="I245" s="73" t="s">
        <v>981</v>
      </c>
      <c r="J245" s="73">
        <v>0</v>
      </c>
      <c r="K245" s="73">
        <v>5.5</v>
      </c>
      <c r="L245" s="73">
        <v>0</v>
      </c>
      <c r="M245" s="73">
        <v>0</v>
      </c>
      <c r="N245" s="73">
        <v>0</v>
      </c>
      <c r="O245" s="73" t="s">
        <v>1290</v>
      </c>
      <c r="P245" s="73" t="s">
        <v>231</v>
      </c>
      <c r="Q245" s="73" t="s">
        <v>231</v>
      </c>
      <c r="R245" s="73">
        <v>0</v>
      </c>
      <c r="S245" s="73">
        <v>0</v>
      </c>
      <c r="T245" s="73">
        <v>88</v>
      </c>
      <c r="U245" s="73">
        <v>11</v>
      </c>
      <c r="V245" s="73">
        <v>3420</v>
      </c>
      <c r="W245" s="73">
        <v>0</v>
      </c>
      <c r="X245" s="73">
        <v>0</v>
      </c>
      <c r="Y245" s="73">
        <v>0</v>
      </c>
      <c r="Z245" s="73" t="s">
        <v>1267</v>
      </c>
      <c r="AA245" s="73" t="s">
        <v>690</v>
      </c>
      <c r="AB245" s="73" t="str">
        <f>IF(AA245&lt;&gt;"",INDEX(Lookup!$N$2:$N$5,MATCH(Players!AA245,Lookup!$P$2:$P$5,0)),INDEX(Lookup!$N$2:$N$5,MATCH(Players!O245,Lookup!$O$2:$O$5,0)))</f>
        <v>Goalkeeper</v>
      </c>
      <c r="AC245" s="73">
        <v>5000000</v>
      </c>
      <c r="AD245" s="73" t="s">
        <v>1961</v>
      </c>
      <c r="AE245" s="73" t="str">
        <f>INDEX('Translate table'!$H$2:$H$622,MATCH(Players!P245,'Translate table'!$G$2:$G$622,0))</f>
        <v>Kasper Schmeichel</v>
      </c>
      <c r="AF245" s="73">
        <f>IFERROR(INDEX('Euro Qual stats'!$A$1:$L$2071,MATCH(Players!$AE245,'Euro Qual stats'!$A$1:$A$2071,0),MATCH(Players!AF$2,'Euro Qual stats'!$A$1:$L$1,0)),0)</f>
        <v>8</v>
      </c>
      <c r="AG245" s="73">
        <f>IFERROR(INDEX('Euro Qual stats'!$A$1:$L$2071,MATCH(Players!$AE245,'Euro Qual stats'!$A$1:$A$2071,0),MATCH(Players!AG$2,'Euro Qual stats'!$A$1:$L$1,0)),0)</f>
        <v>0</v>
      </c>
      <c r="AH245" s="73">
        <f>IFERROR(INDEX('Euro Qual stats'!$A$1:$L$2071,MATCH(Players!$AE245,'Euro Qual stats'!$A$1:$A$2071,0),MATCH(Players!AH$2,'Euro Qual stats'!$A$1:$L$1,0)),0)</f>
        <v>0</v>
      </c>
      <c r="AI245" s="73">
        <f>IFERROR(INDEX('Euro Qual stats'!$A$1:$L$2071,MATCH(Players!$AE245,'Euro Qual stats'!$A$1:$A$2071,0),MATCH(Players!AI$2,'Euro Qual stats'!$A$1:$L$1,0)),0)</f>
        <v>0.13</v>
      </c>
      <c r="AJ245" s="93">
        <f>(12-AF245)/12*INDEX(BV$9:BV$12,MATCH($AB245,$BU$9:$BU$12,0))+AF245/12*AG245</f>
        <v>0</v>
      </c>
      <c r="AK245" s="93">
        <f>(12-AG245)/12*INDEX(BW$9:BW$12,MATCH($AB245,$BU$9:$BU$12,0))+AG245/12*AH245</f>
        <v>0</v>
      </c>
      <c r="AL245" s="93">
        <f>(12-AH245)/12*INDEX(BX$9:BX$12,MATCH($AB245,$BU$9:$BU$12,0))+AH245/12*AI245</f>
        <v>0</v>
      </c>
      <c r="AM245" s="93">
        <f>IF($BC245=1,AJ245/SUMIFS(AJ$3:AJ$623,$BC$3:$BC$623,1,$G$3:$G$623,$G245),0)</f>
        <v>0</v>
      </c>
      <c r="AN245" s="93">
        <f>IF($BC245=1,AK245/SUMIFS(AK$3:AK$623,$BC$3:$BC$623,1,$G$3:$G$623,$G245),0)</f>
        <v>0</v>
      </c>
      <c r="AO245" s="93">
        <f>IF($BC245=1,AL245/SUMIFS(AL$3:AL$623,$BC$3:$BC$623,1,$G$3:$G$623,$G245),0)</f>
        <v>0</v>
      </c>
      <c r="AP245" s="2">
        <f>IFERROR(R245/$V245*90,"")</f>
        <v>0</v>
      </c>
      <c r="AQ245" s="2">
        <f>IFERROR(S245/$V245*90,"")</f>
        <v>0</v>
      </c>
      <c r="AR245" s="2">
        <f>IFERROR(W245/$V245*90,"")</f>
        <v>0</v>
      </c>
      <c r="AS245" s="2">
        <f>IFERROR(X245/$V245*90,"")</f>
        <v>0</v>
      </c>
      <c r="AT245" s="2">
        <f>IFERROR(Y245/$V245*90,"")</f>
        <v>0</v>
      </c>
      <c r="AU245" s="2">
        <f>IF(AP245="",INDEX(BV$4:BV$7,MATCH(O245,$BU$4:$BU$7,0)),AP245)</f>
        <v>0</v>
      </c>
      <c r="AV245" s="2">
        <f>IF(AQ245="",INDEX(BW$4:BW$7,MATCH($O245,$BU$4:$BU$7,0)),AQ245)</f>
        <v>0</v>
      </c>
      <c r="AW245" s="2">
        <f t="shared" si="36"/>
        <v>0</v>
      </c>
      <c r="AX245" s="2">
        <f t="shared" si="37"/>
        <v>0</v>
      </c>
      <c r="AY245" s="2">
        <f t="shared" si="38"/>
        <v>0</v>
      </c>
      <c r="AZ245" s="2">
        <f>AU245*0.5+AK245*0.5</f>
        <v>0</v>
      </c>
      <c r="BA245" s="2">
        <f>AV245*0.5+AJ245*0.5</f>
        <v>0</v>
      </c>
      <c r="BB245" s="2">
        <f t="shared" si="39"/>
        <v>6.5000000000000002E-2</v>
      </c>
      <c r="BC245">
        <f>IF(I245="expected",1,0)</f>
        <v>1</v>
      </c>
      <c r="BD245" s="78">
        <f>IF(BC245=1,AZ245/SUMIFS(AZ$3:AZ$623,$BC$3:$BC$623,1,$G$3:$G$623,$G245),0)</f>
        <v>0</v>
      </c>
      <c r="BE245" s="78">
        <f>IF(BC245=1,BA245/SUMIFS(BA$3:BA$623,$BC$3:$BC$623,1,$G$3:$G$623,$G245),0)</f>
        <v>0</v>
      </c>
      <c r="BF245" s="78">
        <f t="shared" si="40"/>
        <v>0</v>
      </c>
      <c r="BG245" s="2">
        <f t="shared" si="41"/>
        <v>6.5000000000000002E-2</v>
      </c>
      <c r="BH245" s="2">
        <f t="shared" si="42"/>
        <v>0</v>
      </c>
      <c r="BI245" s="2">
        <f t="shared" si="43"/>
        <v>0</v>
      </c>
      <c r="BJ245" s="2">
        <f t="shared" si="44"/>
        <v>0</v>
      </c>
      <c r="BK245" s="2">
        <f t="shared" si="45"/>
        <v>0</v>
      </c>
      <c r="BL245" s="2">
        <f t="shared" si="46"/>
        <v>6.5000000000000002E-2</v>
      </c>
      <c r="BM245" s="2">
        <f t="shared" si="47"/>
        <v>0</v>
      </c>
      <c r="BN245" s="2">
        <f>BI245/SUMIFS(BI$3:BI$623,$BC$3:$BC$623,1,$G$3:$G$623,$G245)</f>
        <v>0</v>
      </c>
      <c r="BO245" s="2">
        <f>BJ245/SUMIFS(BJ$3:BJ$623,$BC$3:$BC$623,1,$G$3:$G$623,$G245)</f>
        <v>0</v>
      </c>
      <c r="BP245" s="2">
        <f>BK245/SUMIFS(BK$3:BK$623,$BC$3:$BC$623,1,$G$3:$G$623,$G245)</f>
        <v>0</v>
      </c>
      <c r="BQ245" s="2">
        <f>BL245</f>
        <v>6.5000000000000002E-2</v>
      </c>
      <c r="BR245" s="2">
        <f>BM245</f>
        <v>0</v>
      </c>
    </row>
    <row r="246" spans="1:70" hidden="1">
      <c r="A246" s="74">
        <v>0</v>
      </c>
      <c r="B246" s="73">
        <v>213405</v>
      </c>
      <c r="C246" s="73" t="s">
        <v>1962</v>
      </c>
      <c r="D246" s="73" t="s">
        <v>1963</v>
      </c>
      <c r="E246" s="73" t="s">
        <v>1964</v>
      </c>
      <c r="F246" s="73">
        <v>18583</v>
      </c>
      <c r="G246" s="73" t="s">
        <v>869</v>
      </c>
      <c r="H246" s="73" t="s">
        <v>905</v>
      </c>
      <c r="I246" s="73" t="s">
        <v>1012</v>
      </c>
      <c r="J246" s="73">
        <v>0</v>
      </c>
      <c r="K246" s="73">
        <v>5.5</v>
      </c>
      <c r="L246" s="73">
        <v>0</v>
      </c>
      <c r="M246" s="73">
        <v>0</v>
      </c>
      <c r="N246" s="73">
        <v>0</v>
      </c>
      <c r="O246" s="73" t="s">
        <v>1318</v>
      </c>
      <c r="P246" s="73" t="s">
        <v>707</v>
      </c>
      <c r="Q246" s="73" t="s">
        <v>707</v>
      </c>
      <c r="R246" s="73">
        <v>1</v>
      </c>
      <c r="S246" s="73">
        <v>1</v>
      </c>
      <c r="T246" s="73">
        <v>0</v>
      </c>
      <c r="U246" s="73">
        <v>10</v>
      </c>
      <c r="V246" s="73">
        <v>2921</v>
      </c>
      <c r="W246" s="73">
        <v>3</v>
      </c>
      <c r="X246" s="73">
        <v>8</v>
      </c>
      <c r="Y246" s="73">
        <v>1</v>
      </c>
      <c r="Z246" s="73" t="s">
        <v>1267</v>
      </c>
      <c r="AA246" s="73" t="s">
        <v>692</v>
      </c>
      <c r="AB246" s="73" t="str">
        <f>IF(AA246&lt;&gt;"",INDEX(Lookup!$N$2:$N$5,MATCH(Players!AA246,Lookup!$P$2:$P$5,0)),INDEX(Lookup!$N$2:$N$5,MATCH(Players!O246,Lookup!$O$2:$O$5,0)))</f>
        <v>Defense</v>
      </c>
      <c r="AC246" s="73">
        <v>2500000</v>
      </c>
      <c r="AD246" s="73" t="s">
        <v>793</v>
      </c>
      <c r="AE246" s="73" t="str">
        <f>INDEX('Translate table'!$H$2:$H$622,MATCH(Players!P246,'Translate table'!$G$2:$G$622,0))</f>
        <v>Joachim Andersen</v>
      </c>
      <c r="AF246" s="73">
        <f>IFERROR(INDEX('Euro Qual stats'!$A$1:$L$2071,MATCH(Players!$AE246,'Euro Qual stats'!$A$1:$A$2071,0),MATCH(Players!AF$2,'Euro Qual stats'!$A$1:$L$1,0)),0)</f>
        <v>0</v>
      </c>
      <c r="AG246" s="73">
        <f>IFERROR(INDEX('Euro Qual stats'!$A$1:$L$2071,MATCH(Players!$AE246,'Euro Qual stats'!$A$1:$A$2071,0),MATCH(Players!AG$2,'Euro Qual stats'!$A$1:$L$1,0)),0)</f>
        <v>0</v>
      </c>
      <c r="AH246" s="73">
        <f>IFERROR(INDEX('Euro Qual stats'!$A$1:$L$2071,MATCH(Players!$AE246,'Euro Qual stats'!$A$1:$A$2071,0),MATCH(Players!AH$2,'Euro Qual stats'!$A$1:$L$1,0)),0)</f>
        <v>0</v>
      </c>
      <c r="AI246" s="73">
        <f>IFERROR(INDEX('Euro Qual stats'!$A$1:$L$2071,MATCH(Players!$AE246,'Euro Qual stats'!$A$1:$A$2071,0),MATCH(Players!AI$2,'Euro Qual stats'!$A$1:$L$1,0)),0)</f>
        <v>0</v>
      </c>
      <c r="AJ246" s="93">
        <f>(12-AF246)/12*INDEX(BV$9:BV$12,MATCH($AB246,$BU$9:$BU$12,0))+AF246/12*AG246</f>
        <v>8.9175824175824203E-2</v>
      </c>
      <c r="AK246" s="93">
        <f>(12-AG246)/12*INDEX(BW$9:BW$12,MATCH($AB246,$BU$9:$BU$12,0))+AG246/12*AH246</f>
        <v>0.10357142857142858</v>
      </c>
      <c r="AL246" s="93">
        <f>(12-AH246)/12*INDEX(BX$9:BX$12,MATCH($AB246,$BU$9:$BU$12,0))+AH246/12*AI246</f>
        <v>0.19357142857142848</v>
      </c>
      <c r="AM246" s="93">
        <f>IF($BC246=1,AJ246/SUMIFS(AJ$3:AJ$623,$BC$3:$BC$623,1,$G$3:$G$623,$G246),0)</f>
        <v>0</v>
      </c>
      <c r="AN246" s="93">
        <f>IF($BC246=1,AK246/SUMIFS(AK$3:AK$623,$BC$3:$BC$623,1,$G$3:$G$623,$G246),0)</f>
        <v>0</v>
      </c>
      <c r="AO246" s="93">
        <f>IF($BC246=1,AL246/SUMIFS(AL$3:AL$623,$BC$3:$BC$623,1,$G$3:$G$623,$G246),0)</f>
        <v>0</v>
      </c>
      <c r="AP246" s="2">
        <f>IFERROR(R246/$V246*90,"")</f>
        <v>3.0811365970558027E-2</v>
      </c>
      <c r="AQ246" s="2">
        <f>IFERROR(S246/$V246*90,"")</f>
        <v>3.0811365970558027E-2</v>
      </c>
      <c r="AR246" s="2">
        <f>IFERROR(W246/$V246*90,"")</f>
        <v>9.243409791167409E-2</v>
      </c>
      <c r="AS246" s="2">
        <f>IFERROR(X246/$V246*90,"")</f>
        <v>0.24649092776446421</v>
      </c>
      <c r="AT246" s="2">
        <f>IFERROR(Y246/$V246*90,"")</f>
        <v>3.0811365970558027E-2</v>
      </c>
      <c r="AU246" s="2">
        <f>IF(AP246="",INDEX(BV$4:BV$7,MATCH(O246,$BU$4:$BU$7,0)),AP246)</f>
        <v>3.0811365970558027E-2</v>
      </c>
      <c r="AV246" s="2">
        <f>IF(AQ246="",INDEX(BW$4:BW$7,MATCH($O246,$BU$4:$BU$7,0)),AQ246)</f>
        <v>3.0811365970558027E-2</v>
      </c>
      <c r="AW246" s="2">
        <f t="shared" si="36"/>
        <v>9.243409791167409E-2</v>
      </c>
      <c r="AX246" s="2">
        <f t="shared" si="37"/>
        <v>0.24649092776446421</v>
      </c>
      <c r="AY246" s="2">
        <f t="shared" si="38"/>
        <v>3.0811365970558027E-2</v>
      </c>
      <c r="AZ246" s="2">
        <f>AU246*0.5+AK246*0.5</f>
        <v>6.7191397270993297E-2</v>
      </c>
      <c r="BA246" s="2">
        <f>AV246*0.5+AJ246*0.5</f>
        <v>5.9993595073191117E-2</v>
      </c>
      <c r="BB246" s="2">
        <f t="shared" si="39"/>
        <v>0.12324546388223211</v>
      </c>
      <c r="BC246">
        <f>IF(I246="expected",1,0)</f>
        <v>0</v>
      </c>
      <c r="BD246" s="78">
        <f>IF(BC246=1,AZ246/SUMIFS(AZ$3:AZ$623,$BC$3:$BC$623,1,$G$3:$G$623,$G246),0)</f>
        <v>0</v>
      </c>
      <c r="BE246" s="78">
        <f>IF(BC246=1,BA246/SUMIFS(BA$3:BA$623,$BC$3:$BC$623,1,$G$3:$G$623,$G246),0)</f>
        <v>0</v>
      </c>
      <c r="BF246" s="78">
        <f t="shared" si="40"/>
        <v>0</v>
      </c>
      <c r="BG246" s="2">
        <f t="shared" si="41"/>
        <v>0.12324546388223211</v>
      </c>
      <c r="BH246" s="2">
        <f t="shared" si="42"/>
        <v>3.0811365970558027E-2</v>
      </c>
      <c r="BI246" s="2">
        <f t="shared" si="43"/>
        <v>0</v>
      </c>
      <c r="BJ246" s="2">
        <f t="shared" si="44"/>
        <v>0</v>
      </c>
      <c r="BK246" s="2">
        <f t="shared" si="45"/>
        <v>0</v>
      </c>
      <c r="BL246" s="2">
        <f t="shared" si="46"/>
        <v>0.12324546388223211</v>
      </c>
      <c r="BM246" s="2">
        <f t="shared" si="47"/>
        <v>3.0811365970558027E-2</v>
      </c>
      <c r="BN246" s="2">
        <f>BI246/SUMIFS(BI$3:BI$623,$BC$3:$BC$623,1,$G$3:$G$623,$G246)</f>
        <v>0</v>
      </c>
      <c r="BO246" s="2">
        <f>BJ246/SUMIFS(BJ$3:BJ$623,$BC$3:$BC$623,1,$G$3:$G$623,$G246)</f>
        <v>0</v>
      </c>
      <c r="BP246" s="2">
        <f>BK246/SUMIFS(BK$3:BK$623,$BC$3:$BC$623,1,$G$3:$G$623,$G246)</f>
        <v>0</v>
      </c>
      <c r="BQ246" s="2">
        <f>BL246</f>
        <v>0.12324546388223211</v>
      </c>
      <c r="BR246" s="2">
        <f>BM246</f>
        <v>3.0811365970558027E-2</v>
      </c>
    </row>
    <row r="247" spans="1:70" hidden="1">
      <c r="A247" s="74">
        <v>0</v>
      </c>
      <c r="B247" s="73">
        <v>204952</v>
      </c>
      <c r="C247" s="73" t="s">
        <v>1965</v>
      </c>
      <c r="D247" s="73" t="s">
        <v>1966</v>
      </c>
      <c r="E247" s="73" t="s">
        <v>1967</v>
      </c>
      <c r="F247" s="73">
        <v>18583</v>
      </c>
      <c r="G247" s="73" t="s">
        <v>869</v>
      </c>
      <c r="H247" s="73" t="s">
        <v>905</v>
      </c>
      <c r="I247" s="73" t="s">
        <v>981</v>
      </c>
      <c r="J247" s="73">
        <v>0</v>
      </c>
      <c r="K247" s="73">
        <v>5.5</v>
      </c>
      <c r="L247" s="73">
        <v>0</v>
      </c>
      <c r="M247" s="73">
        <v>0</v>
      </c>
      <c r="N247" s="73">
        <v>0</v>
      </c>
      <c r="O247" s="73" t="s">
        <v>1318</v>
      </c>
      <c r="P247" s="73" t="s">
        <v>185</v>
      </c>
      <c r="Q247" s="73" t="s">
        <v>185</v>
      </c>
      <c r="R247" s="73">
        <v>0</v>
      </c>
      <c r="S247" s="73">
        <v>0</v>
      </c>
      <c r="T247" s="73">
        <v>0</v>
      </c>
      <c r="U247" s="73">
        <v>8</v>
      </c>
      <c r="V247" s="73">
        <v>1371</v>
      </c>
      <c r="W247" s="73">
        <v>0</v>
      </c>
      <c r="X247" s="73">
        <v>2</v>
      </c>
      <c r="Y247" s="73">
        <v>1</v>
      </c>
      <c r="Z247" s="73" t="s">
        <v>1267</v>
      </c>
      <c r="AA247" s="73" t="s">
        <v>692</v>
      </c>
      <c r="AB247" s="73" t="str">
        <f>IF(AA247&lt;&gt;"",INDEX(Lookup!$N$2:$N$5,MATCH(Players!AA247,Lookup!$P$2:$P$5,0)),INDEX(Lookup!$N$2:$N$5,MATCH(Players!O247,Lookup!$O$2:$O$5,0)))</f>
        <v>Defense</v>
      </c>
      <c r="AC247" s="73">
        <v>3500000</v>
      </c>
      <c r="AD247" s="73" t="s">
        <v>1968</v>
      </c>
      <c r="AE247" s="73" t="str">
        <f>INDEX('Translate table'!$H$2:$H$622,MATCH(Players!P247,'Translate table'!$G$2:$G$622,0))</f>
        <v>Andreas Christensen</v>
      </c>
      <c r="AF247" s="73">
        <f>IFERROR(INDEX('Euro Qual stats'!$A$1:$L$2071,MATCH(Players!$AE247,'Euro Qual stats'!$A$1:$A$2071,0),MATCH(Players!AF$2,'Euro Qual stats'!$A$1:$L$1,0)),0)</f>
        <v>7</v>
      </c>
      <c r="AG247" s="73">
        <f>IFERROR(INDEX('Euro Qual stats'!$A$1:$L$2071,MATCH(Players!$AE247,'Euro Qual stats'!$A$1:$A$2071,0),MATCH(Players!AG$2,'Euro Qual stats'!$A$1:$L$1,0)),0)</f>
        <v>0</v>
      </c>
      <c r="AH247" s="73">
        <f>IFERROR(INDEX('Euro Qual stats'!$A$1:$L$2071,MATCH(Players!$AE247,'Euro Qual stats'!$A$1:$A$2071,0),MATCH(Players!AH$2,'Euro Qual stats'!$A$1:$L$1,0)),0)</f>
        <v>0</v>
      </c>
      <c r="AI247" s="73">
        <f>IFERROR(INDEX('Euro Qual stats'!$A$1:$L$2071,MATCH(Players!$AE247,'Euro Qual stats'!$A$1:$A$2071,0),MATCH(Players!AI$2,'Euro Qual stats'!$A$1:$L$1,0)),0)</f>
        <v>0</v>
      </c>
      <c r="AJ247" s="93">
        <f>(12-AF247)/12*INDEX(BV$9:BV$12,MATCH($AB247,$BU$9:$BU$12,0))+AF247/12*AG247</f>
        <v>3.715659340659342E-2</v>
      </c>
      <c r="AK247" s="93">
        <f>(12-AG247)/12*INDEX(BW$9:BW$12,MATCH($AB247,$BU$9:$BU$12,0))+AG247/12*AH247</f>
        <v>0.10357142857142858</v>
      </c>
      <c r="AL247" s="93">
        <f>(12-AH247)/12*INDEX(BX$9:BX$12,MATCH($AB247,$BU$9:$BU$12,0))+AH247/12*AI247</f>
        <v>0.19357142857142848</v>
      </c>
      <c r="AM247" s="93">
        <f>IF($BC247=1,AJ247/SUMIFS(AJ$3:AJ$623,$BC$3:$BC$623,1,$G$3:$G$623,$G247),0)</f>
        <v>2.4527462137756469E-2</v>
      </c>
      <c r="AN247" s="93">
        <f>IF($BC247=1,AK247/SUMIFS(AK$3:AK$623,$BC$3:$BC$623,1,$G$3:$G$623,$G247),0)</f>
        <v>3.704437164260372E-2</v>
      </c>
      <c r="AO247" s="93">
        <f>IF($BC247=1,AL247/SUMIFS(AL$3:AL$623,$BC$3:$BC$623,1,$G$3:$G$623,$G247),0)</f>
        <v>9.6943280046535074E-2</v>
      </c>
      <c r="AP247" s="2">
        <f>IFERROR(R247/$V247*90,"")</f>
        <v>0</v>
      </c>
      <c r="AQ247" s="2">
        <f>IFERROR(S247/$V247*90,"")</f>
        <v>0</v>
      </c>
      <c r="AR247" s="2">
        <f>IFERROR(W247/$V247*90,"")</f>
        <v>0</v>
      </c>
      <c r="AS247" s="2">
        <f>IFERROR(X247/$V247*90,"")</f>
        <v>0.13129102844638948</v>
      </c>
      <c r="AT247" s="2">
        <f>IFERROR(Y247/$V247*90,"")</f>
        <v>6.5645514223194742E-2</v>
      </c>
      <c r="AU247" s="2">
        <f>IF(AP247="",INDEX(BV$4:BV$7,MATCH(O247,$BU$4:$BU$7,0)),AP247)</f>
        <v>0</v>
      </c>
      <c r="AV247" s="2">
        <f>IF(AQ247="",INDEX(BW$4:BW$7,MATCH($O247,$BU$4:$BU$7,0)),AQ247)</f>
        <v>0</v>
      </c>
      <c r="AW247" s="2">
        <f t="shared" si="36"/>
        <v>0</v>
      </c>
      <c r="AX247" s="2">
        <f t="shared" si="37"/>
        <v>0.13129102844638948</v>
      </c>
      <c r="AY247" s="2">
        <f t="shared" si="38"/>
        <v>6.5645514223194742E-2</v>
      </c>
      <c r="AZ247" s="2">
        <f>AU247*0.5+AK247*0.5</f>
        <v>5.1785714285714289E-2</v>
      </c>
      <c r="BA247" s="2">
        <f>AV247*0.5+AJ247*0.5</f>
        <v>1.857829670329671E-2</v>
      </c>
      <c r="BB247" s="2">
        <f t="shared" si="39"/>
        <v>6.5645514223194742E-2</v>
      </c>
      <c r="BC247">
        <f>IF(I247="expected",1,0)</f>
        <v>1</v>
      </c>
      <c r="BD247" s="78">
        <f>IF(BC247=1,AZ247/SUMIFS(AZ$3:AZ$623,$BC$3:$BC$623,1,$G$3:$G$623,$G247),0)</f>
        <v>2.5887172825999474E-2</v>
      </c>
      <c r="BE247" s="78">
        <f>IF(BC247=1,BA247/SUMIFS(BA$3:BA$623,$BC$3:$BC$623,1,$G$3:$G$623,$G247),0)</f>
        <v>1.511160215583293E-2</v>
      </c>
      <c r="BF247" s="78">
        <f t="shared" si="40"/>
        <v>0</v>
      </c>
      <c r="BG247" s="2">
        <f t="shared" si="41"/>
        <v>6.5645514223194742E-2</v>
      </c>
      <c r="BH247" s="2">
        <f t="shared" si="42"/>
        <v>6.5645514223194742E-2</v>
      </c>
      <c r="BI247" s="2">
        <f t="shared" si="43"/>
        <v>2.5887172825999474E-2</v>
      </c>
      <c r="BJ247" s="2">
        <f t="shared" si="44"/>
        <v>1.511160215583293E-2</v>
      </c>
      <c r="BK247" s="2">
        <f t="shared" si="45"/>
        <v>0</v>
      </c>
      <c r="BL247" s="2">
        <f t="shared" si="46"/>
        <v>6.5645514223194742E-2</v>
      </c>
      <c r="BM247" s="2">
        <f t="shared" si="47"/>
        <v>0.06</v>
      </c>
      <c r="BN247" s="2">
        <f>BI247/SUMIFS(BI$3:BI$623,$BC$3:$BC$623,1,$G$3:$G$623,$G247)</f>
        <v>2.5887172825999477E-2</v>
      </c>
      <c r="BO247" s="2">
        <f>BJ247/SUMIFS(BJ$3:BJ$623,$BC$3:$BC$623,1,$G$3:$G$623,$G247)</f>
        <v>1.5111602155832932E-2</v>
      </c>
      <c r="BP247" s="2">
        <f>BK247/SUMIFS(BK$3:BK$623,$BC$3:$BC$623,1,$G$3:$G$623,$G247)</f>
        <v>0</v>
      </c>
      <c r="BQ247" s="2">
        <f>BL247</f>
        <v>6.5645514223194742E-2</v>
      </c>
      <c r="BR247" s="2">
        <f>BM247</f>
        <v>0.06</v>
      </c>
    </row>
    <row r="248" spans="1:70" hidden="1">
      <c r="A248" s="74">
        <v>0</v>
      </c>
      <c r="B248" s="73">
        <v>204948</v>
      </c>
      <c r="C248" s="73" t="s">
        <v>1969</v>
      </c>
      <c r="D248" s="73" t="s">
        <v>1970</v>
      </c>
      <c r="E248" s="73" t="s">
        <v>1971</v>
      </c>
      <c r="F248" s="73">
        <v>18583</v>
      </c>
      <c r="G248" s="73" t="s">
        <v>869</v>
      </c>
      <c r="H248" s="73" t="s">
        <v>905</v>
      </c>
      <c r="I248" s="73" t="s">
        <v>1012</v>
      </c>
      <c r="J248" s="73">
        <v>0</v>
      </c>
      <c r="K248" s="73">
        <v>5.5</v>
      </c>
      <c r="L248" s="73">
        <v>0</v>
      </c>
      <c r="M248" s="73">
        <v>0</v>
      </c>
      <c r="N248" s="73">
        <v>0</v>
      </c>
      <c r="O248" s="73" t="s">
        <v>1318</v>
      </c>
      <c r="P248" s="73" t="s">
        <v>6</v>
      </c>
      <c r="Q248" s="73" t="s">
        <v>6</v>
      </c>
      <c r="R248" s="73">
        <v>3</v>
      </c>
      <c r="S248" s="73">
        <v>0</v>
      </c>
      <c r="T248" s="73">
        <v>0</v>
      </c>
      <c r="U248" s="73">
        <v>6</v>
      </c>
      <c r="V248" s="73">
        <v>2575</v>
      </c>
      <c r="W248" s="73">
        <v>8</v>
      </c>
      <c r="X248" s="73">
        <v>3</v>
      </c>
      <c r="Y248" s="73">
        <v>1</v>
      </c>
      <c r="Z248" s="73" t="s">
        <v>1267</v>
      </c>
      <c r="AA248" s="73" t="s">
        <v>692</v>
      </c>
      <c r="AB248" s="73" t="str">
        <f>IF(AA248&lt;&gt;"",INDEX(Lookup!$N$2:$N$5,MATCH(Players!AA248,Lookup!$P$2:$P$5,0)),INDEX(Lookup!$N$2:$N$5,MATCH(Players!O248,Lookup!$O$2:$O$5,0)))</f>
        <v>Defense</v>
      </c>
      <c r="AC248" s="73">
        <v>3000000</v>
      </c>
      <c r="AD248" s="73" t="s">
        <v>791</v>
      </c>
      <c r="AE248" s="73" t="str">
        <f>INDEX('Translate table'!$H$2:$H$622,MATCH(Players!P248,'Translate table'!$G$2:$G$622,0))</f>
        <v>Nicola Nanni</v>
      </c>
      <c r="AF248" s="73">
        <f>IFERROR(INDEX('Euro Qual stats'!$A$1:$L$2071,MATCH(Players!$AE248,'Euro Qual stats'!$A$1:$A$2071,0),MATCH(Players!AF$2,'Euro Qual stats'!$A$1:$L$1,0)),0)</f>
        <v>8</v>
      </c>
      <c r="AG248" s="73">
        <f>IFERROR(INDEX('Euro Qual stats'!$A$1:$L$2071,MATCH(Players!$AE248,'Euro Qual stats'!$A$1:$A$2071,0),MATCH(Players!AG$2,'Euro Qual stats'!$A$1:$L$1,0)),0)</f>
        <v>0</v>
      </c>
      <c r="AH248" s="73">
        <f>IFERROR(INDEX('Euro Qual stats'!$A$1:$L$2071,MATCH(Players!$AE248,'Euro Qual stats'!$A$1:$A$2071,0),MATCH(Players!AH$2,'Euro Qual stats'!$A$1:$L$1,0)),0)</f>
        <v>0</v>
      </c>
      <c r="AI248" s="73">
        <f>IFERROR(INDEX('Euro Qual stats'!$A$1:$L$2071,MATCH(Players!$AE248,'Euro Qual stats'!$A$1:$A$2071,0),MATCH(Players!AI$2,'Euro Qual stats'!$A$1:$L$1,0)),0)</f>
        <v>0</v>
      </c>
      <c r="AJ248" s="93">
        <f>(12-AF248)/12*INDEX(BV$9:BV$12,MATCH($AB248,$BU$9:$BU$12,0))+AF248/12*AG248</f>
        <v>2.9725274725274732E-2</v>
      </c>
      <c r="AK248" s="93">
        <f>(12-AG248)/12*INDEX(BW$9:BW$12,MATCH($AB248,$BU$9:$BU$12,0))+AG248/12*AH248</f>
        <v>0.10357142857142858</v>
      </c>
      <c r="AL248" s="93">
        <f>(12-AH248)/12*INDEX(BX$9:BX$12,MATCH($AB248,$BU$9:$BU$12,0))+AH248/12*AI248</f>
        <v>0.19357142857142848</v>
      </c>
      <c r="AM248" s="93">
        <f>IF($BC248=1,AJ248/SUMIFS(AJ$3:AJ$623,$BC$3:$BC$623,1,$G$3:$G$623,$G248),0)</f>
        <v>0</v>
      </c>
      <c r="AN248" s="93">
        <f>IF($BC248=1,AK248/SUMIFS(AK$3:AK$623,$BC$3:$BC$623,1,$G$3:$G$623,$G248),0)</f>
        <v>0</v>
      </c>
      <c r="AO248" s="93">
        <f>IF($BC248=1,AL248/SUMIFS(AL$3:AL$623,$BC$3:$BC$623,1,$G$3:$G$623,$G248),0)</f>
        <v>0</v>
      </c>
      <c r="AP248" s="2">
        <f>IFERROR(R248/$V248*90,"")</f>
        <v>0.10485436893203884</v>
      </c>
      <c r="AQ248" s="2">
        <f>IFERROR(S248/$V248*90,"")</f>
        <v>0</v>
      </c>
      <c r="AR248" s="2">
        <f>IFERROR(W248/$V248*90,"")</f>
        <v>0.2796116504854369</v>
      </c>
      <c r="AS248" s="2">
        <f>IFERROR(X248/$V248*90,"")</f>
        <v>0.10485436893203884</v>
      </c>
      <c r="AT248" s="2">
        <f>IFERROR(Y248/$V248*90,"")</f>
        <v>3.4951456310679613E-2</v>
      </c>
      <c r="AU248" s="2">
        <f>IF(AP248="",INDEX(BV$4:BV$7,MATCH(O248,$BU$4:$BU$7,0)),AP248)</f>
        <v>0.10485436893203884</v>
      </c>
      <c r="AV248" s="2">
        <f>IF(AQ248="",INDEX(BW$4:BW$7,MATCH($O248,$BU$4:$BU$7,0)),AQ248)</f>
        <v>0</v>
      </c>
      <c r="AW248" s="2">
        <f t="shared" si="36"/>
        <v>0.2796116504854369</v>
      </c>
      <c r="AX248" s="2">
        <f t="shared" si="37"/>
        <v>0.10485436893203884</v>
      </c>
      <c r="AY248" s="2">
        <f t="shared" si="38"/>
        <v>3.4951456310679613E-2</v>
      </c>
      <c r="AZ248" s="2">
        <f>AU248*0.5+AK248*0.5</f>
        <v>0.1042128987517337</v>
      </c>
      <c r="BA248" s="2">
        <f>AV248*0.5+AJ248*0.5</f>
        <v>1.4862637362637366E-2</v>
      </c>
      <c r="BB248" s="2">
        <f t="shared" si="39"/>
        <v>5.2427184466019419E-2</v>
      </c>
      <c r="BC248">
        <f>IF(I248="expected",1,0)</f>
        <v>0</v>
      </c>
      <c r="BD248" s="78">
        <f>IF(BC248=1,AZ248/SUMIFS(AZ$3:AZ$623,$BC$3:$BC$623,1,$G$3:$G$623,$G248),0)</f>
        <v>0</v>
      </c>
      <c r="BE248" s="78">
        <f>IF(BC248=1,BA248/SUMIFS(BA$3:BA$623,$BC$3:$BC$623,1,$G$3:$G$623,$G248),0)</f>
        <v>0</v>
      </c>
      <c r="BF248" s="78">
        <f t="shared" si="40"/>
        <v>0</v>
      </c>
      <c r="BG248" s="2">
        <f t="shared" si="41"/>
        <v>5.2427184466019419E-2</v>
      </c>
      <c r="BH248" s="2">
        <f t="shared" si="42"/>
        <v>3.4951456310679613E-2</v>
      </c>
      <c r="BI248" s="2">
        <f t="shared" si="43"/>
        <v>0</v>
      </c>
      <c r="BJ248" s="2">
        <f t="shared" si="44"/>
        <v>0</v>
      </c>
      <c r="BK248" s="2">
        <f t="shared" si="45"/>
        <v>0</v>
      </c>
      <c r="BL248" s="2">
        <f t="shared" si="46"/>
        <v>5.2427184466019419E-2</v>
      </c>
      <c r="BM248" s="2">
        <f t="shared" si="47"/>
        <v>3.4951456310679613E-2</v>
      </c>
      <c r="BN248" s="2">
        <f>BI248/SUMIFS(BI$3:BI$623,$BC$3:$BC$623,1,$G$3:$G$623,$G248)</f>
        <v>0</v>
      </c>
      <c r="BO248" s="2">
        <f>BJ248/SUMIFS(BJ$3:BJ$623,$BC$3:$BC$623,1,$G$3:$G$623,$G248)</f>
        <v>0</v>
      </c>
      <c r="BP248" s="2">
        <f>BK248/SUMIFS(BK$3:BK$623,$BC$3:$BC$623,1,$G$3:$G$623,$G248)</f>
        <v>0</v>
      </c>
      <c r="BQ248" s="2">
        <f>BL248</f>
        <v>5.2427184466019419E-2</v>
      </c>
      <c r="BR248" s="2">
        <f>BM248</f>
        <v>3.4951456310679613E-2</v>
      </c>
    </row>
    <row r="249" spans="1:70" hidden="1">
      <c r="A249" s="74">
        <v>0</v>
      </c>
      <c r="B249" s="73">
        <v>204961</v>
      </c>
      <c r="C249" s="73" t="s">
        <v>1972</v>
      </c>
      <c r="D249" s="73" t="s">
        <v>1973</v>
      </c>
      <c r="E249" s="73" t="s">
        <v>1974</v>
      </c>
      <c r="F249" s="73">
        <v>18583</v>
      </c>
      <c r="G249" s="73" t="s">
        <v>869</v>
      </c>
      <c r="H249" s="73" t="s">
        <v>905</v>
      </c>
      <c r="I249" s="73" t="s">
        <v>1012</v>
      </c>
      <c r="J249" s="73">
        <v>0</v>
      </c>
      <c r="K249" s="73">
        <v>5.5</v>
      </c>
      <c r="L249" s="73">
        <v>0</v>
      </c>
      <c r="M249" s="73">
        <v>0</v>
      </c>
      <c r="N249" s="73">
        <v>0</v>
      </c>
      <c r="O249" s="73" t="s">
        <v>982</v>
      </c>
      <c r="P249" s="73" t="s">
        <v>1975</v>
      </c>
      <c r="Q249" s="73" t="s">
        <v>1975</v>
      </c>
      <c r="R249" s="73">
        <v>2</v>
      </c>
      <c r="S249" s="73">
        <v>4</v>
      </c>
      <c r="T249" s="73">
        <v>0</v>
      </c>
      <c r="U249" s="73">
        <v>0</v>
      </c>
      <c r="V249" s="73">
        <v>1771</v>
      </c>
      <c r="W249" s="73">
        <v>8</v>
      </c>
      <c r="X249" s="73">
        <v>3</v>
      </c>
      <c r="Y249" s="73">
        <v>0</v>
      </c>
      <c r="Z249" s="73" t="s">
        <v>1267</v>
      </c>
      <c r="AA249" s="73" t="s">
        <v>691</v>
      </c>
      <c r="AB249" s="73" t="str">
        <f>IF(AA249&lt;&gt;"",INDEX(Lookup!$N$2:$N$5,MATCH(Players!AA249,Lookup!$P$2:$P$5,0)),INDEX(Lookup!$N$2:$N$5,MATCH(Players!O249,Lookup!$O$2:$O$5,0)))</f>
        <v>Midfield</v>
      </c>
      <c r="AC249" s="73">
        <v>3500000</v>
      </c>
      <c r="AD249" s="73" t="s">
        <v>797</v>
      </c>
      <c r="AE249" s="73" t="str">
        <f>INDEX('Translate table'!$H$2:$H$622,MATCH(Players!P249,'Translate table'!$G$2:$G$622,0))</f>
        <v>Henrik Dalsgaard</v>
      </c>
      <c r="AF249" s="73">
        <f>IFERROR(INDEX('Euro Qual stats'!$A$1:$L$2071,MATCH(Players!$AE249,'Euro Qual stats'!$A$1:$A$2071,0),MATCH(Players!AF$2,'Euro Qual stats'!$A$1:$L$1,0)),0)</f>
        <v>5</v>
      </c>
      <c r="AG249" s="73">
        <f>IFERROR(INDEX('Euro Qual stats'!$A$1:$L$2071,MATCH(Players!$AE249,'Euro Qual stats'!$A$1:$A$2071,0),MATCH(Players!AG$2,'Euro Qual stats'!$A$1:$L$1,0)),0)</f>
        <v>0.2</v>
      </c>
      <c r="AH249" s="73">
        <f>IFERROR(INDEX('Euro Qual stats'!$A$1:$L$2071,MATCH(Players!$AE249,'Euro Qual stats'!$A$1:$A$2071,0),MATCH(Players!AH$2,'Euro Qual stats'!$A$1:$L$1,0)),0)</f>
        <v>0.2</v>
      </c>
      <c r="AI249" s="73">
        <f>IFERROR(INDEX('Euro Qual stats'!$A$1:$L$2071,MATCH(Players!$AE249,'Euro Qual stats'!$A$1:$A$2071,0),MATCH(Players!AI$2,'Euro Qual stats'!$A$1:$L$1,0)),0)</f>
        <v>0.2</v>
      </c>
      <c r="AJ249" s="93">
        <f>(12-AF249)/12*INDEX(BV$9:BV$12,MATCH($AB249,$BU$9:$BU$12,0))+AF249/12*AG249</f>
        <v>0.18173647469458989</v>
      </c>
      <c r="AK249" s="93">
        <f>(12-AG249)/12*INDEX(BW$9:BW$12,MATCH($AB249,$BU$9:$BU$12,0))+AG249/12*AH249</f>
        <v>0.22301308900523559</v>
      </c>
      <c r="AL249" s="93">
        <f>(12-AH249)/12*INDEX(BX$9:BX$12,MATCH($AB249,$BU$9:$BU$12,0))+AH249/12*AI249</f>
        <v>0.23876701570680631</v>
      </c>
      <c r="AM249" s="93">
        <f>IF($BC249=1,AJ249/SUMIFS(AJ$3:AJ$623,$BC$3:$BC$623,1,$G$3:$G$623,$G249),0)</f>
        <v>0</v>
      </c>
      <c r="AN249" s="93">
        <f>IF($BC249=1,AK249/SUMIFS(AK$3:AK$623,$BC$3:$BC$623,1,$G$3:$G$623,$G249),0)</f>
        <v>0</v>
      </c>
      <c r="AO249" s="93">
        <f>IF($BC249=1,AL249/SUMIFS(AL$3:AL$623,$BC$3:$BC$623,1,$G$3:$G$623,$G249),0)</f>
        <v>0</v>
      </c>
      <c r="AP249" s="2">
        <f>IFERROR(R249/$V249*90,"")</f>
        <v>0.10163749294184077</v>
      </c>
      <c r="AQ249" s="2">
        <f>IFERROR(S249/$V249*90,"")</f>
        <v>0.20327498588368154</v>
      </c>
      <c r="AR249" s="2">
        <f>IFERROR(W249/$V249*90,"")</f>
        <v>0.40654997176736307</v>
      </c>
      <c r="AS249" s="2">
        <f>IFERROR(X249/$V249*90,"")</f>
        <v>0.15245623941276115</v>
      </c>
      <c r="AT249" s="2">
        <f>IFERROR(Y249/$V249*90,"")</f>
        <v>0</v>
      </c>
      <c r="AU249" s="2">
        <f>IF(AP249="",INDEX(BV$4:BV$7,MATCH(O249,$BU$4:$BU$7,0)),AP249)</f>
        <v>0.10163749294184077</v>
      </c>
      <c r="AV249" s="2">
        <f>IF(AQ249="",INDEX(BW$4:BW$7,MATCH($O249,$BU$4:$BU$7,0)),AQ249)</f>
        <v>0.20327498588368154</v>
      </c>
      <c r="AW249" s="2">
        <f t="shared" si="36"/>
        <v>0.40654997176736307</v>
      </c>
      <c r="AX249" s="2">
        <f t="shared" si="37"/>
        <v>0.15245623941276115</v>
      </c>
      <c r="AY249" s="2">
        <f t="shared" si="38"/>
        <v>0</v>
      </c>
      <c r="AZ249" s="2">
        <f>AU249*0.5+AK249*0.5</f>
        <v>0.16232529097353818</v>
      </c>
      <c r="BA249" s="2">
        <f>AV249*0.5+AJ249*0.5</f>
        <v>0.1925057302891357</v>
      </c>
      <c r="BB249" s="2">
        <f t="shared" si="39"/>
        <v>0.17622811970638058</v>
      </c>
      <c r="BC249">
        <f>IF(I249="expected",1,0)</f>
        <v>0</v>
      </c>
      <c r="BD249" s="78">
        <f>IF(BC249=1,AZ249/SUMIFS(AZ$3:AZ$623,$BC$3:$BC$623,1,$G$3:$G$623,$G249),0)</f>
        <v>0</v>
      </c>
      <c r="BE249" s="78">
        <f>IF(BC249=1,BA249/SUMIFS(BA$3:BA$623,$BC$3:$BC$623,1,$G$3:$G$623,$G249),0)</f>
        <v>0</v>
      </c>
      <c r="BF249" s="78">
        <f t="shared" si="40"/>
        <v>0</v>
      </c>
      <c r="BG249" s="2">
        <f t="shared" si="41"/>
        <v>0.17622811970638058</v>
      </c>
      <c r="BH249" s="2">
        <f t="shared" si="42"/>
        <v>0</v>
      </c>
      <c r="BI249" s="2">
        <f t="shared" si="43"/>
        <v>0</v>
      </c>
      <c r="BJ249" s="2">
        <f t="shared" si="44"/>
        <v>0</v>
      </c>
      <c r="BK249" s="2">
        <f t="shared" si="45"/>
        <v>0</v>
      </c>
      <c r="BL249" s="2">
        <f t="shared" si="46"/>
        <v>0.17622811970638058</v>
      </c>
      <c r="BM249" s="2">
        <f t="shared" si="47"/>
        <v>0</v>
      </c>
      <c r="BN249" s="2">
        <f>BI249/SUMIFS(BI$3:BI$623,$BC$3:$BC$623,1,$G$3:$G$623,$G249)</f>
        <v>0</v>
      </c>
      <c r="BO249" s="2">
        <f>BJ249/SUMIFS(BJ$3:BJ$623,$BC$3:$BC$623,1,$G$3:$G$623,$G249)</f>
        <v>0</v>
      </c>
      <c r="BP249" s="2">
        <f>BK249/SUMIFS(BK$3:BK$623,$BC$3:$BC$623,1,$G$3:$G$623,$G249)</f>
        <v>0</v>
      </c>
      <c r="BQ249" s="2">
        <f>BL249</f>
        <v>0.17622811970638058</v>
      </c>
      <c r="BR249" s="2">
        <f>BM249</f>
        <v>0</v>
      </c>
    </row>
    <row r="250" spans="1:70" hidden="1">
      <c r="A250" s="74">
        <v>0</v>
      </c>
      <c r="B250" s="73">
        <v>213448</v>
      </c>
      <c r="C250" s="73" t="s">
        <v>1976</v>
      </c>
      <c r="D250" s="73" t="s">
        <v>1763</v>
      </c>
      <c r="E250" s="73" t="s">
        <v>1977</v>
      </c>
      <c r="F250" s="73">
        <v>18588</v>
      </c>
      <c r="G250" s="73" t="s">
        <v>880</v>
      </c>
      <c r="H250" s="73" t="s">
        <v>949</v>
      </c>
      <c r="I250" s="73" t="s">
        <v>981</v>
      </c>
      <c r="J250" s="73">
        <v>0</v>
      </c>
      <c r="K250" s="73">
        <v>5</v>
      </c>
      <c r="L250" s="73">
        <v>0</v>
      </c>
      <c r="M250" s="73">
        <v>0</v>
      </c>
      <c r="N250" s="73">
        <v>0</v>
      </c>
      <c r="O250" s="73" t="s">
        <v>1318</v>
      </c>
      <c r="P250" s="73" t="s">
        <v>1978</v>
      </c>
      <c r="Q250" s="73" t="s">
        <v>1766</v>
      </c>
      <c r="R250" s="73">
        <v>1</v>
      </c>
      <c r="S250" s="73">
        <v>2</v>
      </c>
      <c r="T250" s="73">
        <v>0</v>
      </c>
      <c r="U250" s="73">
        <v>7</v>
      </c>
      <c r="V250" s="73">
        <v>1257</v>
      </c>
      <c r="W250" s="73">
        <v>3</v>
      </c>
      <c r="X250" s="73">
        <v>4</v>
      </c>
      <c r="Y250" s="73">
        <v>0</v>
      </c>
      <c r="Z250" s="73" t="s">
        <v>1133</v>
      </c>
      <c r="AA250" s="73" t="s">
        <v>692</v>
      </c>
      <c r="AB250" s="73" t="str">
        <f>IF(AA250&lt;&gt;"",INDEX(Lookup!$N$2:$N$5,MATCH(Players!AA250,Lookup!$P$2:$P$5,0)),INDEX(Lookup!$N$2:$N$5,MATCH(Players!O250,Lookup!$O$2:$O$5,0)))</f>
        <v>Defense</v>
      </c>
      <c r="AC250" s="73">
        <v>2500000</v>
      </c>
      <c r="AD250" s="73" t="s">
        <v>795</v>
      </c>
      <c r="AE250" s="73" t="str">
        <f>INDEX('Translate table'!$H$2:$H$622,MATCH(Players!P250,'Translate table'!$G$2:$G$622,0))</f>
        <v>Domagoj Vida</v>
      </c>
      <c r="AF250" s="73">
        <f>IFERROR(INDEX('Euro Qual stats'!$A$1:$L$2071,MATCH(Players!$AE250,'Euro Qual stats'!$A$1:$A$2071,0),MATCH(Players!AF$2,'Euro Qual stats'!$A$1:$L$1,0)),0)</f>
        <v>7</v>
      </c>
      <c r="AG250" s="73">
        <f>IFERROR(INDEX('Euro Qual stats'!$A$1:$L$2071,MATCH(Players!$AE250,'Euro Qual stats'!$A$1:$A$2071,0),MATCH(Players!AG$2,'Euro Qual stats'!$A$1:$L$1,0)),0)</f>
        <v>0</v>
      </c>
      <c r="AH250" s="73">
        <f>IFERROR(INDEX('Euro Qual stats'!$A$1:$L$2071,MATCH(Players!$AE250,'Euro Qual stats'!$A$1:$A$2071,0),MATCH(Players!AH$2,'Euro Qual stats'!$A$1:$L$1,0)),0)</f>
        <v>0</v>
      </c>
      <c r="AI250" s="73">
        <f>IFERROR(INDEX('Euro Qual stats'!$A$1:$L$2071,MATCH(Players!$AE250,'Euro Qual stats'!$A$1:$A$2071,0),MATCH(Players!AI$2,'Euro Qual stats'!$A$1:$L$1,0)),0)</f>
        <v>0.43</v>
      </c>
      <c r="AJ250" s="93">
        <f>(12-AF250)/12*INDEX(BV$9:BV$12,MATCH($AB250,$BU$9:$BU$12,0))+AF250/12*AG250</f>
        <v>3.715659340659342E-2</v>
      </c>
      <c r="AK250" s="93">
        <f>(12-AG250)/12*INDEX(BW$9:BW$12,MATCH($AB250,$BU$9:$BU$12,0))+AG250/12*AH250</f>
        <v>0.10357142857142858</v>
      </c>
      <c r="AL250" s="93">
        <f>(12-AH250)/12*INDEX(BX$9:BX$12,MATCH($AB250,$BU$9:$BU$12,0))+AH250/12*AI250</f>
        <v>0.19357142857142848</v>
      </c>
      <c r="AM250" s="93">
        <f>IF($BC250=1,AJ250/SUMIFS(AJ$3:AJ$623,$BC$3:$BC$623,1,$G$3:$G$623,$G250),0)</f>
        <v>2.3401094828934984E-2</v>
      </c>
      <c r="AN250" s="93">
        <f>IF($BC250=1,AK250/SUMIFS(AK$3:AK$623,$BC$3:$BC$623,1,$G$3:$G$623,$G250),0)</f>
        <v>3.8962956984435561E-2</v>
      </c>
      <c r="AO250" s="93">
        <f>IF($BC250=1,AL250/SUMIFS(AL$3:AL$623,$BC$3:$BC$623,1,$G$3:$G$623,$G250),0)</f>
        <v>9.7665672552652183E-2</v>
      </c>
      <c r="AP250" s="2">
        <f>IFERROR(R250/$V250*90,"")</f>
        <v>7.1599045346062054E-2</v>
      </c>
      <c r="AQ250" s="2">
        <f>IFERROR(S250/$V250*90,"")</f>
        <v>0.14319809069212411</v>
      </c>
      <c r="AR250" s="2">
        <f>IFERROR(W250/$V250*90,"")</f>
        <v>0.21479713603818618</v>
      </c>
      <c r="AS250" s="2">
        <f>IFERROR(X250/$V250*90,"")</f>
        <v>0.28639618138424822</v>
      </c>
      <c r="AT250" s="2">
        <f>IFERROR(Y250/$V250*90,"")</f>
        <v>0</v>
      </c>
      <c r="AU250" s="2">
        <f>IF(AP250="",INDEX(BV$4:BV$7,MATCH(O250,$BU$4:$BU$7,0)),AP250)</f>
        <v>7.1599045346062054E-2</v>
      </c>
      <c r="AV250" s="2">
        <f>IF(AQ250="",INDEX(BW$4:BW$7,MATCH($O250,$BU$4:$BU$7,0)),AQ250)</f>
        <v>0.14319809069212411</v>
      </c>
      <c r="AW250" s="2">
        <f t="shared" si="36"/>
        <v>0.21479713603818618</v>
      </c>
      <c r="AX250" s="2">
        <f t="shared" si="37"/>
        <v>0.28639618138424822</v>
      </c>
      <c r="AY250" s="2">
        <f t="shared" si="38"/>
        <v>0</v>
      </c>
      <c r="AZ250" s="2">
        <f>AU250*0.5+AK250*0.5</f>
        <v>8.7585236958745316E-2</v>
      </c>
      <c r="BA250" s="2">
        <f>AV250*0.5+AJ250*0.5</f>
        <v>9.0177342049358761E-2</v>
      </c>
      <c r="BB250" s="2">
        <f t="shared" si="39"/>
        <v>0.3581980906921241</v>
      </c>
      <c r="BC250">
        <f>IF(I250="expected",1,0)</f>
        <v>1</v>
      </c>
      <c r="BD250" s="78">
        <f>IF(BC250=1,AZ250/SUMIFS(AZ$3:AZ$623,$BC$3:$BC$623,1,$G$3:$G$623,$G250),0)</f>
        <v>3.7372352173557152E-2</v>
      </c>
      <c r="BE250" s="78">
        <f>IF(BC250=1,BA250/SUMIFS(BA$3:BA$623,$BC$3:$BC$623,1,$G$3:$G$623,$G250),0)</f>
        <v>6.5865542016798603E-2</v>
      </c>
      <c r="BF250" s="78">
        <f t="shared" si="40"/>
        <v>4.3472878298849951E-2</v>
      </c>
      <c r="BG250" s="2">
        <f t="shared" si="41"/>
        <v>0.3581980906921241</v>
      </c>
      <c r="BH250" s="2">
        <f t="shared" si="42"/>
        <v>0</v>
      </c>
      <c r="BI250" s="2">
        <f t="shared" si="43"/>
        <v>3.7372352173557152E-2</v>
      </c>
      <c r="BJ250" s="2">
        <f t="shared" si="44"/>
        <v>6.5865542016798603E-2</v>
      </c>
      <c r="BK250" s="2">
        <f t="shared" si="45"/>
        <v>4.3472878298849951E-2</v>
      </c>
      <c r="BL250" s="2">
        <f t="shared" si="46"/>
        <v>0.3581980906921241</v>
      </c>
      <c r="BM250" s="2">
        <f t="shared" si="47"/>
        <v>0</v>
      </c>
      <c r="BN250" s="2">
        <f>BI250/SUMIFS(BI$3:BI$623,$BC$3:$BC$623,1,$G$3:$G$623,$G250)</f>
        <v>3.7372352173557152E-2</v>
      </c>
      <c r="BO250" s="2">
        <f>BJ250/SUMIFS(BJ$3:BJ$623,$BC$3:$BC$623,1,$G$3:$G$623,$G250)</f>
        <v>6.5865542016798603E-2</v>
      </c>
      <c r="BP250" s="2">
        <f>BK250/SUMIFS(BK$3:BK$623,$BC$3:$BC$623,1,$G$3:$G$623,$G250)</f>
        <v>4.5131478810561974E-2</v>
      </c>
      <c r="BQ250" s="2">
        <f>BL250</f>
        <v>0.3581980906921241</v>
      </c>
      <c r="BR250" s="2">
        <f>BM250</f>
        <v>0</v>
      </c>
    </row>
    <row r="251" spans="1:70" hidden="1">
      <c r="A251" s="74">
        <v>0</v>
      </c>
      <c r="B251" s="73">
        <v>213447</v>
      </c>
      <c r="C251" s="73" t="s">
        <v>1979</v>
      </c>
      <c r="D251" s="73" t="s">
        <v>1980</v>
      </c>
      <c r="E251" s="73" t="s">
        <v>1981</v>
      </c>
      <c r="F251" s="73">
        <v>18588</v>
      </c>
      <c r="G251" s="73" t="s">
        <v>880</v>
      </c>
      <c r="H251" s="73" t="s">
        <v>949</v>
      </c>
      <c r="I251" s="73" t="s">
        <v>1012</v>
      </c>
      <c r="J251" s="73">
        <v>0</v>
      </c>
      <c r="K251" s="73">
        <v>5</v>
      </c>
      <c r="L251" s="73">
        <v>0</v>
      </c>
      <c r="M251" s="73">
        <v>0</v>
      </c>
      <c r="N251" s="73">
        <v>0</v>
      </c>
      <c r="O251" s="73" t="s">
        <v>1318</v>
      </c>
      <c r="P251" s="73" t="s">
        <v>1982</v>
      </c>
      <c r="Q251" s="73" t="s">
        <v>1983</v>
      </c>
      <c r="R251" s="73">
        <v>2</v>
      </c>
      <c r="S251" s="73">
        <v>1</v>
      </c>
      <c r="T251" s="73">
        <v>0</v>
      </c>
      <c r="U251" s="73">
        <v>5</v>
      </c>
      <c r="V251" s="73">
        <v>2816</v>
      </c>
      <c r="W251" s="73">
        <v>3</v>
      </c>
      <c r="X251" s="73">
        <v>8</v>
      </c>
      <c r="Y251" s="73">
        <v>1</v>
      </c>
      <c r="Z251" s="73" t="s">
        <v>1133</v>
      </c>
      <c r="AA251" s="73" t="s">
        <v>692</v>
      </c>
      <c r="AB251" s="73" t="str">
        <f>IF(AA251&lt;&gt;"",INDEX(Lookup!$N$2:$N$5,MATCH(Players!AA251,Lookup!$P$2:$P$5,0)),INDEX(Lookup!$N$2:$N$5,MATCH(Players!O251,Lookup!$O$2:$O$5,0)))</f>
        <v>Defense</v>
      </c>
      <c r="AC251" s="73">
        <v>2500000</v>
      </c>
      <c r="AD251" s="73" t="s">
        <v>793</v>
      </c>
      <c r="AE251" s="73" t="str">
        <f>INDEX('Translate table'!$H$2:$H$622,MATCH(Players!P251,'Translate table'!$G$2:$G$622,0))</f>
        <v>Duje Ä†aleta-Car</v>
      </c>
      <c r="AF251" s="73">
        <f>IFERROR(INDEX('Euro Qual stats'!$A$1:$L$2071,MATCH(Players!$AE251,'Euro Qual stats'!$A$1:$A$2071,0),MATCH(Players!AF$2,'Euro Qual stats'!$A$1:$L$1,0)),0)</f>
        <v>2</v>
      </c>
      <c r="AG251" s="73">
        <f>IFERROR(INDEX('Euro Qual stats'!$A$1:$L$2071,MATCH(Players!$AE251,'Euro Qual stats'!$A$1:$A$2071,0),MATCH(Players!AG$2,'Euro Qual stats'!$A$1:$L$1,0)),0)</f>
        <v>0</v>
      </c>
      <c r="AH251" s="73">
        <f>IFERROR(INDEX('Euro Qual stats'!$A$1:$L$2071,MATCH(Players!$AE251,'Euro Qual stats'!$A$1:$A$2071,0),MATCH(Players!AH$2,'Euro Qual stats'!$A$1:$L$1,0)),0)</f>
        <v>0</v>
      </c>
      <c r="AI251" s="73">
        <f>IFERROR(INDEX('Euro Qual stats'!$A$1:$L$2071,MATCH(Players!$AE251,'Euro Qual stats'!$A$1:$A$2071,0),MATCH(Players!AI$2,'Euro Qual stats'!$A$1:$L$1,0)),0)</f>
        <v>0.5</v>
      </c>
      <c r="AJ251" s="93">
        <f>(12-AF251)/12*INDEX(BV$9:BV$12,MATCH($AB251,$BU$9:$BU$12,0))+AF251/12*AG251</f>
        <v>7.4313186813186841E-2</v>
      </c>
      <c r="AK251" s="93">
        <f>(12-AG251)/12*INDEX(BW$9:BW$12,MATCH($AB251,$BU$9:$BU$12,0))+AG251/12*AH251</f>
        <v>0.10357142857142858</v>
      </c>
      <c r="AL251" s="93">
        <f>(12-AH251)/12*INDEX(BX$9:BX$12,MATCH($AB251,$BU$9:$BU$12,0))+AH251/12*AI251</f>
        <v>0.19357142857142848</v>
      </c>
      <c r="AM251" s="93">
        <f>IF($BC251=1,AJ251/SUMIFS(AJ$3:AJ$623,$BC$3:$BC$623,1,$G$3:$G$623,$G251),0)</f>
        <v>0</v>
      </c>
      <c r="AN251" s="93">
        <f>IF($BC251=1,AK251/SUMIFS(AK$3:AK$623,$BC$3:$BC$623,1,$G$3:$G$623,$G251),0)</f>
        <v>0</v>
      </c>
      <c r="AO251" s="93">
        <f>IF($BC251=1,AL251/SUMIFS(AL$3:AL$623,$BC$3:$BC$623,1,$G$3:$G$623,$G251),0)</f>
        <v>0</v>
      </c>
      <c r="AP251" s="2">
        <f>IFERROR(R251/$V251*90,"")</f>
        <v>6.3920454545454544E-2</v>
      </c>
      <c r="AQ251" s="2">
        <f>IFERROR(S251/$V251*90,"")</f>
        <v>3.1960227272727272E-2</v>
      </c>
      <c r="AR251" s="2">
        <f>IFERROR(W251/$V251*90,"")</f>
        <v>9.5880681818181809E-2</v>
      </c>
      <c r="AS251" s="2">
        <f>IFERROR(X251/$V251*90,"")</f>
        <v>0.25568181818181818</v>
      </c>
      <c r="AT251" s="2">
        <f>IFERROR(Y251/$V251*90,"")</f>
        <v>3.1960227272727272E-2</v>
      </c>
      <c r="AU251" s="2">
        <f>IF(AP251="",INDEX(BV$4:BV$7,MATCH(O251,$BU$4:$BU$7,0)),AP251)</f>
        <v>6.3920454545454544E-2</v>
      </c>
      <c r="AV251" s="2">
        <f>IF(AQ251="",INDEX(BW$4:BW$7,MATCH($O251,$BU$4:$BU$7,0)),AQ251)</f>
        <v>3.1960227272727272E-2</v>
      </c>
      <c r="AW251" s="2">
        <f t="shared" si="36"/>
        <v>9.5880681818181809E-2</v>
      </c>
      <c r="AX251" s="2">
        <f t="shared" si="37"/>
        <v>0.25568181818181818</v>
      </c>
      <c r="AY251" s="2">
        <f t="shared" si="38"/>
        <v>3.1960227272727272E-2</v>
      </c>
      <c r="AZ251" s="2">
        <f>AU251*0.5+AK251*0.5</f>
        <v>8.3745941558441561E-2</v>
      </c>
      <c r="BA251" s="2">
        <f>AV251*0.5+AJ251*0.5</f>
        <v>5.313670704295706E-2</v>
      </c>
      <c r="BB251" s="2">
        <f t="shared" si="39"/>
        <v>0.37784090909090906</v>
      </c>
      <c r="BC251">
        <f>IF(I251="expected",1,0)</f>
        <v>0</v>
      </c>
      <c r="BD251" s="78">
        <f>IF(BC251=1,AZ251/SUMIFS(AZ$3:AZ$623,$BC$3:$BC$623,1,$G$3:$G$623,$G251),0)</f>
        <v>0</v>
      </c>
      <c r="BE251" s="78">
        <f>IF(BC251=1,BA251/SUMIFS(BA$3:BA$623,$BC$3:$BC$623,1,$G$3:$G$623,$G251),0)</f>
        <v>0</v>
      </c>
      <c r="BF251" s="78">
        <f t="shared" si="40"/>
        <v>0</v>
      </c>
      <c r="BG251" s="2">
        <f t="shared" si="41"/>
        <v>0.37784090909090906</v>
      </c>
      <c r="BH251" s="2">
        <f t="shared" si="42"/>
        <v>3.1960227272727272E-2</v>
      </c>
      <c r="BI251" s="2">
        <f t="shared" si="43"/>
        <v>0</v>
      </c>
      <c r="BJ251" s="2">
        <f t="shared" si="44"/>
        <v>0</v>
      </c>
      <c r="BK251" s="2">
        <f t="shared" si="45"/>
        <v>0</v>
      </c>
      <c r="BL251" s="2">
        <f t="shared" si="46"/>
        <v>0.37784090909090906</v>
      </c>
      <c r="BM251" s="2">
        <f t="shared" si="47"/>
        <v>3.1960227272727272E-2</v>
      </c>
      <c r="BN251" s="2">
        <f>BI251/SUMIFS(BI$3:BI$623,$BC$3:$BC$623,1,$G$3:$G$623,$G251)</f>
        <v>0</v>
      </c>
      <c r="BO251" s="2">
        <f>BJ251/SUMIFS(BJ$3:BJ$623,$BC$3:$BC$623,1,$G$3:$G$623,$G251)</f>
        <v>0</v>
      </c>
      <c r="BP251" s="2">
        <f>BK251/SUMIFS(BK$3:BK$623,$BC$3:$BC$623,1,$G$3:$G$623,$G251)</f>
        <v>0</v>
      </c>
      <c r="BQ251" s="2">
        <f>BL251</f>
        <v>0.37784090909090906</v>
      </c>
      <c r="BR251" s="2">
        <f>BM251</f>
        <v>3.1960227272727272E-2</v>
      </c>
    </row>
    <row r="252" spans="1:70" hidden="1">
      <c r="A252" s="74">
        <v>0</v>
      </c>
      <c r="B252" s="73">
        <v>213446</v>
      </c>
      <c r="C252" s="73" t="s">
        <v>1984</v>
      </c>
      <c r="D252" s="73" t="s">
        <v>1985</v>
      </c>
      <c r="E252" s="73" t="s">
        <v>1986</v>
      </c>
      <c r="F252" s="73">
        <v>18588</v>
      </c>
      <c r="G252" s="73" t="s">
        <v>880</v>
      </c>
      <c r="H252" s="73" t="s">
        <v>949</v>
      </c>
      <c r="I252" s="73" t="s">
        <v>981</v>
      </c>
      <c r="J252" s="73">
        <v>0</v>
      </c>
      <c r="K252" s="73">
        <v>5</v>
      </c>
      <c r="L252" s="73">
        <v>0</v>
      </c>
      <c r="M252" s="73">
        <v>0</v>
      </c>
      <c r="N252" s="73">
        <v>0</v>
      </c>
      <c r="O252" s="73" t="s">
        <v>1318</v>
      </c>
      <c r="P252" s="73" t="s">
        <v>1987</v>
      </c>
      <c r="Q252" s="73" t="s">
        <v>1988</v>
      </c>
      <c r="R252" s="73">
        <v>0</v>
      </c>
      <c r="S252" s="73">
        <v>0</v>
      </c>
      <c r="T252" s="73">
        <v>0</v>
      </c>
      <c r="U252" s="73">
        <v>1</v>
      </c>
      <c r="V252" s="73">
        <v>519</v>
      </c>
      <c r="W252" s="73">
        <v>0</v>
      </c>
      <c r="X252" s="73">
        <v>2</v>
      </c>
      <c r="Y252" s="73">
        <v>0</v>
      </c>
      <c r="Z252" s="73" t="s">
        <v>1133</v>
      </c>
      <c r="AA252" s="73" t="s">
        <v>692</v>
      </c>
      <c r="AB252" s="73" t="str">
        <f>IF(AA252&lt;&gt;"",INDEX(Lookup!$N$2:$N$5,MATCH(Players!AA252,Lookup!$P$2:$P$5,0)),INDEX(Lookup!$N$2:$N$5,MATCH(Players!O252,Lookup!$O$2:$O$5,0)))</f>
        <v>Defense</v>
      </c>
      <c r="AC252" s="73">
        <v>3000000</v>
      </c>
      <c r="AD252" s="73" t="s">
        <v>805</v>
      </c>
      <c r="AE252" s="73">
        <f>INDEX('Translate table'!$H$2:$H$622,MATCH(Players!P252,'Translate table'!$G$2:$G$622,0))</f>
        <v>0</v>
      </c>
      <c r="AF252" s="73">
        <f>IFERROR(INDEX('Euro Qual stats'!$A$1:$L$2071,MATCH(Players!$AE252,'Euro Qual stats'!$A$1:$A$2071,0),MATCH(Players!AF$2,'Euro Qual stats'!$A$1:$L$1,0)),0)</f>
        <v>0</v>
      </c>
      <c r="AG252" s="73">
        <f>IFERROR(INDEX('Euro Qual stats'!$A$1:$L$2071,MATCH(Players!$AE252,'Euro Qual stats'!$A$1:$A$2071,0),MATCH(Players!AG$2,'Euro Qual stats'!$A$1:$L$1,0)),0)</f>
        <v>0</v>
      </c>
      <c r="AH252" s="73">
        <f>IFERROR(INDEX('Euro Qual stats'!$A$1:$L$2071,MATCH(Players!$AE252,'Euro Qual stats'!$A$1:$A$2071,0),MATCH(Players!AH$2,'Euro Qual stats'!$A$1:$L$1,0)),0)</f>
        <v>0</v>
      </c>
      <c r="AI252" s="73">
        <f>IFERROR(INDEX('Euro Qual stats'!$A$1:$L$2071,MATCH(Players!$AE252,'Euro Qual stats'!$A$1:$A$2071,0),MATCH(Players!AI$2,'Euro Qual stats'!$A$1:$L$1,0)),0)</f>
        <v>0</v>
      </c>
      <c r="AJ252" s="93">
        <f>(12-AF252)/12*INDEX(BV$9:BV$12,MATCH($AB252,$BU$9:$BU$12,0))+AF252/12*AG252</f>
        <v>8.9175824175824203E-2</v>
      </c>
      <c r="AK252" s="93">
        <f>(12-AG252)/12*INDEX(BW$9:BW$12,MATCH($AB252,$BU$9:$BU$12,0))+AG252/12*AH252</f>
        <v>0.10357142857142858</v>
      </c>
      <c r="AL252" s="93">
        <f>(12-AH252)/12*INDEX(BX$9:BX$12,MATCH($AB252,$BU$9:$BU$12,0))+AH252/12*AI252</f>
        <v>0.19357142857142848</v>
      </c>
      <c r="AM252" s="93">
        <f>IF($BC252=1,AJ252/SUMIFS(AJ$3:AJ$623,$BC$3:$BC$623,1,$G$3:$G$623,$G252),0)</f>
        <v>5.6162627589443959E-2</v>
      </c>
      <c r="AN252" s="93">
        <f>IF($BC252=1,AK252/SUMIFS(AK$3:AK$623,$BC$3:$BC$623,1,$G$3:$G$623,$G252),0)</f>
        <v>3.8962956984435561E-2</v>
      </c>
      <c r="AO252" s="93">
        <f>IF($BC252=1,AL252/SUMIFS(AL$3:AL$623,$BC$3:$BC$623,1,$G$3:$G$623,$G252),0)</f>
        <v>9.7665672552652183E-2</v>
      </c>
      <c r="AP252" s="2">
        <f>IFERROR(R252/$V252*90,"")</f>
        <v>0</v>
      </c>
      <c r="AQ252" s="2">
        <f>IFERROR(S252/$V252*90,"")</f>
        <v>0</v>
      </c>
      <c r="AR252" s="2">
        <f>IFERROR(W252/$V252*90,"")</f>
        <v>0</v>
      </c>
      <c r="AS252" s="2">
        <f>IFERROR(X252/$V252*90,"")</f>
        <v>0.34682080924855491</v>
      </c>
      <c r="AT252" s="2">
        <f>IFERROR(Y252/$V252*90,"")</f>
        <v>0</v>
      </c>
      <c r="AU252" s="2">
        <f>IF(AP252="",INDEX(BV$4:BV$7,MATCH(O252,$BU$4:$BU$7,0)),AP252)</f>
        <v>0</v>
      </c>
      <c r="AV252" s="2">
        <f>IF(AQ252="",INDEX(BW$4:BW$7,MATCH($O252,$BU$4:$BU$7,0)),AQ252)</f>
        <v>0</v>
      </c>
      <c r="AW252" s="2">
        <f t="shared" si="36"/>
        <v>0</v>
      </c>
      <c r="AX252" s="2">
        <f t="shared" si="37"/>
        <v>0.34682080924855491</v>
      </c>
      <c r="AY252" s="2">
        <f t="shared" si="38"/>
        <v>0</v>
      </c>
      <c r="AZ252" s="2">
        <f>AU252*0.5+AK252*0.5</f>
        <v>5.1785714285714289E-2</v>
      </c>
      <c r="BA252" s="2">
        <f>AV252*0.5+AJ252*0.5</f>
        <v>4.4587912087912102E-2</v>
      </c>
      <c r="BB252" s="2">
        <f t="shared" si="39"/>
        <v>0.17341040462427745</v>
      </c>
      <c r="BC252">
        <f>IF(I252="expected",1,0)</f>
        <v>1</v>
      </c>
      <c r="BD252" s="78">
        <f>IF(BC252=1,AZ252/SUMIFS(AZ$3:AZ$623,$BC$3:$BC$623,1,$G$3:$G$623,$G252),0)</f>
        <v>2.2096805569602109E-2</v>
      </c>
      <c r="BE252" s="78">
        <f>IF(BC252=1,BA252/SUMIFS(BA$3:BA$623,$BC$3:$BC$623,1,$G$3:$G$623,$G252),0)</f>
        <v>3.2567016617768896E-2</v>
      </c>
      <c r="BF252" s="78">
        <f t="shared" si="40"/>
        <v>0</v>
      </c>
      <c r="BG252" s="2">
        <f t="shared" si="41"/>
        <v>0.17341040462427745</v>
      </c>
      <c r="BH252" s="2">
        <f t="shared" si="42"/>
        <v>0</v>
      </c>
      <c r="BI252" s="2">
        <f t="shared" si="43"/>
        <v>2.2096805569602109E-2</v>
      </c>
      <c r="BJ252" s="2">
        <f t="shared" si="44"/>
        <v>3.2567016617768896E-2</v>
      </c>
      <c r="BK252" s="2">
        <f t="shared" si="45"/>
        <v>0</v>
      </c>
      <c r="BL252" s="2">
        <f t="shared" si="46"/>
        <v>0.17341040462427745</v>
      </c>
      <c r="BM252" s="2">
        <f t="shared" si="47"/>
        <v>0</v>
      </c>
      <c r="BN252" s="2">
        <f>BI252/SUMIFS(BI$3:BI$623,$BC$3:$BC$623,1,$G$3:$G$623,$G252)</f>
        <v>2.2096805569602109E-2</v>
      </c>
      <c r="BO252" s="2">
        <f>BJ252/SUMIFS(BJ$3:BJ$623,$BC$3:$BC$623,1,$G$3:$G$623,$G252)</f>
        <v>3.2567016617768896E-2</v>
      </c>
      <c r="BP252" s="2">
        <f>BK252/SUMIFS(BK$3:BK$623,$BC$3:$BC$623,1,$G$3:$G$623,$G252)</f>
        <v>0</v>
      </c>
      <c r="BQ252" s="2">
        <f>BL252</f>
        <v>0.17341040462427745</v>
      </c>
      <c r="BR252" s="2">
        <f>BM252</f>
        <v>0</v>
      </c>
    </row>
    <row r="253" spans="1:70" hidden="1">
      <c r="A253" s="74">
        <v>0</v>
      </c>
      <c r="B253" s="73">
        <v>204582</v>
      </c>
      <c r="C253" s="73" t="s">
        <v>1989</v>
      </c>
      <c r="D253" s="73" t="s">
        <v>1714</v>
      </c>
      <c r="E253" s="73" t="s">
        <v>1990</v>
      </c>
      <c r="F253" s="73">
        <v>18588</v>
      </c>
      <c r="G253" s="73" t="s">
        <v>880</v>
      </c>
      <c r="H253" s="73" t="s">
        <v>949</v>
      </c>
      <c r="I253" s="73" t="s">
        <v>981</v>
      </c>
      <c r="J253" s="73">
        <v>0</v>
      </c>
      <c r="K253" s="73">
        <v>5</v>
      </c>
      <c r="L253" s="73">
        <v>0</v>
      </c>
      <c r="M253" s="73">
        <v>0</v>
      </c>
      <c r="N253" s="73">
        <v>0</v>
      </c>
      <c r="O253" s="73" t="s">
        <v>1318</v>
      </c>
      <c r="P253" s="73" t="s">
        <v>1991</v>
      </c>
      <c r="Q253" s="73" t="s">
        <v>1992</v>
      </c>
      <c r="R253" s="73">
        <v>1</v>
      </c>
      <c r="S253" s="73">
        <v>0</v>
      </c>
      <c r="T253" s="73">
        <v>0</v>
      </c>
      <c r="U253" s="73">
        <v>1</v>
      </c>
      <c r="V253" s="73">
        <v>1255</v>
      </c>
      <c r="W253" s="73">
        <v>1</v>
      </c>
      <c r="X253" s="73">
        <v>2</v>
      </c>
      <c r="Y253" s="73">
        <v>0</v>
      </c>
      <c r="Z253" s="73" t="s">
        <v>1133</v>
      </c>
      <c r="AA253" s="73" t="s">
        <v>692</v>
      </c>
      <c r="AB253" s="73" t="str">
        <f>IF(AA253&lt;&gt;"",INDEX(Lookup!$N$2:$N$5,MATCH(Players!AA253,Lookup!$P$2:$P$5,0)),INDEX(Lookup!$N$2:$N$5,MATCH(Players!O253,Lookup!$O$2:$O$5,0)))</f>
        <v>Defense</v>
      </c>
      <c r="AC253" s="73">
        <v>3000000</v>
      </c>
      <c r="AD253" s="73" t="s">
        <v>796</v>
      </c>
      <c r="AE253" s="73" t="str">
        <f>INDEX('Translate table'!$H$2:$H$622,MATCH(Players!P253,'Translate table'!$G$2:$G$622,0))</f>
        <v>Dejan Lovren</v>
      </c>
      <c r="AF253" s="73">
        <f>IFERROR(INDEX('Euro Qual stats'!$A$1:$L$2071,MATCH(Players!$AE253,'Euro Qual stats'!$A$1:$A$2071,0),MATCH(Players!AF$2,'Euro Qual stats'!$A$1:$L$1,0)),0)</f>
        <v>6</v>
      </c>
      <c r="AG253" s="73">
        <f>IFERROR(INDEX('Euro Qual stats'!$A$1:$L$2071,MATCH(Players!$AE253,'Euro Qual stats'!$A$1:$A$2071,0),MATCH(Players!AG$2,'Euro Qual stats'!$A$1:$L$1,0)),0)</f>
        <v>0</v>
      </c>
      <c r="AH253" s="73">
        <f>IFERROR(INDEX('Euro Qual stats'!$A$1:$L$2071,MATCH(Players!$AE253,'Euro Qual stats'!$A$1:$A$2071,0),MATCH(Players!AH$2,'Euro Qual stats'!$A$1:$L$1,0)),0)</f>
        <v>0.17</v>
      </c>
      <c r="AI253" s="73">
        <f>IFERROR(INDEX('Euro Qual stats'!$A$1:$L$2071,MATCH(Players!$AE253,'Euro Qual stats'!$A$1:$A$2071,0),MATCH(Players!AI$2,'Euro Qual stats'!$A$1:$L$1,0)),0)</f>
        <v>0.5</v>
      </c>
      <c r="AJ253" s="93">
        <f>(12-AF253)/12*INDEX(BV$9:BV$12,MATCH($AB253,$BU$9:$BU$12,0))+AF253/12*AG253</f>
        <v>4.4587912087912102E-2</v>
      </c>
      <c r="AK253" s="93">
        <f>(12-AG253)/12*INDEX(BW$9:BW$12,MATCH($AB253,$BU$9:$BU$12,0))+AG253/12*AH253</f>
        <v>0.10357142857142858</v>
      </c>
      <c r="AL253" s="93">
        <f>(12-AH253)/12*INDEX(BX$9:BX$12,MATCH($AB253,$BU$9:$BU$12,0))+AH253/12*AI253</f>
        <v>0.19791249999999991</v>
      </c>
      <c r="AM253" s="93">
        <f>IF($BC253=1,AJ253/SUMIFS(AJ$3:AJ$623,$BC$3:$BC$623,1,$G$3:$G$623,$G253),0)</f>
        <v>2.8081313794721979E-2</v>
      </c>
      <c r="AN253" s="93">
        <f>IF($BC253=1,AK253/SUMIFS(AK$3:AK$623,$BC$3:$BC$623,1,$G$3:$G$623,$G253),0)</f>
        <v>3.8962956984435561E-2</v>
      </c>
      <c r="AO253" s="93">
        <f>IF($BC253=1,AL253/SUMIFS(AL$3:AL$623,$BC$3:$BC$623,1,$G$3:$G$623,$G253),0)</f>
        <v>9.9855942386374491E-2</v>
      </c>
      <c r="AP253" s="2">
        <f>IFERROR(R253/$V253*90,"")</f>
        <v>7.1713147410358571E-2</v>
      </c>
      <c r="AQ253" s="2">
        <f>IFERROR(S253/$V253*90,"")</f>
        <v>0</v>
      </c>
      <c r="AR253" s="2">
        <f>IFERROR(W253/$V253*90,"")</f>
        <v>7.1713147410358571E-2</v>
      </c>
      <c r="AS253" s="2">
        <f>IFERROR(X253/$V253*90,"")</f>
        <v>0.14342629482071714</v>
      </c>
      <c r="AT253" s="2">
        <f>IFERROR(Y253/$V253*90,"")</f>
        <v>0</v>
      </c>
      <c r="AU253" s="2">
        <f>IF(AP253="",INDEX(BV$4:BV$7,MATCH(O253,$BU$4:$BU$7,0)),AP253)</f>
        <v>7.1713147410358571E-2</v>
      </c>
      <c r="AV253" s="2">
        <f>IF(AQ253="",INDEX(BW$4:BW$7,MATCH($O253,$BU$4:$BU$7,0)),AQ253)</f>
        <v>0</v>
      </c>
      <c r="AW253" s="2">
        <f t="shared" si="36"/>
        <v>7.1713147410358571E-2</v>
      </c>
      <c r="AX253" s="2">
        <f t="shared" si="37"/>
        <v>0.14342629482071714</v>
      </c>
      <c r="AY253" s="2">
        <f t="shared" si="38"/>
        <v>0</v>
      </c>
      <c r="AZ253" s="2">
        <f>AU253*0.5+AK253*0.5</f>
        <v>8.7642287990893575E-2</v>
      </c>
      <c r="BA253" s="2">
        <f>AV253*0.5+AJ253*0.5</f>
        <v>2.2293956043956051E-2</v>
      </c>
      <c r="BB253" s="2">
        <f t="shared" si="39"/>
        <v>0.32171314741035856</v>
      </c>
      <c r="BC253">
        <f>IF(I253="expected",1,0)</f>
        <v>1</v>
      </c>
      <c r="BD253" s="78">
        <f>IF(BC253=1,AZ253/SUMIFS(AZ$3:AZ$623,$BC$3:$BC$623,1,$G$3:$G$623,$G253),0)</f>
        <v>3.7396695674121225E-2</v>
      </c>
      <c r="BE253" s="78">
        <f>IF(BC253=1,BA253/SUMIFS(BA$3:BA$623,$BC$3:$BC$623,1,$G$3:$G$623,$G253),0)</f>
        <v>1.6283508308884448E-2</v>
      </c>
      <c r="BF253" s="78">
        <f t="shared" si="40"/>
        <v>1.4514052595392932E-2</v>
      </c>
      <c r="BG253" s="2">
        <f t="shared" si="41"/>
        <v>0.32171314741035856</v>
      </c>
      <c r="BH253" s="2">
        <f t="shared" si="42"/>
        <v>0</v>
      </c>
      <c r="BI253" s="2">
        <f t="shared" si="43"/>
        <v>3.7396695674121225E-2</v>
      </c>
      <c r="BJ253" s="2">
        <f t="shared" si="44"/>
        <v>1.6283508308884448E-2</v>
      </c>
      <c r="BK253" s="2">
        <f t="shared" si="45"/>
        <v>1.4514052595392932E-2</v>
      </c>
      <c r="BL253" s="2">
        <f t="shared" si="46"/>
        <v>0.32171314741035856</v>
      </c>
      <c r="BM253" s="2">
        <f t="shared" si="47"/>
        <v>0</v>
      </c>
      <c r="BN253" s="2">
        <f>BI253/SUMIFS(BI$3:BI$623,$BC$3:$BC$623,1,$G$3:$G$623,$G253)</f>
        <v>3.7396695674121225E-2</v>
      </c>
      <c r="BO253" s="2">
        <f>BJ253/SUMIFS(BJ$3:BJ$623,$BC$3:$BC$623,1,$G$3:$G$623,$G253)</f>
        <v>1.6283508308884448E-2</v>
      </c>
      <c r="BP253" s="2">
        <f>BK253/SUMIFS(BK$3:BK$623,$BC$3:$BC$623,1,$G$3:$G$623,$G253)</f>
        <v>1.5067800495319097E-2</v>
      </c>
      <c r="BQ253" s="2">
        <f>BL253</f>
        <v>0.32171314741035856</v>
      </c>
      <c r="BR253" s="2">
        <f>BM253</f>
        <v>0</v>
      </c>
    </row>
    <row r="254" spans="1:70" hidden="1">
      <c r="A254" s="74">
        <v>0</v>
      </c>
      <c r="B254" s="73">
        <v>204580</v>
      </c>
      <c r="C254" s="73" t="s">
        <v>1993</v>
      </c>
      <c r="D254" s="73" t="s">
        <v>1994</v>
      </c>
      <c r="E254" s="73" t="s">
        <v>1995</v>
      </c>
      <c r="F254" s="73">
        <v>18588</v>
      </c>
      <c r="G254" s="73" t="s">
        <v>880</v>
      </c>
      <c r="H254" s="73" t="s">
        <v>949</v>
      </c>
      <c r="I254" s="73" t="s">
        <v>1012</v>
      </c>
      <c r="J254" s="73">
        <v>0</v>
      </c>
      <c r="K254" s="73">
        <v>5</v>
      </c>
      <c r="L254" s="73">
        <v>0</v>
      </c>
      <c r="M254" s="73">
        <v>0</v>
      </c>
      <c r="N254" s="73">
        <v>0</v>
      </c>
      <c r="O254" s="73" t="s">
        <v>1318</v>
      </c>
      <c r="P254" s="73" t="s">
        <v>1996</v>
      </c>
      <c r="Q254" s="73" t="s">
        <v>1164</v>
      </c>
      <c r="R254" s="73"/>
      <c r="S254" s="73"/>
      <c r="T254" s="73"/>
      <c r="U254" s="73"/>
      <c r="V254" s="73"/>
      <c r="W254" s="73"/>
      <c r="X254" s="73"/>
      <c r="Y254" s="73"/>
      <c r="Z254" s="73" t="s">
        <v>1133</v>
      </c>
      <c r="AA254" s="73" t="s">
        <v>692</v>
      </c>
      <c r="AB254" s="73" t="str">
        <f>IF(AA254&lt;&gt;"",INDEX(Lookup!$N$2:$N$5,MATCH(Players!AA254,Lookup!$P$2:$P$5,0)),INDEX(Lookup!$N$2:$N$5,MATCH(Players!O254,Lookup!$O$2:$O$5,0)))</f>
        <v>Defense</v>
      </c>
      <c r="AC254" s="73">
        <v>2000000</v>
      </c>
      <c r="AD254" s="73" t="s">
        <v>789</v>
      </c>
      <c r="AE254" s="73" t="str">
        <f>INDEX('Translate table'!$H$2:$H$622,MATCH(Players!P254,'Translate table'!$G$2:$G$622,0))</f>
        <v>Mile Å koriÄ‡</v>
      </c>
      <c r="AF254" s="73">
        <f>IFERROR(INDEX('Euro Qual stats'!$A$1:$L$2071,MATCH(Players!$AE254,'Euro Qual stats'!$A$1:$A$2071,0),MATCH(Players!AF$2,'Euro Qual stats'!$A$1:$L$1,0)),0)</f>
        <v>1</v>
      </c>
      <c r="AG254" s="73">
        <f>IFERROR(INDEX('Euro Qual stats'!$A$1:$L$2071,MATCH(Players!$AE254,'Euro Qual stats'!$A$1:$A$2071,0),MATCH(Players!AG$2,'Euro Qual stats'!$A$1:$L$1,0)),0)</f>
        <v>0</v>
      </c>
      <c r="AH254" s="73">
        <f>IFERROR(INDEX('Euro Qual stats'!$A$1:$L$2071,MATCH(Players!$AE254,'Euro Qual stats'!$A$1:$A$2071,0),MATCH(Players!AH$2,'Euro Qual stats'!$A$1:$L$1,0)),0)</f>
        <v>0</v>
      </c>
      <c r="AI254" s="73">
        <f>IFERROR(INDEX('Euro Qual stats'!$A$1:$L$2071,MATCH(Players!$AE254,'Euro Qual stats'!$A$1:$A$2071,0),MATCH(Players!AI$2,'Euro Qual stats'!$A$1:$L$1,0)),0)</f>
        <v>0</v>
      </c>
      <c r="AJ254" s="93">
        <f>(12-AF254)/12*INDEX(BV$9:BV$12,MATCH($AB254,$BU$9:$BU$12,0))+AF254/12*AG254</f>
        <v>8.1744505494505515E-2</v>
      </c>
      <c r="AK254" s="93">
        <f>(12-AG254)/12*INDEX(BW$9:BW$12,MATCH($AB254,$BU$9:$BU$12,0))+AG254/12*AH254</f>
        <v>0.10357142857142858</v>
      </c>
      <c r="AL254" s="93">
        <f>(12-AH254)/12*INDEX(BX$9:BX$12,MATCH($AB254,$BU$9:$BU$12,0))+AH254/12*AI254</f>
        <v>0.19357142857142848</v>
      </c>
      <c r="AM254" s="93">
        <f>IF($BC254=1,AJ254/SUMIFS(AJ$3:AJ$623,$BC$3:$BC$623,1,$G$3:$G$623,$G254),0)</f>
        <v>0</v>
      </c>
      <c r="AN254" s="93">
        <f>IF($BC254=1,AK254/SUMIFS(AK$3:AK$623,$BC$3:$BC$623,1,$G$3:$G$623,$G254),0)</f>
        <v>0</v>
      </c>
      <c r="AO254" s="93">
        <f>IF($BC254=1,AL254/SUMIFS(AL$3:AL$623,$BC$3:$BC$623,1,$G$3:$G$623,$G254),0)</f>
        <v>0</v>
      </c>
      <c r="AP254" s="2" t="str">
        <f>IFERROR(R254/$V254*90,"")</f>
        <v/>
      </c>
      <c r="AQ254" s="2" t="str">
        <f>IFERROR(S254/$V254*90,"")</f>
        <v/>
      </c>
      <c r="AR254" s="2" t="str">
        <f>IFERROR(W254/$V254*90,"")</f>
        <v/>
      </c>
      <c r="AS254" s="2" t="str">
        <f>IFERROR(X254/$V254*90,"")</f>
        <v/>
      </c>
      <c r="AT254" s="2" t="str">
        <f>IFERROR(Y254/$V254*90,"")</f>
        <v/>
      </c>
      <c r="AU254" s="2">
        <f>IF(AP254="",INDEX(BV$4:BV$7,MATCH(O254,$BU$4:$BU$7,0)),AP254)</f>
        <v>0</v>
      </c>
      <c r="AV254" s="2">
        <f>IF(AQ254="",INDEX(BW$4:BW$7,MATCH($O254,$BU$4:$BU$7,0)),AQ254)</f>
        <v>0</v>
      </c>
      <c r="AW254" s="2">
        <f t="shared" si="36"/>
        <v>8.0624805297505417E-2</v>
      </c>
      <c r="AX254" s="2">
        <f t="shared" si="37"/>
        <v>0.1265377855887522</v>
      </c>
      <c r="AY254" s="2">
        <f t="shared" si="38"/>
        <v>0</v>
      </c>
      <c r="AZ254" s="2">
        <f>AU254*0.5+AK254*0.5</f>
        <v>5.1785714285714289E-2</v>
      </c>
      <c r="BA254" s="2">
        <f>AV254*0.5+AJ254*0.5</f>
        <v>4.0872252747252757E-2</v>
      </c>
      <c r="BB254" s="2">
        <f t="shared" si="39"/>
        <v>6.32688927943761E-2</v>
      </c>
      <c r="BC254">
        <f>IF(I254="expected",1,0)</f>
        <v>0</v>
      </c>
      <c r="BD254" s="78">
        <f>IF(BC254=1,AZ254/SUMIFS(AZ$3:AZ$623,$BC$3:$BC$623,1,$G$3:$G$623,$G254),0)</f>
        <v>0</v>
      </c>
      <c r="BE254" s="78">
        <f>IF(BC254=1,BA254/SUMIFS(BA$3:BA$623,$BC$3:$BC$623,1,$G$3:$G$623,$G254),0)</f>
        <v>0</v>
      </c>
      <c r="BF254" s="78">
        <f t="shared" si="40"/>
        <v>0</v>
      </c>
      <c r="BG254" s="2">
        <f t="shared" si="41"/>
        <v>6.32688927943761E-2</v>
      </c>
      <c r="BH254" s="2">
        <f t="shared" si="42"/>
        <v>0</v>
      </c>
      <c r="BI254" s="2">
        <f t="shared" si="43"/>
        <v>0</v>
      </c>
      <c r="BJ254" s="2">
        <f t="shared" si="44"/>
        <v>0</v>
      </c>
      <c r="BK254" s="2">
        <f t="shared" si="45"/>
        <v>0</v>
      </c>
      <c r="BL254" s="2">
        <f t="shared" si="46"/>
        <v>6.32688927943761E-2</v>
      </c>
      <c r="BM254" s="2">
        <f t="shared" si="47"/>
        <v>0</v>
      </c>
      <c r="BN254" s="2">
        <f>BI254/SUMIFS(BI$3:BI$623,$BC$3:$BC$623,1,$G$3:$G$623,$G254)</f>
        <v>0</v>
      </c>
      <c r="BO254" s="2">
        <f>BJ254/SUMIFS(BJ$3:BJ$623,$BC$3:$BC$623,1,$G$3:$G$623,$G254)</f>
        <v>0</v>
      </c>
      <c r="BP254" s="2">
        <f>BK254/SUMIFS(BK$3:BK$623,$BC$3:$BC$623,1,$G$3:$G$623,$G254)</f>
        <v>0</v>
      </c>
      <c r="BQ254" s="2">
        <f>BL254</f>
        <v>6.32688927943761E-2</v>
      </c>
      <c r="BR254" s="2">
        <f>BM254</f>
        <v>0</v>
      </c>
    </row>
    <row r="255" spans="1:70" hidden="1">
      <c r="A255" s="74">
        <v>0</v>
      </c>
      <c r="B255" s="73">
        <v>204579</v>
      </c>
      <c r="C255" s="73" t="s">
        <v>1997</v>
      </c>
      <c r="D255" s="73" t="s">
        <v>1352</v>
      </c>
      <c r="E255" s="73" t="s">
        <v>1998</v>
      </c>
      <c r="F255" s="73">
        <v>18588</v>
      </c>
      <c r="G255" s="73" t="s">
        <v>880</v>
      </c>
      <c r="H255" s="73" t="s">
        <v>949</v>
      </c>
      <c r="I255" s="73" t="s">
        <v>1012</v>
      </c>
      <c r="J255" s="73">
        <v>0</v>
      </c>
      <c r="K255" s="73">
        <v>5</v>
      </c>
      <c r="L255" s="73">
        <v>0</v>
      </c>
      <c r="M255" s="73">
        <v>0</v>
      </c>
      <c r="N255" s="73">
        <v>0</v>
      </c>
      <c r="O255" s="73" t="s">
        <v>1318</v>
      </c>
      <c r="P255" s="73" t="s">
        <v>1999</v>
      </c>
      <c r="Q255" s="73" t="s">
        <v>1354</v>
      </c>
      <c r="R255" s="73">
        <v>7</v>
      </c>
      <c r="S255" s="73">
        <v>3</v>
      </c>
      <c r="T255" s="73">
        <v>0</v>
      </c>
      <c r="U255" s="73">
        <v>2</v>
      </c>
      <c r="V255" s="73">
        <v>1823</v>
      </c>
      <c r="W255" s="73">
        <v>21</v>
      </c>
      <c r="X255" s="73">
        <v>1</v>
      </c>
      <c r="Y255" s="73">
        <v>0</v>
      </c>
      <c r="Z255" s="73" t="s">
        <v>1133</v>
      </c>
      <c r="AA255" s="73" t="s">
        <v>692</v>
      </c>
      <c r="AB255" s="73" t="str">
        <f>IF(AA255&lt;&gt;"",INDEX(Lookup!$N$2:$N$5,MATCH(Players!AA255,Lookup!$P$2:$P$5,0)),INDEX(Lookup!$N$2:$N$5,MATCH(Players!O255,Lookup!$O$2:$O$5,0)))</f>
        <v>Defense</v>
      </c>
      <c r="AC255" s="73">
        <v>2500000</v>
      </c>
      <c r="AD255" s="73" t="s">
        <v>788</v>
      </c>
      <c r="AE255" s="73" t="str">
        <f>INDEX('Translate table'!$H$2:$H$622,MATCH(Players!P255,'Translate table'!$G$2:$G$622,0))</f>
        <v>Josip JuranoviÄ‡</v>
      </c>
      <c r="AF255" s="73">
        <f>IFERROR(INDEX('Euro Qual stats'!$A$1:$L$2071,MATCH(Players!$AE255,'Euro Qual stats'!$A$1:$A$2071,0),MATCH(Players!AF$2,'Euro Qual stats'!$A$1:$L$1,0)),0)</f>
        <v>0</v>
      </c>
      <c r="AG255" s="73">
        <f>IFERROR(INDEX('Euro Qual stats'!$A$1:$L$2071,MATCH(Players!$AE255,'Euro Qual stats'!$A$1:$A$2071,0),MATCH(Players!AG$2,'Euro Qual stats'!$A$1:$L$1,0)),0)</f>
        <v>0</v>
      </c>
      <c r="AH255" s="73">
        <f>IFERROR(INDEX('Euro Qual stats'!$A$1:$L$2071,MATCH(Players!$AE255,'Euro Qual stats'!$A$1:$A$2071,0),MATCH(Players!AH$2,'Euro Qual stats'!$A$1:$L$1,0)),0)</f>
        <v>0</v>
      </c>
      <c r="AI255" s="73">
        <f>IFERROR(INDEX('Euro Qual stats'!$A$1:$L$2071,MATCH(Players!$AE255,'Euro Qual stats'!$A$1:$A$2071,0),MATCH(Players!AI$2,'Euro Qual stats'!$A$1:$L$1,0)),0)</f>
        <v>0</v>
      </c>
      <c r="AJ255" s="93">
        <f>(12-AF255)/12*INDEX(BV$9:BV$12,MATCH($AB255,$BU$9:$BU$12,0))+AF255/12*AG255</f>
        <v>8.9175824175824203E-2</v>
      </c>
      <c r="AK255" s="93">
        <f>(12-AG255)/12*INDEX(BW$9:BW$12,MATCH($AB255,$BU$9:$BU$12,0))+AG255/12*AH255</f>
        <v>0.10357142857142858</v>
      </c>
      <c r="AL255" s="93">
        <f>(12-AH255)/12*INDEX(BX$9:BX$12,MATCH($AB255,$BU$9:$BU$12,0))+AH255/12*AI255</f>
        <v>0.19357142857142848</v>
      </c>
      <c r="AM255" s="93">
        <f>IF($BC255=1,AJ255/SUMIFS(AJ$3:AJ$623,$BC$3:$BC$623,1,$G$3:$G$623,$G255),0)</f>
        <v>0</v>
      </c>
      <c r="AN255" s="93">
        <f>IF($BC255=1,AK255/SUMIFS(AK$3:AK$623,$BC$3:$BC$623,1,$G$3:$G$623,$G255),0)</f>
        <v>0</v>
      </c>
      <c r="AO255" s="93">
        <f>IF($BC255=1,AL255/SUMIFS(AL$3:AL$623,$BC$3:$BC$623,1,$G$3:$G$623,$G255),0)</f>
        <v>0</v>
      </c>
      <c r="AP255" s="2">
        <f>IFERROR(R255/$V255*90,"")</f>
        <v>0.34558420186505756</v>
      </c>
      <c r="AQ255" s="2">
        <f>IFERROR(S255/$V255*90,"")</f>
        <v>0.14810751508502468</v>
      </c>
      <c r="AR255" s="2">
        <f>IFERROR(W255/$V255*90,"")</f>
        <v>1.0367526055951728</v>
      </c>
      <c r="AS255" s="2">
        <f>IFERROR(X255/$V255*90,"")</f>
        <v>4.9369171695008228E-2</v>
      </c>
      <c r="AT255" s="2">
        <f>IFERROR(Y255/$V255*90,"")</f>
        <v>0</v>
      </c>
      <c r="AU255" s="2">
        <f>IF(AP255="",INDEX(BV$4:BV$7,MATCH(O255,$BU$4:$BU$7,0)),AP255)</f>
        <v>0.34558420186505756</v>
      </c>
      <c r="AV255" s="2">
        <f>IF(AQ255="",INDEX(BW$4:BW$7,MATCH($O255,$BU$4:$BU$7,0)),AQ255)</f>
        <v>0.14810751508502468</v>
      </c>
      <c r="AW255" s="2">
        <f t="shared" si="36"/>
        <v>1.0367526055951728</v>
      </c>
      <c r="AX255" s="2">
        <f t="shared" si="37"/>
        <v>4.9369171695008228E-2</v>
      </c>
      <c r="AY255" s="2">
        <f t="shared" si="38"/>
        <v>0</v>
      </c>
      <c r="AZ255" s="2">
        <f>AU255*0.5+AK255*0.5</f>
        <v>0.22457781521824308</v>
      </c>
      <c r="BA255" s="2">
        <f>AV255*0.5+AJ255*0.5</f>
        <v>0.11864166963042444</v>
      </c>
      <c r="BB255" s="2">
        <f t="shared" si="39"/>
        <v>2.4684585847504114E-2</v>
      </c>
      <c r="BC255">
        <f>IF(I255="expected",1,0)</f>
        <v>0</v>
      </c>
      <c r="BD255" s="78">
        <f>IF(BC255=1,AZ255/SUMIFS(AZ$3:AZ$623,$BC$3:$BC$623,1,$G$3:$G$623,$G255),0)</f>
        <v>0</v>
      </c>
      <c r="BE255" s="78">
        <f>IF(BC255=1,BA255/SUMIFS(BA$3:BA$623,$BC$3:$BC$623,1,$G$3:$G$623,$G255),0)</f>
        <v>0</v>
      </c>
      <c r="BF255" s="78">
        <f t="shared" si="40"/>
        <v>0</v>
      </c>
      <c r="BG255" s="2">
        <f t="shared" si="41"/>
        <v>2.4684585847504114E-2</v>
      </c>
      <c r="BH255" s="2">
        <f t="shared" si="42"/>
        <v>0</v>
      </c>
      <c r="BI255" s="2">
        <f t="shared" si="43"/>
        <v>0</v>
      </c>
      <c r="BJ255" s="2">
        <f t="shared" si="44"/>
        <v>0</v>
      </c>
      <c r="BK255" s="2">
        <f t="shared" si="45"/>
        <v>0</v>
      </c>
      <c r="BL255" s="2">
        <f t="shared" si="46"/>
        <v>2.4684585847504114E-2</v>
      </c>
      <c r="BM255" s="2">
        <f t="shared" si="47"/>
        <v>0</v>
      </c>
      <c r="BN255" s="2">
        <f>BI255/SUMIFS(BI$3:BI$623,$BC$3:$BC$623,1,$G$3:$G$623,$G255)</f>
        <v>0</v>
      </c>
      <c r="BO255" s="2">
        <f>BJ255/SUMIFS(BJ$3:BJ$623,$BC$3:$BC$623,1,$G$3:$G$623,$G255)</f>
        <v>0</v>
      </c>
      <c r="BP255" s="2">
        <f>BK255/SUMIFS(BK$3:BK$623,$BC$3:$BC$623,1,$G$3:$G$623,$G255)</f>
        <v>0</v>
      </c>
      <c r="BQ255" s="2">
        <f>BL255</f>
        <v>2.4684585847504114E-2</v>
      </c>
      <c r="BR255" s="2">
        <f>BM255</f>
        <v>0</v>
      </c>
    </row>
    <row r="256" spans="1:70" hidden="1">
      <c r="A256" s="74">
        <v>0</v>
      </c>
      <c r="B256" s="73">
        <v>220781</v>
      </c>
      <c r="C256" s="73" t="s">
        <v>2000</v>
      </c>
      <c r="D256" s="73" t="s">
        <v>2001</v>
      </c>
      <c r="E256" s="73" t="s">
        <v>2002</v>
      </c>
      <c r="F256" s="73">
        <v>18658</v>
      </c>
      <c r="G256" s="73" t="s">
        <v>863</v>
      </c>
      <c r="H256" s="73" t="s">
        <v>939</v>
      </c>
      <c r="I256" s="73" t="s">
        <v>1012</v>
      </c>
      <c r="J256" s="73">
        <v>0</v>
      </c>
      <c r="K256" s="73">
        <v>5</v>
      </c>
      <c r="L256" s="73">
        <v>0</v>
      </c>
      <c r="M256" s="73">
        <v>0</v>
      </c>
      <c r="N256" s="73">
        <v>0</v>
      </c>
      <c r="O256" s="73" t="s">
        <v>1318</v>
      </c>
      <c r="P256" s="73" t="s">
        <v>2003</v>
      </c>
      <c r="Q256" s="73" t="s">
        <v>2003</v>
      </c>
      <c r="R256" s="73">
        <v>2</v>
      </c>
      <c r="S256" s="73">
        <v>0</v>
      </c>
      <c r="T256" s="73">
        <v>0</v>
      </c>
      <c r="U256" s="73">
        <v>7</v>
      </c>
      <c r="V256" s="73">
        <v>2541</v>
      </c>
      <c r="W256" s="73">
        <v>8</v>
      </c>
      <c r="X256" s="73">
        <v>10</v>
      </c>
      <c r="Y256" s="73">
        <v>0</v>
      </c>
      <c r="Z256" s="73" t="s">
        <v>1054</v>
      </c>
      <c r="AA256" s="73" t="s">
        <v>692</v>
      </c>
      <c r="AB256" s="73" t="str">
        <f>IF(AA256&lt;&gt;"",INDEX(Lookup!$N$2:$N$5,MATCH(Players!AA256,Lookup!$P$2:$P$5,0)),INDEX(Lookup!$N$2:$N$5,MATCH(Players!O256,Lookup!$O$2:$O$5,0)))</f>
        <v>Defense</v>
      </c>
      <c r="AC256" s="73">
        <v>2500000</v>
      </c>
      <c r="AD256" s="73" t="s">
        <v>791</v>
      </c>
      <c r="AE256" s="73" t="str">
        <f>INDEX('Translate table'!$H$2:$H$622,MATCH(Players!P256,'Translate table'!$G$2:$G$622,0))</f>
        <v>RafaÅ‚ Gikiewicz</v>
      </c>
      <c r="AF256" s="73">
        <f>IFERROR(INDEX('Euro Qual stats'!$A$1:$L$2071,MATCH(Players!$AE256,'Euro Qual stats'!$A$1:$A$2071,0),MATCH(Players!AF$2,'Euro Qual stats'!$A$1:$L$1,0)),0)</f>
        <v>0</v>
      </c>
      <c r="AG256" s="73">
        <f>IFERROR(INDEX('Euro Qual stats'!$A$1:$L$2071,MATCH(Players!$AE256,'Euro Qual stats'!$A$1:$A$2071,0),MATCH(Players!AG$2,'Euro Qual stats'!$A$1:$L$1,0)),0)</f>
        <v>0</v>
      </c>
      <c r="AH256" s="73">
        <f>IFERROR(INDEX('Euro Qual stats'!$A$1:$L$2071,MATCH(Players!$AE256,'Euro Qual stats'!$A$1:$A$2071,0),MATCH(Players!AH$2,'Euro Qual stats'!$A$1:$L$1,0)),0)</f>
        <v>0</v>
      </c>
      <c r="AI256" s="73">
        <f>IFERROR(INDEX('Euro Qual stats'!$A$1:$L$2071,MATCH(Players!$AE256,'Euro Qual stats'!$A$1:$A$2071,0),MATCH(Players!AI$2,'Euro Qual stats'!$A$1:$L$1,0)),0)</f>
        <v>0</v>
      </c>
      <c r="AJ256" s="93">
        <f>(12-AF256)/12*INDEX(BV$9:BV$12,MATCH($AB256,$BU$9:$BU$12,0))+AF256/12*AG256</f>
        <v>8.9175824175824203E-2</v>
      </c>
      <c r="AK256" s="93">
        <f>(12-AG256)/12*INDEX(BW$9:BW$12,MATCH($AB256,$BU$9:$BU$12,0))+AG256/12*AH256</f>
        <v>0.10357142857142858</v>
      </c>
      <c r="AL256" s="93">
        <f>(12-AH256)/12*INDEX(BX$9:BX$12,MATCH($AB256,$BU$9:$BU$12,0))+AH256/12*AI256</f>
        <v>0.19357142857142848</v>
      </c>
      <c r="AM256" s="93">
        <f>IF($BC256=1,AJ256/SUMIFS(AJ$3:AJ$623,$BC$3:$BC$623,1,$G$3:$G$623,$G256),0)</f>
        <v>0</v>
      </c>
      <c r="AN256" s="93">
        <f>IF($BC256=1,AK256/SUMIFS(AK$3:AK$623,$BC$3:$BC$623,1,$G$3:$G$623,$G256),0)</f>
        <v>0</v>
      </c>
      <c r="AO256" s="93">
        <f>IF($BC256=1,AL256/SUMIFS(AL$3:AL$623,$BC$3:$BC$623,1,$G$3:$G$623,$G256),0)</f>
        <v>0</v>
      </c>
      <c r="AP256" s="2">
        <f>IFERROR(R256/$V256*90,"")</f>
        <v>7.0838252656434467E-2</v>
      </c>
      <c r="AQ256" s="2">
        <f>IFERROR(S256/$V256*90,"")</f>
        <v>0</v>
      </c>
      <c r="AR256" s="2">
        <f>IFERROR(W256/$V256*90,"")</f>
        <v>0.28335301062573787</v>
      </c>
      <c r="AS256" s="2">
        <f>IFERROR(X256/$V256*90,"")</f>
        <v>0.35419126328217237</v>
      </c>
      <c r="AT256" s="2">
        <f>IFERROR(Y256/$V256*90,"")</f>
        <v>0</v>
      </c>
      <c r="AU256" s="2">
        <f>IF(AP256="",INDEX(BV$4:BV$7,MATCH(O256,$BU$4:$BU$7,0)),AP256)</f>
        <v>7.0838252656434467E-2</v>
      </c>
      <c r="AV256" s="2">
        <f>IF(AQ256="",INDEX(BW$4:BW$7,MATCH($O256,$BU$4:$BU$7,0)),AQ256)</f>
        <v>0</v>
      </c>
      <c r="AW256" s="2">
        <f t="shared" si="36"/>
        <v>0.28335301062573787</v>
      </c>
      <c r="AX256" s="2">
        <f t="shared" si="37"/>
        <v>0.35419126328217237</v>
      </c>
      <c r="AY256" s="2">
        <f t="shared" si="38"/>
        <v>0</v>
      </c>
      <c r="AZ256" s="2">
        <f>AU256*0.5+AK256*0.5</f>
        <v>8.7204840613931522E-2</v>
      </c>
      <c r="BA256" s="2">
        <f>AV256*0.5+AJ256*0.5</f>
        <v>4.4587912087912102E-2</v>
      </c>
      <c r="BB256" s="2">
        <f t="shared" si="39"/>
        <v>0.17709563164108619</v>
      </c>
      <c r="BC256">
        <f>IF(I256="expected",1,0)</f>
        <v>0</v>
      </c>
      <c r="BD256" s="78">
        <f>IF(BC256=1,AZ256/SUMIFS(AZ$3:AZ$623,$BC$3:$BC$623,1,$G$3:$G$623,$G256),0)</f>
        <v>0</v>
      </c>
      <c r="BE256" s="78">
        <f>IF(BC256=1,BA256/SUMIFS(BA$3:BA$623,$BC$3:$BC$623,1,$G$3:$G$623,$G256),0)</f>
        <v>0</v>
      </c>
      <c r="BF256" s="78">
        <f t="shared" si="40"/>
        <v>0</v>
      </c>
      <c r="BG256" s="2">
        <f t="shared" si="41"/>
        <v>0.17709563164108619</v>
      </c>
      <c r="BH256" s="2">
        <f t="shared" si="42"/>
        <v>0</v>
      </c>
      <c r="BI256" s="2">
        <f t="shared" si="43"/>
        <v>0</v>
      </c>
      <c r="BJ256" s="2">
        <f t="shared" si="44"/>
        <v>0</v>
      </c>
      <c r="BK256" s="2">
        <f t="shared" si="45"/>
        <v>0</v>
      </c>
      <c r="BL256" s="2">
        <f t="shared" si="46"/>
        <v>0.17709563164108619</v>
      </c>
      <c r="BM256" s="2">
        <f t="shared" si="47"/>
        <v>0</v>
      </c>
      <c r="BN256" s="2">
        <f>BI256/SUMIFS(BI$3:BI$623,$BC$3:$BC$623,1,$G$3:$G$623,$G256)</f>
        <v>0</v>
      </c>
      <c r="BO256" s="2">
        <f>BJ256/SUMIFS(BJ$3:BJ$623,$BC$3:$BC$623,1,$G$3:$G$623,$G256)</f>
        <v>0</v>
      </c>
      <c r="BP256" s="2">
        <f>BK256/SUMIFS(BK$3:BK$623,$BC$3:$BC$623,1,$G$3:$G$623,$G256)</f>
        <v>0</v>
      </c>
      <c r="BQ256" s="2">
        <f>BL256</f>
        <v>0.17709563164108619</v>
      </c>
      <c r="BR256" s="2">
        <f>BM256</f>
        <v>0</v>
      </c>
    </row>
    <row r="257" spans="1:70" hidden="1">
      <c r="A257" s="74">
        <v>0</v>
      </c>
      <c r="B257" s="73">
        <v>220769</v>
      </c>
      <c r="C257" s="73" t="s">
        <v>2004</v>
      </c>
      <c r="D257" s="73" t="s">
        <v>2005</v>
      </c>
      <c r="E257" s="73" t="s">
        <v>2006</v>
      </c>
      <c r="F257" s="73">
        <v>18743</v>
      </c>
      <c r="G257" s="73" t="s">
        <v>871</v>
      </c>
      <c r="H257" s="73" t="s">
        <v>945</v>
      </c>
      <c r="I257" s="73" t="s">
        <v>1012</v>
      </c>
      <c r="J257" s="73">
        <v>0</v>
      </c>
      <c r="K257" s="73">
        <v>5</v>
      </c>
      <c r="L257" s="73">
        <v>0</v>
      </c>
      <c r="M257" s="73">
        <v>0</v>
      </c>
      <c r="N257" s="73">
        <v>0</v>
      </c>
      <c r="O257" s="73" t="s">
        <v>1290</v>
      </c>
      <c r="P257" s="73" t="s">
        <v>2007</v>
      </c>
      <c r="Q257" s="73" t="s">
        <v>2007</v>
      </c>
      <c r="R257" s="73">
        <v>0</v>
      </c>
      <c r="S257" s="73">
        <v>0</v>
      </c>
      <c r="T257" s="73">
        <v>13</v>
      </c>
      <c r="U257" s="73">
        <v>0</v>
      </c>
      <c r="V257" s="73">
        <v>540</v>
      </c>
      <c r="W257" s="73">
        <v>0</v>
      </c>
      <c r="X257" s="73">
        <v>0</v>
      </c>
      <c r="Y257" s="73">
        <v>0</v>
      </c>
      <c r="Z257" s="73" t="s">
        <v>995</v>
      </c>
      <c r="AA257" s="73" t="s">
        <v>690</v>
      </c>
      <c r="AB257" s="73" t="str">
        <f>IF(AA257&lt;&gt;"",INDEX(Lookup!$N$2:$N$5,MATCH(Players!AA257,Lookup!$P$2:$P$5,0)),INDEX(Lookup!$N$2:$N$5,MATCH(Players!O257,Lookup!$O$2:$O$5,0)))</f>
        <v>Goalkeeper</v>
      </c>
      <c r="AC257" s="73">
        <v>5000000</v>
      </c>
      <c r="AD257" s="73" t="s">
        <v>753</v>
      </c>
      <c r="AE257" s="73" t="str">
        <f>INDEX('Translate table'!$H$2:$H$622,MATCH(Players!P257,'Translate table'!$G$2:$G$622,0))</f>
        <v>Matz Sels</v>
      </c>
      <c r="AF257" s="73">
        <f>IFERROR(INDEX('Euro Qual stats'!$A$1:$L$2071,MATCH(Players!$AE257,'Euro Qual stats'!$A$1:$A$2071,0),MATCH(Players!AF$2,'Euro Qual stats'!$A$1:$L$1,0)),0)</f>
        <v>0</v>
      </c>
      <c r="AG257" s="73">
        <f>IFERROR(INDEX('Euro Qual stats'!$A$1:$L$2071,MATCH(Players!$AE257,'Euro Qual stats'!$A$1:$A$2071,0),MATCH(Players!AG$2,'Euro Qual stats'!$A$1:$L$1,0)),0)</f>
        <v>0</v>
      </c>
      <c r="AH257" s="73">
        <f>IFERROR(INDEX('Euro Qual stats'!$A$1:$L$2071,MATCH(Players!$AE257,'Euro Qual stats'!$A$1:$A$2071,0),MATCH(Players!AH$2,'Euro Qual stats'!$A$1:$L$1,0)),0)</f>
        <v>0</v>
      </c>
      <c r="AI257" s="73">
        <f>IFERROR(INDEX('Euro Qual stats'!$A$1:$L$2071,MATCH(Players!$AE257,'Euro Qual stats'!$A$1:$A$2071,0),MATCH(Players!AI$2,'Euro Qual stats'!$A$1:$L$1,0)),0)</f>
        <v>0</v>
      </c>
      <c r="AJ257" s="93">
        <f>(12-AF257)/12*INDEX(BV$9:BV$12,MATCH($AB257,$BU$9:$BU$12,0))+AF257/12*AG257</f>
        <v>0</v>
      </c>
      <c r="AK257" s="93">
        <f>(12-AG257)/12*INDEX(BW$9:BW$12,MATCH($AB257,$BU$9:$BU$12,0))+AG257/12*AH257</f>
        <v>0</v>
      </c>
      <c r="AL257" s="93">
        <f>(12-AH257)/12*INDEX(BX$9:BX$12,MATCH($AB257,$BU$9:$BU$12,0))+AH257/12*AI257</f>
        <v>0</v>
      </c>
      <c r="AM257" s="93">
        <f>IF($BC257=1,AJ257/SUMIFS(AJ$3:AJ$623,$BC$3:$BC$623,1,$G$3:$G$623,$G257),0)</f>
        <v>0</v>
      </c>
      <c r="AN257" s="93">
        <f>IF($BC257=1,AK257/SUMIFS(AK$3:AK$623,$BC$3:$BC$623,1,$G$3:$G$623,$G257),0)</f>
        <v>0</v>
      </c>
      <c r="AO257" s="93">
        <f>IF($BC257=1,AL257/SUMIFS(AL$3:AL$623,$BC$3:$BC$623,1,$G$3:$G$623,$G257),0)</f>
        <v>0</v>
      </c>
      <c r="AP257" s="2">
        <f>IFERROR(R257/$V257*90,"")</f>
        <v>0</v>
      </c>
      <c r="AQ257" s="2">
        <f>IFERROR(S257/$V257*90,"")</f>
        <v>0</v>
      </c>
      <c r="AR257" s="2">
        <f>IFERROR(W257/$V257*90,"")</f>
        <v>0</v>
      </c>
      <c r="AS257" s="2">
        <f>IFERROR(X257/$V257*90,"")</f>
        <v>0</v>
      </c>
      <c r="AT257" s="2">
        <f>IFERROR(Y257/$V257*90,"")</f>
        <v>0</v>
      </c>
      <c r="AU257" s="2">
        <f>IF(AP257="",INDEX(BV$4:BV$7,MATCH(O257,$BU$4:$BU$7,0)),AP257)</f>
        <v>0</v>
      </c>
      <c r="AV257" s="2">
        <f>IF(AQ257="",INDEX(BW$4:BW$7,MATCH($O257,$BU$4:$BU$7,0)),AQ257)</f>
        <v>0</v>
      </c>
      <c r="AW257" s="2">
        <f t="shared" si="36"/>
        <v>0</v>
      </c>
      <c r="AX257" s="2">
        <f t="shared" si="37"/>
        <v>0</v>
      </c>
      <c r="AY257" s="2">
        <f t="shared" si="38"/>
        <v>0</v>
      </c>
      <c r="AZ257" s="2">
        <f>AU257*0.5+AK257*0.5</f>
        <v>0</v>
      </c>
      <c r="BA257" s="2">
        <f>AV257*0.5+AJ257*0.5</f>
        <v>0</v>
      </c>
      <c r="BB257" s="2">
        <f t="shared" si="39"/>
        <v>0</v>
      </c>
      <c r="BC257">
        <f>IF(I257="expected",1,0)</f>
        <v>0</v>
      </c>
      <c r="BD257" s="78">
        <f>IF(BC257=1,AZ257/SUMIFS(AZ$3:AZ$623,$BC$3:$BC$623,1,$G$3:$G$623,$G257),0)</f>
        <v>0</v>
      </c>
      <c r="BE257" s="78">
        <f>IF(BC257=1,BA257/SUMIFS(BA$3:BA$623,$BC$3:$BC$623,1,$G$3:$G$623,$G257),0)</f>
        <v>0</v>
      </c>
      <c r="BF257" s="78">
        <f t="shared" si="40"/>
        <v>0</v>
      </c>
      <c r="BG257" s="2">
        <f t="shared" si="41"/>
        <v>0</v>
      </c>
      <c r="BH257" s="2">
        <f t="shared" si="42"/>
        <v>0</v>
      </c>
      <c r="BI257" s="2">
        <f t="shared" si="43"/>
        <v>0</v>
      </c>
      <c r="BJ257" s="2">
        <f t="shared" si="44"/>
        <v>0</v>
      </c>
      <c r="BK257" s="2">
        <f t="shared" si="45"/>
        <v>0</v>
      </c>
      <c r="BL257" s="2">
        <f t="shared" si="46"/>
        <v>0</v>
      </c>
      <c r="BM257" s="2">
        <f t="shared" si="47"/>
        <v>0</v>
      </c>
      <c r="BN257" s="2">
        <f>BI257/SUMIFS(BI$3:BI$623,$BC$3:$BC$623,1,$G$3:$G$623,$G257)</f>
        <v>0</v>
      </c>
      <c r="BO257" s="2">
        <f>BJ257/SUMIFS(BJ$3:BJ$623,$BC$3:$BC$623,1,$G$3:$G$623,$G257)</f>
        <v>0</v>
      </c>
      <c r="BP257" s="2">
        <f>BK257/SUMIFS(BK$3:BK$623,$BC$3:$BC$623,1,$G$3:$G$623,$G257)</f>
        <v>0</v>
      </c>
      <c r="BQ257" s="2">
        <f>BL257</f>
        <v>0</v>
      </c>
      <c r="BR257" s="2">
        <f>BM257</f>
        <v>0</v>
      </c>
    </row>
    <row r="258" spans="1:70" hidden="1">
      <c r="A258" s="74">
        <v>0</v>
      </c>
      <c r="B258" s="73">
        <v>213411</v>
      </c>
      <c r="C258" s="73" t="s">
        <v>2008</v>
      </c>
      <c r="D258" s="73" t="s">
        <v>1518</v>
      </c>
      <c r="E258" s="73" t="s">
        <v>2009</v>
      </c>
      <c r="F258" s="73">
        <v>18743</v>
      </c>
      <c r="G258" s="73" t="s">
        <v>871</v>
      </c>
      <c r="H258" s="73" t="s">
        <v>945</v>
      </c>
      <c r="I258" s="73" t="s">
        <v>981</v>
      </c>
      <c r="J258" s="73">
        <v>0</v>
      </c>
      <c r="K258" s="73">
        <v>5</v>
      </c>
      <c r="L258" s="73">
        <v>0</v>
      </c>
      <c r="M258" s="73">
        <v>0</v>
      </c>
      <c r="N258" s="73">
        <v>0</v>
      </c>
      <c r="O258" s="73" t="s">
        <v>1318</v>
      </c>
      <c r="P258" s="73" t="s">
        <v>2010</v>
      </c>
      <c r="Q258" s="73" t="s">
        <v>1520</v>
      </c>
      <c r="R258" s="73">
        <v>1</v>
      </c>
      <c r="S258" s="73">
        <v>3</v>
      </c>
      <c r="T258" s="73">
        <v>0</v>
      </c>
      <c r="U258" s="73">
        <v>0</v>
      </c>
      <c r="V258" s="73">
        <v>1373</v>
      </c>
      <c r="W258" s="73">
        <v>11</v>
      </c>
      <c r="X258" s="73">
        <v>4</v>
      </c>
      <c r="Y258" s="73">
        <v>0</v>
      </c>
      <c r="Z258" s="73" t="s">
        <v>995</v>
      </c>
      <c r="AA258" s="73" t="s">
        <v>692</v>
      </c>
      <c r="AB258" s="73" t="str">
        <f>IF(AA258&lt;&gt;"",INDEX(Lookup!$N$2:$N$5,MATCH(Players!AA258,Lookup!$P$2:$P$5,0)),INDEX(Lookup!$N$2:$N$5,MATCH(Players!O258,Lookup!$O$2:$O$5,0)))</f>
        <v>Defense</v>
      </c>
      <c r="AC258" s="73">
        <v>4000000</v>
      </c>
      <c r="AD258" s="73" t="s">
        <v>792</v>
      </c>
      <c r="AE258" s="73" t="str">
        <f>INDEX('Translate table'!$H$2:$H$622,MATCH(Players!P258,'Translate table'!$G$2:$G$622,0))</f>
        <v>Thomas Vermaelen</v>
      </c>
      <c r="AF258" s="73">
        <f>IFERROR(INDEX('Euro Qual stats'!$A$1:$L$2071,MATCH(Players!$AE258,'Euro Qual stats'!$A$1:$A$2071,0),MATCH(Players!AF$2,'Euro Qual stats'!$A$1:$L$1,0)),0)</f>
        <v>7</v>
      </c>
      <c r="AG258" s="73">
        <f>IFERROR(INDEX('Euro Qual stats'!$A$1:$L$2071,MATCH(Players!$AE258,'Euro Qual stats'!$A$1:$A$2071,0),MATCH(Players!AG$2,'Euro Qual stats'!$A$1:$L$1,0)),0)</f>
        <v>0</v>
      </c>
      <c r="AH258" s="73">
        <f>IFERROR(INDEX('Euro Qual stats'!$A$1:$L$2071,MATCH(Players!$AE258,'Euro Qual stats'!$A$1:$A$2071,0),MATCH(Players!AH$2,'Euro Qual stats'!$A$1:$L$1,0)),0)</f>
        <v>0.21</v>
      </c>
      <c r="AI258" s="73">
        <f>IFERROR(INDEX('Euro Qual stats'!$A$1:$L$2071,MATCH(Players!$AE258,'Euro Qual stats'!$A$1:$A$2071,0),MATCH(Players!AI$2,'Euro Qual stats'!$A$1:$L$1,0)),0)</f>
        <v>0.21</v>
      </c>
      <c r="AJ258" s="93">
        <f>(12-AF258)/12*INDEX(BV$9:BV$12,MATCH($AB258,$BU$9:$BU$12,0))+AF258/12*AG258</f>
        <v>3.715659340659342E-2</v>
      </c>
      <c r="AK258" s="93">
        <f>(12-AG258)/12*INDEX(BW$9:BW$12,MATCH($AB258,$BU$9:$BU$12,0))+AG258/12*AH258</f>
        <v>0.10357142857142858</v>
      </c>
      <c r="AL258" s="93">
        <f>(12-AH258)/12*INDEX(BX$9:BX$12,MATCH($AB258,$BU$9:$BU$12,0))+AH258/12*AI258</f>
        <v>0.19385892857142847</v>
      </c>
      <c r="AM258" s="93">
        <f>IF($BC258=1,AJ258/SUMIFS(AJ$3:AJ$623,$BC$3:$BC$623,1,$G$3:$G$623,$G258),0)</f>
        <v>1.6132660828330658E-2</v>
      </c>
      <c r="AN258" s="93">
        <f>IF($BC258=1,AK258/SUMIFS(AK$3:AK$623,$BC$3:$BC$623,1,$G$3:$G$623,$G258),0)</f>
        <v>4.1555769875923902E-2</v>
      </c>
      <c r="AO258" s="93">
        <f>IF($BC258=1,AL258/SUMIFS(AL$3:AL$623,$BC$3:$BC$623,1,$G$3:$G$623,$G258),0)</f>
        <v>9.632423574097293E-2</v>
      </c>
      <c r="AP258" s="2">
        <f>IFERROR(R258/$V258*90,"")</f>
        <v>6.5549890750182083E-2</v>
      </c>
      <c r="AQ258" s="2">
        <f>IFERROR(S258/$V258*90,"")</f>
        <v>0.19664967225054625</v>
      </c>
      <c r="AR258" s="2">
        <f>IFERROR(W258/$V258*90,"")</f>
        <v>0.72104879825200296</v>
      </c>
      <c r="AS258" s="2">
        <f>IFERROR(X258/$V258*90,"")</f>
        <v>0.26219956300072833</v>
      </c>
      <c r="AT258" s="2">
        <f>IFERROR(Y258/$V258*90,"")</f>
        <v>0</v>
      </c>
      <c r="AU258" s="2">
        <f>IF(AP258="",INDEX(BV$4:BV$7,MATCH(O258,$BU$4:$BU$7,0)),AP258)</f>
        <v>6.5549890750182083E-2</v>
      </c>
      <c r="AV258" s="2">
        <f>IF(AQ258="",INDEX(BW$4:BW$7,MATCH($O258,$BU$4:$BU$7,0)),AQ258)</f>
        <v>0.19664967225054625</v>
      </c>
      <c r="AW258" s="2">
        <f t="shared" si="36"/>
        <v>0.72104879825200296</v>
      </c>
      <c r="AX258" s="2">
        <f t="shared" si="37"/>
        <v>0.26219956300072833</v>
      </c>
      <c r="AY258" s="2">
        <f t="shared" si="38"/>
        <v>0</v>
      </c>
      <c r="AZ258" s="2">
        <f>AU258*0.5+AK258*0.5</f>
        <v>8.4560659660805337E-2</v>
      </c>
      <c r="BA258" s="2">
        <f>AV258*0.5+AJ258*0.5</f>
        <v>0.11690313282856983</v>
      </c>
      <c r="BB258" s="2">
        <f t="shared" si="39"/>
        <v>0.23609978150036415</v>
      </c>
      <c r="BC258">
        <f>IF(I258="expected",1,0)</f>
        <v>1</v>
      </c>
      <c r="BD258" s="78">
        <f>IF(BC258=1,AZ258/SUMIFS(AZ$3:AZ$623,$BC$3:$BC$623,1,$G$3:$G$623,$G258),0)</f>
        <v>3.4119864480853905E-2</v>
      </c>
      <c r="BE258" s="78">
        <f>IF(BC258=1,BA258/SUMIFS(BA$3:BA$623,$BC$3:$BC$623,1,$G$3:$G$623,$G258),0)</f>
        <v>5.3257447316704676E-2</v>
      </c>
      <c r="BF258" s="78">
        <f t="shared" si="40"/>
        <v>0.10693765581074202</v>
      </c>
      <c r="BG258" s="2">
        <f t="shared" si="41"/>
        <v>0.23609978150036415</v>
      </c>
      <c r="BH258" s="2">
        <f t="shared" si="42"/>
        <v>0</v>
      </c>
      <c r="BI258" s="2">
        <f t="shared" si="43"/>
        <v>3.4119864480853905E-2</v>
      </c>
      <c r="BJ258" s="2">
        <f t="shared" si="44"/>
        <v>5.3257447316704676E-2</v>
      </c>
      <c r="BK258" s="2">
        <f t="shared" si="45"/>
        <v>0.10693765581074202</v>
      </c>
      <c r="BL258" s="2">
        <f t="shared" si="46"/>
        <v>0.23609978150036415</v>
      </c>
      <c r="BM258" s="2">
        <f t="shared" si="47"/>
        <v>0</v>
      </c>
      <c r="BN258" s="2">
        <f>BI258/SUMIFS(BI$3:BI$623,$BC$3:$BC$623,1,$G$3:$G$623,$G258)</f>
        <v>3.4119864480853912E-2</v>
      </c>
      <c r="BO258" s="2">
        <f>BJ258/SUMIFS(BJ$3:BJ$623,$BC$3:$BC$623,1,$G$3:$G$623,$G258)</f>
        <v>5.3257447316704683E-2</v>
      </c>
      <c r="BP258" s="2">
        <f>BK258/SUMIFS(BK$3:BK$623,$BC$3:$BC$623,1,$G$3:$G$623,$G258)</f>
        <v>0.10693765581074199</v>
      </c>
      <c r="BQ258" s="2">
        <f>BL258</f>
        <v>0.23609978150036415</v>
      </c>
      <c r="BR258" s="2">
        <f>BM258</f>
        <v>0</v>
      </c>
    </row>
    <row r="259" spans="1:70" hidden="1">
      <c r="A259" s="74">
        <v>0</v>
      </c>
      <c r="B259" s="73">
        <v>204561</v>
      </c>
      <c r="C259" s="73" t="s">
        <v>2011</v>
      </c>
      <c r="D259" s="73" t="s">
        <v>1274</v>
      </c>
      <c r="E259" s="73" t="s">
        <v>2012</v>
      </c>
      <c r="F259" s="73">
        <v>18694</v>
      </c>
      <c r="G259" s="73" t="s">
        <v>876</v>
      </c>
      <c r="H259" s="73" t="s">
        <v>909</v>
      </c>
      <c r="I259" s="73" t="s">
        <v>1012</v>
      </c>
      <c r="J259" s="73">
        <v>0</v>
      </c>
      <c r="K259" s="73">
        <v>5</v>
      </c>
      <c r="L259" s="73">
        <v>0</v>
      </c>
      <c r="M259" s="73">
        <v>0</v>
      </c>
      <c r="N259" s="73">
        <v>0</v>
      </c>
      <c r="O259" s="73" t="s">
        <v>1290</v>
      </c>
      <c r="P259" s="73" t="s">
        <v>2013</v>
      </c>
      <c r="Q259" s="73" t="s">
        <v>2014</v>
      </c>
      <c r="R259" s="73">
        <v>0</v>
      </c>
      <c r="S259" s="73">
        <v>0</v>
      </c>
      <c r="T259" s="73">
        <v>0</v>
      </c>
      <c r="U259" s="73">
        <v>0</v>
      </c>
      <c r="V259" s="73">
        <v>90</v>
      </c>
      <c r="W259" s="73">
        <v>1</v>
      </c>
      <c r="X259" s="73">
        <v>0</v>
      </c>
      <c r="Y259" s="73">
        <v>0</v>
      </c>
      <c r="Z259" s="73" t="s">
        <v>1095</v>
      </c>
      <c r="AA259" s="73" t="s">
        <v>690</v>
      </c>
      <c r="AB259" s="73" t="str">
        <f>IF(AA259&lt;&gt;"",INDEX(Lookup!$N$2:$N$5,MATCH(Players!AA259,Lookup!$P$2:$P$5,0)),INDEX(Lookup!$N$2:$N$5,MATCH(Players!O259,Lookup!$O$2:$O$5,0)))</f>
        <v>Goalkeeper</v>
      </c>
      <c r="AC259" s="73">
        <v>4500000</v>
      </c>
      <c r="AD259" s="73" t="s">
        <v>788</v>
      </c>
      <c r="AE259" s="73" t="str">
        <f>INDEX('Translate table'!$H$2:$H$622,MATCH(Players!P259,'Translate table'!$G$2:$G$622,0))</f>
        <v>Marco Bizot</v>
      </c>
      <c r="AF259" s="73">
        <f>IFERROR(INDEX('Euro Qual stats'!$A$1:$L$2071,MATCH(Players!$AE259,'Euro Qual stats'!$A$1:$A$2071,0),MATCH(Players!AF$2,'Euro Qual stats'!$A$1:$L$1,0)),0)</f>
        <v>0</v>
      </c>
      <c r="AG259" s="73">
        <f>IFERROR(INDEX('Euro Qual stats'!$A$1:$L$2071,MATCH(Players!$AE259,'Euro Qual stats'!$A$1:$A$2071,0),MATCH(Players!AG$2,'Euro Qual stats'!$A$1:$L$1,0)),0)</f>
        <v>0</v>
      </c>
      <c r="AH259" s="73">
        <f>IFERROR(INDEX('Euro Qual stats'!$A$1:$L$2071,MATCH(Players!$AE259,'Euro Qual stats'!$A$1:$A$2071,0),MATCH(Players!AH$2,'Euro Qual stats'!$A$1:$L$1,0)),0)</f>
        <v>0</v>
      </c>
      <c r="AI259" s="73">
        <f>IFERROR(INDEX('Euro Qual stats'!$A$1:$L$2071,MATCH(Players!$AE259,'Euro Qual stats'!$A$1:$A$2071,0),MATCH(Players!AI$2,'Euro Qual stats'!$A$1:$L$1,0)),0)</f>
        <v>0</v>
      </c>
      <c r="AJ259" s="93">
        <f>(12-AF259)/12*INDEX(BV$9:BV$12,MATCH($AB259,$BU$9:$BU$12,0))+AF259/12*AG259</f>
        <v>0</v>
      </c>
      <c r="AK259" s="93">
        <f>(12-AG259)/12*INDEX(BW$9:BW$12,MATCH($AB259,$BU$9:$BU$12,0))+AG259/12*AH259</f>
        <v>0</v>
      </c>
      <c r="AL259" s="93">
        <f>(12-AH259)/12*INDEX(BX$9:BX$12,MATCH($AB259,$BU$9:$BU$12,0))+AH259/12*AI259</f>
        <v>0</v>
      </c>
      <c r="AM259" s="93">
        <f>IF($BC259=1,AJ259/SUMIFS(AJ$3:AJ$623,$BC$3:$BC$623,1,$G$3:$G$623,$G259),0)</f>
        <v>0</v>
      </c>
      <c r="AN259" s="93">
        <f>IF($BC259=1,AK259/SUMIFS(AK$3:AK$623,$BC$3:$BC$623,1,$G$3:$G$623,$G259),0)</f>
        <v>0</v>
      </c>
      <c r="AO259" s="93">
        <f>IF($BC259=1,AL259/SUMIFS(AL$3:AL$623,$BC$3:$BC$623,1,$G$3:$G$623,$G259),0)</f>
        <v>0</v>
      </c>
      <c r="AP259" s="2">
        <f>IFERROR(R259/$V259*90,"")</f>
        <v>0</v>
      </c>
      <c r="AQ259" s="2">
        <f>IFERROR(S259/$V259*90,"")</f>
        <v>0</v>
      </c>
      <c r="AR259" s="2">
        <f>IFERROR(W259/$V259*90,"")</f>
        <v>1</v>
      </c>
      <c r="AS259" s="2">
        <f>IFERROR(X259/$V259*90,"")</f>
        <v>0</v>
      </c>
      <c r="AT259" s="2">
        <f>IFERROR(Y259/$V259*90,"")</f>
        <v>0</v>
      </c>
      <c r="AU259" s="2">
        <f>IF(AP259="",INDEX(BV$4:BV$7,MATCH(O259,$BU$4:$BU$7,0)),AP259)</f>
        <v>0</v>
      </c>
      <c r="AV259" s="2">
        <f>IF(AQ259="",INDEX(BW$4:BW$7,MATCH($O259,$BU$4:$BU$7,0)),AQ259)</f>
        <v>0</v>
      </c>
      <c r="AW259" s="2">
        <f t="shared" si="36"/>
        <v>1</v>
      </c>
      <c r="AX259" s="2">
        <f t="shared" si="37"/>
        <v>0</v>
      </c>
      <c r="AY259" s="2">
        <f t="shared" si="38"/>
        <v>0</v>
      </c>
      <c r="AZ259" s="2">
        <f>AU259*0.5+AK259*0.5</f>
        <v>0</v>
      </c>
      <c r="BA259" s="2">
        <f>AV259*0.5+AJ259*0.5</f>
        <v>0</v>
      </c>
      <c r="BB259" s="2">
        <f t="shared" si="39"/>
        <v>0</v>
      </c>
      <c r="BC259">
        <f>IF(I259="expected",1,0)</f>
        <v>0</v>
      </c>
      <c r="BD259" s="78">
        <f>IF(BC259=1,AZ259/SUMIFS(AZ$3:AZ$623,$BC$3:$BC$623,1,$G$3:$G$623,$G259),0)</f>
        <v>0</v>
      </c>
      <c r="BE259" s="78">
        <f>IF(BC259=1,BA259/SUMIFS(BA$3:BA$623,$BC$3:$BC$623,1,$G$3:$G$623,$G259),0)</f>
        <v>0</v>
      </c>
      <c r="BF259" s="78">
        <f t="shared" si="40"/>
        <v>0</v>
      </c>
      <c r="BG259" s="2">
        <f t="shared" si="41"/>
        <v>0</v>
      </c>
      <c r="BH259" s="2">
        <f t="shared" si="42"/>
        <v>0</v>
      </c>
      <c r="BI259" s="2">
        <f t="shared" si="43"/>
        <v>0</v>
      </c>
      <c r="BJ259" s="2">
        <f t="shared" si="44"/>
        <v>0</v>
      </c>
      <c r="BK259" s="2">
        <f t="shared" si="45"/>
        <v>0</v>
      </c>
      <c r="BL259" s="2">
        <f t="shared" si="46"/>
        <v>0</v>
      </c>
      <c r="BM259" s="2">
        <f t="shared" si="47"/>
        <v>0</v>
      </c>
      <c r="BN259" s="2">
        <f>BI259/SUMIFS(BI$3:BI$623,$BC$3:$BC$623,1,$G$3:$G$623,$G259)</f>
        <v>0</v>
      </c>
      <c r="BO259" s="2">
        <f>BJ259/SUMIFS(BJ$3:BJ$623,$BC$3:$BC$623,1,$G$3:$G$623,$G259)</f>
        <v>0</v>
      </c>
      <c r="BP259" s="2">
        <f>BK259/SUMIFS(BK$3:BK$623,$BC$3:$BC$623,1,$G$3:$G$623,$G259)</f>
        <v>0</v>
      </c>
      <c r="BQ259" s="2">
        <f>BL259</f>
        <v>0</v>
      </c>
      <c r="BR259" s="2">
        <f>BM259</f>
        <v>0</v>
      </c>
    </row>
    <row r="260" spans="1:70" hidden="1">
      <c r="A260" s="74">
        <v>0</v>
      </c>
      <c r="B260" s="73">
        <v>220784</v>
      </c>
      <c r="C260" s="73" t="s">
        <v>2015</v>
      </c>
      <c r="D260" s="73" t="s">
        <v>2016</v>
      </c>
      <c r="E260" s="73" t="s">
        <v>2017</v>
      </c>
      <c r="F260" s="73">
        <v>18694</v>
      </c>
      <c r="G260" s="73" t="s">
        <v>876</v>
      </c>
      <c r="H260" s="73" t="s">
        <v>909</v>
      </c>
      <c r="I260" s="73" t="s">
        <v>1012</v>
      </c>
      <c r="J260" s="73">
        <v>0</v>
      </c>
      <c r="K260" s="73">
        <v>5</v>
      </c>
      <c r="L260" s="73">
        <v>0</v>
      </c>
      <c r="M260" s="73">
        <v>0</v>
      </c>
      <c r="N260" s="73">
        <v>0</v>
      </c>
      <c r="O260" s="73" t="s">
        <v>1318</v>
      </c>
      <c r="P260" s="73" t="s">
        <v>2018</v>
      </c>
      <c r="Q260" s="73" t="s">
        <v>1164</v>
      </c>
      <c r="R260" s="73"/>
      <c r="S260" s="73"/>
      <c r="T260" s="73"/>
      <c r="U260" s="73"/>
      <c r="V260" s="73"/>
      <c r="W260" s="73"/>
      <c r="X260" s="73"/>
      <c r="Y260" s="73"/>
      <c r="Z260" s="73" t="s">
        <v>1095</v>
      </c>
      <c r="AA260" s="73" t="s">
        <v>692</v>
      </c>
      <c r="AB260" s="73" t="str">
        <f>IF(AA260&lt;&gt;"",INDEX(Lookup!$N$2:$N$5,MATCH(Players!AA260,Lookup!$P$2:$P$5,0)),INDEX(Lookup!$N$2:$N$5,MATCH(Players!O260,Lookup!$O$2:$O$5,0)))</f>
        <v>Defense</v>
      </c>
      <c r="AC260" s="73">
        <v>2500000</v>
      </c>
      <c r="AD260" s="73" t="s">
        <v>802</v>
      </c>
      <c r="AE260" s="73" t="str">
        <f>INDEX('Translate table'!$H$2:$H$622,MATCH(Players!P260,'Translate table'!$G$2:$G$622,0))</f>
        <v>Jurgen Pisani</v>
      </c>
      <c r="AF260" s="73">
        <f>IFERROR(INDEX('Euro Qual stats'!$A$1:$L$2071,MATCH(Players!$AE260,'Euro Qual stats'!$A$1:$A$2071,0),MATCH(Players!AF$2,'Euro Qual stats'!$A$1:$L$1,0)),0)</f>
        <v>1</v>
      </c>
      <c r="AG260" s="73">
        <f>IFERROR(INDEX('Euro Qual stats'!$A$1:$L$2071,MATCH(Players!$AE260,'Euro Qual stats'!$A$1:$A$2071,0),MATCH(Players!AG$2,'Euro Qual stats'!$A$1:$L$1,0)),0)</f>
        <v>0</v>
      </c>
      <c r="AH260" s="73">
        <f>IFERROR(INDEX('Euro Qual stats'!$A$1:$L$2071,MATCH(Players!$AE260,'Euro Qual stats'!$A$1:$A$2071,0),MATCH(Players!AH$2,'Euro Qual stats'!$A$1:$L$1,0)),0)</f>
        <v>0</v>
      </c>
      <c r="AI260" s="73">
        <f>IFERROR(INDEX('Euro Qual stats'!$A$1:$L$2071,MATCH(Players!$AE260,'Euro Qual stats'!$A$1:$A$2071,0),MATCH(Players!AI$2,'Euro Qual stats'!$A$1:$L$1,0)),0)</f>
        <v>0</v>
      </c>
      <c r="AJ260" s="93">
        <f>(12-AF260)/12*INDEX(BV$9:BV$12,MATCH($AB260,$BU$9:$BU$12,0))+AF260/12*AG260</f>
        <v>8.1744505494505515E-2</v>
      </c>
      <c r="AK260" s="93">
        <f>(12-AG260)/12*INDEX(BW$9:BW$12,MATCH($AB260,$BU$9:$BU$12,0))+AG260/12*AH260</f>
        <v>0.10357142857142858</v>
      </c>
      <c r="AL260" s="93">
        <f>(12-AH260)/12*INDEX(BX$9:BX$12,MATCH($AB260,$BU$9:$BU$12,0))+AH260/12*AI260</f>
        <v>0.19357142857142848</v>
      </c>
      <c r="AM260" s="93">
        <f>IF($BC260=1,AJ260/SUMIFS(AJ$3:AJ$623,$BC$3:$BC$623,1,$G$3:$G$623,$G260),0)</f>
        <v>0</v>
      </c>
      <c r="AN260" s="93">
        <f>IF($BC260=1,AK260/SUMIFS(AK$3:AK$623,$BC$3:$BC$623,1,$G$3:$G$623,$G260),0)</f>
        <v>0</v>
      </c>
      <c r="AO260" s="93">
        <f>IF($BC260=1,AL260/SUMIFS(AL$3:AL$623,$BC$3:$BC$623,1,$G$3:$G$623,$G260),0)</f>
        <v>0</v>
      </c>
      <c r="AP260" s="2" t="str">
        <f>IFERROR(R260/$V260*90,"")</f>
        <v/>
      </c>
      <c r="AQ260" s="2" t="str">
        <f>IFERROR(S260/$V260*90,"")</f>
        <v/>
      </c>
      <c r="AR260" s="2" t="str">
        <f>IFERROR(W260/$V260*90,"")</f>
        <v/>
      </c>
      <c r="AS260" s="2" t="str">
        <f>IFERROR(X260/$V260*90,"")</f>
        <v/>
      </c>
      <c r="AT260" s="2" t="str">
        <f>IFERROR(Y260/$V260*90,"")</f>
        <v/>
      </c>
      <c r="AU260" s="2">
        <f>IF(AP260="",INDEX(BV$4:BV$7,MATCH(O260,$BU$4:$BU$7,0)),AP260)</f>
        <v>0</v>
      </c>
      <c r="AV260" s="2">
        <f>IF(AQ260="",INDEX(BW$4:BW$7,MATCH($O260,$BU$4:$BU$7,0)),AQ260)</f>
        <v>0</v>
      </c>
      <c r="AW260" s="2">
        <f t="shared" ref="AW260:AW323" si="48">IF(AR260="",INDEX(BX$4:BX$7,MATCH($O260,$BU$4:$BU$7,0)),AR260)</f>
        <v>8.0624805297505417E-2</v>
      </c>
      <c r="AX260" s="2">
        <f t="shared" ref="AX260:AX323" si="49">IF(AS260="",INDEX(BY$4:BY$7,MATCH($O260,$BU$4:$BU$7,0)),AS260)</f>
        <v>0.1265377855887522</v>
      </c>
      <c r="AY260" s="2">
        <f t="shared" ref="AY260:AY323" si="50">IF(AT260="",INDEX(BZ$4:BZ$7,MATCH($O260,$BU$4:$BU$7,0)),AT260)</f>
        <v>0</v>
      </c>
      <c r="AZ260" s="2">
        <f>AU260*0.5+AK260*0.5</f>
        <v>5.1785714285714289E-2</v>
      </c>
      <c r="BA260" s="2">
        <f>AV260*0.5+AJ260*0.5</f>
        <v>4.0872252747252757E-2</v>
      </c>
      <c r="BB260" s="2">
        <f t="shared" ref="BB260:BB323" si="51">AX260*0.5+AI260*0.5</f>
        <v>6.32688927943761E-2</v>
      </c>
      <c r="BC260">
        <f>IF(I260="expected",1,0)</f>
        <v>0</v>
      </c>
      <c r="BD260" s="78">
        <f>IF(BC260=1,AZ260/SUMIFS(AZ$3:AZ$623,$BC$3:$BC$623,1,$G$3:$G$623,$G260),0)</f>
        <v>0</v>
      </c>
      <c r="BE260" s="78">
        <f>IF(BC260=1,BA260/SUMIFS(BA$3:BA$623,$BC$3:$BC$623,1,$G$3:$G$623,$G260),0)</f>
        <v>0</v>
      </c>
      <c r="BF260" s="78">
        <f t="shared" ref="BF260:BF323" si="52">IF(BC260=1,AW260/SUMIFS(AW$3:AW$623,$BC$3:$BC$623,1,$G$3:$G$623,$G260),0)</f>
        <v>0</v>
      </c>
      <c r="BG260" s="2">
        <f t="shared" ref="BG260:BG323" si="53">BB260</f>
        <v>6.32688927943761E-2</v>
      </c>
      <c r="BH260" s="2">
        <f t="shared" ref="BH260:BH323" si="54">AY260</f>
        <v>0</v>
      </c>
      <c r="BI260" s="2">
        <f t="shared" ref="BI260:BI323" si="55">MIN(BI$1,BD260)</f>
        <v>0</v>
      </c>
      <c r="BJ260" s="2">
        <f t="shared" ref="BJ260:BJ323" si="56">MIN(BJ$1,BE260)</f>
        <v>0</v>
      </c>
      <c r="BK260" s="2">
        <f t="shared" ref="BK260:BK323" si="57">MIN(BK$1,BF260)</f>
        <v>0</v>
      </c>
      <c r="BL260" s="2">
        <f t="shared" ref="BL260:BL323" si="58">BG260</f>
        <v>6.32688927943761E-2</v>
      </c>
      <c r="BM260" s="2">
        <f t="shared" ref="BM260:BM323" si="59">MIN($BM$1,BH260)</f>
        <v>0</v>
      </c>
      <c r="BN260" s="2">
        <f>BI260/SUMIFS(BI$3:BI$623,$BC$3:$BC$623,1,$G$3:$G$623,$G260)</f>
        <v>0</v>
      </c>
      <c r="BO260" s="2">
        <f>BJ260/SUMIFS(BJ$3:BJ$623,$BC$3:$BC$623,1,$G$3:$G$623,$G260)</f>
        <v>0</v>
      </c>
      <c r="BP260" s="2">
        <f>BK260/SUMIFS(BK$3:BK$623,$BC$3:$BC$623,1,$G$3:$G$623,$G260)</f>
        <v>0</v>
      </c>
      <c r="BQ260" s="2">
        <f>BL260</f>
        <v>6.32688927943761E-2</v>
      </c>
      <c r="BR260" s="2">
        <f>BM260</f>
        <v>0</v>
      </c>
    </row>
    <row r="261" spans="1:70" hidden="1">
      <c r="A261" s="74">
        <v>0</v>
      </c>
      <c r="B261" s="73">
        <v>220792</v>
      </c>
      <c r="C261" s="73" t="s">
        <v>2019</v>
      </c>
      <c r="D261" s="73" t="s">
        <v>2020</v>
      </c>
      <c r="E261" s="73" t="s">
        <v>2021</v>
      </c>
      <c r="F261" s="73">
        <v>18694</v>
      </c>
      <c r="G261" s="73" t="s">
        <v>876</v>
      </c>
      <c r="H261" s="73" t="s">
        <v>909</v>
      </c>
      <c r="I261" s="73" t="s">
        <v>1012</v>
      </c>
      <c r="J261" s="73">
        <v>0</v>
      </c>
      <c r="K261" s="73">
        <v>5</v>
      </c>
      <c r="L261" s="73">
        <v>0</v>
      </c>
      <c r="M261" s="73">
        <v>0</v>
      </c>
      <c r="N261" s="73">
        <v>0</v>
      </c>
      <c r="O261" s="73" t="s">
        <v>994</v>
      </c>
      <c r="P261" s="73" t="s">
        <v>2022</v>
      </c>
      <c r="Q261" s="73" t="s">
        <v>1164</v>
      </c>
      <c r="R261" s="73"/>
      <c r="S261" s="73"/>
      <c r="T261" s="73"/>
      <c r="U261" s="73"/>
      <c r="V261" s="73"/>
      <c r="W261" s="73"/>
      <c r="X261" s="73"/>
      <c r="Y261" s="73"/>
      <c r="Z261" s="73" t="s">
        <v>1095</v>
      </c>
      <c r="AA261" s="73" t="s">
        <v>693</v>
      </c>
      <c r="AB261" s="73" t="str">
        <f>IF(AA261&lt;&gt;"",INDEX(Lookup!$N$2:$N$5,MATCH(Players!AA261,Lookup!$P$2:$P$5,0)),INDEX(Lookup!$N$2:$N$5,MATCH(Players!O261,Lookup!$O$2:$O$5,0)))</f>
        <v>Striker</v>
      </c>
      <c r="AC261" s="73">
        <v>3000000</v>
      </c>
      <c r="AD261" s="73" t="s">
        <v>788</v>
      </c>
      <c r="AE261" s="73">
        <f>INDEX('Translate table'!$H$2:$H$622,MATCH(Players!P261,'Translate table'!$G$2:$G$622,0))</f>
        <v>0</v>
      </c>
      <c r="AF261" s="73">
        <f>IFERROR(INDEX('Euro Qual stats'!$A$1:$L$2071,MATCH(Players!$AE261,'Euro Qual stats'!$A$1:$A$2071,0),MATCH(Players!AF$2,'Euro Qual stats'!$A$1:$L$1,0)),0)</f>
        <v>0</v>
      </c>
      <c r="AG261" s="73">
        <f>IFERROR(INDEX('Euro Qual stats'!$A$1:$L$2071,MATCH(Players!$AE261,'Euro Qual stats'!$A$1:$A$2071,0),MATCH(Players!AG$2,'Euro Qual stats'!$A$1:$L$1,0)),0)</f>
        <v>0</v>
      </c>
      <c r="AH261" s="73">
        <f>IFERROR(INDEX('Euro Qual stats'!$A$1:$L$2071,MATCH(Players!$AE261,'Euro Qual stats'!$A$1:$A$2071,0),MATCH(Players!AH$2,'Euro Qual stats'!$A$1:$L$1,0)),0)</f>
        <v>0</v>
      </c>
      <c r="AI261" s="73">
        <f>IFERROR(INDEX('Euro Qual stats'!$A$1:$L$2071,MATCH(Players!$AE261,'Euro Qual stats'!$A$1:$A$2071,0),MATCH(Players!AI$2,'Euro Qual stats'!$A$1:$L$1,0)),0)</f>
        <v>0</v>
      </c>
      <c r="AJ261" s="93">
        <f>(12-AF261)/12*INDEX(BV$9:BV$12,MATCH($AB261,$BU$9:$BU$12,0))+AF261/12*AG261</f>
        <v>0.20491379310344832</v>
      </c>
      <c r="AK261" s="93">
        <f>(12-AG261)/12*INDEX(BW$9:BW$12,MATCH($AB261,$BU$9:$BU$12,0))+AG261/12*AH261</f>
        <v>0.53387931034482738</v>
      </c>
      <c r="AL261" s="93">
        <f>(12-AH261)/12*INDEX(BX$9:BX$12,MATCH($AB261,$BU$9:$BU$12,0))+AH261/12*AI261</f>
        <v>0.16482758620689658</v>
      </c>
      <c r="AM261" s="93">
        <f>IF($BC261=1,AJ261/SUMIFS(AJ$3:AJ$623,$BC$3:$BC$623,1,$G$3:$G$623,$G261),0)</f>
        <v>0</v>
      </c>
      <c r="AN261" s="93">
        <f>IF($BC261=1,AK261/SUMIFS(AK$3:AK$623,$BC$3:$BC$623,1,$G$3:$G$623,$G261),0)</f>
        <v>0</v>
      </c>
      <c r="AO261" s="93">
        <f>IF($BC261=1,AL261/SUMIFS(AL$3:AL$623,$BC$3:$BC$623,1,$G$3:$G$623,$G261),0)</f>
        <v>0</v>
      </c>
      <c r="AP261" s="2" t="str">
        <f>IFERROR(R261/$V261*90,"")</f>
        <v/>
      </c>
      <c r="AQ261" s="2" t="str">
        <f>IFERROR(S261/$V261*90,"")</f>
        <v/>
      </c>
      <c r="AR261" s="2" t="str">
        <f>IFERROR(W261/$V261*90,"")</f>
        <v/>
      </c>
      <c r="AS261" s="2" t="str">
        <f>IFERROR(X261/$V261*90,"")</f>
        <v/>
      </c>
      <c r="AT261" s="2" t="str">
        <f>IFERROR(Y261/$V261*90,"")</f>
        <v/>
      </c>
      <c r="AU261" s="2">
        <f>IF(AP261="",INDEX(BV$4:BV$7,MATCH(O261,$BU$4:$BU$7,0)),AP261)</f>
        <v>3.6526142445450806E-2</v>
      </c>
      <c r="AV261" s="2">
        <f>IF(AQ261="",INDEX(BW$4:BW$7,MATCH($O261,$BU$4:$BU$7,0)),AQ261)</f>
        <v>3.2427739661688867E-2</v>
      </c>
      <c r="AW261" s="2">
        <f t="shared" si="48"/>
        <v>0.20013349649571699</v>
      </c>
      <c r="AX261" s="2">
        <f t="shared" si="49"/>
        <v>0.16081000595592615</v>
      </c>
      <c r="AY261" s="2">
        <f t="shared" si="50"/>
        <v>0</v>
      </c>
      <c r="AZ261" s="2">
        <f>AU261*0.5+AK261*0.5</f>
        <v>0.28520272639513911</v>
      </c>
      <c r="BA261" s="2">
        <f>AV261*0.5+AJ261*0.5</f>
        <v>0.1186707663825686</v>
      </c>
      <c r="BB261" s="2">
        <f t="shared" si="51"/>
        <v>8.0405002977963075E-2</v>
      </c>
      <c r="BC261">
        <f>IF(I261="expected",1,0)</f>
        <v>0</v>
      </c>
      <c r="BD261" s="78">
        <f>IF(BC261=1,AZ261/SUMIFS(AZ$3:AZ$623,$BC$3:$BC$623,1,$G$3:$G$623,$G261),0)</f>
        <v>0</v>
      </c>
      <c r="BE261" s="78">
        <f>IF(BC261=1,BA261/SUMIFS(BA$3:BA$623,$BC$3:$BC$623,1,$G$3:$G$623,$G261),0)</f>
        <v>0</v>
      </c>
      <c r="BF261" s="78">
        <f t="shared" si="52"/>
        <v>0</v>
      </c>
      <c r="BG261" s="2">
        <f t="shared" si="53"/>
        <v>8.0405002977963075E-2</v>
      </c>
      <c r="BH261" s="2">
        <f t="shared" si="54"/>
        <v>0</v>
      </c>
      <c r="BI261" s="2">
        <f t="shared" si="55"/>
        <v>0</v>
      </c>
      <c r="BJ261" s="2">
        <f t="shared" si="56"/>
        <v>0</v>
      </c>
      <c r="BK261" s="2">
        <f t="shared" si="57"/>
        <v>0</v>
      </c>
      <c r="BL261" s="2">
        <f t="shared" si="58"/>
        <v>8.0405002977963075E-2</v>
      </c>
      <c r="BM261" s="2">
        <f t="shared" si="59"/>
        <v>0</v>
      </c>
      <c r="BN261" s="2">
        <f>BI261/SUMIFS(BI$3:BI$623,$BC$3:$BC$623,1,$G$3:$G$623,$G261)</f>
        <v>0</v>
      </c>
      <c r="BO261" s="2">
        <f>BJ261/SUMIFS(BJ$3:BJ$623,$BC$3:$BC$623,1,$G$3:$G$623,$G261)</f>
        <v>0</v>
      </c>
      <c r="BP261" s="2">
        <f>BK261/SUMIFS(BK$3:BK$623,$BC$3:$BC$623,1,$G$3:$G$623,$G261)</f>
        <v>0</v>
      </c>
      <c r="BQ261" s="2">
        <f>BL261</f>
        <v>8.0405002977963075E-2</v>
      </c>
      <c r="BR261" s="2">
        <f>BM261</f>
        <v>0</v>
      </c>
    </row>
    <row r="262" spans="1:70" hidden="1">
      <c r="A262" s="74">
        <v>0</v>
      </c>
      <c r="B262" s="73">
        <v>204649</v>
      </c>
      <c r="C262" s="73" t="s">
        <v>2023</v>
      </c>
      <c r="D262" s="73" t="s">
        <v>992</v>
      </c>
      <c r="E262" s="73" t="s">
        <v>2024</v>
      </c>
      <c r="F262" s="73">
        <v>18660</v>
      </c>
      <c r="G262" s="73" t="s">
        <v>892</v>
      </c>
      <c r="H262" s="73" t="s">
        <v>915</v>
      </c>
      <c r="I262" s="73" t="s">
        <v>1012</v>
      </c>
      <c r="J262" s="73">
        <v>0</v>
      </c>
      <c r="K262" s="73">
        <v>5</v>
      </c>
      <c r="L262" s="73">
        <v>0</v>
      </c>
      <c r="M262" s="73">
        <v>0</v>
      </c>
      <c r="N262" s="73">
        <v>0</v>
      </c>
      <c r="O262" s="73" t="s">
        <v>1290</v>
      </c>
      <c r="P262" s="73" t="s">
        <v>2025</v>
      </c>
      <c r="Q262" s="73" t="s">
        <v>2025</v>
      </c>
      <c r="R262" s="73">
        <v>0</v>
      </c>
      <c r="S262" s="73">
        <v>0</v>
      </c>
      <c r="T262" s="73">
        <v>101</v>
      </c>
      <c r="U262" s="73">
        <v>4</v>
      </c>
      <c r="V262" s="73">
        <v>2970</v>
      </c>
      <c r="W262" s="73">
        <v>0</v>
      </c>
      <c r="X262" s="73">
        <v>0</v>
      </c>
      <c r="Y262" s="73">
        <v>0</v>
      </c>
      <c r="Z262" s="73" t="s">
        <v>1046</v>
      </c>
      <c r="AA262" s="73" t="s">
        <v>690</v>
      </c>
      <c r="AB262" s="73" t="str">
        <f>IF(AA262&lt;&gt;"",INDEX(Lookup!$N$2:$N$5,MATCH(Players!AA262,Lookup!$P$2:$P$5,0)),INDEX(Lookup!$N$2:$N$5,MATCH(Players!O262,Lookup!$O$2:$O$5,0)))</f>
        <v>Goalkeeper</v>
      </c>
      <c r="AC262" s="73">
        <v>4500000</v>
      </c>
      <c r="AD262" s="73" t="s">
        <v>788</v>
      </c>
      <c r="AE262" s="73" t="str">
        <f>INDEX('Translate table'!$H$2:$H$622,MATCH(Players!P262,'Translate table'!$G$2:$G$622,0))</f>
        <v>Kevin Trapp</v>
      </c>
      <c r="AF262" s="73">
        <f>IFERROR(INDEX('Euro Qual stats'!$A$1:$L$2071,MATCH(Players!$AE262,'Euro Qual stats'!$A$1:$A$2071,0),MATCH(Players!AF$2,'Euro Qual stats'!$A$1:$L$1,0)),0)</f>
        <v>0</v>
      </c>
      <c r="AG262" s="73">
        <f>IFERROR(INDEX('Euro Qual stats'!$A$1:$L$2071,MATCH(Players!$AE262,'Euro Qual stats'!$A$1:$A$2071,0),MATCH(Players!AG$2,'Euro Qual stats'!$A$1:$L$1,0)),0)</f>
        <v>0</v>
      </c>
      <c r="AH262" s="73">
        <f>IFERROR(INDEX('Euro Qual stats'!$A$1:$L$2071,MATCH(Players!$AE262,'Euro Qual stats'!$A$1:$A$2071,0),MATCH(Players!AH$2,'Euro Qual stats'!$A$1:$L$1,0)),0)</f>
        <v>0</v>
      </c>
      <c r="AI262" s="73">
        <f>IFERROR(INDEX('Euro Qual stats'!$A$1:$L$2071,MATCH(Players!$AE262,'Euro Qual stats'!$A$1:$A$2071,0),MATCH(Players!AI$2,'Euro Qual stats'!$A$1:$L$1,0)),0)</f>
        <v>0</v>
      </c>
      <c r="AJ262" s="93">
        <f>(12-AF262)/12*INDEX(BV$9:BV$12,MATCH($AB262,$BU$9:$BU$12,0))+AF262/12*AG262</f>
        <v>0</v>
      </c>
      <c r="AK262" s="93">
        <f>(12-AG262)/12*INDEX(BW$9:BW$12,MATCH($AB262,$BU$9:$BU$12,0))+AG262/12*AH262</f>
        <v>0</v>
      </c>
      <c r="AL262" s="93">
        <f>(12-AH262)/12*INDEX(BX$9:BX$12,MATCH($AB262,$BU$9:$BU$12,0))+AH262/12*AI262</f>
        <v>0</v>
      </c>
      <c r="AM262" s="93">
        <f>IF($BC262=1,AJ262/SUMIFS(AJ$3:AJ$623,$BC$3:$BC$623,1,$G$3:$G$623,$G262),0)</f>
        <v>0</v>
      </c>
      <c r="AN262" s="93">
        <f>IF($BC262=1,AK262/SUMIFS(AK$3:AK$623,$BC$3:$BC$623,1,$G$3:$G$623,$G262),0)</f>
        <v>0</v>
      </c>
      <c r="AO262" s="93">
        <f>IF($BC262=1,AL262/SUMIFS(AL$3:AL$623,$BC$3:$BC$623,1,$G$3:$G$623,$G262),0)</f>
        <v>0</v>
      </c>
      <c r="AP262" s="2">
        <f>IFERROR(R262/$V262*90,"")</f>
        <v>0</v>
      </c>
      <c r="AQ262" s="2">
        <f>IFERROR(S262/$V262*90,"")</f>
        <v>0</v>
      </c>
      <c r="AR262" s="2">
        <f>IFERROR(W262/$V262*90,"")</f>
        <v>0</v>
      </c>
      <c r="AS262" s="2">
        <f>IFERROR(X262/$V262*90,"")</f>
        <v>0</v>
      </c>
      <c r="AT262" s="2">
        <f>IFERROR(Y262/$V262*90,"")</f>
        <v>0</v>
      </c>
      <c r="AU262" s="2">
        <f>IF(AP262="",INDEX(BV$4:BV$7,MATCH(O262,$BU$4:$BU$7,0)),AP262)</f>
        <v>0</v>
      </c>
      <c r="AV262" s="2">
        <f>IF(AQ262="",INDEX(BW$4:BW$7,MATCH($O262,$BU$4:$BU$7,0)),AQ262)</f>
        <v>0</v>
      </c>
      <c r="AW262" s="2">
        <f t="shared" si="48"/>
        <v>0</v>
      </c>
      <c r="AX262" s="2">
        <f t="shared" si="49"/>
        <v>0</v>
      </c>
      <c r="AY262" s="2">
        <f t="shared" si="50"/>
        <v>0</v>
      </c>
      <c r="AZ262" s="2">
        <f>AU262*0.5+AK262*0.5</f>
        <v>0</v>
      </c>
      <c r="BA262" s="2">
        <f>AV262*0.5+AJ262*0.5</f>
        <v>0</v>
      </c>
      <c r="BB262" s="2">
        <f t="shared" si="51"/>
        <v>0</v>
      </c>
      <c r="BC262">
        <f>IF(I262="expected",1,0)</f>
        <v>0</v>
      </c>
      <c r="BD262" s="78">
        <f>IF(BC262=1,AZ262/SUMIFS(AZ$3:AZ$623,$BC$3:$BC$623,1,$G$3:$G$623,$G262),0)</f>
        <v>0</v>
      </c>
      <c r="BE262" s="78">
        <f>IF(BC262=1,BA262/SUMIFS(BA$3:BA$623,$BC$3:$BC$623,1,$G$3:$G$623,$G262),0)</f>
        <v>0</v>
      </c>
      <c r="BF262" s="78">
        <f t="shared" si="52"/>
        <v>0</v>
      </c>
      <c r="BG262" s="2">
        <f t="shared" si="53"/>
        <v>0</v>
      </c>
      <c r="BH262" s="2">
        <f t="shared" si="54"/>
        <v>0</v>
      </c>
      <c r="BI262" s="2">
        <f t="shared" si="55"/>
        <v>0</v>
      </c>
      <c r="BJ262" s="2">
        <f t="shared" si="56"/>
        <v>0</v>
      </c>
      <c r="BK262" s="2">
        <f t="shared" si="57"/>
        <v>0</v>
      </c>
      <c r="BL262" s="2">
        <f t="shared" si="58"/>
        <v>0</v>
      </c>
      <c r="BM262" s="2">
        <f t="shared" si="59"/>
        <v>0</v>
      </c>
      <c r="BN262" s="2">
        <f>BI262/SUMIFS(BI$3:BI$623,$BC$3:$BC$623,1,$G$3:$G$623,$G262)</f>
        <v>0</v>
      </c>
      <c r="BO262" s="2">
        <f>BJ262/SUMIFS(BJ$3:BJ$623,$BC$3:$BC$623,1,$G$3:$G$623,$G262)</f>
        <v>0</v>
      </c>
      <c r="BP262" s="2">
        <f>BK262/SUMIFS(BK$3:BK$623,$BC$3:$BC$623,1,$G$3:$G$623,$G262)</f>
        <v>0</v>
      </c>
      <c r="BQ262" s="2">
        <f>BL262</f>
        <v>0</v>
      </c>
      <c r="BR262" s="2">
        <f>BM262</f>
        <v>0</v>
      </c>
    </row>
    <row r="263" spans="1:70" hidden="1">
      <c r="A263" s="74">
        <v>0</v>
      </c>
      <c r="B263" s="73">
        <v>221521</v>
      </c>
      <c r="C263" s="73" t="s">
        <v>2026</v>
      </c>
      <c r="D263" s="73" t="s">
        <v>2027</v>
      </c>
      <c r="E263" s="73" t="s">
        <v>2028</v>
      </c>
      <c r="F263" s="73">
        <v>18660</v>
      </c>
      <c r="G263" s="73" t="s">
        <v>892</v>
      </c>
      <c r="H263" s="73" t="s">
        <v>915</v>
      </c>
      <c r="I263" s="73" t="s">
        <v>1012</v>
      </c>
      <c r="J263" s="73">
        <v>0</v>
      </c>
      <c r="K263" s="73">
        <v>5</v>
      </c>
      <c r="L263" s="73">
        <v>0</v>
      </c>
      <c r="M263" s="73">
        <v>0</v>
      </c>
      <c r="N263" s="73">
        <v>0</v>
      </c>
      <c r="O263" s="73" t="s">
        <v>1318</v>
      </c>
      <c r="P263" s="73" t="s">
        <v>2029</v>
      </c>
      <c r="Q263" s="73" t="s">
        <v>619</v>
      </c>
      <c r="R263" s="73">
        <v>0</v>
      </c>
      <c r="S263" s="73">
        <v>0</v>
      </c>
      <c r="T263" s="73">
        <v>0</v>
      </c>
      <c r="U263" s="73">
        <v>4</v>
      </c>
      <c r="V263" s="73">
        <v>1131</v>
      </c>
      <c r="W263" s="73">
        <v>1</v>
      </c>
      <c r="X263" s="73">
        <v>1</v>
      </c>
      <c r="Y263" s="73">
        <v>0</v>
      </c>
      <c r="Z263" s="73" t="s">
        <v>1046</v>
      </c>
      <c r="AA263" s="73" t="s">
        <v>692</v>
      </c>
      <c r="AB263" s="73" t="str">
        <f>IF(AA263&lt;&gt;"",INDEX(Lookup!$N$2:$N$5,MATCH(Players!AA263,Lookup!$P$2:$P$5,0)),INDEX(Lookup!$N$2:$N$5,MATCH(Players!O263,Lookup!$O$2:$O$5,0)))</f>
        <v>Defense</v>
      </c>
      <c r="AC263" s="73">
        <v>3000000</v>
      </c>
      <c r="AD263" s="73" t="s">
        <v>788</v>
      </c>
      <c r="AE263" s="73" t="str">
        <f>INDEX('Translate table'!$H$2:$H$622,MATCH(Players!P263,'Translate table'!$G$2:$G$622,0))</f>
        <v>Robin Koch</v>
      </c>
      <c r="AF263" s="73">
        <f>IFERROR(INDEX('Euro Qual stats'!$A$1:$L$2071,MATCH(Players!$AE263,'Euro Qual stats'!$A$1:$A$2071,0),MATCH(Players!AF$2,'Euro Qual stats'!$A$1:$L$1,0)),0)</f>
        <v>1</v>
      </c>
      <c r="AG263" s="73">
        <f>IFERROR(INDEX('Euro Qual stats'!$A$1:$L$2071,MATCH(Players!$AE263,'Euro Qual stats'!$A$1:$A$2071,0),MATCH(Players!AG$2,'Euro Qual stats'!$A$1:$L$1,0)),0)</f>
        <v>0</v>
      </c>
      <c r="AH263" s="73">
        <f>IFERROR(INDEX('Euro Qual stats'!$A$1:$L$2071,MATCH(Players!$AE263,'Euro Qual stats'!$A$1:$A$2071,0),MATCH(Players!AH$2,'Euro Qual stats'!$A$1:$L$1,0)),0)</f>
        <v>0</v>
      </c>
      <c r="AI263" s="73">
        <f>IFERROR(INDEX('Euro Qual stats'!$A$1:$L$2071,MATCH(Players!$AE263,'Euro Qual stats'!$A$1:$A$2071,0),MATCH(Players!AI$2,'Euro Qual stats'!$A$1:$L$1,0)),0)</f>
        <v>1</v>
      </c>
      <c r="AJ263" s="93">
        <f>(12-AF263)/12*INDEX(BV$9:BV$12,MATCH($AB263,$BU$9:$BU$12,0))+AF263/12*AG263</f>
        <v>8.1744505494505515E-2</v>
      </c>
      <c r="AK263" s="93">
        <f>(12-AG263)/12*INDEX(BW$9:BW$12,MATCH($AB263,$BU$9:$BU$12,0))+AG263/12*AH263</f>
        <v>0.10357142857142858</v>
      </c>
      <c r="AL263" s="93">
        <f>(12-AH263)/12*INDEX(BX$9:BX$12,MATCH($AB263,$BU$9:$BU$12,0))+AH263/12*AI263</f>
        <v>0.19357142857142848</v>
      </c>
      <c r="AM263" s="93">
        <f>IF($BC263=1,AJ263/SUMIFS(AJ$3:AJ$623,$BC$3:$BC$623,1,$G$3:$G$623,$G263),0)</f>
        <v>0</v>
      </c>
      <c r="AN263" s="93">
        <f>IF($BC263=1,AK263/SUMIFS(AK$3:AK$623,$BC$3:$BC$623,1,$G$3:$G$623,$G263),0)</f>
        <v>0</v>
      </c>
      <c r="AO263" s="93">
        <f>IF($BC263=1,AL263/SUMIFS(AL$3:AL$623,$BC$3:$BC$623,1,$G$3:$G$623,$G263),0)</f>
        <v>0</v>
      </c>
      <c r="AP263" s="2">
        <f>IFERROR(R263/$V263*90,"")</f>
        <v>0</v>
      </c>
      <c r="AQ263" s="2">
        <f>IFERROR(S263/$V263*90,"")</f>
        <v>0</v>
      </c>
      <c r="AR263" s="2">
        <f>IFERROR(W263/$V263*90,"")</f>
        <v>7.9575596816976124E-2</v>
      </c>
      <c r="AS263" s="2">
        <f>IFERROR(X263/$V263*90,"")</f>
        <v>7.9575596816976124E-2</v>
      </c>
      <c r="AT263" s="2">
        <f>IFERROR(Y263/$V263*90,"")</f>
        <v>0</v>
      </c>
      <c r="AU263" s="2">
        <f>IF(AP263="",INDEX(BV$4:BV$7,MATCH(O263,$BU$4:$BU$7,0)),AP263)</f>
        <v>0</v>
      </c>
      <c r="AV263" s="2">
        <f>IF(AQ263="",INDEX(BW$4:BW$7,MATCH($O263,$BU$4:$BU$7,0)),AQ263)</f>
        <v>0</v>
      </c>
      <c r="AW263" s="2">
        <f t="shared" si="48"/>
        <v>7.9575596816976124E-2</v>
      </c>
      <c r="AX263" s="2">
        <f t="shared" si="49"/>
        <v>7.9575596816976124E-2</v>
      </c>
      <c r="AY263" s="2">
        <f t="shared" si="50"/>
        <v>0</v>
      </c>
      <c r="AZ263" s="2">
        <f>AU263*0.5+AK263*0.5</f>
        <v>5.1785714285714289E-2</v>
      </c>
      <c r="BA263" s="2">
        <f>AV263*0.5+AJ263*0.5</f>
        <v>4.0872252747252757E-2</v>
      </c>
      <c r="BB263" s="2">
        <f t="shared" si="51"/>
        <v>0.53978779840848801</v>
      </c>
      <c r="BC263">
        <f>IF(I263="expected",1,0)</f>
        <v>0</v>
      </c>
      <c r="BD263" s="78">
        <f>IF(BC263=1,AZ263/SUMIFS(AZ$3:AZ$623,$BC$3:$BC$623,1,$G$3:$G$623,$G263),0)</f>
        <v>0</v>
      </c>
      <c r="BE263" s="78">
        <f>IF(BC263=1,BA263/SUMIFS(BA$3:BA$623,$BC$3:$BC$623,1,$G$3:$G$623,$G263),0)</f>
        <v>0</v>
      </c>
      <c r="BF263" s="78">
        <f t="shared" si="52"/>
        <v>0</v>
      </c>
      <c r="BG263" s="2">
        <f t="shared" si="53"/>
        <v>0.53978779840848801</v>
      </c>
      <c r="BH263" s="2">
        <f t="shared" si="54"/>
        <v>0</v>
      </c>
      <c r="BI263" s="2">
        <f t="shared" si="55"/>
        <v>0</v>
      </c>
      <c r="BJ263" s="2">
        <f t="shared" si="56"/>
        <v>0</v>
      </c>
      <c r="BK263" s="2">
        <f t="shared" si="57"/>
        <v>0</v>
      </c>
      <c r="BL263" s="2">
        <f t="shared" si="58"/>
        <v>0.53978779840848801</v>
      </c>
      <c r="BM263" s="2">
        <f t="shared" si="59"/>
        <v>0</v>
      </c>
      <c r="BN263" s="2">
        <f>BI263/SUMIFS(BI$3:BI$623,$BC$3:$BC$623,1,$G$3:$G$623,$G263)</f>
        <v>0</v>
      </c>
      <c r="BO263" s="2">
        <f>BJ263/SUMIFS(BJ$3:BJ$623,$BC$3:$BC$623,1,$G$3:$G$623,$G263)</f>
        <v>0</v>
      </c>
      <c r="BP263" s="2">
        <f>BK263/SUMIFS(BK$3:BK$623,$BC$3:$BC$623,1,$G$3:$G$623,$G263)</f>
        <v>0</v>
      </c>
      <c r="BQ263" s="2">
        <f>BL263</f>
        <v>0.53978779840848801</v>
      </c>
      <c r="BR263" s="2">
        <f>BM263</f>
        <v>0</v>
      </c>
    </row>
    <row r="264" spans="1:70" hidden="1">
      <c r="A264" s="74">
        <v>0</v>
      </c>
      <c r="B264" s="73">
        <v>221518</v>
      </c>
      <c r="C264" s="73" t="s">
        <v>2030</v>
      </c>
      <c r="D264" s="73" t="s">
        <v>1951</v>
      </c>
      <c r="E264" s="73" t="s">
        <v>2031</v>
      </c>
      <c r="F264" s="73">
        <v>18660</v>
      </c>
      <c r="G264" s="73" t="s">
        <v>892</v>
      </c>
      <c r="H264" s="73" t="s">
        <v>915</v>
      </c>
      <c r="I264" s="73" t="s">
        <v>1012</v>
      </c>
      <c r="J264" s="73">
        <v>0</v>
      </c>
      <c r="K264" s="73">
        <v>5</v>
      </c>
      <c r="L264" s="73">
        <v>0</v>
      </c>
      <c r="M264" s="73">
        <v>0</v>
      </c>
      <c r="N264" s="73">
        <v>0</v>
      </c>
      <c r="O264" s="73" t="s">
        <v>1318</v>
      </c>
      <c r="P264" s="73" t="s">
        <v>2032</v>
      </c>
      <c r="Q264" s="73" t="s">
        <v>2032</v>
      </c>
      <c r="R264" s="73">
        <v>2</v>
      </c>
      <c r="S264" s="73">
        <v>2</v>
      </c>
      <c r="T264" s="73">
        <v>0</v>
      </c>
      <c r="U264" s="73">
        <v>7</v>
      </c>
      <c r="V264" s="73">
        <v>1652</v>
      </c>
      <c r="W264" s="73">
        <v>6</v>
      </c>
      <c r="X264" s="73">
        <v>2</v>
      </c>
      <c r="Y264" s="73">
        <v>0</v>
      </c>
      <c r="Z264" s="73" t="s">
        <v>1046</v>
      </c>
      <c r="AA264" s="73" t="s">
        <v>692</v>
      </c>
      <c r="AB264" s="73" t="str">
        <f>IF(AA264&lt;&gt;"",INDEX(Lookup!$N$2:$N$5,MATCH(Players!AA264,Lookup!$P$2:$P$5,0)),INDEX(Lookup!$N$2:$N$5,MATCH(Players!O264,Lookup!$O$2:$O$5,0)))</f>
        <v>Defense</v>
      </c>
      <c r="AC264" s="73">
        <v>3000000</v>
      </c>
      <c r="AD264" s="73" t="s">
        <v>788</v>
      </c>
      <c r="AE264" s="73" t="str">
        <f>INDEX('Translate table'!$H$2:$H$622,MATCH(Players!P264,'Translate table'!$G$2:$G$622,0))</f>
        <v>Marcel Halstenberg</v>
      </c>
      <c r="AF264" s="73">
        <f>IFERROR(INDEX('Euro Qual stats'!$A$1:$L$2071,MATCH(Players!$AE264,'Euro Qual stats'!$A$1:$A$2071,0),MATCH(Players!AF$2,'Euro Qual stats'!$A$1:$L$1,0)),0)</f>
        <v>3</v>
      </c>
      <c r="AG264" s="73">
        <f>IFERROR(INDEX('Euro Qual stats'!$A$1:$L$2071,MATCH(Players!$AE264,'Euro Qual stats'!$A$1:$A$2071,0),MATCH(Players!AG$2,'Euro Qual stats'!$A$1:$L$1,0)),0)</f>
        <v>0.4</v>
      </c>
      <c r="AH264" s="73">
        <f>IFERROR(INDEX('Euro Qual stats'!$A$1:$L$2071,MATCH(Players!$AE264,'Euro Qual stats'!$A$1:$A$2071,0),MATCH(Players!AH$2,'Euro Qual stats'!$A$1:$L$1,0)),0)</f>
        <v>0.4</v>
      </c>
      <c r="AI264" s="73">
        <f>IFERROR(INDEX('Euro Qual stats'!$A$1:$L$2071,MATCH(Players!$AE264,'Euro Qual stats'!$A$1:$A$2071,0),MATCH(Players!AI$2,'Euro Qual stats'!$A$1:$L$1,0)),0)</f>
        <v>0</v>
      </c>
      <c r="AJ264" s="93">
        <f>(12-AF264)/12*INDEX(BV$9:BV$12,MATCH($AB264,$BU$9:$BU$12,0))+AF264/12*AG264</f>
        <v>0.16688186813186817</v>
      </c>
      <c r="AK264" s="93">
        <f>(12-AG264)/12*INDEX(BW$9:BW$12,MATCH($AB264,$BU$9:$BU$12,0))+AG264/12*AH264</f>
        <v>0.11345238095238096</v>
      </c>
      <c r="AL264" s="93">
        <f>(12-AH264)/12*INDEX(BX$9:BX$12,MATCH($AB264,$BU$9:$BU$12,0))+AH264/12*AI264</f>
        <v>0.18711904761904752</v>
      </c>
      <c r="AM264" s="93">
        <f>IF($BC264=1,AJ264/SUMIFS(AJ$3:AJ$623,$BC$3:$BC$623,1,$G$3:$G$623,$G264),0)</f>
        <v>0</v>
      </c>
      <c r="AN264" s="93">
        <f>IF($BC264=1,AK264/SUMIFS(AK$3:AK$623,$BC$3:$BC$623,1,$G$3:$G$623,$G264),0)</f>
        <v>0</v>
      </c>
      <c r="AO264" s="93">
        <f>IF($BC264=1,AL264/SUMIFS(AL$3:AL$623,$BC$3:$BC$623,1,$G$3:$G$623,$G264),0)</f>
        <v>0</v>
      </c>
      <c r="AP264" s="2">
        <f>IFERROR(R264/$V264*90,"")</f>
        <v>0.10895883777239709</v>
      </c>
      <c r="AQ264" s="2">
        <f>IFERROR(S264/$V264*90,"")</f>
        <v>0.10895883777239709</v>
      </c>
      <c r="AR264" s="2">
        <f>IFERROR(W264/$V264*90,"")</f>
        <v>0.32687651331719131</v>
      </c>
      <c r="AS264" s="2">
        <f>IFERROR(X264/$V264*90,"")</f>
        <v>0.10895883777239709</v>
      </c>
      <c r="AT264" s="2">
        <f>IFERROR(Y264/$V264*90,"")</f>
        <v>0</v>
      </c>
      <c r="AU264" s="2">
        <f>IF(AP264="",INDEX(BV$4:BV$7,MATCH(O264,$BU$4:$BU$7,0)),AP264)</f>
        <v>0.10895883777239709</v>
      </c>
      <c r="AV264" s="2">
        <f>IF(AQ264="",INDEX(BW$4:BW$7,MATCH($O264,$BU$4:$BU$7,0)),AQ264)</f>
        <v>0.10895883777239709</v>
      </c>
      <c r="AW264" s="2">
        <f t="shared" si="48"/>
        <v>0.32687651331719131</v>
      </c>
      <c r="AX264" s="2">
        <f t="shared" si="49"/>
        <v>0.10895883777239709</v>
      </c>
      <c r="AY264" s="2">
        <f t="shared" si="50"/>
        <v>0</v>
      </c>
      <c r="AZ264" s="2">
        <f>AU264*0.5+AK264*0.5</f>
        <v>0.11120560936238902</v>
      </c>
      <c r="BA264" s="2">
        <f>AV264*0.5+AJ264*0.5</f>
        <v>0.13792035295213262</v>
      </c>
      <c r="BB264" s="2">
        <f t="shared" si="51"/>
        <v>5.4479418886198547E-2</v>
      </c>
      <c r="BC264">
        <f>IF(I264="expected",1,0)</f>
        <v>0</v>
      </c>
      <c r="BD264" s="78">
        <f>IF(BC264=1,AZ264/SUMIFS(AZ$3:AZ$623,$BC$3:$BC$623,1,$G$3:$G$623,$G264),0)</f>
        <v>0</v>
      </c>
      <c r="BE264" s="78">
        <f>IF(BC264=1,BA264/SUMIFS(BA$3:BA$623,$BC$3:$BC$623,1,$G$3:$G$623,$G264),0)</f>
        <v>0</v>
      </c>
      <c r="BF264" s="78">
        <f t="shared" si="52"/>
        <v>0</v>
      </c>
      <c r="BG264" s="2">
        <f t="shared" si="53"/>
        <v>5.4479418886198547E-2</v>
      </c>
      <c r="BH264" s="2">
        <f t="shared" si="54"/>
        <v>0</v>
      </c>
      <c r="BI264" s="2">
        <f t="shared" si="55"/>
        <v>0</v>
      </c>
      <c r="BJ264" s="2">
        <f t="shared" si="56"/>
        <v>0</v>
      </c>
      <c r="BK264" s="2">
        <f t="shared" si="57"/>
        <v>0</v>
      </c>
      <c r="BL264" s="2">
        <f t="shared" si="58"/>
        <v>5.4479418886198547E-2</v>
      </c>
      <c r="BM264" s="2">
        <f t="shared" si="59"/>
        <v>0</v>
      </c>
      <c r="BN264" s="2">
        <f>BI264/SUMIFS(BI$3:BI$623,$BC$3:$BC$623,1,$G$3:$G$623,$G264)</f>
        <v>0</v>
      </c>
      <c r="BO264" s="2">
        <f>BJ264/SUMIFS(BJ$3:BJ$623,$BC$3:$BC$623,1,$G$3:$G$623,$G264)</f>
        <v>0</v>
      </c>
      <c r="BP264" s="2">
        <f>BK264/SUMIFS(BK$3:BK$623,$BC$3:$BC$623,1,$G$3:$G$623,$G264)</f>
        <v>0</v>
      </c>
      <c r="BQ264" s="2">
        <f>BL264</f>
        <v>5.4479418886198547E-2</v>
      </c>
      <c r="BR264" s="2">
        <f>BM264</f>
        <v>0</v>
      </c>
    </row>
    <row r="265" spans="1:70" hidden="1">
      <c r="A265" s="74">
        <v>0</v>
      </c>
      <c r="B265" s="73">
        <v>221517</v>
      </c>
      <c r="C265" s="73" t="s">
        <v>2033</v>
      </c>
      <c r="D265" s="73" t="s">
        <v>2034</v>
      </c>
      <c r="E265" s="73" t="s">
        <v>2035</v>
      </c>
      <c r="F265" s="73">
        <v>18660</v>
      </c>
      <c r="G265" s="73" t="s">
        <v>892</v>
      </c>
      <c r="H265" s="73" t="s">
        <v>915</v>
      </c>
      <c r="I265" s="73" t="s">
        <v>981</v>
      </c>
      <c r="J265" s="73">
        <v>0</v>
      </c>
      <c r="K265" s="73">
        <v>5</v>
      </c>
      <c r="L265" s="73">
        <v>0</v>
      </c>
      <c r="M265" s="73">
        <v>0</v>
      </c>
      <c r="N265" s="73">
        <v>0</v>
      </c>
      <c r="O265" s="73" t="s">
        <v>1318</v>
      </c>
      <c r="P265" s="73" t="s">
        <v>2036</v>
      </c>
      <c r="Q265" s="73" t="s">
        <v>2037</v>
      </c>
      <c r="R265" s="73">
        <v>3</v>
      </c>
      <c r="S265" s="73">
        <v>3</v>
      </c>
      <c r="T265" s="73">
        <v>0</v>
      </c>
      <c r="U265" s="73">
        <v>6</v>
      </c>
      <c r="V265" s="73">
        <v>3060</v>
      </c>
      <c r="W265" s="73">
        <v>7</v>
      </c>
      <c r="X265" s="73">
        <v>2</v>
      </c>
      <c r="Y265" s="73">
        <v>0</v>
      </c>
      <c r="Z265" s="73" t="s">
        <v>1046</v>
      </c>
      <c r="AA265" s="73" t="s">
        <v>692</v>
      </c>
      <c r="AB265" s="73" t="str">
        <f>IF(AA265&lt;&gt;"",INDEX(Lookup!$N$2:$N$5,MATCH(Players!AA265,Lookup!$P$2:$P$5,0)),INDEX(Lookup!$N$2:$N$5,MATCH(Players!O265,Lookup!$O$2:$O$5,0)))</f>
        <v>Defense</v>
      </c>
      <c r="AC265" s="73">
        <v>3000000</v>
      </c>
      <c r="AD265" s="73" t="s">
        <v>789</v>
      </c>
      <c r="AE265" s="73" t="str">
        <f>INDEX('Translate table'!$H$2:$H$622,MATCH(Players!P265,'Translate table'!$G$2:$G$622,0))</f>
        <v>Chris Gunter</v>
      </c>
      <c r="AF265" s="73">
        <f>IFERROR(INDEX('Euro Qual stats'!$A$1:$L$2071,MATCH(Players!$AE265,'Euro Qual stats'!$A$1:$A$2071,0),MATCH(Players!AF$2,'Euro Qual stats'!$A$1:$L$1,0)),0)</f>
        <v>1</v>
      </c>
      <c r="AG265" s="73">
        <f>IFERROR(INDEX('Euro Qual stats'!$A$1:$L$2071,MATCH(Players!$AE265,'Euro Qual stats'!$A$1:$A$2071,0),MATCH(Players!AG$2,'Euro Qual stats'!$A$1:$L$1,0)),0)</f>
        <v>0</v>
      </c>
      <c r="AH265" s="73">
        <f>IFERROR(INDEX('Euro Qual stats'!$A$1:$L$2071,MATCH(Players!$AE265,'Euro Qual stats'!$A$1:$A$2071,0),MATCH(Players!AH$2,'Euro Qual stats'!$A$1:$L$1,0)),0)</f>
        <v>0</v>
      </c>
      <c r="AI265" s="73">
        <f>IFERROR(INDEX('Euro Qual stats'!$A$1:$L$2071,MATCH(Players!$AE265,'Euro Qual stats'!$A$1:$A$2071,0),MATCH(Players!AI$2,'Euro Qual stats'!$A$1:$L$1,0)),0)</f>
        <v>1</v>
      </c>
      <c r="AJ265" s="93">
        <f>(12-AF265)/12*INDEX(BV$9:BV$12,MATCH($AB265,$BU$9:$BU$12,0))+AF265/12*AG265</f>
        <v>8.1744505494505515E-2</v>
      </c>
      <c r="AK265" s="93">
        <f>(12-AG265)/12*INDEX(BW$9:BW$12,MATCH($AB265,$BU$9:$BU$12,0))+AG265/12*AH265</f>
        <v>0.10357142857142858</v>
      </c>
      <c r="AL265" s="93">
        <f>(12-AH265)/12*INDEX(BX$9:BX$12,MATCH($AB265,$BU$9:$BU$12,0))+AH265/12*AI265</f>
        <v>0.19357142857142848</v>
      </c>
      <c r="AM265" s="93">
        <f>IF($BC265=1,AJ265/SUMIFS(AJ$3:AJ$623,$BC$3:$BC$623,1,$G$3:$G$623,$G265),0)</f>
        <v>4.3453707509815628E-2</v>
      </c>
      <c r="AN265" s="93">
        <f>IF($BC265=1,AK265/SUMIFS(AK$3:AK$623,$BC$3:$BC$623,1,$G$3:$G$623,$G265),0)</f>
        <v>4.3657457449898927E-2</v>
      </c>
      <c r="AO265" s="93">
        <f>IF($BC265=1,AL265/SUMIFS(AL$3:AL$623,$BC$3:$BC$623,1,$G$3:$G$623,$G265),0)</f>
        <v>9.5147499348732539E-2</v>
      </c>
      <c r="AP265" s="2">
        <f>IFERROR(R265/$V265*90,"")</f>
        <v>8.8235294117647051E-2</v>
      </c>
      <c r="AQ265" s="2">
        <f>IFERROR(S265/$V265*90,"")</f>
        <v>8.8235294117647051E-2</v>
      </c>
      <c r="AR265" s="2">
        <f>IFERROR(W265/$V265*90,"")</f>
        <v>0.20588235294117649</v>
      </c>
      <c r="AS265" s="2">
        <f>IFERROR(X265/$V265*90,"")</f>
        <v>5.8823529411764705E-2</v>
      </c>
      <c r="AT265" s="2">
        <f>IFERROR(Y265/$V265*90,"")</f>
        <v>0</v>
      </c>
      <c r="AU265" s="2">
        <f>IF(AP265="",INDEX(BV$4:BV$7,MATCH(O265,$BU$4:$BU$7,0)),AP265)</f>
        <v>8.8235294117647051E-2</v>
      </c>
      <c r="AV265" s="2">
        <f>IF(AQ265="",INDEX(BW$4:BW$7,MATCH($O265,$BU$4:$BU$7,0)),AQ265)</f>
        <v>8.8235294117647051E-2</v>
      </c>
      <c r="AW265" s="2">
        <f t="shared" si="48"/>
        <v>0.20588235294117649</v>
      </c>
      <c r="AX265" s="2">
        <f t="shared" si="49"/>
        <v>5.8823529411764705E-2</v>
      </c>
      <c r="AY265" s="2">
        <f t="shared" si="50"/>
        <v>0</v>
      </c>
      <c r="AZ265" s="2">
        <f>AU265*0.5+AK265*0.5</f>
        <v>9.5903361344537807E-2</v>
      </c>
      <c r="BA265" s="2">
        <f>AV265*0.5+AJ265*0.5</f>
        <v>8.4989899806076283E-2</v>
      </c>
      <c r="BB265" s="2">
        <f t="shared" si="51"/>
        <v>0.52941176470588236</v>
      </c>
      <c r="BC265">
        <f>IF(I265="expected",1,0)</f>
        <v>1</v>
      </c>
      <c r="BD265" s="78">
        <f>IF(BC265=1,AZ265/SUMIFS(AZ$3:AZ$623,$BC$3:$BC$623,1,$G$3:$G$623,$G265),0)</f>
        <v>3.904092471354971E-2</v>
      </c>
      <c r="BE265" s="78">
        <f>IF(BC265=1,BA265/SUMIFS(BA$3:BA$623,$BC$3:$BC$623,1,$G$3:$G$623,$G265),0)</f>
        <v>4.4251825872475892E-2</v>
      </c>
      <c r="BF265" s="78">
        <f t="shared" si="52"/>
        <v>2.8669831566436394E-2</v>
      </c>
      <c r="BG265" s="2">
        <f t="shared" si="53"/>
        <v>0.52941176470588236</v>
      </c>
      <c r="BH265" s="2">
        <f t="shared" si="54"/>
        <v>0</v>
      </c>
      <c r="BI265" s="2">
        <f t="shared" si="55"/>
        <v>3.904092471354971E-2</v>
      </c>
      <c r="BJ265" s="2">
        <f t="shared" si="56"/>
        <v>4.4251825872475892E-2</v>
      </c>
      <c r="BK265" s="2">
        <f t="shared" si="57"/>
        <v>2.8669831566436394E-2</v>
      </c>
      <c r="BL265" s="2">
        <f t="shared" si="58"/>
        <v>0.52941176470588236</v>
      </c>
      <c r="BM265" s="2">
        <f t="shared" si="59"/>
        <v>0</v>
      </c>
      <c r="BN265" s="2">
        <f>BI265/SUMIFS(BI$3:BI$623,$BC$3:$BC$623,1,$G$3:$G$623,$G265)</f>
        <v>3.904092471354971E-2</v>
      </c>
      <c r="BO265" s="2">
        <f>BJ265/SUMIFS(BJ$3:BJ$623,$BC$3:$BC$623,1,$G$3:$G$623,$G265)</f>
        <v>4.4251825872475892E-2</v>
      </c>
      <c r="BP265" s="2">
        <f>BK265/SUMIFS(BK$3:BK$623,$BC$3:$BC$623,1,$G$3:$G$623,$G265)</f>
        <v>2.8669831566436394E-2</v>
      </c>
      <c r="BQ265" s="2">
        <f>BL265</f>
        <v>0.52941176470588236</v>
      </c>
      <c r="BR265" s="2">
        <f>BM265</f>
        <v>0</v>
      </c>
    </row>
    <row r="266" spans="1:70" hidden="1">
      <c r="A266" s="74">
        <v>0</v>
      </c>
      <c r="B266" s="73">
        <v>222096</v>
      </c>
      <c r="C266" s="73" t="s">
        <v>2038</v>
      </c>
      <c r="D266" s="73" t="s">
        <v>1080</v>
      </c>
      <c r="E266" s="73" t="s">
        <v>2039</v>
      </c>
      <c r="F266" s="73">
        <v>18710</v>
      </c>
      <c r="G266" s="73" t="s">
        <v>885</v>
      </c>
      <c r="H266" s="73" t="s">
        <v>943</v>
      </c>
      <c r="I266" s="73" t="s">
        <v>1012</v>
      </c>
      <c r="J266" s="73">
        <v>0</v>
      </c>
      <c r="K266" s="73">
        <v>5</v>
      </c>
      <c r="L266" s="73">
        <v>0</v>
      </c>
      <c r="M266" s="73">
        <v>0</v>
      </c>
      <c r="N266" s="73">
        <v>0</v>
      </c>
      <c r="O266" s="73" t="s">
        <v>1290</v>
      </c>
      <c r="P266" s="73" t="s">
        <v>2040</v>
      </c>
      <c r="Q266" s="73" t="s">
        <v>730</v>
      </c>
      <c r="R266" s="73">
        <v>0</v>
      </c>
      <c r="S266" s="73">
        <v>0</v>
      </c>
      <c r="T266" s="73">
        <v>66</v>
      </c>
      <c r="U266" s="73">
        <v>10</v>
      </c>
      <c r="V266" s="73">
        <v>2430</v>
      </c>
      <c r="W266" s="73">
        <v>0</v>
      </c>
      <c r="X266" s="73">
        <v>2</v>
      </c>
      <c r="Y266" s="73">
        <v>0</v>
      </c>
      <c r="Z266" s="73" t="s">
        <v>1037</v>
      </c>
      <c r="AA266" s="73" t="s">
        <v>690</v>
      </c>
      <c r="AB266" s="73" t="str">
        <f>IF(AA266&lt;&gt;"",INDEX(Lookup!$N$2:$N$5,MATCH(Players!AA266,Lookup!$P$2:$P$5,0)),INDEX(Lookup!$N$2:$N$5,MATCH(Players!O266,Lookup!$O$2:$O$5,0)))</f>
        <v>Goalkeeper</v>
      </c>
      <c r="AC266" s="73">
        <v>4500000</v>
      </c>
      <c r="AD266" s="73" t="s">
        <v>788</v>
      </c>
      <c r="AE266" s="73" t="str">
        <f>INDEX('Translate table'!$H$2:$H$622,MATCH(Players!P266,'Translate table'!$G$2:$G$622,0))</f>
        <v>JuliÃ  SÃ¡nchez Soto</v>
      </c>
      <c r="AF266" s="73">
        <f>IFERROR(INDEX('Euro Qual stats'!$A$1:$L$2071,MATCH(Players!$AE266,'Euro Qual stats'!$A$1:$A$2071,0),MATCH(Players!AF$2,'Euro Qual stats'!$A$1:$L$1,0)),0)</f>
        <v>2</v>
      </c>
      <c r="AG266" s="73">
        <f>IFERROR(INDEX('Euro Qual stats'!$A$1:$L$2071,MATCH(Players!$AE266,'Euro Qual stats'!$A$1:$A$2071,0),MATCH(Players!AG$2,'Euro Qual stats'!$A$1:$L$1,0)),0)</f>
        <v>0</v>
      </c>
      <c r="AH266" s="73">
        <f>IFERROR(INDEX('Euro Qual stats'!$A$1:$L$2071,MATCH(Players!$AE266,'Euro Qual stats'!$A$1:$A$2071,0),MATCH(Players!AH$2,'Euro Qual stats'!$A$1:$L$1,0)),0)</f>
        <v>0</v>
      </c>
      <c r="AI266" s="73">
        <f>IFERROR(INDEX('Euro Qual stats'!$A$1:$L$2071,MATCH(Players!$AE266,'Euro Qual stats'!$A$1:$A$2071,0),MATCH(Players!AI$2,'Euro Qual stats'!$A$1:$L$1,0)),0)</f>
        <v>0</v>
      </c>
      <c r="AJ266" s="93">
        <f>(12-AF266)/12*INDEX(BV$9:BV$12,MATCH($AB266,$BU$9:$BU$12,0))+AF266/12*AG266</f>
        <v>0</v>
      </c>
      <c r="AK266" s="93">
        <f>(12-AG266)/12*INDEX(BW$9:BW$12,MATCH($AB266,$BU$9:$BU$12,0))+AG266/12*AH266</f>
        <v>0</v>
      </c>
      <c r="AL266" s="93">
        <f>(12-AH266)/12*INDEX(BX$9:BX$12,MATCH($AB266,$BU$9:$BU$12,0))+AH266/12*AI266</f>
        <v>0</v>
      </c>
      <c r="AM266" s="93">
        <f>IF($BC266=1,AJ266/SUMIFS(AJ$3:AJ$623,$BC$3:$BC$623,1,$G$3:$G$623,$G266),0)</f>
        <v>0</v>
      </c>
      <c r="AN266" s="93">
        <f>IF($BC266=1,AK266/SUMIFS(AK$3:AK$623,$BC$3:$BC$623,1,$G$3:$G$623,$G266),0)</f>
        <v>0</v>
      </c>
      <c r="AO266" s="93">
        <f>IF($BC266=1,AL266/SUMIFS(AL$3:AL$623,$BC$3:$BC$623,1,$G$3:$G$623,$G266),0)</f>
        <v>0</v>
      </c>
      <c r="AP266" s="2">
        <f>IFERROR(R266/$V266*90,"")</f>
        <v>0</v>
      </c>
      <c r="AQ266" s="2">
        <f>IFERROR(S266/$V266*90,"")</f>
        <v>0</v>
      </c>
      <c r="AR266" s="2">
        <f>IFERROR(W266/$V266*90,"")</f>
        <v>0</v>
      </c>
      <c r="AS266" s="2">
        <f>IFERROR(X266/$V266*90,"")</f>
        <v>7.407407407407407E-2</v>
      </c>
      <c r="AT266" s="2">
        <f>IFERROR(Y266/$V266*90,"")</f>
        <v>0</v>
      </c>
      <c r="AU266" s="2">
        <f>IF(AP266="",INDEX(BV$4:BV$7,MATCH(O266,$BU$4:$BU$7,0)),AP266)</f>
        <v>0</v>
      </c>
      <c r="AV266" s="2">
        <f>IF(AQ266="",INDEX(BW$4:BW$7,MATCH($O266,$BU$4:$BU$7,0)),AQ266)</f>
        <v>0</v>
      </c>
      <c r="AW266" s="2">
        <f t="shared" si="48"/>
        <v>0</v>
      </c>
      <c r="AX266" s="2">
        <f t="shared" si="49"/>
        <v>7.407407407407407E-2</v>
      </c>
      <c r="AY266" s="2">
        <f t="shared" si="50"/>
        <v>0</v>
      </c>
      <c r="AZ266" s="2">
        <f>AU266*0.5+AK266*0.5</f>
        <v>0</v>
      </c>
      <c r="BA266" s="2">
        <f>AV266*0.5+AJ266*0.5</f>
        <v>0</v>
      </c>
      <c r="BB266" s="2">
        <f t="shared" si="51"/>
        <v>3.7037037037037035E-2</v>
      </c>
      <c r="BC266">
        <f>IF(I266="expected",1,0)</f>
        <v>0</v>
      </c>
      <c r="BD266" s="78">
        <f>IF(BC266=1,AZ266/SUMIFS(AZ$3:AZ$623,$BC$3:$BC$623,1,$G$3:$G$623,$G266),0)</f>
        <v>0</v>
      </c>
      <c r="BE266" s="78">
        <f>IF(BC266=1,BA266/SUMIFS(BA$3:BA$623,$BC$3:$BC$623,1,$G$3:$G$623,$G266),0)</f>
        <v>0</v>
      </c>
      <c r="BF266" s="78">
        <f t="shared" si="52"/>
        <v>0</v>
      </c>
      <c r="BG266" s="2">
        <f t="shared" si="53"/>
        <v>3.7037037037037035E-2</v>
      </c>
      <c r="BH266" s="2">
        <f t="shared" si="54"/>
        <v>0</v>
      </c>
      <c r="BI266" s="2">
        <f t="shared" si="55"/>
        <v>0</v>
      </c>
      <c r="BJ266" s="2">
        <f t="shared" si="56"/>
        <v>0</v>
      </c>
      <c r="BK266" s="2">
        <f t="shared" si="57"/>
        <v>0</v>
      </c>
      <c r="BL266" s="2">
        <f t="shared" si="58"/>
        <v>3.7037037037037035E-2</v>
      </c>
      <c r="BM266" s="2">
        <f t="shared" si="59"/>
        <v>0</v>
      </c>
      <c r="BN266" s="2">
        <f>BI266/SUMIFS(BI$3:BI$623,$BC$3:$BC$623,1,$G$3:$G$623,$G266)</f>
        <v>0</v>
      </c>
      <c r="BO266" s="2">
        <f>BJ266/SUMIFS(BJ$3:BJ$623,$BC$3:$BC$623,1,$G$3:$G$623,$G266)</f>
        <v>0</v>
      </c>
      <c r="BP266" s="2">
        <f>BK266/SUMIFS(BK$3:BK$623,$BC$3:$BC$623,1,$G$3:$G$623,$G266)</f>
        <v>0</v>
      </c>
      <c r="BQ266" s="2">
        <f>BL266</f>
        <v>3.7037037037037035E-2</v>
      </c>
      <c r="BR266" s="2">
        <f>BM266</f>
        <v>0</v>
      </c>
    </row>
    <row r="267" spans="1:70" hidden="1">
      <c r="A267" s="74">
        <v>0</v>
      </c>
      <c r="B267" s="73">
        <v>204492</v>
      </c>
      <c r="C267" s="73" t="s">
        <v>2041</v>
      </c>
      <c r="D267" s="73" t="s">
        <v>1683</v>
      </c>
      <c r="E267" s="73" t="s">
        <v>2042</v>
      </c>
      <c r="F267" s="73">
        <v>18624</v>
      </c>
      <c r="G267" s="73" t="s">
        <v>877</v>
      </c>
      <c r="H267" s="73" t="s">
        <v>951</v>
      </c>
      <c r="I267" s="73" t="s">
        <v>1012</v>
      </c>
      <c r="J267" s="73">
        <v>0</v>
      </c>
      <c r="K267" s="73">
        <v>5</v>
      </c>
      <c r="L267" s="73">
        <v>0</v>
      </c>
      <c r="M267" s="73">
        <v>0</v>
      </c>
      <c r="N267" s="73">
        <v>0</v>
      </c>
      <c r="O267" s="73" t="s">
        <v>1290</v>
      </c>
      <c r="P267" s="73" t="s">
        <v>2043</v>
      </c>
      <c r="Q267" s="73" t="s">
        <v>2044</v>
      </c>
      <c r="R267" s="73">
        <v>2</v>
      </c>
      <c r="S267" s="73">
        <v>1</v>
      </c>
      <c r="T267" s="73">
        <v>0</v>
      </c>
      <c r="U267" s="73">
        <v>3</v>
      </c>
      <c r="V267" s="73">
        <v>929</v>
      </c>
      <c r="W267" s="73">
        <v>7</v>
      </c>
      <c r="X267" s="73">
        <v>0</v>
      </c>
      <c r="Y267" s="73">
        <v>0</v>
      </c>
      <c r="Z267" s="73" t="s">
        <v>877</v>
      </c>
      <c r="AA267" s="73" t="s">
        <v>690</v>
      </c>
      <c r="AB267" s="73" t="str">
        <f>IF(AA267&lt;&gt;"",INDEX(Lookup!$N$2:$N$5,MATCH(Players!AA267,Lookup!$P$2:$P$5,0)),INDEX(Lookup!$N$2:$N$5,MATCH(Players!O267,Lookup!$O$2:$O$5,0)))</f>
        <v>Goalkeeper</v>
      </c>
      <c r="AC267" s="73">
        <v>3500000</v>
      </c>
      <c r="AD267" s="73" t="s">
        <v>753</v>
      </c>
      <c r="AE267" s="73" t="str">
        <f>INDEX('Translate table'!$H$2:$H$622,MATCH(Players!P267,'Translate table'!$G$2:$G$622,0))</f>
        <v>Andriy Pyatov</v>
      </c>
      <c r="AF267" s="73">
        <f>IFERROR(INDEX('Euro Qual stats'!$A$1:$L$2071,MATCH(Players!$AE267,'Euro Qual stats'!$A$1:$A$2071,0),MATCH(Players!AF$2,'Euro Qual stats'!$A$1:$L$1,0)),0)</f>
        <v>8</v>
      </c>
      <c r="AG267" s="73">
        <f>IFERROR(INDEX('Euro Qual stats'!$A$1:$L$2071,MATCH(Players!$AE267,'Euro Qual stats'!$A$1:$A$2071,0),MATCH(Players!AG$2,'Euro Qual stats'!$A$1:$L$1,0)),0)</f>
        <v>0</v>
      </c>
      <c r="AH267" s="73">
        <f>IFERROR(INDEX('Euro Qual stats'!$A$1:$L$2071,MATCH(Players!$AE267,'Euro Qual stats'!$A$1:$A$2071,0),MATCH(Players!AH$2,'Euro Qual stats'!$A$1:$L$1,0)),0)</f>
        <v>0</v>
      </c>
      <c r="AI267" s="73">
        <f>IFERROR(INDEX('Euro Qual stats'!$A$1:$L$2071,MATCH(Players!$AE267,'Euro Qual stats'!$A$1:$A$2071,0),MATCH(Players!AI$2,'Euro Qual stats'!$A$1:$L$1,0)),0)</f>
        <v>0</v>
      </c>
      <c r="AJ267" s="93">
        <f>(12-AF267)/12*INDEX(BV$9:BV$12,MATCH($AB267,$BU$9:$BU$12,0))+AF267/12*AG267</f>
        <v>0</v>
      </c>
      <c r="AK267" s="93">
        <f>(12-AG267)/12*INDEX(BW$9:BW$12,MATCH($AB267,$BU$9:$BU$12,0))+AG267/12*AH267</f>
        <v>0</v>
      </c>
      <c r="AL267" s="93">
        <f>(12-AH267)/12*INDEX(BX$9:BX$12,MATCH($AB267,$BU$9:$BU$12,0))+AH267/12*AI267</f>
        <v>0</v>
      </c>
      <c r="AM267" s="93">
        <f>IF($BC267=1,AJ267/SUMIFS(AJ$3:AJ$623,$BC$3:$BC$623,1,$G$3:$G$623,$G267),0)</f>
        <v>0</v>
      </c>
      <c r="AN267" s="93">
        <f>IF($BC267=1,AK267/SUMIFS(AK$3:AK$623,$BC$3:$BC$623,1,$G$3:$G$623,$G267),0)</f>
        <v>0</v>
      </c>
      <c r="AO267" s="93">
        <f>IF($BC267=1,AL267/SUMIFS(AL$3:AL$623,$BC$3:$BC$623,1,$G$3:$G$623,$G267),0)</f>
        <v>0</v>
      </c>
      <c r="AP267" s="2">
        <f>IFERROR(R267/$V267*90,"")</f>
        <v>0.193756727664155</v>
      </c>
      <c r="AQ267" s="2">
        <f>IFERROR(S267/$V267*90,"")</f>
        <v>9.6878363832077499E-2</v>
      </c>
      <c r="AR267" s="2">
        <f>IFERROR(W267/$V267*90,"")</f>
        <v>0.67814854682454251</v>
      </c>
      <c r="AS267" s="2">
        <f>IFERROR(X267/$V267*90,"")</f>
        <v>0</v>
      </c>
      <c r="AT267" s="2">
        <f>IFERROR(Y267/$V267*90,"")</f>
        <v>0</v>
      </c>
      <c r="AU267" s="2">
        <f>IF(AP267="",INDEX(BV$4:BV$7,MATCH(O267,$BU$4:$BU$7,0)),AP267)</f>
        <v>0.193756727664155</v>
      </c>
      <c r="AV267" s="2">
        <f>IF(AQ267="",INDEX(BW$4:BW$7,MATCH($O267,$BU$4:$BU$7,0)),AQ267)</f>
        <v>9.6878363832077499E-2</v>
      </c>
      <c r="AW267" s="2">
        <f t="shared" si="48"/>
        <v>0.67814854682454251</v>
      </c>
      <c r="AX267" s="2">
        <f t="shared" si="49"/>
        <v>0</v>
      </c>
      <c r="AY267" s="2">
        <f t="shared" si="50"/>
        <v>0</v>
      </c>
      <c r="AZ267" s="2">
        <f>AU267*0.5+AK267*0.5</f>
        <v>9.6878363832077499E-2</v>
      </c>
      <c r="BA267" s="2">
        <f>AV267*0.5+AJ267*0.5</f>
        <v>4.843918191603875E-2</v>
      </c>
      <c r="BB267" s="2">
        <f t="shared" si="51"/>
        <v>0</v>
      </c>
      <c r="BC267">
        <f>IF(I267="expected",1,0)</f>
        <v>0</v>
      </c>
      <c r="BD267" s="78">
        <f>IF(BC267=1,AZ267/SUMIFS(AZ$3:AZ$623,$BC$3:$BC$623,1,$G$3:$G$623,$G267),0)</f>
        <v>0</v>
      </c>
      <c r="BE267" s="78">
        <f>IF(BC267=1,BA267/SUMIFS(BA$3:BA$623,$BC$3:$BC$623,1,$G$3:$G$623,$G267),0)</f>
        <v>0</v>
      </c>
      <c r="BF267" s="78">
        <f t="shared" si="52"/>
        <v>0</v>
      </c>
      <c r="BG267" s="2">
        <f t="shared" si="53"/>
        <v>0</v>
      </c>
      <c r="BH267" s="2">
        <f t="shared" si="54"/>
        <v>0</v>
      </c>
      <c r="BI267" s="2">
        <f t="shared" si="55"/>
        <v>0</v>
      </c>
      <c r="BJ267" s="2">
        <f t="shared" si="56"/>
        <v>0</v>
      </c>
      <c r="BK267" s="2">
        <f t="shared" si="57"/>
        <v>0</v>
      </c>
      <c r="BL267" s="2">
        <f t="shared" si="58"/>
        <v>0</v>
      </c>
      <c r="BM267" s="2">
        <f t="shared" si="59"/>
        <v>0</v>
      </c>
      <c r="BN267" s="2">
        <f>BI267/SUMIFS(BI$3:BI$623,$BC$3:$BC$623,1,$G$3:$G$623,$G267)</f>
        <v>0</v>
      </c>
      <c r="BO267" s="2">
        <f>BJ267/SUMIFS(BJ$3:BJ$623,$BC$3:$BC$623,1,$G$3:$G$623,$G267)</f>
        <v>0</v>
      </c>
      <c r="BP267" s="2">
        <f>BK267/SUMIFS(BK$3:BK$623,$BC$3:$BC$623,1,$G$3:$G$623,$G267)</f>
        <v>0</v>
      </c>
      <c r="BQ267" s="2">
        <f>BL267</f>
        <v>0</v>
      </c>
      <c r="BR267" s="2">
        <f>BM267</f>
        <v>0</v>
      </c>
    </row>
    <row r="268" spans="1:70" hidden="1">
      <c r="A268" s="74">
        <v>0</v>
      </c>
      <c r="B268" s="73">
        <v>223504</v>
      </c>
      <c r="C268" s="73" t="s">
        <v>2045</v>
      </c>
      <c r="D268" s="73" t="s">
        <v>1914</v>
      </c>
      <c r="E268" s="73" t="s">
        <v>2046</v>
      </c>
      <c r="F268" s="73">
        <v>18624</v>
      </c>
      <c r="G268" s="73" t="s">
        <v>877</v>
      </c>
      <c r="H268" s="73" t="s">
        <v>951</v>
      </c>
      <c r="I268" s="73" t="s">
        <v>1012</v>
      </c>
      <c r="J268" s="73">
        <v>0</v>
      </c>
      <c r="K268" s="73">
        <v>5</v>
      </c>
      <c r="L268" s="73">
        <v>0</v>
      </c>
      <c r="M268" s="73">
        <v>0</v>
      </c>
      <c r="N268" s="73">
        <v>0</v>
      </c>
      <c r="O268" s="73" t="s">
        <v>994</v>
      </c>
      <c r="P268" s="73" t="s">
        <v>2047</v>
      </c>
      <c r="Q268" s="73" t="s">
        <v>2048</v>
      </c>
      <c r="R268" s="73">
        <v>0</v>
      </c>
      <c r="S268" s="73">
        <v>0</v>
      </c>
      <c r="T268" s="73">
        <v>62</v>
      </c>
      <c r="U268" s="73">
        <v>4</v>
      </c>
      <c r="V268" s="73">
        <v>1665</v>
      </c>
      <c r="W268" s="73">
        <v>0</v>
      </c>
      <c r="X268" s="73">
        <v>0</v>
      </c>
      <c r="Y268" s="73">
        <v>0</v>
      </c>
      <c r="Z268" s="73" t="s">
        <v>877</v>
      </c>
      <c r="AA268" s="73" t="s">
        <v>691</v>
      </c>
      <c r="AB268" s="73" t="str">
        <f>IF(AA268&lt;&gt;"",INDEX(Lookup!$N$2:$N$5,MATCH(Players!AA268,Lookup!$P$2:$P$5,0)),INDEX(Lookup!$N$2:$N$5,MATCH(Players!O268,Lookup!$O$2:$O$5,0)))</f>
        <v>Midfield</v>
      </c>
      <c r="AC268" s="73">
        <v>2000000</v>
      </c>
      <c r="AD268" s="73" t="s">
        <v>788</v>
      </c>
      <c r="AE268" s="73" t="str">
        <f>INDEX('Translate table'!$H$2:$H$622,MATCH(Players!P268,'Translate table'!$G$2:$G$622,0))</f>
        <v>Roman Bezus</v>
      </c>
      <c r="AF268" s="73">
        <f>IFERROR(INDEX('Euro Qual stats'!$A$1:$L$2071,MATCH(Players!$AE268,'Euro Qual stats'!$A$1:$A$2071,0),MATCH(Players!AF$2,'Euro Qual stats'!$A$1:$L$1,0)),0)</f>
        <v>2</v>
      </c>
      <c r="AG268" s="73">
        <f>IFERROR(INDEX('Euro Qual stats'!$A$1:$L$2071,MATCH(Players!$AE268,'Euro Qual stats'!$A$1:$A$2071,0),MATCH(Players!AG$2,'Euro Qual stats'!$A$1:$L$1,0)),0)</f>
        <v>0</v>
      </c>
      <c r="AH268" s="73">
        <f>IFERROR(INDEX('Euro Qual stats'!$A$1:$L$2071,MATCH(Players!$AE268,'Euro Qual stats'!$A$1:$A$2071,0),MATCH(Players!AH$2,'Euro Qual stats'!$A$1:$L$1,0)),0)</f>
        <v>0</v>
      </c>
      <c r="AI268" s="73">
        <f>IFERROR(INDEX('Euro Qual stats'!$A$1:$L$2071,MATCH(Players!$AE268,'Euro Qual stats'!$A$1:$A$2071,0),MATCH(Players!AI$2,'Euro Qual stats'!$A$1:$L$1,0)),0)</f>
        <v>0</v>
      </c>
      <c r="AJ268" s="93">
        <f>(12-AF268)/12*INDEX(BV$9:BV$12,MATCH($AB268,$BU$9:$BU$12,0))+AF268/12*AG268</f>
        <v>0.1405759162303665</v>
      </c>
      <c r="AK268" s="93">
        <f>(12-AG268)/12*INDEX(BW$9:BW$12,MATCH($AB268,$BU$9:$BU$12,0))+AG268/12*AH268</f>
        <v>0.22340314136125652</v>
      </c>
      <c r="AL268" s="93">
        <f>(12-AH268)/12*INDEX(BX$9:BX$12,MATCH($AB268,$BU$9:$BU$12,0))+AH268/12*AI268</f>
        <v>0.23942408376963353</v>
      </c>
      <c r="AM268" s="93">
        <f>IF($BC268=1,AJ268/SUMIFS(AJ$3:AJ$623,$BC$3:$BC$623,1,$G$3:$G$623,$G268),0)</f>
        <v>0</v>
      </c>
      <c r="AN268" s="93">
        <f>IF($BC268=1,AK268/SUMIFS(AK$3:AK$623,$BC$3:$BC$623,1,$G$3:$G$623,$G268),0)</f>
        <v>0</v>
      </c>
      <c r="AO268" s="93">
        <f>IF($BC268=1,AL268/SUMIFS(AL$3:AL$623,$BC$3:$BC$623,1,$G$3:$G$623,$G268),0)</f>
        <v>0</v>
      </c>
      <c r="AP268" s="2">
        <f>IFERROR(R268/$V268*90,"")</f>
        <v>0</v>
      </c>
      <c r="AQ268" s="2">
        <f>IFERROR(S268/$V268*90,"")</f>
        <v>0</v>
      </c>
      <c r="AR268" s="2">
        <f>IFERROR(W268/$V268*90,"")</f>
        <v>0</v>
      </c>
      <c r="AS268" s="2">
        <f>IFERROR(X268/$V268*90,"")</f>
        <v>0</v>
      </c>
      <c r="AT268" s="2">
        <f>IFERROR(Y268/$V268*90,"")</f>
        <v>0</v>
      </c>
      <c r="AU268" s="2">
        <f>IF(AP268="",INDEX(BV$4:BV$7,MATCH(O268,$BU$4:$BU$7,0)),AP268)</f>
        <v>0</v>
      </c>
      <c r="AV268" s="2">
        <f>IF(AQ268="",INDEX(BW$4:BW$7,MATCH($O268,$BU$4:$BU$7,0)),AQ268)</f>
        <v>0</v>
      </c>
      <c r="AW268" s="2">
        <f t="shared" si="48"/>
        <v>0</v>
      </c>
      <c r="AX268" s="2">
        <f t="shared" si="49"/>
        <v>0</v>
      </c>
      <c r="AY268" s="2">
        <f t="shared" si="50"/>
        <v>0</v>
      </c>
      <c r="AZ268" s="2">
        <f>AU268*0.5+AK268*0.5</f>
        <v>0.11170157068062826</v>
      </c>
      <c r="BA268" s="2">
        <f>AV268*0.5+AJ268*0.5</f>
        <v>7.0287958115183249E-2</v>
      </c>
      <c r="BB268" s="2">
        <f t="shared" si="51"/>
        <v>0</v>
      </c>
      <c r="BC268">
        <f>IF(I268="expected",1,0)</f>
        <v>0</v>
      </c>
      <c r="BD268" s="78">
        <f>IF(BC268=1,AZ268/SUMIFS(AZ$3:AZ$623,$BC$3:$BC$623,1,$G$3:$G$623,$G268),0)</f>
        <v>0</v>
      </c>
      <c r="BE268" s="78">
        <f>IF(BC268=1,BA268/SUMIFS(BA$3:BA$623,$BC$3:$BC$623,1,$G$3:$G$623,$G268),0)</f>
        <v>0</v>
      </c>
      <c r="BF268" s="78">
        <f t="shared" si="52"/>
        <v>0</v>
      </c>
      <c r="BG268" s="2">
        <f t="shared" si="53"/>
        <v>0</v>
      </c>
      <c r="BH268" s="2">
        <f t="shared" si="54"/>
        <v>0</v>
      </c>
      <c r="BI268" s="2">
        <f t="shared" si="55"/>
        <v>0</v>
      </c>
      <c r="BJ268" s="2">
        <f t="shared" si="56"/>
        <v>0</v>
      </c>
      <c r="BK268" s="2">
        <f t="shared" si="57"/>
        <v>0</v>
      </c>
      <c r="BL268" s="2">
        <f t="shared" si="58"/>
        <v>0</v>
      </c>
      <c r="BM268" s="2">
        <f t="shared" si="59"/>
        <v>0</v>
      </c>
      <c r="BN268" s="2">
        <f>BI268/SUMIFS(BI$3:BI$623,$BC$3:$BC$623,1,$G$3:$G$623,$G268)</f>
        <v>0</v>
      </c>
      <c r="BO268" s="2">
        <f>BJ268/SUMIFS(BJ$3:BJ$623,$BC$3:$BC$623,1,$G$3:$G$623,$G268)</f>
        <v>0</v>
      </c>
      <c r="BP268" s="2">
        <f>BK268/SUMIFS(BK$3:BK$623,$BC$3:$BC$623,1,$G$3:$G$623,$G268)</f>
        <v>0</v>
      </c>
      <c r="BQ268" s="2">
        <f>BL268</f>
        <v>0</v>
      </c>
      <c r="BR268" s="2">
        <f>BM268</f>
        <v>0</v>
      </c>
    </row>
    <row r="269" spans="1:70" hidden="1">
      <c r="A269" s="74">
        <v>0</v>
      </c>
      <c r="B269" s="73">
        <v>220808</v>
      </c>
      <c r="C269" s="73" t="s">
        <v>2049</v>
      </c>
      <c r="D269" s="73" t="s">
        <v>2050</v>
      </c>
      <c r="E269" s="73" t="s">
        <v>2051</v>
      </c>
      <c r="F269" s="73">
        <v>18624</v>
      </c>
      <c r="G269" s="73" t="s">
        <v>877</v>
      </c>
      <c r="H269" s="73" t="s">
        <v>951</v>
      </c>
      <c r="I269" s="73" t="s">
        <v>1012</v>
      </c>
      <c r="J269" s="73">
        <v>0</v>
      </c>
      <c r="K269" s="73">
        <v>5</v>
      </c>
      <c r="L269" s="73">
        <v>0</v>
      </c>
      <c r="M269" s="73">
        <v>0</v>
      </c>
      <c r="N269" s="73">
        <v>0</v>
      </c>
      <c r="O269" s="73" t="s">
        <v>994</v>
      </c>
      <c r="P269" s="73" t="s">
        <v>2052</v>
      </c>
      <c r="Q269" s="73" t="s">
        <v>1164</v>
      </c>
      <c r="R269" s="73"/>
      <c r="S269" s="73"/>
      <c r="T269" s="73"/>
      <c r="U269" s="73"/>
      <c r="V269" s="73"/>
      <c r="W269" s="73"/>
      <c r="X269" s="73"/>
      <c r="Y269" s="73"/>
      <c r="Z269" s="73" t="s">
        <v>877</v>
      </c>
      <c r="AA269" s="73" t="s">
        <v>691</v>
      </c>
      <c r="AB269" s="73" t="str">
        <f>IF(AA269&lt;&gt;"",INDEX(Lookup!$N$2:$N$5,MATCH(Players!AA269,Lookup!$P$2:$P$5,0)),INDEX(Lookup!$N$2:$N$5,MATCH(Players!O269,Lookup!$O$2:$O$5,0)))</f>
        <v>Midfield</v>
      </c>
      <c r="AC269" s="73">
        <v>2500000</v>
      </c>
      <c r="AD269" s="73" t="s">
        <v>788</v>
      </c>
      <c r="AE269" s="73" t="str">
        <f>INDEX('Translate table'!$H$2:$H$622,MATCH(Players!P269,'Translate table'!$G$2:$G$622,0))</f>
        <v>Yevhen Konoplyanka</v>
      </c>
      <c r="AF269" s="73">
        <f>IFERROR(INDEX('Euro Qual stats'!$A$1:$L$2071,MATCH(Players!$AE269,'Euro Qual stats'!$A$1:$A$2071,0),MATCH(Players!AF$2,'Euro Qual stats'!$A$1:$L$1,0)),0)</f>
        <v>6</v>
      </c>
      <c r="AG269" s="73">
        <f>IFERROR(INDEX('Euro Qual stats'!$A$1:$L$2071,MATCH(Players!$AE269,'Euro Qual stats'!$A$1:$A$2071,0),MATCH(Players!AG$2,'Euro Qual stats'!$A$1:$L$1,0)),0)</f>
        <v>0</v>
      </c>
      <c r="AH269" s="73">
        <f>IFERROR(INDEX('Euro Qual stats'!$A$1:$L$2071,MATCH(Players!$AE269,'Euro Qual stats'!$A$1:$A$2071,0),MATCH(Players!AH$2,'Euro Qual stats'!$A$1:$L$1,0)),0)</f>
        <v>0.46</v>
      </c>
      <c r="AI269" s="73">
        <f>IFERROR(INDEX('Euro Qual stats'!$A$1:$L$2071,MATCH(Players!$AE269,'Euro Qual stats'!$A$1:$A$2071,0),MATCH(Players!AI$2,'Euro Qual stats'!$A$1:$L$1,0)),0)</f>
        <v>0</v>
      </c>
      <c r="AJ269" s="93">
        <f>(12-AF269)/12*INDEX(BV$9:BV$12,MATCH($AB269,$BU$9:$BU$12,0))+AF269/12*AG269</f>
        <v>8.4345549738219894E-2</v>
      </c>
      <c r="AK269" s="93">
        <f>(12-AG269)/12*INDEX(BW$9:BW$12,MATCH($AB269,$BU$9:$BU$12,0))+AG269/12*AH269</f>
        <v>0.22340314136125652</v>
      </c>
      <c r="AL269" s="93">
        <f>(12-AH269)/12*INDEX(BX$9:BX$12,MATCH($AB269,$BU$9:$BU$12,0))+AH269/12*AI269</f>
        <v>0.23024616055846422</v>
      </c>
      <c r="AM269" s="93">
        <f>IF($BC269=1,AJ269/SUMIFS(AJ$3:AJ$623,$BC$3:$BC$623,1,$G$3:$G$623,$G269),0)</f>
        <v>0</v>
      </c>
      <c r="AN269" s="93">
        <f>IF($BC269=1,AK269/SUMIFS(AK$3:AK$623,$BC$3:$BC$623,1,$G$3:$G$623,$G269),0)</f>
        <v>0</v>
      </c>
      <c r="AO269" s="93">
        <f>IF($BC269=1,AL269/SUMIFS(AL$3:AL$623,$BC$3:$BC$623,1,$G$3:$G$623,$G269),0)</f>
        <v>0</v>
      </c>
      <c r="AP269" s="2" t="str">
        <f>IFERROR(R269/$V269*90,"")</f>
        <v/>
      </c>
      <c r="AQ269" s="2" t="str">
        <f>IFERROR(S269/$V269*90,"")</f>
        <v/>
      </c>
      <c r="AR269" s="2" t="str">
        <f>IFERROR(W269/$V269*90,"")</f>
        <v/>
      </c>
      <c r="AS269" s="2" t="str">
        <f>IFERROR(X269/$V269*90,"")</f>
        <v/>
      </c>
      <c r="AT269" s="2" t="str">
        <f>IFERROR(Y269/$V269*90,"")</f>
        <v/>
      </c>
      <c r="AU269" s="2">
        <f>IF(AP269="",INDEX(BV$4:BV$7,MATCH(O269,$BU$4:$BU$7,0)),AP269)</f>
        <v>3.6526142445450806E-2</v>
      </c>
      <c r="AV269" s="2">
        <f>IF(AQ269="",INDEX(BW$4:BW$7,MATCH($O269,$BU$4:$BU$7,0)),AQ269)</f>
        <v>3.2427739661688867E-2</v>
      </c>
      <c r="AW269" s="2">
        <f t="shared" si="48"/>
        <v>0.20013349649571699</v>
      </c>
      <c r="AX269" s="2">
        <f t="shared" si="49"/>
        <v>0.16081000595592615</v>
      </c>
      <c r="AY269" s="2">
        <f t="shared" si="50"/>
        <v>0</v>
      </c>
      <c r="AZ269" s="2">
        <f>AU269*0.5+AK269*0.5</f>
        <v>0.12996464190335366</v>
      </c>
      <c r="BA269" s="2">
        <f>AV269*0.5+AJ269*0.5</f>
        <v>5.8386644699954381E-2</v>
      </c>
      <c r="BB269" s="2">
        <f t="shared" si="51"/>
        <v>8.0405002977963075E-2</v>
      </c>
      <c r="BC269">
        <f>IF(I269="expected",1,0)</f>
        <v>0</v>
      </c>
      <c r="BD269" s="78">
        <f>IF(BC269=1,AZ269/SUMIFS(AZ$3:AZ$623,$BC$3:$BC$623,1,$G$3:$G$623,$G269),0)</f>
        <v>0</v>
      </c>
      <c r="BE269" s="78">
        <f>IF(BC269=1,BA269/SUMIFS(BA$3:BA$623,$BC$3:$BC$623,1,$G$3:$G$623,$G269),0)</f>
        <v>0</v>
      </c>
      <c r="BF269" s="78">
        <f t="shared" si="52"/>
        <v>0</v>
      </c>
      <c r="BG269" s="2">
        <f t="shared" si="53"/>
        <v>8.0405002977963075E-2</v>
      </c>
      <c r="BH269" s="2">
        <f t="shared" si="54"/>
        <v>0</v>
      </c>
      <c r="BI269" s="2">
        <f t="shared" si="55"/>
        <v>0</v>
      </c>
      <c r="BJ269" s="2">
        <f t="shared" si="56"/>
        <v>0</v>
      </c>
      <c r="BK269" s="2">
        <f t="shared" si="57"/>
        <v>0</v>
      </c>
      <c r="BL269" s="2">
        <f t="shared" si="58"/>
        <v>8.0405002977963075E-2</v>
      </c>
      <c r="BM269" s="2">
        <f t="shared" si="59"/>
        <v>0</v>
      </c>
      <c r="BN269" s="2">
        <f>BI269/SUMIFS(BI$3:BI$623,$BC$3:$BC$623,1,$G$3:$G$623,$G269)</f>
        <v>0</v>
      </c>
      <c r="BO269" s="2">
        <f>BJ269/SUMIFS(BJ$3:BJ$623,$BC$3:$BC$623,1,$G$3:$G$623,$G269)</f>
        <v>0</v>
      </c>
      <c r="BP269" s="2">
        <f>BK269/SUMIFS(BK$3:BK$623,$BC$3:$BC$623,1,$G$3:$G$623,$G269)</f>
        <v>0</v>
      </c>
      <c r="BQ269" s="2">
        <f>BL269</f>
        <v>8.0405002977963075E-2</v>
      </c>
      <c r="BR269" s="2">
        <f>BM269</f>
        <v>0</v>
      </c>
    </row>
    <row r="270" spans="1:70" hidden="1">
      <c r="A270" s="74">
        <v>0</v>
      </c>
      <c r="B270" s="73">
        <v>204502</v>
      </c>
      <c r="C270" s="73" t="s">
        <v>2053</v>
      </c>
      <c r="D270" s="73" t="s">
        <v>2054</v>
      </c>
      <c r="E270" s="73" t="s">
        <v>2055</v>
      </c>
      <c r="F270" s="73">
        <v>18624</v>
      </c>
      <c r="G270" s="73" t="s">
        <v>877</v>
      </c>
      <c r="H270" s="73" t="s">
        <v>951</v>
      </c>
      <c r="I270" s="73" t="s">
        <v>981</v>
      </c>
      <c r="J270" s="73">
        <v>0</v>
      </c>
      <c r="K270" s="73">
        <v>5</v>
      </c>
      <c r="L270" s="73">
        <v>0</v>
      </c>
      <c r="M270" s="73">
        <v>0</v>
      </c>
      <c r="N270" s="73">
        <v>0</v>
      </c>
      <c r="O270" s="73" t="s">
        <v>994</v>
      </c>
      <c r="P270" s="73" t="s">
        <v>2056</v>
      </c>
      <c r="Q270" s="73" t="s">
        <v>2057</v>
      </c>
      <c r="R270" s="73">
        <v>0</v>
      </c>
      <c r="S270" s="73">
        <v>0</v>
      </c>
      <c r="T270" s="73">
        <v>0</v>
      </c>
      <c r="U270" s="73">
        <v>0</v>
      </c>
      <c r="V270" s="73">
        <v>3</v>
      </c>
      <c r="W270" s="73">
        <v>0</v>
      </c>
      <c r="X270" s="73">
        <v>0</v>
      </c>
      <c r="Y270" s="73">
        <v>0</v>
      </c>
      <c r="Z270" s="73" t="s">
        <v>877</v>
      </c>
      <c r="AA270" s="73" t="s">
        <v>691</v>
      </c>
      <c r="AB270" s="73" t="str">
        <f>IF(AA270&lt;&gt;"",INDEX(Lookup!$N$2:$N$5,MATCH(Players!AA270,Lookup!$P$2:$P$5,0)),INDEX(Lookup!$N$2:$N$5,MATCH(Players!O270,Lookup!$O$2:$O$5,0)))</f>
        <v>Midfield</v>
      </c>
      <c r="AC270" s="73">
        <v>3000000</v>
      </c>
      <c r="AD270" s="73" t="s">
        <v>788</v>
      </c>
      <c r="AE270" s="73" t="str">
        <f>INDEX('Translate table'!$H$2:$H$622,MATCH(Players!P270,'Translate table'!$G$2:$G$622,0))</f>
        <v>Viktor Tsygankov</v>
      </c>
      <c r="AF270" s="73">
        <f>IFERROR(INDEX('Euro Qual stats'!$A$1:$L$2071,MATCH(Players!$AE270,'Euro Qual stats'!$A$1:$A$2071,0),MATCH(Players!AF$2,'Euro Qual stats'!$A$1:$L$1,0)),0)</f>
        <v>7</v>
      </c>
      <c r="AG270" s="73">
        <f>IFERROR(INDEX('Euro Qual stats'!$A$1:$L$2071,MATCH(Players!$AE270,'Euro Qual stats'!$A$1:$A$2071,0),MATCH(Players!AG$2,'Euro Qual stats'!$A$1:$L$1,0)),0)</f>
        <v>0.21</v>
      </c>
      <c r="AH270" s="73">
        <f>IFERROR(INDEX('Euro Qual stats'!$A$1:$L$2071,MATCH(Players!$AE270,'Euro Qual stats'!$A$1:$A$2071,0),MATCH(Players!AH$2,'Euro Qual stats'!$A$1:$L$1,0)),0)</f>
        <v>0.64</v>
      </c>
      <c r="AI270" s="73">
        <f>IFERROR(INDEX('Euro Qual stats'!$A$1:$L$2071,MATCH(Players!$AE270,'Euro Qual stats'!$A$1:$A$2071,0),MATCH(Players!AI$2,'Euro Qual stats'!$A$1:$L$1,0)),0)</f>
        <v>0</v>
      </c>
      <c r="AJ270" s="93">
        <f>(12-AF270)/12*INDEX(BV$9:BV$12,MATCH($AB270,$BU$9:$BU$12,0))+AF270/12*AG270</f>
        <v>0.19278795811518323</v>
      </c>
      <c r="AK270" s="93">
        <f>(12-AG270)/12*INDEX(BW$9:BW$12,MATCH($AB270,$BU$9:$BU$12,0))+AG270/12*AH270</f>
        <v>0.23069358638743451</v>
      </c>
      <c r="AL270" s="93">
        <f>(12-AH270)/12*INDEX(BX$9:BX$12,MATCH($AB270,$BU$9:$BU$12,0))+AH270/12*AI270</f>
        <v>0.22665479930191973</v>
      </c>
      <c r="AM270" s="93">
        <f>IF($BC270=1,AJ270/SUMIFS(AJ$3:AJ$623,$BC$3:$BC$623,1,$G$3:$G$623,$G270),0)</f>
        <v>0.11969875043992605</v>
      </c>
      <c r="AN270" s="93">
        <f>IF($BC270=1,AK270/SUMIFS(AK$3:AK$623,$BC$3:$BC$623,1,$G$3:$G$623,$G270),0)</f>
        <v>0.11104115240249834</v>
      </c>
      <c r="AO270" s="93">
        <f>IF($BC270=1,AL270/SUMIFS(AL$3:AL$623,$BC$3:$BC$623,1,$G$3:$G$623,$G270),0)</f>
        <v>0.10793477769407174</v>
      </c>
      <c r="AP270" s="2">
        <f>IFERROR(R270/$V270*90,"")</f>
        <v>0</v>
      </c>
      <c r="AQ270" s="2">
        <f>IFERROR(S270/$V270*90,"")</f>
        <v>0</v>
      </c>
      <c r="AR270" s="2">
        <f>IFERROR(W270/$V270*90,"")</f>
        <v>0</v>
      </c>
      <c r="AS270" s="2">
        <f>IFERROR(X270/$V270*90,"")</f>
        <v>0</v>
      </c>
      <c r="AT270" s="2">
        <f>IFERROR(Y270/$V270*90,"")</f>
        <v>0</v>
      </c>
      <c r="AU270" s="2">
        <f>IF(AP270="",INDEX(BV$4:BV$7,MATCH(O270,$BU$4:$BU$7,0)),AP270)</f>
        <v>0</v>
      </c>
      <c r="AV270" s="2">
        <f>IF(AQ270="",INDEX(BW$4:BW$7,MATCH($O270,$BU$4:$BU$7,0)),AQ270)</f>
        <v>0</v>
      </c>
      <c r="AW270" s="2">
        <f t="shared" si="48"/>
        <v>0</v>
      </c>
      <c r="AX270" s="2">
        <f t="shared" si="49"/>
        <v>0</v>
      </c>
      <c r="AY270" s="2">
        <f t="shared" si="50"/>
        <v>0</v>
      </c>
      <c r="AZ270" s="2">
        <f>AU270*0.5+AK270*0.5</f>
        <v>0.11534679319371725</v>
      </c>
      <c r="BA270" s="2">
        <f>AV270*0.5+AJ270*0.5</f>
        <v>9.6393979057591617E-2</v>
      </c>
      <c r="BB270" s="2">
        <f t="shared" si="51"/>
        <v>0</v>
      </c>
      <c r="BC270">
        <f>IF(I270="expected",1,0)</f>
        <v>1</v>
      </c>
      <c r="BD270" s="78">
        <f>IF(BC270=1,AZ270/SUMIFS(AZ$3:AZ$623,$BC$3:$BC$623,1,$G$3:$G$623,$G270),0)</f>
        <v>8.3225303075014898E-2</v>
      </c>
      <c r="BE270" s="78">
        <f>IF(BC270=1,BA270/SUMIFS(BA$3:BA$623,$BC$3:$BC$623,1,$G$3:$G$623,$G270),0)</f>
        <v>7.318161682676573E-2</v>
      </c>
      <c r="BF270" s="78">
        <f t="shared" si="52"/>
        <v>0</v>
      </c>
      <c r="BG270" s="2">
        <f t="shared" si="53"/>
        <v>0</v>
      </c>
      <c r="BH270" s="2">
        <f t="shared" si="54"/>
        <v>0</v>
      </c>
      <c r="BI270" s="2">
        <f t="shared" si="55"/>
        <v>8.3225303075014898E-2</v>
      </c>
      <c r="BJ270" s="2">
        <f t="shared" si="56"/>
        <v>7.318161682676573E-2</v>
      </c>
      <c r="BK270" s="2">
        <f t="shared" si="57"/>
        <v>0</v>
      </c>
      <c r="BL270" s="2">
        <f t="shared" si="58"/>
        <v>0</v>
      </c>
      <c r="BM270" s="2">
        <f t="shared" si="59"/>
        <v>0</v>
      </c>
      <c r="BN270" s="2">
        <f>BI270/SUMIFS(BI$3:BI$623,$BC$3:$BC$623,1,$G$3:$G$623,$G270)</f>
        <v>8.3225303075014898E-2</v>
      </c>
      <c r="BO270" s="2">
        <f>BJ270/SUMIFS(BJ$3:BJ$623,$BC$3:$BC$623,1,$G$3:$G$623,$G270)</f>
        <v>7.5862880601908572E-2</v>
      </c>
      <c r="BP270" s="2">
        <f>BK270/SUMIFS(BK$3:BK$623,$BC$3:$BC$623,1,$G$3:$G$623,$G270)</f>
        <v>0</v>
      </c>
      <c r="BQ270" s="2">
        <f>BL270</f>
        <v>0</v>
      </c>
      <c r="BR270" s="2">
        <f>BM270</f>
        <v>0</v>
      </c>
    </row>
    <row r="271" spans="1:70" hidden="1">
      <c r="A271" s="74">
        <v>0</v>
      </c>
      <c r="B271" s="73">
        <v>220801</v>
      </c>
      <c r="C271" s="73" t="s">
        <v>2058</v>
      </c>
      <c r="D271" s="73" t="s">
        <v>1928</v>
      </c>
      <c r="E271" s="73" t="s">
        <v>2059</v>
      </c>
      <c r="F271" s="73">
        <v>18624</v>
      </c>
      <c r="G271" s="73" t="s">
        <v>877</v>
      </c>
      <c r="H271" s="73" t="s">
        <v>951</v>
      </c>
      <c r="I271" s="73" t="s">
        <v>1012</v>
      </c>
      <c r="J271" s="73">
        <v>0</v>
      </c>
      <c r="K271" s="73">
        <v>5</v>
      </c>
      <c r="L271" s="73">
        <v>0</v>
      </c>
      <c r="M271" s="73">
        <v>0</v>
      </c>
      <c r="N271" s="73">
        <v>0</v>
      </c>
      <c r="O271" s="73" t="s">
        <v>982</v>
      </c>
      <c r="P271" s="73" t="s">
        <v>2060</v>
      </c>
      <c r="Q271" s="73" t="s">
        <v>1839</v>
      </c>
      <c r="R271" s="73">
        <v>2</v>
      </c>
      <c r="S271" s="73">
        <v>3</v>
      </c>
      <c r="T271" s="73">
        <v>0</v>
      </c>
      <c r="U271" s="73">
        <v>4</v>
      </c>
      <c r="V271" s="73">
        <v>2318</v>
      </c>
      <c r="W271" s="73">
        <v>7</v>
      </c>
      <c r="X271" s="73">
        <v>1</v>
      </c>
      <c r="Y271" s="73">
        <v>1</v>
      </c>
      <c r="Z271" s="73" t="s">
        <v>877</v>
      </c>
      <c r="AA271" s="73" t="s">
        <v>693</v>
      </c>
      <c r="AB271" s="73" t="str">
        <f>IF(AA271&lt;&gt;"",INDEX(Lookup!$N$2:$N$5,MATCH(Players!AA271,Lookup!$P$2:$P$5,0)),INDEX(Lookup!$N$2:$N$5,MATCH(Players!O271,Lookup!$O$2:$O$5,0)))</f>
        <v>Striker</v>
      </c>
      <c r="AC271" s="73">
        <v>2500000</v>
      </c>
      <c r="AD271" s="73" t="s">
        <v>788</v>
      </c>
      <c r="AE271" s="73" t="str">
        <f>INDEX('Translate table'!$H$2:$H$622,MATCH(Players!P271,'Translate table'!$G$2:$G$622,0))</f>
        <v>Harry Arter</v>
      </c>
      <c r="AF271" s="73">
        <f>IFERROR(INDEX('Euro Qual stats'!$A$1:$L$2071,MATCH(Players!$AE271,'Euro Qual stats'!$A$1:$A$2071,0),MATCH(Players!AF$2,'Euro Qual stats'!$A$1:$L$1,0)),0)</f>
        <v>1</v>
      </c>
      <c r="AG271" s="73">
        <f>IFERROR(INDEX('Euro Qual stats'!$A$1:$L$2071,MATCH(Players!$AE271,'Euro Qual stats'!$A$1:$A$2071,0),MATCH(Players!AG$2,'Euro Qual stats'!$A$1:$L$1,0)),0)</f>
        <v>0</v>
      </c>
      <c r="AH271" s="73">
        <f>IFERROR(INDEX('Euro Qual stats'!$A$1:$L$2071,MATCH(Players!$AE271,'Euro Qual stats'!$A$1:$A$2071,0),MATCH(Players!AH$2,'Euro Qual stats'!$A$1:$L$1,0)),0)</f>
        <v>0</v>
      </c>
      <c r="AI271" s="73">
        <f>IFERROR(INDEX('Euro Qual stats'!$A$1:$L$2071,MATCH(Players!$AE271,'Euro Qual stats'!$A$1:$A$2071,0),MATCH(Players!AI$2,'Euro Qual stats'!$A$1:$L$1,0)),0)</f>
        <v>0</v>
      </c>
      <c r="AJ271" s="93">
        <f>(12-AF271)/12*INDEX(BV$9:BV$12,MATCH($AB271,$BU$9:$BU$12,0))+AF271/12*AG271</f>
        <v>0.18783764367816094</v>
      </c>
      <c r="AK271" s="93">
        <f>(12-AG271)/12*INDEX(BW$9:BW$12,MATCH($AB271,$BU$9:$BU$12,0))+AG271/12*AH271</f>
        <v>0.53387931034482738</v>
      </c>
      <c r="AL271" s="93">
        <f>(12-AH271)/12*INDEX(BX$9:BX$12,MATCH($AB271,$BU$9:$BU$12,0))+AH271/12*AI271</f>
        <v>0.16482758620689658</v>
      </c>
      <c r="AM271" s="93">
        <f>IF($BC271=1,AJ271/SUMIFS(AJ$3:AJ$623,$BC$3:$BC$623,1,$G$3:$G$623,$G271),0)</f>
        <v>0</v>
      </c>
      <c r="AN271" s="93">
        <f>IF($BC271=1,AK271/SUMIFS(AK$3:AK$623,$BC$3:$BC$623,1,$G$3:$G$623,$G271),0)</f>
        <v>0</v>
      </c>
      <c r="AO271" s="93">
        <f>IF($BC271=1,AL271/SUMIFS(AL$3:AL$623,$BC$3:$BC$623,1,$G$3:$G$623,$G271),0)</f>
        <v>0</v>
      </c>
      <c r="AP271" s="2">
        <f>IFERROR(R271/$V271*90,"")</f>
        <v>7.7653149266609156E-2</v>
      </c>
      <c r="AQ271" s="2">
        <f>IFERROR(S271/$V271*90,"")</f>
        <v>0.11647972389991371</v>
      </c>
      <c r="AR271" s="2">
        <f>IFERROR(W271/$V271*90,"")</f>
        <v>0.27178602243313199</v>
      </c>
      <c r="AS271" s="2">
        <f>IFERROR(X271/$V271*90,"")</f>
        <v>3.8826574633304578E-2</v>
      </c>
      <c r="AT271" s="2">
        <f>IFERROR(Y271/$V271*90,"")</f>
        <v>3.8826574633304578E-2</v>
      </c>
      <c r="AU271" s="2">
        <f>IF(AP271="",INDEX(BV$4:BV$7,MATCH(O271,$BU$4:$BU$7,0)),AP271)</f>
        <v>7.7653149266609156E-2</v>
      </c>
      <c r="AV271" s="2">
        <f>IF(AQ271="",INDEX(BW$4:BW$7,MATCH($O271,$BU$4:$BU$7,0)),AQ271)</f>
        <v>0.11647972389991371</v>
      </c>
      <c r="AW271" s="2">
        <f t="shared" si="48"/>
        <v>0.27178602243313199</v>
      </c>
      <c r="AX271" s="2">
        <f t="shared" si="49"/>
        <v>3.8826574633304578E-2</v>
      </c>
      <c r="AY271" s="2">
        <f t="shared" si="50"/>
        <v>3.8826574633304578E-2</v>
      </c>
      <c r="AZ271" s="2">
        <f>AU271*0.5+AK271*0.5</f>
        <v>0.30576622980571827</v>
      </c>
      <c r="BA271" s="2">
        <f>AV271*0.5+AJ271*0.5</f>
        <v>0.15215868378903732</v>
      </c>
      <c r="BB271" s="2">
        <f t="shared" si="51"/>
        <v>1.9413287316652289E-2</v>
      </c>
      <c r="BC271">
        <f>IF(I271="expected",1,0)</f>
        <v>0</v>
      </c>
      <c r="BD271" s="78">
        <f>IF(BC271=1,AZ271/SUMIFS(AZ$3:AZ$623,$BC$3:$BC$623,1,$G$3:$G$623,$G271),0)</f>
        <v>0</v>
      </c>
      <c r="BE271" s="78">
        <f>IF(BC271=1,BA271/SUMIFS(BA$3:BA$623,$BC$3:$BC$623,1,$G$3:$G$623,$G271),0)</f>
        <v>0</v>
      </c>
      <c r="BF271" s="78">
        <f t="shared" si="52"/>
        <v>0</v>
      </c>
      <c r="BG271" s="2">
        <f t="shared" si="53"/>
        <v>1.9413287316652289E-2</v>
      </c>
      <c r="BH271" s="2">
        <f t="shared" si="54"/>
        <v>3.8826574633304578E-2</v>
      </c>
      <c r="BI271" s="2">
        <f t="shared" si="55"/>
        <v>0</v>
      </c>
      <c r="BJ271" s="2">
        <f t="shared" si="56"/>
        <v>0</v>
      </c>
      <c r="BK271" s="2">
        <f t="shared" si="57"/>
        <v>0</v>
      </c>
      <c r="BL271" s="2">
        <f t="shared" si="58"/>
        <v>1.9413287316652289E-2</v>
      </c>
      <c r="BM271" s="2">
        <f t="shared" si="59"/>
        <v>3.8826574633304578E-2</v>
      </c>
      <c r="BN271" s="2">
        <f>BI271/SUMIFS(BI$3:BI$623,$BC$3:$BC$623,1,$G$3:$G$623,$G271)</f>
        <v>0</v>
      </c>
      <c r="BO271" s="2">
        <f>BJ271/SUMIFS(BJ$3:BJ$623,$BC$3:$BC$623,1,$G$3:$G$623,$G271)</f>
        <v>0</v>
      </c>
      <c r="BP271" s="2">
        <f>BK271/SUMIFS(BK$3:BK$623,$BC$3:$BC$623,1,$G$3:$G$623,$G271)</f>
        <v>0</v>
      </c>
      <c r="BQ271" s="2">
        <f>BL271</f>
        <v>1.9413287316652289E-2</v>
      </c>
      <c r="BR271" s="2">
        <f>BM271</f>
        <v>3.8826574633304578E-2</v>
      </c>
    </row>
    <row r="272" spans="1:70" hidden="1">
      <c r="A272" s="74">
        <v>0</v>
      </c>
      <c r="B272" s="73">
        <v>220800</v>
      </c>
      <c r="C272" s="73" t="s">
        <v>2061</v>
      </c>
      <c r="D272" s="73" t="s">
        <v>1928</v>
      </c>
      <c r="E272" s="73" t="s">
        <v>2062</v>
      </c>
      <c r="F272" s="73">
        <v>18624</v>
      </c>
      <c r="G272" s="73" t="s">
        <v>877</v>
      </c>
      <c r="H272" s="73" t="s">
        <v>951</v>
      </c>
      <c r="I272" s="73" t="s">
        <v>1012</v>
      </c>
      <c r="J272" s="73">
        <v>0</v>
      </c>
      <c r="K272" s="73">
        <v>5</v>
      </c>
      <c r="L272" s="73">
        <v>0</v>
      </c>
      <c r="M272" s="73">
        <v>0</v>
      </c>
      <c r="N272" s="73">
        <v>0</v>
      </c>
      <c r="O272" s="73" t="s">
        <v>982</v>
      </c>
      <c r="P272" s="73" t="s">
        <v>2063</v>
      </c>
      <c r="Q272" s="73" t="s">
        <v>1164</v>
      </c>
      <c r="R272" s="73"/>
      <c r="S272" s="73"/>
      <c r="T272" s="73"/>
      <c r="U272" s="73"/>
      <c r="V272" s="73"/>
      <c r="W272" s="73"/>
      <c r="X272" s="73"/>
      <c r="Y272" s="73"/>
      <c r="Z272" s="73" t="s">
        <v>877</v>
      </c>
      <c r="AA272" s="73" t="s">
        <v>693</v>
      </c>
      <c r="AB272" s="73" t="str">
        <f>IF(AA272&lt;&gt;"",INDEX(Lookup!$N$2:$N$5,MATCH(Players!AA272,Lookup!$P$2:$P$5,0)),INDEX(Lookup!$N$2:$N$5,MATCH(Players!O272,Lookup!$O$2:$O$5,0)))</f>
        <v>Striker</v>
      </c>
      <c r="AC272" s="73">
        <v>2000000</v>
      </c>
      <c r="AD272" s="73" t="s">
        <v>788</v>
      </c>
      <c r="AE272" s="73" t="str">
        <f>INDEX('Translate table'!$H$2:$H$622,MATCH(Players!P272,'Translate table'!$G$2:$G$622,0))</f>
        <v>Artem Besedin</v>
      </c>
      <c r="AF272" s="73">
        <f>IFERROR(INDEX('Euro Qual stats'!$A$1:$L$2071,MATCH(Players!$AE272,'Euro Qual stats'!$A$1:$A$2071,0),MATCH(Players!AF$2,'Euro Qual stats'!$A$1:$L$1,0)),0)</f>
        <v>1</v>
      </c>
      <c r="AG272" s="73">
        <f>IFERROR(INDEX('Euro Qual stats'!$A$1:$L$2071,MATCH(Players!$AE272,'Euro Qual stats'!$A$1:$A$2071,0),MATCH(Players!AG$2,'Euro Qual stats'!$A$1:$L$1,0)),0)</f>
        <v>0</v>
      </c>
      <c r="AH272" s="73">
        <f>IFERROR(INDEX('Euro Qual stats'!$A$1:$L$2071,MATCH(Players!$AE272,'Euro Qual stats'!$A$1:$A$2071,0),MATCH(Players!AH$2,'Euro Qual stats'!$A$1:$L$1,0)),0)</f>
        <v>6.92</v>
      </c>
      <c r="AI272" s="73">
        <f>IFERROR(INDEX('Euro Qual stats'!$A$1:$L$2071,MATCH(Players!$AE272,'Euro Qual stats'!$A$1:$A$2071,0),MATCH(Players!AI$2,'Euro Qual stats'!$A$1:$L$1,0)),0)</f>
        <v>0</v>
      </c>
      <c r="AJ272" s="93">
        <f>(12-AF272)/12*INDEX(BV$9:BV$12,MATCH($AB272,$BU$9:$BU$12,0))+AF272/12*AG272</f>
        <v>0.18783764367816094</v>
      </c>
      <c r="AK272" s="93">
        <f>(12-AG272)/12*INDEX(BW$9:BW$12,MATCH($AB272,$BU$9:$BU$12,0))+AG272/12*AH272</f>
        <v>0.53387931034482738</v>
      </c>
      <c r="AL272" s="93">
        <f>(12-AH272)/12*INDEX(BX$9:BX$12,MATCH($AB272,$BU$9:$BU$12,0))+AH272/12*AI272</f>
        <v>6.9777011494252889E-2</v>
      </c>
      <c r="AM272" s="93">
        <f>IF($BC272=1,AJ272/SUMIFS(AJ$3:AJ$623,$BC$3:$BC$623,1,$G$3:$G$623,$G272),0)</f>
        <v>0</v>
      </c>
      <c r="AN272" s="93">
        <f>IF($BC272=1,AK272/SUMIFS(AK$3:AK$623,$BC$3:$BC$623,1,$G$3:$G$623,$G272),0)</f>
        <v>0</v>
      </c>
      <c r="AO272" s="93">
        <f>IF($BC272=1,AL272/SUMIFS(AL$3:AL$623,$BC$3:$BC$623,1,$G$3:$G$623,$G272),0)</f>
        <v>0</v>
      </c>
      <c r="AP272" s="2" t="str">
        <f>IFERROR(R272/$V272*90,"")</f>
        <v/>
      </c>
      <c r="AQ272" s="2" t="str">
        <f>IFERROR(S272/$V272*90,"")</f>
        <v/>
      </c>
      <c r="AR272" s="2" t="str">
        <f>IFERROR(W272/$V272*90,"")</f>
        <v/>
      </c>
      <c r="AS272" s="2" t="str">
        <f>IFERROR(X272/$V272*90,"")</f>
        <v/>
      </c>
      <c r="AT272" s="2" t="str">
        <f>IFERROR(Y272/$V272*90,"")</f>
        <v/>
      </c>
      <c r="AU272" s="2">
        <f>IF(AP272="",INDEX(BV$4:BV$7,MATCH(O272,$BU$4:$BU$7,0)),AP272)</f>
        <v>0.18769551616266944</v>
      </c>
      <c r="AV272" s="2">
        <f>IF(AQ272="",INDEX(BW$4:BW$7,MATCH($O272,$BU$4:$BU$7,0)),AQ272)</f>
        <v>4.82573726541555E-2</v>
      </c>
      <c r="AW272" s="2">
        <f t="shared" si="48"/>
        <v>0.70512820512820518</v>
      </c>
      <c r="AX272" s="2">
        <f t="shared" si="49"/>
        <v>0.12295081967213115</v>
      </c>
      <c r="AY272" s="2">
        <f t="shared" si="50"/>
        <v>0</v>
      </c>
      <c r="AZ272" s="2">
        <f>AU272*0.5+AK272*0.5</f>
        <v>0.36078741325374841</v>
      </c>
      <c r="BA272" s="2">
        <f>AV272*0.5+AJ272*0.5</f>
        <v>0.11804750816615822</v>
      </c>
      <c r="BB272" s="2">
        <f t="shared" si="51"/>
        <v>6.1475409836065573E-2</v>
      </c>
      <c r="BC272">
        <f>IF(I272="expected",1,0)</f>
        <v>0</v>
      </c>
      <c r="BD272" s="78">
        <f>IF(BC272=1,AZ272/SUMIFS(AZ$3:AZ$623,$BC$3:$BC$623,1,$G$3:$G$623,$G272),0)</f>
        <v>0</v>
      </c>
      <c r="BE272" s="78">
        <f>IF(BC272=1,BA272/SUMIFS(BA$3:BA$623,$BC$3:$BC$623,1,$G$3:$G$623,$G272),0)</f>
        <v>0</v>
      </c>
      <c r="BF272" s="78">
        <f t="shared" si="52"/>
        <v>0</v>
      </c>
      <c r="BG272" s="2">
        <f t="shared" si="53"/>
        <v>6.1475409836065573E-2</v>
      </c>
      <c r="BH272" s="2">
        <f t="shared" si="54"/>
        <v>0</v>
      </c>
      <c r="BI272" s="2">
        <f t="shared" si="55"/>
        <v>0</v>
      </c>
      <c r="BJ272" s="2">
        <f t="shared" si="56"/>
        <v>0</v>
      </c>
      <c r="BK272" s="2">
        <f t="shared" si="57"/>
        <v>0</v>
      </c>
      <c r="BL272" s="2">
        <f t="shared" si="58"/>
        <v>6.1475409836065573E-2</v>
      </c>
      <c r="BM272" s="2">
        <f t="shared" si="59"/>
        <v>0</v>
      </c>
      <c r="BN272" s="2">
        <f>BI272/SUMIFS(BI$3:BI$623,$BC$3:$BC$623,1,$G$3:$G$623,$G272)</f>
        <v>0</v>
      </c>
      <c r="BO272" s="2">
        <f>BJ272/SUMIFS(BJ$3:BJ$623,$BC$3:$BC$623,1,$G$3:$G$623,$G272)</f>
        <v>0</v>
      </c>
      <c r="BP272" s="2">
        <f>BK272/SUMIFS(BK$3:BK$623,$BC$3:$BC$623,1,$G$3:$G$623,$G272)</f>
        <v>0</v>
      </c>
      <c r="BQ272" s="2">
        <f>BL272</f>
        <v>6.1475409836065573E-2</v>
      </c>
      <c r="BR272" s="2">
        <f>BM272</f>
        <v>0</v>
      </c>
    </row>
    <row r="273" spans="1:70" hidden="1">
      <c r="A273" s="74">
        <v>0</v>
      </c>
      <c r="B273" s="73">
        <v>204785</v>
      </c>
      <c r="C273" s="73" t="s">
        <v>2064</v>
      </c>
      <c r="D273" s="73" t="s">
        <v>1427</v>
      </c>
      <c r="E273" s="73" t="s">
        <v>2065</v>
      </c>
      <c r="F273" s="73">
        <v>18706</v>
      </c>
      <c r="G273" s="73" t="s">
        <v>895</v>
      </c>
      <c r="H273" s="73" t="s">
        <v>907</v>
      </c>
      <c r="I273" s="73" t="s">
        <v>981</v>
      </c>
      <c r="J273" s="73">
        <v>0</v>
      </c>
      <c r="K273" s="73">
        <v>5</v>
      </c>
      <c r="L273" s="73">
        <v>0</v>
      </c>
      <c r="M273" s="73">
        <v>0</v>
      </c>
      <c r="N273" s="73">
        <v>0</v>
      </c>
      <c r="O273" s="73" t="s">
        <v>1318</v>
      </c>
      <c r="P273" s="73" t="s">
        <v>292</v>
      </c>
      <c r="Q273" s="73" t="s">
        <v>292</v>
      </c>
      <c r="R273" s="73">
        <v>1</v>
      </c>
      <c r="S273" s="73">
        <v>3</v>
      </c>
      <c r="T273" s="73">
        <v>0</v>
      </c>
      <c r="U273" s="73">
        <v>8</v>
      </c>
      <c r="V273" s="73">
        <v>2301</v>
      </c>
      <c r="W273" s="73">
        <v>3</v>
      </c>
      <c r="X273" s="73">
        <v>4</v>
      </c>
      <c r="Y273" s="73">
        <v>0</v>
      </c>
      <c r="Z273" s="73" t="s">
        <v>2066</v>
      </c>
      <c r="AA273" s="73" t="s">
        <v>692</v>
      </c>
      <c r="AB273" s="73" t="str">
        <f>IF(AA273&lt;&gt;"",INDEX(Lookup!$N$2:$N$5,MATCH(Players!AA273,Lookup!$P$2:$P$5,0)),INDEX(Lookup!$N$2:$N$5,MATCH(Players!O273,Lookup!$O$2:$O$5,0)))</f>
        <v>Defense</v>
      </c>
      <c r="AC273" s="73">
        <v>3000000</v>
      </c>
      <c r="AD273" s="73" t="s">
        <v>803</v>
      </c>
      <c r="AE273" s="73" t="str">
        <f>INDEX('Translate table'!$H$2:$H$622,MATCH(Players!P273,'Translate table'!$G$2:$G$622,0))</f>
        <v>Kieran Tierney</v>
      </c>
      <c r="AF273" s="73">
        <f>IFERROR(INDEX('Euro Qual stats'!$A$1:$L$2071,MATCH(Players!$AE273,'Euro Qual stats'!$A$1:$A$2071,0),MATCH(Players!AF$2,'Euro Qual stats'!$A$1:$L$1,0)),0)</f>
        <v>1</v>
      </c>
      <c r="AG273" s="73">
        <f>IFERROR(INDEX('Euro Qual stats'!$A$1:$L$2071,MATCH(Players!$AE273,'Euro Qual stats'!$A$1:$A$2071,0),MATCH(Players!AG$2,'Euro Qual stats'!$A$1:$L$1,0)),0)</f>
        <v>0</v>
      </c>
      <c r="AH273" s="73">
        <f>IFERROR(INDEX('Euro Qual stats'!$A$1:$L$2071,MATCH(Players!$AE273,'Euro Qual stats'!$A$1:$A$2071,0),MATCH(Players!AH$2,'Euro Qual stats'!$A$1:$L$1,0)),0)</f>
        <v>0</v>
      </c>
      <c r="AI273" s="73">
        <f>IFERROR(INDEX('Euro Qual stats'!$A$1:$L$2071,MATCH(Players!$AE273,'Euro Qual stats'!$A$1:$A$2071,0),MATCH(Players!AI$2,'Euro Qual stats'!$A$1:$L$1,0)),0)</f>
        <v>0</v>
      </c>
      <c r="AJ273" s="93">
        <f>(12-AF273)/12*INDEX(BV$9:BV$12,MATCH($AB273,$BU$9:$BU$12,0))+AF273/12*AG273</f>
        <v>8.1744505494505515E-2</v>
      </c>
      <c r="AK273" s="93">
        <f>(12-AG273)/12*INDEX(BW$9:BW$12,MATCH($AB273,$BU$9:$BU$12,0))+AG273/12*AH273</f>
        <v>0.10357142857142858</v>
      </c>
      <c r="AL273" s="93">
        <f>(12-AH273)/12*INDEX(BX$9:BX$12,MATCH($AB273,$BU$9:$BU$12,0))+AH273/12*AI273</f>
        <v>0.19357142857142848</v>
      </c>
      <c r="AM273" s="93">
        <f>IF($BC273=1,AJ273/SUMIFS(AJ$3:AJ$623,$BC$3:$BC$623,1,$G$3:$G$623,$G273),0)</f>
        <v>7.3234423245753813E-2</v>
      </c>
      <c r="AN273" s="93">
        <f>IF($BC273=1,AK273/SUMIFS(AK$3:AK$623,$BC$3:$BC$623,1,$G$3:$G$623,$G273),0)</f>
        <v>5.2707180771416139E-2</v>
      </c>
      <c r="AO273" s="93">
        <f>IF($BC273=1,AL273/SUMIFS(AL$3:AL$623,$BC$3:$BC$623,1,$G$3:$G$623,$G273),0)</f>
        <v>9.3589386085165108E-2</v>
      </c>
      <c r="AP273" s="2">
        <f>IFERROR(R273/$V273*90,"")</f>
        <v>3.911342894393742E-2</v>
      </c>
      <c r="AQ273" s="2">
        <f>IFERROR(S273/$V273*90,"")</f>
        <v>0.11734028683181225</v>
      </c>
      <c r="AR273" s="2">
        <f>IFERROR(W273/$V273*90,"")</f>
        <v>0.11734028683181225</v>
      </c>
      <c r="AS273" s="2">
        <f>IFERROR(X273/$V273*90,"")</f>
        <v>0.15645371577574968</v>
      </c>
      <c r="AT273" s="2">
        <f>IFERROR(Y273/$V273*90,"")</f>
        <v>0</v>
      </c>
      <c r="AU273" s="2">
        <f>IF(AP273="",INDEX(BV$4:BV$7,MATCH(O273,$BU$4:$BU$7,0)),AP273)</f>
        <v>3.911342894393742E-2</v>
      </c>
      <c r="AV273" s="2">
        <f>IF(AQ273="",INDEX(BW$4:BW$7,MATCH($O273,$BU$4:$BU$7,0)),AQ273)</f>
        <v>0.11734028683181225</v>
      </c>
      <c r="AW273" s="2">
        <f t="shared" si="48"/>
        <v>0.11734028683181225</v>
      </c>
      <c r="AX273" s="2">
        <f t="shared" si="49"/>
        <v>0.15645371577574968</v>
      </c>
      <c r="AY273" s="2">
        <f t="shared" si="50"/>
        <v>0</v>
      </c>
      <c r="AZ273" s="2">
        <f>AU273*0.5+AK273*0.5</f>
        <v>7.1342428757682999E-2</v>
      </c>
      <c r="BA273" s="2">
        <f>AV273*0.5+AJ273*0.5</f>
        <v>9.9542396163158881E-2</v>
      </c>
      <c r="BB273" s="2">
        <f t="shared" si="51"/>
        <v>7.822685788787484E-2</v>
      </c>
      <c r="BC273">
        <f>IF(I273="expected",1,0)</f>
        <v>1</v>
      </c>
      <c r="BD273" s="78">
        <f>IF(BC273=1,AZ273/SUMIFS(AZ$3:AZ$623,$BC$3:$BC$623,1,$G$3:$G$623,$G273),0)</f>
        <v>5.7044095665204068E-2</v>
      </c>
      <c r="BE273" s="78">
        <f>IF(BC273=1,BA273/SUMIFS(BA$3:BA$623,$BC$3:$BC$623,1,$G$3:$G$623,$G273),0)</f>
        <v>0.10804853194024709</v>
      </c>
      <c r="BF273" s="78">
        <f t="shared" si="52"/>
        <v>6.9880976317613155E-2</v>
      </c>
      <c r="BG273" s="2">
        <f t="shared" si="53"/>
        <v>7.822685788787484E-2</v>
      </c>
      <c r="BH273" s="2">
        <f t="shared" si="54"/>
        <v>0</v>
      </c>
      <c r="BI273" s="2">
        <f t="shared" si="55"/>
        <v>5.7044095665204068E-2</v>
      </c>
      <c r="BJ273" s="2">
        <f t="shared" si="56"/>
        <v>0.10804853194024709</v>
      </c>
      <c r="BK273" s="2">
        <f t="shared" si="57"/>
        <v>6.9880976317613155E-2</v>
      </c>
      <c r="BL273" s="2">
        <f t="shared" si="58"/>
        <v>7.822685788787484E-2</v>
      </c>
      <c r="BM273" s="2">
        <f t="shared" si="59"/>
        <v>0</v>
      </c>
      <c r="BN273" s="2">
        <f>BI273/SUMIFS(BI$3:BI$623,$BC$3:$BC$623,1,$G$3:$G$623,$G273)</f>
        <v>5.7044095665204075E-2</v>
      </c>
      <c r="BO273" s="2">
        <f>BJ273/SUMIFS(BJ$3:BJ$623,$BC$3:$BC$623,1,$G$3:$G$623,$G273)</f>
        <v>0.10804853194024711</v>
      </c>
      <c r="BP273" s="2">
        <f>BK273/SUMIFS(BK$3:BK$623,$BC$3:$BC$623,1,$G$3:$G$623,$G273)</f>
        <v>6.9880976317613155E-2</v>
      </c>
      <c r="BQ273" s="2">
        <f>BL273</f>
        <v>7.822685788787484E-2</v>
      </c>
      <c r="BR273" s="2">
        <f>BM273</f>
        <v>0</v>
      </c>
    </row>
    <row r="274" spans="1:70" hidden="1">
      <c r="A274" s="74">
        <v>0</v>
      </c>
      <c r="B274" s="73">
        <v>204781</v>
      </c>
      <c r="C274" s="73" t="s">
        <v>2067</v>
      </c>
      <c r="D274" s="73" t="s">
        <v>2068</v>
      </c>
      <c r="E274" s="73" t="s">
        <v>2069</v>
      </c>
      <c r="F274" s="73">
        <v>18706</v>
      </c>
      <c r="G274" s="73" t="s">
        <v>895</v>
      </c>
      <c r="H274" s="73" t="s">
        <v>907</v>
      </c>
      <c r="I274" s="73" t="s">
        <v>981</v>
      </c>
      <c r="J274" s="73">
        <v>0</v>
      </c>
      <c r="K274" s="73">
        <v>5</v>
      </c>
      <c r="L274" s="73">
        <v>0</v>
      </c>
      <c r="M274" s="73">
        <v>0</v>
      </c>
      <c r="N274" s="73">
        <v>0</v>
      </c>
      <c r="O274" s="73" t="s">
        <v>1318</v>
      </c>
      <c r="P274" s="73" t="s">
        <v>408</v>
      </c>
      <c r="Q274" s="73" t="s">
        <v>408</v>
      </c>
      <c r="R274" s="73">
        <v>1</v>
      </c>
      <c r="S274" s="73">
        <v>7</v>
      </c>
      <c r="T274" s="73">
        <v>0</v>
      </c>
      <c r="U274" s="73">
        <v>10</v>
      </c>
      <c r="V274" s="73">
        <v>3385</v>
      </c>
      <c r="W274" s="73">
        <v>5</v>
      </c>
      <c r="X274" s="73">
        <v>2</v>
      </c>
      <c r="Y274" s="73">
        <v>0</v>
      </c>
      <c r="Z274" s="73" t="s">
        <v>2066</v>
      </c>
      <c r="AA274" s="73" t="s">
        <v>692</v>
      </c>
      <c r="AB274" s="73" t="str">
        <f>IF(AA274&lt;&gt;"",INDEX(Lookup!$N$2:$N$5,MATCH(Players!AA274,Lookup!$P$2:$P$5,0)),INDEX(Lookup!$N$2:$N$5,MATCH(Players!O274,Lookup!$O$2:$O$5,0)))</f>
        <v>Defense</v>
      </c>
      <c r="AC274" s="73">
        <v>3500000</v>
      </c>
      <c r="AD274" s="73" t="s">
        <v>805</v>
      </c>
      <c r="AE274" s="73" t="str">
        <f>INDEX('Translate table'!$H$2:$H$622,MATCH(Players!P274,'Translate table'!$G$2:$G$622,0))</f>
        <v>Andrew Robertson</v>
      </c>
      <c r="AF274" s="73">
        <f>IFERROR(INDEX('Euro Qual stats'!$A$1:$L$2071,MATCH(Players!$AE274,'Euro Qual stats'!$A$1:$A$2071,0),MATCH(Players!AF$2,'Euro Qual stats'!$A$1:$L$1,0)),0)</f>
        <v>8</v>
      </c>
      <c r="AG274" s="73">
        <f>IFERROR(INDEX('Euro Qual stats'!$A$1:$L$2071,MATCH(Players!$AE274,'Euro Qual stats'!$A$1:$A$2071,0),MATCH(Players!AG$2,'Euro Qual stats'!$A$1:$L$1,0)),0)</f>
        <v>0</v>
      </c>
      <c r="AH274" s="73">
        <f>IFERROR(INDEX('Euro Qual stats'!$A$1:$L$2071,MATCH(Players!$AE274,'Euro Qual stats'!$A$1:$A$2071,0),MATCH(Players!AH$2,'Euro Qual stats'!$A$1:$L$1,0)),0)</f>
        <v>0.13</v>
      </c>
      <c r="AI274" s="73">
        <f>IFERROR(INDEX('Euro Qual stats'!$A$1:$L$2071,MATCH(Players!$AE274,'Euro Qual stats'!$A$1:$A$2071,0),MATCH(Players!AI$2,'Euro Qual stats'!$A$1:$L$1,0)),0)</f>
        <v>0</v>
      </c>
      <c r="AJ274" s="93">
        <f>(12-AF274)/12*INDEX(BV$9:BV$12,MATCH($AB274,$BU$9:$BU$12,0))+AF274/12*AG274</f>
        <v>2.9725274725274732E-2</v>
      </c>
      <c r="AK274" s="93">
        <f>(12-AG274)/12*INDEX(BW$9:BW$12,MATCH($AB274,$BU$9:$BU$12,0))+AG274/12*AH274</f>
        <v>0.10357142857142858</v>
      </c>
      <c r="AL274" s="93">
        <f>(12-AH274)/12*INDEX(BX$9:BX$12,MATCH($AB274,$BU$9:$BU$12,0))+AH274/12*AI274</f>
        <v>0.19147440476190467</v>
      </c>
      <c r="AM274" s="93">
        <f>IF($BC274=1,AJ274/SUMIFS(AJ$3:AJ$623,$BC$3:$BC$623,1,$G$3:$G$623,$G274),0)</f>
        <v>2.6630699362092294E-2</v>
      </c>
      <c r="AN274" s="93">
        <f>IF($BC274=1,AK274/SUMIFS(AK$3:AK$623,$BC$3:$BC$623,1,$G$3:$G$623,$G274),0)</f>
        <v>5.2707180771416139E-2</v>
      </c>
      <c r="AO274" s="93">
        <f>IF($BC274=1,AL274/SUMIFS(AL$3:AL$623,$BC$3:$BC$623,1,$G$3:$G$623,$G274),0)</f>
        <v>9.2575501069242477E-2</v>
      </c>
      <c r="AP274" s="2">
        <f>IFERROR(R274/$V274*90,"")</f>
        <v>2.6587887740029539E-2</v>
      </c>
      <c r="AQ274" s="2">
        <f>IFERROR(S274/$V274*90,"")</f>
        <v>0.18611521418020679</v>
      </c>
      <c r="AR274" s="2">
        <f>IFERROR(W274/$V274*90,"")</f>
        <v>0.13293943870014771</v>
      </c>
      <c r="AS274" s="2">
        <f>IFERROR(X274/$V274*90,"")</f>
        <v>5.3175775480059077E-2</v>
      </c>
      <c r="AT274" s="2">
        <f>IFERROR(Y274/$V274*90,"")</f>
        <v>0</v>
      </c>
      <c r="AU274" s="2">
        <f>IF(AP274="",INDEX(BV$4:BV$7,MATCH(O274,$BU$4:$BU$7,0)),AP274)</f>
        <v>2.6587887740029539E-2</v>
      </c>
      <c r="AV274" s="2">
        <f>IF(AQ274="",INDEX(BW$4:BW$7,MATCH($O274,$BU$4:$BU$7,0)),AQ274)</f>
        <v>0.18611521418020679</v>
      </c>
      <c r="AW274" s="2">
        <f t="shared" si="48"/>
        <v>0.13293943870014771</v>
      </c>
      <c r="AX274" s="2">
        <f t="shared" si="49"/>
        <v>5.3175775480059077E-2</v>
      </c>
      <c r="AY274" s="2">
        <f t="shared" si="50"/>
        <v>0</v>
      </c>
      <c r="AZ274" s="2">
        <f>AU274*0.5+AK274*0.5</f>
        <v>6.5079658155729053E-2</v>
      </c>
      <c r="BA274" s="2">
        <f>AV274*0.5+AJ274*0.5</f>
        <v>0.10792024445274076</v>
      </c>
      <c r="BB274" s="2">
        <f t="shared" si="51"/>
        <v>2.6587887740029539E-2</v>
      </c>
      <c r="BC274">
        <f>IF(I274="expected",1,0)</f>
        <v>1</v>
      </c>
      <c r="BD274" s="78">
        <f>IF(BC274=1,AZ274/SUMIFS(AZ$3:AZ$623,$BC$3:$BC$623,1,$G$3:$G$623,$G274),0)</f>
        <v>5.2036499322212805E-2</v>
      </c>
      <c r="BE274" s="78">
        <f>IF(BC274=1,BA274/SUMIFS(BA$3:BA$623,$BC$3:$BC$623,1,$G$3:$G$623,$G274),0)</f>
        <v>0.11714228739921459</v>
      </c>
      <c r="BF274" s="78">
        <f t="shared" si="52"/>
        <v>7.9170914085094968E-2</v>
      </c>
      <c r="BG274" s="2">
        <f t="shared" si="53"/>
        <v>2.6587887740029539E-2</v>
      </c>
      <c r="BH274" s="2">
        <f t="shared" si="54"/>
        <v>0</v>
      </c>
      <c r="BI274" s="2">
        <f t="shared" si="55"/>
        <v>5.2036499322212805E-2</v>
      </c>
      <c r="BJ274" s="2">
        <f t="shared" si="56"/>
        <v>0.11714228739921459</v>
      </c>
      <c r="BK274" s="2">
        <f t="shared" si="57"/>
        <v>7.9170914085094968E-2</v>
      </c>
      <c r="BL274" s="2">
        <f t="shared" si="58"/>
        <v>2.6587887740029539E-2</v>
      </c>
      <c r="BM274" s="2">
        <f t="shared" si="59"/>
        <v>0</v>
      </c>
      <c r="BN274" s="2">
        <f>BI274/SUMIFS(BI$3:BI$623,$BC$3:$BC$623,1,$G$3:$G$623,$G274)</f>
        <v>5.2036499322212812E-2</v>
      </c>
      <c r="BO274" s="2">
        <f>BJ274/SUMIFS(BJ$3:BJ$623,$BC$3:$BC$623,1,$G$3:$G$623,$G274)</f>
        <v>0.1171422873992146</v>
      </c>
      <c r="BP274" s="2">
        <f>BK274/SUMIFS(BK$3:BK$623,$BC$3:$BC$623,1,$G$3:$G$623,$G274)</f>
        <v>7.9170914085094968E-2</v>
      </c>
      <c r="BQ274" s="2">
        <f>BL274</f>
        <v>2.6587887740029539E-2</v>
      </c>
      <c r="BR274" s="2">
        <f>BM274</f>
        <v>0</v>
      </c>
    </row>
    <row r="275" spans="1:70" hidden="1">
      <c r="A275" s="74">
        <v>0</v>
      </c>
      <c r="B275" s="73">
        <v>213451</v>
      </c>
      <c r="C275" s="73" t="s">
        <v>2070</v>
      </c>
      <c r="D275" s="73" t="s">
        <v>2071</v>
      </c>
      <c r="E275" s="73" t="s">
        <v>2072</v>
      </c>
      <c r="F275" s="73">
        <v>18706</v>
      </c>
      <c r="G275" s="73" t="s">
        <v>895</v>
      </c>
      <c r="H275" s="73" t="s">
        <v>907</v>
      </c>
      <c r="I275" s="73" t="s">
        <v>1012</v>
      </c>
      <c r="J275" s="73">
        <v>0</v>
      </c>
      <c r="K275" s="73">
        <v>5</v>
      </c>
      <c r="L275" s="73">
        <v>0</v>
      </c>
      <c r="M275" s="73">
        <v>0</v>
      </c>
      <c r="N275" s="73">
        <v>0</v>
      </c>
      <c r="O275" s="73" t="s">
        <v>982</v>
      </c>
      <c r="P275" s="73" t="s">
        <v>2073</v>
      </c>
      <c r="Q275" s="73" t="s">
        <v>114</v>
      </c>
      <c r="R275" s="73">
        <v>9</v>
      </c>
      <c r="S275" s="73">
        <v>5</v>
      </c>
      <c r="T275" s="73">
        <v>0</v>
      </c>
      <c r="U275" s="73">
        <v>2</v>
      </c>
      <c r="V275" s="73">
        <v>2673</v>
      </c>
      <c r="W275" s="73">
        <v>31</v>
      </c>
      <c r="X275" s="73">
        <v>1</v>
      </c>
      <c r="Y275" s="73">
        <v>0</v>
      </c>
      <c r="Z275" s="73" t="s">
        <v>2066</v>
      </c>
      <c r="AA275" s="73" t="s">
        <v>693</v>
      </c>
      <c r="AB275" s="73" t="str">
        <f>IF(AA275&lt;&gt;"",INDEX(Lookup!$N$2:$N$5,MATCH(Players!AA275,Lookup!$P$2:$P$5,0)),INDEX(Lookup!$N$2:$N$5,MATCH(Players!O275,Lookup!$O$2:$O$5,0)))</f>
        <v>Striker</v>
      </c>
      <c r="AC275" s="73">
        <v>3000000</v>
      </c>
      <c r="AD275" s="73" t="s">
        <v>790</v>
      </c>
      <c r="AE275" s="73" t="str">
        <f>INDEX('Translate table'!$H$2:$H$622,MATCH(Players!P275,'Translate table'!$G$2:$G$622,0))</f>
        <v>Adam Davies</v>
      </c>
      <c r="AF275" s="73">
        <f>IFERROR(INDEX('Euro Qual stats'!$A$1:$L$2071,MATCH(Players!$AE275,'Euro Qual stats'!$A$1:$A$2071,0),MATCH(Players!AF$2,'Euro Qual stats'!$A$1:$L$1,0)),0)</f>
        <v>0</v>
      </c>
      <c r="AG275" s="73">
        <f>IFERROR(INDEX('Euro Qual stats'!$A$1:$L$2071,MATCH(Players!$AE275,'Euro Qual stats'!$A$1:$A$2071,0),MATCH(Players!AG$2,'Euro Qual stats'!$A$1:$L$1,0)),0)</f>
        <v>0</v>
      </c>
      <c r="AH275" s="73">
        <f>IFERROR(INDEX('Euro Qual stats'!$A$1:$L$2071,MATCH(Players!$AE275,'Euro Qual stats'!$A$1:$A$2071,0),MATCH(Players!AH$2,'Euro Qual stats'!$A$1:$L$1,0)),0)</f>
        <v>0</v>
      </c>
      <c r="AI275" s="73">
        <f>IFERROR(INDEX('Euro Qual stats'!$A$1:$L$2071,MATCH(Players!$AE275,'Euro Qual stats'!$A$1:$A$2071,0),MATCH(Players!AI$2,'Euro Qual stats'!$A$1:$L$1,0)),0)</f>
        <v>0</v>
      </c>
      <c r="AJ275" s="93">
        <f>(12-AF275)/12*INDEX(BV$9:BV$12,MATCH($AB275,$BU$9:$BU$12,0))+AF275/12*AG275</f>
        <v>0.20491379310344832</v>
      </c>
      <c r="AK275" s="93">
        <f>(12-AG275)/12*INDEX(BW$9:BW$12,MATCH($AB275,$BU$9:$BU$12,0))+AG275/12*AH275</f>
        <v>0.53387931034482738</v>
      </c>
      <c r="AL275" s="93">
        <f>(12-AH275)/12*INDEX(BX$9:BX$12,MATCH($AB275,$BU$9:$BU$12,0))+AH275/12*AI275</f>
        <v>0.16482758620689658</v>
      </c>
      <c r="AM275" s="93">
        <f>IF($BC275=1,AJ275/SUMIFS(AJ$3:AJ$623,$BC$3:$BC$623,1,$G$3:$G$623,$G275),0)</f>
        <v>0</v>
      </c>
      <c r="AN275" s="93">
        <f>IF($BC275=1,AK275/SUMIFS(AK$3:AK$623,$BC$3:$BC$623,1,$G$3:$G$623,$G275),0)</f>
        <v>0</v>
      </c>
      <c r="AO275" s="93">
        <f>IF($BC275=1,AL275/SUMIFS(AL$3:AL$623,$BC$3:$BC$623,1,$G$3:$G$623,$G275),0)</f>
        <v>0</v>
      </c>
      <c r="AP275" s="2">
        <f>IFERROR(R275/$V275*90,"")</f>
        <v>0.30303030303030304</v>
      </c>
      <c r="AQ275" s="2">
        <f>IFERROR(S275/$V275*90,"")</f>
        <v>0.16835016835016833</v>
      </c>
      <c r="AR275" s="2">
        <f>IFERROR(W275/$V275*90,"")</f>
        <v>1.0437710437710437</v>
      </c>
      <c r="AS275" s="2">
        <f>IFERROR(X275/$V275*90,"")</f>
        <v>3.3670033670033669E-2</v>
      </c>
      <c r="AT275" s="2">
        <f>IFERROR(Y275/$V275*90,"")</f>
        <v>0</v>
      </c>
      <c r="AU275" s="2">
        <f>IF(AP275="",INDEX(BV$4:BV$7,MATCH(O275,$BU$4:$BU$7,0)),AP275)</f>
        <v>0.30303030303030304</v>
      </c>
      <c r="AV275" s="2">
        <f>IF(AQ275="",INDEX(BW$4:BW$7,MATCH($O275,$BU$4:$BU$7,0)),AQ275)</f>
        <v>0.16835016835016833</v>
      </c>
      <c r="AW275" s="2">
        <f t="shared" si="48"/>
        <v>1.0437710437710437</v>
      </c>
      <c r="AX275" s="2">
        <f t="shared" si="49"/>
        <v>3.3670033670033669E-2</v>
      </c>
      <c r="AY275" s="2">
        <f t="shared" si="50"/>
        <v>0</v>
      </c>
      <c r="AZ275" s="2">
        <f>AU275*0.5+AK275*0.5</f>
        <v>0.41845480668756518</v>
      </c>
      <c r="BA275" s="2">
        <f>AV275*0.5+AJ275*0.5</f>
        <v>0.18663198072680831</v>
      </c>
      <c r="BB275" s="2">
        <f t="shared" si="51"/>
        <v>1.6835016835016835E-2</v>
      </c>
      <c r="BC275">
        <f>IF(I275="expected",1,0)</f>
        <v>0</v>
      </c>
      <c r="BD275" s="78">
        <f>IF(BC275=1,AZ275/SUMIFS(AZ$3:AZ$623,$BC$3:$BC$623,1,$G$3:$G$623,$G275),0)</f>
        <v>0</v>
      </c>
      <c r="BE275" s="78">
        <f>IF(BC275=1,BA275/SUMIFS(BA$3:BA$623,$BC$3:$BC$623,1,$G$3:$G$623,$G275),0)</f>
        <v>0</v>
      </c>
      <c r="BF275" s="78">
        <f t="shared" si="52"/>
        <v>0</v>
      </c>
      <c r="BG275" s="2">
        <f t="shared" si="53"/>
        <v>1.6835016835016835E-2</v>
      </c>
      <c r="BH275" s="2">
        <f t="shared" si="54"/>
        <v>0</v>
      </c>
      <c r="BI275" s="2">
        <f t="shared" si="55"/>
        <v>0</v>
      </c>
      <c r="BJ275" s="2">
        <f t="shared" si="56"/>
        <v>0</v>
      </c>
      <c r="BK275" s="2">
        <f t="shared" si="57"/>
        <v>0</v>
      </c>
      <c r="BL275" s="2">
        <f t="shared" si="58"/>
        <v>1.6835016835016835E-2</v>
      </c>
      <c r="BM275" s="2">
        <f t="shared" si="59"/>
        <v>0</v>
      </c>
      <c r="BN275" s="2">
        <f>BI275/SUMIFS(BI$3:BI$623,$BC$3:$BC$623,1,$G$3:$G$623,$G275)</f>
        <v>0</v>
      </c>
      <c r="BO275" s="2">
        <f>BJ275/SUMIFS(BJ$3:BJ$623,$BC$3:$BC$623,1,$G$3:$G$623,$G275)</f>
        <v>0</v>
      </c>
      <c r="BP275" s="2">
        <f>BK275/SUMIFS(BK$3:BK$623,$BC$3:$BC$623,1,$G$3:$G$623,$G275)</f>
        <v>0</v>
      </c>
      <c r="BQ275" s="2">
        <f>BL275</f>
        <v>1.6835016835016835E-2</v>
      </c>
      <c r="BR275" s="2">
        <f>BM275</f>
        <v>0</v>
      </c>
    </row>
    <row r="276" spans="1:70" hidden="1">
      <c r="A276" s="74">
        <v>0</v>
      </c>
      <c r="B276" s="73">
        <v>204805</v>
      </c>
      <c r="C276" s="73" t="s">
        <v>2074</v>
      </c>
      <c r="D276" s="73" t="s">
        <v>2075</v>
      </c>
      <c r="E276" s="73" t="s">
        <v>2076</v>
      </c>
      <c r="F276" s="73">
        <v>18706</v>
      </c>
      <c r="G276" s="73" t="s">
        <v>895</v>
      </c>
      <c r="H276" s="73" t="s">
        <v>907</v>
      </c>
      <c r="I276" s="73" t="s">
        <v>981</v>
      </c>
      <c r="J276" s="73">
        <v>0</v>
      </c>
      <c r="K276" s="73">
        <v>5</v>
      </c>
      <c r="L276" s="73">
        <v>0</v>
      </c>
      <c r="M276" s="73">
        <v>0</v>
      </c>
      <c r="N276" s="73">
        <v>0</v>
      </c>
      <c r="O276" s="73" t="s">
        <v>982</v>
      </c>
      <c r="P276" s="73" t="s">
        <v>2077</v>
      </c>
      <c r="Q276" s="73" t="s">
        <v>2078</v>
      </c>
      <c r="R276" s="73">
        <v>0</v>
      </c>
      <c r="S276" s="73">
        <v>1</v>
      </c>
      <c r="T276" s="73">
        <v>0</v>
      </c>
      <c r="U276" s="73">
        <v>4</v>
      </c>
      <c r="V276" s="73">
        <v>1778</v>
      </c>
      <c r="W276" s="73">
        <v>2</v>
      </c>
      <c r="X276" s="73">
        <v>2</v>
      </c>
      <c r="Y276" s="73">
        <v>0</v>
      </c>
      <c r="Z276" s="73" t="s">
        <v>2066</v>
      </c>
      <c r="AA276" s="73" t="s">
        <v>693</v>
      </c>
      <c r="AB276" s="73" t="str">
        <f>IF(AA276&lt;&gt;"",INDEX(Lookup!$N$2:$N$5,MATCH(Players!AA276,Lookup!$P$2:$P$5,0)),INDEX(Lookup!$N$2:$N$5,MATCH(Players!O276,Lookup!$O$2:$O$5,0)))</f>
        <v>Striker</v>
      </c>
      <c r="AC276" s="73">
        <v>2500000</v>
      </c>
      <c r="AD276" s="73" t="s">
        <v>789</v>
      </c>
      <c r="AE276" s="73" t="str">
        <f>INDEX('Translate table'!$H$2:$H$622,MATCH(Players!P276,'Translate table'!$G$2:$G$622,0))</f>
        <v>Lyndon Dykes</v>
      </c>
      <c r="AF276" s="73">
        <f>IFERROR(INDEX('Euro Qual stats'!$A$1:$L$2071,MATCH(Players!$AE276,'Euro Qual stats'!$A$1:$A$2071,0),MATCH(Players!AF$2,'Euro Qual stats'!$A$1:$L$1,0)),0)</f>
        <v>2</v>
      </c>
      <c r="AG276" s="73">
        <f>IFERROR(INDEX('Euro Qual stats'!$A$1:$L$2071,MATCH(Players!$AE276,'Euro Qual stats'!$A$1:$A$2071,0),MATCH(Players!AG$2,'Euro Qual stats'!$A$1:$L$1,0)),0)</f>
        <v>0</v>
      </c>
      <c r="AH276" s="73">
        <f>IFERROR(INDEX('Euro Qual stats'!$A$1:$L$2071,MATCH(Players!$AE276,'Euro Qual stats'!$A$1:$A$2071,0),MATCH(Players!AH$2,'Euro Qual stats'!$A$1:$L$1,0)),0)</f>
        <v>0</v>
      </c>
      <c r="AI276" s="73">
        <f>IFERROR(INDEX('Euro Qual stats'!$A$1:$L$2071,MATCH(Players!$AE276,'Euro Qual stats'!$A$1:$A$2071,0),MATCH(Players!AI$2,'Euro Qual stats'!$A$1:$L$1,0)),0)</f>
        <v>0</v>
      </c>
      <c r="AJ276" s="93">
        <f>(12-AF276)/12*INDEX(BV$9:BV$12,MATCH($AB276,$BU$9:$BU$12,0))+AF276/12*AG276</f>
        <v>0.1707614942528736</v>
      </c>
      <c r="AK276" s="93">
        <f>(12-AG276)/12*INDEX(BW$9:BW$12,MATCH($AB276,$BU$9:$BU$12,0))+AG276/12*AH276</f>
        <v>0.53387931034482738</v>
      </c>
      <c r="AL276" s="93">
        <f>(12-AH276)/12*INDEX(BX$9:BX$12,MATCH($AB276,$BU$9:$BU$12,0))+AH276/12*AI276</f>
        <v>0.16482758620689658</v>
      </c>
      <c r="AM276" s="93">
        <f>IF($BC276=1,AJ276/SUMIFS(AJ$3:AJ$623,$BC$3:$BC$623,1,$G$3:$G$623,$G276),0)</f>
        <v>0.15298422161270364</v>
      </c>
      <c r="AN276" s="93">
        <f>IF($BC276=1,AK276/SUMIFS(AK$3:AK$623,$BC$3:$BC$623,1,$G$3:$G$623,$G276),0)</f>
        <v>0.27168953550792629</v>
      </c>
      <c r="AO276" s="93">
        <f>IF($BC276=1,AL276/SUMIFS(AL$3:AL$623,$BC$3:$BC$623,1,$G$3:$G$623,$G276),0)</f>
        <v>7.969209462806022E-2</v>
      </c>
      <c r="AP276" s="2">
        <f>IFERROR(R276/$V276*90,"")</f>
        <v>0</v>
      </c>
      <c r="AQ276" s="2">
        <f>IFERROR(S276/$V276*90,"")</f>
        <v>5.0618672665916763E-2</v>
      </c>
      <c r="AR276" s="2">
        <f>IFERROR(W276/$V276*90,"")</f>
        <v>0.10123734533183353</v>
      </c>
      <c r="AS276" s="2">
        <f>IFERROR(X276/$V276*90,"")</f>
        <v>0.10123734533183353</v>
      </c>
      <c r="AT276" s="2">
        <f>IFERROR(Y276/$V276*90,"")</f>
        <v>0</v>
      </c>
      <c r="AU276" s="2">
        <f>IF(AP276="",INDEX(BV$4:BV$7,MATCH(O276,$BU$4:$BU$7,0)),AP276)</f>
        <v>0</v>
      </c>
      <c r="AV276" s="2">
        <f>IF(AQ276="",INDEX(BW$4:BW$7,MATCH($O276,$BU$4:$BU$7,0)),AQ276)</f>
        <v>5.0618672665916763E-2</v>
      </c>
      <c r="AW276" s="2">
        <f t="shared" si="48"/>
        <v>0.10123734533183353</v>
      </c>
      <c r="AX276" s="2">
        <f t="shared" si="49"/>
        <v>0.10123734533183353</v>
      </c>
      <c r="AY276" s="2">
        <f t="shared" si="50"/>
        <v>0</v>
      </c>
      <c r="AZ276" s="2">
        <f>AU276*0.5+AK276*0.5</f>
        <v>0.26693965517241369</v>
      </c>
      <c r="BA276" s="2">
        <f>AV276*0.5+AJ276*0.5</f>
        <v>0.11069008345939518</v>
      </c>
      <c r="BB276" s="2">
        <f t="shared" si="51"/>
        <v>5.0618672665916763E-2</v>
      </c>
      <c r="BC276">
        <f>IF(I276="expected",1,0)</f>
        <v>1</v>
      </c>
      <c r="BD276" s="78">
        <f>IF(BC276=1,AZ276/SUMIFS(AZ$3:AZ$623,$BC$3:$BC$623,1,$G$3:$G$623,$G276),0)</f>
        <v>0.21344004530896901</v>
      </c>
      <c r="BE276" s="78">
        <f>IF(BC276=1,BA276/SUMIFS(BA$3:BA$623,$BC$3:$BC$623,1,$G$3:$G$623,$G276),0)</f>
        <v>0.12014881577220354</v>
      </c>
      <c r="BF276" s="78">
        <f t="shared" si="52"/>
        <v>6.0291011063677492E-2</v>
      </c>
      <c r="BG276" s="2">
        <f t="shared" si="53"/>
        <v>5.0618672665916763E-2</v>
      </c>
      <c r="BH276" s="2">
        <f t="shared" si="54"/>
        <v>0</v>
      </c>
      <c r="BI276" s="2">
        <f t="shared" si="55"/>
        <v>0.21344004530896901</v>
      </c>
      <c r="BJ276" s="2">
        <f t="shared" si="56"/>
        <v>0.12014881577220354</v>
      </c>
      <c r="BK276" s="2">
        <f t="shared" si="57"/>
        <v>6.0291011063677492E-2</v>
      </c>
      <c r="BL276" s="2">
        <f t="shared" si="58"/>
        <v>5.0618672665916763E-2</v>
      </c>
      <c r="BM276" s="2">
        <f t="shared" si="59"/>
        <v>0</v>
      </c>
      <c r="BN276" s="2">
        <f>BI276/SUMIFS(BI$3:BI$623,$BC$3:$BC$623,1,$G$3:$G$623,$G276)</f>
        <v>0.21344004530896904</v>
      </c>
      <c r="BO276" s="2">
        <f>BJ276/SUMIFS(BJ$3:BJ$623,$BC$3:$BC$623,1,$G$3:$G$623,$G276)</f>
        <v>0.12014881577220356</v>
      </c>
      <c r="BP276" s="2">
        <f>BK276/SUMIFS(BK$3:BK$623,$BC$3:$BC$623,1,$G$3:$G$623,$G276)</f>
        <v>6.0291011063677492E-2</v>
      </c>
      <c r="BQ276" s="2">
        <f>BL276</f>
        <v>5.0618672665916763E-2</v>
      </c>
      <c r="BR276" s="2">
        <f>BM276</f>
        <v>0</v>
      </c>
    </row>
    <row r="277" spans="1:70" hidden="1">
      <c r="A277" s="74">
        <v>0</v>
      </c>
      <c r="B277" s="73">
        <v>204760</v>
      </c>
      <c r="C277" s="73" t="s">
        <v>2079</v>
      </c>
      <c r="D277" s="73" t="s">
        <v>2080</v>
      </c>
      <c r="E277" s="73" t="s">
        <v>2081</v>
      </c>
      <c r="F277" s="73">
        <v>18718</v>
      </c>
      <c r="G277" s="73" t="s">
        <v>882</v>
      </c>
      <c r="H277" s="73" t="s">
        <v>937</v>
      </c>
      <c r="I277" s="73" t="s">
        <v>981</v>
      </c>
      <c r="J277" s="73">
        <v>0</v>
      </c>
      <c r="K277" s="73">
        <v>5</v>
      </c>
      <c r="L277" s="73">
        <v>0</v>
      </c>
      <c r="M277" s="73">
        <v>0</v>
      </c>
      <c r="N277" s="73">
        <v>0</v>
      </c>
      <c r="O277" s="73" t="s">
        <v>1318</v>
      </c>
      <c r="P277" s="73" t="s">
        <v>686</v>
      </c>
      <c r="Q277" s="73" t="s">
        <v>686</v>
      </c>
      <c r="R277" s="73">
        <v>0</v>
      </c>
      <c r="S277" s="73">
        <v>7</v>
      </c>
      <c r="T277" s="73">
        <v>0</v>
      </c>
      <c r="U277" s="73">
        <v>9</v>
      </c>
      <c r="V277" s="73">
        <v>3055</v>
      </c>
      <c r="W277" s="73">
        <v>5</v>
      </c>
      <c r="X277" s="73">
        <v>3</v>
      </c>
      <c r="Y277" s="73">
        <v>0</v>
      </c>
      <c r="Z277" s="73" t="s">
        <v>2082</v>
      </c>
      <c r="AA277" s="73" t="s">
        <v>692</v>
      </c>
      <c r="AB277" s="73" t="str">
        <f>IF(AA277&lt;&gt;"",INDEX(Lookup!$N$2:$N$5,MATCH(Players!AA277,Lookup!$P$2:$P$5,0)),INDEX(Lookup!$N$2:$N$5,MATCH(Players!O277,Lookup!$O$2:$O$5,0)))</f>
        <v>Defense</v>
      </c>
      <c r="AC277" s="73">
        <v>3000000</v>
      </c>
      <c r="AD277" s="73" t="s">
        <v>807</v>
      </c>
      <c r="AE277" s="73" t="str">
        <f>INDEX('Translate table'!$H$2:$H$622,MATCH(Players!P277,'Translate table'!$G$2:$G$622,0))</f>
        <v>VladimÃ­r Coufal</v>
      </c>
      <c r="AF277" s="73">
        <f>IFERROR(INDEX('Euro Qual stats'!$A$1:$L$2071,MATCH(Players!$AE277,'Euro Qual stats'!$A$1:$A$2071,0),MATCH(Players!AF$2,'Euro Qual stats'!$A$1:$L$1,0)),0)</f>
        <v>3</v>
      </c>
      <c r="AG277" s="73">
        <f>IFERROR(INDEX('Euro Qual stats'!$A$1:$L$2071,MATCH(Players!$AE277,'Euro Qual stats'!$A$1:$A$2071,0),MATCH(Players!AG$2,'Euro Qual stats'!$A$1:$L$1,0)),0)</f>
        <v>0</v>
      </c>
      <c r="AH277" s="73">
        <f>IFERROR(INDEX('Euro Qual stats'!$A$1:$L$2071,MATCH(Players!$AE277,'Euro Qual stats'!$A$1:$A$2071,0),MATCH(Players!AH$2,'Euro Qual stats'!$A$1:$L$1,0)),0)</f>
        <v>0</v>
      </c>
      <c r="AI277" s="73">
        <f>IFERROR(INDEX('Euro Qual stats'!$A$1:$L$2071,MATCH(Players!$AE277,'Euro Qual stats'!$A$1:$A$2071,0),MATCH(Players!AI$2,'Euro Qual stats'!$A$1:$L$1,0)),0)</f>
        <v>0</v>
      </c>
      <c r="AJ277" s="93">
        <f>(12-AF277)/12*INDEX(BV$9:BV$12,MATCH($AB277,$BU$9:$BU$12,0))+AF277/12*AG277</f>
        <v>6.6881868131868152E-2</v>
      </c>
      <c r="AK277" s="93">
        <f>(12-AG277)/12*INDEX(BW$9:BW$12,MATCH($AB277,$BU$9:$BU$12,0))+AG277/12*AH277</f>
        <v>0.10357142857142858</v>
      </c>
      <c r="AL277" s="93">
        <f>(12-AH277)/12*INDEX(BX$9:BX$12,MATCH($AB277,$BU$9:$BU$12,0))+AH277/12*AI277</f>
        <v>0.19357142857142848</v>
      </c>
      <c r="AM277" s="93">
        <f>IF($BC277=1,AJ277/SUMIFS(AJ$3:AJ$623,$BC$3:$BC$623,1,$G$3:$G$623,$G277),0)</f>
        <v>4.9170211937132009E-2</v>
      </c>
      <c r="AN277" s="93">
        <f>IF($BC277=1,AK277/SUMIFS(AK$3:AK$623,$BC$3:$BC$623,1,$G$3:$G$623,$G277),0)</f>
        <v>5.0282775089500374E-2</v>
      </c>
      <c r="AO277" s="93">
        <f>IF($BC277=1,AL277/SUMIFS(AL$3:AL$623,$BC$3:$BC$623,1,$G$3:$G$623,$G277),0)</f>
        <v>9.0209048206677231E-2</v>
      </c>
      <c r="AP277" s="2">
        <f>IFERROR(R277/$V277*90,"")</f>
        <v>0</v>
      </c>
      <c r="AQ277" s="2">
        <f>IFERROR(S277/$V277*90,"")</f>
        <v>0.20621931260229132</v>
      </c>
      <c r="AR277" s="2">
        <f>IFERROR(W277/$V277*90,"")</f>
        <v>0.14729950900163666</v>
      </c>
      <c r="AS277" s="2">
        <f>IFERROR(X277/$V277*90,"")</f>
        <v>8.8379705400981987E-2</v>
      </c>
      <c r="AT277" s="2">
        <f>IFERROR(Y277/$V277*90,"")</f>
        <v>0</v>
      </c>
      <c r="AU277" s="2">
        <f>IF(AP277="",INDEX(BV$4:BV$7,MATCH(O277,$BU$4:$BU$7,0)),AP277)</f>
        <v>0</v>
      </c>
      <c r="AV277" s="2">
        <f>IF(AQ277="",INDEX(BW$4:BW$7,MATCH($O277,$BU$4:$BU$7,0)),AQ277)</f>
        <v>0.20621931260229132</v>
      </c>
      <c r="AW277" s="2">
        <f t="shared" si="48"/>
        <v>0.14729950900163666</v>
      </c>
      <c r="AX277" s="2">
        <f t="shared" si="49"/>
        <v>8.8379705400981987E-2</v>
      </c>
      <c r="AY277" s="2">
        <f t="shared" si="50"/>
        <v>0</v>
      </c>
      <c r="AZ277" s="2">
        <f>AU277*0.5+AK277*0.5</f>
        <v>5.1785714285714289E-2</v>
      </c>
      <c r="BA277" s="2">
        <f>AV277*0.5+AJ277*0.5</f>
        <v>0.13655059036707973</v>
      </c>
      <c r="BB277" s="2">
        <f t="shared" si="51"/>
        <v>4.4189852700490993E-2</v>
      </c>
      <c r="BC277">
        <f>IF(I277="expected",1,0)</f>
        <v>1</v>
      </c>
      <c r="BD277" s="78">
        <f>IF(BC277=1,AZ277/SUMIFS(AZ$3:AZ$623,$BC$3:$BC$623,1,$G$3:$G$623,$G277),0)</f>
        <v>3.3730365695539499E-2</v>
      </c>
      <c r="BE277" s="78">
        <f>IF(BC277=1,BA277/SUMIFS(BA$3:BA$623,$BC$3:$BC$623,1,$G$3:$G$623,$G277),0)</f>
        <v>0.1238532139143896</v>
      </c>
      <c r="BF277" s="78">
        <f t="shared" si="52"/>
        <v>4.7981004367060841E-2</v>
      </c>
      <c r="BG277" s="2">
        <f t="shared" si="53"/>
        <v>4.4189852700490993E-2</v>
      </c>
      <c r="BH277" s="2">
        <f t="shared" si="54"/>
        <v>0</v>
      </c>
      <c r="BI277" s="2">
        <f t="shared" si="55"/>
        <v>3.3730365695539499E-2</v>
      </c>
      <c r="BJ277" s="2">
        <f t="shared" si="56"/>
        <v>0.1238532139143896</v>
      </c>
      <c r="BK277" s="2">
        <f t="shared" si="57"/>
        <v>4.7981004367060841E-2</v>
      </c>
      <c r="BL277" s="2">
        <f t="shared" si="58"/>
        <v>4.4189852700490993E-2</v>
      </c>
      <c r="BM277" s="2">
        <f t="shared" si="59"/>
        <v>0</v>
      </c>
      <c r="BN277" s="2">
        <f>BI277/SUMIFS(BI$3:BI$623,$BC$3:$BC$623,1,$G$3:$G$623,$G277)</f>
        <v>3.3730365695539506E-2</v>
      </c>
      <c r="BO277" s="2">
        <f>BJ277/SUMIFS(BJ$3:BJ$623,$BC$3:$BC$623,1,$G$3:$G$623,$G277)</f>
        <v>0.1238532139143896</v>
      </c>
      <c r="BP277" s="2">
        <f>BK277/SUMIFS(BK$3:BK$623,$BC$3:$BC$623,1,$G$3:$G$623,$G277)</f>
        <v>4.9470265380328414E-2</v>
      </c>
      <c r="BQ277" s="2">
        <f>BL277</f>
        <v>4.4189852700490993E-2</v>
      </c>
      <c r="BR277" s="2">
        <f>BM277</f>
        <v>0</v>
      </c>
    </row>
    <row r="278" spans="1:70" hidden="1">
      <c r="A278" s="74">
        <v>0</v>
      </c>
      <c r="B278" s="73">
        <v>222237</v>
      </c>
      <c r="C278" s="73" t="s">
        <v>2083</v>
      </c>
      <c r="D278" s="73" t="s">
        <v>2084</v>
      </c>
      <c r="E278" s="73" t="s">
        <v>2085</v>
      </c>
      <c r="F278" s="73">
        <v>18718</v>
      </c>
      <c r="G278" s="73" t="s">
        <v>882</v>
      </c>
      <c r="H278" s="73" t="s">
        <v>937</v>
      </c>
      <c r="I278" s="73" t="s">
        <v>1012</v>
      </c>
      <c r="J278" s="73">
        <v>0</v>
      </c>
      <c r="K278" s="73">
        <v>5</v>
      </c>
      <c r="L278" s="73">
        <v>0</v>
      </c>
      <c r="M278" s="73">
        <v>0</v>
      </c>
      <c r="N278" s="73">
        <v>0</v>
      </c>
      <c r="O278" s="73" t="s">
        <v>994</v>
      </c>
      <c r="P278" s="73" t="s">
        <v>2086</v>
      </c>
      <c r="Q278" s="73" t="s">
        <v>2087</v>
      </c>
      <c r="R278" s="73">
        <v>7</v>
      </c>
      <c r="S278" s="73">
        <v>3</v>
      </c>
      <c r="T278" s="73">
        <v>0</v>
      </c>
      <c r="U278" s="73">
        <v>4</v>
      </c>
      <c r="V278" s="73">
        <v>2770</v>
      </c>
      <c r="W278" s="73">
        <v>17</v>
      </c>
      <c r="X278" s="73">
        <v>5</v>
      </c>
      <c r="Y278" s="73">
        <v>1</v>
      </c>
      <c r="Z278" s="73" t="s">
        <v>2082</v>
      </c>
      <c r="AA278" s="73" t="s">
        <v>691</v>
      </c>
      <c r="AB278" s="73" t="str">
        <f>IF(AA278&lt;&gt;"",INDEX(Lookup!$N$2:$N$5,MATCH(Players!AA278,Lookup!$P$2:$P$5,0)),INDEX(Lookup!$N$2:$N$5,MATCH(Players!O278,Lookup!$O$2:$O$5,0)))</f>
        <v>Midfield</v>
      </c>
      <c r="AC278" s="73">
        <v>3500000</v>
      </c>
      <c r="AD278" s="73" t="s">
        <v>788</v>
      </c>
      <c r="AE278" s="73" t="str">
        <f>INDEX('Translate table'!$H$2:$H$622,MATCH(Players!P278,'Translate table'!$G$2:$G$622,0))</f>
        <v>Burak YÄ±lmaz</v>
      </c>
      <c r="AF278" s="73">
        <f>IFERROR(INDEX('Euro Qual stats'!$A$1:$L$2071,MATCH(Players!$AE278,'Euro Qual stats'!$A$1:$A$2071,0),MATCH(Players!AF$2,'Euro Qual stats'!$A$1:$L$1,0)),0)</f>
        <v>7</v>
      </c>
      <c r="AG278" s="73">
        <f>IFERROR(INDEX('Euro Qual stats'!$A$1:$L$2071,MATCH(Players!$AE278,'Euro Qual stats'!$A$1:$A$2071,0),MATCH(Players!AG$2,'Euro Qual stats'!$A$1:$L$1,0)),0)</f>
        <v>0.14000000000000001</v>
      </c>
      <c r="AH278" s="73">
        <f>IFERROR(INDEX('Euro Qual stats'!$A$1:$L$2071,MATCH(Players!$AE278,'Euro Qual stats'!$A$1:$A$2071,0),MATCH(Players!AH$2,'Euro Qual stats'!$A$1:$L$1,0)),0)</f>
        <v>0.14000000000000001</v>
      </c>
      <c r="AI278" s="73">
        <f>IFERROR(INDEX('Euro Qual stats'!$A$1:$L$2071,MATCH(Players!$AE278,'Euro Qual stats'!$A$1:$A$2071,0),MATCH(Players!AI$2,'Euro Qual stats'!$A$1:$L$1,0)),0)</f>
        <v>0.14000000000000001</v>
      </c>
      <c r="AJ278" s="93">
        <f>(12-AF278)/12*INDEX(BV$9:BV$12,MATCH($AB278,$BU$9:$BU$12,0))+AF278/12*AG278</f>
        <v>0.15195462478184993</v>
      </c>
      <c r="AK278" s="93">
        <f>(12-AG278)/12*INDEX(BW$9:BW$12,MATCH($AB278,$BU$9:$BU$12,0))+AG278/12*AH278</f>
        <v>0.22243010471204183</v>
      </c>
      <c r="AL278" s="93">
        <f>(12-AH278)/12*INDEX(BX$9:BX$12,MATCH($AB278,$BU$9:$BU$12,0))+AH278/12*AI278</f>
        <v>0.23826413612565445</v>
      </c>
      <c r="AM278" s="93">
        <f>IF($BC278=1,AJ278/SUMIFS(AJ$3:AJ$623,$BC$3:$BC$623,1,$G$3:$G$623,$G278),0)</f>
        <v>0</v>
      </c>
      <c r="AN278" s="93">
        <f>IF($BC278=1,AK278/SUMIFS(AK$3:AK$623,$BC$3:$BC$623,1,$G$3:$G$623,$G278),0)</f>
        <v>0</v>
      </c>
      <c r="AO278" s="93">
        <f>IF($BC278=1,AL278/SUMIFS(AL$3:AL$623,$BC$3:$BC$623,1,$G$3:$G$623,$G278),0)</f>
        <v>0</v>
      </c>
      <c r="AP278" s="2">
        <f>IFERROR(R278/$V278*90,"")</f>
        <v>0.22743682310469313</v>
      </c>
      <c r="AQ278" s="2">
        <f>IFERROR(S278/$V278*90,"")</f>
        <v>9.7472924187725629E-2</v>
      </c>
      <c r="AR278" s="2">
        <f>IFERROR(W278/$V278*90,"")</f>
        <v>0.55234657039711188</v>
      </c>
      <c r="AS278" s="2">
        <f>IFERROR(X278/$V278*90,"")</f>
        <v>0.16245487364620939</v>
      </c>
      <c r="AT278" s="2">
        <f>IFERROR(Y278/$V278*90,"")</f>
        <v>3.2490974729241874E-2</v>
      </c>
      <c r="AU278" s="2">
        <f>IF(AP278="",INDEX(BV$4:BV$7,MATCH(O278,$BU$4:$BU$7,0)),AP278)</f>
        <v>0.22743682310469313</v>
      </c>
      <c r="AV278" s="2">
        <f>IF(AQ278="",INDEX(BW$4:BW$7,MATCH($O278,$BU$4:$BU$7,0)),AQ278)</f>
        <v>9.7472924187725629E-2</v>
      </c>
      <c r="AW278" s="2">
        <f t="shared" si="48"/>
        <v>0.55234657039711188</v>
      </c>
      <c r="AX278" s="2">
        <f t="shared" si="49"/>
        <v>0.16245487364620939</v>
      </c>
      <c r="AY278" s="2">
        <f t="shared" si="50"/>
        <v>3.2490974729241874E-2</v>
      </c>
      <c r="AZ278" s="2">
        <f>AU278*0.5+AK278*0.5</f>
        <v>0.22493346390836749</v>
      </c>
      <c r="BA278" s="2">
        <f>AV278*0.5+AJ278*0.5</f>
        <v>0.12471377448478778</v>
      </c>
      <c r="BB278" s="2">
        <f t="shared" si="51"/>
        <v>0.15122743682310469</v>
      </c>
      <c r="BC278">
        <f>IF(I278="expected",1,0)</f>
        <v>0</v>
      </c>
      <c r="BD278" s="78">
        <f>IF(BC278=1,AZ278/SUMIFS(AZ$3:AZ$623,$BC$3:$BC$623,1,$G$3:$G$623,$G278),0)</f>
        <v>0</v>
      </c>
      <c r="BE278" s="78">
        <f>IF(BC278=1,BA278/SUMIFS(BA$3:BA$623,$BC$3:$BC$623,1,$G$3:$G$623,$G278),0)</f>
        <v>0</v>
      </c>
      <c r="BF278" s="78">
        <f t="shared" si="52"/>
        <v>0</v>
      </c>
      <c r="BG278" s="2">
        <f t="shared" si="53"/>
        <v>0.15122743682310469</v>
      </c>
      <c r="BH278" s="2">
        <f t="shared" si="54"/>
        <v>3.2490974729241874E-2</v>
      </c>
      <c r="BI278" s="2">
        <f t="shared" si="55"/>
        <v>0</v>
      </c>
      <c r="BJ278" s="2">
        <f t="shared" si="56"/>
        <v>0</v>
      </c>
      <c r="BK278" s="2">
        <f t="shared" si="57"/>
        <v>0</v>
      </c>
      <c r="BL278" s="2">
        <f t="shared" si="58"/>
        <v>0.15122743682310469</v>
      </c>
      <c r="BM278" s="2">
        <f t="shared" si="59"/>
        <v>3.2490974729241874E-2</v>
      </c>
      <c r="BN278" s="2">
        <f>BI278/SUMIFS(BI$3:BI$623,$BC$3:$BC$623,1,$G$3:$G$623,$G278)</f>
        <v>0</v>
      </c>
      <c r="BO278" s="2">
        <f>BJ278/SUMIFS(BJ$3:BJ$623,$BC$3:$BC$623,1,$G$3:$G$623,$G278)</f>
        <v>0</v>
      </c>
      <c r="BP278" s="2">
        <f>BK278/SUMIFS(BK$3:BK$623,$BC$3:$BC$623,1,$G$3:$G$623,$G278)</f>
        <v>0</v>
      </c>
      <c r="BQ278" s="2">
        <f>BL278</f>
        <v>0.15122743682310469</v>
      </c>
      <c r="BR278" s="2">
        <f>BM278</f>
        <v>3.2490974729241874E-2</v>
      </c>
    </row>
    <row r="279" spans="1:70" hidden="1">
      <c r="A279" s="74">
        <v>0</v>
      </c>
      <c r="B279" s="73">
        <v>204777</v>
      </c>
      <c r="C279" s="73" t="s">
        <v>2088</v>
      </c>
      <c r="D279" s="73" t="s">
        <v>2089</v>
      </c>
      <c r="E279" s="73" t="s">
        <v>2090</v>
      </c>
      <c r="F279" s="73">
        <v>18718</v>
      </c>
      <c r="G279" s="73" t="s">
        <v>882</v>
      </c>
      <c r="H279" s="73" t="s">
        <v>937</v>
      </c>
      <c r="I279" s="73" t="s">
        <v>981</v>
      </c>
      <c r="J279" s="73">
        <v>0</v>
      </c>
      <c r="K279" s="73">
        <v>5</v>
      </c>
      <c r="L279" s="73">
        <v>0</v>
      </c>
      <c r="M279" s="73">
        <v>0</v>
      </c>
      <c r="N279" s="73">
        <v>0</v>
      </c>
      <c r="O279" s="73" t="s">
        <v>994</v>
      </c>
      <c r="P279" s="73" t="s">
        <v>227</v>
      </c>
      <c r="Q279" s="73" t="s">
        <v>227</v>
      </c>
      <c r="R279" s="73">
        <v>10</v>
      </c>
      <c r="S279" s="73">
        <v>1</v>
      </c>
      <c r="T279" s="73">
        <v>0</v>
      </c>
      <c r="U279" s="73">
        <v>10</v>
      </c>
      <c r="V279" s="73">
        <v>3419</v>
      </c>
      <c r="W279" s="73">
        <v>23</v>
      </c>
      <c r="X279" s="73">
        <v>7</v>
      </c>
      <c r="Y279" s="73">
        <v>1</v>
      </c>
      <c r="Z279" s="73" t="s">
        <v>2082</v>
      </c>
      <c r="AA279" s="73" t="s">
        <v>691</v>
      </c>
      <c r="AB279" s="73" t="str">
        <f>IF(AA279&lt;&gt;"",INDEX(Lookup!$N$2:$N$5,MATCH(Players!AA279,Lookup!$P$2:$P$5,0)),INDEX(Lookup!$N$2:$N$5,MATCH(Players!O279,Lookup!$O$2:$O$5,0)))</f>
        <v>Midfield</v>
      </c>
      <c r="AC279" s="73">
        <v>5000000</v>
      </c>
      <c r="AD279" s="73" t="s">
        <v>798</v>
      </c>
      <c r="AE279" s="73" t="str">
        <f>INDEX('Translate table'!$H$2:$H$622,MATCH(Players!P279,'Translate table'!$G$2:$G$622,0))</f>
        <v>TomÃ¡Å¡ Koubek</v>
      </c>
      <c r="AF279" s="73">
        <f>IFERROR(INDEX('Euro Qual stats'!$A$1:$L$2071,MATCH(Players!$AE279,'Euro Qual stats'!$A$1:$A$2071,0),MATCH(Players!AF$2,'Euro Qual stats'!$A$1:$L$1,0)),0)</f>
        <v>0</v>
      </c>
      <c r="AG279" s="73">
        <f>IFERROR(INDEX('Euro Qual stats'!$A$1:$L$2071,MATCH(Players!$AE279,'Euro Qual stats'!$A$1:$A$2071,0),MATCH(Players!AG$2,'Euro Qual stats'!$A$1:$L$1,0)),0)</f>
        <v>0</v>
      </c>
      <c r="AH279" s="73">
        <f>IFERROR(INDEX('Euro Qual stats'!$A$1:$L$2071,MATCH(Players!$AE279,'Euro Qual stats'!$A$1:$A$2071,0),MATCH(Players!AH$2,'Euro Qual stats'!$A$1:$L$1,0)),0)</f>
        <v>0</v>
      </c>
      <c r="AI279" s="73">
        <f>IFERROR(INDEX('Euro Qual stats'!$A$1:$L$2071,MATCH(Players!$AE279,'Euro Qual stats'!$A$1:$A$2071,0),MATCH(Players!AI$2,'Euro Qual stats'!$A$1:$L$1,0)),0)</f>
        <v>0</v>
      </c>
      <c r="AJ279" s="93">
        <f>(12-AF279)/12*INDEX(BV$9:BV$12,MATCH($AB279,$BU$9:$BU$12,0))+AF279/12*AG279</f>
        <v>0.16869109947643979</v>
      </c>
      <c r="AK279" s="93">
        <f>(12-AG279)/12*INDEX(BW$9:BW$12,MATCH($AB279,$BU$9:$BU$12,0))+AG279/12*AH279</f>
        <v>0.22340314136125652</v>
      </c>
      <c r="AL279" s="93">
        <f>(12-AH279)/12*INDEX(BX$9:BX$12,MATCH($AB279,$BU$9:$BU$12,0))+AH279/12*AI279</f>
        <v>0.23942408376963353</v>
      </c>
      <c r="AM279" s="93">
        <f>IF($BC279=1,AJ279/SUMIFS(AJ$3:AJ$623,$BC$3:$BC$623,1,$G$3:$G$623,$G279),0)</f>
        <v>0.12401832282570659</v>
      </c>
      <c r="AN279" s="93">
        <f>IF($BC279=1,AK279/SUMIFS(AK$3:AK$623,$BC$3:$BC$623,1,$G$3:$G$623,$G279),0)</f>
        <v>0.1084597370751606</v>
      </c>
      <c r="AO279" s="93">
        <f>IF($BC279=1,AL279/SUMIFS(AL$3:AL$623,$BC$3:$BC$623,1,$G$3:$G$623,$G279),0)</f>
        <v>0.11157751365483459</v>
      </c>
      <c r="AP279" s="2">
        <f>IFERROR(R279/$V279*90,"")</f>
        <v>0.26323486399532026</v>
      </c>
      <c r="AQ279" s="2">
        <f>IFERROR(S279/$V279*90,"")</f>
        <v>2.6323486399532026E-2</v>
      </c>
      <c r="AR279" s="2">
        <f>IFERROR(W279/$V279*90,"")</f>
        <v>0.60544018718923653</v>
      </c>
      <c r="AS279" s="2">
        <f>IFERROR(X279/$V279*90,"")</f>
        <v>0.18426440479672421</v>
      </c>
      <c r="AT279" s="2">
        <f>IFERROR(Y279/$V279*90,"")</f>
        <v>2.6323486399532026E-2</v>
      </c>
      <c r="AU279" s="2">
        <f>IF(AP279="",INDEX(BV$4:BV$7,MATCH(O279,$BU$4:$BU$7,0)),AP279)</f>
        <v>0.26323486399532026</v>
      </c>
      <c r="AV279" s="2">
        <f>IF(AQ279="",INDEX(BW$4:BW$7,MATCH($O279,$BU$4:$BU$7,0)),AQ279)</f>
        <v>2.6323486399532026E-2</v>
      </c>
      <c r="AW279" s="2">
        <f t="shared" si="48"/>
        <v>0.60544018718923653</v>
      </c>
      <c r="AX279" s="2">
        <f t="shared" si="49"/>
        <v>0.18426440479672421</v>
      </c>
      <c r="AY279" s="2">
        <f t="shared" si="50"/>
        <v>2.6323486399532026E-2</v>
      </c>
      <c r="AZ279" s="2">
        <f>AU279*0.5+AK279*0.5</f>
        <v>0.24331900267828838</v>
      </c>
      <c r="BA279" s="2">
        <f>AV279*0.5+AJ279*0.5</f>
        <v>9.7507292937985907E-2</v>
      </c>
      <c r="BB279" s="2">
        <f t="shared" si="51"/>
        <v>9.2132202398362104E-2</v>
      </c>
      <c r="BC279">
        <f>IF(I279="expected",1,0)</f>
        <v>1</v>
      </c>
      <c r="BD279" s="78">
        <f>IF(BC279=1,AZ279/SUMIFS(AZ$3:AZ$623,$BC$3:$BC$623,1,$G$3:$G$623,$G279),0)</f>
        <v>0.15848461403334718</v>
      </c>
      <c r="BE279" s="78">
        <f>IF(BC279=1,BA279/SUMIFS(BA$3:BA$623,$BC$3:$BC$623,1,$G$3:$G$623,$G279),0)</f>
        <v>8.8440420345285459E-2</v>
      </c>
      <c r="BF279" s="78">
        <f t="shared" si="52"/>
        <v>0.19721469855814738</v>
      </c>
      <c r="BG279" s="2">
        <f t="shared" si="53"/>
        <v>9.2132202398362104E-2</v>
      </c>
      <c r="BH279" s="2">
        <f t="shared" si="54"/>
        <v>2.6323486399532026E-2</v>
      </c>
      <c r="BI279" s="2">
        <f t="shared" si="55"/>
        <v>0.15848461403334718</v>
      </c>
      <c r="BJ279" s="2">
        <f t="shared" si="56"/>
        <v>8.8440420345285459E-2</v>
      </c>
      <c r="BK279" s="2">
        <f t="shared" si="57"/>
        <v>0.19721469855814738</v>
      </c>
      <c r="BL279" s="2">
        <f t="shared" si="58"/>
        <v>9.2132202398362104E-2</v>
      </c>
      <c r="BM279" s="2">
        <f t="shared" si="59"/>
        <v>2.6323486399532026E-2</v>
      </c>
      <c r="BN279" s="2">
        <f>BI279/SUMIFS(BI$3:BI$623,$BC$3:$BC$623,1,$G$3:$G$623,$G279)</f>
        <v>0.15848461403334721</v>
      </c>
      <c r="BO279" s="2">
        <f>BJ279/SUMIFS(BJ$3:BJ$623,$BC$3:$BC$623,1,$G$3:$G$623,$G279)</f>
        <v>8.8440420345285459E-2</v>
      </c>
      <c r="BP279" s="2">
        <f>BK279/SUMIFS(BK$3:BK$623,$BC$3:$BC$623,1,$G$3:$G$623,$G279)</f>
        <v>0.20333595770393539</v>
      </c>
      <c r="BQ279" s="2">
        <f>BL279</f>
        <v>9.2132202398362104E-2</v>
      </c>
      <c r="BR279" s="2">
        <f>BM279</f>
        <v>2.6323486399532026E-2</v>
      </c>
    </row>
    <row r="280" spans="1:70" hidden="1">
      <c r="A280" s="74">
        <v>0</v>
      </c>
      <c r="B280" s="73">
        <v>204768</v>
      </c>
      <c r="C280" s="73" t="s">
        <v>2091</v>
      </c>
      <c r="D280" s="73" t="s">
        <v>2080</v>
      </c>
      <c r="E280" s="73" t="s">
        <v>2092</v>
      </c>
      <c r="F280" s="73">
        <v>18718</v>
      </c>
      <c r="G280" s="73" t="s">
        <v>882</v>
      </c>
      <c r="H280" s="73" t="s">
        <v>937</v>
      </c>
      <c r="I280" s="73" t="s">
        <v>981</v>
      </c>
      <c r="J280" s="73">
        <v>0</v>
      </c>
      <c r="K280" s="73">
        <v>5</v>
      </c>
      <c r="L280" s="73">
        <v>0</v>
      </c>
      <c r="M280" s="73">
        <v>0</v>
      </c>
      <c r="N280" s="73">
        <v>0</v>
      </c>
      <c r="O280" s="73" t="s">
        <v>994</v>
      </c>
      <c r="P280" s="73" t="s">
        <v>2093</v>
      </c>
      <c r="Q280" s="73" t="s">
        <v>2093</v>
      </c>
      <c r="R280" s="73">
        <v>1</v>
      </c>
      <c r="S280" s="73">
        <v>6</v>
      </c>
      <c r="T280" s="73">
        <v>0</v>
      </c>
      <c r="U280" s="73">
        <v>3</v>
      </c>
      <c r="V280" s="73">
        <v>1913</v>
      </c>
      <c r="W280" s="73">
        <v>7</v>
      </c>
      <c r="X280" s="73">
        <v>5</v>
      </c>
      <c r="Y280" s="73">
        <v>1</v>
      </c>
      <c r="Z280" s="73" t="s">
        <v>2082</v>
      </c>
      <c r="AA280" s="73" t="s">
        <v>691</v>
      </c>
      <c r="AB280" s="73" t="str">
        <f>IF(AA280&lt;&gt;"",INDEX(Lookup!$N$2:$N$5,MATCH(Players!AA280,Lookup!$P$2:$P$5,0)),INDEX(Lookup!$N$2:$N$5,MATCH(Players!O280,Lookup!$O$2:$O$5,0)))</f>
        <v>Midfield</v>
      </c>
      <c r="AC280" s="73">
        <v>4000000</v>
      </c>
      <c r="AD280" s="73" t="s">
        <v>789</v>
      </c>
      <c r="AE280" s="73" t="str">
        <f>INDEX('Translate table'!$H$2:$H$622,MATCH(Players!P280,'Translate table'!$G$2:$G$622,0))</f>
        <v>VladimÃ­r Darida</v>
      </c>
      <c r="AF280" s="73">
        <f>IFERROR(INDEX('Euro Qual stats'!$A$1:$L$2071,MATCH(Players!$AE280,'Euro Qual stats'!$A$1:$A$2071,0),MATCH(Players!AF$2,'Euro Qual stats'!$A$1:$L$1,0)),0)</f>
        <v>6</v>
      </c>
      <c r="AG280" s="73">
        <f>IFERROR(INDEX('Euro Qual stats'!$A$1:$L$2071,MATCH(Players!$AE280,'Euro Qual stats'!$A$1:$A$2071,0),MATCH(Players!AG$2,'Euro Qual stats'!$A$1:$L$1,0)),0)</f>
        <v>0</v>
      </c>
      <c r="AH280" s="73">
        <f>IFERROR(INDEX('Euro Qual stats'!$A$1:$L$2071,MATCH(Players!$AE280,'Euro Qual stats'!$A$1:$A$2071,0),MATCH(Players!AH$2,'Euro Qual stats'!$A$1:$L$1,0)),0)</f>
        <v>0.17</v>
      </c>
      <c r="AI280" s="73">
        <f>IFERROR(INDEX('Euro Qual stats'!$A$1:$L$2071,MATCH(Players!$AE280,'Euro Qual stats'!$A$1:$A$2071,0),MATCH(Players!AI$2,'Euro Qual stats'!$A$1:$L$1,0)),0)</f>
        <v>0</v>
      </c>
      <c r="AJ280" s="93">
        <f>(12-AF280)/12*INDEX(BV$9:BV$12,MATCH($AB280,$BU$9:$BU$12,0))+AF280/12*AG280</f>
        <v>8.4345549738219894E-2</v>
      </c>
      <c r="AK280" s="93">
        <f>(12-AG280)/12*INDEX(BW$9:BW$12,MATCH($AB280,$BU$9:$BU$12,0))+AG280/12*AH280</f>
        <v>0.22340314136125652</v>
      </c>
      <c r="AL280" s="93">
        <f>(12-AH280)/12*INDEX(BX$9:BX$12,MATCH($AB280,$BU$9:$BU$12,0))+AH280/12*AI280</f>
        <v>0.23603224258289707</v>
      </c>
      <c r="AM280" s="93">
        <f>IF($BC280=1,AJ280/SUMIFS(AJ$3:AJ$623,$BC$3:$BC$623,1,$G$3:$G$623,$G280),0)</f>
        <v>6.2009161412853293E-2</v>
      </c>
      <c r="AN280" s="93">
        <f>IF($BC280=1,AK280/SUMIFS(AK$3:AK$623,$BC$3:$BC$623,1,$G$3:$G$623,$G280),0)</f>
        <v>0.1084597370751606</v>
      </c>
      <c r="AO280" s="93">
        <f>IF($BC280=1,AL280/SUMIFS(AL$3:AL$623,$BC$3:$BC$623,1,$G$3:$G$623,$G280),0)</f>
        <v>0.1099968322113911</v>
      </c>
      <c r="AP280" s="2">
        <f>IFERROR(R280/$V280*90,"")</f>
        <v>4.7046523784631464E-2</v>
      </c>
      <c r="AQ280" s="2">
        <f>IFERROR(S280/$V280*90,"")</f>
        <v>0.28227914270778881</v>
      </c>
      <c r="AR280" s="2">
        <f>IFERROR(W280/$V280*90,"")</f>
        <v>0.32932566649242029</v>
      </c>
      <c r="AS280" s="2">
        <f>IFERROR(X280/$V280*90,"")</f>
        <v>0.23523261892315733</v>
      </c>
      <c r="AT280" s="2">
        <f>IFERROR(Y280/$V280*90,"")</f>
        <v>4.7046523784631464E-2</v>
      </c>
      <c r="AU280" s="2">
        <f>IF(AP280="",INDEX(BV$4:BV$7,MATCH(O280,$BU$4:$BU$7,0)),AP280)</f>
        <v>4.7046523784631464E-2</v>
      </c>
      <c r="AV280" s="2">
        <f>IF(AQ280="",INDEX(BW$4:BW$7,MATCH($O280,$BU$4:$BU$7,0)),AQ280)</f>
        <v>0.28227914270778881</v>
      </c>
      <c r="AW280" s="2">
        <f t="shared" si="48"/>
        <v>0.32932566649242029</v>
      </c>
      <c r="AX280" s="2">
        <f t="shared" si="49"/>
        <v>0.23523261892315733</v>
      </c>
      <c r="AY280" s="2">
        <f t="shared" si="50"/>
        <v>4.7046523784631464E-2</v>
      </c>
      <c r="AZ280" s="2">
        <f>AU280*0.5+AK280*0.5</f>
        <v>0.13522483257294399</v>
      </c>
      <c r="BA280" s="2">
        <f>AV280*0.5+AJ280*0.5</f>
        <v>0.18331234622300435</v>
      </c>
      <c r="BB280" s="2">
        <f t="shared" si="51"/>
        <v>0.11761630946157867</v>
      </c>
      <c r="BC280">
        <f>IF(I280="expected",1,0)</f>
        <v>1</v>
      </c>
      <c r="BD280" s="78">
        <f>IF(BC280=1,AZ280/SUMIFS(AZ$3:AZ$623,$BC$3:$BC$623,1,$G$3:$G$623,$G280),0)</f>
        <v>8.8078017590688312E-2</v>
      </c>
      <c r="BE280" s="78">
        <f>IF(BC280=1,BA280/SUMIFS(BA$3:BA$623,$BC$3:$BC$623,1,$G$3:$G$623,$G280),0)</f>
        <v>0.16626675262899451</v>
      </c>
      <c r="BF280" s="78">
        <f t="shared" si="52"/>
        <v>0.10727378759953959</v>
      </c>
      <c r="BG280" s="2">
        <f t="shared" si="53"/>
        <v>0.11761630946157867</v>
      </c>
      <c r="BH280" s="2">
        <f t="shared" si="54"/>
        <v>4.7046523784631464E-2</v>
      </c>
      <c r="BI280" s="2">
        <f t="shared" si="55"/>
        <v>8.8078017590688312E-2</v>
      </c>
      <c r="BJ280" s="2">
        <f t="shared" si="56"/>
        <v>0.16626675262899451</v>
      </c>
      <c r="BK280" s="2">
        <f t="shared" si="57"/>
        <v>0.10727378759953959</v>
      </c>
      <c r="BL280" s="2">
        <f t="shared" si="58"/>
        <v>0.11761630946157867</v>
      </c>
      <c r="BM280" s="2">
        <f t="shared" si="59"/>
        <v>4.7046523784631464E-2</v>
      </c>
      <c r="BN280" s="2">
        <f>BI280/SUMIFS(BI$3:BI$623,$BC$3:$BC$623,1,$G$3:$G$623,$G280)</f>
        <v>8.8078017590688326E-2</v>
      </c>
      <c r="BO280" s="2">
        <f>BJ280/SUMIFS(BJ$3:BJ$623,$BC$3:$BC$623,1,$G$3:$G$623,$G280)</f>
        <v>0.16626675262899451</v>
      </c>
      <c r="BP280" s="2">
        <f>BK280/SUMIFS(BK$3:BK$623,$BC$3:$BC$623,1,$G$3:$G$623,$G280)</f>
        <v>0.11060341088952673</v>
      </c>
      <c r="BQ280" s="2">
        <f>BL280</f>
        <v>0.11761630946157867</v>
      </c>
      <c r="BR280" s="2">
        <f>BM280</f>
        <v>4.7046523784631464E-2</v>
      </c>
    </row>
    <row r="281" spans="1:70" hidden="1">
      <c r="A281" s="74">
        <v>0</v>
      </c>
      <c r="B281" s="73">
        <v>204776</v>
      </c>
      <c r="C281" s="73" t="s">
        <v>2094</v>
      </c>
      <c r="D281" s="73" t="s">
        <v>2095</v>
      </c>
      <c r="E281" s="73" t="s">
        <v>2096</v>
      </c>
      <c r="F281" s="73">
        <v>18718</v>
      </c>
      <c r="G281" s="73" t="s">
        <v>882</v>
      </c>
      <c r="H281" s="73" t="s">
        <v>937</v>
      </c>
      <c r="I281" s="73" t="s">
        <v>981</v>
      </c>
      <c r="J281" s="73">
        <v>0</v>
      </c>
      <c r="K281" s="73">
        <v>5</v>
      </c>
      <c r="L281" s="73">
        <v>0</v>
      </c>
      <c r="M281" s="73">
        <v>0</v>
      </c>
      <c r="N281" s="73">
        <v>0</v>
      </c>
      <c r="O281" s="73" t="s">
        <v>982</v>
      </c>
      <c r="P281" s="73" t="s">
        <v>2097</v>
      </c>
      <c r="Q281" s="73" t="s">
        <v>2097</v>
      </c>
      <c r="R281" s="73">
        <v>9</v>
      </c>
      <c r="S281" s="73">
        <v>1</v>
      </c>
      <c r="T281" s="73">
        <v>0</v>
      </c>
      <c r="U281" s="73">
        <v>4</v>
      </c>
      <c r="V281" s="73">
        <v>1865</v>
      </c>
      <c r="W281" s="73">
        <v>21</v>
      </c>
      <c r="X281" s="73">
        <v>4</v>
      </c>
      <c r="Y281" s="73">
        <v>0</v>
      </c>
      <c r="Z281" s="73" t="s">
        <v>2082</v>
      </c>
      <c r="AA281" s="73" t="s">
        <v>693</v>
      </c>
      <c r="AB281" s="73" t="str">
        <f>IF(AA281&lt;&gt;"",INDEX(Lookup!$N$2:$N$5,MATCH(Players!AA281,Lookup!$P$2:$P$5,0)),INDEX(Lookup!$N$2:$N$5,MATCH(Players!O281,Lookup!$O$2:$O$5,0)))</f>
        <v>Striker</v>
      </c>
      <c r="AC281" s="73">
        <v>4500000</v>
      </c>
      <c r="AD281" s="73" t="s">
        <v>790</v>
      </c>
      <c r="AE281" s="73" t="str">
        <f>INDEX('Translate table'!$H$2:$H$622,MATCH(Players!P281,'Translate table'!$G$2:$G$622,0))</f>
        <v>Patrik Schick</v>
      </c>
      <c r="AF281" s="73">
        <f>IFERROR(INDEX('Euro Qual stats'!$A$1:$L$2071,MATCH(Players!$AE281,'Euro Qual stats'!$A$1:$A$2071,0),MATCH(Players!AF$2,'Euro Qual stats'!$A$1:$L$1,0)),0)</f>
        <v>6</v>
      </c>
      <c r="AG281" s="73">
        <f>IFERROR(INDEX('Euro Qual stats'!$A$1:$L$2071,MATCH(Players!$AE281,'Euro Qual stats'!$A$1:$A$2071,0),MATCH(Players!AG$2,'Euro Qual stats'!$A$1:$L$1,0)),0)</f>
        <v>0</v>
      </c>
      <c r="AH281" s="73">
        <f>IFERROR(INDEX('Euro Qual stats'!$A$1:$L$2071,MATCH(Players!$AE281,'Euro Qual stats'!$A$1:$A$2071,0),MATCH(Players!AH$2,'Euro Qual stats'!$A$1:$L$1,0)),0)</f>
        <v>0.78</v>
      </c>
      <c r="AI281" s="73">
        <f>IFERROR(INDEX('Euro Qual stats'!$A$1:$L$2071,MATCH(Players!$AE281,'Euro Qual stats'!$A$1:$A$2071,0),MATCH(Players!AI$2,'Euro Qual stats'!$A$1:$L$1,0)),0)</f>
        <v>0.39</v>
      </c>
      <c r="AJ281" s="93">
        <f>(12-AF281)/12*INDEX(BV$9:BV$12,MATCH($AB281,$BU$9:$BU$12,0))+AF281/12*AG281</f>
        <v>0.10245689655172416</v>
      </c>
      <c r="AK281" s="93">
        <f>(12-AG281)/12*INDEX(BW$9:BW$12,MATCH($AB281,$BU$9:$BU$12,0))+AG281/12*AH281</f>
        <v>0.53387931034482738</v>
      </c>
      <c r="AL281" s="93">
        <f>(12-AH281)/12*INDEX(BX$9:BX$12,MATCH($AB281,$BU$9:$BU$12,0))+AH281/12*AI281</f>
        <v>0.17946379310344832</v>
      </c>
      <c r="AM281" s="93">
        <f>IF($BC281=1,AJ281/SUMIFS(AJ$3:AJ$623,$BC$3:$BC$623,1,$G$3:$G$623,$G281),0)</f>
        <v>7.5324261396769232E-2</v>
      </c>
      <c r="AN281" s="93">
        <f>IF($BC281=1,AK281/SUMIFS(AK$3:AK$623,$BC$3:$BC$623,1,$G$3:$G$623,$G281),0)</f>
        <v>0.25919245932282164</v>
      </c>
      <c r="AO281" s="93">
        <f>IF($BC281=1,AL281/SUMIFS(AL$3:AL$623,$BC$3:$BC$623,1,$G$3:$G$623,$G281),0)</f>
        <v>8.3634542984468541E-2</v>
      </c>
      <c r="AP281" s="2">
        <f>IFERROR(R281/$V281*90,"")</f>
        <v>0.43431635388739948</v>
      </c>
      <c r="AQ281" s="2">
        <f>IFERROR(S281/$V281*90,"")</f>
        <v>4.82573726541555E-2</v>
      </c>
      <c r="AR281" s="2">
        <f>IFERROR(W281/$V281*90,"")</f>
        <v>1.0134048257372654</v>
      </c>
      <c r="AS281" s="2">
        <f>IFERROR(X281/$V281*90,"")</f>
        <v>0.193029490616622</v>
      </c>
      <c r="AT281" s="2">
        <f>IFERROR(Y281/$V281*90,"")</f>
        <v>0</v>
      </c>
      <c r="AU281" s="2">
        <f>IF(AP281="",INDEX(BV$4:BV$7,MATCH(O281,$BU$4:$BU$7,0)),AP281)</f>
        <v>0.43431635388739948</v>
      </c>
      <c r="AV281" s="2">
        <f>IF(AQ281="",INDEX(BW$4:BW$7,MATCH($O281,$BU$4:$BU$7,0)),AQ281)</f>
        <v>4.82573726541555E-2</v>
      </c>
      <c r="AW281" s="2">
        <f t="shared" si="48"/>
        <v>1.0134048257372654</v>
      </c>
      <c r="AX281" s="2">
        <f t="shared" si="49"/>
        <v>0.193029490616622</v>
      </c>
      <c r="AY281" s="2">
        <f t="shared" si="50"/>
        <v>0</v>
      </c>
      <c r="AZ281" s="2">
        <f>AU281*0.5+AK281*0.5</f>
        <v>0.48409783211611346</v>
      </c>
      <c r="BA281" s="2">
        <f>AV281*0.5+AJ281*0.5</f>
        <v>7.5357134602939829E-2</v>
      </c>
      <c r="BB281" s="2">
        <f t="shared" si="51"/>
        <v>0.29151474530831101</v>
      </c>
      <c r="BC281">
        <f>IF(I281="expected",1,0)</f>
        <v>1</v>
      </c>
      <c r="BD281" s="78">
        <f>IF(BC281=1,AZ281/SUMIFS(AZ$3:AZ$623,$BC$3:$BC$623,1,$G$3:$G$623,$G281),0)</f>
        <v>0.31531469894582276</v>
      </c>
      <c r="BE281" s="78">
        <f>IF(BC281=1,BA281/SUMIFS(BA$3:BA$623,$BC$3:$BC$623,1,$G$3:$G$623,$G281),0)</f>
        <v>6.8349930138445272E-2</v>
      </c>
      <c r="BF281" s="78">
        <f t="shared" si="52"/>
        <v>0.33010416462936071</v>
      </c>
      <c r="BG281" s="2">
        <f t="shared" si="53"/>
        <v>0.29151474530831101</v>
      </c>
      <c r="BH281" s="2">
        <f t="shared" si="54"/>
        <v>0</v>
      </c>
      <c r="BI281" s="2">
        <f t="shared" si="55"/>
        <v>0.31531469894582276</v>
      </c>
      <c r="BJ281" s="2">
        <f t="shared" si="56"/>
        <v>6.8349930138445272E-2</v>
      </c>
      <c r="BK281" s="2">
        <f t="shared" si="57"/>
        <v>0.3</v>
      </c>
      <c r="BL281" s="2">
        <f t="shared" si="58"/>
        <v>0.29151474530831101</v>
      </c>
      <c r="BM281" s="2">
        <f t="shared" si="59"/>
        <v>0</v>
      </c>
      <c r="BN281" s="2">
        <f>BI281/SUMIFS(BI$3:BI$623,$BC$3:$BC$623,1,$G$3:$G$623,$G281)</f>
        <v>0.31531469894582281</v>
      </c>
      <c r="BO281" s="2">
        <f>BJ281/SUMIFS(BJ$3:BJ$623,$BC$3:$BC$623,1,$G$3:$G$623,$G281)</f>
        <v>6.8349930138445272E-2</v>
      </c>
      <c r="BP281" s="2">
        <f>BK281/SUMIFS(BK$3:BK$623,$BC$3:$BC$623,1,$G$3:$G$623,$G281)</f>
        <v>0.30931156631408463</v>
      </c>
      <c r="BQ281" s="2">
        <f>BL281</f>
        <v>0.29151474530831101</v>
      </c>
      <c r="BR281" s="2">
        <f>BM281</f>
        <v>0</v>
      </c>
    </row>
    <row r="282" spans="1:70" hidden="1">
      <c r="A282" s="74">
        <v>0</v>
      </c>
      <c r="B282" s="73">
        <v>204774</v>
      </c>
      <c r="C282" s="73" t="s">
        <v>2098</v>
      </c>
      <c r="D282" s="73" t="s">
        <v>2099</v>
      </c>
      <c r="E282" s="73" t="s">
        <v>2100</v>
      </c>
      <c r="F282" s="73">
        <v>18718</v>
      </c>
      <c r="G282" s="73" t="s">
        <v>882</v>
      </c>
      <c r="H282" s="73" t="s">
        <v>937</v>
      </c>
      <c r="I282" s="73" t="s">
        <v>1012</v>
      </c>
      <c r="J282" s="73">
        <v>0</v>
      </c>
      <c r="K282" s="73">
        <v>5</v>
      </c>
      <c r="L282" s="73">
        <v>0</v>
      </c>
      <c r="M282" s="73">
        <v>0</v>
      </c>
      <c r="N282" s="73">
        <v>0</v>
      </c>
      <c r="O282" s="73" t="s">
        <v>982</v>
      </c>
      <c r="P282" s="73" t="s">
        <v>2101</v>
      </c>
      <c r="Q282" s="73" t="s">
        <v>70</v>
      </c>
      <c r="R282" s="73">
        <v>3</v>
      </c>
      <c r="S282" s="73">
        <v>2</v>
      </c>
      <c r="T282" s="73">
        <v>0</v>
      </c>
      <c r="U282" s="73">
        <v>1</v>
      </c>
      <c r="V282" s="73">
        <v>1366</v>
      </c>
      <c r="W282" s="73">
        <v>10</v>
      </c>
      <c r="X282" s="73">
        <v>0</v>
      </c>
      <c r="Y282" s="73">
        <v>0</v>
      </c>
      <c r="Z282" s="73" t="s">
        <v>2082</v>
      </c>
      <c r="AA282" s="73" t="s">
        <v>693</v>
      </c>
      <c r="AB282" s="73" t="str">
        <f>IF(AA282&lt;&gt;"",INDEX(Lookup!$N$2:$N$5,MATCH(Players!AA282,Lookup!$P$2:$P$5,0)),INDEX(Lookup!$N$2:$N$5,MATCH(Players!O282,Lookup!$O$2:$O$5,0)))</f>
        <v>Striker</v>
      </c>
      <c r="AC282" s="73">
        <v>2500000</v>
      </c>
      <c r="AD282" s="73" t="s">
        <v>789</v>
      </c>
      <c r="AE282" s="73" t="str">
        <f>INDEX('Translate table'!$H$2:$H$622,MATCH(Players!P282,'Translate table'!$G$2:$G$622,0))</f>
        <v>Matej MitroviÄ‡</v>
      </c>
      <c r="AF282" s="73">
        <f>IFERROR(INDEX('Euro Qual stats'!$A$1:$L$2071,MATCH(Players!$AE282,'Euro Qual stats'!$A$1:$A$2071,0),MATCH(Players!AF$2,'Euro Qual stats'!$A$1:$L$1,0)),0)</f>
        <v>0</v>
      </c>
      <c r="AG282" s="73">
        <f>IFERROR(INDEX('Euro Qual stats'!$A$1:$L$2071,MATCH(Players!$AE282,'Euro Qual stats'!$A$1:$A$2071,0),MATCH(Players!AG$2,'Euro Qual stats'!$A$1:$L$1,0)),0)</f>
        <v>0</v>
      </c>
      <c r="AH282" s="73">
        <f>IFERROR(INDEX('Euro Qual stats'!$A$1:$L$2071,MATCH(Players!$AE282,'Euro Qual stats'!$A$1:$A$2071,0),MATCH(Players!AH$2,'Euro Qual stats'!$A$1:$L$1,0)),0)</f>
        <v>0</v>
      </c>
      <c r="AI282" s="73">
        <f>IFERROR(INDEX('Euro Qual stats'!$A$1:$L$2071,MATCH(Players!$AE282,'Euro Qual stats'!$A$1:$A$2071,0),MATCH(Players!AI$2,'Euro Qual stats'!$A$1:$L$1,0)),0)</f>
        <v>0</v>
      </c>
      <c r="AJ282" s="93">
        <f>(12-AF282)/12*INDEX(BV$9:BV$12,MATCH($AB282,$BU$9:$BU$12,0))+AF282/12*AG282</f>
        <v>0.20491379310344832</v>
      </c>
      <c r="AK282" s="93">
        <f>(12-AG282)/12*INDEX(BW$9:BW$12,MATCH($AB282,$BU$9:$BU$12,0))+AG282/12*AH282</f>
        <v>0.53387931034482738</v>
      </c>
      <c r="AL282" s="93">
        <f>(12-AH282)/12*INDEX(BX$9:BX$12,MATCH($AB282,$BU$9:$BU$12,0))+AH282/12*AI282</f>
        <v>0.16482758620689658</v>
      </c>
      <c r="AM282" s="93">
        <f>IF($BC282=1,AJ282/SUMIFS(AJ$3:AJ$623,$BC$3:$BC$623,1,$G$3:$G$623,$G282),0)</f>
        <v>0</v>
      </c>
      <c r="AN282" s="93">
        <f>IF($BC282=1,AK282/SUMIFS(AK$3:AK$623,$BC$3:$BC$623,1,$G$3:$G$623,$G282),0)</f>
        <v>0</v>
      </c>
      <c r="AO282" s="93">
        <f>IF($BC282=1,AL282/SUMIFS(AL$3:AL$623,$BC$3:$BC$623,1,$G$3:$G$623,$G282),0)</f>
        <v>0</v>
      </c>
      <c r="AP282" s="2">
        <f>IFERROR(R282/$V282*90,"")</f>
        <v>0.19765739385065886</v>
      </c>
      <c r="AQ282" s="2">
        <f>IFERROR(S282/$V282*90,"")</f>
        <v>0.13177159590043924</v>
      </c>
      <c r="AR282" s="2">
        <f>IFERROR(W282/$V282*90,"")</f>
        <v>0.65885797950219627</v>
      </c>
      <c r="AS282" s="2">
        <f>IFERROR(X282/$V282*90,"")</f>
        <v>0</v>
      </c>
      <c r="AT282" s="2">
        <f>IFERROR(Y282/$V282*90,"")</f>
        <v>0</v>
      </c>
      <c r="AU282" s="2">
        <f>IF(AP282="",INDEX(BV$4:BV$7,MATCH(O282,$BU$4:$BU$7,0)),AP282)</f>
        <v>0.19765739385065886</v>
      </c>
      <c r="AV282" s="2">
        <f>IF(AQ282="",INDEX(BW$4:BW$7,MATCH($O282,$BU$4:$BU$7,0)),AQ282)</f>
        <v>0.13177159590043924</v>
      </c>
      <c r="AW282" s="2">
        <f t="shared" si="48"/>
        <v>0.65885797950219627</v>
      </c>
      <c r="AX282" s="2">
        <f t="shared" si="49"/>
        <v>0</v>
      </c>
      <c r="AY282" s="2">
        <f t="shared" si="50"/>
        <v>0</v>
      </c>
      <c r="AZ282" s="2">
        <f>AU282*0.5+AK282*0.5</f>
        <v>0.36576835209774311</v>
      </c>
      <c r="BA282" s="2">
        <f>AV282*0.5+AJ282*0.5</f>
        <v>0.16834269450194378</v>
      </c>
      <c r="BB282" s="2">
        <f t="shared" si="51"/>
        <v>0</v>
      </c>
      <c r="BC282">
        <f>IF(I282="expected",1,0)</f>
        <v>0</v>
      </c>
      <c r="BD282" s="78">
        <f>IF(BC282=1,AZ282/SUMIFS(AZ$3:AZ$623,$BC$3:$BC$623,1,$G$3:$G$623,$G282),0)</f>
        <v>0</v>
      </c>
      <c r="BE282" s="78">
        <f>IF(BC282=1,BA282/SUMIFS(BA$3:BA$623,$BC$3:$BC$623,1,$G$3:$G$623,$G282),0)</f>
        <v>0</v>
      </c>
      <c r="BF282" s="78">
        <f t="shared" si="52"/>
        <v>0</v>
      </c>
      <c r="BG282" s="2">
        <f t="shared" si="53"/>
        <v>0</v>
      </c>
      <c r="BH282" s="2">
        <f t="shared" si="54"/>
        <v>0</v>
      </c>
      <c r="BI282" s="2">
        <f t="shared" si="55"/>
        <v>0</v>
      </c>
      <c r="BJ282" s="2">
        <f t="shared" si="56"/>
        <v>0</v>
      </c>
      <c r="BK282" s="2">
        <f t="shared" si="57"/>
        <v>0</v>
      </c>
      <c r="BL282" s="2">
        <f t="shared" si="58"/>
        <v>0</v>
      </c>
      <c r="BM282" s="2">
        <f t="shared" si="59"/>
        <v>0</v>
      </c>
      <c r="BN282" s="2">
        <f>BI282/SUMIFS(BI$3:BI$623,$BC$3:$BC$623,1,$G$3:$G$623,$G282)</f>
        <v>0</v>
      </c>
      <c r="BO282" s="2">
        <f>BJ282/SUMIFS(BJ$3:BJ$623,$BC$3:$BC$623,1,$G$3:$G$623,$G282)</f>
        <v>0</v>
      </c>
      <c r="BP282" s="2">
        <f>BK282/SUMIFS(BK$3:BK$623,$BC$3:$BC$623,1,$G$3:$G$623,$G282)</f>
        <v>0</v>
      </c>
      <c r="BQ282" s="2">
        <f>BL282</f>
        <v>0</v>
      </c>
      <c r="BR282" s="2">
        <f>BM282</f>
        <v>0</v>
      </c>
    </row>
    <row r="283" spans="1:70" hidden="1">
      <c r="A283" s="74">
        <v>0</v>
      </c>
      <c r="B283" s="73">
        <v>213389</v>
      </c>
      <c r="C283" s="73" t="s">
        <v>2102</v>
      </c>
      <c r="D283" s="73" t="s">
        <v>2103</v>
      </c>
      <c r="E283" s="73" t="s">
        <v>2104</v>
      </c>
      <c r="F283" s="73">
        <v>18716</v>
      </c>
      <c r="G283" s="73" t="s">
        <v>862</v>
      </c>
      <c r="H283" s="73" t="s">
        <v>935</v>
      </c>
      <c r="I283" s="73" t="s">
        <v>981</v>
      </c>
      <c r="J283" s="73">
        <v>0</v>
      </c>
      <c r="K283" s="73">
        <v>5</v>
      </c>
      <c r="L283" s="73">
        <v>0</v>
      </c>
      <c r="M283" s="73">
        <v>0</v>
      </c>
      <c r="N283" s="73">
        <v>0</v>
      </c>
      <c r="O283" s="73" t="s">
        <v>1318</v>
      </c>
      <c r="P283" s="73" t="s">
        <v>2105</v>
      </c>
      <c r="Q283" s="73" t="s">
        <v>76</v>
      </c>
      <c r="R283" s="73">
        <v>1</v>
      </c>
      <c r="S283" s="73">
        <v>0</v>
      </c>
      <c r="T283" s="73">
        <v>0</v>
      </c>
      <c r="U283" s="73">
        <v>5</v>
      </c>
      <c r="V283" s="73">
        <v>1816</v>
      </c>
      <c r="W283" s="73">
        <v>3</v>
      </c>
      <c r="X283" s="73">
        <v>2</v>
      </c>
      <c r="Y283" s="73">
        <v>0</v>
      </c>
      <c r="Z283" s="73" t="s">
        <v>1922</v>
      </c>
      <c r="AA283" s="73" t="s">
        <v>692</v>
      </c>
      <c r="AB283" s="73" t="str">
        <f>IF(AA283&lt;&gt;"",INDEX(Lookup!$N$2:$N$5,MATCH(Players!AA283,Lookup!$P$2:$P$5,0)),INDEX(Lookup!$N$2:$N$5,MATCH(Players!O283,Lookup!$O$2:$O$5,0)))</f>
        <v>Defense</v>
      </c>
      <c r="AC283" s="73">
        <v>3000000</v>
      </c>
      <c r="AD283" s="73" t="s">
        <v>815</v>
      </c>
      <c r="AE283" s="73" t="str">
        <f>INDEX('Translate table'!$H$2:$H$622,MATCH(Players!P283,'Translate table'!$G$2:$G$622,0))</f>
        <v>Caglar SÃ¶yÃ¼ncÃ¼</v>
      </c>
      <c r="AF283" s="73">
        <f>IFERROR(INDEX('Euro Qual stats'!$A$1:$L$2071,MATCH(Players!$AE283,'Euro Qual stats'!$A$1:$A$2071,0),MATCH(Players!AF$2,'Euro Qual stats'!$A$1:$L$1,0)),0)</f>
        <v>4</v>
      </c>
      <c r="AG283" s="73">
        <f>IFERROR(INDEX('Euro Qual stats'!$A$1:$L$2071,MATCH(Players!$AE283,'Euro Qual stats'!$A$1:$A$2071,0),MATCH(Players!AG$2,'Euro Qual stats'!$A$1:$L$1,0)),0)</f>
        <v>0</v>
      </c>
      <c r="AH283" s="73">
        <f>IFERROR(INDEX('Euro Qual stats'!$A$1:$L$2071,MATCH(Players!$AE283,'Euro Qual stats'!$A$1:$A$2071,0),MATCH(Players!AH$2,'Euro Qual stats'!$A$1:$L$1,0)),0)</f>
        <v>0</v>
      </c>
      <c r="AI283" s="73">
        <f>IFERROR(INDEX('Euro Qual stats'!$A$1:$L$2071,MATCH(Players!$AE283,'Euro Qual stats'!$A$1:$A$2071,0),MATCH(Players!AI$2,'Euro Qual stats'!$A$1:$L$1,0)),0)</f>
        <v>0.28999999999999998</v>
      </c>
      <c r="AJ283" s="93">
        <f>(12-AF283)/12*INDEX(BV$9:BV$12,MATCH($AB283,$BU$9:$BU$12,0))+AF283/12*AG283</f>
        <v>5.9450549450549464E-2</v>
      </c>
      <c r="AK283" s="93">
        <f>(12-AG283)/12*INDEX(BW$9:BW$12,MATCH($AB283,$BU$9:$BU$12,0))+AG283/12*AH283</f>
        <v>0.10357142857142858</v>
      </c>
      <c r="AL283" s="93">
        <f>(12-AH283)/12*INDEX(BX$9:BX$12,MATCH($AB283,$BU$9:$BU$12,0))+AH283/12*AI283</f>
        <v>0.19357142857142848</v>
      </c>
      <c r="AM283" s="93">
        <f>IF($BC283=1,AJ283/SUMIFS(AJ$3:AJ$623,$BC$3:$BC$623,1,$G$3:$G$623,$G283),0)</f>
        <v>4.8485618924625981E-2</v>
      </c>
      <c r="AN283" s="93">
        <f>IF($BC283=1,AK283/SUMIFS(AK$3:AK$623,$BC$3:$BC$623,1,$G$3:$G$623,$G283),0)</f>
        <v>3.8735395641179712E-2</v>
      </c>
      <c r="AO283" s="93">
        <f>IF($BC283=1,AL283/SUMIFS(AL$3:AL$623,$BC$3:$BC$623,1,$G$3:$G$623,$G283),0)</f>
        <v>9.6899955046862288E-2</v>
      </c>
      <c r="AP283" s="2">
        <f>IFERROR(R283/$V283*90,"")</f>
        <v>4.955947136563877E-2</v>
      </c>
      <c r="AQ283" s="2">
        <f>IFERROR(S283/$V283*90,"")</f>
        <v>0</v>
      </c>
      <c r="AR283" s="2">
        <f>IFERROR(W283/$V283*90,"")</f>
        <v>0.14867841409691632</v>
      </c>
      <c r="AS283" s="2">
        <f>IFERROR(X283/$V283*90,"")</f>
        <v>9.911894273127754E-2</v>
      </c>
      <c r="AT283" s="2">
        <f>IFERROR(Y283/$V283*90,"")</f>
        <v>0</v>
      </c>
      <c r="AU283" s="2">
        <f>IF(AP283="",INDEX(BV$4:BV$7,MATCH(O283,$BU$4:$BU$7,0)),AP283)</f>
        <v>4.955947136563877E-2</v>
      </c>
      <c r="AV283" s="2">
        <f>IF(AQ283="",INDEX(BW$4:BW$7,MATCH($O283,$BU$4:$BU$7,0)),AQ283)</f>
        <v>0</v>
      </c>
      <c r="AW283" s="2">
        <f t="shared" si="48"/>
        <v>0.14867841409691632</v>
      </c>
      <c r="AX283" s="2">
        <f t="shared" si="49"/>
        <v>9.911894273127754E-2</v>
      </c>
      <c r="AY283" s="2">
        <f t="shared" si="50"/>
        <v>0</v>
      </c>
      <c r="AZ283" s="2">
        <f>AU283*0.5+AK283*0.5</f>
        <v>7.6565449968533678E-2</v>
      </c>
      <c r="BA283" s="2">
        <f>AV283*0.5+AJ283*0.5</f>
        <v>2.9725274725274732E-2</v>
      </c>
      <c r="BB283" s="2">
        <f t="shared" si="51"/>
        <v>0.19455947136563875</v>
      </c>
      <c r="BC283">
        <f>IF(I283="expected",1,0)</f>
        <v>1</v>
      </c>
      <c r="BD283" s="78">
        <f>IF(BC283=1,AZ283/SUMIFS(AZ$3:AZ$623,$BC$3:$BC$623,1,$G$3:$G$623,$G283),0)</f>
        <v>3.3722712881870391E-2</v>
      </c>
      <c r="BE283" s="78">
        <f>IF(BC283=1,BA283/SUMIFS(BA$3:BA$623,$BC$3:$BC$623,1,$G$3:$G$623,$G283),0)</f>
        <v>2.4931092065731218E-2</v>
      </c>
      <c r="BF283" s="78">
        <f t="shared" si="52"/>
        <v>2.8052415785947769E-2</v>
      </c>
      <c r="BG283" s="2">
        <f t="shared" si="53"/>
        <v>0.19455947136563875</v>
      </c>
      <c r="BH283" s="2">
        <f t="shared" si="54"/>
        <v>0</v>
      </c>
      <c r="BI283" s="2">
        <f t="shared" si="55"/>
        <v>3.3722712881870391E-2</v>
      </c>
      <c r="BJ283" s="2">
        <f t="shared" si="56"/>
        <v>2.4931092065731218E-2</v>
      </c>
      <c r="BK283" s="2">
        <f t="shared" si="57"/>
        <v>2.8052415785947769E-2</v>
      </c>
      <c r="BL283" s="2">
        <f t="shared" si="58"/>
        <v>0.19455947136563875</v>
      </c>
      <c r="BM283" s="2">
        <f t="shared" si="59"/>
        <v>0</v>
      </c>
      <c r="BN283" s="2">
        <f>BI283/SUMIFS(BI$3:BI$623,$BC$3:$BC$623,1,$G$3:$G$623,$G283)</f>
        <v>3.3722712881870398E-2</v>
      </c>
      <c r="BO283" s="2">
        <f>BJ283/SUMIFS(BJ$3:BJ$623,$BC$3:$BC$623,1,$G$3:$G$623,$G283)</f>
        <v>2.4931092065731211E-2</v>
      </c>
      <c r="BP283" s="2">
        <f>BK283/SUMIFS(BK$3:BK$623,$BC$3:$BC$623,1,$G$3:$G$623,$G283)</f>
        <v>2.8962258945668777E-2</v>
      </c>
      <c r="BQ283" s="2">
        <f>BL283</f>
        <v>0.19455947136563875</v>
      </c>
      <c r="BR283" s="2">
        <f>BM283</f>
        <v>0</v>
      </c>
    </row>
    <row r="284" spans="1:70" hidden="1">
      <c r="A284" s="74">
        <v>0</v>
      </c>
      <c r="B284" s="73">
        <v>204718</v>
      </c>
      <c r="C284" s="73" t="s">
        <v>2106</v>
      </c>
      <c r="D284" s="73" t="s">
        <v>2107</v>
      </c>
      <c r="E284" s="73" t="s">
        <v>2108</v>
      </c>
      <c r="F284" s="73">
        <v>18716</v>
      </c>
      <c r="G284" s="73" t="s">
        <v>862</v>
      </c>
      <c r="H284" s="73" t="s">
        <v>935</v>
      </c>
      <c r="I284" s="73" t="s">
        <v>1012</v>
      </c>
      <c r="J284" s="73">
        <v>0</v>
      </c>
      <c r="K284" s="73">
        <v>5</v>
      </c>
      <c r="L284" s="73">
        <v>0</v>
      </c>
      <c r="M284" s="73">
        <v>0</v>
      </c>
      <c r="N284" s="73">
        <v>0</v>
      </c>
      <c r="O284" s="73" t="s">
        <v>1318</v>
      </c>
      <c r="P284" s="73" t="s">
        <v>823</v>
      </c>
      <c r="Q284" s="73" t="s">
        <v>823</v>
      </c>
      <c r="R284" s="73">
        <v>0</v>
      </c>
      <c r="S284" s="73">
        <v>0</v>
      </c>
      <c r="T284" s="73">
        <v>0</v>
      </c>
      <c r="U284" s="73">
        <v>3</v>
      </c>
      <c r="V284" s="73">
        <v>2048</v>
      </c>
      <c r="W284" s="73">
        <v>0</v>
      </c>
      <c r="X284" s="73">
        <v>7</v>
      </c>
      <c r="Y284" s="73">
        <v>1</v>
      </c>
      <c r="Z284" s="73" t="s">
        <v>1922</v>
      </c>
      <c r="AA284" s="73" t="s">
        <v>692</v>
      </c>
      <c r="AB284" s="73" t="str">
        <f>IF(AA284&lt;&gt;"",INDEX(Lookup!$N$2:$N$5,MATCH(Players!AA284,Lookup!$P$2:$P$5,0)),INDEX(Lookup!$N$2:$N$5,MATCH(Players!O284,Lookup!$O$2:$O$5,0)))</f>
        <v>Defense</v>
      </c>
      <c r="AC284" s="73">
        <v>3000000</v>
      </c>
      <c r="AD284" s="73" t="s">
        <v>790</v>
      </c>
      <c r="AE284" s="73" t="str">
        <f>INDEX('Translate table'!$H$2:$H$622,MATCH(Players!P284,'Translate table'!$G$2:$G$622,0))</f>
        <v>Ozan Muhammed Kabak</v>
      </c>
      <c r="AF284" s="73">
        <f>IFERROR(INDEX('Euro Qual stats'!$A$1:$L$2071,MATCH(Players!$AE284,'Euro Qual stats'!$A$1:$A$2071,0),MATCH(Players!AF$2,'Euro Qual stats'!$A$1:$L$1,0)),0)</f>
        <v>1</v>
      </c>
      <c r="AG284" s="73">
        <f>IFERROR(INDEX('Euro Qual stats'!$A$1:$L$2071,MATCH(Players!$AE284,'Euro Qual stats'!$A$1:$A$2071,0),MATCH(Players!AG$2,'Euro Qual stats'!$A$1:$L$1,0)),0)</f>
        <v>0</v>
      </c>
      <c r="AH284" s="73">
        <f>IFERROR(INDEX('Euro Qual stats'!$A$1:$L$2071,MATCH(Players!$AE284,'Euro Qual stats'!$A$1:$A$2071,0),MATCH(Players!AH$2,'Euro Qual stats'!$A$1:$L$1,0)),0)</f>
        <v>0</v>
      </c>
      <c r="AI284" s="73">
        <f>IFERROR(INDEX('Euro Qual stats'!$A$1:$L$2071,MATCH(Players!$AE284,'Euro Qual stats'!$A$1:$A$2071,0),MATCH(Players!AI$2,'Euro Qual stats'!$A$1:$L$1,0)),0)</f>
        <v>0</v>
      </c>
      <c r="AJ284" s="93">
        <f>(12-AF284)/12*INDEX(BV$9:BV$12,MATCH($AB284,$BU$9:$BU$12,0))+AF284/12*AG284</f>
        <v>8.1744505494505515E-2</v>
      </c>
      <c r="AK284" s="93">
        <f>(12-AG284)/12*INDEX(BW$9:BW$12,MATCH($AB284,$BU$9:$BU$12,0))+AG284/12*AH284</f>
        <v>0.10357142857142858</v>
      </c>
      <c r="AL284" s="93">
        <f>(12-AH284)/12*INDEX(BX$9:BX$12,MATCH($AB284,$BU$9:$BU$12,0))+AH284/12*AI284</f>
        <v>0.19357142857142848</v>
      </c>
      <c r="AM284" s="93">
        <f>IF($BC284=1,AJ284/SUMIFS(AJ$3:AJ$623,$BC$3:$BC$623,1,$G$3:$G$623,$G284),0)</f>
        <v>0</v>
      </c>
      <c r="AN284" s="93">
        <f>IF($BC284=1,AK284/SUMIFS(AK$3:AK$623,$BC$3:$BC$623,1,$G$3:$G$623,$G284),0)</f>
        <v>0</v>
      </c>
      <c r="AO284" s="93">
        <f>IF($BC284=1,AL284/SUMIFS(AL$3:AL$623,$BC$3:$BC$623,1,$G$3:$G$623,$G284),0)</f>
        <v>0</v>
      </c>
      <c r="AP284" s="2">
        <f>IFERROR(R284/$V284*90,"")</f>
        <v>0</v>
      </c>
      <c r="AQ284" s="2">
        <f>IFERROR(S284/$V284*90,"")</f>
        <v>0</v>
      </c>
      <c r="AR284" s="2">
        <f>IFERROR(W284/$V284*90,"")</f>
        <v>0</v>
      </c>
      <c r="AS284" s="2">
        <f>IFERROR(X284/$V284*90,"")</f>
        <v>0.3076171875</v>
      </c>
      <c r="AT284" s="2">
        <f>IFERROR(Y284/$V284*90,"")</f>
        <v>4.39453125E-2</v>
      </c>
      <c r="AU284" s="2">
        <f>IF(AP284="",INDEX(BV$4:BV$7,MATCH(O284,$BU$4:$BU$7,0)),AP284)</f>
        <v>0</v>
      </c>
      <c r="AV284" s="2">
        <f>IF(AQ284="",INDEX(BW$4:BW$7,MATCH($O284,$BU$4:$BU$7,0)),AQ284)</f>
        <v>0</v>
      </c>
      <c r="AW284" s="2">
        <f t="shared" si="48"/>
        <v>0</v>
      </c>
      <c r="AX284" s="2">
        <f t="shared" si="49"/>
        <v>0.3076171875</v>
      </c>
      <c r="AY284" s="2">
        <f t="shared" si="50"/>
        <v>4.39453125E-2</v>
      </c>
      <c r="AZ284" s="2">
        <f>AU284*0.5+AK284*0.5</f>
        <v>5.1785714285714289E-2</v>
      </c>
      <c r="BA284" s="2">
        <f>AV284*0.5+AJ284*0.5</f>
        <v>4.0872252747252757E-2</v>
      </c>
      <c r="BB284" s="2">
        <f t="shared" si="51"/>
        <v>0.15380859375</v>
      </c>
      <c r="BC284">
        <f>IF(I284="expected",1,0)</f>
        <v>0</v>
      </c>
      <c r="BD284" s="78">
        <f>IF(BC284=1,AZ284/SUMIFS(AZ$3:AZ$623,$BC$3:$BC$623,1,$G$3:$G$623,$G284),0)</f>
        <v>0</v>
      </c>
      <c r="BE284" s="78">
        <f>IF(BC284=1,BA284/SUMIFS(BA$3:BA$623,$BC$3:$BC$623,1,$G$3:$G$623,$G284),0)</f>
        <v>0</v>
      </c>
      <c r="BF284" s="78">
        <f t="shared" si="52"/>
        <v>0</v>
      </c>
      <c r="BG284" s="2">
        <f t="shared" si="53"/>
        <v>0.15380859375</v>
      </c>
      <c r="BH284" s="2">
        <f t="shared" si="54"/>
        <v>4.39453125E-2</v>
      </c>
      <c r="BI284" s="2">
        <f t="shared" si="55"/>
        <v>0</v>
      </c>
      <c r="BJ284" s="2">
        <f t="shared" si="56"/>
        <v>0</v>
      </c>
      <c r="BK284" s="2">
        <f t="shared" si="57"/>
        <v>0</v>
      </c>
      <c r="BL284" s="2">
        <f t="shared" si="58"/>
        <v>0.15380859375</v>
      </c>
      <c r="BM284" s="2">
        <f t="shared" si="59"/>
        <v>4.39453125E-2</v>
      </c>
      <c r="BN284" s="2">
        <f>BI284/SUMIFS(BI$3:BI$623,$BC$3:$BC$623,1,$G$3:$G$623,$G284)</f>
        <v>0</v>
      </c>
      <c r="BO284" s="2">
        <f>BJ284/SUMIFS(BJ$3:BJ$623,$BC$3:$BC$623,1,$G$3:$G$623,$G284)</f>
        <v>0</v>
      </c>
      <c r="BP284" s="2">
        <f>BK284/SUMIFS(BK$3:BK$623,$BC$3:$BC$623,1,$G$3:$G$623,$G284)</f>
        <v>0</v>
      </c>
      <c r="BQ284" s="2">
        <f>BL284</f>
        <v>0.15380859375</v>
      </c>
      <c r="BR284" s="2">
        <f>BM284</f>
        <v>4.39453125E-2</v>
      </c>
    </row>
    <row r="285" spans="1:70" hidden="1">
      <c r="A285" s="74">
        <v>0</v>
      </c>
      <c r="B285" s="73">
        <v>204704</v>
      </c>
      <c r="C285" s="73" t="s">
        <v>2109</v>
      </c>
      <c r="D285" s="73" t="s">
        <v>2110</v>
      </c>
      <c r="E285" s="73" t="s">
        <v>2111</v>
      </c>
      <c r="F285" s="73">
        <v>18716</v>
      </c>
      <c r="G285" s="73" t="s">
        <v>862</v>
      </c>
      <c r="H285" s="73" t="s">
        <v>935</v>
      </c>
      <c r="I285" s="73" t="s">
        <v>1012</v>
      </c>
      <c r="J285" s="73">
        <v>0</v>
      </c>
      <c r="K285" s="73">
        <v>5</v>
      </c>
      <c r="L285" s="73">
        <v>0</v>
      </c>
      <c r="M285" s="73">
        <v>0</v>
      </c>
      <c r="N285" s="73">
        <v>0</v>
      </c>
      <c r="O285" s="73" t="s">
        <v>1318</v>
      </c>
      <c r="P285" s="73" t="s">
        <v>2112</v>
      </c>
      <c r="Q285" s="73" t="s">
        <v>2112</v>
      </c>
      <c r="R285" s="73">
        <v>0</v>
      </c>
      <c r="S285" s="73">
        <v>1</v>
      </c>
      <c r="T285" s="73">
        <v>0</v>
      </c>
      <c r="U285" s="73">
        <v>3</v>
      </c>
      <c r="V285" s="73">
        <v>937</v>
      </c>
      <c r="W285" s="73">
        <v>2</v>
      </c>
      <c r="X285" s="73">
        <v>1</v>
      </c>
      <c r="Y285" s="73">
        <v>0</v>
      </c>
      <c r="Z285" s="73" t="s">
        <v>1922</v>
      </c>
      <c r="AA285" s="73" t="s">
        <v>692</v>
      </c>
      <c r="AB285" s="73" t="str">
        <f>IF(AA285&lt;&gt;"",INDEX(Lookup!$N$2:$N$5,MATCH(Players!AA285,Lookup!$P$2:$P$5,0)),INDEX(Lookup!$N$2:$N$5,MATCH(Players!O285,Lookup!$O$2:$O$5,0)))</f>
        <v>Defense</v>
      </c>
      <c r="AC285" s="73">
        <v>3000000</v>
      </c>
      <c r="AD285" s="73" t="s">
        <v>789</v>
      </c>
      <c r="AE285" s="73" t="str">
        <f>INDEX('Translate table'!$H$2:$H$622,MATCH(Players!P285,'Translate table'!$G$2:$G$622,0))</f>
        <v>Merih Demiral</v>
      </c>
      <c r="AF285" s="73">
        <f>IFERROR(INDEX('Euro Qual stats'!$A$1:$L$2071,MATCH(Players!$AE285,'Euro Qual stats'!$A$1:$A$2071,0),MATCH(Players!AF$2,'Euro Qual stats'!$A$1:$L$1,0)),0)</f>
        <v>10</v>
      </c>
      <c r="AG285" s="73">
        <f>IFERROR(INDEX('Euro Qual stats'!$A$1:$L$2071,MATCH(Players!$AE285,'Euro Qual stats'!$A$1:$A$2071,0),MATCH(Players!AG$2,'Euro Qual stats'!$A$1:$L$1,0)),0)</f>
        <v>0.1</v>
      </c>
      <c r="AH285" s="73">
        <f>IFERROR(INDEX('Euro Qual stats'!$A$1:$L$2071,MATCH(Players!$AE285,'Euro Qual stats'!$A$1:$A$2071,0),MATCH(Players!AH$2,'Euro Qual stats'!$A$1:$L$1,0)),0)</f>
        <v>0</v>
      </c>
      <c r="AI285" s="73">
        <f>IFERROR(INDEX('Euro Qual stats'!$A$1:$L$2071,MATCH(Players!$AE285,'Euro Qual stats'!$A$1:$A$2071,0),MATCH(Players!AI$2,'Euro Qual stats'!$A$1:$L$1,0)),0)</f>
        <v>0.2</v>
      </c>
      <c r="AJ285" s="93">
        <f>(12-AF285)/12*INDEX(BV$9:BV$12,MATCH($AB285,$BU$9:$BU$12,0))+AF285/12*AG285</f>
        <v>9.8195970695970705E-2</v>
      </c>
      <c r="AK285" s="93">
        <f>(12-AG285)/12*INDEX(BW$9:BW$12,MATCH($AB285,$BU$9:$BU$12,0))+AG285/12*AH285</f>
        <v>0.10270833333333335</v>
      </c>
      <c r="AL285" s="93">
        <f>(12-AH285)/12*INDEX(BX$9:BX$12,MATCH($AB285,$BU$9:$BU$12,0))+AH285/12*AI285</f>
        <v>0.19357142857142848</v>
      </c>
      <c r="AM285" s="93">
        <f>IF($BC285=1,AJ285/SUMIFS(AJ$3:AJ$623,$BC$3:$BC$623,1,$G$3:$G$623,$G285),0)</f>
        <v>0</v>
      </c>
      <c r="AN285" s="93">
        <f>IF($BC285=1,AK285/SUMIFS(AK$3:AK$623,$BC$3:$BC$623,1,$G$3:$G$623,$G285),0)</f>
        <v>0</v>
      </c>
      <c r="AO285" s="93">
        <f>IF($BC285=1,AL285/SUMIFS(AL$3:AL$623,$BC$3:$BC$623,1,$G$3:$G$623,$G285),0)</f>
        <v>0</v>
      </c>
      <c r="AP285" s="2">
        <f>IFERROR(R285/$V285*90,"")</f>
        <v>0</v>
      </c>
      <c r="AQ285" s="2">
        <f>IFERROR(S285/$V285*90,"")</f>
        <v>9.6051227321237997E-2</v>
      </c>
      <c r="AR285" s="2">
        <f>IFERROR(W285/$V285*90,"")</f>
        <v>0.19210245464247599</v>
      </c>
      <c r="AS285" s="2">
        <f>IFERROR(X285/$V285*90,"")</f>
        <v>9.6051227321237997E-2</v>
      </c>
      <c r="AT285" s="2">
        <f>IFERROR(Y285/$V285*90,"")</f>
        <v>0</v>
      </c>
      <c r="AU285" s="2">
        <f>IF(AP285="",INDEX(BV$4:BV$7,MATCH(O285,$BU$4:$BU$7,0)),AP285)</f>
        <v>0</v>
      </c>
      <c r="AV285" s="2">
        <f>IF(AQ285="",INDEX(BW$4:BW$7,MATCH($O285,$BU$4:$BU$7,0)),AQ285)</f>
        <v>9.6051227321237997E-2</v>
      </c>
      <c r="AW285" s="2">
        <f t="shared" si="48"/>
        <v>0.19210245464247599</v>
      </c>
      <c r="AX285" s="2">
        <f t="shared" si="49"/>
        <v>9.6051227321237997E-2</v>
      </c>
      <c r="AY285" s="2">
        <f t="shared" si="50"/>
        <v>0</v>
      </c>
      <c r="AZ285" s="2">
        <f>AU285*0.5+AK285*0.5</f>
        <v>5.1354166666666673E-2</v>
      </c>
      <c r="BA285" s="2">
        <f>AV285*0.5+AJ285*0.5</f>
        <v>9.7123599008604344E-2</v>
      </c>
      <c r="BB285" s="2">
        <f t="shared" si="51"/>
        <v>0.148025613660619</v>
      </c>
      <c r="BC285">
        <f>IF(I285="expected",1,0)</f>
        <v>0</v>
      </c>
      <c r="BD285" s="78">
        <f>IF(BC285=1,AZ285/SUMIFS(AZ$3:AZ$623,$BC$3:$BC$623,1,$G$3:$G$623,$G285),0)</f>
        <v>0</v>
      </c>
      <c r="BE285" s="78">
        <f>IF(BC285=1,BA285/SUMIFS(BA$3:BA$623,$BC$3:$BC$623,1,$G$3:$G$623,$G285),0)</f>
        <v>0</v>
      </c>
      <c r="BF285" s="78">
        <f t="shared" si="52"/>
        <v>0</v>
      </c>
      <c r="BG285" s="2">
        <f t="shared" si="53"/>
        <v>0.148025613660619</v>
      </c>
      <c r="BH285" s="2">
        <f t="shared" si="54"/>
        <v>0</v>
      </c>
      <c r="BI285" s="2">
        <f t="shared" si="55"/>
        <v>0</v>
      </c>
      <c r="BJ285" s="2">
        <f t="shared" si="56"/>
        <v>0</v>
      </c>
      <c r="BK285" s="2">
        <f t="shared" si="57"/>
        <v>0</v>
      </c>
      <c r="BL285" s="2">
        <f t="shared" si="58"/>
        <v>0.148025613660619</v>
      </c>
      <c r="BM285" s="2">
        <f t="shared" si="59"/>
        <v>0</v>
      </c>
      <c r="BN285" s="2">
        <f>BI285/SUMIFS(BI$3:BI$623,$BC$3:$BC$623,1,$G$3:$G$623,$G285)</f>
        <v>0</v>
      </c>
      <c r="BO285" s="2">
        <f>BJ285/SUMIFS(BJ$3:BJ$623,$BC$3:$BC$623,1,$G$3:$G$623,$G285)</f>
        <v>0</v>
      </c>
      <c r="BP285" s="2">
        <f>BK285/SUMIFS(BK$3:BK$623,$BC$3:$BC$623,1,$G$3:$G$623,$G285)</f>
        <v>0</v>
      </c>
      <c r="BQ285" s="2">
        <f>BL285</f>
        <v>0.148025613660619</v>
      </c>
      <c r="BR285" s="2">
        <f>BM285</f>
        <v>0</v>
      </c>
    </row>
    <row r="286" spans="1:70" hidden="1">
      <c r="A286" s="74">
        <v>0</v>
      </c>
      <c r="B286" s="73">
        <v>220822</v>
      </c>
      <c r="C286" s="73" t="s">
        <v>2113</v>
      </c>
      <c r="D286" s="73" t="s">
        <v>2114</v>
      </c>
      <c r="E286" s="73" t="s">
        <v>2115</v>
      </c>
      <c r="F286" s="73">
        <v>18716</v>
      </c>
      <c r="G286" s="73" t="s">
        <v>862</v>
      </c>
      <c r="H286" s="73" t="s">
        <v>935</v>
      </c>
      <c r="I286" s="73" t="s">
        <v>1012</v>
      </c>
      <c r="J286" s="73">
        <v>0</v>
      </c>
      <c r="K286" s="73">
        <v>5</v>
      </c>
      <c r="L286" s="73">
        <v>0</v>
      </c>
      <c r="M286" s="73">
        <v>0</v>
      </c>
      <c r="N286" s="73">
        <v>0</v>
      </c>
      <c r="O286" s="73" t="s">
        <v>994</v>
      </c>
      <c r="P286" s="73" t="s">
        <v>661</v>
      </c>
      <c r="Q286" s="73" t="s">
        <v>674</v>
      </c>
      <c r="R286" s="73">
        <v>0</v>
      </c>
      <c r="S286" s="73">
        <v>2</v>
      </c>
      <c r="T286" s="73">
        <v>0</v>
      </c>
      <c r="U286" s="73">
        <v>0</v>
      </c>
      <c r="V286" s="73">
        <v>274</v>
      </c>
      <c r="W286" s="73">
        <v>1</v>
      </c>
      <c r="X286" s="73">
        <v>0</v>
      </c>
      <c r="Y286" s="73">
        <v>0</v>
      </c>
      <c r="Z286" s="73" t="s">
        <v>1922</v>
      </c>
      <c r="AA286" s="73" t="s">
        <v>693</v>
      </c>
      <c r="AB286" s="73" t="str">
        <f>IF(AA286&lt;&gt;"",INDEX(Lookup!$N$2:$N$5,MATCH(Players!AA286,Lookup!$P$2:$P$5,0)),INDEX(Lookup!$N$2:$N$5,MATCH(Players!O286,Lookup!$O$2:$O$5,0)))</f>
        <v>Striker</v>
      </c>
      <c r="AC286" s="73">
        <v>3500000</v>
      </c>
      <c r="AD286" s="73" t="s">
        <v>788</v>
      </c>
      <c r="AE286" s="73" t="str">
        <f>INDEX('Translate table'!$H$2:$H$622,MATCH(Players!P286,'Translate table'!$G$2:$G$622,0))</f>
        <v>Cengiz Ãœnder</v>
      </c>
      <c r="AF286" s="73">
        <f>IFERROR(INDEX('Euro Qual stats'!$A$1:$L$2071,MATCH(Players!$AE286,'Euro Qual stats'!$A$1:$A$2071,0),MATCH(Players!AF$2,'Euro Qual stats'!$A$1:$L$1,0)),0)</f>
        <v>2</v>
      </c>
      <c r="AG286" s="73">
        <f>IFERROR(INDEX('Euro Qual stats'!$A$1:$L$2071,MATCH(Players!$AE286,'Euro Qual stats'!$A$1:$A$2071,0),MATCH(Players!AG$2,'Euro Qual stats'!$A$1:$L$1,0)),0)</f>
        <v>0</v>
      </c>
      <c r="AH286" s="73">
        <f>IFERROR(INDEX('Euro Qual stats'!$A$1:$L$2071,MATCH(Players!$AE286,'Euro Qual stats'!$A$1:$A$2071,0),MATCH(Players!AH$2,'Euro Qual stats'!$A$1:$L$1,0)),0)</f>
        <v>0.54</v>
      </c>
      <c r="AI286" s="73">
        <f>IFERROR(INDEX('Euro Qual stats'!$A$1:$L$2071,MATCH(Players!$AE286,'Euro Qual stats'!$A$1:$A$2071,0),MATCH(Players!AI$2,'Euro Qual stats'!$A$1:$L$1,0)),0)</f>
        <v>0.54</v>
      </c>
      <c r="AJ286" s="93">
        <f>(12-AF286)/12*INDEX(BV$9:BV$12,MATCH($AB286,$BU$9:$BU$12,0))+AF286/12*AG286</f>
        <v>0.1707614942528736</v>
      </c>
      <c r="AK286" s="93">
        <f>(12-AG286)/12*INDEX(BW$9:BW$12,MATCH($AB286,$BU$9:$BU$12,0))+AG286/12*AH286</f>
        <v>0.53387931034482738</v>
      </c>
      <c r="AL286" s="93">
        <f>(12-AH286)/12*INDEX(BX$9:BX$12,MATCH($AB286,$BU$9:$BU$12,0))+AH286/12*AI286</f>
        <v>0.18171034482758627</v>
      </c>
      <c r="AM286" s="93">
        <f>IF($BC286=1,AJ286/SUMIFS(AJ$3:AJ$623,$BC$3:$BC$623,1,$G$3:$G$623,$G286),0)</f>
        <v>0</v>
      </c>
      <c r="AN286" s="93">
        <f>IF($BC286=1,AK286/SUMIFS(AK$3:AK$623,$BC$3:$BC$623,1,$G$3:$G$623,$G286),0)</f>
        <v>0</v>
      </c>
      <c r="AO286" s="93">
        <f>IF($BC286=1,AL286/SUMIFS(AL$3:AL$623,$BC$3:$BC$623,1,$G$3:$G$623,$G286),0)</f>
        <v>0</v>
      </c>
      <c r="AP286" s="2">
        <f>IFERROR(R286/$V286*90,"")</f>
        <v>0</v>
      </c>
      <c r="AQ286" s="2">
        <f>IFERROR(S286/$V286*90,"")</f>
        <v>0.65693430656934304</v>
      </c>
      <c r="AR286" s="2">
        <f>IFERROR(W286/$V286*90,"")</f>
        <v>0.32846715328467152</v>
      </c>
      <c r="AS286" s="2">
        <f>IFERROR(X286/$V286*90,"")</f>
        <v>0</v>
      </c>
      <c r="AT286" s="2">
        <f>IFERROR(Y286/$V286*90,"")</f>
        <v>0</v>
      </c>
      <c r="AU286" s="2">
        <f>IF(AP286="",INDEX(BV$4:BV$7,MATCH(O286,$BU$4:$BU$7,0)),AP286)</f>
        <v>0</v>
      </c>
      <c r="AV286" s="2">
        <f>IF(AQ286="",INDEX(BW$4:BW$7,MATCH($O286,$BU$4:$BU$7,0)),AQ286)</f>
        <v>0.65693430656934304</v>
      </c>
      <c r="AW286" s="2">
        <f t="shared" si="48"/>
        <v>0.32846715328467152</v>
      </c>
      <c r="AX286" s="2">
        <f t="shared" si="49"/>
        <v>0</v>
      </c>
      <c r="AY286" s="2">
        <f t="shared" si="50"/>
        <v>0</v>
      </c>
      <c r="AZ286" s="2">
        <f>AU286*0.5+AK286*0.5</f>
        <v>0.26693965517241369</v>
      </c>
      <c r="BA286" s="2">
        <f>AV286*0.5+AJ286*0.5</f>
        <v>0.4138479004111083</v>
      </c>
      <c r="BB286" s="2">
        <f t="shared" si="51"/>
        <v>0.27</v>
      </c>
      <c r="BC286">
        <f>IF(I286="expected",1,0)</f>
        <v>0</v>
      </c>
      <c r="BD286" s="78">
        <f>IF(BC286=1,AZ286/SUMIFS(AZ$3:AZ$623,$BC$3:$BC$623,1,$G$3:$G$623,$G286),0)</f>
        <v>0</v>
      </c>
      <c r="BE286" s="78">
        <f>IF(BC286=1,BA286/SUMIFS(BA$3:BA$623,$BC$3:$BC$623,1,$G$3:$G$623,$G286),0)</f>
        <v>0</v>
      </c>
      <c r="BF286" s="78">
        <f t="shared" si="52"/>
        <v>0</v>
      </c>
      <c r="BG286" s="2">
        <f t="shared" si="53"/>
        <v>0.27</v>
      </c>
      <c r="BH286" s="2">
        <f t="shared" si="54"/>
        <v>0</v>
      </c>
      <c r="BI286" s="2">
        <f t="shared" si="55"/>
        <v>0</v>
      </c>
      <c r="BJ286" s="2">
        <f t="shared" si="56"/>
        <v>0</v>
      </c>
      <c r="BK286" s="2">
        <f t="shared" si="57"/>
        <v>0</v>
      </c>
      <c r="BL286" s="2">
        <f t="shared" si="58"/>
        <v>0.27</v>
      </c>
      <c r="BM286" s="2">
        <f t="shared" si="59"/>
        <v>0</v>
      </c>
      <c r="BN286" s="2">
        <f>BI286/SUMIFS(BI$3:BI$623,$BC$3:$BC$623,1,$G$3:$G$623,$G286)</f>
        <v>0</v>
      </c>
      <c r="BO286" s="2">
        <f>BJ286/SUMIFS(BJ$3:BJ$623,$BC$3:$BC$623,1,$G$3:$G$623,$G286)</f>
        <v>0</v>
      </c>
      <c r="BP286" s="2">
        <f>BK286/SUMIFS(BK$3:BK$623,$BC$3:$BC$623,1,$G$3:$G$623,$G286)</f>
        <v>0</v>
      </c>
      <c r="BQ286" s="2">
        <f>BL286</f>
        <v>0.27</v>
      </c>
      <c r="BR286" s="2">
        <f>BM286</f>
        <v>0</v>
      </c>
    </row>
    <row r="287" spans="1:70" hidden="1">
      <c r="A287" s="74">
        <v>0</v>
      </c>
      <c r="B287" s="73">
        <v>213391</v>
      </c>
      <c r="C287" s="73" t="s">
        <v>2116</v>
      </c>
      <c r="D287" s="73" t="s">
        <v>2117</v>
      </c>
      <c r="E287" s="73" t="s">
        <v>2118</v>
      </c>
      <c r="F287" s="73">
        <v>18716</v>
      </c>
      <c r="G287" s="73" t="s">
        <v>862</v>
      </c>
      <c r="H287" s="73" t="s">
        <v>935</v>
      </c>
      <c r="I287" s="73" t="s">
        <v>1012</v>
      </c>
      <c r="J287" s="73">
        <v>0</v>
      </c>
      <c r="K287" s="73">
        <v>5</v>
      </c>
      <c r="L287" s="73">
        <v>0</v>
      </c>
      <c r="M287" s="73">
        <v>0</v>
      </c>
      <c r="N287" s="73">
        <v>0</v>
      </c>
      <c r="O287" s="73" t="s">
        <v>982</v>
      </c>
      <c r="P287" s="73" t="s">
        <v>2119</v>
      </c>
      <c r="Q287" s="73" t="s">
        <v>2120</v>
      </c>
      <c r="R287" s="73">
        <v>4</v>
      </c>
      <c r="S287" s="73">
        <v>2</v>
      </c>
      <c r="T287" s="73">
        <v>0</v>
      </c>
      <c r="U287" s="73">
        <v>0</v>
      </c>
      <c r="V287" s="73">
        <v>1319</v>
      </c>
      <c r="W287" s="73">
        <v>9</v>
      </c>
      <c r="X287" s="73">
        <v>4</v>
      </c>
      <c r="Y287" s="73">
        <v>0</v>
      </c>
      <c r="Z287" s="73" t="s">
        <v>1922</v>
      </c>
      <c r="AA287" s="73" t="s">
        <v>693</v>
      </c>
      <c r="AB287" s="73" t="str">
        <f>IF(AA287&lt;&gt;"",INDEX(Lookup!$N$2:$N$5,MATCH(Players!AA287,Lookup!$P$2:$P$5,0)),INDEX(Lookup!$N$2:$N$5,MATCH(Players!O287,Lookup!$O$2:$O$5,0)))</f>
        <v>Striker</v>
      </c>
      <c r="AC287" s="73">
        <v>2500000</v>
      </c>
      <c r="AD287" s="73" t="s">
        <v>789</v>
      </c>
      <c r="AE287" s="73" t="str">
        <f>INDEX('Translate table'!$H$2:$H$622,MATCH(Players!P287,'Translate table'!$G$2:$G$622,0))</f>
        <v>Enes Mahmutovic</v>
      </c>
      <c r="AF287" s="73">
        <f>IFERROR(INDEX('Euro Qual stats'!$A$1:$L$2071,MATCH(Players!$AE287,'Euro Qual stats'!$A$1:$A$2071,0),MATCH(Players!AF$2,'Euro Qual stats'!$A$1:$L$1,0)),0)</f>
        <v>0</v>
      </c>
      <c r="AG287" s="73">
        <f>IFERROR(INDEX('Euro Qual stats'!$A$1:$L$2071,MATCH(Players!$AE287,'Euro Qual stats'!$A$1:$A$2071,0),MATCH(Players!AG$2,'Euro Qual stats'!$A$1:$L$1,0)),0)</f>
        <v>0</v>
      </c>
      <c r="AH287" s="73">
        <f>IFERROR(INDEX('Euro Qual stats'!$A$1:$L$2071,MATCH(Players!$AE287,'Euro Qual stats'!$A$1:$A$2071,0),MATCH(Players!AH$2,'Euro Qual stats'!$A$1:$L$1,0)),0)</f>
        <v>0</v>
      </c>
      <c r="AI287" s="73">
        <f>IFERROR(INDEX('Euro Qual stats'!$A$1:$L$2071,MATCH(Players!$AE287,'Euro Qual stats'!$A$1:$A$2071,0),MATCH(Players!AI$2,'Euro Qual stats'!$A$1:$L$1,0)),0)</f>
        <v>0</v>
      </c>
      <c r="AJ287" s="93">
        <f>(12-AF287)/12*INDEX(BV$9:BV$12,MATCH($AB287,$BU$9:$BU$12,0))+AF287/12*AG287</f>
        <v>0.20491379310344832</v>
      </c>
      <c r="AK287" s="93">
        <f>(12-AG287)/12*INDEX(BW$9:BW$12,MATCH($AB287,$BU$9:$BU$12,0))+AG287/12*AH287</f>
        <v>0.53387931034482738</v>
      </c>
      <c r="AL287" s="93">
        <f>(12-AH287)/12*INDEX(BX$9:BX$12,MATCH($AB287,$BU$9:$BU$12,0))+AH287/12*AI287</f>
        <v>0.16482758620689658</v>
      </c>
      <c r="AM287" s="93">
        <f>IF($BC287=1,AJ287/SUMIFS(AJ$3:AJ$623,$BC$3:$BC$623,1,$G$3:$G$623,$G287),0)</f>
        <v>0</v>
      </c>
      <c r="AN287" s="93">
        <f>IF($BC287=1,AK287/SUMIFS(AK$3:AK$623,$BC$3:$BC$623,1,$G$3:$G$623,$G287),0)</f>
        <v>0</v>
      </c>
      <c r="AO287" s="93">
        <f>IF($BC287=1,AL287/SUMIFS(AL$3:AL$623,$BC$3:$BC$623,1,$G$3:$G$623,$G287),0)</f>
        <v>0</v>
      </c>
      <c r="AP287" s="2">
        <f>IFERROR(R287/$V287*90,"")</f>
        <v>0.27293404094010615</v>
      </c>
      <c r="AQ287" s="2">
        <f>IFERROR(S287/$V287*90,"")</f>
        <v>0.13646702047005307</v>
      </c>
      <c r="AR287" s="2">
        <f>IFERROR(W287/$V287*90,"")</f>
        <v>0.61410159211523885</v>
      </c>
      <c r="AS287" s="2">
        <f>IFERROR(X287/$V287*90,"")</f>
        <v>0.27293404094010615</v>
      </c>
      <c r="AT287" s="2">
        <f>IFERROR(Y287/$V287*90,"")</f>
        <v>0</v>
      </c>
      <c r="AU287" s="2">
        <f>IF(AP287="",INDEX(BV$4:BV$7,MATCH(O287,$BU$4:$BU$7,0)),AP287)</f>
        <v>0.27293404094010615</v>
      </c>
      <c r="AV287" s="2">
        <f>IF(AQ287="",INDEX(BW$4:BW$7,MATCH($O287,$BU$4:$BU$7,0)),AQ287)</f>
        <v>0.13646702047005307</v>
      </c>
      <c r="AW287" s="2">
        <f t="shared" si="48"/>
        <v>0.61410159211523885</v>
      </c>
      <c r="AX287" s="2">
        <f t="shared" si="49"/>
        <v>0.27293404094010615</v>
      </c>
      <c r="AY287" s="2">
        <f t="shared" si="50"/>
        <v>0</v>
      </c>
      <c r="AZ287" s="2">
        <f>AU287*0.5+AK287*0.5</f>
        <v>0.40340667564246679</v>
      </c>
      <c r="BA287" s="2">
        <f>AV287*0.5+AJ287*0.5</f>
        <v>0.17069040678675068</v>
      </c>
      <c r="BB287" s="2">
        <f t="shared" si="51"/>
        <v>0.13646702047005307</v>
      </c>
      <c r="BC287">
        <f>IF(I287="expected",1,0)</f>
        <v>0</v>
      </c>
      <c r="BD287" s="78">
        <f>IF(BC287=1,AZ287/SUMIFS(AZ$3:AZ$623,$BC$3:$BC$623,1,$G$3:$G$623,$G287),0)</f>
        <v>0</v>
      </c>
      <c r="BE287" s="78">
        <f>IF(BC287=1,BA287/SUMIFS(BA$3:BA$623,$BC$3:$BC$623,1,$G$3:$G$623,$G287),0)</f>
        <v>0</v>
      </c>
      <c r="BF287" s="78">
        <f t="shared" si="52"/>
        <v>0</v>
      </c>
      <c r="BG287" s="2">
        <f t="shared" si="53"/>
        <v>0.13646702047005307</v>
      </c>
      <c r="BH287" s="2">
        <f t="shared" si="54"/>
        <v>0</v>
      </c>
      <c r="BI287" s="2">
        <f t="shared" si="55"/>
        <v>0</v>
      </c>
      <c r="BJ287" s="2">
        <f t="shared" si="56"/>
        <v>0</v>
      </c>
      <c r="BK287" s="2">
        <f t="shared" si="57"/>
        <v>0</v>
      </c>
      <c r="BL287" s="2">
        <f t="shared" si="58"/>
        <v>0.13646702047005307</v>
      </c>
      <c r="BM287" s="2">
        <f t="shared" si="59"/>
        <v>0</v>
      </c>
      <c r="BN287" s="2">
        <f>BI287/SUMIFS(BI$3:BI$623,$BC$3:$BC$623,1,$G$3:$G$623,$G287)</f>
        <v>0</v>
      </c>
      <c r="BO287" s="2">
        <f>BJ287/SUMIFS(BJ$3:BJ$623,$BC$3:$BC$623,1,$G$3:$G$623,$G287)</f>
        <v>0</v>
      </c>
      <c r="BP287" s="2">
        <f>BK287/SUMIFS(BK$3:BK$623,$BC$3:$BC$623,1,$G$3:$G$623,$G287)</f>
        <v>0</v>
      </c>
      <c r="BQ287" s="2">
        <f>BL287</f>
        <v>0.13646702047005307</v>
      </c>
      <c r="BR287" s="2">
        <f>BM287</f>
        <v>0</v>
      </c>
    </row>
    <row r="288" spans="1:70" hidden="1">
      <c r="A288" s="74">
        <v>0</v>
      </c>
      <c r="B288" s="73">
        <v>204741</v>
      </c>
      <c r="C288" s="73" t="s">
        <v>2121</v>
      </c>
      <c r="D288" s="73" t="s">
        <v>2122</v>
      </c>
      <c r="E288" s="73" t="s">
        <v>2123</v>
      </c>
      <c r="F288" s="73">
        <v>18702</v>
      </c>
      <c r="G288" s="73" t="s">
        <v>872</v>
      </c>
      <c r="H288" s="73" t="s">
        <v>913</v>
      </c>
      <c r="I288" s="73" t="s">
        <v>1012</v>
      </c>
      <c r="J288" s="73">
        <v>0</v>
      </c>
      <c r="K288" s="73">
        <v>5</v>
      </c>
      <c r="L288" s="73">
        <v>0</v>
      </c>
      <c r="M288" s="73">
        <v>0</v>
      </c>
      <c r="N288" s="73">
        <v>0</v>
      </c>
      <c r="O288" s="73" t="s">
        <v>1318</v>
      </c>
      <c r="P288" s="73" t="s">
        <v>2124</v>
      </c>
      <c r="Q288" s="73" t="s">
        <v>1164</v>
      </c>
      <c r="R288" s="73"/>
      <c r="S288" s="73"/>
      <c r="T288" s="73"/>
      <c r="U288" s="73"/>
      <c r="V288" s="73"/>
      <c r="W288" s="73"/>
      <c r="X288" s="73"/>
      <c r="Y288" s="73"/>
      <c r="Z288" s="73" t="s">
        <v>1689</v>
      </c>
      <c r="AA288" s="73" t="s">
        <v>692</v>
      </c>
      <c r="AB288" s="73" t="str">
        <f>IF(AA288&lt;&gt;"",INDEX(Lookup!$N$2:$N$5,MATCH(Players!AA288,Lookup!$P$2:$P$5,0)),INDEX(Lookup!$N$2:$N$5,MATCH(Players!O288,Lookup!$O$2:$O$5,0)))</f>
        <v>Defense</v>
      </c>
      <c r="AC288" s="73">
        <v>2500000</v>
      </c>
      <c r="AD288" s="73" t="s">
        <v>788</v>
      </c>
      <c r="AE288" s="73" t="str">
        <f>INDEX('Translate table'!$H$2:$H$622,MATCH(Players!P288,'Translate table'!$G$2:$G$622,0))</f>
        <v>Vyacheslav Karavaev</v>
      </c>
      <c r="AF288" s="73">
        <f>IFERROR(INDEX('Euro Qual stats'!$A$1:$L$2071,MATCH(Players!$AE288,'Euro Qual stats'!$A$1:$A$2071,0),MATCH(Players!AF$2,'Euro Qual stats'!$A$1:$L$1,0)),0)</f>
        <v>1</v>
      </c>
      <c r="AG288" s="73">
        <f>IFERROR(INDEX('Euro Qual stats'!$A$1:$L$2071,MATCH(Players!$AE288,'Euro Qual stats'!$A$1:$A$2071,0),MATCH(Players!AG$2,'Euro Qual stats'!$A$1:$L$1,0)),0)</f>
        <v>0</v>
      </c>
      <c r="AH288" s="73">
        <f>IFERROR(INDEX('Euro Qual stats'!$A$1:$L$2071,MATCH(Players!$AE288,'Euro Qual stats'!$A$1:$A$2071,0),MATCH(Players!AH$2,'Euro Qual stats'!$A$1:$L$1,0)),0)</f>
        <v>0</v>
      </c>
      <c r="AI288" s="73">
        <f>IFERROR(INDEX('Euro Qual stats'!$A$1:$L$2071,MATCH(Players!$AE288,'Euro Qual stats'!$A$1:$A$2071,0),MATCH(Players!AI$2,'Euro Qual stats'!$A$1:$L$1,0)),0)</f>
        <v>1.73</v>
      </c>
      <c r="AJ288" s="93">
        <f>(12-AF288)/12*INDEX(BV$9:BV$12,MATCH($AB288,$BU$9:$BU$12,0))+AF288/12*AG288</f>
        <v>8.1744505494505515E-2</v>
      </c>
      <c r="AK288" s="93">
        <f>(12-AG288)/12*INDEX(BW$9:BW$12,MATCH($AB288,$BU$9:$BU$12,0))+AG288/12*AH288</f>
        <v>0.10357142857142858</v>
      </c>
      <c r="AL288" s="93">
        <f>(12-AH288)/12*INDEX(BX$9:BX$12,MATCH($AB288,$BU$9:$BU$12,0))+AH288/12*AI288</f>
        <v>0.19357142857142848</v>
      </c>
      <c r="AM288" s="93">
        <f>IF($BC288=1,AJ288/SUMIFS(AJ$3:AJ$623,$BC$3:$BC$623,1,$G$3:$G$623,$G288),0)</f>
        <v>0</v>
      </c>
      <c r="AN288" s="93">
        <f>IF($BC288=1,AK288/SUMIFS(AK$3:AK$623,$BC$3:$BC$623,1,$G$3:$G$623,$G288),0)</f>
        <v>0</v>
      </c>
      <c r="AO288" s="93">
        <f>IF($BC288=1,AL288/SUMIFS(AL$3:AL$623,$BC$3:$BC$623,1,$G$3:$G$623,$G288),0)</f>
        <v>0</v>
      </c>
      <c r="AP288" s="2" t="str">
        <f>IFERROR(R288/$V288*90,"")</f>
        <v/>
      </c>
      <c r="AQ288" s="2" t="str">
        <f>IFERROR(S288/$V288*90,"")</f>
        <v/>
      </c>
      <c r="AR288" s="2" t="str">
        <f>IFERROR(W288/$V288*90,"")</f>
        <v/>
      </c>
      <c r="AS288" s="2" t="str">
        <f>IFERROR(X288/$V288*90,"")</f>
        <v/>
      </c>
      <c r="AT288" s="2" t="str">
        <f>IFERROR(Y288/$V288*90,"")</f>
        <v/>
      </c>
      <c r="AU288" s="2">
        <f>IF(AP288="",INDEX(BV$4:BV$7,MATCH(O288,$BU$4:$BU$7,0)),AP288)</f>
        <v>0</v>
      </c>
      <c r="AV288" s="2">
        <f>IF(AQ288="",INDEX(BW$4:BW$7,MATCH($O288,$BU$4:$BU$7,0)),AQ288)</f>
        <v>0</v>
      </c>
      <c r="AW288" s="2">
        <f t="shared" si="48"/>
        <v>8.0624805297505417E-2</v>
      </c>
      <c r="AX288" s="2">
        <f t="shared" si="49"/>
        <v>0.1265377855887522</v>
      </c>
      <c r="AY288" s="2">
        <f t="shared" si="50"/>
        <v>0</v>
      </c>
      <c r="AZ288" s="2">
        <f>AU288*0.5+AK288*0.5</f>
        <v>5.1785714285714289E-2</v>
      </c>
      <c r="BA288" s="2">
        <f>AV288*0.5+AJ288*0.5</f>
        <v>4.0872252747252757E-2</v>
      </c>
      <c r="BB288" s="2">
        <f t="shared" si="51"/>
        <v>0.92826889279437608</v>
      </c>
      <c r="BC288">
        <f>IF(I288="expected",1,0)</f>
        <v>0</v>
      </c>
      <c r="BD288" s="78">
        <f>IF(BC288=1,AZ288/SUMIFS(AZ$3:AZ$623,$BC$3:$BC$623,1,$G$3:$G$623,$G288),0)</f>
        <v>0</v>
      </c>
      <c r="BE288" s="78">
        <f>IF(BC288=1,BA288/SUMIFS(BA$3:BA$623,$BC$3:$BC$623,1,$G$3:$G$623,$G288),0)</f>
        <v>0</v>
      </c>
      <c r="BF288" s="78">
        <f t="shared" si="52"/>
        <v>0</v>
      </c>
      <c r="BG288" s="2">
        <f t="shared" si="53"/>
        <v>0.92826889279437608</v>
      </c>
      <c r="BH288" s="2">
        <f t="shared" si="54"/>
        <v>0</v>
      </c>
      <c r="BI288" s="2">
        <f t="shared" si="55"/>
        <v>0</v>
      </c>
      <c r="BJ288" s="2">
        <f t="shared" si="56"/>
        <v>0</v>
      </c>
      <c r="BK288" s="2">
        <f t="shared" si="57"/>
        <v>0</v>
      </c>
      <c r="BL288" s="2">
        <f t="shared" si="58"/>
        <v>0.92826889279437608</v>
      </c>
      <c r="BM288" s="2">
        <f t="shared" si="59"/>
        <v>0</v>
      </c>
      <c r="BN288" s="2">
        <f>BI288/SUMIFS(BI$3:BI$623,$BC$3:$BC$623,1,$G$3:$G$623,$G288)</f>
        <v>0</v>
      </c>
      <c r="BO288" s="2">
        <f>BJ288/SUMIFS(BJ$3:BJ$623,$BC$3:$BC$623,1,$G$3:$G$623,$G288)</f>
        <v>0</v>
      </c>
      <c r="BP288" s="2">
        <f>BK288/SUMIFS(BK$3:BK$623,$BC$3:$BC$623,1,$G$3:$G$623,$G288)</f>
        <v>0</v>
      </c>
      <c r="BQ288" s="2">
        <f>BL288</f>
        <v>0.92826889279437608</v>
      </c>
      <c r="BR288" s="2">
        <f>BM288</f>
        <v>0</v>
      </c>
    </row>
    <row r="289" spans="1:70" hidden="1">
      <c r="A289" s="74">
        <v>0</v>
      </c>
      <c r="B289" s="73">
        <v>220840</v>
      </c>
      <c r="C289" s="73" t="s">
        <v>2126</v>
      </c>
      <c r="D289" s="73" t="s">
        <v>2127</v>
      </c>
      <c r="E289" s="73" t="s">
        <v>2128</v>
      </c>
      <c r="F289" s="73">
        <v>18702</v>
      </c>
      <c r="G289" s="73" t="s">
        <v>872</v>
      </c>
      <c r="H289" s="73" t="s">
        <v>913</v>
      </c>
      <c r="I289" s="73" t="s">
        <v>981</v>
      </c>
      <c r="J289" s="73">
        <v>0</v>
      </c>
      <c r="K289" s="73">
        <v>5</v>
      </c>
      <c r="L289" s="73">
        <v>0</v>
      </c>
      <c r="M289" s="73">
        <v>0</v>
      </c>
      <c r="N289" s="73">
        <v>0</v>
      </c>
      <c r="O289" s="73" t="s">
        <v>994</v>
      </c>
      <c r="P289" s="73" t="s">
        <v>2129</v>
      </c>
      <c r="Q289" s="73" t="s">
        <v>1164</v>
      </c>
      <c r="R289" s="73"/>
      <c r="S289" s="73"/>
      <c r="T289" s="73"/>
      <c r="U289" s="73"/>
      <c r="V289" s="73"/>
      <c r="W289" s="73"/>
      <c r="X289" s="73"/>
      <c r="Y289" s="73"/>
      <c r="Z289" s="73" t="s">
        <v>1689</v>
      </c>
      <c r="AA289" s="73" t="s">
        <v>691</v>
      </c>
      <c r="AB289" s="73" t="str">
        <f>IF(AA289&lt;&gt;"",INDEX(Lookup!$N$2:$N$5,MATCH(Players!AA289,Lookup!$P$2:$P$5,0)),INDEX(Lookup!$N$2:$N$5,MATCH(Players!O289,Lookup!$O$2:$O$5,0)))</f>
        <v>Midfield</v>
      </c>
      <c r="AC289" s="73">
        <v>3500000</v>
      </c>
      <c r="AD289" s="73" t="s">
        <v>788</v>
      </c>
      <c r="AE289" s="73">
        <f>INDEX('Translate table'!$H$2:$H$622,MATCH(Players!P289,'Translate table'!$G$2:$G$622,0))</f>
        <v>0</v>
      </c>
      <c r="AF289" s="73">
        <f>IFERROR(INDEX('Euro Qual stats'!$A$1:$L$2071,MATCH(Players!$AE289,'Euro Qual stats'!$A$1:$A$2071,0),MATCH(Players!AF$2,'Euro Qual stats'!$A$1:$L$1,0)),0)</f>
        <v>0</v>
      </c>
      <c r="AG289" s="73">
        <f>IFERROR(INDEX('Euro Qual stats'!$A$1:$L$2071,MATCH(Players!$AE289,'Euro Qual stats'!$A$1:$A$2071,0),MATCH(Players!AG$2,'Euro Qual stats'!$A$1:$L$1,0)),0)</f>
        <v>0</v>
      </c>
      <c r="AH289" s="73">
        <f>IFERROR(INDEX('Euro Qual stats'!$A$1:$L$2071,MATCH(Players!$AE289,'Euro Qual stats'!$A$1:$A$2071,0),MATCH(Players!AH$2,'Euro Qual stats'!$A$1:$L$1,0)),0)</f>
        <v>0</v>
      </c>
      <c r="AI289" s="73">
        <f>IFERROR(INDEX('Euro Qual stats'!$A$1:$L$2071,MATCH(Players!$AE289,'Euro Qual stats'!$A$1:$A$2071,0),MATCH(Players!AI$2,'Euro Qual stats'!$A$1:$L$1,0)),0)</f>
        <v>0</v>
      </c>
      <c r="AJ289" s="93">
        <f>(12-AF289)/12*INDEX(BV$9:BV$12,MATCH($AB289,$BU$9:$BU$12,0))+AF289/12*AG289</f>
        <v>0.16869109947643979</v>
      </c>
      <c r="AK289" s="93">
        <f>(12-AG289)/12*INDEX(BW$9:BW$12,MATCH($AB289,$BU$9:$BU$12,0))+AG289/12*AH289</f>
        <v>0.22340314136125652</v>
      </c>
      <c r="AL289" s="93">
        <f>(12-AH289)/12*INDEX(BX$9:BX$12,MATCH($AB289,$BU$9:$BU$12,0))+AH289/12*AI289</f>
        <v>0.23942408376963353</v>
      </c>
      <c r="AM289" s="93">
        <f>IF($BC289=1,AJ289/SUMIFS(AJ$3:AJ$623,$BC$3:$BC$623,1,$G$3:$G$623,$G289),0)</f>
        <v>8.1908828025977029E-2</v>
      </c>
      <c r="AN289" s="93">
        <f>IF($BC289=1,AK289/SUMIFS(AK$3:AK$623,$BC$3:$BC$623,1,$G$3:$G$623,$G289),0)</f>
        <v>9.7718506987753015E-2</v>
      </c>
      <c r="AO289" s="93">
        <f>IF($BC289=1,AL289/SUMIFS(AL$3:AL$623,$BC$3:$BC$623,1,$G$3:$G$623,$G289),0)</f>
        <v>0.11100627376579814</v>
      </c>
      <c r="AP289" s="2" t="str">
        <f>IFERROR(R289/$V289*90,"")</f>
        <v/>
      </c>
      <c r="AQ289" s="2" t="str">
        <f>IFERROR(S289/$V289*90,"")</f>
        <v/>
      </c>
      <c r="AR289" s="2" t="str">
        <f>IFERROR(W289/$V289*90,"")</f>
        <v/>
      </c>
      <c r="AS289" s="2" t="str">
        <f>IFERROR(X289/$V289*90,"")</f>
        <v/>
      </c>
      <c r="AT289" s="2" t="str">
        <f>IFERROR(Y289/$V289*90,"")</f>
        <v/>
      </c>
      <c r="AU289" s="2">
        <f>IF(AP289="",INDEX(BV$4:BV$7,MATCH(O289,$BU$4:$BU$7,0)),AP289)</f>
        <v>3.6526142445450806E-2</v>
      </c>
      <c r="AV289" s="2">
        <f>IF(AQ289="",INDEX(BW$4:BW$7,MATCH($O289,$BU$4:$BU$7,0)),AQ289)</f>
        <v>3.2427739661688867E-2</v>
      </c>
      <c r="AW289" s="2">
        <f t="shared" si="48"/>
        <v>0.20013349649571699</v>
      </c>
      <c r="AX289" s="2">
        <f t="shared" si="49"/>
        <v>0.16081000595592615</v>
      </c>
      <c r="AY289" s="2">
        <f t="shared" si="50"/>
        <v>0</v>
      </c>
      <c r="AZ289" s="2">
        <f>AU289*0.5+AK289*0.5</f>
        <v>0.12996464190335366</v>
      </c>
      <c r="BA289" s="2">
        <f>AV289*0.5+AJ289*0.5</f>
        <v>0.10055941956906433</v>
      </c>
      <c r="BB289" s="2">
        <f t="shared" si="51"/>
        <v>8.0405002977963075E-2</v>
      </c>
      <c r="BC289">
        <f>IF(I289="expected",1,0)</f>
        <v>1</v>
      </c>
      <c r="BD289" s="78">
        <f>IF(BC289=1,AZ289/SUMIFS(AZ$3:AZ$623,$BC$3:$BC$623,1,$G$3:$G$623,$G289),0)</f>
        <v>8.6549599182571019E-2</v>
      </c>
      <c r="BE289" s="78">
        <f>IF(BC289=1,BA289/SUMIFS(BA$3:BA$623,$BC$3:$BC$623,1,$G$3:$G$623,$G289),0)</f>
        <v>5.8234904057907773E-2</v>
      </c>
      <c r="BF289" s="78">
        <f t="shared" si="52"/>
        <v>5.646976818851468E-2</v>
      </c>
      <c r="BG289" s="2">
        <f t="shared" si="53"/>
        <v>8.0405002977963075E-2</v>
      </c>
      <c r="BH289" s="2">
        <f t="shared" si="54"/>
        <v>0</v>
      </c>
      <c r="BI289" s="2">
        <f t="shared" si="55"/>
        <v>8.6549599182571019E-2</v>
      </c>
      <c r="BJ289" s="2">
        <f t="shared" si="56"/>
        <v>5.8234904057907773E-2</v>
      </c>
      <c r="BK289" s="2">
        <f t="shared" si="57"/>
        <v>5.646976818851468E-2</v>
      </c>
      <c r="BL289" s="2">
        <f t="shared" si="58"/>
        <v>8.0405002977963075E-2</v>
      </c>
      <c r="BM289" s="2">
        <f t="shared" si="59"/>
        <v>0</v>
      </c>
      <c r="BN289" s="2">
        <f>BI289/SUMIFS(BI$3:BI$623,$BC$3:$BC$623,1,$G$3:$G$623,$G289)</f>
        <v>8.6549599182571033E-2</v>
      </c>
      <c r="BO289" s="2">
        <f>BJ289/SUMIFS(BJ$3:BJ$623,$BC$3:$BC$623,1,$G$3:$G$623,$G289)</f>
        <v>6.0739717960801506E-2</v>
      </c>
      <c r="BP289" s="2">
        <f>BK289/SUMIFS(BK$3:BK$623,$BC$3:$BC$623,1,$G$3:$G$623,$G289)</f>
        <v>5.6922588944034631E-2</v>
      </c>
      <c r="BQ289" s="2">
        <f>BL289</f>
        <v>8.0405002977963075E-2</v>
      </c>
      <c r="BR289" s="2">
        <f>BM289</f>
        <v>0</v>
      </c>
    </row>
    <row r="290" spans="1:70" hidden="1">
      <c r="A290" s="74">
        <v>0</v>
      </c>
      <c r="B290" s="73">
        <v>204998</v>
      </c>
      <c r="C290" s="73" t="s">
        <v>2130</v>
      </c>
      <c r="D290" s="73" t="s">
        <v>2131</v>
      </c>
      <c r="E290" s="73" t="s">
        <v>2132</v>
      </c>
      <c r="F290" s="73">
        <v>18702</v>
      </c>
      <c r="G290" s="73" t="s">
        <v>872</v>
      </c>
      <c r="H290" s="73" t="s">
        <v>913</v>
      </c>
      <c r="I290" s="73" t="s">
        <v>1012</v>
      </c>
      <c r="J290" s="73">
        <v>0</v>
      </c>
      <c r="K290" s="73">
        <v>5</v>
      </c>
      <c r="L290" s="73">
        <v>0</v>
      </c>
      <c r="M290" s="73">
        <v>0</v>
      </c>
      <c r="N290" s="73">
        <v>0</v>
      </c>
      <c r="O290" s="73" t="s">
        <v>994</v>
      </c>
      <c r="P290" s="73" t="s">
        <v>2133</v>
      </c>
      <c r="Q290" s="73" t="s">
        <v>2134</v>
      </c>
      <c r="R290" s="73">
        <v>1</v>
      </c>
      <c r="S290" s="73">
        <v>1</v>
      </c>
      <c r="T290" s="73">
        <v>0</v>
      </c>
      <c r="U290" s="73">
        <v>1</v>
      </c>
      <c r="V290" s="73">
        <v>1369</v>
      </c>
      <c r="W290" s="73">
        <v>2</v>
      </c>
      <c r="X290" s="73">
        <v>7</v>
      </c>
      <c r="Y290" s="73">
        <v>0</v>
      </c>
      <c r="Z290" s="73" t="s">
        <v>1689</v>
      </c>
      <c r="AA290" s="73" t="s">
        <v>691</v>
      </c>
      <c r="AB290" s="73" t="str">
        <f>IF(AA290&lt;&gt;"",INDEX(Lookup!$N$2:$N$5,MATCH(Players!AA290,Lookup!$P$2:$P$5,0)),INDEX(Lookup!$N$2:$N$5,MATCH(Players!O290,Lookup!$O$2:$O$5,0)))</f>
        <v>Midfield</v>
      </c>
      <c r="AC290" s="73">
        <v>2500000</v>
      </c>
      <c r="AD290" s="73" t="s">
        <v>788</v>
      </c>
      <c r="AE290" s="73" t="str">
        <f>INDEX('Translate table'!$H$2:$H$622,MATCH(Players!P290,'Translate table'!$G$2:$G$622,0))</f>
        <v>Andrej KramariÄ‡</v>
      </c>
      <c r="AF290" s="73">
        <f>IFERROR(INDEX('Euro Qual stats'!$A$1:$L$2071,MATCH(Players!$AE290,'Euro Qual stats'!$A$1:$A$2071,0),MATCH(Players!AF$2,'Euro Qual stats'!$A$1:$L$1,0)),0)</f>
        <v>3</v>
      </c>
      <c r="AG290" s="73">
        <f>IFERROR(INDEX('Euro Qual stats'!$A$1:$L$2071,MATCH(Players!$AE290,'Euro Qual stats'!$A$1:$A$2071,0),MATCH(Players!AG$2,'Euro Qual stats'!$A$1:$L$1,0)),0)</f>
        <v>0.33</v>
      </c>
      <c r="AH290" s="73">
        <f>IFERROR(INDEX('Euro Qual stats'!$A$1:$L$2071,MATCH(Players!$AE290,'Euro Qual stats'!$A$1:$A$2071,0),MATCH(Players!AH$2,'Euro Qual stats'!$A$1:$L$1,0)),0)</f>
        <v>0.33</v>
      </c>
      <c r="AI290" s="73">
        <f>IFERROR(INDEX('Euro Qual stats'!$A$1:$L$2071,MATCH(Players!$AE290,'Euro Qual stats'!$A$1:$A$2071,0),MATCH(Players!AI$2,'Euro Qual stats'!$A$1:$L$1,0)),0)</f>
        <v>0</v>
      </c>
      <c r="AJ290" s="93">
        <f>(12-AF290)/12*INDEX(BV$9:BV$12,MATCH($AB290,$BU$9:$BU$12,0))+AF290/12*AG290</f>
        <v>0.20901832460732983</v>
      </c>
      <c r="AK290" s="93">
        <f>(12-AG290)/12*INDEX(BW$9:BW$12,MATCH($AB290,$BU$9:$BU$12,0))+AG290/12*AH290</f>
        <v>0.22633455497382199</v>
      </c>
      <c r="AL290" s="93">
        <f>(12-AH290)/12*INDEX(BX$9:BX$12,MATCH($AB290,$BU$9:$BU$12,0))+AH290/12*AI290</f>
        <v>0.23283992146596863</v>
      </c>
      <c r="AM290" s="93">
        <f>IF($BC290=1,AJ290/SUMIFS(AJ$3:AJ$623,$BC$3:$BC$623,1,$G$3:$G$623,$G290),0)</f>
        <v>0</v>
      </c>
      <c r="AN290" s="93">
        <f>IF($BC290=1,AK290/SUMIFS(AK$3:AK$623,$BC$3:$BC$623,1,$G$3:$G$623,$G290),0)</f>
        <v>0</v>
      </c>
      <c r="AO290" s="93">
        <f>IF($BC290=1,AL290/SUMIFS(AL$3:AL$623,$BC$3:$BC$623,1,$G$3:$G$623,$G290),0)</f>
        <v>0</v>
      </c>
      <c r="AP290" s="2">
        <f>IFERROR(R290/$V290*90,"")</f>
        <v>6.5741417092768442E-2</v>
      </c>
      <c r="AQ290" s="2">
        <f>IFERROR(S290/$V290*90,"")</f>
        <v>6.5741417092768442E-2</v>
      </c>
      <c r="AR290" s="2">
        <f>IFERROR(W290/$V290*90,"")</f>
        <v>0.13148283418553688</v>
      </c>
      <c r="AS290" s="2">
        <f>IFERROR(X290/$V290*90,"")</f>
        <v>0.46018991964937916</v>
      </c>
      <c r="AT290" s="2">
        <f>IFERROR(Y290/$V290*90,"")</f>
        <v>0</v>
      </c>
      <c r="AU290" s="2">
        <f>IF(AP290="",INDEX(BV$4:BV$7,MATCH(O290,$BU$4:$BU$7,0)),AP290)</f>
        <v>6.5741417092768442E-2</v>
      </c>
      <c r="AV290" s="2">
        <f>IF(AQ290="",INDEX(BW$4:BW$7,MATCH($O290,$BU$4:$BU$7,0)),AQ290)</f>
        <v>6.5741417092768442E-2</v>
      </c>
      <c r="AW290" s="2">
        <f t="shared" si="48"/>
        <v>0.13148283418553688</v>
      </c>
      <c r="AX290" s="2">
        <f t="shared" si="49"/>
        <v>0.46018991964937916</v>
      </c>
      <c r="AY290" s="2">
        <f t="shared" si="50"/>
        <v>0</v>
      </c>
      <c r="AZ290" s="2">
        <f>AU290*0.5+AK290*0.5</f>
        <v>0.14603798603329521</v>
      </c>
      <c r="BA290" s="2">
        <f>AV290*0.5+AJ290*0.5</f>
        <v>0.13737987085004913</v>
      </c>
      <c r="BB290" s="2">
        <f t="shared" si="51"/>
        <v>0.23009495982468958</v>
      </c>
      <c r="BC290">
        <f>IF(I290="expected",1,0)</f>
        <v>0</v>
      </c>
      <c r="BD290" s="78">
        <f>IF(BC290=1,AZ290/SUMIFS(AZ$3:AZ$623,$BC$3:$BC$623,1,$G$3:$G$623,$G290),0)</f>
        <v>0</v>
      </c>
      <c r="BE290" s="78">
        <f>IF(BC290=1,BA290/SUMIFS(BA$3:BA$623,$BC$3:$BC$623,1,$G$3:$G$623,$G290),0)</f>
        <v>0</v>
      </c>
      <c r="BF290" s="78">
        <f t="shared" si="52"/>
        <v>0</v>
      </c>
      <c r="BG290" s="2">
        <f t="shared" si="53"/>
        <v>0.23009495982468958</v>
      </c>
      <c r="BH290" s="2">
        <f t="shared" si="54"/>
        <v>0</v>
      </c>
      <c r="BI290" s="2">
        <f t="shared" si="55"/>
        <v>0</v>
      </c>
      <c r="BJ290" s="2">
        <f t="shared" si="56"/>
        <v>0</v>
      </c>
      <c r="BK290" s="2">
        <f t="shared" si="57"/>
        <v>0</v>
      </c>
      <c r="BL290" s="2">
        <f t="shared" si="58"/>
        <v>0.23009495982468958</v>
      </c>
      <c r="BM290" s="2">
        <f t="shared" si="59"/>
        <v>0</v>
      </c>
      <c r="BN290" s="2">
        <f>BI290/SUMIFS(BI$3:BI$623,$BC$3:$BC$623,1,$G$3:$G$623,$G290)</f>
        <v>0</v>
      </c>
      <c r="BO290" s="2">
        <f>BJ290/SUMIFS(BJ$3:BJ$623,$BC$3:$BC$623,1,$G$3:$G$623,$G290)</f>
        <v>0</v>
      </c>
      <c r="BP290" s="2">
        <f>BK290/SUMIFS(BK$3:BK$623,$BC$3:$BC$623,1,$G$3:$G$623,$G290)</f>
        <v>0</v>
      </c>
      <c r="BQ290" s="2">
        <f>BL290</f>
        <v>0.23009495982468958</v>
      </c>
      <c r="BR290" s="2">
        <f>BM290</f>
        <v>0</v>
      </c>
    </row>
    <row r="291" spans="1:70" hidden="1">
      <c r="A291" s="74">
        <v>0</v>
      </c>
      <c r="B291" s="73">
        <v>204750</v>
      </c>
      <c r="C291" s="73" t="s">
        <v>2135</v>
      </c>
      <c r="D291" s="73" t="s">
        <v>2136</v>
      </c>
      <c r="E291" s="73" t="s">
        <v>2137</v>
      </c>
      <c r="F291" s="73">
        <v>18702</v>
      </c>
      <c r="G291" s="73" t="s">
        <v>872</v>
      </c>
      <c r="H291" s="73" t="s">
        <v>913</v>
      </c>
      <c r="I291" s="73" t="s">
        <v>981</v>
      </c>
      <c r="J291" s="73">
        <v>0</v>
      </c>
      <c r="K291" s="73">
        <v>5</v>
      </c>
      <c r="L291" s="73">
        <v>0</v>
      </c>
      <c r="M291" s="73">
        <v>0</v>
      </c>
      <c r="N291" s="73">
        <v>0</v>
      </c>
      <c r="O291" s="73" t="s">
        <v>994</v>
      </c>
      <c r="P291" s="73" t="s">
        <v>2138</v>
      </c>
      <c r="Q291" s="73" t="s">
        <v>2138</v>
      </c>
      <c r="R291" s="73">
        <v>0</v>
      </c>
      <c r="S291" s="73">
        <v>3</v>
      </c>
      <c r="T291" s="73">
        <v>0</v>
      </c>
      <c r="U291" s="73">
        <v>0</v>
      </c>
      <c r="V291" s="73">
        <v>1102</v>
      </c>
      <c r="W291" s="73">
        <v>6</v>
      </c>
      <c r="X291" s="73">
        <v>3</v>
      </c>
      <c r="Y291" s="73">
        <v>0</v>
      </c>
      <c r="Z291" s="73" t="s">
        <v>1689</v>
      </c>
      <c r="AA291" s="73" t="s">
        <v>691</v>
      </c>
      <c r="AB291" s="73" t="str">
        <f>IF(AA291&lt;&gt;"",INDEX(Lookup!$N$2:$N$5,MATCH(Players!AA291,Lookup!$P$2:$P$5,0)),INDEX(Lookup!$N$2:$N$5,MATCH(Players!O291,Lookup!$O$2:$O$5,0)))</f>
        <v>Midfield</v>
      </c>
      <c r="AC291" s="73">
        <v>2500000</v>
      </c>
      <c r="AD291" s="73" t="s">
        <v>790</v>
      </c>
      <c r="AE291" s="73" t="str">
        <f>INDEX('Translate table'!$H$2:$H$622,MATCH(Players!P291,'Translate table'!$G$2:$G$622,0))</f>
        <v>Denis Cheryshev</v>
      </c>
      <c r="AF291" s="73">
        <f>IFERROR(INDEX('Euro Qual stats'!$A$1:$L$2071,MATCH(Players!$AE291,'Euro Qual stats'!$A$1:$A$2071,0),MATCH(Players!AF$2,'Euro Qual stats'!$A$1:$L$1,0)),0)</f>
        <v>5</v>
      </c>
      <c r="AG291" s="73">
        <f>IFERROR(INDEX('Euro Qual stats'!$A$1:$L$2071,MATCH(Players!$AE291,'Euro Qual stats'!$A$1:$A$2071,0),MATCH(Players!AG$2,'Euro Qual stats'!$A$1:$L$1,0)),0)</f>
        <v>0.83</v>
      </c>
      <c r="AH291" s="73">
        <f>IFERROR(INDEX('Euro Qual stats'!$A$1:$L$2071,MATCH(Players!$AE291,'Euro Qual stats'!$A$1:$A$2071,0),MATCH(Players!AH$2,'Euro Qual stats'!$A$1:$L$1,0)),0)</f>
        <v>1.39</v>
      </c>
      <c r="AI291" s="73">
        <f>IFERROR(INDEX('Euro Qual stats'!$A$1:$L$2071,MATCH(Players!$AE291,'Euro Qual stats'!$A$1:$A$2071,0),MATCH(Players!AI$2,'Euro Qual stats'!$A$1:$L$1,0)),0)</f>
        <v>0.28000000000000003</v>
      </c>
      <c r="AJ291" s="93">
        <f>(12-AF291)/12*INDEX(BV$9:BV$12,MATCH($AB291,$BU$9:$BU$12,0))+AF291/12*AG291</f>
        <v>0.44423647469458988</v>
      </c>
      <c r="AK291" s="93">
        <f>(12-AG291)/12*INDEX(BW$9:BW$12,MATCH($AB291,$BU$9:$BU$12,0))+AG291/12*AH291</f>
        <v>0.30409275741710295</v>
      </c>
      <c r="AL291" s="93">
        <f>(12-AH291)/12*INDEX(BX$9:BX$12,MATCH($AB291,$BU$9:$BU$12,0))+AH291/12*AI291</f>
        <v>0.24412412739965098</v>
      </c>
      <c r="AM291" s="93">
        <f>IF($BC291=1,AJ291/SUMIFS(AJ$3:AJ$623,$BC$3:$BC$623,1,$G$3:$G$623,$G291),0)</f>
        <v>0.21570129735094545</v>
      </c>
      <c r="AN291" s="93">
        <f>IF($BC291=1,AK291/SUMIFS(AK$3:AK$623,$BC$3:$BC$623,1,$G$3:$G$623,$G291),0)</f>
        <v>0.13301285765062942</v>
      </c>
      <c r="AO291" s="93">
        <f>IF($BC291=1,AL291/SUMIFS(AL$3:AL$623,$BC$3:$BC$623,1,$G$3:$G$623,$G291),0)</f>
        <v>0.11318539593968482</v>
      </c>
      <c r="AP291" s="2">
        <f>IFERROR(R291/$V291*90,"")</f>
        <v>0</v>
      </c>
      <c r="AQ291" s="2">
        <f>IFERROR(S291/$V291*90,"")</f>
        <v>0.24500907441016334</v>
      </c>
      <c r="AR291" s="2">
        <f>IFERROR(W291/$V291*90,"")</f>
        <v>0.49001814882032668</v>
      </c>
      <c r="AS291" s="2">
        <f>IFERROR(X291/$V291*90,"")</f>
        <v>0.24500907441016334</v>
      </c>
      <c r="AT291" s="2">
        <f>IFERROR(Y291/$V291*90,"")</f>
        <v>0</v>
      </c>
      <c r="AU291" s="2">
        <f>IF(AP291="",INDEX(BV$4:BV$7,MATCH(O291,$BU$4:$BU$7,0)),AP291)</f>
        <v>0</v>
      </c>
      <c r="AV291" s="2">
        <f>IF(AQ291="",INDEX(BW$4:BW$7,MATCH($O291,$BU$4:$BU$7,0)),AQ291)</f>
        <v>0.24500907441016334</v>
      </c>
      <c r="AW291" s="2">
        <f t="shared" si="48"/>
        <v>0.49001814882032668</v>
      </c>
      <c r="AX291" s="2">
        <f t="shared" si="49"/>
        <v>0.24500907441016334</v>
      </c>
      <c r="AY291" s="2">
        <f t="shared" si="50"/>
        <v>0</v>
      </c>
      <c r="AZ291" s="2">
        <f>AU291*0.5+AK291*0.5</f>
        <v>0.15204637870855148</v>
      </c>
      <c r="BA291" s="2">
        <f>AV291*0.5+AJ291*0.5</f>
        <v>0.34462277455237661</v>
      </c>
      <c r="BB291" s="2">
        <f t="shared" si="51"/>
        <v>0.26250453720508171</v>
      </c>
      <c r="BC291">
        <f>IF(I291="expected",1,0)</f>
        <v>1</v>
      </c>
      <c r="BD291" s="78">
        <f>IF(BC291=1,AZ291/SUMIFS(AZ$3:AZ$623,$BC$3:$BC$623,1,$G$3:$G$623,$G291),0)</f>
        <v>0.1012548716455699</v>
      </c>
      <c r="BE291" s="78">
        <f>IF(BC291=1,BA291/SUMIFS(BA$3:BA$623,$BC$3:$BC$623,1,$G$3:$G$623,$G291),0)</f>
        <v>0.19957428451985215</v>
      </c>
      <c r="BF291" s="78">
        <f t="shared" si="52"/>
        <v>0.13826376771786986</v>
      </c>
      <c r="BG291" s="2">
        <f t="shared" si="53"/>
        <v>0.26250453720508171</v>
      </c>
      <c r="BH291" s="2">
        <f t="shared" si="54"/>
        <v>0</v>
      </c>
      <c r="BI291" s="2">
        <f t="shared" si="55"/>
        <v>0.1012548716455699</v>
      </c>
      <c r="BJ291" s="2">
        <f t="shared" si="56"/>
        <v>0.19957428451985215</v>
      </c>
      <c r="BK291" s="2">
        <f t="shared" si="57"/>
        <v>0.13826376771786986</v>
      </c>
      <c r="BL291" s="2">
        <f t="shared" si="58"/>
        <v>0.26250453720508171</v>
      </c>
      <c r="BM291" s="2">
        <f t="shared" si="59"/>
        <v>0</v>
      </c>
      <c r="BN291" s="2">
        <f>BI291/SUMIFS(BI$3:BI$623,$BC$3:$BC$623,1,$G$3:$G$623,$G291)</f>
        <v>0.10125487164556991</v>
      </c>
      <c r="BO291" s="2">
        <f>BJ291/SUMIFS(BJ$3:BJ$623,$BC$3:$BC$623,1,$G$3:$G$623,$G291)</f>
        <v>0.20815842234256252</v>
      </c>
      <c r="BP291" s="2">
        <f>BK291/SUMIFS(BK$3:BK$623,$BC$3:$BC$623,1,$G$3:$G$623,$G291)</f>
        <v>0.13937247961394197</v>
      </c>
      <c r="BQ291" s="2">
        <f>BL291</f>
        <v>0.26250453720508171</v>
      </c>
      <c r="BR291" s="2">
        <f>BM291</f>
        <v>0</v>
      </c>
    </row>
    <row r="292" spans="1:70" hidden="1">
      <c r="A292" s="74">
        <v>0</v>
      </c>
      <c r="B292" s="73">
        <v>204746</v>
      </c>
      <c r="C292" s="73" t="s">
        <v>2139</v>
      </c>
      <c r="D292" s="73" t="s">
        <v>2140</v>
      </c>
      <c r="E292" s="73" t="s">
        <v>2141</v>
      </c>
      <c r="F292" s="73">
        <v>18702</v>
      </c>
      <c r="G292" s="73" t="s">
        <v>872</v>
      </c>
      <c r="H292" s="73" t="s">
        <v>913</v>
      </c>
      <c r="I292" s="73" t="s">
        <v>981</v>
      </c>
      <c r="J292" s="73">
        <v>0</v>
      </c>
      <c r="K292" s="73">
        <v>5</v>
      </c>
      <c r="L292" s="73">
        <v>0</v>
      </c>
      <c r="M292" s="73">
        <v>0</v>
      </c>
      <c r="N292" s="73">
        <v>0</v>
      </c>
      <c r="O292" s="73" t="s">
        <v>994</v>
      </c>
      <c r="P292" s="73" t="s">
        <v>2142</v>
      </c>
      <c r="Q292" s="73" t="s">
        <v>1164</v>
      </c>
      <c r="R292" s="73"/>
      <c r="S292" s="73"/>
      <c r="T292" s="73"/>
      <c r="U292" s="73"/>
      <c r="V292" s="73"/>
      <c r="W292" s="73"/>
      <c r="X292" s="73"/>
      <c r="Y292" s="73"/>
      <c r="Z292" s="73" t="s">
        <v>1689</v>
      </c>
      <c r="AA292" s="73" t="s">
        <v>691</v>
      </c>
      <c r="AB292" s="73" t="str">
        <f>IF(AA292&lt;&gt;"",INDEX(Lookup!$N$2:$N$5,MATCH(Players!AA292,Lookup!$P$2:$P$5,0)),INDEX(Lookup!$N$2:$N$5,MATCH(Players!O292,Lookup!$O$2:$O$5,0)))</f>
        <v>Midfield</v>
      </c>
      <c r="AC292" s="73">
        <v>3000000</v>
      </c>
      <c r="AD292" s="73" t="s">
        <v>788</v>
      </c>
      <c r="AE292" s="73" t="str">
        <f>INDEX('Translate table'!$H$2:$H$622,MATCH(Players!P292,'Translate table'!$G$2:$G$622,0))</f>
        <v>Magomed Ozdoev</v>
      </c>
      <c r="AF292" s="73">
        <f>IFERROR(INDEX('Euro Qual stats'!$A$1:$L$2071,MATCH(Players!$AE292,'Euro Qual stats'!$A$1:$A$2071,0),MATCH(Players!AF$2,'Euro Qual stats'!$A$1:$L$1,0)),0)</f>
        <v>9</v>
      </c>
      <c r="AG292" s="73">
        <f>IFERROR(INDEX('Euro Qual stats'!$A$1:$L$2071,MATCH(Players!$AE292,'Euro Qual stats'!$A$1:$A$2071,0),MATCH(Players!AG$2,'Euro Qual stats'!$A$1:$L$1,0)),0)</f>
        <v>0.12</v>
      </c>
      <c r="AH292" s="73">
        <f>IFERROR(INDEX('Euro Qual stats'!$A$1:$L$2071,MATCH(Players!$AE292,'Euro Qual stats'!$A$1:$A$2071,0),MATCH(Players!AH$2,'Euro Qual stats'!$A$1:$L$1,0)),0)</f>
        <v>0.23</v>
      </c>
      <c r="AI292" s="73">
        <f>IFERROR(INDEX('Euro Qual stats'!$A$1:$L$2071,MATCH(Players!$AE292,'Euro Qual stats'!$A$1:$A$2071,0),MATCH(Players!AI$2,'Euro Qual stats'!$A$1:$L$1,0)),0)</f>
        <v>0.12</v>
      </c>
      <c r="AJ292" s="93">
        <f>(12-AF292)/12*INDEX(BV$9:BV$12,MATCH($AB292,$BU$9:$BU$12,0))+AF292/12*AG292</f>
        <v>0.13217277486910994</v>
      </c>
      <c r="AK292" s="93">
        <f>(12-AG292)/12*INDEX(BW$9:BW$12,MATCH($AB292,$BU$9:$BU$12,0))+AG292/12*AH292</f>
        <v>0.22346910994764399</v>
      </c>
      <c r="AL292" s="93">
        <f>(12-AH292)/12*INDEX(BX$9:BX$12,MATCH($AB292,$BU$9:$BU$12,0))+AH292/12*AI292</f>
        <v>0.23713512216404889</v>
      </c>
      <c r="AM292" s="93">
        <f>IF($BC292=1,AJ292/SUMIFS(AJ$3:AJ$623,$BC$3:$BC$623,1,$G$3:$G$623,$G292),0)</f>
        <v>6.417716832761608E-2</v>
      </c>
      <c r="AN292" s="93">
        <f>IF($BC292=1,AK292/SUMIFS(AK$3:AK$623,$BC$3:$BC$623,1,$G$3:$G$623,$G292),0)</f>
        <v>9.7747362230032053E-2</v>
      </c>
      <c r="AO292" s="93">
        <f>IF($BC292=1,AL292/SUMIFS(AL$3:AL$623,$BC$3:$BC$623,1,$G$3:$G$623,$G292),0)</f>
        <v>0.10994502255569261</v>
      </c>
      <c r="AP292" s="2" t="str">
        <f>IFERROR(R292/$V292*90,"")</f>
        <v/>
      </c>
      <c r="AQ292" s="2" t="str">
        <f>IFERROR(S292/$V292*90,"")</f>
        <v/>
      </c>
      <c r="AR292" s="2" t="str">
        <f>IFERROR(W292/$V292*90,"")</f>
        <v/>
      </c>
      <c r="AS292" s="2" t="str">
        <f>IFERROR(X292/$V292*90,"")</f>
        <v/>
      </c>
      <c r="AT292" s="2" t="str">
        <f>IFERROR(Y292/$V292*90,"")</f>
        <v/>
      </c>
      <c r="AU292" s="2">
        <f>IF(AP292="",INDEX(BV$4:BV$7,MATCH(O292,$BU$4:$BU$7,0)),AP292)</f>
        <v>3.6526142445450806E-2</v>
      </c>
      <c r="AV292" s="2">
        <f>IF(AQ292="",INDEX(BW$4:BW$7,MATCH($O292,$BU$4:$BU$7,0)),AQ292)</f>
        <v>3.2427739661688867E-2</v>
      </c>
      <c r="AW292" s="2">
        <f t="shared" si="48"/>
        <v>0.20013349649571699</v>
      </c>
      <c r="AX292" s="2">
        <f t="shared" si="49"/>
        <v>0.16081000595592615</v>
      </c>
      <c r="AY292" s="2">
        <f t="shared" si="50"/>
        <v>0</v>
      </c>
      <c r="AZ292" s="2">
        <f>AU292*0.5+AK292*0.5</f>
        <v>0.12999762619654739</v>
      </c>
      <c r="BA292" s="2">
        <f>AV292*0.5+AJ292*0.5</f>
        <v>8.2300257265399412E-2</v>
      </c>
      <c r="BB292" s="2">
        <f t="shared" si="51"/>
        <v>0.14040500297796307</v>
      </c>
      <c r="BC292">
        <f>IF(I292="expected",1,0)</f>
        <v>1</v>
      </c>
      <c r="BD292" s="78">
        <f>IF(BC292=1,AZ292/SUMIFS(AZ$3:AZ$623,$BC$3:$BC$623,1,$G$3:$G$623,$G292),0)</f>
        <v>8.6571564982756588E-2</v>
      </c>
      <c r="BE292" s="78">
        <f>IF(BC292=1,BA292/SUMIFS(BA$3:BA$623,$BC$3:$BC$623,1,$G$3:$G$623,$G292),0)</f>
        <v>4.7660851726575422E-2</v>
      </c>
      <c r="BF292" s="78">
        <f t="shared" si="52"/>
        <v>5.646976818851468E-2</v>
      </c>
      <c r="BG292" s="2">
        <f t="shared" si="53"/>
        <v>0.14040500297796307</v>
      </c>
      <c r="BH292" s="2">
        <f t="shared" si="54"/>
        <v>0</v>
      </c>
      <c r="BI292" s="2">
        <f t="shared" si="55"/>
        <v>8.6571564982756588E-2</v>
      </c>
      <c r="BJ292" s="2">
        <f t="shared" si="56"/>
        <v>4.7660851726575422E-2</v>
      </c>
      <c r="BK292" s="2">
        <f t="shared" si="57"/>
        <v>5.646976818851468E-2</v>
      </c>
      <c r="BL292" s="2">
        <f t="shared" si="58"/>
        <v>0.14040500297796307</v>
      </c>
      <c r="BM292" s="2">
        <f t="shared" si="59"/>
        <v>0</v>
      </c>
      <c r="BN292" s="2">
        <f>BI292/SUMIFS(BI$3:BI$623,$BC$3:$BC$623,1,$G$3:$G$623,$G292)</f>
        <v>8.6571564982756602E-2</v>
      </c>
      <c r="BO292" s="2">
        <f>BJ292/SUMIFS(BJ$3:BJ$623,$BC$3:$BC$623,1,$G$3:$G$623,$G292)</f>
        <v>4.9710851910481829E-2</v>
      </c>
      <c r="BP292" s="2">
        <f>BK292/SUMIFS(BK$3:BK$623,$BC$3:$BC$623,1,$G$3:$G$623,$G292)</f>
        <v>5.6922588944034631E-2</v>
      </c>
      <c r="BQ292" s="2">
        <f>BL292</f>
        <v>0.14040500297796307</v>
      </c>
      <c r="BR292" s="2">
        <f>BM292</f>
        <v>0</v>
      </c>
    </row>
    <row r="293" spans="1:70" hidden="1">
      <c r="A293" s="74">
        <v>0</v>
      </c>
      <c r="B293" s="73">
        <v>204672</v>
      </c>
      <c r="C293" s="73" t="s">
        <v>2144</v>
      </c>
      <c r="D293" s="73" t="s">
        <v>2145</v>
      </c>
      <c r="E293" s="73" t="s">
        <v>2146</v>
      </c>
      <c r="F293" s="73">
        <v>18647</v>
      </c>
      <c r="G293" s="73" t="s">
        <v>891</v>
      </c>
      <c r="H293" s="73" t="s">
        <v>927</v>
      </c>
      <c r="I293" s="73" t="s">
        <v>1012</v>
      </c>
      <c r="J293" s="73">
        <v>0</v>
      </c>
      <c r="K293" s="73">
        <v>5</v>
      </c>
      <c r="L293" s="73">
        <v>0</v>
      </c>
      <c r="M293" s="73">
        <v>0</v>
      </c>
      <c r="N293" s="73">
        <v>0</v>
      </c>
      <c r="O293" s="73" t="s">
        <v>1290</v>
      </c>
      <c r="P293" s="73" t="s">
        <v>2147</v>
      </c>
      <c r="Q293" s="73" t="s">
        <v>2147</v>
      </c>
      <c r="R293" s="73">
        <v>0</v>
      </c>
      <c r="S293" s="73">
        <v>0</v>
      </c>
      <c r="T293" s="73">
        <v>88</v>
      </c>
      <c r="U293" s="73">
        <v>21</v>
      </c>
      <c r="V293" s="73">
        <v>3420</v>
      </c>
      <c r="W293" s="73">
        <v>0</v>
      </c>
      <c r="X293" s="73">
        <v>1</v>
      </c>
      <c r="Y293" s="73">
        <v>0</v>
      </c>
      <c r="Z293" s="73" t="s">
        <v>989</v>
      </c>
      <c r="AA293" s="73" t="s">
        <v>690</v>
      </c>
      <c r="AB293" s="73" t="str">
        <f>IF(AA293&lt;&gt;"",INDEX(Lookup!$N$2:$N$5,MATCH(Players!AA293,Lookup!$P$2:$P$5,0)),INDEX(Lookup!$N$2:$N$5,MATCH(Players!O293,Lookup!$O$2:$O$5,0)))</f>
        <v>Goalkeeper</v>
      </c>
      <c r="AC293" s="73">
        <v>5000000</v>
      </c>
      <c r="AD293" s="73" t="s">
        <v>788</v>
      </c>
      <c r="AE293" s="73" t="str">
        <f>INDEX('Translate table'!$H$2:$H$622,MATCH(Players!P293,'Translate table'!$G$2:$G$622,0))</f>
        <v>Mike Maignan</v>
      </c>
      <c r="AF293" s="73">
        <f>IFERROR(INDEX('Euro Qual stats'!$A$1:$L$2071,MATCH(Players!$AE293,'Euro Qual stats'!$A$1:$A$2071,0),MATCH(Players!AF$2,'Euro Qual stats'!$A$1:$L$1,0)),0)</f>
        <v>0</v>
      </c>
      <c r="AG293" s="73">
        <f>IFERROR(INDEX('Euro Qual stats'!$A$1:$L$2071,MATCH(Players!$AE293,'Euro Qual stats'!$A$1:$A$2071,0),MATCH(Players!AG$2,'Euro Qual stats'!$A$1:$L$1,0)),0)</f>
        <v>0</v>
      </c>
      <c r="AH293" s="73">
        <f>IFERROR(INDEX('Euro Qual stats'!$A$1:$L$2071,MATCH(Players!$AE293,'Euro Qual stats'!$A$1:$A$2071,0),MATCH(Players!AH$2,'Euro Qual stats'!$A$1:$L$1,0)),0)</f>
        <v>0</v>
      </c>
      <c r="AI293" s="73">
        <f>IFERROR(INDEX('Euro Qual stats'!$A$1:$L$2071,MATCH(Players!$AE293,'Euro Qual stats'!$A$1:$A$2071,0),MATCH(Players!AI$2,'Euro Qual stats'!$A$1:$L$1,0)),0)</f>
        <v>0</v>
      </c>
      <c r="AJ293" s="93">
        <f>(12-AF293)/12*INDEX(BV$9:BV$12,MATCH($AB293,$BU$9:$BU$12,0))+AF293/12*AG293</f>
        <v>0</v>
      </c>
      <c r="AK293" s="93">
        <f>(12-AG293)/12*INDEX(BW$9:BW$12,MATCH($AB293,$BU$9:$BU$12,0))+AG293/12*AH293</f>
        <v>0</v>
      </c>
      <c r="AL293" s="93">
        <f>(12-AH293)/12*INDEX(BX$9:BX$12,MATCH($AB293,$BU$9:$BU$12,0))+AH293/12*AI293</f>
        <v>0</v>
      </c>
      <c r="AM293" s="93">
        <f>IF($BC293=1,AJ293/SUMIFS(AJ$3:AJ$623,$BC$3:$BC$623,1,$G$3:$G$623,$G293),0)</f>
        <v>0</v>
      </c>
      <c r="AN293" s="93">
        <f>IF($BC293=1,AK293/SUMIFS(AK$3:AK$623,$BC$3:$BC$623,1,$G$3:$G$623,$G293),0)</f>
        <v>0</v>
      </c>
      <c r="AO293" s="93">
        <f>IF($BC293=1,AL293/SUMIFS(AL$3:AL$623,$BC$3:$BC$623,1,$G$3:$G$623,$G293),0)</f>
        <v>0</v>
      </c>
      <c r="AP293" s="2">
        <f>IFERROR(R293/$V293*90,"")</f>
        <v>0</v>
      </c>
      <c r="AQ293" s="2">
        <f>IFERROR(S293/$V293*90,"")</f>
        <v>0</v>
      </c>
      <c r="AR293" s="2">
        <f>IFERROR(W293/$V293*90,"")</f>
        <v>0</v>
      </c>
      <c r="AS293" s="2">
        <f>IFERROR(X293/$V293*90,"")</f>
        <v>2.6315789473684213E-2</v>
      </c>
      <c r="AT293" s="2">
        <f>IFERROR(Y293/$V293*90,"")</f>
        <v>0</v>
      </c>
      <c r="AU293" s="2">
        <f>IF(AP293="",INDEX(BV$4:BV$7,MATCH(O293,$BU$4:$BU$7,0)),AP293)</f>
        <v>0</v>
      </c>
      <c r="AV293" s="2">
        <f>IF(AQ293="",INDEX(BW$4:BW$7,MATCH($O293,$BU$4:$BU$7,0)),AQ293)</f>
        <v>0</v>
      </c>
      <c r="AW293" s="2">
        <f t="shared" si="48"/>
        <v>0</v>
      </c>
      <c r="AX293" s="2">
        <f t="shared" si="49"/>
        <v>2.6315789473684213E-2</v>
      </c>
      <c r="AY293" s="2">
        <f t="shared" si="50"/>
        <v>0</v>
      </c>
      <c r="AZ293" s="2">
        <f>AU293*0.5+AK293*0.5</f>
        <v>0</v>
      </c>
      <c r="BA293" s="2">
        <f>AV293*0.5+AJ293*0.5</f>
        <v>0</v>
      </c>
      <c r="BB293" s="2">
        <f t="shared" si="51"/>
        <v>1.3157894736842106E-2</v>
      </c>
      <c r="BC293">
        <f>IF(I293="expected",1,0)</f>
        <v>0</v>
      </c>
      <c r="BD293" s="78">
        <f>IF(BC293=1,AZ293/SUMIFS(AZ$3:AZ$623,$BC$3:$BC$623,1,$G$3:$G$623,$G293),0)</f>
        <v>0</v>
      </c>
      <c r="BE293" s="78">
        <f>IF(BC293=1,BA293/SUMIFS(BA$3:BA$623,$BC$3:$BC$623,1,$G$3:$G$623,$G293),0)</f>
        <v>0</v>
      </c>
      <c r="BF293" s="78">
        <f t="shared" si="52"/>
        <v>0</v>
      </c>
      <c r="BG293" s="2">
        <f t="shared" si="53"/>
        <v>1.3157894736842106E-2</v>
      </c>
      <c r="BH293" s="2">
        <f t="shared" si="54"/>
        <v>0</v>
      </c>
      <c r="BI293" s="2">
        <f t="shared" si="55"/>
        <v>0</v>
      </c>
      <c r="BJ293" s="2">
        <f t="shared" si="56"/>
        <v>0</v>
      </c>
      <c r="BK293" s="2">
        <f t="shared" si="57"/>
        <v>0</v>
      </c>
      <c r="BL293" s="2">
        <f t="shared" si="58"/>
        <v>1.3157894736842106E-2</v>
      </c>
      <c r="BM293" s="2">
        <f t="shared" si="59"/>
        <v>0</v>
      </c>
      <c r="BN293" s="2">
        <f>BI293/SUMIFS(BI$3:BI$623,$BC$3:$BC$623,1,$G$3:$G$623,$G293)</f>
        <v>0</v>
      </c>
      <c r="BO293" s="2">
        <f>BJ293/SUMIFS(BJ$3:BJ$623,$BC$3:$BC$623,1,$G$3:$G$623,$G293)</f>
        <v>0</v>
      </c>
      <c r="BP293" s="2">
        <f>BK293/SUMIFS(BK$3:BK$623,$BC$3:$BC$623,1,$G$3:$G$623,$G293)</f>
        <v>0</v>
      </c>
      <c r="BQ293" s="2">
        <f>BL293</f>
        <v>1.3157894736842106E-2</v>
      </c>
      <c r="BR293" s="2">
        <f>BM293</f>
        <v>0</v>
      </c>
    </row>
    <row r="294" spans="1:70" hidden="1">
      <c r="A294" s="74">
        <v>0</v>
      </c>
      <c r="B294" s="73">
        <v>204988</v>
      </c>
      <c r="C294" s="73" t="s">
        <v>2148</v>
      </c>
      <c r="D294" s="73" t="s">
        <v>1424</v>
      </c>
      <c r="E294" s="73" t="s">
        <v>2149</v>
      </c>
      <c r="F294" s="73">
        <v>18721</v>
      </c>
      <c r="G294" s="73" t="s">
        <v>865</v>
      </c>
      <c r="H294" s="73" t="s">
        <v>921</v>
      </c>
      <c r="I294" s="73" t="s">
        <v>981</v>
      </c>
      <c r="J294" s="73">
        <v>0</v>
      </c>
      <c r="K294" s="73">
        <v>5</v>
      </c>
      <c r="L294" s="73">
        <v>0</v>
      </c>
      <c r="M294" s="73">
        <v>0</v>
      </c>
      <c r="N294" s="73">
        <v>0</v>
      </c>
      <c r="O294" s="73" t="s">
        <v>1318</v>
      </c>
      <c r="P294" s="73" t="s">
        <v>2150</v>
      </c>
      <c r="Q294" s="73" t="s">
        <v>368</v>
      </c>
      <c r="R294" s="73">
        <v>0</v>
      </c>
      <c r="S294" s="73">
        <v>1</v>
      </c>
      <c r="T294" s="73">
        <v>0</v>
      </c>
      <c r="U294" s="73">
        <v>4</v>
      </c>
      <c r="V294" s="73">
        <v>1340</v>
      </c>
      <c r="W294" s="73">
        <v>0</v>
      </c>
      <c r="X294" s="73">
        <v>1</v>
      </c>
      <c r="Y294" s="73">
        <v>0</v>
      </c>
      <c r="Z294" s="73" t="s">
        <v>865</v>
      </c>
      <c r="AA294" s="73" t="s">
        <v>692</v>
      </c>
      <c r="AB294" s="73" t="str">
        <f>IF(AA294&lt;&gt;"",INDEX(Lookup!$N$2:$N$5,MATCH(Players!AA294,Lookup!$P$2:$P$5,0)),INDEX(Lookup!$N$2:$N$5,MATCH(Players!O294,Lookup!$O$2:$O$5,0)))</f>
        <v>Defense</v>
      </c>
      <c r="AC294" s="73">
        <v>3000000</v>
      </c>
      <c r="AD294" s="73" t="s">
        <v>788</v>
      </c>
      <c r="AE294" s="73" t="str">
        <f>INDEX('Translate table'!$H$2:$H$622,MATCH(Players!P294,'Translate table'!$G$2:$G$622,0))</f>
        <v>Ben Davies</v>
      </c>
      <c r="AF294" s="73">
        <f>IFERROR(INDEX('Euro Qual stats'!$A$1:$L$2071,MATCH(Players!$AE294,'Euro Qual stats'!$A$1:$A$2071,0),MATCH(Players!AF$2,'Euro Qual stats'!$A$1:$L$1,0)),0)</f>
        <v>8</v>
      </c>
      <c r="AG294" s="73">
        <f>IFERROR(INDEX('Euro Qual stats'!$A$1:$L$2071,MATCH(Players!$AE294,'Euro Qual stats'!$A$1:$A$2071,0),MATCH(Players!AG$2,'Euro Qual stats'!$A$1:$L$1,0)),0)</f>
        <v>0.14000000000000001</v>
      </c>
      <c r="AH294" s="73">
        <f>IFERROR(INDEX('Euro Qual stats'!$A$1:$L$2071,MATCH(Players!$AE294,'Euro Qual stats'!$A$1:$A$2071,0),MATCH(Players!AH$2,'Euro Qual stats'!$A$1:$L$1,0)),0)</f>
        <v>0</v>
      </c>
      <c r="AI294" s="73">
        <f>IFERROR(INDEX('Euro Qual stats'!$A$1:$L$2071,MATCH(Players!$AE294,'Euro Qual stats'!$A$1:$A$2071,0),MATCH(Players!AI$2,'Euro Qual stats'!$A$1:$L$1,0)),0)</f>
        <v>0.14000000000000001</v>
      </c>
      <c r="AJ294" s="93">
        <f>(12-AF294)/12*INDEX(BV$9:BV$12,MATCH($AB294,$BU$9:$BU$12,0))+AF294/12*AG294</f>
        <v>0.12305860805860808</v>
      </c>
      <c r="AK294" s="93">
        <f>(12-AG294)/12*INDEX(BW$9:BW$12,MATCH($AB294,$BU$9:$BU$12,0))+AG294/12*AH294</f>
        <v>0.10236309523809524</v>
      </c>
      <c r="AL294" s="93">
        <f>(12-AH294)/12*INDEX(BX$9:BX$12,MATCH($AB294,$BU$9:$BU$12,0))+AH294/12*AI294</f>
        <v>0.19357142857142848</v>
      </c>
      <c r="AM294" s="93">
        <f>IF($BC294=1,AJ294/SUMIFS(AJ$3:AJ$623,$BC$3:$BC$623,1,$G$3:$G$623,$G294),0)</f>
        <v>0.11803714456100434</v>
      </c>
      <c r="AN294" s="93">
        <f>IF($BC294=1,AK294/SUMIFS(AK$3:AK$623,$BC$3:$BC$623,1,$G$3:$G$623,$G294),0)</f>
        <v>5.6266701838515447E-2</v>
      </c>
      <c r="AO294" s="93">
        <f>IF($BC294=1,AL294/SUMIFS(AL$3:AL$623,$BC$3:$BC$623,1,$G$3:$G$623,$G294),0)</f>
        <v>9.4515402858177403E-2</v>
      </c>
      <c r="AP294" s="2">
        <f>IFERROR(R294/$V294*90,"")</f>
        <v>0</v>
      </c>
      <c r="AQ294" s="2">
        <f>IFERROR(S294/$V294*90,"")</f>
        <v>6.7164179104477612E-2</v>
      </c>
      <c r="AR294" s="2">
        <f>IFERROR(W294/$V294*90,"")</f>
        <v>0</v>
      </c>
      <c r="AS294" s="2">
        <f>IFERROR(X294/$V294*90,"")</f>
        <v>6.7164179104477612E-2</v>
      </c>
      <c r="AT294" s="2">
        <f>IFERROR(Y294/$V294*90,"")</f>
        <v>0</v>
      </c>
      <c r="AU294" s="2">
        <f>IF(AP294="",INDEX(BV$4:BV$7,MATCH(O294,$BU$4:$BU$7,0)),AP294)</f>
        <v>0</v>
      </c>
      <c r="AV294" s="2">
        <f>IF(AQ294="",INDEX(BW$4:BW$7,MATCH($O294,$BU$4:$BU$7,0)),AQ294)</f>
        <v>6.7164179104477612E-2</v>
      </c>
      <c r="AW294" s="2">
        <f t="shared" si="48"/>
        <v>0</v>
      </c>
      <c r="AX294" s="2">
        <f t="shared" si="49"/>
        <v>6.7164179104477612E-2</v>
      </c>
      <c r="AY294" s="2">
        <f t="shared" si="50"/>
        <v>0</v>
      </c>
      <c r="AZ294" s="2">
        <f>AU294*0.5+AK294*0.5</f>
        <v>5.118154761904762E-2</v>
      </c>
      <c r="BA294" s="2">
        <f>AV294*0.5+AJ294*0.5</f>
        <v>9.5111393581542844E-2</v>
      </c>
      <c r="BB294" s="2">
        <f t="shared" si="51"/>
        <v>0.10358208955223881</v>
      </c>
      <c r="BC294">
        <f>IF(I294="expected",1,0)</f>
        <v>1</v>
      </c>
      <c r="BD294" s="78">
        <f>IF(BC294=1,AZ294/SUMIFS(AZ$3:AZ$623,$BC$3:$BC$623,1,$G$3:$G$623,$G294),0)</f>
        <v>3.2106708491146121E-2</v>
      </c>
      <c r="BE294" s="78">
        <f>IF(BC294=1,BA294/SUMIFS(BA$3:BA$623,$BC$3:$BC$623,1,$G$3:$G$623,$G294),0)</f>
        <v>0.13225371694056867</v>
      </c>
      <c r="BF294" s="78">
        <f t="shared" si="52"/>
        <v>0</v>
      </c>
      <c r="BG294" s="2">
        <f t="shared" si="53"/>
        <v>0.10358208955223881</v>
      </c>
      <c r="BH294" s="2">
        <f t="shared" si="54"/>
        <v>0</v>
      </c>
      <c r="BI294" s="2">
        <f t="shared" si="55"/>
        <v>3.2106708491146121E-2</v>
      </c>
      <c r="BJ294" s="2">
        <f t="shared" si="56"/>
        <v>0.13225371694056867</v>
      </c>
      <c r="BK294" s="2">
        <f t="shared" si="57"/>
        <v>0</v>
      </c>
      <c r="BL294" s="2">
        <f t="shared" si="58"/>
        <v>0.10358208955223881</v>
      </c>
      <c r="BM294" s="2">
        <f t="shared" si="59"/>
        <v>0</v>
      </c>
      <c r="BN294" s="2">
        <f>BI294/SUMIFS(BI$3:BI$623,$BC$3:$BC$623,1,$G$3:$G$623,$G294)</f>
        <v>3.7903991342247305E-2</v>
      </c>
      <c r="BO294" s="2">
        <f>BJ294/SUMIFS(BJ$3:BJ$623,$BC$3:$BC$623,1,$G$3:$G$623,$G294)</f>
        <v>0.13225371694056867</v>
      </c>
      <c r="BP294" s="2">
        <f>BK294/SUMIFS(BK$3:BK$623,$BC$3:$BC$623,1,$G$3:$G$623,$G294)</f>
        <v>0</v>
      </c>
      <c r="BQ294" s="2">
        <f>BL294</f>
        <v>0.10358208955223881</v>
      </c>
      <c r="BR294" s="2">
        <f>BM294</f>
        <v>0</v>
      </c>
    </row>
    <row r="295" spans="1:70" hidden="1">
      <c r="A295" s="74">
        <v>0</v>
      </c>
      <c r="B295" s="73">
        <v>223747</v>
      </c>
      <c r="C295" s="73" t="s">
        <v>2151</v>
      </c>
      <c r="D295" s="73" t="s">
        <v>2152</v>
      </c>
      <c r="E295" s="73" t="s">
        <v>2153</v>
      </c>
      <c r="F295" s="73">
        <v>18721</v>
      </c>
      <c r="G295" s="73" t="s">
        <v>865</v>
      </c>
      <c r="H295" s="73" t="s">
        <v>921</v>
      </c>
      <c r="I295" s="73" t="s">
        <v>1012</v>
      </c>
      <c r="J295" s="73">
        <v>0</v>
      </c>
      <c r="K295" s="73">
        <v>5</v>
      </c>
      <c r="L295" s="73">
        <v>0</v>
      </c>
      <c r="M295" s="73">
        <v>0</v>
      </c>
      <c r="N295" s="73">
        <v>0</v>
      </c>
      <c r="O295" s="73" t="s">
        <v>994</v>
      </c>
      <c r="P295" s="73" t="s">
        <v>2154</v>
      </c>
      <c r="Q295" s="73" t="s">
        <v>2154</v>
      </c>
      <c r="R295" s="73">
        <v>2</v>
      </c>
      <c r="S295" s="73">
        <v>4</v>
      </c>
      <c r="T295" s="73">
        <v>0</v>
      </c>
      <c r="U295" s="73">
        <v>1</v>
      </c>
      <c r="V295" s="73">
        <v>1092</v>
      </c>
      <c r="W295" s="73">
        <v>11</v>
      </c>
      <c r="X295" s="73">
        <v>2</v>
      </c>
      <c r="Y295" s="73">
        <v>0</v>
      </c>
      <c r="Z295" s="73" t="s">
        <v>865</v>
      </c>
      <c r="AA295" s="73" t="s">
        <v>691</v>
      </c>
      <c r="AB295" s="73" t="str">
        <f>IF(AA295&lt;&gt;"",INDEX(Lookup!$N$2:$N$5,MATCH(Players!AA295,Lookup!$P$2:$P$5,0)),INDEX(Lookup!$N$2:$N$5,MATCH(Players!O295,Lookup!$O$2:$O$5,0)))</f>
        <v>Midfield</v>
      </c>
      <c r="AC295" s="73">
        <v>4000000</v>
      </c>
      <c r="AD295" s="73" t="s">
        <v>789</v>
      </c>
      <c r="AE295" s="73" t="str">
        <f>INDEX('Translate table'!$H$2:$H$622,MATCH(Players!P295,'Translate table'!$G$2:$G$622,0))</f>
        <v>Aaron Ramsey</v>
      </c>
      <c r="AF295" s="73">
        <f>IFERROR(INDEX('Euro Qual stats'!$A$1:$L$2071,MATCH(Players!$AE295,'Euro Qual stats'!$A$1:$A$2071,0),MATCH(Players!AF$2,'Euro Qual stats'!$A$1:$L$1,0)),0)</f>
        <v>2</v>
      </c>
      <c r="AG295" s="73">
        <f>IFERROR(INDEX('Euro Qual stats'!$A$1:$L$2071,MATCH(Players!$AE295,'Euro Qual stats'!$A$1:$A$2071,0),MATCH(Players!AG$2,'Euro Qual stats'!$A$1:$L$1,0)),0)</f>
        <v>0</v>
      </c>
      <c r="AH295" s="73">
        <f>IFERROR(INDEX('Euro Qual stats'!$A$1:$L$2071,MATCH(Players!$AE295,'Euro Qual stats'!$A$1:$A$2071,0),MATCH(Players!AH$2,'Euro Qual stats'!$A$1:$L$1,0)),0)</f>
        <v>1.5</v>
      </c>
      <c r="AI295" s="73">
        <f>IFERROR(INDEX('Euro Qual stats'!$A$1:$L$2071,MATCH(Players!$AE295,'Euro Qual stats'!$A$1:$A$2071,0),MATCH(Players!AI$2,'Euro Qual stats'!$A$1:$L$1,0)),0)</f>
        <v>0</v>
      </c>
      <c r="AJ295" s="93">
        <f>(12-AF295)/12*INDEX(BV$9:BV$12,MATCH($AB295,$BU$9:$BU$12,0))+AF295/12*AG295</f>
        <v>0.1405759162303665</v>
      </c>
      <c r="AK295" s="93">
        <f>(12-AG295)/12*INDEX(BW$9:BW$12,MATCH($AB295,$BU$9:$BU$12,0))+AG295/12*AH295</f>
        <v>0.22340314136125652</v>
      </c>
      <c r="AL295" s="93">
        <f>(12-AH295)/12*INDEX(BX$9:BX$12,MATCH($AB295,$BU$9:$BU$12,0))+AH295/12*AI295</f>
        <v>0.20949607329842934</v>
      </c>
      <c r="AM295" s="93">
        <f>IF($BC295=1,AJ295/SUMIFS(AJ$3:AJ$623,$BC$3:$BC$623,1,$G$3:$G$623,$G295),0)</f>
        <v>0</v>
      </c>
      <c r="AN295" s="93">
        <f>IF($BC295=1,AK295/SUMIFS(AK$3:AK$623,$BC$3:$BC$623,1,$G$3:$G$623,$G295),0)</f>
        <v>0</v>
      </c>
      <c r="AO295" s="93">
        <f>IF($BC295=1,AL295/SUMIFS(AL$3:AL$623,$BC$3:$BC$623,1,$G$3:$G$623,$G295),0)</f>
        <v>0</v>
      </c>
      <c r="AP295" s="2">
        <f>IFERROR(R295/$V295*90,"")</f>
        <v>0.16483516483516483</v>
      </c>
      <c r="AQ295" s="2">
        <f>IFERROR(S295/$V295*90,"")</f>
        <v>0.32967032967032966</v>
      </c>
      <c r="AR295" s="2">
        <f>IFERROR(W295/$V295*90,"")</f>
        <v>0.9065934065934067</v>
      </c>
      <c r="AS295" s="2">
        <f>IFERROR(X295/$V295*90,"")</f>
        <v>0.16483516483516483</v>
      </c>
      <c r="AT295" s="2">
        <f>IFERROR(Y295/$V295*90,"")</f>
        <v>0</v>
      </c>
      <c r="AU295" s="2">
        <f>IF(AP295="",INDEX(BV$4:BV$7,MATCH(O295,$BU$4:$BU$7,0)),AP295)</f>
        <v>0.16483516483516483</v>
      </c>
      <c r="AV295" s="2">
        <f>IF(AQ295="",INDEX(BW$4:BW$7,MATCH($O295,$BU$4:$BU$7,0)),AQ295)</f>
        <v>0.32967032967032966</v>
      </c>
      <c r="AW295" s="2">
        <f t="shared" si="48"/>
        <v>0.9065934065934067</v>
      </c>
      <c r="AX295" s="2">
        <f t="shared" si="49"/>
        <v>0.16483516483516483</v>
      </c>
      <c r="AY295" s="2">
        <f t="shared" si="50"/>
        <v>0</v>
      </c>
      <c r="AZ295" s="2">
        <f>AU295*0.5+AK295*0.5</f>
        <v>0.19411915309821068</v>
      </c>
      <c r="BA295" s="2">
        <f>AV295*0.5+AJ295*0.5</f>
        <v>0.2351231229503481</v>
      </c>
      <c r="BB295" s="2">
        <f t="shared" si="51"/>
        <v>8.2417582417582416E-2</v>
      </c>
      <c r="BC295">
        <f>IF(I295="expected",1,0)</f>
        <v>0</v>
      </c>
      <c r="BD295" s="78">
        <f>IF(BC295=1,AZ295/SUMIFS(AZ$3:AZ$623,$BC$3:$BC$623,1,$G$3:$G$623,$G295),0)</f>
        <v>0</v>
      </c>
      <c r="BE295" s="78">
        <f>IF(BC295=1,BA295/SUMIFS(BA$3:BA$623,$BC$3:$BC$623,1,$G$3:$G$623,$G295),0)</f>
        <v>0</v>
      </c>
      <c r="BF295" s="78">
        <f t="shared" si="52"/>
        <v>0</v>
      </c>
      <c r="BG295" s="2">
        <f t="shared" si="53"/>
        <v>8.2417582417582416E-2</v>
      </c>
      <c r="BH295" s="2">
        <f t="shared" si="54"/>
        <v>0</v>
      </c>
      <c r="BI295" s="2">
        <f t="shared" si="55"/>
        <v>0</v>
      </c>
      <c r="BJ295" s="2">
        <f t="shared" si="56"/>
        <v>0</v>
      </c>
      <c r="BK295" s="2">
        <f t="shared" si="57"/>
        <v>0</v>
      </c>
      <c r="BL295" s="2">
        <f t="shared" si="58"/>
        <v>8.2417582417582416E-2</v>
      </c>
      <c r="BM295" s="2">
        <f t="shared" si="59"/>
        <v>0</v>
      </c>
      <c r="BN295" s="2">
        <f>BI295/SUMIFS(BI$3:BI$623,$BC$3:$BC$623,1,$G$3:$G$623,$G295)</f>
        <v>0</v>
      </c>
      <c r="BO295" s="2">
        <f>BJ295/SUMIFS(BJ$3:BJ$623,$BC$3:$BC$623,1,$G$3:$G$623,$G295)</f>
        <v>0</v>
      </c>
      <c r="BP295" s="2">
        <f>BK295/SUMIFS(BK$3:BK$623,$BC$3:$BC$623,1,$G$3:$G$623,$G295)</f>
        <v>0</v>
      </c>
      <c r="BQ295" s="2">
        <f>BL295</f>
        <v>8.2417582417582416E-2</v>
      </c>
      <c r="BR295" s="2">
        <f>BM295</f>
        <v>0</v>
      </c>
    </row>
    <row r="296" spans="1:70" hidden="1">
      <c r="A296" s="74">
        <v>0</v>
      </c>
      <c r="B296" s="73">
        <v>213401</v>
      </c>
      <c r="C296" s="73" t="s">
        <v>2155</v>
      </c>
      <c r="D296" s="73" t="s">
        <v>2156</v>
      </c>
      <c r="E296" s="73" t="s">
        <v>2157</v>
      </c>
      <c r="F296" s="73">
        <v>18721</v>
      </c>
      <c r="G296" s="73" t="s">
        <v>865</v>
      </c>
      <c r="H296" s="73" t="s">
        <v>921</v>
      </c>
      <c r="I296" s="73" t="s">
        <v>981</v>
      </c>
      <c r="J296" s="73">
        <v>0</v>
      </c>
      <c r="K296" s="73">
        <v>5</v>
      </c>
      <c r="L296" s="73">
        <v>0</v>
      </c>
      <c r="M296" s="73">
        <v>0</v>
      </c>
      <c r="N296" s="73">
        <v>0</v>
      </c>
      <c r="O296" s="73" t="s">
        <v>994</v>
      </c>
      <c r="P296" s="73" t="s">
        <v>2158</v>
      </c>
      <c r="Q296" s="73" t="s">
        <v>2159</v>
      </c>
      <c r="R296" s="73">
        <v>0</v>
      </c>
      <c r="S296" s="73">
        <v>0</v>
      </c>
      <c r="T296" s="73">
        <v>80</v>
      </c>
      <c r="U296" s="73">
        <v>11</v>
      </c>
      <c r="V296" s="73">
        <v>2400</v>
      </c>
      <c r="W296" s="73">
        <v>0</v>
      </c>
      <c r="X296" s="73">
        <v>1</v>
      </c>
      <c r="Y296" s="73">
        <v>0</v>
      </c>
      <c r="Z296" s="73" t="s">
        <v>865</v>
      </c>
      <c r="AA296" s="73" t="s">
        <v>691</v>
      </c>
      <c r="AB296" s="73" t="str">
        <f>IF(AA296&lt;&gt;"",INDEX(Lookup!$N$2:$N$5,MATCH(Players!AA296,Lookup!$P$2:$P$5,0)),INDEX(Lookup!$N$2:$N$5,MATCH(Players!O296,Lookup!$O$2:$O$5,0)))</f>
        <v>Midfield</v>
      </c>
      <c r="AC296" s="73">
        <v>3000000</v>
      </c>
      <c r="AD296" s="73" t="s">
        <v>789</v>
      </c>
      <c r="AE296" s="73" t="str">
        <f>INDEX('Translate table'!$H$2:$H$622,MATCH(Players!P296,'Translate table'!$G$2:$G$622,0))</f>
        <v>Joe Allen</v>
      </c>
      <c r="AF296" s="73">
        <f>IFERROR(INDEX('Euro Qual stats'!$A$1:$L$2071,MATCH(Players!$AE296,'Euro Qual stats'!$A$1:$A$2071,0),MATCH(Players!AF$2,'Euro Qual stats'!$A$1:$L$1,0)),0)</f>
        <v>7</v>
      </c>
      <c r="AG296" s="73">
        <f>IFERROR(INDEX('Euro Qual stats'!$A$1:$L$2071,MATCH(Players!$AE296,'Euro Qual stats'!$A$1:$A$2071,0),MATCH(Players!AG$2,'Euro Qual stats'!$A$1:$L$1,0)),0)</f>
        <v>0</v>
      </c>
      <c r="AH296" s="73">
        <f>IFERROR(INDEX('Euro Qual stats'!$A$1:$L$2071,MATCH(Players!$AE296,'Euro Qual stats'!$A$1:$A$2071,0),MATCH(Players!AH$2,'Euro Qual stats'!$A$1:$L$1,0)),0)</f>
        <v>0</v>
      </c>
      <c r="AI296" s="73">
        <f>IFERROR(INDEX('Euro Qual stats'!$A$1:$L$2071,MATCH(Players!$AE296,'Euro Qual stats'!$A$1:$A$2071,0),MATCH(Players!AI$2,'Euro Qual stats'!$A$1:$L$1,0)),0)</f>
        <v>0.43</v>
      </c>
      <c r="AJ296" s="93">
        <f>(12-AF296)/12*INDEX(BV$9:BV$12,MATCH($AB296,$BU$9:$BU$12,0))+AF296/12*AG296</f>
        <v>7.0287958115183249E-2</v>
      </c>
      <c r="AK296" s="93">
        <f>(12-AG296)/12*INDEX(BW$9:BW$12,MATCH($AB296,$BU$9:$BU$12,0))+AG296/12*AH296</f>
        <v>0.22340314136125652</v>
      </c>
      <c r="AL296" s="93">
        <f>(12-AH296)/12*INDEX(BX$9:BX$12,MATCH($AB296,$BU$9:$BU$12,0))+AH296/12*AI296</f>
        <v>0.23942408376963353</v>
      </c>
      <c r="AM296" s="93">
        <f>IF($BC296=1,AJ296/SUMIFS(AJ$3:AJ$623,$BC$3:$BC$623,1,$G$3:$G$623,$G296),0)</f>
        <v>6.7419825429752597E-2</v>
      </c>
      <c r="AN296" s="93">
        <f>IF($BC296=1,AK296/SUMIFS(AK$3:AK$623,$BC$3:$BC$623,1,$G$3:$G$623,$G296),0)</f>
        <v>0.12279970545559915</v>
      </c>
      <c r="AO296" s="93">
        <f>IF($BC296=1,AL296/SUMIFS(AL$3:AL$623,$BC$3:$BC$623,1,$G$3:$G$623,$G296),0)</f>
        <v>0.11690394547605798</v>
      </c>
      <c r="AP296" s="2">
        <f>IFERROR(R296/$V296*90,"")</f>
        <v>0</v>
      </c>
      <c r="AQ296" s="2">
        <f>IFERROR(S296/$V296*90,"")</f>
        <v>0</v>
      </c>
      <c r="AR296" s="2">
        <f>IFERROR(W296/$V296*90,"")</f>
        <v>0</v>
      </c>
      <c r="AS296" s="2">
        <f>IFERROR(X296/$V296*90,"")</f>
        <v>3.7500000000000006E-2</v>
      </c>
      <c r="AT296" s="2">
        <f>IFERROR(Y296/$V296*90,"")</f>
        <v>0</v>
      </c>
      <c r="AU296" s="2">
        <f>IF(AP296="",INDEX(BV$4:BV$7,MATCH(O296,$BU$4:$BU$7,0)),AP296)</f>
        <v>0</v>
      </c>
      <c r="AV296" s="2">
        <f>IF(AQ296="",INDEX(BW$4:BW$7,MATCH($O296,$BU$4:$BU$7,0)),AQ296)</f>
        <v>0</v>
      </c>
      <c r="AW296" s="2">
        <f t="shared" si="48"/>
        <v>0</v>
      </c>
      <c r="AX296" s="2">
        <f t="shared" si="49"/>
        <v>3.7500000000000006E-2</v>
      </c>
      <c r="AY296" s="2">
        <f t="shared" si="50"/>
        <v>0</v>
      </c>
      <c r="AZ296" s="2">
        <f>AU296*0.5+AK296*0.5</f>
        <v>0.11170157068062826</v>
      </c>
      <c r="BA296" s="2">
        <f>AV296*0.5+AJ296*0.5</f>
        <v>3.5143979057591625E-2</v>
      </c>
      <c r="BB296" s="2">
        <f t="shared" si="51"/>
        <v>0.23375000000000001</v>
      </c>
      <c r="BC296">
        <f>IF(I296="expected",1,0)</f>
        <v>1</v>
      </c>
      <c r="BD296" s="78">
        <f>IF(BC296=1,AZ296/SUMIFS(AZ$3:AZ$623,$BC$3:$BC$623,1,$G$3:$G$623,$G296),0)</f>
        <v>7.0071538175047104E-2</v>
      </c>
      <c r="BE296" s="78">
        <f>IF(BC296=1,BA296/SUMIFS(BA$3:BA$623,$BC$3:$BC$623,1,$G$3:$G$623,$G296),0)</f>
        <v>4.8868192163151775E-2</v>
      </c>
      <c r="BF296" s="78">
        <f t="shared" si="52"/>
        <v>0</v>
      </c>
      <c r="BG296" s="2">
        <f t="shared" si="53"/>
        <v>0.23375000000000001</v>
      </c>
      <c r="BH296" s="2">
        <f t="shared" si="54"/>
        <v>0</v>
      </c>
      <c r="BI296" s="2">
        <f t="shared" si="55"/>
        <v>7.0071538175047104E-2</v>
      </c>
      <c r="BJ296" s="2">
        <f t="shared" si="56"/>
        <v>4.8868192163151775E-2</v>
      </c>
      <c r="BK296" s="2">
        <f t="shared" si="57"/>
        <v>0</v>
      </c>
      <c r="BL296" s="2">
        <f t="shared" si="58"/>
        <v>0.23375000000000001</v>
      </c>
      <c r="BM296" s="2">
        <f t="shared" si="59"/>
        <v>0</v>
      </c>
      <c r="BN296" s="2">
        <f>BI296/SUMIFS(BI$3:BI$623,$BC$3:$BC$623,1,$G$3:$G$623,$G296)</f>
        <v>8.2723863676569767E-2</v>
      </c>
      <c r="BO296" s="2">
        <f>BJ296/SUMIFS(BJ$3:BJ$623,$BC$3:$BC$623,1,$G$3:$G$623,$G296)</f>
        <v>4.8868192163151775E-2</v>
      </c>
      <c r="BP296" s="2">
        <f>BK296/SUMIFS(BK$3:BK$623,$BC$3:$BC$623,1,$G$3:$G$623,$G296)</f>
        <v>0</v>
      </c>
      <c r="BQ296" s="2">
        <f>BL296</f>
        <v>0.23375000000000001</v>
      </c>
      <c r="BR296" s="2">
        <f>BM296</f>
        <v>0</v>
      </c>
    </row>
    <row r="297" spans="1:70" hidden="1">
      <c r="A297" s="74">
        <v>0</v>
      </c>
      <c r="B297" s="73">
        <v>204851</v>
      </c>
      <c r="C297" s="73" t="s">
        <v>2160</v>
      </c>
      <c r="D297" s="73" t="s">
        <v>1736</v>
      </c>
      <c r="E297" s="73" t="s">
        <v>1630</v>
      </c>
      <c r="F297" s="73">
        <v>18721</v>
      </c>
      <c r="G297" s="73" t="s">
        <v>865</v>
      </c>
      <c r="H297" s="73" t="s">
        <v>921</v>
      </c>
      <c r="I297" s="73" t="s">
        <v>981</v>
      </c>
      <c r="J297" s="73">
        <v>0</v>
      </c>
      <c r="K297" s="73">
        <v>5</v>
      </c>
      <c r="L297" s="73">
        <v>0</v>
      </c>
      <c r="M297" s="73">
        <v>0</v>
      </c>
      <c r="N297" s="73">
        <v>0</v>
      </c>
      <c r="O297" s="73" t="s">
        <v>994</v>
      </c>
      <c r="P297" s="73" t="s">
        <v>436</v>
      </c>
      <c r="Q297" s="73" t="s">
        <v>436</v>
      </c>
      <c r="R297" s="73">
        <v>3</v>
      </c>
      <c r="S297" s="73">
        <v>1</v>
      </c>
      <c r="T297" s="73">
        <v>0</v>
      </c>
      <c r="U297" s="73">
        <v>3</v>
      </c>
      <c r="V297" s="73">
        <v>911</v>
      </c>
      <c r="W297" s="73">
        <v>6</v>
      </c>
      <c r="X297" s="73">
        <v>3</v>
      </c>
      <c r="Y297" s="73">
        <v>0</v>
      </c>
      <c r="Z297" s="73" t="s">
        <v>865</v>
      </c>
      <c r="AA297" s="73" t="s">
        <v>691</v>
      </c>
      <c r="AB297" s="73" t="str">
        <f>IF(AA297&lt;&gt;"",INDEX(Lookup!$N$2:$N$5,MATCH(Players!AA297,Lookup!$P$2:$P$5,0)),INDEX(Lookup!$N$2:$N$5,MATCH(Players!O297,Lookup!$O$2:$O$5,0)))</f>
        <v>Midfield</v>
      </c>
      <c r="AC297" s="73">
        <v>3500000</v>
      </c>
      <c r="AD297" s="73" t="s">
        <v>793</v>
      </c>
      <c r="AE297" s="73" t="str">
        <f>INDEX('Translate table'!$H$2:$H$622,MATCH(Players!P297,'Translate table'!$G$2:$G$622,0))</f>
        <v>Daniel James</v>
      </c>
      <c r="AF297" s="73">
        <f>IFERROR(INDEX('Euro Qual stats'!$A$1:$L$2071,MATCH(Players!$AE297,'Euro Qual stats'!$A$1:$A$2071,0),MATCH(Players!AF$2,'Euro Qual stats'!$A$1:$L$1,0)),0)</f>
        <v>8</v>
      </c>
      <c r="AG297" s="73">
        <f>IFERROR(INDEX('Euro Qual stats'!$A$1:$L$2071,MATCH(Players!$AE297,'Euro Qual stats'!$A$1:$A$2071,0),MATCH(Players!AG$2,'Euro Qual stats'!$A$1:$L$1,0)),0)</f>
        <v>0.13</v>
      </c>
      <c r="AH297" s="73">
        <f>IFERROR(INDEX('Euro Qual stats'!$A$1:$L$2071,MATCH(Players!$AE297,'Euro Qual stats'!$A$1:$A$2071,0),MATCH(Players!AH$2,'Euro Qual stats'!$A$1:$L$1,0)),0)</f>
        <v>0.13</v>
      </c>
      <c r="AI297" s="73">
        <f>IFERROR(INDEX('Euro Qual stats'!$A$1:$L$2071,MATCH(Players!$AE297,'Euro Qual stats'!$A$1:$A$2071,0),MATCH(Players!AI$2,'Euro Qual stats'!$A$1:$L$1,0)),0)</f>
        <v>0.39</v>
      </c>
      <c r="AJ297" s="93">
        <f>(12-AF297)/12*INDEX(BV$9:BV$12,MATCH($AB297,$BU$9:$BU$12,0))+AF297/12*AG297</f>
        <v>0.14289703315881325</v>
      </c>
      <c r="AK297" s="93">
        <f>(12-AG297)/12*INDEX(BW$9:BW$12,MATCH($AB297,$BU$9:$BU$12,0))+AG297/12*AH297</f>
        <v>0.2223912739965096</v>
      </c>
      <c r="AL297" s="93">
        <f>(12-AH297)/12*INDEX(BX$9:BX$12,MATCH($AB297,$BU$9:$BU$12,0))+AH297/12*AI297</f>
        <v>0.24105532286212916</v>
      </c>
      <c r="AM297" s="93">
        <f>IF($BC297=1,AJ297/SUMIFS(AJ$3:AJ$623,$BC$3:$BC$623,1,$G$3:$G$623,$G297),0)</f>
        <v>0.13706605353663917</v>
      </c>
      <c r="AN297" s="93">
        <f>IF($BC297=1,AK297/SUMIFS(AK$3:AK$623,$BC$3:$BC$623,1,$G$3:$G$623,$G297),0)</f>
        <v>0.12224350461798369</v>
      </c>
      <c r="AO297" s="93">
        <f>IF($BC297=1,AL297/SUMIFS(AL$3:AL$623,$BC$3:$BC$623,1,$G$3:$G$623,$G297),0)</f>
        <v>0.11770043295937653</v>
      </c>
      <c r="AP297" s="2">
        <f>IFERROR(R297/$V297*90,"")</f>
        <v>0.29637760702524696</v>
      </c>
      <c r="AQ297" s="2">
        <f>IFERROR(S297/$V297*90,"")</f>
        <v>9.8792535675082324E-2</v>
      </c>
      <c r="AR297" s="2">
        <f>IFERROR(W297/$V297*90,"")</f>
        <v>0.59275521405049392</v>
      </c>
      <c r="AS297" s="2">
        <f>IFERROR(X297/$V297*90,"")</f>
        <v>0.29637760702524696</v>
      </c>
      <c r="AT297" s="2">
        <f>IFERROR(Y297/$V297*90,"")</f>
        <v>0</v>
      </c>
      <c r="AU297" s="2">
        <f>IF(AP297="",INDEX(BV$4:BV$7,MATCH(O297,$BU$4:$BU$7,0)),AP297)</f>
        <v>0.29637760702524696</v>
      </c>
      <c r="AV297" s="2">
        <f>IF(AQ297="",INDEX(BW$4:BW$7,MATCH($O297,$BU$4:$BU$7,0)),AQ297)</f>
        <v>9.8792535675082324E-2</v>
      </c>
      <c r="AW297" s="2">
        <f t="shared" si="48"/>
        <v>0.59275521405049392</v>
      </c>
      <c r="AX297" s="2">
        <f t="shared" si="49"/>
        <v>0.29637760702524696</v>
      </c>
      <c r="AY297" s="2">
        <f t="shared" si="50"/>
        <v>0</v>
      </c>
      <c r="AZ297" s="2">
        <f>AU297*0.5+AK297*0.5</f>
        <v>0.25938444051087828</v>
      </c>
      <c r="BA297" s="2">
        <f>AV297*0.5+AJ297*0.5</f>
        <v>0.12084478441694779</v>
      </c>
      <c r="BB297" s="2">
        <f t="shared" si="51"/>
        <v>0.34318880351262349</v>
      </c>
      <c r="BC297">
        <f>IF(I297="expected",1,0)</f>
        <v>1</v>
      </c>
      <c r="BD297" s="78">
        <f>IF(BC297=1,AZ297/SUMIFS(AZ$3:AZ$623,$BC$3:$BC$623,1,$G$3:$G$623,$G297),0)</f>
        <v>0.16271451345333054</v>
      </c>
      <c r="BE297" s="78">
        <f>IF(BC297=1,BA297/SUMIFS(BA$3:BA$623,$BC$3:$BC$623,1,$G$3:$G$623,$G297),0)</f>
        <v>0.16803635516412549</v>
      </c>
      <c r="BF297" s="78">
        <f t="shared" si="52"/>
        <v>0.21543053158957221</v>
      </c>
      <c r="BG297" s="2">
        <f t="shared" si="53"/>
        <v>0.34318880351262349</v>
      </c>
      <c r="BH297" s="2">
        <f t="shared" si="54"/>
        <v>0</v>
      </c>
      <c r="BI297" s="2">
        <f t="shared" si="55"/>
        <v>0.16271451345333054</v>
      </c>
      <c r="BJ297" s="2">
        <f t="shared" si="56"/>
        <v>0.16803635516412549</v>
      </c>
      <c r="BK297" s="2">
        <f t="shared" si="57"/>
        <v>0.21543053158957221</v>
      </c>
      <c r="BL297" s="2">
        <f t="shared" si="58"/>
        <v>0.34318880351262349</v>
      </c>
      <c r="BM297" s="2">
        <f t="shared" si="59"/>
        <v>0</v>
      </c>
      <c r="BN297" s="2">
        <f>BI297/SUMIFS(BI$3:BI$623,$BC$3:$BC$623,1,$G$3:$G$623,$G297)</f>
        <v>0.19209473032384514</v>
      </c>
      <c r="BO297" s="2">
        <f>BJ297/SUMIFS(BJ$3:BJ$623,$BC$3:$BC$623,1,$G$3:$G$623,$G297)</f>
        <v>0.16803635516412549</v>
      </c>
      <c r="BP297" s="2">
        <f>BK297/SUMIFS(BK$3:BK$623,$BC$3:$BC$623,1,$G$3:$G$623,$G297)</f>
        <v>0.3437688631185758</v>
      </c>
      <c r="BQ297" s="2">
        <f>BL297</f>
        <v>0.34318880351262349</v>
      </c>
      <c r="BR297" s="2">
        <f>BM297</f>
        <v>0</v>
      </c>
    </row>
    <row r="298" spans="1:70" hidden="1">
      <c r="A298" s="74">
        <v>0</v>
      </c>
      <c r="B298" s="73">
        <v>204849</v>
      </c>
      <c r="C298" s="73" t="s">
        <v>2161</v>
      </c>
      <c r="D298" s="73" t="s">
        <v>1472</v>
      </c>
      <c r="E298" s="73" t="s">
        <v>2162</v>
      </c>
      <c r="F298" s="73">
        <v>18721</v>
      </c>
      <c r="G298" s="73" t="s">
        <v>865</v>
      </c>
      <c r="H298" s="73" t="s">
        <v>921</v>
      </c>
      <c r="I298" s="73" t="s">
        <v>1012</v>
      </c>
      <c r="J298" s="73">
        <v>0</v>
      </c>
      <c r="K298" s="73">
        <v>5</v>
      </c>
      <c r="L298" s="73">
        <v>0</v>
      </c>
      <c r="M298" s="73">
        <v>0</v>
      </c>
      <c r="N298" s="73">
        <v>0</v>
      </c>
      <c r="O298" s="73" t="s">
        <v>994</v>
      </c>
      <c r="P298" s="73" t="s">
        <v>2163</v>
      </c>
      <c r="Q298" s="73" t="s">
        <v>2164</v>
      </c>
      <c r="R298" s="73">
        <v>1</v>
      </c>
      <c r="S298" s="73">
        <v>1</v>
      </c>
      <c r="T298" s="73">
        <v>0</v>
      </c>
      <c r="U298" s="73">
        <v>0</v>
      </c>
      <c r="V298" s="73">
        <v>146</v>
      </c>
      <c r="W298" s="73">
        <v>1</v>
      </c>
      <c r="X298" s="73">
        <v>0</v>
      </c>
      <c r="Y298" s="73">
        <v>0</v>
      </c>
      <c r="Z298" s="73" t="s">
        <v>865</v>
      </c>
      <c r="AA298" s="73" t="s">
        <v>691</v>
      </c>
      <c r="AB298" s="73" t="str">
        <f>IF(AA298&lt;&gt;"",INDEX(Lookup!$N$2:$N$5,MATCH(Players!AA298,Lookup!$P$2:$P$5,0)),INDEX(Lookup!$N$2:$N$5,MATCH(Players!O298,Lookup!$O$2:$O$5,0)))</f>
        <v>Midfield</v>
      </c>
      <c r="AC298" s="73">
        <v>3000000</v>
      </c>
      <c r="AD298" s="73" t="s">
        <v>753</v>
      </c>
      <c r="AE298" s="73" t="str">
        <f>INDEX('Translate table'!$H$2:$H$622,MATCH(Players!P298,'Translate table'!$G$2:$G$622,0))</f>
        <v>David Brooks</v>
      </c>
      <c r="AF298" s="73">
        <f>IFERROR(INDEX('Euro Qual stats'!$A$1:$L$2071,MATCH(Players!$AE298,'Euro Qual stats'!$A$1:$A$2071,0),MATCH(Players!AF$2,'Euro Qual stats'!$A$1:$L$1,0)),0)</f>
        <v>3</v>
      </c>
      <c r="AG298" s="73">
        <f>IFERROR(INDEX('Euro Qual stats'!$A$1:$L$2071,MATCH(Players!$AE298,'Euro Qual stats'!$A$1:$A$2071,0),MATCH(Players!AG$2,'Euro Qual stats'!$A$1:$L$1,0)),0)</f>
        <v>0</v>
      </c>
      <c r="AH298" s="73">
        <f>IFERROR(INDEX('Euro Qual stats'!$A$1:$L$2071,MATCH(Players!$AE298,'Euro Qual stats'!$A$1:$A$2071,0),MATCH(Players!AH$2,'Euro Qual stats'!$A$1:$L$1,0)),0)</f>
        <v>0.56999999999999995</v>
      </c>
      <c r="AI298" s="73">
        <f>IFERROR(INDEX('Euro Qual stats'!$A$1:$L$2071,MATCH(Players!$AE298,'Euro Qual stats'!$A$1:$A$2071,0),MATCH(Players!AI$2,'Euro Qual stats'!$A$1:$L$1,0)),0)</f>
        <v>0.56999999999999995</v>
      </c>
      <c r="AJ298" s="93">
        <f>(12-AF298)/12*INDEX(BV$9:BV$12,MATCH($AB298,$BU$9:$BU$12,0))+AF298/12*AG298</f>
        <v>0.12651832460732984</v>
      </c>
      <c r="AK298" s="93">
        <f>(12-AG298)/12*INDEX(BW$9:BW$12,MATCH($AB298,$BU$9:$BU$12,0))+AG298/12*AH298</f>
        <v>0.22340314136125652</v>
      </c>
      <c r="AL298" s="93">
        <f>(12-AH298)/12*INDEX(BX$9:BX$12,MATCH($AB298,$BU$9:$BU$12,0))+AH298/12*AI298</f>
        <v>0.25512643979057592</v>
      </c>
      <c r="AM298" s="93">
        <f>IF($BC298=1,AJ298/SUMIFS(AJ$3:AJ$623,$BC$3:$BC$623,1,$G$3:$G$623,$G298),0)</f>
        <v>0</v>
      </c>
      <c r="AN298" s="93">
        <f>IF($BC298=1,AK298/SUMIFS(AK$3:AK$623,$BC$3:$BC$623,1,$G$3:$G$623,$G298),0)</f>
        <v>0</v>
      </c>
      <c r="AO298" s="93">
        <f>IF($BC298=1,AL298/SUMIFS(AL$3:AL$623,$BC$3:$BC$623,1,$G$3:$G$623,$G298),0)</f>
        <v>0</v>
      </c>
      <c r="AP298" s="2">
        <f>IFERROR(R298/$V298*90,"")</f>
        <v>0.61643835616438358</v>
      </c>
      <c r="AQ298" s="2">
        <f>IFERROR(S298/$V298*90,"")</f>
        <v>0.61643835616438358</v>
      </c>
      <c r="AR298" s="2">
        <f>IFERROR(W298/$V298*90,"")</f>
        <v>0.61643835616438358</v>
      </c>
      <c r="AS298" s="2">
        <f>IFERROR(X298/$V298*90,"")</f>
        <v>0</v>
      </c>
      <c r="AT298" s="2">
        <f>IFERROR(Y298/$V298*90,"")</f>
        <v>0</v>
      </c>
      <c r="AU298" s="2">
        <f>IF(AP298="",INDEX(BV$4:BV$7,MATCH(O298,$BU$4:$BU$7,0)),AP298)</f>
        <v>0.61643835616438358</v>
      </c>
      <c r="AV298" s="2">
        <f>IF(AQ298="",INDEX(BW$4:BW$7,MATCH($O298,$BU$4:$BU$7,0)),AQ298)</f>
        <v>0.61643835616438358</v>
      </c>
      <c r="AW298" s="2">
        <f t="shared" si="48"/>
        <v>0.61643835616438358</v>
      </c>
      <c r="AX298" s="2">
        <f t="shared" si="49"/>
        <v>0</v>
      </c>
      <c r="AY298" s="2">
        <f t="shared" si="50"/>
        <v>0</v>
      </c>
      <c r="AZ298" s="2">
        <f>AU298*0.5+AK298*0.5</f>
        <v>0.41992074876282004</v>
      </c>
      <c r="BA298" s="2">
        <f>AV298*0.5+AJ298*0.5</f>
        <v>0.3714783403858567</v>
      </c>
      <c r="BB298" s="2">
        <f t="shared" si="51"/>
        <v>0.28499999999999998</v>
      </c>
      <c r="BC298">
        <f>IF(I298="expected",1,0)</f>
        <v>0</v>
      </c>
      <c r="BD298" s="78">
        <f>IF(BC298=1,AZ298/SUMIFS(AZ$3:AZ$623,$BC$3:$BC$623,1,$G$3:$G$623,$G298),0)</f>
        <v>0</v>
      </c>
      <c r="BE298" s="78">
        <f>IF(BC298=1,BA298/SUMIFS(BA$3:BA$623,$BC$3:$BC$623,1,$G$3:$G$623,$G298),0)</f>
        <v>0</v>
      </c>
      <c r="BF298" s="78">
        <f t="shared" si="52"/>
        <v>0</v>
      </c>
      <c r="BG298" s="2">
        <f t="shared" si="53"/>
        <v>0.28499999999999998</v>
      </c>
      <c r="BH298" s="2">
        <f t="shared" si="54"/>
        <v>0</v>
      </c>
      <c r="BI298" s="2">
        <f t="shared" si="55"/>
        <v>0</v>
      </c>
      <c r="BJ298" s="2">
        <f t="shared" si="56"/>
        <v>0</v>
      </c>
      <c r="BK298" s="2">
        <f t="shared" si="57"/>
        <v>0</v>
      </c>
      <c r="BL298" s="2">
        <f t="shared" si="58"/>
        <v>0.28499999999999998</v>
      </c>
      <c r="BM298" s="2">
        <f t="shared" si="59"/>
        <v>0</v>
      </c>
      <c r="BN298" s="2">
        <f>BI298/SUMIFS(BI$3:BI$623,$BC$3:$BC$623,1,$G$3:$G$623,$G298)</f>
        <v>0</v>
      </c>
      <c r="BO298" s="2">
        <f>BJ298/SUMIFS(BJ$3:BJ$623,$BC$3:$BC$623,1,$G$3:$G$623,$G298)</f>
        <v>0</v>
      </c>
      <c r="BP298" s="2">
        <f>BK298/SUMIFS(BK$3:BK$623,$BC$3:$BC$623,1,$G$3:$G$623,$G298)</f>
        <v>0</v>
      </c>
      <c r="BQ298" s="2">
        <f>BL298</f>
        <v>0.28499999999999998</v>
      </c>
      <c r="BR298" s="2">
        <f>BM298</f>
        <v>0</v>
      </c>
    </row>
    <row r="299" spans="1:70" hidden="1">
      <c r="A299" s="74">
        <v>0</v>
      </c>
      <c r="B299" s="73">
        <v>204811</v>
      </c>
      <c r="C299" s="73" t="s">
        <v>2165</v>
      </c>
      <c r="D299" s="73" t="s">
        <v>2054</v>
      </c>
      <c r="E299" s="73" t="s">
        <v>2166</v>
      </c>
      <c r="F299" s="73">
        <v>18564</v>
      </c>
      <c r="G299" s="73" t="s">
        <v>886</v>
      </c>
      <c r="H299" s="73" t="s">
        <v>919</v>
      </c>
      <c r="I299" s="73" t="s">
        <v>981</v>
      </c>
      <c r="J299" s="73">
        <v>0</v>
      </c>
      <c r="K299" s="73">
        <v>5</v>
      </c>
      <c r="L299" s="73">
        <v>0</v>
      </c>
      <c r="M299" s="73">
        <v>0</v>
      </c>
      <c r="N299" s="73">
        <v>0</v>
      </c>
      <c r="O299" s="73" t="s">
        <v>994</v>
      </c>
      <c r="P299" s="73" t="s">
        <v>2167</v>
      </c>
      <c r="Q299" s="73" t="s">
        <v>845</v>
      </c>
      <c r="R299" s="73">
        <v>0</v>
      </c>
      <c r="S299" s="73">
        <v>0</v>
      </c>
      <c r="T299" s="73">
        <v>0</v>
      </c>
      <c r="U299" s="73">
        <v>0</v>
      </c>
      <c r="V299" s="73">
        <v>0</v>
      </c>
      <c r="W299" s="73">
        <v>0</v>
      </c>
      <c r="X299" s="73">
        <v>0</v>
      </c>
      <c r="Y299" s="73">
        <v>0</v>
      </c>
      <c r="Z299" s="73" t="s">
        <v>1717</v>
      </c>
      <c r="AA299" s="73" t="s">
        <v>691</v>
      </c>
      <c r="AB299" s="73" t="str">
        <f>IF(AA299&lt;&gt;"",INDEX(Lookup!$N$2:$N$5,MATCH(Players!AA299,Lookup!$P$2:$P$5,0)),INDEX(Lookup!$N$2:$N$5,MATCH(Players!O299,Lookup!$O$2:$O$5,0)))</f>
        <v>Midfield</v>
      </c>
      <c r="AC299" s="73">
        <v>4000000</v>
      </c>
      <c r="AD299" s="73" t="s">
        <v>788</v>
      </c>
      <c r="AE299" s="73" t="str">
        <f>INDEX('Translate table'!$H$2:$H$622,MATCH(Players!P299,'Translate table'!$G$2:$G$622,0))</f>
        <v>Viktor Claesson</v>
      </c>
      <c r="AF299" s="73">
        <f>IFERROR(INDEX('Euro Qual stats'!$A$1:$L$2071,MATCH(Players!$AE299,'Euro Qual stats'!$A$1:$A$2071,0),MATCH(Players!AF$2,'Euro Qual stats'!$A$1:$L$1,0)),0)</f>
        <v>4</v>
      </c>
      <c r="AG299" s="73">
        <f>IFERROR(INDEX('Euro Qual stats'!$A$1:$L$2071,MATCH(Players!$AE299,'Euro Qual stats'!$A$1:$A$2071,0),MATCH(Players!AG$2,'Euro Qual stats'!$A$1:$L$1,0)),0)</f>
        <v>0.3</v>
      </c>
      <c r="AH299" s="73">
        <f>IFERROR(INDEX('Euro Qual stats'!$A$1:$L$2071,MATCH(Players!$AE299,'Euro Qual stats'!$A$1:$A$2071,0),MATCH(Players!AH$2,'Euro Qual stats'!$A$1:$L$1,0)),0)</f>
        <v>0.91</v>
      </c>
      <c r="AI299" s="73">
        <f>IFERROR(INDEX('Euro Qual stats'!$A$1:$L$2071,MATCH(Players!$AE299,'Euro Qual stats'!$A$1:$A$2071,0),MATCH(Players!AI$2,'Euro Qual stats'!$A$1:$L$1,0)),0)</f>
        <v>0.3</v>
      </c>
      <c r="AJ299" s="93">
        <f>(12-AF299)/12*INDEX(BV$9:BV$12,MATCH($AB299,$BU$9:$BU$12,0))+AF299/12*AG299</f>
        <v>0.21246073298429319</v>
      </c>
      <c r="AK299" s="93">
        <f>(12-AG299)/12*INDEX(BW$9:BW$12,MATCH($AB299,$BU$9:$BU$12,0))+AG299/12*AH299</f>
        <v>0.24056806282722509</v>
      </c>
      <c r="AL299" s="93">
        <f>(12-AH299)/12*INDEX(BX$9:BX$12,MATCH($AB299,$BU$9:$BU$12,0))+AH299/12*AI299</f>
        <v>0.24401775741710299</v>
      </c>
      <c r="AM299" s="93">
        <f>IF($BC299=1,AJ299/SUMIFS(AJ$3:AJ$623,$BC$3:$BC$623,1,$G$3:$G$623,$G299),0)</f>
        <v>0.16648874511496106</v>
      </c>
      <c r="AN299" s="93">
        <f>IF($BC299=1,AK299/SUMIFS(AK$3:AK$623,$BC$3:$BC$623,1,$G$3:$G$623,$G299),0)</f>
        <v>0.1112961842493999</v>
      </c>
      <c r="AO299" s="93">
        <f>IF($BC299=1,AL299/SUMIFS(AL$3:AL$623,$BC$3:$BC$623,1,$G$3:$G$623,$G299),0)</f>
        <v>0.13386809409547903</v>
      </c>
      <c r="AP299" s="2" t="str">
        <f>IFERROR(R299/$V299*90,"")</f>
        <v/>
      </c>
      <c r="AQ299" s="2" t="str">
        <f>IFERROR(S299/$V299*90,"")</f>
        <v/>
      </c>
      <c r="AR299" s="2" t="str">
        <f>IFERROR(W299/$V299*90,"")</f>
        <v/>
      </c>
      <c r="AS299" s="2" t="str">
        <f>IFERROR(X299/$V299*90,"")</f>
        <v/>
      </c>
      <c r="AT299" s="2" t="str">
        <f>IFERROR(Y299/$V299*90,"")</f>
        <v/>
      </c>
      <c r="AU299" s="2">
        <f>IF(AP299="",INDEX(BV$4:BV$7,MATCH(O299,$BU$4:$BU$7,0)),AP299)</f>
        <v>3.6526142445450806E-2</v>
      </c>
      <c r="AV299" s="2">
        <f>IF(AQ299="",INDEX(BW$4:BW$7,MATCH($O299,$BU$4:$BU$7,0)),AQ299)</f>
        <v>3.2427739661688867E-2</v>
      </c>
      <c r="AW299" s="2">
        <f t="shared" si="48"/>
        <v>0.20013349649571699</v>
      </c>
      <c r="AX299" s="2">
        <f t="shared" si="49"/>
        <v>0.16081000595592615</v>
      </c>
      <c r="AY299" s="2">
        <f t="shared" si="50"/>
        <v>0</v>
      </c>
      <c r="AZ299" s="2">
        <f>AU299*0.5+AK299*0.5</f>
        <v>0.13854710263633796</v>
      </c>
      <c r="BA299" s="2">
        <f>AV299*0.5+AJ299*0.5</f>
        <v>0.12244423632299103</v>
      </c>
      <c r="BB299" s="2">
        <f t="shared" si="51"/>
        <v>0.23040500297796307</v>
      </c>
      <c r="BC299">
        <f>IF(I299="expected",1,0)</f>
        <v>1</v>
      </c>
      <c r="BD299" s="78">
        <f>IF(BC299=1,AZ299/SUMIFS(AZ$3:AZ$623,$BC$3:$BC$623,1,$G$3:$G$623,$G299),0)</f>
        <v>8.7624698182978591E-2</v>
      </c>
      <c r="BE299" s="78">
        <f>IF(BC299=1,BA299/SUMIFS(BA$3:BA$623,$BC$3:$BC$623,1,$G$3:$G$623,$G299),0)</f>
        <v>0.1363194099415494</v>
      </c>
      <c r="BF299" s="78">
        <f t="shared" si="52"/>
        <v>6.2230501436626361E-2</v>
      </c>
      <c r="BG299" s="2">
        <f t="shared" si="53"/>
        <v>0.23040500297796307</v>
      </c>
      <c r="BH299" s="2">
        <f t="shared" si="54"/>
        <v>0</v>
      </c>
      <c r="BI299" s="2">
        <f t="shared" si="55"/>
        <v>8.7624698182978591E-2</v>
      </c>
      <c r="BJ299" s="2">
        <f t="shared" si="56"/>
        <v>0.1363194099415494</v>
      </c>
      <c r="BK299" s="2">
        <f t="shared" si="57"/>
        <v>6.2230501436626361E-2</v>
      </c>
      <c r="BL299" s="2">
        <f t="shared" si="58"/>
        <v>0.23040500297796307</v>
      </c>
      <c r="BM299" s="2">
        <f t="shared" si="59"/>
        <v>0</v>
      </c>
      <c r="BN299" s="2">
        <f>BI299/SUMIFS(BI$3:BI$623,$BC$3:$BC$623,1,$G$3:$G$623,$G299)</f>
        <v>8.9772565552473788E-2</v>
      </c>
      <c r="BO299" s="2">
        <f>BJ299/SUMIFS(BJ$3:BJ$623,$BC$3:$BC$623,1,$G$3:$G$623,$G299)</f>
        <v>0.1363194099415494</v>
      </c>
      <c r="BP299" s="2">
        <f>BK299/SUMIFS(BK$3:BK$623,$BC$3:$BC$623,1,$G$3:$G$623,$G299)</f>
        <v>7.7618344357708396E-2</v>
      </c>
      <c r="BQ299" s="2">
        <f>BL299</f>
        <v>0.23040500297796307</v>
      </c>
      <c r="BR299" s="2">
        <f>BM299</f>
        <v>0</v>
      </c>
    </row>
    <row r="300" spans="1:70" hidden="1">
      <c r="A300" s="74">
        <v>0</v>
      </c>
      <c r="B300" s="73">
        <v>204990</v>
      </c>
      <c r="C300" s="73" t="s">
        <v>2168</v>
      </c>
      <c r="D300" s="73" t="s">
        <v>1010</v>
      </c>
      <c r="E300" s="73" t="s">
        <v>2169</v>
      </c>
      <c r="F300" s="73">
        <v>18564</v>
      </c>
      <c r="G300" s="73" t="s">
        <v>886</v>
      </c>
      <c r="H300" s="73" t="s">
        <v>919</v>
      </c>
      <c r="I300" s="73" t="s">
        <v>981</v>
      </c>
      <c r="J300" s="73">
        <v>0</v>
      </c>
      <c r="K300" s="73">
        <v>5</v>
      </c>
      <c r="L300" s="73">
        <v>0</v>
      </c>
      <c r="M300" s="73">
        <v>0</v>
      </c>
      <c r="N300" s="73">
        <v>0</v>
      </c>
      <c r="O300" s="73" t="s">
        <v>982</v>
      </c>
      <c r="P300" s="73" t="s">
        <v>2170</v>
      </c>
      <c r="Q300" s="73" t="s">
        <v>2171</v>
      </c>
      <c r="R300" s="73">
        <v>1</v>
      </c>
      <c r="S300" s="73">
        <v>0</v>
      </c>
      <c r="T300" s="73">
        <v>0</v>
      </c>
      <c r="U300" s="73">
        <v>1</v>
      </c>
      <c r="V300" s="73">
        <v>966</v>
      </c>
      <c r="W300" s="73">
        <v>6</v>
      </c>
      <c r="X300" s="73">
        <v>1</v>
      </c>
      <c r="Y300" s="73">
        <v>0</v>
      </c>
      <c r="Z300" s="73" t="s">
        <v>1717</v>
      </c>
      <c r="AA300" s="73" t="s">
        <v>693</v>
      </c>
      <c r="AB300" s="73" t="str">
        <f>IF(AA300&lt;&gt;"",INDEX(Lookup!$N$2:$N$5,MATCH(Players!AA300,Lookup!$P$2:$P$5,0)),INDEX(Lookup!$N$2:$N$5,MATCH(Players!O300,Lookup!$O$2:$O$5,0)))</f>
        <v>Striker</v>
      </c>
      <c r="AC300" s="73">
        <v>3500000</v>
      </c>
      <c r="AD300" s="73" t="s">
        <v>790</v>
      </c>
      <c r="AE300" s="73" t="str">
        <f>INDEX('Translate table'!$H$2:$H$622,MATCH(Players!P300,'Translate table'!$G$2:$G$622,0))</f>
        <v>Marcus Berg</v>
      </c>
      <c r="AF300" s="73">
        <f>IFERROR(INDEX('Euro Qual stats'!$A$1:$L$2071,MATCH(Players!$AE300,'Euro Qual stats'!$A$1:$A$2071,0),MATCH(Players!AF$2,'Euro Qual stats'!$A$1:$L$1,0)),0)</f>
        <v>9</v>
      </c>
      <c r="AG300" s="73">
        <f>IFERROR(INDEX('Euro Qual stats'!$A$1:$L$2071,MATCH(Players!$AE300,'Euro Qual stats'!$A$1:$A$2071,0),MATCH(Players!AG$2,'Euro Qual stats'!$A$1:$L$1,0)),0)</f>
        <v>0.26</v>
      </c>
      <c r="AH300" s="73">
        <f>IFERROR(INDEX('Euro Qual stats'!$A$1:$L$2071,MATCH(Players!$AE300,'Euro Qual stats'!$A$1:$A$2071,0),MATCH(Players!AH$2,'Euro Qual stats'!$A$1:$L$1,0)),0)</f>
        <v>0.26</v>
      </c>
      <c r="AI300" s="73">
        <f>IFERROR(INDEX('Euro Qual stats'!$A$1:$L$2071,MATCH(Players!$AE300,'Euro Qual stats'!$A$1:$A$2071,0),MATCH(Players!AI$2,'Euro Qual stats'!$A$1:$L$1,0)),0)</f>
        <v>0.13</v>
      </c>
      <c r="AJ300" s="93">
        <f>(12-AF300)/12*INDEX(BV$9:BV$12,MATCH($AB300,$BU$9:$BU$12,0))+AF300/12*AG300</f>
        <v>0.2462284482758621</v>
      </c>
      <c r="AK300" s="93">
        <f>(12-AG300)/12*INDEX(BW$9:BW$12,MATCH($AB300,$BU$9:$BU$12,0))+AG300/12*AH300</f>
        <v>0.52794525862068953</v>
      </c>
      <c r="AL300" s="93">
        <f>(12-AH300)/12*INDEX(BX$9:BX$12,MATCH($AB300,$BU$9:$BU$12,0))+AH300/12*AI300</f>
        <v>0.16407298850574717</v>
      </c>
      <c r="AM300" s="93">
        <f>IF($BC300=1,AJ300/SUMIFS(AJ$3:AJ$623,$BC$3:$BC$623,1,$G$3:$G$623,$G300),0)</f>
        <v>0.19294984437469206</v>
      </c>
      <c r="AN300" s="93">
        <f>IF($BC300=1,AK300/SUMIFS(AK$3:AK$623,$BC$3:$BC$623,1,$G$3:$G$623,$G300),0)</f>
        <v>0.24424810212336989</v>
      </c>
      <c r="AO300" s="93">
        <f>IF($BC300=1,AL300/SUMIFS(AL$3:AL$623,$BC$3:$BC$623,1,$G$3:$G$623,$G300),0)</f>
        <v>9.001040947307043E-2</v>
      </c>
      <c r="AP300" s="2">
        <f>IFERROR(R300/$V300*90,"")</f>
        <v>9.3167701863354047E-2</v>
      </c>
      <c r="AQ300" s="2">
        <f>IFERROR(S300/$V300*90,"")</f>
        <v>0</v>
      </c>
      <c r="AR300" s="2">
        <f>IFERROR(W300/$V300*90,"")</f>
        <v>0.55900621118012417</v>
      </c>
      <c r="AS300" s="2">
        <f>IFERROR(X300/$V300*90,"")</f>
        <v>9.3167701863354047E-2</v>
      </c>
      <c r="AT300" s="2">
        <f>IFERROR(Y300/$V300*90,"")</f>
        <v>0</v>
      </c>
      <c r="AU300" s="2">
        <f>IF(AP300="",INDEX(BV$4:BV$7,MATCH(O300,$BU$4:$BU$7,0)),AP300)</f>
        <v>9.3167701863354047E-2</v>
      </c>
      <c r="AV300" s="2">
        <f>IF(AQ300="",INDEX(BW$4:BW$7,MATCH($O300,$BU$4:$BU$7,0)),AQ300)</f>
        <v>0</v>
      </c>
      <c r="AW300" s="2">
        <f t="shared" si="48"/>
        <v>0.55900621118012417</v>
      </c>
      <c r="AX300" s="2">
        <f t="shared" si="49"/>
        <v>9.3167701863354047E-2</v>
      </c>
      <c r="AY300" s="2">
        <f t="shared" si="50"/>
        <v>0</v>
      </c>
      <c r="AZ300" s="2">
        <f>AU300*0.5+AK300*0.5</f>
        <v>0.31055648024202176</v>
      </c>
      <c r="BA300" s="2">
        <f>AV300*0.5+AJ300*0.5</f>
        <v>0.12311422413793105</v>
      </c>
      <c r="BB300" s="2">
        <f t="shared" si="51"/>
        <v>0.11158385093167703</v>
      </c>
      <c r="BC300">
        <f>IF(I300="expected",1,0)</f>
        <v>1</v>
      </c>
      <c r="BD300" s="78">
        <f>IF(BC300=1,AZ300/SUMIFS(AZ$3:AZ$623,$BC$3:$BC$623,1,$G$3:$G$623,$G300),0)</f>
        <v>0.19641275300720776</v>
      </c>
      <c r="BE300" s="78">
        <f>IF(BC300=1,BA300/SUMIFS(BA$3:BA$623,$BC$3:$BC$623,1,$G$3:$G$623,$G300),0)</f>
        <v>0.13706531964169838</v>
      </c>
      <c r="BF300" s="78">
        <f t="shared" si="52"/>
        <v>0.17382016222692762</v>
      </c>
      <c r="BG300" s="2">
        <f t="shared" si="53"/>
        <v>0.11158385093167703</v>
      </c>
      <c r="BH300" s="2">
        <f t="shared" si="54"/>
        <v>0</v>
      </c>
      <c r="BI300" s="2">
        <f t="shared" si="55"/>
        <v>0.19641275300720776</v>
      </c>
      <c r="BJ300" s="2">
        <f t="shared" si="56"/>
        <v>0.13706531964169838</v>
      </c>
      <c r="BK300" s="2">
        <f t="shared" si="57"/>
        <v>0.17382016222692762</v>
      </c>
      <c r="BL300" s="2">
        <f t="shared" si="58"/>
        <v>0.11158385093167703</v>
      </c>
      <c r="BM300" s="2">
        <f t="shared" si="59"/>
        <v>0</v>
      </c>
      <c r="BN300" s="2">
        <f>BI300/SUMIFS(BI$3:BI$623,$BC$3:$BC$623,1,$G$3:$G$623,$G300)</f>
        <v>0.20122724654481688</v>
      </c>
      <c r="BO300" s="2">
        <f>BJ300/SUMIFS(BJ$3:BJ$623,$BC$3:$BC$623,1,$G$3:$G$623,$G300)</f>
        <v>0.13706531964169838</v>
      </c>
      <c r="BP300" s="2">
        <f>BK300/SUMIFS(BK$3:BK$623,$BC$3:$BC$623,1,$G$3:$G$623,$G300)</f>
        <v>0.21680097213714197</v>
      </c>
      <c r="BQ300" s="2">
        <f>BL300</f>
        <v>0.11158385093167703</v>
      </c>
      <c r="BR300" s="2">
        <f>BM300</f>
        <v>0</v>
      </c>
    </row>
    <row r="301" spans="1:70" hidden="1">
      <c r="A301" s="74">
        <v>0</v>
      </c>
      <c r="B301" s="73">
        <v>204813</v>
      </c>
      <c r="C301" s="73" t="s">
        <v>2172</v>
      </c>
      <c r="D301" s="73" t="s">
        <v>2173</v>
      </c>
      <c r="E301" s="73" t="s">
        <v>2174</v>
      </c>
      <c r="F301" s="73">
        <v>18699</v>
      </c>
      <c r="G301" s="73" t="s">
        <v>888</v>
      </c>
      <c r="H301" s="73" t="s">
        <v>941</v>
      </c>
      <c r="I301" s="73" t="s">
        <v>981</v>
      </c>
      <c r="J301" s="73">
        <v>0</v>
      </c>
      <c r="K301" s="73">
        <v>5</v>
      </c>
      <c r="L301" s="73">
        <v>0</v>
      </c>
      <c r="M301" s="73">
        <v>0</v>
      </c>
      <c r="N301" s="73">
        <v>0</v>
      </c>
      <c r="O301" s="73" t="s">
        <v>1290</v>
      </c>
      <c r="P301" s="73" t="s">
        <v>2175</v>
      </c>
      <c r="Q301" s="73" t="s">
        <v>2175</v>
      </c>
      <c r="R301" s="73">
        <v>0</v>
      </c>
      <c r="S301" s="73">
        <v>1</v>
      </c>
      <c r="T301" s="73">
        <v>71</v>
      </c>
      <c r="U301" s="73">
        <v>5</v>
      </c>
      <c r="V301" s="73">
        <v>2678</v>
      </c>
      <c r="W301" s="73">
        <v>0</v>
      </c>
      <c r="X301" s="73">
        <v>0</v>
      </c>
      <c r="Y301" s="73">
        <v>0</v>
      </c>
      <c r="Z301" s="73" t="s">
        <v>1083</v>
      </c>
      <c r="AA301" s="73" t="s">
        <v>690</v>
      </c>
      <c r="AB301" s="73" t="str">
        <f>IF(AA301&lt;&gt;"",INDEX(Lookup!$N$2:$N$5,MATCH(Players!AA301,Lookup!$P$2:$P$5,0)),INDEX(Lookup!$N$2:$N$5,MATCH(Players!O301,Lookup!$O$2:$O$5,0)))</f>
        <v>Goalkeeper</v>
      </c>
      <c r="AC301" s="73">
        <v>4000000</v>
      </c>
      <c r="AD301" s="73" t="s">
        <v>827</v>
      </c>
      <c r="AE301" s="73" t="str">
        <f>INDEX('Translate table'!$H$2:$H$622,MATCH(Players!P301,'Translate table'!$G$2:$G$622,0))</f>
        <v>Wojciech SzczÄ™sny</v>
      </c>
      <c r="AF301" s="73">
        <f>IFERROR(INDEX('Euro Qual stats'!$A$1:$L$2071,MATCH(Players!$AE301,'Euro Qual stats'!$A$1:$A$2071,0),MATCH(Players!AF$2,'Euro Qual stats'!$A$1:$L$1,0)),0)</f>
        <v>6</v>
      </c>
      <c r="AG301" s="73">
        <f>IFERROR(INDEX('Euro Qual stats'!$A$1:$L$2071,MATCH(Players!$AE301,'Euro Qual stats'!$A$1:$A$2071,0),MATCH(Players!AG$2,'Euro Qual stats'!$A$1:$L$1,0)),0)</f>
        <v>0</v>
      </c>
      <c r="AH301" s="73">
        <f>IFERROR(INDEX('Euro Qual stats'!$A$1:$L$2071,MATCH(Players!$AE301,'Euro Qual stats'!$A$1:$A$2071,0),MATCH(Players!AH$2,'Euro Qual stats'!$A$1:$L$1,0)),0)</f>
        <v>0</v>
      </c>
      <c r="AI301" s="73">
        <f>IFERROR(INDEX('Euro Qual stats'!$A$1:$L$2071,MATCH(Players!$AE301,'Euro Qual stats'!$A$1:$A$2071,0),MATCH(Players!AI$2,'Euro Qual stats'!$A$1:$L$1,0)),0)</f>
        <v>0</v>
      </c>
      <c r="AJ301" s="93">
        <f>(12-AF301)/12*INDEX(BV$9:BV$12,MATCH($AB301,$BU$9:$BU$12,0))+AF301/12*AG301</f>
        <v>0</v>
      </c>
      <c r="AK301" s="93">
        <f>(12-AG301)/12*INDEX(BW$9:BW$12,MATCH($AB301,$BU$9:$BU$12,0))+AG301/12*AH301</f>
        <v>0</v>
      </c>
      <c r="AL301" s="93">
        <f>(12-AH301)/12*INDEX(BX$9:BX$12,MATCH($AB301,$BU$9:$BU$12,0))+AH301/12*AI301</f>
        <v>0</v>
      </c>
      <c r="AM301" s="93">
        <f>IF($BC301=1,AJ301/SUMIFS(AJ$3:AJ$623,$BC$3:$BC$623,1,$G$3:$G$623,$G301),0)</f>
        <v>0</v>
      </c>
      <c r="AN301" s="93">
        <f>IF($BC301=1,AK301/SUMIFS(AK$3:AK$623,$BC$3:$BC$623,1,$G$3:$G$623,$G301),0)</f>
        <v>0</v>
      </c>
      <c r="AO301" s="93">
        <f>IF($BC301=1,AL301/SUMIFS(AL$3:AL$623,$BC$3:$BC$623,1,$G$3:$G$623,$G301),0)</f>
        <v>0</v>
      </c>
      <c r="AP301" s="2">
        <f>IFERROR(R301/$V301*90,"")</f>
        <v>0</v>
      </c>
      <c r="AQ301" s="2">
        <f>IFERROR(S301/$V301*90,"")</f>
        <v>3.3607169529499631E-2</v>
      </c>
      <c r="AR301" s="2">
        <f>IFERROR(W301/$V301*90,"")</f>
        <v>0</v>
      </c>
      <c r="AS301" s="2">
        <f>IFERROR(X301/$V301*90,"")</f>
        <v>0</v>
      </c>
      <c r="AT301" s="2">
        <f>IFERROR(Y301/$V301*90,"")</f>
        <v>0</v>
      </c>
      <c r="AU301" s="2">
        <f>IF(AP301="",INDEX(BV$4:BV$7,MATCH(O301,$BU$4:$BU$7,0)),AP301)</f>
        <v>0</v>
      </c>
      <c r="AV301" s="2">
        <f>IF(AQ301="",INDEX(BW$4:BW$7,MATCH($O301,$BU$4:$BU$7,0)),AQ301)</f>
        <v>3.3607169529499631E-2</v>
      </c>
      <c r="AW301" s="2">
        <f t="shared" si="48"/>
        <v>0</v>
      </c>
      <c r="AX301" s="2">
        <f t="shared" si="49"/>
        <v>0</v>
      </c>
      <c r="AY301" s="2">
        <f t="shared" si="50"/>
        <v>0</v>
      </c>
      <c r="AZ301" s="2">
        <f>AU301*0.5+AK301*0.5</f>
        <v>0</v>
      </c>
      <c r="BA301" s="2">
        <f>AV301*0.5+AJ301*0.5</f>
        <v>1.6803584764749815E-2</v>
      </c>
      <c r="BB301" s="2">
        <f t="shared" si="51"/>
        <v>0</v>
      </c>
      <c r="BC301">
        <f>IF(I301="expected",1,0)</f>
        <v>1</v>
      </c>
      <c r="BD301" s="78">
        <f>IF(BC301=1,AZ301/SUMIFS(AZ$3:AZ$623,$BC$3:$BC$623,1,$G$3:$G$623,$G301),0)</f>
        <v>0</v>
      </c>
      <c r="BE301" s="78">
        <f>IF(BC301=1,BA301/SUMIFS(BA$3:BA$623,$BC$3:$BC$623,1,$G$3:$G$623,$G301),0)</f>
        <v>1.4164914925524E-2</v>
      </c>
      <c r="BF301" s="78">
        <f t="shared" si="52"/>
        <v>0</v>
      </c>
      <c r="BG301" s="2">
        <f t="shared" si="53"/>
        <v>0</v>
      </c>
      <c r="BH301" s="2">
        <f t="shared" si="54"/>
        <v>0</v>
      </c>
      <c r="BI301" s="2">
        <f t="shared" si="55"/>
        <v>0</v>
      </c>
      <c r="BJ301" s="2">
        <f t="shared" si="56"/>
        <v>1.4164914925524E-2</v>
      </c>
      <c r="BK301" s="2">
        <f t="shared" si="57"/>
        <v>0</v>
      </c>
      <c r="BL301" s="2">
        <f t="shared" si="58"/>
        <v>0</v>
      </c>
      <c r="BM301" s="2">
        <f t="shared" si="59"/>
        <v>0</v>
      </c>
      <c r="BN301" s="2">
        <f>BI301/SUMIFS(BI$3:BI$623,$BC$3:$BC$623,1,$G$3:$G$623,$G301)</f>
        <v>0</v>
      </c>
      <c r="BO301" s="2">
        <f>BJ301/SUMIFS(BJ$3:BJ$623,$BC$3:$BC$623,1,$G$3:$G$623,$G301)</f>
        <v>1.4164914925524E-2</v>
      </c>
      <c r="BP301" s="2">
        <f>BK301/SUMIFS(BK$3:BK$623,$BC$3:$BC$623,1,$G$3:$G$623,$G301)</f>
        <v>0</v>
      </c>
      <c r="BQ301" s="2">
        <f>BL301</f>
        <v>0</v>
      </c>
      <c r="BR301" s="2">
        <f>BM301</f>
        <v>0</v>
      </c>
    </row>
    <row r="302" spans="1:70" hidden="1">
      <c r="A302" s="74">
        <v>0</v>
      </c>
      <c r="B302" s="73">
        <v>204839</v>
      </c>
      <c r="C302" s="73" t="s">
        <v>2176</v>
      </c>
      <c r="D302" s="73" t="s">
        <v>2177</v>
      </c>
      <c r="E302" s="73" t="s">
        <v>2178</v>
      </c>
      <c r="F302" s="73">
        <v>18699</v>
      </c>
      <c r="G302" s="73" t="s">
        <v>888</v>
      </c>
      <c r="H302" s="73" t="s">
        <v>941</v>
      </c>
      <c r="I302" s="73" t="s">
        <v>981</v>
      </c>
      <c r="J302" s="73">
        <v>0</v>
      </c>
      <c r="K302" s="73">
        <v>5</v>
      </c>
      <c r="L302" s="73">
        <v>0</v>
      </c>
      <c r="M302" s="73">
        <v>0</v>
      </c>
      <c r="N302" s="73">
        <v>0</v>
      </c>
      <c r="O302" s="73" t="s">
        <v>994</v>
      </c>
      <c r="P302" s="73" t="s">
        <v>2179</v>
      </c>
      <c r="Q302" s="73" t="s">
        <v>2179</v>
      </c>
      <c r="R302" s="73">
        <v>8</v>
      </c>
      <c r="S302" s="73">
        <v>10</v>
      </c>
      <c r="T302" s="73">
        <v>0</v>
      </c>
      <c r="U302" s="73">
        <v>0</v>
      </c>
      <c r="V302" s="73">
        <v>2546</v>
      </c>
      <c r="W302" s="73">
        <v>25</v>
      </c>
      <c r="X302" s="73">
        <v>2</v>
      </c>
      <c r="Y302" s="73">
        <v>0</v>
      </c>
      <c r="Z302" s="73" t="s">
        <v>1083</v>
      </c>
      <c r="AA302" s="73" t="s">
        <v>691</v>
      </c>
      <c r="AB302" s="73" t="str">
        <f>IF(AA302&lt;&gt;"",INDEX(Lookup!$N$2:$N$5,MATCH(Players!AA302,Lookup!$P$2:$P$5,0)),INDEX(Lookup!$N$2:$N$5,MATCH(Players!O302,Lookup!$O$2:$O$5,0)))</f>
        <v>Midfield</v>
      </c>
      <c r="AC302" s="73">
        <v>4000000</v>
      </c>
      <c r="AD302" s="73" t="s">
        <v>816</v>
      </c>
      <c r="AE302" s="73" t="str">
        <f>INDEX('Translate table'!$H$2:$H$622,MATCH(Players!P302,'Translate table'!$G$2:$G$622,0))</f>
        <v>Piotr ZieliÅ„ski</v>
      </c>
      <c r="AF302" s="73">
        <f>IFERROR(INDEX('Euro Qual stats'!$A$1:$L$2071,MATCH(Players!$AE302,'Euro Qual stats'!$A$1:$A$2071,0),MATCH(Players!AF$2,'Euro Qual stats'!$A$1:$L$1,0)),0)</f>
        <v>10</v>
      </c>
      <c r="AG302" s="73">
        <f>IFERROR(INDEX('Euro Qual stats'!$A$1:$L$2071,MATCH(Players!$AE302,'Euro Qual stats'!$A$1:$A$2071,0),MATCH(Players!AG$2,'Euro Qual stats'!$A$1:$L$1,0)),0)</f>
        <v>0.1</v>
      </c>
      <c r="AH302" s="73">
        <f>IFERROR(INDEX('Euro Qual stats'!$A$1:$L$2071,MATCH(Players!$AE302,'Euro Qual stats'!$A$1:$A$2071,0),MATCH(Players!AH$2,'Euro Qual stats'!$A$1:$L$1,0)),0)</f>
        <v>0</v>
      </c>
      <c r="AI302" s="73">
        <f>IFERROR(INDEX('Euro Qual stats'!$A$1:$L$2071,MATCH(Players!$AE302,'Euro Qual stats'!$A$1:$A$2071,0),MATCH(Players!AI$2,'Euro Qual stats'!$A$1:$L$1,0)),0)</f>
        <v>0</v>
      </c>
      <c r="AJ302" s="93">
        <f>(12-AF302)/12*INDEX(BV$9:BV$12,MATCH($AB302,$BU$9:$BU$12,0))+AF302/12*AG302</f>
        <v>0.11144851657940663</v>
      </c>
      <c r="AK302" s="93">
        <f>(12-AG302)/12*INDEX(BW$9:BW$12,MATCH($AB302,$BU$9:$BU$12,0))+AG302/12*AH302</f>
        <v>0.22154144851657939</v>
      </c>
      <c r="AL302" s="93">
        <f>(12-AH302)/12*INDEX(BX$9:BX$12,MATCH($AB302,$BU$9:$BU$12,0))+AH302/12*AI302</f>
        <v>0.23942408376963353</v>
      </c>
      <c r="AM302" s="93">
        <f>IF($BC302=1,AJ302/SUMIFS(AJ$3:AJ$623,$BC$3:$BC$623,1,$G$3:$G$623,$G302),0)</f>
        <v>8.1993328964028514E-2</v>
      </c>
      <c r="AN302" s="93">
        <f>IF($BC302=1,AK302/SUMIFS(AK$3:AK$623,$BC$3:$BC$623,1,$G$3:$G$623,$G302),0)</f>
        <v>9.1650415452780909E-2</v>
      </c>
      <c r="AO302" s="93">
        <f>IF($BC302=1,AL302/SUMIFS(AL$3:AL$623,$BC$3:$BC$623,1,$G$3:$G$623,$G302),0)</f>
        <v>0.11787190163415336</v>
      </c>
      <c r="AP302" s="2">
        <f>IFERROR(R302/$V302*90,"")</f>
        <v>0.28279654359780049</v>
      </c>
      <c r="AQ302" s="2">
        <f>IFERROR(S302/$V302*90,"")</f>
        <v>0.35349567949725058</v>
      </c>
      <c r="AR302" s="2">
        <f>IFERROR(W302/$V302*90,"")</f>
        <v>0.88373919874312645</v>
      </c>
      <c r="AS302" s="2">
        <f>IFERROR(X302/$V302*90,"")</f>
        <v>7.0699135899450122E-2</v>
      </c>
      <c r="AT302" s="2">
        <f>IFERROR(Y302/$V302*90,"")</f>
        <v>0</v>
      </c>
      <c r="AU302" s="2">
        <f>IF(AP302="",INDEX(BV$4:BV$7,MATCH(O302,$BU$4:$BU$7,0)),AP302)</f>
        <v>0.28279654359780049</v>
      </c>
      <c r="AV302" s="2">
        <f>IF(AQ302="",INDEX(BW$4:BW$7,MATCH($O302,$BU$4:$BU$7,0)),AQ302)</f>
        <v>0.35349567949725058</v>
      </c>
      <c r="AW302" s="2">
        <f t="shared" si="48"/>
        <v>0.88373919874312645</v>
      </c>
      <c r="AX302" s="2">
        <f t="shared" si="49"/>
        <v>7.0699135899450122E-2</v>
      </c>
      <c r="AY302" s="2">
        <f t="shared" si="50"/>
        <v>0</v>
      </c>
      <c r="AZ302" s="2">
        <f>AU302*0.5+AK302*0.5</f>
        <v>0.25216899605718995</v>
      </c>
      <c r="BA302" s="2">
        <f>AV302*0.5+AJ302*0.5</f>
        <v>0.23247209803832861</v>
      </c>
      <c r="BB302" s="2">
        <f t="shared" si="51"/>
        <v>3.5349567949725061E-2</v>
      </c>
      <c r="BC302">
        <f>IF(I302="expected",1,0)</f>
        <v>1</v>
      </c>
      <c r="BD302" s="78">
        <f>IF(BC302=1,AZ302/SUMIFS(AZ$3:AZ$623,$BC$3:$BC$623,1,$G$3:$G$623,$G302),0)</f>
        <v>9.1459139008493409E-2</v>
      </c>
      <c r="BE302" s="78">
        <f>IF(BC302=1,BA302/SUMIFS(BA$3:BA$623,$BC$3:$BC$623,1,$G$3:$G$623,$G302),0)</f>
        <v>0.19596696403608302</v>
      </c>
      <c r="BF302" s="78">
        <f t="shared" si="52"/>
        <v>0.12032776649590912</v>
      </c>
      <c r="BG302" s="2">
        <f t="shared" si="53"/>
        <v>3.5349567949725061E-2</v>
      </c>
      <c r="BH302" s="2">
        <f t="shared" si="54"/>
        <v>0</v>
      </c>
      <c r="BI302" s="2">
        <f t="shared" si="55"/>
        <v>9.1459139008493409E-2</v>
      </c>
      <c r="BJ302" s="2">
        <f t="shared" si="56"/>
        <v>0.19596696403608302</v>
      </c>
      <c r="BK302" s="2">
        <f t="shared" si="57"/>
        <v>0.12032776649590912</v>
      </c>
      <c r="BL302" s="2">
        <f t="shared" si="58"/>
        <v>3.5349567949725061E-2</v>
      </c>
      <c r="BM302" s="2">
        <f t="shared" si="59"/>
        <v>0</v>
      </c>
      <c r="BN302" s="2">
        <f>BI302/SUMIFS(BI$3:BI$623,$BC$3:$BC$623,1,$G$3:$G$623,$G302)</f>
        <v>9.3219918091984641E-2</v>
      </c>
      <c r="BO302" s="2">
        <f>BJ302/SUMIFS(BJ$3:BJ$623,$BC$3:$BC$623,1,$G$3:$G$623,$G302)</f>
        <v>0.19596696403608302</v>
      </c>
      <c r="BP302" s="2">
        <f>BK302/SUMIFS(BK$3:BK$623,$BC$3:$BC$623,1,$G$3:$G$623,$G302)</f>
        <v>0.12512256807190014</v>
      </c>
      <c r="BQ302" s="2">
        <f>BL302</f>
        <v>3.5349567949725061E-2</v>
      </c>
      <c r="BR302" s="2">
        <f>BM302</f>
        <v>0</v>
      </c>
    </row>
    <row r="303" spans="1:70" hidden="1">
      <c r="A303" s="74">
        <v>0</v>
      </c>
      <c r="B303" s="73">
        <v>213436</v>
      </c>
      <c r="C303" s="73" t="s">
        <v>2180</v>
      </c>
      <c r="D303" s="73" t="s">
        <v>2181</v>
      </c>
      <c r="E303" s="73" t="s">
        <v>2182</v>
      </c>
      <c r="F303" s="73">
        <v>18689</v>
      </c>
      <c r="G303" s="73" t="s">
        <v>894</v>
      </c>
      <c r="H303" s="73" t="s">
        <v>925</v>
      </c>
      <c r="I303" s="73" t="s">
        <v>981</v>
      </c>
      <c r="J303" s="73">
        <v>0</v>
      </c>
      <c r="K303" s="73">
        <v>5</v>
      </c>
      <c r="L303" s="73">
        <v>0</v>
      </c>
      <c r="M303" s="73">
        <v>0</v>
      </c>
      <c r="N303" s="73">
        <v>0</v>
      </c>
      <c r="O303" s="73" t="s">
        <v>994</v>
      </c>
      <c r="P303" s="73" t="s">
        <v>2183</v>
      </c>
      <c r="Q303" s="73" t="s">
        <v>2183</v>
      </c>
      <c r="R303" s="73">
        <v>1</v>
      </c>
      <c r="S303" s="73">
        <v>2</v>
      </c>
      <c r="T303" s="73">
        <v>0</v>
      </c>
      <c r="U303" s="73">
        <v>3</v>
      </c>
      <c r="V303" s="73">
        <v>1685</v>
      </c>
      <c r="W303" s="73">
        <v>13</v>
      </c>
      <c r="X303" s="73">
        <v>4</v>
      </c>
      <c r="Y303" s="73">
        <v>0</v>
      </c>
      <c r="Z303" s="73" t="s">
        <v>2184</v>
      </c>
      <c r="AA303" s="73" t="s">
        <v>691</v>
      </c>
      <c r="AB303" s="73" t="str">
        <f>IF(AA303&lt;&gt;"",INDEX(Lookup!$N$2:$N$5,MATCH(Players!AA303,Lookup!$P$2:$P$5,0)),INDEX(Lookup!$N$2:$N$5,MATCH(Players!O303,Lookup!$O$2:$O$5,0)))</f>
        <v>Midfield</v>
      </c>
      <c r="AC303" s="73">
        <v>2500000</v>
      </c>
      <c r="AD303" s="73" t="s">
        <v>788</v>
      </c>
      <c r="AE303" s="73" t="str">
        <f>INDEX('Translate table'!$H$2:$H$622,MATCH(Players!P303,'Translate table'!$G$2:$G$622,0))</f>
        <v>Enis Bardhi</v>
      </c>
      <c r="AF303" s="73">
        <f>IFERROR(INDEX('Euro Qual stats'!$A$1:$L$2071,MATCH(Players!$AE303,'Euro Qual stats'!$A$1:$A$2071,0),MATCH(Players!AF$2,'Euro Qual stats'!$A$1:$L$1,0)),0)</f>
        <v>9</v>
      </c>
      <c r="AG303" s="73">
        <f>IFERROR(INDEX('Euro Qual stats'!$A$1:$L$2071,MATCH(Players!$AE303,'Euro Qual stats'!$A$1:$A$2071,0),MATCH(Players!AG$2,'Euro Qual stats'!$A$1:$L$1,0)),0)</f>
        <v>0.22</v>
      </c>
      <c r="AH303" s="73">
        <f>IFERROR(INDEX('Euro Qual stats'!$A$1:$L$2071,MATCH(Players!$AE303,'Euro Qual stats'!$A$1:$A$2071,0),MATCH(Players!AH$2,'Euro Qual stats'!$A$1:$L$1,0)),0)</f>
        <v>0.22</v>
      </c>
      <c r="AI303" s="73">
        <f>IFERROR(INDEX('Euro Qual stats'!$A$1:$L$2071,MATCH(Players!$AE303,'Euro Qual stats'!$A$1:$A$2071,0),MATCH(Players!AI$2,'Euro Qual stats'!$A$1:$L$1,0)),0)</f>
        <v>0.34</v>
      </c>
      <c r="AJ303" s="93">
        <f>(12-AF303)/12*INDEX(BV$9:BV$12,MATCH($AB303,$BU$9:$BU$12,0))+AF303/12*AG303</f>
        <v>0.20717277486910995</v>
      </c>
      <c r="AK303" s="93">
        <f>(12-AG303)/12*INDEX(BW$9:BW$12,MATCH($AB303,$BU$9:$BU$12,0))+AG303/12*AH303</f>
        <v>0.22334075043630014</v>
      </c>
      <c r="AL303" s="93">
        <f>(12-AH303)/12*INDEX(BX$9:BX$12,MATCH($AB303,$BU$9:$BU$12,0))+AH303/12*AI303</f>
        <v>0.24126797556719023</v>
      </c>
      <c r="AM303" s="93">
        <f>IF($BC303=1,AJ303/SUMIFS(AJ$3:AJ$623,$BC$3:$BC$623,1,$G$3:$G$623,$G303),0)</f>
        <v>0.23839282191453309</v>
      </c>
      <c r="AN303" s="93">
        <f>IF($BC303=1,AK303/SUMIFS(AK$3:AK$623,$BC$3:$BC$623,1,$G$3:$G$623,$G303),0)</f>
        <v>0.10408427106780289</v>
      </c>
      <c r="AO303" s="93">
        <f>IF($BC303=1,AL303/SUMIFS(AL$3:AL$623,$BC$3:$BC$623,1,$G$3:$G$623,$G303),0)</f>
        <v>0.13260642916402973</v>
      </c>
      <c r="AP303" s="2">
        <f>IFERROR(R303/$V303*90,"")</f>
        <v>5.3412462908011868E-2</v>
      </c>
      <c r="AQ303" s="2">
        <f>IFERROR(S303/$V303*90,"")</f>
        <v>0.10682492581602374</v>
      </c>
      <c r="AR303" s="2">
        <f>IFERROR(W303/$V303*90,"")</f>
        <v>0.6943620178041543</v>
      </c>
      <c r="AS303" s="2">
        <f>IFERROR(X303/$V303*90,"")</f>
        <v>0.21364985163204747</v>
      </c>
      <c r="AT303" s="2">
        <f>IFERROR(Y303/$V303*90,"")</f>
        <v>0</v>
      </c>
      <c r="AU303" s="2">
        <f>IF(AP303="",INDEX(BV$4:BV$7,MATCH(O303,$BU$4:$BU$7,0)),AP303)</f>
        <v>5.3412462908011868E-2</v>
      </c>
      <c r="AV303" s="2">
        <f>IF(AQ303="",INDEX(BW$4:BW$7,MATCH($O303,$BU$4:$BU$7,0)),AQ303)</f>
        <v>0.10682492581602374</v>
      </c>
      <c r="AW303" s="2">
        <f t="shared" si="48"/>
        <v>0.6943620178041543</v>
      </c>
      <c r="AX303" s="2">
        <f t="shared" si="49"/>
        <v>0.21364985163204747</v>
      </c>
      <c r="AY303" s="2">
        <f t="shared" si="50"/>
        <v>0</v>
      </c>
      <c r="AZ303" s="2">
        <f>AU303*0.5+AK303*0.5</f>
        <v>0.13837660667215601</v>
      </c>
      <c r="BA303" s="2">
        <f>AV303*0.5+AJ303*0.5</f>
        <v>0.15699885034256683</v>
      </c>
      <c r="BB303" s="2">
        <f t="shared" si="51"/>
        <v>0.27682492581602375</v>
      </c>
      <c r="BC303">
        <f>IF(I303="expected",1,0)</f>
        <v>1</v>
      </c>
      <c r="BD303" s="78">
        <f>IF(BC303=1,AZ303/SUMIFS(AZ$3:AZ$623,$BC$3:$BC$623,1,$G$3:$G$623,$G303),0)</f>
        <v>8.5820088901515865E-2</v>
      </c>
      <c r="BE303" s="78">
        <f>IF(BC303=1,BA303/SUMIFS(BA$3:BA$623,$BC$3:$BC$623,1,$G$3:$G$623,$G303),0)</f>
        <v>0.19389638766727488</v>
      </c>
      <c r="BF303" s="78">
        <f t="shared" si="52"/>
        <v>0.21090795112208008</v>
      </c>
      <c r="BG303" s="2">
        <f t="shared" si="53"/>
        <v>0.27682492581602375</v>
      </c>
      <c r="BH303" s="2">
        <f t="shared" si="54"/>
        <v>0</v>
      </c>
      <c r="BI303" s="2">
        <f t="shared" si="55"/>
        <v>8.5820088901515865E-2</v>
      </c>
      <c r="BJ303" s="2">
        <f t="shared" si="56"/>
        <v>0.19389638766727488</v>
      </c>
      <c r="BK303" s="2">
        <f t="shared" si="57"/>
        <v>0.21090795112208008</v>
      </c>
      <c r="BL303" s="2">
        <f t="shared" si="58"/>
        <v>0.27682492581602375</v>
      </c>
      <c r="BM303" s="2">
        <f t="shared" si="59"/>
        <v>0</v>
      </c>
      <c r="BN303" s="2">
        <f>BI303/SUMIFS(BI$3:BI$623,$BC$3:$BC$623,1,$G$3:$G$623,$G303)</f>
        <v>8.5820088901515865E-2</v>
      </c>
      <c r="BO303" s="2">
        <f>BJ303/SUMIFS(BJ$3:BJ$623,$BC$3:$BC$623,1,$G$3:$G$623,$G303)</f>
        <v>0.19389638766727482</v>
      </c>
      <c r="BP303" s="2">
        <f>BK303/SUMIFS(BK$3:BK$623,$BC$3:$BC$623,1,$G$3:$G$623,$G303)</f>
        <v>0.21090795112208011</v>
      </c>
      <c r="BQ303" s="2">
        <f>BL303</f>
        <v>0.27682492581602375</v>
      </c>
      <c r="BR303" s="2">
        <f>BM303</f>
        <v>0</v>
      </c>
    </row>
    <row r="304" spans="1:70" hidden="1">
      <c r="A304" s="74">
        <v>0</v>
      </c>
      <c r="B304" s="73">
        <v>204887</v>
      </c>
      <c r="C304" s="73" t="s">
        <v>2185</v>
      </c>
      <c r="D304" s="73" t="s">
        <v>2186</v>
      </c>
      <c r="E304" s="73" t="s">
        <v>2187</v>
      </c>
      <c r="F304" s="73">
        <v>18689</v>
      </c>
      <c r="G304" s="73" t="s">
        <v>894</v>
      </c>
      <c r="H304" s="73" t="s">
        <v>925</v>
      </c>
      <c r="I304" s="73" t="s">
        <v>981</v>
      </c>
      <c r="J304" s="73">
        <v>0</v>
      </c>
      <c r="K304" s="73">
        <v>5</v>
      </c>
      <c r="L304" s="73">
        <v>0</v>
      </c>
      <c r="M304" s="73">
        <v>0</v>
      </c>
      <c r="N304" s="73">
        <v>0</v>
      </c>
      <c r="O304" s="73" t="s">
        <v>994</v>
      </c>
      <c r="P304" s="73" t="s">
        <v>2188</v>
      </c>
      <c r="Q304" s="73" t="s">
        <v>2189</v>
      </c>
      <c r="R304" s="73">
        <v>2</v>
      </c>
      <c r="S304" s="73">
        <v>1</v>
      </c>
      <c r="T304" s="73">
        <v>0</v>
      </c>
      <c r="U304" s="73">
        <v>0</v>
      </c>
      <c r="V304" s="73">
        <v>715</v>
      </c>
      <c r="W304" s="73">
        <v>6</v>
      </c>
      <c r="X304" s="73">
        <v>2</v>
      </c>
      <c r="Y304" s="73">
        <v>0</v>
      </c>
      <c r="Z304" s="73" t="s">
        <v>2184</v>
      </c>
      <c r="AA304" s="73" t="s">
        <v>691</v>
      </c>
      <c r="AB304" s="73" t="str">
        <f>IF(AA304&lt;&gt;"",INDEX(Lookup!$N$2:$N$5,MATCH(Players!AA304,Lookup!$P$2:$P$5,0)),INDEX(Lookup!$N$2:$N$5,MATCH(Players!O304,Lookup!$O$2:$O$5,0)))</f>
        <v>Midfield</v>
      </c>
      <c r="AC304" s="73">
        <v>2500000</v>
      </c>
      <c r="AD304" s="73" t="s">
        <v>798</v>
      </c>
      <c r="AE304" s="73" t="str">
        <f>INDEX('Translate table'!$H$2:$H$622,MATCH(Players!P304,'Translate table'!$G$2:$G$622,0))</f>
        <v>Eljif Elmas</v>
      </c>
      <c r="AF304" s="73">
        <f>IFERROR(INDEX('Euro Qual stats'!$A$1:$L$2071,MATCH(Players!$AE304,'Euro Qual stats'!$A$1:$A$2071,0),MATCH(Players!AF$2,'Euro Qual stats'!$A$1:$L$1,0)),0)</f>
        <v>11</v>
      </c>
      <c r="AG304" s="73">
        <f>IFERROR(INDEX('Euro Qual stats'!$A$1:$L$2071,MATCH(Players!$AE304,'Euro Qual stats'!$A$1:$A$2071,0),MATCH(Players!AG$2,'Euro Qual stats'!$A$1:$L$1,0)),0)</f>
        <v>0.1</v>
      </c>
      <c r="AH304" s="73">
        <f>IFERROR(INDEX('Euro Qual stats'!$A$1:$L$2071,MATCH(Players!$AE304,'Euro Qual stats'!$A$1:$A$2071,0),MATCH(Players!AH$2,'Euro Qual stats'!$A$1:$L$1,0)),0)</f>
        <v>0.39</v>
      </c>
      <c r="AI304" s="73">
        <f>IFERROR(INDEX('Euro Qual stats'!$A$1:$L$2071,MATCH(Players!$AE304,'Euro Qual stats'!$A$1:$A$2071,0),MATCH(Players!AI$2,'Euro Qual stats'!$A$1:$L$1,0)),0)</f>
        <v>0.1</v>
      </c>
      <c r="AJ304" s="93">
        <f>(12-AF304)/12*INDEX(BV$9:BV$12,MATCH($AB304,$BU$9:$BU$12,0))+AF304/12*AG304</f>
        <v>0.10572425828970332</v>
      </c>
      <c r="AK304" s="93">
        <f>(12-AG304)/12*INDEX(BW$9:BW$12,MATCH($AB304,$BU$9:$BU$12,0))+AG304/12*AH304</f>
        <v>0.2247914485165794</v>
      </c>
      <c r="AL304" s="93">
        <f>(12-AH304)/12*INDEX(BX$9:BX$12,MATCH($AB304,$BU$9:$BU$12,0))+AH304/12*AI304</f>
        <v>0.23489280104712043</v>
      </c>
      <c r="AM304" s="93">
        <f>IF($BC304=1,AJ304/SUMIFS(AJ$3:AJ$623,$BC$3:$BC$623,1,$G$3:$G$623,$G304),0)</f>
        <v>0.12165644976482533</v>
      </c>
      <c r="AN304" s="93">
        <f>IF($BC304=1,AK304/SUMIFS(AK$3:AK$623,$BC$3:$BC$623,1,$G$3:$G$623,$G304),0)</f>
        <v>0.10476034496802199</v>
      </c>
      <c r="AO304" s="93">
        <f>IF($BC304=1,AL304/SUMIFS(AL$3:AL$623,$BC$3:$BC$623,1,$G$3:$G$623,$G304),0)</f>
        <v>0.12910248660216853</v>
      </c>
      <c r="AP304" s="2">
        <f>IFERROR(R304/$V304*90,"")</f>
        <v>0.25174825174825177</v>
      </c>
      <c r="AQ304" s="2">
        <f>IFERROR(S304/$V304*90,"")</f>
        <v>0.12587412587412589</v>
      </c>
      <c r="AR304" s="2">
        <f>IFERROR(W304/$V304*90,"")</f>
        <v>0.75524475524475521</v>
      </c>
      <c r="AS304" s="2">
        <f>IFERROR(X304/$V304*90,"")</f>
        <v>0.25174825174825177</v>
      </c>
      <c r="AT304" s="2">
        <f>IFERROR(Y304/$V304*90,"")</f>
        <v>0</v>
      </c>
      <c r="AU304" s="2">
        <f>IF(AP304="",INDEX(BV$4:BV$7,MATCH(O304,$BU$4:$BU$7,0)),AP304)</f>
        <v>0.25174825174825177</v>
      </c>
      <c r="AV304" s="2">
        <f>IF(AQ304="",INDEX(BW$4:BW$7,MATCH($O304,$BU$4:$BU$7,0)),AQ304)</f>
        <v>0.12587412587412589</v>
      </c>
      <c r="AW304" s="2">
        <f t="shared" si="48"/>
        <v>0.75524475524475521</v>
      </c>
      <c r="AX304" s="2">
        <f t="shared" si="49"/>
        <v>0.25174825174825177</v>
      </c>
      <c r="AY304" s="2">
        <f t="shared" si="50"/>
        <v>0</v>
      </c>
      <c r="AZ304" s="2">
        <f>AU304*0.5+AK304*0.5</f>
        <v>0.23826985013241558</v>
      </c>
      <c r="BA304" s="2">
        <f>AV304*0.5+AJ304*0.5</f>
        <v>0.11579919208191461</v>
      </c>
      <c r="BB304" s="2">
        <f t="shared" si="51"/>
        <v>0.17587412587412588</v>
      </c>
      <c r="BC304">
        <f>IF(I304="expected",1,0)</f>
        <v>1</v>
      </c>
      <c r="BD304" s="78">
        <f>IF(BC304=1,AZ304/SUMIFS(AZ$3:AZ$623,$BC$3:$BC$623,1,$G$3:$G$623,$G304),0)</f>
        <v>0.14777309700447627</v>
      </c>
      <c r="BE304" s="78">
        <f>IF(BC304=1,BA304/SUMIFS(BA$3:BA$623,$BC$3:$BC$623,1,$G$3:$G$623,$G304),0)</f>
        <v>0.14301407297238333</v>
      </c>
      <c r="BF304" s="78">
        <f t="shared" si="52"/>
        <v>0.22940068701928235</v>
      </c>
      <c r="BG304" s="2">
        <f t="shared" si="53"/>
        <v>0.17587412587412588</v>
      </c>
      <c r="BH304" s="2">
        <f t="shared" si="54"/>
        <v>0</v>
      </c>
      <c r="BI304" s="2">
        <f t="shared" si="55"/>
        <v>0.14777309700447627</v>
      </c>
      <c r="BJ304" s="2">
        <f t="shared" si="56"/>
        <v>0.14301407297238333</v>
      </c>
      <c r="BK304" s="2">
        <f t="shared" si="57"/>
        <v>0.22940068701928235</v>
      </c>
      <c r="BL304" s="2">
        <f t="shared" si="58"/>
        <v>0.17587412587412588</v>
      </c>
      <c r="BM304" s="2">
        <f t="shared" si="59"/>
        <v>0</v>
      </c>
      <c r="BN304" s="2">
        <f>BI304/SUMIFS(BI$3:BI$623,$BC$3:$BC$623,1,$G$3:$G$623,$G304)</f>
        <v>0.14777309700447627</v>
      </c>
      <c r="BO304" s="2">
        <f>BJ304/SUMIFS(BJ$3:BJ$623,$BC$3:$BC$623,1,$G$3:$G$623,$G304)</f>
        <v>0.1430140729723833</v>
      </c>
      <c r="BP304" s="2">
        <f>BK304/SUMIFS(BK$3:BK$623,$BC$3:$BC$623,1,$G$3:$G$623,$G304)</f>
        <v>0.22940068701928237</v>
      </c>
      <c r="BQ304" s="2">
        <f>BL304</f>
        <v>0.17587412587412588</v>
      </c>
      <c r="BR304" s="2">
        <f>BM304</f>
        <v>0</v>
      </c>
    </row>
    <row r="305" spans="1:70" hidden="1">
      <c r="A305" s="74">
        <v>0</v>
      </c>
      <c r="B305" s="73">
        <v>204892</v>
      </c>
      <c r="C305" s="73" t="s">
        <v>2190</v>
      </c>
      <c r="D305" s="73" t="s">
        <v>1135</v>
      </c>
      <c r="E305" s="73" t="s">
        <v>2191</v>
      </c>
      <c r="F305" s="73">
        <v>18689</v>
      </c>
      <c r="G305" s="73" t="s">
        <v>894</v>
      </c>
      <c r="H305" s="73" t="s">
        <v>925</v>
      </c>
      <c r="I305" s="73" t="s">
        <v>1012</v>
      </c>
      <c r="J305" s="73">
        <v>0</v>
      </c>
      <c r="K305" s="73">
        <v>5</v>
      </c>
      <c r="L305" s="73">
        <v>0</v>
      </c>
      <c r="M305" s="73">
        <v>0</v>
      </c>
      <c r="N305" s="73">
        <v>0</v>
      </c>
      <c r="O305" s="73" t="s">
        <v>982</v>
      </c>
      <c r="P305" s="73" t="s">
        <v>2192</v>
      </c>
      <c r="Q305" s="73" t="s">
        <v>1138</v>
      </c>
      <c r="R305" s="73">
        <v>4</v>
      </c>
      <c r="S305" s="73">
        <v>4</v>
      </c>
      <c r="T305" s="73">
        <v>0</v>
      </c>
      <c r="U305" s="73">
        <v>1</v>
      </c>
      <c r="V305" s="73">
        <v>1800</v>
      </c>
      <c r="W305" s="73">
        <v>10</v>
      </c>
      <c r="X305" s="73">
        <v>3</v>
      </c>
      <c r="Y305" s="73">
        <v>0</v>
      </c>
      <c r="Z305" s="73" t="s">
        <v>2184</v>
      </c>
      <c r="AA305" s="73" t="s">
        <v>693</v>
      </c>
      <c r="AB305" s="73" t="str">
        <f>IF(AA305&lt;&gt;"",INDEX(Lookup!$N$2:$N$5,MATCH(Players!AA305,Lookup!$P$2:$P$5,0)),INDEX(Lookup!$N$2:$N$5,MATCH(Players!O305,Lookup!$O$2:$O$5,0)))</f>
        <v>Striker</v>
      </c>
      <c r="AC305" s="73">
        <v>2000000</v>
      </c>
      <c r="AD305" s="73" t="s">
        <v>788</v>
      </c>
      <c r="AE305" s="73" t="str">
        <f>INDEX('Translate table'!$H$2:$H$622,MATCH(Players!P305,'Translate table'!$G$2:$G$622,0))</f>
        <v>Ivan Trichkovski</v>
      </c>
      <c r="AF305" s="73">
        <f>IFERROR(INDEX('Euro Qual stats'!$A$1:$L$2071,MATCH(Players!$AE305,'Euro Qual stats'!$A$1:$A$2071,0),MATCH(Players!AF$2,'Euro Qual stats'!$A$1:$L$1,0)),0)</f>
        <v>4</v>
      </c>
      <c r="AG305" s="73">
        <f>IFERROR(INDEX('Euro Qual stats'!$A$1:$L$2071,MATCH(Players!$AE305,'Euro Qual stats'!$A$1:$A$2071,0),MATCH(Players!AG$2,'Euro Qual stats'!$A$1:$L$1,0)),0)</f>
        <v>0</v>
      </c>
      <c r="AH305" s="73">
        <f>IFERROR(INDEX('Euro Qual stats'!$A$1:$L$2071,MATCH(Players!$AE305,'Euro Qual stats'!$A$1:$A$2071,0),MATCH(Players!AH$2,'Euro Qual stats'!$A$1:$L$1,0)),0)</f>
        <v>0</v>
      </c>
      <c r="AI305" s="73">
        <f>IFERROR(INDEX('Euro Qual stats'!$A$1:$L$2071,MATCH(Players!$AE305,'Euro Qual stats'!$A$1:$A$2071,0),MATCH(Players!AI$2,'Euro Qual stats'!$A$1:$L$1,0)),0)</f>
        <v>0</v>
      </c>
      <c r="AJ305" s="93">
        <f>(12-AF305)/12*INDEX(BV$9:BV$12,MATCH($AB305,$BU$9:$BU$12,0))+AF305/12*AG305</f>
        <v>0.13660919540229888</v>
      </c>
      <c r="AK305" s="93">
        <f>(12-AG305)/12*INDEX(BW$9:BW$12,MATCH($AB305,$BU$9:$BU$12,0))+AG305/12*AH305</f>
        <v>0.53387931034482738</v>
      </c>
      <c r="AL305" s="93">
        <f>(12-AH305)/12*INDEX(BX$9:BX$12,MATCH($AB305,$BU$9:$BU$12,0))+AH305/12*AI305</f>
        <v>0.16482758620689658</v>
      </c>
      <c r="AM305" s="93">
        <f>IF($BC305=1,AJ305/SUMIFS(AJ$3:AJ$623,$BC$3:$BC$623,1,$G$3:$G$623,$G305),0)</f>
        <v>0</v>
      </c>
      <c r="AN305" s="93">
        <f>IF($BC305=1,AK305/SUMIFS(AK$3:AK$623,$BC$3:$BC$623,1,$G$3:$G$623,$G305),0)</f>
        <v>0</v>
      </c>
      <c r="AO305" s="93">
        <f>IF($BC305=1,AL305/SUMIFS(AL$3:AL$623,$BC$3:$BC$623,1,$G$3:$G$623,$G305),0)</f>
        <v>0</v>
      </c>
      <c r="AP305" s="2">
        <f>IFERROR(R305/$V305*90,"")</f>
        <v>0.2</v>
      </c>
      <c r="AQ305" s="2">
        <f>IFERROR(S305/$V305*90,"")</f>
        <v>0.2</v>
      </c>
      <c r="AR305" s="2">
        <f>IFERROR(W305/$V305*90,"")</f>
        <v>0.5</v>
      </c>
      <c r="AS305" s="2">
        <f>IFERROR(X305/$V305*90,"")</f>
        <v>0.15000000000000002</v>
      </c>
      <c r="AT305" s="2">
        <f>IFERROR(Y305/$V305*90,"")</f>
        <v>0</v>
      </c>
      <c r="AU305" s="2">
        <f>IF(AP305="",INDEX(BV$4:BV$7,MATCH(O305,$BU$4:$BU$7,0)),AP305)</f>
        <v>0.2</v>
      </c>
      <c r="AV305" s="2">
        <f>IF(AQ305="",INDEX(BW$4:BW$7,MATCH($O305,$BU$4:$BU$7,0)),AQ305)</f>
        <v>0.2</v>
      </c>
      <c r="AW305" s="2">
        <f t="shared" si="48"/>
        <v>0.5</v>
      </c>
      <c r="AX305" s="2">
        <f t="shared" si="49"/>
        <v>0.15000000000000002</v>
      </c>
      <c r="AY305" s="2">
        <f t="shared" si="50"/>
        <v>0</v>
      </c>
      <c r="AZ305" s="2">
        <f>AU305*0.5+AK305*0.5</f>
        <v>0.36693965517241367</v>
      </c>
      <c r="BA305" s="2">
        <f>AV305*0.5+AJ305*0.5</f>
        <v>0.16830459770114944</v>
      </c>
      <c r="BB305" s="2">
        <f t="shared" si="51"/>
        <v>7.5000000000000011E-2</v>
      </c>
      <c r="BC305">
        <f>IF(I305="expected",1,0)</f>
        <v>0</v>
      </c>
      <c r="BD305" s="78">
        <f>IF(BC305=1,AZ305/SUMIFS(AZ$3:AZ$623,$BC$3:$BC$623,1,$G$3:$G$623,$G305),0)</f>
        <v>0</v>
      </c>
      <c r="BE305" s="78">
        <f>IF(BC305=1,BA305/SUMIFS(BA$3:BA$623,$BC$3:$BC$623,1,$G$3:$G$623,$G305),0)</f>
        <v>0</v>
      </c>
      <c r="BF305" s="78">
        <f t="shared" si="52"/>
        <v>0</v>
      </c>
      <c r="BG305" s="2">
        <f t="shared" si="53"/>
        <v>7.5000000000000011E-2</v>
      </c>
      <c r="BH305" s="2">
        <f t="shared" si="54"/>
        <v>0</v>
      </c>
      <c r="BI305" s="2">
        <f t="shared" si="55"/>
        <v>0</v>
      </c>
      <c r="BJ305" s="2">
        <f t="shared" si="56"/>
        <v>0</v>
      </c>
      <c r="BK305" s="2">
        <f t="shared" si="57"/>
        <v>0</v>
      </c>
      <c r="BL305" s="2">
        <f t="shared" si="58"/>
        <v>7.5000000000000011E-2</v>
      </c>
      <c r="BM305" s="2">
        <f t="shared" si="59"/>
        <v>0</v>
      </c>
      <c r="BN305" s="2">
        <f>BI305/SUMIFS(BI$3:BI$623,$BC$3:$BC$623,1,$G$3:$G$623,$G305)</f>
        <v>0</v>
      </c>
      <c r="BO305" s="2">
        <f>BJ305/SUMIFS(BJ$3:BJ$623,$BC$3:$BC$623,1,$G$3:$G$623,$G305)</f>
        <v>0</v>
      </c>
      <c r="BP305" s="2">
        <f>BK305/SUMIFS(BK$3:BK$623,$BC$3:$BC$623,1,$G$3:$G$623,$G305)</f>
        <v>0</v>
      </c>
      <c r="BQ305" s="2">
        <f>BL305</f>
        <v>7.5000000000000011E-2</v>
      </c>
      <c r="BR305" s="2">
        <f>BM305</f>
        <v>0</v>
      </c>
    </row>
    <row r="306" spans="1:70" hidden="1">
      <c r="A306" s="74">
        <v>0</v>
      </c>
      <c r="B306" s="73">
        <v>204719</v>
      </c>
      <c r="C306" s="73" t="s">
        <v>2193</v>
      </c>
      <c r="D306" s="73" t="s">
        <v>2194</v>
      </c>
      <c r="E306" s="73" t="s">
        <v>2195</v>
      </c>
      <c r="F306" s="73">
        <v>18708</v>
      </c>
      <c r="G306" s="73" t="s">
        <v>866</v>
      </c>
      <c r="H306" s="73" t="s">
        <v>923</v>
      </c>
      <c r="I306" s="73" t="s">
        <v>981</v>
      </c>
      <c r="J306" s="73">
        <v>0</v>
      </c>
      <c r="K306" s="73">
        <v>5</v>
      </c>
      <c r="L306" s="73">
        <v>0</v>
      </c>
      <c r="M306" s="73">
        <v>0</v>
      </c>
      <c r="N306" s="73">
        <v>0</v>
      </c>
      <c r="O306" s="73" t="s">
        <v>1290</v>
      </c>
      <c r="P306" s="73" t="s">
        <v>2196</v>
      </c>
      <c r="Q306" s="73" t="s">
        <v>2196</v>
      </c>
      <c r="R306" s="73">
        <v>0</v>
      </c>
      <c r="S306" s="73">
        <v>0</v>
      </c>
      <c r="T306" s="73">
        <v>83</v>
      </c>
      <c r="U306" s="73">
        <v>6</v>
      </c>
      <c r="V306" s="73">
        <v>2713</v>
      </c>
      <c r="W306" s="73">
        <v>0</v>
      </c>
      <c r="X306" s="73">
        <v>1</v>
      </c>
      <c r="Y306" s="73">
        <v>1</v>
      </c>
      <c r="Z306" s="73" t="s">
        <v>1342</v>
      </c>
      <c r="AA306" s="73" t="s">
        <v>690</v>
      </c>
      <c r="AB306" s="73" t="str">
        <f>IF(AA306&lt;&gt;"",INDEX(Lookup!$N$2:$N$5,MATCH(Players!AA306,Lookup!$P$2:$P$5,0)),INDEX(Lookup!$N$2:$N$5,MATCH(Players!O306,Lookup!$O$2:$O$5,0)))</f>
        <v>Goalkeeper</v>
      </c>
      <c r="AC306" s="73">
        <v>4000000</v>
      </c>
      <c r="AD306" s="73" t="s">
        <v>810</v>
      </c>
      <c r="AE306" s="73" t="str">
        <f>INDEX('Translate table'!$H$2:$H$622,MATCH(Players!P306,'Translate table'!$G$2:$G$622,0))</f>
        <v>Yann Sommer</v>
      </c>
      <c r="AF306" s="73">
        <f>IFERROR(INDEX('Euro Qual stats'!$A$1:$L$2071,MATCH(Players!$AE306,'Euro Qual stats'!$A$1:$A$2071,0),MATCH(Players!AF$2,'Euro Qual stats'!$A$1:$L$1,0)),0)</f>
        <v>8</v>
      </c>
      <c r="AG306" s="73">
        <f>IFERROR(INDEX('Euro Qual stats'!$A$1:$L$2071,MATCH(Players!$AE306,'Euro Qual stats'!$A$1:$A$2071,0),MATCH(Players!AG$2,'Euro Qual stats'!$A$1:$L$1,0)),0)</f>
        <v>0</v>
      </c>
      <c r="AH306" s="73">
        <f>IFERROR(INDEX('Euro Qual stats'!$A$1:$L$2071,MATCH(Players!$AE306,'Euro Qual stats'!$A$1:$A$2071,0),MATCH(Players!AH$2,'Euro Qual stats'!$A$1:$L$1,0)),0)</f>
        <v>0</v>
      </c>
      <c r="AI306" s="73">
        <f>IFERROR(INDEX('Euro Qual stats'!$A$1:$L$2071,MATCH(Players!$AE306,'Euro Qual stats'!$A$1:$A$2071,0),MATCH(Players!AI$2,'Euro Qual stats'!$A$1:$L$1,0)),0)</f>
        <v>0</v>
      </c>
      <c r="AJ306" s="93">
        <f>(12-AF306)/12*INDEX(BV$9:BV$12,MATCH($AB306,$BU$9:$BU$12,0))+AF306/12*AG306</f>
        <v>0</v>
      </c>
      <c r="AK306" s="93">
        <f>(12-AG306)/12*INDEX(BW$9:BW$12,MATCH($AB306,$BU$9:$BU$12,0))+AG306/12*AH306</f>
        <v>0</v>
      </c>
      <c r="AL306" s="93">
        <f>(12-AH306)/12*INDEX(BX$9:BX$12,MATCH($AB306,$BU$9:$BU$12,0))+AH306/12*AI306</f>
        <v>0</v>
      </c>
      <c r="AM306" s="93">
        <f>IF($BC306=1,AJ306/SUMIFS(AJ$3:AJ$623,$BC$3:$BC$623,1,$G$3:$G$623,$G306),0)</f>
        <v>0</v>
      </c>
      <c r="AN306" s="93">
        <f>IF($BC306=1,AK306/SUMIFS(AK$3:AK$623,$BC$3:$BC$623,1,$G$3:$G$623,$G306),0)</f>
        <v>0</v>
      </c>
      <c r="AO306" s="93">
        <f>IF($BC306=1,AL306/SUMIFS(AL$3:AL$623,$BC$3:$BC$623,1,$G$3:$G$623,$G306),0)</f>
        <v>0</v>
      </c>
      <c r="AP306" s="2">
        <f>IFERROR(R306/$V306*90,"")</f>
        <v>0</v>
      </c>
      <c r="AQ306" s="2">
        <f>IFERROR(S306/$V306*90,"")</f>
        <v>0</v>
      </c>
      <c r="AR306" s="2">
        <f>IFERROR(W306/$V306*90,"")</f>
        <v>0</v>
      </c>
      <c r="AS306" s="2">
        <f>IFERROR(X306/$V306*90,"")</f>
        <v>3.3173608551419091E-2</v>
      </c>
      <c r="AT306" s="2">
        <f>IFERROR(Y306/$V306*90,"")</f>
        <v>3.3173608551419091E-2</v>
      </c>
      <c r="AU306" s="2">
        <f>IF(AP306="",INDEX(BV$4:BV$7,MATCH(O306,$BU$4:$BU$7,0)),AP306)</f>
        <v>0</v>
      </c>
      <c r="AV306" s="2">
        <f>IF(AQ306="",INDEX(BW$4:BW$7,MATCH($O306,$BU$4:$BU$7,0)),AQ306)</f>
        <v>0</v>
      </c>
      <c r="AW306" s="2">
        <f t="shared" si="48"/>
        <v>0</v>
      </c>
      <c r="AX306" s="2">
        <f t="shared" si="49"/>
        <v>3.3173608551419091E-2</v>
      </c>
      <c r="AY306" s="2">
        <f t="shared" si="50"/>
        <v>3.3173608551419091E-2</v>
      </c>
      <c r="AZ306" s="2">
        <f>AU306*0.5+AK306*0.5</f>
        <v>0</v>
      </c>
      <c r="BA306" s="2">
        <f>AV306*0.5+AJ306*0.5</f>
        <v>0</v>
      </c>
      <c r="BB306" s="2">
        <f t="shared" si="51"/>
        <v>1.6586804275709546E-2</v>
      </c>
      <c r="BC306">
        <f>IF(I306="expected",1,0)</f>
        <v>1</v>
      </c>
      <c r="BD306" s="78">
        <f>IF(BC306=1,AZ306/SUMIFS(AZ$3:AZ$623,$BC$3:$BC$623,1,$G$3:$G$623,$G306),0)</f>
        <v>0</v>
      </c>
      <c r="BE306" s="78">
        <f>IF(BC306=1,BA306/SUMIFS(BA$3:BA$623,$BC$3:$BC$623,1,$G$3:$G$623,$G306),0)</f>
        <v>0</v>
      </c>
      <c r="BF306" s="78">
        <f t="shared" si="52"/>
        <v>0</v>
      </c>
      <c r="BG306" s="2">
        <f t="shared" si="53"/>
        <v>1.6586804275709546E-2</v>
      </c>
      <c r="BH306" s="2">
        <f t="shared" si="54"/>
        <v>3.3173608551419091E-2</v>
      </c>
      <c r="BI306" s="2">
        <f t="shared" si="55"/>
        <v>0</v>
      </c>
      <c r="BJ306" s="2">
        <f t="shared" si="56"/>
        <v>0</v>
      </c>
      <c r="BK306" s="2">
        <f t="shared" si="57"/>
        <v>0</v>
      </c>
      <c r="BL306" s="2">
        <f t="shared" si="58"/>
        <v>1.6586804275709546E-2</v>
      </c>
      <c r="BM306" s="2">
        <f t="shared" si="59"/>
        <v>3.3173608551419091E-2</v>
      </c>
      <c r="BN306" s="2">
        <f>BI306/SUMIFS(BI$3:BI$623,$BC$3:$BC$623,1,$G$3:$G$623,$G306)</f>
        <v>0</v>
      </c>
      <c r="BO306" s="2">
        <f>BJ306/SUMIFS(BJ$3:BJ$623,$BC$3:$BC$623,1,$G$3:$G$623,$G306)</f>
        <v>0</v>
      </c>
      <c r="BP306" s="2">
        <f>BK306/SUMIFS(BK$3:BK$623,$BC$3:$BC$623,1,$G$3:$G$623,$G306)</f>
        <v>0</v>
      </c>
      <c r="BQ306" s="2">
        <f>BL306</f>
        <v>1.6586804275709546E-2</v>
      </c>
      <c r="BR306" s="2">
        <f>BM306</f>
        <v>3.3173608551419091E-2</v>
      </c>
    </row>
    <row r="307" spans="1:70" hidden="1">
      <c r="A307" s="74">
        <v>0</v>
      </c>
      <c r="B307" s="73">
        <v>204737</v>
      </c>
      <c r="C307" s="73" t="s">
        <v>2197</v>
      </c>
      <c r="D307" s="73" t="s">
        <v>2198</v>
      </c>
      <c r="E307" s="73" t="s">
        <v>2199</v>
      </c>
      <c r="F307" s="73">
        <v>18708</v>
      </c>
      <c r="G307" s="73" t="s">
        <v>866</v>
      </c>
      <c r="H307" s="73" t="s">
        <v>923</v>
      </c>
      <c r="I307" s="73" t="s">
        <v>981</v>
      </c>
      <c r="J307" s="73">
        <v>0</v>
      </c>
      <c r="K307" s="73">
        <v>5</v>
      </c>
      <c r="L307" s="73">
        <v>0</v>
      </c>
      <c r="M307" s="73">
        <v>0</v>
      </c>
      <c r="N307" s="73">
        <v>0</v>
      </c>
      <c r="O307" s="73" t="s">
        <v>1318</v>
      </c>
      <c r="P307" s="73" t="s">
        <v>2200</v>
      </c>
      <c r="Q307" s="73" t="s">
        <v>2201</v>
      </c>
      <c r="R307" s="73">
        <v>0</v>
      </c>
      <c r="S307" s="73">
        <v>0</v>
      </c>
      <c r="T307" s="73">
        <v>0</v>
      </c>
      <c r="U307" s="73">
        <v>1</v>
      </c>
      <c r="V307" s="73">
        <v>1245</v>
      </c>
      <c r="W307" s="73">
        <v>2</v>
      </c>
      <c r="X307" s="73">
        <v>1</v>
      </c>
      <c r="Y307" s="73">
        <v>0</v>
      </c>
      <c r="Z307" s="73" t="s">
        <v>1342</v>
      </c>
      <c r="AA307" s="73" t="s">
        <v>692</v>
      </c>
      <c r="AB307" s="73" t="str">
        <f>IF(AA307&lt;&gt;"",INDEX(Lookup!$N$2:$N$5,MATCH(Players!AA307,Lookup!$P$2:$P$5,0)),INDEX(Lookup!$N$2:$N$5,MATCH(Players!O307,Lookup!$O$2:$O$5,0)))</f>
        <v>Defense</v>
      </c>
      <c r="AC307" s="73">
        <v>3500000</v>
      </c>
      <c r="AD307" s="73" t="s">
        <v>827</v>
      </c>
      <c r="AE307" s="73" t="str">
        <f>INDEX('Translate table'!$H$2:$H$622,MATCH(Players!P307,'Translate table'!$G$2:$G$622,0))</f>
        <v>Ricard Fernandez</v>
      </c>
      <c r="AF307" s="73">
        <f>IFERROR(INDEX('Euro Qual stats'!$A$1:$L$2071,MATCH(Players!$AE307,'Euro Qual stats'!$A$1:$A$2071,0),MATCH(Players!AF$2,'Euro Qual stats'!$A$1:$L$1,0)),0)</f>
        <v>2</v>
      </c>
      <c r="AG307" s="73">
        <f>IFERROR(INDEX('Euro Qual stats'!$A$1:$L$2071,MATCH(Players!$AE307,'Euro Qual stats'!$A$1:$A$2071,0),MATCH(Players!AG$2,'Euro Qual stats'!$A$1:$L$1,0)),0)</f>
        <v>0</v>
      </c>
      <c r="AH307" s="73">
        <f>IFERROR(INDEX('Euro Qual stats'!$A$1:$L$2071,MATCH(Players!$AE307,'Euro Qual stats'!$A$1:$A$2071,0),MATCH(Players!AH$2,'Euro Qual stats'!$A$1:$L$1,0)),0)</f>
        <v>0</v>
      </c>
      <c r="AI307" s="73">
        <f>IFERROR(INDEX('Euro Qual stats'!$A$1:$L$2071,MATCH(Players!$AE307,'Euro Qual stats'!$A$1:$A$2071,0),MATCH(Players!AI$2,'Euro Qual stats'!$A$1:$L$1,0)),0)</f>
        <v>0</v>
      </c>
      <c r="AJ307" s="93">
        <f>(12-AF307)/12*INDEX(BV$9:BV$12,MATCH($AB307,$BU$9:$BU$12,0))+AF307/12*AG307</f>
        <v>7.4313186813186841E-2</v>
      </c>
      <c r="AK307" s="93">
        <f>(12-AG307)/12*INDEX(BW$9:BW$12,MATCH($AB307,$BU$9:$BU$12,0))+AG307/12*AH307</f>
        <v>0.10357142857142858</v>
      </c>
      <c r="AL307" s="93">
        <f>(12-AH307)/12*INDEX(BX$9:BX$12,MATCH($AB307,$BU$9:$BU$12,0))+AH307/12*AI307</f>
        <v>0.19357142857142848</v>
      </c>
      <c r="AM307" s="93">
        <f>IF($BC307=1,AJ307/SUMIFS(AJ$3:AJ$623,$BC$3:$BC$623,1,$G$3:$G$623,$G307),0)</f>
        <v>5.3420588090983108E-2</v>
      </c>
      <c r="AN307" s="93">
        <f>IF($BC307=1,AK307/SUMIFS(AK$3:AK$623,$BC$3:$BC$623,1,$G$3:$G$623,$G307),0)</f>
        <v>4.3670640852102025E-2</v>
      </c>
      <c r="AO307" s="93">
        <f>IF($BC307=1,AL307/SUMIFS(AL$3:AL$623,$BC$3:$BC$623,1,$G$3:$G$623,$G307),0)</f>
        <v>9.4803549569735204E-2</v>
      </c>
      <c r="AP307" s="2">
        <f>IFERROR(R307/$V307*90,"")</f>
        <v>0</v>
      </c>
      <c r="AQ307" s="2">
        <f>IFERROR(S307/$V307*90,"")</f>
        <v>0</v>
      </c>
      <c r="AR307" s="2">
        <f>IFERROR(W307/$V307*90,"")</f>
        <v>0.14457831325301204</v>
      </c>
      <c r="AS307" s="2">
        <f>IFERROR(X307/$V307*90,"")</f>
        <v>7.2289156626506021E-2</v>
      </c>
      <c r="AT307" s="2">
        <f>IFERROR(Y307/$V307*90,"")</f>
        <v>0</v>
      </c>
      <c r="AU307" s="2">
        <f>IF(AP307="",INDEX(BV$4:BV$7,MATCH(O307,$BU$4:$BU$7,0)),AP307)</f>
        <v>0</v>
      </c>
      <c r="AV307" s="2">
        <f>IF(AQ307="",INDEX(BW$4:BW$7,MATCH($O307,$BU$4:$BU$7,0)),AQ307)</f>
        <v>0</v>
      </c>
      <c r="AW307" s="2">
        <f t="shared" si="48"/>
        <v>0.14457831325301204</v>
      </c>
      <c r="AX307" s="2">
        <f t="shared" si="49"/>
        <v>7.2289156626506021E-2</v>
      </c>
      <c r="AY307" s="2">
        <f t="shared" si="50"/>
        <v>0</v>
      </c>
      <c r="AZ307" s="2">
        <f>AU307*0.5+AK307*0.5</f>
        <v>5.1785714285714289E-2</v>
      </c>
      <c r="BA307" s="2">
        <f>AV307*0.5+AJ307*0.5</f>
        <v>3.715659340659342E-2</v>
      </c>
      <c r="BB307" s="2">
        <f t="shared" si="51"/>
        <v>3.614457831325301E-2</v>
      </c>
      <c r="BC307">
        <f>IF(I307="expected",1,0)</f>
        <v>1</v>
      </c>
      <c r="BD307" s="78">
        <f>IF(BC307=1,AZ307/SUMIFS(AZ$3:AZ$623,$BC$3:$BC$623,1,$G$3:$G$623,$G307),0)</f>
        <v>3.4871498256504173E-2</v>
      </c>
      <c r="BE307" s="78">
        <f>IF(BC307=1,BA307/SUMIFS(BA$3:BA$623,$BC$3:$BC$623,1,$G$3:$G$623,$G307),0)</f>
        <v>2.6838070374083759E-2</v>
      </c>
      <c r="BF307" s="78">
        <f t="shared" si="52"/>
        <v>4.1090030321811855E-2</v>
      </c>
      <c r="BG307" s="2">
        <f t="shared" si="53"/>
        <v>3.614457831325301E-2</v>
      </c>
      <c r="BH307" s="2">
        <f t="shared" si="54"/>
        <v>0</v>
      </c>
      <c r="BI307" s="2">
        <f t="shared" si="55"/>
        <v>3.4871498256504173E-2</v>
      </c>
      <c r="BJ307" s="2">
        <f t="shared" si="56"/>
        <v>2.6838070374083759E-2</v>
      </c>
      <c r="BK307" s="2">
        <f t="shared" si="57"/>
        <v>4.1090030321811855E-2</v>
      </c>
      <c r="BL307" s="2">
        <f t="shared" si="58"/>
        <v>3.614457831325301E-2</v>
      </c>
      <c r="BM307" s="2">
        <f t="shared" si="59"/>
        <v>0</v>
      </c>
      <c r="BN307" s="2">
        <f>BI307/SUMIFS(BI$3:BI$623,$BC$3:$BC$623,1,$G$3:$G$623,$G307)</f>
        <v>3.487149825650418E-2</v>
      </c>
      <c r="BO307" s="2">
        <f>BJ307/SUMIFS(BJ$3:BJ$623,$BC$3:$BC$623,1,$G$3:$G$623,$G307)</f>
        <v>2.6838070374083759E-2</v>
      </c>
      <c r="BP307" s="2">
        <f>BK307/SUMIFS(BK$3:BK$623,$BC$3:$BC$623,1,$G$3:$G$623,$G307)</f>
        <v>4.438902986976568E-2</v>
      </c>
      <c r="BQ307" s="2">
        <f>BL307</f>
        <v>3.614457831325301E-2</v>
      </c>
      <c r="BR307" s="2">
        <f>BM307</f>
        <v>0</v>
      </c>
    </row>
    <row r="308" spans="1:70" hidden="1">
      <c r="A308" s="74">
        <v>0</v>
      </c>
      <c r="B308" s="73">
        <v>204727</v>
      </c>
      <c r="C308" s="73" t="s">
        <v>2202</v>
      </c>
      <c r="D308" s="73" t="s">
        <v>2203</v>
      </c>
      <c r="E308" s="73" t="s">
        <v>2204</v>
      </c>
      <c r="F308" s="73">
        <v>18708</v>
      </c>
      <c r="G308" s="73" t="s">
        <v>866</v>
      </c>
      <c r="H308" s="73" t="s">
        <v>923</v>
      </c>
      <c r="I308" s="73" t="s">
        <v>1012</v>
      </c>
      <c r="J308" s="73">
        <v>0</v>
      </c>
      <c r="K308" s="73">
        <v>5</v>
      </c>
      <c r="L308" s="73">
        <v>0</v>
      </c>
      <c r="M308" s="73">
        <v>0</v>
      </c>
      <c r="N308" s="73">
        <v>0</v>
      </c>
      <c r="O308" s="73" t="s">
        <v>1318</v>
      </c>
      <c r="P308" s="73" t="s">
        <v>382</v>
      </c>
      <c r="Q308" s="73" t="s">
        <v>450</v>
      </c>
      <c r="R308" s="73">
        <v>1</v>
      </c>
      <c r="S308" s="73">
        <v>0</v>
      </c>
      <c r="T308" s="73">
        <v>0</v>
      </c>
      <c r="U308" s="73">
        <v>2</v>
      </c>
      <c r="V308" s="73">
        <v>1245</v>
      </c>
      <c r="W308" s="73">
        <v>5</v>
      </c>
      <c r="X308" s="73">
        <v>4</v>
      </c>
      <c r="Y308" s="73">
        <v>1</v>
      </c>
      <c r="Z308" s="73" t="s">
        <v>1342</v>
      </c>
      <c r="AA308" s="73" t="s">
        <v>692</v>
      </c>
      <c r="AB308" s="73" t="str">
        <f>IF(AA308&lt;&gt;"",INDEX(Lookup!$N$2:$N$5,MATCH(Players!AA308,Lookup!$P$2:$P$5,0)),INDEX(Lookup!$N$2:$N$5,MATCH(Players!O308,Lookup!$O$2:$O$5,0)))</f>
        <v>Defense</v>
      </c>
      <c r="AC308" s="73">
        <v>2500000</v>
      </c>
      <c r="AD308" s="73" t="s">
        <v>790</v>
      </c>
      <c r="AE308" s="73" t="str">
        <f>INDEX('Translate table'!$H$2:$H$622,MATCH(Players!P308,'Translate table'!$G$2:$G$622,0))</f>
        <v>Fabian SchÃ¤r</v>
      </c>
      <c r="AF308" s="73">
        <f>IFERROR(INDEX('Euro Qual stats'!$A$1:$L$2071,MATCH(Players!$AE308,'Euro Qual stats'!$A$1:$A$2071,0),MATCH(Players!AF$2,'Euro Qual stats'!$A$1:$L$1,0)),0)</f>
        <v>5</v>
      </c>
      <c r="AG308" s="73">
        <f>IFERROR(INDEX('Euro Qual stats'!$A$1:$L$2071,MATCH(Players!$AE308,'Euro Qual stats'!$A$1:$A$2071,0),MATCH(Players!AG$2,'Euro Qual stats'!$A$1:$L$1,0)),0)</f>
        <v>0.2</v>
      </c>
      <c r="AH308" s="73">
        <f>IFERROR(INDEX('Euro Qual stats'!$A$1:$L$2071,MATCH(Players!$AE308,'Euro Qual stats'!$A$1:$A$2071,0),MATCH(Players!AH$2,'Euro Qual stats'!$A$1:$L$1,0)),0)</f>
        <v>0.2</v>
      </c>
      <c r="AI308" s="73">
        <f>IFERROR(INDEX('Euro Qual stats'!$A$1:$L$2071,MATCH(Players!$AE308,'Euro Qual stats'!$A$1:$A$2071,0),MATCH(Players!AI$2,'Euro Qual stats'!$A$1:$L$1,0)),0)</f>
        <v>0.2</v>
      </c>
      <c r="AJ308" s="93">
        <f>(12-AF308)/12*INDEX(BV$9:BV$12,MATCH($AB308,$BU$9:$BU$12,0))+AF308/12*AG308</f>
        <v>0.13535256410256413</v>
      </c>
      <c r="AK308" s="93">
        <f>(12-AG308)/12*INDEX(BW$9:BW$12,MATCH($AB308,$BU$9:$BU$12,0))+AG308/12*AH308</f>
        <v>0.10517857142857144</v>
      </c>
      <c r="AL308" s="93">
        <f>(12-AH308)/12*INDEX(BX$9:BX$12,MATCH($AB308,$BU$9:$BU$12,0))+AH308/12*AI308</f>
        <v>0.19367857142857134</v>
      </c>
      <c r="AM308" s="93">
        <f>IF($BC308=1,AJ308/SUMIFS(AJ$3:AJ$623,$BC$3:$BC$623,1,$G$3:$G$623,$G308),0)</f>
        <v>0</v>
      </c>
      <c r="AN308" s="93">
        <f>IF($BC308=1,AK308/SUMIFS(AK$3:AK$623,$BC$3:$BC$623,1,$G$3:$G$623,$G308),0)</f>
        <v>0</v>
      </c>
      <c r="AO308" s="93">
        <f>IF($BC308=1,AL308/SUMIFS(AL$3:AL$623,$BC$3:$BC$623,1,$G$3:$G$623,$G308),0)</f>
        <v>0</v>
      </c>
      <c r="AP308" s="2">
        <f>IFERROR(R308/$V308*90,"")</f>
        <v>7.2289156626506021E-2</v>
      </c>
      <c r="AQ308" s="2">
        <f>IFERROR(S308/$V308*90,"")</f>
        <v>0</v>
      </c>
      <c r="AR308" s="2">
        <f>IFERROR(W308/$V308*90,"")</f>
        <v>0.36144578313253006</v>
      </c>
      <c r="AS308" s="2">
        <f>IFERROR(X308/$V308*90,"")</f>
        <v>0.28915662650602408</v>
      </c>
      <c r="AT308" s="2">
        <f>IFERROR(Y308/$V308*90,"")</f>
        <v>7.2289156626506021E-2</v>
      </c>
      <c r="AU308" s="2">
        <f>IF(AP308="",INDEX(BV$4:BV$7,MATCH(O308,$BU$4:$BU$7,0)),AP308)</f>
        <v>7.2289156626506021E-2</v>
      </c>
      <c r="AV308" s="2">
        <f>IF(AQ308="",INDEX(BW$4:BW$7,MATCH($O308,$BU$4:$BU$7,0)),AQ308)</f>
        <v>0</v>
      </c>
      <c r="AW308" s="2">
        <f t="shared" si="48"/>
        <v>0.36144578313253006</v>
      </c>
      <c r="AX308" s="2">
        <f t="shared" si="49"/>
        <v>0.28915662650602408</v>
      </c>
      <c r="AY308" s="2">
        <f t="shared" si="50"/>
        <v>7.2289156626506021E-2</v>
      </c>
      <c r="AZ308" s="2">
        <f>AU308*0.5+AK308*0.5</f>
        <v>8.8733864027538731E-2</v>
      </c>
      <c r="BA308" s="2">
        <f>AV308*0.5+AJ308*0.5</f>
        <v>6.7676282051282066E-2</v>
      </c>
      <c r="BB308" s="2">
        <f t="shared" si="51"/>
        <v>0.24457831325301205</v>
      </c>
      <c r="BC308">
        <f>IF(I308="expected",1,0)</f>
        <v>0</v>
      </c>
      <c r="BD308" s="78">
        <f>IF(BC308=1,AZ308/SUMIFS(AZ$3:AZ$623,$BC$3:$BC$623,1,$G$3:$G$623,$G308),0)</f>
        <v>0</v>
      </c>
      <c r="BE308" s="78">
        <f>IF(BC308=1,BA308/SUMIFS(BA$3:BA$623,$BC$3:$BC$623,1,$G$3:$G$623,$G308),0)</f>
        <v>0</v>
      </c>
      <c r="BF308" s="78">
        <f t="shared" si="52"/>
        <v>0</v>
      </c>
      <c r="BG308" s="2">
        <f t="shared" si="53"/>
        <v>0.24457831325301205</v>
      </c>
      <c r="BH308" s="2">
        <f t="shared" si="54"/>
        <v>7.2289156626506021E-2</v>
      </c>
      <c r="BI308" s="2">
        <f t="shared" si="55"/>
        <v>0</v>
      </c>
      <c r="BJ308" s="2">
        <f t="shared" si="56"/>
        <v>0</v>
      </c>
      <c r="BK308" s="2">
        <f t="shared" si="57"/>
        <v>0</v>
      </c>
      <c r="BL308" s="2">
        <f t="shared" si="58"/>
        <v>0.24457831325301205</v>
      </c>
      <c r="BM308" s="2">
        <f t="shared" si="59"/>
        <v>0.06</v>
      </c>
      <c r="BN308" s="2">
        <f>BI308/SUMIFS(BI$3:BI$623,$BC$3:$BC$623,1,$G$3:$G$623,$G308)</f>
        <v>0</v>
      </c>
      <c r="BO308" s="2">
        <f>BJ308/SUMIFS(BJ$3:BJ$623,$BC$3:$BC$623,1,$G$3:$G$623,$G308)</f>
        <v>0</v>
      </c>
      <c r="BP308" s="2">
        <f>BK308/SUMIFS(BK$3:BK$623,$BC$3:$BC$623,1,$G$3:$G$623,$G308)</f>
        <v>0</v>
      </c>
      <c r="BQ308" s="2">
        <f>BL308</f>
        <v>0.24457831325301205</v>
      </c>
      <c r="BR308" s="2">
        <f>BM308</f>
        <v>0.06</v>
      </c>
    </row>
    <row r="309" spans="1:70" hidden="1">
      <c r="A309" s="74">
        <v>0</v>
      </c>
      <c r="B309" s="73">
        <v>204724</v>
      </c>
      <c r="C309" s="73" t="s">
        <v>2205</v>
      </c>
      <c r="D309" s="73" t="s">
        <v>1363</v>
      </c>
      <c r="E309" s="73" t="s">
        <v>2206</v>
      </c>
      <c r="F309" s="73">
        <v>18708</v>
      </c>
      <c r="G309" s="73" t="s">
        <v>866</v>
      </c>
      <c r="H309" s="73" t="s">
        <v>923</v>
      </c>
      <c r="I309" s="73" t="s">
        <v>981</v>
      </c>
      <c r="J309" s="73">
        <v>0</v>
      </c>
      <c r="K309" s="73">
        <v>5</v>
      </c>
      <c r="L309" s="73">
        <v>0</v>
      </c>
      <c r="M309" s="73">
        <v>0</v>
      </c>
      <c r="N309" s="73">
        <v>0</v>
      </c>
      <c r="O309" s="73" t="s">
        <v>1318</v>
      </c>
      <c r="P309" s="73" t="s">
        <v>2207</v>
      </c>
      <c r="Q309" s="73" t="s">
        <v>2207</v>
      </c>
      <c r="R309" s="73">
        <v>2</v>
      </c>
      <c r="S309" s="73">
        <v>0</v>
      </c>
      <c r="T309" s="73">
        <v>0</v>
      </c>
      <c r="U309" s="73">
        <v>7</v>
      </c>
      <c r="V309" s="73">
        <v>2351</v>
      </c>
      <c r="W309" s="73">
        <v>5</v>
      </c>
      <c r="X309" s="73">
        <v>4</v>
      </c>
      <c r="Y309" s="73">
        <v>0</v>
      </c>
      <c r="Z309" s="73" t="s">
        <v>1342</v>
      </c>
      <c r="AA309" s="73" t="s">
        <v>692</v>
      </c>
      <c r="AB309" s="73" t="str">
        <f>IF(AA309&lt;&gt;"",INDEX(Lookup!$N$2:$N$5,MATCH(Players!AA309,Lookup!$P$2:$P$5,0)),INDEX(Lookup!$N$2:$N$5,MATCH(Players!O309,Lookup!$O$2:$O$5,0)))</f>
        <v>Defense</v>
      </c>
      <c r="AC309" s="73">
        <v>3500000</v>
      </c>
      <c r="AD309" s="73" t="s">
        <v>790</v>
      </c>
      <c r="AE309" s="73" t="str">
        <f>INDEX('Translate table'!$H$2:$H$622,MATCH(Players!P309,'Translate table'!$G$2:$G$622,0))</f>
        <v>Manuel Akanji</v>
      </c>
      <c r="AF309" s="73">
        <f>IFERROR(INDEX('Euro Qual stats'!$A$1:$L$2071,MATCH(Players!$AE309,'Euro Qual stats'!$A$1:$A$2071,0),MATCH(Players!AF$2,'Euro Qual stats'!$A$1:$L$1,0)),0)</f>
        <v>7</v>
      </c>
      <c r="AG309" s="73">
        <f>IFERROR(INDEX('Euro Qual stats'!$A$1:$L$2071,MATCH(Players!$AE309,'Euro Qual stats'!$A$1:$A$2071,0),MATCH(Players!AG$2,'Euro Qual stats'!$A$1:$L$1,0)),0)</f>
        <v>0.15</v>
      </c>
      <c r="AH309" s="73">
        <f>IFERROR(INDEX('Euro Qual stats'!$A$1:$L$2071,MATCH(Players!$AE309,'Euro Qual stats'!$A$1:$A$2071,0),MATCH(Players!AH$2,'Euro Qual stats'!$A$1:$L$1,0)),0)</f>
        <v>0</v>
      </c>
      <c r="AI309" s="73">
        <f>IFERROR(INDEX('Euro Qual stats'!$A$1:$L$2071,MATCH(Players!$AE309,'Euro Qual stats'!$A$1:$A$2071,0),MATCH(Players!AI$2,'Euro Qual stats'!$A$1:$L$1,0)),0)</f>
        <v>0.3</v>
      </c>
      <c r="AJ309" s="93">
        <f>(12-AF309)/12*INDEX(BV$9:BV$12,MATCH($AB309,$BU$9:$BU$12,0))+AF309/12*AG309</f>
        <v>0.12465659340659344</v>
      </c>
      <c r="AK309" s="93">
        <f>(12-AG309)/12*INDEX(BW$9:BW$12,MATCH($AB309,$BU$9:$BU$12,0))+AG309/12*AH309</f>
        <v>0.10227678571428571</v>
      </c>
      <c r="AL309" s="93">
        <f>(12-AH309)/12*INDEX(BX$9:BX$12,MATCH($AB309,$BU$9:$BU$12,0))+AH309/12*AI309</f>
        <v>0.19357142857142848</v>
      </c>
      <c r="AM309" s="93">
        <f>IF($BC309=1,AJ309/SUMIFS(AJ$3:AJ$623,$BC$3:$BC$623,1,$G$3:$G$623,$G309),0)</f>
        <v>8.9610321058349651E-2</v>
      </c>
      <c r="AN309" s="93">
        <f>IF($BC309=1,AK309/SUMIFS(AK$3:AK$623,$BC$3:$BC$623,1,$G$3:$G$623,$G309),0)</f>
        <v>4.3124757841450742E-2</v>
      </c>
      <c r="AO309" s="93">
        <f>IF($BC309=1,AL309/SUMIFS(AL$3:AL$623,$BC$3:$BC$623,1,$G$3:$G$623,$G309),0)</f>
        <v>9.4803549569735204E-2</v>
      </c>
      <c r="AP309" s="2">
        <f>IFERROR(R309/$V309*90,"")</f>
        <v>7.656316461080391E-2</v>
      </c>
      <c r="AQ309" s="2">
        <f>IFERROR(S309/$V309*90,"")</f>
        <v>0</v>
      </c>
      <c r="AR309" s="2">
        <f>IFERROR(W309/$V309*90,"")</f>
        <v>0.19140791152700978</v>
      </c>
      <c r="AS309" s="2">
        <f>IFERROR(X309/$V309*90,"")</f>
        <v>0.15312632922160782</v>
      </c>
      <c r="AT309" s="2">
        <f>IFERROR(Y309/$V309*90,"")</f>
        <v>0</v>
      </c>
      <c r="AU309" s="2">
        <f>IF(AP309="",INDEX(BV$4:BV$7,MATCH(O309,$BU$4:$BU$7,0)),AP309)</f>
        <v>7.656316461080391E-2</v>
      </c>
      <c r="AV309" s="2">
        <f>IF(AQ309="",INDEX(BW$4:BW$7,MATCH($O309,$BU$4:$BU$7,0)),AQ309)</f>
        <v>0</v>
      </c>
      <c r="AW309" s="2">
        <f t="shared" si="48"/>
        <v>0.19140791152700978</v>
      </c>
      <c r="AX309" s="2">
        <f t="shared" si="49"/>
        <v>0.15312632922160782</v>
      </c>
      <c r="AY309" s="2">
        <f t="shared" si="50"/>
        <v>0</v>
      </c>
      <c r="AZ309" s="2">
        <f>AU309*0.5+AK309*0.5</f>
        <v>8.941997516254481E-2</v>
      </c>
      <c r="BA309" s="2">
        <f>AV309*0.5+AJ309*0.5</f>
        <v>6.2328296703296718E-2</v>
      </c>
      <c r="BB309" s="2">
        <f t="shared" si="51"/>
        <v>0.22656316461080389</v>
      </c>
      <c r="BC309">
        <f>IF(I309="expected",1,0)</f>
        <v>1</v>
      </c>
      <c r="BD309" s="78">
        <f>IF(BC309=1,AZ309/SUMIFS(AZ$3:AZ$623,$BC$3:$BC$623,1,$G$3:$G$623,$G309),0)</f>
        <v>6.0213681533355289E-2</v>
      </c>
      <c r="BE309" s="78">
        <f>IF(BC309=1,BA309/SUMIFS(BA$3:BA$623,$BC$3:$BC$623,1,$G$3:$G$623,$G309),0)</f>
        <v>4.501949882528837E-2</v>
      </c>
      <c r="BF309" s="78">
        <f t="shared" si="52"/>
        <v>5.4399285145316632E-2</v>
      </c>
      <c r="BG309" s="2">
        <f t="shared" si="53"/>
        <v>0.22656316461080389</v>
      </c>
      <c r="BH309" s="2">
        <f t="shared" si="54"/>
        <v>0</v>
      </c>
      <c r="BI309" s="2">
        <f t="shared" si="55"/>
        <v>6.0213681533355289E-2</v>
      </c>
      <c r="BJ309" s="2">
        <f t="shared" si="56"/>
        <v>4.501949882528837E-2</v>
      </c>
      <c r="BK309" s="2">
        <f t="shared" si="57"/>
        <v>5.4399285145316632E-2</v>
      </c>
      <c r="BL309" s="2">
        <f t="shared" si="58"/>
        <v>0.22656316461080389</v>
      </c>
      <c r="BM309" s="2">
        <f t="shared" si="59"/>
        <v>0</v>
      </c>
      <c r="BN309" s="2">
        <f>BI309/SUMIFS(BI$3:BI$623,$BC$3:$BC$623,1,$G$3:$G$623,$G309)</f>
        <v>6.0213681533355302E-2</v>
      </c>
      <c r="BO309" s="2">
        <f>BJ309/SUMIFS(BJ$3:BJ$623,$BC$3:$BC$623,1,$G$3:$G$623,$G309)</f>
        <v>4.501949882528837E-2</v>
      </c>
      <c r="BP309" s="2">
        <f>BK309/SUMIFS(BK$3:BK$623,$BC$3:$BC$623,1,$G$3:$G$623,$G309)</f>
        <v>5.876684622273317E-2</v>
      </c>
      <c r="BQ309" s="2">
        <f>BL309</f>
        <v>0.22656316461080389</v>
      </c>
      <c r="BR309" s="2">
        <f>BM309</f>
        <v>0</v>
      </c>
    </row>
    <row r="310" spans="1:70" hidden="1">
      <c r="A310" s="74">
        <v>0</v>
      </c>
      <c r="B310" s="73">
        <v>204742</v>
      </c>
      <c r="C310" s="73" t="s">
        <v>2208</v>
      </c>
      <c r="D310" s="73" t="s">
        <v>2209</v>
      </c>
      <c r="E310" s="73" t="s">
        <v>2210</v>
      </c>
      <c r="F310" s="73">
        <v>18708</v>
      </c>
      <c r="G310" s="73" t="s">
        <v>866</v>
      </c>
      <c r="H310" s="73" t="s">
        <v>923</v>
      </c>
      <c r="I310" s="73" t="s">
        <v>1012</v>
      </c>
      <c r="J310" s="73">
        <v>0</v>
      </c>
      <c r="K310" s="73">
        <v>5</v>
      </c>
      <c r="L310" s="73">
        <v>0</v>
      </c>
      <c r="M310" s="73">
        <v>0</v>
      </c>
      <c r="N310" s="73">
        <v>0</v>
      </c>
      <c r="O310" s="73" t="s">
        <v>994</v>
      </c>
      <c r="P310" s="73" t="s">
        <v>2211</v>
      </c>
      <c r="Q310" s="73" t="s">
        <v>2211</v>
      </c>
      <c r="R310" s="73">
        <v>0</v>
      </c>
      <c r="S310" s="73">
        <v>2</v>
      </c>
      <c r="T310" s="73">
        <v>0</v>
      </c>
      <c r="U310" s="73">
        <v>1</v>
      </c>
      <c r="V310" s="73">
        <v>2180</v>
      </c>
      <c r="W310" s="73">
        <v>3</v>
      </c>
      <c r="X310" s="73">
        <v>6</v>
      </c>
      <c r="Y310" s="73">
        <v>0</v>
      </c>
      <c r="Z310" s="73" t="s">
        <v>1342</v>
      </c>
      <c r="AA310" s="73" t="s">
        <v>691</v>
      </c>
      <c r="AB310" s="73" t="str">
        <f>IF(AA310&lt;&gt;"",INDEX(Lookup!$N$2:$N$5,MATCH(Players!AA310,Lookup!$P$2:$P$5,0)),INDEX(Lookup!$N$2:$N$5,MATCH(Players!O310,Lookup!$O$2:$O$5,0)))</f>
        <v>Midfield</v>
      </c>
      <c r="AC310" s="73">
        <v>3000000</v>
      </c>
      <c r="AD310" s="73" t="s">
        <v>788</v>
      </c>
      <c r="AE310" s="73" t="str">
        <f>INDEX('Translate table'!$H$2:$H$622,MATCH(Players!P310,'Translate table'!$G$2:$G$622,0))</f>
        <v>Djibril Sow</v>
      </c>
      <c r="AF310" s="73">
        <f>IFERROR(INDEX('Euro Qual stats'!$A$1:$L$2071,MATCH(Players!$AE310,'Euro Qual stats'!$A$1:$A$2071,0),MATCH(Players!AF$2,'Euro Qual stats'!$A$1:$L$1,0)),0)</f>
        <v>4</v>
      </c>
      <c r="AG310" s="73">
        <f>IFERROR(INDEX('Euro Qual stats'!$A$1:$L$2071,MATCH(Players!$AE310,'Euro Qual stats'!$A$1:$A$2071,0),MATCH(Players!AG$2,'Euro Qual stats'!$A$1:$L$1,0)),0)</f>
        <v>0</v>
      </c>
      <c r="AH310" s="73">
        <f>IFERROR(INDEX('Euro Qual stats'!$A$1:$L$2071,MATCH(Players!$AE310,'Euro Qual stats'!$A$1:$A$2071,0),MATCH(Players!AH$2,'Euro Qual stats'!$A$1:$L$1,0)),0)</f>
        <v>0</v>
      </c>
      <c r="AI310" s="73">
        <f>IFERROR(INDEX('Euro Qual stats'!$A$1:$L$2071,MATCH(Players!$AE310,'Euro Qual stats'!$A$1:$A$2071,0),MATCH(Players!AI$2,'Euro Qual stats'!$A$1:$L$1,0)),0)</f>
        <v>0</v>
      </c>
      <c r="AJ310" s="93">
        <f>(12-AF310)/12*INDEX(BV$9:BV$12,MATCH($AB310,$BU$9:$BU$12,0))+AF310/12*AG310</f>
        <v>0.11246073298429318</v>
      </c>
      <c r="AK310" s="93">
        <f>(12-AG310)/12*INDEX(BW$9:BW$12,MATCH($AB310,$BU$9:$BU$12,0))+AG310/12*AH310</f>
        <v>0.22340314136125652</v>
      </c>
      <c r="AL310" s="93">
        <f>(12-AH310)/12*INDEX(BX$9:BX$12,MATCH($AB310,$BU$9:$BU$12,0))+AH310/12*AI310</f>
        <v>0.23942408376963353</v>
      </c>
      <c r="AM310" s="93">
        <f>IF($BC310=1,AJ310/SUMIFS(AJ$3:AJ$623,$BC$3:$BC$623,1,$G$3:$G$623,$G310),0)</f>
        <v>0</v>
      </c>
      <c r="AN310" s="93">
        <f>IF($BC310=1,AK310/SUMIFS(AK$3:AK$623,$BC$3:$BC$623,1,$G$3:$G$623,$G310),0)</f>
        <v>0</v>
      </c>
      <c r="AO310" s="93">
        <f>IF($BC310=1,AL310/SUMIFS(AL$3:AL$623,$BC$3:$BC$623,1,$G$3:$G$623,$G310),0)</f>
        <v>0</v>
      </c>
      <c r="AP310" s="2">
        <f>IFERROR(R310/$V310*90,"")</f>
        <v>0</v>
      </c>
      <c r="AQ310" s="2">
        <f>IFERROR(S310/$V310*90,"")</f>
        <v>8.2568807339449546E-2</v>
      </c>
      <c r="AR310" s="2">
        <f>IFERROR(W310/$V310*90,"")</f>
        <v>0.12385321100917432</v>
      </c>
      <c r="AS310" s="2">
        <f>IFERROR(X310/$V310*90,"")</f>
        <v>0.24770642201834864</v>
      </c>
      <c r="AT310" s="2">
        <f>IFERROR(Y310/$V310*90,"")</f>
        <v>0</v>
      </c>
      <c r="AU310" s="2">
        <f>IF(AP310="",INDEX(BV$4:BV$7,MATCH(O310,$BU$4:$BU$7,0)),AP310)</f>
        <v>0</v>
      </c>
      <c r="AV310" s="2">
        <f>IF(AQ310="",INDEX(BW$4:BW$7,MATCH($O310,$BU$4:$BU$7,0)),AQ310)</f>
        <v>8.2568807339449546E-2</v>
      </c>
      <c r="AW310" s="2">
        <f t="shared" si="48"/>
        <v>0.12385321100917432</v>
      </c>
      <c r="AX310" s="2">
        <f t="shared" si="49"/>
        <v>0.24770642201834864</v>
      </c>
      <c r="AY310" s="2">
        <f t="shared" si="50"/>
        <v>0</v>
      </c>
      <c r="AZ310" s="2">
        <f>AU310*0.5+AK310*0.5</f>
        <v>0.11170157068062826</v>
      </c>
      <c r="BA310" s="2">
        <f>AV310*0.5+AJ310*0.5</f>
        <v>9.7514770161871364E-2</v>
      </c>
      <c r="BB310" s="2">
        <f t="shared" si="51"/>
        <v>0.12385321100917432</v>
      </c>
      <c r="BC310">
        <f>IF(I310="expected",1,0)</f>
        <v>0</v>
      </c>
      <c r="BD310" s="78">
        <f>IF(BC310=1,AZ310/SUMIFS(AZ$3:AZ$623,$BC$3:$BC$623,1,$G$3:$G$623,$G310),0)</f>
        <v>0</v>
      </c>
      <c r="BE310" s="78">
        <f>IF(BC310=1,BA310/SUMIFS(BA$3:BA$623,$BC$3:$BC$623,1,$G$3:$G$623,$G310),0)</f>
        <v>0</v>
      </c>
      <c r="BF310" s="78">
        <f t="shared" si="52"/>
        <v>0</v>
      </c>
      <c r="BG310" s="2">
        <f t="shared" si="53"/>
        <v>0.12385321100917432</v>
      </c>
      <c r="BH310" s="2">
        <f t="shared" si="54"/>
        <v>0</v>
      </c>
      <c r="BI310" s="2">
        <f t="shared" si="55"/>
        <v>0</v>
      </c>
      <c r="BJ310" s="2">
        <f t="shared" si="56"/>
        <v>0</v>
      </c>
      <c r="BK310" s="2">
        <f t="shared" si="57"/>
        <v>0</v>
      </c>
      <c r="BL310" s="2">
        <f t="shared" si="58"/>
        <v>0.12385321100917432</v>
      </c>
      <c r="BM310" s="2">
        <f t="shared" si="59"/>
        <v>0</v>
      </c>
      <c r="BN310" s="2">
        <f>BI310/SUMIFS(BI$3:BI$623,$BC$3:$BC$623,1,$G$3:$G$623,$G310)</f>
        <v>0</v>
      </c>
      <c r="BO310" s="2">
        <f>BJ310/SUMIFS(BJ$3:BJ$623,$BC$3:$BC$623,1,$G$3:$G$623,$G310)</f>
        <v>0</v>
      </c>
      <c r="BP310" s="2">
        <f>BK310/SUMIFS(BK$3:BK$623,$BC$3:$BC$623,1,$G$3:$G$623,$G310)</f>
        <v>0</v>
      </c>
      <c r="BQ310" s="2">
        <f>BL310</f>
        <v>0.12385321100917432</v>
      </c>
      <c r="BR310" s="2">
        <f>BM310</f>
        <v>0</v>
      </c>
    </row>
    <row r="311" spans="1:70" hidden="1">
      <c r="A311" s="74">
        <v>0</v>
      </c>
      <c r="B311" s="73">
        <v>204747</v>
      </c>
      <c r="C311" s="73" t="s">
        <v>2212</v>
      </c>
      <c r="D311" s="73" t="s">
        <v>2213</v>
      </c>
      <c r="E311" s="73" t="s">
        <v>2214</v>
      </c>
      <c r="F311" s="73">
        <v>18708</v>
      </c>
      <c r="G311" s="73" t="s">
        <v>866</v>
      </c>
      <c r="H311" s="73" t="s">
        <v>923</v>
      </c>
      <c r="I311" s="73" t="s">
        <v>1012</v>
      </c>
      <c r="J311" s="73">
        <v>0</v>
      </c>
      <c r="K311" s="73">
        <v>5</v>
      </c>
      <c r="L311" s="73">
        <v>0</v>
      </c>
      <c r="M311" s="73">
        <v>0</v>
      </c>
      <c r="N311" s="73">
        <v>0</v>
      </c>
      <c r="O311" s="73" t="s">
        <v>982</v>
      </c>
      <c r="P311" s="73" t="s">
        <v>2215</v>
      </c>
      <c r="Q311" s="73" t="s">
        <v>2215</v>
      </c>
      <c r="R311" s="73">
        <v>0</v>
      </c>
      <c r="S311" s="73">
        <v>2</v>
      </c>
      <c r="T311" s="73">
        <v>0</v>
      </c>
      <c r="U311" s="73">
        <v>0</v>
      </c>
      <c r="V311" s="73">
        <v>821</v>
      </c>
      <c r="W311" s="73">
        <v>3</v>
      </c>
      <c r="X311" s="73">
        <v>0</v>
      </c>
      <c r="Y311" s="73">
        <v>0</v>
      </c>
      <c r="Z311" s="73" t="s">
        <v>1342</v>
      </c>
      <c r="AA311" s="73" t="s">
        <v>693</v>
      </c>
      <c r="AB311" s="73" t="str">
        <f>IF(AA311&lt;&gt;"",INDEX(Lookup!$N$2:$N$5,MATCH(Players!AA311,Lookup!$P$2:$P$5,0)),INDEX(Lookup!$N$2:$N$5,MATCH(Players!O311,Lookup!$O$2:$O$5,0)))</f>
        <v>Striker</v>
      </c>
      <c r="AC311" s="73">
        <v>3000000</v>
      </c>
      <c r="AD311" s="73" t="s">
        <v>789</v>
      </c>
      <c r="AE311" s="73" t="str">
        <f>INDEX('Translate table'!$H$2:$H$622,MATCH(Players!P311,'Translate table'!$G$2:$G$622,0))</f>
        <v>Admir Mehmedi</v>
      </c>
      <c r="AF311" s="73">
        <f>IFERROR(INDEX('Euro Qual stats'!$A$1:$L$2071,MATCH(Players!$AE311,'Euro Qual stats'!$A$1:$A$2071,0),MATCH(Players!AF$2,'Euro Qual stats'!$A$1:$L$1,0)),0)</f>
        <v>5</v>
      </c>
      <c r="AG311" s="73">
        <f>IFERROR(INDEX('Euro Qual stats'!$A$1:$L$2071,MATCH(Players!$AE311,'Euro Qual stats'!$A$1:$A$2071,0),MATCH(Players!AG$2,'Euro Qual stats'!$A$1:$L$1,0)),0)</f>
        <v>0.41</v>
      </c>
      <c r="AH311" s="73">
        <f>IFERROR(INDEX('Euro Qual stats'!$A$1:$L$2071,MATCH(Players!$AE311,'Euro Qual stats'!$A$1:$A$2071,0),MATCH(Players!AH$2,'Euro Qual stats'!$A$1:$L$1,0)),0)</f>
        <v>0.41</v>
      </c>
      <c r="AI311" s="73">
        <f>IFERROR(INDEX('Euro Qual stats'!$A$1:$L$2071,MATCH(Players!$AE311,'Euro Qual stats'!$A$1:$A$2071,0),MATCH(Players!AI$2,'Euro Qual stats'!$A$1:$L$1,0)),0)</f>
        <v>0</v>
      </c>
      <c r="AJ311" s="93">
        <f>(12-AF311)/12*INDEX(BV$9:BV$12,MATCH($AB311,$BU$9:$BU$12,0))+AF311/12*AG311</f>
        <v>0.29036637931034487</v>
      </c>
      <c r="AK311" s="93">
        <f>(12-AG311)/12*INDEX(BW$9:BW$12,MATCH($AB311,$BU$9:$BU$12,0))+AG311/12*AH311</f>
        <v>0.52964676724137905</v>
      </c>
      <c r="AL311" s="93">
        <f>(12-AH311)/12*INDEX(BX$9:BX$12,MATCH($AB311,$BU$9:$BU$12,0))+AH311/12*AI311</f>
        <v>0.15919597701149427</v>
      </c>
      <c r="AM311" s="93">
        <f>IF($BC311=1,AJ311/SUMIFS(AJ$3:AJ$623,$BC$3:$BC$623,1,$G$3:$G$623,$G311),0)</f>
        <v>0</v>
      </c>
      <c r="AN311" s="93">
        <f>IF($BC311=1,AK311/SUMIFS(AK$3:AK$623,$BC$3:$BC$623,1,$G$3:$G$623,$G311),0)</f>
        <v>0</v>
      </c>
      <c r="AO311" s="93">
        <f>IF($BC311=1,AL311/SUMIFS(AL$3:AL$623,$BC$3:$BC$623,1,$G$3:$G$623,$G311),0)</f>
        <v>0</v>
      </c>
      <c r="AP311" s="2">
        <f>IFERROR(R311/$V311*90,"")</f>
        <v>0</v>
      </c>
      <c r="AQ311" s="2">
        <f>IFERROR(S311/$V311*90,"")</f>
        <v>0.21924482338611448</v>
      </c>
      <c r="AR311" s="2">
        <f>IFERROR(W311/$V311*90,"")</f>
        <v>0.3288672350791717</v>
      </c>
      <c r="AS311" s="2">
        <f>IFERROR(X311/$V311*90,"")</f>
        <v>0</v>
      </c>
      <c r="AT311" s="2">
        <f>IFERROR(Y311/$V311*90,"")</f>
        <v>0</v>
      </c>
      <c r="AU311" s="2">
        <f>IF(AP311="",INDEX(BV$4:BV$7,MATCH(O311,$BU$4:$BU$7,0)),AP311)</f>
        <v>0</v>
      </c>
      <c r="AV311" s="2">
        <f>IF(AQ311="",INDEX(BW$4:BW$7,MATCH($O311,$BU$4:$BU$7,0)),AQ311)</f>
        <v>0.21924482338611448</v>
      </c>
      <c r="AW311" s="2">
        <f t="shared" si="48"/>
        <v>0.3288672350791717</v>
      </c>
      <c r="AX311" s="2">
        <f t="shared" si="49"/>
        <v>0</v>
      </c>
      <c r="AY311" s="2">
        <f t="shared" si="50"/>
        <v>0</v>
      </c>
      <c r="AZ311" s="2">
        <f>AU311*0.5+AK311*0.5</f>
        <v>0.26482338362068952</v>
      </c>
      <c r="BA311" s="2">
        <f>AV311*0.5+AJ311*0.5</f>
        <v>0.25480560134822966</v>
      </c>
      <c r="BB311" s="2">
        <f t="shared" si="51"/>
        <v>0</v>
      </c>
      <c r="BC311">
        <f>IF(I311="expected",1,0)</f>
        <v>0</v>
      </c>
      <c r="BD311" s="78">
        <f>IF(BC311=1,AZ311/SUMIFS(AZ$3:AZ$623,$BC$3:$BC$623,1,$G$3:$G$623,$G311),0)</f>
        <v>0</v>
      </c>
      <c r="BE311" s="78">
        <f>IF(BC311=1,BA311/SUMIFS(BA$3:BA$623,$BC$3:$BC$623,1,$G$3:$G$623,$G311),0)</f>
        <v>0</v>
      </c>
      <c r="BF311" s="78">
        <f t="shared" si="52"/>
        <v>0</v>
      </c>
      <c r="BG311" s="2">
        <f t="shared" si="53"/>
        <v>0</v>
      </c>
      <c r="BH311" s="2">
        <f t="shared" si="54"/>
        <v>0</v>
      </c>
      <c r="BI311" s="2">
        <f t="shared" si="55"/>
        <v>0</v>
      </c>
      <c r="BJ311" s="2">
        <f t="shared" si="56"/>
        <v>0</v>
      </c>
      <c r="BK311" s="2">
        <f t="shared" si="57"/>
        <v>0</v>
      </c>
      <c r="BL311" s="2">
        <f t="shared" si="58"/>
        <v>0</v>
      </c>
      <c r="BM311" s="2">
        <f t="shared" si="59"/>
        <v>0</v>
      </c>
      <c r="BN311" s="2">
        <f>BI311/SUMIFS(BI$3:BI$623,$BC$3:$BC$623,1,$G$3:$G$623,$G311)</f>
        <v>0</v>
      </c>
      <c r="BO311" s="2">
        <f>BJ311/SUMIFS(BJ$3:BJ$623,$BC$3:$BC$623,1,$G$3:$G$623,$G311)</f>
        <v>0</v>
      </c>
      <c r="BP311" s="2">
        <f>BK311/SUMIFS(BK$3:BK$623,$BC$3:$BC$623,1,$G$3:$G$623,$G311)</f>
        <v>0</v>
      </c>
      <c r="BQ311" s="2">
        <f>BL311</f>
        <v>0</v>
      </c>
      <c r="BR311" s="2">
        <f>BM311</f>
        <v>0</v>
      </c>
    </row>
    <row r="312" spans="1:70" hidden="1">
      <c r="A312" s="74">
        <v>0</v>
      </c>
      <c r="B312" s="73">
        <v>204966</v>
      </c>
      <c r="C312" s="73" t="s">
        <v>2216</v>
      </c>
      <c r="D312" s="73" t="s">
        <v>2217</v>
      </c>
      <c r="E312" s="73" t="s">
        <v>2218</v>
      </c>
      <c r="F312" s="73">
        <v>18643</v>
      </c>
      <c r="G312" s="73" t="s">
        <v>878</v>
      </c>
      <c r="H312" s="73" t="s">
        <v>911</v>
      </c>
      <c r="I312" s="73" t="s">
        <v>1012</v>
      </c>
      <c r="J312" s="73">
        <v>0</v>
      </c>
      <c r="K312" s="73">
        <v>5</v>
      </c>
      <c r="L312" s="73">
        <v>0</v>
      </c>
      <c r="M312" s="73">
        <v>0</v>
      </c>
      <c r="N312" s="73">
        <v>0</v>
      </c>
      <c r="O312" s="73" t="s">
        <v>1290</v>
      </c>
      <c r="P312" s="73" t="s">
        <v>2219</v>
      </c>
      <c r="Q312" s="73" t="s">
        <v>2219</v>
      </c>
      <c r="R312" s="73">
        <v>0</v>
      </c>
      <c r="S312" s="73">
        <v>0</v>
      </c>
      <c r="T312" s="73">
        <v>10</v>
      </c>
      <c r="U312" s="73">
        <v>0</v>
      </c>
      <c r="V312" s="73">
        <v>180</v>
      </c>
      <c r="W312" s="73">
        <v>0</v>
      </c>
      <c r="X312" s="73">
        <v>0</v>
      </c>
      <c r="Y312" s="73">
        <v>0</v>
      </c>
      <c r="Z312" s="73" t="s">
        <v>1734</v>
      </c>
      <c r="AA312" s="73" t="s">
        <v>690</v>
      </c>
      <c r="AB312" s="73" t="str">
        <f>IF(AA312&lt;&gt;"",INDEX(Lookup!$N$2:$N$5,MATCH(Players!AA312,Lookup!$P$2:$P$5,0)),INDEX(Lookup!$N$2:$N$5,MATCH(Players!O312,Lookup!$O$2:$O$5,0)))</f>
        <v>Goalkeeper</v>
      </c>
      <c r="AC312" s="73">
        <v>3500000</v>
      </c>
      <c r="AD312" s="73" t="s">
        <v>788</v>
      </c>
      <c r="AE312" s="73" t="str">
        <f>INDEX('Translate table'!$H$2:$H$622,MATCH(Players!P312,'Translate table'!$G$2:$G$622,0))</f>
        <v>Pavao Pervan</v>
      </c>
      <c r="AF312" s="73">
        <f>IFERROR(INDEX('Euro Qual stats'!$A$1:$L$2071,MATCH(Players!$AE312,'Euro Qual stats'!$A$1:$A$2071,0),MATCH(Players!AF$2,'Euro Qual stats'!$A$1:$L$1,0)),0)</f>
        <v>1</v>
      </c>
      <c r="AG312" s="73">
        <f>IFERROR(INDEX('Euro Qual stats'!$A$1:$L$2071,MATCH(Players!$AE312,'Euro Qual stats'!$A$1:$A$2071,0),MATCH(Players!AG$2,'Euro Qual stats'!$A$1:$L$1,0)),0)</f>
        <v>0</v>
      </c>
      <c r="AH312" s="73">
        <f>IFERROR(INDEX('Euro Qual stats'!$A$1:$L$2071,MATCH(Players!$AE312,'Euro Qual stats'!$A$1:$A$2071,0),MATCH(Players!AH$2,'Euro Qual stats'!$A$1:$L$1,0)),0)</f>
        <v>0</v>
      </c>
      <c r="AI312" s="73">
        <f>IFERROR(INDEX('Euro Qual stats'!$A$1:$L$2071,MATCH(Players!$AE312,'Euro Qual stats'!$A$1:$A$2071,0),MATCH(Players!AI$2,'Euro Qual stats'!$A$1:$L$1,0)),0)</f>
        <v>0</v>
      </c>
      <c r="AJ312" s="93">
        <f>(12-AF312)/12*INDEX(BV$9:BV$12,MATCH($AB312,$BU$9:$BU$12,0))+AF312/12*AG312</f>
        <v>0</v>
      </c>
      <c r="AK312" s="93">
        <f>(12-AG312)/12*INDEX(BW$9:BW$12,MATCH($AB312,$BU$9:$BU$12,0))+AG312/12*AH312</f>
        <v>0</v>
      </c>
      <c r="AL312" s="93">
        <f>(12-AH312)/12*INDEX(BX$9:BX$12,MATCH($AB312,$BU$9:$BU$12,0))+AH312/12*AI312</f>
        <v>0</v>
      </c>
      <c r="AM312" s="93">
        <f>IF($BC312=1,AJ312/SUMIFS(AJ$3:AJ$623,$BC$3:$BC$623,1,$G$3:$G$623,$G312),0)</f>
        <v>0</v>
      </c>
      <c r="AN312" s="93">
        <f>IF($BC312=1,AK312/SUMIFS(AK$3:AK$623,$BC$3:$BC$623,1,$G$3:$G$623,$G312),0)</f>
        <v>0</v>
      </c>
      <c r="AO312" s="93">
        <f>IF($BC312=1,AL312/SUMIFS(AL$3:AL$623,$BC$3:$BC$623,1,$G$3:$G$623,$G312),0)</f>
        <v>0</v>
      </c>
      <c r="AP312" s="2">
        <f>IFERROR(R312/$V312*90,"")</f>
        <v>0</v>
      </c>
      <c r="AQ312" s="2">
        <f>IFERROR(S312/$V312*90,"")</f>
        <v>0</v>
      </c>
      <c r="AR312" s="2">
        <f>IFERROR(W312/$V312*90,"")</f>
        <v>0</v>
      </c>
      <c r="AS312" s="2">
        <f>IFERROR(X312/$V312*90,"")</f>
        <v>0</v>
      </c>
      <c r="AT312" s="2">
        <f>IFERROR(Y312/$V312*90,"")</f>
        <v>0</v>
      </c>
      <c r="AU312" s="2">
        <f>IF(AP312="",INDEX(BV$4:BV$7,MATCH(O312,$BU$4:$BU$7,0)),AP312)</f>
        <v>0</v>
      </c>
      <c r="AV312" s="2">
        <f>IF(AQ312="",INDEX(BW$4:BW$7,MATCH($O312,$BU$4:$BU$7,0)),AQ312)</f>
        <v>0</v>
      </c>
      <c r="AW312" s="2">
        <f t="shared" si="48"/>
        <v>0</v>
      </c>
      <c r="AX312" s="2">
        <f t="shared" si="49"/>
        <v>0</v>
      </c>
      <c r="AY312" s="2">
        <f t="shared" si="50"/>
        <v>0</v>
      </c>
      <c r="AZ312" s="2">
        <f>AU312*0.5+AK312*0.5</f>
        <v>0</v>
      </c>
      <c r="BA312" s="2">
        <f>AV312*0.5+AJ312*0.5</f>
        <v>0</v>
      </c>
      <c r="BB312" s="2">
        <f t="shared" si="51"/>
        <v>0</v>
      </c>
      <c r="BC312">
        <f>IF(I312="expected",1,0)</f>
        <v>0</v>
      </c>
      <c r="BD312" s="78">
        <f>IF(BC312=1,AZ312/SUMIFS(AZ$3:AZ$623,$BC$3:$BC$623,1,$G$3:$G$623,$G312),0)</f>
        <v>0</v>
      </c>
      <c r="BE312" s="78">
        <f>IF(BC312=1,BA312/SUMIFS(BA$3:BA$623,$BC$3:$BC$623,1,$G$3:$G$623,$G312),0)</f>
        <v>0</v>
      </c>
      <c r="BF312" s="78">
        <f t="shared" si="52"/>
        <v>0</v>
      </c>
      <c r="BG312" s="2">
        <f t="shared" si="53"/>
        <v>0</v>
      </c>
      <c r="BH312" s="2">
        <f t="shared" si="54"/>
        <v>0</v>
      </c>
      <c r="BI312" s="2">
        <f t="shared" si="55"/>
        <v>0</v>
      </c>
      <c r="BJ312" s="2">
        <f t="shared" si="56"/>
        <v>0</v>
      </c>
      <c r="BK312" s="2">
        <f t="shared" si="57"/>
        <v>0</v>
      </c>
      <c r="BL312" s="2">
        <f t="shared" si="58"/>
        <v>0</v>
      </c>
      <c r="BM312" s="2">
        <f t="shared" si="59"/>
        <v>0</v>
      </c>
      <c r="BN312" s="2">
        <f>BI312/SUMIFS(BI$3:BI$623,$BC$3:$BC$623,1,$G$3:$G$623,$G312)</f>
        <v>0</v>
      </c>
      <c r="BO312" s="2">
        <f>BJ312/SUMIFS(BJ$3:BJ$623,$BC$3:$BC$623,1,$G$3:$G$623,$G312)</f>
        <v>0</v>
      </c>
      <c r="BP312" s="2">
        <f>BK312/SUMIFS(BK$3:BK$623,$BC$3:$BC$623,1,$G$3:$G$623,$G312)</f>
        <v>0</v>
      </c>
      <c r="BQ312" s="2">
        <f>BL312</f>
        <v>0</v>
      </c>
      <c r="BR312" s="2">
        <f>BM312</f>
        <v>0</v>
      </c>
    </row>
    <row r="313" spans="1:70" hidden="1">
      <c r="A313" s="74">
        <v>0</v>
      </c>
      <c r="B313" s="73">
        <v>204979</v>
      </c>
      <c r="C313" s="73" t="s">
        <v>2220</v>
      </c>
      <c r="D313" s="73" t="s">
        <v>1585</v>
      </c>
      <c r="E313" s="73" t="s">
        <v>2221</v>
      </c>
      <c r="F313" s="73">
        <v>18643</v>
      </c>
      <c r="G313" s="73" t="s">
        <v>878</v>
      </c>
      <c r="H313" s="73" t="s">
        <v>911</v>
      </c>
      <c r="I313" s="73" t="s">
        <v>981</v>
      </c>
      <c r="J313" s="73">
        <v>0</v>
      </c>
      <c r="K313" s="73">
        <v>5</v>
      </c>
      <c r="L313" s="73">
        <v>0</v>
      </c>
      <c r="M313" s="73">
        <v>0</v>
      </c>
      <c r="N313" s="73">
        <v>0</v>
      </c>
      <c r="O313" s="73" t="s">
        <v>1318</v>
      </c>
      <c r="P313" s="73" t="s">
        <v>2222</v>
      </c>
      <c r="Q313" s="73" t="s">
        <v>2222</v>
      </c>
      <c r="R313" s="73">
        <v>2</v>
      </c>
      <c r="S313" s="73">
        <v>2</v>
      </c>
      <c r="T313" s="73">
        <v>0</v>
      </c>
      <c r="U313" s="73">
        <v>5</v>
      </c>
      <c r="V313" s="73">
        <v>2773</v>
      </c>
      <c r="W313" s="73">
        <v>9</v>
      </c>
      <c r="X313" s="73">
        <v>2</v>
      </c>
      <c r="Y313" s="73">
        <v>0</v>
      </c>
      <c r="Z313" s="73" t="s">
        <v>1734</v>
      </c>
      <c r="AA313" s="73" t="s">
        <v>692</v>
      </c>
      <c r="AB313" s="73" t="str">
        <f>IF(AA313&lt;&gt;"",INDEX(Lookup!$N$2:$N$5,MATCH(Players!AA313,Lookup!$P$2:$P$5,0)),INDEX(Lookup!$N$2:$N$5,MATCH(Players!O313,Lookup!$O$2:$O$5,0)))</f>
        <v>Defense</v>
      </c>
      <c r="AC313" s="73">
        <v>3500000</v>
      </c>
      <c r="AD313" s="73" t="s">
        <v>802</v>
      </c>
      <c r="AE313" s="73" t="str">
        <f>INDEX('Translate table'!$H$2:$H$622,MATCH(Players!P313,'Translate table'!$G$2:$G$622,0))</f>
        <v>Stefan Lainer</v>
      </c>
      <c r="AF313" s="73">
        <f>IFERROR(INDEX('Euro Qual stats'!$A$1:$L$2071,MATCH(Players!$AE313,'Euro Qual stats'!$A$1:$A$2071,0),MATCH(Players!AF$2,'Euro Qual stats'!$A$1:$L$1,0)),0)</f>
        <v>6</v>
      </c>
      <c r="AG313" s="73">
        <f>IFERROR(INDEX('Euro Qual stats'!$A$1:$L$2071,MATCH(Players!$AE313,'Euro Qual stats'!$A$1:$A$2071,0),MATCH(Players!AG$2,'Euro Qual stats'!$A$1:$L$1,0)),0)</f>
        <v>0.17</v>
      </c>
      <c r="AH313" s="73">
        <f>IFERROR(INDEX('Euro Qual stats'!$A$1:$L$2071,MATCH(Players!$AE313,'Euro Qual stats'!$A$1:$A$2071,0),MATCH(Players!AH$2,'Euro Qual stats'!$A$1:$L$1,0)),0)</f>
        <v>0.17</v>
      </c>
      <c r="AI313" s="73">
        <f>IFERROR(INDEX('Euro Qual stats'!$A$1:$L$2071,MATCH(Players!$AE313,'Euro Qual stats'!$A$1:$A$2071,0),MATCH(Players!AI$2,'Euro Qual stats'!$A$1:$L$1,0)),0)</f>
        <v>0</v>
      </c>
      <c r="AJ313" s="93">
        <f>(12-AF313)/12*INDEX(BV$9:BV$12,MATCH($AB313,$BU$9:$BU$12,0))+AF313/12*AG313</f>
        <v>0.12958791208791209</v>
      </c>
      <c r="AK313" s="93">
        <f>(12-AG313)/12*INDEX(BW$9:BW$12,MATCH($AB313,$BU$9:$BU$12,0))+AG313/12*AH313</f>
        <v>0.10451250000000001</v>
      </c>
      <c r="AL313" s="93">
        <f>(12-AH313)/12*INDEX(BX$9:BX$12,MATCH($AB313,$BU$9:$BU$12,0))+AH313/12*AI313</f>
        <v>0.19082916666666658</v>
      </c>
      <c r="AM313" s="93">
        <f>IF($BC313=1,AJ313/SUMIFS(AJ$3:AJ$623,$BC$3:$BC$623,1,$G$3:$G$623,$G313),0)</f>
        <v>0.10978768423713417</v>
      </c>
      <c r="AN313" s="93">
        <f>IF($BC313=1,AK313/SUMIFS(AK$3:AK$623,$BC$3:$BC$623,1,$G$3:$G$623,$G313),0)</f>
        <v>4.1626037350002802E-2</v>
      </c>
      <c r="AO313" s="93">
        <f>IF($BC313=1,AL313/SUMIFS(AL$3:AL$623,$BC$3:$BC$623,1,$G$3:$G$623,$G313),0)</f>
        <v>9.1055346511838303E-2</v>
      </c>
      <c r="AP313" s="2">
        <f>IFERROR(R313/$V313*90,"")</f>
        <v>6.4911648034619546E-2</v>
      </c>
      <c r="AQ313" s="2">
        <f>IFERROR(S313/$V313*90,"")</f>
        <v>6.4911648034619546E-2</v>
      </c>
      <c r="AR313" s="2">
        <f>IFERROR(W313/$V313*90,"")</f>
        <v>0.29210241615578797</v>
      </c>
      <c r="AS313" s="2">
        <f>IFERROR(X313/$V313*90,"")</f>
        <v>6.4911648034619546E-2</v>
      </c>
      <c r="AT313" s="2">
        <f>IFERROR(Y313/$V313*90,"")</f>
        <v>0</v>
      </c>
      <c r="AU313" s="2">
        <f>IF(AP313="",INDEX(BV$4:BV$7,MATCH(O313,$BU$4:$BU$7,0)),AP313)</f>
        <v>6.4911648034619546E-2</v>
      </c>
      <c r="AV313" s="2">
        <f>IF(AQ313="",INDEX(BW$4:BW$7,MATCH($O313,$BU$4:$BU$7,0)),AQ313)</f>
        <v>6.4911648034619546E-2</v>
      </c>
      <c r="AW313" s="2">
        <f t="shared" si="48"/>
        <v>0.29210241615578797</v>
      </c>
      <c r="AX313" s="2">
        <f t="shared" si="49"/>
        <v>6.4911648034619546E-2</v>
      </c>
      <c r="AY313" s="2">
        <f t="shared" si="50"/>
        <v>0</v>
      </c>
      <c r="AZ313" s="2">
        <f>AU313*0.5+AK313*0.5</f>
        <v>8.4712074017309777E-2</v>
      </c>
      <c r="BA313" s="2">
        <f>AV313*0.5+AJ313*0.5</f>
        <v>9.724978006126582E-2</v>
      </c>
      <c r="BB313" s="2">
        <f t="shared" si="51"/>
        <v>3.2455824017309773E-2</v>
      </c>
      <c r="BC313">
        <f>IF(I313="expected",1,0)</f>
        <v>1</v>
      </c>
      <c r="BD313" s="78">
        <f>IF(BC313=1,AZ313/SUMIFS(AZ$3:AZ$623,$BC$3:$BC$623,1,$G$3:$G$623,$G313),0)</f>
        <v>4.2429157704739366E-2</v>
      </c>
      <c r="BE313" s="78">
        <f>IF(BC313=1,BA313/SUMIFS(BA$3:BA$623,$BC$3:$BC$623,1,$G$3:$G$623,$G313),0)</f>
        <v>0.10487560628852526</v>
      </c>
      <c r="BF313" s="78">
        <f t="shared" si="52"/>
        <v>7.9380830721839032E-2</v>
      </c>
      <c r="BG313" s="2">
        <f t="shared" si="53"/>
        <v>3.2455824017309773E-2</v>
      </c>
      <c r="BH313" s="2">
        <f t="shared" si="54"/>
        <v>0</v>
      </c>
      <c r="BI313" s="2">
        <f t="shared" si="55"/>
        <v>4.2429157704739366E-2</v>
      </c>
      <c r="BJ313" s="2">
        <f t="shared" si="56"/>
        <v>0.10487560628852526</v>
      </c>
      <c r="BK313" s="2">
        <f t="shared" si="57"/>
        <v>7.9380830721839032E-2</v>
      </c>
      <c r="BL313" s="2">
        <f t="shared" si="58"/>
        <v>3.2455824017309773E-2</v>
      </c>
      <c r="BM313" s="2">
        <f t="shared" si="59"/>
        <v>0</v>
      </c>
      <c r="BN313" s="2">
        <f>BI313/SUMIFS(BI$3:BI$623,$BC$3:$BC$623,1,$G$3:$G$623,$G313)</f>
        <v>4.2429157704739366E-2</v>
      </c>
      <c r="BO313" s="2">
        <f>BJ313/SUMIFS(BJ$3:BJ$623,$BC$3:$BC$623,1,$G$3:$G$623,$G313)</f>
        <v>0.10487560628852526</v>
      </c>
      <c r="BP313" s="2">
        <f>BK313/SUMIFS(BK$3:BK$623,$BC$3:$BC$623,1,$G$3:$G$623,$G313)</f>
        <v>8.1970839567901688E-2</v>
      </c>
      <c r="BQ313" s="2">
        <f>BL313</f>
        <v>3.2455824017309773E-2</v>
      </c>
      <c r="BR313" s="2">
        <f>BM313</f>
        <v>0</v>
      </c>
    </row>
    <row r="314" spans="1:70" hidden="1">
      <c r="A314" s="74">
        <v>0</v>
      </c>
      <c r="B314" s="73">
        <v>204969</v>
      </c>
      <c r="C314" s="73" t="s">
        <v>2223</v>
      </c>
      <c r="D314" s="73" t="s">
        <v>1472</v>
      </c>
      <c r="E314" s="73" t="s">
        <v>2224</v>
      </c>
      <c r="F314" s="73">
        <v>18643</v>
      </c>
      <c r="G314" s="73" t="s">
        <v>878</v>
      </c>
      <c r="H314" s="73" t="s">
        <v>911</v>
      </c>
      <c r="I314" s="73" t="s">
        <v>981</v>
      </c>
      <c r="J314" s="73">
        <v>0</v>
      </c>
      <c r="K314" s="73">
        <v>5</v>
      </c>
      <c r="L314" s="73">
        <v>0</v>
      </c>
      <c r="M314" s="73">
        <v>0</v>
      </c>
      <c r="N314" s="73">
        <v>0</v>
      </c>
      <c r="O314" s="73" t="s">
        <v>1318</v>
      </c>
      <c r="P314" s="73" t="s">
        <v>2225</v>
      </c>
      <c r="Q314" s="73" t="s">
        <v>2225</v>
      </c>
      <c r="R314" s="73">
        <v>2</v>
      </c>
      <c r="S314" s="73">
        <v>3</v>
      </c>
      <c r="T314" s="73">
        <v>0</v>
      </c>
      <c r="U314" s="73">
        <v>7</v>
      </c>
      <c r="V314" s="73">
        <v>2676</v>
      </c>
      <c r="W314" s="73">
        <v>6</v>
      </c>
      <c r="X314" s="73">
        <v>4</v>
      </c>
      <c r="Y314" s="73">
        <v>0</v>
      </c>
      <c r="Z314" s="73" t="s">
        <v>1734</v>
      </c>
      <c r="AA314" s="73" t="s">
        <v>691</v>
      </c>
      <c r="AB314" s="73" t="str">
        <f>IF(AA314&lt;&gt;"",INDEX(Lookup!$N$2:$N$5,MATCH(Players!AA314,Lookup!$P$2:$P$5,0)),INDEX(Lookup!$N$2:$N$5,MATCH(Players!O314,Lookup!$O$2:$O$5,0)))</f>
        <v>Midfield</v>
      </c>
      <c r="AC314" s="73">
        <v>4000000</v>
      </c>
      <c r="AD314" s="73" t="s">
        <v>843</v>
      </c>
      <c r="AE314" s="73" t="str">
        <f>INDEX('Translate table'!$H$2:$H$622,MATCH(Players!P314,'Translate table'!$G$2:$G$622,0))</f>
        <v>David Alaba</v>
      </c>
      <c r="AF314" s="73">
        <f>IFERROR(INDEX('Euro Qual stats'!$A$1:$L$2071,MATCH(Players!$AE314,'Euro Qual stats'!$A$1:$A$2071,0),MATCH(Players!AF$2,'Euro Qual stats'!$A$1:$L$1,0)),0)</f>
        <v>5</v>
      </c>
      <c r="AG314" s="73">
        <f>IFERROR(INDEX('Euro Qual stats'!$A$1:$L$2071,MATCH(Players!$AE314,'Euro Qual stats'!$A$1:$A$2071,0),MATCH(Players!AG$2,'Euro Qual stats'!$A$1:$L$1,0)),0)</f>
        <v>0</v>
      </c>
      <c r="AH314" s="73">
        <f>IFERROR(INDEX('Euro Qual stats'!$A$1:$L$2071,MATCH(Players!$AE314,'Euro Qual stats'!$A$1:$A$2071,0),MATCH(Players!AH$2,'Euro Qual stats'!$A$1:$L$1,0)),0)</f>
        <v>0.2</v>
      </c>
      <c r="AI314" s="73">
        <f>IFERROR(INDEX('Euro Qual stats'!$A$1:$L$2071,MATCH(Players!$AE314,'Euro Qual stats'!$A$1:$A$2071,0),MATCH(Players!AI$2,'Euro Qual stats'!$A$1:$L$1,0)),0)</f>
        <v>0.2</v>
      </c>
      <c r="AJ314" s="93">
        <f>(12-AF314)/12*INDEX(BV$9:BV$12,MATCH($AB314,$BU$9:$BU$12,0))+AF314/12*AG314</f>
        <v>9.8403141361256552E-2</v>
      </c>
      <c r="AK314" s="93">
        <f>(12-AG314)/12*INDEX(BW$9:BW$12,MATCH($AB314,$BU$9:$BU$12,0))+AG314/12*AH314</f>
        <v>0.22340314136125652</v>
      </c>
      <c r="AL314" s="93">
        <f>(12-AH314)/12*INDEX(BX$9:BX$12,MATCH($AB314,$BU$9:$BU$12,0))+AH314/12*AI314</f>
        <v>0.23876701570680631</v>
      </c>
      <c r="AM314" s="93">
        <f>IF($BC314=1,AJ314/SUMIFS(AJ$3:AJ$623,$BC$3:$BC$623,1,$G$3:$G$623,$G314),0)</f>
        <v>8.3367752729766015E-2</v>
      </c>
      <c r="AN314" s="93">
        <f>IF($BC314=1,AK314/SUMIFS(AK$3:AK$623,$BC$3:$BC$623,1,$G$3:$G$623,$G314),0)</f>
        <v>8.897871074188847E-2</v>
      </c>
      <c r="AO314" s="93">
        <f>IF($BC314=1,AL314/SUMIFS(AL$3:AL$623,$BC$3:$BC$623,1,$G$3:$G$623,$G314),0)</f>
        <v>0.11392919505201841</v>
      </c>
      <c r="AP314" s="2">
        <f>IFERROR(R314/$V314*90,"")</f>
        <v>6.726457399103139E-2</v>
      </c>
      <c r="AQ314" s="2">
        <f>IFERROR(S314/$V314*90,"")</f>
        <v>0.10089686098654709</v>
      </c>
      <c r="AR314" s="2">
        <f>IFERROR(W314/$V314*90,"")</f>
        <v>0.20179372197309417</v>
      </c>
      <c r="AS314" s="2">
        <f>IFERROR(X314/$V314*90,"")</f>
        <v>0.13452914798206278</v>
      </c>
      <c r="AT314" s="2">
        <f>IFERROR(Y314/$V314*90,"")</f>
        <v>0</v>
      </c>
      <c r="AU314" s="2">
        <f>IF(AP314="",INDEX(BV$4:BV$7,MATCH(O314,$BU$4:$BU$7,0)),AP314)</f>
        <v>6.726457399103139E-2</v>
      </c>
      <c r="AV314" s="2">
        <f>IF(AQ314="",INDEX(BW$4:BW$7,MATCH($O314,$BU$4:$BU$7,0)),AQ314)</f>
        <v>0.10089686098654709</v>
      </c>
      <c r="AW314" s="2">
        <f t="shared" si="48"/>
        <v>0.20179372197309417</v>
      </c>
      <c r="AX314" s="2">
        <f t="shared" si="49"/>
        <v>0.13452914798206278</v>
      </c>
      <c r="AY314" s="2">
        <f t="shared" si="50"/>
        <v>0</v>
      </c>
      <c r="AZ314" s="2">
        <f>AU314*0.5+AK314*0.5</f>
        <v>0.14533385767614396</v>
      </c>
      <c r="BA314" s="2">
        <f>AV314*0.5+AJ314*0.5</f>
        <v>9.9650001173901825E-2</v>
      </c>
      <c r="BB314" s="2">
        <f t="shared" si="51"/>
        <v>0.1672645739910314</v>
      </c>
      <c r="BC314">
        <f>IF(I314="expected",1,0)</f>
        <v>1</v>
      </c>
      <c r="BD314" s="78">
        <f>IF(BC314=1,AZ314/SUMIFS(AZ$3:AZ$623,$BC$3:$BC$623,1,$G$3:$G$623,$G314),0)</f>
        <v>7.2792376278253301E-2</v>
      </c>
      <c r="BE314" s="78">
        <f>IF(BC314=1,BA314/SUMIFS(BA$3:BA$623,$BC$3:$BC$623,1,$G$3:$G$623,$G314),0)</f>
        <v>0.10746404036267573</v>
      </c>
      <c r="BF314" s="78">
        <f t="shared" si="52"/>
        <v>5.4838825010378588E-2</v>
      </c>
      <c r="BG314" s="2">
        <f t="shared" si="53"/>
        <v>0.1672645739910314</v>
      </c>
      <c r="BH314" s="2">
        <f t="shared" si="54"/>
        <v>0</v>
      </c>
      <c r="BI314" s="2">
        <f t="shared" si="55"/>
        <v>7.2792376278253301E-2</v>
      </c>
      <c r="BJ314" s="2">
        <f t="shared" si="56"/>
        <v>0.10746404036267573</v>
      </c>
      <c r="BK314" s="2">
        <f t="shared" si="57"/>
        <v>5.4838825010378588E-2</v>
      </c>
      <c r="BL314" s="2">
        <f t="shared" si="58"/>
        <v>0.1672645739910314</v>
      </c>
      <c r="BM314" s="2">
        <f t="shared" si="59"/>
        <v>0</v>
      </c>
      <c r="BN314" s="2">
        <f>BI314/SUMIFS(BI$3:BI$623,$BC$3:$BC$623,1,$G$3:$G$623,$G314)</f>
        <v>7.2792376278253301E-2</v>
      </c>
      <c r="BO314" s="2">
        <f>BJ314/SUMIFS(BJ$3:BJ$623,$BC$3:$BC$623,1,$G$3:$G$623,$G314)</f>
        <v>0.10746404036267573</v>
      </c>
      <c r="BP314" s="2">
        <f>BK314/SUMIFS(BK$3:BK$623,$BC$3:$BC$623,1,$G$3:$G$623,$G314)</f>
        <v>5.6628086228647581E-2</v>
      </c>
      <c r="BQ314" s="2">
        <f>BL314</f>
        <v>0.1672645739910314</v>
      </c>
      <c r="BR314" s="2">
        <f>BM314</f>
        <v>0</v>
      </c>
    </row>
    <row r="315" spans="1:70" hidden="1">
      <c r="A315" s="74">
        <v>0</v>
      </c>
      <c r="B315" s="73">
        <v>204981</v>
      </c>
      <c r="C315" s="73" t="s">
        <v>2226</v>
      </c>
      <c r="D315" s="73" t="s">
        <v>2227</v>
      </c>
      <c r="E315" s="73" t="s">
        <v>2228</v>
      </c>
      <c r="F315" s="73">
        <v>18643</v>
      </c>
      <c r="G315" s="73" t="s">
        <v>878</v>
      </c>
      <c r="H315" s="73" t="s">
        <v>911</v>
      </c>
      <c r="I315" s="73" t="s">
        <v>981</v>
      </c>
      <c r="J315" s="73">
        <v>0</v>
      </c>
      <c r="K315" s="73">
        <v>5</v>
      </c>
      <c r="L315" s="73">
        <v>0</v>
      </c>
      <c r="M315" s="73">
        <v>0</v>
      </c>
      <c r="N315" s="73">
        <v>0</v>
      </c>
      <c r="O315" s="73" t="s">
        <v>994</v>
      </c>
      <c r="P315" s="73" t="s">
        <v>2229</v>
      </c>
      <c r="Q315" s="73" t="s">
        <v>2230</v>
      </c>
      <c r="R315" s="73">
        <v>6</v>
      </c>
      <c r="S315" s="73">
        <v>3</v>
      </c>
      <c r="T315" s="73">
        <v>0</v>
      </c>
      <c r="U315" s="73">
        <v>3</v>
      </c>
      <c r="V315" s="73">
        <v>2378</v>
      </c>
      <c r="W315" s="73">
        <v>22</v>
      </c>
      <c r="X315" s="73">
        <v>7</v>
      </c>
      <c r="Y315" s="73">
        <v>0</v>
      </c>
      <c r="Z315" s="73" t="s">
        <v>1734</v>
      </c>
      <c r="AA315" s="73" t="s">
        <v>691</v>
      </c>
      <c r="AB315" s="73" t="str">
        <f>IF(AA315&lt;&gt;"",INDEX(Lookup!$N$2:$N$5,MATCH(Players!AA315,Lookup!$P$2:$P$5,0)),INDEX(Lookup!$N$2:$N$5,MATCH(Players!O315,Lookup!$O$2:$O$5,0)))</f>
        <v>Midfield</v>
      </c>
      <c r="AC315" s="73">
        <v>3500000</v>
      </c>
      <c r="AD315" s="73" t="s">
        <v>813</v>
      </c>
      <c r="AE315" s="73" t="str">
        <f>INDEX('Translate table'!$H$2:$H$622,MATCH(Players!P315,'Translate table'!$G$2:$G$622,0))</f>
        <v>Julian Baumgartlinger</v>
      </c>
      <c r="AF315" s="73">
        <f>IFERROR(INDEX('Euro Qual stats'!$A$1:$L$2071,MATCH(Players!$AE315,'Euro Qual stats'!$A$1:$A$2071,0),MATCH(Players!AF$2,'Euro Qual stats'!$A$1:$L$1,0)),0)</f>
        <v>8</v>
      </c>
      <c r="AG315" s="73">
        <f>IFERROR(INDEX('Euro Qual stats'!$A$1:$L$2071,MATCH(Players!$AE315,'Euro Qual stats'!$A$1:$A$2071,0),MATCH(Players!AG$2,'Euro Qual stats'!$A$1:$L$1,0)),0)</f>
        <v>0</v>
      </c>
      <c r="AH315" s="73">
        <f>IFERROR(INDEX('Euro Qual stats'!$A$1:$L$2071,MATCH(Players!$AE315,'Euro Qual stats'!$A$1:$A$2071,0),MATCH(Players!AH$2,'Euro Qual stats'!$A$1:$L$1,0)),0)</f>
        <v>0</v>
      </c>
      <c r="AI315" s="73">
        <f>IFERROR(INDEX('Euro Qual stats'!$A$1:$L$2071,MATCH(Players!$AE315,'Euro Qual stats'!$A$1:$A$2071,0),MATCH(Players!AI$2,'Euro Qual stats'!$A$1:$L$1,0)),0)</f>
        <v>0.14000000000000001</v>
      </c>
      <c r="AJ315" s="93">
        <f>(12-AF315)/12*INDEX(BV$9:BV$12,MATCH($AB315,$BU$9:$BU$12,0))+AF315/12*AG315</f>
        <v>5.6230366492146591E-2</v>
      </c>
      <c r="AK315" s="93">
        <f>(12-AG315)/12*INDEX(BW$9:BW$12,MATCH($AB315,$BU$9:$BU$12,0))+AG315/12*AH315</f>
        <v>0.22340314136125652</v>
      </c>
      <c r="AL315" s="93">
        <f>(12-AH315)/12*INDEX(BX$9:BX$12,MATCH($AB315,$BU$9:$BU$12,0))+AH315/12*AI315</f>
        <v>0.23942408376963353</v>
      </c>
      <c r="AM315" s="93">
        <f>IF($BC315=1,AJ315/SUMIFS(AJ$3:AJ$623,$BC$3:$BC$623,1,$G$3:$G$623,$G315),0)</f>
        <v>4.7638715845580569E-2</v>
      </c>
      <c r="AN315" s="93">
        <f>IF($BC315=1,AK315/SUMIFS(AK$3:AK$623,$BC$3:$BC$623,1,$G$3:$G$623,$G315),0)</f>
        <v>8.897871074188847E-2</v>
      </c>
      <c r="AO315" s="93">
        <f>IF($BC315=1,AL315/SUMIFS(AL$3:AL$623,$BC$3:$BC$623,1,$G$3:$G$623,$G315),0)</f>
        <v>0.11424271924325016</v>
      </c>
      <c r="AP315" s="2">
        <f>IFERROR(R315/$V315*90,"")</f>
        <v>0.2270815811606392</v>
      </c>
      <c r="AQ315" s="2">
        <f>IFERROR(S315/$V315*90,"")</f>
        <v>0.1135407905803196</v>
      </c>
      <c r="AR315" s="2">
        <f>IFERROR(W315/$V315*90,"")</f>
        <v>0.83263246425567694</v>
      </c>
      <c r="AS315" s="2">
        <f>IFERROR(X315/$V315*90,"")</f>
        <v>0.26492851135407908</v>
      </c>
      <c r="AT315" s="2">
        <f>IFERROR(Y315/$V315*90,"")</f>
        <v>0</v>
      </c>
      <c r="AU315" s="2">
        <f>IF(AP315="",INDEX(BV$4:BV$7,MATCH(O315,$BU$4:$BU$7,0)),AP315)</f>
        <v>0.2270815811606392</v>
      </c>
      <c r="AV315" s="2">
        <f>IF(AQ315="",INDEX(BW$4:BW$7,MATCH($O315,$BU$4:$BU$7,0)),AQ315)</f>
        <v>0.1135407905803196</v>
      </c>
      <c r="AW315" s="2">
        <f t="shared" si="48"/>
        <v>0.83263246425567694</v>
      </c>
      <c r="AX315" s="2">
        <f t="shared" si="49"/>
        <v>0.26492851135407908</v>
      </c>
      <c r="AY315" s="2">
        <f t="shared" si="50"/>
        <v>0</v>
      </c>
      <c r="AZ315" s="2">
        <f>AU315*0.5+AK315*0.5</f>
        <v>0.22524236126094788</v>
      </c>
      <c r="BA315" s="2">
        <f>AV315*0.5+AJ315*0.5</f>
        <v>8.4885578536233103E-2</v>
      </c>
      <c r="BB315" s="2">
        <f t="shared" si="51"/>
        <v>0.20246425567703955</v>
      </c>
      <c r="BC315">
        <f>IF(I315="expected",1,0)</f>
        <v>1</v>
      </c>
      <c r="BD315" s="78">
        <f>IF(BC315=1,AZ315/SUMIFS(AZ$3:AZ$623,$BC$3:$BC$623,1,$G$3:$G$623,$G315),0)</f>
        <v>0.11281560248159928</v>
      </c>
      <c r="BE315" s="78">
        <f>IF(BC315=1,BA315/SUMIFS(BA$3:BA$623,$BC$3:$BC$623,1,$G$3:$G$623,$G315),0)</f>
        <v>9.1541867843107569E-2</v>
      </c>
      <c r="BF315" s="78">
        <f t="shared" si="52"/>
        <v>0.22627357064837453</v>
      </c>
      <c r="BG315" s="2">
        <f t="shared" si="53"/>
        <v>0.20246425567703955</v>
      </c>
      <c r="BH315" s="2">
        <f t="shared" si="54"/>
        <v>0</v>
      </c>
      <c r="BI315" s="2">
        <f t="shared" si="55"/>
        <v>0.11281560248159928</v>
      </c>
      <c r="BJ315" s="2">
        <f t="shared" si="56"/>
        <v>9.1541867843107569E-2</v>
      </c>
      <c r="BK315" s="2">
        <f t="shared" si="57"/>
        <v>0.22627357064837453</v>
      </c>
      <c r="BL315" s="2">
        <f t="shared" si="58"/>
        <v>0.20246425567703955</v>
      </c>
      <c r="BM315" s="2">
        <f t="shared" si="59"/>
        <v>0</v>
      </c>
      <c r="BN315" s="2">
        <f>BI315/SUMIFS(BI$3:BI$623,$BC$3:$BC$623,1,$G$3:$G$623,$G315)</f>
        <v>0.11281560248159928</v>
      </c>
      <c r="BO315" s="2">
        <f>BJ315/SUMIFS(BJ$3:BJ$623,$BC$3:$BC$623,1,$G$3:$G$623,$G315)</f>
        <v>9.1541867843107569E-2</v>
      </c>
      <c r="BP315" s="2">
        <f>BK315/SUMIFS(BK$3:BK$623,$BC$3:$BC$623,1,$G$3:$G$623,$G315)</f>
        <v>0.23365634233620267</v>
      </c>
      <c r="BQ315" s="2">
        <f>BL315</f>
        <v>0.20246425567703955</v>
      </c>
      <c r="BR315" s="2">
        <f>BM315</f>
        <v>0</v>
      </c>
    </row>
    <row r="316" spans="1:70" hidden="1">
      <c r="A316" s="74">
        <v>0</v>
      </c>
      <c r="B316" s="73">
        <v>204950</v>
      </c>
      <c r="C316" s="73" t="s">
        <v>2231</v>
      </c>
      <c r="D316" s="73" t="s">
        <v>1538</v>
      </c>
      <c r="E316" s="73" t="s">
        <v>2232</v>
      </c>
      <c r="F316" s="73">
        <v>18583</v>
      </c>
      <c r="G316" s="73" t="s">
        <v>869</v>
      </c>
      <c r="H316" s="73" t="s">
        <v>905</v>
      </c>
      <c r="I316" s="73" t="s">
        <v>1012</v>
      </c>
      <c r="J316" s="73">
        <v>0</v>
      </c>
      <c r="K316" s="73">
        <v>5</v>
      </c>
      <c r="L316" s="73">
        <v>0</v>
      </c>
      <c r="M316" s="73">
        <v>0</v>
      </c>
      <c r="N316" s="73">
        <v>0</v>
      </c>
      <c r="O316" s="73" t="s">
        <v>1290</v>
      </c>
      <c r="P316" s="73" t="s">
        <v>507</v>
      </c>
      <c r="Q316" s="73" t="s">
        <v>675</v>
      </c>
      <c r="R316" s="73">
        <v>0</v>
      </c>
      <c r="S316" s="73">
        <v>0</v>
      </c>
      <c r="T316" s="73">
        <v>0</v>
      </c>
      <c r="U316" s="73">
        <v>0</v>
      </c>
      <c r="V316" s="73">
        <v>0</v>
      </c>
      <c r="W316" s="73">
        <v>0</v>
      </c>
      <c r="X316" s="73">
        <v>0</v>
      </c>
      <c r="Y316" s="73">
        <v>0</v>
      </c>
      <c r="Z316" s="73" t="s">
        <v>1267</v>
      </c>
      <c r="AA316" s="73" t="s">
        <v>690</v>
      </c>
      <c r="AB316" s="73" t="str">
        <f>IF(AA316&lt;&gt;"",INDEX(Lookup!$N$2:$N$5,MATCH(Players!AA316,Lookup!$P$2:$P$5,0)),INDEX(Lookup!$N$2:$N$5,MATCH(Players!O316,Lookup!$O$2:$O$5,0)))</f>
        <v>Goalkeeper</v>
      </c>
      <c r="AC316" s="73">
        <v>4500000</v>
      </c>
      <c r="AD316" s="73" t="s">
        <v>788</v>
      </c>
      <c r="AE316" s="73" t="str">
        <f>INDEX('Translate table'!$H$2:$H$622,MATCH(Players!P316,'Translate table'!$G$2:$G$622,0))</f>
        <v>Jonas LÃ¶ssl</v>
      </c>
      <c r="AF316" s="73">
        <f>IFERROR(INDEX('Euro Qual stats'!$A$1:$L$2071,MATCH(Players!$AE316,'Euro Qual stats'!$A$1:$A$2071,0),MATCH(Players!AF$2,'Euro Qual stats'!$A$1:$L$1,0)),0)</f>
        <v>0</v>
      </c>
      <c r="AG316" s="73">
        <f>IFERROR(INDEX('Euro Qual stats'!$A$1:$L$2071,MATCH(Players!$AE316,'Euro Qual stats'!$A$1:$A$2071,0),MATCH(Players!AG$2,'Euro Qual stats'!$A$1:$L$1,0)),0)</f>
        <v>0</v>
      </c>
      <c r="AH316" s="73">
        <f>IFERROR(INDEX('Euro Qual stats'!$A$1:$L$2071,MATCH(Players!$AE316,'Euro Qual stats'!$A$1:$A$2071,0),MATCH(Players!AH$2,'Euro Qual stats'!$A$1:$L$1,0)),0)</f>
        <v>0</v>
      </c>
      <c r="AI316" s="73">
        <f>IFERROR(INDEX('Euro Qual stats'!$A$1:$L$2071,MATCH(Players!$AE316,'Euro Qual stats'!$A$1:$A$2071,0),MATCH(Players!AI$2,'Euro Qual stats'!$A$1:$L$1,0)),0)</f>
        <v>0</v>
      </c>
      <c r="AJ316" s="93">
        <f>(12-AF316)/12*INDEX(BV$9:BV$12,MATCH($AB316,$BU$9:$BU$12,0))+AF316/12*AG316</f>
        <v>0</v>
      </c>
      <c r="AK316" s="93">
        <f>(12-AG316)/12*INDEX(BW$9:BW$12,MATCH($AB316,$BU$9:$BU$12,0))+AG316/12*AH316</f>
        <v>0</v>
      </c>
      <c r="AL316" s="93">
        <f>(12-AH316)/12*INDEX(BX$9:BX$12,MATCH($AB316,$BU$9:$BU$12,0))+AH316/12*AI316</f>
        <v>0</v>
      </c>
      <c r="AM316" s="93">
        <f>IF($BC316=1,AJ316/SUMIFS(AJ$3:AJ$623,$BC$3:$BC$623,1,$G$3:$G$623,$G316),0)</f>
        <v>0</v>
      </c>
      <c r="AN316" s="93">
        <f>IF($BC316=1,AK316/SUMIFS(AK$3:AK$623,$BC$3:$BC$623,1,$G$3:$G$623,$G316),0)</f>
        <v>0</v>
      </c>
      <c r="AO316" s="93">
        <f>IF($BC316=1,AL316/SUMIFS(AL$3:AL$623,$BC$3:$BC$623,1,$G$3:$G$623,$G316),0)</f>
        <v>0</v>
      </c>
      <c r="AP316" s="2" t="str">
        <f>IFERROR(R316/$V316*90,"")</f>
        <v/>
      </c>
      <c r="AQ316" s="2" t="str">
        <f>IFERROR(S316/$V316*90,"")</f>
        <v/>
      </c>
      <c r="AR316" s="2" t="str">
        <f>IFERROR(W316/$V316*90,"")</f>
        <v/>
      </c>
      <c r="AS316" s="2" t="str">
        <f>IFERROR(X316/$V316*90,"")</f>
        <v/>
      </c>
      <c r="AT316" s="2" t="str">
        <f>IFERROR(Y316/$V316*90,"")</f>
        <v/>
      </c>
      <c r="AU316" s="2">
        <f>IF(AP316="",INDEX(BV$4:BV$7,MATCH(O316,$BU$4:$BU$7,0)),AP316)</f>
        <v>0</v>
      </c>
      <c r="AV316" s="2">
        <f>IF(AQ316="",INDEX(BW$4:BW$7,MATCH($O316,$BU$4:$BU$7,0)),AQ316)</f>
        <v>0</v>
      </c>
      <c r="AW316" s="2">
        <f t="shared" si="48"/>
        <v>0</v>
      </c>
      <c r="AX316" s="2">
        <f t="shared" si="49"/>
        <v>0</v>
      </c>
      <c r="AY316" s="2">
        <f t="shared" si="50"/>
        <v>0</v>
      </c>
      <c r="AZ316" s="2">
        <f>AU316*0.5+AK316*0.5</f>
        <v>0</v>
      </c>
      <c r="BA316" s="2">
        <f>AV316*0.5+AJ316*0.5</f>
        <v>0</v>
      </c>
      <c r="BB316" s="2">
        <f t="shared" si="51"/>
        <v>0</v>
      </c>
      <c r="BC316">
        <f>IF(I316="expected",1,0)</f>
        <v>0</v>
      </c>
      <c r="BD316" s="78">
        <f>IF(BC316=1,AZ316/SUMIFS(AZ$3:AZ$623,$BC$3:$BC$623,1,$G$3:$G$623,$G316),0)</f>
        <v>0</v>
      </c>
      <c r="BE316" s="78">
        <f>IF(BC316=1,BA316/SUMIFS(BA$3:BA$623,$BC$3:$BC$623,1,$G$3:$G$623,$G316),0)</f>
        <v>0</v>
      </c>
      <c r="BF316" s="78">
        <f t="shared" si="52"/>
        <v>0</v>
      </c>
      <c r="BG316" s="2">
        <f t="shared" si="53"/>
        <v>0</v>
      </c>
      <c r="BH316" s="2">
        <f t="shared" si="54"/>
        <v>0</v>
      </c>
      <c r="BI316" s="2">
        <f t="shared" si="55"/>
        <v>0</v>
      </c>
      <c r="BJ316" s="2">
        <f t="shared" si="56"/>
        <v>0</v>
      </c>
      <c r="BK316" s="2">
        <f t="shared" si="57"/>
        <v>0</v>
      </c>
      <c r="BL316" s="2">
        <f t="shared" si="58"/>
        <v>0</v>
      </c>
      <c r="BM316" s="2">
        <f t="shared" si="59"/>
        <v>0</v>
      </c>
      <c r="BN316" s="2">
        <f>BI316/SUMIFS(BI$3:BI$623,$BC$3:$BC$623,1,$G$3:$G$623,$G316)</f>
        <v>0</v>
      </c>
      <c r="BO316" s="2">
        <f>BJ316/SUMIFS(BJ$3:BJ$623,$BC$3:$BC$623,1,$G$3:$G$623,$G316)</f>
        <v>0</v>
      </c>
      <c r="BP316" s="2">
        <f>BK316/SUMIFS(BK$3:BK$623,$BC$3:$BC$623,1,$G$3:$G$623,$G316)</f>
        <v>0</v>
      </c>
      <c r="BQ316" s="2">
        <f>BL316</f>
        <v>0</v>
      </c>
      <c r="BR316" s="2">
        <f>BM316</f>
        <v>0</v>
      </c>
    </row>
    <row r="317" spans="1:70" hidden="1">
      <c r="A317" s="74">
        <v>0</v>
      </c>
      <c r="B317" s="73">
        <v>204942</v>
      </c>
      <c r="C317" s="73" t="s">
        <v>2233</v>
      </c>
      <c r="D317" s="73" t="s">
        <v>1819</v>
      </c>
      <c r="E317" s="73" t="s">
        <v>2234</v>
      </c>
      <c r="F317" s="73">
        <v>18583</v>
      </c>
      <c r="G317" s="73" t="s">
        <v>869</v>
      </c>
      <c r="H317" s="73" t="s">
        <v>905</v>
      </c>
      <c r="I317" s="73" t="s">
        <v>981</v>
      </c>
      <c r="J317" s="73">
        <v>0</v>
      </c>
      <c r="K317" s="73">
        <v>5</v>
      </c>
      <c r="L317" s="73">
        <v>0</v>
      </c>
      <c r="M317" s="73">
        <v>0</v>
      </c>
      <c r="N317" s="73">
        <v>0</v>
      </c>
      <c r="O317" s="73" t="s">
        <v>1318</v>
      </c>
      <c r="P317" s="73" t="s">
        <v>2235</v>
      </c>
      <c r="Q317" s="73" t="s">
        <v>2235</v>
      </c>
      <c r="R317" s="73">
        <v>0</v>
      </c>
      <c r="S317" s="73">
        <v>2</v>
      </c>
      <c r="T317" s="73">
        <v>0</v>
      </c>
      <c r="U317" s="73">
        <v>8</v>
      </c>
      <c r="V317" s="73">
        <v>2396</v>
      </c>
      <c r="W317" s="73">
        <v>2</v>
      </c>
      <c r="X317" s="73">
        <v>3</v>
      </c>
      <c r="Y317" s="73">
        <v>0</v>
      </c>
      <c r="Z317" s="73" t="s">
        <v>1267</v>
      </c>
      <c r="AA317" s="73" t="s">
        <v>692</v>
      </c>
      <c r="AB317" s="73" t="str">
        <f>IF(AA317&lt;&gt;"",INDEX(Lookup!$N$2:$N$5,MATCH(Players!AA317,Lookup!$P$2:$P$5,0)),INDEX(Lookup!$N$2:$N$5,MATCH(Players!O317,Lookup!$O$2:$O$5,0)))</f>
        <v>Defense</v>
      </c>
      <c r="AC317" s="73">
        <v>4000000</v>
      </c>
      <c r="AD317" s="73" t="s">
        <v>2236</v>
      </c>
      <c r="AE317" s="73" t="str">
        <f>INDEX('Translate table'!$H$2:$H$622,MATCH(Players!P317,'Translate table'!$G$2:$G$622,0))</f>
        <v>Simon KjÃ¦r</v>
      </c>
      <c r="AF317" s="73">
        <f>IFERROR(INDEX('Euro Qual stats'!$A$1:$L$2071,MATCH(Players!$AE317,'Euro Qual stats'!$A$1:$A$2071,0),MATCH(Players!AF$2,'Euro Qual stats'!$A$1:$L$1,0)),0)</f>
        <v>8</v>
      </c>
      <c r="AG317" s="73">
        <f>IFERROR(INDEX('Euro Qual stats'!$A$1:$L$2071,MATCH(Players!$AE317,'Euro Qual stats'!$A$1:$A$2071,0),MATCH(Players!AG$2,'Euro Qual stats'!$A$1:$L$1,0)),0)</f>
        <v>0.28000000000000003</v>
      </c>
      <c r="AH317" s="73">
        <f>IFERROR(INDEX('Euro Qual stats'!$A$1:$L$2071,MATCH(Players!$AE317,'Euro Qual stats'!$A$1:$A$2071,0),MATCH(Players!AH$2,'Euro Qual stats'!$A$1:$L$1,0)),0)</f>
        <v>0</v>
      </c>
      <c r="AI317" s="73">
        <f>IFERROR(INDEX('Euro Qual stats'!$A$1:$L$2071,MATCH(Players!$AE317,'Euro Qual stats'!$A$1:$A$2071,0),MATCH(Players!AI$2,'Euro Qual stats'!$A$1:$L$1,0)),0)</f>
        <v>0.14000000000000001</v>
      </c>
      <c r="AJ317" s="93">
        <f>(12-AF317)/12*INDEX(BV$9:BV$12,MATCH($AB317,$BU$9:$BU$12,0))+AF317/12*AG317</f>
        <v>0.2163919413919414</v>
      </c>
      <c r="AK317" s="93">
        <f>(12-AG317)/12*INDEX(BW$9:BW$12,MATCH($AB317,$BU$9:$BU$12,0))+AG317/12*AH317</f>
        <v>0.10115476190476191</v>
      </c>
      <c r="AL317" s="93">
        <f>(12-AH317)/12*INDEX(BX$9:BX$12,MATCH($AB317,$BU$9:$BU$12,0))+AH317/12*AI317</f>
        <v>0.19357142857142848</v>
      </c>
      <c r="AM317" s="93">
        <f>IF($BC317=1,AJ317/SUMIFS(AJ$3:AJ$623,$BC$3:$BC$623,1,$G$3:$G$623,$G317),0)</f>
        <v>0.14284261991748248</v>
      </c>
      <c r="AN317" s="93">
        <f>IF($BC317=1,AK317/SUMIFS(AK$3:AK$623,$BC$3:$BC$623,1,$G$3:$G$623,$G317),0)</f>
        <v>3.6180002970942968E-2</v>
      </c>
      <c r="AO317" s="93">
        <f>IF($BC317=1,AL317/SUMIFS(AL$3:AL$623,$BC$3:$BC$623,1,$G$3:$G$623,$G317),0)</f>
        <v>9.6943280046535074E-2</v>
      </c>
      <c r="AP317" s="2">
        <f>IFERROR(R317/$V317*90,"")</f>
        <v>0</v>
      </c>
      <c r="AQ317" s="2">
        <f>IFERROR(S317/$V317*90,"")</f>
        <v>7.512520868113523E-2</v>
      </c>
      <c r="AR317" s="2">
        <f>IFERROR(W317/$V317*90,"")</f>
        <v>7.512520868113523E-2</v>
      </c>
      <c r="AS317" s="2">
        <f>IFERROR(X317/$V317*90,"")</f>
        <v>0.11268781302170283</v>
      </c>
      <c r="AT317" s="2">
        <f>IFERROR(Y317/$V317*90,"")</f>
        <v>0</v>
      </c>
      <c r="AU317" s="2">
        <f>IF(AP317="",INDEX(BV$4:BV$7,MATCH(O317,$BU$4:$BU$7,0)),AP317)</f>
        <v>0</v>
      </c>
      <c r="AV317" s="2">
        <f>IF(AQ317="",INDEX(BW$4:BW$7,MATCH($O317,$BU$4:$BU$7,0)),AQ317)</f>
        <v>7.512520868113523E-2</v>
      </c>
      <c r="AW317" s="2">
        <f t="shared" si="48"/>
        <v>7.512520868113523E-2</v>
      </c>
      <c r="AX317" s="2">
        <f t="shared" si="49"/>
        <v>0.11268781302170283</v>
      </c>
      <c r="AY317" s="2">
        <f t="shared" si="50"/>
        <v>0</v>
      </c>
      <c r="AZ317" s="2">
        <f>AU317*0.5+AK317*0.5</f>
        <v>5.0577380952380957E-2</v>
      </c>
      <c r="BA317" s="2">
        <f>AV317*0.5+AJ317*0.5</f>
        <v>0.14575857503653833</v>
      </c>
      <c r="BB317" s="2">
        <f t="shared" si="51"/>
        <v>0.12634390651085142</v>
      </c>
      <c r="BC317">
        <f>IF(I317="expected",1,0)</f>
        <v>1</v>
      </c>
      <c r="BD317" s="78">
        <f>IF(BC317=1,AZ317/SUMIFS(AZ$3:AZ$623,$BC$3:$BC$623,1,$G$3:$G$623,$G317),0)</f>
        <v>2.528313879339282E-2</v>
      </c>
      <c r="BE317" s="78">
        <f>IF(BC317=1,BA317/SUMIFS(BA$3:BA$623,$BC$3:$BC$623,1,$G$3:$G$623,$G317),0)</f>
        <v>0.11856014746294961</v>
      </c>
      <c r="BF317" s="78">
        <f t="shared" si="52"/>
        <v>1.6942413049568523E-2</v>
      </c>
      <c r="BG317" s="2">
        <f t="shared" si="53"/>
        <v>0.12634390651085142</v>
      </c>
      <c r="BH317" s="2">
        <f t="shared" si="54"/>
        <v>0</v>
      </c>
      <c r="BI317" s="2">
        <f t="shared" si="55"/>
        <v>2.528313879339282E-2</v>
      </c>
      <c r="BJ317" s="2">
        <f t="shared" si="56"/>
        <v>0.11856014746294961</v>
      </c>
      <c r="BK317" s="2">
        <f t="shared" si="57"/>
        <v>1.6942413049568523E-2</v>
      </c>
      <c r="BL317" s="2">
        <f t="shared" si="58"/>
        <v>0.12634390651085142</v>
      </c>
      <c r="BM317" s="2">
        <f t="shared" si="59"/>
        <v>0</v>
      </c>
      <c r="BN317" s="2">
        <f>BI317/SUMIFS(BI$3:BI$623,$BC$3:$BC$623,1,$G$3:$G$623,$G317)</f>
        <v>2.5283138793392824E-2</v>
      </c>
      <c r="BO317" s="2">
        <f>BJ317/SUMIFS(BJ$3:BJ$623,$BC$3:$BC$623,1,$G$3:$G$623,$G317)</f>
        <v>0.11856014746294963</v>
      </c>
      <c r="BP317" s="2">
        <f>BK317/SUMIFS(BK$3:BK$623,$BC$3:$BC$623,1,$G$3:$G$623,$G317)</f>
        <v>1.6942413049568526E-2</v>
      </c>
      <c r="BQ317" s="2">
        <f>BL317</f>
        <v>0.12634390651085142</v>
      </c>
      <c r="BR317" s="2">
        <f>BM317</f>
        <v>0</v>
      </c>
    </row>
    <row r="318" spans="1:70" hidden="1">
      <c r="A318" s="74">
        <v>0</v>
      </c>
      <c r="B318" s="73">
        <v>223180</v>
      </c>
      <c r="C318" s="73" t="s">
        <v>2237</v>
      </c>
      <c r="D318" s="73" t="s">
        <v>2238</v>
      </c>
      <c r="E318" s="73" t="s">
        <v>2239</v>
      </c>
      <c r="F318" s="73">
        <v>18583</v>
      </c>
      <c r="G318" s="73" t="s">
        <v>869</v>
      </c>
      <c r="H318" s="73" t="s">
        <v>905</v>
      </c>
      <c r="I318" s="73" t="s">
        <v>1012</v>
      </c>
      <c r="J318" s="73">
        <v>0</v>
      </c>
      <c r="K318" s="73">
        <v>5</v>
      </c>
      <c r="L318" s="73">
        <v>0</v>
      </c>
      <c r="M318" s="73">
        <v>0</v>
      </c>
      <c r="N318" s="73">
        <v>0</v>
      </c>
      <c r="O318" s="73" t="s">
        <v>994</v>
      </c>
      <c r="P318" s="73" t="s">
        <v>2240</v>
      </c>
      <c r="Q318" s="73" t="s">
        <v>185</v>
      </c>
      <c r="R318" s="73">
        <v>0</v>
      </c>
      <c r="S318" s="73">
        <v>0</v>
      </c>
      <c r="T318" s="73">
        <v>0</v>
      </c>
      <c r="U318" s="73">
        <v>8</v>
      </c>
      <c r="V318" s="73">
        <v>1371</v>
      </c>
      <c r="W318" s="73">
        <v>0</v>
      </c>
      <c r="X318" s="73">
        <v>2</v>
      </c>
      <c r="Y318" s="73">
        <v>1</v>
      </c>
      <c r="Z318" s="73" t="s">
        <v>1267</v>
      </c>
      <c r="AA318" s="73" t="s">
        <v>691</v>
      </c>
      <c r="AB318" s="73" t="str">
        <f>IF(AA318&lt;&gt;"",INDEX(Lookup!$N$2:$N$5,MATCH(Players!AA318,Lookup!$P$2:$P$5,0)),INDEX(Lookup!$N$2:$N$5,MATCH(Players!O318,Lookup!$O$2:$O$5,0)))</f>
        <v>Midfield</v>
      </c>
      <c r="AC318" s="73">
        <v>3000000</v>
      </c>
      <c r="AD318" s="73" t="s">
        <v>792</v>
      </c>
      <c r="AE318" s="73" t="str">
        <f>INDEX('Translate table'!$H$2:$H$622,MATCH(Players!P318,'Translate table'!$G$2:$G$622,0))</f>
        <v>Anders Christiansen</v>
      </c>
      <c r="AF318" s="73">
        <f>IFERROR(INDEX('Euro Qual stats'!$A$1:$L$2071,MATCH(Players!$AE318,'Euro Qual stats'!$A$1:$A$2071,0),MATCH(Players!AF$2,'Euro Qual stats'!$A$1:$L$1,0)),0)</f>
        <v>0</v>
      </c>
      <c r="AG318" s="73">
        <f>IFERROR(INDEX('Euro Qual stats'!$A$1:$L$2071,MATCH(Players!$AE318,'Euro Qual stats'!$A$1:$A$2071,0),MATCH(Players!AG$2,'Euro Qual stats'!$A$1:$L$1,0)),0)</f>
        <v>0</v>
      </c>
      <c r="AH318" s="73">
        <f>IFERROR(INDEX('Euro Qual stats'!$A$1:$L$2071,MATCH(Players!$AE318,'Euro Qual stats'!$A$1:$A$2071,0),MATCH(Players!AH$2,'Euro Qual stats'!$A$1:$L$1,0)),0)</f>
        <v>0</v>
      </c>
      <c r="AI318" s="73">
        <f>IFERROR(INDEX('Euro Qual stats'!$A$1:$L$2071,MATCH(Players!$AE318,'Euro Qual stats'!$A$1:$A$2071,0),MATCH(Players!AI$2,'Euro Qual stats'!$A$1:$L$1,0)),0)</f>
        <v>0</v>
      </c>
      <c r="AJ318" s="93">
        <f>(12-AF318)/12*INDEX(BV$9:BV$12,MATCH($AB318,$BU$9:$BU$12,0))+AF318/12*AG318</f>
        <v>0.16869109947643979</v>
      </c>
      <c r="AK318" s="93">
        <f>(12-AG318)/12*INDEX(BW$9:BW$12,MATCH($AB318,$BU$9:$BU$12,0))+AG318/12*AH318</f>
        <v>0.22340314136125652</v>
      </c>
      <c r="AL318" s="93">
        <f>(12-AH318)/12*INDEX(BX$9:BX$12,MATCH($AB318,$BU$9:$BU$12,0))+AH318/12*AI318</f>
        <v>0.23942408376963353</v>
      </c>
      <c r="AM318" s="93">
        <f>IF($BC318=1,AJ318/SUMIFS(AJ$3:AJ$623,$BC$3:$BC$623,1,$G$3:$G$623,$G318),0)</f>
        <v>0</v>
      </c>
      <c r="AN318" s="93">
        <f>IF($BC318=1,AK318/SUMIFS(AK$3:AK$623,$BC$3:$BC$623,1,$G$3:$G$623,$G318),0)</f>
        <v>0</v>
      </c>
      <c r="AO318" s="93">
        <f>IF($BC318=1,AL318/SUMIFS(AL$3:AL$623,$BC$3:$BC$623,1,$G$3:$G$623,$G318),0)</f>
        <v>0</v>
      </c>
      <c r="AP318" s="2">
        <f>IFERROR(R318/$V318*90,"")</f>
        <v>0</v>
      </c>
      <c r="AQ318" s="2">
        <f>IFERROR(S318/$V318*90,"")</f>
        <v>0</v>
      </c>
      <c r="AR318" s="2">
        <f>IFERROR(W318/$V318*90,"")</f>
        <v>0</v>
      </c>
      <c r="AS318" s="2">
        <f>IFERROR(X318/$V318*90,"")</f>
        <v>0.13129102844638948</v>
      </c>
      <c r="AT318" s="2">
        <f>IFERROR(Y318/$V318*90,"")</f>
        <v>6.5645514223194742E-2</v>
      </c>
      <c r="AU318" s="2">
        <f>IF(AP318="",INDEX(BV$4:BV$7,MATCH(O318,$BU$4:$BU$7,0)),AP318)</f>
        <v>0</v>
      </c>
      <c r="AV318" s="2">
        <f>IF(AQ318="",INDEX(BW$4:BW$7,MATCH($O318,$BU$4:$BU$7,0)),AQ318)</f>
        <v>0</v>
      </c>
      <c r="AW318" s="2">
        <f t="shared" si="48"/>
        <v>0</v>
      </c>
      <c r="AX318" s="2">
        <f t="shared" si="49"/>
        <v>0.13129102844638948</v>
      </c>
      <c r="AY318" s="2">
        <f t="shared" si="50"/>
        <v>6.5645514223194742E-2</v>
      </c>
      <c r="AZ318" s="2">
        <f>AU318*0.5+AK318*0.5</f>
        <v>0.11170157068062826</v>
      </c>
      <c r="BA318" s="2">
        <f>AV318*0.5+AJ318*0.5</f>
        <v>8.4345549738219894E-2</v>
      </c>
      <c r="BB318" s="2">
        <f t="shared" si="51"/>
        <v>6.5645514223194742E-2</v>
      </c>
      <c r="BC318">
        <f>IF(I318="expected",1,0)</f>
        <v>0</v>
      </c>
      <c r="BD318" s="78">
        <f>IF(BC318=1,AZ318/SUMIFS(AZ$3:AZ$623,$BC$3:$BC$623,1,$G$3:$G$623,$G318),0)</f>
        <v>0</v>
      </c>
      <c r="BE318" s="78">
        <f>IF(BC318=1,BA318/SUMIFS(BA$3:BA$623,$BC$3:$BC$623,1,$G$3:$G$623,$G318),0)</f>
        <v>0</v>
      </c>
      <c r="BF318" s="78">
        <f t="shared" si="52"/>
        <v>0</v>
      </c>
      <c r="BG318" s="2">
        <f t="shared" si="53"/>
        <v>6.5645514223194742E-2</v>
      </c>
      <c r="BH318" s="2">
        <f t="shared" si="54"/>
        <v>6.5645514223194742E-2</v>
      </c>
      <c r="BI318" s="2">
        <f t="shared" si="55"/>
        <v>0</v>
      </c>
      <c r="BJ318" s="2">
        <f t="shared" si="56"/>
        <v>0</v>
      </c>
      <c r="BK318" s="2">
        <f t="shared" si="57"/>
        <v>0</v>
      </c>
      <c r="BL318" s="2">
        <f t="shared" si="58"/>
        <v>6.5645514223194742E-2</v>
      </c>
      <c r="BM318" s="2">
        <f t="shared" si="59"/>
        <v>0.06</v>
      </c>
      <c r="BN318" s="2">
        <f>BI318/SUMIFS(BI$3:BI$623,$BC$3:$BC$623,1,$G$3:$G$623,$G318)</f>
        <v>0</v>
      </c>
      <c r="BO318" s="2">
        <f>BJ318/SUMIFS(BJ$3:BJ$623,$BC$3:$BC$623,1,$G$3:$G$623,$G318)</f>
        <v>0</v>
      </c>
      <c r="BP318" s="2">
        <f>BK318/SUMIFS(BK$3:BK$623,$BC$3:$BC$623,1,$G$3:$G$623,$G318)</f>
        <v>0</v>
      </c>
      <c r="BQ318" s="2">
        <f>BL318</f>
        <v>6.5645514223194742E-2</v>
      </c>
      <c r="BR318" s="2">
        <f>BM318</f>
        <v>0.06</v>
      </c>
    </row>
    <row r="319" spans="1:70" hidden="1">
      <c r="A319" s="74">
        <v>0</v>
      </c>
      <c r="B319" s="73">
        <v>223179</v>
      </c>
      <c r="C319" s="73" t="s">
        <v>2241</v>
      </c>
      <c r="D319" s="73" t="s">
        <v>2034</v>
      </c>
      <c r="E319" s="73" t="s">
        <v>2242</v>
      </c>
      <c r="F319" s="73">
        <v>18583</v>
      </c>
      <c r="G319" s="73" t="s">
        <v>869</v>
      </c>
      <c r="H319" s="73" t="s">
        <v>905</v>
      </c>
      <c r="I319" s="73" t="s">
        <v>1012</v>
      </c>
      <c r="J319" s="73">
        <v>0</v>
      </c>
      <c r="K319" s="73">
        <v>5</v>
      </c>
      <c r="L319" s="73">
        <v>0</v>
      </c>
      <c r="M319" s="73">
        <v>0</v>
      </c>
      <c r="N319" s="73">
        <v>0</v>
      </c>
      <c r="O319" s="73" t="s">
        <v>994</v>
      </c>
      <c r="P319" s="73" t="s">
        <v>2243</v>
      </c>
      <c r="Q319" s="73" t="s">
        <v>2244</v>
      </c>
      <c r="R319" s="73">
        <v>1</v>
      </c>
      <c r="S319" s="73">
        <v>0</v>
      </c>
      <c r="T319" s="73">
        <v>0</v>
      </c>
      <c r="U319" s="73">
        <v>0</v>
      </c>
      <c r="V319" s="73">
        <v>267</v>
      </c>
      <c r="W319" s="73">
        <v>1</v>
      </c>
      <c r="X319" s="73">
        <v>1</v>
      </c>
      <c r="Y319" s="73">
        <v>0</v>
      </c>
      <c r="Z319" s="73" t="s">
        <v>1267</v>
      </c>
      <c r="AA319" s="73" t="s">
        <v>691</v>
      </c>
      <c r="AB319" s="73" t="str">
        <f>IF(AA319&lt;&gt;"",INDEX(Lookup!$N$2:$N$5,MATCH(Players!AA319,Lookup!$P$2:$P$5,0)),INDEX(Lookup!$N$2:$N$5,MATCH(Players!O319,Lookup!$O$2:$O$5,0)))</f>
        <v>Midfield</v>
      </c>
      <c r="AC319" s="73">
        <v>2500000</v>
      </c>
      <c r="AD319" s="73" t="s">
        <v>807</v>
      </c>
      <c r="AE319" s="73" t="str">
        <f>INDEX('Translate table'!$H$2:$H$622,MATCH(Players!P319,'Translate table'!$G$2:$G$622,0))</f>
        <v>Christian NÃ¸rgaard</v>
      </c>
      <c r="AF319" s="73">
        <f>IFERROR(INDEX('Euro Qual stats'!$A$1:$L$2071,MATCH(Players!$AE319,'Euro Qual stats'!$A$1:$A$2071,0),MATCH(Players!AF$2,'Euro Qual stats'!$A$1:$L$1,0)),0)</f>
        <v>0</v>
      </c>
      <c r="AG319" s="73">
        <f>IFERROR(INDEX('Euro Qual stats'!$A$1:$L$2071,MATCH(Players!$AE319,'Euro Qual stats'!$A$1:$A$2071,0),MATCH(Players!AG$2,'Euro Qual stats'!$A$1:$L$1,0)),0)</f>
        <v>0</v>
      </c>
      <c r="AH319" s="73">
        <f>IFERROR(INDEX('Euro Qual stats'!$A$1:$L$2071,MATCH(Players!$AE319,'Euro Qual stats'!$A$1:$A$2071,0),MATCH(Players!AH$2,'Euro Qual stats'!$A$1:$L$1,0)),0)</f>
        <v>0</v>
      </c>
      <c r="AI319" s="73">
        <f>IFERROR(INDEX('Euro Qual stats'!$A$1:$L$2071,MATCH(Players!$AE319,'Euro Qual stats'!$A$1:$A$2071,0),MATCH(Players!AI$2,'Euro Qual stats'!$A$1:$L$1,0)),0)</f>
        <v>0</v>
      </c>
      <c r="AJ319" s="93">
        <f>(12-AF319)/12*INDEX(BV$9:BV$12,MATCH($AB319,$BU$9:$BU$12,0))+AF319/12*AG319</f>
        <v>0.16869109947643979</v>
      </c>
      <c r="AK319" s="93">
        <f>(12-AG319)/12*INDEX(BW$9:BW$12,MATCH($AB319,$BU$9:$BU$12,0))+AG319/12*AH319</f>
        <v>0.22340314136125652</v>
      </c>
      <c r="AL319" s="93">
        <f>(12-AH319)/12*INDEX(BX$9:BX$12,MATCH($AB319,$BU$9:$BU$12,0))+AH319/12*AI319</f>
        <v>0.23942408376963353</v>
      </c>
      <c r="AM319" s="93">
        <f>IF($BC319=1,AJ319/SUMIFS(AJ$3:AJ$623,$BC$3:$BC$623,1,$G$3:$G$623,$G319),0)</f>
        <v>0</v>
      </c>
      <c r="AN319" s="93">
        <f>IF($BC319=1,AK319/SUMIFS(AK$3:AK$623,$BC$3:$BC$623,1,$G$3:$G$623,$G319),0)</f>
        <v>0</v>
      </c>
      <c r="AO319" s="93">
        <f>IF($BC319=1,AL319/SUMIFS(AL$3:AL$623,$BC$3:$BC$623,1,$G$3:$G$623,$G319),0)</f>
        <v>0</v>
      </c>
      <c r="AP319" s="2">
        <f>IFERROR(R319/$V319*90,"")</f>
        <v>0.33707865168539325</v>
      </c>
      <c r="AQ319" s="2">
        <f>IFERROR(S319/$V319*90,"")</f>
        <v>0</v>
      </c>
      <c r="AR319" s="2">
        <f>IFERROR(W319/$V319*90,"")</f>
        <v>0.33707865168539325</v>
      </c>
      <c r="AS319" s="2">
        <f>IFERROR(X319/$V319*90,"")</f>
        <v>0.33707865168539325</v>
      </c>
      <c r="AT319" s="2">
        <f>IFERROR(Y319/$V319*90,"")</f>
        <v>0</v>
      </c>
      <c r="AU319" s="2">
        <f>IF(AP319="",INDEX(BV$4:BV$7,MATCH(O319,$BU$4:$BU$7,0)),AP319)</f>
        <v>0.33707865168539325</v>
      </c>
      <c r="AV319" s="2">
        <f>IF(AQ319="",INDEX(BW$4:BW$7,MATCH($O319,$BU$4:$BU$7,0)),AQ319)</f>
        <v>0</v>
      </c>
      <c r="AW319" s="2">
        <f t="shared" si="48"/>
        <v>0.33707865168539325</v>
      </c>
      <c r="AX319" s="2">
        <f t="shared" si="49"/>
        <v>0.33707865168539325</v>
      </c>
      <c r="AY319" s="2">
        <f t="shared" si="50"/>
        <v>0</v>
      </c>
      <c r="AZ319" s="2">
        <f>AU319*0.5+AK319*0.5</f>
        <v>0.2802408965233249</v>
      </c>
      <c r="BA319" s="2">
        <f>AV319*0.5+AJ319*0.5</f>
        <v>8.4345549738219894E-2</v>
      </c>
      <c r="BB319" s="2">
        <f t="shared" si="51"/>
        <v>0.16853932584269662</v>
      </c>
      <c r="BC319">
        <f>IF(I319="expected",1,0)</f>
        <v>0</v>
      </c>
      <c r="BD319" s="78">
        <f>IF(BC319=1,AZ319/SUMIFS(AZ$3:AZ$623,$BC$3:$BC$623,1,$G$3:$G$623,$G319),0)</f>
        <v>0</v>
      </c>
      <c r="BE319" s="78">
        <f>IF(BC319=1,BA319/SUMIFS(BA$3:BA$623,$BC$3:$BC$623,1,$G$3:$G$623,$G319),0)</f>
        <v>0</v>
      </c>
      <c r="BF319" s="78">
        <f t="shared" si="52"/>
        <v>0</v>
      </c>
      <c r="BG319" s="2">
        <f t="shared" si="53"/>
        <v>0.16853932584269662</v>
      </c>
      <c r="BH319" s="2">
        <f t="shared" si="54"/>
        <v>0</v>
      </c>
      <c r="BI319" s="2">
        <f t="shared" si="55"/>
        <v>0</v>
      </c>
      <c r="BJ319" s="2">
        <f t="shared" si="56"/>
        <v>0</v>
      </c>
      <c r="BK319" s="2">
        <f t="shared" si="57"/>
        <v>0</v>
      </c>
      <c r="BL319" s="2">
        <f t="shared" si="58"/>
        <v>0.16853932584269662</v>
      </c>
      <c r="BM319" s="2">
        <f t="shared" si="59"/>
        <v>0</v>
      </c>
      <c r="BN319" s="2">
        <f>BI319/SUMIFS(BI$3:BI$623,$BC$3:$BC$623,1,$G$3:$G$623,$G319)</f>
        <v>0</v>
      </c>
      <c r="BO319" s="2">
        <f>BJ319/SUMIFS(BJ$3:BJ$623,$BC$3:$BC$623,1,$G$3:$G$623,$G319)</f>
        <v>0</v>
      </c>
      <c r="BP319" s="2">
        <f>BK319/SUMIFS(BK$3:BK$623,$BC$3:$BC$623,1,$G$3:$G$623,$G319)</f>
        <v>0</v>
      </c>
      <c r="BQ319" s="2">
        <f>BL319</f>
        <v>0.16853932584269662</v>
      </c>
      <c r="BR319" s="2">
        <f>BM319</f>
        <v>0</v>
      </c>
    </row>
    <row r="320" spans="1:70" hidden="1">
      <c r="A320" s="74">
        <v>0</v>
      </c>
      <c r="B320" s="73">
        <v>204983</v>
      </c>
      <c r="C320" s="73" t="s">
        <v>2245</v>
      </c>
      <c r="D320" s="73" t="s">
        <v>2246</v>
      </c>
      <c r="E320" s="73" t="s">
        <v>2247</v>
      </c>
      <c r="F320" s="73">
        <v>18570</v>
      </c>
      <c r="G320" s="73" t="s">
        <v>870</v>
      </c>
      <c r="H320" s="73" t="s">
        <v>917</v>
      </c>
      <c r="I320" s="73" t="s">
        <v>1012</v>
      </c>
      <c r="J320" s="73">
        <v>0</v>
      </c>
      <c r="K320" s="73">
        <v>5</v>
      </c>
      <c r="L320" s="73">
        <v>0</v>
      </c>
      <c r="M320" s="73">
        <v>0</v>
      </c>
      <c r="N320" s="73">
        <v>0</v>
      </c>
      <c r="O320" s="73" t="s">
        <v>994</v>
      </c>
      <c r="P320" s="73" t="s">
        <v>2248</v>
      </c>
      <c r="Q320" s="73" t="s">
        <v>2249</v>
      </c>
      <c r="R320" s="73">
        <v>0</v>
      </c>
      <c r="S320" s="73">
        <v>1</v>
      </c>
      <c r="T320" s="73">
        <v>0</v>
      </c>
      <c r="U320" s="73">
        <v>0</v>
      </c>
      <c r="V320" s="73">
        <v>369</v>
      </c>
      <c r="W320" s="73">
        <v>1</v>
      </c>
      <c r="X320" s="73">
        <v>0</v>
      </c>
      <c r="Y320" s="73">
        <v>0</v>
      </c>
      <c r="Z320" s="73" t="s">
        <v>870</v>
      </c>
      <c r="AA320" s="73" t="s">
        <v>691</v>
      </c>
      <c r="AB320" s="73" t="str">
        <f>IF(AA320&lt;&gt;"",INDEX(Lookup!$N$2:$N$5,MATCH(Players!AA320,Lookup!$P$2:$P$5,0)),INDEX(Lookup!$N$2:$N$5,MATCH(Players!O320,Lookup!$O$2:$O$5,0)))</f>
        <v>Midfield</v>
      </c>
      <c r="AC320" s="73">
        <v>2500000</v>
      </c>
      <c r="AD320" s="73" t="s">
        <v>753</v>
      </c>
      <c r="AE320" s="73" t="str">
        <f>INDEX('Translate table'!$H$2:$H$622,MATCH(Players!P320,'Translate table'!$G$2:$G$622,0))</f>
        <v>Fredrik Jensen</v>
      </c>
      <c r="AF320" s="73">
        <f>IFERROR(INDEX('Euro Qual stats'!$A$1:$L$2071,MATCH(Players!$AE320,'Euro Qual stats'!$A$1:$A$2071,0),MATCH(Players!AF$2,'Euro Qual stats'!$A$1:$L$1,0)),0)</f>
        <v>4</v>
      </c>
      <c r="AG320" s="73">
        <f>IFERROR(INDEX('Euro Qual stats'!$A$1:$L$2071,MATCH(Players!$AE320,'Euro Qual stats'!$A$1:$A$2071,0),MATCH(Players!AG$2,'Euro Qual stats'!$A$1:$L$1,0)),0)</f>
        <v>0</v>
      </c>
      <c r="AH320" s="73">
        <f>IFERROR(INDEX('Euro Qual stats'!$A$1:$L$2071,MATCH(Players!$AE320,'Euro Qual stats'!$A$1:$A$2071,0),MATCH(Players!AH$2,'Euro Qual stats'!$A$1:$L$1,0)),0)</f>
        <v>1.3</v>
      </c>
      <c r="AI320" s="73">
        <f>IFERROR(INDEX('Euro Qual stats'!$A$1:$L$2071,MATCH(Players!$AE320,'Euro Qual stats'!$A$1:$A$2071,0),MATCH(Players!AI$2,'Euro Qual stats'!$A$1:$L$1,0)),0)</f>
        <v>0</v>
      </c>
      <c r="AJ320" s="93">
        <f>(12-AF320)/12*INDEX(BV$9:BV$12,MATCH($AB320,$BU$9:$BU$12,0))+AF320/12*AG320</f>
        <v>0.11246073298429318</v>
      </c>
      <c r="AK320" s="93">
        <f>(12-AG320)/12*INDEX(BW$9:BW$12,MATCH($AB320,$BU$9:$BU$12,0))+AG320/12*AH320</f>
        <v>0.22340314136125652</v>
      </c>
      <c r="AL320" s="93">
        <f>(12-AH320)/12*INDEX(BX$9:BX$12,MATCH($AB320,$BU$9:$BU$12,0))+AH320/12*AI320</f>
        <v>0.2134864746945899</v>
      </c>
      <c r="AM320" s="93">
        <f>IF($BC320=1,AJ320/SUMIFS(AJ$3:AJ$623,$BC$3:$BC$623,1,$G$3:$G$623,$G320),0)</f>
        <v>0</v>
      </c>
      <c r="AN320" s="93">
        <f>IF($BC320=1,AK320/SUMIFS(AK$3:AK$623,$BC$3:$BC$623,1,$G$3:$G$623,$G320),0)</f>
        <v>0</v>
      </c>
      <c r="AO320" s="93">
        <f>IF($BC320=1,AL320/SUMIFS(AL$3:AL$623,$BC$3:$BC$623,1,$G$3:$G$623,$G320),0)</f>
        <v>0</v>
      </c>
      <c r="AP320" s="2">
        <f>IFERROR(R320/$V320*90,"")</f>
        <v>0</v>
      </c>
      <c r="AQ320" s="2">
        <f>IFERROR(S320/$V320*90,"")</f>
        <v>0.24390243902439024</v>
      </c>
      <c r="AR320" s="2">
        <f>IFERROR(W320/$V320*90,"")</f>
        <v>0.24390243902439024</v>
      </c>
      <c r="AS320" s="2">
        <f>IFERROR(X320/$V320*90,"")</f>
        <v>0</v>
      </c>
      <c r="AT320" s="2">
        <f>IFERROR(Y320/$V320*90,"")</f>
        <v>0</v>
      </c>
      <c r="AU320" s="2">
        <f>IF(AP320="",INDEX(BV$4:BV$7,MATCH(O320,$BU$4:$BU$7,0)),AP320)</f>
        <v>0</v>
      </c>
      <c r="AV320" s="2">
        <f>IF(AQ320="",INDEX(BW$4:BW$7,MATCH($O320,$BU$4:$BU$7,0)),AQ320)</f>
        <v>0.24390243902439024</v>
      </c>
      <c r="AW320" s="2">
        <f t="shared" si="48"/>
        <v>0.24390243902439024</v>
      </c>
      <c r="AX320" s="2">
        <f t="shared" si="49"/>
        <v>0</v>
      </c>
      <c r="AY320" s="2">
        <f t="shared" si="50"/>
        <v>0</v>
      </c>
      <c r="AZ320" s="2">
        <f>AU320*0.5+AK320*0.5</f>
        <v>0.11170157068062826</v>
      </c>
      <c r="BA320" s="2">
        <f>AV320*0.5+AJ320*0.5</f>
        <v>0.1781815860043417</v>
      </c>
      <c r="BB320" s="2">
        <f t="shared" si="51"/>
        <v>0</v>
      </c>
      <c r="BC320">
        <f>IF(I320="expected",1,0)</f>
        <v>0</v>
      </c>
      <c r="BD320" s="78">
        <f>IF(BC320=1,AZ320/SUMIFS(AZ$3:AZ$623,$BC$3:$BC$623,1,$G$3:$G$623,$G320),0)</f>
        <v>0</v>
      </c>
      <c r="BE320" s="78">
        <f>IF(BC320=1,BA320/SUMIFS(BA$3:BA$623,$BC$3:$BC$623,1,$G$3:$G$623,$G320),0)</f>
        <v>0</v>
      </c>
      <c r="BF320" s="78">
        <f t="shared" si="52"/>
        <v>0</v>
      </c>
      <c r="BG320" s="2">
        <f t="shared" si="53"/>
        <v>0</v>
      </c>
      <c r="BH320" s="2">
        <f t="shared" si="54"/>
        <v>0</v>
      </c>
      <c r="BI320" s="2">
        <f t="shared" si="55"/>
        <v>0</v>
      </c>
      <c r="BJ320" s="2">
        <f t="shared" si="56"/>
        <v>0</v>
      </c>
      <c r="BK320" s="2">
        <f t="shared" si="57"/>
        <v>0</v>
      </c>
      <c r="BL320" s="2">
        <f t="shared" si="58"/>
        <v>0</v>
      </c>
      <c r="BM320" s="2">
        <f t="shared" si="59"/>
        <v>0</v>
      </c>
      <c r="BN320" s="2">
        <f>BI320/SUMIFS(BI$3:BI$623,$BC$3:$BC$623,1,$G$3:$G$623,$G320)</f>
        <v>0</v>
      </c>
      <c r="BO320" s="2">
        <f>BJ320/SUMIFS(BJ$3:BJ$623,$BC$3:$BC$623,1,$G$3:$G$623,$G320)</f>
        <v>0</v>
      </c>
      <c r="BP320" s="2">
        <f>BK320/SUMIFS(BK$3:BK$623,$BC$3:$BC$623,1,$G$3:$G$623,$G320)</f>
        <v>0</v>
      </c>
      <c r="BQ320" s="2">
        <f>BL320</f>
        <v>0</v>
      </c>
      <c r="BR320" s="2">
        <f>BM320</f>
        <v>0</v>
      </c>
    </row>
    <row r="321" spans="1:70" hidden="1">
      <c r="A321" s="74">
        <v>0</v>
      </c>
      <c r="B321" s="73">
        <v>204982</v>
      </c>
      <c r="C321" s="73" t="s">
        <v>2250</v>
      </c>
      <c r="D321" s="73" t="s">
        <v>1080</v>
      </c>
      <c r="E321" s="73" t="s">
        <v>2251</v>
      </c>
      <c r="F321" s="73">
        <v>18570</v>
      </c>
      <c r="G321" s="73" t="s">
        <v>870</v>
      </c>
      <c r="H321" s="73" t="s">
        <v>917</v>
      </c>
      <c r="I321" s="73" t="s">
        <v>1012</v>
      </c>
      <c r="J321" s="73">
        <v>0</v>
      </c>
      <c r="K321" s="73">
        <v>5</v>
      </c>
      <c r="L321" s="73">
        <v>0</v>
      </c>
      <c r="M321" s="73">
        <v>0</v>
      </c>
      <c r="N321" s="73">
        <v>0</v>
      </c>
      <c r="O321" s="73" t="s">
        <v>994</v>
      </c>
      <c r="P321" s="73" t="s">
        <v>2252</v>
      </c>
      <c r="Q321" s="73" t="s">
        <v>2253</v>
      </c>
      <c r="R321" s="73">
        <v>7</v>
      </c>
      <c r="S321" s="73">
        <v>1</v>
      </c>
      <c r="T321" s="73">
        <v>0</v>
      </c>
      <c r="U321" s="73">
        <v>3</v>
      </c>
      <c r="V321" s="73">
        <v>1890</v>
      </c>
      <c r="W321" s="73">
        <v>15</v>
      </c>
      <c r="X321" s="73">
        <v>0</v>
      </c>
      <c r="Y321" s="73">
        <v>0</v>
      </c>
      <c r="Z321" s="73" t="s">
        <v>870</v>
      </c>
      <c r="AA321" s="73" t="s">
        <v>691</v>
      </c>
      <c r="AB321" s="73" t="str">
        <f>IF(AA321&lt;&gt;"",INDEX(Lookup!$N$2:$N$5,MATCH(Players!AA321,Lookup!$P$2:$P$5,0)),INDEX(Lookup!$N$2:$N$5,MATCH(Players!O321,Lookup!$O$2:$O$5,0)))</f>
        <v>Midfield</v>
      </c>
      <c r="AC321" s="73">
        <v>2500000</v>
      </c>
      <c r="AD321" s="73" t="s">
        <v>788</v>
      </c>
      <c r="AE321" s="73" t="str">
        <f>INDEX('Translate table'!$H$2:$H$622,MATCH(Players!P321,'Translate table'!$G$2:$G$622,0))</f>
        <v>Robert Taylor</v>
      </c>
      <c r="AF321" s="73">
        <f>IFERROR(INDEX('Euro Qual stats'!$A$1:$L$2071,MATCH(Players!$AE321,'Euro Qual stats'!$A$1:$A$2071,0),MATCH(Players!AF$2,'Euro Qual stats'!$A$1:$L$1,0)),0)</f>
        <v>1</v>
      </c>
      <c r="AG321" s="73">
        <f>IFERROR(INDEX('Euro Qual stats'!$A$1:$L$2071,MATCH(Players!$AE321,'Euro Qual stats'!$A$1:$A$2071,0),MATCH(Players!AG$2,'Euro Qual stats'!$A$1:$L$1,0)),0)</f>
        <v>0</v>
      </c>
      <c r="AH321" s="73">
        <f>IFERROR(INDEX('Euro Qual stats'!$A$1:$L$2071,MATCH(Players!$AE321,'Euro Qual stats'!$A$1:$A$2071,0),MATCH(Players!AH$2,'Euro Qual stats'!$A$1:$L$1,0)),0)</f>
        <v>0</v>
      </c>
      <c r="AI321" s="73">
        <f>IFERROR(INDEX('Euro Qual stats'!$A$1:$L$2071,MATCH(Players!$AE321,'Euro Qual stats'!$A$1:$A$2071,0),MATCH(Players!AI$2,'Euro Qual stats'!$A$1:$L$1,0)),0)</f>
        <v>0</v>
      </c>
      <c r="AJ321" s="93">
        <f>(12-AF321)/12*INDEX(BV$9:BV$12,MATCH($AB321,$BU$9:$BU$12,0))+AF321/12*AG321</f>
        <v>0.15463350785340313</v>
      </c>
      <c r="AK321" s="93">
        <f>(12-AG321)/12*INDEX(BW$9:BW$12,MATCH($AB321,$BU$9:$BU$12,0))+AG321/12*AH321</f>
        <v>0.22340314136125652</v>
      </c>
      <c r="AL321" s="93">
        <f>(12-AH321)/12*INDEX(BX$9:BX$12,MATCH($AB321,$BU$9:$BU$12,0))+AH321/12*AI321</f>
        <v>0.23942408376963353</v>
      </c>
      <c r="AM321" s="93">
        <f>IF($BC321=1,AJ321/SUMIFS(AJ$3:AJ$623,$BC$3:$BC$623,1,$G$3:$G$623,$G321),0)</f>
        <v>0</v>
      </c>
      <c r="AN321" s="93">
        <f>IF($BC321=1,AK321/SUMIFS(AK$3:AK$623,$BC$3:$BC$623,1,$G$3:$G$623,$G321),0)</f>
        <v>0</v>
      </c>
      <c r="AO321" s="93">
        <f>IF($BC321=1,AL321/SUMIFS(AL$3:AL$623,$BC$3:$BC$623,1,$G$3:$G$623,$G321),0)</f>
        <v>0</v>
      </c>
      <c r="AP321" s="2">
        <f>IFERROR(R321/$V321*90,"")</f>
        <v>0.33333333333333337</v>
      </c>
      <c r="AQ321" s="2">
        <f>IFERROR(S321/$V321*90,"")</f>
        <v>4.7619047619047623E-2</v>
      </c>
      <c r="AR321" s="2">
        <f>IFERROR(W321/$V321*90,"")</f>
        <v>0.71428571428571419</v>
      </c>
      <c r="AS321" s="2">
        <f>IFERROR(X321/$V321*90,"")</f>
        <v>0</v>
      </c>
      <c r="AT321" s="2">
        <f>IFERROR(Y321/$V321*90,"")</f>
        <v>0</v>
      </c>
      <c r="AU321" s="2">
        <f>IF(AP321="",INDEX(BV$4:BV$7,MATCH(O321,$BU$4:$BU$7,0)),AP321)</f>
        <v>0.33333333333333337</v>
      </c>
      <c r="AV321" s="2">
        <f>IF(AQ321="",INDEX(BW$4:BW$7,MATCH($O321,$BU$4:$BU$7,0)),AQ321)</f>
        <v>4.7619047619047623E-2</v>
      </c>
      <c r="AW321" s="2">
        <f t="shared" si="48"/>
        <v>0.71428571428571419</v>
      </c>
      <c r="AX321" s="2">
        <f t="shared" si="49"/>
        <v>0</v>
      </c>
      <c r="AY321" s="2">
        <f t="shared" si="50"/>
        <v>0</v>
      </c>
      <c r="AZ321" s="2">
        <f>AU321*0.5+AK321*0.5</f>
        <v>0.27836823734729493</v>
      </c>
      <c r="BA321" s="2">
        <f>AV321*0.5+AJ321*0.5</f>
        <v>0.10112627773622537</v>
      </c>
      <c r="BB321" s="2">
        <f t="shared" si="51"/>
        <v>0</v>
      </c>
      <c r="BC321">
        <f>IF(I321="expected",1,0)</f>
        <v>0</v>
      </c>
      <c r="BD321" s="78">
        <f>IF(BC321=1,AZ321/SUMIFS(AZ$3:AZ$623,$BC$3:$BC$623,1,$G$3:$G$623,$G321),0)</f>
        <v>0</v>
      </c>
      <c r="BE321" s="78">
        <f>IF(BC321=1,BA321/SUMIFS(BA$3:BA$623,$BC$3:$BC$623,1,$G$3:$G$623,$G321),0)</f>
        <v>0</v>
      </c>
      <c r="BF321" s="78">
        <f t="shared" si="52"/>
        <v>0</v>
      </c>
      <c r="BG321" s="2">
        <f t="shared" si="53"/>
        <v>0</v>
      </c>
      <c r="BH321" s="2">
        <f t="shared" si="54"/>
        <v>0</v>
      </c>
      <c r="BI321" s="2">
        <f t="shared" si="55"/>
        <v>0</v>
      </c>
      <c r="BJ321" s="2">
        <f t="shared" si="56"/>
        <v>0</v>
      </c>
      <c r="BK321" s="2">
        <f t="shared" si="57"/>
        <v>0</v>
      </c>
      <c r="BL321" s="2">
        <f t="shared" si="58"/>
        <v>0</v>
      </c>
      <c r="BM321" s="2">
        <f t="shared" si="59"/>
        <v>0</v>
      </c>
      <c r="BN321" s="2">
        <f>BI321/SUMIFS(BI$3:BI$623,$BC$3:$BC$623,1,$G$3:$G$623,$G321)</f>
        <v>0</v>
      </c>
      <c r="BO321" s="2">
        <f>BJ321/SUMIFS(BJ$3:BJ$623,$BC$3:$BC$623,1,$G$3:$G$623,$G321)</f>
        <v>0</v>
      </c>
      <c r="BP321" s="2">
        <f>BK321/SUMIFS(BK$3:BK$623,$BC$3:$BC$623,1,$G$3:$G$623,$G321)</f>
        <v>0</v>
      </c>
      <c r="BQ321" s="2">
        <f>BL321</f>
        <v>0</v>
      </c>
      <c r="BR321" s="2">
        <f>BM321</f>
        <v>0</v>
      </c>
    </row>
    <row r="322" spans="1:70" hidden="1">
      <c r="A322" s="74">
        <v>0</v>
      </c>
      <c r="B322" s="73">
        <v>204880</v>
      </c>
      <c r="C322" s="73" t="s">
        <v>2254</v>
      </c>
      <c r="D322" s="73" t="s">
        <v>1859</v>
      </c>
      <c r="E322" s="73" t="s">
        <v>2255</v>
      </c>
      <c r="F322" s="73">
        <v>18570</v>
      </c>
      <c r="G322" s="73" t="s">
        <v>870</v>
      </c>
      <c r="H322" s="73" t="s">
        <v>917</v>
      </c>
      <c r="I322" s="73" t="s">
        <v>981</v>
      </c>
      <c r="J322" s="73">
        <v>0</v>
      </c>
      <c r="K322" s="73">
        <v>5</v>
      </c>
      <c r="L322" s="73">
        <v>0</v>
      </c>
      <c r="M322" s="73">
        <v>0</v>
      </c>
      <c r="N322" s="73">
        <v>0</v>
      </c>
      <c r="O322" s="73" t="s">
        <v>994</v>
      </c>
      <c r="P322" s="73" t="s">
        <v>2256</v>
      </c>
      <c r="Q322" s="73" t="s">
        <v>2256</v>
      </c>
      <c r="R322" s="73">
        <v>10</v>
      </c>
      <c r="S322" s="73">
        <v>4</v>
      </c>
      <c r="T322" s="73">
        <v>0</v>
      </c>
      <c r="U322" s="73">
        <v>7</v>
      </c>
      <c r="V322" s="73">
        <v>2067</v>
      </c>
      <c r="W322" s="73">
        <v>21</v>
      </c>
      <c r="X322" s="73">
        <v>3</v>
      </c>
      <c r="Y322" s="73">
        <v>0</v>
      </c>
      <c r="Z322" s="73" t="s">
        <v>870</v>
      </c>
      <c r="AA322" s="73" t="s">
        <v>691</v>
      </c>
      <c r="AB322" s="73" t="str">
        <f>IF(AA322&lt;&gt;"",INDEX(Lookup!$N$2:$N$5,MATCH(Players!AA322,Lookup!$P$2:$P$5,0)),INDEX(Lookup!$N$2:$N$5,MATCH(Players!O322,Lookup!$O$2:$O$5,0)))</f>
        <v>Midfield</v>
      </c>
      <c r="AC322" s="73">
        <v>3000000</v>
      </c>
      <c r="AD322" s="73" t="s">
        <v>788</v>
      </c>
      <c r="AE322" s="73" t="str">
        <f>INDEX('Translate table'!$H$2:$H$622,MATCH(Players!P322,'Translate table'!$G$2:$G$622,0))</f>
        <v>Robin Lod</v>
      </c>
      <c r="AF322" s="73">
        <f>IFERROR(INDEX('Euro Qual stats'!$A$1:$L$2071,MATCH(Players!$AE322,'Euro Qual stats'!$A$1:$A$2071,0),MATCH(Players!AF$2,'Euro Qual stats'!$A$1:$L$1,0)),0)</f>
        <v>10</v>
      </c>
      <c r="AG322" s="73">
        <f>IFERROR(INDEX('Euro Qual stats'!$A$1:$L$2071,MATCH(Players!$AE322,'Euro Qual stats'!$A$1:$A$2071,0),MATCH(Players!AG$2,'Euro Qual stats'!$A$1:$L$1,0)),0)</f>
        <v>0.3</v>
      </c>
      <c r="AH322" s="73">
        <f>IFERROR(INDEX('Euro Qual stats'!$A$1:$L$2071,MATCH(Players!$AE322,'Euro Qual stats'!$A$1:$A$2071,0),MATCH(Players!AH$2,'Euro Qual stats'!$A$1:$L$1,0)),0)</f>
        <v>0</v>
      </c>
      <c r="AI322" s="73">
        <f>IFERROR(INDEX('Euro Qual stats'!$A$1:$L$2071,MATCH(Players!$AE322,'Euro Qual stats'!$A$1:$A$2071,0),MATCH(Players!AI$2,'Euro Qual stats'!$A$1:$L$1,0)),0)</f>
        <v>0</v>
      </c>
      <c r="AJ322" s="93">
        <f>(12-AF322)/12*INDEX(BV$9:BV$12,MATCH($AB322,$BU$9:$BU$12,0))+AF322/12*AG322</f>
        <v>0.27811518324607332</v>
      </c>
      <c r="AK322" s="93">
        <f>(12-AG322)/12*INDEX(BW$9:BW$12,MATCH($AB322,$BU$9:$BU$12,0))+AG322/12*AH322</f>
        <v>0.2178180628272251</v>
      </c>
      <c r="AL322" s="93">
        <f>(12-AH322)/12*INDEX(BX$9:BX$12,MATCH($AB322,$BU$9:$BU$12,0))+AH322/12*AI322</f>
        <v>0.23942408376963353</v>
      </c>
      <c r="AM322" s="93">
        <f>IF($BC322=1,AJ322/SUMIFS(AJ$3:AJ$623,$BC$3:$BC$623,1,$G$3:$G$623,$G322),0)</f>
        <v>0.2216349399786115</v>
      </c>
      <c r="AN322" s="93">
        <f>IF($BC322=1,AK322/SUMIFS(AK$3:AK$623,$BC$3:$BC$623,1,$G$3:$G$623,$G322),0)</f>
        <v>8.5710161692756595E-2</v>
      </c>
      <c r="AO322" s="93">
        <f>IF($BC322=1,AL322/SUMIFS(AL$3:AL$623,$BC$3:$BC$623,1,$G$3:$G$623,$G322),0)</f>
        <v>0.11473632995483947</v>
      </c>
      <c r="AP322" s="2">
        <f>IFERROR(R322/$V322*90,"")</f>
        <v>0.43541364296081281</v>
      </c>
      <c r="AQ322" s="2">
        <f>IFERROR(S322/$V322*90,"")</f>
        <v>0.17416545718432511</v>
      </c>
      <c r="AR322" s="2">
        <f>IFERROR(W322/$V322*90,"")</f>
        <v>0.91436865021770675</v>
      </c>
      <c r="AS322" s="2">
        <f>IFERROR(X322/$V322*90,"")</f>
        <v>0.13062409288824384</v>
      </c>
      <c r="AT322" s="2">
        <f>IFERROR(Y322/$V322*90,"")</f>
        <v>0</v>
      </c>
      <c r="AU322" s="2">
        <f>IF(AP322="",INDEX(BV$4:BV$7,MATCH(O322,$BU$4:$BU$7,0)),AP322)</f>
        <v>0.43541364296081281</v>
      </c>
      <c r="AV322" s="2">
        <f>IF(AQ322="",INDEX(BW$4:BW$7,MATCH($O322,$BU$4:$BU$7,0)),AQ322)</f>
        <v>0.17416545718432511</v>
      </c>
      <c r="AW322" s="2">
        <f t="shared" si="48"/>
        <v>0.91436865021770675</v>
      </c>
      <c r="AX322" s="2">
        <f t="shared" si="49"/>
        <v>0.13062409288824384</v>
      </c>
      <c r="AY322" s="2">
        <f t="shared" si="50"/>
        <v>0</v>
      </c>
      <c r="AZ322" s="2">
        <f>AU322*0.5+AK322*0.5</f>
        <v>0.32661585289401895</v>
      </c>
      <c r="BA322" s="2">
        <f>AV322*0.5+AJ322*0.5</f>
        <v>0.2261403202151992</v>
      </c>
      <c r="BB322" s="2">
        <f t="shared" si="51"/>
        <v>6.5312046444121918E-2</v>
      </c>
      <c r="BC322">
        <f>IF(I322="expected",1,0)</f>
        <v>1</v>
      </c>
      <c r="BD322" s="78">
        <f>IF(BC322=1,AZ322/SUMIFS(AZ$3:AZ$623,$BC$3:$BC$623,1,$G$3:$G$623,$G322),0)</f>
        <v>0.15816760371179894</v>
      </c>
      <c r="BE322" s="78">
        <f>IF(BC322=1,BA322/SUMIFS(BA$3:BA$623,$BC$3:$BC$623,1,$G$3:$G$623,$G322),0)</f>
        <v>0.28386160116339021</v>
      </c>
      <c r="BF322" s="78">
        <f t="shared" si="52"/>
        <v>0.20564159810790184</v>
      </c>
      <c r="BG322" s="2">
        <f t="shared" si="53"/>
        <v>6.5312046444121918E-2</v>
      </c>
      <c r="BH322" s="2">
        <f t="shared" si="54"/>
        <v>0</v>
      </c>
      <c r="BI322" s="2">
        <f t="shared" si="55"/>
        <v>0.15816760371179894</v>
      </c>
      <c r="BJ322" s="2">
        <f t="shared" si="56"/>
        <v>0.28386160116339021</v>
      </c>
      <c r="BK322" s="2">
        <f t="shared" si="57"/>
        <v>0.20564159810790184</v>
      </c>
      <c r="BL322" s="2">
        <f t="shared" si="58"/>
        <v>6.5312046444121918E-2</v>
      </c>
      <c r="BM322" s="2">
        <f t="shared" si="59"/>
        <v>0</v>
      </c>
      <c r="BN322" s="2">
        <f>BI322/SUMIFS(BI$3:BI$623,$BC$3:$BC$623,1,$G$3:$G$623,$G322)</f>
        <v>0.15816760371179894</v>
      </c>
      <c r="BO322" s="2">
        <f>BJ322/SUMIFS(BJ$3:BJ$623,$BC$3:$BC$623,1,$G$3:$G$623,$G322)</f>
        <v>0.28386160116339021</v>
      </c>
      <c r="BP322" s="2">
        <f>BK322/SUMIFS(BK$3:BK$623,$BC$3:$BC$623,1,$G$3:$G$623,$G322)</f>
        <v>0.22312006826696307</v>
      </c>
      <c r="BQ322" s="2">
        <f>BL322</f>
        <v>6.5312046444121918E-2</v>
      </c>
      <c r="BR322" s="2">
        <f>BM322</f>
        <v>0</v>
      </c>
    </row>
    <row r="323" spans="1:70" hidden="1">
      <c r="A323" s="74">
        <v>0</v>
      </c>
      <c r="B323" s="73">
        <v>204874</v>
      </c>
      <c r="C323" s="73" t="s">
        <v>2257</v>
      </c>
      <c r="D323" s="73" t="s">
        <v>2258</v>
      </c>
      <c r="E323" s="73" t="s">
        <v>2259</v>
      </c>
      <c r="F323" s="73">
        <v>18570</v>
      </c>
      <c r="G323" s="73" t="s">
        <v>870</v>
      </c>
      <c r="H323" s="73" t="s">
        <v>917</v>
      </c>
      <c r="I323" s="73" t="s">
        <v>981</v>
      </c>
      <c r="J323" s="73">
        <v>0</v>
      </c>
      <c r="K323" s="73">
        <v>5</v>
      </c>
      <c r="L323" s="73">
        <v>0</v>
      </c>
      <c r="M323" s="73">
        <v>0</v>
      </c>
      <c r="N323" s="73">
        <v>0</v>
      </c>
      <c r="O323" s="73" t="s">
        <v>982</v>
      </c>
      <c r="P323" s="73" t="s">
        <v>2260</v>
      </c>
      <c r="Q323" s="73" t="s">
        <v>1164</v>
      </c>
      <c r="R323" s="73"/>
      <c r="S323" s="73"/>
      <c r="T323" s="73"/>
      <c r="U323" s="73"/>
      <c r="V323" s="73"/>
      <c r="W323" s="73"/>
      <c r="X323" s="73"/>
      <c r="Y323" s="73"/>
      <c r="Z323" s="73" t="s">
        <v>870</v>
      </c>
      <c r="AA323" s="73" t="s">
        <v>693</v>
      </c>
      <c r="AB323" s="73" t="str">
        <f>IF(AA323&lt;&gt;"",INDEX(Lookup!$N$2:$N$5,MATCH(Players!AA323,Lookup!$P$2:$P$5,0)),INDEX(Lookup!$N$2:$N$5,MATCH(Players!O323,Lookup!$O$2:$O$5,0)))</f>
        <v>Striker</v>
      </c>
      <c r="AC323" s="73">
        <v>4000000</v>
      </c>
      <c r="AD323" s="73" t="s">
        <v>803</v>
      </c>
      <c r="AE323" s="73" t="str">
        <f>INDEX('Translate table'!$H$2:$H$622,MATCH(Players!P323,'Translate table'!$G$2:$G$622,0))</f>
        <v>Teemu Pukki</v>
      </c>
      <c r="AF323" s="73">
        <f>IFERROR(INDEX('Euro Qual stats'!$A$1:$L$2071,MATCH(Players!$AE323,'Euro Qual stats'!$A$1:$A$2071,0),MATCH(Players!AF$2,'Euro Qual stats'!$A$1:$L$1,0)),0)</f>
        <v>10</v>
      </c>
      <c r="AG323" s="73">
        <f>IFERROR(INDEX('Euro Qual stats'!$A$1:$L$2071,MATCH(Players!$AE323,'Euro Qual stats'!$A$1:$A$2071,0),MATCH(Players!AG$2,'Euro Qual stats'!$A$1:$L$1,0)),0)</f>
        <v>0</v>
      </c>
      <c r="AH323" s="73">
        <f>IFERROR(INDEX('Euro Qual stats'!$A$1:$L$2071,MATCH(Players!$AE323,'Euro Qual stats'!$A$1:$A$2071,0),MATCH(Players!AH$2,'Euro Qual stats'!$A$1:$L$1,0)),0)</f>
        <v>1.02</v>
      </c>
      <c r="AI323" s="73">
        <f>IFERROR(INDEX('Euro Qual stats'!$A$1:$L$2071,MATCH(Players!$AE323,'Euro Qual stats'!$A$1:$A$2071,0),MATCH(Players!AI$2,'Euro Qual stats'!$A$1:$L$1,0)),0)</f>
        <v>0.1</v>
      </c>
      <c r="AJ323" s="93">
        <f>(12-AF323)/12*INDEX(BV$9:BV$12,MATCH($AB323,$BU$9:$BU$12,0))+AF323/12*AG323</f>
        <v>3.4152298850574719E-2</v>
      </c>
      <c r="AK323" s="93">
        <f>(12-AG323)/12*INDEX(BW$9:BW$12,MATCH($AB323,$BU$9:$BU$12,0))+AG323/12*AH323</f>
        <v>0.53387931034482738</v>
      </c>
      <c r="AL323" s="93">
        <f>(12-AH323)/12*INDEX(BX$9:BX$12,MATCH($AB323,$BU$9:$BU$12,0))+AH323/12*AI323</f>
        <v>0.15931724137931039</v>
      </c>
      <c r="AM323" s="93">
        <f>IF($BC323=1,AJ323/SUMIFS(AJ$3:AJ$623,$BC$3:$BC$623,1,$G$3:$G$623,$G323),0)</f>
        <v>2.7216574864887755E-2</v>
      </c>
      <c r="AN323" s="93">
        <f>IF($BC323=1,AK323/SUMIFS(AK$3:AK$623,$BC$3:$BC$623,1,$G$3:$G$623,$G323),0)</f>
        <v>0.21007845456034938</v>
      </c>
      <c r="AO323" s="93">
        <f>IF($BC323=1,AL323/SUMIFS(AL$3:AL$623,$BC$3:$BC$623,1,$G$3:$G$623,$G323),0)</f>
        <v>7.6347689366034324E-2</v>
      </c>
      <c r="AP323" s="2" t="str">
        <f>IFERROR(R323/$V323*90,"")</f>
        <v/>
      </c>
      <c r="AQ323" s="2" t="str">
        <f>IFERROR(S323/$V323*90,"")</f>
        <v/>
      </c>
      <c r="AR323" s="2" t="str">
        <f>IFERROR(W323/$V323*90,"")</f>
        <v/>
      </c>
      <c r="AS323" s="2" t="str">
        <f>IFERROR(X323/$V323*90,"")</f>
        <v/>
      </c>
      <c r="AT323" s="2" t="str">
        <f>IFERROR(Y323/$V323*90,"")</f>
        <v/>
      </c>
      <c r="AU323" s="2">
        <f>IF(AP323="",INDEX(BV$4:BV$7,MATCH(O323,$BU$4:$BU$7,0)),AP323)</f>
        <v>0.18769551616266944</v>
      </c>
      <c r="AV323" s="2">
        <f>IF(AQ323="",INDEX(BW$4:BW$7,MATCH($O323,$BU$4:$BU$7,0)),AQ323)</f>
        <v>4.82573726541555E-2</v>
      </c>
      <c r="AW323" s="2">
        <f t="shared" si="48"/>
        <v>0.70512820512820518</v>
      </c>
      <c r="AX323" s="2">
        <f t="shared" si="49"/>
        <v>0.12295081967213115</v>
      </c>
      <c r="AY323" s="2">
        <f t="shared" si="50"/>
        <v>0</v>
      </c>
      <c r="AZ323" s="2">
        <f>AU323*0.5+AK323*0.5</f>
        <v>0.36078741325374841</v>
      </c>
      <c r="BA323" s="2">
        <f>AV323*0.5+AJ323*0.5</f>
        <v>4.120483575236511E-2</v>
      </c>
      <c r="BB323" s="2">
        <f t="shared" si="51"/>
        <v>0.11147540983606558</v>
      </c>
      <c r="BC323">
        <f>IF(I323="expected",1,0)</f>
        <v>1</v>
      </c>
      <c r="BD323" s="78">
        <f>IF(BC323=1,AZ323/SUMIFS(AZ$3:AZ$623,$BC$3:$BC$623,1,$G$3:$G$623,$G323),0)</f>
        <v>0.17471558743427085</v>
      </c>
      <c r="BE323" s="78">
        <f>IF(BC323=1,BA323/SUMIFS(BA$3:BA$623,$BC$3:$BC$623,1,$G$3:$G$623,$G323),0)</f>
        <v>5.1722181348334048E-2</v>
      </c>
      <c r="BF323" s="78">
        <f t="shared" si="52"/>
        <v>0.15858340171548516</v>
      </c>
      <c r="BG323" s="2">
        <f t="shared" si="53"/>
        <v>0.11147540983606558</v>
      </c>
      <c r="BH323" s="2">
        <f t="shared" si="54"/>
        <v>0</v>
      </c>
      <c r="BI323" s="2">
        <f t="shared" si="55"/>
        <v>0.17471558743427085</v>
      </c>
      <c r="BJ323" s="2">
        <f t="shared" si="56"/>
        <v>5.1722181348334048E-2</v>
      </c>
      <c r="BK323" s="2">
        <f t="shared" si="57"/>
        <v>0.15858340171548516</v>
      </c>
      <c r="BL323" s="2">
        <f t="shared" si="58"/>
        <v>0.11147540983606558</v>
      </c>
      <c r="BM323" s="2">
        <f t="shared" si="59"/>
        <v>0</v>
      </c>
      <c r="BN323" s="2">
        <f>BI323/SUMIFS(BI$3:BI$623,$BC$3:$BC$623,1,$G$3:$G$623,$G323)</f>
        <v>0.17471558743427085</v>
      </c>
      <c r="BO323" s="2">
        <f>BJ323/SUMIFS(BJ$3:BJ$623,$BC$3:$BC$623,1,$G$3:$G$623,$G323)</f>
        <v>5.1722181348334048E-2</v>
      </c>
      <c r="BP323" s="2">
        <f>BK323/SUMIFS(BK$3:BK$623,$BC$3:$BC$623,1,$G$3:$G$623,$G323)</f>
        <v>0.17206216904714217</v>
      </c>
      <c r="BQ323" s="2">
        <f>BL323</f>
        <v>0.11147540983606558</v>
      </c>
      <c r="BR323" s="2">
        <f>BM323</f>
        <v>0</v>
      </c>
    </row>
    <row r="324" spans="1:70" hidden="1">
      <c r="A324" s="74">
        <v>0</v>
      </c>
      <c r="B324" s="73">
        <v>204577</v>
      </c>
      <c r="C324" s="73" t="s">
        <v>2261</v>
      </c>
      <c r="D324" s="73" t="s">
        <v>1819</v>
      </c>
      <c r="E324" s="73" t="s">
        <v>2262</v>
      </c>
      <c r="F324" s="73">
        <v>18588</v>
      </c>
      <c r="G324" s="73" t="s">
        <v>880</v>
      </c>
      <c r="H324" s="73" t="s">
        <v>949</v>
      </c>
      <c r="I324" s="73" t="s">
        <v>1012</v>
      </c>
      <c r="J324" s="73">
        <v>0</v>
      </c>
      <c r="K324" s="73">
        <v>4.5</v>
      </c>
      <c r="L324" s="73">
        <v>0</v>
      </c>
      <c r="M324" s="73">
        <v>0</v>
      </c>
      <c r="N324" s="73">
        <v>0</v>
      </c>
      <c r="O324" s="73" t="s">
        <v>1290</v>
      </c>
      <c r="P324" s="73" t="s">
        <v>2263</v>
      </c>
      <c r="Q324" s="73" t="s">
        <v>2264</v>
      </c>
      <c r="R324" s="73">
        <v>1</v>
      </c>
      <c r="S324" s="73">
        <v>0</v>
      </c>
      <c r="T324" s="73">
        <v>0</v>
      </c>
      <c r="U324" s="73">
        <v>0</v>
      </c>
      <c r="V324" s="73">
        <v>892</v>
      </c>
      <c r="W324" s="73">
        <v>1</v>
      </c>
      <c r="X324" s="73">
        <v>1</v>
      </c>
      <c r="Y324" s="73">
        <v>0</v>
      </c>
      <c r="Z324" s="73" t="s">
        <v>1133</v>
      </c>
      <c r="AA324" s="73" t="s">
        <v>690</v>
      </c>
      <c r="AB324" s="73" t="str">
        <f>IF(AA324&lt;&gt;"",INDEX(Lookup!$N$2:$N$5,MATCH(Players!AA324,Lookup!$P$2:$P$5,0)),INDEX(Lookup!$N$2:$N$5,MATCH(Players!O324,Lookup!$O$2:$O$5,0)))</f>
        <v>Goalkeeper</v>
      </c>
      <c r="AC324" s="73">
        <v>3500000</v>
      </c>
      <c r="AD324" s="73" t="s">
        <v>788</v>
      </c>
      <c r="AE324" s="73" t="str">
        <f>INDEX('Translate table'!$H$2:$H$622,MATCH(Players!P324,'Translate table'!$G$2:$G$622,0))</f>
        <v>Simon Sluga</v>
      </c>
      <c r="AF324" s="73">
        <f>IFERROR(INDEX('Euro Qual stats'!$A$1:$L$2071,MATCH(Players!$AE324,'Euro Qual stats'!$A$1:$A$2071,0),MATCH(Players!AF$2,'Euro Qual stats'!$A$1:$L$1,0)),0)</f>
        <v>0</v>
      </c>
      <c r="AG324" s="73">
        <f>IFERROR(INDEX('Euro Qual stats'!$A$1:$L$2071,MATCH(Players!$AE324,'Euro Qual stats'!$A$1:$A$2071,0),MATCH(Players!AG$2,'Euro Qual stats'!$A$1:$L$1,0)),0)</f>
        <v>0</v>
      </c>
      <c r="AH324" s="73">
        <f>IFERROR(INDEX('Euro Qual stats'!$A$1:$L$2071,MATCH(Players!$AE324,'Euro Qual stats'!$A$1:$A$2071,0),MATCH(Players!AH$2,'Euro Qual stats'!$A$1:$L$1,0)),0)</f>
        <v>0</v>
      </c>
      <c r="AI324" s="73">
        <f>IFERROR(INDEX('Euro Qual stats'!$A$1:$L$2071,MATCH(Players!$AE324,'Euro Qual stats'!$A$1:$A$2071,0),MATCH(Players!AI$2,'Euro Qual stats'!$A$1:$L$1,0)),0)</f>
        <v>0</v>
      </c>
      <c r="AJ324" s="93">
        <f>(12-AF324)/12*INDEX(BV$9:BV$12,MATCH($AB324,$BU$9:$BU$12,0))+AF324/12*AG324</f>
        <v>0</v>
      </c>
      <c r="AK324" s="93">
        <f>(12-AG324)/12*INDEX(BW$9:BW$12,MATCH($AB324,$BU$9:$BU$12,0))+AG324/12*AH324</f>
        <v>0</v>
      </c>
      <c r="AL324" s="93">
        <f>(12-AH324)/12*INDEX(BX$9:BX$12,MATCH($AB324,$BU$9:$BU$12,0))+AH324/12*AI324</f>
        <v>0</v>
      </c>
      <c r="AM324" s="93">
        <f>IF($BC324=1,AJ324/SUMIFS(AJ$3:AJ$623,$BC$3:$BC$623,1,$G$3:$G$623,$G324),0)</f>
        <v>0</v>
      </c>
      <c r="AN324" s="93">
        <f>IF($BC324=1,AK324/SUMIFS(AK$3:AK$623,$BC$3:$BC$623,1,$G$3:$G$623,$G324),0)</f>
        <v>0</v>
      </c>
      <c r="AO324" s="93">
        <f>IF($BC324=1,AL324/SUMIFS(AL$3:AL$623,$BC$3:$BC$623,1,$G$3:$G$623,$G324),0)</f>
        <v>0</v>
      </c>
      <c r="AP324" s="2">
        <f>IFERROR(R324/$V324*90,"")</f>
        <v>0.10089686098654709</v>
      </c>
      <c r="AQ324" s="2">
        <f>IFERROR(S324/$V324*90,"")</f>
        <v>0</v>
      </c>
      <c r="AR324" s="2">
        <f>IFERROR(W324/$V324*90,"")</f>
        <v>0.10089686098654709</v>
      </c>
      <c r="AS324" s="2">
        <f>IFERROR(X324/$V324*90,"")</f>
        <v>0.10089686098654709</v>
      </c>
      <c r="AT324" s="2">
        <f>IFERROR(Y324/$V324*90,"")</f>
        <v>0</v>
      </c>
      <c r="AU324" s="2">
        <f>IF(AP324="",INDEX(BV$4:BV$7,MATCH(O324,$BU$4:$BU$7,0)),AP324)</f>
        <v>0.10089686098654709</v>
      </c>
      <c r="AV324" s="2">
        <f>IF(AQ324="",INDEX(BW$4:BW$7,MATCH($O324,$BU$4:$BU$7,0)),AQ324)</f>
        <v>0</v>
      </c>
      <c r="AW324" s="2">
        <f t="shared" ref="AW324:AW387" si="60">IF(AR324="",INDEX(BX$4:BX$7,MATCH($O324,$BU$4:$BU$7,0)),AR324)</f>
        <v>0.10089686098654709</v>
      </c>
      <c r="AX324" s="2">
        <f t="shared" ref="AX324:AX387" si="61">IF(AS324="",INDEX(BY$4:BY$7,MATCH($O324,$BU$4:$BU$7,0)),AS324)</f>
        <v>0.10089686098654709</v>
      </c>
      <c r="AY324" s="2">
        <f t="shared" ref="AY324:AY387" si="62">IF(AT324="",INDEX(BZ$4:BZ$7,MATCH($O324,$BU$4:$BU$7,0)),AT324)</f>
        <v>0</v>
      </c>
      <c r="AZ324" s="2">
        <f>AU324*0.5+AK324*0.5</f>
        <v>5.0448430493273543E-2</v>
      </c>
      <c r="BA324" s="2">
        <f>AV324*0.5+AJ324*0.5</f>
        <v>0</v>
      </c>
      <c r="BB324" s="2">
        <f t="shared" ref="BB324:BB387" si="63">AX324*0.5+AI324*0.5</f>
        <v>5.0448430493273543E-2</v>
      </c>
      <c r="BC324">
        <f>IF(I324="expected",1,0)</f>
        <v>0</v>
      </c>
      <c r="BD324" s="78">
        <f>IF(BC324=1,AZ324/SUMIFS(AZ$3:AZ$623,$BC$3:$BC$623,1,$G$3:$G$623,$G324),0)</f>
        <v>0</v>
      </c>
      <c r="BE324" s="78">
        <f>IF(BC324=1,BA324/SUMIFS(BA$3:BA$623,$BC$3:$BC$623,1,$G$3:$G$623,$G324),0)</f>
        <v>0</v>
      </c>
      <c r="BF324" s="78">
        <f t="shared" ref="BF324:BF387" si="64">IF(BC324=1,AW324/SUMIFS(AW$3:AW$623,$BC$3:$BC$623,1,$G$3:$G$623,$G324),0)</f>
        <v>0</v>
      </c>
      <c r="BG324" s="2">
        <f t="shared" ref="BG324:BG387" si="65">BB324</f>
        <v>5.0448430493273543E-2</v>
      </c>
      <c r="BH324" s="2">
        <f t="shared" ref="BH324:BH387" si="66">AY324</f>
        <v>0</v>
      </c>
      <c r="BI324" s="2">
        <f t="shared" ref="BI324:BI387" si="67">MIN(BI$1,BD324)</f>
        <v>0</v>
      </c>
      <c r="BJ324" s="2">
        <f t="shared" ref="BJ324:BJ387" si="68">MIN(BJ$1,BE324)</f>
        <v>0</v>
      </c>
      <c r="BK324" s="2">
        <f t="shared" ref="BK324:BK387" si="69">MIN(BK$1,BF324)</f>
        <v>0</v>
      </c>
      <c r="BL324" s="2">
        <f t="shared" ref="BL324:BL387" si="70">BG324</f>
        <v>5.0448430493273543E-2</v>
      </c>
      <c r="BM324" s="2">
        <f t="shared" ref="BM324:BM387" si="71">MIN($BM$1,BH324)</f>
        <v>0</v>
      </c>
      <c r="BN324" s="2">
        <f>BI324/SUMIFS(BI$3:BI$623,$BC$3:$BC$623,1,$G$3:$G$623,$G324)</f>
        <v>0</v>
      </c>
      <c r="BO324" s="2">
        <f>BJ324/SUMIFS(BJ$3:BJ$623,$BC$3:$BC$623,1,$G$3:$G$623,$G324)</f>
        <v>0</v>
      </c>
      <c r="BP324" s="2">
        <f>BK324/SUMIFS(BK$3:BK$623,$BC$3:$BC$623,1,$G$3:$G$623,$G324)</f>
        <v>0</v>
      </c>
      <c r="BQ324" s="2">
        <f>BL324</f>
        <v>5.0448430493273543E-2</v>
      </c>
      <c r="BR324" s="2">
        <f>BM324</f>
        <v>0</v>
      </c>
    </row>
    <row r="325" spans="1:70" hidden="1">
      <c r="A325" s="74">
        <v>0</v>
      </c>
      <c r="B325" s="73">
        <v>204576</v>
      </c>
      <c r="C325" s="73" t="s">
        <v>2265</v>
      </c>
      <c r="D325" s="73" t="s">
        <v>2266</v>
      </c>
      <c r="E325" s="73" t="s">
        <v>2267</v>
      </c>
      <c r="F325" s="73">
        <v>18588</v>
      </c>
      <c r="G325" s="73" t="s">
        <v>880</v>
      </c>
      <c r="H325" s="73" t="s">
        <v>949</v>
      </c>
      <c r="I325" s="73" t="s">
        <v>1012</v>
      </c>
      <c r="J325" s="73">
        <v>0</v>
      </c>
      <c r="K325" s="73">
        <v>4.5</v>
      </c>
      <c r="L325" s="73">
        <v>0</v>
      </c>
      <c r="M325" s="73">
        <v>0</v>
      </c>
      <c r="N325" s="73">
        <v>0</v>
      </c>
      <c r="O325" s="73" t="s">
        <v>1290</v>
      </c>
      <c r="P325" s="73" t="s">
        <v>2268</v>
      </c>
      <c r="Q325" s="73" t="s">
        <v>1164</v>
      </c>
      <c r="R325" s="73"/>
      <c r="S325" s="73"/>
      <c r="T325" s="73"/>
      <c r="U325" s="73"/>
      <c r="V325" s="73"/>
      <c r="W325" s="73"/>
      <c r="X325" s="73"/>
      <c r="Y325" s="73"/>
      <c r="Z325" s="73" t="s">
        <v>1133</v>
      </c>
      <c r="AA325" s="73" t="s">
        <v>690</v>
      </c>
      <c r="AB325" s="73" t="str">
        <f>IF(AA325&lt;&gt;"",INDEX(Lookup!$N$2:$N$5,MATCH(Players!AA325,Lookup!$P$2:$P$5,0)),INDEX(Lookup!$N$2:$N$5,MATCH(Players!O325,Lookup!$O$2:$O$5,0)))</f>
        <v>Goalkeeper</v>
      </c>
      <c r="AC325" s="73">
        <v>4000000</v>
      </c>
      <c r="AD325" s="73" t="s">
        <v>788</v>
      </c>
      <c r="AE325" s="73" t="str">
        <f>INDEX('Translate table'!$H$2:$H$622,MATCH(Players!P325,'Translate table'!$G$2:$G$622,0))</f>
        <v>Lovre KaliniÄ‡</v>
      </c>
      <c r="AF325" s="73">
        <f>IFERROR(INDEX('Euro Qual stats'!$A$1:$L$2071,MATCH(Players!$AE325,'Euro Qual stats'!$A$1:$A$2071,0),MATCH(Players!AF$2,'Euro Qual stats'!$A$1:$L$1,0)),0)</f>
        <v>2</v>
      </c>
      <c r="AG325" s="73">
        <f>IFERROR(INDEX('Euro Qual stats'!$A$1:$L$2071,MATCH(Players!$AE325,'Euro Qual stats'!$A$1:$A$2071,0),MATCH(Players!AG$2,'Euro Qual stats'!$A$1:$L$1,0)),0)</f>
        <v>0</v>
      </c>
      <c r="AH325" s="73">
        <f>IFERROR(INDEX('Euro Qual stats'!$A$1:$L$2071,MATCH(Players!$AE325,'Euro Qual stats'!$A$1:$A$2071,0),MATCH(Players!AH$2,'Euro Qual stats'!$A$1:$L$1,0)),0)</f>
        <v>0</v>
      </c>
      <c r="AI325" s="73">
        <f>IFERROR(INDEX('Euro Qual stats'!$A$1:$L$2071,MATCH(Players!$AE325,'Euro Qual stats'!$A$1:$A$2071,0),MATCH(Players!AI$2,'Euro Qual stats'!$A$1:$L$1,0)),0)</f>
        <v>0</v>
      </c>
      <c r="AJ325" s="93">
        <f>(12-AF325)/12*INDEX(BV$9:BV$12,MATCH($AB325,$BU$9:$BU$12,0))+AF325/12*AG325</f>
        <v>0</v>
      </c>
      <c r="AK325" s="93">
        <f>(12-AG325)/12*INDEX(BW$9:BW$12,MATCH($AB325,$BU$9:$BU$12,0))+AG325/12*AH325</f>
        <v>0</v>
      </c>
      <c r="AL325" s="93">
        <f>(12-AH325)/12*INDEX(BX$9:BX$12,MATCH($AB325,$BU$9:$BU$12,0))+AH325/12*AI325</f>
        <v>0</v>
      </c>
      <c r="AM325" s="93">
        <f>IF($BC325=1,AJ325/SUMIFS(AJ$3:AJ$623,$BC$3:$BC$623,1,$G$3:$G$623,$G325),0)</f>
        <v>0</v>
      </c>
      <c r="AN325" s="93">
        <f>IF($BC325=1,AK325/SUMIFS(AK$3:AK$623,$BC$3:$BC$623,1,$G$3:$G$623,$G325),0)</f>
        <v>0</v>
      </c>
      <c r="AO325" s="93">
        <f>IF($BC325=1,AL325/SUMIFS(AL$3:AL$623,$BC$3:$BC$623,1,$G$3:$G$623,$G325),0)</f>
        <v>0</v>
      </c>
      <c r="AP325" s="2" t="str">
        <f>IFERROR(R325/$V325*90,"")</f>
        <v/>
      </c>
      <c r="AQ325" s="2" t="str">
        <f>IFERROR(S325/$V325*90,"")</f>
        <v/>
      </c>
      <c r="AR325" s="2" t="str">
        <f>IFERROR(W325/$V325*90,"")</f>
        <v/>
      </c>
      <c r="AS325" s="2" t="str">
        <f>IFERROR(X325/$V325*90,"")</f>
        <v/>
      </c>
      <c r="AT325" s="2" t="str">
        <f>IFERROR(Y325/$V325*90,"")</f>
        <v/>
      </c>
      <c r="AU325" s="2">
        <f>IF(AP325="",INDEX(BV$4:BV$7,MATCH(O325,$BU$4:$BU$7,0)),AP325)</f>
        <v>0</v>
      </c>
      <c r="AV325" s="2">
        <f>IF(AQ325="",INDEX(BW$4:BW$7,MATCH($O325,$BU$4:$BU$7,0)),AQ325)</f>
        <v>0</v>
      </c>
      <c r="AW325" s="2">
        <f t="shared" si="60"/>
        <v>0</v>
      </c>
      <c r="AX325" s="2">
        <f t="shared" si="61"/>
        <v>0</v>
      </c>
      <c r="AY325" s="2">
        <f t="shared" si="62"/>
        <v>0</v>
      </c>
      <c r="AZ325" s="2">
        <f>AU325*0.5+AK325*0.5</f>
        <v>0</v>
      </c>
      <c r="BA325" s="2">
        <f>AV325*0.5+AJ325*0.5</f>
        <v>0</v>
      </c>
      <c r="BB325" s="2">
        <f t="shared" si="63"/>
        <v>0</v>
      </c>
      <c r="BC325">
        <f>IF(I325="expected",1,0)</f>
        <v>0</v>
      </c>
      <c r="BD325" s="78">
        <f>IF(BC325=1,AZ325/SUMIFS(AZ$3:AZ$623,$BC$3:$BC$623,1,$G$3:$G$623,$G325),0)</f>
        <v>0</v>
      </c>
      <c r="BE325" s="78">
        <f>IF(BC325=1,BA325/SUMIFS(BA$3:BA$623,$BC$3:$BC$623,1,$G$3:$G$623,$G325),0)</f>
        <v>0</v>
      </c>
      <c r="BF325" s="78">
        <f t="shared" si="64"/>
        <v>0</v>
      </c>
      <c r="BG325" s="2">
        <f t="shared" si="65"/>
        <v>0</v>
      </c>
      <c r="BH325" s="2">
        <f t="shared" si="66"/>
        <v>0</v>
      </c>
      <c r="BI325" s="2">
        <f t="shared" si="67"/>
        <v>0</v>
      </c>
      <c r="BJ325" s="2">
        <f t="shared" si="68"/>
        <v>0</v>
      </c>
      <c r="BK325" s="2">
        <f t="shared" si="69"/>
        <v>0</v>
      </c>
      <c r="BL325" s="2">
        <f t="shared" si="70"/>
        <v>0</v>
      </c>
      <c r="BM325" s="2">
        <f t="shared" si="71"/>
        <v>0</v>
      </c>
      <c r="BN325" s="2">
        <f>BI325/SUMIFS(BI$3:BI$623,$BC$3:$BC$623,1,$G$3:$G$623,$G325)</f>
        <v>0</v>
      </c>
      <c r="BO325" s="2">
        <f>BJ325/SUMIFS(BJ$3:BJ$623,$BC$3:$BC$623,1,$G$3:$G$623,$G325)</f>
        <v>0</v>
      </c>
      <c r="BP325" s="2">
        <f>BK325/SUMIFS(BK$3:BK$623,$BC$3:$BC$623,1,$G$3:$G$623,$G325)</f>
        <v>0</v>
      </c>
      <c r="BQ325" s="2">
        <f>BL325</f>
        <v>0</v>
      </c>
      <c r="BR325" s="2">
        <f>BM325</f>
        <v>0</v>
      </c>
    </row>
    <row r="326" spans="1:70" hidden="1">
      <c r="A326" s="74">
        <v>0</v>
      </c>
      <c r="B326" s="73">
        <v>220764</v>
      </c>
      <c r="C326" s="73" t="s">
        <v>2269</v>
      </c>
      <c r="D326" s="73" t="s">
        <v>2270</v>
      </c>
      <c r="E326" s="73" t="s">
        <v>2271</v>
      </c>
      <c r="F326" s="73">
        <v>18588</v>
      </c>
      <c r="G326" s="73" t="s">
        <v>880</v>
      </c>
      <c r="H326" s="73" t="s">
        <v>949</v>
      </c>
      <c r="I326" s="73" t="s">
        <v>1012</v>
      </c>
      <c r="J326" s="73">
        <v>0</v>
      </c>
      <c r="K326" s="73">
        <v>4.5</v>
      </c>
      <c r="L326" s="73">
        <v>0</v>
      </c>
      <c r="M326" s="73">
        <v>0</v>
      </c>
      <c r="N326" s="73">
        <v>0</v>
      </c>
      <c r="O326" s="73" t="s">
        <v>1318</v>
      </c>
      <c r="P326" s="73" t="s">
        <v>2272</v>
      </c>
      <c r="Q326" s="73" t="s">
        <v>2273</v>
      </c>
      <c r="R326" s="73">
        <v>0</v>
      </c>
      <c r="S326" s="73">
        <v>0</v>
      </c>
      <c r="T326" s="73">
        <v>0</v>
      </c>
      <c r="U326" s="73">
        <v>0</v>
      </c>
      <c r="V326" s="73">
        <v>791</v>
      </c>
      <c r="W326" s="73">
        <v>1</v>
      </c>
      <c r="X326" s="73">
        <v>1</v>
      </c>
      <c r="Y326" s="73">
        <v>0</v>
      </c>
      <c r="Z326" s="73" t="s">
        <v>1133</v>
      </c>
      <c r="AA326" s="73" t="s">
        <v>692</v>
      </c>
      <c r="AB326" s="73" t="str">
        <f>IF(AA326&lt;&gt;"",INDEX(Lookup!$N$2:$N$5,MATCH(Players!AA326,Lookup!$P$2:$P$5,0)),INDEX(Lookup!$N$2:$N$5,MATCH(Players!O326,Lookup!$O$2:$O$5,0)))</f>
        <v>Defense</v>
      </c>
      <c r="AC326" s="73">
        <v>2000000</v>
      </c>
      <c r="AD326" s="73" t="s">
        <v>788</v>
      </c>
      <c r="AE326" s="73">
        <f>INDEX('Translate table'!$H$2:$H$622,MATCH(Players!P326,'Translate table'!$G$2:$G$622,0))</f>
        <v>0</v>
      </c>
      <c r="AF326" s="73">
        <f>IFERROR(INDEX('Euro Qual stats'!$A$1:$L$2071,MATCH(Players!$AE326,'Euro Qual stats'!$A$1:$A$2071,0),MATCH(Players!AF$2,'Euro Qual stats'!$A$1:$L$1,0)),0)</f>
        <v>0</v>
      </c>
      <c r="AG326" s="73">
        <f>IFERROR(INDEX('Euro Qual stats'!$A$1:$L$2071,MATCH(Players!$AE326,'Euro Qual stats'!$A$1:$A$2071,0),MATCH(Players!AG$2,'Euro Qual stats'!$A$1:$L$1,0)),0)</f>
        <v>0</v>
      </c>
      <c r="AH326" s="73">
        <f>IFERROR(INDEX('Euro Qual stats'!$A$1:$L$2071,MATCH(Players!$AE326,'Euro Qual stats'!$A$1:$A$2071,0),MATCH(Players!AH$2,'Euro Qual stats'!$A$1:$L$1,0)),0)</f>
        <v>0</v>
      </c>
      <c r="AI326" s="73">
        <f>IFERROR(INDEX('Euro Qual stats'!$A$1:$L$2071,MATCH(Players!$AE326,'Euro Qual stats'!$A$1:$A$2071,0),MATCH(Players!AI$2,'Euro Qual stats'!$A$1:$L$1,0)),0)</f>
        <v>0</v>
      </c>
      <c r="AJ326" s="93">
        <f>(12-AF326)/12*INDEX(BV$9:BV$12,MATCH($AB326,$BU$9:$BU$12,0))+AF326/12*AG326</f>
        <v>8.9175824175824203E-2</v>
      </c>
      <c r="AK326" s="93">
        <f>(12-AG326)/12*INDEX(BW$9:BW$12,MATCH($AB326,$BU$9:$BU$12,0))+AG326/12*AH326</f>
        <v>0.10357142857142858</v>
      </c>
      <c r="AL326" s="93">
        <f>(12-AH326)/12*INDEX(BX$9:BX$12,MATCH($AB326,$BU$9:$BU$12,0))+AH326/12*AI326</f>
        <v>0.19357142857142848</v>
      </c>
      <c r="AM326" s="93">
        <f>IF($BC326=1,AJ326/SUMIFS(AJ$3:AJ$623,$BC$3:$BC$623,1,$G$3:$G$623,$G326),0)</f>
        <v>0</v>
      </c>
      <c r="AN326" s="93">
        <f>IF($BC326=1,AK326/SUMIFS(AK$3:AK$623,$BC$3:$BC$623,1,$G$3:$G$623,$G326),0)</f>
        <v>0</v>
      </c>
      <c r="AO326" s="93">
        <f>IF($BC326=1,AL326/SUMIFS(AL$3:AL$623,$BC$3:$BC$623,1,$G$3:$G$623,$G326),0)</f>
        <v>0</v>
      </c>
      <c r="AP326" s="2">
        <f>IFERROR(R326/$V326*90,"")</f>
        <v>0</v>
      </c>
      <c r="AQ326" s="2">
        <f>IFERROR(S326/$V326*90,"")</f>
        <v>0</v>
      </c>
      <c r="AR326" s="2">
        <f>IFERROR(W326/$V326*90,"")</f>
        <v>0.11378002528445007</v>
      </c>
      <c r="AS326" s="2">
        <f>IFERROR(X326/$V326*90,"")</f>
        <v>0.11378002528445007</v>
      </c>
      <c r="AT326" s="2">
        <f>IFERROR(Y326/$V326*90,"")</f>
        <v>0</v>
      </c>
      <c r="AU326" s="2">
        <f>IF(AP326="",INDEX(BV$4:BV$7,MATCH(O326,$BU$4:$BU$7,0)),AP326)</f>
        <v>0</v>
      </c>
      <c r="AV326" s="2">
        <f>IF(AQ326="",INDEX(BW$4:BW$7,MATCH($O326,$BU$4:$BU$7,0)),AQ326)</f>
        <v>0</v>
      </c>
      <c r="AW326" s="2">
        <f t="shared" si="60"/>
        <v>0.11378002528445007</v>
      </c>
      <c r="AX326" s="2">
        <f t="shared" si="61"/>
        <v>0.11378002528445007</v>
      </c>
      <c r="AY326" s="2">
        <f t="shared" si="62"/>
        <v>0</v>
      </c>
      <c r="AZ326" s="2">
        <f>AU326*0.5+AK326*0.5</f>
        <v>5.1785714285714289E-2</v>
      </c>
      <c r="BA326" s="2">
        <f>AV326*0.5+AJ326*0.5</f>
        <v>4.4587912087912102E-2</v>
      </c>
      <c r="BB326" s="2">
        <f t="shared" si="63"/>
        <v>5.6890012642225034E-2</v>
      </c>
      <c r="BC326">
        <f>IF(I326="expected",1,0)</f>
        <v>0</v>
      </c>
      <c r="BD326" s="78">
        <f>IF(BC326=1,AZ326/SUMIFS(AZ$3:AZ$623,$BC$3:$BC$623,1,$G$3:$G$623,$G326),0)</f>
        <v>0</v>
      </c>
      <c r="BE326" s="78">
        <f>IF(BC326=1,BA326/SUMIFS(BA$3:BA$623,$BC$3:$BC$623,1,$G$3:$G$623,$G326),0)</f>
        <v>0</v>
      </c>
      <c r="BF326" s="78">
        <f t="shared" si="64"/>
        <v>0</v>
      </c>
      <c r="BG326" s="2">
        <f t="shared" si="65"/>
        <v>5.6890012642225034E-2</v>
      </c>
      <c r="BH326" s="2">
        <f t="shared" si="66"/>
        <v>0</v>
      </c>
      <c r="BI326" s="2">
        <f t="shared" si="67"/>
        <v>0</v>
      </c>
      <c r="BJ326" s="2">
        <f t="shared" si="68"/>
        <v>0</v>
      </c>
      <c r="BK326" s="2">
        <f t="shared" si="69"/>
        <v>0</v>
      </c>
      <c r="BL326" s="2">
        <f t="shared" si="70"/>
        <v>5.6890012642225034E-2</v>
      </c>
      <c r="BM326" s="2">
        <f t="shared" si="71"/>
        <v>0</v>
      </c>
      <c r="BN326" s="2">
        <f>BI326/SUMIFS(BI$3:BI$623,$BC$3:$BC$623,1,$G$3:$G$623,$G326)</f>
        <v>0</v>
      </c>
      <c r="BO326" s="2">
        <f>BJ326/SUMIFS(BJ$3:BJ$623,$BC$3:$BC$623,1,$G$3:$G$623,$G326)</f>
        <v>0</v>
      </c>
      <c r="BP326" s="2">
        <f>BK326/SUMIFS(BK$3:BK$623,$BC$3:$BC$623,1,$G$3:$G$623,$G326)</f>
        <v>0</v>
      </c>
      <c r="BQ326" s="2">
        <f>BL326</f>
        <v>5.6890012642225034E-2</v>
      </c>
      <c r="BR326" s="2">
        <f>BM326</f>
        <v>0</v>
      </c>
    </row>
    <row r="327" spans="1:70" hidden="1">
      <c r="A327" s="74">
        <v>0</v>
      </c>
      <c r="B327" s="73">
        <v>204593</v>
      </c>
      <c r="C327" s="73" t="s">
        <v>2274</v>
      </c>
      <c r="D327" s="73" t="s">
        <v>2275</v>
      </c>
      <c r="E327" s="73" t="s">
        <v>2276</v>
      </c>
      <c r="F327" s="73">
        <v>18588</v>
      </c>
      <c r="G327" s="73" t="s">
        <v>880</v>
      </c>
      <c r="H327" s="73" t="s">
        <v>949</v>
      </c>
      <c r="I327" s="73" t="s">
        <v>981</v>
      </c>
      <c r="J327" s="73">
        <v>0</v>
      </c>
      <c r="K327" s="73">
        <v>4.5</v>
      </c>
      <c r="L327" s="73">
        <v>0</v>
      </c>
      <c r="M327" s="73">
        <v>0</v>
      </c>
      <c r="N327" s="73">
        <v>0</v>
      </c>
      <c r="O327" s="73" t="s">
        <v>1318</v>
      </c>
      <c r="P327" s="73" t="s">
        <v>2277</v>
      </c>
      <c r="Q327" s="73" t="s">
        <v>2278</v>
      </c>
      <c r="R327" s="73">
        <v>1</v>
      </c>
      <c r="S327" s="73">
        <v>0</v>
      </c>
      <c r="T327" s="73">
        <v>0</v>
      </c>
      <c r="U327" s="73">
        <v>1</v>
      </c>
      <c r="V327" s="73">
        <v>1119</v>
      </c>
      <c r="W327" s="73">
        <v>2</v>
      </c>
      <c r="X327" s="73">
        <v>0</v>
      </c>
      <c r="Y327" s="73">
        <v>0</v>
      </c>
      <c r="Z327" s="73" t="s">
        <v>1133</v>
      </c>
      <c r="AA327" s="73" t="s">
        <v>692</v>
      </c>
      <c r="AB327" s="73" t="str">
        <f>IF(AA327&lt;&gt;"",INDEX(Lookup!$N$2:$N$5,MATCH(Players!AA327,Lookup!$P$2:$P$5,0)),INDEX(Lookup!$N$2:$N$5,MATCH(Players!O327,Lookup!$O$2:$O$5,0)))</f>
        <v>Defense</v>
      </c>
      <c r="AC327" s="73">
        <v>3500000</v>
      </c>
      <c r="AD327" s="73" t="s">
        <v>790</v>
      </c>
      <c r="AE327" s="73" t="str">
        <f>INDEX('Translate table'!$H$2:$H$622,MATCH(Players!P327,'Translate table'!$G$2:$G$622,0))</f>
        <v>Borna BariÅ¡iÄ‡</v>
      </c>
      <c r="AF327" s="73">
        <f>IFERROR(INDEX('Euro Qual stats'!$A$1:$L$2071,MATCH(Players!$AE327,'Euro Qual stats'!$A$1:$A$2071,0),MATCH(Players!AF$2,'Euro Qual stats'!$A$1:$L$1,0)),0)</f>
        <v>8</v>
      </c>
      <c r="AG327" s="73">
        <f>IFERROR(INDEX('Euro Qual stats'!$A$1:$L$2071,MATCH(Players!$AE327,'Euro Qual stats'!$A$1:$A$2071,0),MATCH(Players!AG$2,'Euro Qual stats'!$A$1:$L$1,0)),0)</f>
        <v>0.14000000000000001</v>
      </c>
      <c r="AH327" s="73">
        <f>IFERROR(INDEX('Euro Qual stats'!$A$1:$L$2071,MATCH(Players!$AE327,'Euro Qual stats'!$A$1:$A$2071,0),MATCH(Players!AH$2,'Euro Qual stats'!$A$1:$L$1,0)),0)</f>
        <v>0.14000000000000001</v>
      </c>
      <c r="AI327" s="73">
        <f>IFERROR(INDEX('Euro Qual stats'!$A$1:$L$2071,MATCH(Players!$AE327,'Euro Qual stats'!$A$1:$A$2071,0),MATCH(Players!AI$2,'Euro Qual stats'!$A$1:$L$1,0)),0)</f>
        <v>0.14000000000000001</v>
      </c>
      <c r="AJ327" s="93">
        <f>(12-AF327)/12*INDEX(BV$9:BV$12,MATCH($AB327,$BU$9:$BU$12,0))+AF327/12*AG327</f>
        <v>0.12305860805860808</v>
      </c>
      <c r="AK327" s="93">
        <f>(12-AG327)/12*INDEX(BW$9:BW$12,MATCH($AB327,$BU$9:$BU$12,0))+AG327/12*AH327</f>
        <v>0.10399642857142857</v>
      </c>
      <c r="AL327" s="93">
        <f>(12-AH327)/12*INDEX(BX$9:BX$12,MATCH($AB327,$BU$9:$BU$12,0))+AH327/12*AI327</f>
        <v>0.19294642857142846</v>
      </c>
      <c r="AM327" s="93">
        <f>IF($BC327=1,AJ327/SUMIFS(AJ$3:AJ$623,$BC$3:$BC$623,1,$G$3:$G$623,$G327),0)</f>
        <v>7.7501888431602772E-2</v>
      </c>
      <c r="AN327" s="93">
        <f>IF($BC327=1,AK327/SUMIFS(AK$3:AK$623,$BC$3:$BC$623,1,$G$3:$G$623,$G327),0)</f>
        <v>3.9122839463095825E-2</v>
      </c>
      <c r="AO327" s="93">
        <f>IF($BC327=1,AL327/SUMIFS(AL$3:AL$623,$BC$3:$BC$623,1,$G$3:$G$623,$G327),0)</f>
        <v>9.7350331358985867E-2</v>
      </c>
      <c r="AP327" s="2">
        <f>IFERROR(R327/$V327*90,"")</f>
        <v>8.0428954423592491E-2</v>
      </c>
      <c r="AQ327" s="2">
        <f>IFERROR(S327/$V327*90,"")</f>
        <v>0</v>
      </c>
      <c r="AR327" s="2">
        <f>IFERROR(W327/$V327*90,"")</f>
        <v>0.16085790884718498</v>
      </c>
      <c r="AS327" s="2">
        <f>IFERROR(X327/$V327*90,"")</f>
        <v>0</v>
      </c>
      <c r="AT327" s="2">
        <f>IFERROR(Y327/$V327*90,"")</f>
        <v>0</v>
      </c>
      <c r="AU327" s="2">
        <f>IF(AP327="",INDEX(BV$4:BV$7,MATCH(O327,$BU$4:$BU$7,0)),AP327)</f>
        <v>8.0428954423592491E-2</v>
      </c>
      <c r="AV327" s="2">
        <f>IF(AQ327="",INDEX(BW$4:BW$7,MATCH($O327,$BU$4:$BU$7,0)),AQ327)</f>
        <v>0</v>
      </c>
      <c r="AW327" s="2">
        <f t="shared" si="60"/>
        <v>0.16085790884718498</v>
      </c>
      <c r="AX327" s="2">
        <f t="shared" si="61"/>
        <v>0</v>
      </c>
      <c r="AY327" s="2">
        <f t="shared" si="62"/>
        <v>0</v>
      </c>
      <c r="AZ327" s="2">
        <f>AU327*0.5+AK327*0.5</f>
        <v>9.2212691497510532E-2</v>
      </c>
      <c r="BA327" s="2">
        <f>AV327*0.5+AJ327*0.5</f>
        <v>6.1529304029304038E-2</v>
      </c>
      <c r="BB327" s="2">
        <f t="shared" si="63"/>
        <v>7.0000000000000007E-2</v>
      </c>
      <c r="BC327">
        <f>IF(I327="expected",1,0)</f>
        <v>1</v>
      </c>
      <c r="BD327" s="78">
        <f>IF(BC327=1,AZ327/SUMIFS(AZ$3:AZ$623,$BC$3:$BC$623,1,$G$3:$G$623,$G327),0)</f>
        <v>3.9346872842734734E-2</v>
      </c>
      <c r="BE327" s="78">
        <f>IF(BC327=1,BA327/SUMIFS(BA$3:BA$623,$BC$3:$BC$623,1,$G$3:$G$623,$G327),0)</f>
        <v>4.4941011430435239E-2</v>
      </c>
      <c r="BF327" s="78">
        <f t="shared" si="64"/>
        <v>3.2556096527646343E-2</v>
      </c>
      <c r="BG327" s="2">
        <f t="shared" si="65"/>
        <v>7.0000000000000007E-2</v>
      </c>
      <c r="BH327" s="2">
        <f t="shared" si="66"/>
        <v>0</v>
      </c>
      <c r="BI327" s="2">
        <f t="shared" si="67"/>
        <v>3.9346872842734734E-2</v>
      </c>
      <c r="BJ327" s="2">
        <f t="shared" si="68"/>
        <v>4.4941011430435239E-2</v>
      </c>
      <c r="BK327" s="2">
        <f t="shared" si="69"/>
        <v>3.2556096527646343E-2</v>
      </c>
      <c r="BL327" s="2">
        <f t="shared" si="70"/>
        <v>7.0000000000000007E-2</v>
      </c>
      <c r="BM327" s="2">
        <f t="shared" si="71"/>
        <v>0</v>
      </c>
      <c r="BN327" s="2">
        <f>BI327/SUMIFS(BI$3:BI$623,$BC$3:$BC$623,1,$G$3:$G$623,$G327)</f>
        <v>3.9346872842734734E-2</v>
      </c>
      <c r="BO327" s="2">
        <f>BJ327/SUMIFS(BJ$3:BJ$623,$BC$3:$BC$623,1,$G$3:$G$623,$G327)</f>
        <v>4.4941011430435239E-2</v>
      </c>
      <c r="BP327" s="2">
        <f>BK327/SUMIFS(BK$3:BK$623,$BC$3:$BC$623,1,$G$3:$G$623,$G327)</f>
        <v>3.3798194140528086E-2</v>
      </c>
      <c r="BQ327" s="2">
        <f>BL327</f>
        <v>7.0000000000000007E-2</v>
      </c>
      <c r="BR327" s="2">
        <f>BM327</f>
        <v>0</v>
      </c>
    </row>
    <row r="328" spans="1:70" hidden="1">
      <c r="A328" s="74">
        <v>0</v>
      </c>
      <c r="B328" s="73">
        <v>220765</v>
      </c>
      <c r="C328" s="73" t="s">
        <v>2279</v>
      </c>
      <c r="D328" s="73" t="s">
        <v>1205</v>
      </c>
      <c r="E328" s="73" t="s">
        <v>2280</v>
      </c>
      <c r="F328" s="73">
        <v>18588</v>
      </c>
      <c r="G328" s="73" t="s">
        <v>880</v>
      </c>
      <c r="H328" s="73" t="s">
        <v>949</v>
      </c>
      <c r="I328" s="73" t="s">
        <v>1012</v>
      </c>
      <c r="J328" s="73">
        <v>0</v>
      </c>
      <c r="K328" s="73">
        <v>4.5</v>
      </c>
      <c r="L328" s="73">
        <v>0</v>
      </c>
      <c r="M328" s="73">
        <v>0</v>
      </c>
      <c r="N328" s="73">
        <v>0</v>
      </c>
      <c r="O328" s="73" t="s">
        <v>994</v>
      </c>
      <c r="P328" s="73" t="s">
        <v>2281</v>
      </c>
      <c r="Q328" s="73" t="s">
        <v>2282</v>
      </c>
      <c r="R328" s="73">
        <v>4</v>
      </c>
      <c r="S328" s="73">
        <v>0</v>
      </c>
      <c r="T328" s="73">
        <v>0</v>
      </c>
      <c r="U328" s="73">
        <v>0</v>
      </c>
      <c r="V328" s="73">
        <v>1037</v>
      </c>
      <c r="W328" s="73">
        <v>7</v>
      </c>
      <c r="X328" s="73">
        <v>2</v>
      </c>
      <c r="Y328" s="73">
        <v>0</v>
      </c>
      <c r="Z328" s="73" t="s">
        <v>1133</v>
      </c>
      <c r="AA328" s="73" t="s">
        <v>691</v>
      </c>
      <c r="AB328" s="73" t="str">
        <f>IF(AA328&lt;&gt;"",INDEX(Lookup!$N$2:$N$5,MATCH(Players!AA328,Lookup!$P$2:$P$5,0)),INDEX(Lookup!$N$2:$N$5,MATCH(Players!O328,Lookup!$O$2:$O$5,0)))</f>
        <v>Midfield</v>
      </c>
      <c r="AC328" s="73">
        <v>2000000</v>
      </c>
      <c r="AD328" s="73" t="s">
        <v>790</v>
      </c>
      <c r="AE328" s="73" t="str">
        <f>INDEX('Translate table'!$H$2:$H$622,MATCH(Players!P328,'Translate table'!$G$2:$G$622,0))</f>
        <v>SaÅ¡a LukiÄ‡</v>
      </c>
      <c r="AF328" s="73">
        <f>IFERROR(INDEX('Euro Qual stats'!$A$1:$L$2071,MATCH(Players!$AE328,'Euro Qual stats'!$A$1:$A$2071,0),MATCH(Players!AF$2,'Euro Qual stats'!$A$1:$L$1,0)),0)</f>
        <v>6</v>
      </c>
      <c r="AG328" s="73">
        <f>IFERROR(INDEX('Euro Qual stats'!$A$1:$L$2071,MATCH(Players!$AE328,'Euro Qual stats'!$A$1:$A$2071,0),MATCH(Players!AG$2,'Euro Qual stats'!$A$1:$L$1,0)),0)</f>
        <v>0</v>
      </c>
      <c r="AH328" s="73">
        <f>IFERROR(INDEX('Euro Qual stats'!$A$1:$L$2071,MATCH(Players!$AE328,'Euro Qual stats'!$A$1:$A$2071,0),MATCH(Players!AH$2,'Euro Qual stats'!$A$1:$L$1,0)),0)</f>
        <v>0</v>
      </c>
      <c r="AI328" s="73">
        <f>IFERROR(INDEX('Euro Qual stats'!$A$1:$L$2071,MATCH(Players!$AE328,'Euro Qual stats'!$A$1:$A$2071,0),MATCH(Players!AI$2,'Euro Qual stats'!$A$1:$L$1,0)),0)</f>
        <v>0</v>
      </c>
      <c r="AJ328" s="93">
        <f>(12-AF328)/12*INDEX(BV$9:BV$12,MATCH($AB328,$BU$9:$BU$12,0))+AF328/12*AG328</f>
        <v>8.4345549738219894E-2</v>
      </c>
      <c r="AK328" s="93">
        <f>(12-AG328)/12*INDEX(BW$9:BW$12,MATCH($AB328,$BU$9:$BU$12,0))+AG328/12*AH328</f>
        <v>0.22340314136125652</v>
      </c>
      <c r="AL328" s="93">
        <f>(12-AH328)/12*INDEX(BX$9:BX$12,MATCH($AB328,$BU$9:$BU$12,0))+AH328/12*AI328</f>
        <v>0.23942408376963353</v>
      </c>
      <c r="AM328" s="93">
        <f>IF($BC328=1,AJ328/SUMIFS(AJ$3:AJ$623,$BC$3:$BC$623,1,$G$3:$G$623,$G328),0)</f>
        <v>0</v>
      </c>
      <c r="AN328" s="93">
        <f>IF($BC328=1,AK328/SUMIFS(AK$3:AK$623,$BC$3:$BC$623,1,$G$3:$G$623,$G328),0)</f>
        <v>0</v>
      </c>
      <c r="AO328" s="93">
        <f>IF($BC328=1,AL328/SUMIFS(AL$3:AL$623,$BC$3:$BC$623,1,$G$3:$G$623,$G328),0)</f>
        <v>0</v>
      </c>
      <c r="AP328" s="2">
        <f>IFERROR(R328/$V328*90,"")</f>
        <v>0.34715525554484089</v>
      </c>
      <c r="AQ328" s="2">
        <f>IFERROR(S328/$V328*90,"")</f>
        <v>0</v>
      </c>
      <c r="AR328" s="2">
        <f>IFERROR(W328/$V328*90,"")</f>
        <v>0.60752169720347149</v>
      </c>
      <c r="AS328" s="2">
        <f>IFERROR(X328/$V328*90,"")</f>
        <v>0.17357762777242045</v>
      </c>
      <c r="AT328" s="2">
        <f>IFERROR(Y328/$V328*90,"")</f>
        <v>0</v>
      </c>
      <c r="AU328" s="2">
        <f>IF(AP328="",INDEX(BV$4:BV$7,MATCH(O328,$BU$4:$BU$7,0)),AP328)</f>
        <v>0.34715525554484089</v>
      </c>
      <c r="AV328" s="2">
        <f>IF(AQ328="",INDEX(BW$4:BW$7,MATCH($O328,$BU$4:$BU$7,0)),AQ328)</f>
        <v>0</v>
      </c>
      <c r="AW328" s="2">
        <f t="shared" si="60"/>
        <v>0.60752169720347149</v>
      </c>
      <c r="AX328" s="2">
        <f t="shared" si="61"/>
        <v>0.17357762777242045</v>
      </c>
      <c r="AY328" s="2">
        <f t="shared" si="62"/>
        <v>0</v>
      </c>
      <c r="AZ328" s="2">
        <f>AU328*0.5+AK328*0.5</f>
        <v>0.28527919845304872</v>
      </c>
      <c r="BA328" s="2">
        <f>AV328*0.5+AJ328*0.5</f>
        <v>4.2172774869109947E-2</v>
      </c>
      <c r="BB328" s="2">
        <f t="shared" si="63"/>
        <v>8.6788813886210223E-2</v>
      </c>
      <c r="BC328">
        <f>IF(I328="expected",1,0)</f>
        <v>0</v>
      </c>
      <c r="BD328" s="78">
        <f>IF(BC328=1,AZ328/SUMIFS(AZ$3:AZ$623,$BC$3:$BC$623,1,$G$3:$G$623,$G328),0)</f>
        <v>0</v>
      </c>
      <c r="BE328" s="78">
        <f>IF(BC328=1,BA328/SUMIFS(BA$3:BA$623,$BC$3:$BC$623,1,$G$3:$G$623,$G328),0)</f>
        <v>0</v>
      </c>
      <c r="BF328" s="78">
        <f t="shared" si="64"/>
        <v>0</v>
      </c>
      <c r="BG328" s="2">
        <f t="shared" si="65"/>
        <v>8.6788813886210223E-2</v>
      </c>
      <c r="BH328" s="2">
        <f t="shared" si="66"/>
        <v>0</v>
      </c>
      <c r="BI328" s="2">
        <f t="shared" si="67"/>
        <v>0</v>
      </c>
      <c r="BJ328" s="2">
        <f t="shared" si="68"/>
        <v>0</v>
      </c>
      <c r="BK328" s="2">
        <f t="shared" si="69"/>
        <v>0</v>
      </c>
      <c r="BL328" s="2">
        <f t="shared" si="70"/>
        <v>8.6788813886210223E-2</v>
      </c>
      <c r="BM328" s="2">
        <f t="shared" si="71"/>
        <v>0</v>
      </c>
      <c r="BN328" s="2">
        <f>BI328/SUMIFS(BI$3:BI$623,$BC$3:$BC$623,1,$G$3:$G$623,$G328)</f>
        <v>0</v>
      </c>
      <c r="BO328" s="2">
        <f>BJ328/SUMIFS(BJ$3:BJ$623,$BC$3:$BC$623,1,$G$3:$G$623,$G328)</f>
        <v>0</v>
      </c>
      <c r="BP328" s="2">
        <f>BK328/SUMIFS(BK$3:BK$623,$BC$3:$BC$623,1,$G$3:$G$623,$G328)</f>
        <v>0</v>
      </c>
      <c r="BQ328" s="2">
        <f>BL328</f>
        <v>8.6788813886210223E-2</v>
      </c>
      <c r="BR328" s="2">
        <f>BM328</f>
        <v>0</v>
      </c>
    </row>
    <row r="329" spans="1:70" hidden="1">
      <c r="A329" s="74">
        <v>0</v>
      </c>
      <c r="B329" s="73">
        <v>204591</v>
      </c>
      <c r="C329" s="73" t="s">
        <v>2283</v>
      </c>
      <c r="D329" s="73" t="s">
        <v>2284</v>
      </c>
      <c r="E329" s="73" t="s">
        <v>2285</v>
      </c>
      <c r="F329" s="73">
        <v>18588</v>
      </c>
      <c r="G329" s="73" t="s">
        <v>880</v>
      </c>
      <c r="H329" s="73" t="s">
        <v>949</v>
      </c>
      <c r="I329" s="73" t="s">
        <v>1012</v>
      </c>
      <c r="J329" s="73">
        <v>0</v>
      </c>
      <c r="K329" s="73">
        <v>4.5</v>
      </c>
      <c r="L329" s="73">
        <v>0</v>
      </c>
      <c r="M329" s="73">
        <v>0</v>
      </c>
      <c r="N329" s="73">
        <v>0</v>
      </c>
      <c r="O329" s="73" t="s">
        <v>994</v>
      </c>
      <c r="P329" s="73" t="s">
        <v>2286</v>
      </c>
      <c r="Q329" s="73" t="s">
        <v>2286</v>
      </c>
      <c r="R329" s="73">
        <v>1</v>
      </c>
      <c r="S329" s="73">
        <v>4</v>
      </c>
      <c r="T329" s="73">
        <v>0</v>
      </c>
      <c r="U329" s="73">
        <v>5</v>
      </c>
      <c r="V329" s="73">
        <v>2415</v>
      </c>
      <c r="W329" s="73">
        <v>4</v>
      </c>
      <c r="X329" s="73">
        <v>7</v>
      </c>
      <c r="Y329" s="73">
        <v>0</v>
      </c>
      <c r="Z329" s="73" t="s">
        <v>1133</v>
      </c>
      <c r="AA329" s="73" t="s">
        <v>691</v>
      </c>
      <c r="AB329" s="73" t="str">
        <f>IF(AA329&lt;&gt;"",INDEX(Lookup!$N$2:$N$5,MATCH(Players!AA329,Lookup!$P$2:$P$5,0)),INDEX(Lookup!$N$2:$N$5,MATCH(Players!O329,Lookup!$O$2:$O$5,0)))</f>
        <v>Midfield</v>
      </c>
      <c r="AC329" s="73">
        <v>2500000</v>
      </c>
      <c r="AD329" s="73" t="s">
        <v>790</v>
      </c>
      <c r="AE329" s="73" t="str">
        <f>INDEX('Translate table'!$H$2:$H$622,MATCH(Players!P329,'Translate table'!$G$2:$G$622,0))</f>
        <v>Milan Badelj</v>
      </c>
      <c r="AF329" s="73">
        <f>IFERROR(INDEX('Euro Qual stats'!$A$1:$L$2071,MATCH(Players!$AE329,'Euro Qual stats'!$A$1:$A$2071,0),MATCH(Players!AF$2,'Euro Qual stats'!$A$1:$L$1,0)),0)</f>
        <v>4</v>
      </c>
      <c r="AG329" s="73">
        <f>IFERROR(INDEX('Euro Qual stats'!$A$1:$L$2071,MATCH(Players!$AE329,'Euro Qual stats'!$A$1:$A$2071,0),MATCH(Players!AG$2,'Euro Qual stats'!$A$1:$L$1,0)),0)</f>
        <v>0</v>
      </c>
      <c r="AH329" s="73">
        <f>IFERROR(INDEX('Euro Qual stats'!$A$1:$L$2071,MATCH(Players!$AE329,'Euro Qual stats'!$A$1:$A$2071,0),MATCH(Players!AH$2,'Euro Qual stats'!$A$1:$L$1,0)),0)</f>
        <v>0</v>
      </c>
      <c r="AI329" s="73">
        <f>IFERROR(INDEX('Euro Qual stats'!$A$1:$L$2071,MATCH(Players!$AE329,'Euro Qual stats'!$A$1:$A$2071,0),MATCH(Players!AI$2,'Euro Qual stats'!$A$1:$L$1,0)),0)</f>
        <v>0</v>
      </c>
      <c r="AJ329" s="93">
        <f>(12-AF329)/12*INDEX(BV$9:BV$12,MATCH($AB329,$BU$9:$BU$12,0))+AF329/12*AG329</f>
        <v>0.11246073298429318</v>
      </c>
      <c r="AK329" s="93">
        <f>(12-AG329)/12*INDEX(BW$9:BW$12,MATCH($AB329,$BU$9:$BU$12,0))+AG329/12*AH329</f>
        <v>0.22340314136125652</v>
      </c>
      <c r="AL329" s="93">
        <f>(12-AH329)/12*INDEX(BX$9:BX$12,MATCH($AB329,$BU$9:$BU$12,0))+AH329/12*AI329</f>
        <v>0.23942408376963353</v>
      </c>
      <c r="AM329" s="93">
        <f>IF($BC329=1,AJ329/SUMIFS(AJ$3:AJ$623,$BC$3:$BC$623,1,$G$3:$G$623,$G329),0)</f>
        <v>0</v>
      </c>
      <c r="AN329" s="93">
        <f>IF($BC329=1,AK329/SUMIFS(AK$3:AK$623,$BC$3:$BC$623,1,$G$3:$G$623,$G329),0)</f>
        <v>0</v>
      </c>
      <c r="AO329" s="93">
        <f>IF($BC329=1,AL329/SUMIFS(AL$3:AL$623,$BC$3:$BC$623,1,$G$3:$G$623,$G329),0)</f>
        <v>0</v>
      </c>
      <c r="AP329" s="2">
        <f>IFERROR(R329/$V329*90,"")</f>
        <v>3.7267080745341616E-2</v>
      </c>
      <c r="AQ329" s="2">
        <f>IFERROR(S329/$V329*90,"")</f>
        <v>0.14906832298136646</v>
      </c>
      <c r="AR329" s="2">
        <f>IFERROR(W329/$V329*90,"")</f>
        <v>0.14906832298136646</v>
      </c>
      <c r="AS329" s="2">
        <f>IFERROR(X329/$V329*90,"")</f>
        <v>0.2608695652173913</v>
      </c>
      <c r="AT329" s="2">
        <f>IFERROR(Y329/$V329*90,"")</f>
        <v>0</v>
      </c>
      <c r="AU329" s="2">
        <f>IF(AP329="",INDEX(BV$4:BV$7,MATCH(O329,$BU$4:$BU$7,0)),AP329)</f>
        <v>3.7267080745341616E-2</v>
      </c>
      <c r="AV329" s="2">
        <f>IF(AQ329="",INDEX(BW$4:BW$7,MATCH($O329,$BU$4:$BU$7,0)),AQ329)</f>
        <v>0.14906832298136646</v>
      </c>
      <c r="AW329" s="2">
        <f t="shared" si="60"/>
        <v>0.14906832298136646</v>
      </c>
      <c r="AX329" s="2">
        <f t="shared" si="61"/>
        <v>0.2608695652173913</v>
      </c>
      <c r="AY329" s="2">
        <f t="shared" si="62"/>
        <v>0</v>
      </c>
      <c r="AZ329" s="2">
        <f>AU329*0.5+AK329*0.5</f>
        <v>0.13033511105329906</v>
      </c>
      <c r="BA329" s="2">
        <f>AV329*0.5+AJ329*0.5</f>
        <v>0.13076452798282984</v>
      </c>
      <c r="BB329" s="2">
        <f t="shared" si="63"/>
        <v>0.13043478260869565</v>
      </c>
      <c r="BC329">
        <f>IF(I329="expected",1,0)</f>
        <v>0</v>
      </c>
      <c r="BD329" s="78">
        <f>IF(BC329=1,AZ329/SUMIFS(AZ$3:AZ$623,$BC$3:$BC$623,1,$G$3:$G$623,$G329),0)</f>
        <v>0</v>
      </c>
      <c r="BE329" s="78">
        <f>IF(BC329=1,BA329/SUMIFS(BA$3:BA$623,$BC$3:$BC$623,1,$G$3:$G$623,$G329),0)</f>
        <v>0</v>
      </c>
      <c r="BF329" s="78">
        <f t="shared" si="64"/>
        <v>0</v>
      </c>
      <c r="BG329" s="2">
        <f t="shared" si="65"/>
        <v>0.13043478260869565</v>
      </c>
      <c r="BH329" s="2">
        <f t="shared" si="66"/>
        <v>0</v>
      </c>
      <c r="BI329" s="2">
        <f t="shared" si="67"/>
        <v>0</v>
      </c>
      <c r="BJ329" s="2">
        <f t="shared" si="68"/>
        <v>0</v>
      </c>
      <c r="BK329" s="2">
        <f t="shared" si="69"/>
        <v>0</v>
      </c>
      <c r="BL329" s="2">
        <f t="shared" si="70"/>
        <v>0.13043478260869565</v>
      </c>
      <c r="BM329" s="2">
        <f t="shared" si="71"/>
        <v>0</v>
      </c>
      <c r="BN329" s="2">
        <f>BI329/SUMIFS(BI$3:BI$623,$BC$3:$BC$623,1,$G$3:$G$623,$G329)</f>
        <v>0</v>
      </c>
      <c r="BO329" s="2">
        <f>BJ329/SUMIFS(BJ$3:BJ$623,$BC$3:$BC$623,1,$G$3:$G$623,$G329)</f>
        <v>0</v>
      </c>
      <c r="BP329" s="2">
        <f>BK329/SUMIFS(BK$3:BK$623,$BC$3:$BC$623,1,$G$3:$G$623,$G329)</f>
        <v>0</v>
      </c>
      <c r="BQ329" s="2">
        <f>BL329</f>
        <v>0.13043478260869565</v>
      </c>
      <c r="BR329" s="2">
        <f>BM329</f>
        <v>0</v>
      </c>
    </row>
    <row r="330" spans="1:70" hidden="1">
      <c r="A330" s="74">
        <v>0</v>
      </c>
      <c r="B330" s="73">
        <v>213422</v>
      </c>
      <c r="C330" s="73" t="s">
        <v>2287</v>
      </c>
      <c r="D330" s="73" t="s">
        <v>2288</v>
      </c>
      <c r="E330" s="73" t="s">
        <v>2289</v>
      </c>
      <c r="F330" s="73">
        <v>18694</v>
      </c>
      <c r="G330" s="73" t="s">
        <v>876</v>
      </c>
      <c r="H330" s="73" t="s">
        <v>909</v>
      </c>
      <c r="I330" s="73" t="s">
        <v>1012</v>
      </c>
      <c r="J330" s="73">
        <v>0</v>
      </c>
      <c r="K330" s="73">
        <v>4.5</v>
      </c>
      <c r="L330" s="73">
        <v>0</v>
      </c>
      <c r="M330" s="73">
        <v>0</v>
      </c>
      <c r="N330" s="73">
        <v>0</v>
      </c>
      <c r="O330" s="73" t="s">
        <v>1290</v>
      </c>
      <c r="P330" s="73" t="s">
        <v>2290</v>
      </c>
      <c r="Q330" s="73" t="s">
        <v>2291</v>
      </c>
      <c r="R330" s="73">
        <v>0</v>
      </c>
      <c r="S330" s="73">
        <v>0</v>
      </c>
      <c r="T330" s="73">
        <v>0</v>
      </c>
      <c r="U330" s="73">
        <v>0</v>
      </c>
      <c r="V330" s="73">
        <v>1</v>
      </c>
      <c r="W330" s="73">
        <v>0</v>
      </c>
      <c r="X330" s="73">
        <v>0</v>
      </c>
      <c r="Y330" s="73">
        <v>0</v>
      </c>
      <c r="Z330" s="73" t="s">
        <v>1095</v>
      </c>
      <c r="AA330" s="73" t="s">
        <v>690</v>
      </c>
      <c r="AB330" s="73" t="str">
        <f>IF(AA330&lt;&gt;"",INDEX(Lookup!$N$2:$N$5,MATCH(Players!AA330,Lookup!$P$2:$P$5,0)),INDEX(Lookup!$N$2:$N$5,MATCH(Players!O330,Lookup!$O$2:$O$5,0)))</f>
        <v>Goalkeeper</v>
      </c>
      <c r="AC330" s="73">
        <v>5000000</v>
      </c>
      <c r="AD330" s="73" t="s">
        <v>788</v>
      </c>
      <c r="AE330" s="73" t="str">
        <f>INDEX('Translate table'!$H$2:$H$622,MATCH(Players!P330,'Translate table'!$G$2:$G$622,0))</f>
        <v>Morten Thorsby</v>
      </c>
      <c r="AF330" s="73">
        <f>IFERROR(INDEX('Euro Qual stats'!$A$1:$L$2071,MATCH(Players!$AE330,'Euro Qual stats'!$A$1:$A$2071,0),MATCH(Players!AF$2,'Euro Qual stats'!$A$1:$L$1,0)),0)</f>
        <v>1</v>
      </c>
      <c r="AG330" s="73">
        <f>IFERROR(INDEX('Euro Qual stats'!$A$1:$L$2071,MATCH(Players!$AE330,'Euro Qual stats'!$A$1:$A$2071,0),MATCH(Players!AG$2,'Euro Qual stats'!$A$1:$L$1,0)),0)</f>
        <v>0</v>
      </c>
      <c r="AH330" s="73">
        <f>IFERROR(INDEX('Euro Qual stats'!$A$1:$L$2071,MATCH(Players!$AE330,'Euro Qual stats'!$A$1:$A$2071,0),MATCH(Players!AH$2,'Euro Qual stats'!$A$1:$L$1,0)),0)</f>
        <v>0</v>
      </c>
      <c r="AI330" s="73">
        <f>IFERROR(INDEX('Euro Qual stats'!$A$1:$L$2071,MATCH(Players!$AE330,'Euro Qual stats'!$A$1:$A$2071,0),MATCH(Players!AI$2,'Euro Qual stats'!$A$1:$L$1,0)),0)</f>
        <v>0</v>
      </c>
      <c r="AJ330" s="93">
        <f>(12-AF330)/12*INDEX(BV$9:BV$12,MATCH($AB330,$BU$9:$BU$12,0))+AF330/12*AG330</f>
        <v>0</v>
      </c>
      <c r="AK330" s="93">
        <f>(12-AG330)/12*INDEX(BW$9:BW$12,MATCH($AB330,$BU$9:$BU$12,0))+AG330/12*AH330</f>
        <v>0</v>
      </c>
      <c r="AL330" s="93">
        <f>(12-AH330)/12*INDEX(BX$9:BX$12,MATCH($AB330,$BU$9:$BU$12,0))+AH330/12*AI330</f>
        <v>0</v>
      </c>
      <c r="AM330" s="93">
        <f>IF($BC330=1,AJ330/SUMIFS(AJ$3:AJ$623,$BC$3:$BC$623,1,$G$3:$G$623,$G330),0)</f>
        <v>0</v>
      </c>
      <c r="AN330" s="93">
        <f>IF($BC330=1,AK330/SUMIFS(AK$3:AK$623,$BC$3:$BC$623,1,$G$3:$G$623,$G330),0)</f>
        <v>0</v>
      </c>
      <c r="AO330" s="93">
        <f>IF($BC330=1,AL330/SUMIFS(AL$3:AL$623,$BC$3:$BC$623,1,$G$3:$G$623,$G330),0)</f>
        <v>0</v>
      </c>
      <c r="AP330" s="2">
        <f>IFERROR(R330/$V330*90,"")</f>
        <v>0</v>
      </c>
      <c r="AQ330" s="2">
        <f>IFERROR(S330/$V330*90,"")</f>
        <v>0</v>
      </c>
      <c r="AR330" s="2">
        <f>IFERROR(W330/$V330*90,"")</f>
        <v>0</v>
      </c>
      <c r="AS330" s="2">
        <f>IFERROR(X330/$V330*90,"")</f>
        <v>0</v>
      </c>
      <c r="AT330" s="2">
        <f>IFERROR(Y330/$V330*90,"")</f>
        <v>0</v>
      </c>
      <c r="AU330" s="2">
        <f>IF(AP330="",INDEX(BV$4:BV$7,MATCH(O330,$BU$4:$BU$7,0)),AP330)</f>
        <v>0</v>
      </c>
      <c r="AV330" s="2">
        <f>IF(AQ330="",INDEX(BW$4:BW$7,MATCH($O330,$BU$4:$BU$7,0)),AQ330)</f>
        <v>0</v>
      </c>
      <c r="AW330" s="2">
        <f t="shared" si="60"/>
        <v>0</v>
      </c>
      <c r="AX330" s="2">
        <f t="shared" si="61"/>
        <v>0</v>
      </c>
      <c r="AY330" s="2">
        <f t="shared" si="62"/>
        <v>0</v>
      </c>
      <c r="AZ330" s="2">
        <f>AU330*0.5+AK330*0.5</f>
        <v>0</v>
      </c>
      <c r="BA330" s="2">
        <f>AV330*0.5+AJ330*0.5</f>
        <v>0</v>
      </c>
      <c r="BB330" s="2">
        <f t="shared" si="63"/>
        <v>0</v>
      </c>
      <c r="BC330">
        <f>IF(I330="expected",1,0)</f>
        <v>0</v>
      </c>
      <c r="BD330" s="78">
        <f>IF(BC330=1,AZ330/SUMIFS(AZ$3:AZ$623,$BC$3:$BC$623,1,$G$3:$G$623,$G330),0)</f>
        <v>0</v>
      </c>
      <c r="BE330" s="78">
        <f>IF(BC330=1,BA330/SUMIFS(BA$3:BA$623,$BC$3:$BC$623,1,$G$3:$G$623,$G330),0)</f>
        <v>0</v>
      </c>
      <c r="BF330" s="78">
        <f t="shared" si="64"/>
        <v>0</v>
      </c>
      <c r="BG330" s="2">
        <f t="shared" si="65"/>
        <v>0</v>
      </c>
      <c r="BH330" s="2">
        <f t="shared" si="66"/>
        <v>0</v>
      </c>
      <c r="BI330" s="2">
        <f t="shared" si="67"/>
        <v>0</v>
      </c>
      <c r="BJ330" s="2">
        <f t="shared" si="68"/>
        <v>0</v>
      </c>
      <c r="BK330" s="2">
        <f t="shared" si="69"/>
        <v>0</v>
      </c>
      <c r="BL330" s="2">
        <f t="shared" si="70"/>
        <v>0</v>
      </c>
      <c r="BM330" s="2">
        <f t="shared" si="71"/>
        <v>0</v>
      </c>
      <c r="BN330" s="2">
        <f>BI330/SUMIFS(BI$3:BI$623,$BC$3:$BC$623,1,$G$3:$G$623,$G330)</f>
        <v>0</v>
      </c>
      <c r="BO330" s="2">
        <f>BJ330/SUMIFS(BJ$3:BJ$623,$BC$3:$BC$623,1,$G$3:$G$623,$G330)</f>
        <v>0</v>
      </c>
      <c r="BP330" s="2">
        <f>BK330/SUMIFS(BK$3:BK$623,$BC$3:$BC$623,1,$G$3:$G$623,$G330)</f>
        <v>0</v>
      </c>
      <c r="BQ330" s="2">
        <f>BL330</f>
        <v>0</v>
      </c>
      <c r="BR330" s="2">
        <f>BM330</f>
        <v>0</v>
      </c>
    </row>
    <row r="331" spans="1:70" hidden="1">
      <c r="A331" s="74">
        <v>0</v>
      </c>
      <c r="B331" s="73">
        <v>204703</v>
      </c>
      <c r="C331" s="73" t="s">
        <v>2292</v>
      </c>
      <c r="D331" s="73" t="s">
        <v>1639</v>
      </c>
      <c r="E331" s="73" t="s">
        <v>2293</v>
      </c>
      <c r="F331" s="73">
        <v>18701</v>
      </c>
      <c r="G331" s="73" t="s">
        <v>893</v>
      </c>
      <c r="H331" s="73" t="s">
        <v>947</v>
      </c>
      <c r="I331" s="73" t="s">
        <v>1012</v>
      </c>
      <c r="J331" s="73">
        <v>0</v>
      </c>
      <c r="K331" s="73">
        <v>4.5</v>
      </c>
      <c r="L331" s="73">
        <v>0</v>
      </c>
      <c r="M331" s="73">
        <v>0</v>
      </c>
      <c r="N331" s="73">
        <v>0</v>
      </c>
      <c r="O331" s="73" t="s">
        <v>1290</v>
      </c>
      <c r="P331" s="73" t="s">
        <v>2294</v>
      </c>
      <c r="Q331" s="73" t="s">
        <v>2295</v>
      </c>
      <c r="R331" s="73">
        <v>0</v>
      </c>
      <c r="S331" s="73">
        <v>0</v>
      </c>
      <c r="T331" s="73">
        <v>83</v>
      </c>
      <c r="U331" s="73">
        <v>8</v>
      </c>
      <c r="V331" s="73">
        <v>2880</v>
      </c>
      <c r="W331" s="73">
        <v>0</v>
      </c>
      <c r="X331" s="73">
        <v>1</v>
      </c>
      <c r="Y331" s="73">
        <v>0</v>
      </c>
      <c r="Z331" s="73" t="s">
        <v>893</v>
      </c>
      <c r="AA331" s="73" t="s">
        <v>690</v>
      </c>
      <c r="AB331" s="73" t="str">
        <f>IF(AA331&lt;&gt;"",INDEX(Lookup!$N$2:$N$5,MATCH(Players!AA331,Lookup!$P$2:$P$5,0)),INDEX(Lookup!$N$2:$N$5,MATCH(Players!O331,Lookup!$O$2:$O$5,0)))</f>
        <v>Goalkeeper</v>
      </c>
      <c r="AC331" s="73">
        <v>4000000</v>
      </c>
      <c r="AD331" s="73" t="s">
        <v>788</v>
      </c>
      <c r="AE331" s="73" t="str">
        <f>INDEX('Translate table'!$H$2:$H$622,MATCH(Players!P331,'Translate table'!$G$2:$G$622,0))</f>
        <v>MÃ¡rio Rui Silva Duarte</v>
      </c>
      <c r="AF331" s="73">
        <f>IFERROR(INDEX('Euro Qual stats'!$A$1:$L$2071,MATCH(Players!$AE331,'Euro Qual stats'!$A$1:$A$2071,0),MATCH(Players!AF$2,'Euro Qual stats'!$A$1:$L$1,0)),0)</f>
        <v>1</v>
      </c>
      <c r="AG331" s="73">
        <f>IFERROR(INDEX('Euro Qual stats'!$A$1:$L$2071,MATCH(Players!$AE331,'Euro Qual stats'!$A$1:$A$2071,0),MATCH(Players!AG$2,'Euro Qual stats'!$A$1:$L$1,0)),0)</f>
        <v>0</v>
      </c>
      <c r="AH331" s="73">
        <f>IFERROR(INDEX('Euro Qual stats'!$A$1:$L$2071,MATCH(Players!$AE331,'Euro Qual stats'!$A$1:$A$2071,0),MATCH(Players!AH$2,'Euro Qual stats'!$A$1:$L$1,0)),0)</f>
        <v>0</v>
      </c>
      <c r="AI331" s="73">
        <f>IFERROR(INDEX('Euro Qual stats'!$A$1:$L$2071,MATCH(Players!$AE331,'Euro Qual stats'!$A$1:$A$2071,0),MATCH(Players!AI$2,'Euro Qual stats'!$A$1:$L$1,0)),0)</f>
        <v>0</v>
      </c>
      <c r="AJ331" s="93">
        <f>(12-AF331)/12*INDEX(BV$9:BV$12,MATCH($AB331,$BU$9:$BU$12,0))+AF331/12*AG331</f>
        <v>0</v>
      </c>
      <c r="AK331" s="93">
        <f>(12-AG331)/12*INDEX(BW$9:BW$12,MATCH($AB331,$BU$9:$BU$12,0))+AG331/12*AH331</f>
        <v>0</v>
      </c>
      <c r="AL331" s="93">
        <f>(12-AH331)/12*INDEX(BX$9:BX$12,MATCH($AB331,$BU$9:$BU$12,0))+AH331/12*AI331</f>
        <v>0</v>
      </c>
      <c r="AM331" s="93">
        <f>IF($BC331=1,AJ331/SUMIFS(AJ$3:AJ$623,$BC$3:$BC$623,1,$G$3:$G$623,$G331),0)</f>
        <v>0</v>
      </c>
      <c r="AN331" s="93">
        <f>IF($BC331=1,AK331/SUMIFS(AK$3:AK$623,$BC$3:$BC$623,1,$G$3:$G$623,$G331),0)</f>
        <v>0</v>
      </c>
      <c r="AO331" s="93">
        <f>IF($BC331=1,AL331/SUMIFS(AL$3:AL$623,$BC$3:$BC$623,1,$G$3:$G$623,$G331),0)</f>
        <v>0</v>
      </c>
      <c r="AP331" s="2">
        <f>IFERROR(R331/$V331*90,"")</f>
        <v>0</v>
      </c>
      <c r="AQ331" s="2">
        <f>IFERROR(S331/$V331*90,"")</f>
        <v>0</v>
      </c>
      <c r="AR331" s="2">
        <f>IFERROR(W331/$V331*90,"")</f>
        <v>0</v>
      </c>
      <c r="AS331" s="2">
        <f>IFERROR(X331/$V331*90,"")</f>
        <v>3.125E-2</v>
      </c>
      <c r="AT331" s="2">
        <f>IFERROR(Y331/$V331*90,"")</f>
        <v>0</v>
      </c>
      <c r="AU331" s="2">
        <f>IF(AP331="",INDEX(BV$4:BV$7,MATCH(O331,$BU$4:$BU$7,0)),AP331)</f>
        <v>0</v>
      </c>
      <c r="AV331" s="2">
        <f>IF(AQ331="",INDEX(BW$4:BW$7,MATCH($O331,$BU$4:$BU$7,0)),AQ331)</f>
        <v>0</v>
      </c>
      <c r="AW331" s="2">
        <f t="shared" si="60"/>
        <v>0</v>
      </c>
      <c r="AX331" s="2">
        <f t="shared" si="61"/>
        <v>3.125E-2</v>
      </c>
      <c r="AY331" s="2">
        <f t="shared" si="62"/>
        <v>0</v>
      </c>
      <c r="AZ331" s="2">
        <f>AU331*0.5+AK331*0.5</f>
        <v>0</v>
      </c>
      <c r="BA331" s="2">
        <f>AV331*0.5+AJ331*0.5</f>
        <v>0</v>
      </c>
      <c r="BB331" s="2">
        <f t="shared" si="63"/>
        <v>1.5625E-2</v>
      </c>
      <c r="BC331">
        <f>IF(I331="expected",1,0)</f>
        <v>0</v>
      </c>
      <c r="BD331" s="78">
        <f>IF(BC331=1,AZ331/SUMIFS(AZ$3:AZ$623,$BC$3:$BC$623,1,$G$3:$G$623,$G331),0)</f>
        <v>0</v>
      </c>
      <c r="BE331" s="78">
        <f>IF(BC331=1,BA331/SUMIFS(BA$3:BA$623,$BC$3:$BC$623,1,$G$3:$G$623,$G331),0)</f>
        <v>0</v>
      </c>
      <c r="BF331" s="78">
        <f t="shared" si="64"/>
        <v>0</v>
      </c>
      <c r="BG331" s="2">
        <f t="shared" si="65"/>
        <v>1.5625E-2</v>
      </c>
      <c r="BH331" s="2">
        <f t="shared" si="66"/>
        <v>0</v>
      </c>
      <c r="BI331" s="2">
        <f t="shared" si="67"/>
        <v>0</v>
      </c>
      <c r="BJ331" s="2">
        <f t="shared" si="68"/>
        <v>0</v>
      </c>
      <c r="BK331" s="2">
        <f t="shared" si="69"/>
        <v>0</v>
      </c>
      <c r="BL331" s="2">
        <f t="shared" si="70"/>
        <v>1.5625E-2</v>
      </c>
      <c r="BM331" s="2">
        <f t="shared" si="71"/>
        <v>0</v>
      </c>
      <c r="BN331" s="2">
        <f>BI331/SUMIFS(BI$3:BI$623,$BC$3:$BC$623,1,$G$3:$G$623,$G331)</f>
        <v>0</v>
      </c>
      <c r="BO331" s="2">
        <f>BJ331/SUMIFS(BJ$3:BJ$623,$BC$3:$BC$623,1,$G$3:$G$623,$G331)</f>
        <v>0</v>
      </c>
      <c r="BP331" s="2">
        <f>BK331/SUMIFS(BK$3:BK$623,$BC$3:$BC$623,1,$G$3:$G$623,$G331)</f>
        <v>0</v>
      </c>
      <c r="BQ331" s="2">
        <f>BL331</f>
        <v>1.5625E-2</v>
      </c>
      <c r="BR331" s="2">
        <f>BM331</f>
        <v>0</v>
      </c>
    </row>
    <row r="332" spans="1:70" hidden="1">
      <c r="A332" s="74">
        <v>0</v>
      </c>
      <c r="B332" s="73">
        <v>220795</v>
      </c>
      <c r="C332" s="73" t="s">
        <v>2296</v>
      </c>
      <c r="D332" s="73" t="s">
        <v>2297</v>
      </c>
      <c r="E332" s="73" t="s">
        <v>2298</v>
      </c>
      <c r="F332" s="73">
        <v>18624</v>
      </c>
      <c r="G332" s="73" t="s">
        <v>877</v>
      </c>
      <c r="H332" s="73" t="s">
        <v>951</v>
      </c>
      <c r="I332" s="73" t="s">
        <v>1012</v>
      </c>
      <c r="J332" s="73">
        <v>0</v>
      </c>
      <c r="K332" s="73">
        <v>4.5</v>
      </c>
      <c r="L332" s="73">
        <v>0</v>
      </c>
      <c r="M332" s="73">
        <v>0</v>
      </c>
      <c r="N332" s="73">
        <v>0</v>
      </c>
      <c r="O332" s="73" t="s">
        <v>1290</v>
      </c>
      <c r="P332" s="73" t="s">
        <v>2299</v>
      </c>
      <c r="Q332" s="73" t="s">
        <v>1164</v>
      </c>
      <c r="R332" s="73"/>
      <c r="S332" s="73"/>
      <c r="T332" s="73"/>
      <c r="U332" s="73"/>
      <c r="V332" s="73"/>
      <c r="W332" s="73"/>
      <c r="X332" s="73"/>
      <c r="Y332" s="73"/>
      <c r="Z332" s="73" t="s">
        <v>877</v>
      </c>
      <c r="AA332" s="73" t="s">
        <v>690</v>
      </c>
      <c r="AB332" s="73" t="str">
        <f>IF(AA332&lt;&gt;"",INDEX(Lookup!$N$2:$N$5,MATCH(Players!AA332,Lookup!$P$2:$P$5,0)),INDEX(Lookup!$N$2:$N$5,MATCH(Players!O332,Lookup!$O$2:$O$5,0)))</f>
        <v>Goalkeeper</v>
      </c>
      <c r="AC332" s="73">
        <v>3500000</v>
      </c>
      <c r="AD332" s="73" t="s">
        <v>753</v>
      </c>
      <c r="AE332" s="73" t="str">
        <f>INDEX('Translate table'!$H$2:$H$622,MATCH(Players!P332,'Translate table'!$G$2:$G$622,0))</f>
        <v>Anatolie PrepeliÅ£Äƒ</v>
      </c>
      <c r="AF332" s="73">
        <f>IFERROR(INDEX('Euro Qual stats'!$A$1:$L$2071,MATCH(Players!$AE332,'Euro Qual stats'!$A$1:$A$2071,0),MATCH(Players!AF$2,'Euro Qual stats'!$A$1:$L$1,0)),0)</f>
        <v>2</v>
      </c>
      <c r="AG332" s="73">
        <f>IFERROR(INDEX('Euro Qual stats'!$A$1:$L$2071,MATCH(Players!$AE332,'Euro Qual stats'!$A$1:$A$2071,0),MATCH(Players!AG$2,'Euro Qual stats'!$A$1:$L$1,0)),0)</f>
        <v>0</v>
      </c>
      <c r="AH332" s="73">
        <f>IFERROR(INDEX('Euro Qual stats'!$A$1:$L$2071,MATCH(Players!$AE332,'Euro Qual stats'!$A$1:$A$2071,0),MATCH(Players!AH$2,'Euro Qual stats'!$A$1:$L$1,0)),0)</f>
        <v>0</v>
      </c>
      <c r="AI332" s="73">
        <f>IFERROR(INDEX('Euro Qual stats'!$A$1:$L$2071,MATCH(Players!$AE332,'Euro Qual stats'!$A$1:$A$2071,0),MATCH(Players!AI$2,'Euro Qual stats'!$A$1:$L$1,0)),0)</f>
        <v>0.5</v>
      </c>
      <c r="AJ332" s="93">
        <f>(12-AF332)/12*INDEX(BV$9:BV$12,MATCH($AB332,$BU$9:$BU$12,0))+AF332/12*AG332</f>
        <v>0</v>
      </c>
      <c r="AK332" s="93">
        <f>(12-AG332)/12*INDEX(BW$9:BW$12,MATCH($AB332,$BU$9:$BU$12,0))+AG332/12*AH332</f>
        <v>0</v>
      </c>
      <c r="AL332" s="93">
        <f>(12-AH332)/12*INDEX(BX$9:BX$12,MATCH($AB332,$BU$9:$BU$12,0))+AH332/12*AI332</f>
        <v>0</v>
      </c>
      <c r="AM332" s="93">
        <f>IF($BC332=1,AJ332/SUMIFS(AJ$3:AJ$623,$BC$3:$BC$623,1,$G$3:$G$623,$G332),0)</f>
        <v>0</v>
      </c>
      <c r="AN332" s="93">
        <f>IF($BC332=1,AK332/SUMIFS(AK$3:AK$623,$BC$3:$BC$623,1,$G$3:$G$623,$G332),0)</f>
        <v>0</v>
      </c>
      <c r="AO332" s="93">
        <f>IF($BC332=1,AL332/SUMIFS(AL$3:AL$623,$BC$3:$BC$623,1,$G$3:$G$623,$G332),0)</f>
        <v>0</v>
      </c>
      <c r="AP332" s="2" t="str">
        <f>IFERROR(R332/$V332*90,"")</f>
        <v/>
      </c>
      <c r="AQ332" s="2" t="str">
        <f>IFERROR(S332/$V332*90,"")</f>
        <v/>
      </c>
      <c r="AR332" s="2" t="str">
        <f>IFERROR(W332/$V332*90,"")</f>
        <v/>
      </c>
      <c r="AS332" s="2" t="str">
        <f>IFERROR(X332/$V332*90,"")</f>
        <v/>
      </c>
      <c r="AT332" s="2" t="str">
        <f>IFERROR(Y332/$V332*90,"")</f>
        <v/>
      </c>
      <c r="AU332" s="2">
        <f>IF(AP332="",INDEX(BV$4:BV$7,MATCH(O332,$BU$4:$BU$7,0)),AP332)</f>
        <v>0</v>
      </c>
      <c r="AV332" s="2">
        <f>IF(AQ332="",INDEX(BW$4:BW$7,MATCH($O332,$BU$4:$BU$7,0)),AQ332)</f>
        <v>0</v>
      </c>
      <c r="AW332" s="2">
        <f t="shared" si="60"/>
        <v>0</v>
      </c>
      <c r="AX332" s="2">
        <f t="shared" si="61"/>
        <v>0</v>
      </c>
      <c r="AY332" s="2">
        <f t="shared" si="62"/>
        <v>0</v>
      </c>
      <c r="AZ332" s="2">
        <f>AU332*0.5+AK332*0.5</f>
        <v>0</v>
      </c>
      <c r="BA332" s="2">
        <f>AV332*0.5+AJ332*0.5</f>
        <v>0</v>
      </c>
      <c r="BB332" s="2">
        <f t="shared" si="63"/>
        <v>0.25</v>
      </c>
      <c r="BC332">
        <f>IF(I332="expected",1,0)</f>
        <v>0</v>
      </c>
      <c r="BD332" s="78">
        <f>IF(BC332=1,AZ332/SUMIFS(AZ$3:AZ$623,$BC$3:$BC$623,1,$G$3:$G$623,$G332),0)</f>
        <v>0</v>
      </c>
      <c r="BE332" s="78">
        <f>IF(BC332=1,BA332/SUMIFS(BA$3:BA$623,$BC$3:$BC$623,1,$G$3:$G$623,$G332),0)</f>
        <v>0</v>
      </c>
      <c r="BF332" s="78">
        <f t="shared" si="64"/>
        <v>0</v>
      </c>
      <c r="BG332" s="2">
        <f t="shared" si="65"/>
        <v>0.25</v>
      </c>
      <c r="BH332" s="2">
        <f t="shared" si="66"/>
        <v>0</v>
      </c>
      <c r="BI332" s="2">
        <f t="shared" si="67"/>
        <v>0</v>
      </c>
      <c r="BJ332" s="2">
        <f t="shared" si="68"/>
        <v>0</v>
      </c>
      <c r="BK332" s="2">
        <f t="shared" si="69"/>
        <v>0</v>
      </c>
      <c r="BL332" s="2">
        <f t="shared" si="70"/>
        <v>0.25</v>
      </c>
      <c r="BM332" s="2">
        <f t="shared" si="71"/>
        <v>0</v>
      </c>
      <c r="BN332" s="2">
        <f>BI332/SUMIFS(BI$3:BI$623,$BC$3:$BC$623,1,$G$3:$G$623,$G332)</f>
        <v>0</v>
      </c>
      <c r="BO332" s="2">
        <f>BJ332/SUMIFS(BJ$3:BJ$623,$BC$3:$BC$623,1,$G$3:$G$623,$G332)</f>
        <v>0</v>
      </c>
      <c r="BP332" s="2">
        <f>BK332/SUMIFS(BK$3:BK$623,$BC$3:$BC$623,1,$G$3:$G$623,$G332)</f>
        <v>0</v>
      </c>
      <c r="BQ332" s="2">
        <f>BL332</f>
        <v>0.25</v>
      </c>
      <c r="BR332" s="2">
        <f>BM332</f>
        <v>0</v>
      </c>
    </row>
    <row r="333" spans="1:70" hidden="1">
      <c r="A333" s="74">
        <v>0</v>
      </c>
      <c r="B333" s="73">
        <v>220794</v>
      </c>
      <c r="C333" s="73" t="s">
        <v>2300</v>
      </c>
      <c r="D333" s="73" t="s">
        <v>2301</v>
      </c>
      <c r="E333" s="73" t="s">
        <v>2302</v>
      </c>
      <c r="F333" s="73">
        <v>18624</v>
      </c>
      <c r="G333" s="73" t="s">
        <v>877</v>
      </c>
      <c r="H333" s="73" t="s">
        <v>951</v>
      </c>
      <c r="I333" s="73" t="s">
        <v>981</v>
      </c>
      <c r="J333" s="73">
        <v>0</v>
      </c>
      <c r="K333" s="73">
        <v>4.5</v>
      </c>
      <c r="L333" s="73">
        <v>0</v>
      </c>
      <c r="M333" s="73">
        <v>0</v>
      </c>
      <c r="N333" s="73">
        <v>0</v>
      </c>
      <c r="O333" s="73" t="s">
        <v>1290</v>
      </c>
      <c r="P333" s="73" t="s">
        <v>2303</v>
      </c>
      <c r="Q333" s="73" t="s">
        <v>1164</v>
      </c>
      <c r="R333" s="73"/>
      <c r="S333" s="73"/>
      <c r="T333" s="73"/>
      <c r="U333" s="73"/>
      <c r="V333" s="73"/>
      <c r="W333" s="73"/>
      <c r="X333" s="73"/>
      <c r="Y333" s="73"/>
      <c r="Z333" s="73" t="s">
        <v>877</v>
      </c>
      <c r="AA333" s="73" t="s">
        <v>690</v>
      </c>
      <c r="AB333" s="73" t="str">
        <f>IF(AA333&lt;&gt;"",INDEX(Lookup!$N$2:$N$5,MATCH(Players!AA333,Lookup!$P$2:$P$5,0)),INDEX(Lookup!$N$2:$N$5,MATCH(Players!O333,Lookup!$O$2:$O$5,0)))</f>
        <v>Goalkeeper</v>
      </c>
      <c r="AC333" s="73">
        <v>4000000</v>
      </c>
      <c r="AD333" s="73" t="s">
        <v>790</v>
      </c>
      <c r="AE333" s="73" t="str">
        <f>INDEX('Translate table'!$H$2:$H$622,MATCH(Players!P333,'Translate table'!$G$2:$G$622,0))</f>
        <v>Georgiy Dzhikiya</v>
      </c>
      <c r="AF333" s="73">
        <f>IFERROR(INDEX('Euro Qual stats'!$A$1:$L$2071,MATCH(Players!$AE333,'Euro Qual stats'!$A$1:$A$2071,0),MATCH(Players!AF$2,'Euro Qual stats'!$A$1:$L$1,0)),0)</f>
        <v>10</v>
      </c>
      <c r="AG333" s="73">
        <f>IFERROR(INDEX('Euro Qual stats'!$A$1:$L$2071,MATCH(Players!$AE333,'Euro Qual stats'!$A$1:$A$2071,0),MATCH(Players!AG$2,'Euro Qual stats'!$A$1:$L$1,0)),0)</f>
        <v>0</v>
      </c>
      <c r="AH333" s="73">
        <f>IFERROR(INDEX('Euro Qual stats'!$A$1:$L$2071,MATCH(Players!$AE333,'Euro Qual stats'!$A$1:$A$2071,0),MATCH(Players!AH$2,'Euro Qual stats'!$A$1:$L$1,0)),0)</f>
        <v>0.1</v>
      </c>
      <c r="AI333" s="73">
        <f>IFERROR(INDEX('Euro Qual stats'!$A$1:$L$2071,MATCH(Players!$AE333,'Euro Qual stats'!$A$1:$A$2071,0),MATCH(Players!AI$2,'Euro Qual stats'!$A$1:$L$1,0)),0)</f>
        <v>0</v>
      </c>
      <c r="AJ333" s="93">
        <f>(12-AF333)/12*INDEX(BV$9:BV$12,MATCH($AB333,$BU$9:$BU$12,0))+AF333/12*AG333</f>
        <v>0</v>
      </c>
      <c r="AK333" s="93">
        <f>(12-AG333)/12*INDEX(BW$9:BW$12,MATCH($AB333,$BU$9:$BU$12,0))+AG333/12*AH333</f>
        <v>0</v>
      </c>
      <c r="AL333" s="93">
        <f>(12-AH333)/12*INDEX(BX$9:BX$12,MATCH($AB333,$BU$9:$BU$12,0))+AH333/12*AI333</f>
        <v>0</v>
      </c>
      <c r="AM333" s="93">
        <f>IF($BC333=1,AJ333/SUMIFS(AJ$3:AJ$623,$BC$3:$BC$623,1,$G$3:$G$623,$G333),0)</f>
        <v>0</v>
      </c>
      <c r="AN333" s="93">
        <f>IF($BC333=1,AK333/SUMIFS(AK$3:AK$623,$BC$3:$BC$623,1,$G$3:$G$623,$G333),0)</f>
        <v>0</v>
      </c>
      <c r="AO333" s="93">
        <f>IF($BC333=1,AL333/SUMIFS(AL$3:AL$623,$BC$3:$BC$623,1,$G$3:$G$623,$G333),0)</f>
        <v>0</v>
      </c>
      <c r="AP333" s="2" t="str">
        <f>IFERROR(R333/$V333*90,"")</f>
        <v/>
      </c>
      <c r="AQ333" s="2" t="str">
        <f>IFERROR(S333/$V333*90,"")</f>
        <v/>
      </c>
      <c r="AR333" s="2" t="str">
        <f>IFERROR(W333/$V333*90,"")</f>
        <v/>
      </c>
      <c r="AS333" s="2" t="str">
        <f>IFERROR(X333/$V333*90,"")</f>
        <v/>
      </c>
      <c r="AT333" s="2" t="str">
        <f>IFERROR(Y333/$V333*90,"")</f>
        <v/>
      </c>
      <c r="AU333" s="2">
        <f>IF(AP333="",INDEX(BV$4:BV$7,MATCH(O333,$BU$4:$BU$7,0)),AP333)</f>
        <v>0</v>
      </c>
      <c r="AV333" s="2">
        <f>IF(AQ333="",INDEX(BW$4:BW$7,MATCH($O333,$BU$4:$BU$7,0)),AQ333)</f>
        <v>0</v>
      </c>
      <c r="AW333" s="2">
        <f t="shared" si="60"/>
        <v>0</v>
      </c>
      <c r="AX333" s="2">
        <f t="shared" si="61"/>
        <v>0</v>
      </c>
      <c r="AY333" s="2">
        <f t="shared" si="62"/>
        <v>0</v>
      </c>
      <c r="AZ333" s="2">
        <f>AU333*0.5+AK333*0.5</f>
        <v>0</v>
      </c>
      <c r="BA333" s="2">
        <f>AV333*0.5+AJ333*0.5</f>
        <v>0</v>
      </c>
      <c r="BB333" s="2">
        <f t="shared" si="63"/>
        <v>0</v>
      </c>
      <c r="BC333">
        <f>IF(I333="expected",1,0)</f>
        <v>1</v>
      </c>
      <c r="BD333" s="78">
        <f>IF(BC333=1,AZ333/SUMIFS(AZ$3:AZ$623,$BC$3:$BC$623,1,$G$3:$G$623,$G333),0)</f>
        <v>0</v>
      </c>
      <c r="BE333" s="78">
        <f>IF(BC333=1,BA333/SUMIFS(BA$3:BA$623,$BC$3:$BC$623,1,$G$3:$G$623,$G333),0)</f>
        <v>0</v>
      </c>
      <c r="BF333" s="78">
        <f t="shared" si="64"/>
        <v>0</v>
      </c>
      <c r="BG333" s="2">
        <f t="shared" si="65"/>
        <v>0</v>
      </c>
      <c r="BH333" s="2">
        <f t="shared" si="66"/>
        <v>0</v>
      </c>
      <c r="BI333" s="2">
        <f t="shared" si="67"/>
        <v>0</v>
      </c>
      <c r="BJ333" s="2">
        <f t="shared" si="68"/>
        <v>0</v>
      </c>
      <c r="BK333" s="2">
        <f t="shared" si="69"/>
        <v>0</v>
      </c>
      <c r="BL333" s="2">
        <f t="shared" si="70"/>
        <v>0</v>
      </c>
      <c r="BM333" s="2">
        <f t="shared" si="71"/>
        <v>0</v>
      </c>
      <c r="BN333" s="2">
        <f>BI333/SUMIFS(BI$3:BI$623,$BC$3:$BC$623,1,$G$3:$G$623,$G333)</f>
        <v>0</v>
      </c>
      <c r="BO333" s="2">
        <f>BJ333/SUMIFS(BJ$3:BJ$623,$BC$3:$BC$623,1,$G$3:$G$623,$G333)</f>
        <v>0</v>
      </c>
      <c r="BP333" s="2">
        <f>BK333/SUMIFS(BK$3:BK$623,$BC$3:$BC$623,1,$G$3:$G$623,$G333)</f>
        <v>0</v>
      </c>
      <c r="BQ333" s="2">
        <f>BL333</f>
        <v>0</v>
      </c>
      <c r="BR333" s="2">
        <f>BM333</f>
        <v>0</v>
      </c>
    </row>
    <row r="334" spans="1:70" hidden="1">
      <c r="A334" s="74">
        <v>0</v>
      </c>
      <c r="B334" s="73">
        <v>220796</v>
      </c>
      <c r="C334" s="73" t="s">
        <v>2304</v>
      </c>
      <c r="D334" s="73" t="s">
        <v>2305</v>
      </c>
      <c r="E334" s="73" t="s">
        <v>2306</v>
      </c>
      <c r="F334" s="73">
        <v>18624</v>
      </c>
      <c r="G334" s="73" t="s">
        <v>877</v>
      </c>
      <c r="H334" s="73" t="s">
        <v>951</v>
      </c>
      <c r="I334" s="73" t="s">
        <v>1012</v>
      </c>
      <c r="J334" s="73">
        <v>0</v>
      </c>
      <c r="K334" s="73">
        <v>4.5</v>
      </c>
      <c r="L334" s="73">
        <v>0</v>
      </c>
      <c r="M334" s="73">
        <v>0</v>
      </c>
      <c r="N334" s="73">
        <v>0</v>
      </c>
      <c r="O334" s="73" t="s">
        <v>1318</v>
      </c>
      <c r="P334" s="73" t="s">
        <v>2307</v>
      </c>
      <c r="Q334" s="73" t="s">
        <v>2044</v>
      </c>
      <c r="R334" s="73">
        <v>2</v>
      </c>
      <c r="S334" s="73">
        <v>1</v>
      </c>
      <c r="T334" s="73">
        <v>0</v>
      </c>
      <c r="U334" s="73">
        <v>3</v>
      </c>
      <c r="V334" s="73">
        <v>929</v>
      </c>
      <c r="W334" s="73">
        <v>7</v>
      </c>
      <c r="X334" s="73">
        <v>0</v>
      </c>
      <c r="Y334" s="73">
        <v>0</v>
      </c>
      <c r="Z334" s="73" t="s">
        <v>877</v>
      </c>
      <c r="AA334" s="73" t="s">
        <v>692</v>
      </c>
      <c r="AB334" s="73" t="str">
        <f>IF(AA334&lt;&gt;"",INDEX(Lookup!$N$2:$N$5,MATCH(Players!AA334,Lookup!$P$2:$P$5,0)),INDEX(Lookup!$N$2:$N$5,MATCH(Players!O334,Lookup!$O$2:$O$5,0)))</f>
        <v>Defense</v>
      </c>
      <c r="AC334" s="73">
        <v>2000000</v>
      </c>
      <c r="AD334" s="73" t="s">
        <v>788</v>
      </c>
      <c r="AE334" s="73" t="str">
        <f>INDEX('Translate table'!$H$2:$H$622,MATCH(Players!P334,'Translate table'!$G$2:$G$622,0))</f>
        <v>Denis PopoviÄ</v>
      </c>
      <c r="AF334" s="73">
        <f>IFERROR(INDEX('Euro Qual stats'!$A$1:$L$2071,MATCH(Players!$AE334,'Euro Qual stats'!$A$1:$A$2071,0),MATCH(Players!AF$2,'Euro Qual stats'!$A$1:$L$1,0)),0)</f>
        <v>6</v>
      </c>
      <c r="AG334" s="73">
        <f>IFERROR(INDEX('Euro Qual stats'!$A$1:$L$2071,MATCH(Players!$AE334,'Euro Qual stats'!$A$1:$A$2071,0),MATCH(Players!AG$2,'Euro Qual stats'!$A$1:$L$1,0)),0)</f>
        <v>0</v>
      </c>
      <c r="AH334" s="73">
        <f>IFERROR(INDEX('Euro Qual stats'!$A$1:$L$2071,MATCH(Players!$AE334,'Euro Qual stats'!$A$1:$A$2071,0),MATCH(Players!AH$2,'Euro Qual stats'!$A$1:$L$1,0)),0)</f>
        <v>0</v>
      </c>
      <c r="AI334" s="73">
        <f>IFERROR(INDEX('Euro Qual stats'!$A$1:$L$2071,MATCH(Players!$AE334,'Euro Qual stats'!$A$1:$A$2071,0),MATCH(Players!AI$2,'Euro Qual stats'!$A$1:$L$1,0)),0)</f>
        <v>1.05</v>
      </c>
      <c r="AJ334" s="93">
        <f>(12-AF334)/12*INDEX(BV$9:BV$12,MATCH($AB334,$BU$9:$BU$12,0))+AF334/12*AG334</f>
        <v>4.4587912087912102E-2</v>
      </c>
      <c r="AK334" s="93">
        <f>(12-AG334)/12*INDEX(BW$9:BW$12,MATCH($AB334,$BU$9:$BU$12,0))+AG334/12*AH334</f>
        <v>0.10357142857142858</v>
      </c>
      <c r="AL334" s="93">
        <f>(12-AH334)/12*INDEX(BX$9:BX$12,MATCH($AB334,$BU$9:$BU$12,0))+AH334/12*AI334</f>
        <v>0.19357142857142848</v>
      </c>
      <c r="AM334" s="93">
        <f>IF($BC334=1,AJ334/SUMIFS(AJ$3:AJ$623,$BC$3:$BC$623,1,$G$3:$G$623,$G334),0)</f>
        <v>0</v>
      </c>
      <c r="AN334" s="93">
        <f>IF($BC334=1,AK334/SUMIFS(AK$3:AK$623,$BC$3:$BC$623,1,$G$3:$G$623,$G334),0)</f>
        <v>0</v>
      </c>
      <c r="AO334" s="93">
        <f>IF($BC334=1,AL334/SUMIFS(AL$3:AL$623,$BC$3:$BC$623,1,$G$3:$G$623,$G334),0)</f>
        <v>0</v>
      </c>
      <c r="AP334" s="2">
        <f>IFERROR(R334/$V334*90,"")</f>
        <v>0.193756727664155</v>
      </c>
      <c r="AQ334" s="2">
        <f>IFERROR(S334/$V334*90,"")</f>
        <v>9.6878363832077499E-2</v>
      </c>
      <c r="AR334" s="2">
        <f>IFERROR(W334/$V334*90,"")</f>
        <v>0.67814854682454251</v>
      </c>
      <c r="AS334" s="2">
        <f>IFERROR(X334/$V334*90,"")</f>
        <v>0</v>
      </c>
      <c r="AT334" s="2">
        <f>IFERROR(Y334/$V334*90,"")</f>
        <v>0</v>
      </c>
      <c r="AU334" s="2">
        <f>IF(AP334="",INDEX(BV$4:BV$7,MATCH(O334,$BU$4:$BU$7,0)),AP334)</f>
        <v>0.193756727664155</v>
      </c>
      <c r="AV334" s="2">
        <f>IF(AQ334="",INDEX(BW$4:BW$7,MATCH($O334,$BU$4:$BU$7,0)),AQ334)</f>
        <v>9.6878363832077499E-2</v>
      </c>
      <c r="AW334" s="2">
        <f t="shared" si="60"/>
        <v>0.67814854682454251</v>
      </c>
      <c r="AX334" s="2">
        <f t="shared" si="61"/>
        <v>0</v>
      </c>
      <c r="AY334" s="2">
        <f t="shared" si="62"/>
        <v>0</v>
      </c>
      <c r="AZ334" s="2">
        <f>AU334*0.5+AK334*0.5</f>
        <v>0.14866407811779178</v>
      </c>
      <c r="BA334" s="2">
        <f>AV334*0.5+AJ334*0.5</f>
        <v>7.0733137959994807E-2</v>
      </c>
      <c r="BB334" s="2">
        <f t="shared" si="63"/>
        <v>0.52500000000000002</v>
      </c>
      <c r="BC334">
        <f>IF(I334="expected",1,0)</f>
        <v>0</v>
      </c>
      <c r="BD334" s="78">
        <f>IF(BC334=1,AZ334/SUMIFS(AZ$3:AZ$623,$BC$3:$BC$623,1,$G$3:$G$623,$G334),0)</f>
        <v>0</v>
      </c>
      <c r="BE334" s="78">
        <f>IF(BC334=1,BA334/SUMIFS(BA$3:BA$623,$BC$3:$BC$623,1,$G$3:$G$623,$G334),0)</f>
        <v>0</v>
      </c>
      <c r="BF334" s="78">
        <f t="shared" si="64"/>
        <v>0</v>
      </c>
      <c r="BG334" s="2">
        <f t="shared" si="65"/>
        <v>0.52500000000000002</v>
      </c>
      <c r="BH334" s="2">
        <f t="shared" si="66"/>
        <v>0</v>
      </c>
      <c r="BI334" s="2">
        <f t="shared" si="67"/>
        <v>0</v>
      </c>
      <c r="BJ334" s="2">
        <f t="shared" si="68"/>
        <v>0</v>
      </c>
      <c r="BK334" s="2">
        <f t="shared" si="69"/>
        <v>0</v>
      </c>
      <c r="BL334" s="2">
        <f t="shared" si="70"/>
        <v>0.52500000000000002</v>
      </c>
      <c r="BM334" s="2">
        <f t="shared" si="71"/>
        <v>0</v>
      </c>
      <c r="BN334" s="2">
        <f>BI334/SUMIFS(BI$3:BI$623,$BC$3:$BC$623,1,$G$3:$G$623,$G334)</f>
        <v>0</v>
      </c>
      <c r="BO334" s="2">
        <f>BJ334/SUMIFS(BJ$3:BJ$623,$BC$3:$BC$623,1,$G$3:$G$623,$G334)</f>
        <v>0</v>
      </c>
      <c r="BP334" s="2">
        <f>BK334/SUMIFS(BK$3:BK$623,$BC$3:$BC$623,1,$G$3:$G$623,$G334)</f>
        <v>0</v>
      </c>
      <c r="BQ334" s="2">
        <f>BL334</f>
        <v>0.52500000000000002</v>
      </c>
      <c r="BR334" s="2">
        <f>BM334</f>
        <v>0</v>
      </c>
    </row>
    <row r="335" spans="1:70" hidden="1">
      <c r="A335" s="74">
        <v>0</v>
      </c>
      <c r="B335" s="73">
        <v>213428</v>
      </c>
      <c r="C335" s="73" t="s">
        <v>2308</v>
      </c>
      <c r="D335" s="73" t="s">
        <v>2309</v>
      </c>
      <c r="E335" s="73" t="s">
        <v>2310</v>
      </c>
      <c r="F335" s="73">
        <v>18624</v>
      </c>
      <c r="G335" s="73" t="s">
        <v>877</v>
      </c>
      <c r="H335" s="73" t="s">
        <v>951</v>
      </c>
      <c r="I335" s="73" t="s">
        <v>1012</v>
      </c>
      <c r="J335" s="73">
        <v>0</v>
      </c>
      <c r="K335" s="73">
        <v>4.5</v>
      </c>
      <c r="L335" s="73">
        <v>0</v>
      </c>
      <c r="M335" s="73">
        <v>0</v>
      </c>
      <c r="N335" s="73">
        <v>0</v>
      </c>
      <c r="O335" s="73" t="s">
        <v>1318</v>
      </c>
      <c r="P335" s="73" t="s">
        <v>2311</v>
      </c>
      <c r="Q335" s="73" t="s">
        <v>2312</v>
      </c>
      <c r="R335" s="73">
        <v>0</v>
      </c>
      <c r="S335" s="73">
        <v>0</v>
      </c>
      <c r="T335" s="73">
        <v>0</v>
      </c>
      <c r="U335" s="73">
        <v>0</v>
      </c>
      <c r="V335" s="73">
        <v>80</v>
      </c>
      <c r="W335" s="73">
        <v>0</v>
      </c>
      <c r="X335" s="73">
        <v>0</v>
      </c>
      <c r="Y335" s="73">
        <v>0</v>
      </c>
      <c r="Z335" s="73" t="s">
        <v>877</v>
      </c>
      <c r="AA335" s="73" t="s">
        <v>692</v>
      </c>
      <c r="AB335" s="73" t="str">
        <f>IF(AA335&lt;&gt;"",INDEX(Lookup!$N$2:$N$5,MATCH(Players!AA335,Lookup!$P$2:$P$5,0)),INDEX(Lookup!$N$2:$N$5,MATCH(Players!O335,Lookup!$O$2:$O$5,0)))</f>
        <v>Defense</v>
      </c>
      <c r="AC335" s="73">
        <v>2500000</v>
      </c>
      <c r="AD335" s="73" t="s">
        <v>788</v>
      </c>
      <c r="AE335" s="73" t="str">
        <f>INDEX('Translate table'!$H$2:$H$622,MATCH(Players!P335,'Translate table'!$G$2:$G$622,0))</f>
        <v>Eduard Sobol</v>
      </c>
      <c r="AF335" s="73">
        <f>IFERROR(INDEX('Euro Qual stats'!$A$1:$L$2071,MATCH(Players!$AE335,'Euro Qual stats'!$A$1:$A$2071,0),MATCH(Players!AF$2,'Euro Qual stats'!$A$1:$L$1,0)),0)</f>
        <v>2</v>
      </c>
      <c r="AG335" s="73">
        <f>IFERROR(INDEX('Euro Qual stats'!$A$1:$L$2071,MATCH(Players!$AE335,'Euro Qual stats'!$A$1:$A$2071,0),MATCH(Players!AG$2,'Euro Qual stats'!$A$1:$L$1,0)),0)</f>
        <v>0</v>
      </c>
      <c r="AH335" s="73">
        <f>IFERROR(INDEX('Euro Qual stats'!$A$1:$L$2071,MATCH(Players!$AE335,'Euro Qual stats'!$A$1:$A$2071,0),MATCH(Players!AH$2,'Euro Qual stats'!$A$1:$L$1,0)),0)</f>
        <v>0</v>
      </c>
      <c r="AI335" s="73">
        <f>IFERROR(INDEX('Euro Qual stats'!$A$1:$L$2071,MATCH(Players!$AE335,'Euro Qual stats'!$A$1:$A$2071,0),MATCH(Players!AI$2,'Euro Qual stats'!$A$1:$L$1,0)),0)</f>
        <v>0</v>
      </c>
      <c r="AJ335" s="93">
        <f>(12-AF335)/12*INDEX(BV$9:BV$12,MATCH($AB335,$BU$9:$BU$12,0))+AF335/12*AG335</f>
        <v>7.4313186813186841E-2</v>
      </c>
      <c r="AK335" s="93">
        <f>(12-AG335)/12*INDEX(BW$9:BW$12,MATCH($AB335,$BU$9:$BU$12,0))+AG335/12*AH335</f>
        <v>0.10357142857142858</v>
      </c>
      <c r="AL335" s="93">
        <f>(12-AH335)/12*INDEX(BX$9:BX$12,MATCH($AB335,$BU$9:$BU$12,0))+AH335/12*AI335</f>
        <v>0.19357142857142848</v>
      </c>
      <c r="AM335" s="93">
        <f>IF($BC335=1,AJ335/SUMIFS(AJ$3:AJ$623,$BC$3:$BC$623,1,$G$3:$G$623,$G335),0)</f>
        <v>0</v>
      </c>
      <c r="AN335" s="93">
        <f>IF($BC335=1,AK335/SUMIFS(AK$3:AK$623,$BC$3:$BC$623,1,$G$3:$G$623,$G335),0)</f>
        <v>0</v>
      </c>
      <c r="AO335" s="93">
        <f>IF($BC335=1,AL335/SUMIFS(AL$3:AL$623,$BC$3:$BC$623,1,$G$3:$G$623,$G335),0)</f>
        <v>0</v>
      </c>
      <c r="AP335" s="2">
        <f>IFERROR(R335/$V335*90,"")</f>
        <v>0</v>
      </c>
      <c r="AQ335" s="2">
        <f>IFERROR(S335/$V335*90,"")</f>
        <v>0</v>
      </c>
      <c r="AR335" s="2">
        <f>IFERROR(W335/$V335*90,"")</f>
        <v>0</v>
      </c>
      <c r="AS335" s="2">
        <f>IFERROR(X335/$V335*90,"")</f>
        <v>0</v>
      </c>
      <c r="AT335" s="2">
        <f>IFERROR(Y335/$V335*90,"")</f>
        <v>0</v>
      </c>
      <c r="AU335" s="2">
        <f>IF(AP335="",INDEX(BV$4:BV$7,MATCH(O335,$BU$4:$BU$7,0)),AP335)</f>
        <v>0</v>
      </c>
      <c r="AV335" s="2">
        <f>IF(AQ335="",INDEX(BW$4:BW$7,MATCH($O335,$BU$4:$BU$7,0)),AQ335)</f>
        <v>0</v>
      </c>
      <c r="AW335" s="2">
        <f t="shared" si="60"/>
        <v>0</v>
      </c>
      <c r="AX335" s="2">
        <f t="shared" si="61"/>
        <v>0</v>
      </c>
      <c r="AY335" s="2">
        <f t="shared" si="62"/>
        <v>0</v>
      </c>
      <c r="AZ335" s="2">
        <f>AU335*0.5+AK335*0.5</f>
        <v>5.1785714285714289E-2</v>
      </c>
      <c r="BA335" s="2">
        <f>AV335*0.5+AJ335*0.5</f>
        <v>3.715659340659342E-2</v>
      </c>
      <c r="BB335" s="2">
        <f t="shared" si="63"/>
        <v>0</v>
      </c>
      <c r="BC335">
        <f>IF(I335="expected",1,0)</f>
        <v>0</v>
      </c>
      <c r="BD335" s="78">
        <f>IF(BC335=1,AZ335/SUMIFS(AZ$3:AZ$623,$BC$3:$BC$623,1,$G$3:$G$623,$G335),0)</f>
        <v>0</v>
      </c>
      <c r="BE335" s="78">
        <f>IF(BC335=1,BA335/SUMIFS(BA$3:BA$623,$BC$3:$BC$623,1,$G$3:$G$623,$G335),0)</f>
        <v>0</v>
      </c>
      <c r="BF335" s="78">
        <f t="shared" si="64"/>
        <v>0</v>
      </c>
      <c r="BG335" s="2">
        <f t="shared" si="65"/>
        <v>0</v>
      </c>
      <c r="BH335" s="2">
        <f t="shared" si="66"/>
        <v>0</v>
      </c>
      <c r="BI335" s="2">
        <f t="shared" si="67"/>
        <v>0</v>
      </c>
      <c r="BJ335" s="2">
        <f t="shared" si="68"/>
        <v>0</v>
      </c>
      <c r="BK335" s="2">
        <f t="shared" si="69"/>
        <v>0</v>
      </c>
      <c r="BL335" s="2">
        <f t="shared" si="70"/>
        <v>0</v>
      </c>
      <c r="BM335" s="2">
        <f t="shared" si="71"/>
        <v>0</v>
      </c>
      <c r="BN335" s="2">
        <f>BI335/SUMIFS(BI$3:BI$623,$BC$3:$BC$623,1,$G$3:$G$623,$G335)</f>
        <v>0</v>
      </c>
      <c r="BO335" s="2">
        <f>BJ335/SUMIFS(BJ$3:BJ$623,$BC$3:$BC$623,1,$G$3:$G$623,$G335)</f>
        <v>0</v>
      </c>
      <c r="BP335" s="2">
        <f>BK335/SUMIFS(BK$3:BK$623,$BC$3:$BC$623,1,$G$3:$G$623,$G335)</f>
        <v>0</v>
      </c>
      <c r="BQ335" s="2">
        <f>BL335</f>
        <v>0</v>
      </c>
      <c r="BR335" s="2">
        <f>BM335</f>
        <v>0</v>
      </c>
    </row>
    <row r="336" spans="1:70" hidden="1">
      <c r="A336" s="74">
        <v>0</v>
      </c>
      <c r="B336" s="73">
        <v>213427</v>
      </c>
      <c r="C336" s="73" t="s">
        <v>2313</v>
      </c>
      <c r="D336" s="73" t="s">
        <v>1680</v>
      </c>
      <c r="E336" s="73" t="s">
        <v>2123</v>
      </c>
      <c r="F336" s="73">
        <v>18624</v>
      </c>
      <c r="G336" s="73" t="s">
        <v>877</v>
      </c>
      <c r="H336" s="73" t="s">
        <v>951</v>
      </c>
      <c r="I336" s="73" t="s">
        <v>981</v>
      </c>
      <c r="J336" s="73">
        <v>0</v>
      </c>
      <c r="K336" s="73">
        <v>4.5</v>
      </c>
      <c r="L336" s="73">
        <v>0</v>
      </c>
      <c r="M336" s="73">
        <v>0</v>
      </c>
      <c r="N336" s="73">
        <v>0</v>
      </c>
      <c r="O336" s="73" t="s">
        <v>1318</v>
      </c>
      <c r="P336" s="73" t="s">
        <v>2314</v>
      </c>
      <c r="Q336" s="73" t="s">
        <v>2315</v>
      </c>
      <c r="R336" s="73">
        <v>0</v>
      </c>
      <c r="S336" s="73">
        <v>1</v>
      </c>
      <c r="T336" s="73">
        <v>0</v>
      </c>
      <c r="U336" s="73">
        <v>0</v>
      </c>
      <c r="V336" s="73">
        <v>387</v>
      </c>
      <c r="W336" s="73">
        <v>2</v>
      </c>
      <c r="X336" s="73">
        <v>0</v>
      </c>
      <c r="Y336" s="73">
        <v>0</v>
      </c>
      <c r="Z336" s="73" t="s">
        <v>877</v>
      </c>
      <c r="AA336" s="73" t="s">
        <v>692</v>
      </c>
      <c r="AB336" s="73" t="str">
        <f>IF(AA336&lt;&gt;"",INDEX(Lookup!$N$2:$N$5,MATCH(Players!AA336,Lookup!$P$2:$P$5,0)),INDEX(Lookup!$N$2:$N$5,MATCH(Players!O336,Lookup!$O$2:$O$5,0)))</f>
        <v>Defense</v>
      </c>
      <c r="AC336" s="73">
        <v>3000000</v>
      </c>
      <c r="AD336" s="73" t="s">
        <v>789</v>
      </c>
      <c r="AE336" s="73" t="str">
        <f>INDEX('Translate table'!$H$2:$H$622,MATCH(Players!P336,'Translate table'!$G$2:$G$622,0))</f>
        <v>Oleksandr Karavaev</v>
      </c>
      <c r="AF336" s="73">
        <f>IFERROR(INDEX('Euro Qual stats'!$A$1:$L$2071,MATCH(Players!$AE336,'Euro Qual stats'!$A$1:$A$2071,0),MATCH(Players!AF$2,'Euro Qual stats'!$A$1:$L$1,0)),0)</f>
        <v>6</v>
      </c>
      <c r="AG336" s="73">
        <f>IFERROR(INDEX('Euro Qual stats'!$A$1:$L$2071,MATCH(Players!$AE336,'Euro Qual stats'!$A$1:$A$2071,0),MATCH(Players!AG$2,'Euro Qual stats'!$A$1:$L$1,0)),0)</f>
        <v>0.39</v>
      </c>
      <c r="AH336" s="73">
        <f>IFERROR(INDEX('Euro Qual stats'!$A$1:$L$2071,MATCH(Players!$AE336,'Euro Qual stats'!$A$1:$A$2071,0),MATCH(Players!AH$2,'Euro Qual stats'!$A$1:$L$1,0)),0)</f>
        <v>0</v>
      </c>
      <c r="AI336" s="73">
        <f>IFERROR(INDEX('Euro Qual stats'!$A$1:$L$2071,MATCH(Players!$AE336,'Euro Qual stats'!$A$1:$A$2071,0),MATCH(Players!AI$2,'Euro Qual stats'!$A$1:$L$1,0)),0)</f>
        <v>0.2</v>
      </c>
      <c r="AJ336" s="93">
        <f>(12-AF336)/12*INDEX(BV$9:BV$12,MATCH($AB336,$BU$9:$BU$12,0))+AF336/12*AG336</f>
        <v>0.23958791208791211</v>
      </c>
      <c r="AK336" s="93">
        <f>(12-AG336)/12*INDEX(BW$9:BW$12,MATCH($AB336,$BU$9:$BU$12,0))+AG336/12*AH336</f>
        <v>0.10020535714285714</v>
      </c>
      <c r="AL336" s="93">
        <f>(12-AH336)/12*INDEX(BX$9:BX$12,MATCH($AB336,$BU$9:$BU$12,0))+AH336/12*AI336</f>
        <v>0.19357142857142848</v>
      </c>
      <c r="AM336" s="93">
        <f>IF($BC336=1,AJ336/SUMIFS(AJ$3:AJ$623,$BC$3:$BC$623,1,$G$3:$G$623,$G336),0)</f>
        <v>0.14875604253404526</v>
      </c>
      <c r="AN336" s="93">
        <f>IF($BC336=1,AK336/SUMIFS(AK$3:AK$623,$BC$3:$BC$623,1,$G$3:$G$623,$G336),0)</f>
        <v>4.8232456343020549E-2</v>
      </c>
      <c r="AO336" s="93">
        <f>IF($BC336=1,AL336/SUMIFS(AL$3:AL$623,$BC$3:$BC$623,1,$G$3:$G$623,$G336),0)</f>
        <v>9.2180219325292079E-2</v>
      </c>
      <c r="AP336" s="2">
        <f>IFERROR(R336/$V336*90,"")</f>
        <v>0</v>
      </c>
      <c r="AQ336" s="2">
        <f>IFERROR(S336/$V336*90,"")</f>
        <v>0.23255813953488372</v>
      </c>
      <c r="AR336" s="2">
        <f>IFERROR(W336/$V336*90,"")</f>
        <v>0.46511627906976744</v>
      </c>
      <c r="AS336" s="2">
        <f>IFERROR(X336/$V336*90,"")</f>
        <v>0</v>
      </c>
      <c r="AT336" s="2">
        <f>IFERROR(Y336/$V336*90,"")</f>
        <v>0</v>
      </c>
      <c r="AU336" s="2">
        <f>IF(AP336="",INDEX(BV$4:BV$7,MATCH(O336,$BU$4:$BU$7,0)),AP336)</f>
        <v>0</v>
      </c>
      <c r="AV336" s="2">
        <f>IF(AQ336="",INDEX(BW$4:BW$7,MATCH($O336,$BU$4:$BU$7,0)),AQ336)</f>
        <v>0.23255813953488372</v>
      </c>
      <c r="AW336" s="2">
        <f t="shared" si="60"/>
        <v>0.46511627906976744</v>
      </c>
      <c r="AX336" s="2">
        <f t="shared" si="61"/>
        <v>0</v>
      </c>
      <c r="AY336" s="2">
        <f t="shared" si="62"/>
        <v>0</v>
      </c>
      <c r="AZ336" s="2">
        <f>AU336*0.5+AK336*0.5</f>
        <v>5.0102678571428569E-2</v>
      </c>
      <c r="BA336" s="2">
        <f>AV336*0.5+AJ336*0.5</f>
        <v>0.23607302581139791</v>
      </c>
      <c r="BB336" s="2">
        <f t="shared" si="63"/>
        <v>0.1</v>
      </c>
      <c r="BC336">
        <f>IF(I336="expected",1,0)</f>
        <v>1</v>
      </c>
      <c r="BD336" s="78">
        <f>IF(BC336=1,AZ336/SUMIFS(AZ$3:AZ$623,$BC$3:$BC$623,1,$G$3:$G$623,$G336),0)</f>
        <v>3.6150208371846779E-2</v>
      </c>
      <c r="BE336" s="78">
        <f>IF(BC336=1,BA336/SUMIFS(BA$3:BA$623,$BC$3:$BC$623,1,$G$3:$G$623,$G336),0)</f>
        <v>0.17922494627743341</v>
      </c>
      <c r="BF336" s="78">
        <f t="shared" si="64"/>
        <v>0.14583742528181284</v>
      </c>
      <c r="BG336" s="2">
        <f t="shared" si="65"/>
        <v>0.1</v>
      </c>
      <c r="BH336" s="2">
        <f t="shared" si="66"/>
        <v>0</v>
      </c>
      <c r="BI336" s="2">
        <f t="shared" si="67"/>
        <v>3.6150208371846779E-2</v>
      </c>
      <c r="BJ336" s="2">
        <f t="shared" si="68"/>
        <v>0.17922494627743341</v>
      </c>
      <c r="BK336" s="2">
        <f t="shared" si="69"/>
        <v>0.14583742528181284</v>
      </c>
      <c r="BL336" s="2">
        <f t="shared" si="70"/>
        <v>0.1</v>
      </c>
      <c r="BM336" s="2">
        <f t="shared" si="71"/>
        <v>0</v>
      </c>
      <c r="BN336" s="2">
        <f>BI336/SUMIFS(BI$3:BI$623,$BC$3:$BC$623,1,$G$3:$G$623,$G336)</f>
        <v>3.6150208371846779E-2</v>
      </c>
      <c r="BO336" s="2">
        <f>BJ336/SUMIFS(BJ$3:BJ$623,$BC$3:$BC$623,1,$G$3:$G$623,$G336)</f>
        <v>0.18579147728471018</v>
      </c>
      <c r="BP336" s="2">
        <f>BK336/SUMIFS(BK$3:BK$623,$BC$3:$BC$623,1,$G$3:$G$623,$G336)</f>
        <v>0.14804076089158849</v>
      </c>
      <c r="BQ336" s="2">
        <f>BL336</f>
        <v>0.1</v>
      </c>
      <c r="BR336" s="2">
        <f>BM336</f>
        <v>0</v>
      </c>
    </row>
    <row r="337" spans="1:70" hidden="1">
      <c r="A337" s="74">
        <v>0</v>
      </c>
      <c r="B337" s="73">
        <v>204498</v>
      </c>
      <c r="C337" s="73" t="s">
        <v>2316</v>
      </c>
      <c r="D337" s="73" t="s">
        <v>2317</v>
      </c>
      <c r="E337" s="73" t="s">
        <v>2318</v>
      </c>
      <c r="F337" s="73">
        <v>18624</v>
      </c>
      <c r="G337" s="73" t="s">
        <v>877</v>
      </c>
      <c r="H337" s="73" t="s">
        <v>951</v>
      </c>
      <c r="I337" s="73" t="s">
        <v>1012</v>
      </c>
      <c r="J337" s="73">
        <v>0</v>
      </c>
      <c r="K337" s="73">
        <v>4.5</v>
      </c>
      <c r="L337" s="73">
        <v>0</v>
      </c>
      <c r="M337" s="73">
        <v>0</v>
      </c>
      <c r="N337" s="73">
        <v>0</v>
      </c>
      <c r="O337" s="73" t="s">
        <v>1318</v>
      </c>
      <c r="P337" s="73" t="s">
        <v>2319</v>
      </c>
      <c r="Q337" s="73" t="s">
        <v>2320</v>
      </c>
      <c r="R337" s="73">
        <v>2</v>
      </c>
      <c r="S337" s="73">
        <v>1</v>
      </c>
      <c r="T337" s="73">
        <v>0</v>
      </c>
      <c r="U337" s="73">
        <v>0</v>
      </c>
      <c r="V337" s="73">
        <v>1090</v>
      </c>
      <c r="W337" s="73">
        <v>4</v>
      </c>
      <c r="X337" s="73">
        <v>0</v>
      </c>
      <c r="Y337" s="73">
        <v>0</v>
      </c>
      <c r="Z337" s="73" t="s">
        <v>877</v>
      </c>
      <c r="AA337" s="73" t="s">
        <v>692</v>
      </c>
      <c r="AB337" s="73" t="str">
        <f>IF(AA337&lt;&gt;"",INDEX(Lookup!$N$2:$N$5,MATCH(Players!AA337,Lookup!$P$2:$P$5,0)),INDEX(Lookup!$N$2:$N$5,MATCH(Players!O337,Lookup!$O$2:$O$5,0)))</f>
        <v>Defense</v>
      </c>
      <c r="AC337" s="73">
        <v>3000000</v>
      </c>
      <c r="AD337" s="73" t="s">
        <v>788</v>
      </c>
      <c r="AE337" s="73" t="str">
        <f>INDEX('Translate table'!$H$2:$H$622,MATCH(Players!P337,'Translate table'!$G$2:$G$622,0))</f>
        <v>Sergey Krivtsov</v>
      </c>
      <c r="AF337" s="73">
        <f>IFERROR(INDEX('Euro Qual stats'!$A$1:$L$2071,MATCH(Players!$AE337,'Euro Qual stats'!$A$1:$A$2071,0),MATCH(Players!AF$2,'Euro Qual stats'!$A$1:$L$1,0)),0)</f>
        <v>7</v>
      </c>
      <c r="AG337" s="73">
        <f>IFERROR(INDEX('Euro Qual stats'!$A$1:$L$2071,MATCH(Players!$AE337,'Euro Qual stats'!$A$1:$A$2071,0),MATCH(Players!AG$2,'Euro Qual stats'!$A$1:$L$1,0)),0)</f>
        <v>0</v>
      </c>
      <c r="AH337" s="73">
        <f>IFERROR(INDEX('Euro Qual stats'!$A$1:$L$2071,MATCH(Players!$AE337,'Euro Qual stats'!$A$1:$A$2071,0),MATCH(Players!AH$2,'Euro Qual stats'!$A$1:$L$1,0)),0)</f>
        <v>0</v>
      </c>
      <c r="AI337" s="73">
        <f>IFERROR(INDEX('Euro Qual stats'!$A$1:$L$2071,MATCH(Players!$AE337,'Euro Qual stats'!$A$1:$A$2071,0),MATCH(Players!AI$2,'Euro Qual stats'!$A$1:$L$1,0)),0)</f>
        <v>0</v>
      </c>
      <c r="AJ337" s="93">
        <f>(12-AF337)/12*INDEX(BV$9:BV$12,MATCH($AB337,$BU$9:$BU$12,0))+AF337/12*AG337</f>
        <v>3.715659340659342E-2</v>
      </c>
      <c r="AK337" s="93">
        <f>(12-AG337)/12*INDEX(BW$9:BW$12,MATCH($AB337,$BU$9:$BU$12,0))+AG337/12*AH337</f>
        <v>0.10357142857142858</v>
      </c>
      <c r="AL337" s="93">
        <f>(12-AH337)/12*INDEX(BX$9:BX$12,MATCH($AB337,$BU$9:$BU$12,0))+AH337/12*AI337</f>
        <v>0.19357142857142848</v>
      </c>
      <c r="AM337" s="93">
        <f>IF($BC337=1,AJ337/SUMIFS(AJ$3:AJ$623,$BC$3:$BC$623,1,$G$3:$G$623,$G337),0)</f>
        <v>0</v>
      </c>
      <c r="AN337" s="93">
        <f>IF($BC337=1,AK337/SUMIFS(AK$3:AK$623,$BC$3:$BC$623,1,$G$3:$G$623,$G337),0)</f>
        <v>0</v>
      </c>
      <c r="AO337" s="93">
        <f>IF($BC337=1,AL337/SUMIFS(AL$3:AL$623,$BC$3:$BC$623,1,$G$3:$G$623,$G337),0)</f>
        <v>0</v>
      </c>
      <c r="AP337" s="2">
        <f>IFERROR(R337/$V337*90,"")</f>
        <v>0.16513761467889909</v>
      </c>
      <c r="AQ337" s="2">
        <f>IFERROR(S337/$V337*90,"")</f>
        <v>8.2568807339449546E-2</v>
      </c>
      <c r="AR337" s="2">
        <f>IFERROR(W337/$V337*90,"")</f>
        <v>0.33027522935779818</v>
      </c>
      <c r="AS337" s="2">
        <f>IFERROR(X337/$V337*90,"")</f>
        <v>0</v>
      </c>
      <c r="AT337" s="2">
        <f>IFERROR(Y337/$V337*90,"")</f>
        <v>0</v>
      </c>
      <c r="AU337" s="2">
        <f>IF(AP337="",INDEX(BV$4:BV$7,MATCH(O337,$BU$4:$BU$7,0)),AP337)</f>
        <v>0.16513761467889909</v>
      </c>
      <c r="AV337" s="2">
        <f>IF(AQ337="",INDEX(BW$4:BW$7,MATCH($O337,$BU$4:$BU$7,0)),AQ337)</f>
        <v>8.2568807339449546E-2</v>
      </c>
      <c r="AW337" s="2">
        <f t="shared" si="60"/>
        <v>0.33027522935779818</v>
      </c>
      <c r="AX337" s="2">
        <f t="shared" si="61"/>
        <v>0</v>
      </c>
      <c r="AY337" s="2">
        <f t="shared" si="62"/>
        <v>0</v>
      </c>
      <c r="AZ337" s="2">
        <f>AU337*0.5+AK337*0.5</f>
        <v>0.13435452162516384</v>
      </c>
      <c r="BA337" s="2">
        <f>AV337*0.5+AJ337*0.5</f>
        <v>5.986270037302148E-2</v>
      </c>
      <c r="BB337" s="2">
        <f t="shared" si="63"/>
        <v>0</v>
      </c>
      <c r="BC337">
        <f>IF(I337="expected",1,0)</f>
        <v>0</v>
      </c>
      <c r="BD337" s="78">
        <f>IF(BC337=1,AZ337/SUMIFS(AZ$3:AZ$623,$BC$3:$BC$623,1,$G$3:$G$623,$G337),0)</f>
        <v>0</v>
      </c>
      <c r="BE337" s="78">
        <f>IF(BC337=1,BA337/SUMIFS(BA$3:BA$623,$BC$3:$BC$623,1,$G$3:$G$623,$G337),0)</f>
        <v>0</v>
      </c>
      <c r="BF337" s="78">
        <f t="shared" si="64"/>
        <v>0</v>
      </c>
      <c r="BG337" s="2">
        <f t="shared" si="65"/>
        <v>0</v>
      </c>
      <c r="BH337" s="2">
        <f t="shared" si="66"/>
        <v>0</v>
      </c>
      <c r="BI337" s="2">
        <f t="shared" si="67"/>
        <v>0</v>
      </c>
      <c r="BJ337" s="2">
        <f t="shared" si="68"/>
        <v>0</v>
      </c>
      <c r="BK337" s="2">
        <f t="shared" si="69"/>
        <v>0</v>
      </c>
      <c r="BL337" s="2">
        <f t="shared" si="70"/>
        <v>0</v>
      </c>
      <c r="BM337" s="2">
        <f t="shared" si="71"/>
        <v>0</v>
      </c>
      <c r="BN337" s="2">
        <f>BI337/SUMIFS(BI$3:BI$623,$BC$3:$BC$623,1,$G$3:$G$623,$G337)</f>
        <v>0</v>
      </c>
      <c r="BO337" s="2">
        <f>BJ337/SUMIFS(BJ$3:BJ$623,$BC$3:$BC$623,1,$G$3:$G$623,$G337)</f>
        <v>0</v>
      </c>
      <c r="BP337" s="2">
        <f>BK337/SUMIFS(BK$3:BK$623,$BC$3:$BC$623,1,$G$3:$G$623,$G337)</f>
        <v>0</v>
      </c>
      <c r="BQ337" s="2">
        <f>BL337</f>
        <v>0</v>
      </c>
      <c r="BR337" s="2">
        <f>BM337</f>
        <v>0</v>
      </c>
    </row>
    <row r="338" spans="1:70" hidden="1">
      <c r="A338" s="74">
        <v>0</v>
      </c>
      <c r="B338" s="73">
        <v>204497</v>
      </c>
      <c r="C338" s="73" t="s">
        <v>2321</v>
      </c>
      <c r="D338" s="73" t="s">
        <v>2322</v>
      </c>
      <c r="E338" s="73" t="s">
        <v>2323</v>
      </c>
      <c r="F338" s="73">
        <v>18624</v>
      </c>
      <c r="G338" s="73" t="s">
        <v>877</v>
      </c>
      <c r="H338" s="73" t="s">
        <v>951</v>
      </c>
      <c r="I338" s="73" t="s">
        <v>981</v>
      </c>
      <c r="J338" s="73">
        <v>0</v>
      </c>
      <c r="K338" s="73">
        <v>4.5</v>
      </c>
      <c r="L338" s="73">
        <v>0</v>
      </c>
      <c r="M338" s="73">
        <v>0</v>
      </c>
      <c r="N338" s="73">
        <v>0</v>
      </c>
      <c r="O338" s="73" t="s">
        <v>1318</v>
      </c>
      <c r="P338" s="73" t="s">
        <v>2324</v>
      </c>
      <c r="Q338" s="73" t="s">
        <v>1164</v>
      </c>
      <c r="R338" s="73"/>
      <c r="S338" s="73"/>
      <c r="T338" s="73"/>
      <c r="U338" s="73"/>
      <c r="V338" s="73"/>
      <c r="W338" s="73"/>
      <c r="X338" s="73"/>
      <c r="Y338" s="73"/>
      <c r="Z338" s="73" t="s">
        <v>877</v>
      </c>
      <c r="AA338" s="73" t="s">
        <v>692</v>
      </c>
      <c r="AB338" s="73" t="str">
        <f>IF(AA338&lt;&gt;"",INDEX(Lookup!$N$2:$N$5,MATCH(Players!AA338,Lookup!$P$2:$P$5,0)),INDEX(Lookup!$N$2:$N$5,MATCH(Players!O338,Lookup!$O$2:$O$5,0)))</f>
        <v>Defense</v>
      </c>
      <c r="AC338" s="73">
        <v>2500000</v>
      </c>
      <c r="AD338" s="73" t="s">
        <v>801</v>
      </c>
      <c r="AE338" s="73" t="str">
        <f>INDEX('Translate table'!$H$2:$H$622,MATCH(Players!P338,'Translate table'!$G$2:$G$622,0))</f>
        <v>Vitalii Mykolenko</v>
      </c>
      <c r="AF338" s="73">
        <f>IFERROR(INDEX('Euro Qual stats'!$A$1:$L$2071,MATCH(Players!$AE338,'Euro Qual stats'!$A$1:$A$2071,0),MATCH(Players!AF$2,'Euro Qual stats'!$A$1:$L$1,0)),0)</f>
        <v>7</v>
      </c>
      <c r="AG338" s="73">
        <f>IFERROR(INDEX('Euro Qual stats'!$A$1:$L$2071,MATCH(Players!$AE338,'Euro Qual stats'!$A$1:$A$2071,0),MATCH(Players!AG$2,'Euro Qual stats'!$A$1:$L$1,0)),0)</f>
        <v>0.14000000000000001</v>
      </c>
      <c r="AH338" s="73">
        <f>IFERROR(INDEX('Euro Qual stats'!$A$1:$L$2071,MATCH(Players!$AE338,'Euro Qual stats'!$A$1:$A$2071,0),MATCH(Players!AH$2,'Euro Qual stats'!$A$1:$L$1,0)),0)</f>
        <v>0</v>
      </c>
      <c r="AI338" s="73">
        <f>IFERROR(INDEX('Euro Qual stats'!$A$1:$L$2071,MATCH(Players!$AE338,'Euro Qual stats'!$A$1:$A$2071,0),MATCH(Players!AI$2,'Euro Qual stats'!$A$1:$L$1,0)),0)</f>
        <v>0.28999999999999998</v>
      </c>
      <c r="AJ338" s="93">
        <f>(12-AF338)/12*INDEX(BV$9:BV$12,MATCH($AB338,$BU$9:$BU$12,0))+AF338/12*AG338</f>
        <v>0.11882326007326011</v>
      </c>
      <c r="AK338" s="93">
        <f>(12-AG338)/12*INDEX(BW$9:BW$12,MATCH($AB338,$BU$9:$BU$12,0))+AG338/12*AH338</f>
        <v>0.10236309523809524</v>
      </c>
      <c r="AL338" s="93">
        <f>(12-AH338)/12*INDEX(BX$9:BX$12,MATCH($AB338,$BU$9:$BU$12,0))+AH338/12*AI338</f>
        <v>0.19357142857142848</v>
      </c>
      <c r="AM338" s="93">
        <f>IF($BC338=1,AJ338/SUMIFS(AJ$3:AJ$623,$BC$3:$BC$623,1,$G$3:$G$623,$G338),0)</f>
        <v>7.3775332717979772E-2</v>
      </c>
      <c r="AN338" s="93">
        <f>IF($BC338=1,AK338/SUMIFS(AK$3:AK$623,$BC$3:$BC$623,1,$G$3:$G$623,$G338),0)</f>
        <v>4.9271053594162256E-2</v>
      </c>
      <c r="AO338" s="93">
        <f>IF($BC338=1,AL338/SUMIFS(AL$3:AL$623,$BC$3:$BC$623,1,$G$3:$G$623,$G338),0)</f>
        <v>9.2180219325292079E-2</v>
      </c>
      <c r="AP338" s="2" t="str">
        <f>IFERROR(R338/$V338*90,"")</f>
        <v/>
      </c>
      <c r="AQ338" s="2" t="str">
        <f>IFERROR(S338/$V338*90,"")</f>
        <v/>
      </c>
      <c r="AR338" s="2" t="str">
        <f>IFERROR(W338/$V338*90,"")</f>
        <v/>
      </c>
      <c r="AS338" s="2" t="str">
        <f>IFERROR(X338/$V338*90,"")</f>
        <v/>
      </c>
      <c r="AT338" s="2" t="str">
        <f>IFERROR(Y338/$V338*90,"")</f>
        <v/>
      </c>
      <c r="AU338" s="2">
        <f>IF(AP338="",INDEX(BV$4:BV$7,MATCH(O338,$BU$4:$BU$7,0)),AP338)</f>
        <v>0</v>
      </c>
      <c r="AV338" s="2">
        <f>IF(AQ338="",INDEX(BW$4:BW$7,MATCH($O338,$BU$4:$BU$7,0)),AQ338)</f>
        <v>0</v>
      </c>
      <c r="AW338" s="2">
        <f t="shared" si="60"/>
        <v>8.0624805297505417E-2</v>
      </c>
      <c r="AX338" s="2">
        <f t="shared" si="61"/>
        <v>0.1265377855887522</v>
      </c>
      <c r="AY338" s="2">
        <f t="shared" si="62"/>
        <v>0</v>
      </c>
      <c r="AZ338" s="2">
        <f>AU338*0.5+AK338*0.5</f>
        <v>5.118154761904762E-2</v>
      </c>
      <c r="BA338" s="2">
        <f>AV338*0.5+AJ338*0.5</f>
        <v>5.9411630036630053E-2</v>
      </c>
      <c r="BB338" s="2">
        <f t="shared" si="63"/>
        <v>0.2082688927943761</v>
      </c>
      <c r="BC338">
        <f>IF(I338="expected",1,0)</f>
        <v>1</v>
      </c>
      <c r="BD338" s="78">
        <f>IF(BC338=1,AZ338/SUMIFS(AZ$3:AZ$623,$BC$3:$BC$623,1,$G$3:$G$623,$G338),0)</f>
        <v>3.6928636631361145E-2</v>
      </c>
      <c r="BE338" s="78">
        <f>IF(BC338=1,BA338/SUMIFS(BA$3:BA$623,$BC$3:$BC$623,1,$G$3:$G$623,$G338),0)</f>
        <v>4.5104882969885109E-2</v>
      </c>
      <c r="BF338" s="78">
        <f t="shared" si="64"/>
        <v>2.5279945139636658E-2</v>
      </c>
      <c r="BG338" s="2">
        <f t="shared" si="65"/>
        <v>0.2082688927943761</v>
      </c>
      <c r="BH338" s="2">
        <f t="shared" si="66"/>
        <v>0</v>
      </c>
      <c r="BI338" s="2">
        <f t="shared" si="67"/>
        <v>3.6928636631361145E-2</v>
      </c>
      <c r="BJ338" s="2">
        <f t="shared" si="68"/>
        <v>4.5104882969885109E-2</v>
      </c>
      <c r="BK338" s="2">
        <f t="shared" si="69"/>
        <v>2.5279945139636658E-2</v>
      </c>
      <c r="BL338" s="2">
        <f t="shared" si="70"/>
        <v>0.2082688927943761</v>
      </c>
      <c r="BM338" s="2">
        <f t="shared" si="71"/>
        <v>0</v>
      </c>
      <c r="BN338" s="2">
        <f>BI338/SUMIFS(BI$3:BI$623,$BC$3:$BC$623,1,$G$3:$G$623,$G338)</f>
        <v>3.6928636631361145E-2</v>
      </c>
      <c r="BO338" s="2">
        <f>BJ338/SUMIFS(BJ$3:BJ$623,$BC$3:$BC$623,1,$G$3:$G$623,$G338)</f>
        <v>4.6757457674205909E-2</v>
      </c>
      <c r="BP338" s="2">
        <f>BK338/SUMIFS(BK$3:BK$623,$BC$3:$BC$623,1,$G$3:$G$623,$G338)</f>
        <v>2.5661878674404583E-2</v>
      </c>
      <c r="BQ338" s="2">
        <f>BL338</f>
        <v>0.2082688927943761</v>
      </c>
      <c r="BR338" s="2">
        <f>BM338</f>
        <v>0</v>
      </c>
    </row>
    <row r="339" spans="1:70" hidden="1">
      <c r="A339" s="74">
        <v>0</v>
      </c>
      <c r="B339" s="73">
        <v>204495</v>
      </c>
      <c r="C339" s="73" t="s">
        <v>2325</v>
      </c>
      <c r="D339" s="73" t="s">
        <v>1903</v>
      </c>
      <c r="E339" s="73" t="s">
        <v>2326</v>
      </c>
      <c r="F339" s="73">
        <v>18624</v>
      </c>
      <c r="G339" s="73" t="s">
        <v>877</v>
      </c>
      <c r="H339" s="73" t="s">
        <v>951</v>
      </c>
      <c r="I339" s="73" t="s">
        <v>981</v>
      </c>
      <c r="J339" s="73">
        <v>0</v>
      </c>
      <c r="K339" s="73">
        <v>4.5</v>
      </c>
      <c r="L339" s="73">
        <v>0</v>
      </c>
      <c r="M339" s="73">
        <v>0</v>
      </c>
      <c r="N339" s="73">
        <v>0</v>
      </c>
      <c r="O339" s="73" t="s">
        <v>1318</v>
      </c>
      <c r="P339" s="73" t="s">
        <v>2327</v>
      </c>
      <c r="Q339" s="73" t="s">
        <v>2328</v>
      </c>
      <c r="R339" s="73">
        <v>3</v>
      </c>
      <c r="S339" s="73">
        <v>1</v>
      </c>
      <c r="T339" s="73">
        <v>0</v>
      </c>
      <c r="U339" s="73">
        <v>8</v>
      </c>
      <c r="V339" s="73">
        <v>3036</v>
      </c>
      <c r="W339" s="73">
        <v>10</v>
      </c>
      <c r="X339" s="73">
        <v>7</v>
      </c>
      <c r="Y339" s="73">
        <v>1</v>
      </c>
      <c r="Z339" s="73" t="s">
        <v>877</v>
      </c>
      <c r="AA339" s="73" t="s">
        <v>692</v>
      </c>
      <c r="AB339" s="73" t="str">
        <f>IF(AA339&lt;&gt;"",INDEX(Lookup!$N$2:$N$5,MATCH(Players!AA339,Lookup!$P$2:$P$5,0)),INDEX(Lookup!$N$2:$N$5,MATCH(Players!O339,Lookup!$O$2:$O$5,0)))</f>
        <v>Defense</v>
      </c>
      <c r="AC339" s="73">
        <v>3000000</v>
      </c>
      <c r="AD339" s="73" t="s">
        <v>789</v>
      </c>
      <c r="AE339" s="73" t="str">
        <f>INDEX('Translate table'!$H$2:$H$622,MATCH(Players!P339,'Translate table'!$G$2:$G$622,0))</f>
        <v>Mykola Matviyenko</v>
      </c>
      <c r="AF339" s="73">
        <f>IFERROR(INDEX('Euro Qual stats'!$A$1:$L$2071,MATCH(Players!$AE339,'Euro Qual stats'!$A$1:$A$2071,0),MATCH(Players!AF$2,'Euro Qual stats'!$A$1:$L$1,0)),0)</f>
        <v>8</v>
      </c>
      <c r="AG339" s="73">
        <f>IFERROR(INDEX('Euro Qual stats'!$A$1:$L$2071,MATCH(Players!$AE339,'Euro Qual stats'!$A$1:$A$2071,0),MATCH(Players!AG$2,'Euro Qual stats'!$A$1:$L$1,0)),0)</f>
        <v>0</v>
      </c>
      <c r="AH339" s="73">
        <f>IFERROR(INDEX('Euro Qual stats'!$A$1:$L$2071,MATCH(Players!$AE339,'Euro Qual stats'!$A$1:$A$2071,0),MATCH(Players!AH$2,'Euro Qual stats'!$A$1:$L$1,0)),0)</f>
        <v>0</v>
      </c>
      <c r="AI339" s="73">
        <f>IFERROR(INDEX('Euro Qual stats'!$A$1:$L$2071,MATCH(Players!$AE339,'Euro Qual stats'!$A$1:$A$2071,0),MATCH(Players!AI$2,'Euro Qual stats'!$A$1:$L$1,0)),0)</f>
        <v>0.13</v>
      </c>
      <c r="AJ339" s="93">
        <f>(12-AF339)/12*INDEX(BV$9:BV$12,MATCH($AB339,$BU$9:$BU$12,0))+AF339/12*AG339</f>
        <v>2.9725274725274732E-2</v>
      </c>
      <c r="AK339" s="93">
        <f>(12-AG339)/12*INDEX(BW$9:BW$12,MATCH($AB339,$BU$9:$BU$12,0))+AG339/12*AH339</f>
        <v>0.10357142857142858</v>
      </c>
      <c r="AL339" s="93">
        <f>(12-AH339)/12*INDEX(BX$9:BX$12,MATCH($AB339,$BU$9:$BU$12,0))+AH339/12*AI339</f>
        <v>0.19357142857142848</v>
      </c>
      <c r="AM339" s="93">
        <f>IF($BC339=1,AJ339/SUMIFS(AJ$3:AJ$623,$BC$3:$BC$623,1,$G$3:$G$623,$G339),0)</f>
        <v>1.8455915379180943E-2</v>
      </c>
      <c r="AN339" s="93">
        <f>IF($BC339=1,AK339/SUMIFS(AK$3:AK$623,$BC$3:$BC$623,1,$G$3:$G$623,$G339),0)</f>
        <v>4.985266805480161E-2</v>
      </c>
      <c r="AO339" s="93">
        <f>IF($BC339=1,AL339/SUMIFS(AL$3:AL$623,$BC$3:$BC$623,1,$G$3:$G$623,$G339),0)</f>
        <v>9.2180219325292079E-2</v>
      </c>
      <c r="AP339" s="2">
        <f>IFERROR(R339/$V339*90,"")</f>
        <v>8.8932806324110672E-2</v>
      </c>
      <c r="AQ339" s="2">
        <f>IFERROR(S339/$V339*90,"")</f>
        <v>2.964426877470356E-2</v>
      </c>
      <c r="AR339" s="2">
        <f>IFERROR(W339/$V339*90,"")</f>
        <v>0.29644268774703558</v>
      </c>
      <c r="AS339" s="2">
        <f>IFERROR(X339/$V339*90,"")</f>
        <v>0.2075098814229249</v>
      </c>
      <c r="AT339" s="2">
        <f>IFERROR(Y339/$V339*90,"")</f>
        <v>2.964426877470356E-2</v>
      </c>
      <c r="AU339" s="2">
        <f>IF(AP339="",INDEX(BV$4:BV$7,MATCH(O339,$BU$4:$BU$7,0)),AP339)</f>
        <v>8.8932806324110672E-2</v>
      </c>
      <c r="AV339" s="2">
        <f>IF(AQ339="",INDEX(BW$4:BW$7,MATCH($O339,$BU$4:$BU$7,0)),AQ339)</f>
        <v>2.964426877470356E-2</v>
      </c>
      <c r="AW339" s="2">
        <f t="shared" si="60"/>
        <v>0.29644268774703558</v>
      </c>
      <c r="AX339" s="2">
        <f t="shared" si="61"/>
        <v>0.2075098814229249</v>
      </c>
      <c r="AY339" s="2">
        <f t="shared" si="62"/>
        <v>2.964426877470356E-2</v>
      </c>
      <c r="AZ339" s="2">
        <f>AU339*0.5+AK339*0.5</f>
        <v>9.6252117447769625E-2</v>
      </c>
      <c r="BA339" s="2">
        <f>AV339*0.5+AJ339*0.5</f>
        <v>2.9684771749989146E-2</v>
      </c>
      <c r="BB339" s="2">
        <f t="shared" si="63"/>
        <v>0.16875494071146246</v>
      </c>
      <c r="BC339">
        <f>IF(I339="expected",1,0)</f>
        <v>1</v>
      </c>
      <c r="BD339" s="78">
        <f>IF(BC339=1,AZ339/SUMIFS(AZ$3:AZ$623,$BC$3:$BC$623,1,$G$3:$G$623,$G339),0)</f>
        <v>6.9448065476335072E-2</v>
      </c>
      <c r="BE339" s="78">
        <f>IF(BC339=1,BA339/SUMIFS(BA$3:BA$623,$BC$3:$BC$623,1,$G$3:$G$623,$G339),0)</f>
        <v>2.2536465586712569E-2</v>
      </c>
      <c r="BF339" s="78">
        <f t="shared" si="64"/>
        <v>9.2949742397993362E-2</v>
      </c>
      <c r="BG339" s="2">
        <f t="shared" si="65"/>
        <v>0.16875494071146246</v>
      </c>
      <c r="BH339" s="2">
        <f t="shared" si="66"/>
        <v>2.964426877470356E-2</v>
      </c>
      <c r="BI339" s="2">
        <f t="shared" si="67"/>
        <v>6.9448065476335072E-2</v>
      </c>
      <c r="BJ339" s="2">
        <f t="shared" si="68"/>
        <v>2.2536465586712569E-2</v>
      </c>
      <c r="BK339" s="2">
        <f t="shared" si="69"/>
        <v>9.2949742397993362E-2</v>
      </c>
      <c r="BL339" s="2">
        <f t="shared" si="70"/>
        <v>0.16875494071146246</v>
      </c>
      <c r="BM339" s="2">
        <f t="shared" si="71"/>
        <v>2.964426877470356E-2</v>
      </c>
      <c r="BN339" s="2">
        <f>BI339/SUMIFS(BI$3:BI$623,$BC$3:$BC$623,1,$G$3:$G$623,$G339)</f>
        <v>6.9448065476335072E-2</v>
      </c>
      <c r="BO339" s="2">
        <f>BJ339/SUMIFS(BJ$3:BJ$623,$BC$3:$BC$623,1,$G$3:$G$623,$G339)</f>
        <v>2.3362167606120608E-2</v>
      </c>
      <c r="BP339" s="2">
        <f>BK339/SUMIFS(BK$3:BK$623,$BC$3:$BC$623,1,$G$3:$G$623,$G339)</f>
        <v>9.4354042267860247E-2</v>
      </c>
      <c r="BQ339" s="2">
        <f>BL339</f>
        <v>0.16875494071146246</v>
      </c>
      <c r="BR339" s="2">
        <f>BM339</f>
        <v>2.964426877470356E-2</v>
      </c>
    </row>
    <row r="340" spans="1:70" hidden="1">
      <c r="A340" s="74">
        <v>0</v>
      </c>
      <c r="B340" s="73">
        <v>220802</v>
      </c>
      <c r="C340" s="73" t="s">
        <v>2329</v>
      </c>
      <c r="D340" s="73" t="s">
        <v>2330</v>
      </c>
      <c r="E340" s="73" t="s">
        <v>2331</v>
      </c>
      <c r="F340" s="73">
        <v>18624</v>
      </c>
      <c r="G340" s="73" t="s">
        <v>877</v>
      </c>
      <c r="H340" s="73" t="s">
        <v>951</v>
      </c>
      <c r="I340" s="73" t="s">
        <v>1012</v>
      </c>
      <c r="J340" s="73">
        <v>0</v>
      </c>
      <c r="K340" s="73">
        <v>4.5</v>
      </c>
      <c r="L340" s="73">
        <v>0</v>
      </c>
      <c r="M340" s="73">
        <v>0</v>
      </c>
      <c r="N340" s="73">
        <v>0</v>
      </c>
      <c r="O340" s="73" t="s">
        <v>994</v>
      </c>
      <c r="P340" s="73" t="s">
        <v>2332</v>
      </c>
      <c r="Q340" s="73" t="s">
        <v>1164</v>
      </c>
      <c r="R340" s="73"/>
      <c r="S340" s="73"/>
      <c r="T340" s="73"/>
      <c r="U340" s="73"/>
      <c r="V340" s="73"/>
      <c r="W340" s="73"/>
      <c r="X340" s="73"/>
      <c r="Y340" s="73"/>
      <c r="Z340" s="73" t="s">
        <v>877</v>
      </c>
      <c r="AA340" s="73" t="s">
        <v>691</v>
      </c>
      <c r="AB340" s="73" t="str">
        <f>IF(AA340&lt;&gt;"",INDEX(Lookup!$N$2:$N$5,MATCH(Players!AA340,Lookup!$P$2:$P$5,0)),INDEX(Lookup!$N$2:$N$5,MATCH(Players!O340,Lookup!$O$2:$O$5,0)))</f>
        <v>Midfield</v>
      </c>
      <c r="AC340" s="73">
        <v>2000000</v>
      </c>
      <c r="AD340" s="73" t="s">
        <v>788</v>
      </c>
      <c r="AE340" s="73" t="str">
        <f>INDEX('Translate table'!$H$2:$H$622,MATCH(Players!P340,'Translate table'!$G$2:$G$622,0))</f>
        <v>Mikhail Sivakov</v>
      </c>
      <c r="AF340" s="73">
        <f>IFERROR(INDEX('Euro Qual stats'!$A$1:$L$2071,MATCH(Players!$AE340,'Euro Qual stats'!$A$1:$A$2071,0),MATCH(Players!AF$2,'Euro Qual stats'!$A$1:$L$1,0)),0)</f>
        <v>2</v>
      </c>
      <c r="AG340" s="73">
        <f>IFERROR(INDEX('Euro Qual stats'!$A$1:$L$2071,MATCH(Players!$AE340,'Euro Qual stats'!$A$1:$A$2071,0),MATCH(Players!AG$2,'Euro Qual stats'!$A$1:$L$1,0)),0)</f>
        <v>0</v>
      </c>
      <c r="AH340" s="73">
        <f>IFERROR(INDEX('Euro Qual stats'!$A$1:$L$2071,MATCH(Players!$AE340,'Euro Qual stats'!$A$1:$A$2071,0),MATCH(Players!AH$2,'Euro Qual stats'!$A$1:$L$1,0)),0)</f>
        <v>0</v>
      </c>
      <c r="AI340" s="73">
        <f>IFERROR(INDEX('Euro Qual stats'!$A$1:$L$2071,MATCH(Players!$AE340,'Euro Qual stats'!$A$1:$A$2071,0),MATCH(Players!AI$2,'Euro Qual stats'!$A$1:$L$1,0)),0)</f>
        <v>0</v>
      </c>
      <c r="AJ340" s="93">
        <f>(12-AF340)/12*INDEX(BV$9:BV$12,MATCH($AB340,$BU$9:$BU$12,0))+AF340/12*AG340</f>
        <v>0.1405759162303665</v>
      </c>
      <c r="AK340" s="93">
        <f>(12-AG340)/12*INDEX(BW$9:BW$12,MATCH($AB340,$BU$9:$BU$12,0))+AG340/12*AH340</f>
        <v>0.22340314136125652</v>
      </c>
      <c r="AL340" s="93">
        <f>(12-AH340)/12*INDEX(BX$9:BX$12,MATCH($AB340,$BU$9:$BU$12,0))+AH340/12*AI340</f>
        <v>0.23942408376963353</v>
      </c>
      <c r="AM340" s="93">
        <f>IF($BC340=1,AJ340/SUMIFS(AJ$3:AJ$623,$BC$3:$BC$623,1,$G$3:$G$623,$G340),0)</f>
        <v>0</v>
      </c>
      <c r="AN340" s="93">
        <f>IF($BC340=1,AK340/SUMIFS(AK$3:AK$623,$BC$3:$BC$623,1,$G$3:$G$623,$G340),0)</f>
        <v>0</v>
      </c>
      <c r="AO340" s="93">
        <f>IF($BC340=1,AL340/SUMIFS(AL$3:AL$623,$BC$3:$BC$623,1,$G$3:$G$623,$G340),0)</f>
        <v>0</v>
      </c>
      <c r="AP340" s="2" t="str">
        <f>IFERROR(R340/$V340*90,"")</f>
        <v/>
      </c>
      <c r="AQ340" s="2" t="str">
        <f>IFERROR(S340/$V340*90,"")</f>
        <v/>
      </c>
      <c r="AR340" s="2" t="str">
        <f>IFERROR(W340/$V340*90,"")</f>
        <v/>
      </c>
      <c r="AS340" s="2" t="str">
        <f>IFERROR(X340/$V340*90,"")</f>
        <v/>
      </c>
      <c r="AT340" s="2" t="str">
        <f>IFERROR(Y340/$V340*90,"")</f>
        <v/>
      </c>
      <c r="AU340" s="2">
        <f>IF(AP340="",INDEX(BV$4:BV$7,MATCH(O340,$BU$4:$BU$7,0)),AP340)</f>
        <v>3.6526142445450806E-2</v>
      </c>
      <c r="AV340" s="2">
        <f>IF(AQ340="",INDEX(BW$4:BW$7,MATCH($O340,$BU$4:$BU$7,0)),AQ340)</f>
        <v>3.2427739661688867E-2</v>
      </c>
      <c r="AW340" s="2">
        <f t="shared" si="60"/>
        <v>0.20013349649571699</v>
      </c>
      <c r="AX340" s="2">
        <f t="shared" si="61"/>
        <v>0.16081000595592615</v>
      </c>
      <c r="AY340" s="2">
        <f t="shared" si="62"/>
        <v>0</v>
      </c>
      <c r="AZ340" s="2">
        <f>AU340*0.5+AK340*0.5</f>
        <v>0.12996464190335366</v>
      </c>
      <c r="BA340" s="2">
        <f>AV340*0.5+AJ340*0.5</f>
        <v>8.6501827946027676E-2</v>
      </c>
      <c r="BB340" s="2">
        <f t="shared" si="63"/>
        <v>8.0405002977963075E-2</v>
      </c>
      <c r="BC340">
        <f>IF(I340="expected",1,0)</f>
        <v>0</v>
      </c>
      <c r="BD340" s="78">
        <f>IF(BC340=1,AZ340/SUMIFS(AZ$3:AZ$623,$BC$3:$BC$623,1,$G$3:$G$623,$G340),0)</f>
        <v>0</v>
      </c>
      <c r="BE340" s="78">
        <f>IF(BC340=1,BA340/SUMIFS(BA$3:BA$623,$BC$3:$BC$623,1,$G$3:$G$623,$G340),0)</f>
        <v>0</v>
      </c>
      <c r="BF340" s="78">
        <f t="shared" si="64"/>
        <v>0</v>
      </c>
      <c r="BG340" s="2">
        <f t="shared" si="65"/>
        <v>8.0405002977963075E-2</v>
      </c>
      <c r="BH340" s="2">
        <f t="shared" si="66"/>
        <v>0</v>
      </c>
      <c r="BI340" s="2">
        <f t="shared" si="67"/>
        <v>0</v>
      </c>
      <c r="BJ340" s="2">
        <f t="shared" si="68"/>
        <v>0</v>
      </c>
      <c r="BK340" s="2">
        <f t="shared" si="69"/>
        <v>0</v>
      </c>
      <c r="BL340" s="2">
        <f t="shared" si="70"/>
        <v>8.0405002977963075E-2</v>
      </c>
      <c r="BM340" s="2">
        <f t="shared" si="71"/>
        <v>0</v>
      </c>
      <c r="BN340" s="2">
        <f>BI340/SUMIFS(BI$3:BI$623,$BC$3:$BC$623,1,$G$3:$G$623,$G340)</f>
        <v>0</v>
      </c>
      <c r="BO340" s="2">
        <f>BJ340/SUMIFS(BJ$3:BJ$623,$BC$3:$BC$623,1,$G$3:$G$623,$G340)</f>
        <v>0</v>
      </c>
      <c r="BP340" s="2">
        <f>BK340/SUMIFS(BK$3:BK$623,$BC$3:$BC$623,1,$G$3:$G$623,$G340)</f>
        <v>0</v>
      </c>
      <c r="BQ340" s="2">
        <f>BL340</f>
        <v>8.0405002977963075E-2</v>
      </c>
      <c r="BR340" s="2">
        <f>BM340</f>
        <v>0</v>
      </c>
    </row>
    <row r="341" spans="1:70" hidden="1">
      <c r="A341" s="74">
        <v>0</v>
      </c>
      <c r="B341" s="73">
        <v>213430</v>
      </c>
      <c r="C341" s="73" t="s">
        <v>2333</v>
      </c>
      <c r="D341" s="73" t="s">
        <v>2334</v>
      </c>
      <c r="E341" s="73" t="s">
        <v>2335</v>
      </c>
      <c r="F341" s="73">
        <v>18624</v>
      </c>
      <c r="G341" s="73" t="s">
        <v>877</v>
      </c>
      <c r="H341" s="73" t="s">
        <v>951</v>
      </c>
      <c r="I341" s="73" t="s">
        <v>1012</v>
      </c>
      <c r="J341" s="73">
        <v>0</v>
      </c>
      <c r="K341" s="73">
        <v>4.5</v>
      </c>
      <c r="L341" s="73">
        <v>0</v>
      </c>
      <c r="M341" s="73">
        <v>0</v>
      </c>
      <c r="N341" s="73">
        <v>0</v>
      </c>
      <c r="O341" s="73" t="s">
        <v>994</v>
      </c>
      <c r="P341" s="73" t="s">
        <v>2336</v>
      </c>
      <c r="Q341" s="73" t="s">
        <v>1164</v>
      </c>
      <c r="R341" s="73"/>
      <c r="S341" s="73"/>
      <c r="T341" s="73"/>
      <c r="U341" s="73"/>
      <c r="V341" s="73"/>
      <c r="W341" s="73"/>
      <c r="X341" s="73"/>
      <c r="Y341" s="73"/>
      <c r="Z341" s="73" t="s">
        <v>877</v>
      </c>
      <c r="AA341" s="73" t="s">
        <v>691</v>
      </c>
      <c r="AB341" s="73" t="str">
        <f>IF(AA341&lt;&gt;"",INDEX(Lookup!$N$2:$N$5,MATCH(Players!AA341,Lookup!$P$2:$P$5,0)),INDEX(Lookup!$N$2:$N$5,MATCH(Players!O341,Lookup!$O$2:$O$5,0)))</f>
        <v>Midfield</v>
      </c>
      <c r="AC341" s="73">
        <v>3000000</v>
      </c>
      <c r="AD341" s="73" t="s">
        <v>788</v>
      </c>
      <c r="AE341" s="73" t="str">
        <f>INDEX('Translate table'!$H$2:$H$622,MATCH(Players!P341,'Translate table'!$G$2:$G$622,0))</f>
        <v>Serhiy Sydorchuk</v>
      </c>
      <c r="AF341" s="73">
        <f>IFERROR(INDEX('Euro Qual stats'!$A$1:$L$2071,MATCH(Players!$AE341,'Euro Qual stats'!$A$1:$A$2071,0),MATCH(Players!AF$2,'Euro Qual stats'!$A$1:$L$1,0)),0)</f>
        <v>2</v>
      </c>
      <c r="AG341" s="73">
        <f>IFERROR(INDEX('Euro Qual stats'!$A$1:$L$2071,MATCH(Players!$AE341,'Euro Qual stats'!$A$1:$A$2071,0),MATCH(Players!AG$2,'Euro Qual stats'!$A$1:$L$1,0)),0)</f>
        <v>0</v>
      </c>
      <c r="AH341" s="73">
        <f>IFERROR(INDEX('Euro Qual stats'!$A$1:$L$2071,MATCH(Players!$AE341,'Euro Qual stats'!$A$1:$A$2071,0),MATCH(Players!AH$2,'Euro Qual stats'!$A$1:$L$1,0)),0)</f>
        <v>0</v>
      </c>
      <c r="AI341" s="73">
        <f>IFERROR(INDEX('Euro Qual stats'!$A$1:$L$2071,MATCH(Players!$AE341,'Euro Qual stats'!$A$1:$A$2071,0),MATCH(Players!AI$2,'Euro Qual stats'!$A$1:$L$1,0)),0)</f>
        <v>0</v>
      </c>
      <c r="AJ341" s="93">
        <f>(12-AF341)/12*INDEX(BV$9:BV$12,MATCH($AB341,$BU$9:$BU$12,0))+AF341/12*AG341</f>
        <v>0.1405759162303665</v>
      </c>
      <c r="AK341" s="93">
        <f>(12-AG341)/12*INDEX(BW$9:BW$12,MATCH($AB341,$BU$9:$BU$12,0))+AG341/12*AH341</f>
        <v>0.22340314136125652</v>
      </c>
      <c r="AL341" s="93">
        <f>(12-AH341)/12*INDEX(BX$9:BX$12,MATCH($AB341,$BU$9:$BU$12,0))+AH341/12*AI341</f>
        <v>0.23942408376963353</v>
      </c>
      <c r="AM341" s="93">
        <f>IF($BC341=1,AJ341/SUMIFS(AJ$3:AJ$623,$BC$3:$BC$623,1,$G$3:$G$623,$G341),0)</f>
        <v>0</v>
      </c>
      <c r="AN341" s="93">
        <f>IF($BC341=1,AK341/SUMIFS(AK$3:AK$623,$BC$3:$BC$623,1,$G$3:$G$623,$G341),0)</f>
        <v>0</v>
      </c>
      <c r="AO341" s="93">
        <f>IF($BC341=1,AL341/SUMIFS(AL$3:AL$623,$BC$3:$BC$623,1,$G$3:$G$623,$G341),0)</f>
        <v>0</v>
      </c>
      <c r="AP341" s="2" t="str">
        <f>IFERROR(R341/$V341*90,"")</f>
        <v/>
      </c>
      <c r="AQ341" s="2" t="str">
        <f>IFERROR(S341/$V341*90,"")</f>
        <v/>
      </c>
      <c r="AR341" s="2" t="str">
        <f>IFERROR(W341/$V341*90,"")</f>
        <v/>
      </c>
      <c r="AS341" s="2" t="str">
        <f>IFERROR(X341/$V341*90,"")</f>
        <v/>
      </c>
      <c r="AT341" s="2" t="str">
        <f>IFERROR(Y341/$V341*90,"")</f>
        <v/>
      </c>
      <c r="AU341" s="2">
        <f>IF(AP341="",INDEX(BV$4:BV$7,MATCH(O341,$BU$4:$BU$7,0)),AP341)</f>
        <v>3.6526142445450806E-2</v>
      </c>
      <c r="AV341" s="2">
        <f>IF(AQ341="",INDEX(BW$4:BW$7,MATCH($O341,$BU$4:$BU$7,0)),AQ341)</f>
        <v>3.2427739661688867E-2</v>
      </c>
      <c r="AW341" s="2">
        <f t="shared" si="60"/>
        <v>0.20013349649571699</v>
      </c>
      <c r="AX341" s="2">
        <f t="shared" si="61"/>
        <v>0.16081000595592615</v>
      </c>
      <c r="AY341" s="2">
        <f t="shared" si="62"/>
        <v>0</v>
      </c>
      <c r="AZ341" s="2">
        <f>AU341*0.5+AK341*0.5</f>
        <v>0.12996464190335366</v>
      </c>
      <c r="BA341" s="2">
        <f>AV341*0.5+AJ341*0.5</f>
        <v>8.6501827946027676E-2</v>
      </c>
      <c r="BB341" s="2">
        <f t="shared" si="63"/>
        <v>8.0405002977963075E-2</v>
      </c>
      <c r="BC341">
        <f>IF(I341="expected",1,0)</f>
        <v>0</v>
      </c>
      <c r="BD341" s="78">
        <f>IF(BC341=1,AZ341/SUMIFS(AZ$3:AZ$623,$BC$3:$BC$623,1,$G$3:$G$623,$G341),0)</f>
        <v>0</v>
      </c>
      <c r="BE341" s="78">
        <f>IF(BC341=1,BA341/SUMIFS(BA$3:BA$623,$BC$3:$BC$623,1,$G$3:$G$623,$G341),0)</f>
        <v>0</v>
      </c>
      <c r="BF341" s="78">
        <f t="shared" si="64"/>
        <v>0</v>
      </c>
      <c r="BG341" s="2">
        <f t="shared" si="65"/>
        <v>8.0405002977963075E-2</v>
      </c>
      <c r="BH341" s="2">
        <f t="shared" si="66"/>
        <v>0</v>
      </c>
      <c r="BI341" s="2">
        <f t="shared" si="67"/>
        <v>0</v>
      </c>
      <c r="BJ341" s="2">
        <f t="shared" si="68"/>
        <v>0</v>
      </c>
      <c r="BK341" s="2">
        <f t="shared" si="69"/>
        <v>0</v>
      </c>
      <c r="BL341" s="2">
        <f t="shared" si="70"/>
        <v>8.0405002977963075E-2</v>
      </c>
      <c r="BM341" s="2">
        <f t="shared" si="71"/>
        <v>0</v>
      </c>
      <c r="BN341" s="2">
        <f>BI341/SUMIFS(BI$3:BI$623,$BC$3:$BC$623,1,$G$3:$G$623,$G341)</f>
        <v>0</v>
      </c>
      <c r="BO341" s="2">
        <f>BJ341/SUMIFS(BJ$3:BJ$623,$BC$3:$BC$623,1,$G$3:$G$623,$G341)</f>
        <v>0</v>
      </c>
      <c r="BP341" s="2">
        <f>BK341/SUMIFS(BK$3:BK$623,$BC$3:$BC$623,1,$G$3:$G$623,$G341)</f>
        <v>0</v>
      </c>
      <c r="BQ341" s="2">
        <f>BL341</f>
        <v>8.0405002977963075E-2</v>
      </c>
      <c r="BR341" s="2">
        <f>BM341</f>
        <v>0</v>
      </c>
    </row>
    <row r="342" spans="1:70" hidden="1">
      <c r="A342" s="74">
        <v>0</v>
      </c>
      <c r="B342" s="73">
        <v>204515</v>
      </c>
      <c r="C342" s="73" t="s">
        <v>2337</v>
      </c>
      <c r="D342" s="73" t="s">
        <v>1680</v>
      </c>
      <c r="E342" s="73" t="s">
        <v>2338</v>
      </c>
      <c r="F342" s="73">
        <v>18624</v>
      </c>
      <c r="G342" s="73" t="s">
        <v>877</v>
      </c>
      <c r="H342" s="73" t="s">
        <v>951</v>
      </c>
      <c r="I342" s="73" t="s">
        <v>1012</v>
      </c>
      <c r="J342" s="73">
        <v>0</v>
      </c>
      <c r="K342" s="73">
        <v>4.5</v>
      </c>
      <c r="L342" s="73">
        <v>0</v>
      </c>
      <c r="M342" s="73">
        <v>0</v>
      </c>
      <c r="N342" s="73">
        <v>0</v>
      </c>
      <c r="O342" s="73" t="s">
        <v>994</v>
      </c>
      <c r="P342" s="73" t="s">
        <v>2339</v>
      </c>
      <c r="Q342" s="73" t="s">
        <v>449</v>
      </c>
      <c r="R342" s="73">
        <v>0</v>
      </c>
      <c r="S342" s="73">
        <v>0</v>
      </c>
      <c r="T342" s="73">
        <v>0</v>
      </c>
      <c r="U342" s="73">
        <v>7</v>
      </c>
      <c r="V342" s="73">
        <v>1474</v>
      </c>
      <c r="W342" s="73">
        <v>4</v>
      </c>
      <c r="X342" s="73">
        <v>0</v>
      </c>
      <c r="Y342" s="73">
        <v>0</v>
      </c>
      <c r="Z342" s="73" t="s">
        <v>877</v>
      </c>
      <c r="AA342" s="73" t="s">
        <v>691</v>
      </c>
      <c r="AB342" s="73" t="str">
        <f>IF(AA342&lt;&gt;"",INDEX(Lookup!$N$2:$N$5,MATCH(Players!AA342,Lookup!$P$2:$P$5,0)),INDEX(Lookup!$N$2:$N$5,MATCH(Players!O342,Lookup!$O$2:$O$5,0)))</f>
        <v>Midfield</v>
      </c>
      <c r="AC342" s="73">
        <v>2500000</v>
      </c>
      <c r="AD342" s="73" t="s">
        <v>789</v>
      </c>
      <c r="AE342" s="73" t="str">
        <f>INDEX('Translate table'!$H$2:$H$622,MATCH(Players!P342,'Translate table'!$G$2:$G$622,0))</f>
        <v>Oleksandr Karavaev</v>
      </c>
      <c r="AF342" s="73">
        <f>IFERROR(INDEX('Euro Qual stats'!$A$1:$L$2071,MATCH(Players!$AE342,'Euro Qual stats'!$A$1:$A$2071,0),MATCH(Players!AF$2,'Euro Qual stats'!$A$1:$L$1,0)),0)</f>
        <v>6</v>
      </c>
      <c r="AG342" s="73">
        <f>IFERROR(INDEX('Euro Qual stats'!$A$1:$L$2071,MATCH(Players!$AE342,'Euro Qual stats'!$A$1:$A$2071,0),MATCH(Players!AG$2,'Euro Qual stats'!$A$1:$L$1,0)),0)</f>
        <v>0.39</v>
      </c>
      <c r="AH342" s="73">
        <f>IFERROR(INDEX('Euro Qual stats'!$A$1:$L$2071,MATCH(Players!$AE342,'Euro Qual stats'!$A$1:$A$2071,0),MATCH(Players!AH$2,'Euro Qual stats'!$A$1:$L$1,0)),0)</f>
        <v>0</v>
      </c>
      <c r="AI342" s="73">
        <f>IFERROR(INDEX('Euro Qual stats'!$A$1:$L$2071,MATCH(Players!$AE342,'Euro Qual stats'!$A$1:$A$2071,0),MATCH(Players!AI$2,'Euro Qual stats'!$A$1:$L$1,0)),0)</f>
        <v>0.2</v>
      </c>
      <c r="AJ342" s="93">
        <f>(12-AF342)/12*INDEX(BV$9:BV$12,MATCH($AB342,$BU$9:$BU$12,0))+AF342/12*AG342</f>
        <v>0.2793455497382199</v>
      </c>
      <c r="AK342" s="93">
        <f>(12-AG342)/12*INDEX(BW$9:BW$12,MATCH($AB342,$BU$9:$BU$12,0))+AG342/12*AH342</f>
        <v>0.21614253926701568</v>
      </c>
      <c r="AL342" s="93">
        <f>(12-AH342)/12*INDEX(BX$9:BX$12,MATCH($AB342,$BU$9:$BU$12,0))+AH342/12*AI342</f>
        <v>0.23942408376963353</v>
      </c>
      <c r="AM342" s="93">
        <f>IF($BC342=1,AJ342/SUMIFS(AJ$3:AJ$623,$BC$3:$BC$623,1,$G$3:$G$623,$G342),0)</f>
        <v>0</v>
      </c>
      <c r="AN342" s="93">
        <f>IF($BC342=1,AK342/SUMIFS(AK$3:AK$623,$BC$3:$BC$623,1,$G$3:$G$623,$G342),0)</f>
        <v>0</v>
      </c>
      <c r="AO342" s="93">
        <f>IF($BC342=1,AL342/SUMIFS(AL$3:AL$623,$BC$3:$BC$623,1,$G$3:$G$623,$G342),0)</f>
        <v>0</v>
      </c>
      <c r="AP342" s="2">
        <f>IFERROR(R342/$V342*90,"")</f>
        <v>0</v>
      </c>
      <c r="AQ342" s="2">
        <f>IFERROR(S342/$V342*90,"")</f>
        <v>0</v>
      </c>
      <c r="AR342" s="2">
        <f>IFERROR(W342/$V342*90,"")</f>
        <v>0.24423337856173674</v>
      </c>
      <c r="AS342" s="2">
        <f>IFERROR(X342/$V342*90,"")</f>
        <v>0</v>
      </c>
      <c r="AT342" s="2">
        <f>IFERROR(Y342/$V342*90,"")</f>
        <v>0</v>
      </c>
      <c r="AU342" s="2">
        <f>IF(AP342="",INDEX(BV$4:BV$7,MATCH(O342,$BU$4:$BU$7,0)),AP342)</f>
        <v>0</v>
      </c>
      <c r="AV342" s="2">
        <f>IF(AQ342="",INDEX(BW$4:BW$7,MATCH($O342,$BU$4:$BU$7,0)),AQ342)</f>
        <v>0</v>
      </c>
      <c r="AW342" s="2">
        <f t="shared" si="60"/>
        <v>0.24423337856173674</v>
      </c>
      <c r="AX342" s="2">
        <f t="shared" si="61"/>
        <v>0</v>
      </c>
      <c r="AY342" s="2">
        <f t="shared" si="62"/>
        <v>0</v>
      </c>
      <c r="AZ342" s="2">
        <f>AU342*0.5+AK342*0.5</f>
        <v>0.10807126963350784</v>
      </c>
      <c r="BA342" s="2">
        <f>AV342*0.5+AJ342*0.5</f>
        <v>0.13967277486910995</v>
      </c>
      <c r="BB342" s="2">
        <f t="shared" si="63"/>
        <v>0.1</v>
      </c>
      <c r="BC342">
        <f>IF(I342="expected",1,0)</f>
        <v>0</v>
      </c>
      <c r="BD342" s="78">
        <f>IF(BC342=1,AZ342/SUMIFS(AZ$3:AZ$623,$BC$3:$BC$623,1,$G$3:$G$623,$G342),0)</f>
        <v>0</v>
      </c>
      <c r="BE342" s="78">
        <f>IF(BC342=1,BA342/SUMIFS(BA$3:BA$623,$BC$3:$BC$623,1,$G$3:$G$623,$G342),0)</f>
        <v>0</v>
      </c>
      <c r="BF342" s="78">
        <f t="shared" si="64"/>
        <v>0</v>
      </c>
      <c r="BG342" s="2">
        <f t="shared" si="65"/>
        <v>0.1</v>
      </c>
      <c r="BH342" s="2">
        <f t="shared" si="66"/>
        <v>0</v>
      </c>
      <c r="BI342" s="2">
        <f t="shared" si="67"/>
        <v>0</v>
      </c>
      <c r="BJ342" s="2">
        <f t="shared" si="68"/>
        <v>0</v>
      </c>
      <c r="BK342" s="2">
        <f t="shared" si="69"/>
        <v>0</v>
      </c>
      <c r="BL342" s="2">
        <f t="shared" si="70"/>
        <v>0.1</v>
      </c>
      <c r="BM342" s="2">
        <f t="shared" si="71"/>
        <v>0</v>
      </c>
      <c r="BN342" s="2">
        <f>BI342/SUMIFS(BI$3:BI$623,$BC$3:$BC$623,1,$G$3:$G$623,$G342)</f>
        <v>0</v>
      </c>
      <c r="BO342" s="2">
        <f>BJ342/SUMIFS(BJ$3:BJ$623,$BC$3:$BC$623,1,$G$3:$G$623,$G342)</f>
        <v>0</v>
      </c>
      <c r="BP342" s="2">
        <f>BK342/SUMIFS(BK$3:BK$623,$BC$3:$BC$623,1,$G$3:$G$623,$G342)</f>
        <v>0</v>
      </c>
      <c r="BQ342" s="2">
        <f>BL342</f>
        <v>0.1</v>
      </c>
      <c r="BR342" s="2">
        <f>BM342</f>
        <v>0</v>
      </c>
    </row>
    <row r="343" spans="1:70" hidden="1">
      <c r="A343" s="74">
        <v>0</v>
      </c>
      <c r="B343" s="73">
        <v>204510</v>
      </c>
      <c r="C343" s="73" t="s">
        <v>2340</v>
      </c>
      <c r="D343" s="73" t="s">
        <v>2341</v>
      </c>
      <c r="E343" s="73" t="s">
        <v>2342</v>
      </c>
      <c r="F343" s="73">
        <v>18624</v>
      </c>
      <c r="G343" s="73" t="s">
        <v>877</v>
      </c>
      <c r="H343" s="73" t="s">
        <v>951</v>
      </c>
      <c r="I343" s="73" t="s">
        <v>981</v>
      </c>
      <c r="J343" s="73">
        <v>0</v>
      </c>
      <c r="K343" s="73">
        <v>4.5</v>
      </c>
      <c r="L343" s="73">
        <v>0</v>
      </c>
      <c r="M343" s="73">
        <v>0</v>
      </c>
      <c r="N343" s="73">
        <v>0</v>
      </c>
      <c r="O343" s="73" t="s">
        <v>994</v>
      </c>
      <c r="P343" s="73" t="s">
        <v>2343</v>
      </c>
      <c r="Q343" s="73" t="s">
        <v>2344</v>
      </c>
      <c r="R343" s="73">
        <v>0</v>
      </c>
      <c r="S343" s="73">
        <v>0</v>
      </c>
      <c r="T343" s="73">
        <v>0</v>
      </c>
      <c r="U343" s="73">
        <v>0</v>
      </c>
      <c r="V343" s="73">
        <v>0</v>
      </c>
      <c r="W343" s="73">
        <v>0</v>
      </c>
      <c r="X343" s="73">
        <v>0</v>
      </c>
      <c r="Y343" s="73">
        <v>0</v>
      </c>
      <c r="Z343" s="73" t="s">
        <v>877</v>
      </c>
      <c r="AA343" s="73" t="s">
        <v>691</v>
      </c>
      <c r="AB343" s="73" t="str">
        <f>IF(AA343&lt;&gt;"",INDEX(Lookup!$N$2:$N$5,MATCH(Players!AA343,Lookup!$P$2:$P$5,0)),INDEX(Lookup!$N$2:$N$5,MATCH(Players!O343,Lookup!$O$2:$O$5,0)))</f>
        <v>Midfield</v>
      </c>
      <c r="AC343" s="73">
        <v>2000000</v>
      </c>
      <c r="AD343" s="73" t="s">
        <v>788</v>
      </c>
      <c r="AE343" s="73" t="str">
        <f>INDEX('Translate table'!$H$2:$H$622,MATCH(Players!P343,'Translate table'!$G$2:$G$622,0))</f>
        <v>Taras Stepanenko</v>
      </c>
      <c r="AF343" s="73">
        <f>IFERROR(INDEX('Euro Qual stats'!$A$1:$L$2071,MATCH(Players!$AE343,'Euro Qual stats'!$A$1:$A$2071,0),MATCH(Players!AF$2,'Euro Qual stats'!$A$1:$L$1,0)),0)</f>
        <v>6</v>
      </c>
      <c r="AG343" s="73">
        <f>IFERROR(INDEX('Euro Qual stats'!$A$1:$L$2071,MATCH(Players!$AE343,'Euro Qual stats'!$A$1:$A$2071,0),MATCH(Players!AG$2,'Euro Qual stats'!$A$1:$L$1,0)),0)</f>
        <v>0</v>
      </c>
      <c r="AH343" s="73">
        <f>IFERROR(INDEX('Euro Qual stats'!$A$1:$L$2071,MATCH(Players!$AE343,'Euro Qual stats'!$A$1:$A$2071,0),MATCH(Players!AH$2,'Euro Qual stats'!$A$1:$L$1,0)),0)</f>
        <v>0</v>
      </c>
      <c r="AI343" s="73">
        <f>IFERROR(INDEX('Euro Qual stats'!$A$1:$L$2071,MATCH(Players!$AE343,'Euro Qual stats'!$A$1:$A$2071,0),MATCH(Players!AI$2,'Euro Qual stats'!$A$1:$L$1,0)),0)</f>
        <v>0.74</v>
      </c>
      <c r="AJ343" s="93">
        <f>(12-AF343)/12*INDEX(BV$9:BV$12,MATCH($AB343,$BU$9:$BU$12,0))+AF343/12*AG343</f>
        <v>8.4345549738219894E-2</v>
      </c>
      <c r="AK343" s="93">
        <f>(12-AG343)/12*INDEX(BW$9:BW$12,MATCH($AB343,$BU$9:$BU$12,0))+AG343/12*AH343</f>
        <v>0.22340314136125652</v>
      </c>
      <c r="AL343" s="93">
        <f>(12-AH343)/12*INDEX(BX$9:BX$12,MATCH($AB343,$BU$9:$BU$12,0))+AH343/12*AI343</f>
        <v>0.23942408376963353</v>
      </c>
      <c r="AM343" s="93">
        <f>IF($BC343=1,AJ343/SUMIFS(AJ$3:AJ$623,$BC$3:$BC$623,1,$G$3:$G$623,$G343),0)</f>
        <v>5.2368711238704832E-2</v>
      </c>
      <c r="AN343" s="93">
        <f>IF($BC343=1,AK343/SUMIFS(AK$3:AK$623,$BC$3:$BC$623,1,$G$3:$G$623,$G343),0)</f>
        <v>0.10753199798728066</v>
      </c>
      <c r="AO343" s="93">
        <f>IF($BC343=1,AL343/SUMIFS(AL$3:AL$623,$BC$3:$BC$623,1,$G$3:$G$623,$G343),0)</f>
        <v>0.11401561024021663</v>
      </c>
      <c r="AP343" s="2" t="str">
        <f>IFERROR(R343/$V343*90,"")</f>
        <v/>
      </c>
      <c r="AQ343" s="2" t="str">
        <f>IFERROR(S343/$V343*90,"")</f>
        <v/>
      </c>
      <c r="AR343" s="2" t="str">
        <f>IFERROR(W343/$V343*90,"")</f>
        <v/>
      </c>
      <c r="AS343" s="2" t="str">
        <f>IFERROR(X343/$V343*90,"")</f>
        <v/>
      </c>
      <c r="AT343" s="2" t="str">
        <f>IFERROR(Y343/$V343*90,"")</f>
        <v/>
      </c>
      <c r="AU343" s="2">
        <f>IF(AP343="",INDEX(BV$4:BV$7,MATCH(O343,$BU$4:$BU$7,0)),AP343)</f>
        <v>3.6526142445450806E-2</v>
      </c>
      <c r="AV343" s="2">
        <f>IF(AQ343="",INDEX(BW$4:BW$7,MATCH($O343,$BU$4:$BU$7,0)),AQ343)</f>
        <v>3.2427739661688867E-2</v>
      </c>
      <c r="AW343" s="2">
        <f t="shared" si="60"/>
        <v>0.20013349649571699</v>
      </c>
      <c r="AX343" s="2">
        <f t="shared" si="61"/>
        <v>0.16081000595592615</v>
      </c>
      <c r="AY343" s="2">
        <f t="shared" si="62"/>
        <v>0</v>
      </c>
      <c r="AZ343" s="2">
        <f>AU343*0.5+AK343*0.5</f>
        <v>0.12996464190335366</v>
      </c>
      <c r="BA343" s="2">
        <f>AV343*0.5+AJ343*0.5</f>
        <v>5.8386644699954381E-2</v>
      </c>
      <c r="BB343" s="2">
        <f t="shared" si="63"/>
        <v>0.45040500297796304</v>
      </c>
      <c r="BC343">
        <f>IF(I343="expected",1,0)</f>
        <v>1</v>
      </c>
      <c r="BD343" s="78">
        <f>IF(BC343=1,AZ343/SUMIFS(AZ$3:AZ$623,$BC$3:$BC$623,1,$G$3:$G$623,$G343),0)</f>
        <v>9.3772409374893118E-2</v>
      </c>
      <c r="BE343" s="78">
        <f>IF(BC343=1,BA343/SUMIFS(BA$3:BA$623,$BC$3:$BC$623,1,$G$3:$G$623,$G343),0)</f>
        <v>4.432672146130337E-2</v>
      </c>
      <c r="BF343" s="78">
        <f t="shared" si="64"/>
        <v>6.2751950759401473E-2</v>
      </c>
      <c r="BG343" s="2">
        <f t="shared" si="65"/>
        <v>0.45040500297796304</v>
      </c>
      <c r="BH343" s="2">
        <f t="shared" si="66"/>
        <v>0</v>
      </c>
      <c r="BI343" s="2">
        <f t="shared" si="67"/>
        <v>9.3772409374893118E-2</v>
      </c>
      <c r="BJ343" s="2">
        <f t="shared" si="68"/>
        <v>4.432672146130337E-2</v>
      </c>
      <c r="BK343" s="2">
        <f t="shared" si="69"/>
        <v>6.2751950759401473E-2</v>
      </c>
      <c r="BL343" s="2">
        <f t="shared" si="70"/>
        <v>0.45040500297796304</v>
      </c>
      <c r="BM343" s="2">
        <f t="shared" si="71"/>
        <v>0</v>
      </c>
      <c r="BN343" s="2">
        <f>BI343/SUMIFS(BI$3:BI$623,$BC$3:$BC$623,1,$G$3:$G$623,$G343)</f>
        <v>9.3772409374893118E-2</v>
      </c>
      <c r="BO343" s="2">
        <f>BJ343/SUMIFS(BJ$3:BJ$623,$BC$3:$BC$623,1,$G$3:$G$623,$G343)</f>
        <v>4.5950785504687154E-2</v>
      </c>
      <c r="BP343" s="2">
        <f>BK343/SUMIFS(BK$3:BK$623,$BC$3:$BC$623,1,$G$3:$G$623,$G343)</f>
        <v>6.3700017467407999E-2</v>
      </c>
      <c r="BQ343" s="2">
        <f>BL343</f>
        <v>0.45040500297796304</v>
      </c>
      <c r="BR343" s="2">
        <f>BM343</f>
        <v>0</v>
      </c>
    </row>
    <row r="344" spans="1:70" hidden="1">
      <c r="A344" s="74">
        <v>0</v>
      </c>
      <c r="B344" s="73">
        <v>204775</v>
      </c>
      <c r="C344" s="73" t="s">
        <v>2345</v>
      </c>
      <c r="D344" s="73" t="s">
        <v>1472</v>
      </c>
      <c r="E344" s="73" t="s">
        <v>2346</v>
      </c>
      <c r="F344" s="73">
        <v>18706</v>
      </c>
      <c r="G344" s="73" t="s">
        <v>895</v>
      </c>
      <c r="H344" s="73" t="s">
        <v>907</v>
      </c>
      <c r="I344" s="73" t="s">
        <v>981</v>
      </c>
      <c r="J344" s="73">
        <v>0</v>
      </c>
      <c r="K344" s="73">
        <v>4.5</v>
      </c>
      <c r="L344" s="73">
        <v>0</v>
      </c>
      <c r="M344" s="73">
        <v>0</v>
      </c>
      <c r="N344" s="73">
        <v>0</v>
      </c>
      <c r="O344" s="73" t="s">
        <v>1290</v>
      </c>
      <c r="P344" s="73" t="s">
        <v>2347</v>
      </c>
      <c r="Q344" s="73" t="s">
        <v>2348</v>
      </c>
      <c r="R344" s="73">
        <v>0</v>
      </c>
      <c r="S344" s="73">
        <v>0</v>
      </c>
      <c r="T344" s="73">
        <v>0</v>
      </c>
      <c r="U344" s="73">
        <v>0</v>
      </c>
      <c r="V344" s="73">
        <v>0</v>
      </c>
      <c r="W344" s="73">
        <v>0</v>
      </c>
      <c r="X344" s="73">
        <v>0</v>
      </c>
      <c r="Y344" s="73">
        <v>0</v>
      </c>
      <c r="Z344" s="73" t="s">
        <v>2066</v>
      </c>
      <c r="AA344" s="73" t="s">
        <v>690</v>
      </c>
      <c r="AB344" s="73" t="str">
        <f>IF(AA344&lt;&gt;"",INDEX(Lookup!$N$2:$N$5,MATCH(Players!AA344,Lookup!$P$2:$P$5,0)),INDEX(Lookup!$N$2:$N$5,MATCH(Players!O344,Lookup!$O$2:$O$5,0)))</f>
        <v>Goalkeeper</v>
      </c>
      <c r="AC344" s="73">
        <v>3500000</v>
      </c>
      <c r="AD344" s="73" t="s">
        <v>789</v>
      </c>
      <c r="AE344" s="73" t="str">
        <f>INDEX('Translate table'!$H$2:$H$622,MATCH(Players!P344,'Translate table'!$G$2:$G$622,0))</f>
        <v>David Marshall</v>
      </c>
      <c r="AF344" s="73">
        <f>IFERROR(INDEX('Euro Qual stats'!$A$1:$L$2071,MATCH(Players!$AE344,'Euro Qual stats'!$A$1:$A$2071,0),MATCH(Players!AF$2,'Euro Qual stats'!$A$1:$L$1,0)),0)</f>
        <v>9</v>
      </c>
      <c r="AG344" s="73">
        <f>IFERROR(INDEX('Euro Qual stats'!$A$1:$L$2071,MATCH(Players!$AE344,'Euro Qual stats'!$A$1:$A$2071,0),MATCH(Players!AG$2,'Euro Qual stats'!$A$1:$L$1,0)),0)</f>
        <v>0</v>
      </c>
      <c r="AH344" s="73">
        <f>IFERROR(INDEX('Euro Qual stats'!$A$1:$L$2071,MATCH(Players!$AE344,'Euro Qual stats'!$A$1:$A$2071,0),MATCH(Players!AH$2,'Euro Qual stats'!$A$1:$L$1,0)),0)</f>
        <v>0</v>
      </c>
      <c r="AI344" s="73">
        <f>IFERROR(INDEX('Euro Qual stats'!$A$1:$L$2071,MATCH(Players!$AE344,'Euro Qual stats'!$A$1:$A$2071,0),MATCH(Players!AI$2,'Euro Qual stats'!$A$1:$L$1,0)),0)</f>
        <v>0</v>
      </c>
      <c r="AJ344" s="93">
        <f>(12-AF344)/12*INDEX(BV$9:BV$12,MATCH($AB344,$BU$9:$BU$12,0))+AF344/12*AG344</f>
        <v>0</v>
      </c>
      <c r="AK344" s="93">
        <f>(12-AG344)/12*INDEX(BW$9:BW$12,MATCH($AB344,$BU$9:$BU$12,0))+AG344/12*AH344</f>
        <v>0</v>
      </c>
      <c r="AL344" s="93">
        <f>(12-AH344)/12*INDEX(BX$9:BX$12,MATCH($AB344,$BU$9:$BU$12,0))+AH344/12*AI344</f>
        <v>0</v>
      </c>
      <c r="AM344" s="93">
        <f>IF($BC344=1,AJ344/SUMIFS(AJ$3:AJ$623,$BC$3:$BC$623,1,$G$3:$G$623,$G344),0)</f>
        <v>0</v>
      </c>
      <c r="AN344" s="93">
        <f>IF($BC344=1,AK344/SUMIFS(AK$3:AK$623,$BC$3:$BC$623,1,$G$3:$G$623,$G344),0)</f>
        <v>0</v>
      </c>
      <c r="AO344" s="93">
        <f>IF($BC344=1,AL344/SUMIFS(AL$3:AL$623,$BC$3:$BC$623,1,$G$3:$G$623,$G344),0)</f>
        <v>0</v>
      </c>
      <c r="AP344" s="2" t="str">
        <f>IFERROR(R344/$V344*90,"")</f>
        <v/>
      </c>
      <c r="AQ344" s="2" t="str">
        <f>IFERROR(S344/$V344*90,"")</f>
        <v/>
      </c>
      <c r="AR344" s="2" t="str">
        <f>IFERROR(W344/$V344*90,"")</f>
        <v/>
      </c>
      <c r="AS344" s="2" t="str">
        <f>IFERROR(X344/$V344*90,"")</f>
        <v/>
      </c>
      <c r="AT344" s="2" t="str">
        <f>IFERROR(Y344/$V344*90,"")</f>
        <v/>
      </c>
      <c r="AU344" s="2">
        <f>IF(AP344="",INDEX(BV$4:BV$7,MATCH(O344,$BU$4:$BU$7,0)),AP344)</f>
        <v>0</v>
      </c>
      <c r="AV344" s="2">
        <f>IF(AQ344="",INDEX(BW$4:BW$7,MATCH($O344,$BU$4:$BU$7,0)),AQ344)</f>
        <v>0</v>
      </c>
      <c r="AW344" s="2">
        <f t="shared" si="60"/>
        <v>0</v>
      </c>
      <c r="AX344" s="2">
        <f t="shared" si="61"/>
        <v>0</v>
      </c>
      <c r="AY344" s="2">
        <f t="shared" si="62"/>
        <v>0</v>
      </c>
      <c r="AZ344" s="2">
        <f>AU344*0.5+AK344*0.5</f>
        <v>0</v>
      </c>
      <c r="BA344" s="2">
        <f>AV344*0.5+AJ344*0.5</f>
        <v>0</v>
      </c>
      <c r="BB344" s="2">
        <f t="shared" si="63"/>
        <v>0</v>
      </c>
      <c r="BC344">
        <f>IF(I344="expected",1,0)</f>
        <v>1</v>
      </c>
      <c r="BD344" s="78">
        <f>IF(BC344=1,AZ344/SUMIFS(AZ$3:AZ$623,$BC$3:$BC$623,1,$G$3:$G$623,$G344),0)</f>
        <v>0</v>
      </c>
      <c r="BE344" s="78">
        <f>IF(BC344=1,BA344/SUMIFS(BA$3:BA$623,$BC$3:$BC$623,1,$G$3:$G$623,$G344),0)</f>
        <v>0</v>
      </c>
      <c r="BF344" s="78">
        <f t="shared" si="64"/>
        <v>0</v>
      </c>
      <c r="BG344" s="2">
        <f t="shared" si="65"/>
        <v>0</v>
      </c>
      <c r="BH344" s="2">
        <f t="shared" si="66"/>
        <v>0</v>
      </c>
      <c r="BI344" s="2">
        <f t="shared" si="67"/>
        <v>0</v>
      </c>
      <c r="BJ344" s="2">
        <f t="shared" si="68"/>
        <v>0</v>
      </c>
      <c r="BK344" s="2">
        <f t="shared" si="69"/>
        <v>0</v>
      </c>
      <c r="BL344" s="2">
        <f t="shared" si="70"/>
        <v>0</v>
      </c>
      <c r="BM344" s="2">
        <f t="shared" si="71"/>
        <v>0</v>
      </c>
      <c r="BN344" s="2">
        <f>BI344/SUMIFS(BI$3:BI$623,$BC$3:$BC$623,1,$G$3:$G$623,$G344)</f>
        <v>0</v>
      </c>
      <c r="BO344" s="2">
        <f>BJ344/SUMIFS(BJ$3:BJ$623,$BC$3:$BC$623,1,$G$3:$G$623,$G344)</f>
        <v>0</v>
      </c>
      <c r="BP344" s="2">
        <f>BK344/SUMIFS(BK$3:BK$623,$BC$3:$BC$623,1,$G$3:$G$623,$G344)</f>
        <v>0</v>
      </c>
      <c r="BQ344" s="2">
        <f>BL344</f>
        <v>0</v>
      </c>
      <c r="BR344" s="2">
        <f>BM344</f>
        <v>0</v>
      </c>
    </row>
    <row r="345" spans="1:70" hidden="1">
      <c r="A345" s="74">
        <v>0</v>
      </c>
      <c r="B345" s="73">
        <v>204780</v>
      </c>
      <c r="C345" s="73" t="s">
        <v>2349</v>
      </c>
      <c r="D345" s="73" t="s">
        <v>2350</v>
      </c>
      <c r="E345" s="73" t="s">
        <v>2351</v>
      </c>
      <c r="F345" s="73">
        <v>18706</v>
      </c>
      <c r="G345" s="73" t="s">
        <v>895</v>
      </c>
      <c r="H345" s="73" t="s">
        <v>907</v>
      </c>
      <c r="I345" s="73" t="s">
        <v>981</v>
      </c>
      <c r="J345" s="73">
        <v>0</v>
      </c>
      <c r="K345" s="73">
        <v>4.5</v>
      </c>
      <c r="L345" s="73">
        <v>0</v>
      </c>
      <c r="M345" s="73">
        <v>0</v>
      </c>
      <c r="N345" s="73">
        <v>0</v>
      </c>
      <c r="O345" s="73" t="s">
        <v>1318</v>
      </c>
      <c r="P345" s="73" t="s">
        <v>2352</v>
      </c>
      <c r="Q345" s="73" t="s">
        <v>2353</v>
      </c>
      <c r="R345" s="73">
        <v>1</v>
      </c>
      <c r="S345" s="73">
        <v>0</v>
      </c>
      <c r="T345" s="73">
        <v>0</v>
      </c>
      <c r="U345" s="73">
        <v>4</v>
      </c>
      <c r="V345" s="73">
        <v>1673</v>
      </c>
      <c r="W345" s="73">
        <v>1</v>
      </c>
      <c r="X345" s="73">
        <v>4</v>
      </c>
      <c r="Y345" s="73">
        <v>0</v>
      </c>
      <c r="Z345" s="73" t="s">
        <v>2066</v>
      </c>
      <c r="AA345" s="73" t="s">
        <v>692</v>
      </c>
      <c r="AB345" s="73" t="str">
        <f>IF(AA345&lt;&gt;"",INDEX(Lookup!$N$2:$N$5,MATCH(Players!AA345,Lookup!$P$2:$P$5,0)),INDEX(Lookup!$N$2:$N$5,MATCH(Players!O345,Lookup!$O$2:$O$5,0)))</f>
        <v>Defense</v>
      </c>
      <c r="AC345" s="73">
        <v>2500000</v>
      </c>
      <c r="AD345" s="73" t="s">
        <v>788</v>
      </c>
      <c r="AE345" s="73" t="str">
        <f>INDEX('Translate table'!$H$2:$H$622,MATCH(Players!P345,'Translate table'!$G$2:$G$622,0))</f>
        <v>Stephen O'Donnell</v>
      </c>
      <c r="AF345" s="73">
        <f>IFERROR(INDEX('Euro Qual stats'!$A$1:$L$2071,MATCH(Players!$AE345,'Euro Qual stats'!$A$1:$A$2071,0),MATCH(Players!AF$2,'Euro Qual stats'!$A$1:$L$1,0)),0)</f>
        <v>7</v>
      </c>
      <c r="AG345" s="73">
        <f>IFERROR(INDEX('Euro Qual stats'!$A$1:$L$2071,MATCH(Players!$AE345,'Euro Qual stats'!$A$1:$A$2071,0),MATCH(Players!AG$2,'Euro Qual stats'!$A$1:$L$1,0)),0)</f>
        <v>0</v>
      </c>
      <c r="AH345" s="73">
        <f>IFERROR(INDEX('Euro Qual stats'!$A$1:$L$2071,MATCH(Players!$AE345,'Euro Qual stats'!$A$1:$A$2071,0),MATCH(Players!AH$2,'Euro Qual stats'!$A$1:$L$1,0)),0)</f>
        <v>0</v>
      </c>
      <c r="AI345" s="73">
        <f>IFERROR(INDEX('Euro Qual stats'!$A$1:$L$2071,MATCH(Players!$AE345,'Euro Qual stats'!$A$1:$A$2071,0),MATCH(Players!AI$2,'Euro Qual stats'!$A$1:$L$1,0)),0)</f>
        <v>0.13</v>
      </c>
      <c r="AJ345" s="93">
        <f>(12-AF345)/12*INDEX(BV$9:BV$12,MATCH($AB345,$BU$9:$BU$12,0))+AF345/12*AG345</f>
        <v>3.715659340659342E-2</v>
      </c>
      <c r="AK345" s="93">
        <f>(12-AG345)/12*INDEX(BW$9:BW$12,MATCH($AB345,$BU$9:$BU$12,0))+AG345/12*AH345</f>
        <v>0.10357142857142858</v>
      </c>
      <c r="AL345" s="93">
        <f>(12-AH345)/12*INDEX(BX$9:BX$12,MATCH($AB345,$BU$9:$BU$12,0))+AH345/12*AI345</f>
        <v>0.19357142857142848</v>
      </c>
      <c r="AM345" s="93">
        <f>IF($BC345=1,AJ345/SUMIFS(AJ$3:AJ$623,$BC$3:$BC$623,1,$G$3:$G$623,$G345),0)</f>
        <v>3.3288374202615371E-2</v>
      </c>
      <c r="AN345" s="93">
        <f>IF($BC345=1,AK345/SUMIFS(AK$3:AK$623,$BC$3:$BC$623,1,$G$3:$G$623,$G345),0)</f>
        <v>5.2707180771416139E-2</v>
      </c>
      <c r="AO345" s="93">
        <f>IF($BC345=1,AL345/SUMIFS(AL$3:AL$623,$BC$3:$BC$623,1,$G$3:$G$623,$G345),0)</f>
        <v>9.3589386085165108E-2</v>
      </c>
      <c r="AP345" s="2">
        <f>IFERROR(R345/$V345*90,"")</f>
        <v>5.3795576808129103E-2</v>
      </c>
      <c r="AQ345" s="2">
        <f>IFERROR(S345/$V345*90,"")</f>
        <v>0</v>
      </c>
      <c r="AR345" s="2">
        <f>IFERROR(W345/$V345*90,"")</f>
        <v>5.3795576808129103E-2</v>
      </c>
      <c r="AS345" s="2">
        <f>IFERROR(X345/$V345*90,"")</f>
        <v>0.21518230723251641</v>
      </c>
      <c r="AT345" s="2">
        <f>IFERROR(Y345/$V345*90,"")</f>
        <v>0</v>
      </c>
      <c r="AU345" s="2">
        <f>IF(AP345="",INDEX(BV$4:BV$7,MATCH(O345,$BU$4:$BU$7,0)),AP345)</f>
        <v>5.3795576808129103E-2</v>
      </c>
      <c r="AV345" s="2">
        <f>IF(AQ345="",INDEX(BW$4:BW$7,MATCH($O345,$BU$4:$BU$7,0)),AQ345)</f>
        <v>0</v>
      </c>
      <c r="AW345" s="2">
        <f t="shared" si="60"/>
        <v>5.3795576808129103E-2</v>
      </c>
      <c r="AX345" s="2">
        <f t="shared" si="61"/>
        <v>0.21518230723251641</v>
      </c>
      <c r="AY345" s="2">
        <f t="shared" si="62"/>
        <v>0</v>
      </c>
      <c r="AZ345" s="2">
        <f>AU345*0.5+AK345*0.5</f>
        <v>7.8683502689778834E-2</v>
      </c>
      <c r="BA345" s="2">
        <f>AV345*0.5+AJ345*0.5</f>
        <v>1.857829670329671E-2</v>
      </c>
      <c r="BB345" s="2">
        <f t="shared" si="63"/>
        <v>0.17259115361625821</v>
      </c>
      <c r="BC345">
        <f>IF(I345="expected",1,0)</f>
        <v>1</v>
      </c>
      <c r="BD345" s="78">
        <f>IF(BC345=1,AZ345/SUMIFS(AZ$3:AZ$623,$BC$3:$BC$623,1,$G$3:$G$623,$G345),0)</f>
        <v>6.2913883545431135E-2</v>
      </c>
      <c r="BE345" s="78">
        <f>IF(BC345=1,BA345/SUMIFS(BA$3:BA$623,$BC$3:$BC$623,1,$G$3:$G$623,$G345),0)</f>
        <v>2.0165856580861317E-2</v>
      </c>
      <c r="BF345" s="78">
        <f t="shared" si="64"/>
        <v>3.2037482866472976E-2</v>
      </c>
      <c r="BG345" s="2">
        <f t="shared" si="65"/>
        <v>0.17259115361625821</v>
      </c>
      <c r="BH345" s="2">
        <f t="shared" si="66"/>
        <v>0</v>
      </c>
      <c r="BI345" s="2">
        <f t="shared" si="67"/>
        <v>6.2913883545431135E-2</v>
      </c>
      <c r="BJ345" s="2">
        <f t="shared" si="68"/>
        <v>2.0165856580861317E-2</v>
      </c>
      <c r="BK345" s="2">
        <f t="shared" si="69"/>
        <v>3.2037482866472976E-2</v>
      </c>
      <c r="BL345" s="2">
        <f t="shared" si="70"/>
        <v>0.17259115361625821</v>
      </c>
      <c r="BM345" s="2">
        <f t="shared" si="71"/>
        <v>0</v>
      </c>
      <c r="BN345" s="2">
        <f>BI345/SUMIFS(BI$3:BI$623,$BC$3:$BC$623,1,$G$3:$G$623,$G345)</f>
        <v>6.2913883545431148E-2</v>
      </c>
      <c r="BO345" s="2">
        <f>BJ345/SUMIFS(BJ$3:BJ$623,$BC$3:$BC$623,1,$G$3:$G$623,$G345)</f>
        <v>2.016585658086132E-2</v>
      </c>
      <c r="BP345" s="2">
        <f>BK345/SUMIFS(BK$3:BK$623,$BC$3:$BC$623,1,$G$3:$G$623,$G345)</f>
        <v>3.2037482866472976E-2</v>
      </c>
      <c r="BQ345" s="2">
        <f>BL345</f>
        <v>0.17259115361625821</v>
      </c>
      <c r="BR345" s="2">
        <f>BM345</f>
        <v>0</v>
      </c>
    </row>
    <row r="346" spans="1:70" hidden="1">
      <c r="A346" s="74">
        <v>0</v>
      </c>
      <c r="B346" s="73">
        <v>204985</v>
      </c>
      <c r="C346" s="73" t="s">
        <v>2354</v>
      </c>
      <c r="D346" s="73" t="s">
        <v>1632</v>
      </c>
      <c r="E346" s="73" t="s">
        <v>2355</v>
      </c>
      <c r="F346" s="73">
        <v>18706</v>
      </c>
      <c r="G346" s="73" t="s">
        <v>895</v>
      </c>
      <c r="H346" s="73" t="s">
        <v>907</v>
      </c>
      <c r="I346" s="73" t="s">
        <v>1012</v>
      </c>
      <c r="J346" s="73">
        <v>0</v>
      </c>
      <c r="K346" s="73">
        <v>4.5</v>
      </c>
      <c r="L346" s="73">
        <v>0</v>
      </c>
      <c r="M346" s="73">
        <v>0</v>
      </c>
      <c r="N346" s="73">
        <v>0</v>
      </c>
      <c r="O346" s="73" t="s">
        <v>994</v>
      </c>
      <c r="P346" s="73" t="s">
        <v>79</v>
      </c>
      <c r="Q346" s="73" t="s">
        <v>79</v>
      </c>
      <c r="R346" s="73">
        <v>0</v>
      </c>
      <c r="S346" s="73">
        <v>2</v>
      </c>
      <c r="T346" s="73">
        <v>0</v>
      </c>
      <c r="U346" s="73">
        <v>5</v>
      </c>
      <c r="V346" s="73">
        <v>2577</v>
      </c>
      <c r="W346" s="73">
        <v>5</v>
      </c>
      <c r="X346" s="73">
        <v>4</v>
      </c>
      <c r="Y346" s="73">
        <v>0</v>
      </c>
      <c r="Z346" s="73" t="s">
        <v>2066</v>
      </c>
      <c r="AA346" s="73" t="s">
        <v>691</v>
      </c>
      <c r="AB346" s="73" t="str">
        <f>IF(AA346&lt;&gt;"",INDEX(Lookup!$N$2:$N$5,MATCH(Players!AA346,Lookup!$P$2:$P$5,0)),INDEX(Lookup!$N$2:$N$5,MATCH(Players!O346,Lookup!$O$2:$O$5,0)))</f>
        <v>Midfield</v>
      </c>
      <c r="AC346" s="73">
        <v>2000000</v>
      </c>
      <c r="AD346" s="73" t="s">
        <v>789</v>
      </c>
      <c r="AE346" s="73" t="str">
        <f>INDEX('Translate table'!$H$2:$H$622,MATCH(Players!P346,'Translate table'!$G$2:$G$622,0))</f>
        <v>John Fleck</v>
      </c>
      <c r="AF346" s="73">
        <f>IFERROR(INDEX('Euro Qual stats'!$A$1:$L$2071,MATCH(Players!$AE346,'Euro Qual stats'!$A$1:$A$2071,0),MATCH(Players!AF$2,'Euro Qual stats'!$A$1:$L$1,0)),0)</f>
        <v>2</v>
      </c>
      <c r="AG346" s="73">
        <f>IFERROR(INDEX('Euro Qual stats'!$A$1:$L$2071,MATCH(Players!$AE346,'Euro Qual stats'!$A$1:$A$2071,0),MATCH(Players!AG$2,'Euro Qual stats'!$A$1:$L$1,0)),0)</f>
        <v>0</v>
      </c>
      <c r="AH346" s="73">
        <f>IFERROR(INDEX('Euro Qual stats'!$A$1:$L$2071,MATCH(Players!$AE346,'Euro Qual stats'!$A$1:$A$2071,0),MATCH(Players!AH$2,'Euro Qual stats'!$A$1:$L$1,0)),0)</f>
        <v>0</v>
      </c>
      <c r="AI346" s="73">
        <f>IFERROR(INDEX('Euro Qual stats'!$A$1:$L$2071,MATCH(Players!$AE346,'Euro Qual stats'!$A$1:$A$2071,0),MATCH(Players!AI$2,'Euro Qual stats'!$A$1:$L$1,0)),0)</f>
        <v>1.01</v>
      </c>
      <c r="AJ346" s="93">
        <f>(12-AF346)/12*INDEX(BV$9:BV$12,MATCH($AB346,$BU$9:$BU$12,0))+AF346/12*AG346</f>
        <v>0.1405759162303665</v>
      </c>
      <c r="AK346" s="93">
        <f>(12-AG346)/12*INDEX(BW$9:BW$12,MATCH($AB346,$BU$9:$BU$12,0))+AG346/12*AH346</f>
        <v>0.22340314136125652</v>
      </c>
      <c r="AL346" s="93">
        <f>(12-AH346)/12*INDEX(BX$9:BX$12,MATCH($AB346,$BU$9:$BU$12,0))+AH346/12*AI346</f>
        <v>0.23942408376963353</v>
      </c>
      <c r="AM346" s="93">
        <f>IF($BC346=1,AJ346/SUMIFS(AJ$3:AJ$623,$BC$3:$BC$623,1,$G$3:$G$623,$G346),0)</f>
        <v>0</v>
      </c>
      <c r="AN346" s="93">
        <f>IF($BC346=1,AK346/SUMIFS(AK$3:AK$623,$BC$3:$BC$623,1,$G$3:$G$623,$G346),0)</f>
        <v>0</v>
      </c>
      <c r="AO346" s="93">
        <f>IF($BC346=1,AL346/SUMIFS(AL$3:AL$623,$BC$3:$BC$623,1,$G$3:$G$623,$G346),0)</f>
        <v>0</v>
      </c>
      <c r="AP346" s="2">
        <f>IFERROR(R346/$V346*90,"")</f>
        <v>0</v>
      </c>
      <c r="AQ346" s="2">
        <f>IFERROR(S346/$V346*90,"")</f>
        <v>6.9848661233993012E-2</v>
      </c>
      <c r="AR346" s="2">
        <f>IFERROR(W346/$V346*90,"")</f>
        <v>0.17462165308498254</v>
      </c>
      <c r="AS346" s="2">
        <f>IFERROR(X346/$V346*90,"")</f>
        <v>0.13969732246798602</v>
      </c>
      <c r="AT346" s="2">
        <f>IFERROR(Y346/$V346*90,"")</f>
        <v>0</v>
      </c>
      <c r="AU346" s="2">
        <f>IF(AP346="",INDEX(BV$4:BV$7,MATCH(O346,$BU$4:$BU$7,0)),AP346)</f>
        <v>0</v>
      </c>
      <c r="AV346" s="2">
        <f>IF(AQ346="",INDEX(BW$4:BW$7,MATCH($O346,$BU$4:$BU$7,0)),AQ346)</f>
        <v>6.9848661233993012E-2</v>
      </c>
      <c r="AW346" s="2">
        <f t="shared" si="60"/>
        <v>0.17462165308498254</v>
      </c>
      <c r="AX346" s="2">
        <f t="shared" si="61"/>
        <v>0.13969732246798602</v>
      </c>
      <c r="AY346" s="2">
        <f t="shared" si="62"/>
        <v>0</v>
      </c>
      <c r="AZ346" s="2">
        <f>AU346*0.5+AK346*0.5</f>
        <v>0.11170157068062826</v>
      </c>
      <c r="BA346" s="2">
        <f>AV346*0.5+AJ346*0.5</f>
        <v>0.10521228873217975</v>
      </c>
      <c r="BB346" s="2">
        <f t="shared" si="63"/>
        <v>0.57484866123399303</v>
      </c>
      <c r="BC346">
        <f>IF(I346="expected",1,0)</f>
        <v>0</v>
      </c>
      <c r="BD346" s="78">
        <f>IF(BC346=1,AZ346/SUMIFS(AZ$3:AZ$623,$BC$3:$BC$623,1,$G$3:$G$623,$G346),0)</f>
        <v>0</v>
      </c>
      <c r="BE346" s="78">
        <f>IF(BC346=1,BA346/SUMIFS(BA$3:BA$623,$BC$3:$BC$623,1,$G$3:$G$623,$G346),0)</f>
        <v>0</v>
      </c>
      <c r="BF346" s="78">
        <f t="shared" si="64"/>
        <v>0</v>
      </c>
      <c r="BG346" s="2">
        <f t="shared" si="65"/>
        <v>0.57484866123399303</v>
      </c>
      <c r="BH346" s="2">
        <f t="shared" si="66"/>
        <v>0</v>
      </c>
      <c r="BI346" s="2">
        <f t="shared" si="67"/>
        <v>0</v>
      </c>
      <c r="BJ346" s="2">
        <f t="shared" si="68"/>
        <v>0</v>
      </c>
      <c r="BK346" s="2">
        <f t="shared" si="69"/>
        <v>0</v>
      </c>
      <c r="BL346" s="2">
        <f t="shared" si="70"/>
        <v>0.57484866123399303</v>
      </c>
      <c r="BM346" s="2">
        <f t="shared" si="71"/>
        <v>0</v>
      </c>
      <c r="BN346" s="2">
        <f>BI346/SUMIFS(BI$3:BI$623,$BC$3:$BC$623,1,$G$3:$G$623,$G346)</f>
        <v>0</v>
      </c>
      <c r="BO346" s="2">
        <f>BJ346/SUMIFS(BJ$3:BJ$623,$BC$3:$BC$623,1,$G$3:$G$623,$G346)</f>
        <v>0</v>
      </c>
      <c r="BP346" s="2">
        <f>BK346/SUMIFS(BK$3:BK$623,$BC$3:$BC$623,1,$G$3:$G$623,$G346)</f>
        <v>0</v>
      </c>
      <c r="BQ346" s="2">
        <f>BL346</f>
        <v>0.57484866123399303</v>
      </c>
      <c r="BR346" s="2">
        <f>BM346</f>
        <v>0</v>
      </c>
    </row>
    <row r="347" spans="1:70" hidden="1">
      <c r="A347" s="74">
        <v>0</v>
      </c>
      <c r="B347" s="73">
        <v>204984</v>
      </c>
      <c r="C347" s="73" t="s">
        <v>2356</v>
      </c>
      <c r="D347" s="73" t="s">
        <v>1304</v>
      </c>
      <c r="E347" s="73" t="s">
        <v>2357</v>
      </c>
      <c r="F347" s="73">
        <v>18706</v>
      </c>
      <c r="G347" s="73" t="s">
        <v>895</v>
      </c>
      <c r="H347" s="73" t="s">
        <v>907</v>
      </c>
      <c r="I347" s="73" t="s">
        <v>1012</v>
      </c>
      <c r="J347" s="73">
        <v>0</v>
      </c>
      <c r="K347" s="73">
        <v>4.5</v>
      </c>
      <c r="L347" s="73">
        <v>0</v>
      </c>
      <c r="M347" s="73">
        <v>0</v>
      </c>
      <c r="N347" s="73">
        <v>0</v>
      </c>
      <c r="O347" s="73" t="s">
        <v>994</v>
      </c>
      <c r="P347" s="73" t="s">
        <v>630</v>
      </c>
      <c r="Q347" s="73" t="s">
        <v>630</v>
      </c>
      <c r="R347" s="73">
        <v>0</v>
      </c>
      <c r="S347" s="73">
        <v>2</v>
      </c>
      <c r="T347" s="73">
        <v>0</v>
      </c>
      <c r="U347" s="73">
        <v>0</v>
      </c>
      <c r="V347" s="73">
        <v>925</v>
      </c>
      <c r="W347" s="73">
        <v>6</v>
      </c>
      <c r="X347" s="73">
        <v>0</v>
      </c>
      <c r="Y347" s="73">
        <v>1</v>
      </c>
      <c r="Z347" s="73" t="s">
        <v>2066</v>
      </c>
      <c r="AA347" s="73" t="s">
        <v>693</v>
      </c>
      <c r="AB347" s="73" t="str">
        <f>IF(AA347&lt;&gt;"",INDEX(Lookup!$N$2:$N$5,MATCH(Players!AA347,Lookup!$P$2:$P$5,0)),INDEX(Lookup!$N$2:$N$5,MATCH(Players!O347,Lookup!$O$2:$O$5,0)))</f>
        <v>Striker</v>
      </c>
      <c r="AC347" s="73">
        <v>3000000</v>
      </c>
      <c r="AD347" s="73" t="s">
        <v>789</v>
      </c>
      <c r="AE347" s="73" t="str">
        <f>INDEX('Translate table'!$H$2:$H$622,MATCH(Players!P347,'Translate table'!$G$2:$G$622,0))</f>
        <v>Ryan Fraser</v>
      </c>
      <c r="AF347" s="73">
        <f>IFERROR(INDEX('Euro Qual stats'!$A$1:$L$2071,MATCH(Players!$AE347,'Euro Qual stats'!$A$1:$A$2071,0),MATCH(Players!AF$2,'Euro Qual stats'!$A$1:$L$1,0)),0)</f>
        <v>6</v>
      </c>
      <c r="AG347" s="73">
        <f>IFERROR(INDEX('Euro Qual stats'!$A$1:$L$2071,MATCH(Players!$AE347,'Euro Qual stats'!$A$1:$A$2071,0),MATCH(Players!AG$2,'Euro Qual stats'!$A$1:$L$1,0)),0)</f>
        <v>0.22</v>
      </c>
      <c r="AH347" s="73">
        <f>IFERROR(INDEX('Euro Qual stats'!$A$1:$L$2071,MATCH(Players!$AE347,'Euro Qual stats'!$A$1:$A$2071,0),MATCH(Players!AH$2,'Euro Qual stats'!$A$1:$L$1,0)),0)</f>
        <v>0</v>
      </c>
      <c r="AI347" s="73">
        <f>IFERROR(INDEX('Euro Qual stats'!$A$1:$L$2071,MATCH(Players!$AE347,'Euro Qual stats'!$A$1:$A$2071,0),MATCH(Players!AI$2,'Euro Qual stats'!$A$1:$L$1,0)),0)</f>
        <v>0.22</v>
      </c>
      <c r="AJ347" s="93">
        <f>(12-AF347)/12*INDEX(BV$9:BV$12,MATCH($AB347,$BU$9:$BU$12,0))+AF347/12*AG347</f>
        <v>0.21245689655172417</v>
      </c>
      <c r="AK347" s="93">
        <f>(12-AG347)/12*INDEX(BW$9:BW$12,MATCH($AB347,$BU$9:$BU$12,0))+AG347/12*AH347</f>
        <v>0.52409152298850548</v>
      </c>
      <c r="AL347" s="93">
        <f>(12-AH347)/12*INDEX(BX$9:BX$12,MATCH($AB347,$BU$9:$BU$12,0))+AH347/12*AI347</f>
        <v>0.16482758620689658</v>
      </c>
      <c r="AM347" s="93">
        <f>IF($BC347=1,AJ347/SUMIFS(AJ$3:AJ$623,$BC$3:$BC$623,1,$G$3:$G$623,$G347),0)</f>
        <v>0</v>
      </c>
      <c r="AN347" s="93">
        <f>IF($BC347=1,AK347/SUMIFS(AK$3:AK$623,$BC$3:$BC$623,1,$G$3:$G$623,$G347),0)</f>
        <v>0</v>
      </c>
      <c r="AO347" s="93">
        <f>IF($BC347=1,AL347/SUMIFS(AL$3:AL$623,$BC$3:$BC$623,1,$G$3:$G$623,$G347),0)</f>
        <v>0</v>
      </c>
      <c r="AP347" s="2">
        <f>IFERROR(R347/$V347*90,"")</f>
        <v>0</v>
      </c>
      <c r="AQ347" s="2">
        <f>IFERROR(S347/$V347*90,"")</f>
        <v>0.19459459459459461</v>
      </c>
      <c r="AR347" s="2">
        <f>IFERROR(W347/$V347*90,"")</f>
        <v>0.58378378378378371</v>
      </c>
      <c r="AS347" s="2">
        <f>IFERROR(X347/$V347*90,"")</f>
        <v>0</v>
      </c>
      <c r="AT347" s="2">
        <f>IFERROR(Y347/$V347*90,"")</f>
        <v>9.7297297297297303E-2</v>
      </c>
      <c r="AU347" s="2">
        <f>IF(AP347="",INDEX(BV$4:BV$7,MATCH(O347,$BU$4:$BU$7,0)),AP347)</f>
        <v>0</v>
      </c>
      <c r="AV347" s="2">
        <f>IF(AQ347="",INDEX(BW$4:BW$7,MATCH($O347,$BU$4:$BU$7,0)),AQ347)</f>
        <v>0.19459459459459461</v>
      </c>
      <c r="AW347" s="2">
        <f t="shared" si="60"/>
        <v>0.58378378378378371</v>
      </c>
      <c r="AX347" s="2">
        <f t="shared" si="61"/>
        <v>0</v>
      </c>
      <c r="AY347" s="2">
        <f t="shared" si="62"/>
        <v>9.7297297297297303E-2</v>
      </c>
      <c r="AZ347" s="2">
        <f>AU347*0.5+AK347*0.5</f>
        <v>0.26204576149425274</v>
      </c>
      <c r="BA347" s="2">
        <f>AV347*0.5+AJ347*0.5</f>
        <v>0.20352574557315939</v>
      </c>
      <c r="BB347" s="2">
        <f t="shared" si="63"/>
        <v>0.11</v>
      </c>
      <c r="BC347">
        <f>IF(I347="expected",1,0)</f>
        <v>0</v>
      </c>
      <c r="BD347" s="78">
        <f>IF(BC347=1,AZ347/SUMIFS(AZ$3:AZ$623,$BC$3:$BC$623,1,$G$3:$G$623,$G347),0)</f>
        <v>0</v>
      </c>
      <c r="BE347" s="78">
        <f>IF(BC347=1,BA347/SUMIFS(BA$3:BA$623,$BC$3:$BC$623,1,$G$3:$G$623,$G347),0)</f>
        <v>0</v>
      </c>
      <c r="BF347" s="78">
        <f t="shared" si="64"/>
        <v>0</v>
      </c>
      <c r="BG347" s="2">
        <f t="shared" si="65"/>
        <v>0.11</v>
      </c>
      <c r="BH347" s="2">
        <f t="shared" si="66"/>
        <v>9.7297297297297303E-2</v>
      </c>
      <c r="BI347" s="2">
        <f t="shared" si="67"/>
        <v>0</v>
      </c>
      <c r="BJ347" s="2">
        <f t="shared" si="68"/>
        <v>0</v>
      </c>
      <c r="BK347" s="2">
        <f t="shared" si="69"/>
        <v>0</v>
      </c>
      <c r="BL347" s="2">
        <f t="shared" si="70"/>
        <v>0.11</v>
      </c>
      <c r="BM347" s="2">
        <f t="shared" si="71"/>
        <v>0.06</v>
      </c>
      <c r="BN347" s="2">
        <f>BI347/SUMIFS(BI$3:BI$623,$BC$3:$BC$623,1,$G$3:$G$623,$G347)</f>
        <v>0</v>
      </c>
      <c r="BO347" s="2">
        <f>BJ347/SUMIFS(BJ$3:BJ$623,$BC$3:$BC$623,1,$G$3:$G$623,$G347)</f>
        <v>0</v>
      </c>
      <c r="BP347" s="2">
        <f>BK347/SUMIFS(BK$3:BK$623,$BC$3:$BC$623,1,$G$3:$G$623,$G347)</f>
        <v>0</v>
      </c>
      <c r="BQ347" s="2">
        <f>BL347</f>
        <v>0.11</v>
      </c>
      <c r="BR347" s="2">
        <f>BM347</f>
        <v>0.06</v>
      </c>
    </row>
    <row r="348" spans="1:70" hidden="1">
      <c r="A348" s="74">
        <v>0</v>
      </c>
      <c r="B348" s="73">
        <v>204797</v>
      </c>
      <c r="C348" s="73" t="s">
        <v>2358</v>
      </c>
      <c r="D348" s="73" t="s">
        <v>2359</v>
      </c>
      <c r="E348" s="73" t="s">
        <v>2360</v>
      </c>
      <c r="F348" s="73">
        <v>18706</v>
      </c>
      <c r="G348" s="73" t="s">
        <v>895</v>
      </c>
      <c r="H348" s="73" t="s">
        <v>907</v>
      </c>
      <c r="I348" s="73" t="s">
        <v>981</v>
      </c>
      <c r="J348" s="73">
        <v>0</v>
      </c>
      <c r="K348" s="73">
        <v>4.5</v>
      </c>
      <c r="L348" s="73">
        <v>0</v>
      </c>
      <c r="M348" s="73">
        <v>0</v>
      </c>
      <c r="N348" s="73">
        <v>0</v>
      </c>
      <c r="O348" s="73" t="s">
        <v>994</v>
      </c>
      <c r="P348" s="73" t="s">
        <v>78</v>
      </c>
      <c r="Q348" s="73" t="s">
        <v>78</v>
      </c>
      <c r="R348" s="73">
        <v>4</v>
      </c>
      <c r="S348" s="73">
        <v>1</v>
      </c>
      <c r="T348" s="73">
        <v>0</v>
      </c>
      <c r="U348" s="73">
        <v>7</v>
      </c>
      <c r="V348" s="73">
        <v>2127</v>
      </c>
      <c r="W348" s="73">
        <v>8</v>
      </c>
      <c r="X348" s="73">
        <v>3</v>
      </c>
      <c r="Y348" s="73">
        <v>0</v>
      </c>
      <c r="Z348" s="73" t="s">
        <v>2066</v>
      </c>
      <c r="AA348" s="73" t="s">
        <v>691</v>
      </c>
      <c r="AB348" s="73" t="str">
        <f>IF(AA348&lt;&gt;"",INDEX(Lookup!$N$2:$N$5,MATCH(Players!AA348,Lookup!$P$2:$P$5,0)),INDEX(Lookup!$N$2:$N$5,MATCH(Players!O348,Lookup!$O$2:$O$5,0)))</f>
        <v>Midfield</v>
      </c>
      <c r="AC348" s="73">
        <v>3000000</v>
      </c>
      <c r="AD348" s="73" t="s">
        <v>791</v>
      </c>
      <c r="AE348" s="73" t="str">
        <f>INDEX('Translate table'!$H$2:$H$622,MATCH(Players!P348,'Translate table'!$G$2:$G$622,0))</f>
        <v>Scott McTominay</v>
      </c>
      <c r="AF348" s="73">
        <f>IFERROR(INDEX('Euro Qual stats'!$A$1:$L$2071,MATCH(Players!$AE348,'Euro Qual stats'!$A$1:$A$2071,0),MATCH(Players!AF$2,'Euro Qual stats'!$A$1:$L$1,0)),0)</f>
        <v>9</v>
      </c>
      <c r="AG348" s="73">
        <f>IFERROR(INDEX('Euro Qual stats'!$A$1:$L$2071,MATCH(Players!$AE348,'Euro Qual stats'!$A$1:$A$2071,0),MATCH(Players!AG$2,'Euro Qual stats'!$A$1:$L$1,0)),0)</f>
        <v>0</v>
      </c>
      <c r="AH348" s="73">
        <f>IFERROR(INDEX('Euro Qual stats'!$A$1:$L$2071,MATCH(Players!$AE348,'Euro Qual stats'!$A$1:$A$2071,0),MATCH(Players!AH$2,'Euro Qual stats'!$A$1:$L$1,0)),0)</f>
        <v>0</v>
      </c>
      <c r="AI348" s="73">
        <f>IFERROR(INDEX('Euro Qual stats'!$A$1:$L$2071,MATCH(Players!$AE348,'Euro Qual stats'!$A$1:$A$2071,0),MATCH(Players!AI$2,'Euro Qual stats'!$A$1:$L$1,0)),0)</f>
        <v>0.61</v>
      </c>
      <c r="AJ348" s="93">
        <f>(12-AF348)/12*INDEX(BV$9:BV$12,MATCH($AB348,$BU$9:$BU$12,0))+AF348/12*AG348</f>
        <v>4.2172774869109947E-2</v>
      </c>
      <c r="AK348" s="93">
        <f>(12-AG348)/12*INDEX(BW$9:BW$12,MATCH($AB348,$BU$9:$BU$12,0))+AG348/12*AH348</f>
        <v>0.22340314136125652</v>
      </c>
      <c r="AL348" s="93">
        <f>(12-AH348)/12*INDEX(BX$9:BX$12,MATCH($AB348,$BU$9:$BU$12,0))+AH348/12*AI348</f>
        <v>0.23942408376963353</v>
      </c>
      <c r="AM348" s="93">
        <f>IF($BC348=1,AJ348/SUMIFS(AJ$3:AJ$623,$BC$3:$BC$623,1,$G$3:$G$623,$G348),0)</f>
        <v>3.7782341767544025E-2</v>
      </c>
      <c r="AN348" s="93">
        <f>IF($BC348=1,AK348/SUMIFS(AK$3:AK$623,$BC$3:$BC$623,1,$G$3:$G$623,$G348),0)</f>
        <v>0.11368917006401361</v>
      </c>
      <c r="AO348" s="93">
        <f>IF($BC348=1,AL348/SUMIFS(AL$3:AL$623,$BC$3:$BC$623,1,$G$3:$G$623,$G348),0)</f>
        <v>0.11575857645610486</v>
      </c>
      <c r="AP348" s="2">
        <f>IFERROR(R348/$V348*90,"")</f>
        <v>0.16925246826516219</v>
      </c>
      <c r="AQ348" s="2">
        <f>IFERROR(S348/$V348*90,"")</f>
        <v>4.2313117066290547E-2</v>
      </c>
      <c r="AR348" s="2">
        <f>IFERROR(W348/$V348*90,"")</f>
        <v>0.33850493653032437</v>
      </c>
      <c r="AS348" s="2">
        <f>IFERROR(X348/$V348*90,"")</f>
        <v>0.12693935119887165</v>
      </c>
      <c r="AT348" s="2">
        <f>IFERROR(Y348/$V348*90,"")</f>
        <v>0</v>
      </c>
      <c r="AU348" s="2">
        <f>IF(AP348="",INDEX(BV$4:BV$7,MATCH(O348,$BU$4:$BU$7,0)),AP348)</f>
        <v>0.16925246826516219</v>
      </c>
      <c r="AV348" s="2">
        <f>IF(AQ348="",INDEX(BW$4:BW$7,MATCH($O348,$BU$4:$BU$7,0)),AQ348)</f>
        <v>4.2313117066290547E-2</v>
      </c>
      <c r="AW348" s="2">
        <f t="shared" si="60"/>
        <v>0.33850493653032437</v>
      </c>
      <c r="AX348" s="2">
        <f t="shared" si="61"/>
        <v>0.12693935119887165</v>
      </c>
      <c r="AY348" s="2">
        <f t="shared" si="62"/>
        <v>0</v>
      </c>
      <c r="AZ348" s="2">
        <f>AU348*0.5+AK348*0.5</f>
        <v>0.19632780481320936</v>
      </c>
      <c r="BA348" s="2">
        <f>AV348*0.5+AJ348*0.5</f>
        <v>4.2242945967700243E-2</v>
      </c>
      <c r="BB348" s="2">
        <f t="shared" si="63"/>
        <v>0.36846967559943583</v>
      </c>
      <c r="BC348">
        <f>IF(I348="expected",1,0)</f>
        <v>1</v>
      </c>
      <c r="BD348" s="78">
        <f>IF(BC348=1,AZ348/SUMIFS(AZ$3:AZ$623,$BC$3:$BC$623,1,$G$3:$G$623,$G348),0)</f>
        <v>0.15698010671241899</v>
      </c>
      <c r="BE348" s="78">
        <f>IF(BC348=1,BA348/SUMIFS(BA$3:BA$623,$BC$3:$BC$623,1,$G$3:$G$623,$G348),0)</f>
        <v>4.5852706711619798E-2</v>
      </c>
      <c r="BF348" s="78">
        <f t="shared" si="64"/>
        <v>0.20159363925005844</v>
      </c>
      <c r="BG348" s="2">
        <f t="shared" si="65"/>
        <v>0.36846967559943583</v>
      </c>
      <c r="BH348" s="2">
        <f t="shared" si="66"/>
        <v>0</v>
      </c>
      <c r="BI348" s="2">
        <f t="shared" si="67"/>
        <v>0.15698010671241899</v>
      </c>
      <c r="BJ348" s="2">
        <f t="shared" si="68"/>
        <v>4.5852706711619798E-2</v>
      </c>
      <c r="BK348" s="2">
        <f t="shared" si="69"/>
        <v>0.20159363925005844</v>
      </c>
      <c r="BL348" s="2">
        <f t="shared" si="70"/>
        <v>0.36846967559943583</v>
      </c>
      <c r="BM348" s="2">
        <f t="shared" si="71"/>
        <v>0</v>
      </c>
      <c r="BN348" s="2">
        <f>BI348/SUMIFS(BI$3:BI$623,$BC$3:$BC$623,1,$G$3:$G$623,$G348)</f>
        <v>0.15698010671241902</v>
      </c>
      <c r="BO348" s="2">
        <f>BJ348/SUMIFS(BJ$3:BJ$623,$BC$3:$BC$623,1,$G$3:$G$623,$G348)</f>
        <v>4.5852706711619805E-2</v>
      </c>
      <c r="BP348" s="2">
        <f>BK348/SUMIFS(BK$3:BK$623,$BC$3:$BC$623,1,$G$3:$G$623,$G348)</f>
        <v>0.20159363925005844</v>
      </c>
      <c r="BQ348" s="2">
        <f>BL348</f>
        <v>0.36846967559943583</v>
      </c>
      <c r="BR348" s="2">
        <f>BM348</f>
        <v>0</v>
      </c>
    </row>
    <row r="349" spans="1:70" hidden="1">
      <c r="A349" s="74">
        <v>0</v>
      </c>
      <c r="B349" s="73">
        <v>204795</v>
      </c>
      <c r="C349" s="73" t="s">
        <v>2361</v>
      </c>
      <c r="D349" s="73" t="s">
        <v>1304</v>
      </c>
      <c r="E349" s="73" t="s">
        <v>2362</v>
      </c>
      <c r="F349" s="73">
        <v>18706</v>
      </c>
      <c r="G349" s="73" t="s">
        <v>895</v>
      </c>
      <c r="H349" s="73" t="s">
        <v>907</v>
      </c>
      <c r="I349" s="73" t="s">
        <v>981</v>
      </c>
      <c r="J349" s="73">
        <v>0</v>
      </c>
      <c r="K349" s="73">
        <v>4.5</v>
      </c>
      <c r="L349" s="73">
        <v>0</v>
      </c>
      <c r="M349" s="73">
        <v>0</v>
      </c>
      <c r="N349" s="73">
        <v>0</v>
      </c>
      <c r="O349" s="73" t="s">
        <v>994</v>
      </c>
      <c r="P349" s="73" t="s">
        <v>2363</v>
      </c>
      <c r="Q349" s="73" t="s">
        <v>2364</v>
      </c>
      <c r="R349" s="73">
        <v>0</v>
      </c>
      <c r="S349" s="73">
        <v>0</v>
      </c>
      <c r="T349" s="73">
        <v>0</v>
      </c>
      <c r="U349" s="73">
        <v>0</v>
      </c>
      <c r="V349" s="73">
        <v>0</v>
      </c>
      <c r="W349" s="73">
        <v>0</v>
      </c>
      <c r="X349" s="73">
        <v>0</v>
      </c>
      <c r="Y349" s="73">
        <v>0</v>
      </c>
      <c r="Z349" s="73" t="s">
        <v>2066</v>
      </c>
      <c r="AA349" s="73" t="s">
        <v>691</v>
      </c>
      <c r="AB349" s="73" t="str">
        <f>IF(AA349&lt;&gt;"",INDEX(Lookup!$N$2:$N$5,MATCH(Players!AA349,Lookup!$P$2:$P$5,0)),INDEX(Lookup!$N$2:$N$5,MATCH(Players!O349,Lookup!$O$2:$O$5,0)))</f>
        <v>Midfield</v>
      </c>
      <c r="AC349" s="73">
        <v>3000000</v>
      </c>
      <c r="AD349" s="73" t="s">
        <v>790</v>
      </c>
      <c r="AE349" s="73" t="str">
        <f>INDEX('Translate table'!$H$2:$H$622,MATCH(Players!P349,'Translate table'!$G$2:$G$622,0))</f>
        <v>Ryan Christie</v>
      </c>
      <c r="AF349" s="73">
        <f>IFERROR(INDEX('Euro Qual stats'!$A$1:$L$2071,MATCH(Players!$AE349,'Euro Qual stats'!$A$1:$A$2071,0),MATCH(Players!AF$2,'Euro Qual stats'!$A$1:$L$1,0)),0)</f>
        <v>7</v>
      </c>
      <c r="AG349" s="73">
        <f>IFERROR(INDEX('Euro Qual stats'!$A$1:$L$2071,MATCH(Players!$AE349,'Euro Qual stats'!$A$1:$A$2071,0),MATCH(Players!AG$2,'Euro Qual stats'!$A$1:$L$1,0)),0)</f>
        <v>0.37</v>
      </c>
      <c r="AH349" s="73">
        <f>IFERROR(INDEX('Euro Qual stats'!$A$1:$L$2071,MATCH(Players!$AE349,'Euro Qual stats'!$A$1:$A$2071,0),MATCH(Players!AH$2,'Euro Qual stats'!$A$1:$L$1,0)),0)</f>
        <v>0.37</v>
      </c>
      <c r="AI349" s="73">
        <f>IFERROR(INDEX('Euro Qual stats'!$A$1:$L$2071,MATCH(Players!$AE349,'Euro Qual stats'!$A$1:$A$2071,0),MATCH(Players!AI$2,'Euro Qual stats'!$A$1:$L$1,0)),0)</f>
        <v>0</v>
      </c>
      <c r="AJ349" s="93">
        <f>(12-AF349)/12*INDEX(BV$9:BV$12,MATCH($AB349,$BU$9:$BU$12,0))+AF349/12*AG349</f>
        <v>0.28612129144851661</v>
      </c>
      <c r="AK349" s="93">
        <f>(12-AG349)/12*INDEX(BW$9:BW$12,MATCH($AB349,$BU$9:$BU$12,0))+AG349/12*AH349</f>
        <v>0.22792321116928446</v>
      </c>
      <c r="AL349" s="93">
        <f>(12-AH349)/12*INDEX(BX$9:BX$12,MATCH($AB349,$BU$9:$BU$12,0))+AH349/12*AI349</f>
        <v>0.23204184118673651</v>
      </c>
      <c r="AM349" s="93">
        <f>IF($BC349=1,AJ349/SUMIFS(AJ$3:AJ$623,$BC$3:$BC$623,1,$G$3:$G$623,$G349),0)</f>
        <v>0.25633438762401922</v>
      </c>
      <c r="AN349" s="93">
        <f>IF($BC349=1,AK349/SUMIFS(AK$3:AK$623,$BC$3:$BC$623,1,$G$3:$G$623,$G349),0)</f>
        <v>0.11598941965752814</v>
      </c>
      <c r="AO349" s="93">
        <f>IF($BC349=1,AL349/SUMIFS(AL$3:AL$623,$BC$3:$BC$623,1,$G$3:$G$623,$G349),0)</f>
        <v>0.11218935368204164</v>
      </c>
      <c r="AP349" s="2" t="str">
        <f>IFERROR(R349/$V349*90,"")</f>
        <v/>
      </c>
      <c r="AQ349" s="2" t="str">
        <f>IFERROR(S349/$V349*90,"")</f>
        <v/>
      </c>
      <c r="AR349" s="2" t="str">
        <f>IFERROR(W349/$V349*90,"")</f>
        <v/>
      </c>
      <c r="AS349" s="2" t="str">
        <f>IFERROR(X349/$V349*90,"")</f>
        <v/>
      </c>
      <c r="AT349" s="2" t="str">
        <f>IFERROR(Y349/$V349*90,"")</f>
        <v/>
      </c>
      <c r="AU349" s="2">
        <f>IF(AP349="",INDEX(BV$4:BV$7,MATCH(O349,$BU$4:$BU$7,0)),AP349)</f>
        <v>3.6526142445450806E-2</v>
      </c>
      <c r="AV349" s="2">
        <f>IF(AQ349="",INDEX(BW$4:BW$7,MATCH($O349,$BU$4:$BU$7,0)),AQ349)</f>
        <v>3.2427739661688867E-2</v>
      </c>
      <c r="AW349" s="2">
        <f t="shared" si="60"/>
        <v>0.20013349649571699</v>
      </c>
      <c r="AX349" s="2">
        <f t="shared" si="61"/>
        <v>0.16081000595592615</v>
      </c>
      <c r="AY349" s="2">
        <f t="shared" si="62"/>
        <v>0</v>
      </c>
      <c r="AZ349" s="2">
        <f>AU349*0.5+AK349*0.5</f>
        <v>0.13222467680736763</v>
      </c>
      <c r="BA349" s="2">
        <f>AV349*0.5+AJ349*0.5</f>
        <v>0.15927451555510275</v>
      </c>
      <c r="BB349" s="2">
        <f t="shared" si="63"/>
        <v>8.0405002977963075E-2</v>
      </c>
      <c r="BC349">
        <f>IF(I349="expected",1,0)</f>
        <v>1</v>
      </c>
      <c r="BD349" s="78">
        <f>IF(BC349=1,AZ349/SUMIFS(AZ$3:AZ$623,$BC$3:$BC$623,1,$G$3:$G$623,$G349),0)</f>
        <v>0.10572442296181132</v>
      </c>
      <c r="BE349" s="78">
        <f>IF(BC349=1,BA349/SUMIFS(BA$3:BA$623,$BC$3:$BC$623,1,$G$3:$G$623,$G349),0)</f>
        <v>0.17288490376517754</v>
      </c>
      <c r="BF349" s="78">
        <f t="shared" si="64"/>
        <v>0.11918774452140408</v>
      </c>
      <c r="BG349" s="2">
        <f t="shared" si="65"/>
        <v>8.0405002977963075E-2</v>
      </c>
      <c r="BH349" s="2">
        <f t="shared" si="66"/>
        <v>0</v>
      </c>
      <c r="BI349" s="2">
        <f t="shared" si="67"/>
        <v>0.10572442296181132</v>
      </c>
      <c r="BJ349" s="2">
        <f t="shared" si="68"/>
        <v>0.17288490376517754</v>
      </c>
      <c r="BK349" s="2">
        <f t="shared" si="69"/>
        <v>0.11918774452140408</v>
      </c>
      <c r="BL349" s="2">
        <f t="shared" si="70"/>
        <v>8.0405002977963075E-2</v>
      </c>
      <c r="BM349" s="2">
        <f t="shared" si="71"/>
        <v>0</v>
      </c>
      <c r="BN349" s="2">
        <f>BI349/SUMIFS(BI$3:BI$623,$BC$3:$BC$623,1,$G$3:$G$623,$G349)</f>
        <v>0.10572442296181134</v>
      </c>
      <c r="BO349" s="2">
        <f>BJ349/SUMIFS(BJ$3:BJ$623,$BC$3:$BC$623,1,$G$3:$G$623,$G349)</f>
        <v>0.17288490376517757</v>
      </c>
      <c r="BP349" s="2">
        <f>BK349/SUMIFS(BK$3:BK$623,$BC$3:$BC$623,1,$G$3:$G$623,$G349)</f>
        <v>0.11918774452140408</v>
      </c>
      <c r="BQ349" s="2">
        <f>BL349</f>
        <v>8.0405002977963075E-2</v>
      </c>
      <c r="BR349" s="2">
        <f>BM349</f>
        <v>0</v>
      </c>
    </row>
    <row r="350" spans="1:70" hidden="1">
      <c r="A350" s="74">
        <v>0</v>
      </c>
      <c r="B350" s="73">
        <v>204793</v>
      </c>
      <c r="C350" s="73" t="s">
        <v>2365</v>
      </c>
      <c r="D350" s="73" t="s">
        <v>2366</v>
      </c>
      <c r="E350" s="73" t="s">
        <v>2367</v>
      </c>
      <c r="F350" s="73">
        <v>18706</v>
      </c>
      <c r="G350" s="73" t="s">
        <v>895</v>
      </c>
      <c r="H350" s="73" t="s">
        <v>907</v>
      </c>
      <c r="I350" s="73" t="s">
        <v>1012</v>
      </c>
      <c r="J350" s="73">
        <v>0</v>
      </c>
      <c r="K350" s="73">
        <v>4.5</v>
      </c>
      <c r="L350" s="73">
        <v>0</v>
      </c>
      <c r="M350" s="73">
        <v>0</v>
      </c>
      <c r="N350" s="73">
        <v>0</v>
      </c>
      <c r="O350" s="73" t="s">
        <v>994</v>
      </c>
      <c r="P350" s="73" t="s">
        <v>2368</v>
      </c>
      <c r="Q350" s="73" t="s">
        <v>2369</v>
      </c>
      <c r="R350" s="73">
        <v>0</v>
      </c>
      <c r="S350" s="73">
        <v>0</v>
      </c>
      <c r="T350" s="73">
        <v>0</v>
      </c>
      <c r="U350" s="73">
        <v>0</v>
      </c>
      <c r="V350" s="73">
        <v>0</v>
      </c>
      <c r="W350" s="73">
        <v>0</v>
      </c>
      <c r="X350" s="73">
        <v>0</v>
      </c>
      <c r="Y350" s="73">
        <v>0</v>
      </c>
      <c r="Z350" s="73" t="s">
        <v>2066</v>
      </c>
      <c r="AA350" s="73" t="s">
        <v>691</v>
      </c>
      <c r="AB350" s="73" t="str">
        <f>IF(AA350&lt;&gt;"",INDEX(Lookup!$N$2:$N$5,MATCH(Players!AA350,Lookup!$P$2:$P$5,0)),INDEX(Lookup!$N$2:$N$5,MATCH(Players!O350,Lookup!$O$2:$O$5,0)))</f>
        <v>Midfield</v>
      </c>
      <c r="AC350" s="73">
        <v>3000000</v>
      </c>
      <c r="AD350" s="73" t="s">
        <v>788</v>
      </c>
      <c r="AE350" s="73" t="str">
        <f>INDEX('Translate table'!$H$2:$H$622,MATCH(Players!P350,'Translate table'!$G$2:$G$622,0))</f>
        <v>Callum McGregor</v>
      </c>
      <c r="AF350" s="73">
        <f>IFERROR(INDEX('Euro Qual stats'!$A$1:$L$2071,MATCH(Players!$AE350,'Euro Qual stats'!$A$1:$A$2071,0),MATCH(Players!AF$2,'Euro Qual stats'!$A$1:$L$1,0)),0)</f>
        <v>12</v>
      </c>
      <c r="AG350" s="73">
        <f>IFERROR(INDEX('Euro Qual stats'!$A$1:$L$2071,MATCH(Players!$AE350,'Euro Qual stats'!$A$1:$A$2071,0),MATCH(Players!AG$2,'Euro Qual stats'!$A$1:$L$1,0)),0)</f>
        <v>0.09</v>
      </c>
      <c r="AH350" s="73">
        <f>IFERROR(INDEX('Euro Qual stats'!$A$1:$L$2071,MATCH(Players!$AE350,'Euro Qual stats'!$A$1:$A$2071,0),MATCH(Players!AH$2,'Euro Qual stats'!$A$1:$L$1,0)),0)</f>
        <v>0</v>
      </c>
      <c r="AI350" s="73">
        <f>IFERROR(INDEX('Euro Qual stats'!$A$1:$L$2071,MATCH(Players!$AE350,'Euro Qual stats'!$A$1:$A$2071,0),MATCH(Players!AI$2,'Euro Qual stats'!$A$1:$L$1,0)),0)</f>
        <v>0.18</v>
      </c>
      <c r="AJ350" s="93">
        <f>(12-AF350)/12*INDEX(BV$9:BV$12,MATCH($AB350,$BU$9:$BU$12,0))+AF350/12*AG350</f>
        <v>0.09</v>
      </c>
      <c r="AK350" s="93">
        <f>(12-AG350)/12*INDEX(BW$9:BW$12,MATCH($AB350,$BU$9:$BU$12,0))+AG350/12*AH350</f>
        <v>0.22172761780104711</v>
      </c>
      <c r="AL350" s="93">
        <f>(12-AH350)/12*INDEX(BX$9:BX$12,MATCH($AB350,$BU$9:$BU$12,0))+AH350/12*AI350</f>
        <v>0.23942408376963353</v>
      </c>
      <c r="AM350" s="93">
        <f>IF($BC350=1,AJ350/SUMIFS(AJ$3:AJ$623,$BC$3:$BC$623,1,$G$3:$G$623,$G350),0)</f>
        <v>0</v>
      </c>
      <c r="AN350" s="93">
        <f>IF($BC350=1,AK350/SUMIFS(AK$3:AK$623,$BC$3:$BC$623,1,$G$3:$G$623,$G350),0)</f>
        <v>0</v>
      </c>
      <c r="AO350" s="93">
        <f>IF($BC350=1,AL350/SUMIFS(AL$3:AL$623,$BC$3:$BC$623,1,$G$3:$G$623,$G350),0)</f>
        <v>0</v>
      </c>
      <c r="AP350" s="2" t="str">
        <f>IFERROR(R350/$V350*90,"")</f>
        <v/>
      </c>
      <c r="AQ350" s="2" t="str">
        <f>IFERROR(S350/$V350*90,"")</f>
        <v/>
      </c>
      <c r="AR350" s="2" t="str">
        <f>IFERROR(W350/$V350*90,"")</f>
        <v/>
      </c>
      <c r="AS350" s="2" t="str">
        <f>IFERROR(X350/$V350*90,"")</f>
        <v/>
      </c>
      <c r="AT350" s="2" t="str">
        <f>IFERROR(Y350/$V350*90,"")</f>
        <v/>
      </c>
      <c r="AU350" s="2">
        <f>IF(AP350="",INDEX(BV$4:BV$7,MATCH(O350,$BU$4:$BU$7,0)),AP350)</f>
        <v>3.6526142445450806E-2</v>
      </c>
      <c r="AV350" s="2">
        <f>IF(AQ350="",INDEX(BW$4:BW$7,MATCH($O350,$BU$4:$BU$7,0)),AQ350)</f>
        <v>3.2427739661688867E-2</v>
      </c>
      <c r="AW350" s="2">
        <f t="shared" si="60"/>
        <v>0.20013349649571699</v>
      </c>
      <c r="AX350" s="2">
        <f t="shared" si="61"/>
        <v>0.16081000595592615</v>
      </c>
      <c r="AY350" s="2">
        <f t="shared" si="62"/>
        <v>0</v>
      </c>
      <c r="AZ350" s="2">
        <f>AU350*0.5+AK350*0.5</f>
        <v>0.12912688012324897</v>
      </c>
      <c r="BA350" s="2">
        <f>AV350*0.5+AJ350*0.5</f>
        <v>6.1213869830844432E-2</v>
      </c>
      <c r="BB350" s="2">
        <f t="shared" si="63"/>
        <v>0.17040500297796307</v>
      </c>
      <c r="BC350">
        <f>IF(I350="expected",1,0)</f>
        <v>0</v>
      </c>
      <c r="BD350" s="78">
        <f>IF(BC350=1,AZ350/SUMIFS(AZ$3:AZ$623,$BC$3:$BC$623,1,$G$3:$G$623,$G350),0)</f>
        <v>0</v>
      </c>
      <c r="BE350" s="78">
        <f>IF(BC350=1,BA350/SUMIFS(BA$3:BA$623,$BC$3:$BC$623,1,$G$3:$G$623,$G350),0)</f>
        <v>0</v>
      </c>
      <c r="BF350" s="78">
        <f t="shared" si="64"/>
        <v>0</v>
      </c>
      <c r="BG350" s="2">
        <f t="shared" si="65"/>
        <v>0.17040500297796307</v>
      </c>
      <c r="BH350" s="2">
        <f t="shared" si="66"/>
        <v>0</v>
      </c>
      <c r="BI350" s="2">
        <f t="shared" si="67"/>
        <v>0</v>
      </c>
      <c r="BJ350" s="2">
        <f t="shared" si="68"/>
        <v>0</v>
      </c>
      <c r="BK350" s="2">
        <f t="shared" si="69"/>
        <v>0</v>
      </c>
      <c r="BL350" s="2">
        <f t="shared" si="70"/>
        <v>0.17040500297796307</v>
      </c>
      <c r="BM350" s="2">
        <f t="shared" si="71"/>
        <v>0</v>
      </c>
      <c r="BN350" s="2">
        <f>BI350/SUMIFS(BI$3:BI$623,$BC$3:$BC$623,1,$G$3:$G$623,$G350)</f>
        <v>0</v>
      </c>
      <c r="BO350" s="2">
        <f>BJ350/SUMIFS(BJ$3:BJ$623,$BC$3:$BC$623,1,$G$3:$G$623,$G350)</f>
        <v>0</v>
      </c>
      <c r="BP350" s="2">
        <f>BK350/SUMIFS(BK$3:BK$623,$BC$3:$BC$623,1,$G$3:$G$623,$G350)</f>
        <v>0</v>
      </c>
      <c r="BQ350" s="2">
        <f>BL350</f>
        <v>0.17040500297796307</v>
      </c>
      <c r="BR350" s="2">
        <f>BM350</f>
        <v>0</v>
      </c>
    </row>
    <row r="351" spans="1:70" hidden="1">
      <c r="A351" s="74">
        <v>0</v>
      </c>
      <c r="B351" s="73">
        <v>204791</v>
      </c>
      <c r="C351" s="73" t="s">
        <v>2370</v>
      </c>
      <c r="D351" s="73" t="s">
        <v>1632</v>
      </c>
      <c r="E351" s="73" t="s">
        <v>2371</v>
      </c>
      <c r="F351" s="73">
        <v>18706</v>
      </c>
      <c r="G351" s="73" t="s">
        <v>895</v>
      </c>
      <c r="H351" s="73" t="s">
        <v>907</v>
      </c>
      <c r="I351" s="73" t="s">
        <v>981</v>
      </c>
      <c r="J351" s="73">
        <v>0</v>
      </c>
      <c r="K351" s="73">
        <v>4.5</v>
      </c>
      <c r="L351" s="73">
        <v>0</v>
      </c>
      <c r="M351" s="73">
        <v>0</v>
      </c>
      <c r="N351" s="73">
        <v>0</v>
      </c>
      <c r="O351" s="73" t="s">
        <v>994</v>
      </c>
      <c r="P351" s="73" t="s">
        <v>321</v>
      </c>
      <c r="Q351" s="73" t="s">
        <v>321</v>
      </c>
      <c r="R351" s="73">
        <v>3</v>
      </c>
      <c r="S351" s="73">
        <v>5</v>
      </c>
      <c r="T351" s="73">
        <v>0</v>
      </c>
      <c r="U351" s="73">
        <v>14</v>
      </c>
      <c r="V351" s="73">
        <v>3330</v>
      </c>
      <c r="W351" s="73">
        <v>11</v>
      </c>
      <c r="X351" s="73">
        <v>12</v>
      </c>
      <c r="Y351" s="73">
        <v>0</v>
      </c>
      <c r="Z351" s="73" t="s">
        <v>2066</v>
      </c>
      <c r="AA351" s="73" t="s">
        <v>691</v>
      </c>
      <c r="AB351" s="73" t="str">
        <f>IF(AA351&lt;&gt;"",INDEX(Lookup!$N$2:$N$5,MATCH(Players!AA351,Lookup!$P$2:$P$5,0)),INDEX(Lookup!$N$2:$N$5,MATCH(Players!O351,Lookup!$O$2:$O$5,0)))</f>
        <v>Midfield</v>
      </c>
      <c r="AC351" s="73">
        <v>4000000</v>
      </c>
      <c r="AD351" s="73" t="s">
        <v>790</v>
      </c>
      <c r="AE351" s="73" t="str">
        <f>INDEX('Translate table'!$H$2:$H$622,MATCH(Players!P351,'Translate table'!$G$2:$G$622,0))</f>
        <v>John McGinn</v>
      </c>
      <c r="AF351" s="73">
        <f>IFERROR(INDEX('Euro Qual stats'!$A$1:$L$2071,MATCH(Players!$AE351,'Euro Qual stats'!$A$1:$A$2071,0),MATCH(Players!AF$2,'Euro Qual stats'!$A$1:$L$1,0)),0)</f>
        <v>10</v>
      </c>
      <c r="AG351" s="73">
        <f>IFERROR(INDEX('Euro Qual stats'!$A$1:$L$2071,MATCH(Players!$AE351,'Euro Qual stats'!$A$1:$A$2071,0),MATCH(Players!AG$2,'Euro Qual stats'!$A$1:$L$1,0)),0)</f>
        <v>0.25</v>
      </c>
      <c r="AH351" s="73">
        <f>IFERROR(INDEX('Euro Qual stats'!$A$1:$L$2071,MATCH(Players!$AE351,'Euro Qual stats'!$A$1:$A$2071,0),MATCH(Players!AH$2,'Euro Qual stats'!$A$1:$L$1,0)),0)</f>
        <v>0.87</v>
      </c>
      <c r="AI351" s="73">
        <f>IFERROR(INDEX('Euro Qual stats'!$A$1:$L$2071,MATCH(Players!$AE351,'Euro Qual stats'!$A$1:$A$2071,0),MATCH(Players!AI$2,'Euro Qual stats'!$A$1:$L$1,0)),0)</f>
        <v>0.25</v>
      </c>
      <c r="AJ351" s="93">
        <f>(12-AF351)/12*INDEX(BV$9:BV$12,MATCH($AB351,$BU$9:$BU$12,0))+AF351/12*AG351</f>
        <v>0.23644851657940663</v>
      </c>
      <c r="AK351" s="93">
        <f>(12-AG351)/12*INDEX(BW$9:BW$12,MATCH($AB351,$BU$9:$BU$12,0))+AG351/12*AH351</f>
        <v>0.23687390924956367</v>
      </c>
      <c r="AL351" s="93">
        <f>(12-AH351)/12*INDEX(BX$9:BX$12,MATCH($AB351,$BU$9:$BU$12,0))+AH351/12*AI351</f>
        <v>0.24019083769633512</v>
      </c>
      <c r="AM351" s="93">
        <f>IF($BC351=1,AJ351/SUMIFS(AJ$3:AJ$623,$BC$3:$BC$623,1,$G$3:$G$623,$G351),0)</f>
        <v>0.21183283982518941</v>
      </c>
      <c r="AN351" s="93">
        <f>IF($BC351=1,AK351/SUMIFS(AK$3:AK$623,$BC$3:$BC$623,1,$G$3:$G$623,$G351),0)</f>
        <v>0.12054440232267781</v>
      </c>
      <c r="AO351" s="93">
        <f>IF($BC351=1,AL351/SUMIFS(AL$3:AL$623,$BC$3:$BC$623,1,$G$3:$G$623,$G351),0)</f>
        <v>0.11612929247451723</v>
      </c>
      <c r="AP351" s="2">
        <f>IFERROR(R351/$V351*90,"")</f>
        <v>8.1081081081081086E-2</v>
      </c>
      <c r="AQ351" s="2">
        <f>IFERROR(S351/$V351*90,"")</f>
        <v>0.13513513513513514</v>
      </c>
      <c r="AR351" s="2">
        <f>IFERROR(W351/$V351*90,"")</f>
        <v>0.29729729729729726</v>
      </c>
      <c r="AS351" s="2">
        <f>IFERROR(X351/$V351*90,"")</f>
        <v>0.32432432432432434</v>
      </c>
      <c r="AT351" s="2">
        <f>IFERROR(Y351/$V351*90,"")</f>
        <v>0</v>
      </c>
      <c r="AU351" s="2">
        <f>IF(AP351="",INDEX(BV$4:BV$7,MATCH(O351,$BU$4:$BU$7,0)),AP351)</f>
        <v>8.1081081081081086E-2</v>
      </c>
      <c r="AV351" s="2">
        <f>IF(AQ351="",INDEX(BW$4:BW$7,MATCH($O351,$BU$4:$BU$7,0)),AQ351)</f>
        <v>0.13513513513513514</v>
      </c>
      <c r="AW351" s="2">
        <f t="shared" si="60"/>
        <v>0.29729729729729726</v>
      </c>
      <c r="AX351" s="2">
        <f t="shared" si="61"/>
        <v>0.32432432432432434</v>
      </c>
      <c r="AY351" s="2">
        <f t="shared" si="62"/>
        <v>0</v>
      </c>
      <c r="AZ351" s="2">
        <f>AU351*0.5+AK351*0.5</f>
        <v>0.15897749516532239</v>
      </c>
      <c r="BA351" s="2">
        <f>AV351*0.5+AJ351*0.5</f>
        <v>0.18579182585727089</v>
      </c>
      <c r="BB351" s="2">
        <f t="shared" si="63"/>
        <v>0.28716216216216217</v>
      </c>
      <c r="BC351">
        <f>IF(I351="expected",1,0)</f>
        <v>1</v>
      </c>
      <c r="BD351" s="78">
        <f>IF(BC351=1,AZ351/SUMIFS(AZ$3:AZ$623,$BC$3:$BC$623,1,$G$3:$G$623,$G351),0)</f>
        <v>0.12711548514317353</v>
      </c>
      <c r="BE351" s="78">
        <f>IF(BC351=1,BA351/SUMIFS(BA$3:BA$623,$BC$3:$BC$623,1,$G$3:$G$623,$G351),0)</f>
        <v>0.20166818164063685</v>
      </c>
      <c r="BF351" s="78">
        <f t="shared" si="64"/>
        <v>0.17705279194946008</v>
      </c>
      <c r="BG351" s="2">
        <f t="shared" si="65"/>
        <v>0.28716216216216217</v>
      </c>
      <c r="BH351" s="2">
        <f t="shared" si="66"/>
        <v>0</v>
      </c>
      <c r="BI351" s="2">
        <f t="shared" si="67"/>
        <v>0.12711548514317353</v>
      </c>
      <c r="BJ351" s="2">
        <f t="shared" si="68"/>
        <v>0.20166818164063685</v>
      </c>
      <c r="BK351" s="2">
        <f t="shared" si="69"/>
        <v>0.17705279194946008</v>
      </c>
      <c r="BL351" s="2">
        <f t="shared" si="70"/>
        <v>0.28716216216216217</v>
      </c>
      <c r="BM351" s="2">
        <f t="shared" si="71"/>
        <v>0</v>
      </c>
      <c r="BN351" s="2">
        <f>BI351/SUMIFS(BI$3:BI$623,$BC$3:$BC$623,1,$G$3:$G$623,$G351)</f>
        <v>0.12711548514317356</v>
      </c>
      <c r="BO351" s="2">
        <f>BJ351/SUMIFS(BJ$3:BJ$623,$BC$3:$BC$623,1,$G$3:$G$623,$G351)</f>
        <v>0.20166818164063688</v>
      </c>
      <c r="BP351" s="2">
        <f>BK351/SUMIFS(BK$3:BK$623,$BC$3:$BC$623,1,$G$3:$G$623,$G351)</f>
        <v>0.17705279194946008</v>
      </c>
      <c r="BQ351" s="2">
        <f>BL351</f>
        <v>0.28716216216216217</v>
      </c>
      <c r="BR351" s="2">
        <f>BM351</f>
        <v>0</v>
      </c>
    </row>
    <row r="352" spans="1:70" hidden="1">
      <c r="A352" s="74">
        <v>0</v>
      </c>
      <c r="B352" s="73">
        <v>204789</v>
      </c>
      <c r="C352" s="73" t="s">
        <v>2372</v>
      </c>
      <c r="D352" s="73" t="s">
        <v>2373</v>
      </c>
      <c r="E352" s="73" t="s">
        <v>2374</v>
      </c>
      <c r="F352" s="73">
        <v>18706</v>
      </c>
      <c r="G352" s="73" t="s">
        <v>895</v>
      </c>
      <c r="H352" s="73" t="s">
        <v>907</v>
      </c>
      <c r="I352" s="73" t="s">
        <v>981</v>
      </c>
      <c r="J352" s="73">
        <v>0</v>
      </c>
      <c r="K352" s="73">
        <v>4.5</v>
      </c>
      <c r="L352" s="73">
        <v>0</v>
      </c>
      <c r="M352" s="73">
        <v>0</v>
      </c>
      <c r="N352" s="73">
        <v>0</v>
      </c>
      <c r="O352" s="73" t="s">
        <v>994</v>
      </c>
      <c r="P352" s="73" t="s">
        <v>171</v>
      </c>
      <c r="Q352" s="73" t="s">
        <v>171</v>
      </c>
      <c r="R352" s="73">
        <v>4</v>
      </c>
      <c r="S352" s="73">
        <v>5</v>
      </c>
      <c r="T352" s="73">
        <v>0</v>
      </c>
      <c r="U352" s="73">
        <v>6</v>
      </c>
      <c r="V352" s="73">
        <v>2771</v>
      </c>
      <c r="W352" s="73">
        <v>11</v>
      </c>
      <c r="X352" s="73">
        <v>3</v>
      </c>
      <c r="Y352" s="73">
        <v>0</v>
      </c>
      <c r="Z352" s="73" t="s">
        <v>2066</v>
      </c>
      <c r="AA352" s="73" t="s">
        <v>691</v>
      </c>
      <c r="AB352" s="73" t="str">
        <f>IF(AA352&lt;&gt;"",INDEX(Lookup!$N$2:$N$5,MATCH(Players!AA352,Lookup!$P$2:$P$5,0)),INDEX(Lookup!$N$2:$N$5,MATCH(Players!O352,Lookup!$O$2:$O$5,0)))</f>
        <v>Midfield</v>
      </c>
      <c r="AC352" s="73">
        <v>2500000</v>
      </c>
      <c r="AD352" s="73" t="s">
        <v>792</v>
      </c>
      <c r="AE352" s="73" t="str">
        <f>INDEX('Translate table'!$H$2:$H$622,MATCH(Players!P352,'Translate table'!$G$2:$G$622,0))</f>
        <v>Stuart Armstrong</v>
      </c>
      <c r="AF352" s="73">
        <f>IFERROR(INDEX('Euro Qual stats'!$A$1:$L$2071,MATCH(Players!$AE352,'Euro Qual stats'!$A$1:$A$2071,0),MATCH(Players!AF$2,'Euro Qual stats'!$A$1:$L$1,0)),0)</f>
        <v>8</v>
      </c>
      <c r="AG352" s="73">
        <f>IFERROR(INDEX('Euro Qual stats'!$A$1:$L$2071,MATCH(Players!$AE352,'Euro Qual stats'!$A$1:$A$2071,0),MATCH(Players!AG$2,'Euro Qual stats'!$A$1:$L$1,0)),0)</f>
        <v>0</v>
      </c>
      <c r="AH352" s="73">
        <f>IFERROR(INDEX('Euro Qual stats'!$A$1:$L$2071,MATCH(Players!$AE352,'Euro Qual stats'!$A$1:$A$2071,0),MATCH(Players!AH$2,'Euro Qual stats'!$A$1:$L$1,0)),0)</f>
        <v>0.37</v>
      </c>
      <c r="AI352" s="73">
        <f>IFERROR(INDEX('Euro Qual stats'!$A$1:$L$2071,MATCH(Players!$AE352,'Euro Qual stats'!$A$1:$A$2071,0),MATCH(Players!AI$2,'Euro Qual stats'!$A$1:$L$1,0)),0)</f>
        <v>0</v>
      </c>
      <c r="AJ352" s="93">
        <f>(12-AF352)/12*INDEX(BV$9:BV$12,MATCH($AB352,$BU$9:$BU$12,0))+AF352/12*AG352</f>
        <v>5.6230366492146591E-2</v>
      </c>
      <c r="AK352" s="93">
        <f>(12-AG352)/12*INDEX(BW$9:BW$12,MATCH($AB352,$BU$9:$BU$12,0))+AG352/12*AH352</f>
        <v>0.22340314136125652</v>
      </c>
      <c r="AL352" s="93">
        <f>(12-AH352)/12*INDEX(BX$9:BX$12,MATCH($AB352,$BU$9:$BU$12,0))+AH352/12*AI352</f>
        <v>0.23204184118673651</v>
      </c>
      <c r="AM352" s="93">
        <f>IF($BC352=1,AJ352/SUMIFS(AJ$3:AJ$623,$BC$3:$BC$623,1,$G$3:$G$623,$G352),0)</f>
        <v>5.0376455690058698E-2</v>
      </c>
      <c r="AN352" s="93">
        <f>IF($BC352=1,AK352/SUMIFS(AK$3:AK$623,$BC$3:$BC$623,1,$G$3:$G$623,$G352),0)</f>
        <v>0.11368917006401361</v>
      </c>
      <c r="AO352" s="93">
        <f>IF($BC352=1,AL352/SUMIFS(AL$3:AL$623,$BC$3:$BC$623,1,$G$3:$G$623,$G352),0)</f>
        <v>0.11218935368204164</v>
      </c>
      <c r="AP352" s="2">
        <f>IFERROR(R352/$V352*90,"")</f>
        <v>0.12991699747383614</v>
      </c>
      <c r="AQ352" s="2">
        <f>IFERROR(S352/$V352*90,"")</f>
        <v>0.1623962468422952</v>
      </c>
      <c r="AR352" s="2">
        <f>IFERROR(W352/$V352*90,"")</f>
        <v>0.35727174305304948</v>
      </c>
      <c r="AS352" s="2">
        <f>IFERROR(X352/$V352*90,"")</f>
        <v>9.7437748105377114E-2</v>
      </c>
      <c r="AT352" s="2">
        <f>IFERROR(Y352/$V352*90,"")</f>
        <v>0</v>
      </c>
      <c r="AU352" s="2">
        <f>IF(AP352="",INDEX(BV$4:BV$7,MATCH(O352,$BU$4:$BU$7,0)),AP352)</f>
        <v>0.12991699747383614</v>
      </c>
      <c r="AV352" s="2">
        <f>IF(AQ352="",INDEX(BW$4:BW$7,MATCH($O352,$BU$4:$BU$7,0)),AQ352)</f>
        <v>0.1623962468422952</v>
      </c>
      <c r="AW352" s="2">
        <f t="shared" si="60"/>
        <v>0.35727174305304948</v>
      </c>
      <c r="AX352" s="2">
        <f t="shared" si="61"/>
        <v>9.7437748105377114E-2</v>
      </c>
      <c r="AY352" s="2">
        <f t="shared" si="62"/>
        <v>0</v>
      </c>
      <c r="AZ352" s="2">
        <f>AU352*0.5+AK352*0.5</f>
        <v>0.17666006941754633</v>
      </c>
      <c r="BA352" s="2">
        <f>AV352*0.5+AJ352*0.5</f>
        <v>0.10931330666722089</v>
      </c>
      <c r="BB352" s="2">
        <f t="shared" si="63"/>
        <v>4.8718874052688557E-2</v>
      </c>
      <c r="BC352">
        <f>IF(I352="expected",1,0)</f>
        <v>1</v>
      </c>
      <c r="BD352" s="78">
        <f>IF(BC352=1,AZ352/SUMIFS(AZ$3:AZ$623,$BC$3:$BC$623,1,$G$3:$G$623,$G352),0)</f>
        <v>0.14125414673369738</v>
      </c>
      <c r="BE352" s="78">
        <f>IF(BC352=1,BA352/SUMIFS(BA$3:BA$623,$BC$3:$BC$623,1,$G$3:$G$623,$G352),0)</f>
        <v>0.11865439011100078</v>
      </c>
      <c r="BF352" s="78">
        <f t="shared" si="64"/>
        <v>0.21277004590101128</v>
      </c>
      <c r="BG352" s="2">
        <f t="shared" si="65"/>
        <v>4.8718874052688557E-2</v>
      </c>
      <c r="BH352" s="2">
        <f t="shared" si="66"/>
        <v>0</v>
      </c>
      <c r="BI352" s="2">
        <f t="shared" si="67"/>
        <v>0.14125414673369738</v>
      </c>
      <c r="BJ352" s="2">
        <f t="shared" si="68"/>
        <v>0.11865439011100078</v>
      </c>
      <c r="BK352" s="2">
        <f t="shared" si="69"/>
        <v>0.21277004590101128</v>
      </c>
      <c r="BL352" s="2">
        <f t="shared" si="70"/>
        <v>4.8718874052688557E-2</v>
      </c>
      <c r="BM352" s="2">
        <f t="shared" si="71"/>
        <v>0</v>
      </c>
      <c r="BN352" s="2">
        <f>BI352/SUMIFS(BI$3:BI$623,$BC$3:$BC$623,1,$G$3:$G$623,$G352)</f>
        <v>0.14125414673369741</v>
      </c>
      <c r="BO352" s="2">
        <f>BJ352/SUMIFS(BJ$3:BJ$623,$BC$3:$BC$623,1,$G$3:$G$623,$G352)</f>
        <v>0.11865439011100079</v>
      </c>
      <c r="BP352" s="2">
        <f>BK352/SUMIFS(BK$3:BK$623,$BC$3:$BC$623,1,$G$3:$G$623,$G352)</f>
        <v>0.21277004590101128</v>
      </c>
      <c r="BQ352" s="2">
        <f>BL352</f>
        <v>4.8718874052688557E-2</v>
      </c>
      <c r="BR352" s="2">
        <f>BM352</f>
        <v>0</v>
      </c>
    </row>
    <row r="353" spans="1:70" hidden="1">
      <c r="A353" s="74">
        <v>0</v>
      </c>
      <c r="B353" s="73">
        <v>221546</v>
      </c>
      <c r="C353" s="73" t="s">
        <v>2375</v>
      </c>
      <c r="D353" s="73" t="s">
        <v>1308</v>
      </c>
      <c r="E353" s="73" t="s">
        <v>2376</v>
      </c>
      <c r="F353" s="73">
        <v>18706</v>
      </c>
      <c r="G353" s="73" t="s">
        <v>895</v>
      </c>
      <c r="H353" s="73" t="s">
        <v>907</v>
      </c>
      <c r="I353" s="73" t="s">
        <v>1012</v>
      </c>
      <c r="J353" s="73">
        <v>0</v>
      </c>
      <c r="K353" s="73">
        <v>4.5</v>
      </c>
      <c r="L353" s="73">
        <v>0</v>
      </c>
      <c r="M353" s="73">
        <v>0</v>
      </c>
      <c r="N353" s="73">
        <v>0</v>
      </c>
      <c r="O353" s="73" t="s">
        <v>982</v>
      </c>
      <c r="P353" s="73" t="s">
        <v>2377</v>
      </c>
      <c r="Q353" s="73" t="s">
        <v>2378</v>
      </c>
      <c r="R353" s="73">
        <v>0</v>
      </c>
      <c r="S353" s="73">
        <v>0</v>
      </c>
      <c r="T353" s="73">
        <v>0</v>
      </c>
      <c r="U353" s="73">
        <v>0</v>
      </c>
      <c r="V353" s="73">
        <v>236</v>
      </c>
      <c r="W353" s="73">
        <v>0</v>
      </c>
      <c r="X353" s="73">
        <v>0</v>
      </c>
      <c r="Y353" s="73">
        <v>0</v>
      </c>
      <c r="Z353" s="73" t="s">
        <v>2066</v>
      </c>
      <c r="AA353" s="73" t="s">
        <v>693</v>
      </c>
      <c r="AB353" s="73" t="str">
        <f>IF(AA353&lt;&gt;"",INDEX(Lookup!$N$2:$N$5,MATCH(Players!AA353,Lookup!$P$2:$P$5,0)),INDEX(Lookup!$N$2:$N$5,MATCH(Players!O353,Lookup!$O$2:$O$5,0)))</f>
        <v>Striker</v>
      </c>
      <c r="AC353" s="73">
        <v>2500000</v>
      </c>
      <c r="AD353" s="73" t="s">
        <v>788</v>
      </c>
      <c r="AE353" s="73" t="str">
        <f>INDEX('Translate table'!$H$2:$H$622,MATCH(Players!P353,'Translate table'!$G$2:$G$622,0))</f>
        <v>Vytautas AndriuÅ¡keviÄius</v>
      </c>
      <c r="AF353" s="73">
        <f>IFERROR(INDEX('Euro Qual stats'!$A$1:$L$2071,MATCH(Players!$AE353,'Euro Qual stats'!$A$1:$A$2071,0),MATCH(Players!AF$2,'Euro Qual stats'!$A$1:$L$1,0)),0)</f>
        <v>5</v>
      </c>
      <c r="AG353" s="73">
        <f>IFERROR(INDEX('Euro Qual stats'!$A$1:$L$2071,MATCH(Players!$AE353,'Euro Qual stats'!$A$1:$A$2071,0),MATCH(Players!AG$2,'Euro Qual stats'!$A$1:$L$1,0)),0)</f>
        <v>0</v>
      </c>
      <c r="AH353" s="73">
        <f>IFERROR(INDEX('Euro Qual stats'!$A$1:$L$2071,MATCH(Players!$AE353,'Euro Qual stats'!$A$1:$A$2071,0),MATCH(Players!AH$2,'Euro Qual stats'!$A$1:$L$1,0)),0)</f>
        <v>0.21</v>
      </c>
      <c r="AI353" s="73">
        <f>IFERROR(INDEX('Euro Qual stats'!$A$1:$L$2071,MATCH(Players!$AE353,'Euro Qual stats'!$A$1:$A$2071,0),MATCH(Players!AI$2,'Euro Qual stats'!$A$1:$L$1,0)),0)</f>
        <v>0</v>
      </c>
      <c r="AJ353" s="93">
        <f>(12-AF353)/12*INDEX(BV$9:BV$12,MATCH($AB353,$BU$9:$BU$12,0))+AF353/12*AG353</f>
        <v>0.11953304597701153</v>
      </c>
      <c r="AK353" s="93">
        <f>(12-AG353)/12*INDEX(BW$9:BW$12,MATCH($AB353,$BU$9:$BU$12,0))+AG353/12*AH353</f>
        <v>0.53387931034482738</v>
      </c>
      <c r="AL353" s="93">
        <f>(12-AH353)/12*INDEX(BX$9:BX$12,MATCH($AB353,$BU$9:$BU$12,0))+AH353/12*AI353</f>
        <v>0.16194310344827587</v>
      </c>
      <c r="AM353" s="93">
        <f>IF($BC353=1,AJ353/SUMIFS(AJ$3:AJ$623,$BC$3:$BC$623,1,$G$3:$G$623,$G353),0)</f>
        <v>0</v>
      </c>
      <c r="AN353" s="93">
        <f>IF($BC353=1,AK353/SUMIFS(AK$3:AK$623,$BC$3:$BC$623,1,$G$3:$G$623,$G353),0)</f>
        <v>0</v>
      </c>
      <c r="AO353" s="93">
        <f>IF($BC353=1,AL353/SUMIFS(AL$3:AL$623,$BC$3:$BC$623,1,$G$3:$G$623,$G353),0)</f>
        <v>0</v>
      </c>
      <c r="AP353" s="2">
        <f>IFERROR(R353/$V353*90,"")</f>
        <v>0</v>
      </c>
      <c r="AQ353" s="2">
        <f>IFERROR(S353/$V353*90,"")</f>
        <v>0</v>
      </c>
      <c r="AR353" s="2">
        <f>IFERROR(W353/$V353*90,"")</f>
        <v>0</v>
      </c>
      <c r="AS353" s="2">
        <f>IFERROR(X353/$V353*90,"")</f>
        <v>0</v>
      </c>
      <c r="AT353" s="2">
        <f>IFERROR(Y353/$V353*90,"")</f>
        <v>0</v>
      </c>
      <c r="AU353" s="2">
        <f>IF(AP353="",INDEX(BV$4:BV$7,MATCH(O353,$BU$4:$BU$7,0)),AP353)</f>
        <v>0</v>
      </c>
      <c r="AV353" s="2">
        <f>IF(AQ353="",INDEX(BW$4:BW$7,MATCH($O353,$BU$4:$BU$7,0)),AQ353)</f>
        <v>0</v>
      </c>
      <c r="AW353" s="2">
        <f t="shared" si="60"/>
        <v>0</v>
      </c>
      <c r="AX353" s="2">
        <f t="shared" si="61"/>
        <v>0</v>
      </c>
      <c r="AY353" s="2">
        <f t="shared" si="62"/>
        <v>0</v>
      </c>
      <c r="AZ353" s="2">
        <f>AU353*0.5+AK353*0.5</f>
        <v>0.26693965517241369</v>
      </c>
      <c r="BA353" s="2">
        <f>AV353*0.5+AJ353*0.5</f>
        <v>5.9766522988505766E-2</v>
      </c>
      <c r="BB353" s="2">
        <f t="shared" si="63"/>
        <v>0</v>
      </c>
      <c r="BC353">
        <f>IF(I353="expected",1,0)</f>
        <v>0</v>
      </c>
      <c r="BD353" s="78">
        <f>IF(BC353=1,AZ353/SUMIFS(AZ$3:AZ$623,$BC$3:$BC$623,1,$G$3:$G$623,$G353),0)</f>
        <v>0</v>
      </c>
      <c r="BE353" s="78">
        <f>IF(BC353=1,BA353/SUMIFS(BA$3:BA$623,$BC$3:$BC$623,1,$G$3:$G$623,$G353),0)</f>
        <v>0</v>
      </c>
      <c r="BF353" s="78">
        <f t="shared" si="64"/>
        <v>0</v>
      </c>
      <c r="BG353" s="2">
        <f t="shared" si="65"/>
        <v>0</v>
      </c>
      <c r="BH353" s="2">
        <f t="shared" si="66"/>
        <v>0</v>
      </c>
      <c r="BI353" s="2">
        <f t="shared" si="67"/>
        <v>0</v>
      </c>
      <c r="BJ353" s="2">
        <f t="shared" si="68"/>
        <v>0</v>
      </c>
      <c r="BK353" s="2">
        <f t="shared" si="69"/>
        <v>0</v>
      </c>
      <c r="BL353" s="2">
        <f t="shared" si="70"/>
        <v>0</v>
      </c>
      <c r="BM353" s="2">
        <f t="shared" si="71"/>
        <v>0</v>
      </c>
      <c r="BN353" s="2">
        <f>BI353/SUMIFS(BI$3:BI$623,$BC$3:$BC$623,1,$G$3:$G$623,$G353)</f>
        <v>0</v>
      </c>
      <c r="BO353" s="2">
        <f>BJ353/SUMIFS(BJ$3:BJ$623,$BC$3:$BC$623,1,$G$3:$G$623,$G353)</f>
        <v>0</v>
      </c>
      <c r="BP353" s="2">
        <f>BK353/SUMIFS(BK$3:BK$623,$BC$3:$BC$623,1,$G$3:$G$623,$G353)</f>
        <v>0</v>
      </c>
      <c r="BQ353" s="2">
        <f>BL353</f>
        <v>0</v>
      </c>
      <c r="BR353" s="2">
        <f>BM353</f>
        <v>0</v>
      </c>
    </row>
    <row r="354" spans="1:70" hidden="1">
      <c r="A354" s="74">
        <v>0</v>
      </c>
      <c r="B354" s="73">
        <v>204764</v>
      </c>
      <c r="C354" s="73" t="s">
        <v>2379</v>
      </c>
      <c r="D354" s="73" t="s">
        <v>2089</v>
      </c>
      <c r="E354" s="73" t="s">
        <v>2380</v>
      </c>
      <c r="F354" s="73">
        <v>18718</v>
      </c>
      <c r="G354" s="73" t="s">
        <v>882</v>
      </c>
      <c r="H354" s="73" t="s">
        <v>937</v>
      </c>
      <c r="I354" s="73" t="s">
        <v>1012</v>
      </c>
      <c r="J354" s="73">
        <v>0</v>
      </c>
      <c r="K354" s="73">
        <v>4.5</v>
      </c>
      <c r="L354" s="73">
        <v>0</v>
      </c>
      <c r="M354" s="73">
        <v>0</v>
      </c>
      <c r="N354" s="73">
        <v>0</v>
      </c>
      <c r="O354" s="73" t="s">
        <v>1290</v>
      </c>
      <c r="P354" s="73" t="s">
        <v>2381</v>
      </c>
      <c r="Q354" s="73" t="s">
        <v>2382</v>
      </c>
      <c r="R354" s="73">
        <v>0</v>
      </c>
      <c r="S354" s="73">
        <v>0</v>
      </c>
      <c r="T354" s="73">
        <v>9</v>
      </c>
      <c r="U354" s="73">
        <v>2</v>
      </c>
      <c r="V354" s="73">
        <v>450</v>
      </c>
      <c r="W354" s="73">
        <v>0</v>
      </c>
      <c r="X354" s="73">
        <v>0</v>
      </c>
      <c r="Y354" s="73">
        <v>0</v>
      </c>
      <c r="Z354" s="73" t="s">
        <v>2082</v>
      </c>
      <c r="AA354" s="73" t="s">
        <v>690</v>
      </c>
      <c r="AB354" s="73" t="str">
        <f>IF(AA354&lt;&gt;"",INDEX(Lookup!$N$2:$N$5,MATCH(Players!AA354,Lookup!$P$2:$P$5,0)),INDEX(Lookup!$N$2:$N$5,MATCH(Players!O354,Lookup!$O$2:$O$5,0)))</f>
        <v>Goalkeeper</v>
      </c>
      <c r="AC354" s="73">
        <v>4000000</v>
      </c>
      <c r="AD354" s="73" t="s">
        <v>789</v>
      </c>
      <c r="AE354" s="73" t="str">
        <f>INDEX('Translate table'!$H$2:$H$622,MATCH(Players!P354,'Translate table'!$G$2:$G$622,0))</f>
        <v>TomÃ¡Å¡ VaclÃ­k</v>
      </c>
      <c r="AF354" s="73">
        <f>IFERROR(INDEX('Euro Qual stats'!$A$1:$L$2071,MATCH(Players!$AE354,'Euro Qual stats'!$A$1:$A$2071,0),MATCH(Players!AF$2,'Euro Qual stats'!$A$1:$L$1,0)),0)</f>
        <v>6</v>
      </c>
      <c r="AG354" s="73">
        <f>IFERROR(INDEX('Euro Qual stats'!$A$1:$L$2071,MATCH(Players!$AE354,'Euro Qual stats'!$A$1:$A$2071,0),MATCH(Players!AG$2,'Euro Qual stats'!$A$1:$L$1,0)),0)</f>
        <v>0</v>
      </c>
      <c r="AH354" s="73">
        <f>IFERROR(INDEX('Euro Qual stats'!$A$1:$L$2071,MATCH(Players!$AE354,'Euro Qual stats'!$A$1:$A$2071,0),MATCH(Players!AH$2,'Euro Qual stats'!$A$1:$L$1,0)),0)</f>
        <v>0</v>
      </c>
      <c r="AI354" s="73">
        <f>IFERROR(INDEX('Euro Qual stats'!$A$1:$L$2071,MATCH(Players!$AE354,'Euro Qual stats'!$A$1:$A$2071,0),MATCH(Players!AI$2,'Euro Qual stats'!$A$1:$L$1,0)),0)</f>
        <v>0</v>
      </c>
      <c r="AJ354" s="93">
        <f>(12-AF354)/12*INDEX(BV$9:BV$12,MATCH($AB354,$BU$9:$BU$12,0))+AF354/12*AG354</f>
        <v>0</v>
      </c>
      <c r="AK354" s="93">
        <f>(12-AG354)/12*INDEX(BW$9:BW$12,MATCH($AB354,$BU$9:$BU$12,0))+AG354/12*AH354</f>
        <v>0</v>
      </c>
      <c r="AL354" s="93">
        <f>(12-AH354)/12*INDEX(BX$9:BX$12,MATCH($AB354,$BU$9:$BU$12,0))+AH354/12*AI354</f>
        <v>0</v>
      </c>
      <c r="AM354" s="93">
        <f>IF($BC354=1,AJ354/SUMIFS(AJ$3:AJ$623,$BC$3:$BC$623,1,$G$3:$G$623,$G354),0)</f>
        <v>0</v>
      </c>
      <c r="AN354" s="93">
        <f>IF($BC354=1,AK354/SUMIFS(AK$3:AK$623,$BC$3:$BC$623,1,$G$3:$G$623,$G354),0)</f>
        <v>0</v>
      </c>
      <c r="AO354" s="93">
        <f>IF($BC354=1,AL354/SUMIFS(AL$3:AL$623,$BC$3:$BC$623,1,$G$3:$G$623,$G354),0)</f>
        <v>0</v>
      </c>
      <c r="AP354" s="2">
        <f>IFERROR(R354/$V354*90,"")</f>
        <v>0</v>
      </c>
      <c r="AQ354" s="2">
        <f>IFERROR(S354/$V354*90,"")</f>
        <v>0</v>
      </c>
      <c r="AR354" s="2">
        <f>IFERROR(W354/$V354*90,"")</f>
        <v>0</v>
      </c>
      <c r="AS354" s="2">
        <f>IFERROR(X354/$V354*90,"")</f>
        <v>0</v>
      </c>
      <c r="AT354" s="2">
        <f>IFERROR(Y354/$V354*90,"")</f>
        <v>0</v>
      </c>
      <c r="AU354" s="2">
        <f>IF(AP354="",INDEX(BV$4:BV$7,MATCH(O354,$BU$4:$BU$7,0)),AP354)</f>
        <v>0</v>
      </c>
      <c r="AV354" s="2">
        <f>IF(AQ354="",INDEX(BW$4:BW$7,MATCH($O354,$BU$4:$BU$7,0)),AQ354)</f>
        <v>0</v>
      </c>
      <c r="AW354" s="2">
        <f t="shared" si="60"/>
        <v>0</v>
      </c>
      <c r="AX354" s="2">
        <f t="shared" si="61"/>
        <v>0</v>
      </c>
      <c r="AY354" s="2">
        <f t="shared" si="62"/>
        <v>0</v>
      </c>
      <c r="AZ354" s="2">
        <f>AU354*0.5+AK354*0.5</f>
        <v>0</v>
      </c>
      <c r="BA354" s="2">
        <f>AV354*0.5+AJ354*0.5</f>
        <v>0</v>
      </c>
      <c r="BB354" s="2">
        <f t="shared" si="63"/>
        <v>0</v>
      </c>
      <c r="BC354">
        <f>IF(I354="expected",1,0)</f>
        <v>0</v>
      </c>
      <c r="BD354" s="78">
        <f>IF(BC354=1,AZ354/SUMIFS(AZ$3:AZ$623,$BC$3:$BC$623,1,$G$3:$G$623,$G354),0)</f>
        <v>0</v>
      </c>
      <c r="BE354" s="78">
        <f>IF(BC354=1,BA354/SUMIFS(BA$3:BA$623,$BC$3:$BC$623,1,$G$3:$G$623,$G354),0)</f>
        <v>0</v>
      </c>
      <c r="BF354" s="78">
        <f t="shared" si="64"/>
        <v>0</v>
      </c>
      <c r="BG354" s="2">
        <f t="shared" si="65"/>
        <v>0</v>
      </c>
      <c r="BH354" s="2">
        <f t="shared" si="66"/>
        <v>0</v>
      </c>
      <c r="BI354" s="2">
        <f t="shared" si="67"/>
        <v>0</v>
      </c>
      <c r="BJ354" s="2">
        <f t="shared" si="68"/>
        <v>0</v>
      </c>
      <c r="BK354" s="2">
        <f t="shared" si="69"/>
        <v>0</v>
      </c>
      <c r="BL354" s="2">
        <f t="shared" si="70"/>
        <v>0</v>
      </c>
      <c r="BM354" s="2">
        <f t="shared" si="71"/>
        <v>0</v>
      </c>
      <c r="BN354" s="2">
        <f>BI354/SUMIFS(BI$3:BI$623,$BC$3:$BC$623,1,$G$3:$G$623,$G354)</f>
        <v>0</v>
      </c>
      <c r="BO354" s="2">
        <f>BJ354/SUMIFS(BJ$3:BJ$623,$BC$3:$BC$623,1,$G$3:$G$623,$G354)</f>
        <v>0</v>
      </c>
      <c r="BP354" s="2">
        <f>BK354/SUMIFS(BK$3:BK$623,$BC$3:$BC$623,1,$G$3:$G$623,$G354)</f>
        <v>0</v>
      </c>
      <c r="BQ354" s="2">
        <f>BL354</f>
        <v>0</v>
      </c>
      <c r="BR354" s="2">
        <f>BM354</f>
        <v>0</v>
      </c>
    </row>
    <row r="355" spans="1:70" hidden="1">
      <c r="A355" s="74">
        <v>0</v>
      </c>
      <c r="B355" s="73">
        <v>222233</v>
      </c>
      <c r="C355" s="73" t="s">
        <v>2383</v>
      </c>
      <c r="D355" s="73" t="s">
        <v>2384</v>
      </c>
      <c r="E355" s="73" t="s">
        <v>2385</v>
      </c>
      <c r="F355" s="73">
        <v>18718</v>
      </c>
      <c r="G355" s="73" t="s">
        <v>882</v>
      </c>
      <c r="H355" s="73" t="s">
        <v>937</v>
      </c>
      <c r="I355" s="73" t="s">
        <v>1012</v>
      </c>
      <c r="J355" s="73">
        <v>0</v>
      </c>
      <c r="K355" s="73">
        <v>4.5</v>
      </c>
      <c r="L355" s="73">
        <v>0</v>
      </c>
      <c r="M355" s="73">
        <v>0</v>
      </c>
      <c r="N355" s="73">
        <v>0</v>
      </c>
      <c r="O355" s="73" t="s">
        <v>1318</v>
      </c>
      <c r="P355" s="73" t="s">
        <v>2386</v>
      </c>
      <c r="Q355" s="73" t="s">
        <v>2387</v>
      </c>
      <c r="R355" s="73">
        <v>7</v>
      </c>
      <c r="S355" s="73">
        <v>4</v>
      </c>
      <c r="T355" s="73">
        <v>0</v>
      </c>
      <c r="U355" s="73">
        <v>4</v>
      </c>
      <c r="V355" s="73">
        <v>2552</v>
      </c>
      <c r="W355" s="73">
        <v>16</v>
      </c>
      <c r="X355" s="73">
        <v>6</v>
      </c>
      <c r="Y355" s="73">
        <v>1</v>
      </c>
      <c r="Z355" s="73" t="s">
        <v>2082</v>
      </c>
      <c r="AA355" s="73" t="s">
        <v>692</v>
      </c>
      <c r="AB355" s="73" t="str">
        <f>IF(AA355&lt;&gt;"",INDEX(Lookup!$N$2:$N$5,MATCH(Players!AA355,Lookup!$P$2:$P$5,0)),INDEX(Lookup!$N$2:$N$5,MATCH(Players!O355,Lookup!$O$2:$O$5,0)))</f>
        <v>Defense</v>
      </c>
      <c r="AC355" s="73">
        <v>3000000</v>
      </c>
      <c r="AD355" s="73" t="s">
        <v>788</v>
      </c>
      <c r="AE355" s="73" t="str">
        <f>INDEX('Translate table'!$H$2:$H$622,MATCH(Players!P355,'Translate table'!$G$2:$G$622,0))</f>
        <v>Ondrej Celustka</v>
      </c>
      <c r="AF355" s="73">
        <f>IFERROR(INDEX('Euro Qual stats'!$A$1:$L$2071,MATCH(Players!$AE355,'Euro Qual stats'!$A$1:$A$2071,0),MATCH(Players!AF$2,'Euro Qual stats'!$A$1:$L$1,0)),0)</f>
        <v>8</v>
      </c>
      <c r="AG355" s="73">
        <f>IFERROR(INDEX('Euro Qual stats'!$A$1:$L$2071,MATCH(Players!$AE355,'Euro Qual stats'!$A$1:$A$2071,0),MATCH(Players!AG$2,'Euro Qual stats'!$A$1:$L$1,0)),0)</f>
        <v>0.13</v>
      </c>
      <c r="AH355" s="73">
        <f>IFERROR(INDEX('Euro Qual stats'!$A$1:$L$2071,MATCH(Players!$AE355,'Euro Qual stats'!$A$1:$A$2071,0),MATCH(Players!AH$2,'Euro Qual stats'!$A$1:$L$1,0)),0)</f>
        <v>0.13</v>
      </c>
      <c r="AI355" s="73">
        <f>IFERROR(INDEX('Euro Qual stats'!$A$1:$L$2071,MATCH(Players!$AE355,'Euro Qual stats'!$A$1:$A$2071,0),MATCH(Players!AI$2,'Euro Qual stats'!$A$1:$L$1,0)),0)</f>
        <v>0.13</v>
      </c>
      <c r="AJ355" s="93">
        <f>(12-AF355)/12*INDEX(BV$9:BV$12,MATCH($AB355,$BU$9:$BU$12,0))+AF355/12*AG355</f>
        <v>0.11639194139194139</v>
      </c>
      <c r="AK355" s="93">
        <f>(12-AG355)/12*INDEX(BW$9:BW$12,MATCH($AB355,$BU$9:$BU$12,0))+AG355/12*AH355</f>
        <v>0.1038577380952381</v>
      </c>
      <c r="AL355" s="93">
        <f>(12-AH355)/12*INDEX(BX$9:BX$12,MATCH($AB355,$BU$9:$BU$12,0))+AH355/12*AI355</f>
        <v>0.19288273809523801</v>
      </c>
      <c r="AM355" s="93">
        <f>IF($BC355=1,AJ355/SUMIFS(AJ$3:AJ$623,$BC$3:$BC$623,1,$G$3:$G$623,$G355),0)</f>
        <v>0</v>
      </c>
      <c r="AN355" s="93">
        <f>IF($BC355=1,AK355/SUMIFS(AK$3:AK$623,$BC$3:$BC$623,1,$G$3:$G$623,$G355),0)</f>
        <v>0</v>
      </c>
      <c r="AO355" s="93">
        <f>IF($BC355=1,AL355/SUMIFS(AL$3:AL$623,$BC$3:$BC$623,1,$G$3:$G$623,$G355),0)</f>
        <v>0</v>
      </c>
      <c r="AP355" s="2">
        <f>IFERROR(R355/$V355*90,"")</f>
        <v>0.2468652037617555</v>
      </c>
      <c r="AQ355" s="2">
        <f>IFERROR(S355/$V355*90,"")</f>
        <v>0.14106583072100312</v>
      </c>
      <c r="AR355" s="2">
        <f>IFERROR(W355/$V355*90,"")</f>
        <v>0.56426332288401249</v>
      </c>
      <c r="AS355" s="2">
        <f>IFERROR(X355/$V355*90,"")</f>
        <v>0.21159874608150472</v>
      </c>
      <c r="AT355" s="2">
        <f>IFERROR(Y355/$V355*90,"")</f>
        <v>3.526645768025078E-2</v>
      </c>
      <c r="AU355" s="2">
        <f>IF(AP355="",INDEX(BV$4:BV$7,MATCH(O355,$BU$4:$BU$7,0)),AP355)</f>
        <v>0.2468652037617555</v>
      </c>
      <c r="AV355" s="2">
        <f>IF(AQ355="",INDEX(BW$4:BW$7,MATCH($O355,$BU$4:$BU$7,0)),AQ355)</f>
        <v>0.14106583072100312</v>
      </c>
      <c r="AW355" s="2">
        <f t="shared" si="60"/>
        <v>0.56426332288401249</v>
      </c>
      <c r="AX355" s="2">
        <f t="shared" si="61"/>
        <v>0.21159874608150472</v>
      </c>
      <c r="AY355" s="2">
        <f t="shared" si="62"/>
        <v>3.526645768025078E-2</v>
      </c>
      <c r="AZ355" s="2">
        <f>AU355*0.5+AK355*0.5</f>
        <v>0.1753614709284968</v>
      </c>
      <c r="BA355" s="2">
        <f>AV355*0.5+AJ355*0.5</f>
        <v>0.12872888605647226</v>
      </c>
      <c r="BB355" s="2">
        <f t="shared" si="63"/>
        <v>0.17079937304075238</v>
      </c>
      <c r="BC355">
        <f>IF(I355="expected",1,0)</f>
        <v>0</v>
      </c>
      <c r="BD355" s="78">
        <f>IF(BC355=1,AZ355/SUMIFS(AZ$3:AZ$623,$BC$3:$BC$623,1,$G$3:$G$623,$G355),0)</f>
        <v>0</v>
      </c>
      <c r="BE355" s="78">
        <f>IF(BC355=1,BA355/SUMIFS(BA$3:BA$623,$BC$3:$BC$623,1,$G$3:$G$623,$G355),0)</f>
        <v>0</v>
      </c>
      <c r="BF355" s="78">
        <f t="shared" si="64"/>
        <v>0</v>
      </c>
      <c r="BG355" s="2">
        <f t="shared" si="65"/>
        <v>0.17079937304075238</v>
      </c>
      <c r="BH355" s="2">
        <f t="shared" si="66"/>
        <v>3.526645768025078E-2</v>
      </c>
      <c r="BI355" s="2">
        <f t="shared" si="67"/>
        <v>0</v>
      </c>
      <c r="BJ355" s="2">
        <f t="shared" si="68"/>
        <v>0</v>
      </c>
      <c r="BK355" s="2">
        <f t="shared" si="69"/>
        <v>0</v>
      </c>
      <c r="BL355" s="2">
        <f t="shared" si="70"/>
        <v>0.17079937304075238</v>
      </c>
      <c r="BM355" s="2">
        <f t="shared" si="71"/>
        <v>3.526645768025078E-2</v>
      </c>
      <c r="BN355" s="2">
        <f>BI355/SUMIFS(BI$3:BI$623,$BC$3:$BC$623,1,$G$3:$G$623,$G355)</f>
        <v>0</v>
      </c>
      <c r="BO355" s="2">
        <f>BJ355/SUMIFS(BJ$3:BJ$623,$BC$3:$BC$623,1,$G$3:$G$623,$G355)</f>
        <v>0</v>
      </c>
      <c r="BP355" s="2">
        <f>BK355/SUMIFS(BK$3:BK$623,$BC$3:$BC$623,1,$G$3:$G$623,$G355)</f>
        <v>0</v>
      </c>
      <c r="BQ355" s="2">
        <f>BL355</f>
        <v>0.17079937304075238</v>
      </c>
      <c r="BR355" s="2">
        <f>BM355</f>
        <v>3.526645768025078E-2</v>
      </c>
    </row>
    <row r="356" spans="1:70" hidden="1">
      <c r="A356" s="74">
        <v>0</v>
      </c>
      <c r="B356" s="73">
        <v>222232</v>
      </c>
      <c r="C356" s="73" t="s">
        <v>2388</v>
      </c>
      <c r="D356" s="73" t="s">
        <v>1830</v>
      </c>
      <c r="E356" s="73" t="s">
        <v>2389</v>
      </c>
      <c r="F356" s="73">
        <v>18718</v>
      </c>
      <c r="G356" s="73" t="s">
        <v>882</v>
      </c>
      <c r="H356" s="73" t="s">
        <v>937</v>
      </c>
      <c r="I356" s="73" t="s">
        <v>1012</v>
      </c>
      <c r="J356" s="73">
        <v>0</v>
      </c>
      <c r="K356" s="73">
        <v>4.5</v>
      </c>
      <c r="L356" s="73">
        <v>0</v>
      </c>
      <c r="M356" s="73">
        <v>0</v>
      </c>
      <c r="N356" s="73">
        <v>0</v>
      </c>
      <c r="O356" s="73" t="s">
        <v>1318</v>
      </c>
      <c r="P356" s="73" t="s">
        <v>2390</v>
      </c>
      <c r="Q356" s="73" t="s">
        <v>2391</v>
      </c>
      <c r="R356" s="73">
        <v>0</v>
      </c>
      <c r="S356" s="73">
        <v>0</v>
      </c>
      <c r="T356" s="73">
        <v>0</v>
      </c>
      <c r="U356" s="73">
        <v>2</v>
      </c>
      <c r="V356" s="73">
        <v>948</v>
      </c>
      <c r="W356" s="73">
        <v>0</v>
      </c>
      <c r="X356" s="73">
        <v>5</v>
      </c>
      <c r="Y356" s="73">
        <v>1</v>
      </c>
      <c r="Z356" s="73" t="s">
        <v>2082</v>
      </c>
      <c r="AA356" s="73" t="s">
        <v>692</v>
      </c>
      <c r="AB356" s="73" t="str">
        <f>IF(AA356&lt;&gt;"",INDEX(Lookup!$N$2:$N$5,MATCH(Players!AA356,Lookup!$P$2:$P$5,0)),INDEX(Lookup!$N$2:$N$5,MATCH(Players!O356,Lookup!$O$2:$O$5,0)))</f>
        <v>Defense</v>
      </c>
      <c r="AC356" s="73">
        <v>2500000</v>
      </c>
      <c r="AD356" s="73" t="s">
        <v>789</v>
      </c>
      <c r="AE356" s="73" t="str">
        <f>INDEX('Translate table'!$H$2:$H$622,MATCH(Players!P356,'Translate table'!$G$2:$G$622,0))</f>
        <v>Jan BoÅ™il</v>
      </c>
      <c r="AF356" s="73">
        <f>IFERROR(INDEX('Euro Qual stats'!$A$1:$L$2071,MATCH(Players!$AE356,'Euro Qual stats'!$A$1:$A$2071,0),MATCH(Players!AF$2,'Euro Qual stats'!$A$1:$L$1,0)),0)</f>
        <v>5</v>
      </c>
      <c r="AG356" s="73">
        <f>IFERROR(INDEX('Euro Qual stats'!$A$1:$L$2071,MATCH(Players!$AE356,'Euro Qual stats'!$A$1:$A$2071,0),MATCH(Players!AG$2,'Euro Qual stats'!$A$1:$L$1,0)),0)</f>
        <v>0</v>
      </c>
      <c r="AH356" s="73">
        <f>IFERROR(INDEX('Euro Qual stats'!$A$1:$L$2071,MATCH(Players!$AE356,'Euro Qual stats'!$A$1:$A$2071,0),MATCH(Players!AH$2,'Euro Qual stats'!$A$1:$L$1,0)),0)</f>
        <v>0</v>
      </c>
      <c r="AI356" s="73">
        <f>IFERROR(INDEX('Euro Qual stats'!$A$1:$L$2071,MATCH(Players!$AE356,'Euro Qual stats'!$A$1:$A$2071,0),MATCH(Players!AI$2,'Euro Qual stats'!$A$1:$L$1,0)),0)</f>
        <v>0.2</v>
      </c>
      <c r="AJ356" s="93">
        <f>(12-AF356)/12*INDEX(BV$9:BV$12,MATCH($AB356,$BU$9:$BU$12,0))+AF356/12*AG356</f>
        <v>5.201923076923079E-2</v>
      </c>
      <c r="AK356" s="93">
        <f>(12-AG356)/12*INDEX(BW$9:BW$12,MATCH($AB356,$BU$9:$BU$12,0))+AG356/12*AH356</f>
        <v>0.10357142857142858</v>
      </c>
      <c r="AL356" s="93">
        <f>(12-AH356)/12*INDEX(BX$9:BX$12,MATCH($AB356,$BU$9:$BU$12,0))+AH356/12*AI356</f>
        <v>0.19357142857142848</v>
      </c>
      <c r="AM356" s="93">
        <f>IF($BC356=1,AJ356/SUMIFS(AJ$3:AJ$623,$BC$3:$BC$623,1,$G$3:$G$623,$G356),0)</f>
        <v>0</v>
      </c>
      <c r="AN356" s="93">
        <f>IF($BC356=1,AK356/SUMIFS(AK$3:AK$623,$BC$3:$BC$623,1,$G$3:$G$623,$G356),0)</f>
        <v>0</v>
      </c>
      <c r="AO356" s="93">
        <f>IF($BC356=1,AL356/SUMIFS(AL$3:AL$623,$BC$3:$BC$623,1,$G$3:$G$623,$G356),0)</f>
        <v>0</v>
      </c>
      <c r="AP356" s="2">
        <f>IFERROR(R356/$V356*90,"")</f>
        <v>0</v>
      </c>
      <c r="AQ356" s="2">
        <f>IFERROR(S356/$V356*90,"")</f>
        <v>0</v>
      </c>
      <c r="AR356" s="2">
        <f>IFERROR(W356/$V356*90,"")</f>
        <v>0</v>
      </c>
      <c r="AS356" s="2">
        <f>IFERROR(X356/$V356*90,"")</f>
        <v>0.47468354430379744</v>
      </c>
      <c r="AT356" s="2">
        <f>IFERROR(Y356/$V356*90,"")</f>
        <v>9.4936708860759486E-2</v>
      </c>
      <c r="AU356" s="2">
        <f>IF(AP356="",INDEX(BV$4:BV$7,MATCH(O356,$BU$4:$BU$7,0)),AP356)</f>
        <v>0</v>
      </c>
      <c r="AV356" s="2">
        <f>IF(AQ356="",INDEX(BW$4:BW$7,MATCH($O356,$BU$4:$BU$7,0)),AQ356)</f>
        <v>0</v>
      </c>
      <c r="AW356" s="2">
        <f t="shared" si="60"/>
        <v>0</v>
      </c>
      <c r="AX356" s="2">
        <f t="shared" si="61"/>
        <v>0.47468354430379744</v>
      </c>
      <c r="AY356" s="2">
        <f t="shared" si="62"/>
        <v>9.4936708860759486E-2</v>
      </c>
      <c r="AZ356" s="2">
        <f>AU356*0.5+AK356*0.5</f>
        <v>5.1785714285714289E-2</v>
      </c>
      <c r="BA356" s="2">
        <f>AV356*0.5+AJ356*0.5</f>
        <v>2.6009615384615395E-2</v>
      </c>
      <c r="BB356" s="2">
        <f t="shared" si="63"/>
        <v>0.33734177215189876</v>
      </c>
      <c r="BC356">
        <f>IF(I356="expected",1,0)</f>
        <v>0</v>
      </c>
      <c r="BD356" s="78">
        <f>IF(BC356=1,AZ356/SUMIFS(AZ$3:AZ$623,$BC$3:$BC$623,1,$G$3:$G$623,$G356),0)</f>
        <v>0</v>
      </c>
      <c r="BE356" s="78">
        <f>IF(BC356=1,BA356/SUMIFS(BA$3:BA$623,$BC$3:$BC$623,1,$G$3:$G$623,$G356),0)</f>
        <v>0</v>
      </c>
      <c r="BF356" s="78">
        <f t="shared" si="64"/>
        <v>0</v>
      </c>
      <c r="BG356" s="2">
        <f t="shared" si="65"/>
        <v>0.33734177215189876</v>
      </c>
      <c r="BH356" s="2">
        <f t="shared" si="66"/>
        <v>9.4936708860759486E-2</v>
      </c>
      <c r="BI356" s="2">
        <f t="shared" si="67"/>
        <v>0</v>
      </c>
      <c r="BJ356" s="2">
        <f t="shared" si="68"/>
        <v>0</v>
      </c>
      <c r="BK356" s="2">
        <f t="shared" si="69"/>
        <v>0</v>
      </c>
      <c r="BL356" s="2">
        <f t="shared" si="70"/>
        <v>0.33734177215189876</v>
      </c>
      <c r="BM356" s="2">
        <f t="shared" si="71"/>
        <v>0.06</v>
      </c>
      <c r="BN356" s="2">
        <f>BI356/SUMIFS(BI$3:BI$623,$BC$3:$BC$623,1,$G$3:$G$623,$G356)</f>
        <v>0</v>
      </c>
      <c r="BO356" s="2">
        <f>BJ356/SUMIFS(BJ$3:BJ$623,$BC$3:$BC$623,1,$G$3:$G$623,$G356)</f>
        <v>0</v>
      </c>
      <c r="BP356" s="2">
        <f>BK356/SUMIFS(BK$3:BK$623,$BC$3:$BC$623,1,$G$3:$G$623,$G356)</f>
        <v>0</v>
      </c>
      <c r="BQ356" s="2">
        <f>BL356</f>
        <v>0.33734177215189876</v>
      </c>
      <c r="BR356" s="2">
        <f>BM356</f>
        <v>0.06</v>
      </c>
    </row>
    <row r="357" spans="1:70" hidden="1">
      <c r="A357" s="74">
        <v>0</v>
      </c>
      <c r="B357" s="73">
        <v>222231</v>
      </c>
      <c r="C357" s="73" t="s">
        <v>2392</v>
      </c>
      <c r="D357" s="73" t="s">
        <v>1472</v>
      </c>
      <c r="E357" s="73" t="s">
        <v>2393</v>
      </c>
      <c r="F357" s="73">
        <v>18718</v>
      </c>
      <c r="G357" s="73" t="s">
        <v>882</v>
      </c>
      <c r="H357" s="73" t="s">
        <v>937</v>
      </c>
      <c r="I357" s="73" t="s">
        <v>1012</v>
      </c>
      <c r="J357" s="73">
        <v>0</v>
      </c>
      <c r="K357" s="73">
        <v>4.5</v>
      </c>
      <c r="L357" s="73">
        <v>0</v>
      </c>
      <c r="M357" s="73">
        <v>0</v>
      </c>
      <c r="N357" s="73">
        <v>0</v>
      </c>
      <c r="O357" s="73" t="s">
        <v>1318</v>
      </c>
      <c r="P357" s="73" t="s">
        <v>2394</v>
      </c>
      <c r="Q357" s="73" t="s">
        <v>2395</v>
      </c>
      <c r="R357" s="73">
        <v>0</v>
      </c>
      <c r="S357" s="73">
        <v>0</v>
      </c>
      <c r="T357" s="73">
        <v>54</v>
      </c>
      <c r="U357" s="73">
        <v>10</v>
      </c>
      <c r="V357" s="73">
        <v>2520</v>
      </c>
      <c r="W357" s="73">
        <v>0</v>
      </c>
      <c r="X357" s="73">
        <v>2</v>
      </c>
      <c r="Y357" s="73">
        <v>0</v>
      </c>
      <c r="Z357" s="73" t="s">
        <v>2082</v>
      </c>
      <c r="AA357" s="73" t="s">
        <v>692</v>
      </c>
      <c r="AB357" s="73" t="str">
        <f>IF(AA357&lt;&gt;"",INDEX(Lookup!$N$2:$N$5,MATCH(Players!AA357,Lookup!$P$2:$P$5,0)),INDEX(Lookup!$N$2:$N$5,MATCH(Players!O357,Lookup!$O$2:$O$5,0)))</f>
        <v>Defense</v>
      </c>
      <c r="AC357" s="73">
        <v>2000000</v>
      </c>
      <c r="AD357" s="73" t="s">
        <v>790</v>
      </c>
      <c r="AE357" s="73" t="str">
        <f>INDEX('Translate table'!$H$2:$H$622,MATCH(Players!P357,'Translate table'!$G$2:$G$622,0))</f>
        <v>DÃ¡vid Hancko</v>
      </c>
      <c r="AF357" s="73">
        <f>IFERROR(INDEX('Euro Qual stats'!$A$1:$L$2071,MATCH(Players!$AE357,'Euro Qual stats'!$A$1:$A$2071,0),MATCH(Players!AF$2,'Euro Qual stats'!$A$1:$L$1,0)),0)</f>
        <v>8</v>
      </c>
      <c r="AG357" s="73">
        <f>IFERROR(INDEX('Euro Qual stats'!$A$1:$L$2071,MATCH(Players!$AE357,'Euro Qual stats'!$A$1:$A$2071,0),MATCH(Players!AG$2,'Euro Qual stats'!$A$1:$L$1,0)),0)</f>
        <v>0</v>
      </c>
      <c r="AH357" s="73">
        <f>IFERROR(INDEX('Euro Qual stats'!$A$1:$L$2071,MATCH(Players!$AE357,'Euro Qual stats'!$A$1:$A$2071,0),MATCH(Players!AH$2,'Euro Qual stats'!$A$1:$L$1,0)),0)</f>
        <v>0.13</v>
      </c>
      <c r="AI357" s="73">
        <f>IFERROR(INDEX('Euro Qual stats'!$A$1:$L$2071,MATCH(Players!$AE357,'Euro Qual stats'!$A$1:$A$2071,0),MATCH(Players!AI$2,'Euro Qual stats'!$A$1:$L$1,0)),0)</f>
        <v>0</v>
      </c>
      <c r="AJ357" s="93">
        <f>(12-AF357)/12*INDEX(BV$9:BV$12,MATCH($AB357,$BU$9:$BU$12,0))+AF357/12*AG357</f>
        <v>2.9725274725274732E-2</v>
      </c>
      <c r="AK357" s="93">
        <f>(12-AG357)/12*INDEX(BW$9:BW$12,MATCH($AB357,$BU$9:$BU$12,0))+AG357/12*AH357</f>
        <v>0.10357142857142858</v>
      </c>
      <c r="AL357" s="93">
        <f>(12-AH357)/12*INDEX(BX$9:BX$12,MATCH($AB357,$BU$9:$BU$12,0))+AH357/12*AI357</f>
        <v>0.19147440476190467</v>
      </c>
      <c r="AM357" s="93">
        <f>IF($BC357=1,AJ357/SUMIFS(AJ$3:AJ$623,$BC$3:$BC$623,1,$G$3:$G$623,$G357),0)</f>
        <v>0</v>
      </c>
      <c r="AN357" s="93">
        <f>IF($BC357=1,AK357/SUMIFS(AK$3:AK$623,$BC$3:$BC$623,1,$G$3:$G$623,$G357),0)</f>
        <v>0</v>
      </c>
      <c r="AO357" s="93">
        <f>IF($BC357=1,AL357/SUMIFS(AL$3:AL$623,$BC$3:$BC$623,1,$G$3:$G$623,$G357),0)</f>
        <v>0</v>
      </c>
      <c r="AP357" s="2">
        <f>IFERROR(R357/$V357*90,"")</f>
        <v>0</v>
      </c>
      <c r="AQ357" s="2">
        <f>IFERROR(S357/$V357*90,"")</f>
        <v>0</v>
      </c>
      <c r="AR357" s="2">
        <f>IFERROR(W357/$V357*90,"")</f>
        <v>0</v>
      </c>
      <c r="AS357" s="2">
        <f>IFERROR(X357/$V357*90,"")</f>
        <v>7.1428571428571425E-2</v>
      </c>
      <c r="AT357" s="2">
        <f>IFERROR(Y357/$V357*90,"")</f>
        <v>0</v>
      </c>
      <c r="AU357" s="2">
        <f>IF(AP357="",INDEX(BV$4:BV$7,MATCH(O357,$BU$4:$BU$7,0)),AP357)</f>
        <v>0</v>
      </c>
      <c r="AV357" s="2">
        <f>IF(AQ357="",INDEX(BW$4:BW$7,MATCH($O357,$BU$4:$BU$7,0)),AQ357)</f>
        <v>0</v>
      </c>
      <c r="AW357" s="2">
        <f t="shared" si="60"/>
        <v>0</v>
      </c>
      <c r="AX357" s="2">
        <f t="shared" si="61"/>
        <v>7.1428571428571425E-2</v>
      </c>
      <c r="AY357" s="2">
        <f t="shared" si="62"/>
        <v>0</v>
      </c>
      <c r="AZ357" s="2">
        <f>AU357*0.5+AK357*0.5</f>
        <v>5.1785714285714289E-2</v>
      </c>
      <c r="BA357" s="2">
        <f>AV357*0.5+AJ357*0.5</f>
        <v>1.4862637362637366E-2</v>
      </c>
      <c r="BB357" s="2">
        <f t="shared" si="63"/>
        <v>3.5714285714285712E-2</v>
      </c>
      <c r="BC357">
        <f>IF(I357="expected",1,0)</f>
        <v>0</v>
      </c>
      <c r="BD357" s="78">
        <f>IF(BC357=1,AZ357/SUMIFS(AZ$3:AZ$623,$BC$3:$BC$623,1,$G$3:$G$623,$G357),0)</f>
        <v>0</v>
      </c>
      <c r="BE357" s="78">
        <f>IF(BC357=1,BA357/SUMIFS(BA$3:BA$623,$BC$3:$BC$623,1,$G$3:$G$623,$G357),0)</f>
        <v>0</v>
      </c>
      <c r="BF357" s="78">
        <f t="shared" si="64"/>
        <v>0</v>
      </c>
      <c r="BG357" s="2">
        <f t="shared" si="65"/>
        <v>3.5714285714285712E-2</v>
      </c>
      <c r="BH357" s="2">
        <f t="shared" si="66"/>
        <v>0</v>
      </c>
      <c r="BI357" s="2">
        <f t="shared" si="67"/>
        <v>0</v>
      </c>
      <c r="BJ357" s="2">
        <f t="shared" si="68"/>
        <v>0</v>
      </c>
      <c r="BK357" s="2">
        <f t="shared" si="69"/>
        <v>0</v>
      </c>
      <c r="BL357" s="2">
        <f t="shared" si="70"/>
        <v>3.5714285714285712E-2</v>
      </c>
      <c r="BM357" s="2">
        <f t="shared" si="71"/>
        <v>0</v>
      </c>
      <c r="BN357" s="2">
        <f>BI357/SUMIFS(BI$3:BI$623,$BC$3:$BC$623,1,$G$3:$G$623,$G357)</f>
        <v>0</v>
      </c>
      <c r="BO357" s="2">
        <f>BJ357/SUMIFS(BJ$3:BJ$623,$BC$3:$BC$623,1,$G$3:$G$623,$G357)</f>
        <v>0</v>
      </c>
      <c r="BP357" s="2">
        <f>BK357/SUMIFS(BK$3:BK$623,$BC$3:$BC$623,1,$G$3:$G$623,$G357)</f>
        <v>0</v>
      </c>
      <c r="BQ357" s="2">
        <f>BL357</f>
        <v>3.5714285714285712E-2</v>
      </c>
      <c r="BR357" s="2">
        <f>BM357</f>
        <v>0</v>
      </c>
    </row>
    <row r="358" spans="1:70" hidden="1">
      <c r="A358" s="74">
        <v>0</v>
      </c>
      <c r="B358" s="73">
        <v>204986</v>
      </c>
      <c r="C358" s="73" t="s">
        <v>2396</v>
      </c>
      <c r="D358" s="73" t="s">
        <v>2397</v>
      </c>
      <c r="E358" s="73" t="s">
        <v>2398</v>
      </c>
      <c r="F358" s="73">
        <v>18718</v>
      </c>
      <c r="G358" s="73" t="s">
        <v>882</v>
      </c>
      <c r="H358" s="73" t="s">
        <v>937</v>
      </c>
      <c r="I358" s="73" t="s">
        <v>1012</v>
      </c>
      <c r="J358" s="73">
        <v>0</v>
      </c>
      <c r="K358" s="73">
        <v>4.5</v>
      </c>
      <c r="L358" s="73">
        <v>0</v>
      </c>
      <c r="M358" s="73">
        <v>0</v>
      </c>
      <c r="N358" s="73">
        <v>0</v>
      </c>
      <c r="O358" s="73" t="s">
        <v>1318</v>
      </c>
      <c r="P358" s="73" t="s">
        <v>2399</v>
      </c>
      <c r="Q358" s="73" t="s">
        <v>2400</v>
      </c>
      <c r="R358" s="73">
        <v>0</v>
      </c>
      <c r="S358" s="73">
        <v>0</v>
      </c>
      <c r="T358" s="73">
        <v>0</v>
      </c>
      <c r="U358" s="73">
        <v>0</v>
      </c>
      <c r="V358" s="73">
        <v>95</v>
      </c>
      <c r="W358" s="73">
        <v>0</v>
      </c>
      <c r="X358" s="73">
        <v>0</v>
      </c>
      <c r="Y358" s="73">
        <v>0</v>
      </c>
      <c r="Z358" s="73" t="s">
        <v>2082</v>
      </c>
      <c r="AA358" s="73" t="s">
        <v>692</v>
      </c>
      <c r="AB358" s="73" t="str">
        <f>IF(AA358&lt;&gt;"",INDEX(Lookup!$N$2:$N$5,MATCH(Players!AA358,Lookup!$P$2:$P$5,0)),INDEX(Lookup!$N$2:$N$5,MATCH(Players!O358,Lookup!$O$2:$O$5,0)))</f>
        <v>Defense</v>
      </c>
      <c r="AC358" s="73">
        <v>2000000</v>
      </c>
      <c r="AD358" s="73" t="s">
        <v>753</v>
      </c>
      <c r="AE358" s="73" t="str">
        <f>INDEX('Translate table'!$H$2:$H$622,MATCH(Players!P358,'Translate table'!$G$2:$G$622,0))</f>
        <v>Matej MitroviÄ‡</v>
      </c>
      <c r="AF358" s="73">
        <f>IFERROR(INDEX('Euro Qual stats'!$A$1:$L$2071,MATCH(Players!$AE358,'Euro Qual stats'!$A$1:$A$2071,0),MATCH(Players!AF$2,'Euro Qual stats'!$A$1:$L$1,0)),0)</f>
        <v>0</v>
      </c>
      <c r="AG358" s="73">
        <f>IFERROR(INDEX('Euro Qual stats'!$A$1:$L$2071,MATCH(Players!$AE358,'Euro Qual stats'!$A$1:$A$2071,0),MATCH(Players!AG$2,'Euro Qual stats'!$A$1:$L$1,0)),0)</f>
        <v>0</v>
      </c>
      <c r="AH358" s="73">
        <f>IFERROR(INDEX('Euro Qual stats'!$A$1:$L$2071,MATCH(Players!$AE358,'Euro Qual stats'!$A$1:$A$2071,0),MATCH(Players!AH$2,'Euro Qual stats'!$A$1:$L$1,0)),0)</f>
        <v>0</v>
      </c>
      <c r="AI358" s="73">
        <f>IFERROR(INDEX('Euro Qual stats'!$A$1:$L$2071,MATCH(Players!$AE358,'Euro Qual stats'!$A$1:$A$2071,0),MATCH(Players!AI$2,'Euro Qual stats'!$A$1:$L$1,0)),0)</f>
        <v>0</v>
      </c>
      <c r="AJ358" s="93">
        <f>(12-AF358)/12*INDEX(BV$9:BV$12,MATCH($AB358,$BU$9:$BU$12,0))+AF358/12*AG358</f>
        <v>8.9175824175824203E-2</v>
      </c>
      <c r="AK358" s="93">
        <f>(12-AG358)/12*INDEX(BW$9:BW$12,MATCH($AB358,$BU$9:$BU$12,0))+AG358/12*AH358</f>
        <v>0.10357142857142858</v>
      </c>
      <c r="AL358" s="93">
        <f>(12-AH358)/12*INDEX(BX$9:BX$12,MATCH($AB358,$BU$9:$BU$12,0))+AH358/12*AI358</f>
        <v>0.19357142857142848</v>
      </c>
      <c r="AM358" s="93">
        <f>IF($BC358=1,AJ358/SUMIFS(AJ$3:AJ$623,$BC$3:$BC$623,1,$G$3:$G$623,$G358),0)</f>
        <v>0</v>
      </c>
      <c r="AN358" s="93">
        <f>IF($BC358=1,AK358/SUMIFS(AK$3:AK$623,$BC$3:$BC$623,1,$G$3:$G$623,$G358),0)</f>
        <v>0</v>
      </c>
      <c r="AO358" s="93">
        <f>IF($BC358=1,AL358/SUMIFS(AL$3:AL$623,$BC$3:$BC$623,1,$G$3:$G$623,$G358),0)</f>
        <v>0</v>
      </c>
      <c r="AP358" s="2">
        <f>IFERROR(R358/$V358*90,"")</f>
        <v>0</v>
      </c>
      <c r="AQ358" s="2">
        <f>IFERROR(S358/$V358*90,"")</f>
        <v>0</v>
      </c>
      <c r="AR358" s="2">
        <f>IFERROR(W358/$V358*90,"")</f>
        <v>0</v>
      </c>
      <c r="AS358" s="2">
        <f>IFERROR(X358/$V358*90,"")</f>
        <v>0</v>
      </c>
      <c r="AT358" s="2">
        <f>IFERROR(Y358/$V358*90,"")</f>
        <v>0</v>
      </c>
      <c r="AU358" s="2">
        <f>IF(AP358="",INDEX(BV$4:BV$7,MATCH(O358,$BU$4:$BU$7,0)),AP358)</f>
        <v>0</v>
      </c>
      <c r="AV358" s="2">
        <f>IF(AQ358="",INDEX(BW$4:BW$7,MATCH($O358,$BU$4:$BU$7,0)),AQ358)</f>
        <v>0</v>
      </c>
      <c r="AW358" s="2">
        <f t="shared" si="60"/>
        <v>0</v>
      </c>
      <c r="AX358" s="2">
        <f t="shared" si="61"/>
        <v>0</v>
      </c>
      <c r="AY358" s="2">
        <f t="shared" si="62"/>
        <v>0</v>
      </c>
      <c r="AZ358" s="2">
        <f>AU358*0.5+AK358*0.5</f>
        <v>5.1785714285714289E-2</v>
      </c>
      <c r="BA358" s="2">
        <f>AV358*0.5+AJ358*0.5</f>
        <v>4.4587912087912102E-2</v>
      </c>
      <c r="BB358" s="2">
        <f t="shared" si="63"/>
        <v>0</v>
      </c>
      <c r="BC358">
        <f>IF(I358="expected",1,0)</f>
        <v>0</v>
      </c>
      <c r="BD358" s="78">
        <f>IF(BC358=1,AZ358/SUMIFS(AZ$3:AZ$623,$BC$3:$BC$623,1,$G$3:$G$623,$G358),0)</f>
        <v>0</v>
      </c>
      <c r="BE358" s="78">
        <f>IF(BC358=1,BA358/SUMIFS(BA$3:BA$623,$BC$3:$BC$623,1,$G$3:$G$623,$G358),0)</f>
        <v>0</v>
      </c>
      <c r="BF358" s="78">
        <f t="shared" si="64"/>
        <v>0</v>
      </c>
      <c r="BG358" s="2">
        <f t="shared" si="65"/>
        <v>0</v>
      </c>
      <c r="BH358" s="2">
        <f t="shared" si="66"/>
        <v>0</v>
      </c>
      <c r="BI358" s="2">
        <f t="shared" si="67"/>
        <v>0</v>
      </c>
      <c r="BJ358" s="2">
        <f t="shared" si="68"/>
        <v>0</v>
      </c>
      <c r="BK358" s="2">
        <f t="shared" si="69"/>
        <v>0</v>
      </c>
      <c r="BL358" s="2">
        <f t="shared" si="70"/>
        <v>0</v>
      </c>
      <c r="BM358" s="2">
        <f t="shared" si="71"/>
        <v>0</v>
      </c>
      <c r="BN358" s="2">
        <f>BI358/SUMIFS(BI$3:BI$623,$BC$3:$BC$623,1,$G$3:$G$623,$G358)</f>
        <v>0</v>
      </c>
      <c r="BO358" s="2">
        <f>BJ358/SUMIFS(BJ$3:BJ$623,$BC$3:$BC$623,1,$G$3:$G$623,$G358)</f>
        <v>0</v>
      </c>
      <c r="BP358" s="2">
        <f>BK358/SUMIFS(BK$3:BK$623,$BC$3:$BC$623,1,$G$3:$G$623,$G358)</f>
        <v>0</v>
      </c>
      <c r="BQ358" s="2">
        <f>BL358</f>
        <v>0</v>
      </c>
      <c r="BR358" s="2">
        <f>BM358</f>
        <v>0</v>
      </c>
    </row>
    <row r="359" spans="1:70" hidden="1">
      <c r="A359" s="74">
        <v>0</v>
      </c>
      <c r="B359" s="73">
        <v>222236</v>
      </c>
      <c r="C359" s="73" t="s">
        <v>2401</v>
      </c>
      <c r="D359" s="73" t="s">
        <v>2402</v>
      </c>
      <c r="E359" s="73" t="s">
        <v>2403</v>
      </c>
      <c r="F359" s="73">
        <v>18718</v>
      </c>
      <c r="G359" s="73" t="s">
        <v>882</v>
      </c>
      <c r="H359" s="73" t="s">
        <v>937</v>
      </c>
      <c r="I359" s="73" t="s">
        <v>1012</v>
      </c>
      <c r="J359" s="73">
        <v>0</v>
      </c>
      <c r="K359" s="73">
        <v>4.5</v>
      </c>
      <c r="L359" s="73">
        <v>0</v>
      </c>
      <c r="M359" s="73">
        <v>0</v>
      </c>
      <c r="N359" s="73">
        <v>0</v>
      </c>
      <c r="O359" s="73" t="s">
        <v>994</v>
      </c>
      <c r="P359" s="73" t="s">
        <v>2404</v>
      </c>
      <c r="Q359" s="73" t="s">
        <v>2405</v>
      </c>
      <c r="R359" s="73">
        <v>3</v>
      </c>
      <c r="S359" s="73">
        <v>1</v>
      </c>
      <c r="T359" s="73">
        <v>0</v>
      </c>
      <c r="U359" s="73">
        <v>4</v>
      </c>
      <c r="V359" s="73">
        <v>1699</v>
      </c>
      <c r="W359" s="73">
        <v>5</v>
      </c>
      <c r="X359" s="73">
        <v>4</v>
      </c>
      <c r="Y359" s="73">
        <v>0</v>
      </c>
      <c r="Z359" s="73" t="s">
        <v>2082</v>
      </c>
      <c r="AA359" s="73" t="s">
        <v>691</v>
      </c>
      <c r="AB359" s="73" t="str">
        <f>IF(AA359&lt;&gt;"",INDEX(Lookup!$N$2:$N$5,MATCH(Players!AA359,Lookup!$P$2:$P$5,0)),INDEX(Lookup!$N$2:$N$5,MATCH(Players!O359,Lookup!$O$2:$O$5,0)))</f>
        <v>Midfield</v>
      </c>
      <c r="AC359" s="73">
        <v>2000000</v>
      </c>
      <c r="AD359" s="73" t="s">
        <v>788</v>
      </c>
      <c r="AE359" s="73" t="str">
        <f>INDEX('Translate table'!$H$2:$H$622,MATCH(Players!P359,'Translate table'!$G$2:$G$622,0))</f>
        <v>Petr Å evÄÃ­k</v>
      </c>
      <c r="AF359" s="73">
        <f>IFERROR(INDEX('Euro Qual stats'!$A$1:$L$2071,MATCH(Players!$AE359,'Euro Qual stats'!$A$1:$A$2071,0),MATCH(Players!AF$2,'Euro Qual stats'!$A$1:$L$1,0)),0)</f>
        <v>2</v>
      </c>
      <c r="AG359" s="73">
        <f>IFERROR(INDEX('Euro Qual stats'!$A$1:$L$2071,MATCH(Players!$AE359,'Euro Qual stats'!$A$1:$A$2071,0),MATCH(Players!AG$2,'Euro Qual stats'!$A$1:$L$1,0)),0)</f>
        <v>0</v>
      </c>
      <c r="AH359" s="73">
        <f>IFERROR(INDEX('Euro Qual stats'!$A$1:$L$2071,MATCH(Players!$AE359,'Euro Qual stats'!$A$1:$A$2071,0),MATCH(Players!AH$2,'Euro Qual stats'!$A$1:$L$1,0)),0)</f>
        <v>0</v>
      </c>
      <c r="AI359" s="73">
        <f>IFERROR(INDEX('Euro Qual stats'!$A$1:$L$2071,MATCH(Players!$AE359,'Euro Qual stats'!$A$1:$A$2071,0),MATCH(Players!AI$2,'Euro Qual stats'!$A$1:$L$1,0)),0)</f>
        <v>0</v>
      </c>
      <c r="AJ359" s="93">
        <f>(12-AF359)/12*INDEX(BV$9:BV$12,MATCH($AB359,$BU$9:$BU$12,0))+AF359/12*AG359</f>
        <v>0.1405759162303665</v>
      </c>
      <c r="AK359" s="93">
        <f>(12-AG359)/12*INDEX(BW$9:BW$12,MATCH($AB359,$BU$9:$BU$12,0))+AG359/12*AH359</f>
        <v>0.22340314136125652</v>
      </c>
      <c r="AL359" s="93">
        <f>(12-AH359)/12*INDEX(BX$9:BX$12,MATCH($AB359,$BU$9:$BU$12,0))+AH359/12*AI359</f>
        <v>0.23942408376963353</v>
      </c>
      <c r="AM359" s="93">
        <f>IF($BC359=1,AJ359/SUMIFS(AJ$3:AJ$623,$BC$3:$BC$623,1,$G$3:$G$623,$G359),0)</f>
        <v>0</v>
      </c>
      <c r="AN359" s="93">
        <f>IF($BC359=1,AK359/SUMIFS(AK$3:AK$623,$BC$3:$BC$623,1,$G$3:$G$623,$G359),0)</f>
        <v>0</v>
      </c>
      <c r="AO359" s="93">
        <f>IF($BC359=1,AL359/SUMIFS(AL$3:AL$623,$BC$3:$BC$623,1,$G$3:$G$623,$G359),0)</f>
        <v>0</v>
      </c>
      <c r="AP359" s="2">
        <f>IFERROR(R359/$V359*90,"")</f>
        <v>0.15891701000588582</v>
      </c>
      <c r="AQ359" s="2">
        <f>IFERROR(S359/$V359*90,"")</f>
        <v>5.2972336668628606E-2</v>
      </c>
      <c r="AR359" s="2">
        <f>IFERROR(W359/$V359*90,"")</f>
        <v>0.26486168334314303</v>
      </c>
      <c r="AS359" s="2">
        <f>IFERROR(X359/$V359*90,"")</f>
        <v>0.21188934667451442</v>
      </c>
      <c r="AT359" s="2">
        <f>IFERROR(Y359/$V359*90,"")</f>
        <v>0</v>
      </c>
      <c r="AU359" s="2">
        <f>IF(AP359="",INDEX(BV$4:BV$7,MATCH(O359,$BU$4:$BU$7,0)),AP359)</f>
        <v>0.15891701000588582</v>
      </c>
      <c r="AV359" s="2">
        <f>IF(AQ359="",INDEX(BW$4:BW$7,MATCH($O359,$BU$4:$BU$7,0)),AQ359)</f>
        <v>5.2972336668628606E-2</v>
      </c>
      <c r="AW359" s="2">
        <f t="shared" si="60"/>
        <v>0.26486168334314303</v>
      </c>
      <c r="AX359" s="2">
        <f t="shared" si="61"/>
        <v>0.21188934667451442</v>
      </c>
      <c r="AY359" s="2">
        <f t="shared" si="62"/>
        <v>0</v>
      </c>
      <c r="AZ359" s="2">
        <f>AU359*0.5+AK359*0.5</f>
        <v>0.19116007568357118</v>
      </c>
      <c r="BA359" s="2">
        <f>AV359*0.5+AJ359*0.5</f>
        <v>9.6774126449497552E-2</v>
      </c>
      <c r="BB359" s="2">
        <f t="shared" si="63"/>
        <v>0.10594467333725721</v>
      </c>
      <c r="BC359">
        <f>IF(I359="expected",1,0)</f>
        <v>0</v>
      </c>
      <c r="BD359" s="78">
        <f>IF(BC359=1,AZ359/SUMIFS(AZ$3:AZ$623,$BC$3:$BC$623,1,$G$3:$G$623,$G359),0)</f>
        <v>0</v>
      </c>
      <c r="BE359" s="78">
        <f>IF(BC359=1,BA359/SUMIFS(BA$3:BA$623,$BC$3:$BC$623,1,$G$3:$G$623,$G359),0)</f>
        <v>0</v>
      </c>
      <c r="BF359" s="78">
        <f t="shared" si="64"/>
        <v>0</v>
      </c>
      <c r="BG359" s="2">
        <f t="shared" si="65"/>
        <v>0.10594467333725721</v>
      </c>
      <c r="BH359" s="2">
        <f t="shared" si="66"/>
        <v>0</v>
      </c>
      <c r="BI359" s="2">
        <f t="shared" si="67"/>
        <v>0</v>
      </c>
      <c r="BJ359" s="2">
        <f t="shared" si="68"/>
        <v>0</v>
      </c>
      <c r="BK359" s="2">
        <f t="shared" si="69"/>
        <v>0</v>
      </c>
      <c r="BL359" s="2">
        <f t="shared" si="70"/>
        <v>0.10594467333725721</v>
      </c>
      <c r="BM359" s="2">
        <f t="shared" si="71"/>
        <v>0</v>
      </c>
      <c r="BN359" s="2">
        <f>BI359/SUMIFS(BI$3:BI$623,$BC$3:$BC$623,1,$G$3:$G$623,$G359)</f>
        <v>0</v>
      </c>
      <c r="BO359" s="2">
        <f>BJ359/SUMIFS(BJ$3:BJ$623,$BC$3:$BC$623,1,$G$3:$G$623,$G359)</f>
        <v>0</v>
      </c>
      <c r="BP359" s="2">
        <f>BK359/SUMIFS(BK$3:BK$623,$BC$3:$BC$623,1,$G$3:$G$623,$G359)</f>
        <v>0</v>
      </c>
      <c r="BQ359" s="2">
        <f>BL359</f>
        <v>0.10594467333725721</v>
      </c>
      <c r="BR359" s="2">
        <f>BM359</f>
        <v>0</v>
      </c>
    </row>
    <row r="360" spans="1:70" hidden="1">
      <c r="A360" s="74">
        <v>0</v>
      </c>
      <c r="B360" s="73">
        <v>222235</v>
      </c>
      <c r="C360" s="73" t="s">
        <v>2406</v>
      </c>
      <c r="D360" s="73" t="s">
        <v>2407</v>
      </c>
      <c r="E360" s="73" t="s">
        <v>2408</v>
      </c>
      <c r="F360" s="73">
        <v>18718</v>
      </c>
      <c r="G360" s="73" t="s">
        <v>882</v>
      </c>
      <c r="H360" s="73" t="s">
        <v>937</v>
      </c>
      <c r="I360" s="73" t="s">
        <v>1012</v>
      </c>
      <c r="J360" s="73">
        <v>0</v>
      </c>
      <c r="K360" s="73">
        <v>4.5</v>
      </c>
      <c r="L360" s="73">
        <v>0</v>
      </c>
      <c r="M360" s="73">
        <v>0</v>
      </c>
      <c r="N360" s="73">
        <v>0</v>
      </c>
      <c r="O360" s="73" t="s">
        <v>994</v>
      </c>
      <c r="P360" s="73" t="s">
        <v>2409</v>
      </c>
      <c r="Q360" s="73" t="s">
        <v>446</v>
      </c>
      <c r="R360" s="73">
        <v>2</v>
      </c>
      <c r="S360" s="73">
        <v>2</v>
      </c>
      <c r="T360" s="73">
        <v>0</v>
      </c>
      <c r="U360" s="73">
        <v>6</v>
      </c>
      <c r="V360" s="73">
        <v>2642</v>
      </c>
      <c r="W360" s="73">
        <v>13</v>
      </c>
      <c r="X360" s="73">
        <v>4</v>
      </c>
      <c r="Y360" s="73">
        <v>0</v>
      </c>
      <c r="Z360" s="73" t="s">
        <v>2082</v>
      </c>
      <c r="AA360" s="73" t="s">
        <v>693</v>
      </c>
      <c r="AB360" s="73" t="str">
        <f>IF(AA360&lt;&gt;"",INDEX(Lookup!$N$2:$N$5,MATCH(Players!AA360,Lookup!$P$2:$P$5,0)),INDEX(Lookup!$N$2:$N$5,MATCH(Players!O360,Lookup!$O$2:$O$5,0)))</f>
        <v>Striker</v>
      </c>
      <c r="AC360" s="73">
        <v>2500000</v>
      </c>
      <c r="AD360" s="73" t="s">
        <v>788</v>
      </c>
      <c r="AE360" s="73" t="str">
        <f>INDEX('Translate table'!$H$2:$H$622,MATCH(Players!P360,'Translate table'!$G$2:$G$622,0))</f>
        <v>Adem LjajiÄ‡</v>
      </c>
      <c r="AF360" s="73">
        <f>IFERROR(INDEX('Euro Qual stats'!$A$1:$L$2071,MATCH(Players!$AE360,'Euro Qual stats'!$A$1:$A$2071,0),MATCH(Players!AF$2,'Euro Qual stats'!$A$1:$L$1,0)),0)</f>
        <v>8</v>
      </c>
      <c r="AG360" s="73">
        <f>IFERROR(INDEX('Euro Qual stats'!$A$1:$L$2071,MATCH(Players!$AE360,'Euro Qual stats'!$A$1:$A$2071,0),MATCH(Players!AG$2,'Euro Qual stats'!$A$1:$L$1,0)),0)</f>
        <v>0.53</v>
      </c>
      <c r="AH360" s="73">
        <f>IFERROR(INDEX('Euro Qual stats'!$A$1:$L$2071,MATCH(Players!$AE360,'Euro Qual stats'!$A$1:$A$2071,0),MATCH(Players!AH$2,'Euro Qual stats'!$A$1:$L$1,0)),0)</f>
        <v>0.18</v>
      </c>
      <c r="AI360" s="73">
        <f>IFERROR(INDEX('Euro Qual stats'!$A$1:$L$2071,MATCH(Players!$AE360,'Euro Qual stats'!$A$1:$A$2071,0),MATCH(Players!AI$2,'Euro Qual stats'!$A$1:$L$1,0)),0)</f>
        <v>0.18</v>
      </c>
      <c r="AJ360" s="93">
        <f>(12-AF360)/12*INDEX(BV$9:BV$12,MATCH($AB360,$BU$9:$BU$12,0))+AF360/12*AG360</f>
        <v>0.42163793103448277</v>
      </c>
      <c r="AK360" s="93">
        <f>(12-AG360)/12*INDEX(BW$9:BW$12,MATCH($AB360,$BU$9:$BU$12,0))+AG360/12*AH360</f>
        <v>0.51824964080459757</v>
      </c>
      <c r="AL360" s="93">
        <f>(12-AH360)/12*INDEX(BX$9:BX$12,MATCH($AB360,$BU$9:$BU$12,0))+AH360/12*AI360</f>
        <v>0.16505517241379314</v>
      </c>
      <c r="AM360" s="93">
        <f>IF($BC360=1,AJ360/SUMIFS(AJ$3:AJ$623,$BC$3:$BC$623,1,$G$3:$G$623,$G360),0)</f>
        <v>0</v>
      </c>
      <c r="AN360" s="93">
        <f>IF($BC360=1,AK360/SUMIFS(AK$3:AK$623,$BC$3:$BC$623,1,$G$3:$G$623,$G360),0)</f>
        <v>0</v>
      </c>
      <c r="AO360" s="93">
        <f>IF($BC360=1,AL360/SUMIFS(AL$3:AL$623,$BC$3:$BC$623,1,$G$3:$G$623,$G360),0)</f>
        <v>0</v>
      </c>
      <c r="AP360" s="2">
        <f>IFERROR(R360/$V360*90,"")</f>
        <v>6.8130204390613167E-2</v>
      </c>
      <c r="AQ360" s="2">
        <f>IFERROR(S360/$V360*90,"")</f>
        <v>6.8130204390613167E-2</v>
      </c>
      <c r="AR360" s="2">
        <f>IFERROR(W360/$V360*90,"")</f>
        <v>0.44284632853898565</v>
      </c>
      <c r="AS360" s="2">
        <f>IFERROR(X360/$V360*90,"")</f>
        <v>0.13626040878122633</v>
      </c>
      <c r="AT360" s="2">
        <f>IFERROR(Y360/$V360*90,"")</f>
        <v>0</v>
      </c>
      <c r="AU360" s="2">
        <f>IF(AP360="",INDEX(BV$4:BV$7,MATCH(O360,$BU$4:$BU$7,0)),AP360)</f>
        <v>6.8130204390613167E-2</v>
      </c>
      <c r="AV360" s="2">
        <f>IF(AQ360="",INDEX(BW$4:BW$7,MATCH($O360,$BU$4:$BU$7,0)),AQ360)</f>
        <v>6.8130204390613167E-2</v>
      </c>
      <c r="AW360" s="2">
        <f t="shared" si="60"/>
        <v>0.44284632853898565</v>
      </c>
      <c r="AX360" s="2">
        <f t="shared" si="61"/>
        <v>0.13626040878122633</v>
      </c>
      <c r="AY360" s="2">
        <f t="shared" si="62"/>
        <v>0</v>
      </c>
      <c r="AZ360" s="2">
        <f>AU360*0.5+AK360*0.5</f>
        <v>0.29318992259760535</v>
      </c>
      <c r="BA360" s="2">
        <f>AV360*0.5+AJ360*0.5</f>
        <v>0.24488406771254798</v>
      </c>
      <c r="BB360" s="2">
        <f t="shared" si="63"/>
        <v>0.15813020439061315</v>
      </c>
      <c r="BC360">
        <f>IF(I360="expected",1,0)</f>
        <v>0</v>
      </c>
      <c r="BD360" s="78">
        <f>IF(BC360=1,AZ360/SUMIFS(AZ$3:AZ$623,$BC$3:$BC$623,1,$G$3:$G$623,$G360),0)</f>
        <v>0</v>
      </c>
      <c r="BE360" s="78">
        <f>IF(BC360=1,BA360/SUMIFS(BA$3:BA$623,$BC$3:$BC$623,1,$G$3:$G$623,$G360),0)</f>
        <v>0</v>
      </c>
      <c r="BF360" s="78">
        <f t="shared" si="64"/>
        <v>0</v>
      </c>
      <c r="BG360" s="2">
        <f t="shared" si="65"/>
        <v>0.15813020439061315</v>
      </c>
      <c r="BH360" s="2">
        <f t="shared" si="66"/>
        <v>0</v>
      </c>
      <c r="BI360" s="2">
        <f t="shared" si="67"/>
        <v>0</v>
      </c>
      <c r="BJ360" s="2">
        <f t="shared" si="68"/>
        <v>0</v>
      </c>
      <c r="BK360" s="2">
        <f t="shared" si="69"/>
        <v>0</v>
      </c>
      <c r="BL360" s="2">
        <f t="shared" si="70"/>
        <v>0.15813020439061315</v>
      </c>
      <c r="BM360" s="2">
        <f t="shared" si="71"/>
        <v>0</v>
      </c>
      <c r="BN360" s="2">
        <f>BI360/SUMIFS(BI$3:BI$623,$BC$3:$BC$623,1,$G$3:$G$623,$G360)</f>
        <v>0</v>
      </c>
      <c r="BO360" s="2">
        <f>BJ360/SUMIFS(BJ$3:BJ$623,$BC$3:$BC$623,1,$G$3:$G$623,$G360)</f>
        <v>0</v>
      </c>
      <c r="BP360" s="2">
        <f>BK360/SUMIFS(BK$3:BK$623,$BC$3:$BC$623,1,$G$3:$G$623,$G360)</f>
        <v>0</v>
      </c>
      <c r="BQ360" s="2">
        <f>BL360</f>
        <v>0.15813020439061315</v>
      </c>
      <c r="BR360" s="2">
        <f>BM360</f>
        <v>0</v>
      </c>
    </row>
    <row r="361" spans="1:70" hidden="1">
      <c r="A361" s="74">
        <v>0</v>
      </c>
      <c r="B361" s="73">
        <v>222234</v>
      </c>
      <c r="C361" s="73" t="s">
        <v>2410</v>
      </c>
      <c r="D361" s="73" t="s">
        <v>2411</v>
      </c>
      <c r="E361" s="73" t="s">
        <v>2412</v>
      </c>
      <c r="F361" s="73">
        <v>18718</v>
      </c>
      <c r="G361" s="73" t="s">
        <v>882</v>
      </c>
      <c r="H361" s="73" t="s">
        <v>937</v>
      </c>
      <c r="I361" s="73" t="s">
        <v>1012</v>
      </c>
      <c r="J361" s="73">
        <v>0</v>
      </c>
      <c r="K361" s="73">
        <v>4.5</v>
      </c>
      <c r="L361" s="73">
        <v>0</v>
      </c>
      <c r="M361" s="73">
        <v>0</v>
      </c>
      <c r="N361" s="73">
        <v>0</v>
      </c>
      <c r="O361" s="73" t="s">
        <v>994</v>
      </c>
      <c r="P361" s="73" t="s">
        <v>2413</v>
      </c>
      <c r="Q361" s="73" t="s">
        <v>2414</v>
      </c>
      <c r="R361" s="73">
        <v>1</v>
      </c>
      <c r="S361" s="73">
        <v>0</v>
      </c>
      <c r="T361" s="73">
        <v>0</v>
      </c>
      <c r="U361" s="73">
        <v>5</v>
      </c>
      <c r="V361" s="73">
        <v>1583</v>
      </c>
      <c r="W361" s="73">
        <v>2</v>
      </c>
      <c r="X361" s="73">
        <v>4</v>
      </c>
      <c r="Y361" s="73">
        <v>0</v>
      </c>
      <c r="Z361" s="73" t="s">
        <v>2082</v>
      </c>
      <c r="AA361" s="73" t="s">
        <v>691</v>
      </c>
      <c r="AB361" s="73" t="str">
        <f>IF(AA361&lt;&gt;"",INDEX(Lookup!$N$2:$N$5,MATCH(Players!AA361,Lookup!$P$2:$P$5,0)),INDEX(Lookup!$N$2:$N$5,MATCH(Players!O361,Lookup!$O$2:$O$5,0)))</f>
        <v>Midfield</v>
      </c>
      <c r="AC361" s="73">
        <v>2500000</v>
      </c>
      <c r="AD361" s="73" t="s">
        <v>788</v>
      </c>
      <c r="AE361" s="73" t="str">
        <f>INDEX('Translate table'!$H$2:$H$622,MATCH(Players!P361,'Translate table'!$G$2:$G$622,0))</f>
        <v>Jakub Brabec</v>
      </c>
      <c r="AF361" s="73">
        <f>IFERROR(INDEX('Euro Qual stats'!$A$1:$L$2071,MATCH(Players!$AE361,'Euro Qual stats'!$A$1:$A$2071,0),MATCH(Players!AF$2,'Euro Qual stats'!$A$1:$L$1,0)),0)</f>
        <v>3</v>
      </c>
      <c r="AG361" s="73">
        <f>IFERROR(INDEX('Euro Qual stats'!$A$1:$L$2071,MATCH(Players!$AE361,'Euro Qual stats'!$A$1:$A$2071,0),MATCH(Players!AG$2,'Euro Qual stats'!$A$1:$L$1,0)),0)</f>
        <v>0</v>
      </c>
      <c r="AH361" s="73">
        <f>IFERROR(INDEX('Euro Qual stats'!$A$1:$L$2071,MATCH(Players!$AE361,'Euro Qual stats'!$A$1:$A$2071,0),MATCH(Players!AH$2,'Euro Qual stats'!$A$1:$L$1,0)),0)</f>
        <v>0.4</v>
      </c>
      <c r="AI361" s="73">
        <f>IFERROR(INDEX('Euro Qual stats'!$A$1:$L$2071,MATCH(Players!$AE361,'Euro Qual stats'!$A$1:$A$2071,0),MATCH(Players!AI$2,'Euro Qual stats'!$A$1:$L$1,0)),0)</f>
        <v>0</v>
      </c>
      <c r="AJ361" s="93">
        <f>(12-AF361)/12*INDEX(BV$9:BV$12,MATCH($AB361,$BU$9:$BU$12,0))+AF361/12*AG361</f>
        <v>0.12651832460732984</v>
      </c>
      <c r="AK361" s="93">
        <f>(12-AG361)/12*INDEX(BW$9:BW$12,MATCH($AB361,$BU$9:$BU$12,0))+AG361/12*AH361</f>
        <v>0.22340314136125652</v>
      </c>
      <c r="AL361" s="93">
        <f>(12-AH361)/12*INDEX(BX$9:BX$12,MATCH($AB361,$BU$9:$BU$12,0))+AH361/12*AI361</f>
        <v>0.23144328097731243</v>
      </c>
      <c r="AM361" s="93">
        <f>IF($BC361=1,AJ361/SUMIFS(AJ$3:AJ$623,$BC$3:$BC$623,1,$G$3:$G$623,$G361),0)</f>
        <v>0</v>
      </c>
      <c r="AN361" s="93">
        <f>IF($BC361=1,AK361/SUMIFS(AK$3:AK$623,$BC$3:$BC$623,1,$G$3:$G$623,$G361),0)</f>
        <v>0</v>
      </c>
      <c r="AO361" s="93">
        <f>IF($BC361=1,AL361/SUMIFS(AL$3:AL$623,$BC$3:$BC$623,1,$G$3:$G$623,$G361),0)</f>
        <v>0</v>
      </c>
      <c r="AP361" s="2">
        <f>IFERROR(R361/$V361*90,"")</f>
        <v>5.6854074542008838E-2</v>
      </c>
      <c r="AQ361" s="2">
        <f>IFERROR(S361/$V361*90,"")</f>
        <v>0</v>
      </c>
      <c r="AR361" s="2">
        <f>IFERROR(W361/$V361*90,"")</f>
        <v>0.11370814908401768</v>
      </c>
      <c r="AS361" s="2">
        <f>IFERROR(X361/$V361*90,"")</f>
        <v>0.22741629816803535</v>
      </c>
      <c r="AT361" s="2">
        <f>IFERROR(Y361/$V361*90,"")</f>
        <v>0</v>
      </c>
      <c r="AU361" s="2">
        <f>IF(AP361="",INDEX(BV$4:BV$7,MATCH(O361,$BU$4:$BU$7,0)),AP361)</f>
        <v>5.6854074542008838E-2</v>
      </c>
      <c r="AV361" s="2">
        <f>IF(AQ361="",INDEX(BW$4:BW$7,MATCH($O361,$BU$4:$BU$7,0)),AQ361)</f>
        <v>0</v>
      </c>
      <c r="AW361" s="2">
        <f t="shared" si="60"/>
        <v>0.11370814908401768</v>
      </c>
      <c r="AX361" s="2">
        <f t="shared" si="61"/>
        <v>0.22741629816803535</v>
      </c>
      <c r="AY361" s="2">
        <f t="shared" si="62"/>
        <v>0</v>
      </c>
      <c r="AZ361" s="2">
        <f>AU361*0.5+AK361*0.5</f>
        <v>0.14012860795163268</v>
      </c>
      <c r="BA361" s="2">
        <f>AV361*0.5+AJ361*0.5</f>
        <v>6.325916230366492E-2</v>
      </c>
      <c r="BB361" s="2">
        <f t="shared" si="63"/>
        <v>0.11370814908401768</v>
      </c>
      <c r="BC361">
        <f>IF(I361="expected",1,0)</f>
        <v>0</v>
      </c>
      <c r="BD361" s="78">
        <f>IF(BC361=1,AZ361/SUMIFS(AZ$3:AZ$623,$BC$3:$BC$623,1,$G$3:$G$623,$G361),0)</f>
        <v>0</v>
      </c>
      <c r="BE361" s="78">
        <f>IF(BC361=1,BA361/SUMIFS(BA$3:BA$623,$BC$3:$BC$623,1,$G$3:$G$623,$G361),0)</f>
        <v>0</v>
      </c>
      <c r="BF361" s="78">
        <f t="shared" si="64"/>
        <v>0</v>
      </c>
      <c r="BG361" s="2">
        <f t="shared" si="65"/>
        <v>0.11370814908401768</v>
      </c>
      <c r="BH361" s="2">
        <f t="shared" si="66"/>
        <v>0</v>
      </c>
      <c r="BI361" s="2">
        <f t="shared" si="67"/>
        <v>0</v>
      </c>
      <c r="BJ361" s="2">
        <f t="shared" si="68"/>
        <v>0</v>
      </c>
      <c r="BK361" s="2">
        <f t="shared" si="69"/>
        <v>0</v>
      </c>
      <c r="BL361" s="2">
        <f t="shared" si="70"/>
        <v>0.11370814908401768</v>
      </c>
      <c r="BM361" s="2">
        <f t="shared" si="71"/>
        <v>0</v>
      </c>
      <c r="BN361" s="2">
        <f>BI361/SUMIFS(BI$3:BI$623,$BC$3:$BC$623,1,$G$3:$G$623,$G361)</f>
        <v>0</v>
      </c>
      <c r="BO361" s="2">
        <f>BJ361/SUMIFS(BJ$3:BJ$623,$BC$3:$BC$623,1,$G$3:$G$623,$G361)</f>
        <v>0</v>
      </c>
      <c r="BP361" s="2">
        <f>BK361/SUMIFS(BK$3:BK$623,$BC$3:$BC$623,1,$G$3:$G$623,$G361)</f>
        <v>0</v>
      </c>
      <c r="BQ361" s="2">
        <f>BL361</f>
        <v>0.11370814908401768</v>
      </c>
      <c r="BR361" s="2">
        <f>BM361</f>
        <v>0</v>
      </c>
    </row>
    <row r="362" spans="1:70" hidden="1">
      <c r="A362" s="74">
        <v>0</v>
      </c>
      <c r="B362" s="73">
        <v>204771</v>
      </c>
      <c r="C362" s="73" t="s">
        <v>2415</v>
      </c>
      <c r="D362" s="73" t="s">
        <v>1867</v>
      </c>
      <c r="E362" s="73" t="s">
        <v>2416</v>
      </c>
      <c r="F362" s="73">
        <v>18718</v>
      </c>
      <c r="G362" s="73" t="s">
        <v>882</v>
      </c>
      <c r="H362" s="73" t="s">
        <v>937</v>
      </c>
      <c r="I362" s="73" t="s">
        <v>981</v>
      </c>
      <c r="J362" s="73">
        <v>0</v>
      </c>
      <c r="K362" s="73">
        <v>4.5</v>
      </c>
      <c r="L362" s="73">
        <v>0</v>
      </c>
      <c r="M362" s="73">
        <v>0</v>
      </c>
      <c r="N362" s="73">
        <v>0</v>
      </c>
      <c r="O362" s="73" t="s">
        <v>994</v>
      </c>
      <c r="P362" s="73" t="s">
        <v>2417</v>
      </c>
      <c r="Q362" s="73" t="s">
        <v>2418</v>
      </c>
      <c r="R362" s="73">
        <v>1</v>
      </c>
      <c r="S362" s="73">
        <v>0</v>
      </c>
      <c r="T362" s="73">
        <v>0</v>
      </c>
      <c r="U362" s="73">
        <v>3</v>
      </c>
      <c r="V362" s="73">
        <v>2095</v>
      </c>
      <c r="W362" s="73">
        <v>6</v>
      </c>
      <c r="X362" s="73">
        <v>7</v>
      </c>
      <c r="Y362" s="73">
        <v>0</v>
      </c>
      <c r="Z362" s="73" t="s">
        <v>2082</v>
      </c>
      <c r="AA362" s="73" t="s">
        <v>691</v>
      </c>
      <c r="AB362" s="73" t="str">
        <f>IF(AA362&lt;&gt;"",INDEX(Lookup!$N$2:$N$5,MATCH(Players!AA362,Lookup!$P$2:$P$5,0)),INDEX(Lookup!$N$2:$N$5,MATCH(Players!O362,Lookup!$O$2:$O$5,0)))</f>
        <v>Midfield</v>
      </c>
      <c r="AC362" s="73">
        <v>3000000</v>
      </c>
      <c r="AD362" s="73" t="s">
        <v>788</v>
      </c>
      <c r="AE362" s="73" t="str">
        <f>INDEX('Translate table'!$H$2:$H$622,MATCH(Players!P362,'Translate table'!$G$2:$G$622,0))</f>
        <v>LukÃ¡Å¡ Masopust</v>
      </c>
      <c r="AF362" s="73">
        <f>IFERROR(INDEX('Euro Qual stats'!$A$1:$L$2071,MATCH(Players!$AE362,'Euro Qual stats'!$A$1:$A$2071,0),MATCH(Players!AF$2,'Euro Qual stats'!$A$1:$L$1,0)),0)</f>
        <v>8</v>
      </c>
      <c r="AG362" s="73">
        <f>IFERROR(INDEX('Euro Qual stats'!$A$1:$L$2071,MATCH(Players!$AE362,'Euro Qual stats'!$A$1:$A$2071,0),MATCH(Players!AG$2,'Euro Qual stats'!$A$1:$L$1,0)),0)</f>
        <v>0.19</v>
      </c>
      <c r="AH362" s="73">
        <f>IFERROR(INDEX('Euro Qual stats'!$A$1:$L$2071,MATCH(Players!$AE362,'Euro Qual stats'!$A$1:$A$2071,0),MATCH(Players!AH$2,'Euro Qual stats'!$A$1:$L$1,0)),0)</f>
        <v>0.19</v>
      </c>
      <c r="AI362" s="73">
        <f>IFERROR(INDEX('Euro Qual stats'!$A$1:$L$2071,MATCH(Players!$AE362,'Euro Qual stats'!$A$1:$A$2071,0),MATCH(Players!AI$2,'Euro Qual stats'!$A$1:$L$1,0)),0)</f>
        <v>0.19</v>
      </c>
      <c r="AJ362" s="93">
        <f>(12-AF362)/12*INDEX(BV$9:BV$12,MATCH($AB362,$BU$9:$BU$12,0))+AF362/12*AG362</f>
        <v>0.18289703315881323</v>
      </c>
      <c r="AK362" s="93">
        <f>(12-AG362)/12*INDEX(BW$9:BW$12,MATCH($AB362,$BU$9:$BU$12,0))+AG362/12*AH362</f>
        <v>0.22287425828970331</v>
      </c>
      <c r="AL362" s="93">
        <f>(12-AH362)/12*INDEX(BX$9:BX$12,MATCH($AB362,$BU$9:$BU$12,0))+AH362/12*AI362</f>
        <v>0.23864153577661434</v>
      </c>
      <c r="AM362" s="93">
        <f>IF($BC362=1,AJ362/SUMIFS(AJ$3:AJ$623,$BC$3:$BC$623,1,$G$3:$G$623,$G362),0)</f>
        <v>0.13446224117664027</v>
      </c>
      <c r="AN362" s="93">
        <f>IF($BC362=1,AK362/SUMIFS(AK$3:AK$623,$BC$3:$BC$623,1,$G$3:$G$623,$G362),0)</f>
        <v>0.10820297023412767</v>
      </c>
      <c r="AO362" s="93">
        <f>IF($BC362=1,AL362/SUMIFS(AL$3:AL$623,$BC$3:$BC$623,1,$G$3:$G$623,$G362),0)</f>
        <v>0.11121282703683891</v>
      </c>
      <c r="AP362" s="2">
        <f>IFERROR(R362/$V362*90,"")</f>
        <v>4.2959427207637235E-2</v>
      </c>
      <c r="AQ362" s="2">
        <f>IFERROR(S362/$V362*90,"")</f>
        <v>0</v>
      </c>
      <c r="AR362" s="2">
        <f>IFERROR(W362/$V362*90,"")</f>
        <v>0.25775656324582341</v>
      </c>
      <c r="AS362" s="2">
        <f>IFERROR(X362/$V362*90,"")</f>
        <v>0.30071599045346059</v>
      </c>
      <c r="AT362" s="2">
        <f>IFERROR(Y362/$V362*90,"")</f>
        <v>0</v>
      </c>
      <c r="AU362" s="2">
        <f>IF(AP362="",INDEX(BV$4:BV$7,MATCH(O362,$BU$4:$BU$7,0)),AP362)</f>
        <v>4.2959427207637235E-2</v>
      </c>
      <c r="AV362" s="2">
        <f>IF(AQ362="",INDEX(BW$4:BW$7,MATCH($O362,$BU$4:$BU$7,0)),AQ362)</f>
        <v>0</v>
      </c>
      <c r="AW362" s="2">
        <f t="shared" si="60"/>
        <v>0.25775656324582341</v>
      </c>
      <c r="AX362" s="2">
        <f t="shared" si="61"/>
        <v>0.30071599045346059</v>
      </c>
      <c r="AY362" s="2">
        <f t="shared" si="62"/>
        <v>0</v>
      </c>
      <c r="AZ362" s="2">
        <f>AU362*0.5+AK362*0.5</f>
        <v>0.13291684274867027</v>
      </c>
      <c r="BA362" s="2">
        <f>AV362*0.5+AJ362*0.5</f>
        <v>9.1448516579406613E-2</v>
      </c>
      <c r="BB362" s="2">
        <f t="shared" si="63"/>
        <v>0.2453579952267303</v>
      </c>
      <c r="BC362">
        <f>IF(I362="expected",1,0)</f>
        <v>1</v>
      </c>
      <c r="BD362" s="78">
        <f>IF(BC362=1,AZ362/SUMIFS(AZ$3:AZ$623,$BC$3:$BC$623,1,$G$3:$G$623,$G362),0)</f>
        <v>8.6574719975349407E-2</v>
      </c>
      <c r="BE362" s="78">
        <f>IF(BC362=1,BA362/SUMIFS(BA$3:BA$623,$BC$3:$BC$623,1,$G$3:$G$623,$G362),0)</f>
        <v>8.2945029059306244E-2</v>
      </c>
      <c r="BF362" s="78">
        <f t="shared" si="64"/>
        <v>8.3961031985510776E-2</v>
      </c>
      <c r="BG362" s="2">
        <f t="shared" si="65"/>
        <v>0.2453579952267303</v>
      </c>
      <c r="BH362" s="2">
        <f t="shared" si="66"/>
        <v>0</v>
      </c>
      <c r="BI362" s="2">
        <f t="shared" si="67"/>
        <v>8.6574719975349407E-2</v>
      </c>
      <c r="BJ362" s="2">
        <f t="shared" si="68"/>
        <v>8.2945029059306244E-2</v>
      </c>
      <c r="BK362" s="2">
        <f t="shared" si="69"/>
        <v>8.3961031985510776E-2</v>
      </c>
      <c r="BL362" s="2">
        <f t="shared" si="70"/>
        <v>0.2453579952267303</v>
      </c>
      <c r="BM362" s="2">
        <f t="shared" si="71"/>
        <v>0</v>
      </c>
      <c r="BN362" s="2">
        <f>BI362/SUMIFS(BI$3:BI$623,$BC$3:$BC$623,1,$G$3:$G$623,$G362)</f>
        <v>8.6574719975349421E-2</v>
      </c>
      <c r="BO362" s="2">
        <f>BJ362/SUMIFS(BJ$3:BJ$623,$BC$3:$BC$623,1,$G$3:$G$623,$G362)</f>
        <v>8.2945029059306244E-2</v>
      </c>
      <c r="BP362" s="2">
        <f>BK362/SUMIFS(BK$3:BK$623,$BC$3:$BC$623,1,$G$3:$G$623,$G362)</f>
        <v>8.656706104261766E-2</v>
      </c>
      <c r="BQ362" s="2">
        <f>BL362</f>
        <v>0.2453579952267303</v>
      </c>
      <c r="BR362" s="2">
        <f>BM362</f>
        <v>0</v>
      </c>
    </row>
    <row r="363" spans="1:70" hidden="1">
      <c r="A363" s="74">
        <v>0</v>
      </c>
      <c r="B363" s="73">
        <v>204770</v>
      </c>
      <c r="C363" s="73" t="s">
        <v>2419</v>
      </c>
      <c r="D363" s="73" t="s">
        <v>2411</v>
      </c>
      <c r="E363" s="73" t="s">
        <v>2420</v>
      </c>
      <c r="F363" s="73">
        <v>18718</v>
      </c>
      <c r="G363" s="73" t="s">
        <v>882</v>
      </c>
      <c r="H363" s="73" t="s">
        <v>937</v>
      </c>
      <c r="I363" s="73" t="s">
        <v>981</v>
      </c>
      <c r="J363" s="73">
        <v>0</v>
      </c>
      <c r="K363" s="73">
        <v>4.5</v>
      </c>
      <c r="L363" s="73">
        <v>0</v>
      </c>
      <c r="M363" s="73">
        <v>0</v>
      </c>
      <c r="N363" s="73">
        <v>0</v>
      </c>
      <c r="O363" s="73" t="s">
        <v>994</v>
      </c>
      <c r="P363" s="73" t="s">
        <v>2421</v>
      </c>
      <c r="Q363" s="73" t="s">
        <v>2421</v>
      </c>
      <c r="R363" s="73">
        <v>6</v>
      </c>
      <c r="S363" s="73">
        <v>3</v>
      </c>
      <c r="T363" s="73">
        <v>0</v>
      </c>
      <c r="U363" s="73">
        <v>3</v>
      </c>
      <c r="V363" s="73">
        <v>2419</v>
      </c>
      <c r="W363" s="73">
        <v>11</v>
      </c>
      <c r="X363" s="73">
        <v>6</v>
      </c>
      <c r="Y363" s="73">
        <v>0</v>
      </c>
      <c r="Z363" s="73" t="s">
        <v>2082</v>
      </c>
      <c r="AA363" s="73" t="s">
        <v>691</v>
      </c>
      <c r="AB363" s="73" t="str">
        <f>IF(AA363&lt;&gt;"",INDEX(Lookup!$N$2:$N$5,MATCH(Players!AA363,Lookup!$P$2:$P$5,0)),INDEX(Lookup!$N$2:$N$5,MATCH(Players!O363,Lookup!$O$2:$O$5,0)))</f>
        <v>Midfield</v>
      </c>
      <c r="AC363" s="73">
        <v>4000000</v>
      </c>
      <c r="AD363" s="73" t="s">
        <v>788</v>
      </c>
      <c r="AE363" s="73" t="str">
        <f>INDEX('Translate table'!$H$2:$H$622,MATCH(Players!P363,'Translate table'!$G$2:$G$622,0))</f>
        <v>Jakub Jankto</v>
      </c>
      <c r="AF363" s="73">
        <f>IFERROR(INDEX('Euro Qual stats'!$A$1:$L$2071,MATCH(Players!$AE363,'Euro Qual stats'!$A$1:$A$2071,0),MATCH(Players!AF$2,'Euro Qual stats'!$A$1:$L$1,0)),0)</f>
        <v>8</v>
      </c>
      <c r="AG363" s="73">
        <f>IFERROR(INDEX('Euro Qual stats'!$A$1:$L$2071,MATCH(Players!$AE363,'Euro Qual stats'!$A$1:$A$2071,0),MATCH(Players!AG$2,'Euro Qual stats'!$A$1:$L$1,0)),0)</f>
        <v>0.42</v>
      </c>
      <c r="AH363" s="73">
        <f>IFERROR(INDEX('Euro Qual stats'!$A$1:$L$2071,MATCH(Players!$AE363,'Euro Qual stats'!$A$1:$A$2071,0),MATCH(Players!AH$2,'Euro Qual stats'!$A$1:$L$1,0)),0)</f>
        <v>0.14000000000000001</v>
      </c>
      <c r="AI363" s="73">
        <f>IFERROR(INDEX('Euro Qual stats'!$A$1:$L$2071,MATCH(Players!$AE363,'Euro Qual stats'!$A$1:$A$2071,0),MATCH(Players!AI$2,'Euro Qual stats'!$A$1:$L$1,0)),0)</f>
        <v>0.42</v>
      </c>
      <c r="AJ363" s="93">
        <f>(12-AF363)/12*INDEX(BV$9:BV$12,MATCH($AB363,$BU$9:$BU$12,0))+AF363/12*AG363</f>
        <v>0.33623036649214655</v>
      </c>
      <c r="AK363" s="93">
        <f>(12-AG363)/12*INDEX(BW$9:BW$12,MATCH($AB363,$BU$9:$BU$12,0))+AG363/12*AH363</f>
        <v>0.22048403141361253</v>
      </c>
      <c r="AL363" s="93">
        <f>(12-AH363)/12*INDEX(BX$9:BX$12,MATCH($AB363,$BU$9:$BU$12,0))+AH363/12*AI363</f>
        <v>0.24153080279232111</v>
      </c>
      <c r="AM363" s="93">
        <f>IF($BC363=1,AJ363/SUMIFS(AJ$3:AJ$623,$BC$3:$BC$623,1,$G$3:$G$623,$G363),0)</f>
        <v>0.24718984146079689</v>
      </c>
      <c r="AN363" s="93">
        <f>IF($BC363=1,AK363/SUMIFS(AK$3:AK$623,$BC$3:$BC$623,1,$G$3:$G$623,$G363),0)</f>
        <v>0.1070425417059022</v>
      </c>
      <c r="AO363" s="93">
        <f>IF($BC363=1,AL363/SUMIFS(AL$3:AL$623,$BC$3:$BC$623,1,$G$3:$G$623,$G363),0)</f>
        <v>0.11255929655160864</v>
      </c>
      <c r="AP363" s="2">
        <f>IFERROR(R363/$V363*90,"")</f>
        <v>0.2232327408019843</v>
      </c>
      <c r="AQ363" s="2">
        <f>IFERROR(S363/$V363*90,"")</f>
        <v>0.11161637040099215</v>
      </c>
      <c r="AR363" s="2">
        <f>IFERROR(W363/$V363*90,"")</f>
        <v>0.40926002480363788</v>
      </c>
      <c r="AS363" s="2">
        <f>IFERROR(X363/$V363*90,"")</f>
        <v>0.2232327408019843</v>
      </c>
      <c r="AT363" s="2">
        <f>IFERROR(Y363/$V363*90,"")</f>
        <v>0</v>
      </c>
      <c r="AU363" s="2">
        <f>IF(AP363="",INDEX(BV$4:BV$7,MATCH(O363,$BU$4:$BU$7,0)),AP363)</f>
        <v>0.2232327408019843</v>
      </c>
      <c r="AV363" s="2">
        <f>IF(AQ363="",INDEX(BW$4:BW$7,MATCH($O363,$BU$4:$BU$7,0)),AQ363)</f>
        <v>0.11161637040099215</v>
      </c>
      <c r="AW363" s="2">
        <f t="shared" si="60"/>
        <v>0.40926002480363788</v>
      </c>
      <c r="AX363" s="2">
        <f t="shared" si="61"/>
        <v>0.2232327408019843</v>
      </c>
      <c r="AY363" s="2">
        <f t="shared" si="62"/>
        <v>0</v>
      </c>
      <c r="AZ363" s="2">
        <f>AU363*0.5+AK363*0.5</f>
        <v>0.2218583861077984</v>
      </c>
      <c r="BA363" s="2">
        <f>AV363*0.5+AJ363*0.5</f>
        <v>0.22392336844656935</v>
      </c>
      <c r="BB363" s="2">
        <f t="shared" si="63"/>
        <v>0.32161637040099211</v>
      </c>
      <c r="BC363">
        <f>IF(I363="expected",1,0)</f>
        <v>1</v>
      </c>
      <c r="BD363" s="78">
        <f>IF(BC363=1,AZ363/SUMIFS(AZ$3:AZ$623,$BC$3:$BC$623,1,$G$3:$G$623,$G363),0)</f>
        <v>0.14450634888901429</v>
      </c>
      <c r="BE363" s="78">
        <f>IF(BC363=1,BA363/SUMIFS(BA$3:BA$623,$BC$3:$BC$623,1,$G$3:$G$623,$G363),0)</f>
        <v>0.20310149357896726</v>
      </c>
      <c r="BF363" s="78">
        <f t="shared" si="64"/>
        <v>0.13331142222034556</v>
      </c>
      <c r="BG363" s="2">
        <f t="shared" si="65"/>
        <v>0.32161637040099211</v>
      </c>
      <c r="BH363" s="2">
        <f t="shared" si="66"/>
        <v>0</v>
      </c>
      <c r="BI363" s="2">
        <f t="shared" si="67"/>
        <v>0.14450634888901429</v>
      </c>
      <c r="BJ363" s="2">
        <f t="shared" si="68"/>
        <v>0.20310149357896726</v>
      </c>
      <c r="BK363" s="2">
        <f t="shared" si="69"/>
        <v>0.13331142222034556</v>
      </c>
      <c r="BL363" s="2">
        <f t="shared" si="70"/>
        <v>0.32161637040099211</v>
      </c>
      <c r="BM363" s="2">
        <f t="shared" si="71"/>
        <v>0</v>
      </c>
      <c r="BN363" s="2">
        <f>BI363/SUMIFS(BI$3:BI$623,$BC$3:$BC$623,1,$G$3:$G$623,$G363)</f>
        <v>0.14450634888901431</v>
      </c>
      <c r="BO363" s="2">
        <f>BJ363/SUMIFS(BJ$3:BJ$623,$BC$3:$BC$623,1,$G$3:$G$623,$G363)</f>
        <v>0.20310149357896726</v>
      </c>
      <c r="BP363" s="2">
        <f>BK363/SUMIFS(BK$3:BK$623,$BC$3:$BC$623,1,$G$3:$G$623,$G363)</f>
        <v>0.13744921604844451</v>
      </c>
      <c r="BQ363" s="2">
        <f>BL363</f>
        <v>0.32161637040099211</v>
      </c>
      <c r="BR363" s="2">
        <f>BM363</f>
        <v>0</v>
      </c>
    </row>
    <row r="364" spans="1:70" hidden="1">
      <c r="A364" s="74">
        <v>0</v>
      </c>
      <c r="B364" s="73">
        <v>222238</v>
      </c>
      <c r="C364" s="73" t="s">
        <v>2422</v>
      </c>
      <c r="D364" s="73" t="s">
        <v>2423</v>
      </c>
      <c r="E364" s="73" t="s">
        <v>2424</v>
      </c>
      <c r="F364" s="73">
        <v>18718</v>
      </c>
      <c r="G364" s="73" t="s">
        <v>882</v>
      </c>
      <c r="H364" s="73" t="s">
        <v>937</v>
      </c>
      <c r="I364" s="73" t="s">
        <v>1012</v>
      </c>
      <c r="J364" s="73">
        <v>0</v>
      </c>
      <c r="K364" s="73">
        <v>4.5</v>
      </c>
      <c r="L364" s="73">
        <v>0</v>
      </c>
      <c r="M364" s="73">
        <v>0</v>
      </c>
      <c r="N364" s="73">
        <v>0</v>
      </c>
      <c r="O364" s="73" t="s">
        <v>982</v>
      </c>
      <c r="P364" s="73" t="s">
        <v>2425</v>
      </c>
      <c r="Q364" s="73" t="s">
        <v>740</v>
      </c>
      <c r="R364" s="73">
        <v>0</v>
      </c>
      <c r="S364" s="73">
        <v>2</v>
      </c>
      <c r="T364" s="73">
        <v>0</v>
      </c>
      <c r="U364" s="73">
        <v>7</v>
      </c>
      <c r="V364" s="73">
        <v>1733</v>
      </c>
      <c r="W364" s="73">
        <v>4</v>
      </c>
      <c r="X364" s="73">
        <v>6</v>
      </c>
      <c r="Y364" s="73">
        <v>0</v>
      </c>
      <c r="Z364" s="73" t="s">
        <v>2082</v>
      </c>
      <c r="AA364" s="73" t="s">
        <v>693</v>
      </c>
      <c r="AB364" s="73" t="str">
        <f>IF(AA364&lt;&gt;"",INDEX(Lookup!$N$2:$N$5,MATCH(Players!AA364,Lookup!$P$2:$P$5,0)),INDEX(Lookup!$N$2:$N$5,MATCH(Players!O364,Lookup!$O$2:$O$5,0)))</f>
        <v>Striker</v>
      </c>
      <c r="AC364" s="73">
        <v>3000000</v>
      </c>
      <c r="AD364" s="73" t="s">
        <v>788</v>
      </c>
      <c r="AE364" s="73" t="str">
        <f>INDEX('Translate table'!$H$2:$H$622,MATCH(Players!P364,'Translate table'!$G$2:$G$622,0))</f>
        <v>Tomasz KÄ™dziora</v>
      </c>
      <c r="AF364" s="73">
        <f>IFERROR(INDEX('Euro Qual stats'!$A$1:$L$2071,MATCH(Players!$AE364,'Euro Qual stats'!$A$1:$A$2071,0),MATCH(Players!AF$2,'Euro Qual stats'!$A$1:$L$1,0)),0)</f>
        <v>9</v>
      </c>
      <c r="AG364" s="73">
        <f>IFERROR(INDEX('Euro Qual stats'!$A$1:$L$2071,MATCH(Players!$AE364,'Euro Qual stats'!$A$1:$A$2071,0),MATCH(Players!AG$2,'Euro Qual stats'!$A$1:$L$1,0)),0)</f>
        <v>0.12</v>
      </c>
      <c r="AH364" s="73">
        <f>IFERROR(INDEX('Euro Qual stats'!$A$1:$L$2071,MATCH(Players!$AE364,'Euro Qual stats'!$A$1:$A$2071,0),MATCH(Players!AH$2,'Euro Qual stats'!$A$1:$L$1,0)),0)</f>
        <v>0</v>
      </c>
      <c r="AI364" s="73">
        <f>IFERROR(INDEX('Euro Qual stats'!$A$1:$L$2071,MATCH(Players!$AE364,'Euro Qual stats'!$A$1:$A$2071,0),MATCH(Players!AI$2,'Euro Qual stats'!$A$1:$L$1,0)),0)</f>
        <v>0.24</v>
      </c>
      <c r="AJ364" s="93">
        <f>(12-AF364)/12*INDEX(BV$9:BV$12,MATCH($AB364,$BU$9:$BU$12,0))+AF364/12*AG364</f>
        <v>0.14122844827586206</v>
      </c>
      <c r="AK364" s="93">
        <f>(12-AG364)/12*INDEX(BW$9:BW$12,MATCH($AB364,$BU$9:$BU$12,0))+AG364/12*AH364</f>
        <v>0.52854051724137918</v>
      </c>
      <c r="AL364" s="93">
        <f>(12-AH364)/12*INDEX(BX$9:BX$12,MATCH($AB364,$BU$9:$BU$12,0))+AH364/12*AI364</f>
        <v>0.16482758620689658</v>
      </c>
      <c r="AM364" s="93">
        <f>IF($BC364=1,AJ364/SUMIFS(AJ$3:AJ$623,$BC$3:$BC$623,1,$G$3:$G$623,$G364),0)</f>
        <v>0</v>
      </c>
      <c r="AN364" s="93">
        <f>IF($BC364=1,AK364/SUMIFS(AK$3:AK$623,$BC$3:$BC$623,1,$G$3:$G$623,$G364),0)</f>
        <v>0</v>
      </c>
      <c r="AO364" s="93">
        <f>IF($BC364=1,AL364/SUMIFS(AL$3:AL$623,$BC$3:$BC$623,1,$G$3:$G$623,$G364),0)</f>
        <v>0</v>
      </c>
      <c r="AP364" s="2">
        <f>IFERROR(R364/$V364*90,"")</f>
        <v>0</v>
      </c>
      <c r="AQ364" s="2">
        <f>IFERROR(S364/$V364*90,"")</f>
        <v>0.10386612810155799</v>
      </c>
      <c r="AR364" s="2">
        <f>IFERROR(W364/$V364*90,"")</f>
        <v>0.20773225620311597</v>
      </c>
      <c r="AS364" s="2">
        <f>IFERROR(X364/$V364*90,"")</f>
        <v>0.31159838430467396</v>
      </c>
      <c r="AT364" s="2">
        <f>IFERROR(Y364/$V364*90,"")</f>
        <v>0</v>
      </c>
      <c r="AU364" s="2">
        <f>IF(AP364="",INDEX(BV$4:BV$7,MATCH(O364,$BU$4:$BU$7,0)),AP364)</f>
        <v>0</v>
      </c>
      <c r="AV364" s="2">
        <f>IF(AQ364="",INDEX(BW$4:BW$7,MATCH($O364,$BU$4:$BU$7,0)),AQ364)</f>
        <v>0.10386612810155799</v>
      </c>
      <c r="AW364" s="2">
        <f t="shared" si="60"/>
        <v>0.20773225620311597</v>
      </c>
      <c r="AX364" s="2">
        <f t="shared" si="61"/>
        <v>0.31159838430467396</v>
      </c>
      <c r="AY364" s="2">
        <f t="shared" si="62"/>
        <v>0</v>
      </c>
      <c r="AZ364" s="2">
        <f>AU364*0.5+AK364*0.5</f>
        <v>0.26427025862068959</v>
      </c>
      <c r="BA364" s="2">
        <f>AV364*0.5+AJ364*0.5</f>
        <v>0.12254728818871002</v>
      </c>
      <c r="BB364" s="2">
        <f t="shared" si="63"/>
        <v>0.27579919215233695</v>
      </c>
      <c r="BC364">
        <f>IF(I364="expected",1,0)</f>
        <v>0</v>
      </c>
      <c r="BD364" s="78">
        <f>IF(BC364=1,AZ364/SUMIFS(AZ$3:AZ$623,$BC$3:$BC$623,1,$G$3:$G$623,$G364),0)</f>
        <v>0</v>
      </c>
      <c r="BE364" s="78">
        <f>IF(BC364=1,BA364/SUMIFS(BA$3:BA$623,$BC$3:$BC$623,1,$G$3:$G$623,$G364),0)</f>
        <v>0</v>
      </c>
      <c r="BF364" s="78">
        <f t="shared" si="64"/>
        <v>0</v>
      </c>
      <c r="BG364" s="2">
        <f t="shared" si="65"/>
        <v>0.27579919215233695</v>
      </c>
      <c r="BH364" s="2">
        <f t="shared" si="66"/>
        <v>0</v>
      </c>
      <c r="BI364" s="2">
        <f t="shared" si="67"/>
        <v>0</v>
      </c>
      <c r="BJ364" s="2">
        <f t="shared" si="68"/>
        <v>0</v>
      </c>
      <c r="BK364" s="2">
        <f t="shared" si="69"/>
        <v>0</v>
      </c>
      <c r="BL364" s="2">
        <f t="shared" si="70"/>
        <v>0.27579919215233695</v>
      </c>
      <c r="BM364" s="2">
        <f t="shared" si="71"/>
        <v>0</v>
      </c>
      <c r="BN364" s="2">
        <f>BI364/SUMIFS(BI$3:BI$623,$BC$3:$BC$623,1,$G$3:$G$623,$G364)</f>
        <v>0</v>
      </c>
      <c r="BO364" s="2">
        <f>BJ364/SUMIFS(BJ$3:BJ$623,$BC$3:$BC$623,1,$G$3:$G$623,$G364)</f>
        <v>0</v>
      </c>
      <c r="BP364" s="2">
        <f>BK364/SUMIFS(BK$3:BK$623,$BC$3:$BC$623,1,$G$3:$G$623,$G364)</f>
        <v>0</v>
      </c>
      <c r="BQ364" s="2">
        <f>BL364</f>
        <v>0.27579919215233695</v>
      </c>
      <c r="BR364" s="2">
        <f>BM364</f>
        <v>0</v>
      </c>
    </row>
    <row r="365" spans="1:70" hidden="1">
      <c r="A365" s="74">
        <v>0</v>
      </c>
      <c r="B365" s="73">
        <v>204778</v>
      </c>
      <c r="C365" s="73" t="s">
        <v>2426</v>
      </c>
      <c r="D365" s="73" t="s">
        <v>2427</v>
      </c>
      <c r="E365" s="73" t="s">
        <v>2428</v>
      </c>
      <c r="F365" s="73">
        <v>18718</v>
      </c>
      <c r="G365" s="73" t="s">
        <v>882</v>
      </c>
      <c r="H365" s="73" t="s">
        <v>937</v>
      </c>
      <c r="I365" s="73" t="s">
        <v>1012</v>
      </c>
      <c r="J365" s="73">
        <v>0</v>
      </c>
      <c r="K365" s="73">
        <v>4.5</v>
      </c>
      <c r="L365" s="73">
        <v>0</v>
      </c>
      <c r="M365" s="73">
        <v>0</v>
      </c>
      <c r="N365" s="73">
        <v>0</v>
      </c>
      <c r="O365" s="73" t="s">
        <v>982</v>
      </c>
      <c r="P365" s="73" t="s">
        <v>2429</v>
      </c>
      <c r="Q365" s="73" t="s">
        <v>2430</v>
      </c>
      <c r="R365" s="73">
        <v>0</v>
      </c>
      <c r="S365" s="73">
        <v>0</v>
      </c>
      <c r="T365" s="73">
        <v>0</v>
      </c>
      <c r="U365" s="73">
        <v>0</v>
      </c>
      <c r="V365" s="73">
        <v>0</v>
      </c>
      <c r="W365" s="73">
        <v>0</v>
      </c>
      <c r="X365" s="73">
        <v>0</v>
      </c>
      <c r="Y365" s="73">
        <v>0</v>
      </c>
      <c r="Z365" s="73" t="s">
        <v>2082</v>
      </c>
      <c r="AA365" s="73" t="s">
        <v>693</v>
      </c>
      <c r="AB365" s="73" t="str">
        <f>IF(AA365&lt;&gt;"",INDEX(Lookup!$N$2:$N$5,MATCH(Players!AA365,Lookup!$P$2:$P$5,0)),INDEX(Lookup!$N$2:$N$5,MATCH(Players!O365,Lookup!$O$2:$O$5,0)))</f>
        <v>Striker</v>
      </c>
      <c r="AC365" s="73">
        <v>2500000</v>
      </c>
      <c r="AD365" s="73" t="s">
        <v>788</v>
      </c>
      <c r="AE365" s="73" t="str">
        <f>INDEX('Translate table'!$H$2:$H$622,MATCH(Players!P365,'Translate table'!$G$2:$G$622,0))</f>
        <v>Michel Aebischer</v>
      </c>
      <c r="AF365" s="73">
        <f>IFERROR(INDEX('Euro Qual stats'!$A$1:$L$2071,MATCH(Players!$AE365,'Euro Qual stats'!$A$1:$A$2071,0),MATCH(Players!AF$2,'Euro Qual stats'!$A$1:$L$1,0)),0)</f>
        <v>1</v>
      </c>
      <c r="AG365" s="73">
        <f>IFERROR(INDEX('Euro Qual stats'!$A$1:$L$2071,MATCH(Players!$AE365,'Euro Qual stats'!$A$1:$A$2071,0),MATCH(Players!AG$2,'Euro Qual stats'!$A$1:$L$1,0)),0)</f>
        <v>0</v>
      </c>
      <c r="AH365" s="73">
        <f>IFERROR(INDEX('Euro Qual stats'!$A$1:$L$2071,MATCH(Players!$AE365,'Euro Qual stats'!$A$1:$A$2071,0),MATCH(Players!AH$2,'Euro Qual stats'!$A$1:$L$1,0)),0)</f>
        <v>0</v>
      </c>
      <c r="AI365" s="73">
        <f>IFERROR(INDEX('Euro Qual stats'!$A$1:$L$2071,MATCH(Players!$AE365,'Euro Qual stats'!$A$1:$A$2071,0),MATCH(Players!AI$2,'Euro Qual stats'!$A$1:$L$1,0)),0)</f>
        <v>0</v>
      </c>
      <c r="AJ365" s="93">
        <f>(12-AF365)/12*INDEX(BV$9:BV$12,MATCH($AB365,$BU$9:$BU$12,0))+AF365/12*AG365</f>
        <v>0.18783764367816094</v>
      </c>
      <c r="AK365" s="93">
        <f>(12-AG365)/12*INDEX(BW$9:BW$12,MATCH($AB365,$BU$9:$BU$12,0))+AG365/12*AH365</f>
        <v>0.53387931034482738</v>
      </c>
      <c r="AL365" s="93">
        <f>(12-AH365)/12*INDEX(BX$9:BX$12,MATCH($AB365,$BU$9:$BU$12,0))+AH365/12*AI365</f>
        <v>0.16482758620689658</v>
      </c>
      <c r="AM365" s="93">
        <f>IF($BC365=1,AJ365/SUMIFS(AJ$3:AJ$623,$BC$3:$BC$623,1,$G$3:$G$623,$G365),0)</f>
        <v>0</v>
      </c>
      <c r="AN365" s="93">
        <f>IF($BC365=1,AK365/SUMIFS(AK$3:AK$623,$BC$3:$BC$623,1,$G$3:$G$623,$G365),0)</f>
        <v>0</v>
      </c>
      <c r="AO365" s="93">
        <f>IF($BC365=1,AL365/SUMIFS(AL$3:AL$623,$BC$3:$BC$623,1,$G$3:$G$623,$G365),0)</f>
        <v>0</v>
      </c>
      <c r="AP365" s="2" t="str">
        <f>IFERROR(R365/$V365*90,"")</f>
        <v/>
      </c>
      <c r="AQ365" s="2" t="str">
        <f>IFERROR(S365/$V365*90,"")</f>
        <v/>
      </c>
      <c r="AR365" s="2" t="str">
        <f>IFERROR(W365/$V365*90,"")</f>
        <v/>
      </c>
      <c r="AS365" s="2" t="str">
        <f>IFERROR(X365/$V365*90,"")</f>
        <v/>
      </c>
      <c r="AT365" s="2" t="str">
        <f>IFERROR(Y365/$V365*90,"")</f>
        <v/>
      </c>
      <c r="AU365" s="2">
        <f>IF(AP365="",INDEX(BV$4:BV$7,MATCH(O365,$BU$4:$BU$7,0)),AP365)</f>
        <v>0.18769551616266944</v>
      </c>
      <c r="AV365" s="2">
        <f>IF(AQ365="",INDEX(BW$4:BW$7,MATCH($O365,$BU$4:$BU$7,0)),AQ365)</f>
        <v>4.82573726541555E-2</v>
      </c>
      <c r="AW365" s="2">
        <f t="shared" si="60"/>
        <v>0.70512820512820518</v>
      </c>
      <c r="AX365" s="2">
        <f t="shared" si="61"/>
        <v>0.12295081967213115</v>
      </c>
      <c r="AY365" s="2">
        <f t="shared" si="62"/>
        <v>0</v>
      </c>
      <c r="AZ365" s="2">
        <f>AU365*0.5+AK365*0.5</f>
        <v>0.36078741325374841</v>
      </c>
      <c r="BA365" s="2">
        <f>AV365*0.5+AJ365*0.5</f>
        <v>0.11804750816615822</v>
      </c>
      <c r="BB365" s="2">
        <f t="shared" si="63"/>
        <v>6.1475409836065573E-2</v>
      </c>
      <c r="BC365">
        <f>IF(I365="expected",1,0)</f>
        <v>0</v>
      </c>
      <c r="BD365" s="78">
        <f>IF(BC365=1,AZ365/SUMIFS(AZ$3:AZ$623,$BC$3:$BC$623,1,$G$3:$G$623,$G365),0)</f>
        <v>0</v>
      </c>
      <c r="BE365" s="78">
        <f>IF(BC365=1,BA365/SUMIFS(BA$3:BA$623,$BC$3:$BC$623,1,$G$3:$G$623,$G365),0)</f>
        <v>0</v>
      </c>
      <c r="BF365" s="78">
        <f t="shared" si="64"/>
        <v>0</v>
      </c>
      <c r="BG365" s="2">
        <f t="shared" si="65"/>
        <v>6.1475409836065573E-2</v>
      </c>
      <c r="BH365" s="2">
        <f t="shared" si="66"/>
        <v>0</v>
      </c>
      <c r="BI365" s="2">
        <f t="shared" si="67"/>
        <v>0</v>
      </c>
      <c r="BJ365" s="2">
        <f t="shared" si="68"/>
        <v>0</v>
      </c>
      <c r="BK365" s="2">
        <f t="shared" si="69"/>
        <v>0</v>
      </c>
      <c r="BL365" s="2">
        <f t="shared" si="70"/>
        <v>6.1475409836065573E-2</v>
      </c>
      <c r="BM365" s="2">
        <f t="shared" si="71"/>
        <v>0</v>
      </c>
      <c r="BN365" s="2">
        <f>BI365/SUMIFS(BI$3:BI$623,$BC$3:$BC$623,1,$G$3:$G$623,$G365)</f>
        <v>0</v>
      </c>
      <c r="BO365" s="2">
        <f>BJ365/SUMIFS(BJ$3:BJ$623,$BC$3:$BC$623,1,$G$3:$G$623,$G365)</f>
        <v>0</v>
      </c>
      <c r="BP365" s="2">
        <f>BK365/SUMIFS(BK$3:BK$623,$BC$3:$BC$623,1,$G$3:$G$623,$G365)</f>
        <v>0</v>
      </c>
      <c r="BQ365" s="2">
        <f>BL365</f>
        <v>6.1475409836065573E-2</v>
      </c>
      <c r="BR365" s="2">
        <f>BM365</f>
        <v>0</v>
      </c>
    </row>
    <row r="366" spans="1:70" hidden="1">
      <c r="A366" s="74">
        <v>0</v>
      </c>
      <c r="B366" s="73">
        <v>204709</v>
      </c>
      <c r="C366" s="73" t="s">
        <v>2431</v>
      </c>
      <c r="D366" s="73" t="s">
        <v>2432</v>
      </c>
      <c r="E366" s="73" t="s">
        <v>2433</v>
      </c>
      <c r="F366" s="73">
        <v>18716</v>
      </c>
      <c r="G366" s="73" t="s">
        <v>862</v>
      </c>
      <c r="H366" s="73" t="s">
        <v>935</v>
      </c>
      <c r="I366" s="73" t="s">
        <v>1012</v>
      </c>
      <c r="J366" s="73">
        <v>0</v>
      </c>
      <c r="K366" s="73">
        <v>4.5</v>
      </c>
      <c r="L366" s="73">
        <v>0</v>
      </c>
      <c r="M366" s="73">
        <v>0</v>
      </c>
      <c r="N366" s="73">
        <v>0</v>
      </c>
      <c r="O366" s="73" t="s">
        <v>1290</v>
      </c>
      <c r="P366" s="73" t="s">
        <v>2434</v>
      </c>
      <c r="Q366" s="73" t="s">
        <v>2435</v>
      </c>
      <c r="R366" s="73">
        <v>0</v>
      </c>
      <c r="S366" s="73">
        <v>0</v>
      </c>
      <c r="T366" s="73">
        <v>0</v>
      </c>
      <c r="U366" s="73">
        <v>2</v>
      </c>
      <c r="V366" s="73">
        <v>418</v>
      </c>
      <c r="W366" s="73">
        <v>0</v>
      </c>
      <c r="X366" s="73">
        <v>1</v>
      </c>
      <c r="Y366" s="73">
        <v>0</v>
      </c>
      <c r="Z366" s="73" t="s">
        <v>1922</v>
      </c>
      <c r="AA366" s="73" t="s">
        <v>690</v>
      </c>
      <c r="AB366" s="73" t="str">
        <f>IF(AA366&lt;&gt;"",INDEX(Lookup!$N$2:$N$5,MATCH(Players!AA366,Lookup!$P$2:$P$5,0)),INDEX(Lookup!$N$2:$N$5,MATCH(Players!O366,Lookup!$O$2:$O$5,0)))</f>
        <v>Goalkeeper</v>
      </c>
      <c r="AC366" s="73">
        <v>3500000</v>
      </c>
      <c r="AD366" s="73" t="s">
        <v>788</v>
      </c>
      <c r="AE366" s="73" t="str">
        <f>INDEX('Translate table'!$H$2:$H$622,MATCH(Players!P366,'Translate table'!$G$2:$G$622,0))</f>
        <v>Alex Meret</v>
      </c>
      <c r="AF366" s="73">
        <f>IFERROR(INDEX('Euro Qual stats'!$A$1:$L$2071,MATCH(Players!$AE366,'Euro Qual stats'!$A$1:$A$2071,0),MATCH(Players!AF$2,'Euro Qual stats'!$A$1:$L$1,0)),0)</f>
        <v>1</v>
      </c>
      <c r="AG366" s="73">
        <f>IFERROR(INDEX('Euro Qual stats'!$A$1:$L$2071,MATCH(Players!$AE366,'Euro Qual stats'!$A$1:$A$2071,0),MATCH(Players!AG$2,'Euro Qual stats'!$A$1:$L$1,0)),0)</f>
        <v>0</v>
      </c>
      <c r="AH366" s="73">
        <f>IFERROR(INDEX('Euro Qual stats'!$A$1:$L$2071,MATCH(Players!$AE366,'Euro Qual stats'!$A$1:$A$2071,0),MATCH(Players!AH$2,'Euro Qual stats'!$A$1:$L$1,0)),0)</f>
        <v>0</v>
      </c>
      <c r="AI366" s="73">
        <f>IFERROR(INDEX('Euro Qual stats'!$A$1:$L$2071,MATCH(Players!$AE366,'Euro Qual stats'!$A$1:$A$2071,0),MATCH(Players!AI$2,'Euro Qual stats'!$A$1:$L$1,0)),0)</f>
        <v>0</v>
      </c>
      <c r="AJ366" s="93">
        <f>(12-AF366)/12*INDEX(BV$9:BV$12,MATCH($AB366,$BU$9:$BU$12,0))+AF366/12*AG366</f>
        <v>0</v>
      </c>
      <c r="AK366" s="93">
        <f>(12-AG366)/12*INDEX(BW$9:BW$12,MATCH($AB366,$BU$9:$BU$12,0))+AG366/12*AH366</f>
        <v>0</v>
      </c>
      <c r="AL366" s="93">
        <f>(12-AH366)/12*INDEX(BX$9:BX$12,MATCH($AB366,$BU$9:$BU$12,0))+AH366/12*AI366</f>
        <v>0</v>
      </c>
      <c r="AM366" s="93">
        <f>IF($BC366=1,AJ366/SUMIFS(AJ$3:AJ$623,$BC$3:$BC$623,1,$G$3:$G$623,$G366),0)</f>
        <v>0</v>
      </c>
      <c r="AN366" s="93">
        <f>IF($BC366=1,AK366/SUMIFS(AK$3:AK$623,$BC$3:$BC$623,1,$G$3:$G$623,$G366),0)</f>
        <v>0</v>
      </c>
      <c r="AO366" s="93">
        <f>IF($BC366=1,AL366/SUMIFS(AL$3:AL$623,$BC$3:$BC$623,1,$G$3:$G$623,$G366),0)</f>
        <v>0</v>
      </c>
      <c r="AP366" s="2">
        <f>IFERROR(R366/$V366*90,"")</f>
        <v>0</v>
      </c>
      <c r="AQ366" s="2">
        <f>IFERROR(S366/$V366*90,"")</f>
        <v>0</v>
      </c>
      <c r="AR366" s="2">
        <f>IFERROR(W366/$V366*90,"")</f>
        <v>0</v>
      </c>
      <c r="AS366" s="2">
        <f>IFERROR(X366/$V366*90,"")</f>
        <v>0.21531100478468898</v>
      </c>
      <c r="AT366" s="2">
        <f>IFERROR(Y366/$V366*90,"")</f>
        <v>0</v>
      </c>
      <c r="AU366" s="2">
        <f>IF(AP366="",INDEX(BV$4:BV$7,MATCH(O366,$BU$4:$BU$7,0)),AP366)</f>
        <v>0</v>
      </c>
      <c r="AV366" s="2">
        <f>IF(AQ366="",INDEX(BW$4:BW$7,MATCH($O366,$BU$4:$BU$7,0)),AQ366)</f>
        <v>0</v>
      </c>
      <c r="AW366" s="2">
        <f t="shared" si="60"/>
        <v>0</v>
      </c>
      <c r="AX366" s="2">
        <f t="shared" si="61"/>
        <v>0.21531100478468898</v>
      </c>
      <c r="AY366" s="2">
        <f t="shared" si="62"/>
        <v>0</v>
      </c>
      <c r="AZ366" s="2">
        <f>AU366*0.5+AK366*0.5</f>
        <v>0</v>
      </c>
      <c r="BA366" s="2">
        <f>AV366*0.5+AJ366*0.5</f>
        <v>0</v>
      </c>
      <c r="BB366" s="2">
        <f t="shared" si="63"/>
        <v>0.10765550239234449</v>
      </c>
      <c r="BC366">
        <f>IF(I366="expected",1,0)</f>
        <v>0</v>
      </c>
      <c r="BD366" s="78">
        <f>IF(BC366=1,AZ366/SUMIFS(AZ$3:AZ$623,$BC$3:$BC$623,1,$G$3:$G$623,$G366),0)</f>
        <v>0</v>
      </c>
      <c r="BE366" s="78">
        <f>IF(BC366=1,BA366/SUMIFS(BA$3:BA$623,$BC$3:$BC$623,1,$G$3:$G$623,$G366),0)</f>
        <v>0</v>
      </c>
      <c r="BF366" s="78">
        <f t="shared" si="64"/>
        <v>0</v>
      </c>
      <c r="BG366" s="2">
        <f t="shared" si="65"/>
        <v>0.10765550239234449</v>
      </c>
      <c r="BH366" s="2">
        <f t="shared" si="66"/>
        <v>0</v>
      </c>
      <c r="BI366" s="2">
        <f t="shared" si="67"/>
        <v>0</v>
      </c>
      <c r="BJ366" s="2">
        <f t="shared" si="68"/>
        <v>0</v>
      </c>
      <c r="BK366" s="2">
        <f t="shared" si="69"/>
        <v>0</v>
      </c>
      <c r="BL366" s="2">
        <f t="shared" si="70"/>
        <v>0.10765550239234449</v>
      </c>
      <c r="BM366" s="2">
        <f t="shared" si="71"/>
        <v>0</v>
      </c>
      <c r="BN366" s="2">
        <f>BI366/SUMIFS(BI$3:BI$623,$BC$3:$BC$623,1,$G$3:$G$623,$G366)</f>
        <v>0</v>
      </c>
      <c r="BO366" s="2">
        <f>BJ366/SUMIFS(BJ$3:BJ$623,$BC$3:$BC$623,1,$G$3:$G$623,$G366)</f>
        <v>0</v>
      </c>
      <c r="BP366" s="2">
        <f>BK366/SUMIFS(BK$3:BK$623,$BC$3:$BC$623,1,$G$3:$G$623,$G366)</f>
        <v>0</v>
      </c>
      <c r="BQ366" s="2">
        <f>BL366</f>
        <v>0.10765550239234449</v>
      </c>
      <c r="BR366" s="2">
        <f>BM366</f>
        <v>0</v>
      </c>
    </row>
    <row r="367" spans="1:70" hidden="1">
      <c r="A367" s="74">
        <v>0</v>
      </c>
      <c r="B367" s="73">
        <v>204707</v>
      </c>
      <c r="C367" s="73" t="s">
        <v>2436</v>
      </c>
      <c r="D367" s="73" t="s">
        <v>2437</v>
      </c>
      <c r="E367" s="73" t="s">
        <v>2438</v>
      </c>
      <c r="F367" s="73">
        <v>18716</v>
      </c>
      <c r="G367" s="73" t="s">
        <v>862</v>
      </c>
      <c r="H367" s="73" t="s">
        <v>935</v>
      </c>
      <c r="I367" s="73" t="s">
        <v>1012</v>
      </c>
      <c r="J367" s="73">
        <v>0</v>
      </c>
      <c r="K367" s="73">
        <v>4.5</v>
      </c>
      <c r="L367" s="73">
        <v>0</v>
      </c>
      <c r="M367" s="73">
        <v>0</v>
      </c>
      <c r="N367" s="73">
        <v>0</v>
      </c>
      <c r="O367" s="73" t="s">
        <v>1290</v>
      </c>
      <c r="P367" s="73" t="s">
        <v>2439</v>
      </c>
      <c r="Q367" s="73" t="s">
        <v>1164</v>
      </c>
      <c r="R367" s="73"/>
      <c r="S367" s="73"/>
      <c r="T367" s="73"/>
      <c r="U367" s="73"/>
      <c r="V367" s="73"/>
      <c r="W367" s="73"/>
      <c r="X367" s="73"/>
      <c r="Y367" s="73"/>
      <c r="Z367" s="73" t="s">
        <v>1922</v>
      </c>
      <c r="AA367" s="73" t="s">
        <v>690</v>
      </c>
      <c r="AB367" s="73" t="str">
        <f>IF(AA367&lt;&gt;"",INDEX(Lookup!$N$2:$N$5,MATCH(Players!AA367,Lookup!$P$2:$P$5,0)),INDEX(Lookup!$N$2:$N$5,MATCH(Players!O367,Lookup!$O$2:$O$5,0)))</f>
        <v>Goalkeeper</v>
      </c>
      <c r="AC367" s="73">
        <v>3500000</v>
      </c>
      <c r="AD367" s="73" t="s">
        <v>753</v>
      </c>
      <c r="AE367" s="73" t="str">
        <f>INDEX('Translate table'!$H$2:$H$622,MATCH(Players!P367,'Translate table'!$G$2:$G$622,0))</f>
        <v>Altay BayÄ±ndÄ±r</v>
      </c>
      <c r="AF367" s="73">
        <f>IFERROR(INDEX('Euro Qual stats'!$A$1:$L$2071,MATCH(Players!$AE367,'Euro Qual stats'!$A$1:$A$2071,0),MATCH(Players!AF$2,'Euro Qual stats'!$A$1:$L$1,0)),0)</f>
        <v>0</v>
      </c>
      <c r="AG367" s="73">
        <f>IFERROR(INDEX('Euro Qual stats'!$A$1:$L$2071,MATCH(Players!$AE367,'Euro Qual stats'!$A$1:$A$2071,0),MATCH(Players!AG$2,'Euro Qual stats'!$A$1:$L$1,0)),0)</f>
        <v>0</v>
      </c>
      <c r="AH367" s="73">
        <f>IFERROR(INDEX('Euro Qual stats'!$A$1:$L$2071,MATCH(Players!$AE367,'Euro Qual stats'!$A$1:$A$2071,0),MATCH(Players!AH$2,'Euro Qual stats'!$A$1:$L$1,0)),0)</f>
        <v>0</v>
      </c>
      <c r="AI367" s="73">
        <f>IFERROR(INDEX('Euro Qual stats'!$A$1:$L$2071,MATCH(Players!$AE367,'Euro Qual stats'!$A$1:$A$2071,0),MATCH(Players!AI$2,'Euro Qual stats'!$A$1:$L$1,0)),0)</f>
        <v>0</v>
      </c>
      <c r="AJ367" s="93">
        <f>(12-AF367)/12*INDEX(BV$9:BV$12,MATCH($AB367,$BU$9:$BU$12,0))+AF367/12*AG367</f>
        <v>0</v>
      </c>
      <c r="AK367" s="93">
        <f>(12-AG367)/12*INDEX(BW$9:BW$12,MATCH($AB367,$BU$9:$BU$12,0))+AG367/12*AH367</f>
        <v>0</v>
      </c>
      <c r="AL367" s="93">
        <f>(12-AH367)/12*INDEX(BX$9:BX$12,MATCH($AB367,$BU$9:$BU$12,0))+AH367/12*AI367</f>
        <v>0</v>
      </c>
      <c r="AM367" s="93">
        <f>IF($BC367=1,AJ367/SUMIFS(AJ$3:AJ$623,$BC$3:$BC$623,1,$G$3:$G$623,$G367),0)</f>
        <v>0</v>
      </c>
      <c r="AN367" s="93">
        <f>IF($BC367=1,AK367/SUMIFS(AK$3:AK$623,$BC$3:$BC$623,1,$G$3:$G$623,$G367),0)</f>
        <v>0</v>
      </c>
      <c r="AO367" s="93">
        <f>IF($BC367=1,AL367/SUMIFS(AL$3:AL$623,$BC$3:$BC$623,1,$G$3:$G$623,$G367),0)</f>
        <v>0</v>
      </c>
      <c r="AP367" s="2" t="str">
        <f>IFERROR(R367/$V367*90,"")</f>
        <v/>
      </c>
      <c r="AQ367" s="2" t="str">
        <f>IFERROR(S367/$V367*90,"")</f>
        <v/>
      </c>
      <c r="AR367" s="2" t="str">
        <f>IFERROR(W367/$V367*90,"")</f>
        <v/>
      </c>
      <c r="AS367" s="2" t="str">
        <f>IFERROR(X367/$V367*90,"")</f>
        <v/>
      </c>
      <c r="AT367" s="2" t="str">
        <f>IFERROR(Y367/$V367*90,"")</f>
        <v/>
      </c>
      <c r="AU367" s="2">
        <f>IF(AP367="",INDEX(BV$4:BV$7,MATCH(O367,$BU$4:$BU$7,0)),AP367)</f>
        <v>0</v>
      </c>
      <c r="AV367" s="2">
        <f>IF(AQ367="",INDEX(BW$4:BW$7,MATCH($O367,$BU$4:$BU$7,0)),AQ367)</f>
        <v>0</v>
      </c>
      <c r="AW367" s="2">
        <f t="shared" si="60"/>
        <v>0</v>
      </c>
      <c r="AX367" s="2">
        <f t="shared" si="61"/>
        <v>0</v>
      </c>
      <c r="AY367" s="2">
        <f t="shared" si="62"/>
        <v>0</v>
      </c>
      <c r="AZ367" s="2">
        <f>AU367*0.5+AK367*0.5</f>
        <v>0</v>
      </c>
      <c r="BA367" s="2">
        <f>AV367*0.5+AJ367*0.5</f>
        <v>0</v>
      </c>
      <c r="BB367" s="2">
        <f t="shared" si="63"/>
        <v>0</v>
      </c>
      <c r="BC367">
        <f>IF(I367="expected",1,0)</f>
        <v>0</v>
      </c>
      <c r="BD367" s="78">
        <f>IF(BC367=1,AZ367/SUMIFS(AZ$3:AZ$623,$BC$3:$BC$623,1,$G$3:$G$623,$G367),0)</f>
        <v>0</v>
      </c>
      <c r="BE367" s="78">
        <f>IF(BC367=1,BA367/SUMIFS(BA$3:BA$623,$BC$3:$BC$623,1,$G$3:$G$623,$G367),0)</f>
        <v>0</v>
      </c>
      <c r="BF367" s="78">
        <f t="shared" si="64"/>
        <v>0</v>
      </c>
      <c r="BG367" s="2">
        <f t="shared" si="65"/>
        <v>0</v>
      </c>
      <c r="BH367" s="2">
        <f t="shared" si="66"/>
        <v>0</v>
      </c>
      <c r="BI367" s="2">
        <f t="shared" si="67"/>
        <v>0</v>
      </c>
      <c r="BJ367" s="2">
        <f t="shared" si="68"/>
        <v>0</v>
      </c>
      <c r="BK367" s="2">
        <f t="shared" si="69"/>
        <v>0</v>
      </c>
      <c r="BL367" s="2">
        <f t="shared" si="70"/>
        <v>0</v>
      </c>
      <c r="BM367" s="2">
        <f t="shared" si="71"/>
        <v>0</v>
      </c>
      <c r="BN367" s="2">
        <f>BI367/SUMIFS(BI$3:BI$623,$BC$3:$BC$623,1,$G$3:$G$623,$G367)</f>
        <v>0</v>
      </c>
      <c r="BO367" s="2">
        <f>BJ367/SUMIFS(BJ$3:BJ$623,$BC$3:$BC$623,1,$G$3:$G$623,$G367)</f>
        <v>0</v>
      </c>
      <c r="BP367" s="2">
        <f>BK367/SUMIFS(BK$3:BK$623,$BC$3:$BC$623,1,$G$3:$G$623,$G367)</f>
        <v>0</v>
      </c>
      <c r="BQ367" s="2">
        <f>BL367</f>
        <v>0</v>
      </c>
      <c r="BR367" s="2">
        <f>BM367</f>
        <v>0</v>
      </c>
    </row>
    <row r="368" spans="1:70" hidden="1">
      <c r="A368" s="74">
        <v>0</v>
      </c>
      <c r="B368" s="73">
        <v>204705</v>
      </c>
      <c r="C368" s="73" t="s">
        <v>2440</v>
      </c>
      <c r="D368" s="73" t="s">
        <v>2441</v>
      </c>
      <c r="E368" s="73" t="s">
        <v>2442</v>
      </c>
      <c r="F368" s="73">
        <v>18716</v>
      </c>
      <c r="G368" s="73" t="s">
        <v>862</v>
      </c>
      <c r="H368" s="73" t="s">
        <v>935</v>
      </c>
      <c r="I368" s="73" t="s">
        <v>981</v>
      </c>
      <c r="J368" s="73">
        <v>0</v>
      </c>
      <c r="K368" s="73">
        <v>4.5</v>
      </c>
      <c r="L368" s="73">
        <v>0</v>
      </c>
      <c r="M368" s="73">
        <v>0</v>
      </c>
      <c r="N368" s="73">
        <v>0</v>
      </c>
      <c r="O368" s="73" t="s">
        <v>1290</v>
      </c>
      <c r="P368" s="73" t="s">
        <v>2443</v>
      </c>
      <c r="Q368" s="73" t="s">
        <v>1164</v>
      </c>
      <c r="R368" s="73"/>
      <c r="S368" s="73"/>
      <c r="T368" s="73"/>
      <c r="U368" s="73"/>
      <c r="V368" s="73"/>
      <c r="W368" s="73"/>
      <c r="X368" s="73"/>
      <c r="Y368" s="73"/>
      <c r="Z368" s="73" t="s">
        <v>1922</v>
      </c>
      <c r="AA368" s="73" t="s">
        <v>690</v>
      </c>
      <c r="AB368" s="73" t="str">
        <f>IF(AA368&lt;&gt;"",INDEX(Lookup!$N$2:$N$5,MATCH(Players!AA368,Lookup!$P$2:$P$5,0)),INDEX(Lookup!$N$2:$N$5,MATCH(Players!O368,Lookup!$O$2:$O$5,0)))</f>
        <v>Goalkeeper</v>
      </c>
      <c r="AC368" s="73">
        <v>4000000</v>
      </c>
      <c r="AD368" s="73" t="s">
        <v>798</v>
      </c>
      <c r="AE368" s="73" t="str">
        <f>INDEX('Translate table'!$H$2:$H$622,MATCH(Players!P368,'Translate table'!$G$2:$G$622,0))</f>
        <v>UÄŸurcan Ã‡akÄ±r</v>
      </c>
      <c r="AF368" s="73">
        <f>IFERROR(INDEX('Euro Qual stats'!$A$1:$L$2071,MATCH(Players!$AE368,'Euro Qual stats'!$A$1:$A$2071,0),MATCH(Players!AF$2,'Euro Qual stats'!$A$1:$L$1,0)),0)</f>
        <v>1</v>
      </c>
      <c r="AG368" s="73">
        <f>IFERROR(INDEX('Euro Qual stats'!$A$1:$L$2071,MATCH(Players!$AE368,'Euro Qual stats'!$A$1:$A$2071,0),MATCH(Players!AG$2,'Euro Qual stats'!$A$1:$L$1,0)),0)</f>
        <v>0</v>
      </c>
      <c r="AH368" s="73">
        <f>IFERROR(INDEX('Euro Qual stats'!$A$1:$L$2071,MATCH(Players!$AE368,'Euro Qual stats'!$A$1:$A$2071,0),MATCH(Players!AH$2,'Euro Qual stats'!$A$1:$L$1,0)),0)</f>
        <v>0</v>
      </c>
      <c r="AI368" s="73">
        <f>IFERROR(INDEX('Euro Qual stats'!$A$1:$L$2071,MATCH(Players!$AE368,'Euro Qual stats'!$A$1:$A$2071,0),MATCH(Players!AI$2,'Euro Qual stats'!$A$1:$L$1,0)),0)</f>
        <v>0</v>
      </c>
      <c r="AJ368" s="93">
        <f>(12-AF368)/12*INDEX(BV$9:BV$12,MATCH($AB368,$BU$9:$BU$12,0))+AF368/12*AG368</f>
        <v>0</v>
      </c>
      <c r="AK368" s="93">
        <f>(12-AG368)/12*INDEX(BW$9:BW$12,MATCH($AB368,$BU$9:$BU$12,0))+AG368/12*AH368</f>
        <v>0</v>
      </c>
      <c r="AL368" s="93">
        <f>(12-AH368)/12*INDEX(BX$9:BX$12,MATCH($AB368,$BU$9:$BU$12,0))+AH368/12*AI368</f>
        <v>0</v>
      </c>
      <c r="AM368" s="93">
        <f>IF($BC368=1,AJ368/SUMIFS(AJ$3:AJ$623,$BC$3:$BC$623,1,$G$3:$G$623,$G368),0)</f>
        <v>0</v>
      </c>
      <c r="AN368" s="93">
        <f>IF($BC368=1,AK368/SUMIFS(AK$3:AK$623,$BC$3:$BC$623,1,$G$3:$G$623,$G368),0)</f>
        <v>0</v>
      </c>
      <c r="AO368" s="93">
        <f>IF($BC368=1,AL368/SUMIFS(AL$3:AL$623,$BC$3:$BC$623,1,$G$3:$G$623,$G368),0)</f>
        <v>0</v>
      </c>
      <c r="AP368" s="2" t="str">
        <f>IFERROR(R368/$V368*90,"")</f>
        <v/>
      </c>
      <c r="AQ368" s="2" t="str">
        <f>IFERROR(S368/$V368*90,"")</f>
        <v/>
      </c>
      <c r="AR368" s="2" t="str">
        <f>IFERROR(W368/$V368*90,"")</f>
        <v/>
      </c>
      <c r="AS368" s="2" t="str">
        <f>IFERROR(X368/$V368*90,"")</f>
        <v/>
      </c>
      <c r="AT368" s="2" t="str">
        <f>IFERROR(Y368/$V368*90,"")</f>
        <v/>
      </c>
      <c r="AU368" s="2">
        <f>IF(AP368="",INDEX(BV$4:BV$7,MATCH(O368,$BU$4:$BU$7,0)),AP368)</f>
        <v>0</v>
      </c>
      <c r="AV368" s="2">
        <f>IF(AQ368="",INDEX(BW$4:BW$7,MATCH($O368,$BU$4:$BU$7,0)),AQ368)</f>
        <v>0</v>
      </c>
      <c r="AW368" s="2">
        <f t="shared" si="60"/>
        <v>0</v>
      </c>
      <c r="AX368" s="2">
        <f t="shared" si="61"/>
        <v>0</v>
      </c>
      <c r="AY368" s="2">
        <f t="shared" si="62"/>
        <v>0</v>
      </c>
      <c r="AZ368" s="2">
        <f>AU368*0.5+AK368*0.5</f>
        <v>0</v>
      </c>
      <c r="BA368" s="2">
        <f>AV368*0.5+AJ368*0.5</f>
        <v>0</v>
      </c>
      <c r="BB368" s="2">
        <f t="shared" si="63"/>
        <v>0</v>
      </c>
      <c r="BC368">
        <f>IF(I368="expected",1,0)</f>
        <v>1</v>
      </c>
      <c r="BD368" s="78">
        <f>IF(BC368=1,AZ368/SUMIFS(AZ$3:AZ$623,$BC$3:$BC$623,1,$G$3:$G$623,$G368),0)</f>
        <v>0</v>
      </c>
      <c r="BE368" s="78">
        <f>IF(BC368=1,BA368/SUMIFS(BA$3:BA$623,$BC$3:$BC$623,1,$G$3:$G$623,$G368),0)</f>
        <v>0</v>
      </c>
      <c r="BF368" s="78">
        <f t="shared" si="64"/>
        <v>0</v>
      </c>
      <c r="BG368" s="2">
        <f t="shared" si="65"/>
        <v>0</v>
      </c>
      <c r="BH368" s="2">
        <f t="shared" si="66"/>
        <v>0</v>
      </c>
      <c r="BI368" s="2">
        <f t="shared" si="67"/>
        <v>0</v>
      </c>
      <c r="BJ368" s="2">
        <f t="shared" si="68"/>
        <v>0</v>
      </c>
      <c r="BK368" s="2">
        <f t="shared" si="69"/>
        <v>0</v>
      </c>
      <c r="BL368" s="2">
        <f t="shared" si="70"/>
        <v>0</v>
      </c>
      <c r="BM368" s="2">
        <f t="shared" si="71"/>
        <v>0</v>
      </c>
      <c r="BN368" s="2">
        <f>BI368/SUMIFS(BI$3:BI$623,$BC$3:$BC$623,1,$G$3:$G$623,$G368)</f>
        <v>0</v>
      </c>
      <c r="BO368" s="2">
        <f>BJ368/SUMIFS(BJ$3:BJ$623,$BC$3:$BC$623,1,$G$3:$G$623,$G368)</f>
        <v>0</v>
      </c>
      <c r="BP368" s="2">
        <f>BK368/SUMIFS(BK$3:BK$623,$BC$3:$BC$623,1,$G$3:$G$623,$G368)</f>
        <v>0</v>
      </c>
      <c r="BQ368" s="2">
        <f>BL368</f>
        <v>0</v>
      </c>
      <c r="BR368" s="2">
        <f>BM368</f>
        <v>0</v>
      </c>
    </row>
    <row r="369" spans="1:70" hidden="1">
      <c r="A369" s="74">
        <v>0</v>
      </c>
      <c r="B369" s="73">
        <v>220813</v>
      </c>
      <c r="C369" s="73" t="s">
        <v>2444</v>
      </c>
      <c r="D369" s="73" t="s">
        <v>2445</v>
      </c>
      <c r="E369" s="73" t="s">
        <v>2446</v>
      </c>
      <c r="F369" s="73">
        <v>18716</v>
      </c>
      <c r="G369" s="73" t="s">
        <v>862</v>
      </c>
      <c r="H369" s="73" t="s">
        <v>935</v>
      </c>
      <c r="I369" s="73" t="s">
        <v>1012</v>
      </c>
      <c r="J369" s="73">
        <v>0</v>
      </c>
      <c r="K369" s="73">
        <v>4.5</v>
      </c>
      <c r="L369" s="73">
        <v>0</v>
      </c>
      <c r="M369" s="73">
        <v>0</v>
      </c>
      <c r="N369" s="73">
        <v>0</v>
      </c>
      <c r="O369" s="73" t="s">
        <v>1318</v>
      </c>
      <c r="P369" s="73" t="s">
        <v>2447</v>
      </c>
      <c r="Q369" s="73" t="s">
        <v>1164</v>
      </c>
      <c r="R369" s="73"/>
      <c r="S369" s="73"/>
      <c r="T369" s="73"/>
      <c r="U369" s="73"/>
      <c r="V369" s="73"/>
      <c r="W369" s="73"/>
      <c r="X369" s="73"/>
      <c r="Y369" s="73"/>
      <c r="Z369" s="73" t="s">
        <v>1922</v>
      </c>
      <c r="AA369" s="73" t="s">
        <v>692</v>
      </c>
      <c r="AB369" s="73" t="str">
        <f>IF(AA369&lt;&gt;"",INDEX(Lookup!$N$2:$N$5,MATCH(Players!AA369,Lookup!$P$2:$P$5,0)),INDEX(Lookup!$N$2:$N$5,MATCH(Players!O369,Lookup!$O$2:$O$5,0)))</f>
        <v>Defense</v>
      </c>
      <c r="AC369" s="73">
        <v>2500000</v>
      </c>
      <c r="AD369" s="73" t="s">
        <v>753</v>
      </c>
      <c r="AE369" s="73" t="str">
        <f>INDEX('Translate table'!$H$2:$H$622,MATCH(Players!P369,'Translate table'!$G$2:$G$622,0))</f>
        <v>Burak YÄ±lmaz</v>
      </c>
      <c r="AF369" s="73">
        <f>IFERROR(INDEX('Euro Qual stats'!$A$1:$L$2071,MATCH(Players!$AE369,'Euro Qual stats'!$A$1:$A$2071,0),MATCH(Players!AF$2,'Euro Qual stats'!$A$1:$L$1,0)),0)</f>
        <v>7</v>
      </c>
      <c r="AG369" s="73">
        <f>IFERROR(INDEX('Euro Qual stats'!$A$1:$L$2071,MATCH(Players!$AE369,'Euro Qual stats'!$A$1:$A$2071,0),MATCH(Players!AG$2,'Euro Qual stats'!$A$1:$L$1,0)),0)</f>
        <v>0.14000000000000001</v>
      </c>
      <c r="AH369" s="73">
        <f>IFERROR(INDEX('Euro Qual stats'!$A$1:$L$2071,MATCH(Players!$AE369,'Euro Qual stats'!$A$1:$A$2071,0),MATCH(Players!AH$2,'Euro Qual stats'!$A$1:$L$1,0)),0)</f>
        <v>0.14000000000000001</v>
      </c>
      <c r="AI369" s="73">
        <f>IFERROR(INDEX('Euro Qual stats'!$A$1:$L$2071,MATCH(Players!$AE369,'Euro Qual stats'!$A$1:$A$2071,0),MATCH(Players!AI$2,'Euro Qual stats'!$A$1:$L$1,0)),0)</f>
        <v>0.14000000000000001</v>
      </c>
      <c r="AJ369" s="93">
        <f>(12-AF369)/12*INDEX(BV$9:BV$12,MATCH($AB369,$BU$9:$BU$12,0))+AF369/12*AG369</f>
        <v>0.11882326007326011</v>
      </c>
      <c r="AK369" s="93">
        <f>(12-AG369)/12*INDEX(BW$9:BW$12,MATCH($AB369,$BU$9:$BU$12,0))+AG369/12*AH369</f>
        <v>0.10399642857142857</v>
      </c>
      <c r="AL369" s="93">
        <f>(12-AH369)/12*INDEX(BX$9:BX$12,MATCH($AB369,$BU$9:$BU$12,0))+AH369/12*AI369</f>
        <v>0.19294642857142846</v>
      </c>
      <c r="AM369" s="93">
        <f>IF($BC369=1,AJ369/SUMIFS(AJ$3:AJ$623,$BC$3:$BC$623,1,$G$3:$G$623,$G369),0)</f>
        <v>0</v>
      </c>
      <c r="AN369" s="93">
        <f>IF($BC369=1,AK369/SUMIFS(AK$3:AK$623,$BC$3:$BC$623,1,$G$3:$G$623,$G369),0)</f>
        <v>0</v>
      </c>
      <c r="AO369" s="93">
        <f>IF($BC369=1,AL369/SUMIFS(AL$3:AL$623,$BC$3:$BC$623,1,$G$3:$G$623,$G369),0)</f>
        <v>0</v>
      </c>
      <c r="AP369" s="2" t="str">
        <f>IFERROR(R369/$V369*90,"")</f>
        <v/>
      </c>
      <c r="AQ369" s="2" t="str">
        <f>IFERROR(S369/$V369*90,"")</f>
        <v/>
      </c>
      <c r="AR369" s="2" t="str">
        <f>IFERROR(W369/$V369*90,"")</f>
        <v/>
      </c>
      <c r="AS369" s="2" t="str">
        <f>IFERROR(X369/$V369*90,"")</f>
        <v/>
      </c>
      <c r="AT369" s="2" t="str">
        <f>IFERROR(Y369/$V369*90,"")</f>
        <v/>
      </c>
      <c r="AU369" s="2">
        <f>IF(AP369="",INDEX(BV$4:BV$7,MATCH(O369,$BU$4:$BU$7,0)),AP369)</f>
        <v>0</v>
      </c>
      <c r="AV369" s="2">
        <f>IF(AQ369="",INDEX(BW$4:BW$7,MATCH($O369,$BU$4:$BU$7,0)),AQ369)</f>
        <v>0</v>
      </c>
      <c r="AW369" s="2">
        <f t="shared" si="60"/>
        <v>8.0624805297505417E-2</v>
      </c>
      <c r="AX369" s="2">
        <f t="shared" si="61"/>
        <v>0.1265377855887522</v>
      </c>
      <c r="AY369" s="2">
        <f t="shared" si="62"/>
        <v>0</v>
      </c>
      <c r="AZ369" s="2">
        <f>AU369*0.5+AK369*0.5</f>
        <v>5.1998214285714286E-2</v>
      </c>
      <c r="BA369" s="2">
        <f>AV369*0.5+AJ369*0.5</f>
        <v>5.9411630036630053E-2</v>
      </c>
      <c r="BB369" s="2">
        <f t="shared" si="63"/>
        <v>0.13326889279437609</v>
      </c>
      <c r="BC369">
        <f>IF(I369="expected",1,0)</f>
        <v>0</v>
      </c>
      <c r="BD369" s="78">
        <f>IF(BC369=1,AZ369/SUMIFS(AZ$3:AZ$623,$BC$3:$BC$623,1,$G$3:$G$623,$G369),0)</f>
        <v>0</v>
      </c>
      <c r="BE369" s="78">
        <f>IF(BC369=1,BA369/SUMIFS(BA$3:BA$623,$BC$3:$BC$623,1,$G$3:$G$623,$G369),0)</f>
        <v>0</v>
      </c>
      <c r="BF369" s="78">
        <f t="shared" si="64"/>
        <v>0</v>
      </c>
      <c r="BG369" s="2">
        <f t="shared" si="65"/>
        <v>0.13326889279437609</v>
      </c>
      <c r="BH369" s="2">
        <f t="shared" si="66"/>
        <v>0</v>
      </c>
      <c r="BI369" s="2">
        <f t="shared" si="67"/>
        <v>0</v>
      </c>
      <c r="BJ369" s="2">
        <f t="shared" si="68"/>
        <v>0</v>
      </c>
      <c r="BK369" s="2">
        <f t="shared" si="69"/>
        <v>0</v>
      </c>
      <c r="BL369" s="2">
        <f t="shared" si="70"/>
        <v>0.13326889279437609</v>
      </c>
      <c r="BM369" s="2">
        <f t="shared" si="71"/>
        <v>0</v>
      </c>
      <c r="BN369" s="2">
        <f>BI369/SUMIFS(BI$3:BI$623,$BC$3:$BC$623,1,$G$3:$G$623,$G369)</f>
        <v>0</v>
      </c>
      <c r="BO369" s="2">
        <f>BJ369/SUMIFS(BJ$3:BJ$623,$BC$3:$BC$623,1,$G$3:$G$623,$G369)</f>
        <v>0</v>
      </c>
      <c r="BP369" s="2">
        <f>BK369/SUMIFS(BK$3:BK$623,$BC$3:$BC$623,1,$G$3:$G$623,$G369)</f>
        <v>0</v>
      </c>
      <c r="BQ369" s="2">
        <f>BL369</f>
        <v>0.13326889279437609</v>
      </c>
      <c r="BR369" s="2">
        <f>BM369</f>
        <v>0</v>
      </c>
    </row>
    <row r="370" spans="1:70" hidden="1">
      <c r="A370" s="74">
        <v>0</v>
      </c>
      <c r="B370" s="73">
        <v>220812</v>
      </c>
      <c r="C370" s="73" t="s">
        <v>2448</v>
      </c>
      <c r="D370" s="73" t="s">
        <v>2449</v>
      </c>
      <c r="E370" s="73" t="s">
        <v>2450</v>
      </c>
      <c r="F370" s="73">
        <v>18716</v>
      </c>
      <c r="G370" s="73" t="s">
        <v>862</v>
      </c>
      <c r="H370" s="73" t="s">
        <v>935</v>
      </c>
      <c r="I370" s="73" t="s">
        <v>981</v>
      </c>
      <c r="J370" s="73">
        <v>0</v>
      </c>
      <c r="K370" s="73">
        <v>4.5</v>
      </c>
      <c r="L370" s="73">
        <v>0</v>
      </c>
      <c r="M370" s="73">
        <v>0</v>
      </c>
      <c r="N370" s="73">
        <v>0</v>
      </c>
      <c r="O370" s="73" t="s">
        <v>1318</v>
      </c>
      <c r="P370" s="73" t="s">
        <v>2451</v>
      </c>
      <c r="Q370" s="73" t="s">
        <v>2452</v>
      </c>
      <c r="R370" s="73">
        <v>3</v>
      </c>
      <c r="S370" s="73">
        <v>3</v>
      </c>
      <c r="T370" s="73">
        <v>0</v>
      </c>
      <c r="U370" s="73">
        <v>0</v>
      </c>
      <c r="V370" s="73">
        <v>1167</v>
      </c>
      <c r="W370" s="73">
        <v>8</v>
      </c>
      <c r="X370" s="73">
        <v>1</v>
      </c>
      <c r="Y370" s="73">
        <v>0</v>
      </c>
      <c r="Z370" s="73" t="s">
        <v>1922</v>
      </c>
      <c r="AA370" s="73" t="s">
        <v>692</v>
      </c>
      <c r="AB370" s="73" t="str">
        <f>IF(AA370&lt;&gt;"",INDEX(Lookup!$N$2:$N$5,MATCH(Players!AA370,Lookup!$P$2:$P$5,0)),INDEX(Lookup!$N$2:$N$5,MATCH(Players!O370,Lookup!$O$2:$O$5,0)))</f>
        <v>Defense</v>
      </c>
      <c r="AC370" s="73">
        <v>2500000</v>
      </c>
      <c r="AD370" s="73" t="s">
        <v>789</v>
      </c>
      <c r="AE370" s="73" t="str">
        <f>INDEX('Translate table'!$H$2:$H$622,MATCH(Players!P370,'Translate table'!$G$2:$G$622,0))</f>
        <v>Cengiz Umut MeraÅŸ</v>
      </c>
      <c r="AF370" s="73">
        <f>IFERROR(INDEX('Euro Qual stats'!$A$1:$L$2071,MATCH(Players!$AE370,'Euro Qual stats'!$A$1:$A$2071,0),MATCH(Players!AF$2,'Euro Qual stats'!$A$1:$L$1,0)),0)</f>
        <v>5</v>
      </c>
      <c r="AG370" s="73">
        <f>IFERROR(INDEX('Euro Qual stats'!$A$1:$L$2071,MATCH(Players!$AE370,'Euro Qual stats'!$A$1:$A$2071,0),MATCH(Players!AG$2,'Euro Qual stats'!$A$1:$L$1,0)),0)</f>
        <v>0</v>
      </c>
      <c r="AH370" s="73">
        <f>IFERROR(INDEX('Euro Qual stats'!$A$1:$L$2071,MATCH(Players!$AE370,'Euro Qual stats'!$A$1:$A$2071,0),MATCH(Players!AH$2,'Euro Qual stats'!$A$1:$L$1,0)),0)</f>
        <v>0</v>
      </c>
      <c r="AI370" s="73">
        <f>IFERROR(INDEX('Euro Qual stats'!$A$1:$L$2071,MATCH(Players!$AE370,'Euro Qual stats'!$A$1:$A$2071,0),MATCH(Players!AI$2,'Euro Qual stats'!$A$1:$L$1,0)),0)</f>
        <v>0</v>
      </c>
      <c r="AJ370" s="93">
        <f>(12-AF370)/12*INDEX(BV$9:BV$12,MATCH($AB370,$BU$9:$BU$12,0))+AF370/12*AG370</f>
        <v>5.201923076923079E-2</v>
      </c>
      <c r="AK370" s="93">
        <f>(12-AG370)/12*INDEX(BW$9:BW$12,MATCH($AB370,$BU$9:$BU$12,0))+AG370/12*AH370</f>
        <v>0.10357142857142858</v>
      </c>
      <c r="AL370" s="93">
        <f>(12-AH370)/12*INDEX(BX$9:BX$12,MATCH($AB370,$BU$9:$BU$12,0))+AH370/12*AI370</f>
        <v>0.19357142857142848</v>
      </c>
      <c r="AM370" s="93">
        <f>IF($BC370=1,AJ370/SUMIFS(AJ$3:AJ$623,$BC$3:$BC$623,1,$G$3:$G$623,$G370),0)</f>
        <v>4.2424916559047739E-2</v>
      </c>
      <c r="AN370" s="93">
        <f>IF($BC370=1,AK370/SUMIFS(AK$3:AK$623,$BC$3:$BC$623,1,$G$3:$G$623,$G370),0)</f>
        <v>3.8735395641179712E-2</v>
      </c>
      <c r="AO370" s="93">
        <f>IF($BC370=1,AL370/SUMIFS(AL$3:AL$623,$BC$3:$BC$623,1,$G$3:$G$623,$G370),0)</f>
        <v>9.6899955046862288E-2</v>
      </c>
      <c r="AP370" s="2">
        <f>IFERROR(R370/$V370*90,"")</f>
        <v>0.23136246786632389</v>
      </c>
      <c r="AQ370" s="2">
        <f>IFERROR(S370/$V370*90,"")</f>
        <v>0.23136246786632389</v>
      </c>
      <c r="AR370" s="2">
        <f>IFERROR(W370/$V370*90,"")</f>
        <v>0.61696658097686374</v>
      </c>
      <c r="AS370" s="2">
        <f>IFERROR(X370/$V370*90,"")</f>
        <v>7.7120822622107968E-2</v>
      </c>
      <c r="AT370" s="2">
        <f>IFERROR(Y370/$V370*90,"")</f>
        <v>0</v>
      </c>
      <c r="AU370" s="2">
        <f>IF(AP370="",INDEX(BV$4:BV$7,MATCH(O370,$BU$4:$BU$7,0)),AP370)</f>
        <v>0.23136246786632389</v>
      </c>
      <c r="AV370" s="2">
        <f>IF(AQ370="",INDEX(BW$4:BW$7,MATCH($O370,$BU$4:$BU$7,0)),AQ370)</f>
        <v>0.23136246786632389</v>
      </c>
      <c r="AW370" s="2">
        <f t="shared" si="60"/>
        <v>0.61696658097686374</v>
      </c>
      <c r="AX370" s="2">
        <f t="shared" si="61"/>
        <v>7.7120822622107968E-2</v>
      </c>
      <c r="AY370" s="2">
        <f t="shared" si="62"/>
        <v>0</v>
      </c>
      <c r="AZ370" s="2">
        <f>AU370*0.5+AK370*0.5</f>
        <v>0.16746694821887623</v>
      </c>
      <c r="BA370" s="2">
        <f>AV370*0.5+AJ370*0.5</f>
        <v>0.14169084931777734</v>
      </c>
      <c r="BB370" s="2">
        <f t="shared" si="63"/>
        <v>3.8560411311053984E-2</v>
      </c>
      <c r="BC370">
        <f>IF(I370="expected",1,0)</f>
        <v>1</v>
      </c>
      <c r="BD370" s="78">
        <f>IF(BC370=1,AZ370/SUMIFS(AZ$3:AZ$623,$BC$3:$BC$623,1,$G$3:$G$623,$G370),0)</f>
        <v>7.3759637203322959E-2</v>
      </c>
      <c r="BE370" s="78">
        <f>IF(BC370=1,BA370/SUMIFS(BA$3:BA$623,$BC$3:$BC$623,1,$G$3:$G$623,$G370),0)</f>
        <v>0.11883851846151466</v>
      </c>
      <c r="BF370" s="78">
        <f t="shared" si="64"/>
        <v>0.11640831092209344</v>
      </c>
      <c r="BG370" s="2">
        <f t="shared" si="65"/>
        <v>3.8560411311053984E-2</v>
      </c>
      <c r="BH370" s="2">
        <f t="shared" si="66"/>
        <v>0</v>
      </c>
      <c r="BI370" s="2">
        <f t="shared" si="67"/>
        <v>7.3759637203322959E-2</v>
      </c>
      <c r="BJ370" s="2">
        <f t="shared" si="68"/>
        <v>0.11883851846151466</v>
      </c>
      <c r="BK370" s="2">
        <f t="shared" si="69"/>
        <v>0.11640831092209344</v>
      </c>
      <c r="BL370" s="2">
        <f t="shared" si="70"/>
        <v>3.8560411311053984E-2</v>
      </c>
      <c r="BM370" s="2">
        <f t="shared" si="71"/>
        <v>0</v>
      </c>
      <c r="BN370" s="2">
        <f>BI370/SUMIFS(BI$3:BI$623,$BC$3:$BC$623,1,$G$3:$G$623,$G370)</f>
        <v>7.3759637203322972E-2</v>
      </c>
      <c r="BO370" s="2">
        <f>BJ370/SUMIFS(BJ$3:BJ$623,$BC$3:$BC$623,1,$G$3:$G$623,$G370)</f>
        <v>0.11883851846151464</v>
      </c>
      <c r="BP370" s="2">
        <f>BK370/SUMIFS(BK$3:BK$623,$BC$3:$BC$623,1,$G$3:$G$623,$G370)</f>
        <v>0.12018386117185831</v>
      </c>
      <c r="BQ370" s="2">
        <f>BL370</f>
        <v>3.8560411311053984E-2</v>
      </c>
      <c r="BR370" s="2">
        <f>BM370</f>
        <v>0</v>
      </c>
    </row>
    <row r="371" spans="1:70" hidden="1">
      <c r="A371" s="74">
        <v>0</v>
      </c>
      <c r="B371" s="73">
        <v>204722</v>
      </c>
      <c r="C371" s="73" t="s">
        <v>2453</v>
      </c>
      <c r="D371" s="73" t="s">
        <v>2432</v>
      </c>
      <c r="E371" s="73" t="s">
        <v>2454</v>
      </c>
      <c r="F371" s="73">
        <v>18716</v>
      </c>
      <c r="G371" s="73" t="s">
        <v>862</v>
      </c>
      <c r="H371" s="73" t="s">
        <v>935</v>
      </c>
      <c r="I371" s="73" t="s">
        <v>981</v>
      </c>
      <c r="J371" s="73">
        <v>0</v>
      </c>
      <c r="K371" s="73">
        <v>4.5</v>
      </c>
      <c r="L371" s="73">
        <v>0</v>
      </c>
      <c r="M371" s="73">
        <v>0</v>
      </c>
      <c r="N371" s="73">
        <v>0</v>
      </c>
      <c r="O371" s="73" t="s">
        <v>1318</v>
      </c>
      <c r="P371" s="73" t="s">
        <v>2455</v>
      </c>
      <c r="Q371" s="73" t="s">
        <v>2456</v>
      </c>
      <c r="R371" s="73">
        <v>0</v>
      </c>
      <c r="S371" s="73">
        <v>0</v>
      </c>
      <c r="T371" s="73">
        <v>0</v>
      </c>
      <c r="U371" s="73">
        <v>0</v>
      </c>
      <c r="V371" s="73">
        <v>1676</v>
      </c>
      <c r="W371" s="73">
        <v>1</v>
      </c>
      <c r="X371" s="73">
        <v>2</v>
      </c>
      <c r="Y371" s="73">
        <v>0</v>
      </c>
      <c r="Z371" s="73" t="s">
        <v>1922</v>
      </c>
      <c r="AA371" s="73" t="s">
        <v>692</v>
      </c>
      <c r="AB371" s="73" t="str">
        <f>IF(AA371&lt;&gt;"",INDEX(Lookup!$N$2:$N$5,MATCH(Players!AA371,Lookup!$P$2:$P$5,0)),INDEX(Lookup!$N$2:$N$5,MATCH(Players!O371,Lookup!$O$2:$O$5,0)))</f>
        <v>Defense</v>
      </c>
      <c r="AC371" s="73">
        <v>2000000</v>
      </c>
      <c r="AD371" s="73" t="s">
        <v>790</v>
      </c>
      <c r="AE371" s="73" t="str">
        <f>INDEX('Translate table'!$H$2:$H$622,MATCH(Players!P371,'Translate table'!$G$2:$G$622,0))</f>
        <v>Alex Meret</v>
      </c>
      <c r="AF371" s="73">
        <f>IFERROR(INDEX('Euro Qual stats'!$A$1:$L$2071,MATCH(Players!$AE371,'Euro Qual stats'!$A$1:$A$2071,0),MATCH(Players!AF$2,'Euro Qual stats'!$A$1:$L$1,0)),0)</f>
        <v>1</v>
      </c>
      <c r="AG371" s="73">
        <f>IFERROR(INDEX('Euro Qual stats'!$A$1:$L$2071,MATCH(Players!$AE371,'Euro Qual stats'!$A$1:$A$2071,0),MATCH(Players!AG$2,'Euro Qual stats'!$A$1:$L$1,0)),0)</f>
        <v>0</v>
      </c>
      <c r="AH371" s="73">
        <f>IFERROR(INDEX('Euro Qual stats'!$A$1:$L$2071,MATCH(Players!$AE371,'Euro Qual stats'!$A$1:$A$2071,0),MATCH(Players!AH$2,'Euro Qual stats'!$A$1:$L$1,0)),0)</f>
        <v>0</v>
      </c>
      <c r="AI371" s="73">
        <f>IFERROR(INDEX('Euro Qual stats'!$A$1:$L$2071,MATCH(Players!$AE371,'Euro Qual stats'!$A$1:$A$2071,0),MATCH(Players!AI$2,'Euro Qual stats'!$A$1:$L$1,0)),0)</f>
        <v>0</v>
      </c>
      <c r="AJ371" s="93">
        <f>(12-AF371)/12*INDEX(BV$9:BV$12,MATCH($AB371,$BU$9:$BU$12,0))+AF371/12*AG371</f>
        <v>8.1744505494505515E-2</v>
      </c>
      <c r="AK371" s="93">
        <f>(12-AG371)/12*INDEX(BW$9:BW$12,MATCH($AB371,$BU$9:$BU$12,0))+AG371/12*AH371</f>
        <v>0.10357142857142858</v>
      </c>
      <c r="AL371" s="93">
        <f>(12-AH371)/12*INDEX(BX$9:BX$12,MATCH($AB371,$BU$9:$BU$12,0))+AH371/12*AI371</f>
        <v>0.19357142857142848</v>
      </c>
      <c r="AM371" s="93">
        <f>IF($BC371=1,AJ371/SUMIFS(AJ$3:AJ$623,$BC$3:$BC$623,1,$G$3:$G$623,$G371),0)</f>
        <v>6.6667726021360729E-2</v>
      </c>
      <c r="AN371" s="93">
        <f>IF($BC371=1,AK371/SUMIFS(AK$3:AK$623,$BC$3:$BC$623,1,$G$3:$G$623,$G371),0)</f>
        <v>3.8735395641179712E-2</v>
      </c>
      <c r="AO371" s="93">
        <f>IF($BC371=1,AL371/SUMIFS(AL$3:AL$623,$BC$3:$BC$623,1,$G$3:$G$623,$G371),0)</f>
        <v>9.6899955046862288E-2</v>
      </c>
      <c r="AP371" s="2">
        <f>IFERROR(R371/$V371*90,"")</f>
        <v>0</v>
      </c>
      <c r="AQ371" s="2">
        <f>IFERROR(S371/$V371*90,"")</f>
        <v>0</v>
      </c>
      <c r="AR371" s="2">
        <f>IFERROR(W371/$V371*90,"")</f>
        <v>5.3699284009546544E-2</v>
      </c>
      <c r="AS371" s="2">
        <f>IFERROR(X371/$V371*90,"")</f>
        <v>0.10739856801909309</v>
      </c>
      <c r="AT371" s="2">
        <f>IFERROR(Y371/$V371*90,"")</f>
        <v>0</v>
      </c>
      <c r="AU371" s="2">
        <f>IF(AP371="",INDEX(BV$4:BV$7,MATCH(O371,$BU$4:$BU$7,0)),AP371)</f>
        <v>0</v>
      </c>
      <c r="AV371" s="2">
        <f>IF(AQ371="",INDEX(BW$4:BW$7,MATCH($O371,$BU$4:$BU$7,0)),AQ371)</f>
        <v>0</v>
      </c>
      <c r="AW371" s="2">
        <f t="shared" si="60"/>
        <v>5.3699284009546544E-2</v>
      </c>
      <c r="AX371" s="2">
        <f t="shared" si="61"/>
        <v>0.10739856801909309</v>
      </c>
      <c r="AY371" s="2">
        <f t="shared" si="62"/>
        <v>0</v>
      </c>
      <c r="AZ371" s="2">
        <f>AU371*0.5+AK371*0.5</f>
        <v>5.1785714285714289E-2</v>
      </c>
      <c r="BA371" s="2">
        <f>AV371*0.5+AJ371*0.5</f>
        <v>4.0872252747252757E-2</v>
      </c>
      <c r="BB371" s="2">
        <f t="shared" si="63"/>
        <v>5.3699284009546544E-2</v>
      </c>
      <c r="BC371">
        <f>IF(I371="expected",1,0)</f>
        <v>1</v>
      </c>
      <c r="BD371" s="78">
        <f>IF(BC371=1,AZ371/SUMIFS(AZ$3:AZ$623,$BC$3:$BC$623,1,$G$3:$G$623,$G371),0)</f>
        <v>2.2808652923184299E-2</v>
      </c>
      <c r="BE371" s="78">
        <f>IF(BC371=1,BA371/SUMIFS(BA$3:BA$623,$BC$3:$BC$623,1,$G$3:$G$623,$G371),0)</f>
        <v>3.428025159038043E-2</v>
      </c>
      <c r="BF371" s="78">
        <f t="shared" si="64"/>
        <v>1.0131898780286626E-2</v>
      </c>
      <c r="BG371" s="2">
        <f t="shared" si="65"/>
        <v>5.3699284009546544E-2</v>
      </c>
      <c r="BH371" s="2">
        <f t="shared" si="66"/>
        <v>0</v>
      </c>
      <c r="BI371" s="2">
        <f t="shared" si="67"/>
        <v>2.2808652923184299E-2</v>
      </c>
      <c r="BJ371" s="2">
        <f t="shared" si="68"/>
        <v>3.428025159038043E-2</v>
      </c>
      <c r="BK371" s="2">
        <f t="shared" si="69"/>
        <v>1.0131898780286626E-2</v>
      </c>
      <c r="BL371" s="2">
        <f t="shared" si="70"/>
        <v>5.3699284009546544E-2</v>
      </c>
      <c r="BM371" s="2">
        <f t="shared" si="71"/>
        <v>0</v>
      </c>
      <c r="BN371" s="2">
        <f>BI371/SUMIFS(BI$3:BI$623,$BC$3:$BC$623,1,$G$3:$G$623,$G371)</f>
        <v>2.2808652923184302E-2</v>
      </c>
      <c r="BO371" s="2">
        <f>BJ371/SUMIFS(BJ$3:BJ$623,$BC$3:$BC$623,1,$G$3:$G$623,$G371)</f>
        <v>3.4280251590380423E-2</v>
      </c>
      <c r="BP371" s="2">
        <f>BK371/SUMIFS(BK$3:BK$623,$BC$3:$BC$623,1,$G$3:$G$623,$G371)</f>
        <v>1.0460513573057778E-2</v>
      </c>
      <c r="BQ371" s="2">
        <f>BL371</f>
        <v>5.3699284009546544E-2</v>
      </c>
      <c r="BR371" s="2">
        <f>BM371</f>
        <v>0</v>
      </c>
    </row>
    <row r="372" spans="1:70" hidden="1">
      <c r="A372" s="74">
        <v>0</v>
      </c>
      <c r="B372" s="73">
        <v>220823</v>
      </c>
      <c r="C372" s="73" t="s">
        <v>2457</v>
      </c>
      <c r="D372" s="73" t="s">
        <v>2458</v>
      </c>
      <c r="E372" s="73" t="s">
        <v>2459</v>
      </c>
      <c r="F372" s="73">
        <v>18716</v>
      </c>
      <c r="G372" s="73" t="s">
        <v>862</v>
      </c>
      <c r="H372" s="73" t="s">
        <v>935</v>
      </c>
      <c r="I372" s="73" t="s">
        <v>1012</v>
      </c>
      <c r="J372" s="73">
        <v>0</v>
      </c>
      <c r="K372" s="73">
        <v>4.5</v>
      </c>
      <c r="L372" s="73">
        <v>0</v>
      </c>
      <c r="M372" s="73">
        <v>0</v>
      </c>
      <c r="N372" s="73">
        <v>0</v>
      </c>
      <c r="O372" s="73" t="s">
        <v>994</v>
      </c>
      <c r="P372" s="73" t="s">
        <v>2460</v>
      </c>
      <c r="Q372" s="73" t="s">
        <v>2461</v>
      </c>
      <c r="R372" s="73">
        <v>0</v>
      </c>
      <c r="S372" s="73">
        <v>0</v>
      </c>
      <c r="T372" s="73">
        <v>0</v>
      </c>
      <c r="U372" s="73">
        <v>0</v>
      </c>
      <c r="V372" s="73">
        <v>0</v>
      </c>
      <c r="W372" s="73">
        <v>0</v>
      </c>
      <c r="X372" s="73">
        <v>0</v>
      </c>
      <c r="Y372" s="73">
        <v>0</v>
      </c>
      <c r="Z372" s="73" t="s">
        <v>1922</v>
      </c>
      <c r="AA372" s="73" t="s">
        <v>693</v>
      </c>
      <c r="AB372" s="73" t="str">
        <f>IF(AA372&lt;&gt;"",INDEX(Lookup!$N$2:$N$5,MATCH(Players!AA372,Lookup!$P$2:$P$5,0)),INDEX(Lookup!$N$2:$N$5,MATCH(Players!O372,Lookup!$O$2:$O$5,0)))</f>
        <v>Striker</v>
      </c>
      <c r="AC372" s="73">
        <v>3000000</v>
      </c>
      <c r="AD372" s="73" t="s">
        <v>753</v>
      </c>
      <c r="AE372" s="73" t="str">
        <f>INDEX('Translate table'!$H$2:$H$622,MATCH(Players!P372,'Translate table'!$G$2:$G$622,0))</f>
        <v>Abdulkadir Parmak</v>
      </c>
      <c r="AF372" s="73">
        <f>IFERROR(INDEX('Euro Qual stats'!$A$1:$L$2071,MATCH(Players!$AE372,'Euro Qual stats'!$A$1:$A$2071,0),MATCH(Players!AF$2,'Euro Qual stats'!$A$1:$L$1,0)),0)</f>
        <v>1</v>
      </c>
      <c r="AG372" s="73">
        <f>IFERROR(INDEX('Euro Qual stats'!$A$1:$L$2071,MATCH(Players!$AE372,'Euro Qual stats'!$A$1:$A$2071,0),MATCH(Players!AG$2,'Euro Qual stats'!$A$1:$L$1,0)),0)</f>
        <v>0</v>
      </c>
      <c r="AH372" s="73">
        <f>IFERROR(INDEX('Euro Qual stats'!$A$1:$L$2071,MATCH(Players!$AE372,'Euro Qual stats'!$A$1:$A$2071,0),MATCH(Players!AH$2,'Euro Qual stats'!$A$1:$L$1,0)),0)</f>
        <v>0</v>
      </c>
      <c r="AI372" s="73">
        <f>IFERROR(INDEX('Euro Qual stats'!$A$1:$L$2071,MATCH(Players!$AE372,'Euro Qual stats'!$A$1:$A$2071,0),MATCH(Players!AI$2,'Euro Qual stats'!$A$1:$L$1,0)),0)</f>
        <v>0</v>
      </c>
      <c r="AJ372" s="93">
        <f>(12-AF372)/12*INDEX(BV$9:BV$12,MATCH($AB372,$BU$9:$BU$12,0))+AF372/12*AG372</f>
        <v>0.18783764367816094</v>
      </c>
      <c r="AK372" s="93">
        <f>(12-AG372)/12*INDEX(BW$9:BW$12,MATCH($AB372,$BU$9:$BU$12,0))+AG372/12*AH372</f>
        <v>0.53387931034482738</v>
      </c>
      <c r="AL372" s="93">
        <f>(12-AH372)/12*INDEX(BX$9:BX$12,MATCH($AB372,$BU$9:$BU$12,0))+AH372/12*AI372</f>
        <v>0.16482758620689658</v>
      </c>
      <c r="AM372" s="93">
        <f>IF($BC372=1,AJ372/SUMIFS(AJ$3:AJ$623,$BC$3:$BC$623,1,$G$3:$G$623,$G372),0)</f>
        <v>0</v>
      </c>
      <c r="AN372" s="93">
        <f>IF($BC372=1,AK372/SUMIFS(AK$3:AK$623,$BC$3:$BC$623,1,$G$3:$G$623,$G372),0)</f>
        <v>0</v>
      </c>
      <c r="AO372" s="93">
        <f>IF($BC372=1,AL372/SUMIFS(AL$3:AL$623,$BC$3:$BC$623,1,$G$3:$G$623,$G372),0)</f>
        <v>0</v>
      </c>
      <c r="AP372" s="2" t="str">
        <f>IFERROR(R372/$V372*90,"")</f>
        <v/>
      </c>
      <c r="AQ372" s="2" t="str">
        <f>IFERROR(S372/$V372*90,"")</f>
        <v/>
      </c>
      <c r="AR372" s="2" t="str">
        <f>IFERROR(W372/$V372*90,"")</f>
        <v/>
      </c>
      <c r="AS372" s="2" t="str">
        <f>IFERROR(X372/$V372*90,"")</f>
        <v/>
      </c>
      <c r="AT372" s="2" t="str">
        <f>IFERROR(Y372/$V372*90,"")</f>
        <v/>
      </c>
      <c r="AU372" s="2">
        <f>IF(AP372="",INDEX(BV$4:BV$7,MATCH(O372,$BU$4:$BU$7,0)),AP372)</f>
        <v>3.6526142445450806E-2</v>
      </c>
      <c r="AV372" s="2">
        <f>IF(AQ372="",INDEX(BW$4:BW$7,MATCH($O372,$BU$4:$BU$7,0)),AQ372)</f>
        <v>3.2427739661688867E-2</v>
      </c>
      <c r="AW372" s="2">
        <f t="shared" si="60"/>
        <v>0.20013349649571699</v>
      </c>
      <c r="AX372" s="2">
        <f t="shared" si="61"/>
        <v>0.16081000595592615</v>
      </c>
      <c r="AY372" s="2">
        <f t="shared" si="62"/>
        <v>0</v>
      </c>
      <c r="AZ372" s="2">
        <f>AU372*0.5+AK372*0.5</f>
        <v>0.28520272639513911</v>
      </c>
      <c r="BA372" s="2">
        <f>AV372*0.5+AJ372*0.5</f>
        <v>0.1101326916699249</v>
      </c>
      <c r="BB372" s="2">
        <f t="shared" si="63"/>
        <v>8.0405002977963075E-2</v>
      </c>
      <c r="BC372">
        <f>IF(I372="expected",1,0)</f>
        <v>0</v>
      </c>
      <c r="BD372" s="78">
        <f>IF(BC372=1,AZ372/SUMIFS(AZ$3:AZ$623,$BC$3:$BC$623,1,$G$3:$G$623,$G372),0)</f>
        <v>0</v>
      </c>
      <c r="BE372" s="78">
        <f>IF(BC372=1,BA372/SUMIFS(BA$3:BA$623,$BC$3:$BC$623,1,$G$3:$G$623,$G372),0)</f>
        <v>0</v>
      </c>
      <c r="BF372" s="78">
        <f t="shared" si="64"/>
        <v>0</v>
      </c>
      <c r="BG372" s="2">
        <f t="shared" si="65"/>
        <v>8.0405002977963075E-2</v>
      </c>
      <c r="BH372" s="2">
        <f t="shared" si="66"/>
        <v>0</v>
      </c>
      <c r="BI372" s="2">
        <f t="shared" si="67"/>
        <v>0</v>
      </c>
      <c r="BJ372" s="2">
        <f t="shared" si="68"/>
        <v>0</v>
      </c>
      <c r="BK372" s="2">
        <f t="shared" si="69"/>
        <v>0</v>
      </c>
      <c r="BL372" s="2">
        <f t="shared" si="70"/>
        <v>8.0405002977963075E-2</v>
      </c>
      <c r="BM372" s="2">
        <f t="shared" si="71"/>
        <v>0</v>
      </c>
      <c r="BN372" s="2">
        <f>BI372/SUMIFS(BI$3:BI$623,$BC$3:$BC$623,1,$G$3:$G$623,$G372)</f>
        <v>0</v>
      </c>
      <c r="BO372" s="2">
        <f>BJ372/SUMIFS(BJ$3:BJ$623,$BC$3:$BC$623,1,$G$3:$G$623,$G372)</f>
        <v>0</v>
      </c>
      <c r="BP372" s="2">
        <f>BK372/SUMIFS(BK$3:BK$623,$BC$3:$BC$623,1,$G$3:$G$623,$G372)</f>
        <v>0</v>
      </c>
      <c r="BQ372" s="2">
        <f>BL372</f>
        <v>8.0405002977963075E-2</v>
      </c>
      <c r="BR372" s="2">
        <f>BM372</f>
        <v>0</v>
      </c>
    </row>
    <row r="373" spans="1:70" hidden="1">
      <c r="A373" s="74">
        <v>0</v>
      </c>
      <c r="B373" s="73">
        <v>220819</v>
      </c>
      <c r="C373" s="73" t="s">
        <v>2462</v>
      </c>
      <c r="D373" s="73" t="s">
        <v>2463</v>
      </c>
      <c r="E373" s="73" t="s">
        <v>2464</v>
      </c>
      <c r="F373" s="73">
        <v>18716</v>
      </c>
      <c r="G373" s="73" t="s">
        <v>862</v>
      </c>
      <c r="H373" s="73" t="s">
        <v>935</v>
      </c>
      <c r="I373" s="73" t="s">
        <v>1012</v>
      </c>
      <c r="J373" s="73">
        <v>0</v>
      </c>
      <c r="K373" s="73">
        <v>4.5</v>
      </c>
      <c r="L373" s="73">
        <v>0</v>
      </c>
      <c r="M373" s="73">
        <v>0</v>
      </c>
      <c r="N373" s="73">
        <v>0</v>
      </c>
      <c r="O373" s="73" t="s">
        <v>994</v>
      </c>
      <c r="P373" s="73" t="s">
        <v>2465</v>
      </c>
      <c r="Q373" s="73" t="s">
        <v>1164</v>
      </c>
      <c r="R373" s="73"/>
      <c r="S373" s="73"/>
      <c r="T373" s="73"/>
      <c r="U373" s="73"/>
      <c r="V373" s="73"/>
      <c r="W373" s="73"/>
      <c r="X373" s="73"/>
      <c r="Y373" s="73"/>
      <c r="Z373" s="73" t="s">
        <v>1922</v>
      </c>
      <c r="AA373" s="73" t="s">
        <v>691</v>
      </c>
      <c r="AB373" s="73" t="str">
        <f>IF(AA373&lt;&gt;"",INDEX(Lookup!$N$2:$N$5,MATCH(Players!AA373,Lookup!$P$2:$P$5,0)),INDEX(Lookup!$N$2:$N$5,MATCH(Players!O373,Lookup!$O$2:$O$5,0)))</f>
        <v>Midfield</v>
      </c>
      <c r="AC373" s="73">
        <v>2500000</v>
      </c>
      <c r="AD373" s="73" t="s">
        <v>753</v>
      </c>
      <c r="AE373" s="73" t="str">
        <f>INDEX('Translate table'!$H$2:$H$622,MATCH(Players!P373,'Translate table'!$G$2:$G$622,0))</f>
        <v>Dorukhan TokÃ¶z</v>
      </c>
      <c r="AF373" s="73">
        <f>IFERROR(INDEX('Euro Qual stats'!$A$1:$L$2071,MATCH(Players!$AE373,'Euro Qual stats'!$A$1:$A$2071,0),MATCH(Players!AF$2,'Euro Qual stats'!$A$1:$L$1,0)),0)</f>
        <v>5</v>
      </c>
      <c r="AG373" s="73">
        <f>IFERROR(INDEX('Euro Qual stats'!$A$1:$L$2071,MATCH(Players!$AE373,'Euro Qual stats'!$A$1:$A$2071,0),MATCH(Players!AG$2,'Euro Qual stats'!$A$1:$L$1,0)),0)</f>
        <v>0.49</v>
      </c>
      <c r="AH373" s="73">
        <f>IFERROR(INDEX('Euro Qual stats'!$A$1:$L$2071,MATCH(Players!$AE373,'Euro Qual stats'!$A$1:$A$2071,0),MATCH(Players!AH$2,'Euro Qual stats'!$A$1:$L$1,0)),0)</f>
        <v>0.24</v>
      </c>
      <c r="AI373" s="73">
        <f>IFERROR(INDEX('Euro Qual stats'!$A$1:$L$2071,MATCH(Players!$AE373,'Euro Qual stats'!$A$1:$A$2071,0),MATCH(Players!AI$2,'Euro Qual stats'!$A$1:$L$1,0)),0)</f>
        <v>0.24</v>
      </c>
      <c r="AJ373" s="93">
        <f>(12-AF373)/12*INDEX(BV$9:BV$12,MATCH($AB373,$BU$9:$BU$12,0))+AF373/12*AG373</f>
        <v>0.30256980802792321</v>
      </c>
      <c r="AK373" s="93">
        <f>(12-AG373)/12*INDEX(BW$9:BW$12,MATCH($AB373,$BU$9:$BU$12,0))+AG373/12*AH373</f>
        <v>0.22408084642233855</v>
      </c>
      <c r="AL373" s="93">
        <f>(12-AH373)/12*INDEX(BX$9:BX$12,MATCH($AB373,$BU$9:$BU$12,0))+AH373/12*AI373</f>
        <v>0.23943560209424086</v>
      </c>
      <c r="AM373" s="93">
        <f>IF($BC373=1,AJ373/SUMIFS(AJ$3:AJ$623,$BC$3:$BC$623,1,$G$3:$G$623,$G373),0)</f>
        <v>0</v>
      </c>
      <c r="AN373" s="93">
        <f>IF($BC373=1,AK373/SUMIFS(AK$3:AK$623,$BC$3:$BC$623,1,$G$3:$G$623,$G373),0)</f>
        <v>0</v>
      </c>
      <c r="AO373" s="93">
        <f>IF($BC373=1,AL373/SUMIFS(AL$3:AL$623,$BC$3:$BC$623,1,$G$3:$G$623,$G373),0)</f>
        <v>0</v>
      </c>
      <c r="AP373" s="2" t="str">
        <f>IFERROR(R373/$V373*90,"")</f>
        <v/>
      </c>
      <c r="AQ373" s="2" t="str">
        <f>IFERROR(S373/$V373*90,"")</f>
        <v/>
      </c>
      <c r="AR373" s="2" t="str">
        <f>IFERROR(W373/$V373*90,"")</f>
        <v/>
      </c>
      <c r="AS373" s="2" t="str">
        <f>IFERROR(X373/$V373*90,"")</f>
        <v/>
      </c>
      <c r="AT373" s="2" t="str">
        <f>IFERROR(Y373/$V373*90,"")</f>
        <v/>
      </c>
      <c r="AU373" s="2">
        <f>IF(AP373="",INDEX(BV$4:BV$7,MATCH(O373,$BU$4:$BU$7,0)),AP373)</f>
        <v>3.6526142445450806E-2</v>
      </c>
      <c r="AV373" s="2">
        <f>IF(AQ373="",INDEX(BW$4:BW$7,MATCH($O373,$BU$4:$BU$7,0)),AQ373)</f>
        <v>3.2427739661688867E-2</v>
      </c>
      <c r="AW373" s="2">
        <f t="shared" si="60"/>
        <v>0.20013349649571699</v>
      </c>
      <c r="AX373" s="2">
        <f t="shared" si="61"/>
        <v>0.16081000595592615</v>
      </c>
      <c r="AY373" s="2">
        <f t="shared" si="62"/>
        <v>0</v>
      </c>
      <c r="AZ373" s="2">
        <f>AU373*0.5+AK373*0.5</f>
        <v>0.13030349443389469</v>
      </c>
      <c r="BA373" s="2">
        <f>AV373*0.5+AJ373*0.5</f>
        <v>0.16749877384480605</v>
      </c>
      <c r="BB373" s="2">
        <f t="shared" si="63"/>
        <v>0.20040500297796307</v>
      </c>
      <c r="BC373">
        <f>IF(I373="expected",1,0)</f>
        <v>0</v>
      </c>
      <c r="BD373" s="78">
        <f>IF(BC373=1,AZ373/SUMIFS(AZ$3:AZ$623,$BC$3:$BC$623,1,$G$3:$G$623,$G373),0)</f>
        <v>0</v>
      </c>
      <c r="BE373" s="78">
        <f>IF(BC373=1,BA373/SUMIFS(BA$3:BA$623,$BC$3:$BC$623,1,$G$3:$G$623,$G373),0)</f>
        <v>0</v>
      </c>
      <c r="BF373" s="78">
        <f t="shared" si="64"/>
        <v>0</v>
      </c>
      <c r="BG373" s="2">
        <f t="shared" si="65"/>
        <v>0.20040500297796307</v>
      </c>
      <c r="BH373" s="2">
        <f t="shared" si="66"/>
        <v>0</v>
      </c>
      <c r="BI373" s="2">
        <f t="shared" si="67"/>
        <v>0</v>
      </c>
      <c r="BJ373" s="2">
        <f t="shared" si="68"/>
        <v>0</v>
      </c>
      <c r="BK373" s="2">
        <f t="shared" si="69"/>
        <v>0</v>
      </c>
      <c r="BL373" s="2">
        <f t="shared" si="70"/>
        <v>0.20040500297796307</v>
      </c>
      <c r="BM373" s="2">
        <f t="shared" si="71"/>
        <v>0</v>
      </c>
      <c r="BN373" s="2">
        <f>BI373/SUMIFS(BI$3:BI$623,$BC$3:$BC$623,1,$G$3:$G$623,$G373)</f>
        <v>0</v>
      </c>
      <c r="BO373" s="2">
        <f>BJ373/SUMIFS(BJ$3:BJ$623,$BC$3:$BC$623,1,$G$3:$G$623,$G373)</f>
        <v>0</v>
      </c>
      <c r="BP373" s="2">
        <f>BK373/SUMIFS(BK$3:BK$623,$BC$3:$BC$623,1,$G$3:$G$623,$G373)</f>
        <v>0</v>
      </c>
      <c r="BQ373" s="2">
        <f>BL373</f>
        <v>0.20040500297796307</v>
      </c>
      <c r="BR373" s="2">
        <f>BM373</f>
        <v>0</v>
      </c>
    </row>
    <row r="374" spans="1:70" hidden="1">
      <c r="A374" s="74">
        <v>0</v>
      </c>
      <c r="B374" s="73">
        <v>220818</v>
      </c>
      <c r="C374" s="73" t="s">
        <v>2466</v>
      </c>
      <c r="D374" s="73" t="s">
        <v>2467</v>
      </c>
      <c r="E374" s="73" t="s">
        <v>2468</v>
      </c>
      <c r="F374" s="73">
        <v>18716</v>
      </c>
      <c r="G374" s="73" t="s">
        <v>862</v>
      </c>
      <c r="H374" s="73" t="s">
        <v>935</v>
      </c>
      <c r="I374" s="73" t="s">
        <v>1012</v>
      </c>
      <c r="J374" s="73">
        <v>0</v>
      </c>
      <c r="K374" s="73">
        <v>4.5</v>
      </c>
      <c r="L374" s="73">
        <v>0</v>
      </c>
      <c r="M374" s="73">
        <v>0</v>
      </c>
      <c r="N374" s="73">
        <v>0</v>
      </c>
      <c r="O374" s="73" t="s">
        <v>994</v>
      </c>
      <c r="P374" s="73" t="s">
        <v>2469</v>
      </c>
      <c r="Q374" s="73" t="s">
        <v>1164</v>
      </c>
      <c r="R374" s="73"/>
      <c r="S374" s="73"/>
      <c r="T374" s="73"/>
      <c r="U374" s="73"/>
      <c r="V374" s="73"/>
      <c r="W374" s="73"/>
      <c r="X374" s="73"/>
      <c r="Y374" s="73"/>
      <c r="Z374" s="73" t="s">
        <v>1922</v>
      </c>
      <c r="AA374" s="73" t="s">
        <v>691</v>
      </c>
      <c r="AB374" s="73" t="str">
        <f>IF(AA374&lt;&gt;"",INDEX(Lookup!$N$2:$N$5,MATCH(Players!AA374,Lookup!$P$2:$P$5,0)),INDEX(Lookup!$N$2:$N$5,MATCH(Players!O374,Lookup!$O$2:$O$5,0)))</f>
        <v>Midfield</v>
      </c>
      <c r="AC374" s="73">
        <v>2000000</v>
      </c>
      <c r="AD374" s="73" t="s">
        <v>789</v>
      </c>
      <c r="AE374" s="73">
        <f>INDEX('Translate table'!$H$2:$H$622,MATCH(Players!P374,'Translate table'!$G$2:$G$622,0))</f>
        <v>0</v>
      </c>
      <c r="AF374" s="73">
        <f>IFERROR(INDEX('Euro Qual stats'!$A$1:$L$2071,MATCH(Players!$AE374,'Euro Qual stats'!$A$1:$A$2071,0),MATCH(Players!AF$2,'Euro Qual stats'!$A$1:$L$1,0)),0)</f>
        <v>0</v>
      </c>
      <c r="AG374" s="73">
        <f>IFERROR(INDEX('Euro Qual stats'!$A$1:$L$2071,MATCH(Players!$AE374,'Euro Qual stats'!$A$1:$A$2071,0),MATCH(Players!AG$2,'Euro Qual stats'!$A$1:$L$1,0)),0)</f>
        <v>0</v>
      </c>
      <c r="AH374" s="73">
        <f>IFERROR(INDEX('Euro Qual stats'!$A$1:$L$2071,MATCH(Players!$AE374,'Euro Qual stats'!$A$1:$A$2071,0),MATCH(Players!AH$2,'Euro Qual stats'!$A$1:$L$1,0)),0)</f>
        <v>0</v>
      </c>
      <c r="AI374" s="73">
        <f>IFERROR(INDEX('Euro Qual stats'!$A$1:$L$2071,MATCH(Players!$AE374,'Euro Qual stats'!$A$1:$A$2071,0),MATCH(Players!AI$2,'Euro Qual stats'!$A$1:$L$1,0)),0)</f>
        <v>0</v>
      </c>
      <c r="AJ374" s="93">
        <f>(12-AF374)/12*INDEX(BV$9:BV$12,MATCH($AB374,$BU$9:$BU$12,0))+AF374/12*AG374</f>
        <v>0.16869109947643979</v>
      </c>
      <c r="AK374" s="93">
        <f>(12-AG374)/12*INDEX(BW$9:BW$12,MATCH($AB374,$BU$9:$BU$12,0))+AG374/12*AH374</f>
        <v>0.22340314136125652</v>
      </c>
      <c r="AL374" s="93">
        <f>(12-AH374)/12*INDEX(BX$9:BX$12,MATCH($AB374,$BU$9:$BU$12,0))+AH374/12*AI374</f>
        <v>0.23942408376963353</v>
      </c>
      <c r="AM374" s="93">
        <f>IF($BC374=1,AJ374/SUMIFS(AJ$3:AJ$623,$BC$3:$BC$623,1,$G$3:$G$623,$G374),0)</f>
        <v>0</v>
      </c>
      <c r="AN374" s="93">
        <f>IF($BC374=1,AK374/SUMIFS(AK$3:AK$623,$BC$3:$BC$623,1,$G$3:$G$623,$G374),0)</f>
        <v>0</v>
      </c>
      <c r="AO374" s="93">
        <f>IF($BC374=1,AL374/SUMIFS(AL$3:AL$623,$BC$3:$BC$623,1,$G$3:$G$623,$G374),0)</f>
        <v>0</v>
      </c>
      <c r="AP374" s="2" t="str">
        <f>IFERROR(R374/$V374*90,"")</f>
        <v/>
      </c>
      <c r="AQ374" s="2" t="str">
        <f>IFERROR(S374/$V374*90,"")</f>
        <v/>
      </c>
      <c r="AR374" s="2" t="str">
        <f>IFERROR(W374/$V374*90,"")</f>
        <v/>
      </c>
      <c r="AS374" s="2" t="str">
        <f>IFERROR(X374/$V374*90,"")</f>
        <v/>
      </c>
      <c r="AT374" s="2" t="str">
        <f>IFERROR(Y374/$V374*90,"")</f>
        <v/>
      </c>
      <c r="AU374" s="2">
        <f>IF(AP374="",INDEX(BV$4:BV$7,MATCH(O374,$BU$4:$BU$7,0)),AP374)</f>
        <v>3.6526142445450806E-2</v>
      </c>
      <c r="AV374" s="2">
        <f>IF(AQ374="",INDEX(BW$4:BW$7,MATCH($O374,$BU$4:$BU$7,0)),AQ374)</f>
        <v>3.2427739661688867E-2</v>
      </c>
      <c r="AW374" s="2">
        <f t="shared" si="60"/>
        <v>0.20013349649571699</v>
      </c>
      <c r="AX374" s="2">
        <f t="shared" si="61"/>
        <v>0.16081000595592615</v>
      </c>
      <c r="AY374" s="2">
        <f t="shared" si="62"/>
        <v>0</v>
      </c>
      <c r="AZ374" s="2">
        <f>AU374*0.5+AK374*0.5</f>
        <v>0.12996464190335366</v>
      </c>
      <c r="BA374" s="2">
        <f>AV374*0.5+AJ374*0.5</f>
        <v>0.10055941956906433</v>
      </c>
      <c r="BB374" s="2">
        <f t="shared" si="63"/>
        <v>8.0405002977963075E-2</v>
      </c>
      <c r="BC374">
        <f>IF(I374="expected",1,0)</f>
        <v>0</v>
      </c>
      <c r="BD374" s="78">
        <f>IF(BC374=1,AZ374/SUMIFS(AZ$3:AZ$623,$BC$3:$BC$623,1,$G$3:$G$623,$G374),0)</f>
        <v>0</v>
      </c>
      <c r="BE374" s="78">
        <f>IF(BC374=1,BA374/SUMIFS(BA$3:BA$623,$BC$3:$BC$623,1,$G$3:$G$623,$G374),0)</f>
        <v>0</v>
      </c>
      <c r="BF374" s="78">
        <f t="shared" si="64"/>
        <v>0</v>
      </c>
      <c r="BG374" s="2">
        <f t="shared" si="65"/>
        <v>8.0405002977963075E-2</v>
      </c>
      <c r="BH374" s="2">
        <f t="shared" si="66"/>
        <v>0</v>
      </c>
      <c r="BI374" s="2">
        <f t="shared" si="67"/>
        <v>0</v>
      </c>
      <c r="BJ374" s="2">
        <f t="shared" si="68"/>
        <v>0</v>
      </c>
      <c r="BK374" s="2">
        <f t="shared" si="69"/>
        <v>0</v>
      </c>
      <c r="BL374" s="2">
        <f t="shared" si="70"/>
        <v>8.0405002977963075E-2</v>
      </c>
      <c r="BM374" s="2">
        <f t="shared" si="71"/>
        <v>0</v>
      </c>
      <c r="BN374" s="2">
        <f>BI374/SUMIFS(BI$3:BI$623,$BC$3:$BC$623,1,$G$3:$G$623,$G374)</f>
        <v>0</v>
      </c>
      <c r="BO374" s="2">
        <f>BJ374/SUMIFS(BJ$3:BJ$623,$BC$3:$BC$623,1,$G$3:$G$623,$G374)</f>
        <v>0</v>
      </c>
      <c r="BP374" s="2">
        <f>BK374/SUMIFS(BK$3:BK$623,$BC$3:$BC$623,1,$G$3:$G$623,$G374)</f>
        <v>0</v>
      </c>
      <c r="BQ374" s="2">
        <f>BL374</f>
        <v>8.0405002977963075E-2</v>
      </c>
      <c r="BR374" s="2">
        <f>BM374</f>
        <v>0</v>
      </c>
    </row>
    <row r="375" spans="1:70" hidden="1">
      <c r="A375" s="74">
        <v>0</v>
      </c>
      <c r="B375" s="73">
        <v>204717</v>
      </c>
      <c r="C375" s="73" t="s">
        <v>2470</v>
      </c>
      <c r="D375" s="73" t="s">
        <v>2471</v>
      </c>
      <c r="E375" s="73" t="s">
        <v>2472</v>
      </c>
      <c r="F375" s="73">
        <v>18716</v>
      </c>
      <c r="G375" s="73" t="s">
        <v>862</v>
      </c>
      <c r="H375" s="73" t="s">
        <v>935</v>
      </c>
      <c r="I375" s="73" t="s">
        <v>1012</v>
      </c>
      <c r="J375" s="73">
        <v>0</v>
      </c>
      <c r="K375" s="73">
        <v>4.5</v>
      </c>
      <c r="L375" s="73">
        <v>0</v>
      </c>
      <c r="M375" s="73">
        <v>0</v>
      </c>
      <c r="N375" s="73">
        <v>0</v>
      </c>
      <c r="O375" s="73" t="s">
        <v>994</v>
      </c>
      <c r="P375" s="73" t="s">
        <v>2473</v>
      </c>
      <c r="Q375" s="73" t="s">
        <v>1164</v>
      </c>
      <c r="R375" s="73"/>
      <c r="S375" s="73"/>
      <c r="T375" s="73"/>
      <c r="U375" s="73"/>
      <c r="V375" s="73"/>
      <c r="W375" s="73"/>
      <c r="X375" s="73"/>
      <c r="Y375" s="73"/>
      <c r="Z375" s="73" t="s">
        <v>1922</v>
      </c>
      <c r="AA375" s="73" t="s">
        <v>691</v>
      </c>
      <c r="AB375" s="73" t="str">
        <f>IF(AA375&lt;&gt;"",INDEX(Lookup!$N$2:$N$5,MATCH(Players!AA375,Lookup!$P$2:$P$5,0)),INDEX(Lookup!$N$2:$N$5,MATCH(Players!O375,Lookup!$O$2:$O$5,0)))</f>
        <v>Midfield</v>
      </c>
      <c r="AC375" s="73">
        <v>3000000</v>
      </c>
      <c r="AD375" s="73" t="s">
        <v>753</v>
      </c>
      <c r="AE375" s="73" t="str">
        <f>INDEX('Translate table'!$H$2:$H$622,MATCH(Players!P375,'Translate table'!$G$2:$G$622,0))</f>
        <v>Irfan Can Kahveci</v>
      </c>
      <c r="AF375" s="73">
        <f>IFERROR(INDEX('Euro Qual stats'!$A$1:$L$2071,MATCH(Players!$AE375,'Euro Qual stats'!$A$1:$A$2071,0),MATCH(Players!AF$2,'Euro Qual stats'!$A$1:$L$1,0)),0)</f>
        <v>6</v>
      </c>
      <c r="AG375" s="73">
        <f>IFERROR(INDEX('Euro Qual stats'!$A$1:$L$2071,MATCH(Players!$AE375,'Euro Qual stats'!$A$1:$A$2071,0),MATCH(Players!AG$2,'Euro Qual stats'!$A$1:$L$1,0)),0)</f>
        <v>0.21</v>
      </c>
      <c r="AH375" s="73">
        <f>IFERROR(INDEX('Euro Qual stats'!$A$1:$L$2071,MATCH(Players!$AE375,'Euro Qual stats'!$A$1:$A$2071,0),MATCH(Players!AH$2,'Euro Qual stats'!$A$1:$L$1,0)),0)</f>
        <v>0</v>
      </c>
      <c r="AI375" s="73">
        <f>IFERROR(INDEX('Euro Qual stats'!$A$1:$L$2071,MATCH(Players!$AE375,'Euro Qual stats'!$A$1:$A$2071,0),MATCH(Players!AI$2,'Euro Qual stats'!$A$1:$L$1,0)),0)</f>
        <v>0.21</v>
      </c>
      <c r="AJ375" s="93">
        <f>(12-AF375)/12*INDEX(BV$9:BV$12,MATCH($AB375,$BU$9:$BU$12,0))+AF375/12*AG375</f>
        <v>0.18934554973821988</v>
      </c>
      <c r="AK375" s="93">
        <f>(12-AG375)/12*INDEX(BW$9:BW$12,MATCH($AB375,$BU$9:$BU$12,0))+AG375/12*AH375</f>
        <v>0.21949358638743452</v>
      </c>
      <c r="AL375" s="93">
        <f>(12-AH375)/12*INDEX(BX$9:BX$12,MATCH($AB375,$BU$9:$BU$12,0))+AH375/12*AI375</f>
        <v>0.23942408376963353</v>
      </c>
      <c r="AM375" s="93">
        <f>IF($BC375=1,AJ375/SUMIFS(AJ$3:AJ$623,$BC$3:$BC$623,1,$G$3:$G$623,$G375),0)</f>
        <v>0</v>
      </c>
      <c r="AN375" s="93">
        <f>IF($BC375=1,AK375/SUMIFS(AK$3:AK$623,$BC$3:$BC$623,1,$G$3:$G$623,$G375),0)</f>
        <v>0</v>
      </c>
      <c r="AO375" s="93">
        <f>IF($BC375=1,AL375/SUMIFS(AL$3:AL$623,$BC$3:$BC$623,1,$G$3:$G$623,$G375),0)</f>
        <v>0</v>
      </c>
      <c r="AP375" s="2" t="str">
        <f>IFERROR(R375/$V375*90,"")</f>
        <v/>
      </c>
      <c r="AQ375" s="2" t="str">
        <f>IFERROR(S375/$V375*90,"")</f>
        <v/>
      </c>
      <c r="AR375" s="2" t="str">
        <f>IFERROR(W375/$V375*90,"")</f>
        <v/>
      </c>
      <c r="AS375" s="2" t="str">
        <f>IFERROR(X375/$V375*90,"")</f>
        <v/>
      </c>
      <c r="AT375" s="2" t="str">
        <f>IFERROR(Y375/$V375*90,"")</f>
        <v/>
      </c>
      <c r="AU375" s="2">
        <f>IF(AP375="",INDEX(BV$4:BV$7,MATCH(O375,$BU$4:$BU$7,0)),AP375)</f>
        <v>3.6526142445450806E-2</v>
      </c>
      <c r="AV375" s="2">
        <f>IF(AQ375="",INDEX(BW$4:BW$7,MATCH($O375,$BU$4:$BU$7,0)),AQ375)</f>
        <v>3.2427739661688867E-2</v>
      </c>
      <c r="AW375" s="2">
        <f t="shared" si="60"/>
        <v>0.20013349649571699</v>
      </c>
      <c r="AX375" s="2">
        <f t="shared" si="61"/>
        <v>0.16081000595592615</v>
      </c>
      <c r="AY375" s="2">
        <f t="shared" si="62"/>
        <v>0</v>
      </c>
      <c r="AZ375" s="2">
        <f>AU375*0.5+AK375*0.5</f>
        <v>0.12800986441644266</v>
      </c>
      <c r="BA375" s="2">
        <f>AV375*0.5+AJ375*0.5</f>
        <v>0.11088664469995438</v>
      </c>
      <c r="BB375" s="2">
        <f t="shared" si="63"/>
        <v>0.18540500297796308</v>
      </c>
      <c r="BC375">
        <f>IF(I375="expected",1,0)</f>
        <v>0</v>
      </c>
      <c r="BD375" s="78">
        <f>IF(BC375=1,AZ375/SUMIFS(AZ$3:AZ$623,$BC$3:$BC$623,1,$G$3:$G$623,$G375),0)</f>
        <v>0</v>
      </c>
      <c r="BE375" s="78">
        <f>IF(BC375=1,BA375/SUMIFS(BA$3:BA$623,$BC$3:$BC$623,1,$G$3:$G$623,$G375),0)</f>
        <v>0</v>
      </c>
      <c r="BF375" s="78">
        <f t="shared" si="64"/>
        <v>0</v>
      </c>
      <c r="BG375" s="2">
        <f t="shared" si="65"/>
        <v>0.18540500297796308</v>
      </c>
      <c r="BH375" s="2">
        <f t="shared" si="66"/>
        <v>0</v>
      </c>
      <c r="BI375" s="2">
        <f t="shared" si="67"/>
        <v>0</v>
      </c>
      <c r="BJ375" s="2">
        <f t="shared" si="68"/>
        <v>0</v>
      </c>
      <c r="BK375" s="2">
        <f t="shared" si="69"/>
        <v>0</v>
      </c>
      <c r="BL375" s="2">
        <f t="shared" si="70"/>
        <v>0.18540500297796308</v>
      </c>
      <c r="BM375" s="2">
        <f t="shared" si="71"/>
        <v>0</v>
      </c>
      <c r="BN375" s="2">
        <f>BI375/SUMIFS(BI$3:BI$623,$BC$3:$BC$623,1,$G$3:$G$623,$G375)</f>
        <v>0</v>
      </c>
      <c r="BO375" s="2">
        <f>BJ375/SUMIFS(BJ$3:BJ$623,$BC$3:$BC$623,1,$G$3:$G$623,$G375)</f>
        <v>0</v>
      </c>
      <c r="BP375" s="2">
        <f>BK375/SUMIFS(BK$3:BK$623,$BC$3:$BC$623,1,$G$3:$G$623,$G375)</f>
        <v>0</v>
      </c>
      <c r="BQ375" s="2">
        <f>BL375</f>
        <v>0.18540500297796308</v>
      </c>
      <c r="BR375" s="2">
        <f>BM375</f>
        <v>0</v>
      </c>
    </row>
    <row r="376" spans="1:70" hidden="1">
      <c r="A376" s="74">
        <v>0</v>
      </c>
      <c r="B376" s="73">
        <v>204715</v>
      </c>
      <c r="C376" s="73" t="s">
        <v>2474</v>
      </c>
      <c r="D376" s="73" t="s">
        <v>2475</v>
      </c>
      <c r="E376" s="73" t="s">
        <v>2476</v>
      </c>
      <c r="F376" s="73">
        <v>18716</v>
      </c>
      <c r="G376" s="73" t="s">
        <v>862</v>
      </c>
      <c r="H376" s="73" t="s">
        <v>935</v>
      </c>
      <c r="I376" s="73" t="s">
        <v>981</v>
      </c>
      <c r="J376" s="73">
        <v>0</v>
      </c>
      <c r="K376" s="73">
        <v>4.5</v>
      </c>
      <c r="L376" s="73">
        <v>0</v>
      </c>
      <c r="M376" s="73">
        <v>0</v>
      </c>
      <c r="N376" s="73">
        <v>0</v>
      </c>
      <c r="O376" s="73" t="s">
        <v>994</v>
      </c>
      <c r="P376" s="73" t="s">
        <v>2477</v>
      </c>
      <c r="Q376" s="73" t="s">
        <v>2477</v>
      </c>
      <c r="R376" s="73">
        <v>7</v>
      </c>
      <c r="S376" s="73">
        <v>4</v>
      </c>
      <c r="T376" s="73">
        <v>0</v>
      </c>
      <c r="U376" s="73">
        <v>0</v>
      </c>
      <c r="V376" s="73">
        <v>1076</v>
      </c>
      <c r="W376" s="73">
        <v>21</v>
      </c>
      <c r="X376" s="73">
        <v>1</v>
      </c>
      <c r="Y376" s="73">
        <v>0</v>
      </c>
      <c r="Z376" s="73" t="s">
        <v>1922</v>
      </c>
      <c r="AA376" s="73" t="s">
        <v>693</v>
      </c>
      <c r="AB376" s="73" t="str">
        <f>IF(AA376&lt;&gt;"",INDEX(Lookup!$N$2:$N$5,MATCH(Players!AA376,Lookup!$P$2:$P$5,0)),INDEX(Lookup!$N$2:$N$5,MATCH(Players!O376,Lookup!$O$2:$O$5,0)))</f>
        <v>Striker</v>
      </c>
      <c r="AC376" s="73">
        <v>3500000</v>
      </c>
      <c r="AD376" s="73" t="s">
        <v>801</v>
      </c>
      <c r="AE376" s="73" t="str">
        <f>INDEX('Translate table'!$H$2:$H$622,MATCH(Players!P376,'Translate table'!$G$2:$G$622,0))</f>
        <v>Yusuf YazÄ±cÄ±</v>
      </c>
      <c r="AF376" s="73">
        <f>IFERROR(INDEX('Euro Qual stats'!$A$1:$L$2071,MATCH(Players!$AE376,'Euro Qual stats'!$A$1:$A$2071,0),MATCH(Players!AF$2,'Euro Qual stats'!$A$1:$L$1,0)),0)</f>
        <v>8</v>
      </c>
      <c r="AG376" s="73">
        <f>IFERROR(INDEX('Euro Qual stats'!$A$1:$L$2071,MATCH(Players!$AE376,'Euro Qual stats'!$A$1:$A$2071,0),MATCH(Players!AG$2,'Euro Qual stats'!$A$1:$L$1,0)),0)</f>
        <v>0.32</v>
      </c>
      <c r="AH376" s="73">
        <f>IFERROR(INDEX('Euro Qual stats'!$A$1:$L$2071,MATCH(Players!$AE376,'Euro Qual stats'!$A$1:$A$2071,0),MATCH(Players!AH$2,'Euro Qual stats'!$A$1:$L$1,0)),0)</f>
        <v>0.32</v>
      </c>
      <c r="AI376" s="73">
        <f>IFERROR(INDEX('Euro Qual stats'!$A$1:$L$2071,MATCH(Players!$AE376,'Euro Qual stats'!$A$1:$A$2071,0),MATCH(Players!AI$2,'Euro Qual stats'!$A$1:$L$1,0)),0)</f>
        <v>0.32</v>
      </c>
      <c r="AJ376" s="93">
        <f>(12-AF376)/12*INDEX(BV$9:BV$12,MATCH($AB376,$BU$9:$BU$12,0))+AF376/12*AG376</f>
        <v>0.28163793103448276</v>
      </c>
      <c r="AK376" s="93">
        <f>(12-AG376)/12*INDEX(BW$9:BW$12,MATCH($AB376,$BU$9:$BU$12,0))+AG376/12*AH376</f>
        <v>0.52817586206896527</v>
      </c>
      <c r="AL376" s="93">
        <f>(12-AH376)/12*INDEX(BX$9:BX$12,MATCH($AB376,$BU$9:$BU$12,0))+AH376/12*AI376</f>
        <v>0.16896551724137934</v>
      </c>
      <c r="AM376" s="93">
        <f>IF($BC376=1,AJ376/SUMIFS(AJ$3:AJ$623,$BC$3:$BC$623,1,$G$3:$G$623,$G376),0)</f>
        <v>0.22969324127469129</v>
      </c>
      <c r="AN376" s="93">
        <f>IF($BC376=1,AK376/SUMIFS(AK$3:AK$623,$BC$3:$BC$623,1,$G$3:$G$623,$G376),0)</f>
        <v>0.19753614744487963</v>
      </c>
      <c r="AO376" s="93">
        <f>IF($BC376=1,AL376/SUMIFS(AL$3:AL$623,$BC$3:$BC$623,1,$G$3:$G$623,$G376),0)</f>
        <v>8.458247762075019E-2</v>
      </c>
      <c r="AP376" s="2">
        <f>IFERROR(R376/$V376*90,"")</f>
        <v>0.58550185873605953</v>
      </c>
      <c r="AQ376" s="2">
        <f>IFERROR(S376/$V376*90,"")</f>
        <v>0.33457249070631967</v>
      </c>
      <c r="AR376" s="2">
        <f>IFERROR(W376/$V376*90,"")</f>
        <v>1.7565055762081785</v>
      </c>
      <c r="AS376" s="2">
        <f>IFERROR(X376/$V376*90,"")</f>
        <v>8.3643122676579917E-2</v>
      </c>
      <c r="AT376" s="2">
        <f>IFERROR(Y376/$V376*90,"")</f>
        <v>0</v>
      </c>
      <c r="AU376" s="2">
        <f>IF(AP376="",INDEX(BV$4:BV$7,MATCH(O376,$BU$4:$BU$7,0)),AP376)</f>
        <v>0.58550185873605953</v>
      </c>
      <c r="AV376" s="2">
        <f>IF(AQ376="",INDEX(BW$4:BW$7,MATCH($O376,$BU$4:$BU$7,0)),AQ376)</f>
        <v>0.33457249070631967</v>
      </c>
      <c r="AW376" s="2">
        <f t="shared" si="60"/>
        <v>1.7565055762081785</v>
      </c>
      <c r="AX376" s="2">
        <f t="shared" si="61"/>
        <v>8.3643122676579917E-2</v>
      </c>
      <c r="AY376" s="2">
        <f t="shared" si="62"/>
        <v>0</v>
      </c>
      <c r="AZ376" s="2">
        <f>AU376*0.5+AK376*0.5</f>
        <v>0.5568388604025124</v>
      </c>
      <c r="BA376" s="2">
        <f>AV376*0.5+AJ376*0.5</f>
        <v>0.30810521087040121</v>
      </c>
      <c r="BB376" s="2">
        <f t="shared" si="63"/>
        <v>0.20182156133828996</v>
      </c>
      <c r="BC376">
        <f>IF(I376="expected",1,0)</f>
        <v>1</v>
      </c>
      <c r="BD376" s="78">
        <f>IF(BC376=1,AZ376/SUMIFS(AZ$3:AZ$623,$BC$3:$BC$623,1,$G$3:$G$623,$G376),0)</f>
        <v>0.24525575202051486</v>
      </c>
      <c r="BE376" s="78">
        <f>IF(BC376=1,BA376/SUMIFS(BA$3:BA$623,$BC$3:$BC$623,1,$G$3:$G$623,$G376),0)</f>
        <v>0.25841306595596181</v>
      </c>
      <c r="BF376" s="78">
        <f t="shared" si="64"/>
        <v>0.33141478575368777</v>
      </c>
      <c r="BG376" s="2">
        <f t="shared" si="65"/>
        <v>0.20182156133828996</v>
      </c>
      <c r="BH376" s="2">
        <f t="shared" si="66"/>
        <v>0</v>
      </c>
      <c r="BI376" s="2">
        <f t="shared" si="67"/>
        <v>0.24525575202051486</v>
      </c>
      <c r="BJ376" s="2">
        <f t="shared" si="68"/>
        <v>0.25841306595596181</v>
      </c>
      <c r="BK376" s="2">
        <f t="shared" si="69"/>
        <v>0.3</v>
      </c>
      <c r="BL376" s="2">
        <f t="shared" si="70"/>
        <v>0.20182156133828996</v>
      </c>
      <c r="BM376" s="2">
        <f t="shared" si="71"/>
        <v>0</v>
      </c>
      <c r="BN376" s="2">
        <f>BI376/SUMIFS(BI$3:BI$623,$BC$3:$BC$623,1,$G$3:$G$623,$G376)</f>
        <v>0.24525575202051489</v>
      </c>
      <c r="BO376" s="2">
        <f>BJ376/SUMIFS(BJ$3:BJ$623,$BC$3:$BC$623,1,$G$3:$G$623,$G376)</f>
        <v>0.25841306595596175</v>
      </c>
      <c r="BP376" s="2">
        <f>BK376/SUMIFS(BK$3:BK$623,$BC$3:$BC$623,1,$G$3:$G$623,$G376)</f>
        <v>0.30973010488647584</v>
      </c>
      <c r="BQ376" s="2">
        <f>BL376</f>
        <v>0.20182156133828996</v>
      </c>
      <c r="BR376" s="2">
        <f>BM376</f>
        <v>0</v>
      </c>
    </row>
    <row r="377" spans="1:70" hidden="1">
      <c r="A377" s="74">
        <v>0</v>
      </c>
      <c r="B377" s="73">
        <v>204711</v>
      </c>
      <c r="C377" s="73" t="s">
        <v>2478</v>
      </c>
      <c r="D377" s="73" t="s">
        <v>2107</v>
      </c>
      <c r="E377" s="73" t="s">
        <v>2479</v>
      </c>
      <c r="F377" s="73">
        <v>18716</v>
      </c>
      <c r="G377" s="73" t="s">
        <v>862</v>
      </c>
      <c r="H377" s="73" t="s">
        <v>935</v>
      </c>
      <c r="I377" s="73" t="s">
        <v>981</v>
      </c>
      <c r="J377" s="73">
        <v>0</v>
      </c>
      <c r="K377" s="73">
        <v>4.5</v>
      </c>
      <c r="L377" s="73">
        <v>0</v>
      </c>
      <c r="M377" s="73">
        <v>0</v>
      </c>
      <c r="N377" s="73">
        <v>0</v>
      </c>
      <c r="O377" s="73" t="s">
        <v>994</v>
      </c>
      <c r="P377" s="73" t="s">
        <v>2480</v>
      </c>
      <c r="Q377" s="73" t="s">
        <v>2481</v>
      </c>
      <c r="R377" s="73">
        <v>0</v>
      </c>
      <c r="S377" s="73">
        <v>0</v>
      </c>
      <c r="T377" s="73">
        <v>0</v>
      </c>
      <c r="U377" s="73">
        <v>0</v>
      </c>
      <c r="V377" s="73">
        <v>0</v>
      </c>
      <c r="W377" s="73">
        <v>0</v>
      </c>
      <c r="X377" s="73">
        <v>0</v>
      </c>
      <c r="Y377" s="73">
        <v>0</v>
      </c>
      <c r="Z377" s="73" t="s">
        <v>1922</v>
      </c>
      <c r="AA377" s="73" t="s">
        <v>691</v>
      </c>
      <c r="AB377" s="73" t="str">
        <f>IF(AA377&lt;&gt;"",INDEX(Lookup!$N$2:$N$5,MATCH(Players!AA377,Lookup!$P$2:$P$5,0)),INDEX(Lookup!$N$2:$N$5,MATCH(Players!O377,Lookup!$O$2:$O$5,0)))</f>
        <v>Midfield</v>
      </c>
      <c r="AC377" s="73">
        <v>3500000</v>
      </c>
      <c r="AD377" s="73" t="s">
        <v>798</v>
      </c>
      <c r="AE377" s="73" t="str">
        <f>INDEX('Translate table'!$H$2:$H$622,MATCH(Players!P377,'Translate table'!$G$2:$G$622,0))</f>
        <v>Ozan Tufan</v>
      </c>
      <c r="AF377" s="73">
        <f>IFERROR(INDEX('Euro Qual stats'!$A$1:$L$2071,MATCH(Players!$AE377,'Euro Qual stats'!$A$1:$A$2071,0),MATCH(Players!AF$2,'Euro Qual stats'!$A$1:$L$1,0)),0)</f>
        <v>8</v>
      </c>
      <c r="AG377" s="73">
        <f>IFERROR(INDEX('Euro Qual stats'!$A$1:$L$2071,MATCH(Players!$AE377,'Euro Qual stats'!$A$1:$A$2071,0),MATCH(Players!AG$2,'Euro Qual stats'!$A$1:$L$1,0)),0)</f>
        <v>0</v>
      </c>
      <c r="AH377" s="73">
        <f>IFERROR(INDEX('Euro Qual stats'!$A$1:$L$2071,MATCH(Players!$AE377,'Euro Qual stats'!$A$1:$A$2071,0),MATCH(Players!AH$2,'Euro Qual stats'!$A$1:$L$1,0)),0)</f>
        <v>0.16</v>
      </c>
      <c r="AI377" s="73">
        <f>IFERROR(INDEX('Euro Qual stats'!$A$1:$L$2071,MATCH(Players!$AE377,'Euro Qual stats'!$A$1:$A$2071,0),MATCH(Players!AI$2,'Euro Qual stats'!$A$1:$L$1,0)),0)</f>
        <v>0.32</v>
      </c>
      <c r="AJ377" s="93">
        <f>(12-AF377)/12*INDEX(BV$9:BV$12,MATCH($AB377,$BU$9:$BU$12,0))+AF377/12*AG377</f>
        <v>5.6230366492146591E-2</v>
      </c>
      <c r="AK377" s="93">
        <f>(12-AG377)/12*INDEX(BW$9:BW$12,MATCH($AB377,$BU$9:$BU$12,0))+AG377/12*AH377</f>
        <v>0.22340314136125652</v>
      </c>
      <c r="AL377" s="93">
        <f>(12-AH377)/12*INDEX(BX$9:BX$12,MATCH($AB377,$BU$9:$BU$12,0))+AH377/12*AI377</f>
        <v>0.24049842931937176</v>
      </c>
      <c r="AM377" s="93">
        <f>IF($BC377=1,AJ377/SUMIFS(AJ$3:AJ$623,$BC$3:$BC$623,1,$G$3:$G$623,$G377),0)</f>
        <v>4.5859359533725538E-2</v>
      </c>
      <c r="AN377" s="93">
        <f>IF($BC377=1,AK377/SUMIFS(AK$3:AK$623,$BC$3:$BC$623,1,$G$3:$G$623,$G377),0)</f>
        <v>8.3552087554171997E-2</v>
      </c>
      <c r="AO377" s="93">
        <f>IF($BC377=1,AL377/SUMIFS(AL$3:AL$623,$BC$3:$BC$623,1,$G$3:$G$623,$G377),0)</f>
        <v>0.12039115050126704</v>
      </c>
      <c r="AP377" s="2" t="str">
        <f>IFERROR(R377/$V377*90,"")</f>
        <v/>
      </c>
      <c r="AQ377" s="2" t="str">
        <f>IFERROR(S377/$V377*90,"")</f>
        <v/>
      </c>
      <c r="AR377" s="2" t="str">
        <f>IFERROR(W377/$V377*90,"")</f>
        <v/>
      </c>
      <c r="AS377" s="2" t="str">
        <f>IFERROR(X377/$V377*90,"")</f>
        <v/>
      </c>
      <c r="AT377" s="2" t="str">
        <f>IFERROR(Y377/$V377*90,"")</f>
        <v/>
      </c>
      <c r="AU377" s="2">
        <f>IF(AP377="",INDEX(BV$4:BV$7,MATCH(O377,$BU$4:$BU$7,0)),AP377)</f>
        <v>3.6526142445450806E-2</v>
      </c>
      <c r="AV377" s="2">
        <f>IF(AQ377="",INDEX(BW$4:BW$7,MATCH($O377,$BU$4:$BU$7,0)),AQ377)</f>
        <v>3.2427739661688867E-2</v>
      </c>
      <c r="AW377" s="2">
        <f t="shared" si="60"/>
        <v>0.20013349649571699</v>
      </c>
      <c r="AX377" s="2">
        <f t="shared" si="61"/>
        <v>0.16081000595592615</v>
      </c>
      <c r="AY377" s="2">
        <f t="shared" si="62"/>
        <v>0</v>
      </c>
      <c r="AZ377" s="2">
        <f>AU377*0.5+AK377*0.5</f>
        <v>0.12996464190335366</v>
      </c>
      <c r="BA377" s="2">
        <f>AV377*0.5+AJ377*0.5</f>
        <v>4.4329053076917729E-2</v>
      </c>
      <c r="BB377" s="2">
        <f t="shared" si="63"/>
        <v>0.24040500297796308</v>
      </c>
      <c r="BC377">
        <f>IF(I377="expected",1,0)</f>
        <v>1</v>
      </c>
      <c r="BD377" s="78">
        <f>IF(BC377=1,AZ377/SUMIFS(AZ$3:AZ$623,$BC$3:$BC$623,1,$G$3:$G$623,$G377),0)</f>
        <v>5.7242010665425364E-2</v>
      </c>
      <c r="BE377" s="78">
        <f>IF(BC377=1,BA377/SUMIFS(BA$3:BA$623,$BC$3:$BC$623,1,$G$3:$G$623,$G377),0)</f>
        <v>3.7179528655713959E-2</v>
      </c>
      <c r="BF377" s="78">
        <f t="shared" si="64"/>
        <v>3.776088203855691E-2</v>
      </c>
      <c r="BG377" s="2">
        <f t="shared" si="65"/>
        <v>0.24040500297796308</v>
      </c>
      <c r="BH377" s="2">
        <f t="shared" si="66"/>
        <v>0</v>
      </c>
      <c r="BI377" s="2">
        <f t="shared" si="67"/>
        <v>5.7242010665425364E-2</v>
      </c>
      <c r="BJ377" s="2">
        <f t="shared" si="68"/>
        <v>3.7179528655713959E-2</v>
      </c>
      <c r="BK377" s="2">
        <f t="shared" si="69"/>
        <v>3.776088203855691E-2</v>
      </c>
      <c r="BL377" s="2">
        <f t="shared" si="70"/>
        <v>0.24040500297796308</v>
      </c>
      <c r="BM377" s="2">
        <f t="shared" si="71"/>
        <v>0</v>
      </c>
      <c r="BN377" s="2">
        <f>BI377/SUMIFS(BI$3:BI$623,$BC$3:$BC$623,1,$G$3:$G$623,$G377)</f>
        <v>5.724201066542537E-2</v>
      </c>
      <c r="BO377" s="2">
        <f>BJ377/SUMIFS(BJ$3:BJ$623,$BC$3:$BC$623,1,$G$3:$G$623,$G377)</f>
        <v>3.7179528655713952E-2</v>
      </c>
      <c r="BP377" s="2">
        <f>BK377/SUMIFS(BK$3:BK$623,$BC$3:$BC$623,1,$G$3:$G$623,$G377)</f>
        <v>3.8985606514693578E-2</v>
      </c>
      <c r="BQ377" s="2">
        <f>BL377</f>
        <v>0.24040500297796308</v>
      </c>
      <c r="BR377" s="2">
        <f>BM377</f>
        <v>0</v>
      </c>
    </row>
    <row r="378" spans="1:70" hidden="1">
      <c r="A378" s="74">
        <v>0</v>
      </c>
      <c r="B378" s="73">
        <v>220816</v>
      </c>
      <c r="C378" s="73" t="s">
        <v>2482</v>
      </c>
      <c r="D378" s="73" t="s">
        <v>2483</v>
      </c>
      <c r="E378" s="73" t="s">
        <v>2484</v>
      </c>
      <c r="F378" s="73">
        <v>18716</v>
      </c>
      <c r="G378" s="73" t="s">
        <v>862</v>
      </c>
      <c r="H378" s="73" t="s">
        <v>935</v>
      </c>
      <c r="I378" s="73" t="s">
        <v>1012</v>
      </c>
      <c r="J378" s="73">
        <v>0</v>
      </c>
      <c r="K378" s="73">
        <v>4.5</v>
      </c>
      <c r="L378" s="73">
        <v>0</v>
      </c>
      <c r="M378" s="73">
        <v>0</v>
      </c>
      <c r="N378" s="73">
        <v>0</v>
      </c>
      <c r="O378" s="73" t="s">
        <v>982</v>
      </c>
      <c r="P378" s="73" t="s">
        <v>2485</v>
      </c>
      <c r="Q378" s="73" t="s">
        <v>1164</v>
      </c>
      <c r="R378" s="73"/>
      <c r="S378" s="73"/>
      <c r="T378" s="73"/>
      <c r="U378" s="73"/>
      <c r="V378" s="73"/>
      <c r="W378" s="73"/>
      <c r="X378" s="73"/>
      <c r="Y378" s="73"/>
      <c r="Z378" s="73" t="s">
        <v>1922</v>
      </c>
      <c r="AA378" s="73" t="s">
        <v>693</v>
      </c>
      <c r="AB378" s="73" t="str">
        <f>IF(AA378&lt;&gt;"",INDEX(Lookup!$N$2:$N$5,MATCH(Players!AA378,Lookup!$P$2:$P$5,0)),INDEX(Lookup!$N$2:$N$5,MATCH(Players!O378,Lookup!$O$2:$O$5,0)))</f>
        <v>Striker</v>
      </c>
      <c r="AC378" s="73">
        <v>3000000</v>
      </c>
      <c r="AD378" s="73" t="s">
        <v>753</v>
      </c>
      <c r="AE378" s="73">
        <f>INDEX('Translate table'!$H$2:$H$622,MATCH(Players!P378,'Translate table'!$G$2:$G$622,0))</f>
        <v>0</v>
      </c>
      <c r="AF378" s="73">
        <f>IFERROR(INDEX('Euro Qual stats'!$A$1:$L$2071,MATCH(Players!$AE378,'Euro Qual stats'!$A$1:$A$2071,0),MATCH(Players!AF$2,'Euro Qual stats'!$A$1:$L$1,0)),0)</f>
        <v>0</v>
      </c>
      <c r="AG378" s="73">
        <f>IFERROR(INDEX('Euro Qual stats'!$A$1:$L$2071,MATCH(Players!$AE378,'Euro Qual stats'!$A$1:$A$2071,0),MATCH(Players!AG$2,'Euro Qual stats'!$A$1:$L$1,0)),0)</f>
        <v>0</v>
      </c>
      <c r="AH378" s="73">
        <f>IFERROR(INDEX('Euro Qual stats'!$A$1:$L$2071,MATCH(Players!$AE378,'Euro Qual stats'!$A$1:$A$2071,0),MATCH(Players!AH$2,'Euro Qual stats'!$A$1:$L$1,0)),0)</f>
        <v>0</v>
      </c>
      <c r="AI378" s="73">
        <f>IFERROR(INDEX('Euro Qual stats'!$A$1:$L$2071,MATCH(Players!$AE378,'Euro Qual stats'!$A$1:$A$2071,0),MATCH(Players!AI$2,'Euro Qual stats'!$A$1:$L$1,0)),0)</f>
        <v>0</v>
      </c>
      <c r="AJ378" s="93">
        <f>(12-AF378)/12*INDEX(BV$9:BV$12,MATCH($AB378,$BU$9:$BU$12,0))+AF378/12*AG378</f>
        <v>0.20491379310344832</v>
      </c>
      <c r="AK378" s="93">
        <f>(12-AG378)/12*INDEX(BW$9:BW$12,MATCH($AB378,$BU$9:$BU$12,0))+AG378/12*AH378</f>
        <v>0.53387931034482738</v>
      </c>
      <c r="AL378" s="93">
        <f>(12-AH378)/12*INDEX(BX$9:BX$12,MATCH($AB378,$BU$9:$BU$12,0))+AH378/12*AI378</f>
        <v>0.16482758620689658</v>
      </c>
      <c r="AM378" s="93">
        <f>IF($BC378=1,AJ378/SUMIFS(AJ$3:AJ$623,$BC$3:$BC$623,1,$G$3:$G$623,$G378),0)</f>
        <v>0</v>
      </c>
      <c r="AN378" s="93">
        <f>IF($BC378=1,AK378/SUMIFS(AK$3:AK$623,$BC$3:$BC$623,1,$G$3:$G$623,$G378),0)</f>
        <v>0</v>
      </c>
      <c r="AO378" s="93">
        <f>IF($BC378=1,AL378/SUMIFS(AL$3:AL$623,$BC$3:$BC$623,1,$G$3:$G$623,$G378),0)</f>
        <v>0</v>
      </c>
      <c r="AP378" s="2" t="str">
        <f>IFERROR(R378/$V378*90,"")</f>
        <v/>
      </c>
      <c r="AQ378" s="2" t="str">
        <f>IFERROR(S378/$V378*90,"")</f>
        <v/>
      </c>
      <c r="AR378" s="2" t="str">
        <f>IFERROR(W378/$V378*90,"")</f>
        <v/>
      </c>
      <c r="AS378" s="2" t="str">
        <f>IFERROR(X378/$V378*90,"")</f>
        <v/>
      </c>
      <c r="AT378" s="2" t="str">
        <f>IFERROR(Y378/$V378*90,"")</f>
        <v/>
      </c>
      <c r="AU378" s="2">
        <f>IF(AP378="",INDEX(BV$4:BV$7,MATCH(O378,$BU$4:$BU$7,0)),AP378)</f>
        <v>0.18769551616266944</v>
      </c>
      <c r="AV378" s="2">
        <f>IF(AQ378="",INDEX(BW$4:BW$7,MATCH($O378,$BU$4:$BU$7,0)),AQ378)</f>
        <v>4.82573726541555E-2</v>
      </c>
      <c r="AW378" s="2">
        <f t="shared" si="60"/>
        <v>0.70512820512820518</v>
      </c>
      <c r="AX378" s="2">
        <f t="shared" si="61"/>
        <v>0.12295081967213115</v>
      </c>
      <c r="AY378" s="2">
        <f t="shared" si="62"/>
        <v>0</v>
      </c>
      <c r="AZ378" s="2">
        <f>AU378*0.5+AK378*0.5</f>
        <v>0.36078741325374841</v>
      </c>
      <c r="BA378" s="2">
        <f>AV378*0.5+AJ378*0.5</f>
        <v>0.12658558287880189</v>
      </c>
      <c r="BB378" s="2">
        <f t="shared" si="63"/>
        <v>6.1475409836065573E-2</v>
      </c>
      <c r="BC378">
        <f>IF(I378="expected",1,0)</f>
        <v>0</v>
      </c>
      <c r="BD378" s="78">
        <f>IF(BC378=1,AZ378/SUMIFS(AZ$3:AZ$623,$BC$3:$BC$623,1,$G$3:$G$623,$G378),0)</f>
        <v>0</v>
      </c>
      <c r="BE378" s="78">
        <f>IF(BC378=1,BA378/SUMIFS(BA$3:BA$623,$BC$3:$BC$623,1,$G$3:$G$623,$G378),0)</f>
        <v>0</v>
      </c>
      <c r="BF378" s="78">
        <f t="shared" si="64"/>
        <v>0</v>
      </c>
      <c r="BG378" s="2">
        <f t="shared" si="65"/>
        <v>6.1475409836065573E-2</v>
      </c>
      <c r="BH378" s="2">
        <f t="shared" si="66"/>
        <v>0</v>
      </c>
      <c r="BI378" s="2">
        <f t="shared" si="67"/>
        <v>0</v>
      </c>
      <c r="BJ378" s="2">
        <f t="shared" si="68"/>
        <v>0</v>
      </c>
      <c r="BK378" s="2">
        <f t="shared" si="69"/>
        <v>0</v>
      </c>
      <c r="BL378" s="2">
        <f t="shared" si="70"/>
        <v>6.1475409836065573E-2</v>
      </c>
      <c r="BM378" s="2">
        <f t="shared" si="71"/>
        <v>0</v>
      </c>
      <c r="BN378" s="2">
        <f>BI378/SUMIFS(BI$3:BI$623,$BC$3:$BC$623,1,$G$3:$G$623,$G378)</f>
        <v>0</v>
      </c>
      <c r="BO378" s="2">
        <f>BJ378/SUMIFS(BJ$3:BJ$623,$BC$3:$BC$623,1,$G$3:$G$623,$G378)</f>
        <v>0</v>
      </c>
      <c r="BP378" s="2">
        <f>BK378/SUMIFS(BK$3:BK$623,$BC$3:$BC$623,1,$G$3:$G$623,$G378)</f>
        <v>0</v>
      </c>
      <c r="BQ378" s="2">
        <f>BL378</f>
        <v>6.1475409836065573E-2</v>
      </c>
      <c r="BR378" s="2">
        <f>BM378</f>
        <v>0</v>
      </c>
    </row>
    <row r="379" spans="1:70" hidden="1">
      <c r="A379" s="74">
        <v>0</v>
      </c>
      <c r="B379" s="73">
        <v>220815</v>
      </c>
      <c r="C379" s="73" t="s">
        <v>2486</v>
      </c>
      <c r="D379" s="73" t="s">
        <v>2487</v>
      </c>
      <c r="E379" s="73" t="s">
        <v>2488</v>
      </c>
      <c r="F379" s="73">
        <v>18716</v>
      </c>
      <c r="G379" s="73" t="s">
        <v>862</v>
      </c>
      <c r="H379" s="73" t="s">
        <v>935</v>
      </c>
      <c r="I379" s="73" t="s">
        <v>981</v>
      </c>
      <c r="J379" s="73">
        <v>0</v>
      </c>
      <c r="K379" s="73">
        <v>4.5</v>
      </c>
      <c r="L379" s="73">
        <v>0</v>
      </c>
      <c r="M379" s="73">
        <v>0</v>
      </c>
      <c r="N379" s="73">
        <v>0</v>
      </c>
      <c r="O379" s="73" t="s">
        <v>982</v>
      </c>
      <c r="P379" s="73" t="s">
        <v>2489</v>
      </c>
      <c r="Q379" s="73" t="s">
        <v>731</v>
      </c>
      <c r="R379" s="73">
        <v>1</v>
      </c>
      <c r="S379" s="73">
        <v>0</v>
      </c>
      <c r="T379" s="73">
        <v>0</v>
      </c>
      <c r="U379" s="73">
        <v>2</v>
      </c>
      <c r="V379" s="73">
        <v>1007</v>
      </c>
      <c r="W379" s="73">
        <v>1</v>
      </c>
      <c r="X379" s="73">
        <v>1</v>
      </c>
      <c r="Y379" s="73">
        <v>0</v>
      </c>
      <c r="Z379" s="73" t="s">
        <v>1922</v>
      </c>
      <c r="AA379" s="73" t="s">
        <v>693</v>
      </c>
      <c r="AB379" s="73" t="str">
        <f>IF(AA379&lt;&gt;"",INDEX(Lookup!$N$2:$N$5,MATCH(Players!AA379,Lookup!$P$2:$P$5,0)),INDEX(Lookup!$N$2:$N$5,MATCH(Players!O379,Lookup!$O$2:$O$5,0)))</f>
        <v>Striker</v>
      </c>
      <c r="AC379" s="73">
        <v>3500000</v>
      </c>
      <c r="AD379" s="73" t="s">
        <v>788</v>
      </c>
      <c r="AE379" s="73" t="str">
        <f>INDEX('Translate table'!$H$2:$H$622,MATCH(Players!P379,'Translate table'!$G$2:$G$622,0))</f>
        <v>Kenan Karaman</v>
      </c>
      <c r="AF379" s="73">
        <f>IFERROR(INDEX('Euro Qual stats'!$A$1:$L$2071,MATCH(Players!$AE379,'Euro Qual stats'!$A$1:$A$2071,0),MATCH(Players!AF$2,'Euro Qual stats'!$A$1:$L$1,0)),0)</f>
        <v>5</v>
      </c>
      <c r="AG379" s="73">
        <f>IFERROR(INDEX('Euro Qual stats'!$A$1:$L$2071,MATCH(Players!$AE379,'Euro Qual stats'!$A$1:$A$2071,0),MATCH(Players!AG$2,'Euro Qual stats'!$A$1:$L$1,0)),0)</f>
        <v>0</v>
      </c>
      <c r="AH379" s="73">
        <f>IFERROR(INDEX('Euro Qual stats'!$A$1:$L$2071,MATCH(Players!$AE379,'Euro Qual stats'!$A$1:$A$2071,0),MATCH(Players!AH$2,'Euro Qual stats'!$A$1:$L$1,0)),0)</f>
        <v>0</v>
      </c>
      <c r="AI379" s="73">
        <f>IFERROR(INDEX('Euro Qual stats'!$A$1:$L$2071,MATCH(Players!$AE379,'Euro Qual stats'!$A$1:$A$2071,0),MATCH(Players!AI$2,'Euro Qual stats'!$A$1:$L$1,0)),0)</f>
        <v>0.26</v>
      </c>
      <c r="AJ379" s="93">
        <f>(12-AF379)/12*INDEX(BV$9:BV$12,MATCH($AB379,$BU$9:$BU$12,0))+AF379/12*AG379</f>
        <v>0.11953304597701153</v>
      </c>
      <c r="AK379" s="93">
        <f>(12-AG379)/12*INDEX(BW$9:BW$12,MATCH($AB379,$BU$9:$BU$12,0))+AG379/12*AH379</f>
        <v>0.53387931034482738</v>
      </c>
      <c r="AL379" s="93">
        <f>(12-AH379)/12*INDEX(BX$9:BX$12,MATCH($AB379,$BU$9:$BU$12,0))+AH379/12*AI379</f>
        <v>0.16482758620689658</v>
      </c>
      <c r="AM379" s="93">
        <f>IF($BC379=1,AJ379/SUMIFS(AJ$3:AJ$623,$BC$3:$BC$623,1,$G$3:$G$623,$G379),0)</f>
        <v>9.7486629975757313E-2</v>
      </c>
      <c r="AN379" s="93">
        <f>IF($BC379=1,AK379/SUMIFS(AK$3:AK$623,$BC$3:$BC$623,1,$G$3:$G$623,$G379),0)</f>
        <v>0.19966921955300607</v>
      </c>
      <c r="AO379" s="93">
        <f>IF($BC379=1,AL379/SUMIFS(AL$3:AL$623,$BC$3:$BC$623,1,$G$3:$G$623,$G379),0)</f>
        <v>8.2511070005548137E-2</v>
      </c>
      <c r="AP379" s="2">
        <f>IFERROR(R379/$V379*90,"")</f>
        <v>8.9374379344587876E-2</v>
      </c>
      <c r="AQ379" s="2">
        <f>IFERROR(S379/$V379*90,"")</f>
        <v>0</v>
      </c>
      <c r="AR379" s="2">
        <f>IFERROR(W379/$V379*90,"")</f>
        <v>8.9374379344587876E-2</v>
      </c>
      <c r="AS379" s="2">
        <f>IFERROR(X379/$V379*90,"")</f>
        <v>8.9374379344587876E-2</v>
      </c>
      <c r="AT379" s="2">
        <f>IFERROR(Y379/$V379*90,"")</f>
        <v>0</v>
      </c>
      <c r="AU379" s="2">
        <f>IF(AP379="",INDEX(BV$4:BV$7,MATCH(O379,$BU$4:$BU$7,0)),AP379)</f>
        <v>8.9374379344587876E-2</v>
      </c>
      <c r="AV379" s="2">
        <f>IF(AQ379="",INDEX(BW$4:BW$7,MATCH($O379,$BU$4:$BU$7,0)),AQ379)</f>
        <v>0</v>
      </c>
      <c r="AW379" s="2">
        <f t="shared" si="60"/>
        <v>8.9374379344587876E-2</v>
      </c>
      <c r="AX379" s="2">
        <f t="shared" si="61"/>
        <v>8.9374379344587876E-2</v>
      </c>
      <c r="AY379" s="2">
        <f t="shared" si="62"/>
        <v>0</v>
      </c>
      <c r="AZ379" s="2">
        <f>AU379*0.5+AK379*0.5</f>
        <v>0.31162684484470765</v>
      </c>
      <c r="BA379" s="2">
        <f>AV379*0.5+AJ379*0.5</f>
        <v>5.9766522988505766E-2</v>
      </c>
      <c r="BB379" s="2">
        <f t="shared" si="63"/>
        <v>0.17468718967229394</v>
      </c>
      <c r="BC379">
        <f>IF(I379="expected",1,0)</f>
        <v>1</v>
      </c>
      <c r="BD379" s="78">
        <f>IF(BC379=1,AZ379/SUMIFS(AZ$3:AZ$623,$BC$3:$BC$623,1,$G$3:$G$623,$G379),0)</f>
        <v>0.13725384777729541</v>
      </c>
      <c r="BE379" s="78">
        <f>IF(BC379=1,BA379/SUMIFS(BA$3:BA$623,$BC$3:$BC$623,1,$G$3:$G$623,$G379),0)</f>
        <v>5.012719649679561E-2</v>
      </c>
      <c r="BF379" s="78">
        <f t="shared" si="64"/>
        <v>1.6863021207309217E-2</v>
      </c>
      <c r="BG379" s="2">
        <f t="shared" si="65"/>
        <v>0.17468718967229394</v>
      </c>
      <c r="BH379" s="2">
        <f t="shared" si="66"/>
        <v>0</v>
      </c>
      <c r="BI379" s="2">
        <f t="shared" si="67"/>
        <v>0.13725384777729541</v>
      </c>
      <c r="BJ379" s="2">
        <f t="shared" si="68"/>
        <v>5.012719649679561E-2</v>
      </c>
      <c r="BK379" s="2">
        <f t="shared" si="69"/>
        <v>1.6863021207309217E-2</v>
      </c>
      <c r="BL379" s="2">
        <f t="shared" si="70"/>
        <v>0.17468718967229394</v>
      </c>
      <c r="BM379" s="2">
        <f t="shared" si="71"/>
        <v>0</v>
      </c>
      <c r="BN379" s="2">
        <f>BI379/SUMIFS(BI$3:BI$623,$BC$3:$BC$623,1,$G$3:$G$623,$G379)</f>
        <v>0.13725384777729543</v>
      </c>
      <c r="BO379" s="2">
        <f>BJ379/SUMIFS(BJ$3:BJ$623,$BC$3:$BC$623,1,$G$3:$G$623,$G379)</f>
        <v>5.0127196496795597E-2</v>
      </c>
      <c r="BP379" s="2">
        <f>BK379/SUMIFS(BK$3:BK$623,$BC$3:$BC$623,1,$G$3:$G$623,$G379)</f>
        <v>1.7409951090809166E-2</v>
      </c>
      <c r="BQ379" s="2">
        <f>BL379</f>
        <v>0.17468718967229394</v>
      </c>
      <c r="BR379" s="2">
        <f>BM379</f>
        <v>0</v>
      </c>
    </row>
    <row r="380" spans="1:70" hidden="1">
      <c r="A380" s="74">
        <v>0</v>
      </c>
      <c r="B380" s="73">
        <v>220814</v>
      </c>
      <c r="C380" s="73" t="s">
        <v>2490</v>
      </c>
      <c r="D380" s="73" t="s">
        <v>2491</v>
      </c>
      <c r="E380" s="73" t="s">
        <v>2492</v>
      </c>
      <c r="F380" s="73">
        <v>18716</v>
      </c>
      <c r="G380" s="73" t="s">
        <v>862</v>
      </c>
      <c r="H380" s="73" t="s">
        <v>935</v>
      </c>
      <c r="I380" s="73" t="s">
        <v>1012</v>
      </c>
      <c r="J380" s="73">
        <v>0</v>
      </c>
      <c r="K380" s="73">
        <v>4.5</v>
      </c>
      <c r="L380" s="73">
        <v>0</v>
      </c>
      <c r="M380" s="73">
        <v>0</v>
      </c>
      <c r="N380" s="73">
        <v>0</v>
      </c>
      <c r="O380" s="73" t="s">
        <v>982</v>
      </c>
      <c r="P380" s="73" t="s">
        <v>2493</v>
      </c>
      <c r="Q380" s="73" t="s">
        <v>1164</v>
      </c>
      <c r="R380" s="73"/>
      <c r="S380" s="73"/>
      <c r="T380" s="73"/>
      <c r="U380" s="73"/>
      <c r="V380" s="73"/>
      <c r="W380" s="73"/>
      <c r="X380" s="73"/>
      <c r="Y380" s="73"/>
      <c r="Z380" s="73" t="s">
        <v>1922</v>
      </c>
      <c r="AA380" s="73" t="s">
        <v>693</v>
      </c>
      <c r="AB380" s="73" t="str">
        <f>IF(AA380&lt;&gt;"",INDEX(Lookup!$N$2:$N$5,MATCH(Players!AA380,Lookup!$P$2:$P$5,0)),INDEX(Lookup!$N$2:$N$5,MATCH(Players!O380,Lookup!$O$2:$O$5,0)))</f>
        <v>Striker</v>
      </c>
      <c r="AC380" s="73">
        <v>2500000</v>
      </c>
      <c r="AD380" s="73" t="s">
        <v>788</v>
      </c>
      <c r="AE380" s="73" t="str">
        <f>INDEX('Translate table'!$H$2:$H$622,MATCH(Players!P380,'Translate table'!$G$2:$G$622,0))</f>
        <v>Tim Hall</v>
      </c>
      <c r="AF380" s="73">
        <f>IFERROR(INDEX('Euro Qual stats'!$A$1:$L$2071,MATCH(Players!$AE380,'Euro Qual stats'!$A$1:$A$2071,0),MATCH(Players!AF$2,'Euro Qual stats'!$A$1:$L$1,0)),0)</f>
        <v>1</v>
      </c>
      <c r="AG380" s="73">
        <f>IFERROR(INDEX('Euro Qual stats'!$A$1:$L$2071,MATCH(Players!$AE380,'Euro Qual stats'!$A$1:$A$2071,0),MATCH(Players!AG$2,'Euro Qual stats'!$A$1:$L$1,0)),0)</f>
        <v>0</v>
      </c>
      <c r="AH380" s="73">
        <f>IFERROR(INDEX('Euro Qual stats'!$A$1:$L$2071,MATCH(Players!$AE380,'Euro Qual stats'!$A$1:$A$2071,0),MATCH(Players!AH$2,'Euro Qual stats'!$A$1:$L$1,0)),0)</f>
        <v>0</v>
      </c>
      <c r="AI380" s="73">
        <f>IFERROR(INDEX('Euro Qual stats'!$A$1:$L$2071,MATCH(Players!$AE380,'Euro Qual stats'!$A$1:$A$2071,0),MATCH(Players!AI$2,'Euro Qual stats'!$A$1:$L$1,0)),0)</f>
        <v>0</v>
      </c>
      <c r="AJ380" s="93">
        <f>(12-AF380)/12*INDEX(BV$9:BV$12,MATCH($AB380,$BU$9:$BU$12,0))+AF380/12*AG380</f>
        <v>0.18783764367816094</v>
      </c>
      <c r="AK380" s="93">
        <f>(12-AG380)/12*INDEX(BW$9:BW$12,MATCH($AB380,$BU$9:$BU$12,0))+AG380/12*AH380</f>
        <v>0.53387931034482738</v>
      </c>
      <c r="AL380" s="93">
        <f>(12-AH380)/12*INDEX(BX$9:BX$12,MATCH($AB380,$BU$9:$BU$12,0))+AH380/12*AI380</f>
        <v>0.16482758620689658</v>
      </c>
      <c r="AM380" s="93">
        <f>IF($BC380=1,AJ380/SUMIFS(AJ$3:AJ$623,$BC$3:$BC$623,1,$G$3:$G$623,$G380),0)</f>
        <v>0</v>
      </c>
      <c r="AN380" s="93">
        <f>IF($BC380=1,AK380/SUMIFS(AK$3:AK$623,$BC$3:$BC$623,1,$G$3:$G$623,$G380),0)</f>
        <v>0</v>
      </c>
      <c r="AO380" s="93">
        <f>IF($BC380=1,AL380/SUMIFS(AL$3:AL$623,$BC$3:$BC$623,1,$G$3:$G$623,$G380),0)</f>
        <v>0</v>
      </c>
      <c r="AP380" s="2" t="str">
        <f>IFERROR(R380/$V380*90,"")</f>
        <v/>
      </c>
      <c r="AQ380" s="2" t="str">
        <f>IFERROR(S380/$V380*90,"")</f>
        <v/>
      </c>
      <c r="AR380" s="2" t="str">
        <f>IFERROR(W380/$V380*90,"")</f>
        <v/>
      </c>
      <c r="AS380" s="2" t="str">
        <f>IFERROR(X380/$V380*90,"")</f>
        <v/>
      </c>
      <c r="AT380" s="2" t="str">
        <f>IFERROR(Y380/$V380*90,"")</f>
        <v/>
      </c>
      <c r="AU380" s="2">
        <f>IF(AP380="",INDEX(BV$4:BV$7,MATCH(O380,$BU$4:$BU$7,0)),AP380)</f>
        <v>0.18769551616266944</v>
      </c>
      <c r="AV380" s="2">
        <f>IF(AQ380="",INDEX(BW$4:BW$7,MATCH($O380,$BU$4:$BU$7,0)),AQ380)</f>
        <v>4.82573726541555E-2</v>
      </c>
      <c r="AW380" s="2">
        <f t="shared" si="60"/>
        <v>0.70512820512820518</v>
      </c>
      <c r="AX380" s="2">
        <f t="shared" si="61"/>
        <v>0.12295081967213115</v>
      </c>
      <c r="AY380" s="2">
        <f t="shared" si="62"/>
        <v>0</v>
      </c>
      <c r="AZ380" s="2">
        <f>AU380*0.5+AK380*0.5</f>
        <v>0.36078741325374841</v>
      </c>
      <c r="BA380" s="2">
        <f>AV380*0.5+AJ380*0.5</f>
        <v>0.11804750816615822</v>
      </c>
      <c r="BB380" s="2">
        <f t="shared" si="63"/>
        <v>6.1475409836065573E-2</v>
      </c>
      <c r="BC380">
        <f>IF(I380="expected",1,0)</f>
        <v>0</v>
      </c>
      <c r="BD380" s="78">
        <f>IF(BC380=1,AZ380/SUMIFS(AZ$3:AZ$623,$BC$3:$BC$623,1,$G$3:$G$623,$G380),0)</f>
        <v>0</v>
      </c>
      <c r="BE380" s="78">
        <f>IF(BC380=1,BA380/SUMIFS(BA$3:BA$623,$BC$3:$BC$623,1,$G$3:$G$623,$G380),0)</f>
        <v>0</v>
      </c>
      <c r="BF380" s="78">
        <f t="shared" si="64"/>
        <v>0</v>
      </c>
      <c r="BG380" s="2">
        <f t="shared" si="65"/>
        <v>6.1475409836065573E-2</v>
      </c>
      <c r="BH380" s="2">
        <f t="shared" si="66"/>
        <v>0</v>
      </c>
      <c r="BI380" s="2">
        <f t="shared" si="67"/>
        <v>0</v>
      </c>
      <c r="BJ380" s="2">
        <f t="shared" si="68"/>
        <v>0</v>
      </c>
      <c r="BK380" s="2">
        <f t="shared" si="69"/>
        <v>0</v>
      </c>
      <c r="BL380" s="2">
        <f t="shared" si="70"/>
        <v>6.1475409836065573E-2</v>
      </c>
      <c r="BM380" s="2">
        <f t="shared" si="71"/>
        <v>0</v>
      </c>
      <c r="BN380" s="2">
        <f>BI380/SUMIFS(BI$3:BI$623,$BC$3:$BC$623,1,$G$3:$G$623,$G380)</f>
        <v>0</v>
      </c>
      <c r="BO380" s="2">
        <f>BJ380/SUMIFS(BJ$3:BJ$623,$BC$3:$BC$623,1,$G$3:$G$623,$G380)</f>
        <v>0</v>
      </c>
      <c r="BP380" s="2">
        <f>BK380/SUMIFS(BK$3:BK$623,$BC$3:$BC$623,1,$G$3:$G$623,$G380)</f>
        <v>0</v>
      </c>
      <c r="BQ380" s="2">
        <f>BL380</f>
        <v>6.1475409836065573E-2</v>
      </c>
      <c r="BR380" s="2">
        <f>BM380</f>
        <v>0</v>
      </c>
    </row>
    <row r="381" spans="1:70" hidden="1">
      <c r="A381" s="74">
        <v>0</v>
      </c>
      <c r="B381" s="73">
        <v>204721</v>
      </c>
      <c r="C381" s="73" t="s">
        <v>2494</v>
      </c>
      <c r="D381" s="73" t="s">
        <v>2495</v>
      </c>
      <c r="E381" s="73" t="s">
        <v>2496</v>
      </c>
      <c r="F381" s="73">
        <v>18716</v>
      </c>
      <c r="G381" s="73" t="s">
        <v>862</v>
      </c>
      <c r="H381" s="73" t="s">
        <v>935</v>
      </c>
      <c r="I381" s="73" t="s">
        <v>981</v>
      </c>
      <c r="J381" s="73">
        <v>0</v>
      </c>
      <c r="K381" s="73">
        <v>4.5</v>
      </c>
      <c r="L381" s="73">
        <v>0</v>
      </c>
      <c r="M381" s="73">
        <v>0</v>
      </c>
      <c r="N381" s="73">
        <v>0</v>
      </c>
      <c r="O381" s="73" t="s">
        <v>982</v>
      </c>
      <c r="P381" s="73" t="s">
        <v>2497</v>
      </c>
      <c r="Q381" s="73" t="s">
        <v>2498</v>
      </c>
      <c r="R381" s="73">
        <v>16</v>
      </c>
      <c r="S381" s="73">
        <v>5</v>
      </c>
      <c r="T381" s="73">
        <v>0</v>
      </c>
      <c r="U381" s="73">
        <v>4</v>
      </c>
      <c r="V381" s="73">
        <v>2054</v>
      </c>
      <c r="W381" s="73">
        <v>33</v>
      </c>
      <c r="X381" s="73">
        <v>6</v>
      </c>
      <c r="Y381" s="73">
        <v>0</v>
      </c>
      <c r="Z381" s="73" t="s">
        <v>1922</v>
      </c>
      <c r="AA381" s="73" t="s">
        <v>693</v>
      </c>
      <c r="AB381" s="73" t="str">
        <f>IF(AA381&lt;&gt;"",INDEX(Lookup!$N$2:$N$5,MATCH(Players!AA381,Lookup!$P$2:$P$5,0)),INDEX(Lookup!$N$2:$N$5,MATCH(Players!O381,Lookup!$O$2:$O$5,0)))</f>
        <v>Striker</v>
      </c>
      <c r="AC381" s="73">
        <v>4000000</v>
      </c>
      <c r="AD381" s="73" t="s">
        <v>1438</v>
      </c>
      <c r="AE381" s="73" t="str">
        <f>INDEX('Translate table'!$H$2:$H$622,MATCH(Players!P381,'Translate table'!$G$2:$G$622,0))</f>
        <v>Burak YÄ±lmaz</v>
      </c>
      <c r="AF381" s="73">
        <f>IFERROR(INDEX('Euro Qual stats'!$A$1:$L$2071,MATCH(Players!$AE381,'Euro Qual stats'!$A$1:$A$2071,0),MATCH(Players!AF$2,'Euro Qual stats'!$A$1:$L$1,0)),0)</f>
        <v>7</v>
      </c>
      <c r="AG381" s="73">
        <f>IFERROR(INDEX('Euro Qual stats'!$A$1:$L$2071,MATCH(Players!$AE381,'Euro Qual stats'!$A$1:$A$2071,0),MATCH(Players!AG$2,'Euro Qual stats'!$A$1:$L$1,0)),0)</f>
        <v>0.14000000000000001</v>
      </c>
      <c r="AH381" s="73">
        <f>IFERROR(INDEX('Euro Qual stats'!$A$1:$L$2071,MATCH(Players!$AE381,'Euro Qual stats'!$A$1:$A$2071,0),MATCH(Players!AH$2,'Euro Qual stats'!$A$1:$L$1,0)),0)</f>
        <v>0.14000000000000001</v>
      </c>
      <c r="AI381" s="73">
        <f>IFERROR(INDEX('Euro Qual stats'!$A$1:$L$2071,MATCH(Players!$AE381,'Euro Qual stats'!$A$1:$A$2071,0),MATCH(Players!AI$2,'Euro Qual stats'!$A$1:$L$1,0)),0)</f>
        <v>0.14000000000000001</v>
      </c>
      <c r="AJ381" s="93">
        <f>(12-AF381)/12*INDEX(BV$9:BV$12,MATCH($AB381,$BU$9:$BU$12,0))+AF381/12*AG381</f>
        <v>0.16704741379310348</v>
      </c>
      <c r="AK381" s="93">
        <f>(12-AG381)/12*INDEX(BW$9:BW$12,MATCH($AB381,$BU$9:$BU$12,0))+AG381/12*AH381</f>
        <v>0.52928405172413773</v>
      </c>
      <c r="AL381" s="93">
        <f>(12-AH381)/12*INDEX(BX$9:BX$12,MATCH($AB381,$BU$9:$BU$12,0))+AH381/12*AI381</f>
        <v>0.16453793103448278</v>
      </c>
      <c r="AM381" s="93">
        <f>IF($BC381=1,AJ381/SUMIFS(AJ$3:AJ$623,$BC$3:$BC$623,1,$G$3:$G$623,$G381),0)</f>
        <v>0.1362375507438118</v>
      </c>
      <c r="AN381" s="93">
        <f>IF($BC381=1,AK381/SUMIFS(AK$3:AK$623,$BC$3:$BC$623,1,$G$3:$G$623,$G381),0)</f>
        <v>0.19795060696649339</v>
      </c>
      <c r="AO381" s="93">
        <f>IF($BC381=1,AL381/SUMIFS(AL$3:AL$623,$BC$3:$BC$623,1,$G$3:$G$623,$G381),0)</f>
        <v>8.2366071472483995E-2</v>
      </c>
      <c r="AP381" s="2">
        <f>IFERROR(R381/$V381*90,"")</f>
        <v>0.70107108081791625</v>
      </c>
      <c r="AQ381" s="2">
        <f>IFERROR(S381/$V381*90,"")</f>
        <v>0.21908471275559885</v>
      </c>
      <c r="AR381" s="2">
        <f>IFERROR(W381/$V381*90,"")</f>
        <v>1.4459591041869524</v>
      </c>
      <c r="AS381" s="2">
        <f>IFERROR(X381/$V381*90,"")</f>
        <v>0.26290165530671861</v>
      </c>
      <c r="AT381" s="2">
        <f>IFERROR(Y381/$V381*90,"")</f>
        <v>0</v>
      </c>
      <c r="AU381" s="2">
        <f>IF(AP381="",INDEX(BV$4:BV$7,MATCH(O381,$BU$4:$BU$7,0)),AP381)</f>
        <v>0.70107108081791625</v>
      </c>
      <c r="AV381" s="2">
        <f>IF(AQ381="",INDEX(BW$4:BW$7,MATCH($O381,$BU$4:$BU$7,0)),AQ381)</f>
        <v>0.21908471275559885</v>
      </c>
      <c r="AW381" s="2">
        <f t="shared" si="60"/>
        <v>1.4459591041869524</v>
      </c>
      <c r="AX381" s="2">
        <f t="shared" si="61"/>
        <v>0.26290165530671861</v>
      </c>
      <c r="AY381" s="2">
        <f t="shared" si="62"/>
        <v>0</v>
      </c>
      <c r="AZ381" s="2">
        <f>AU381*0.5+AK381*0.5</f>
        <v>0.61517756627102704</v>
      </c>
      <c r="BA381" s="2">
        <f>AV381*0.5+AJ381*0.5</f>
        <v>0.19306606327435116</v>
      </c>
      <c r="BB381" s="2">
        <f t="shared" si="63"/>
        <v>0.20145082765335931</v>
      </c>
      <c r="BC381">
        <f>IF(I381="expected",1,0)</f>
        <v>1</v>
      </c>
      <c r="BD381" s="78">
        <f>IF(BC381=1,AZ381/SUMIFS(AZ$3:AZ$623,$BC$3:$BC$623,1,$G$3:$G$623,$G381),0)</f>
        <v>0.27095062390740809</v>
      </c>
      <c r="BE381" s="78">
        <f>IF(BC381=1,BA381/SUMIFS(BA$3:BA$623,$BC$3:$BC$623,1,$G$3:$G$623,$G381),0)</f>
        <v>0.16192778175296246</v>
      </c>
      <c r="BF381" s="78">
        <f t="shared" si="64"/>
        <v>0.27282135235642291</v>
      </c>
      <c r="BG381" s="2">
        <f t="shared" si="65"/>
        <v>0.20145082765335931</v>
      </c>
      <c r="BH381" s="2">
        <f t="shared" si="66"/>
        <v>0</v>
      </c>
      <c r="BI381" s="2">
        <f t="shared" si="67"/>
        <v>0.27095062390740809</v>
      </c>
      <c r="BJ381" s="2">
        <f t="shared" si="68"/>
        <v>0.16192778175296246</v>
      </c>
      <c r="BK381" s="2">
        <f t="shared" si="69"/>
        <v>0.27282135235642291</v>
      </c>
      <c r="BL381" s="2">
        <f t="shared" si="70"/>
        <v>0.20145082765335931</v>
      </c>
      <c r="BM381" s="2">
        <f t="shared" si="71"/>
        <v>0</v>
      </c>
      <c r="BN381" s="2">
        <f>BI381/SUMIFS(BI$3:BI$623,$BC$3:$BC$623,1,$G$3:$G$623,$G381)</f>
        <v>0.27095062390740815</v>
      </c>
      <c r="BO381" s="2">
        <f>BJ381/SUMIFS(BJ$3:BJ$623,$BC$3:$BC$623,1,$G$3:$G$623,$G381)</f>
        <v>0.16192778175296244</v>
      </c>
      <c r="BP381" s="2">
        <f>BK381/SUMIFS(BK$3:BK$623,$BC$3:$BC$623,1,$G$3:$G$623,$G381)</f>
        <v>0.28166995360208347</v>
      </c>
      <c r="BQ381" s="2">
        <f>BL381</f>
        <v>0.20145082765335931</v>
      </c>
      <c r="BR381" s="2">
        <f>BM381</f>
        <v>0</v>
      </c>
    </row>
    <row r="382" spans="1:70" hidden="1">
      <c r="A382" s="74">
        <v>0</v>
      </c>
      <c r="B382" s="73">
        <v>204751</v>
      </c>
      <c r="C382" s="73" t="s">
        <v>2499</v>
      </c>
      <c r="D382" s="73" t="s">
        <v>2500</v>
      </c>
      <c r="E382" s="73" t="s">
        <v>2501</v>
      </c>
      <c r="F382" s="73">
        <v>18702</v>
      </c>
      <c r="G382" s="73" t="s">
        <v>872</v>
      </c>
      <c r="H382" s="73" t="s">
        <v>913</v>
      </c>
      <c r="I382" s="73" t="s">
        <v>1012</v>
      </c>
      <c r="J382" s="73">
        <v>0</v>
      </c>
      <c r="K382" s="73">
        <v>4.5</v>
      </c>
      <c r="L382" s="73">
        <v>0</v>
      </c>
      <c r="M382" s="73">
        <v>0</v>
      </c>
      <c r="N382" s="73">
        <v>0</v>
      </c>
      <c r="O382" s="73" t="s">
        <v>1290</v>
      </c>
      <c r="P382" s="73" t="s">
        <v>2502</v>
      </c>
      <c r="Q382" s="73" t="s">
        <v>2503</v>
      </c>
      <c r="R382" s="73">
        <v>0</v>
      </c>
      <c r="S382" s="73">
        <v>0</v>
      </c>
      <c r="T382" s="73">
        <v>0</v>
      </c>
      <c r="U382" s="73">
        <v>0</v>
      </c>
      <c r="V382" s="73">
        <v>0</v>
      </c>
      <c r="W382" s="73">
        <v>0</v>
      </c>
      <c r="X382" s="73">
        <v>0</v>
      </c>
      <c r="Y382" s="73">
        <v>0</v>
      </c>
      <c r="Z382" s="73" t="s">
        <v>1689</v>
      </c>
      <c r="AA382" s="73" t="s">
        <v>690</v>
      </c>
      <c r="AB382" s="73" t="str">
        <f>IF(AA382&lt;&gt;"",INDEX(Lookup!$N$2:$N$5,MATCH(Players!AA382,Lookup!$P$2:$P$5,0)),INDEX(Lookup!$N$2:$N$5,MATCH(Players!O382,Lookup!$O$2:$O$5,0)))</f>
        <v>Goalkeeper</v>
      </c>
      <c r="AC382" s="73">
        <v>3000000</v>
      </c>
      <c r="AD382" s="73" t="s">
        <v>788</v>
      </c>
      <c r="AE382" s="73" t="str">
        <f>INDEX('Translate table'!$H$2:$H$622,MATCH(Players!P382,'Translate table'!$G$2:$G$622,0))</f>
        <v>Matvei Igonen</v>
      </c>
      <c r="AF382" s="73">
        <f>IFERROR(INDEX('Euro Qual stats'!$A$1:$L$2071,MATCH(Players!$AE382,'Euro Qual stats'!$A$1:$A$2071,0),MATCH(Players!AF$2,'Euro Qual stats'!$A$1:$L$1,0)),0)</f>
        <v>0</v>
      </c>
      <c r="AG382" s="73">
        <f>IFERROR(INDEX('Euro Qual stats'!$A$1:$L$2071,MATCH(Players!$AE382,'Euro Qual stats'!$A$1:$A$2071,0),MATCH(Players!AG$2,'Euro Qual stats'!$A$1:$L$1,0)),0)</f>
        <v>0</v>
      </c>
      <c r="AH382" s="73">
        <f>IFERROR(INDEX('Euro Qual stats'!$A$1:$L$2071,MATCH(Players!$AE382,'Euro Qual stats'!$A$1:$A$2071,0),MATCH(Players!AH$2,'Euro Qual stats'!$A$1:$L$1,0)),0)</f>
        <v>0</v>
      </c>
      <c r="AI382" s="73">
        <f>IFERROR(INDEX('Euro Qual stats'!$A$1:$L$2071,MATCH(Players!$AE382,'Euro Qual stats'!$A$1:$A$2071,0),MATCH(Players!AI$2,'Euro Qual stats'!$A$1:$L$1,0)),0)</f>
        <v>0</v>
      </c>
      <c r="AJ382" s="93">
        <f>(12-AF382)/12*INDEX(BV$9:BV$12,MATCH($AB382,$BU$9:$BU$12,0))+AF382/12*AG382</f>
        <v>0</v>
      </c>
      <c r="AK382" s="93">
        <f>(12-AG382)/12*INDEX(BW$9:BW$12,MATCH($AB382,$BU$9:$BU$12,0))+AG382/12*AH382</f>
        <v>0</v>
      </c>
      <c r="AL382" s="93">
        <f>(12-AH382)/12*INDEX(BX$9:BX$12,MATCH($AB382,$BU$9:$BU$12,0))+AH382/12*AI382</f>
        <v>0</v>
      </c>
      <c r="AM382" s="93">
        <f>IF($BC382=1,AJ382/SUMIFS(AJ$3:AJ$623,$BC$3:$BC$623,1,$G$3:$G$623,$G382),0)</f>
        <v>0</v>
      </c>
      <c r="AN382" s="93">
        <f>IF($BC382=1,AK382/SUMIFS(AK$3:AK$623,$BC$3:$BC$623,1,$G$3:$G$623,$G382),0)</f>
        <v>0</v>
      </c>
      <c r="AO382" s="93">
        <f>IF($BC382=1,AL382/SUMIFS(AL$3:AL$623,$BC$3:$BC$623,1,$G$3:$G$623,$G382),0)</f>
        <v>0</v>
      </c>
      <c r="AP382" s="2" t="str">
        <f>IFERROR(R382/$V382*90,"")</f>
        <v/>
      </c>
      <c r="AQ382" s="2" t="str">
        <f>IFERROR(S382/$V382*90,"")</f>
        <v/>
      </c>
      <c r="AR382" s="2" t="str">
        <f>IFERROR(W382/$V382*90,"")</f>
        <v/>
      </c>
      <c r="AS382" s="2" t="str">
        <f>IFERROR(X382/$V382*90,"")</f>
        <v/>
      </c>
      <c r="AT382" s="2" t="str">
        <f>IFERROR(Y382/$V382*90,"")</f>
        <v/>
      </c>
      <c r="AU382" s="2">
        <f>IF(AP382="",INDEX(BV$4:BV$7,MATCH(O382,$BU$4:$BU$7,0)),AP382)</f>
        <v>0</v>
      </c>
      <c r="AV382" s="2">
        <f>IF(AQ382="",INDEX(BW$4:BW$7,MATCH($O382,$BU$4:$BU$7,0)),AQ382)</f>
        <v>0</v>
      </c>
      <c r="AW382" s="2">
        <f t="shared" si="60"/>
        <v>0</v>
      </c>
      <c r="AX382" s="2">
        <f t="shared" si="61"/>
        <v>0</v>
      </c>
      <c r="AY382" s="2">
        <f t="shared" si="62"/>
        <v>0</v>
      </c>
      <c r="AZ382" s="2">
        <f>AU382*0.5+AK382*0.5</f>
        <v>0</v>
      </c>
      <c r="BA382" s="2">
        <f>AV382*0.5+AJ382*0.5</f>
        <v>0</v>
      </c>
      <c r="BB382" s="2">
        <f t="shared" si="63"/>
        <v>0</v>
      </c>
      <c r="BC382">
        <f>IF(I382="expected",1,0)</f>
        <v>0</v>
      </c>
      <c r="BD382" s="78">
        <f>IF(BC382=1,AZ382/SUMIFS(AZ$3:AZ$623,$BC$3:$BC$623,1,$G$3:$G$623,$G382),0)</f>
        <v>0</v>
      </c>
      <c r="BE382" s="78">
        <f>IF(BC382=1,BA382/SUMIFS(BA$3:BA$623,$BC$3:$BC$623,1,$G$3:$G$623,$G382),0)</f>
        <v>0</v>
      </c>
      <c r="BF382" s="78">
        <f t="shared" si="64"/>
        <v>0</v>
      </c>
      <c r="BG382" s="2">
        <f t="shared" si="65"/>
        <v>0</v>
      </c>
      <c r="BH382" s="2">
        <f t="shared" si="66"/>
        <v>0</v>
      </c>
      <c r="BI382" s="2">
        <f t="shared" si="67"/>
        <v>0</v>
      </c>
      <c r="BJ382" s="2">
        <f t="shared" si="68"/>
        <v>0</v>
      </c>
      <c r="BK382" s="2">
        <f t="shared" si="69"/>
        <v>0</v>
      </c>
      <c r="BL382" s="2">
        <f t="shared" si="70"/>
        <v>0</v>
      </c>
      <c r="BM382" s="2">
        <f t="shared" si="71"/>
        <v>0</v>
      </c>
      <c r="BN382" s="2">
        <f>BI382/SUMIFS(BI$3:BI$623,$BC$3:$BC$623,1,$G$3:$G$623,$G382)</f>
        <v>0</v>
      </c>
      <c r="BO382" s="2">
        <f>BJ382/SUMIFS(BJ$3:BJ$623,$BC$3:$BC$623,1,$G$3:$G$623,$G382)</f>
        <v>0</v>
      </c>
      <c r="BP382" s="2">
        <f>BK382/SUMIFS(BK$3:BK$623,$BC$3:$BC$623,1,$G$3:$G$623,$G382)</f>
        <v>0</v>
      </c>
      <c r="BQ382" s="2">
        <f>BL382</f>
        <v>0</v>
      </c>
      <c r="BR382" s="2">
        <f>BM382</f>
        <v>0</v>
      </c>
    </row>
    <row r="383" spans="1:70" hidden="1">
      <c r="A383" s="74">
        <v>0</v>
      </c>
      <c r="B383" s="73">
        <v>220836</v>
      </c>
      <c r="C383" s="73" t="s">
        <v>2504</v>
      </c>
      <c r="D383" s="73" t="s">
        <v>2505</v>
      </c>
      <c r="E383" s="73" t="s">
        <v>2506</v>
      </c>
      <c r="F383" s="73">
        <v>18702</v>
      </c>
      <c r="G383" s="73" t="s">
        <v>872</v>
      </c>
      <c r="H383" s="73" t="s">
        <v>913</v>
      </c>
      <c r="I383" s="73" t="s">
        <v>981</v>
      </c>
      <c r="J383" s="73">
        <v>0</v>
      </c>
      <c r="K383" s="73">
        <v>4.5</v>
      </c>
      <c r="L383" s="73">
        <v>0</v>
      </c>
      <c r="M383" s="73">
        <v>0</v>
      </c>
      <c r="N383" s="73">
        <v>0</v>
      </c>
      <c r="O383" s="73" t="s">
        <v>1318</v>
      </c>
      <c r="P383" s="73" t="s">
        <v>2507</v>
      </c>
      <c r="Q383" s="73" t="s">
        <v>1164</v>
      </c>
      <c r="R383" s="73"/>
      <c r="S383" s="73"/>
      <c r="T383" s="73"/>
      <c r="U383" s="73"/>
      <c r="V383" s="73"/>
      <c r="W383" s="73"/>
      <c r="X383" s="73"/>
      <c r="Y383" s="73"/>
      <c r="Z383" s="73" t="s">
        <v>1689</v>
      </c>
      <c r="AA383" s="73" t="s">
        <v>692</v>
      </c>
      <c r="AB383" s="73" t="str">
        <f>IF(AA383&lt;&gt;"",INDEX(Lookup!$N$2:$N$5,MATCH(Players!AA383,Lookup!$P$2:$P$5,0)),INDEX(Lookup!$N$2:$N$5,MATCH(Players!O383,Lookup!$O$2:$O$5,0)))</f>
        <v>Defense</v>
      </c>
      <c r="AC383" s="73">
        <v>3000000</v>
      </c>
      <c r="AD383" s="73" t="s">
        <v>788</v>
      </c>
      <c r="AE383" s="73" t="str">
        <f>INDEX('Translate table'!$H$2:$H$622,MATCH(Players!P383,'Translate table'!$G$2:$G$622,0))</f>
        <v>Fedor Kudryashov</v>
      </c>
      <c r="AF383" s="73">
        <f>IFERROR(INDEX('Euro Qual stats'!$A$1:$L$2071,MATCH(Players!$AE383,'Euro Qual stats'!$A$1:$A$2071,0),MATCH(Players!AF$2,'Euro Qual stats'!$A$1:$L$1,0)),0)</f>
        <v>9</v>
      </c>
      <c r="AG383" s="73">
        <f>IFERROR(INDEX('Euro Qual stats'!$A$1:$L$2071,MATCH(Players!$AE383,'Euro Qual stats'!$A$1:$A$2071,0),MATCH(Players!AG$2,'Euro Qual stats'!$A$1:$L$1,0)),0)</f>
        <v>0.12</v>
      </c>
      <c r="AH383" s="73">
        <f>IFERROR(INDEX('Euro Qual stats'!$A$1:$L$2071,MATCH(Players!$AE383,'Euro Qual stats'!$A$1:$A$2071,0),MATCH(Players!AH$2,'Euro Qual stats'!$A$1:$L$1,0)),0)</f>
        <v>0.12</v>
      </c>
      <c r="AI383" s="73">
        <f>IFERROR(INDEX('Euro Qual stats'!$A$1:$L$2071,MATCH(Players!$AE383,'Euro Qual stats'!$A$1:$A$2071,0),MATCH(Players!AI$2,'Euro Qual stats'!$A$1:$L$1,0)),0)</f>
        <v>0.12</v>
      </c>
      <c r="AJ383" s="93">
        <f>(12-AF383)/12*INDEX(BV$9:BV$12,MATCH($AB383,$BU$9:$BU$12,0))+AF383/12*AG383</f>
        <v>0.11229395604395605</v>
      </c>
      <c r="AK383" s="93">
        <f>(12-AG383)/12*INDEX(BW$9:BW$12,MATCH($AB383,$BU$9:$BU$12,0))+AG383/12*AH383</f>
        <v>0.10373571428571431</v>
      </c>
      <c r="AL383" s="93">
        <f>(12-AH383)/12*INDEX(BX$9:BX$12,MATCH($AB383,$BU$9:$BU$12,0))+AH383/12*AI383</f>
        <v>0.19283571428571422</v>
      </c>
      <c r="AM383" s="93">
        <f>IF($BC383=1,AJ383/SUMIFS(AJ$3:AJ$623,$BC$3:$BC$623,1,$G$3:$G$623,$G383),0)</f>
        <v>5.4524905952407034E-2</v>
      </c>
      <c r="AN383" s="93">
        <f>IF($BC383=1,AK383/SUMIFS(AK$3:AK$623,$BC$3:$BC$623,1,$G$3:$G$623,$G383),0)</f>
        <v>4.5374917557296737E-2</v>
      </c>
      <c r="AO383" s="93">
        <f>IF($BC383=1,AL383/SUMIFS(AL$3:AL$623,$BC$3:$BC$623,1,$G$3:$G$623,$G383),0)</f>
        <v>8.9406102154783187E-2</v>
      </c>
      <c r="AP383" s="2" t="str">
        <f>IFERROR(R383/$V383*90,"")</f>
        <v/>
      </c>
      <c r="AQ383" s="2" t="str">
        <f>IFERROR(S383/$V383*90,"")</f>
        <v/>
      </c>
      <c r="AR383" s="2" t="str">
        <f>IFERROR(W383/$V383*90,"")</f>
        <v/>
      </c>
      <c r="AS383" s="2" t="str">
        <f>IFERROR(X383/$V383*90,"")</f>
        <v/>
      </c>
      <c r="AT383" s="2" t="str">
        <f>IFERROR(Y383/$V383*90,"")</f>
        <v/>
      </c>
      <c r="AU383" s="2">
        <f>IF(AP383="",INDEX(BV$4:BV$7,MATCH(O383,$BU$4:$BU$7,0)),AP383)</f>
        <v>0</v>
      </c>
      <c r="AV383" s="2">
        <f>IF(AQ383="",INDEX(BW$4:BW$7,MATCH($O383,$BU$4:$BU$7,0)),AQ383)</f>
        <v>0</v>
      </c>
      <c r="AW383" s="2">
        <f t="shared" si="60"/>
        <v>8.0624805297505417E-2</v>
      </c>
      <c r="AX383" s="2">
        <f t="shared" si="61"/>
        <v>0.1265377855887522</v>
      </c>
      <c r="AY383" s="2">
        <f t="shared" si="62"/>
        <v>0</v>
      </c>
      <c r="AZ383" s="2">
        <f>AU383*0.5+AK383*0.5</f>
        <v>5.1867857142857153E-2</v>
      </c>
      <c r="BA383" s="2">
        <f>AV383*0.5+AJ383*0.5</f>
        <v>5.6146978021978024E-2</v>
      </c>
      <c r="BB383" s="2">
        <f t="shared" si="63"/>
        <v>0.1232688927943761</v>
      </c>
      <c r="BC383">
        <f>IF(I383="expected",1,0)</f>
        <v>1</v>
      </c>
      <c r="BD383" s="78">
        <f>IF(BC383=1,AZ383/SUMIFS(AZ$3:AZ$623,$BC$3:$BC$623,1,$G$3:$G$623,$G383),0)</f>
        <v>3.4541258148592643E-2</v>
      </c>
      <c r="BE383" s="78">
        <f>IF(BC383=1,BA383/SUMIFS(BA$3:BA$623,$BC$3:$BC$623,1,$G$3:$G$623,$G383),0)</f>
        <v>3.2515242154969912E-2</v>
      </c>
      <c r="BF383" s="78">
        <f t="shared" si="64"/>
        <v>2.2749135677503619E-2</v>
      </c>
      <c r="BG383" s="2">
        <f t="shared" si="65"/>
        <v>0.1232688927943761</v>
      </c>
      <c r="BH383" s="2">
        <f t="shared" si="66"/>
        <v>0</v>
      </c>
      <c r="BI383" s="2">
        <f t="shared" si="67"/>
        <v>3.4541258148592643E-2</v>
      </c>
      <c r="BJ383" s="2">
        <f t="shared" si="68"/>
        <v>3.2515242154969912E-2</v>
      </c>
      <c r="BK383" s="2">
        <f t="shared" si="69"/>
        <v>2.2749135677503619E-2</v>
      </c>
      <c r="BL383" s="2">
        <f t="shared" si="70"/>
        <v>0.1232688927943761</v>
      </c>
      <c r="BM383" s="2">
        <f t="shared" si="71"/>
        <v>0</v>
      </c>
      <c r="BN383" s="2">
        <f>BI383/SUMIFS(BI$3:BI$623,$BC$3:$BC$623,1,$G$3:$G$623,$G383)</f>
        <v>3.454125814859265E-2</v>
      </c>
      <c r="BO383" s="2">
        <f>BJ383/SUMIFS(BJ$3:BJ$623,$BC$3:$BC$623,1,$G$3:$G$623,$G383)</f>
        <v>3.3913795684391679E-2</v>
      </c>
      <c r="BP383" s="2">
        <f>BK383/SUMIFS(BK$3:BK$623,$BC$3:$BC$623,1,$G$3:$G$623,$G383)</f>
        <v>2.2931556840815714E-2</v>
      </c>
      <c r="BQ383" s="2">
        <f>BL383</f>
        <v>0.1232688927943761</v>
      </c>
      <c r="BR383" s="2">
        <f>BM383</f>
        <v>0</v>
      </c>
    </row>
    <row r="384" spans="1:70" hidden="1">
      <c r="A384" s="74">
        <v>0</v>
      </c>
      <c r="B384" s="73">
        <v>213417</v>
      </c>
      <c r="C384" s="73" t="s">
        <v>2508</v>
      </c>
      <c r="D384" s="73" t="s">
        <v>2509</v>
      </c>
      <c r="E384" s="73" t="s">
        <v>1070</v>
      </c>
      <c r="F384" s="73">
        <v>18702</v>
      </c>
      <c r="G384" s="73" t="s">
        <v>872</v>
      </c>
      <c r="H384" s="73" t="s">
        <v>913</v>
      </c>
      <c r="I384" s="73" t="s">
        <v>1812</v>
      </c>
      <c r="J384" s="73">
        <v>0</v>
      </c>
      <c r="K384" s="73">
        <v>4.5</v>
      </c>
      <c r="L384" s="73">
        <v>0</v>
      </c>
      <c r="M384" s="73">
        <v>0</v>
      </c>
      <c r="N384" s="73">
        <v>0</v>
      </c>
      <c r="O384" s="73" t="s">
        <v>1318</v>
      </c>
      <c r="P384" s="73" t="s">
        <v>2510</v>
      </c>
      <c r="Q384" s="73" t="s">
        <v>2511</v>
      </c>
      <c r="R384" s="73">
        <v>3</v>
      </c>
      <c r="S384" s="73">
        <v>3</v>
      </c>
      <c r="T384" s="73">
        <v>0</v>
      </c>
      <c r="U384" s="73">
        <v>1</v>
      </c>
      <c r="V384" s="73">
        <v>1027</v>
      </c>
      <c r="W384" s="73">
        <v>8</v>
      </c>
      <c r="X384" s="73">
        <v>3</v>
      </c>
      <c r="Y384" s="73">
        <v>0</v>
      </c>
      <c r="Z384" s="73" t="s">
        <v>1689</v>
      </c>
      <c r="AA384" s="73" t="s">
        <v>692</v>
      </c>
      <c r="AB384" s="73" t="str">
        <f>IF(AA384&lt;&gt;"",INDEX(Lookup!$N$2:$N$5,MATCH(Players!AA384,Lookup!$P$2:$P$5,0)),INDEX(Lookup!$N$2:$N$5,MATCH(Players!O384,Lookup!$O$2:$O$5,0)))</f>
        <v>Defense</v>
      </c>
      <c r="AC384" s="73">
        <v>3500000</v>
      </c>
      <c r="AD384" s="73" t="s">
        <v>788</v>
      </c>
      <c r="AE384" s="73" t="str">
        <f>INDEX('Translate table'!$H$2:$H$622,MATCH(Players!P384,'Translate table'!$G$2:$G$622,0))</f>
        <v>MÃ¡rio Figueira Fernandes</v>
      </c>
      <c r="AF384" s="73">
        <f>IFERROR(INDEX('Euro Qual stats'!$A$1:$L$2071,MATCH(Players!$AE384,'Euro Qual stats'!$A$1:$A$2071,0),MATCH(Players!AF$2,'Euro Qual stats'!$A$1:$L$1,0)),0)</f>
        <v>8</v>
      </c>
      <c r="AG384" s="73">
        <f>IFERROR(INDEX('Euro Qual stats'!$A$1:$L$2071,MATCH(Players!$AE384,'Euro Qual stats'!$A$1:$A$2071,0),MATCH(Players!AG$2,'Euro Qual stats'!$A$1:$L$1,0)),0)</f>
        <v>0</v>
      </c>
      <c r="AH384" s="73">
        <f>IFERROR(INDEX('Euro Qual stats'!$A$1:$L$2071,MATCH(Players!$AE384,'Euro Qual stats'!$A$1:$A$2071,0),MATCH(Players!AH$2,'Euro Qual stats'!$A$1:$L$1,0)),0)</f>
        <v>0.13</v>
      </c>
      <c r="AI384" s="73">
        <f>IFERROR(INDEX('Euro Qual stats'!$A$1:$L$2071,MATCH(Players!$AE384,'Euro Qual stats'!$A$1:$A$2071,0),MATCH(Players!AI$2,'Euro Qual stats'!$A$1:$L$1,0)),0)</f>
        <v>0</v>
      </c>
      <c r="AJ384" s="93">
        <f>(12-AF384)/12*INDEX(BV$9:BV$12,MATCH($AB384,$BU$9:$BU$12,0))+AF384/12*AG384</f>
        <v>2.9725274725274732E-2</v>
      </c>
      <c r="AK384" s="93">
        <f>(12-AG384)/12*INDEX(BW$9:BW$12,MATCH($AB384,$BU$9:$BU$12,0))+AG384/12*AH384</f>
        <v>0.10357142857142858</v>
      </c>
      <c r="AL384" s="93">
        <f>(12-AH384)/12*INDEX(BX$9:BX$12,MATCH($AB384,$BU$9:$BU$12,0))+AH384/12*AI384</f>
        <v>0.19147440476190467</v>
      </c>
      <c r="AM384" s="93">
        <f>IF($BC384=1,AJ384/SUMIFS(AJ$3:AJ$623,$BC$3:$BC$623,1,$G$3:$G$623,$G384),0)</f>
        <v>0</v>
      </c>
      <c r="AN384" s="93">
        <f>IF($BC384=1,AK384/SUMIFS(AK$3:AK$623,$BC$3:$BC$623,1,$G$3:$G$623,$G384),0)</f>
        <v>0</v>
      </c>
      <c r="AO384" s="93">
        <f>IF($BC384=1,AL384/SUMIFS(AL$3:AL$623,$BC$3:$BC$623,1,$G$3:$G$623,$G384),0)</f>
        <v>0</v>
      </c>
      <c r="AP384" s="2">
        <f>IFERROR(R384/$V384*90,"")</f>
        <v>0.26290165530671861</v>
      </c>
      <c r="AQ384" s="2">
        <f>IFERROR(S384/$V384*90,"")</f>
        <v>0.26290165530671861</v>
      </c>
      <c r="AR384" s="2">
        <f>IFERROR(W384/$V384*90,"")</f>
        <v>0.70107108081791625</v>
      </c>
      <c r="AS384" s="2">
        <f>IFERROR(X384/$V384*90,"")</f>
        <v>0.26290165530671861</v>
      </c>
      <c r="AT384" s="2">
        <f>IFERROR(Y384/$V384*90,"")</f>
        <v>0</v>
      </c>
      <c r="AU384" s="2">
        <f>IF(AP384="",INDEX(BV$4:BV$7,MATCH(O384,$BU$4:$BU$7,0)),AP384)</f>
        <v>0.26290165530671861</v>
      </c>
      <c r="AV384" s="2">
        <f>IF(AQ384="",INDEX(BW$4:BW$7,MATCH($O384,$BU$4:$BU$7,0)),AQ384)</f>
        <v>0.26290165530671861</v>
      </c>
      <c r="AW384" s="2">
        <f t="shared" si="60"/>
        <v>0.70107108081791625</v>
      </c>
      <c r="AX384" s="2">
        <f t="shared" si="61"/>
        <v>0.26290165530671861</v>
      </c>
      <c r="AY384" s="2">
        <f t="shared" si="62"/>
        <v>0</v>
      </c>
      <c r="AZ384" s="2">
        <f>AU384*0.5+AK384*0.5</f>
        <v>0.1832365419390736</v>
      </c>
      <c r="BA384" s="2">
        <f>AV384*0.5+AJ384*0.5</f>
        <v>0.14631346501599668</v>
      </c>
      <c r="BB384" s="2">
        <f t="shared" si="63"/>
        <v>0.1314508276533593</v>
      </c>
      <c r="BC384">
        <f>IF(I384="expected",1,0)</f>
        <v>0</v>
      </c>
      <c r="BD384" s="78">
        <f>IF(BC384=1,AZ384/SUMIFS(AZ$3:AZ$623,$BC$3:$BC$623,1,$G$3:$G$623,$G384),0)</f>
        <v>0</v>
      </c>
      <c r="BE384" s="78">
        <f>IF(BC384=1,BA384/SUMIFS(BA$3:BA$623,$BC$3:$BC$623,1,$G$3:$G$623,$G384),0)</f>
        <v>0</v>
      </c>
      <c r="BF384" s="78">
        <f t="shared" si="64"/>
        <v>0</v>
      </c>
      <c r="BG384" s="2">
        <f t="shared" si="65"/>
        <v>0.1314508276533593</v>
      </c>
      <c r="BH384" s="2">
        <f t="shared" si="66"/>
        <v>0</v>
      </c>
      <c r="BI384" s="2">
        <f t="shared" si="67"/>
        <v>0</v>
      </c>
      <c r="BJ384" s="2">
        <f t="shared" si="68"/>
        <v>0</v>
      </c>
      <c r="BK384" s="2">
        <f t="shared" si="69"/>
        <v>0</v>
      </c>
      <c r="BL384" s="2">
        <f t="shared" si="70"/>
        <v>0.1314508276533593</v>
      </c>
      <c r="BM384" s="2">
        <f t="shared" si="71"/>
        <v>0</v>
      </c>
      <c r="BN384" s="2">
        <f>BI384/SUMIFS(BI$3:BI$623,$BC$3:$BC$623,1,$G$3:$G$623,$G384)</f>
        <v>0</v>
      </c>
      <c r="BO384" s="2">
        <f>BJ384/SUMIFS(BJ$3:BJ$623,$BC$3:$BC$623,1,$G$3:$G$623,$G384)</f>
        <v>0</v>
      </c>
      <c r="BP384" s="2">
        <f>BK384/SUMIFS(BK$3:BK$623,$BC$3:$BC$623,1,$G$3:$G$623,$G384)</f>
        <v>0</v>
      </c>
      <c r="BQ384" s="2">
        <f>BL384</f>
        <v>0.1314508276533593</v>
      </c>
      <c r="BR384" s="2">
        <f>BM384</f>
        <v>0</v>
      </c>
    </row>
    <row r="385" spans="1:70" hidden="1">
      <c r="A385" s="74">
        <v>0</v>
      </c>
      <c r="B385" s="73">
        <v>204753</v>
      </c>
      <c r="C385" s="73" t="s">
        <v>2512</v>
      </c>
      <c r="D385" s="73" t="s">
        <v>2513</v>
      </c>
      <c r="E385" s="73" t="s">
        <v>2514</v>
      </c>
      <c r="F385" s="73">
        <v>18702</v>
      </c>
      <c r="G385" s="73" t="s">
        <v>872</v>
      </c>
      <c r="H385" s="73" t="s">
        <v>913</v>
      </c>
      <c r="I385" s="73" t="s">
        <v>1012</v>
      </c>
      <c r="J385" s="73">
        <v>0</v>
      </c>
      <c r="K385" s="73">
        <v>4.5</v>
      </c>
      <c r="L385" s="73">
        <v>0</v>
      </c>
      <c r="M385" s="73">
        <v>0</v>
      </c>
      <c r="N385" s="73">
        <v>0</v>
      </c>
      <c r="O385" s="73" t="s">
        <v>1318</v>
      </c>
      <c r="P385" s="73" t="s">
        <v>2515</v>
      </c>
      <c r="Q385" s="73" t="s">
        <v>1164</v>
      </c>
      <c r="R385" s="73"/>
      <c r="S385" s="73"/>
      <c r="T385" s="73"/>
      <c r="U385" s="73"/>
      <c r="V385" s="73"/>
      <c r="W385" s="73"/>
      <c r="X385" s="73"/>
      <c r="Y385" s="73"/>
      <c r="Z385" s="73" t="s">
        <v>1689</v>
      </c>
      <c r="AA385" s="73" t="s">
        <v>692</v>
      </c>
      <c r="AB385" s="73" t="str">
        <f>IF(AA385&lt;&gt;"",INDEX(Lookup!$N$2:$N$5,MATCH(Players!AA385,Lookup!$P$2:$P$5,0)),INDEX(Lookup!$N$2:$N$5,MATCH(Players!O385,Lookup!$O$2:$O$5,0)))</f>
        <v>Defense</v>
      </c>
      <c r="AC385" s="73">
        <v>3500000</v>
      </c>
      <c r="AD385" s="73" t="s">
        <v>788</v>
      </c>
      <c r="AE385" s="73" t="str">
        <f>INDEX('Translate table'!$H$2:$H$622,MATCH(Players!P385,'Translate table'!$G$2:$G$622,0))</f>
        <v>Yuri Zhirkov</v>
      </c>
      <c r="AF385" s="73">
        <f>IFERROR(INDEX('Euro Qual stats'!$A$1:$L$2071,MATCH(Players!$AE385,'Euro Qual stats'!$A$1:$A$2071,0),MATCH(Players!AF$2,'Euro Qual stats'!$A$1:$L$1,0)),0)</f>
        <v>5</v>
      </c>
      <c r="AG385" s="73">
        <f>IFERROR(INDEX('Euro Qual stats'!$A$1:$L$2071,MATCH(Players!$AE385,'Euro Qual stats'!$A$1:$A$2071,0),MATCH(Players!AG$2,'Euro Qual stats'!$A$1:$L$1,0)),0)</f>
        <v>0</v>
      </c>
      <c r="AH385" s="73">
        <f>IFERROR(INDEX('Euro Qual stats'!$A$1:$L$2071,MATCH(Players!$AE385,'Euro Qual stats'!$A$1:$A$2071,0),MATCH(Players!AH$2,'Euro Qual stats'!$A$1:$L$1,0)),0)</f>
        <v>0</v>
      </c>
      <c r="AI385" s="73">
        <f>IFERROR(INDEX('Euro Qual stats'!$A$1:$L$2071,MATCH(Players!$AE385,'Euro Qual stats'!$A$1:$A$2071,0),MATCH(Players!AI$2,'Euro Qual stats'!$A$1:$L$1,0)),0)</f>
        <v>0</v>
      </c>
      <c r="AJ385" s="93">
        <f>(12-AF385)/12*INDEX(BV$9:BV$12,MATCH($AB385,$BU$9:$BU$12,0))+AF385/12*AG385</f>
        <v>5.201923076923079E-2</v>
      </c>
      <c r="AK385" s="93">
        <f>(12-AG385)/12*INDEX(BW$9:BW$12,MATCH($AB385,$BU$9:$BU$12,0))+AG385/12*AH385</f>
        <v>0.10357142857142858</v>
      </c>
      <c r="AL385" s="93">
        <f>(12-AH385)/12*INDEX(BX$9:BX$12,MATCH($AB385,$BU$9:$BU$12,0))+AH385/12*AI385</f>
        <v>0.19357142857142848</v>
      </c>
      <c r="AM385" s="93">
        <f>IF($BC385=1,AJ385/SUMIFS(AJ$3:AJ$623,$BC$3:$BC$623,1,$G$3:$G$623,$G385),0)</f>
        <v>0</v>
      </c>
      <c r="AN385" s="93">
        <f>IF($BC385=1,AK385/SUMIFS(AK$3:AK$623,$BC$3:$BC$623,1,$G$3:$G$623,$G385),0)</f>
        <v>0</v>
      </c>
      <c r="AO385" s="93">
        <f>IF($BC385=1,AL385/SUMIFS(AL$3:AL$623,$BC$3:$BC$623,1,$G$3:$G$623,$G385),0)</f>
        <v>0</v>
      </c>
      <c r="AP385" s="2" t="str">
        <f>IFERROR(R385/$V385*90,"")</f>
        <v/>
      </c>
      <c r="AQ385" s="2" t="str">
        <f>IFERROR(S385/$V385*90,"")</f>
        <v/>
      </c>
      <c r="AR385" s="2" t="str">
        <f>IFERROR(W385/$V385*90,"")</f>
        <v/>
      </c>
      <c r="AS385" s="2" t="str">
        <f>IFERROR(X385/$V385*90,"")</f>
        <v/>
      </c>
      <c r="AT385" s="2" t="str">
        <f>IFERROR(Y385/$V385*90,"")</f>
        <v/>
      </c>
      <c r="AU385" s="2">
        <f>IF(AP385="",INDEX(BV$4:BV$7,MATCH(O385,$BU$4:$BU$7,0)),AP385)</f>
        <v>0</v>
      </c>
      <c r="AV385" s="2">
        <f>IF(AQ385="",INDEX(BW$4:BW$7,MATCH($O385,$BU$4:$BU$7,0)),AQ385)</f>
        <v>0</v>
      </c>
      <c r="AW385" s="2">
        <f t="shared" si="60"/>
        <v>8.0624805297505417E-2</v>
      </c>
      <c r="AX385" s="2">
        <f t="shared" si="61"/>
        <v>0.1265377855887522</v>
      </c>
      <c r="AY385" s="2">
        <f t="shared" si="62"/>
        <v>0</v>
      </c>
      <c r="AZ385" s="2">
        <f>AU385*0.5+AK385*0.5</f>
        <v>5.1785714285714289E-2</v>
      </c>
      <c r="BA385" s="2">
        <f>AV385*0.5+AJ385*0.5</f>
        <v>2.6009615384615395E-2</v>
      </c>
      <c r="BB385" s="2">
        <f t="shared" si="63"/>
        <v>6.32688927943761E-2</v>
      </c>
      <c r="BC385">
        <f>IF(I385="expected",1,0)</f>
        <v>0</v>
      </c>
      <c r="BD385" s="78">
        <f>IF(BC385=1,AZ385/SUMIFS(AZ$3:AZ$623,$BC$3:$BC$623,1,$G$3:$G$623,$G385),0)</f>
        <v>0</v>
      </c>
      <c r="BE385" s="78">
        <f>IF(BC385=1,BA385/SUMIFS(BA$3:BA$623,$BC$3:$BC$623,1,$G$3:$G$623,$G385),0)</f>
        <v>0</v>
      </c>
      <c r="BF385" s="78">
        <f t="shared" si="64"/>
        <v>0</v>
      </c>
      <c r="BG385" s="2">
        <f t="shared" si="65"/>
        <v>6.32688927943761E-2</v>
      </c>
      <c r="BH385" s="2">
        <f t="shared" si="66"/>
        <v>0</v>
      </c>
      <c r="BI385" s="2">
        <f t="shared" si="67"/>
        <v>0</v>
      </c>
      <c r="BJ385" s="2">
        <f t="shared" si="68"/>
        <v>0</v>
      </c>
      <c r="BK385" s="2">
        <f t="shared" si="69"/>
        <v>0</v>
      </c>
      <c r="BL385" s="2">
        <f t="shared" si="70"/>
        <v>6.32688927943761E-2</v>
      </c>
      <c r="BM385" s="2">
        <f t="shared" si="71"/>
        <v>0</v>
      </c>
      <c r="BN385" s="2">
        <f>BI385/SUMIFS(BI$3:BI$623,$BC$3:$BC$623,1,$G$3:$G$623,$G385)</f>
        <v>0</v>
      </c>
      <c r="BO385" s="2">
        <f>BJ385/SUMIFS(BJ$3:BJ$623,$BC$3:$BC$623,1,$G$3:$G$623,$G385)</f>
        <v>0</v>
      </c>
      <c r="BP385" s="2">
        <f>BK385/SUMIFS(BK$3:BK$623,$BC$3:$BC$623,1,$G$3:$G$623,$G385)</f>
        <v>0</v>
      </c>
      <c r="BQ385" s="2">
        <f>BL385</f>
        <v>6.32688927943761E-2</v>
      </c>
      <c r="BR385" s="2">
        <f>BM385</f>
        <v>0</v>
      </c>
    </row>
    <row r="386" spans="1:70" hidden="1">
      <c r="A386" s="74">
        <v>0</v>
      </c>
      <c r="B386" s="73">
        <v>204752</v>
      </c>
      <c r="C386" s="73" t="s">
        <v>2516</v>
      </c>
      <c r="D386" s="73" t="s">
        <v>2517</v>
      </c>
      <c r="E386" s="73" t="s">
        <v>2518</v>
      </c>
      <c r="F386" s="73">
        <v>18702</v>
      </c>
      <c r="G386" s="73" t="s">
        <v>872</v>
      </c>
      <c r="H386" s="73" t="s">
        <v>913</v>
      </c>
      <c r="I386" s="73" t="s">
        <v>981</v>
      </c>
      <c r="J386" s="73">
        <v>0</v>
      </c>
      <c r="K386" s="73">
        <v>4.5</v>
      </c>
      <c r="L386" s="73">
        <v>0</v>
      </c>
      <c r="M386" s="73">
        <v>0</v>
      </c>
      <c r="N386" s="73">
        <v>0</v>
      </c>
      <c r="O386" s="73" t="s">
        <v>1318</v>
      </c>
      <c r="P386" s="73" t="s">
        <v>2519</v>
      </c>
      <c r="Q386" s="73" t="s">
        <v>1164</v>
      </c>
      <c r="R386" s="73"/>
      <c r="S386" s="73"/>
      <c r="T386" s="73"/>
      <c r="U386" s="73"/>
      <c r="V386" s="73"/>
      <c r="W386" s="73"/>
      <c r="X386" s="73"/>
      <c r="Y386" s="73"/>
      <c r="Z386" s="73" t="s">
        <v>1689</v>
      </c>
      <c r="AA386" s="73" t="s">
        <v>692</v>
      </c>
      <c r="AB386" s="73" t="str">
        <f>IF(AA386&lt;&gt;"",INDEX(Lookup!$N$2:$N$5,MATCH(Players!AA386,Lookup!$P$2:$P$5,0)),INDEX(Lookup!$N$2:$N$5,MATCH(Players!O386,Lookup!$O$2:$O$5,0)))</f>
        <v>Defense</v>
      </c>
      <c r="AC386" s="73">
        <v>3000000</v>
      </c>
      <c r="AD386" s="73" t="s">
        <v>788</v>
      </c>
      <c r="AE386" s="73" t="str">
        <f>INDEX('Translate table'!$H$2:$H$622,MATCH(Players!P386,'Translate table'!$G$2:$G$622,0))</f>
        <v>Georgiy Dzhikiya</v>
      </c>
      <c r="AF386" s="73">
        <f>IFERROR(INDEX('Euro Qual stats'!$A$1:$L$2071,MATCH(Players!$AE386,'Euro Qual stats'!$A$1:$A$2071,0),MATCH(Players!AF$2,'Euro Qual stats'!$A$1:$L$1,0)),0)</f>
        <v>10</v>
      </c>
      <c r="AG386" s="73">
        <f>IFERROR(INDEX('Euro Qual stats'!$A$1:$L$2071,MATCH(Players!$AE386,'Euro Qual stats'!$A$1:$A$2071,0),MATCH(Players!AG$2,'Euro Qual stats'!$A$1:$L$1,0)),0)</f>
        <v>0</v>
      </c>
      <c r="AH386" s="73">
        <f>IFERROR(INDEX('Euro Qual stats'!$A$1:$L$2071,MATCH(Players!$AE386,'Euro Qual stats'!$A$1:$A$2071,0),MATCH(Players!AH$2,'Euro Qual stats'!$A$1:$L$1,0)),0)</f>
        <v>0.1</v>
      </c>
      <c r="AI386" s="73">
        <f>IFERROR(INDEX('Euro Qual stats'!$A$1:$L$2071,MATCH(Players!$AE386,'Euro Qual stats'!$A$1:$A$2071,0),MATCH(Players!AI$2,'Euro Qual stats'!$A$1:$L$1,0)),0)</f>
        <v>0</v>
      </c>
      <c r="AJ386" s="93">
        <f>(12-AF386)/12*INDEX(BV$9:BV$12,MATCH($AB386,$BU$9:$BU$12,0))+AF386/12*AG386</f>
        <v>1.4862637362637366E-2</v>
      </c>
      <c r="AK386" s="93">
        <f>(12-AG386)/12*INDEX(BW$9:BW$12,MATCH($AB386,$BU$9:$BU$12,0))+AG386/12*AH386</f>
        <v>0.10357142857142858</v>
      </c>
      <c r="AL386" s="93">
        <f>(12-AH386)/12*INDEX(BX$9:BX$12,MATCH($AB386,$BU$9:$BU$12,0))+AH386/12*AI386</f>
        <v>0.19195833333333326</v>
      </c>
      <c r="AM386" s="93">
        <f>IF($BC386=1,AJ386/SUMIFS(AJ$3:AJ$623,$BC$3:$BC$623,1,$G$3:$G$623,$G386),0)</f>
        <v>7.2166297541901431E-3</v>
      </c>
      <c r="AN386" s="93">
        <f>IF($BC386=1,AK386/SUMIFS(AK$3:AK$623,$BC$3:$BC$623,1,$G$3:$G$623,$G386),0)</f>
        <v>4.5303057534999837E-2</v>
      </c>
      <c r="AO386" s="93">
        <f>IF($BC386=1,AL386/SUMIFS(AL$3:AL$623,$BC$3:$BC$623,1,$G$3:$G$623,$G386),0)</f>
        <v>8.8999314380289254E-2</v>
      </c>
      <c r="AP386" s="2" t="str">
        <f>IFERROR(R386/$V386*90,"")</f>
        <v/>
      </c>
      <c r="AQ386" s="2" t="str">
        <f>IFERROR(S386/$V386*90,"")</f>
        <v/>
      </c>
      <c r="AR386" s="2" t="str">
        <f>IFERROR(W386/$V386*90,"")</f>
        <v/>
      </c>
      <c r="AS386" s="2" t="str">
        <f>IFERROR(X386/$V386*90,"")</f>
        <v/>
      </c>
      <c r="AT386" s="2" t="str">
        <f>IFERROR(Y386/$V386*90,"")</f>
        <v/>
      </c>
      <c r="AU386" s="2">
        <f>IF(AP386="",INDEX(BV$4:BV$7,MATCH(O386,$BU$4:$BU$7,0)),AP386)</f>
        <v>0</v>
      </c>
      <c r="AV386" s="2">
        <f>IF(AQ386="",INDEX(BW$4:BW$7,MATCH($O386,$BU$4:$BU$7,0)),AQ386)</f>
        <v>0</v>
      </c>
      <c r="AW386" s="2">
        <f t="shared" si="60"/>
        <v>8.0624805297505417E-2</v>
      </c>
      <c r="AX386" s="2">
        <f t="shared" si="61"/>
        <v>0.1265377855887522</v>
      </c>
      <c r="AY386" s="2">
        <f t="shared" si="62"/>
        <v>0</v>
      </c>
      <c r="AZ386" s="2">
        <f>AU386*0.5+AK386*0.5</f>
        <v>5.1785714285714289E-2</v>
      </c>
      <c r="BA386" s="2">
        <f>AV386*0.5+AJ386*0.5</f>
        <v>7.431318681318683E-3</v>
      </c>
      <c r="BB386" s="2">
        <f t="shared" si="63"/>
        <v>6.32688927943761E-2</v>
      </c>
      <c r="BC386">
        <f>IF(I386="expected",1,0)</f>
        <v>1</v>
      </c>
      <c r="BD386" s="78">
        <f>IF(BC386=1,AZ386/SUMIFS(AZ$3:AZ$623,$BC$3:$BC$623,1,$G$3:$G$623,$G386),0)</f>
        <v>3.4486555336679291E-2</v>
      </c>
      <c r="BE386" s="78">
        <f>IF(BC386=1,BA386/SUMIFS(BA$3:BA$623,$BC$3:$BC$623,1,$G$3:$G$623,$G386),0)</f>
        <v>4.303546423446783E-3</v>
      </c>
      <c r="BF386" s="78">
        <f t="shared" si="64"/>
        <v>2.2749135677503619E-2</v>
      </c>
      <c r="BG386" s="2">
        <f t="shared" si="65"/>
        <v>6.32688927943761E-2</v>
      </c>
      <c r="BH386" s="2">
        <f t="shared" si="66"/>
        <v>0</v>
      </c>
      <c r="BI386" s="2">
        <f t="shared" si="67"/>
        <v>3.4486555336679291E-2</v>
      </c>
      <c r="BJ386" s="2">
        <f t="shared" si="68"/>
        <v>4.303546423446783E-3</v>
      </c>
      <c r="BK386" s="2">
        <f t="shared" si="69"/>
        <v>2.2749135677503619E-2</v>
      </c>
      <c r="BL386" s="2">
        <f t="shared" si="70"/>
        <v>6.32688927943761E-2</v>
      </c>
      <c r="BM386" s="2">
        <f t="shared" si="71"/>
        <v>0</v>
      </c>
      <c r="BN386" s="2">
        <f>BI386/SUMIFS(BI$3:BI$623,$BC$3:$BC$623,1,$G$3:$G$623,$G386)</f>
        <v>3.4486555336679298E-2</v>
      </c>
      <c r="BO386" s="2">
        <f>BJ386/SUMIFS(BJ$3:BJ$623,$BC$3:$BC$623,1,$G$3:$G$623,$G386)</f>
        <v>4.4886516122950217E-3</v>
      </c>
      <c r="BP386" s="2">
        <f>BK386/SUMIFS(BK$3:BK$623,$BC$3:$BC$623,1,$G$3:$G$623,$G386)</f>
        <v>2.2931556840815714E-2</v>
      </c>
      <c r="BQ386" s="2">
        <f>BL386</f>
        <v>6.32688927943761E-2</v>
      </c>
      <c r="BR386" s="2">
        <f>BM386</f>
        <v>0</v>
      </c>
    </row>
    <row r="387" spans="1:70" hidden="1">
      <c r="A387" s="74">
        <v>0</v>
      </c>
      <c r="B387" s="73">
        <v>204745</v>
      </c>
      <c r="C387" s="73" t="s">
        <v>2520</v>
      </c>
      <c r="D387" s="73" t="s">
        <v>2521</v>
      </c>
      <c r="E387" s="73" t="s">
        <v>2522</v>
      </c>
      <c r="F387" s="73">
        <v>18702</v>
      </c>
      <c r="G387" s="73" t="s">
        <v>872</v>
      </c>
      <c r="H387" s="73" t="s">
        <v>913</v>
      </c>
      <c r="I387" s="73" t="s">
        <v>1012</v>
      </c>
      <c r="J387" s="73">
        <v>0</v>
      </c>
      <c r="K387" s="73">
        <v>4.5</v>
      </c>
      <c r="L387" s="73">
        <v>0</v>
      </c>
      <c r="M387" s="73">
        <v>0</v>
      </c>
      <c r="N387" s="73">
        <v>0</v>
      </c>
      <c r="O387" s="73" t="s">
        <v>1318</v>
      </c>
      <c r="P387" s="73" t="s">
        <v>2523</v>
      </c>
      <c r="Q387" s="73" t="s">
        <v>1164</v>
      </c>
      <c r="R387" s="73"/>
      <c r="S387" s="73"/>
      <c r="T387" s="73"/>
      <c r="U387" s="73"/>
      <c r="V387" s="73"/>
      <c r="W387" s="73"/>
      <c r="X387" s="73"/>
      <c r="Y387" s="73"/>
      <c r="Z387" s="73" t="s">
        <v>1689</v>
      </c>
      <c r="AA387" s="73" t="s">
        <v>692</v>
      </c>
      <c r="AB387" s="73" t="str">
        <f>IF(AA387&lt;&gt;"",INDEX(Lookup!$N$2:$N$5,MATCH(Players!AA387,Lookup!$P$2:$P$5,0)),INDEX(Lookup!$N$2:$N$5,MATCH(Players!O387,Lookup!$O$2:$O$5,0)))</f>
        <v>Defense</v>
      </c>
      <c r="AC387" s="73">
        <v>2000000</v>
      </c>
      <c r="AD387" s="73" t="s">
        <v>788</v>
      </c>
      <c r="AE387" s="73" t="str">
        <f>INDEX('Translate table'!$H$2:$H$622,MATCH(Players!P387,'Translate table'!$G$2:$G$622,0))</f>
        <v>Igors Tarasovs</v>
      </c>
      <c r="AF387" s="73">
        <f>IFERROR(INDEX('Euro Qual stats'!$A$1:$L$2071,MATCH(Players!$AE387,'Euro Qual stats'!$A$1:$A$2071,0),MATCH(Players!AF$2,'Euro Qual stats'!$A$1:$L$1,0)),0)</f>
        <v>4</v>
      </c>
      <c r="AG387" s="73">
        <f>IFERROR(INDEX('Euro Qual stats'!$A$1:$L$2071,MATCH(Players!$AE387,'Euro Qual stats'!$A$1:$A$2071,0),MATCH(Players!AG$2,'Euro Qual stats'!$A$1:$L$1,0)),0)</f>
        <v>0</v>
      </c>
      <c r="AH387" s="73">
        <f>IFERROR(INDEX('Euro Qual stats'!$A$1:$L$2071,MATCH(Players!$AE387,'Euro Qual stats'!$A$1:$A$2071,0),MATCH(Players!AH$2,'Euro Qual stats'!$A$1:$L$1,0)),0)</f>
        <v>0</v>
      </c>
      <c r="AI387" s="73">
        <f>IFERROR(INDEX('Euro Qual stats'!$A$1:$L$2071,MATCH(Players!$AE387,'Euro Qual stats'!$A$1:$A$2071,0),MATCH(Players!AI$2,'Euro Qual stats'!$A$1:$L$1,0)),0)</f>
        <v>0</v>
      </c>
      <c r="AJ387" s="93">
        <f>(12-AF387)/12*INDEX(BV$9:BV$12,MATCH($AB387,$BU$9:$BU$12,0))+AF387/12*AG387</f>
        <v>5.9450549450549464E-2</v>
      </c>
      <c r="AK387" s="93">
        <f>(12-AG387)/12*INDEX(BW$9:BW$12,MATCH($AB387,$BU$9:$BU$12,0))+AG387/12*AH387</f>
        <v>0.10357142857142858</v>
      </c>
      <c r="AL387" s="93">
        <f>(12-AH387)/12*INDEX(BX$9:BX$12,MATCH($AB387,$BU$9:$BU$12,0))+AH387/12*AI387</f>
        <v>0.19357142857142848</v>
      </c>
      <c r="AM387" s="93">
        <f>IF($BC387=1,AJ387/SUMIFS(AJ$3:AJ$623,$BC$3:$BC$623,1,$G$3:$G$623,$G387),0)</f>
        <v>0</v>
      </c>
      <c r="AN387" s="93">
        <f>IF($BC387=1,AK387/SUMIFS(AK$3:AK$623,$BC$3:$BC$623,1,$G$3:$G$623,$G387),0)</f>
        <v>0</v>
      </c>
      <c r="AO387" s="93">
        <f>IF($BC387=1,AL387/SUMIFS(AL$3:AL$623,$BC$3:$BC$623,1,$G$3:$G$623,$G387),0)</f>
        <v>0</v>
      </c>
      <c r="AP387" s="2" t="str">
        <f>IFERROR(R387/$V387*90,"")</f>
        <v/>
      </c>
      <c r="AQ387" s="2" t="str">
        <f>IFERROR(S387/$V387*90,"")</f>
        <v/>
      </c>
      <c r="AR387" s="2" t="str">
        <f>IFERROR(W387/$V387*90,"")</f>
        <v/>
      </c>
      <c r="AS387" s="2" t="str">
        <f>IFERROR(X387/$V387*90,"")</f>
        <v/>
      </c>
      <c r="AT387" s="2" t="str">
        <f>IFERROR(Y387/$V387*90,"")</f>
        <v/>
      </c>
      <c r="AU387" s="2">
        <f>IF(AP387="",INDEX(BV$4:BV$7,MATCH(O387,$BU$4:$BU$7,0)),AP387)</f>
        <v>0</v>
      </c>
      <c r="AV387" s="2">
        <f>IF(AQ387="",INDEX(BW$4:BW$7,MATCH($O387,$BU$4:$BU$7,0)),AQ387)</f>
        <v>0</v>
      </c>
      <c r="AW387" s="2">
        <f t="shared" si="60"/>
        <v>8.0624805297505417E-2</v>
      </c>
      <c r="AX387" s="2">
        <f t="shared" si="61"/>
        <v>0.1265377855887522</v>
      </c>
      <c r="AY387" s="2">
        <f t="shared" si="62"/>
        <v>0</v>
      </c>
      <c r="AZ387" s="2">
        <f>AU387*0.5+AK387*0.5</f>
        <v>5.1785714285714289E-2</v>
      </c>
      <c r="BA387" s="2">
        <f>AV387*0.5+AJ387*0.5</f>
        <v>2.9725274725274732E-2</v>
      </c>
      <c r="BB387" s="2">
        <f t="shared" si="63"/>
        <v>6.32688927943761E-2</v>
      </c>
      <c r="BC387">
        <f>IF(I387="expected",1,0)</f>
        <v>0</v>
      </c>
      <c r="BD387" s="78">
        <f>IF(BC387=1,AZ387/SUMIFS(AZ$3:AZ$623,$BC$3:$BC$623,1,$G$3:$G$623,$G387),0)</f>
        <v>0</v>
      </c>
      <c r="BE387" s="78">
        <f>IF(BC387=1,BA387/SUMIFS(BA$3:BA$623,$BC$3:$BC$623,1,$G$3:$G$623,$G387),0)</f>
        <v>0</v>
      </c>
      <c r="BF387" s="78">
        <f t="shared" si="64"/>
        <v>0</v>
      </c>
      <c r="BG387" s="2">
        <f t="shared" si="65"/>
        <v>6.32688927943761E-2</v>
      </c>
      <c r="BH387" s="2">
        <f t="shared" si="66"/>
        <v>0</v>
      </c>
      <c r="BI387" s="2">
        <f t="shared" si="67"/>
        <v>0</v>
      </c>
      <c r="BJ387" s="2">
        <f t="shared" si="68"/>
        <v>0</v>
      </c>
      <c r="BK387" s="2">
        <f t="shared" si="69"/>
        <v>0</v>
      </c>
      <c r="BL387" s="2">
        <f t="shared" si="70"/>
        <v>6.32688927943761E-2</v>
      </c>
      <c r="BM387" s="2">
        <f t="shared" si="71"/>
        <v>0</v>
      </c>
      <c r="BN387" s="2">
        <f>BI387/SUMIFS(BI$3:BI$623,$BC$3:$BC$623,1,$G$3:$G$623,$G387)</f>
        <v>0</v>
      </c>
      <c r="BO387" s="2">
        <f>BJ387/SUMIFS(BJ$3:BJ$623,$BC$3:$BC$623,1,$G$3:$G$623,$G387)</f>
        <v>0</v>
      </c>
      <c r="BP387" s="2">
        <f>BK387/SUMIFS(BK$3:BK$623,$BC$3:$BC$623,1,$G$3:$G$623,$G387)</f>
        <v>0</v>
      </c>
      <c r="BQ387" s="2">
        <f>BL387</f>
        <v>6.32688927943761E-2</v>
      </c>
      <c r="BR387" s="2">
        <f>BM387</f>
        <v>0</v>
      </c>
    </row>
    <row r="388" spans="1:70" hidden="1">
      <c r="A388" s="74">
        <v>0</v>
      </c>
      <c r="B388" s="73">
        <v>220843</v>
      </c>
      <c r="C388" s="73" t="s">
        <v>2524</v>
      </c>
      <c r="D388" s="73" t="s">
        <v>2136</v>
      </c>
      <c r="E388" s="73" t="s">
        <v>2525</v>
      </c>
      <c r="F388" s="73">
        <v>18702</v>
      </c>
      <c r="G388" s="73" t="s">
        <v>872</v>
      </c>
      <c r="H388" s="73" t="s">
        <v>913</v>
      </c>
      <c r="I388" s="73" t="s">
        <v>1012</v>
      </c>
      <c r="J388" s="73">
        <v>0</v>
      </c>
      <c r="K388" s="73">
        <v>4.5</v>
      </c>
      <c r="L388" s="73">
        <v>0</v>
      </c>
      <c r="M388" s="73">
        <v>0</v>
      </c>
      <c r="N388" s="73">
        <v>0</v>
      </c>
      <c r="O388" s="73" t="s">
        <v>994</v>
      </c>
      <c r="P388" s="73" t="s">
        <v>2526</v>
      </c>
      <c r="Q388" s="73" t="s">
        <v>2527</v>
      </c>
      <c r="R388" s="73">
        <v>1</v>
      </c>
      <c r="S388" s="73">
        <v>1</v>
      </c>
      <c r="T388" s="73">
        <v>0</v>
      </c>
      <c r="U388" s="73">
        <v>1</v>
      </c>
      <c r="V388" s="73">
        <v>1419</v>
      </c>
      <c r="W388" s="73">
        <v>2</v>
      </c>
      <c r="X388" s="73">
        <v>5</v>
      </c>
      <c r="Y388" s="73">
        <v>0</v>
      </c>
      <c r="Z388" s="73" t="s">
        <v>1689</v>
      </c>
      <c r="AA388" s="73" t="s">
        <v>691</v>
      </c>
      <c r="AB388" s="73" t="str">
        <f>IF(AA388&lt;&gt;"",INDEX(Lookup!$N$2:$N$5,MATCH(Players!AA388,Lookup!$P$2:$P$5,0)),INDEX(Lookup!$N$2:$N$5,MATCH(Players!O388,Lookup!$O$2:$O$5,0)))</f>
        <v>Midfield</v>
      </c>
      <c r="AC388" s="73">
        <v>2500000</v>
      </c>
      <c r="AD388" s="73" t="s">
        <v>788</v>
      </c>
      <c r="AE388" s="73" t="str">
        <f>INDEX('Translate table'!$H$2:$H$622,MATCH(Players!P388,'Translate table'!$G$2:$G$622,0))</f>
        <v>Anastasios Donis</v>
      </c>
      <c r="AF388" s="73">
        <f>IFERROR(INDEX('Euro Qual stats'!$A$1:$L$2071,MATCH(Players!$AE388,'Euro Qual stats'!$A$1:$A$2071,0),MATCH(Players!AF$2,'Euro Qual stats'!$A$1:$L$1,0)),0)</f>
        <v>4</v>
      </c>
      <c r="AG388" s="73">
        <f>IFERROR(INDEX('Euro Qual stats'!$A$1:$L$2071,MATCH(Players!$AE388,'Euro Qual stats'!$A$1:$A$2071,0),MATCH(Players!AG$2,'Euro Qual stats'!$A$1:$L$1,0)),0)</f>
        <v>0</v>
      </c>
      <c r="AH388" s="73">
        <f>IFERROR(INDEX('Euro Qual stats'!$A$1:$L$2071,MATCH(Players!$AE388,'Euro Qual stats'!$A$1:$A$2071,0),MATCH(Players!AH$2,'Euro Qual stats'!$A$1:$L$1,0)),0)</f>
        <v>0.48</v>
      </c>
      <c r="AI388" s="73">
        <f>IFERROR(INDEX('Euro Qual stats'!$A$1:$L$2071,MATCH(Players!$AE388,'Euro Qual stats'!$A$1:$A$2071,0),MATCH(Players!AI$2,'Euro Qual stats'!$A$1:$L$1,0)),0)</f>
        <v>0.95</v>
      </c>
      <c r="AJ388" s="93">
        <f>(12-AF388)/12*INDEX(BV$9:BV$12,MATCH($AB388,$BU$9:$BU$12,0))+AF388/12*AG388</f>
        <v>0.11246073298429318</v>
      </c>
      <c r="AK388" s="93">
        <f>(12-AG388)/12*INDEX(BW$9:BW$12,MATCH($AB388,$BU$9:$BU$12,0))+AG388/12*AH388</f>
        <v>0.22340314136125652</v>
      </c>
      <c r="AL388" s="93">
        <f>(12-AH388)/12*INDEX(BX$9:BX$12,MATCH($AB388,$BU$9:$BU$12,0))+AH388/12*AI388</f>
        <v>0.26784712041884817</v>
      </c>
      <c r="AM388" s="93">
        <f>IF($BC388=1,AJ388/SUMIFS(AJ$3:AJ$623,$BC$3:$BC$623,1,$G$3:$G$623,$G388),0)</f>
        <v>0</v>
      </c>
      <c r="AN388" s="93">
        <f>IF($BC388=1,AK388/SUMIFS(AK$3:AK$623,$BC$3:$BC$623,1,$G$3:$G$623,$G388),0)</f>
        <v>0</v>
      </c>
      <c r="AO388" s="93">
        <f>IF($BC388=1,AL388/SUMIFS(AL$3:AL$623,$BC$3:$BC$623,1,$G$3:$G$623,$G388),0)</f>
        <v>0</v>
      </c>
      <c r="AP388" s="2">
        <f>IFERROR(R388/$V388*90,"")</f>
        <v>6.3424947145877375E-2</v>
      </c>
      <c r="AQ388" s="2">
        <f>IFERROR(S388/$V388*90,"")</f>
        <v>6.3424947145877375E-2</v>
      </c>
      <c r="AR388" s="2">
        <f>IFERROR(W388/$V388*90,"")</f>
        <v>0.12684989429175475</v>
      </c>
      <c r="AS388" s="2">
        <f>IFERROR(X388/$V388*90,"")</f>
        <v>0.31712473572938693</v>
      </c>
      <c r="AT388" s="2">
        <f>IFERROR(Y388/$V388*90,"")</f>
        <v>0</v>
      </c>
      <c r="AU388" s="2">
        <f>IF(AP388="",INDEX(BV$4:BV$7,MATCH(O388,$BU$4:$BU$7,0)),AP388)</f>
        <v>6.3424947145877375E-2</v>
      </c>
      <c r="AV388" s="2">
        <f>IF(AQ388="",INDEX(BW$4:BW$7,MATCH($O388,$BU$4:$BU$7,0)),AQ388)</f>
        <v>6.3424947145877375E-2</v>
      </c>
      <c r="AW388" s="2">
        <f t="shared" ref="AW388:AW451" si="72">IF(AR388="",INDEX(BX$4:BX$7,MATCH($O388,$BU$4:$BU$7,0)),AR388)</f>
        <v>0.12684989429175475</v>
      </c>
      <c r="AX388" s="2">
        <f t="shared" ref="AX388:AX451" si="73">IF(AS388="",INDEX(BY$4:BY$7,MATCH($O388,$BU$4:$BU$7,0)),AS388)</f>
        <v>0.31712473572938693</v>
      </c>
      <c r="AY388" s="2">
        <f t="shared" ref="AY388:AY451" si="74">IF(AT388="",INDEX(BZ$4:BZ$7,MATCH($O388,$BU$4:$BU$7,0)),AT388)</f>
        <v>0</v>
      </c>
      <c r="AZ388" s="2">
        <f>AU388*0.5+AK388*0.5</f>
        <v>0.14341404425356696</v>
      </c>
      <c r="BA388" s="2">
        <f>AV388*0.5+AJ388*0.5</f>
        <v>8.7942840065085279E-2</v>
      </c>
      <c r="BB388" s="2">
        <f t="shared" ref="BB388:BB451" si="75">AX388*0.5+AI388*0.5</f>
        <v>0.63356236786469344</v>
      </c>
      <c r="BC388">
        <f>IF(I388="expected",1,0)</f>
        <v>0</v>
      </c>
      <c r="BD388" s="78">
        <f>IF(BC388=1,AZ388/SUMIFS(AZ$3:AZ$623,$BC$3:$BC$623,1,$G$3:$G$623,$G388),0)</f>
        <v>0</v>
      </c>
      <c r="BE388" s="78">
        <f>IF(BC388=1,BA388/SUMIFS(BA$3:BA$623,$BC$3:$BC$623,1,$G$3:$G$623,$G388),0)</f>
        <v>0</v>
      </c>
      <c r="BF388" s="78">
        <f t="shared" ref="BF388:BF451" si="76">IF(BC388=1,AW388/SUMIFS(AW$3:AW$623,$BC$3:$BC$623,1,$G$3:$G$623,$G388),0)</f>
        <v>0</v>
      </c>
      <c r="BG388" s="2">
        <f t="shared" ref="BG388:BG451" si="77">BB388</f>
        <v>0.63356236786469344</v>
      </c>
      <c r="BH388" s="2">
        <f t="shared" ref="BH388:BH451" si="78">AY388</f>
        <v>0</v>
      </c>
      <c r="BI388" s="2">
        <f t="shared" ref="BI388:BI451" si="79">MIN(BI$1,BD388)</f>
        <v>0</v>
      </c>
      <c r="BJ388" s="2">
        <f t="shared" ref="BJ388:BJ451" si="80">MIN(BJ$1,BE388)</f>
        <v>0</v>
      </c>
      <c r="BK388" s="2">
        <f t="shared" ref="BK388:BK451" si="81">MIN(BK$1,BF388)</f>
        <v>0</v>
      </c>
      <c r="BL388" s="2">
        <f t="shared" ref="BL388:BL451" si="82">BG388</f>
        <v>0.63356236786469344</v>
      </c>
      <c r="BM388" s="2">
        <f t="shared" ref="BM388:BM451" si="83">MIN($BM$1,BH388)</f>
        <v>0</v>
      </c>
      <c r="BN388" s="2">
        <f>BI388/SUMIFS(BI$3:BI$623,$BC$3:$BC$623,1,$G$3:$G$623,$G388)</f>
        <v>0</v>
      </c>
      <c r="BO388" s="2">
        <f>BJ388/SUMIFS(BJ$3:BJ$623,$BC$3:$BC$623,1,$G$3:$G$623,$G388)</f>
        <v>0</v>
      </c>
      <c r="BP388" s="2">
        <f>BK388/SUMIFS(BK$3:BK$623,$BC$3:$BC$623,1,$G$3:$G$623,$G388)</f>
        <v>0</v>
      </c>
      <c r="BQ388" s="2">
        <f>BL388</f>
        <v>0.63356236786469344</v>
      </c>
      <c r="BR388" s="2">
        <f>BM388</f>
        <v>0</v>
      </c>
    </row>
    <row r="389" spans="1:70" hidden="1">
      <c r="A389" s="74">
        <v>0</v>
      </c>
      <c r="B389" s="73">
        <v>220842</v>
      </c>
      <c r="C389" s="73" t="s">
        <v>2528</v>
      </c>
      <c r="D389" s="73" t="s">
        <v>2529</v>
      </c>
      <c r="E389" s="73" t="s">
        <v>2530</v>
      </c>
      <c r="F389" s="73">
        <v>18702</v>
      </c>
      <c r="G389" s="73" t="s">
        <v>872</v>
      </c>
      <c r="H389" s="73" t="s">
        <v>913</v>
      </c>
      <c r="I389" s="73" t="s">
        <v>1012</v>
      </c>
      <c r="J389" s="73">
        <v>0</v>
      </c>
      <c r="K389" s="73">
        <v>4.5</v>
      </c>
      <c r="L389" s="73">
        <v>0</v>
      </c>
      <c r="M389" s="73">
        <v>0</v>
      </c>
      <c r="N389" s="73">
        <v>0</v>
      </c>
      <c r="O389" s="73" t="s">
        <v>994</v>
      </c>
      <c r="P389" s="73" t="s">
        <v>2531</v>
      </c>
      <c r="Q389" s="73" t="s">
        <v>1898</v>
      </c>
      <c r="R389" s="73">
        <v>3</v>
      </c>
      <c r="S389" s="73">
        <v>6</v>
      </c>
      <c r="T389" s="73">
        <v>0</v>
      </c>
      <c r="U389" s="73">
        <v>16</v>
      </c>
      <c r="V389" s="73">
        <v>7728</v>
      </c>
      <c r="W389" s="73">
        <v>9</v>
      </c>
      <c r="X389" s="73">
        <v>19</v>
      </c>
      <c r="Y389" s="73">
        <v>0</v>
      </c>
      <c r="Z389" s="73" t="s">
        <v>1689</v>
      </c>
      <c r="AA389" s="73" t="s">
        <v>691</v>
      </c>
      <c r="AB389" s="73" t="str">
        <f>IF(AA389&lt;&gt;"",INDEX(Lookup!$N$2:$N$5,MATCH(Players!AA389,Lookup!$P$2:$P$5,0)),INDEX(Lookup!$N$2:$N$5,MATCH(Players!O389,Lookup!$O$2:$O$5,0)))</f>
        <v>Midfield</v>
      </c>
      <c r="AC389" s="73">
        <v>2000000</v>
      </c>
      <c r="AD389" s="73" t="s">
        <v>788</v>
      </c>
      <c r="AE389" s="73" t="str">
        <f>INDEX('Translate table'!$H$2:$H$622,MATCH(Players!P389,'Translate table'!$G$2:$G$622,0))</f>
        <v>Daniil Fomin</v>
      </c>
      <c r="AF389" s="73">
        <f>IFERROR(INDEX('Euro Qual stats'!$A$1:$L$2071,MATCH(Players!$AE389,'Euro Qual stats'!$A$1:$A$2071,0),MATCH(Players!AF$2,'Euro Qual stats'!$A$1:$L$1,0)),0)</f>
        <v>0</v>
      </c>
      <c r="AG389" s="73">
        <f>IFERROR(INDEX('Euro Qual stats'!$A$1:$L$2071,MATCH(Players!$AE389,'Euro Qual stats'!$A$1:$A$2071,0),MATCH(Players!AG$2,'Euro Qual stats'!$A$1:$L$1,0)),0)</f>
        <v>0</v>
      </c>
      <c r="AH389" s="73">
        <f>IFERROR(INDEX('Euro Qual stats'!$A$1:$L$2071,MATCH(Players!$AE389,'Euro Qual stats'!$A$1:$A$2071,0),MATCH(Players!AH$2,'Euro Qual stats'!$A$1:$L$1,0)),0)</f>
        <v>0</v>
      </c>
      <c r="AI389" s="73">
        <f>IFERROR(INDEX('Euro Qual stats'!$A$1:$L$2071,MATCH(Players!$AE389,'Euro Qual stats'!$A$1:$A$2071,0),MATCH(Players!AI$2,'Euro Qual stats'!$A$1:$L$1,0)),0)</f>
        <v>0</v>
      </c>
      <c r="AJ389" s="93">
        <f>(12-AF389)/12*INDEX(BV$9:BV$12,MATCH($AB389,$BU$9:$BU$12,0))+AF389/12*AG389</f>
        <v>0.16869109947643979</v>
      </c>
      <c r="AK389" s="93">
        <f>(12-AG389)/12*INDEX(BW$9:BW$12,MATCH($AB389,$BU$9:$BU$12,0))+AG389/12*AH389</f>
        <v>0.22340314136125652</v>
      </c>
      <c r="AL389" s="93">
        <f>(12-AH389)/12*INDEX(BX$9:BX$12,MATCH($AB389,$BU$9:$BU$12,0))+AH389/12*AI389</f>
        <v>0.23942408376963353</v>
      </c>
      <c r="AM389" s="93">
        <f>IF($BC389=1,AJ389/SUMIFS(AJ$3:AJ$623,$BC$3:$BC$623,1,$G$3:$G$623,$G389),0)</f>
        <v>0</v>
      </c>
      <c r="AN389" s="93">
        <f>IF($BC389=1,AK389/SUMIFS(AK$3:AK$623,$BC$3:$BC$623,1,$G$3:$G$623,$G389),0)</f>
        <v>0</v>
      </c>
      <c r="AO389" s="93">
        <f>IF($BC389=1,AL389/SUMIFS(AL$3:AL$623,$BC$3:$BC$623,1,$G$3:$G$623,$G389),0)</f>
        <v>0</v>
      </c>
      <c r="AP389" s="2">
        <f>IFERROR(R389/$V389*90,"")</f>
        <v>3.4937888198757761E-2</v>
      </c>
      <c r="AQ389" s="2">
        <f>IFERROR(S389/$V389*90,"")</f>
        <v>6.9875776397515521E-2</v>
      </c>
      <c r="AR389" s="2">
        <f>IFERROR(W389/$V389*90,"")</f>
        <v>0.1048136645962733</v>
      </c>
      <c r="AS389" s="2">
        <f>IFERROR(X389/$V389*90,"")</f>
        <v>0.22127329192546585</v>
      </c>
      <c r="AT389" s="2">
        <f>IFERROR(Y389/$V389*90,"")</f>
        <v>0</v>
      </c>
      <c r="AU389" s="2">
        <f>IF(AP389="",INDEX(BV$4:BV$7,MATCH(O389,$BU$4:$BU$7,0)),AP389)</f>
        <v>3.4937888198757761E-2</v>
      </c>
      <c r="AV389" s="2">
        <f>IF(AQ389="",INDEX(BW$4:BW$7,MATCH($O389,$BU$4:$BU$7,0)),AQ389)</f>
        <v>6.9875776397515521E-2</v>
      </c>
      <c r="AW389" s="2">
        <f t="shared" si="72"/>
        <v>0.1048136645962733</v>
      </c>
      <c r="AX389" s="2">
        <f t="shared" si="73"/>
        <v>0.22127329192546585</v>
      </c>
      <c r="AY389" s="2">
        <f t="shared" si="74"/>
        <v>0</v>
      </c>
      <c r="AZ389" s="2">
        <f>AU389*0.5+AK389*0.5</f>
        <v>0.12917051478000713</v>
      </c>
      <c r="BA389" s="2">
        <f>AV389*0.5+AJ389*0.5</f>
        <v>0.11928343793697765</v>
      </c>
      <c r="BB389" s="2">
        <f t="shared" si="75"/>
        <v>0.11063664596273293</v>
      </c>
      <c r="BC389">
        <f>IF(I389="expected",1,0)</f>
        <v>0</v>
      </c>
      <c r="BD389" s="78">
        <f>IF(BC389=1,AZ389/SUMIFS(AZ$3:AZ$623,$BC$3:$BC$623,1,$G$3:$G$623,$G389),0)</f>
        <v>0</v>
      </c>
      <c r="BE389" s="78">
        <f>IF(BC389=1,BA389/SUMIFS(BA$3:BA$623,$BC$3:$BC$623,1,$G$3:$G$623,$G389),0)</f>
        <v>0</v>
      </c>
      <c r="BF389" s="78">
        <f t="shared" si="76"/>
        <v>0</v>
      </c>
      <c r="BG389" s="2">
        <f t="shared" si="77"/>
        <v>0.11063664596273293</v>
      </c>
      <c r="BH389" s="2">
        <f t="shared" si="78"/>
        <v>0</v>
      </c>
      <c r="BI389" s="2">
        <f t="shared" si="79"/>
        <v>0</v>
      </c>
      <c r="BJ389" s="2">
        <f t="shared" si="80"/>
        <v>0</v>
      </c>
      <c r="BK389" s="2">
        <f t="shared" si="81"/>
        <v>0</v>
      </c>
      <c r="BL389" s="2">
        <f t="shared" si="82"/>
        <v>0.11063664596273293</v>
      </c>
      <c r="BM389" s="2">
        <f t="shared" si="83"/>
        <v>0</v>
      </c>
      <c r="BN389" s="2">
        <f>BI389/SUMIFS(BI$3:BI$623,$BC$3:$BC$623,1,$G$3:$G$623,$G389)</f>
        <v>0</v>
      </c>
      <c r="BO389" s="2">
        <f>BJ389/SUMIFS(BJ$3:BJ$623,$BC$3:$BC$623,1,$G$3:$G$623,$G389)</f>
        <v>0</v>
      </c>
      <c r="BP389" s="2">
        <f>BK389/SUMIFS(BK$3:BK$623,$BC$3:$BC$623,1,$G$3:$G$623,$G389)</f>
        <v>0</v>
      </c>
      <c r="BQ389" s="2">
        <f>BL389</f>
        <v>0.11063664596273293</v>
      </c>
      <c r="BR389" s="2">
        <f>BM389</f>
        <v>0</v>
      </c>
    </row>
    <row r="390" spans="1:70" hidden="1">
      <c r="A390" s="74">
        <v>0</v>
      </c>
      <c r="B390" s="73">
        <v>220839</v>
      </c>
      <c r="C390" s="73" t="s">
        <v>2532</v>
      </c>
      <c r="D390" s="73" t="s">
        <v>2533</v>
      </c>
      <c r="E390" s="73" t="s">
        <v>2534</v>
      </c>
      <c r="F390" s="73">
        <v>18702</v>
      </c>
      <c r="G390" s="73" t="s">
        <v>872</v>
      </c>
      <c r="H390" s="73" t="s">
        <v>913</v>
      </c>
      <c r="I390" s="73" t="s">
        <v>1012</v>
      </c>
      <c r="J390" s="73">
        <v>0</v>
      </c>
      <c r="K390" s="73">
        <v>4.5</v>
      </c>
      <c r="L390" s="73">
        <v>0</v>
      </c>
      <c r="M390" s="73">
        <v>0</v>
      </c>
      <c r="N390" s="73">
        <v>0</v>
      </c>
      <c r="O390" s="73" t="s">
        <v>994</v>
      </c>
      <c r="P390" s="73" t="s">
        <v>2535</v>
      </c>
      <c r="Q390" s="73" t="s">
        <v>2536</v>
      </c>
      <c r="R390" s="73">
        <v>0</v>
      </c>
      <c r="S390" s="73">
        <v>0</v>
      </c>
      <c r="T390" s="73">
        <v>0</v>
      </c>
      <c r="U390" s="73">
        <v>0</v>
      </c>
      <c r="V390" s="73">
        <v>0</v>
      </c>
      <c r="W390" s="73">
        <v>0</v>
      </c>
      <c r="X390" s="73">
        <v>0</v>
      </c>
      <c r="Y390" s="73">
        <v>0</v>
      </c>
      <c r="Z390" s="73" t="s">
        <v>1689</v>
      </c>
      <c r="AA390" s="73" t="s">
        <v>691</v>
      </c>
      <c r="AB390" s="73" t="str">
        <f>IF(AA390&lt;&gt;"",INDEX(Lookup!$N$2:$N$5,MATCH(Players!AA390,Lookup!$P$2:$P$5,0)),INDEX(Lookup!$N$2:$N$5,MATCH(Players!O390,Lookup!$O$2:$O$5,0)))</f>
        <v>Midfield</v>
      </c>
      <c r="AC390" s="73">
        <v>2000000</v>
      </c>
      <c r="AD390" s="73" t="s">
        <v>788</v>
      </c>
      <c r="AE390" s="73" t="str">
        <f>INDEX('Translate table'!$H$2:$H$622,MATCH(Players!P390,'Translate table'!$G$2:$G$622,0))</f>
        <v>Dmitri Barinov</v>
      </c>
      <c r="AF390" s="73">
        <f>IFERROR(INDEX('Euro Qual stats'!$A$1:$L$2071,MATCH(Players!$AE390,'Euro Qual stats'!$A$1:$A$2071,0),MATCH(Players!AF$2,'Euro Qual stats'!$A$1:$L$1,0)),0)</f>
        <v>4</v>
      </c>
      <c r="AG390" s="73">
        <f>IFERROR(INDEX('Euro Qual stats'!$A$1:$L$2071,MATCH(Players!$AE390,'Euro Qual stats'!$A$1:$A$2071,0),MATCH(Players!AG$2,'Euro Qual stats'!$A$1:$L$1,0)),0)</f>
        <v>0</v>
      </c>
      <c r="AH390" s="73">
        <f>IFERROR(INDEX('Euro Qual stats'!$A$1:$L$2071,MATCH(Players!$AE390,'Euro Qual stats'!$A$1:$A$2071,0),MATCH(Players!AH$2,'Euro Qual stats'!$A$1:$L$1,0)),0)</f>
        <v>0</v>
      </c>
      <c r="AI390" s="73">
        <f>IFERROR(INDEX('Euro Qual stats'!$A$1:$L$2071,MATCH(Players!$AE390,'Euro Qual stats'!$A$1:$A$2071,0),MATCH(Players!AI$2,'Euro Qual stats'!$A$1:$L$1,0)),0)</f>
        <v>0.63</v>
      </c>
      <c r="AJ390" s="93">
        <f>(12-AF390)/12*INDEX(BV$9:BV$12,MATCH($AB390,$BU$9:$BU$12,0))+AF390/12*AG390</f>
        <v>0.11246073298429318</v>
      </c>
      <c r="AK390" s="93">
        <f>(12-AG390)/12*INDEX(BW$9:BW$12,MATCH($AB390,$BU$9:$BU$12,0))+AG390/12*AH390</f>
        <v>0.22340314136125652</v>
      </c>
      <c r="AL390" s="93">
        <f>(12-AH390)/12*INDEX(BX$9:BX$12,MATCH($AB390,$BU$9:$BU$12,0))+AH390/12*AI390</f>
        <v>0.23942408376963353</v>
      </c>
      <c r="AM390" s="93">
        <f>IF($BC390=1,AJ390/SUMIFS(AJ$3:AJ$623,$BC$3:$BC$623,1,$G$3:$G$623,$G390),0)</f>
        <v>0</v>
      </c>
      <c r="AN390" s="93">
        <f>IF($BC390=1,AK390/SUMIFS(AK$3:AK$623,$BC$3:$BC$623,1,$G$3:$G$623,$G390),0)</f>
        <v>0</v>
      </c>
      <c r="AO390" s="93">
        <f>IF($BC390=1,AL390/SUMIFS(AL$3:AL$623,$BC$3:$BC$623,1,$G$3:$G$623,$G390),0)</f>
        <v>0</v>
      </c>
      <c r="AP390" s="2" t="str">
        <f>IFERROR(R390/$V390*90,"")</f>
        <v/>
      </c>
      <c r="AQ390" s="2" t="str">
        <f>IFERROR(S390/$V390*90,"")</f>
        <v/>
      </c>
      <c r="AR390" s="2" t="str">
        <f>IFERROR(W390/$V390*90,"")</f>
        <v/>
      </c>
      <c r="AS390" s="2" t="str">
        <f>IFERROR(X390/$V390*90,"")</f>
        <v/>
      </c>
      <c r="AT390" s="2" t="str">
        <f>IFERROR(Y390/$V390*90,"")</f>
        <v/>
      </c>
      <c r="AU390" s="2">
        <f>IF(AP390="",INDEX(BV$4:BV$7,MATCH(O390,$BU$4:$BU$7,0)),AP390)</f>
        <v>3.6526142445450806E-2</v>
      </c>
      <c r="AV390" s="2">
        <f>IF(AQ390="",INDEX(BW$4:BW$7,MATCH($O390,$BU$4:$BU$7,0)),AQ390)</f>
        <v>3.2427739661688867E-2</v>
      </c>
      <c r="AW390" s="2">
        <f t="shared" si="72"/>
        <v>0.20013349649571699</v>
      </c>
      <c r="AX390" s="2">
        <f t="shared" si="73"/>
        <v>0.16081000595592615</v>
      </c>
      <c r="AY390" s="2">
        <f t="shared" si="74"/>
        <v>0</v>
      </c>
      <c r="AZ390" s="2">
        <f>AU390*0.5+AK390*0.5</f>
        <v>0.12996464190335366</v>
      </c>
      <c r="BA390" s="2">
        <f>AV390*0.5+AJ390*0.5</f>
        <v>7.2444236322991018E-2</v>
      </c>
      <c r="BB390" s="2">
        <f t="shared" si="75"/>
        <v>0.3954050029779631</v>
      </c>
      <c r="BC390">
        <f>IF(I390="expected",1,0)</f>
        <v>0</v>
      </c>
      <c r="BD390" s="78">
        <f>IF(BC390=1,AZ390/SUMIFS(AZ$3:AZ$623,$BC$3:$BC$623,1,$G$3:$G$623,$G390),0)</f>
        <v>0</v>
      </c>
      <c r="BE390" s="78">
        <f>IF(BC390=1,BA390/SUMIFS(BA$3:BA$623,$BC$3:$BC$623,1,$G$3:$G$623,$G390),0)</f>
        <v>0</v>
      </c>
      <c r="BF390" s="78">
        <f t="shared" si="76"/>
        <v>0</v>
      </c>
      <c r="BG390" s="2">
        <f t="shared" si="77"/>
        <v>0.3954050029779631</v>
      </c>
      <c r="BH390" s="2">
        <f t="shared" si="78"/>
        <v>0</v>
      </c>
      <c r="BI390" s="2">
        <f t="shared" si="79"/>
        <v>0</v>
      </c>
      <c r="BJ390" s="2">
        <f t="shared" si="80"/>
        <v>0</v>
      </c>
      <c r="BK390" s="2">
        <f t="shared" si="81"/>
        <v>0</v>
      </c>
      <c r="BL390" s="2">
        <f t="shared" si="82"/>
        <v>0.3954050029779631</v>
      </c>
      <c r="BM390" s="2">
        <f t="shared" si="83"/>
        <v>0</v>
      </c>
      <c r="BN390" s="2">
        <f>BI390/SUMIFS(BI$3:BI$623,$BC$3:$BC$623,1,$G$3:$G$623,$G390)</f>
        <v>0</v>
      </c>
      <c r="BO390" s="2">
        <f>BJ390/SUMIFS(BJ$3:BJ$623,$BC$3:$BC$623,1,$G$3:$G$623,$G390)</f>
        <v>0</v>
      </c>
      <c r="BP390" s="2">
        <f>BK390/SUMIFS(BK$3:BK$623,$BC$3:$BC$623,1,$G$3:$G$623,$G390)</f>
        <v>0</v>
      </c>
      <c r="BQ390" s="2">
        <f>BL390</f>
        <v>0.3954050029779631</v>
      </c>
      <c r="BR390" s="2">
        <f>BM390</f>
        <v>0</v>
      </c>
    </row>
    <row r="391" spans="1:70" hidden="1">
      <c r="A391" s="74">
        <v>0</v>
      </c>
      <c r="B391" s="73">
        <v>204999</v>
      </c>
      <c r="C391" s="73" t="s">
        <v>2537</v>
      </c>
      <c r="D391" s="73" t="s">
        <v>1924</v>
      </c>
      <c r="E391" s="73" t="s">
        <v>2538</v>
      </c>
      <c r="F391" s="73">
        <v>18702</v>
      </c>
      <c r="G391" s="73" t="s">
        <v>872</v>
      </c>
      <c r="H391" s="73" t="s">
        <v>913</v>
      </c>
      <c r="I391" s="73" t="s">
        <v>981</v>
      </c>
      <c r="J391" s="73">
        <v>0</v>
      </c>
      <c r="K391" s="73">
        <v>4.5</v>
      </c>
      <c r="L391" s="73">
        <v>0</v>
      </c>
      <c r="M391" s="73">
        <v>0</v>
      </c>
      <c r="N391" s="73">
        <v>0</v>
      </c>
      <c r="O391" s="73" t="s">
        <v>994</v>
      </c>
      <c r="P391" s="73" t="s">
        <v>2539</v>
      </c>
      <c r="Q391" s="73" t="s">
        <v>2540</v>
      </c>
      <c r="R391" s="73">
        <v>0</v>
      </c>
      <c r="S391" s="73">
        <v>0</v>
      </c>
      <c r="T391" s="73">
        <v>16</v>
      </c>
      <c r="U391" s="73">
        <v>3</v>
      </c>
      <c r="V391" s="73">
        <v>270</v>
      </c>
      <c r="W391" s="73">
        <v>0</v>
      </c>
      <c r="X391" s="73">
        <v>0</v>
      </c>
      <c r="Y391" s="73">
        <v>0</v>
      </c>
      <c r="Z391" s="73" t="s">
        <v>1689</v>
      </c>
      <c r="AA391" s="73" t="s">
        <v>691</v>
      </c>
      <c r="AB391" s="73" t="str">
        <f>IF(AA391&lt;&gt;"",INDEX(Lookup!$N$2:$N$5,MATCH(Players!AA391,Lookup!$P$2:$P$5,0)),INDEX(Lookup!$N$2:$N$5,MATCH(Players!O391,Lookup!$O$2:$O$5,0)))</f>
        <v>Midfield</v>
      </c>
      <c r="AC391" s="73">
        <v>2500000</v>
      </c>
      <c r="AD391" s="73" t="s">
        <v>788</v>
      </c>
      <c r="AE391" s="73" t="str">
        <f>INDEX('Translate table'!$H$2:$H$622,MATCH(Players!P391,'Translate table'!$G$2:$G$622,0))</f>
        <v>Aleksey Ionov</v>
      </c>
      <c r="AF391" s="73">
        <f>IFERROR(INDEX('Euro Qual stats'!$A$1:$L$2071,MATCH(Players!$AE391,'Euro Qual stats'!$A$1:$A$2071,0),MATCH(Players!AF$2,'Euro Qual stats'!$A$1:$L$1,0)),0)</f>
        <v>9</v>
      </c>
      <c r="AG391" s="73">
        <f>IFERROR(INDEX('Euro Qual stats'!$A$1:$L$2071,MATCH(Players!$AE391,'Euro Qual stats'!$A$1:$A$2071,0),MATCH(Players!AG$2,'Euro Qual stats'!$A$1:$L$1,0)),0)</f>
        <v>0.15</v>
      </c>
      <c r="AH391" s="73">
        <f>IFERROR(INDEX('Euro Qual stats'!$A$1:$L$2071,MATCH(Players!$AE391,'Euro Qual stats'!$A$1:$A$2071,0),MATCH(Players!AH$2,'Euro Qual stats'!$A$1:$L$1,0)),0)</f>
        <v>0.3</v>
      </c>
      <c r="AI391" s="73">
        <f>IFERROR(INDEX('Euro Qual stats'!$A$1:$L$2071,MATCH(Players!$AE391,'Euro Qual stats'!$A$1:$A$2071,0),MATCH(Players!AI$2,'Euro Qual stats'!$A$1:$L$1,0)),0)</f>
        <v>0</v>
      </c>
      <c r="AJ391" s="93">
        <f>(12-AF391)/12*INDEX(BV$9:BV$12,MATCH($AB391,$BU$9:$BU$12,0))+AF391/12*AG391</f>
        <v>0.15467277486910994</v>
      </c>
      <c r="AK391" s="93">
        <f>(12-AG391)/12*INDEX(BW$9:BW$12,MATCH($AB391,$BU$9:$BU$12,0))+AG391/12*AH391</f>
        <v>0.2243606020942408</v>
      </c>
      <c r="AL391" s="93">
        <f>(12-AH391)/12*INDEX(BX$9:BX$12,MATCH($AB391,$BU$9:$BU$12,0))+AH391/12*AI391</f>
        <v>0.23343848167539269</v>
      </c>
      <c r="AM391" s="93">
        <f>IF($BC391=1,AJ391/SUMIFS(AJ$3:AJ$623,$BC$3:$BC$623,1,$G$3:$G$623,$G391),0)</f>
        <v>7.5102158657896531E-2</v>
      </c>
      <c r="AN391" s="93">
        <f>IF($BC391=1,AK391/SUMIFS(AK$3:AK$623,$BC$3:$BC$623,1,$G$3:$G$623,$G391),0)</f>
        <v>9.8137308768052642E-2</v>
      </c>
      <c r="AO391" s="93">
        <f>IF($BC391=1,AL391/SUMIFS(AL$3:AL$623,$BC$3:$BC$623,1,$G$3:$G$623,$G391),0)</f>
        <v>0.10823111692165319</v>
      </c>
      <c r="AP391" s="2">
        <f>IFERROR(R391/$V391*90,"")</f>
        <v>0</v>
      </c>
      <c r="AQ391" s="2">
        <f>IFERROR(S391/$V391*90,"")</f>
        <v>0</v>
      </c>
      <c r="AR391" s="2">
        <f>IFERROR(W391/$V391*90,"")</f>
        <v>0</v>
      </c>
      <c r="AS391" s="2">
        <f>IFERROR(X391/$V391*90,"")</f>
        <v>0</v>
      </c>
      <c r="AT391" s="2">
        <f>IFERROR(Y391/$V391*90,"")</f>
        <v>0</v>
      </c>
      <c r="AU391" s="2">
        <f>IF(AP391="",INDEX(BV$4:BV$7,MATCH(O391,$BU$4:$BU$7,0)),AP391)</f>
        <v>0</v>
      </c>
      <c r="AV391" s="2">
        <f>IF(AQ391="",INDEX(BW$4:BW$7,MATCH($O391,$BU$4:$BU$7,0)),AQ391)</f>
        <v>0</v>
      </c>
      <c r="AW391" s="2">
        <f t="shared" si="72"/>
        <v>0</v>
      </c>
      <c r="AX391" s="2">
        <f t="shared" si="73"/>
        <v>0</v>
      </c>
      <c r="AY391" s="2">
        <f t="shared" si="74"/>
        <v>0</v>
      </c>
      <c r="AZ391" s="2">
        <f>AU391*0.5+AK391*0.5</f>
        <v>0.1121803010471204</v>
      </c>
      <c r="BA391" s="2">
        <f>AV391*0.5+AJ391*0.5</f>
        <v>7.7336387434554968E-2</v>
      </c>
      <c r="BB391" s="2">
        <f t="shared" si="75"/>
        <v>0</v>
      </c>
      <c r="BC391">
        <f>IF(I391="expected",1,0)</f>
        <v>1</v>
      </c>
      <c r="BD391" s="78">
        <f>IF(BC391=1,AZ391/SUMIFS(AZ$3:AZ$623,$BC$3:$BC$623,1,$G$3:$G$623,$G391),0)</f>
        <v>7.4706165843387615E-2</v>
      </c>
      <c r="BE391" s="78">
        <f>IF(BC391=1,BA391/SUMIFS(BA$3:BA$623,$BC$3:$BC$623,1,$G$3:$G$623,$G391),0)</f>
        <v>4.4786228100127029E-2</v>
      </c>
      <c r="BF391" s="78">
        <f t="shared" si="76"/>
        <v>0</v>
      </c>
      <c r="BG391" s="2">
        <f t="shared" si="77"/>
        <v>0</v>
      </c>
      <c r="BH391" s="2">
        <f t="shared" si="78"/>
        <v>0</v>
      </c>
      <c r="BI391" s="2">
        <f t="shared" si="79"/>
        <v>7.4706165843387615E-2</v>
      </c>
      <c r="BJ391" s="2">
        <f t="shared" si="80"/>
        <v>4.4786228100127029E-2</v>
      </c>
      <c r="BK391" s="2">
        <f t="shared" si="81"/>
        <v>0</v>
      </c>
      <c r="BL391" s="2">
        <f t="shared" si="82"/>
        <v>0</v>
      </c>
      <c r="BM391" s="2">
        <f t="shared" si="83"/>
        <v>0</v>
      </c>
      <c r="BN391" s="2">
        <f>BI391/SUMIFS(BI$3:BI$623,$BC$3:$BC$623,1,$G$3:$G$623,$G391)</f>
        <v>7.4706165843387629E-2</v>
      </c>
      <c r="BO391" s="2">
        <f>BJ391/SUMIFS(BJ$3:BJ$623,$BC$3:$BC$623,1,$G$3:$G$623,$G391)</f>
        <v>4.6712584271192702E-2</v>
      </c>
      <c r="BP391" s="2">
        <f>BK391/SUMIFS(BK$3:BK$623,$BC$3:$BC$623,1,$G$3:$G$623,$G391)</f>
        <v>0</v>
      </c>
      <c r="BQ391" s="2">
        <f>BL391</f>
        <v>0</v>
      </c>
      <c r="BR391" s="2">
        <f>BM391</f>
        <v>0</v>
      </c>
    </row>
    <row r="392" spans="1:70" hidden="1">
      <c r="A392" s="74">
        <v>0</v>
      </c>
      <c r="B392" s="73">
        <v>204756</v>
      </c>
      <c r="C392" s="73" t="s">
        <v>2541</v>
      </c>
      <c r="D392" s="73" t="s">
        <v>1914</v>
      </c>
      <c r="E392" s="73" t="s">
        <v>2542</v>
      </c>
      <c r="F392" s="73">
        <v>18702</v>
      </c>
      <c r="G392" s="73" t="s">
        <v>872</v>
      </c>
      <c r="H392" s="73" t="s">
        <v>913</v>
      </c>
      <c r="I392" s="73" t="s">
        <v>1012</v>
      </c>
      <c r="J392" s="73">
        <v>0</v>
      </c>
      <c r="K392" s="73">
        <v>4.5</v>
      </c>
      <c r="L392" s="73">
        <v>0</v>
      </c>
      <c r="M392" s="73">
        <v>0</v>
      </c>
      <c r="N392" s="73">
        <v>0</v>
      </c>
      <c r="O392" s="73" t="s">
        <v>994</v>
      </c>
      <c r="P392" s="73" t="s">
        <v>2543</v>
      </c>
      <c r="Q392" s="73" t="s">
        <v>2048</v>
      </c>
      <c r="R392" s="73">
        <v>0</v>
      </c>
      <c r="S392" s="73">
        <v>0</v>
      </c>
      <c r="T392" s="73">
        <v>62</v>
      </c>
      <c r="U392" s="73">
        <v>4</v>
      </c>
      <c r="V392" s="73">
        <v>1665</v>
      </c>
      <c r="W392" s="73">
        <v>0</v>
      </c>
      <c r="X392" s="73">
        <v>0</v>
      </c>
      <c r="Y392" s="73">
        <v>0</v>
      </c>
      <c r="Z392" s="73" t="s">
        <v>1689</v>
      </c>
      <c r="AA392" s="73" t="s">
        <v>691</v>
      </c>
      <c r="AB392" s="73" t="str">
        <f>IF(AA392&lt;&gt;"",INDEX(Lookup!$N$2:$N$5,MATCH(Players!AA392,Lookup!$P$2:$P$5,0)),INDEX(Lookup!$N$2:$N$5,MATCH(Players!O392,Lookup!$O$2:$O$5,0)))</f>
        <v>Midfield</v>
      </c>
      <c r="AC392" s="73">
        <v>2500000</v>
      </c>
      <c r="AD392" s="73" t="s">
        <v>788</v>
      </c>
      <c r="AE392" s="73" t="str">
        <f>INDEX('Translate table'!$H$2:$H$622,MATCH(Players!P392,'Translate table'!$G$2:$G$622,0))</f>
        <v>Roman Zobnin</v>
      </c>
      <c r="AF392" s="73">
        <f>IFERROR(INDEX('Euro Qual stats'!$A$1:$L$2071,MATCH(Players!$AE392,'Euro Qual stats'!$A$1:$A$2071,0),MATCH(Players!AF$2,'Euro Qual stats'!$A$1:$L$1,0)),0)</f>
        <v>6</v>
      </c>
      <c r="AG392" s="73">
        <f>IFERROR(INDEX('Euro Qual stats'!$A$1:$L$2071,MATCH(Players!$AE392,'Euro Qual stats'!$A$1:$A$2071,0),MATCH(Players!AG$2,'Euro Qual stats'!$A$1:$L$1,0)),0)</f>
        <v>0</v>
      </c>
      <c r="AH392" s="73">
        <f>IFERROR(INDEX('Euro Qual stats'!$A$1:$L$2071,MATCH(Players!$AE392,'Euro Qual stats'!$A$1:$A$2071,0),MATCH(Players!AH$2,'Euro Qual stats'!$A$1:$L$1,0)),0)</f>
        <v>0</v>
      </c>
      <c r="AI392" s="73">
        <f>IFERROR(INDEX('Euro Qual stats'!$A$1:$L$2071,MATCH(Players!$AE392,'Euro Qual stats'!$A$1:$A$2071,0),MATCH(Players!AI$2,'Euro Qual stats'!$A$1:$L$1,0)),0)</f>
        <v>0.27</v>
      </c>
      <c r="AJ392" s="93">
        <f>(12-AF392)/12*INDEX(BV$9:BV$12,MATCH($AB392,$BU$9:$BU$12,0))+AF392/12*AG392</f>
        <v>8.4345549738219894E-2</v>
      </c>
      <c r="AK392" s="93">
        <f>(12-AG392)/12*INDEX(BW$9:BW$12,MATCH($AB392,$BU$9:$BU$12,0))+AG392/12*AH392</f>
        <v>0.22340314136125652</v>
      </c>
      <c r="AL392" s="93">
        <f>(12-AH392)/12*INDEX(BX$9:BX$12,MATCH($AB392,$BU$9:$BU$12,0))+AH392/12*AI392</f>
        <v>0.23942408376963353</v>
      </c>
      <c r="AM392" s="93">
        <f>IF($BC392=1,AJ392/SUMIFS(AJ$3:AJ$623,$BC$3:$BC$623,1,$G$3:$G$623,$G392),0)</f>
        <v>0</v>
      </c>
      <c r="AN392" s="93">
        <f>IF($BC392=1,AK392/SUMIFS(AK$3:AK$623,$BC$3:$BC$623,1,$G$3:$G$623,$G392),0)</f>
        <v>0</v>
      </c>
      <c r="AO392" s="93">
        <f>IF($BC392=1,AL392/SUMIFS(AL$3:AL$623,$BC$3:$BC$623,1,$G$3:$G$623,$G392),0)</f>
        <v>0</v>
      </c>
      <c r="AP392" s="2">
        <f>IFERROR(R392/$V392*90,"")</f>
        <v>0</v>
      </c>
      <c r="AQ392" s="2">
        <f>IFERROR(S392/$V392*90,"")</f>
        <v>0</v>
      </c>
      <c r="AR392" s="2">
        <f>IFERROR(W392/$V392*90,"")</f>
        <v>0</v>
      </c>
      <c r="AS392" s="2">
        <f>IFERROR(X392/$V392*90,"")</f>
        <v>0</v>
      </c>
      <c r="AT392" s="2">
        <f>IFERROR(Y392/$V392*90,"")</f>
        <v>0</v>
      </c>
      <c r="AU392" s="2">
        <f>IF(AP392="",INDEX(BV$4:BV$7,MATCH(O392,$BU$4:$BU$7,0)),AP392)</f>
        <v>0</v>
      </c>
      <c r="AV392" s="2">
        <f>IF(AQ392="",INDEX(BW$4:BW$7,MATCH($O392,$BU$4:$BU$7,0)),AQ392)</f>
        <v>0</v>
      </c>
      <c r="AW392" s="2">
        <f t="shared" si="72"/>
        <v>0</v>
      </c>
      <c r="AX392" s="2">
        <f t="shared" si="73"/>
        <v>0</v>
      </c>
      <c r="AY392" s="2">
        <f t="shared" si="74"/>
        <v>0</v>
      </c>
      <c r="AZ392" s="2">
        <f>AU392*0.5+AK392*0.5</f>
        <v>0.11170157068062826</v>
      </c>
      <c r="BA392" s="2">
        <f>AV392*0.5+AJ392*0.5</f>
        <v>4.2172774869109947E-2</v>
      </c>
      <c r="BB392" s="2">
        <f t="shared" si="75"/>
        <v>0.13500000000000001</v>
      </c>
      <c r="BC392">
        <f>IF(I392="expected",1,0)</f>
        <v>0</v>
      </c>
      <c r="BD392" s="78">
        <f>IF(BC392=1,AZ392/SUMIFS(AZ$3:AZ$623,$BC$3:$BC$623,1,$G$3:$G$623,$G392),0)</f>
        <v>0</v>
      </c>
      <c r="BE392" s="78">
        <f>IF(BC392=1,BA392/SUMIFS(BA$3:BA$623,$BC$3:$BC$623,1,$G$3:$G$623,$G392),0)</f>
        <v>0</v>
      </c>
      <c r="BF392" s="78">
        <f t="shared" si="76"/>
        <v>0</v>
      </c>
      <c r="BG392" s="2">
        <f t="shared" si="77"/>
        <v>0.13500000000000001</v>
      </c>
      <c r="BH392" s="2">
        <f t="shared" si="78"/>
        <v>0</v>
      </c>
      <c r="BI392" s="2">
        <f t="shared" si="79"/>
        <v>0</v>
      </c>
      <c r="BJ392" s="2">
        <f t="shared" si="80"/>
        <v>0</v>
      </c>
      <c r="BK392" s="2">
        <f t="shared" si="81"/>
        <v>0</v>
      </c>
      <c r="BL392" s="2">
        <f t="shared" si="82"/>
        <v>0.13500000000000001</v>
      </c>
      <c r="BM392" s="2">
        <f t="shared" si="83"/>
        <v>0</v>
      </c>
      <c r="BN392" s="2">
        <f>BI392/SUMIFS(BI$3:BI$623,$BC$3:$BC$623,1,$G$3:$G$623,$G392)</f>
        <v>0</v>
      </c>
      <c r="BO392" s="2">
        <f>BJ392/SUMIFS(BJ$3:BJ$623,$BC$3:$BC$623,1,$G$3:$G$623,$G392)</f>
        <v>0</v>
      </c>
      <c r="BP392" s="2">
        <f>BK392/SUMIFS(BK$3:BK$623,$BC$3:$BC$623,1,$G$3:$G$623,$G392)</f>
        <v>0</v>
      </c>
      <c r="BQ392" s="2">
        <f>BL392</f>
        <v>0.13500000000000001</v>
      </c>
      <c r="BR392" s="2">
        <f>BM392</f>
        <v>0</v>
      </c>
    </row>
    <row r="393" spans="1:70" hidden="1">
      <c r="A393" s="74">
        <v>0</v>
      </c>
      <c r="B393" s="73">
        <v>204749</v>
      </c>
      <c r="C393" s="73" t="s">
        <v>2544</v>
      </c>
      <c r="D393" s="73" t="s">
        <v>2545</v>
      </c>
      <c r="E393" s="73" t="s">
        <v>2546</v>
      </c>
      <c r="F393" s="73">
        <v>18702</v>
      </c>
      <c r="G393" s="73" t="s">
        <v>872</v>
      </c>
      <c r="H393" s="73" t="s">
        <v>913</v>
      </c>
      <c r="I393" s="73" t="s">
        <v>981</v>
      </c>
      <c r="J393" s="73">
        <v>0</v>
      </c>
      <c r="K393" s="73">
        <v>4.5</v>
      </c>
      <c r="L393" s="73">
        <v>0</v>
      </c>
      <c r="M393" s="73">
        <v>0</v>
      </c>
      <c r="N393" s="73">
        <v>0</v>
      </c>
      <c r="O393" s="73" t="s">
        <v>994</v>
      </c>
      <c r="P393" s="73" t="s">
        <v>2547</v>
      </c>
      <c r="Q393" s="73" t="s">
        <v>1164</v>
      </c>
      <c r="R393" s="73"/>
      <c r="S393" s="73"/>
      <c r="T393" s="73"/>
      <c r="U393" s="73"/>
      <c r="V393" s="73"/>
      <c r="W393" s="73"/>
      <c r="X393" s="73"/>
      <c r="Y393" s="73"/>
      <c r="Z393" s="73" t="s">
        <v>1689</v>
      </c>
      <c r="AA393" s="73" t="s">
        <v>691</v>
      </c>
      <c r="AB393" s="73" t="str">
        <f>IF(AA393&lt;&gt;"",INDEX(Lookup!$N$2:$N$5,MATCH(Players!AA393,Lookup!$P$2:$P$5,0)),INDEX(Lookup!$N$2:$N$5,MATCH(Players!O393,Lookup!$O$2:$O$5,0)))</f>
        <v>Midfield</v>
      </c>
      <c r="AC393" s="73">
        <v>3000000</v>
      </c>
      <c r="AD393" s="73" t="s">
        <v>788</v>
      </c>
      <c r="AE393" s="73" t="str">
        <f>INDEX('Translate table'!$H$2:$H$622,MATCH(Players!P393,'Translate table'!$G$2:$G$622,0))</f>
        <v>Daler Kuzyaev</v>
      </c>
      <c r="AF393" s="73">
        <f>IFERROR(INDEX('Euro Qual stats'!$A$1:$L$2071,MATCH(Players!$AE393,'Euro Qual stats'!$A$1:$A$2071,0),MATCH(Players!AF$2,'Euro Qual stats'!$A$1:$L$1,0)),0)</f>
        <v>4</v>
      </c>
      <c r="AG393" s="73">
        <f>IFERROR(INDEX('Euro Qual stats'!$A$1:$L$2071,MATCH(Players!$AE393,'Euro Qual stats'!$A$1:$A$2071,0),MATCH(Players!AG$2,'Euro Qual stats'!$A$1:$L$1,0)),0)</f>
        <v>0</v>
      </c>
      <c r="AH393" s="73">
        <f>IFERROR(INDEX('Euro Qual stats'!$A$1:$L$2071,MATCH(Players!$AE393,'Euro Qual stats'!$A$1:$A$2071,0),MATCH(Players!AH$2,'Euro Qual stats'!$A$1:$L$1,0)),0)</f>
        <v>0.52</v>
      </c>
      <c r="AI393" s="73">
        <f>IFERROR(INDEX('Euro Qual stats'!$A$1:$L$2071,MATCH(Players!$AE393,'Euro Qual stats'!$A$1:$A$2071,0),MATCH(Players!AI$2,'Euro Qual stats'!$A$1:$L$1,0)),0)</f>
        <v>0</v>
      </c>
      <c r="AJ393" s="93">
        <f>(12-AF393)/12*INDEX(BV$9:BV$12,MATCH($AB393,$BU$9:$BU$12,0))+AF393/12*AG393</f>
        <v>0.11246073298429318</v>
      </c>
      <c r="AK393" s="93">
        <f>(12-AG393)/12*INDEX(BW$9:BW$12,MATCH($AB393,$BU$9:$BU$12,0))+AG393/12*AH393</f>
        <v>0.22340314136125652</v>
      </c>
      <c r="AL393" s="93">
        <f>(12-AH393)/12*INDEX(BX$9:BX$12,MATCH($AB393,$BU$9:$BU$12,0))+AH393/12*AI393</f>
        <v>0.22904904013961608</v>
      </c>
      <c r="AM393" s="93">
        <f>IF($BC393=1,AJ393/SUMIFS(AJ$3:AJ$623,$BC$3:$BC$623,1,$G$3:$G$623,$G393),0)</f>
        <v>5.4605885350651341E-2</v>
      </c>
      <c r="AN393" s="93">
        <f>IF($BC393=1,AK393/SUMIFS(AK$3:AK$623,$BC$3:$BC$623,1,$G$3:$G$623,$G393),0)</f>
        <v>9.7718506987753015E-2</v>
      </c>
      <c r="AO393" s="93">
        <f>IF($BC393=1,AL393/SUMIFS(AL$3:AL$623,$BC$3:$BC$623,1,$G$3:$G$623,$G393),0)</f>
        <v>0.10619600190261355</v>
      </c>
      <c r="AP393" s="2" t="str">
        <f>IFERROR(R393/$V393*90,"")</f>
        <v/>
      </c>
      <c r="AQ393" s="2" t="str">
        <f>IFERROR(S393/$V393*90,"")</f>
        <v/>
      </c>
      <c r="AR393" s="2" t="str">
        <f>IFERROR(W393/$V393*90,"")</f>
        <v/>
      </c>
      <c r="AS393" s="2" t="str">
        <f>IFERROR(X393/$V393*90,"")</f>
        <v/>
      </c>
      <c r="AT393" s="2" t="str">
        <f>IFERROR(Y393/$V393*90,"")</f>
        <v/>
      </c>
      <c r="AU393" s="2">
        <f>IF(AP393="",INDEX(BV$4:BV$7,MATCH(O393,$BU$4:$BU$7,0)),AP393)</f>
        <v>3.6526142445450806E-2</v>
      </c>
      <c r="AV393" s="2">
        <f>IF(AQ393="",INDEX(BW$4:BW$7,MATCH($O393,$BU$4:$BU$7,0)),AQ393)</f>
        <v>3.2427739661688867E-2</v>
      </c>
      <c r="AW393" s="2">
        <f t="shared" si="72"/>
        <v>0.20013349649571699</v>
      </c>
      <c r="AX393" s="2">
        <f t="shared" si="73"/>
        <v>0.16081000595592615</v>
      </c>
      <c r="AY393" s="2">
        <f t="shared" si="74"/>
        <v>0</v>
      </c>
      <c r="AZ393" s="2">
        <f>AU393*0.5+AK393*0.5</f>
        <v>0.12996464190335366</v>
      </c>
      <c r="BA393" s="2">
        <f>AV393*0.5+AJ393*0.5</f>
        <v>7.2444236322991018E-2</v>
      </c>
      <c r="BB393" s="2">
        <f t="shared" si="75"/>
        <v>8.0405002977963075E-2</v>
      </c>
      <c r="BC393">
        <f>IF(I393="expected",1,0)</f>
        <v>1</v>
      </c>
      <c r="BD393" s="78">
        <f>IF(BC393=1,AZ393/SUMIFS(AZ$3:AZ$623,$BC$3:$BC$623,1,$G$3:$G$623,$G393),0)</f>
        <v>8.6549599182571019E-2</v>
      </c>
      <c r="BE393" s="78">
        <f>IF(BC393=1,BA393/SUMIFS(BA$3:BA$623,$BC$3:$BC$623,1,$G$3:$G$623,$G393),0)</f>
        <v>4.1953137457404616E-2</v>
      </c>
      <c r="BF393" s="78">
        <f t="shared" si="76"/>
        <v>5.646976818851468E-2</v>
      </c>
      <c r="BG393" s="2">
        <f t="shared" si="77"/>
        <v>8.0405002977963075E-2</v>
      </c>
      <c r="BH393" s="2">
        <f t="shared" si="78"/>
        <v>0</v>
      </c>
      <c r="BI393" s="2">
        <f t="shared" si="79"/>
        <v>8.6549599182571019E-2</v>
      </c>
      <c r="BJ393" s="2">
        <f t="shared" si="80"/>
        <v>4.1953137457404616E-2</v>
      </c>
      <c r="BK393" s="2">
        <f t="shared" si="81"/>
        <v>5.646976818851468E-2</v>
      </c>
      <c r="BL393" s="2">
        <f t="shared" si="82"/>
        <v>8.0405002977963075E-2</v>
      </c>
      <c r="BM393" s="2">
        <f t="shared" si="83"/>
        <v>0</v>
      </c>
      <c r="BN393" s="2">
        <f>BI393/SUMIFS(BI$3:BI$623,$BC$3:$BC$623,1,$G$3:$G$623,$G393)</f>
        <v>8.6549599182571033E-2</v>
      </c>
      <c r="BO393" s="2">
        <f>BJ393/SUMIFS(BJ$3:BJ$623,$BC$3:$BC$623,1,$G$3:$G$623,$G393)</f>
        <v>4.3757636042459795E-2</v>
      </c>
      <c r="BP393" s="2">
        <f>BK393/SUMIFS(BK$3:BK$623,$BC$3:$BC$623,1,$G$3:$G$623,$G393)</f>
        <v>5.6922588944034631E-2</v>
      </c>
      <c r="BQ393" s="2">
        <f>BL393</f>
        <v>8.0405002977963075E-2</v>
      </c>
      <c r="BR393" s="2">
        <f>BM393</f>
        <v>0</v>
      </c>
    </row>
    <row r="394" spans="1:70" hidden="1">
      <c r="A394" s="74">
        <v>0</v>
      </c>
      <c r="B394" s="73">
        <v>204758</v>
      </c>
      <c r="C394" s="73" t="s">
        <v>2549</v>
      </c>
      <c r="D394" s="73" t="s">
        <v>1686</v>
      </c>
      <c r="E394" s="73" t="s">
        <v>2550</v>
      </c>
      <c r="F394" s="73">
        <v>18702</v>
      </c>
      <c r="G394" s="73" t="s">
        <v>872</v>
      </c>
      <c r="H394" s="73" t="s">
        <v>913</v>
      </c>
      <c r="I394" s="73" t="s">
        <v>1012</v>
      </c>
      <c r="J394" s="73">
        <v>0</v>
      </c>
      <c r="K394" s="73">
        <v>4.5</v>
      </c>
      <c r="L394" s="73">
        <v>0</v>
      </c>
      <c r="M394" s="73">
        <v>0</v>
      </c>
      <c r="N394" s="73">
        <v>0</v>
      </c>
      <c r="O394" s="73" t="s">
        <v>982</v>
      </c>
      <c r="P394" s="73" t="s">
        <v>2551</v>
      </c>
      <c r="Q394" s="73" t="s">
        <v>1688</v>
      </c>
      <c r="R394" s="73">
        <v>5</v>
      </c>
      <c r="S394" s="73">
        <v>9</v>
      </c>
      <c r="T394" s="73">
        <v>0</v>
      </c>
      <c r="U394" s="73">
        <v>1</v>
      </c>
      <c r="V394" s="73">
        <v>1072</v>
      </c>
      <c r="W394" s="73">
        <v>13</v>
      </c>
      <c r="X394" s="73">
        <v>2</v>
      </c>
      <c r="Y394" s="73">
        <v>0</v>
      </c>
      <c r="Z394" s="73" t="s">
        <v>1689</v>
      </c>
      <c r="AA394" s="73" t="s">
        <v>693</v>
      </c>
      <c r="AB394" s="73" t="str">
        <f>IF(AA394&lt;&gt;"",INDEX(Lookup!$N$2:$N$5,MATCH(Players!AA394,Lookup!$P$2:$P$5,0)),INDEX(Lookup!$N$2:$N$5,MATCH(Players!O394,Lookup!$O$2:$O$5,0)))</f>
        <v>Striker</v>
      </c>
      <c r="AC394" s="73">
        <v>3000000</v>
      </c>
      <c r="AD394" s="73" t="s">
        <v>788</v>
      </c>
      <c r="AE394" s="73" t="str">
        <f>INDEX('Translate table'!$H$2:$H$622,MATCH(Players!P394,'Translate table'!$G$2:$G$622,0))</f>
        <v>Alexander Sobolev</v>
      </c>
      <c r="AF394" s="73">
        <f>IFERROR(INDEX('Euro Qual stats'!$A$1:$L$2071,MATCH(Players!$AE394,'Euro Qual stats'!$A$1:$A$2071,0),MATCH(Players!AF$2,'Euro Qual stats'!$A$1:$L$1,0)),0)</f>
        <v>0</v>
      </c>
      <c r="AG394" s="73">
        <f>IFERROR(INDEX('Euro Qual stats'!$A$1:$L$2071,MATCH(Players!$AE394,'Euro Qual stats'!$A$1:$A$2071,0),MATCH(Players!AG$2,'Euro Qual stats'!$A$1:$L$1,0)),0)</f>
        <v>0</v>
      </c>
      <c r="AH394" s="73">
        <f>IFERROR(INDEX('Euro Qual stats'!$A$1:$L$2071,MATCH(Players!$AE394,'Euro Qual stats'!$A$1:$A$2071,0),MATCH(Players!AH$2,'Euro Qual stats'!$A$1:$L$1,0)),0)</f>
        <v>0</v>
      </c>
      <c r="AI394" s="73">
        <f>IFERROR(INDEX('Euro Qual stats'!$A$1:$L$2071,MATCH(Players!$AE394,'Euro Qual stats'!$A$1:$A$2071,0),MATCH(Players!AI$2,'Euro Qual stats'!$A$1:$L$1,0)),0)</f>
        <v>0</v>
      </c>
      <c r="AJ394" s="93">
        <f>(12-AF394)/12*INDEX(BV$9:BV$12,MATCH($AB394,$BU$9:$BU$12,0))+AF394/12*AG394</f>
        <v>0.20491379310344832</v>
      </c>
      <c r="AK394" s="93">
        <f>(12-AG394)/12*INDEX(BW$9:BW$12,MATCH($AB394,$BU$9:$BU$12,0))+AG394/12*AH394</f>
        <v>0.53387931034482738</v>
      </c>
      <c r="AL394" s="93">
        <f>(12-AH394)/12*INDEX(BX$9:BX$12,MATCH($AB394,$BU$9:$BU$12,0))+AH394/12*AI394</f>
        <v>0.16482758620689658</v>
      </c>
      <c r="AM394" s="93">
        <f>IF($BC394=1,AJ394/SUMIFS(AJ$3:AJ$623,$BC$3:$BC$623,1,$G$3:$G$623,$G394),0)</f>
        <v>0</v>
      </c>
      <c r="AN394" s="93">
        <f>IF($BC394=1,AK394/SUMIFS(AK$3:AK$623,$BC$3:$BC$623,1,$G$3:$G$623,$G394),0)</f>
        <v>0</v>
      </c>
      <c r="AO394" s="93">
        <f>IF($BC394=1,AL394/SUMIFS(AL$3:AL$623,$BC$3:$BC$623,1,$G$3:$G$623,$G394),0)</f>
        <v>0</v>
      </c>
      <c r="AP394" s="2">
        <f>IFERROR(R394/$V394*90,"")</f>
        <v>0.41977611940298504</v>
      </c>
      <c r="AQ394" s="2">
        <f>IFERROR(S394/$V394*90,"")</f>
        <v>0.75559701492537312</v>
      </c>
      <c r="AR394" s="2">
        <f>IFERROR(W394/$V394*90,"")</f>
        <v>1.0914179104477613</v>
      </c>
      <c r="AS394" s="2">
        <f>IFERROR(X394/$V394*90,"")</f>
        <v>0.16791044776119401</v>
      </c>
      <c r="AT394" s="2">
        <f>IFERROR(Y394/$V394*90,"")</f>
        <v>0</v>
      </c>
      <c r="AU394" s="2">
        <f>IF(AP394="",INDEX(BV$4:BV$7,MATCH(O394,$BU$4:$BU$7,0)),AP394)</f>
        <v>0.41977611940298504</v>
      </c>
      <c r="AV394" s="2">
        <f>IF(AQ394="",INDEX(BW$4:BW$7,MATCH($O394,$BU$4:$BU$7,0)),AQ394)</f>
        <v>0.75559701492537312</v>
      </c>
      <c r="AW394" s="2">
        <f t="shared" si="72"/>
        <v>1.0914179104477613</v>
      </c>
      <c r="AX394" s="2">
        <f t="shared" si="73"/>
        <v>0.16791044776119401</v>
      </c>
      <c r="AY394" s="2">
        <f t="shared" si="74"/>
        <v>0</v>
      </c>
      <c r="AZ394" s="2">
        <f>AU394*0.5+AK394*0.5</f>
        <v>0.47682771487390618</v>
      </c>
      <c r="BA394" s="2">
        <f>AV394*0.5+AJ394*0.5</f>
        <v>0.48025540401441069</v>
      </c>
      <c r="BB394" s="2">
        <f t="shared" si="75"/>
        <v>8.3955223880597007E-2</v>
      </c>
      <c r="BC394">
        <f>IF(I394="expected",1,0)</f>
        <v>0</v>
      </c>
      <c r="BD394" s="78">
        <f>IF(BC394=1,AZ394/SUMIFS(AZ$3:AZ$623,$BC$3:$BC$623,1,$G$3:$G$623,$G394),0)</f>
        <v>0</v>
      </c>
      <c r="BE394" s="78">
        <f>IF(BC394=1,BA394/SUMIFS(BA$3:BA$623,$BC$3:$BC$623,1,$G$3:$G$623,$G394),0)</f>
        <v>0</v>
      </c>
      <c r="BF394" s="78">
        <f t="shared" si="76"/>
        <v>0</v>
      </c>
      <c r="BG394" s="2">
        <f t="shared" si="77"/>
        <v>8.3955223880597007E-2</v>
      </c>
      <c r="BH394" s="2">
        <f t="shared" si="78"/>
        <v>0</v>
      </c>
      <c r="BI394" s="2">
        <f t="shared" si="79"/>
        <v>0</v>
      </c>
      <c r="BJ394" s="2">
        <f t="shared" si="80"/>
        <v>0</v>
      </c>
      <c r="BK394" s="2">
        <f t="shared" si="81"/>
        <v>0</v>
      </c>
      <c r="BL394" s="2">
        <f t="shared" si="82"/>
        <v>8.3955223880597007E-2</v>
      </c>
      <c r="BM394" s="2">
        <f t="shared" si="83"/>
        <v>0</v>
      </c>
      <c r="BN394" s="2">
        <f>BI394/SUMIFS(BI$3:BI$623,$BC$3:$BC$623,1,$G$3:$G$623,$G394)</f>
        <v>0</v>
      </c>
      <c r="BO394" s="2">
        <f>BJ394/SUMIFS(BJ$3:BJ$623,$BC$3:$BC$623,1,$G$3:$G$623,$G394)</f>
        <v>0</v>
      </c>
      <c r="BP394" s="2">
        <f>BK394/SUMIFS(BK$3:BK$623,$BC$3:$BC$623,1,$G$3:$G$623,$G394)</f>
        <v>0</v>
      </c>
      <c r="BQ394" s="2">
        <f>BL394</f>
        <v>8.3955223880597007E-2</v>
      </c>
      <c r="BR394" s="2">
        <f>BM394</f>
        <v>0</v>
      </c>
    </row>
    <row r="395" spans="1:70" hidden="1">
      <c r="A395" s="74">
        <v>0</v>
      </c>
      <c r="B395" s="73">
        <v>204838</v>
      </c>
      <c r="C395" s="73" t="s">
        <v>2552</v>
      </c>
      <c r="D395" s="73" t="s">
        <v>2553</v>
      </c>
      <c r="E395" s="73" t="s">
        <v>2554</v>
      </c>
      <c r="F395" s="73">
        <v>18721</v>
      </c>
      <c r="G395" s="73" t="s">
        <v>865</v>
      </c>
      <c r="H395" s="73" t="s">
        <v>921</v>
      </c>
      <c r="I395" s="73" t="s">
        <v>981</v>
      </c>
      <c r="J395" s="73">
        <v>0</v>
      </c>
      <c r="K395" s="73">
        <v>4.5</v>
      </c>
      <c r="L395" s="73">
        <v>0</v>
      </c>
      <c r="M395" s="73">
        <v>0</v>
      </c>
      <c r="N395" s="73">
        <v>0</v>
      </c>
      <c r="O395" s="73" t="s">
        <v>1290</v>
      </c>
      <c r="P395" s="73" t="s">
        <v>125</v>
      </c>
      <c r="Q395" s="73" t="s">
        <v>125</v>
      </c>
      <c r="R395" s="73">
        <v>0</v>
      </c>
      <c r="S395" s="73">
        <v>0</v>
      </c>
      <c r="T395" s="73">
        <v>0</v>
      </c>
      <c r="U395" s="73">
        <v>0</v>
      </c>
      <c r="V395" s="73">
        <v>0</v>
      </c>
      <c r="W395" s="73">
        <v>0</v>
      </c>
      <c r="X395" s="73">
        <v>0</v>
      </c>
      <c r="Y395" s="73">
        <v>0</v>
      </c>
      <c r="Z395" s="73" t="s">
        <v>865</v>
      </c>
      <c r="AA395" s="73" t="s">
        <v>690</v>
      </c>
      <c r="AB395" s="73" t="str">
        <f>IF(AA395&lt;&gt;"",INDEX(Lookup!$N$2:$N$5,MATCH(Players!AA395,Lookup!$P$2:$P$5,0)),INDEX(Lookup!$N$2:$N$5,MATCH(Players!O395,Lookup!$O$2:$O$5,0)))</f>
        <v>Goalkeeper</v>
      </c>
      <c r="AC395" s="73">
        <v>3500000</v>
      </c>
      <c r="AD395" s="73" t="s">
        <v>790</v>
      </c>
      <c r="AE395" s="73" t="str">
        <f>INDEX('Translate table'!$H$2:$H$622,MATCH(Players!P395,'Translate table'!$G$2:$G$622,0))</f>
        <v>Danny Ward</v>
      </c>
      <c r="AF395" s="73">
        <f>IFERROR(INDEX('Euro Qual stats'!$A$1:$L$2071,MATCH(Players!$AE395,'Euro Qual stats'!$A$1:$A$2071,0),MATCH(Players!AF$2,'Euro Qual stats'!$A$1:$L$1,0)),0)</f>
        <v>0</v>
      </c>
      <c r="AG395" s="73">
        <f>IFERROR(INDEX('Euro Qual stats'!$A$1:$L$2071,MATCH(Players!$AE395,'Euro Qual stats'!$A$1:$A$2071,0),MATCH(Players!AG$2,'Euro Qual stats'!$A$1:$L$1,0)),0)</f>
        <v>0</v>
      </c>
      <c r="AH395" s="73">
        <f>IFERROR(INDEX('Euro Qual stats'!$A$1:$L$2071,MATCH(Players!$AE395,'Euro Qual stats'!$A$1:$A$2071,0),MATCH(Players!AH$2,'Euro Qual stats'!$A$1:$L$1,0)),0)</f>
        <v>0</v>
      </c>
      <c r="AI395" s="73">
        <f>IFERROR(INDEX('Euro Qual stats'!$A$1:$L$2071,MATCH(Players!$AE395,'Euro Qual stats'!$A$1:$A$2071,0),MATCH(Players!AI$2,'Euro Qual stats'!$A$1:$L$1,0)),0)</f>
        <v>0</v>
      </c>
      <c r="AJ395" s="93">
        <f>(12-AF395)/12*INDEX(BV$9:BV$12,MATCH($AB395,$BU$9:$BU$12,0))+AF395/12*AG395</f>
        <v>0</v>
      </c>
      <c r="AK395" s="93">
        <f>(12-AG395)/12*INDEX(BW$9:BW$12,MATCH($AB395,$BU$9:$BU$12,0))+AG395/12*AH395</f>
        <v>0</v>
      </c>
      <c r="AL395" s="93">
        <f>(12-AH395)/12*INDEX(BX$9:BX$12,MATCH($AB395,$BU$9:$BU$12,0))+AH395/12*AI395</f>
        <v>0</v>
      </c>
      <c r="AM395" s="93">
        <f>IF($BC395=1,AJ395/SUMIFS(AJ$3:AJ$623,$BC$3:$BC$623,1,$G$3:$G$623,$G395),0)</f>
        <v>0</v>
      </c>
      <c r="AN395" s="93">
        <f>IF($BC395=1,AK395/SUMIFS(AK$3:AK$623,$BC$3:$BC$623,1,$G$3:$G$623,$G395),0)</f>
        <v>0</v>
      </c>
      <c r="AO395" s="93">
        <f>IF($BC395=1,AL395/SUMIFS(AL$3:AL$623,$BC$3:$BC$623,1,$G$3:$G$623,$G395),0)</f>
        <v>0</v>
      </c>
      <c r="AP395" s="2" t="str">
        <f>IFERROR(R395/$V395*90,"")</f>
        <v/>
      </c>
      <c r="AQ395" s="2" t="str">
        <f>IFERROR(S395/$V395*90,"")</f>
        <v/>
      </c>
      <c r="AR395" s="2" t="str">
        <f>IFERROR(W395/$V395*90,"")</f>
        <v/>
      </c>
      <c r="AS395" s="2" t="str">
        <f>IFERROR(X395/$V395*90,"")</f>
        <v/>
      </c>
      <c r="AT395" s="2" t="str">
        <f>IFERROR(Y395/$V395*90,"")</f>
        <v/>
      </c>
      <c r="AU395" s="2">
        <f>IF(AP395="",INDEX(BV$4:BV$7,MATCH(O395,$BU$4:$BU$7,0)),AP395)</f>
        <v>0</v>
      </c>
      <c r="AV395" s="2">
        <f>IF(AQ395="",INDEX(BW$4:BW$7,MATCH($O395,$BU$4:$BU$7,0)),AQ395)</f>
        <v>0</v>
      </c>
      <c r="AW395" s="2">
        <f t="shared" si="72"/>
        <v>0</v>
      </c>
      <c r="AX395" s="2">
        <f t="shared" si="73"/>
        <v>0</v>
      </c>
      <c r="AY395" s="2">
        <f t="shared" si="74"/>
        <v>0</v>
      </c>
      <c r="AZ395" s="2">
        <f>AU395*0.5+AK395*0.5</f>
        <v>0</v>
      </c>
      <c r="BA395" s="2">
        <f>AV395*0.5+AJ395*0.5</f>
        <v>0</v>
      </c>
      <c r="BB395" s="2">
        <f t="shared" si="75"/>
        <v>0</v>
      </c>
      <c r="BC395">
        <f>IF(I395="expected",1,0)</f>
        <v>1</v>
      </c>
      <c r="BD395" s="78">
        <f>IF(BC395=1,AZ395/SUMIFS(AZ$3:AZ$623,$BC$3:$BC$623,1,$G$3:$G$623,$G395),0)</f>
        <v>0</v>
      </c>
      <c r="BE395" s="78">
        <f>IF(BC395=1,BA395/SUMIFS(BA$3:BA$623,$BC$3:$BC$623,1,$G$3:$G$623,$G395),0)</f>
        <v>0</v>
      </c>
      <c r="BF395" s="78">
        <f t="shared" si="76"/>
        <v>0</v>
      </c>
      <c r="BG395" s="2">
        <f t="shared" si="77"/>
        <v>0</v>
      </c>
      <c r="BH395" s="2">
        <f t="shared" si="78"/>
        <v>0</v>
      </c>
      <c r="BI395" s="2">
        <f t="shared" si="79"/>
        <v>0</v>
      </c>
      <c r="BJ395" s="2">
        <f t="shared" si="80"/>
        <v>0</v>
      </c>
      <c r="BK395" s="2">
        <f t="shared" si="81"/>
        <v>0</v>
      </c>
      <c r="BL395" s="2">
        <f t="shared" si="82"/>
        <v>0</v>
      </c>
      <c r="BM395" s="2">
        <f t="shared" si="83"/>
        <v>0</v>
      </c>
      <c r="BN395" s="2">
        <f>BI395/SUMIFS(BI$3:BI$623,$BC$3:$BC$623,1,$G$3:$G$623,$G395)</f>
        <v>0</v>
      </c>
      <c r="BO395" s="2">
        <f>BJ395/SUMIFS(BJ$3:BJ$623,$BC$3:$BC$623,1,$G$3:$G$623,$G395)</f>
        <v>0</v>
      </c>
      <c r="BP395" s="2">
        <f>BK395/SUMIFS(BK$3:BK$623,$BC$3:$BC$623,1,$G$3:$G$623,$G395)</f>
        <v>0</v>
      </c>
      <c r="BQ395" s="2">
        <f>BL395</f>
        <v>0</v>
      </c>
      <c r="BR395" s="2">
        <f>BM395</f>
        <v>0</v>
      </c>
    </row>
    <row r="396" spans="1:70" hidden="1">
      <c r="A396" s="74">
        <v>0</v>
      </c>
      <c r="B396" s="73">
        <v>223745</v>
      </c>
      <c r="C396" s="73" t="s">
        <v>2555</v>
      </c>
      <c r="D396" s="73" t="s">
        <v>1424</v>
      </c>
      <c r="E396" s="73" t="s">
        <v>2556</v>
      </c>
      <c r="F396" s="73">
        <v>18721</v>
      </c>
      <c r="G396" s="73" t="s">
        <v>865</v>
      </c>
      <c r="H396" s="73" t="s">
        <v>921</v>
      </c>
      <c r="I396" s="73" t="s">
        <v>1012</v>
      </c>
      <c r="J396" s="73">
        <v>0</v>
      </c>
      <c r="K396" s="73">
        <v>4.5</v>
      </c>
      <c r="L396" s="73">
        <v>0</v>
      </c>
      <c r="M396" s="73">
        <v>0</v>
      </c>
      <c r="N396" s="73">
        <v>0</v>
      </c>
      <c r="O396" s="73" t="s">
        <v>1318</v>
      </c>
      <c r="P396" s="73" t="s">
        <v>2557</v>
      </c>
      <c r="Q396" s="73" t="s">
        <v>2558</v>
      </c>
      <c r="R396" s="73">
        <v>0</v>
      </c>
      <c r="S396" s="73">
        <v>0</v>
      </c>
      <c r="T396" s="73">
        <v>0</v>
      </c>
      <c r="U396" s="73">
        <v>0</v>
      </c>
      <c r="V396" s="73">
        <v>98</v>
      </c>
      <c r="W396" s="73">
        <v>0</v>
      </c>
      <c r="X396" s="73">
        <v>1</v>
      </c>
      <c r="Y396" s="73">
        <v>0</v>
      </c>
      <c r="Z396" s="73" t="s">
        <v>865</v>
      </c>
      <c r="AA396" s="73" t="s">
        <v>692</v>
      </c>
      <c r="AB396" s="73" t="str">
        <f>IF(AA396&lt;&gt;"",INDEX(Lookup!$N$2:$N$5,MATCH(Players!AA396,Lookup!$P$2:$P$5,0)),INDEX(Lookup!$N$2:$N$5,MATCH(Players!O396,Lookup!$O$2:$O$5,0)))</f>
        <v>Defense</v>
      </c>
      <c r="AC396" s="73">
        <v>2000000</v>
      </c>
      <c r="AD396" s="73" t="s">
        <v>788</v>
      </c>
      <c r="AE396" s="73" t="str">
        <f>INDEX('Translate table'!$H$2:$H$622,MATCH(Players!P396,'Translate table'!$G$2:$G$622,0))</f>
        <v>Ben Davies</v>
      </c>
      <c r="AF396" s="73">
        <f>IFERROR(INDEX('Euro Qual stats'!$A$1:$L$2071,MATCH(Players!$AE396,'Euro Qual stats'!$A$1:$A$2071,0),MATCH(Players!AF$2,'Euro Qual stats'!$A$1:$L$1,0)),0)</f>
        <v>8</v>
      </c>
      <c r="AG396" s="73">
        <f>IFERROR(INDEX('Euro Qual stats'!$A$1:$L$2071,MATCH(Players!$AE396,'Euro Qual stats'!$A$1:$A$2071,0),MATCH(Players!AG$2,'Euro Qual stats'!$A$1:$L$1,0)),0)</f>
        <v>0.14000000000000001</v>
      </c>
      <c r="AH396" s="73">
        <f>IFERROR(INDEX('Euro Qual stats'!$A$1:$L$2071,MATCH(Players!$AE396,'Euro Qual stats'!$A$1:$A$2071,0),MATCH(Players!AH$2,'Euro Qual stats'!$A$1:$L$1,0)),0)</f>
        <v>0</v>
      </c>
      <c r="AI396" s="73">
        <f>IFERROR(INDEX('Euro Qual stats'!$A$1:$L$2071,MATCH(Players!$AE396,'Euro Qual stats'!$A$1:$A$2071,0),MATCH(Players!AI$2,'Euro Qual stats'!$A$1:$L$1,0)),0)</f>
        <v>0.14000000000000001</v>
      </c>
      <c r="AJ396" s="93">
        <f>(12-AF396)/12*INDEX(BV$9:BV$12,MATCH($AB396,$BU$9:$BU$12,0))+AF396/12*AG396</f>
        <v>0.12305860805860808</v>
      </c>
      <c r="AK396" s="93">
        <f>(12-AG396)/12*INDEX(BW$9:BW$12,MATCH($AB396,$BU$9:$BU$12,0))+AG396/12*AH396</f>
        <v>0.10236309523809524</v>
      </c>
      <c r="AL396" s="93">
        <f>(12-AH396)/12*INDEX(BX$9:BX$12,MATCH($AB396,$BU$9:$BU$12,0))+AH396/12*AI396</f>
        <v>0.19357142857142848</v>
      </c>
      <c r="AM396" s="93">
        <f>IF($BC396=1,AJ396/SUMIFS(AJ$3:AJ$623,$BC$3:$BC$623,1,$G$3:$G$623,$G396),0)</f>
        <v>0</v>
      </c>
      <c r="AN396" s="93">
        <f>IF($BC396=1,AK396/SUMIFS(AK$3:AK$623,$BC$3:$BC$623,1,$G$3:$G$623,$G396),0)</f>
        <v>0</v>
      </c>
      <c r="AO396" s="93">
        <f>IF($BC396=1,AL396/SUMIFS(AL$3:AL$623,$BC$3:$BC$623,1,$G$3:$G$623,$G396),0)</f>
        <v>0</v>
      </c>
      <c r="AP396" s="2">
        <f>IFERROR(R396/$V396*90,"")</f>
        <v>0</v>
      </c>
      <c r="AQ396" s="2">
        <f>IFERROR(S396/$V396*90,"")</f>
        <v>0</v>
      </c>
      <c r="AR396" s="2">
        <f>IFERROR(W396/$V396*90,"")</f>
        <v>0</v>
      </c>
      <c r="AS396" s="2">
        <f>IFERROR(X396/$V396*90,"")</f>
        <v>0.91836734693877542</v>
      </c>
      <c r="AT396" s="2">
        <f>IFERROR(Y396/$V396*90,"")</f>
        <v>0</v>
      </c>
      <c r="AU396" s="2">
        <f>IF(AP396="",INDEX(BV$4:BV$7,MATCH(O396,$BU$4:$BU$7,0)),AP396)</f>
        <v>0</v>
      </c>
      <c r="AV396" s="2">
        <f>IF(AQ396="",INDEX(BW$4:BW$7,MATCH($O396,$BU$4:$BU$7,0)),AQ396)</f>
        <v>0</v>
      </c>
      <c r="AW396" s="2">
        <f t="shared" si="72"/>
        <v>0</v>
      </c>
      <c r="AX396" s="2">
        <f t="shared" si="73"/>
        <v>0.91836734693877542</v>
      </c>
      <c r="AY396" s="2">
        <f t="shared" si="74"/>
        <v>0</v>
      </c>
      <c r="AZ396" s="2">
        <f>AU396*0.5+AK396*0.5</f>
        <v>5.118154761904762E-2</v>
      </c>
      <c r="BA396" s="2">
        <f>AV396*0.5+AJ396*0.5</f>
        <v>6.1529304029304038E-2</v>
      </c>
      <c r="BB396" s="2">
        <f t="shared" si="75"/>
        <v>0.52918367346938777</v>
      </c>
      <c r="BC396">
        <f>IF(I396="expected",1,0)</f>
        <v>0</v>
      </c>
      <c r="BD396" s="78">
        <f>IF(BC396=1,AZ396/SUMIFS(AZ$3:AZ$623,$BC$3:$BC$623,1,$G$3:$G$623,$G396),0)</f>
        <v>0</v>
      </c>
      <c r="BE396" s="78">
        <f>IF(BC396=1,BA396/SUMIFS(BA$3:BA$623,$BC$3:$BC$623,1,$G$3:$G$623,$G396),0)</f>
        <v>0</v>
      </c>
      <c r="BF396" s="78">
        <f t="shared" si="76"/>
        <v>0</v>
      </c>
      <c r="BG396" s="2">
        <f t="shared" si="77"/>
        <v>0.52918367346938777</v>
      </c>
      <c r="BH396" s="2">
        <f t="shared" si="78"/>
        <v>0</v>
      </c>
      <c r="BI396" s="2">
        <f t="shared" si="79"/>
        <v>0</v>
      </c>
      <c r="BJ396" s="2">
        <f t="shared" si="80"/>
        <v>0</v>
      </c>
      <c r="BK396" s="2">
        <f t="shared" si="81"/>
        <v>0</v>
      </c>
      <c r="BL396" s="2">
        <f t="shared" si="82"/>
        <v>0.52918367346938777</v>
      </c>
      <c r="BM396" s="2">
        <f t="shared" si="83"/>
        <v>0</v>
      </c>
      <c r="BN396" s="2">
        <f>BI396/SUMIFS(BI$3:BI$623,$BC$3:$BC$623,1,$G$3:$G$623,$G396)</f>
        <v>0</v>
      </c>
      <c r="BO396" s="2">
        <f>BJ396/SUMIFS(BJ$3:BJ$623,$BC$3:$BC$623,1,$G$3:$G$623,$G396)</f>
        <v>0</v>
      </c>
      <c r="BP396" s="2">
        <f>BK396/SUMIFS(BK$3:BK$623,$BC$3:$BC$623,1,$G$3:$G$623,$G396)</f>
        <v>0</v>
      </c>
      <c r="BQ396" s="2">
        <f>BL396</f>
        <v>0.52918367346938777</v>
      </c>
      <c r="BR396" s="2">
        <f>BM396</f>
        <v>0</v>
      </c>
    </row>
    <row r="397" spans="1:70" hidden="1">
      <c r="A397" s="74">
        <v>0</v>
      </c>
      <c r="B397" s="73">
        <v>204854</v>
      </c>
      <c r="C397" s="73" t="s">
        <v>2559</v>
      </c>
      <c r="D397" s="73" t="s">
        <v>2560</v>
      </c>
      <c r="E397" s="73" t="s">
        <v>2561</v>
      </c>
      <c r="F397" s="73">
        <v>18721</v>
      </c>
      <c r="G397" s="73" t="s">
        <v>865</v>
      </c>
      <c r="H397" s="73" t="s">
        <v>921</v>
      </c>
      <c r="I397" s="73" t="s">
        <v>981</v>
      </c>
      <c r="J397" s="73">
        <v>0</v>
      </c>
      <c r="K397" s="73">
        <v>4.5</v>
      </c>
      <c r="L397" s="73">
        <v>0</v>
      </c>
      <c r="M397" s="73">
        <v>0</v>
      </c>
      <c r="N397" s="73">
        <v>0</v>
      </c>
      <c r="O397" s="73" t="s">
        <v>1318</v>
      </c>
      <c r="P397" s="73" t="s">
        <v>2562</v>
      </c>
      <c r="Q397" s="73" t="s">
        <v>68</v>
      </c>
      <c r="R397" s="73">
        <v>0</v>
      </c>
      <c r="S397" s="73">
        <v>0</v>
      </c>
      <c r="T397" s="73">
        <v>0</v>
      </c>
      <c r="U397" s="73">
        <v>0</v>
      </c>
      <c r="V397" s="73">
        <v>248</v>
      </c>
      <c r="W397" s="73">
        <v>0</v>
      </c>
      <c r="X397" s="73">
        <v>1</v>
      </c>
      <c r="Y397" s="73">
        <v>0</v>
      </c>
      <c r="Z397" s="73" t="s">
        <v>865</v>
      </c>
      <c r="AA397" s="73" t="s">
        <v>692</v>
      </c>
      <c r="AB397" s="73" t="str">
        <f>IF(AA397&lt;&gt;"",INDEX(Lookup!$N$2:$N$5,MATCH(Players!AA397,Lookup!$P$2:$P$5,0)),INDEX(Lookup!$N$2:$N$5,MATCH(Players!O397,Lookup!$O$2:$O$5,0)))</f>
        <v>Defense</v>
      </c>
      <c r="AC397" s="73">
        <v>3000000</v>
      </c>
      <c r="AD397" s="73" t="s">
        <v>789</v>
      </c>
      <c r="AE397" s="73" t="str">
        <f>INDEX('Translate table'!$H$2:$H$622,MATCH(Players!P397,'Translate table'!$G$2:$G$622,0))</f>
        <v>Jonathan Williams</v>
      </c>
      <c r="AF397" s="73">
        <f>IFERROR(INDEX('Euro Qual stats'!$A$1:$L$2071,MATCH(Players!$AE397,'Euro Qual stats'!$A$1:$A$2071,0),MATCH(Players!AF$2,'Euro Qual stats'!$A$1:$L$1,0)),0)</f>
        <v>3</v>
      </c>
      <c r="AG397" s="73">
        <f>IFERROR(INDEX('Euro Qual stats'!$A$1:$L$2071,MATCH(Players!$AE397,'Euro Qual stats'!$A$1:$A$2071,0),MATCH(Players!AG$2,'Euro Qual stats'!$A$1:$L$1,0)),0)</f>
        <v>0</v>
      </c>
      <c r="AH397" s="73">
        <f>IFERROR(INDEX('Euro Qual stats'!$A$1:$L$2071,MATCH(Players!$AE397,'Euro Qual stats'!$A$1:$A$2071,0),MATCH(Players!AH$2,'Euro Qual stats'!$A$1:$L$1,0)),0)</f>
        <v>0</v>
      </c>
      <c r="AI397" s="73">
        <f>IFERROR(INDEX('Euro Qual stats'!$A$1:$L$2071,MATCH(Players!$AE397,'Euro Qual stats'!$A$1:$A$2071,0),MATCH(Players!AI$2,'Euro Qual stats'!$A$1:$L$1,0)),0)</f>
        <v>0.56000000000000005</v>
      </c>
      <c r="AJ397" s="93">
        <f>(12-AF397)/12*INDEX(BV$9:BV$12,MATCH($AB397,$BU$9:$BU$12,0))+AF397/12*AG397</f>
        <v>6.6881868131868152E-2</v>
      </c>
      <c r="AK397" s="93">
        <f>(12-AG397)/12*INDEX(BW$9:BW$12,MATCH($AB397,$BU$9:$BU$12,0))+AG397/12*AH397</f>
        <v>0.10357142857142858</v>
      </c>
      <c r="AL397" s="93">
        <f>(12-AH397)/12*INDEX(BX$9:BX$12,MATCH($AB397,$BU$9:$BU$12,0))+AH397/12*AI397</f>
        <v>0.19357142857142848</v>
      </c>
      <c r="AM397" s="93">
        <f>IF($BC397=1,AJ397/SUMIFS(AJ$3:AJ$623,$BC$3:$BC$623,1,$G$3:$G$623,$G397),0)</f>
        <v>6.4152722525769854E-2</v>
      </c>
      <c r="AN397" s="93">
        <f>IF($BC397=1,AK397/SUMIFS(AK$3:AK$623,$BC$3:$BC$623,1,$G$3:$G$623,$G397),0)</f>
        <v>5.6930895620757628E-2</v>
      </c>
      <c r="AO397" s="93">
        <f>IF($BC397=1,AL397/SUMIFS(AL$3:AL$623,$BC$3:$BC$623,1,$G$3:$G$623,$G397),0)</f>
        <v>9.4515402858177403E-2</v>
      </c>
      <c r="AP397" s="2">
        <f>IFERROR(R397/$V397*90,"")</f>
        <v>0</v>
      </c>
      <c r="AQ397" s="2">
        <f>IFERROR(S397/$V397*90,"")</f>
        <v>0</v>
      </c>
      <c r="AR397" s="2">
        <f>IFERROR(W397/$V397*90,"")</f>
        <v>0</v>
      </c>
      <c r="AS397" s="2">
        <f>IFERROR(X397/$V397*90,"")</f>
        <v>0.36290322580645162</v>
      </c>
      <c r="AT397" s="2">
        <f>IFERROR(Y397/$V397*90,"")</f>
        <v>0</v>
      </c>
      <c r="AU397" s="2">
        <f>IF(AP397="",INDEX(BV$4:BV$7,MATCH(O397,$BU$4:$BU$7,0)),AP397)</f>
        <v>0</v>
      </c>
      <c r="AV397" s="2">
        <f>IF(AQ397="",INDEX(BW$4:BW$7,MATCH($O397,$BU$4:$BU$7,0)),AQ397)</f>
        <v>0</v>
      </c>
      <c r="AW397" s="2">
        <f t="shared" si="72"/>
        <v>0</v>
      </c>
      <c r="AX397" s="2">
        <f t="shared" si="73"/>
        <v>0.36290322580645162</v>
      </c>
      <c r="AY397" s="2">
        <f t="shared" si="74"/>
        <v>0</v>
      </c>
      <c r="AZ397" s="2">
        <f>AU397*0.5+AK397*0.5</f>
        <v>5.1785714285714289E-2</v>
      </c>
      <c r="BA397" s="2">
        <f>AV397*0.5+AJ397*0.5</f>
        <v>3.3440934065934076E-2</v>
      </c>
      <c r="BB397" s="2">
        <f t="shared" si="75"/>
        <v>0.46145161290322584</v>
      </c>
      <c r="BC397">
        <f>IF(I397="expected",1,0)</f>
        <v>1</v>
      </c>
      <c r="BD397" s="78">
        <f>IF(BC397=1,AZ397/SUMIFS(AZ$3:AZ$623,$BC$3:$BC$623,1,$G$3:$G$623,$G397),0)</f>
        <v>3.2485708422744813E-2</v>
      </c>
      <c r="BE397" s="78">
        <f>IF(BC397=1,BA397/SUMIFS(BA$3:BA$623,$BC$3:$BC$623,1,$G$3:$G$623,$G397),0)</f>
        <v>4.6500084392018887E-2</v>
      </c>
      <c r="BF397" s="78">
        <f t="shared" si="76"/>
        <v>0</v>
      </c>
      <c r="BG397" s="2">
        <f t="shared" si="77"/>
        <v>0.46145161290322584</v>
      </c>
      <c r="BH397" s="2">
        <f t="shared" si="78"/>
        <v>0</v>
      </c>
      <c r="BI397" s="2">
        <f t="shared" si="79"/>
        <v>3.2485708422744813E-2</v>
      </c>
      <c r="BJ397" s="2">
        <f t="shared" si="80"/>
        <v>4.6500084392018887E-2</v>
      </c>
      <c r="BK397" s="2">
        <f t="shared" si="81"/>
        <v>0</v>
      </c>
      <c r="BL397" s="2">
        <f t="shared" si="82"/>
        <v>0.46145161290322584</v>
      </c>
      <c r="BM397" s="2">
        <f t="shared" si="83"/>
        <v>0</v>
      </c>
      <c r="BN397" s="2">
        <f>BI397/SUMIFS(BI$3:BI$623,$BC$3:$BC$623,1,$G$3:$G$623,$G397)</f>
        <v>3.8351424629592554E-2</v>
      </c>
      <c r="BO397" s="2">
        <f>BJ397/SUMIFS(BJ$3:BJ$623,$BC$3:$BC$623,1,$G$3:$G$623,$G397)</f>
        <v>4.6500084392018887E-2</v>
      </c>
      <c r="BP397" s="2">
        <f>BK397/SUMIFS(BK$3:BK$623,$BC$3:$BC$623,1,$G$3:$G$623,$G397)</f>
        <v>0</v>
      </c>
      <c r="BQ397" s="2">
        <f>BL397</f>
        <v>0.46145161290322584</v>
      </c>
      <c r="BR397" s="2">
        <f>BM397</f>
        <v>0</v>
      </c>
    </row>
    <row r="398" spans="1:70" hidden="1">
      <c r="A398" s="74">
        <v>0</v>
      </c>
      <c r="B398" s="73">
        <v>204847</v>
      </c>
      <c r="C398" s="73" t="s">
        <v>2563</v>
      </c>
      <c r="D398" s="73" t="s">
        <v>2564</v>
      </c>
      <c r="E398" s="73" t="s">
        <v>2565</v>
      </c>
      <c r="F398" s="73">
        <v>18721</v>
      </c>
      <c r="G398" s="73" t="s">
        <v>865</v>
      </c>
      <c r="H398" s="73" t="s">
        <v>921</v>
      </c>
      <c r="I398" s="73" t="s">
        <v>981</v>
      </c>
      <c r="J398" s="73">
        <v>0</v>
      </c>
      <c r="K398" s="73">
        <v>4.5</v>
      </c>
      <c r="L398" s="73">
        <v>0</v>
      </c>
      <c r="M398" s="73">
        <v>0</v>
      </c>
      <c r="N398" s="73">
        <v>0</v>
      </c>
      <c r="O398" s="73" t="s">
        <v>1318</v>
      </c>
      <c r="P398" s="73" t="s">
        <v>2566</v>
      </c>
      <c r="Q398" s="73" t="s">
        <v>847</v>
      </c>
      <c r="R398" s="73">
        <v>0</v>
      </c>
      <c r="S398" s="73">
        <v>0</v>
      </c>
      <c r="T398" s="73">
        <v>0</v>
      </c>
      <c r="U398" s="73">
        <v>0</v>
      </c>
      <c r="V398" s="73">
        <v>0</v>
      </c>
      <c r="W398" s="73">
        <v>0</v>
      </c>
      <c r="X398" s="73">
        <v>0</v>
      </c>
      <c r="Y398" s="73">
        <v>0</v>
      </c>
      <c r="Z398" s="73" t="s">
        <v>865</v>
      </c>
      <c r="AA398" s="73" t="s">
        <v>692</v>
      </c>
      <c r="AB398" s="73" t="str">
        <f>IF(AA398&lt;&gt;"",INDEX(Lookup!$N$2:$N$5,MATCH(Players!AA398,Lookup!$P$2:$P$5,0)),INDEX(Lookup!$N$2:$N$5,MATCH(Players!O398,Lookup!$O$2:$O$5,0)))</f>
        <v>Defense</v>
      </c>
      <c r="AC398" s="73">
        <v>2500000</v>
      </c>
      <c r="AD398" s="73" t="s">
        <v>790</v>
      </c>
      <c r="AE398" s="73" t="str">
        <f>INDEX('Translate table'!$H$2:$H$622,MATCH(Players!P398,'Translate table'!$G$2:$G$622,0))</f>
        <v>Connor Roberts</v>
      </c>
      <c r="AF398" s="73">
        <f>IFERROR(INDEX('Euro Qual stats'!$A$1:$L$2071,MATCH(Players!$AE398,'Euro Qual stats'!$A$1:$A$2071,0),MATCH(Players!AF$2,'Euro Qual stats'!$A$1:$L$1,0)),0)</f>
        <v>7</v>
      </c>
      <c r="AG398" s="73">
        <f>IFERROR(INDEX('Euro Qual stats'!$A$1:$L$2071,MATCH(Players!$AE398,'Euro Qual stats'!$A$1:$A$2071,0),MATCH(Players!AG$2,'Euro Qual stats'!$A$1:$L$1,0)),0)</f>
        <v>0.14000000000000001</v>
      </c>
      <c r="AH398" s="73">
        <f>IFERROR(INDEX('Euro Qual stats'!$A$1:$L$2071,MATCH(Players!$AE398,'Euro Qual stats'!$A$1:$A$2071,0),MATCH(Players!AH$2,'Euro Qual stats'!$A$1:$L$1,0)),0)</f>
        <v>0</v>
      </c>
      <c r="AI398" s="73">
        <f>IFERROR(INDEX('Euro Qual stats'!$A$1:$L$2071,MATCH(Players!$AE398,'Euro Qual stats'!$A$1:$A$2071,0),MATCH(Players!AI$2,'Euro Qual stats'!$A$1:$L$1,0)),0)</f>
        <v>0</v>
      </c>
      <c r="AJ398" s="93">
        <f>(12-AF398)/12*INDEX(BV$9:BV$12,MATCH($AB398,$BU$9:$BU$12,0))+AF398/12*AG398</f>
        <v>0.11882326007326011</v>
      </c>
      <c r="AK398" s="93">
        <f>(12-AG398)/12*INDEX(BW$9:BW$12,MATCH($AB398,$BU$9:$BU$12,0))+AG398/12*AH398</f>
        <v>0.10236309523809524</v>
      </c>
      <c r="AL398" s="93">
        <f>(12-AH398)/12*INDEX(BX$9:BX$12,MATCH($AB398,$BU$9:$BU$12,0))+AH398/12*AI398</f>
        <v>0.19357142857142848</v>
      </c>
      <c r="AM398" s="93">
        <f>IF($BC398=1,AJ398/SUMIFS(AJ$3:AJ$623,$BC$3:$BC$623,1,$G$3:$G$623,$G398),0)</f>
        <v>0.11397462191184045</v>
      </c>
      <c r="AN398" s="93">
        <f>IF($BC398=1,AK398/SUMIFS(AK$3:AK$623,$BC$3:$BC$623,1,$G$3:$G$623,$G398),0)</f>
        <v>5.6266701838515447E-2</v>
      </c>
      <c r="AO398" s="93">
        <f>IF($BC398=1,AL398/SUMIFS(AL$3:AL$623,$BC$3:$BC$623,1,$G$3:$G$623,$G398),0)</f>
        <v>9.4515402858177403E-2</v>
      </c>
      <c r="AP398" s="2" t="str">
        <f>IFERROR(R398/$V398*90,"")</f>
        <v/>
      </c>
      <c r="AQ398" s="2" t="str">
        <f>IFERROR(S398/$V398*90,"")</f>
        <v/>
      </c>
      <c r="AR398" s="2" t="str">
        <f>IFERROR(W398/$V398*90,"")</f>
        <v/>
      </c>
      <c r="AS398" s="2" t="str">
        <f>IFERROR(X398/$V398*90,"")</f>
        <v/>
      </c>
      <c r="AT398" s="2" t="str">
        <f>IFERROR(Y398/$V398*90,"")</f>
        <v/>
      </c>
      <c r="AU398" s="2">
        <f>IF(AP398="",INDEX(BV$4:BV$7,MATCH(O398,$BU$4:$BU$7,0)),AP398)</f>
        <v>0</v>
      </c>
      <c r="AV398" s="2">
        <f>IF(AQ398="",INDEX(BW$4:BW$7,MATCH($O398,$BU$4:$BU$7,0)),AQ398)</f>
        <v>0</v>
      </c>
      <c r="AW398" s="2">
        <f t="shared" si="72"/>
        <v>8.0624805297505417E-2</v>
      </c>
      <c r="AX398" s="2">
        <f t="shared" si="73"/>
        <v>0.1265377855887522</v>
      </c>
      <c r="AY398" s="2">
        <f t="shared" si="74"/>
        <v>0</v>
      </c>
      <c r="AZ398" s="2">
        <f>AU398*0.5+AK398*0.5</f>
        <v>5.118154761904762E-2</v>
      </c>
      <c r="BA398" s="2">
        <f>AV398*0.5+AJ398*0.5</f>
        <v>5.9411630036630053E-2</v>
      </c>
      <c r="BB398" s="2">
        <f t="shared" si="75"/>
        <v>6.32688927943761E-2</v>
      </c>
      <c r="BC398">
        <f>IF(I398="expected",1,0)</f>
        <v>1</v>
      </c>
      <c r="BD398" s="78">
        <f>IF(BC398=1,AZ398/SUMIFS(AZ$3:AZ$623,$BC$3:$BC$623,1,$G$3:$G$623,$G398),0)</f>
        <v>3.2106708491146121E-2</v>
      </c>
      <c r="BE398" s="78">
        <f>IF(BC398=1,BA398/SUMIFS(BA$3:BA$623,$BC$3:$BC$623,1,$G$3:$G$623,$G398),0)</f>
        <v>8.2612698710021373E-2</v>
      </c>
      <c r="BF398" s="78">
        <f t="shared" si="76"/>
        <v>2.930222164704192E-2</v>
      </c>
      <c r="BG398" s="2">
        <f t="shared" si="77"/>
        <v>6.32688927943761E-2</v>
      </c>
      <c r="BH398" s="2">
        <f t="shared" si="78"/>
        <v>0</v>
      </c>
      <c r="BI398" s="2">
        <f t="shared" si="79"/>
        <v>3.2106708491146121E-2</v>
      </c>
      <c r="BJ398" s="2">
        <f t="shared" si="80"/>
        <v>8.2612698710021373E-2</v>
      </c>
      <c r="BK398" s="2">
        <f t="shared" si="81"/>
        <v>2.930222164704192E-2</v>
      </c>
      <c r="BL398" s="2">
        <f t="shared" si="82"/>
        <v>6.32688927943761E-2</v>
      </c>
      <c r="BM398" s="2">
        <f t="shared" si="83"/>
        <v>0</v>
      </c>
      <c r="BN398" s="2">
        <f>BI398/SUMIFS(BI$3:BI$623,$BC$3:$BC$623,1,$G$3:$G$623,$G398)</f>
        <v>3.7903991342247305E-2</v>
      </c>
      <c r="BO398" s="2">
        <f>BJ398/SUMIFS(BJ$3:BJ$623,$BC$3:$BC$623,1,$G$3:$G$623,$G398)</f>
        <v>8.2612698710021373E-2</v>
      </c>
      <c r="BP398" s="2">
        <f>BK398/SUMIFS(BK$3:BK$623,$BC$3:$BC$623,1,$G$3:$G$623,$G398)</f>
        <v>4.6758420675687126E-2</v>
      </c>
      <c r="BQ398" s="2">
        <f>BL398</f>
        <v>6.32688927943761E-2</v>
      </c>
      <c r="BR398" s="2">
        <f>BM398</f>
        <v>0</v>
      </c>
    </row>
    <row r="399" spans="1:70" hidden="1">
      <c r="A399" s="74">
        <v>0</v>
      </c>
      <c r="B399" s="73">
        <v>204846</v>
      </c>
      <c r="C399" s="73" t="s">
        <v>2568</v>
      </c>
      <c r="D399" s="73" t="s">
        <v>2156</v>
      </c>
      <c r="E399" s="73" t="s">
        <v>2569</v>
      </c>
      <c r="F399" s="73">
        <v>18721</v>
      </c>
      <c r="G399" s="73" t="s">
        <v>865</v>
      </c>
      <c r="H399" s="73" t="s">
        <v>921</v>
      </c>
      <c r="I399" s="73" t="s">
        <v>981</v>
      </c>
      <c r="J399" s="73">
        <v>0</v>
      </c>
      <c r="K399" s="73">
        <v>4.5</v>
      </c>
      <c r="L399" s="73">
        <v>0</v>
      </c>
      <c r="M399" s="73">
        <v>0</v>
      </c>
      <c r="N399" s="73">
        <v>0</v>
      </c>
      <c r="O399" s="73" t="s">
        <v>1318</v>
      </c>
      <c r="P399" s="73" t="s">
        <v>726</v>
      </c>
      <c r="Q399" s="73" t="s">
        <v>726</v>
      </c>
      <c r="R399" s="73">
        <v>0</v>
      </c>
      <c r="S399" s="73">
        <v>0</v>
      </c>
      <c r="T399" s="73">
        <v>0</v>
      </c>
      <c r="U399" s="73">
        <v>2</v>
      </c>
      <c r="V399" s="73">
        <v>732</v>
      </c>
      <c r="W399" s="73">
        <v>0</v>
      </c>
      <c r="X399" s="73">
        <v>0</v>
      </c>
      <c r="Y399" s="73">
        <v>0</v>
      </c>
      <c r="Z399" s="73" t="s">
        <v>865</v>
      </c>
      <c r="AA399" s="73" t="s">
        <v>692</v>
      </c>
      <c r="AB399" s="73" t="str">
        <f>IF(AA399&lt;&gt;"",INDEX(Lookup!$N$2:$N$5,MATCH(Players!AA399,Lookup!$P$2:$P$5,0)),INDEX(Lookup!$N$2:$N$5,MATCH(Players!O399,Lookup!$O$2:$O$5,0)))</f>
        <v>Defense</v>
      </c>
      <c r="AC399" s="73">
        <v>2500000</v>
      </c>
      <c r="AD399" s="73" t="s">
        <v>789</v>
      </c>
      <c r="AE399" s="73" t="str">
        <f>INDEX('Translate table'!$H$2:$H$622,MATCH(Players!P399,'Translate table'!$G$2:$G$622,0))</f>
        <v>Joe Rodon</v>
      </c>
      <c r="AF399" s="73">
        <f>IFERROR(INDEX('Euro Qual stats'!$A$1:$L$2071,MATCH(Players!$AE399,'Euro Qual stats'!$A$1:$A$2071,0),MATCH(Players!AF$2,'Euro Qual stats'!$A$1:$L$1,0)),0)</f>
        <v>3</v>
      </c>
      <c r="AG399" s="73">
        <f>IFERROR(INDEX('Euro Qual stats'!$A$1:$L$2071,MATCH(Players!$AE399,'Euro Qual stats'!$A$1:$A$2071,0),MATCH(Players!AG$2,'Euro Qual stats'!$A$1:$L$1,0)),0)</f>
        <v>0</v>
      </c>
      <c r="AH399" s="73">
        <f>IFERROR(INDEX('Euro Qual stats'!$A$1:$L$2071,MATCH(Players!$AE399,'Euro Qual stats'!$A$1:$A$2071,0),MATCH(Players!AH$2,'Euro Qual stats'!$A$1:$L$1,0)),0)</f>
        <v>0</v>
      </c>
      <c r="AI399" s="73">
        <f>IFERROR(INDEX('Euro Qual stats'!$A$1:$L$2071,MATCH(Players!$AE399,'Euro Qual stats'!$A$1:$A$2071,0),MATCH(Players!AI$2,'Euro Qual stats'!$A$1:$L$1,0)),0)</f>
        <v>0</v>
      </c>
      <c r="AJ399" s="93">
        <f>(12-AF399)/12*INDEX(BV$9:BV$12,MATCH($AB399,$BU$9:$BU$12,0))+AF399/12*AG399</f>
        <v>6.6881868131868152E-2</v>
      </c>
      <c r="AK399" s="93">
        <f>(12-AG399)/12*INDEX(BW$9:BW$12,MATCH($AB399,$BU$9:$BU$12,0))+AG399/12*AH399</f>
        <v>0.10357142857142858</v>
      </c>
      <c r="AL399" s="93">
        <f>(12-AH399)/12*INDEX(BX$9:BX$12,MATCH($AB399,$BU$9:$BU$12,0))+AH399/12*AI399</f>
        <v>0.19357142857142848</v>
      </c>
      <c r="AM399" s="93">
        <f>IF($BC399=1,AJ399/SUMIFS(AJ$3:AJ$623,$BC$3:$BC$623,1,$G$3:$G$623,$G399),0)</f>
        <v>6.4152722525769854E-2</v>
      </c>
      <c r="AN399" s="93">
        <f>IF($BC399=1,AK399/SUMIFS(AK$3:AK$623,$BC$3:$BC$623,1,$G$3:$G$623,$G399),0)</f>
        <v>5.6930895620757628E-2</v>
      </c>
      <c r="AO399" s="93">
        <f>IF($BC399=1,AL399/SUMIFS(AL$3:AL$623,$BC$3:$BC$623,1,$G$3:$G$623,$G399),0)</f>
        <v>9.4515402858177403E-2</v>
      </c>
      <c r="AP399" s="2">
        <f>IFERROR(R399/$V399*90,"")</f>
        <v>0</v>
      </c>
      <c r="AQ399" s="2">
        <f>IFERROR(S399/$V399*90,"")</f>
        <v>0</v>
      </c>
      <c r="AR399" s="2">
        <f>IFERROR(W399/$V399*90,"")</f>
        <v>0</v>
      </c>
      <c r="AS399" s="2">
        <f>IFERROR(X399/$V399*90,"")</f>
        <v>0</v>
      </c>
      <c r="AT399" s="2">
        <f>IFERROR(Y399/$V399*90,"")</f>
        <v>0</v>
      </c>
      <c r="AU399" s="2">
        <f>IF(AP399="",INDEX(BV$4:BV$7,MATCH(O399,$BU$4:$BU$7,0)),AP399)</f>
        <v>0</v>
      </c>
      <c r="AV399" s="2">
        <f>IF(AQ399="",INDEX(BW$4:BW$7,MATCH($O399,$BU$4:$BU$7,0)),AQ399)</f>
        <v>0</v>
      </c>
      <c r="AW399" s="2">
        <f t="shared" si="72"/>
        <v>0</v>
      </c>
      <c r="AX399" s="2">
        <f t="shared" si="73"/>
        <v>0</v>
      </c>
      <c r="AY399" s="2">
        <f t="shared" si="74"/>
        <v>0</v>
      </c>
      <c r="AZ399" s="2">
        <f>AU399*0.5+AK399*0.5</f>
        <v>5.1785714285714289E-2</v>
      </c>
      <c r="BA399" s="2">
        <f>AV399*0.5+AJ399*0.5</f>
        <v>3.3440934065934076E-2</v>
      </c>
      <c r="BB399" s="2">
        <f t="shared" si="75"/>
        <v>0</v>
      </c>
      <c r="BC399">
        <f>IF(I399="expected",1,0)</f>
        <v>1</v>
      </c>
      <c r="BD399" s="78">
        <f>IF(BC399=1,AZ399/SUMIFS(AZ$3:AZ$623,$BC$3:$BC$623,1,$G$3:$G$623,$G399),0)</f>
        <v>3.2485708422744813E-2</v>
      </c>
      <c r="BE399" s="78">
        <f>IF(BC399=1,BA399/SUMIFS(BA$3:BA$623,$BC$3:$BC$623,1,$G$3:$G$623,$G399),0)</f>
        <v>4.6500084392018887E-2</v>
      </c>
      <c r="BF399" s="78">
        <f t="shared" si="76"/>
        <v>0</v>
      </c>
      <c r="BG399" s="2">
        <f t="shared" si="77"/>
        <v>0</v>
      </c>
      <c r="BH399" s="2">
        <f t="shared" si="78"/>
        <v>0</v>
      </c>
      <c r="BI399" s="2">
        <f t="shared" si="79"/>
        <v>3.2485708422744813E-2</v>
      </c>
      <c r="BJ399" s="2">
        <f t="shared" si="80"/>
        <v>4.6500084392018887E-2</v>
      </c>
      <c r="BK399" s="2">
        <f t="shared" si="81"/>
        <v>0</v>
      </c>
      <c r="BL399" s="2">
        <f t="shared" si="82"/>
        <v>0</v>
      </c>
      <c r="BM399" s="2">
        <f t="shared" si="83"/>
        <v>0</v>
      </c>
      <c r="BN399" s="2">
        <f>BI399/SUMIFS(BI$3:BI$623,$BC$3:$BC$623,1,$G$3:$G$623,$G399)</f>
        <v>3.8351424629592554E-2</v>
      </c>
      <c r="BO399" s="2">
        <f>BJ399/SUMIFS(BJ$3:BJ$623,$BC$3:$BC$623,1,$G$3:$G$623,$G399)</f>
        <v>4.6500084392018887E-2</v>
      </c>
      <c r="BP399" s="2">
        <f>BK399/SUMIFS(BK$3:BK$623,$BC$3:$BC$623,1,$G$3:$G$623,$G399)</f>
        <v>0</v>
      </c>
      <c r="BQ399" s="2">
        <f>BL399</f>
        <v>0</v>
      </c>
      <c r="BR399" s="2">
        <f>BM399</f>
        <v>0</v>
      </c>
    </row>
    <row r="400" spans="1:70" hidden="1">
      <c r="A400" s="74">
        <v>0</v>
      </c>
      <c r="B400" s="73">
        <v>204843</v>
      </c>
      <c r="C400" s="73" t="s">
        <v>2570</v>
      </c>
      <c r="D400" s="73" t="s">
        <v>2571</v>
      </c>
      <c r="E400" s="73" t="s">
        <v>2572</v>
      </c>
      <c r="F400" s="73">
        <v>18721</v>
      </c>
      <c r="G400" s="73" t="s">
        <v>865</v>
      </c>
      <c r="H400" s="73" t="s">
        <v>921</v>
      </c>
      <c r="I400" s="73" t="s">
        <v>1012</v>
      </c>
      <c r="J400" s="73">
        <v>0</v>
      </c>
      <c r="K400" s="73">
        <v>4.5</v>
      </c>
      <c r="L400" s="73">
        <v>0</v>
      </c>
      <c r="M400" s="73">
        <v>0</v>
      </c>
      <c r="N400" s="73">
        <v>0</v>
      </c>
      <c r="O400" s="73" t="s">
        <v>1318</v>
      </c>
      <c r="P400" s="73" t="s">
        <v>2573</v>
      </c>
      <c r="Q400" s="73" t="s">
        <v>1164</v>
      </c>
      <c r="R400" s="73"/>
      <c r="S400" s="73"/>
      <c r="T400" s="73"/>
      <c r="U400" s="73"/>
      <c r="V400" s="73"/>
      <c r="W400" s="73"/>
      <c r="X400" s="73"/>
      <c r="Y400" s="73"/>
      <c r="Z400" s="73" t="s">
        <v>865</v>
      </c>
      <c r="AA400" s="73" t="s">
        <v>692</v>
      </c>
      <c r="AB400" s="73" t="str">
        <f>IF(AA400&lt;&gt;"",INDEX(Lookup!$N$2:$N$5,MATCH(Players!AA400,Lookup!$P$2:$P$5,0)),INDEX(Lookup!$N$2:$N$5,MATCH(Players!O400,Lookup!$O$2:$O$5,0)))</f>
        <v>Defense</v>
      </c>
      <c r="AC400" s="73">
        <v>2000000</v>
      </c>
      <c r="AD400" s="73" t="s">
        <v>788</v>
      </c>
      <c r="AE400" s="73" t="str">
        <f>INDEX('Translate table'!$H$2:$H$622,MATCH(Players!P400,'Translate table'!$G$2:$G$622,0))</f>
        <v>Adam Davies</v>
      </c>
      <c r="AF400" s="73">
        <f>IFERROR(INDEX('Euro Qual stats'!$A$1:$L$2071,MATCH(Players!$AE400,'Euro Qual stats'!$A$1:$A$2071,0),MATCH(Players!AF$2,'Euro Qual stats'!$A$1:$L$1,0)),0)</f>
        <v>0</v>
      </c>
      <c r="AG400" s="73">
        <f>IFERROR(INDEX('Euro Qual stats'!$A$1:$L$2071,MATCH(Players!$AE400,'Euro Qual stats'!$A$1:$A$2071,0),MATCH(Players!AG$2,'Euro Qual stats'!$A$1:$L$1,0)),0)</f>
        <v>0</v>
      </c>
      <c r="AH400" s="73">
        <f>IFERROR(INDEX('Euro Qual stats'!$A$1:$L$2071,MATCH(Players!$AE400,'Euro Qual stats'!$A$1:$A$2071,0),MATCH(Players!AH$2,'Euro Qual stats'!$A$1:$L$1,0)),0)</f>
        <v>0</v>
      </c>
      <c r="AI400" s="73">
        <f>IFERROR(INDEX('Euro Qual stats'!$A$1:$L$2071,MATCH(Players!$AE400,'Euro Qual stats'!$A$1:$A$2071,0),MATCH(Players!AI$2,'Euro Qual stats'!$A$1:$L$1,0)),0)</f>
        <v>0</v>
      </c>
      <c r="AJ400" s="93">
        <f>(12-AF400)/12*INDEX(BV$9:BV$12,MATCH($AB400,$BU$9:$BU$12,0))+AF400/12*AG400</f>
        <v>8.9175824175824203E-2</v>
      </c>
      <c r="AK400" s="93">
        <f>(12-AG400)/12*INDEX(BW$9:BW$12,MATCH($AB400,$BU$9:$BU$12,0))+AG400/12*AH400</f>
        <v>0.10357142857142858</v>
      </c>
      <c r="AL400" s="93">
        <f>(12-AH400)/12*INDEX(BX$9:BX$12,MATCH($AB400,$BU$9:$BU$12,0))+AH400/12*AI400</f>
        <v>0.19357142857142848</v>
      </c>
      <c r="AM400" s="93">
        <f>IF($BC400=1,AJ400/SUMIFS(AJ$3:AJ$623,$BC$3:$BC$623,1,$G$3:$G$623,$G400),0)</f>
        <v>0</v>
      </c>
      <c r="AN400" s="93">
        <f>IF($BC400=1,AK400/SUMIFS(AK$3:AK$623,$BC$3:$BC$623,1,$G$3:$G$623,$G400),0)</f>
        <v>0</v>
      </c>
      <c r="AO400" s="93">
        <f>IF($BC400=1,AL400/SUMIFS(AL$3:AL$623,$BC$3:$BC$623,1,$G$3:$G$623,$G400),0)</f>
        <v>0</v>
      </c>
      <c r="AP400" s="2" t="str">
        <f>IFERROR(R400/$V400*90,"")</f>
        <v/>
      </c>
      <c r="AQ400" s="2" t="str">
        <f>IFERROR(S400/$V400*90,"")</f>
        <v/>
      </c>
      <c r="AR400" s="2" t="str">
        <f>IFERROR(W400/$V400*90,"")</f>
        <v/>
      </c>
      <c r="AS400" s="2" t="str">
        <f>IFERROR(X400/$V400*90,"")</f>
        <v/>
      </c>
      <c r="AT400" s="2" t="str">
        <f>IFERROR(Y400/$V400*90,"")</f>
        <v/>
      </c>
      <c r="AU400" s="2">
        <f>IF(AP400="",INDEX(BV$4:BV$7,MATCH(O400,$BU$4:$BU$7,0)),AP400)</f>
        <v>0</v>
      </c>
      <c r="AV400" s="2">
        <f>IF(AQ400="",INDEX(BW$4:BW$7,MATCH($O400,$BU$4:$BU$7,0)),AQ400)</f>
        <v>0</v>
      </c>
      <c r="AW400" s="2">
        <f t="shared" si="72"/>
        <v>8.0624805297505417E-2</v>
      </c>
      <c r="AX400" s="2">
        <f t="shared" si="73"/>
        <v>0.1265377855887522</v>
      </c>
      <c r="AY400" s="2">
        <f t="shared" si="74"/>
        <v>0</v>
      </c>
      <c r="AZ400" s="2">
        <f>AU400*0.5+AK400*0.5</f>
        <v>5.1785714285714289E-2</v>
      </c>
      <c r="BA400" s="2">
        <f>AV400*0.5+AJ400*0.5</f>
        <v>4.4587912087912102E-2</v>
      </c>
      <c r="BB400" s="2">
        <f t="shared" si="75"/>
        <v>6.32688927943761E-2</v>
      </c>
      <c r="BC400">
        <f>IF(I400="expected",1,0)</f>
        <v>0</v>
      </c>
      <c r="BD400" s="78">
        <f>IF(BC400=1,AZ400/SUMIFS(AZ$3:AZ$623,$BC$3:$BC$623,1,$G$3:$G$623,$G400),0)</f>
        <v>0</v>
      </c>
      <c r="BE400" s="78">
        <f>IF(BC400=1,BA400/SUMIFS(BA$3:BA$623,$BC$3:$BC$623,1,$G$3:$G$623,$G400),0)</f>
        <v>0</v>
      </c>
      <c r="BF400" s="78">
        <f t="shared" si="76"/>
        <v>0</v>
      </c>
      <c r="BG400" s="2">
        <f t="shared" si="77"/>
        <v>6.32688927943761E-2</v>
      </c>
      <c r="BH400" s="2">
        <f t="shared" si="78"/>
        <v>0</v>
      </c>
      <c r="BI400" s="2">
        <f t="shared" si="79"/>
        <v>0</v>
      </c>
      <c r="BJ400" s="2">
        <f t="shared" si="80"/>
        <v>0</v>
      </c>
      <c r="BK400" s="2">
        <f t="shared" si="81"/>
        <v>0</v>
      </c>
      <c r="BL400" s="2">
        <f t="shared" si="82"/>
        <v>6.32688927943761E-2</v>
      </c>
      <c r="BM400" s="2">
        <f t="shared" si="83"/>
        <v>0</v>
      </c>
      <c r="BN400" s="2">
        <f>BI400/SUMIFS(BI$3:BI$623,$BC$3:$BC$623,1,$G$3:$G$623,$G400)</f>
        <v>0</v>
      </c>
      <c r="BO400" s="2">
        <f>BJ400/SUMIFS(BJ$3:BJ$623,$BC$3:$BC$623,1,$G$3:$G$623,$G400)</f>
        <v>0</v>
      </c>
      <c r="BP400" s="2">
        <f>BK400/SUMIFS(BK$3:BK$623,$BC$3:$BC$623,1,$G$3:$G$623,$G400)</f>
        <v>0</v>
      </c>
      <c r="BQ400" s="2">
        <f>BL400</f>
        <v>6.32688927943761E-2</v>
      </c>
      <c r="BR400" s="2">
        <f>BM400</f>
        <v>0</v>
      </c>
    </row>
    <row r="401" spans="1:70" hidden="1">
      <c r="A401" s="74">
        <v>0</v>
      </c>
      <c r="B401" s="73">
        <v>204842</v>
      </c>
      <c r="C401" s="73" t="s">
        <v>2574</v>
      </c>
      <c r="D401" s="73" t="s">
        <v>2575</v>
      </c>
      <c r="E401" s="73" t="s">
        <v>2576</v>
      </c>
      <c r="F401" s="73">
        <v>18721</v>
      </c>
      <c r="G401" s="73" t="s">
        <v>865</v>
      </c>
      <c r="H401" s="73" t="s">
        <v>921</v>
      </c>
      <c r="I401" s="73" t="s">
        <v>981</v>
      </c>
      <c r="J401" s="73">
        <v>0</v>
      </c>
      <c r="K401" s="73">
        <v>4.5</v>
      </c>
      <c r="L401" s="73">
        <v>0</v>
      </c>
      <c r="M401" s="73">
        <v>0</v>
      </c>
      <c r="N401" s="73">
        <v>0</v>
      </c>
      <c r="O401" s="73" t="s">
        <v>1318</v>
      </c>
      <c r="P401" s="73" t="s">
        <v>581</v>
      </c>
      <c r="Q401" s="73" t="s">
        <v>581</v>
      </c>
      <c r="R401" s="73">
        <v>0</v>
      </c>
      <c r="S401" s="73">
        <v>0</v>
      </c>
      <c r="T401" s="73">
        <v>0</v>
      </c>
      <c r="U401" s="73">
        <v>2</v>
      </c>
      <c r="V401" s="73">
        <v>2090</v>
      </c>
      <c r="W401" s="73">
        <v>2</v>
      </c>
      <c r="X401" s="73">
        <v>3</v>
      </c>
      <c r="Y401" s="73">
        <v>0</v>
      </c>
      <c r="Z401" s="73" t="s">
        <v>865</v>
      </c>
      <c r="AA401" s="73" t="s">
        <v>692</v>
      </c>
      <c r="AB401" s="73" t="str">
        <f>IF(AA401&lt;&gt;"",INDEX(Lookup!$N$2:$N$5,MATCH(Players!AA401,Lookup!$P$2:$P$5,0)),INDEX(Lookup!$N$2:$N$5,MATCH(Players!O401,Lookup!$O$2:$O$5,0)))</f>
        <v>Defense</v>
      </c>
      <c r="AC401" s="73">
        <v>2500000</v>
      </c>
      <c r="AD401" s="73" t="s">
        <v>788</v>
      </c>
      <c r="AE401" s="73" t="str">
        <f>INDEX('Translate table'!$H$2:$H$622,MATCH(Players!P401,'Translate table'!$G$2:$G$622,0))</f>
        <v>Ethan Ampadu</v>
      </c>
      <c r="AF401" s="73">
        <f>IFERROR(INDEX('Euro Qual stats'!$A$1:$L$2071,MATCH(Players!$AE401,'Euro Qual stats'!$A$1:$A$2071,0),MATCH(Players!AF$2,'Euro Qual stats'!$A$1:$L$1,0)),0)</f>
        <v>7</v>
      </c>
      <c r="AG401" s="73">
        <f>IFERROR(INDEX('Euro Qual stats'!$A$1:$L$2071,MATCH(Players!$AE401,'Euro Qual stats'!$A$1:$A$2071,0),MATCH(Players!AG$2,'Euro Qual stats'!$A$1:$L$1,0)),0)</f>
        <v>0</v>
      </c>
      <c r="AH401" s="73">
        <f>IFERROR(INDEX('Euro Qual stats'!$A$1:$L$2071,MATCH(Players!$AE401,'Euro Qual stats'!$A$1:$A$2071,0),MATCH(Players!AH$2,'Euro Qual stats'!$A$1:$L$1,0)),0)</f>
        <v>0</v>
      </c>
      <c r="AI401" s="73">
        <f>IFERROR(INDEX('Euro Qual stats'!$A$1:$L$2071,MATCH(Players!$AE401,'Euro Qual stats'!$A$1:$A$2071,0),MATCH(Players!AI$2,'Euro Qual stats'!$A$1:$L$1,0)),0)</f>
        <v>0.46</v>
      </c>
      <c r="AJ401" s="93">
        <f>(12-AF401)/12*INDEX(BV$9:BV$12,MATCH($AB401,$BU$9:$BU$12,0))+AF401/12*AG401</f>
        <v>3.715659340659342E-2</v>
      </c>
      <c r="AK401" s="93">
        <f>(12-AG401)/12*INDEX(BW$9:BW$12,MATCH($AB401,$BU$9:$BU$12,0))+AG401/12*AH401</f>
        <v>0.10357142857142858</v>
      </c>
      <c r="AL401" s="93">
        <f>(12-AH401)/12*INDEX(BX$9:BX$12,MATCH($AB401,$BU$9:$BU$12,0))+AH401/12*AI401</f>
        <v>0.19357142857142848</v>
      </c>
      <c r="AM401" s="93">
        <f>IF($BC401=1,AJ401/SUMIFS(AJ$3:AJ$623,$BC$3:$BC$623,1,$G$3:$G$623,$G401),0)</f>
        <v>3.5640401403205478E-2</v>
      </c>
      <c r="AN401" s="93">
        <f>IF($BC401=1,AK401/SUMIFS(AK$3:AK$623,$BC$3:$BC$623,1,$G$3:$G$623,$G401),0)</f>
        <v>5.6930895620757628E-2</v>
      </c>
      <c r="AO401" s="93">
        <f>IF($BC401=1,AL401/SUMIFS(AL$3:AL$623,$BC$3:$BC$623,1,$G$3:$G$623,$G401),0)</f>
        <v>9.4515402858177403E-2</v>
      </c>
      <c r="AP401" s="2">
        <f>IFERROR(R401/$V401*90,"")</f>
        <v>0</v>
      </c>
      <c r="AQ401" s="2">
        <f>IFERROR(S401/$V401*90,"")</f>
        <v>0</v>
      </c>
      <c r="AR401" s="2">
        <f>IFERROR(W401/$V401*90,"")</f>
        <v>8.6124401913875603E-2</v>
      </c>
      <c r="AS401" s="2">
        <f>IFERROR(X401/$V401*90,"")</f>
        <v>0.12918660287081341</v>
      </c>
      <c r="AT401" s="2">
        <f>IFERROR(Y401/$V401*90,"")</f>
        <v>0</v>
      </c>
      <c r="AU401" s="2">
        <f>IF(AP401="",INDEX(BV$4:BV$7,MATCH(O401,$BU$4:$BU$7,0)),AP401)</f>
        <v>0</v>
      </c>
      <c r="AV401" s="2">
        <f>IF(AQ401="",INDEX(BW$4:BW$7,MATCH($O401,$BU$4:$BU$7,0)),AQ401)</f>
        <v>0</v>
      </c>
      <c r="AW401" s="2">
        <f t="shared" si="72"/>
        <v>8.6124401913875603E-2</v>
      </c>
      <c r="AX401" s="2">
        <f t="shared" si="73"/>
        <v>0.12918660287081341</v>
      </c>
      <c r="AY401" s="2">
        <f t="shared" si="74"/>
        <v>0</v>
      </c>
      <c r="AZ401" s="2">
        <f>AU401*0.5+AK401*0.5</f>
        <v>5.1785714285714289E-2</v>
      </c>
      <c r="BA401" s="2">
        <f>AV401*0.5+AJ401*0.5</f>
        <v>1.857829670329671E-2</v>
      </c>
      <c r="BB401" s="2">
        <f t="shared" si="75"/>
        <v>0.29459330143540674</v>
      </c>
      <c r="BC401">
        <f>IF(I401="expected",1,0)</f>
        <v>1</v>
      </c>
      <c r="BD401" s="78">
        <f>IF(BC401=1,AZ401/SUMIFS(AZ$3:AZ$623,$BC$3:$BC$623,1,$G$3:$G$623,$G401),0)</f>
        <v>3.2485708422744813E-2</v>
      </c>
      <c r="BE401" s="78">
        <f>IF(BC401=1,BA401/SUMIFS(BA$3:BA$623,$BC$3:$BC$623,1,$G$3:$G$623,$G401),0)</f>
        <v>2.5833380217788273E-2</v>
      </c>
      <c r="BF401" s="78">
        <f t="shared" si="76"/>
        <v>3.1300991112934655E-2</v>
      </c>
      <c r="BG401" s="2">
        <f t="shared" si="77"/>
        <v>0.29459330143540674</v>
      </c>
      <c r="BH401" s="2">
        <f t="shared" si="78"/>
        <v>0</v>
      </c>
      <c r="BI401" s="2">
        <f t="shared" si="79"/>
        <v>3.2485708422744813E-2</v>
      </c>
      <c r="BJ401" s="2">
        <f t="shared" si="80"/>
        <v>2.5833380217788273E-2</v>
      </c>
      <c r="BK401" s="2">
        <f t="shared" si="81"/>
        <v>3.1300991112934655E-2</v>
      </c>
      <c r="BL401" s="2">
        <f t="shared" si="82"/>
        <v>0.29459330143540674</v>
      </c>
      <c r="BM401" s="2">
        <f t="shared" si="83"/>
        <v>0</v>
      </c>
      <c r="BN401" s="2">
        <f>BI401/SUMIFS(BI$3:BI$623,$BC$3:$BC$623,1,$G$3:$G$623,$G401)</f>
        <v>3.8351424629592554E-2</v>
      </c>
      <c r="BO401" s="2">
        <f>BJ401/SUMIFS(BJ$3:BJ$623,$BC$3:$BC$623,1,$G$3:$G$623,$G401)</f>
        <v>2.5833380217788273E-2</v>
      </c>
      <c r="BP401" s="2">
        <f>BK401/SUMIFS(BK$3:BK$623,$BC$3:$BC$623,1,$G$3:$G$623,$G401)</f>
        <v>4.9947916156462928E-2</v>
      </c>
      <c r="BQ401" s="2">
        <f>BL401</f>
        <v>0.29459330143540674</v>
      </c>
      <c r="BR401" s="2">
        <f>BM401</f>
        <v>0</v>
      </c>
    </row>
    <row r="402" spans="1:70" hidden="1">
      <c r="A402" s="74">
        <v>0</v>
      </c>
      <c r="B402" s="73">
        <v>204840</v>
      </c>
      <c r="C402" s="73" t="s">
        <v>2577</v>
      </c>
      <c r="D402" s="73" t="s">
        <v>2578</v>
      </c>
      <c r="E402" s="73" t="s">
        <v>2579</v>
      </c>
      <c r="F402" s="73">
        <v>18721</v>
      </c>
      <c r="G402" s="73" t="s">
        <v>865</v>
      </c>
      <c r="H402" s="73" t="s">
        <v>921</v>
      </c>
      <c r="I402" s="73" t="s">
        <v>981</v>
      </c>
      <c r="J402" s="73">
        <v>0</v>
      </c>
      <c r="K402" s="73">
        <v>4.5</v>
      </c>
      <c r="L402" s="73">
        <v>0</v>
      </c>
      <c r="M402" s="73">
        <v>0</v>
      </c>
      <c r="N402" s="73">
        <v>0</v>
      </c>
      <c r="O402" s="73" t="s">
        <v>1318</v>
      </c>
      <c r="P402" s="73" t="s">
        <v>2580</v>
      </c>
      <c r="Q402" s="73" t="s">
        <v>236</v>
      </c>
      <c r="R402" s="73">
        <v>0</v>
      </c>
      <c r="S402" s="73">
        <v>1</v>
      </c>
      <c r="T402" s="73">
        <v>0</v>
      </c>
      <c r="U402" s="73">
        <v>2</v>
      </c>
      <c r="V402" s="73">
        <v>2586</v>
      </c>
      <c r="W402" s="73">
        <v>1</v>
      </c>
      <c r="X402" s="73">
        <v>5</v>
      </c>
      <c r="Y402" s="73">
        <v>0</v>
      </c>
      <c r="Z402" s="73" t="s">
        <v>865</v>
      </c>
      <c r="AA402" s="73" t="s">
        <v>692</v>
      </c>
      <c r="AB402" s="73" t="str">
        <f>IF(AA402&lt;&gt;"",INDEX(Lookup!$N$2:$N$5,MATCH(Players!AA402,Lookup!$P$2:$P$5,0)),INDEX(Lookup!$N$2:$N$5,MATCH(Players!O402,Lookup!$O$2:$O$5,0)))</f>
        <v>Defense</v>
      </c>
      <c r="AC402" s="73">
        <v>2000000</v>
      </c>
      <c r="AD402" s="73" t="s">
        <v>789</v>
      </c>
      <c r="AE402" s="73" t="str">
        <f>INDEX('Translate table'!$H$2:$H$622,MATCH(Players!P402,'Translate table'!$G$2:$G$622,0))</f>
        <v>Chris Mepham</v>
      </c>
      <c r="AF402" s="73">
        <f>IFERROR(INDEX('Euro Qual stats'!$A$1:$L$2071,MATCH(Players!$AE402,'Euro Qual stats'!$A$1:$A$2071,0),MATCH(Players!AF$2,'Euro Qual stats'!$A$1:$L$1,0)),0)</f>
        <v>5</v>
      </c>
      <c r="AG402" s="73">
        <f>IFERROR(INDEX('Euro Qual stats'!$A$1:$L$2071,MATCH(Players!$AE402,'Euro Qual stats'!$A$1:$A$2071,0),MATCH(Players!AG$2,'Euro Qual stats'!$A$1:$L$1,0)),0)</f>
        <v>0</v>
      </c>
      <c r="AH402" s="73">
        <f>IFERROR(INDEX('Euro Qual stats'!$A$1:$L$2071,MATCH(Players!$AE402,'Euro Qual stats'!$A$1:$A$2071,0),MATCH(Players!AH$2,'Euro Qual stats'!$A$1:$L$1,0)),0)</f>
        <v>0</v>
      </c>
      <c r="AI402" s="73">
        <f>IFERROR(INDEX('Euro Qual stats'!$A$1:$L$2071,MATCH(Players!$AE402,'Euro Qual stats'!$A$1:$A$2071,0),MATCH(Players!AI$2,'Euro Qual stats'!$A$1:$L$1,0)),0)</f>
        <v>0.2</v>
      </c>
      <c r="AJ402" s="93">
        <f>(12-AF402)/12*INDEX(BV$9:BV$12,MATCH($AB402,$BU$9:$BU$12,0))+AF402/12*AG402</f>
        <v>5.201923076923079E-2</v>
      </c>
      <c r="AK402" s="93">
        <f>(12-AG402)/12*INDEX(BW$9:BW$12,MATCH($AB402,$BU$9:$BU$12,0))+AG402/12*AH402</f>
        <v>0.10357142857142858</v>
      </c>
      <c r="AL402" s="93">
        <f>(12-AH402)/12*INDEX(BX$9:BX$12,MATCH($AB402,$BU$9:$BU$12,0))+AH402/12*AI402</f>
        <v>0.19357142857142848</v>
      </c>
      <c r="AM402" s="93">
        <f>IF($BC402=1,AJ402/SUMIFS(AJ$3:AJ$623,$BC$3:$BC$623,1,$G$3:$G$623,$G402),0)</f>
        <v>4.9896561964487669E-2</v>
      </c>
      <c r="AN402" s="93">
        <f>IF($BC402=1,AK402/SUMIFS(AK$3:AK$623,$BC$3:$BC$623,1,$G$3:$G$623,$G402),0)</f>
        <v>5.6930895620757628E-2</v>
      </c>
      <c r="AO402" s="93">
        <f>IF($BC402=1,AL402/SUMIFS(AL$3:AL$623,$BC$3:$BC$623,1,$G$3:$G$623,$G402),0)</f>
        <v>9.4515402858177403E-2</v>
      </c>
      <c r="AP402" s="2">
        <f>IFERROR(R402/$V402*90,"")</f>
        <v>0</v>
      </c>
      <c r="AQ402" s="2">
        <f>IFERROR(S402/$V402*90,"")</f>
        <v>3.4802784222737818E-2</v>
      </c>
      <c r="AR402" s="2">
        <f>IFERROR(W402/$V402*90,"")</f>
        <v>3.4802784222737818E-2</v>
      </c>
      <c r="AS402" s="2">
        <f>IFERROR(X402/$V402*90,"")</f>
        <v>0.1740139211136891</v>
      </c>
      <c r="AT402" s="2">
        <f>IFERROR(Y402/$V402*90,"")</f>
        <v>0</v>
      </c>
      <c r="AU402" s="2">
        <f>IF(AP402="",INDEX(BV$4:BV$7,MATCH(O402,$BU$4:$BU$7,0)),AP402)</f>
        <v>0</v>
      </c>
      <c r="AV402" s="2">
        <f>IF(AQ402="",INDEX(BW$4:BW$7,MATCH($O402,$BU$4:$BU$7,0)),AQ402)</f>
        <v>3.4802784222737818E-2</v>
      </c>
      <c r="AW402" s="2">
        <f t="shared" si="72"/>
        <v>3.4802784222737818E-2</v>
      </c>
      <c r="AX402" s="2">
        <f t="shared" si="73"/>
        <v>0.1740139211136891</v>
      </c>
      <c r="AY402" s="2">
        <f t="shared" si="74"/>
        <v>0</v>
      </c>
      <c r="AZ402" s="2">
        <f>AU402*0.5+AK402*0.5</f>
        <v>5.1785714285714289E-2</v>
      </c>
      <c r="BA402" s="2">
        <f>AV402*0.5+AJ402*0.5</f>
        <v>4.3411007495984304E-2</v>
      </c>
      <c r="BB402" s="2">
        <f t="shared" si="75"/>
        <v>0.18700696055684457</v>
      </c>
      <c r="BC402">
        <f>IF(I402="expected",1,0)</f>
        <v>1</v>
      </c>
      <c r="BD402" s="78">
        <f>IF(BC402=1,AZ402/SUMIFS(AZ$3:AZ$623,$BC$3:$BC$623,1,$G$3:$G$623,$G402),0)</f>
        <v>3.2485708422744813E-2</v>
      </c>
      <c r="BE402" s="78">
        <f>IF(BC402=1,BA402/SUMIFS(BA$3:BA$623,$BC$3:$BC$623,1,$G$3:$G$623,$G402),0)</f>
        <v>6.0363610302445969E-2</v>
      </c>
      <c r="BF402" s="78">
        <f t="shared" si="76"/>
        <v>1.2648699038289525E-2</v>
      </c>
      <c r="BG402" s="2">
        <f t="shared" si="77"/>
        <v>0.18700696055684457</v>
      </c>
      <c r="BH402" s="2">
        <f t="shared" si="78"/>
        <v>0</v>
      </c>
      <c r="BI402" s="2">
        <f t="shared" si="79"/>
        <v>3.2485708422744813E-2</v>
      </c>
      <c r="BJ402" s="2">
        <f t="shared" si="80"/>
        <v>6.0363610302445969E-2</v>
      </c>
      <c r="BK402" s="2">
        <f t="shared" si="81"/>
        <v>1.2648699038289525E-2</v>
      </c>
      <c r="BL402" s="2">
        <f t="shared" si="82"/>
        <v>0.18700696055684457</v>
      </c>
      <c r="BM402" s="2">
        <f t="shared" si="83"/>
        <v>0</v>
      </c>
      <c r="BN402" s="2">
        <f>BI402/SUMIFS(BI$3:BI$623,$BC$3:$BC$623,1,$G$3:$G$623,$G402)</f>
        <v>3.8351424629592554E-2</v>
      </c>
      <c r="BO402" s="2">
        <f>BJ402/SUMIFS(BJ$3:BJ$623,$BC$3:$BC$623,1,$G$3:$G$623,$G402)</f>
        <v>6.0363610302445969E-2</v>
      </c>
      <c r="BP402" s="2">
        <f>BK402/SUMIFS(BK$3:BK$623,$BC$3:$BC$623,1,$G$3:$G$623,$G402)</f>
        <v>2.0183902700504158E-2</v>
      </c>
      <c r="BQ402" s="2">
        <f>BL402</f>
        <v>0.18700696055684457</v>
      </c>
      <c r="BR402" s="2">
        <f>BM402</f>
        <v>0</v>
      </c>
    </row>
    <row r="403" spans="1:70" hidden="1">
      <c r="A403" s="74">
        <v>0</v>
      </c>
      <c r="B403" s="73">
        <v>204861</v>
      </c>
      <c r="C403" s="73" t="s">
        <v>2581</v>
      </c>
      <c r="D403" s="73" t="s">
        <v>840</v>
      </c>
      <c r="E403" s="73" t="s">
        <v>2582</v>
      </c>
      <c r="F403" s="73">
        <v>18721</v>
      </c>
      <c r="G403" s="73" t="s">
        <v>865</v>
      </c>
      <c r="H403" s="73" t="s">
        <v>921</v>
      </c>
      <c r="I403" s="73" t="s">
        <v>1012</v>
      </c>
      <c r="J403" s="73">
        <v>0</v>
      </c>
      <c r="K403" s="73">
        <v>4.5</v>
      </c>
      <c r="L403" s="73">
        <v>0</v>
      </c>
      <c r="M403" s="73">
        <v>0</v>
      </c>
      <c r="N403" s="73">
        <v>0</v>
      </c>
      <c r="O403" s="73" t="s">
        <v>994</v>
      </c>
      <c r="P403" s="73" t="s">
        <v>2583</v>
      </c>
      <c r="Q403" s="73" t="s">
        <v>2584</v>
      </c>
      <c r="R403" s="73">
        <v>0</v>
      </c>
      <c r="S403" s="73">
        <v>0</v>
      </c>
      <c r="T403" s="73">
        <v>0</v>
      </c>
      <c r="U403" s="73">
        <v>0</v>
      </c>
      <c r="V403" s="73">
        <v>6</v>
      </c>
      <c r="W403" s="73">
        <v>0</v>
      </c>
      <c r="X403" s="73">
        <v>0</v>
      </c>
      <c r="Y403" s="73">
        <v>1</v>
      </c>
      <c r="Z403" s="73" t="s">
        <v>865</v>
      </c>
      <c r="AA403" s="73" t="s">
        <v>691</v>
      </c>
      <c r="AB403" s="73" t="str">
        <f>IF(AA403&lt;&gt;"",INDEX(Lookup!$N$2:$N$5,MATCH(Players!AA403,Lookup!$P$2:$P$5,0)),INDEX(Lookup!$N$2:$N$5,MATCH(Players!O403,Lookup!$O$2:$O$5,0)))</f>
        <v>Midfield</v>
      </c>
      <c r="AC403" s="73">
        <v>3000000</v>
      </c>
      <c r="AD403" s="73" t="s">
        <v>788</v>
      </c>
      <c r="AE403" s="73" t="str">
        <f>INDEX('Translate table'!$H$2:$H$622,MATCH(Players!P403,'Translate table'!$G$2:$G$622,0))</f>
        <v>Jonny Evans</v>
      </c>
      <c r="AF403" s="73">
        <f>IFERROR(INDEX('Euro Qual stats'!$A$1:$L$2071,MATCH(Players!$AE403,'Euro Qual stats'!$A$1:$A$2071,0),MATCH(Players!AF$2,'Euro Qual stats'!$A$1:$L$1,0)),0)</f>
        <v>9</v>
      </c>
      <c r="AG403" s="73">
        <f>IFERROR(INDEX('Euro Qual stats'!$A$1:$L$2071,MATCH(Players!$AE403,'Euro Qual stats'!$A$1:$A$2071,0),MATCH(Players!AG$2,'Euro Qual stats'!$A$1:$L$1,0)),0)</f>
        <v>0</v>
      </c>
      <c r="AH403" s="73">
        <f>IFERROR(INDEX('Euro Qual stats'!$A$1:$L$2071,MATCH(Players!$AE403,'Euro Qual stats'!$A$1:$A$2071,0),MATCH(Players!AH$2,'Euro Qual stats'!$A$1:$L$1,0)),0)</f>
        <v>0.11</v>
      </c>
      <c r="AI403" s="73">
        <f>IFERROR(INDEX('Euro Qual stats'!$A$1:$L$2071,MATCH(Players!$AE403,'Euro Qual stats'!$A$1:$A$2071,0),MATCH(Players!AI$2,'Euro Qual stats'!$A$1:$L$1,0)),0)</f>
        <v>0.22</v>
      </c>
      <c r="AJ403" s="93">
        <f>(12-AF403)/12*INDEX(BV$9:BV$12,MATCH($AB403,$BU$9:$BU$12,0))+AF403/12*AG403</f>
        <v>4.2172774869109947E-2</v>
      </c>
      <c r="AK403" s="93">
        <f>(12-AG403)/12*INDEX(BW$9:BW$12,MATCH($AB403,$BU$9:$BU$12,0))+AG403/12*AH403</f>
        <v>0.22340314136125652</v>
      </c>
      <c r="AL403" s="93">
        <f>(12-AH403)/12*INDEX(BX$9:BX$12,MATCH($AB403,$BU$9:$BU$12,0))+AH403/12*AI403</f>
        <v>0.23924602966841191</v>
      </c>
      <c r="AM403" s="93">
        <f>IF($BC403=1,AJ403/SUMIFS(AJ$3:AJ$623,$BC$3:$BC$623,1,$G$3:$G$623,$G403),0)</f>
        <v>0</v>
      </c>
      <c r="AN403" s="93">
        <f>IF($BC403=1,AK403/SUMIFS(AK$3:AK$623,$BC$3:$BC$623,1,$G$3:$G$623,$G403),0)</f>
        <v>0</v>
      </c>
      <c r="AO403" s="93">
        <f>IF($BC403=1,AL403/SUMIFS(AL$3:AL$623,$BC$3:$BC$623,1,$G$3:$G$623,$G403),0)</f>
        <v>0</v>
      </c>
      <c r="AP403" s="2">
        <f>IFERROR(R403/$V403*90,"")</f>
        <v>0</v>
      </c>
      <c r="AQ403" s="2">
        <f>IFERROR(S403/$V403*90,"")</f>
        <v>0</v>
      </c>
      <c r="AR403" s="2">
        <f>IFERROR(W403/$V403*90,"")</f>
        <v>0</v>
      </c>
      <c r="AS403" s="2">
        <f>IFERROR(X403/$V403*90,"")</f>
        <v>0</v>
      </c>
      <c r="AT403" s="2">
        <f>IFERROR(Y403/$V403*90,"")</f>
        <v>15</v>
      </c>
      <c r="AU403" s="2">
        <f>IF(AP403="",INDEX(BV$4:BV$7,MATCH(O403,$BU$4:$BU$7,0)),AP403)</f>
        <v>0</v>
      </c>
      <c r="AV403" s="2">
        <f>IF(AQ403="",INDEX(BW$4:BW$7,MATCH($O403,$BU$4:$BU$7,0)),AQ403)</f>
        <v>0</v>
      </c>
      <c r="AW403" s="2">
        <f t="shared" si="72"/>
        <v>0</v>
      </c>
      <c r="AX403" s="2">
        <f t="shared" si="73"/>
        <v>0</v>
      </c>
      <c r="AY403" s="2">
        <f t="shared" si="74"/>
        <v>15</v>
      </c>
      <c r="AZ403" s="2">
        <f>AU403*0.5+AK403*0.5</f>
        <v>0.11170157068062826</v>
      </c>
      <c r="BA403" s="2">
        <f>AV403*0.5+AJ403*0.5</f>
        <v>2.1086387434554973E-2</v>
      </c>
      <c r="BB403" s="2">
        <f t="shared" si="75"/>
        <v>0.11</v>
      </c>
      <c r="BC403">
        <f>IF(I403="expected",1,0)</f>
        <v>0</v>
      </c>
      <c r="BD403" s="78">
        <f>IF(BC403=1,AZ403/SUMIFS(AZ$3:AZ$623,$BC$3:$BC$623,1,$G$3:$G$623,$G403),0)</f>
        <v>0</v>
      </c>
      <c r="BE403" s="78">
        <f>IF(BC403=1,BA403/SUMIFS(BA$3:BA$623,$BC$3:$BC$623,1,$G$3:$G$623,$G403),0)</f>
        <v>0</v>
      </c>
      <c r="BF403" s="78">
        <f t="shared" si="76"/>
        <v>0</v>
      </c>
      <c r="BG403" s="2">
        <f t="shared" si="77"/>
        <v>0.11</v>
      </c>
      <c r="BH403" s="2">
        <f t="shared" si="78"/>
        <v>15</v>
      </c>
      <c r="BI403" s="2">
        <f t="shared" si="79"/>
        <v>0</v>
      </c>
      <c r="BJ403" s="2">
        <f t="shared" si="80"/>
        <v>0</v>
      </c>
      <c r="BK403" s="2">
        <f t="shared" si="81"/>
        <v>0</v>
      </c>
      <c r="BL403" s="2">
        <f t="shared" si="82"/>
        <v>0.11</v>
      </c>
      <c r="BM403" s="2">
        <f t="shared" si="83"/>
        <v>0.06</v>
      </c>
      <c r="BN403" s="2">
        <f>BI403/SUMIFS(BI$3:BI$623,$BC$3:$BC$623,1,$G$3:$G$623,$G403)</f>
        <v>0</v>
      </c>
      <c r="BO403" s="2">
        <f>BJ403/SUMIFS(BJ$3:BJ$623,$BC$3:$BC$623,1,$G$3:$G$623,$G403)</f>
        <v>0</v>
      </c>
      <c r="BP403" s="2">
        <f>BK403/SUMIFS(BK$3:BK$623,$BC$3:$BC$623,1,$G$3:$G$623,$G403)</f>
        <v>0</v>
      </c>
      <c r="BQ403" s="2">
        <f>BL403</f>
        <v>0.11</v>
      </c>
      <c r="BR403" s="2">
        <f>BM403</f>
        <v>0.06</v>
      </c>
    </row>
    <row r="404" spans="1:70" hidden="1">
      <c r="A404" s="74">
        <v>0</v>
      </c>
      <c r="B404" s="73">
        <v>204875</v>
      </c>
      <c r="C404" s="73" t="s">
        <v>2586</v>
      </c>
      <c r="D404" s="73" t="s">
        <v>2587</v>
      </c>
      <c r="E404" s="73" t="s">
        <v>2588</v>
      </c>
      <c r="F404" s="73">
        <v>18721</v>
      </c>
      <c r="G404" s="73" t="s">
        <v>865</v>
      </c>
      <c r="H404" s="73" t="s">
        <v>921</v>
      </c>
      <c r="I404" s="73" t="s">
        <v>1012</v>
      </c>
      <c r="J404" s="73">
        <v>0</v>
      </c>
      <c r="K404" s="73">
        <v>4.5</v>
      </c>
      <c r="L404" s="73">
        <v>0</v>
      </c>
      <c r="M404" s="73">
        <v>0</v>
      </c>
      <c r="N404" s="73">
        <v>0</v>
      </c>
      <c r="O404" s="73" t="s">
        <v>982</v>
      </c>
      <c r="P404" s="73" t="s">
        <v>2589</v>
      </c>
      <c r="Q404" s="73" t="s">
        <v>573</v>
      </c>
      <c r="R404" s="73">
        <v>1</v>
      </c>
      <c r="S404" s="73">
        <v>2</v>
      </c>
      <c r="T404" s="73">
        <v>0</v>
      </c>
      <c r="U404" s="73">
        <v>1</v>
      </c>
      <c r="V404" s="73">
        <v>1338</v>
      </c>
      <c r="W404" s="73">
        <v>12</v>
      </c>
      <c r="X404" s="73">
        <v>3</v>
      </c>
      <c r="Y404" s="73">
        <v>0</v>
      </c>
      <c r="Z404" s="73" t="s">
        <v>865</v>
      </c>
      <c r="AA404" s="73" t="s">
        <v>693</v>
      </c>
      <c r="AB404" s="73" t="str">
        <f>IF(AA404&lt;&gt;"",INDEX(Lookup!$N$2:$N$5,MATCH(Players!AA404,Lookup!$P$2:$P$5,0)),INDEX(Lookup!$N$2:$N$5,MATCH(Players!O404,Lookup!$O$2:$O$5,0)))</f>
        <v>Striker</v>
      </c>
      <c r="AC404" s="73">
        <v>2000000</v>
      </c>
      <c r="AD404" s="73" t="s">
        <v>793</v>
      </c>
      <c r="AE404" s="73" t="str">
        <f>INDEX('Translate table'!$H$2:$H$622,MATCH(Players!P404,'Translate table'!$G$2:$G$622,0))</f>
        <v>Tyler Roberts</v>
      </c>
      <c r="AF404" s="73">
        <f>IFERROR(INDEX('Euro Qual stats'!$A$1:$L$2071,MATCH(Players!$AE404,'Euro Qual stats'!$A$1:$A$2071,0),MATCH(Players!AF$2,'Euro Qual stats'!$A$1:$L$1,0)),0)</f>
        <v>2</v>
      </c>
      <c r="AG404" s="73">
        <f>IFERROR(INDEX('Euro Qual stats'!$A$1:$L$2071,MATCH(Players!$AE404,'Euro Qual stats'!$A$1:$A$2071,0),MATCH(Players!AG$2,'Euro Qual stats'!$A$1:$L$1,0)),0)</f>
        <v>0</v>
      </c>
      <c r="AH404" s="73">
        <f>IFERROR(INDEX('Euro Qual stats'!$A$1:$L$2071,MATCH(Players!$AE404,'Euro Qual stats'!$A$1:$A$2071,0),MATCH(Players!AH$2,'Euro Qual stats'!$A$1:$L$1,0)),0)</f>
        <v>0</v>
      </c>
      <c r="AI404" s="73">
        <f>IFERROR(INDEX('Euro Qual stats'!$A$1:$L$2071,MATCH(Players!$AE404,'Euro Qual stats'!$A$1:$A$2071,0),MATCH(Players!AI$2,'Euro Qual stats'!$A$1:$L$1,0)),0)</f>
        <v>0</v>
      </c>
      <c r="AJ404" s="93">
        <f>(12-AF404)/12*INDEX(BV$9:BV$12,MATCH($AB404,$BU$9:$BU$12,0))+AF404/12*AG404</f>
        <v>0.1707614942528736</v>
      </c>
      <c r="AK404" s="93">
        <f>(12-AG404)/12*INDEX(BW$9:BW$12,MATCH($AB404,$BU$9:$BU$12,0))+AG404/12*AH404</f>
        <v>0.53387931034482738</v>
      </c>
      <c r="AL404" s="93">
        <f>(12-AH404)/12*INDEX(BX$9:BX$12,MATCH($AB404,$BU$9:$BU$12,0))+AH404/12*AI404</f>
        <v>0.16482758620689658</v>
      </c>
      <c r="AM404" s="93">
        <f>IF($BC404=1,AJ404/SUMIFS(AJ$3:AJ$623,$BC$3:$BC$623,1,$G$3:$G$623,$G404),0)</f>
        <v>0</v>
      </c>
      <c r="AN404" s="93">
        <f>IF($BC404=1,AK404/SUMIFS(AK$3:AK$623,$BC$3:$BC$623,1,$G$3:$G$623,$G404),0)</f>
        <v>0</v>
      </c>
      <c r="AO404" s="93">
        <f>IF($BC404=1,AL404/SUMIFS(AL$3:AL$623,$BC$3:$BC$623,1,$G$3:$G$623,$G404),0)</f>
        <v>0</v>
      </c>
      <c r="AP404" s="2">
        <f>IFERROR(R404/$V404*90,"")</f>
        <v>6.726457399103139E-2</v>
      </c>
      <c r="AQ404" s="2">
        <f>IFERROR(S404/$V404*90,"")</f>
        <v>0.13452914798206278</v>
      </c>
      <c r="AR404" s="2">
        <f>IFERROR(W404/$V404*90,"")</f>
        <v>0.80717488789237668</v>
      </c>
      <c r="AS404" s="2">
        <f>IFERROR(X404/$V404*90,"")</f>
        <v>0.20179372197309417</v>
      </c>
      <c r="AT404" s="2">
        <f>IFERROR(Y404/$V404*90,"")</f>
        <v>0</v>
      </c>
      <c r="AU404" s="2">
        <f>IF(AP404="",INDEX(BV$4:BV$7,MATCH(O404,$BU$4:$BU$7,0)),AP404)</f>
        <v>6.726457399103139E-2</v>
      </c>
      <c r="AV404" s="2">
        <f>IF(AQ404="",INDEX(BW$4:BW$7,MATCH($O404,$BU$4:$BU$7,0)),AQ404)</f>
        <v>0.13452914798206278</v>
      </c>
      <c r="AW404" s="2">
        <f t="shared" si="72"/>
        <v>0.80717488789237668</v>
      </c>
      <c r="AX404" s="2">
        <f t="shared" si="73"/>
        <v>0.20179372197309417</v>
      </c>
      <c r="AY404" s="2">
        <f t="shared" si="74"/>
        <v>0</v>
      </c>
      <c r="AZ404" s="2">
        <f>AU404*0.5+AK404*0.5</f>
        <v>0.30057194216792937</v>
      </c>
      <c r="BA404" s="2">
        <f>AV404*0.5+AJ404*0.5</f>
        <v>0.1526453211174682</v>
      </c>
      <c r="BB404" s="2">
        <f t="shared" si="75"/>
        <v>0.10089686098654709</v>
      </c>
      <c r="BC404">
        <f>IF(I404="expected",1,0)</f>
        <v>0</v>
      </c>
      <c r="BD404" s="78">
        <f>IF(BC404=1,AZ404/SUMIFS(AZ$3:AZ$623,$BC$3:$BC$623,1,$G$3:$G$623,$G404),0)</f>
        <v>0</v>
      </c>
      <c r="BE404" s="78">
        <f>IF(BC404=1,BA404/SUMIFS(BA$3:BA$623,$BC$3:$BC$623,1,$G$3:$G$623,$G404),0)</f>
        <v>0</v>
      </c>
      <c r="BF404" s="78">
        <f t="shared" si="76"/>
        <v>0</v>
      </c>
      <c r="BG404" s="2">
        <f t="shared" si="77"/>
        <v>0.10089686098654709</v>
      </c>
      <c r="BH404" s="2">
        <f t="shared" si="78"/>
        <v>0</v>
      </c>
      <c r="BI404" s="2">
        <f t="shared" si="79"/>
        <v>0</v>
      </c>
      <c r="BJ404" s="2">
        <f t="shared" si="80"/>
        <v>0</v>
      </c>
      <c r="BK404" s="2">
        <f t="shared" si="81"/>
        <v>0</v>
      </c>
      <c r="BL404" s="2">
        <f t="shared" si="82"/>
        <v>0.10089686098654709</v>
      </c>
      <c r="BM404" s="2">
        <f t="shared" si="83"/>
        <v>0</v>
      </c>
      <c r="BN404" s="2">
        <f>BI404/SUMIFS(BI$3:BI$623,$BC$3:$BC$623,1,$G$3:$G$623,$G404)</f>
        <v>0</v>
      </c>
      <c r="BO404" s="2">
        <f>BJ404/SUMIFS(BJ$3:BJ$623,$BC$3:$BC$623,1,$G$3:$G$623,$G404)</f>
        <v>0</v>
      </c>
      <c r="BP404" s="2">
        <f>BK404/SUMIFS(BK$3:BK$623,$BC$3:$BC$623,1,$G$3:$G$623,$G404)</f>
        <v>0</v>
      </c>
      <c r="BQ404" s="2">
        <f>BL404</f>
        <v>0.10089686098654709</v>
      </c>
      <c r="BR404" s="2">
        <f>BM404</f>
        <v>0</v>
      </c>
    </row>
    <row r="405" spans="1:70" hidden="1">
      <c r="A405" s="74">
        <v>0</v>
      </c>
      <c r="B405" s="73">
        <v>204860</v>
      </c>
      <c r="C405" s="73" t="s">
        <v>2590</v>
      </c>
      <c r="D405" s="73" t="s">
        <v>2591</v>
      </c>
      <c r="E405" s="73" t="s">
        <v>2592</v>
      </c>
      <c r="F405" s="73">
        <v>18721</v>
      </c>
      <c r="G405" s="73" t="s">
        <v>865</v>
      </c>
      <c r="H405" s="73" t="s">
        <v>921</v>
      </c>
      <c r="I405" s="73" t="s">
        <v>1012</v>
      </c>
      <c r="J405" s="73">
        <v>0</v>
      </c>
      <c r="K405" s="73">
        <v>4.5</v>
      </c>
      <c r="L405" s="73">
        <v>0</v>
      </c>
      <c r="M405" s="73">
        <v>0</v>
      </c>
      <c r="N405" s="73">
        <v>0</v>
      </c>
      <c r="O405" s="73" t="s">
        <v>982</v>
      </c>
      <c r="P405" s="73" t="s">
        <v>2593</v>
      </c>
      <c r="Q405" s="73" t="s">
        <v>1164</v>
      </c>
      <c r="R405" s="73"/>
      <c r="S405" s="73"/>
      <c r="T405" s="73"/>
      <c r="U405" s="73"/>
      <c r="V405" s="73"/>
      <c r="W405" s="73"/>
      <c r="X405" s="73"/>
      <c r="Y405" s="73"/>
      <c r="Z405" s="73" t="s">
        <v>865</v>
      </c>
      <c r="AA405" s="73" t="s">
        <v>693</v>
      </c>
      <c r="AB405" s="73" t="str">
        <f>IF(AA405&lt;&gt;"",INDEX(Lookup!$N$2:$N$5,MATCH(Players!AA405,Lookup!$P$2:$P$5,0)),INDEX(Lookup!$N$2:$N$5,MATCH(Players!O405,Lookup!$O$2:$O$5,0)))</f>
        <v>Striker</v>
      </c>
      <c r="AC405" s="73">
        <v>3500000</v>
      </c>
      <c r="AD405" s="73" t="s">
        <v>788</v>
      </c>
      <c r="AE405" s="73" t="str">
        <f>INDEX('Translate table'!$H$2:$H$622,MATCH(Players!P405,'Translate table'!$G$2:$G$622,0))</f>
        <v>Kieffer Moore</v>
      </c>
      <c r="AF405" s="73">
        <f>IFERROR(INDEX('Euro Qual stats'!$A$1:$L$2071,MATCH(Players!$AE405,'Euro Qual stats'!$A$1:$A$2071,0),MATCH(Players!AF$2,'Euro Qual stats'!$A$1:$L$1,0)),0)</f>
        <v>4</v>
      </c>
      <c r="AG405" s="73">
        <f>IFERROR(INDEX('Euro Qual stats'!$A$1:$L$2071,MATCH(Players!$AE405,'Euro Qual stats'!$A$1:$A$2071,0),MATCH(Players!AG$2,'Euro Qual stats'!$A$1:$L$1,0)),0)</f>
        <v>0.25</v>
      </c>
      <c r="AH405" s="73">
        <f>IFERROR(INDEX('Euro Qual stats'!$A$1:$L$2071,MATCH(Players!$AE405,'Euro Qual stats'!$A$1:$A$2071,0),MATCH(Players!AH$2,'Euro Qual stats'!$A$1:$L$1,0)),0)</f>
        <v>0.51</v>
      </c>
      <c r="AI405" s="73">
        <f>IFERROR(INDEX('Euro Qual stats'!$A$1:$L$2071,MATCH(Players!$AE405,'Euro Qual stats'!$A$1:$A$2071,0),MATCH(Players!AI$2,'Euro Qual stats'!$A$1:$L$1,0)),0)</f>
        <v>0.25</v>
      </c>
      <c r="AJ405" s="93">
        <f>(12-AF405)/12*INDEX(BV$9:BV$12,MATCH($AB405,$BU$9:$BU$12,0))+AF405/12*AG405</f>
        <v>0.21994252873563219</v>
      </c>
      <c r="AK405" s="93">
        <f>(12-AG405)/12*INDEX(BW$9:BW$12,MATCH($AB405,$BU$9:$BU$12,0))+AG405/12*AH405</f>
        <v>0.5333818247126435</v>
      </c>
      <c r="AL405" s="93">
        <f>(12-AH405)/12*INDEX(BX$9:BX$12,MATCH($AB405,$BU$9:$BU$12,0))+AH405/12*AI405</f>
        <v>0.16844741379310346</v>
      </c>
      <c r="AM405" s="93">
        <f>IF($BC405=1,AJ405/SUMIFS(AJ$3:AJ$623,$BC$3:$BC$623,1,$G$3:$G$623,$G405),0)</f>
        <v>0</v>
      </c>
      <c r="AN405" s="93">
        <f>IF($BC405=1,AK405/SUMIFS(AK$3:AK$623,$BC$3:$BC$623,1,$G$3:$G$623,$G405),0)</f>
        <v>0</v>
      </c>
      <c r="AO405" s="93">
        <f>IF($BC405=1,AL405/SUMIFS(AL$3:AL$623,$BC$3:$BC$623,1,$G$3:$G$623,$G405),0)</f>
        <v>0</v>
      </c>
      <c r="AP405" s="2" t="str">
        <f>IFERROR(R405/$V405*90,"")</f>
        <v/>
      </c>
      <c r="AQ405" s="2" t="str">
        <f>IFERROR(S405/$V405*90,"")</f>
        <v/>
      </c>
      <c r="AR405" s="2" t="str">
        <f>IFERROR(W405/$V405*90,"")</f>
        <v/>
      </c>
      <c r="AS405" s="2" t="str">
        <f>IFERROR(X405/$V405*90,"")</f>
        <v/>
      </c>
      <c r="AT405" s="2" t="str">
        <f>IFERROR(Y405/$V405*90,"")</f>
        <v/>
      </c>
      <c r="AU405" s="2">
        <f>IF(AP405="",INDEX(BV$4:BV$7,MATCH(O405,$BU$4:$BU$7,0)),AP405)</f>
        <v>0.18769551616266944</v>
      </c>
      <c r="AV405" s="2">
        <f>IF(AQ405="",INDEX(BW$4:BW$7,MATCH($O405,$BU$4:$BU$7,0)),AQ405)</f>
        <v>4.82573726541555E-2</v>
      </c>
      <c r="AW405" s="2">
        <f t="shared" si="72"/>
        <v>0.70512820512820518</v>
      </c>
      <c r="AX405" s="2">
        <f t="shared" si="73"/>
        <v>0.12295081967213115</v>
      </c>
      <c r="AY405" s="2">
        <f t="shared" si="74"/>
        <v>0</v>
      </c>
      <c r="AZ405" s="2">
        <f>AU405*0.5+AK405*0.5</f>
        <v>0.36053867043765647</v>
      </c>
      <c r="BA405" s="2">
        <f>AV405*0.5+AJ405*0.5</f>
        <v>0.13409995069489383</v>
      </c>
      <c r="BB405" s="2">
        <f t="shared" si="75"/>
        <v>0.18647540983606559</v>
      </c>
      <c r="BC405">
        <f>IF(I405="expected",1,0)</f>
        <v>0</v>
      </c>
      <c r="BD405" s="78">
        <f>IF(BC405=1,AZ405/SUMIFS(AZ$3:AZ$623,$BC$3:$BC$623,1,$G$3:$G$623,$G405),0)</f>
        <v>0</v>
      </c>
      <c r="BE405" s="78">
        <f>IF(BC405=1,BA405/SUMIFS(BA$3:BA$623,$BC$3:$BC$623,1,$G$3:$G$623,$G405),0)</f>
        <v>0</v>
      </c>
      <c r="BF405" s="78">
        <f t="shared" si="76"/>
        <v>0</v>
      </c>
      <c r="BG405" s="2">
        <f t="shared" si="77"/>
        <v>0.18647540983606559</v>
      </c>
      <c r="BH405" s="2">
        <f t="shared" si="78"/>
        <v>0</v>
      </c>
      <c r="BI405" s="2">
        <f t="shared" si="79"/>
        <v>0</v>
      </c>
      <c r="BJ405" s="2">
        <f t="shared" si="80"/>
        <v>0</v>
      </c>
      <c r="BK405" s="2">
        <f t="shared" si="81"/>
        <v>0</v>
      </c>
      <c r="BL405" s="2">
        <f t="shared" si="82"/>
        <v>0.18647540983606559</v>
      </c>
      <c r="BM405" s="2">
        <f t="shared" si="83"/>
        <v>0</v>
      </c>
      <c r="BN405" s="2">
        <f>BI405/SUMIFS(BI$3:BI$623,$BC$3:$BC$623,1,$G$3:$G$623,$G405)</f>
        <v>0</v>
      </c>
      <c r="BO405" s="2">
        <f>BJ405/SUMIFS(BJ$3:BJ$623,$BC$3:$BC$623,1,$G$3:$G$623,$G405)</f>
        <v>0</v>
      </c>
      <c r="BP405" s="2">
        <f>BK405/SUMIFS(BK$3:BK$623,$BC$3:$BC$623,1,$G$3:$G$623,$G405)</f>
        <v>0</v>
      </c>
      <c r="BQ405" s="2">
        <f>BL405</f>
        <v>0.18647540983606559</v>
      </c>
      <c r="BR405" s="2">
        <f>BM405</f>
        <v>0</v>
      </c>
    </row>
    <row r="406" spans="1:70" hidden="1">
      <c r="A406" s="74">
        <v>0</v>
      </c>
      <c r="B406" s="73">
        <v>204796</v>
      </c>
      <c r="C406" s="73" t="s">
        <v>2594</v>
      </c>
      <c r="D406" s="73" t="s">
        <v>1859</v>
      </c>
      <c r="E406" s="73" t="s">
        <v>2595</v>
      </c>
      <c r="F406" s="73">
        <v>18564</v>
      </c>
      <c r="G406" s="73" t="s">
        <v>886</v>
      </c>
      <c r="H406" s="73" t="s">
        <v>919</v>
      </c>
      <c r="I406" s="73" t="s">
        <v>1012</v>
      </c>
      <c r="J406" s="73">
        <v>0</v>
      </c>
      <c r="K406" s="73">
        <v>4.5</v>
      </c>
      <c r="L406" s="73">
        <v>0</v>
      </c>
      <c r="M406" s="73">
        <v>0</v>
      </c>
      <c r="N406" s="73">
        <v>0</v>
      </c>
      <c r="O406" s="73" t="s">
        <v>1290</v>
      </c>
      <c r="P406" s="73" t="s">
        <v>709</v>
      </c>
      <c r="Q406" s="73" t="s">
        <v>709</v>
      </c>
      <c r="R406" s="73">
        <v>0</v>
      </c>
      <c r="S406" s="73">
        <v>0</v>
      </c>
      <c r="T406" s="73">
        <v>21</v>
      </c>
      <c r="U406" s="73">
        <v>2</v>
      </c>
      <c r="V406" s="73">
        <v>630</v>
      </c>
      <c r="W406" s="73">
        <v>0</v>
      </c>
      <c r="X406" s="73">
        <v>1</v>
      </c>
      <c r="Y406" s="73">
        <v>0</v>
      </c>
      <c r="Z406" s="73" t="s">
        <v>1717</v>
      </c>
      <c r="AA406" s="73" t="s">
        <v>690</v>
      </c>
      <c r="AB406" s="73" t="str">
        <f>IF(AA406&lt;&gt;"",INDEX(Lookup!$N$2:$N$5,MATCH(Players!AA406,Lookup!$P$2:$P$5,0)),INDEX(Lookup!$N$2:$N$5,MATCH(Players!O406,Lookup!$O$2:$O$5,0)))</f>
        <v>Goalkeeper</v>
      </c>
      <c r="AC406" s="73">
        <v>4500000</v>
      </c>
      <c r="AD406" s="73" t="s">
        <v>790</v>
      </c>
      <c r="AE406" s="73" t="str">
        <f>INDEX('Translate table'!$H$2:$H$622,MATCH(Players!P406,'Translate table'!$G$2:$G$622,0))</f>
        <v>Robin Olsen</v>
      </c>
      <c r="AF406" s="73">
        <f>IFERROR(INDEX('Euro Qual stats'!$A$1:$L$2071,MATCH(Players!$AE406,'Euro Qual stats'!$A$1:$A$2071,0),MATCH(Players!AF$2,'Euro Qual stats'!$A$1:$L$1,0)),0)</f>
        <v>9</v>
      </c>
      <c r="AG406" s="73">
        <f>IFERROR(INDEX('Euro Qual stats'!$A$1:$L$2071,MATCH(Players!$AE406,'Euro Qual stats'!$A$1:$A$2071,0),MATCH(Players!AG$2,'Euro Qual stats'!$A$1:$L$1,0)),0)</f>
        <v>0</v>
      </c>
      <c r="AH406" s="73">
        <f>IFERROR(INDEX('Euro Qual stats'!$A$1:$L$2071,MATCH(Players!$AE406,'Euro Qual stats'!$A$1:$A$2071,0),MATCH(Players!AH$2,'Euro Qual stats'!$A$1:$L$1,0)),0)</f>
        <v>0</v>
      </c>
      <c r="AI406" s="73">
        <f>IFERROR(INDEX('Euro Qual stats'!$A$1:$L$2071,MATCH(Players!$AE406,'Euro Qual stats'!$A$1:$A$2071,0),MATCH(Players!AI$2,'Euro Qual stats'!$A$1:$L$1,0)),0)</f>
        <v>0</v>
      </c>
      <c r="AJ406" s="93">
        <f>(12-AF406)/12*INDEX(BV$9:BV$12,MATCH($AB406,$BU$9:$BU$12,0))+AF406/12*AG406</f>
        <v>0</v>
      </c>
      <c r="AK406" s="93">
        <f>(12-AG406)/12*INDEX(BW$9:BW$12,MATCH($AB406,$BU$9:$BU$12,0))+AG406/12*AH406</f>
        <v>0</v>
      </c>
      <c r="AL406" s="93">
        <f>(12-AH406)/12*INDEX(BX$9:BX$12,MATCH($AB406,$BU$9:$BU$12,0))+AH406/12*AI406</f>
        <v>0</v>
      </c>
      <c r="AM406" s="93">
        <f>IF($BC406=1,AJ406/SUMIFS(AJ$3:AJ$623,$BC$3:$BC$623,1,$G$3:$G$623,$G406),0)</f>
        <v>0</v>
      </c>
      <c r="AN406" s="93">
        <f>IF($BC406=1,AK406/SUMIFS(AK$3:AK$623,$BC$3:$BC$623,1,$G$3:$G$623,$G406),0)</f>
        <v>0</v>
      </c>
      <c r="AO406" s="93">
        <f>IF($BC406=1,AL406/SUMIFS(AL$3:AL$623,$BC$3:$BC$623,1,$G$3:$G$623,$G406),0)</f>
        <v>0</v>
      </c>
      <c r="AP406" s="2">
        <f>IFERROR(R406/$V406*90,"")</f>
        <v>0</v>
      </c>
      <c r="AQ406" s="2">
        <f>IFERROR(S406/$V406*90,"")</f>
        <v>0</v>
      </c>
      <c r="AR406" s="2">
        <f>IFERROR(W406/$V406*90,"")</f>
        <v>0</v>
      </c>
      <c r="AS406" s="2">
        <f>IFERROR(X406/$V406*90,"")</f>
        <v>0.14285714285714285</v>
      </c>
      <c r="AT406" s="2">
        <f>IFERROR(Y406/$V406*90,"")</f>
        <v>0</v>
      </c>
      <c r="AU406" s="2">
        <f>IF(AP406="",INDEX(BV$4:BV$7,MATCH(O406,$BU$4:$BU$7,0)),AP406)</f>
        <v>0</v>
      </c>
      <c r="AV406" s="2">
        <f>IF(AQ406="",INDEX(BW$4:BW$7,MATCH($O406,$BU$4:$BU$7,0)),AQ406)</f>
        <v>0</v>
      </c>
      <c r="AW406" s="2">
        <f t="shared" si="72"/>
        <v>0</v>
      </c>
      <c r="AX406" s="2">
        <f t="shared" si="73"/>
        <v>0.14285714285714285</v>
      </c>
      <c r="AY406" s="2">
        <f t="shared" si="74"/>
        <v>0</v>
      </c>
      <c r="AZ406" s="2">
        <f>AU406*0.5+AK406*0.5</f>
        <v>0</v>
      </c>
      <c r="BA406" s="2">
        <f>AV406*0.5+AJ406*0.5</f>
        <v>0</v>
      </c>
      <c r="BB406" s="2">
        <f t="shared" si="75"/>
        <v>7.1428571428571425E-2</v>
      </c>
      <c r="BC406">
        <f>IF(I406="expected",1,0)</f>
        <v>0</v>
      </c>
      <c r="BD406" s="78">
        <f>IF(BC406=1,AZ406/SUMIFS(AZ$3:AZ$623,$BC$3:$BC$623,1,$G$3:$G$623,$G406),0)</f>
        <v>0</v>
      </c>
      <c r="BE406" s="78">
        <f>IF(BC406=1,BA406/SUMIFS(BA$3:BA$623,$BC$3:$BC$623,1,$G$3:$G$623,$G406),0)</f>
        <v>0</v>
      </c>
      <c r="BF406" s="78">
        <f t="shared" si="76"/>
        <v>0</v>
      </c>
      <c r="BG406" s="2">
        <f t="shared" si="77"/>
        <v>7.1428571428571425E-2</v>
      </c>
      <c r="BH406" s="2">
        <f t="shared" si="78"/>
        <v>0</v>
      </c>
      <c r="BI406" s="2">
        <f t="shared" si="79"/>
        <v>0</v>
      </c>
      <c r="BJ406" s="2">
        <f t="shared" si="80"/>
        <v>0</v>
      </c>
      <c r="BK406" s="2">
        <f t="shared" si="81"/>
        <v>0</v>
      </c>
      <c r="BL406" s="2">
        <f t="shared" si="82"/>
        <v>7.1428571428571425E-2</v>
      </c>
      <c r="BM406" s="2">
        <f t="shared" si="83"/>
        <v>0</v>
      </c>
      <c r="BN406" s="2">
        <f>BI406/SUMIFS(BI$3:BI$623,$BC$3:$BC$623,1,$G$3:$G$623,$G406)</f>
        <v>0</v>
      </c>
      <c r="BO406" s="2">
        <f>BJ406/SUMIFS(BJ$3:BJ$623,$BC$3:$BC$623,1,$G$3:$G$623,$G406)</f>
        <v>0</v>
      </c>
      <c r="BP406" s="2">
        <f>BK406/SUMIFS(BK$3:BK$623,$BC$3:$BC$623,1,$G$3:$G$623,$G406)</f>
        <v>0</v>
      </c>
      <c r="BQ406" s="2">
        <f>BL406</f>
        <v>7.1428571428571425E-2</v>
      </c>
      <c r="BR406" s="2">
        <f>BM406</f>
        <v>0</v>
      </c>
    </row>
    <row r="407" spans="1:70" hidden="1">
      <c r="A407" s="74">
        <v>0</v>
      </c>
      <c r="B407" s="73">
        <v>221503</v>
      </c>
      <c r="C407" s="73" t="s">
        <v>2596</v>
      </c>
      <c r="D407" s="73" t="s">
        <v>2597</v>
      </c>
      <c r="E407" s="73" t="s">
        <v>2598</v>
      </c>
      <c r="F407" s="73">
        <v>18564</v>
      </c>
      <c r="G407" s="73" t="s">
        <v>886</v>
      </c>
      <c r="H407" s="73" t="s">
        <v>919</v>
      </c>
      <c r="I407" s="73" t="s">
        <v>1012</v>
      </c>
      <c r="J407" s="73">
        <v>0</v>
      </c>
      <c r="K407" s="73">
        <v>4.5</v>
      </c>
      <c r="L407" s="73">
        <v>0</v>
      </c>
      <c r="M407" s="73">
        <v>0</v>
      </c>
      <c r="N407" s="73">
        <v>0</v>
      </c>
      <c r="O407" s="73" t="s">
        <v>1318</v>
      </c>
      <c r="P407" s="73" t="s">
        <v>2599</v>
      </c>
      <c r="Q407" s="73" t="s">
        <v>2600</v>
      </c>
      <c r="R407" s="73">
        <v>0</v>
      </c>
      <c r="S407" s="73">
        <v>1</v>
      </c>
      <c r="T407" s="73">
        <v>0</v>
      </c>
      <c r="U407" s="73">
        <v>5</v>
      </c>
      <c r="V407" s="73">
        <v>2535</v>
      </c>
      <c r="W407" s="73">
        <v>1</v>
      </c>
      <c r="X407" s="73">
        <v>4</v>
      </c>
      <c r="Y407" s="73">
        <v>0</v>
      </c>
      <c r="Z407" s="73" t="s">
        <v>1717</v>
      </c>
      <c r="AA407" s="73" t="s">
        <v>692</v>
      </c>
      <c r="AB407" s="73" t="str">
        <f>IF(AA407&lt;&gt;"",INDEX(Lookup!$N$2:$N$5,MATCH(Players!AA407,Lookup!$P$2:$P$5,0)),INDEX(Lookup!$N$2:$N$5,MATCH(Players!O407,Lookup!$O$2:$O$5,0)))</f>
        <v>Defense</v>
      </c>
      <c r="AC407" s="73">
        <v>2500000</v>
      </c>
      <c r="AD407" s="73" t="s">
        <v>788</v>
      </c>
      <c r="AE407" s="73" t="str">
        <f>INDEX('Translate table'!$H$2:$H$622,MATCH(Players!P407,'Translate table'!$G$2:$G$622,0))</f>
        <v>Pontus Jansson</v>
      </c>
      <c r="AF407" s="73">
        <f>IFERROR(INDEX('Euro Qual stats'!$A$1:$L$2071,MATCH(Players!$AE407,'Euro Qual stats'!$A$1:$A$2071,0),MATCH(Players!AF$2,'Euro Qual stats'!$A$1:$L$1,0)),0)</f>
        <v>3</v>
      </c>
      <c r="AG407" s="73">
        <f>IFERROR(INDEX('Euro Qual stats'!$A$1:$L$2071,MATCH(Players!$AE407,'Euro Qual stats'!$A$1:$A$2071,0),MATCH(Players!AG$2,'Euro Qual stats'!$A$1:$L$1,0)),0)</f>
        <v>0</v>
      </c>
      <c r="AH407" s="73">
        <f>IFERROR(INDEX('Euro Qual stats'!$A$1:$L$2071,MATCH(Players!$AE407,'Euro Qual stats'!$A$1:$A$2071,0),MATCH(Players!AH$2,'Euro Qual stats'!$A$1:$L$1,0)),0)</f>
        <v>0</v>
      </c>
      <c r="AI407" s="73">
        <f>IFERROR(INDEX('Euro Qual stats'!$A$1:$L$2071,MATCH(Players!$AE407,'Euro Qual stats'!$A$1:$A$2071,0),MATCH(Players!AI$2,'Euro Qual stats'!$A$1:$L$1,0)),0)</f>
        <v>0.33</v>
      </c>
      <c r="AJ407" s="93">
        <f>(12-AF407)/12*INDEX(BV$9:BV$12,MATCH($AB407,$BU$9:$BU$12,0))+AF407/12*AG407</f>
        <v>6.6881868131868152E-2</v>
      </c>
      <c r="AK407" s="93">
        <f>(12-AG407)/12*INDEX(BW$9:BW$12,MATCH($AB407,$BU$9:$BU$12,0))+AG407/12*AH407</f>
        <v>0.10357142857142858</v>
      </c>
      <c r="AL407" s="93">
        <f>(12-AH407)/12*INDEX(BX$9:BX$12,MATCH($AB407,$BU$9:$BU$12,0))+AH407/12*AI407</f>
        <v>0.19357142857142848</v>
      </c>
      <c r="AM407" s="93">
        <f>IF($BC407=1,AJ407/SUMIFS(AJ$3:AJ$623,$BC$3:$BC$623,1,$G$3:$G$623,$G407),0)</f>
        <v>0</v>
      </c>
      <c r="AN407" s="93">
        <f>IF($BC407=1,AK407/SUMIFS(AK$3:AK$623,$BC$3:$BC$623,1,$G$3:$G$623,$G407),0)</f>
        <v>0</v>
      </c>
      <c r="AO407" s="93">
        <f>IF($BC407=1,AL407/SUMIFS(AL$3:AL$623,$BC$3:$BC$623,1,$G$3:$G$623,$G407),0)</f>
        <v>0</v>
      </c>
      <c r="AP407" s="2">
        <f>IFERROR(R407/$V407*90,"")</f>
        <v>0</v>
      </c>
      <c r="AQ407" s="2">
        <f>IFERROR(S407/$V407*90,"")</f>
        <v>3.5502958579881658E-2</v>
      </c>
      <c r="AR407" s="2">
        <f>IFERROR(W407/$V407*90,"")</f>
        <v>3.5502958579881658E-2</v>
      </c>
      <c r="AS407" s="2">
        <f>IFERROR(X407/$V407*90,"")</f>
        <v>0.14201183431952663</v>
      </c>
      <c r="AT407" s="2">
        <f>IFERROR(Y407/$V407*90,"")</f>
        <v>0</v>
      </c>
      <c r="AU407" s="2">
        <f>IF(AP407="",INDEX(BV$4:BV$7,MATCH(O407,$BU$4:$BU$7,0)),AP407)</f>
        <v>0</v>
      </c>
      <c r="AV407" s="2">
        <f>IF(AQ407="",INDEX(BW$4:BW$7,MATCH($O407,$BU$4:$BU$7,0)),AQ407)</f>
        <v>3.5502958579881658E-2</v>
      </c>
      <c r="AW407" s="2">
        <f t="shared" si="72"/>
        <v>3.5502958579881658E-2</v>
      </c>
      <c r="AX407" s="2">
        <f t="shared" si="73"/>
        <v>0.14201183431952663</v>
      </c>
      <c r="AY407" s="2">
        <f t="shared" si="74"/>
        <v>0</v>
      </c>
      <c r="AZ407" s="2">
        <f>AU407*0.5+AK407*0.5</f>
        <v>5.1785714285714289E-2</v>
      </c>
      <c r="BA407" s="2">
        <f>AV407*0.5+AJ407*0.5</f>
        <v>5.1192413355874905E-2</v>
      </c>
      <c r="BB407" s="2">
        <f t="shared" si="75"/>
        <v>0.23600591715976332</v>
      </c>
      <c r="BC407">
        <f>IF(I407="expected",1,0)</f>
        <v>0</v>
      </c>
      <c r="BD407" s="78">
        <f>IF(BC407=1,AZ407/SUMIFS(AZ$3:AZ$623,$BC$3:$BC$623,1,$G$3:$G$623,$G407),0)</f>
        <v>0</v>
      </c>
      <c r="BE407" s="78">
        <f>IF(BC407=1,BA407/SUMIFS(BA$3:BA$623,$BC$3:$BC$623,1,$G$3:$G$623,$G407),0)</f>
        <v>0</v>
      </c>
      <c r="BF407" s="78">
        <f t="shared" si="76"/>
        <v>0</v>
      </c>
      <c r="BG407" s="2">
        <f t="shared" si="77"/>
        <v>0.23600591715976332</v>
      </c>
      <c r="BH407" s="2">
        <f t="shared" si="78"/>
        <v>0</v>
      </c>
      <c r="BI407" s="2">
        <f t="shared" si="79"/>
        <v>0</v>
      </c>
      <c r="BJ407" s="2">
        <f t="shared" si="80"/>
        <v>0</v>
      </c>
      <c r="BK407" s="2">
        <f t="shared" si="81"/>
        <v>0</v>
      </c>
      <c r="BL407" s="2">
        <f t="shared" si="82"/>
        <v>0.23600591715976332</v>
      </c>
      <c r="BM407" s="2">
        <f t="shared" si="83"/>
        <v>0</v>
      </c>
      <c r="BN407" s="2">
        <f>BI407/SUMIFS(BI$3:BI$623,$BC$3:$BC$623,1,$G$3:$G$623,$G407)</f>
        <v>0</v>
      </c>
      <c r="BO407" s="2">
        <f>BJ407/SUMIFS(BJ$3:BJ$623,$BC$3:$BC$623,1,$G$3:$G$623,$G407)</f>
        <v>0</v>
      </c>
      <c r="BP407" s="2">
        <f>BK407/SUMIFS(BK$3:BK$623,$BC$3:$BC$623,1,$G$3:$G$623,$G407)</f>
        <v>0</v>
      </c>
      <c r="BQ407" s="2">
        <f>BL407</f>
        <v>0.23600591715976332</v>
      </c>
      <c r="BR407" s="2">
        <f>BM407</f>
        <v>0</v>
      </c>
    </row>
    <row r="408" spans="1:70" hidden="1">
      <c r="A408" s="74">
        <v>0</v>
      </c>
      <c r="B408" s="73">
        <v>213458</v>
      </c>
      <c r="C408" s="73" t="s">
        <v>2601</v>
      </c>
      <c r="D408" s="73" t="s">
        <v>1966</v>
      </c>
      <c r="E408" s="73" t="s">
        <v>2602</v>
      </c>
      <c r="F408" s="73">
        <v>18564</v>
      </c>
      <c r="G408" s="73" t="s">
        <v>886</v>
      </c>
      <c r="H408" s="73" t="s">
        <v>919</v>
      </c>
      <c r="I408" s="73" t="s">
        <v>1012</v>
      </c>
      <c r="J408" s="73">
        <v>0</v>
      </c>
      <c r="K408" s="73">
        <v>4.5</v>
      </c>
      <c r="L408" s="73">
        <v>0</v>
      </c>
      <c r="M408" s="73">
        <v>0</v>
      </c>
      <c r="N408" s="73">
        <v>0</v>
      </c>
      <c r="O408" s="73" t="s">
        <v>1318</v>
      </c>
      <c r="P408" s="73" t="s">
        <v>2603</v>
      </c>
      <c r="Q408" s="73" t="s">
        <v>2604</v>
      </c>
      <c r="R408" s="73">
        <v>2</v>
      </c>
      <c r="S408" s="73">
        <v>2</v>
      </c>
      <c r="T408" s="73">
        <v>0</v>
      </c>
      <c r="U408" s="73">
        <v>4</v>
      </c>
      <c r="V408" s="73">
        <v>2274</v>
      </c>
      <c r="W408" s="73">
        <v>4</v>
      </c>
      <c r="X408" s="73">
        <v>3</v>
      </c>
      <c r="Y408" s="73">
        <v>1</v>
      </c>
      <c r="Z408" s="73" t="s">
        <v>1717</v>
      </c>
      <c r="AA408" s="73" t="s">
        <v>692</v>
      </c>
      <c r="AB408" s="73" t="str">
        <f>IF(AA408&lt;&gt;"",INDEX(Lookup!$N$2:$N$5,MATCH(Players!AA408,Lookup!$P$2:$P$5,0)),INDEX(Lookup!$N$2:$N$5,MATCH(Players!O408,Lookup!$O$2:$O$5,0)))</f>
        <v>Defense</v>
      </c>
      <c r="AC408" s="73">
        <v>2000000</v>
      </c>
      <c r="AD408" s="73" t="s">
        <v>793</v>
      </c>
      <c r="AE408" s="73" t="str">
        <f>INDEX('Translate table'!$H$2:$H$622,MATCH(Players!P408,'Translate table'!$G$2:$G$622,0))</f>
        <v>Andreas Granqvist</v>
      </c>
      <c r="AF408" s="73">
        <f>IFERROR(INDEX('Euro Qual stats'!$A$1:$L$2071,MATCH(Players!$AE408,'Euro Qual stats'!$A$1:$A$2071,0),MATCH(Players!AF$2,'Euro Qual stats'!$A$1:$L$1,0)),0)</f>
        <v>7</v>
      </c>
      <c r="AG408" s="73">
        <f>IFERROR(INDEX('Euro Qual stats'!$A$1:$L$2071,MATCH(Players!$AE408,'Euro Qual stats'!$A$1:$A$2071,0),MATCH(Players!AG$2,'Euro Qual stats'!$A$1:$L$1,0)),0)</f>
        <v>0</v>
      </c>
      <c r="AH408" s="73">
        <f>IFERROR(INDEX('Euro Qual stats'!$A$1:$L$2071,MATCH(Players!$AE408,'Euro Qual stats'!$A$1:$A$2071,0),MATCH(Players!AH$2,'Euro Qual stats'!$A$1:$L$1,0)),0)</f>
        <v>0</v>
      </c>
      <c r="AI408" s="73">
        <f>IFERROR(INDEX('Euro Qual stats'!$A$1:$L$2071,MATCH(Players!$AE408,'Euro Qual stats'!$A$1:$A$2071,0),MATCH(Players!AI$2,'Euro Qual stats'!$A$1:$L$1,0)),0)</f>
        <v>0</v>
      </c>
      <c r="AJ408" s="93">
        <f>(12-AF408)/12*INDEX(BV$9:BV$12,MATCH($AB408,$BU$9:$BU$12,0))+AF408/12*AG408</f>
        <v>3.715659340659342E-2</v>
      </c>
      <c r="AK408" s="93">
        <f>(12-AG408)/12*INDEX(BW$9:BW$12,MATCH($AB408,$BU$9:$BU$12,0))+AG408/12*AH408</f>
        <v>0.10357142857142858</v>
      </c>
      <c r="AL408" s="93">
        <f>(12-AH408)/12*INDEX(BX$9:BX$12,MATCH($AB408,$BU$9:$BU$12,0))+AH408/12*AI408</f>
        <v>0.19357142857142848</v>
      </c>
      <c r="AM408" s="93">
        <f>IF($BC408=1,AJ408/SUMIFS(AJ$3:AJ$623,$BC$3:$BC$623,1,$G$3:$G$623,$G408),0)</f>
        <v>0</v>
      </c>
      <c r="AN408" s="93">
        <f>IF($BC408=1,AK408/SUMIFS(AK$3:AK$623,$BC$3:$BC$623,1,$G$3:$G$623,$G408),0)</f>
        <v>0</v>
      </c>
      <c r="AO408" s="93">
        <f>IF($BC408=1,AL408/SUMIFS(AL$3:AL$623,$BC$3:$BC$623,1,$G$3:$G$623,$G408),0)</f>
        <v>0</v>
      </c>
      <c r="AP408" s="2">
        <f>IFERROR(R408/$V408*90,"")</f>
        <v>7.9155672823219003E-2</v>
      </c>
      <c r="AQ408" s="2">
        <f>IFERROR(S408/$V408*90,"")</f>
        <v>7.9155672823219003E-2</v>
      </c>
      <c r="AR408" s="2">
        <f>IFERROR(W408/$V408*90,"")</f>
        <v>0.15831134564643801</v>
      </c>
      <c r="AS408" s="2">
        <f>IFERROR(X408/$V408*90,"")</f>
        <v>0.11873350923482849</v>
      </c>
      <c r="AT408" s="2">
        <f>IFERROR(Y408/$V408*90,"")</f>
        <v>3.9577836411609502E-2</v>
      </c>
      <c r="AU408" s="2">
        <f>IF(AP408="",INDEX(BV$4:BV$7,MATCH(O408,$BU$4:$BU$7,0)),AP408)</f>
        <v>7.9155672823219003E-2</v>
      </c>
      <c r="AV408" s="2">
        <f>IF(AQ408="",INDEX(BW$4:BW$7,MATCH($O408,$BU$4:$BU$7,0)),AQ408)</f>
        <v>7.9155672823219003E-2</v>
      </c>
      <c r="AW408" s="2">
        <f t="shared" si="72"/>
        <v>0.15831134564643801</v>
      </c>
      <c r="AX408" s="2">
        <f t="shared" si="73"/>
        <v>0.11873350923482849</v>
      </c>
      <c r="AY408" s="2">
        <f t="shared" si="74"/>
        <v>3.9577836411609502E-2</v>
      </c>
      <c r="AZ408" s="2">
        <f>AU408*0.5+AK408*0.5</f>
        <v>9.1363550697323798E-2</v>
      </c>
      <c r="BA408" s="2">
        <f>AV408*0.5+AJ408*0.5</f>
        <v>5.8156133114906208E-2</v>
      </c>
      <c r="BB408" s="2">
        <f t="shared" si="75"/>
        <v>5.9366754617414245E-2</v>
      </c>
      <c r="BC408">
        <f>IF(I408="expected",1,0)</f>
        <v>0</v>
      </c>
      <c r="BD408" s="78">
        <f>IF(BC408=1,AZ408/SUMIFS(AZ$3:AZ$623,$BC$3:$BC$623,1,$G$3:$G$623,$G408),0)</f>
        <v>0</v>
      </c>
      <c r="BE408" s="78">
        <f>IF(BC408=1,BA408/SUMIFS(BA$3:BA$623,$BC$3:$BC$623,1,$G$3:$G$623,$G408),0)</f>
        <v>0</v>
      </c>
      <c r="BF408" s="78">
        <f t="shared" si="76"/>
        <v>0</v>
      </c>
      <c r="BG408" s="2">
        <f t="shared" si="77"/>
        <v>5.9366754617414245E-2</v>
      </c>
      <c r="BH408" s="2">
        <f t="shared" si="78"/>
        <v>3.9577836411609502E-2</v>
      </c>
      <c r="BI408" s="2">
        <f t="shared" si="79"/>
        <v>0</v>
      </c>
      <c r="BJ408" s="2">
        <f t="shared" si="80"/>
        <v>0</v>
      </c>
      <c r="BK408" s="2">
        <f t="shared" si="81"/>
        <v>0</v>
      </c>
      <c r="BL408" s="2">
        <f t="shared" si="82"/>
        <v>5.9366754617414245E-2</v>
      </c>
      <c r="BM408" s="2">
        <f t="shared" si="83"/>
        <v>3.9577836411609502E-2</v>
      </c>
      <c r="BN408" s="2">
        <f>BI408/SUMIFS(BI$3:BI$623,$BC$3:$BC$623,1,$G$3:$G$623,$G408)</f>
        <v>0</v>
      </c>
      <c r="BO408" s="2">
        <f>BJ408/SUMIFS(BJ$3:BJ$623,$BC$3:$BC$623,1,$G$3:$G$623,$G408)</f>
        <v>0</v>
      </c>
      <c r="BP408" s="2">
        <f>BK408/SUMIFS(BK$3:BK$623,$BC$3:$BC$623,1,$G$3:$G$623,$G408)</f>
        <v>0</v>
      </c>
      <c r="BQ408" s="2">
        <f>BL408</f>
        <v>5.9366754617414245E-2</v>
      </c>
      <c r="BR408" s="2">
        <f>BM408</f>
        <v>3.9577836411609502E-2</v>
      </c>
    </row>
    <row r="409" spans="1:70" hidden="1">
      <c r="A409" s="74">
        <v>0</v>
      </c>
      <c r="B409" s="73">
        <v>204989</v>
      </c>
      <c r="C409" s="73" t="s">
        <v>2605</v>
      </c>
      <c r="D409" s="73" t="s">
        <v>2606</v>
      </c>
      <c r="E409" s="73" t="s">
        <v>2607</v>
      </c>
      <c r="F409" s="73">
        <v>18564</v>
      </c>
      <c r="G409" s="73" t="s">
        <v>886</v>
      </c>
      <c r="H409" s="73" t="s">
        <v>919</v>
      </c>
      <c r="I409" s="73" t="s">
        <v>981</v>
      </c>
      <c r="J409" s="73">
        <v>0</v>
      </c>
      <c r="K409" s="73">
        <v>4.5</v>
      </c>
      <c r="L409" s="73">
        <v>0</v>
      </c>
      <c r="M409" s="73">
        <v>0</v>
      </c>
      <c r="N409" s="73">
        <v>0</v>
      </c>
      <c r="O409" s="73" t="s">
        <v>1318</v>
      </c>
      <c r="P409" s="73" t="s">
        <v>2608</v>
      </c>
      <c r="Q409" s="73" t="s">
        <v>2608</v>
      </c>
      <c r="R409" s="73">
        <v>0</v>
      </c>
      <c r="S409" s="73">
        <v>4</v>
      </c>
      <c r="T409" s="73">
        <v>0</v>
      </c>
      <c r="U409" s="73">
        <v>3</v>
      </c>
      <c r="V409" s="73">
        <v>1960</v>
      </c>
      <c r="W409" s="73">
        <v>5</v>
      </c>
      <c r="X409" s="73">
        <v>4</v>
      </c>
      <c r="Y409" s="73">
        <v>0</v>
      </c>
      <c r="Z409" s="73" t="s">
        <v>1717</v>
      </c>
      <c r="AA409" s="73" t="s">
        <v>692</v>
      </c>
      <c r="AB409" s="73" t="str">
        <f>IF(AA409&lt;&gt;"",INDEX(Lookup!$N$2:$N$5,MATCH(Players!AA409,Lookup!$P$2:$P$5,0)),INDEX(Lookup!$N$2:$N$5,MATCH(Players!O409,Lookup!$O$2:$O$5,0)))</f>
        <v>Defense</v>
      </c>
      <c r="AC409" s="73">
        <v>3500000</v>
      </c>
      <c r="AD409" s="73" t="s">
        <v>790</v>
      </c>
      <c r="AE409" s="73" t="str">
        <f>INDEX('Translate table'!$H$2:$H$622,MATCH(Players!P409,'Translate table'!$G$2:$G$622,0))</f>
        <v>Ludwig Augustinsson</v>
      </c>
      <c r="AF409" s="73">
        <f>IFERROR(INDEX('Euro Qual stats'!$A$1:$L$2071,MATCH(Players!$AE409,'Euro Qual stats'!$A$1:$A$2071,0),MATCH(Players!AF$2,'Euro Qual stats'!$A$1:$L$1,0)),0)</f>
        <v>4</v>
      </c>
      <c r="AG409" s="73">
        <f>IFERROR(INDEX('Euro Qual stats'!$A$1:$L$2071,MATCH(Players!$AE409,'Euro Qual stats'!$A$1:$A$2071,0),MATCH(Players!AG$2,'Euro Qual stats'!$A$1:$L$1,0)),0)</f>
        <v>0</v>
      </c>
      <c r="AH409" s="73">
        <f>IFERROR(INDEX('Euro Qual stats'!$A$1:$L$2071,MATCH(Players!$AE409,'Euro Qual stats'!$A$1:$A$2071,0),MATCH(Players!AH$2,'Euro Qual stats'!$A$1:$L$1,0)),0)</f>
        <v>0</v>
      </c>
      <c r="AI409" s="73">
        <f>IFERROR(INDEX('Euro Qual stats'!$A$1:$L$2071,MATCH(Players!$AE409,'Euro Qual stats'!$A$1:$A$2071,0),MATCH(Players!AI$2,'Euro Qual stats'!$A$1:$L$1,0)),0)</f>
        <v>0</v>
      </c>
      <c r="AJ409" s="93">
        <f>(12-AF409)/12*INDEX(BV$9:BV$12,MATCH($AB409,$BU$9:$BU$12,0))+AF409/12*AG409</f>
        <v>5.9450549450549464E-2</v>
      </c>
      <c r="AK409" s="93">
        <f>(12-AG409)/12*INDEX(BW$9:BW$12,MATCH($AB409,$BU$9:$BU$12,0))+AG409/12*AH409</f>
        <v>0.10357142857142858</v>
      </c>
      <c r="AL409" s="93">
        <f>(12-AH409)/12*INDEX(BX$9:BX$12,MATCH($AB409,$BU$9:$BU$12,0))+AH409/12*AI409</f>
        <v>0.19357142857142848</v>
      </c>
      <c r="AM409" s="93">
        <f>IF($BC409=1,AJ409/SUMIFS(AJ$3:AJ$623,$BC$3:$BC$623,1,$G$3:$G$623,$G409),0)</f>
        <v>4.6586713861844042E-2</v>
      </c>
      <c r="AN409" s="93">
        <f>IF($BC409=1,AK409/SUMIFS(AK$3:AK$623,$BC$3:$BC$623,1,$G$3:$G$623,$G409),0)</f>
        <v>4.7916189130799092E-2</v>
      </c>
      <c r="AO409" s="93">
        <f>IF($BC409=1,AL409/SUMIFS(AL$3:AL$623,$BC$3:$BC$623,1,$G$3:$G$623,$G409),0)</f>
        <v>0.10619324793606214</v>
      </c>
      <c r="AP409" s="2">
        <f>IFERROR(R409/$V409*90,"")</f>
        <v>0</v>
      </c>
      <c r="AQ409" s="2">
        <f>IFERROR(S409/$V409*90,"")</f>
        <v>0.18367346938775511</v>
      </c>
      <c r="AR409" s="2">
        <f>IFERROR(W409/$V409*90,"")</f>
        <v>0.22959183673469385</v>
      </c>
      <c r="AS409" s="2">
        <f>IFERROR(X409/$V409*90,"")</f>
        <v>0.18367346938775511</v>
      </c>
      <c r="AT409" s="2">
        <f>IFERROR(Y409/$V409*90,"")</f>
        <v>0</v>
      </c>
      <c r="AU409" s="2">
        <f>IF(AP409="",INDEX(BV$4:BV$7,MATCH(O409,$BU$4:$BU$7,0)),AP409)</f>
        <v>0</v>
      </c>
      <c r="AV409" s="2">
        <f>IF(AQ409="",INDEX(BW$4:BW$7,MATCH($O409,$BU$4:$BU$7,0)),AQ409)</f>
        <v>0.18367346938775511</v>
      </c>
      <c r="AW409" s="2">
        <f t="shared" si="72"/>
        <v>0.22959183673469385</v>
      </c>
      <c r="AX409" s="2">
        <f t="shared" si="73"/>
        <v>0.18367346938775511</v>
      </c>
      <c r="AY409" s="2">
        <f t="shared" si="74"/>
        <v>0</v>
      </c>
      <c r="AZ409" s="2">
        <f>AU409*0.5+AK409*0.5</f>
        <v>5.1785714285714289E-2</v>
      </c>
      <c r="BA409" s="2">
        <f>AV409*0.5+AJ409*0.5</f>
        <v>0.12156200941915229</v>
      </c>
      <c r="BB409" s="2">
        <f t="shared" si="75"/>
        <v>9.1836734693877556E-2</v>
      </c>
      <c r="BC409">
        <f>IF(I409="expected",1,0)</f>
        <v>1</v>
      </c>
      <c r="BD409" s="78">
        <f>IF(BC409=1,AZ409/SUMIFS(AZ$3:AZ$623,$BC$3:$BC$623,1,$G$3:$G$623,$G409),0)</f>
        <v>3.2752092957052809E-2</v>
      </c>
      <c r="BE409" s="78">
        <f>IF(BC409=1,BA409/SUMIFS(BA$3:BA$623,$BC$3:$BC$623,1,$G$3:$G$623,$G409),0)</f>
        <v>0.1353372105781705</v>
      </c>
      <c r="BF409" s="78">
        <f t="shared" si="76"/>
        <v>7.1390423771773848E-2</v>
      </c>
      <c r="BG409" s="2">
        <f t="shared" si="77"/>
        <v>9.1836734693877556E-2</v>
      </c>
      <c r="BH409" s="2">
        <f t="shared" si="78"/>
        <v>0</v>
      </c>
      <c r="BI409" s="2">
        <f t="shared" si="79"/>
        <v>3.2752092957052809E-2</v>
      </c>
      <c r="BJ409" s="2">
        <f t="shared" si="80"/>
        <v>0.1353372105781705</v>
      </c>
      <c r="BK409" s="2">
        <f t="shared" si="81"/>
        <v>7.1390423771773848E-2</v>
      </c>
      <c r="BL409" s="2">
        <f t="shared" si="82"/>
        <v>9.1836734693877556E-2</v>
      </c>
      <c r="BM409" s="2">
        <f t="shared" si="83"/>
        <v>0</v>
      </c>
      <c r="BN409" s="2">
        <f>BI409/SUMIFS(BI$3:BI$623,$BC$3:$BC$623,1,$G$3:$G$623,$G409)</f>
        <v>3.3554916284309559E-2</v>
      </c>
      <c r="BO409" s="2">
        <f>BJ409/SUMIFS(BJ$3:BJ$623,$BC$3:$BC$623,1,$G$3:$G$623,$G409)</f>
        <v>0.1353372105781705</v>
      </c>
      <c r="BP409" s="2">
        <f>BK409/SUMIFS(BK$3:BK$623,$BC$3:$BC$623,1,$G$3:$G$623,$G409)</f>
        <v>8.9043256413469038E-2</v>
      </c>
      <c r="BQ409" s="2">
        <f>BL409</f>
        <v>9.1836734693877556E-2</v>
      </c>
      <c r="BR409" s="2">
        <f>BM409</f>
        <v>0</v>
      </c>
    </row>
    <row r="410" spans="1:70" hidden="1">
      <c r="A410" s="74">
        <v>0</v>
      </c>
      <c r="B410" s="73">
        <v>204812</v>
      </c>
      <c r="C410" s="73" t="s">
        <v>2609</v>
      </c>
      <c r="D410" s="73" t="s">
        <v>2610</v>
      </c>
      <c r="E410" s="73" t="s">
        <v>2611</v>
      </c>
      <c r="F410" s="73">
        <v>18564</v>
      </c>
      <c r="G410" s="73" t="s">
        <v>886</v>
      </c>
      <c r="H410" s="73" t="s">
        <v>919</v>
      </c>
      <c r="I410" s="73" t="s">
        <v>981</v>
      </c>
      <c r="J410" s="73">
        <v>0</v>
      </c>
      <c r="K410" s="73">
        <v>4.5</v>
      </c>
      <c r="L410" s="73">
        <v>0</v>
      </c>
      <c r="M410" s="73">
        <v>0</v>
      </c>
      <c r="N410" s="73">
        <v>0</v>
      </c>
      <c r="O410" s="73" t="s">
        <v>1318</v>
      </c>
      <c r="P410" s="73" t="s">
        <v>169</v>
      </c>
      <c r="Q410" s="73" t="s">
        <v>414</v>
      </c>
      <c r="R410" s="73">
        <v>1</v>
      </c>
      <c r="S410" s="73">
        <v>1</v>
      </c>
      <c r="T410" s="73">
        <v>0</v>
      </c>
      <c r="U410" s="73">
        <v>10</v>
      </c>
      <c r="V410" s="73">
        <v>2586</v>
      </c>
      <c r="W410" s="73">
        <v>1</v>
      </c>
      <c r="X410" s="73">
        <v>0</v>
      </c>
      <c r="Y410" s="73">
        <v>0</v>
      </c>
      <c r="Z410" s="73" t="s">
        <v>1717</v>
      </c>
      <c r="AA410" s="73" t="s">
        <v>692</v>
      </c>
      <c r="AB410" s="73" t="str">
        <f>IF(AA410&lt;&gt;"",INDEX(Lookup!$N$2:$N$5,MATCH(Players!AA410,Lookup!$P$2:$P$5,0)),INDEX(Lookup!$N$2:$N$5,MATCH(Players!O410,Lookup!$O$2:$O$5,0)))</f>
        <v>Defense</v>
      </c>
      <c r="AC410" s="73">
        <v>3500000</v>
      </c>
      <c r="AD410" s="73" t="s">
        <v>793</v>
      </c>
      <c r="AE410" s="73" t="str">
        <f>INDEX('Translate table'!$H$2:$H$622,MATCH(Players!P410,'Translate table'!$G$2:$G$622,0))</f>
        <v>Victor Nilsson LindelÃ¶f</v>
      </c>
      <c r="AF410" s="73">
        <f>IFERROR(INDEX('Euro Qual stats'!$A$1:$L$2071,MATCH(Players!$AE410,'Euro Qual stats'!$A$1:$A$2071,0),MATCH(Players!AF$2,'Euro Qual stats'!$A$1:$L$1,0)),0)</f>
        <v>4</v>
      </c>
      <c r="AG410" s="73">
        <f>IFERROR(INDEX('Euro Qual stats'!$A$1:$L$2071,MATCH(Players!$AE410,'Euro Qual stats'!$A$1:$A$2071,0),MATCH(Players!AG$2,'Euro Qual stats'!$A$1:$L$1,0)),0)</f>
        <v>0</v>
      </c>
      <c r="AH410" s="73">
        <f>IFERROR(INDEX('Euro Qual stats'!$A$1:$L$2071,MATCH(Players!$AE410,'Euro Qual stats'!$A$1:$A$2071,0),MATCH(Players!AH$2,'Euro Qual stats'!$A$1:$L$1,0)),0)</f>
        <v>0.25</v>
      </c>
      <c r="AI410" s="73">
        <f>IFERROR(INDEX('Euro Qual stats'!$A$1:$L$2071,MATCH(Players!$AE410,'Euro Qual stats'!$A$1:$A$2071,0),MATCH(Players!AI$2,'Euro Qual stats'!$A$1:$L$1,0)),0)</f>
        <v>0.5</v>
      </c>
      <c r="AJ410" s="93">
        <f>(12-AF410)/12*INDEX(BV$9:BV$12,MATCH($AB410,$BU$9:$BU$12,0))+AF410/12*AG410</f>
        <v>5.9450549450549464E-2</v>
      </c>
      <c r="AK410" s="93">
        <f>(12-AG410)/12*INDEX(BW$9:BW$12,MATCH($AB410,$BU$9:$BU$12,0))+AG410/12*AH410</f>
        <v>0.10357142857142858</v>
      </c>
      <c r="AL410" s="93">
        <f>(12-AH410)/12*INDEX(BX$9:BX$12,MATCH($AB410,$BU$9:$BU$12,0))+AH410/12*AI410</f>
        <v>0.19995535714285703</v>
      </c>
      <c r="AM410" s="93">
        <f>IF($BC410=1,AJ410/SUMIFS(AJ$3:AJ$623,$BC$3:$BC$623,1,$G$3:$G$623,$G410),0)</f>
        <v>4.6586713861844042E-2</v>
      </c>
      <c r="AN410" s="93">
        <f>IF($BC410=1,AK410/SUMIFS(AK$3:AK$623,$BC$3:$BC$623,1,$G$3:$G$623,$G410),0)</f>
        <v>4.7916189130799092E-2</v>
      </c>
      <c r="AO410" s="93">
        <f>IF($BC410=1,AL410/SUMIFS(AL$3:AL$623,$BC$3:$BC$623,1,$G$3:$G$623,$G410),0)</f>
        <v>0.10969546990443318</v>
      </c>
      <c r="AP410" s="2">
        <f>IFERROR(R410/$V410*90,"")</f>
        <v>3.4802784222737818E-2</v>
      </c>
      <c r="AQ410" s="2">
        <f>IFERROR(S410/$V410*90,"")</f>
        <v>3.4802784222737818E-2</v>
      </c>
      <c r="AR410" s="2">
        <f>IFERROR(W410/$V410*90,"")</f>
        <v>3.4802784222737818E-2</v>
      </c>
      <c r="AS410" s="2">
        <f>IFERROR(X410/$V410*90,"")</f>
        <v>0</v>
      </c>
      <c r="AT410" s="2">
        <f>IFERROR(Y410/$V410*90,"")</f>
        <v>0</v>
      </c>
      <c r="AU410" s="2">
        <f>IF(AP410="",INDEX(BV$4:BV$7,MATCH(O410,$BU$4:$BU$7,0)),AP410)</f>
        <v>3.4802784222737818E-2</v>
      </c>
      <c r="AV410" s="2">
        <f>IF(AQ410="",INDEX(BW$4:BW$7,MATCH($O410,$BU$4:$BU$7,0)),AQ410)</f>
        <v>3.4802784222737818E-2</v>
      </c>
      <c r="AW410" s="2">
        <f t="shared" si="72"/>
        <v>3.4802784222737818E-2</v>
      </c>
      <c r="AX410" s="2">
        <f t="shared" si="73"/>
        <v>0</v>
      </c>
      <c r="AY410" s="2">
        <f t="shared" si="74"/>
        <v>0</v>
      </c>
      <c r="AZ410" s="2">
        <f>AU410*0.5+AK410*0.5</f>
        <v>6.9187106397083198E-2</v>
      </c>
      <c r="BA410" s="2">
        <f>AV410*0.5+AJ410*0.5</f>
        <v>4.7126666836643641E-2</v>
      </c>
      <c r="BB410" s="2">
        <f t="shared" si="75"/>
        <v>0.25</v>
      </c>
      <c r="BC410">
        <f>IF(I410="expected",1,0)</f>
        <v>1</v>
      </c>
      <c r="BD410" s="78">
        <f>IF(BC410=1,AZ410/SUMIFS(AZ$3:AZ$623,$BC$3:$BC$623,1,$G$3:$G$623,$G410),0)</f>
        <v>4.3757676637316972E-2</v>
      </c>
      <c r="BE410" s="78">
        <f>IF(BC410=1,BA410/SUMIFS(BA$3:BA$623,$BC$3:$BC$623,1,$G$3:$G$623,$G410),0)</f>
        <v>5.2466980958882227E-2</v>
      </c>
      <c r="BF410" s="78">
        <f t="shared" si="76"/>
        <v>1.0821750239186136E-2</v>
      </c>
      <c r="BG410" s="2">
        <f t="shared" si="77"/>
        <v>0.25</v>
      </c>
      <c r="BH410" s="2">
        <f t="shared" si="78"/>
        <v>0</v>
      </c>
      <c r="BI410" s="2">
        <f t="shared" si="79"/>
        <v>4.3757676637316972E-2</v>
      </c>
      <c r="BJ410" s="2">
        <f t="shared" si="80"/>
        <v>5.2466980958882227E-2</v>
      </c>
      <c r="BK410" s="2">
        <f t="shared" si="81"/>
        <v>1.0821750239186136E-2</v>
      </c>
      <c r="BL410" s="2">
        <f t="shared" si="82"/>
        <v>0.25</v>
      </c>
      <c r="BM410" s="2">
        <f t="shared" si="83"/>
        <v>0</v>
      </c>
      <c r="BN410" s="2">
        <f>BI410/SUMIFS(BI$3:BI$623,$BC$3:$BC$623,1,$G$3:$G$623,$G410)</f>
        <v>4.4830270184149555E-2</v>
      </c>
      <c r="BO410" s="2">
        <f>BJ410/SUMIFS(BJ$3:BJ$623,$BC$3:$BC$623,1,$G$3:$G$623,$G410)</f>
        <v>5.2466980958882227E-2</v>
      </c>
      <c r="BP410" s="2">
        <f>BK410/SUMIFS(BK$3:BK$623,$BC$3:$BC$623,1,$G$3:$G$623,$G410)</f>
        <v>1.3497662998484091E-2</v>
      </c>
      <c r="BQ410" s="2">
        <f>BL410</f>
        <v>0.25</v>
      </c>
      <c r="BR410" s="2">
        <f>BM410</f>
        <v>0</v>
      </c>
    </row>
    <row r="411" spans="1:70" hidden="1">
      <c r="A411" s="74">
        <v>0</v>
      </c>
      <c r="B411" s="73">
        <v>204808</v>
      </c>
      <c r="C411" s="73" t="s">
        <v>2612</v>
      </c>
      <c r="D411" s="73" t="s">
        <v>1939</v>
      </c>
      <c r="E411" s="73" t="s">
        <v>2613</v>
      </c>
      <c r="F411" s="73">
        <v>18564</v>
      </c>
      <c r="G411" s="73" t="s">
        <v>886</v>
      </c>
      <c r="H411" s="73" t="s">
        <v>919</v>
      </c>
      <c r="I411" s="73" t="s">
        <v>1012</v>
      </c>
      <c r="J411" s="73">
        <v>0</v>
      </c>
      <c r="K411" s="73">
        <v>4.5</v>
      </c>
      <c r="L411" s="73">
        <v>0</v>
      </c>
      <c r="M411" s="73">
        <v>0</v>
      </c>
      <c r="N411" s="73">
        <v>0</v>
      </c>
      <c r="O411" s="73" t="s">
        <v>1318</v>
      </c>
      <c r="P411" s="73" t="s">
        <v>306</v>
      </c>
      <c r="Q411" s="73" t="s">
        <v>306</v>
      </c>
      <c r="R411" s="73">
        <v>1</v>
      </c>
      <c r="S411" s="73">
        <v>0</v>
      </c>
      <c r="T411" s="73">
        <v>0</v>
      </c>
      <c r="U411" s="73">
        <v>2</v>
      </c>
      <c r="V411" s="73">
        <v>1291</v>
      </c>
      <c r="W411" s="73">
        <v>3</v>
      </c>
      <c r="X411" s="73">
        <v>4</v>
      </c>
      <c r="Y411" s="73">
        <v>0</v>
      </c>
      <c r="Z411" s="73" t="s">
        <v>1717</v>
      </c>
      <c r="AA411" s="73" t="s">
        <v>692</v>
      </c>
      <c r="AB411" s="73" t="str">
        <f>IF(AA411&lt;&gt;"",INDEX(Lookup!$N$2:$N$5,MATCH(Players!AA411,Lookup!$P$2:$P$5,0)),INDEX(Lookup!$N$2:$N$5,MATCH(Players!O411,Lookup!$O$2:$O$5,0)))</f>
        <v>Defense</v>
      </c>
      <c r="AC411" s="73">
        <v>2500000</v>
      </c>
      <c r="AD411" s="73" t="s">
        <v>788</v>
      </c>
      <c r="AE411" s="73" t="str">
        <f>INDEX('Translate table'!$H$2:$H$622,MATCH(Players!P411,'Translate table'!$G$2:$G$622,0))</f>
        <v>Emil Krafth</v>
      </c>
      <c r="AF411" s="73">
        <f>IFERROR(INDEX('Euro Qual stats'!$A$1:$L$2071,MATCH(Players!$AE411,'Euro Qual stats'!$A$1:$A$2071,0),MATCH(Players!AF$2,'Euro Qual stats'!$A$1:$L$1,0)),0)</f>
        <v>3</v>
      </c>
      <c r="AG411" s="73">
        <f>IFERROR(INDEX('Euro Qual stats'!$A$1:$L$2071,MATCH(Players!$AE411,'Euro Qual stats'!$A$1:$A$2071,0),MATCH(Players!AG$2,'Euro Qual stats'!$A$1:$L$1,0)),0)</f>
        <v>0</v>
      </c>
      <c r="AH411" s="73">
        <f>IFERROR(INDEX('Euro Qual stats'!$A$1:$L$2071,MATCH(Players!$AE411,'Euro Qual stats'!$A$1:$A$2071,0),MATCH(Players!AH$2,'Euro Qual stats'!$A$1:$L$1,0)),0)</f>
        <v>0</v>
      </c>
      <c r="AI411" s="73">
        <f>IFERROR(INDEX('Euro Qual stats'!$A$1:$L$2071,MATCH(Players!$AE411,'Euro Qual stats'!$A$1:$A$2071,0),MATCH(Players!AI$2,'Euro Qual stats'!$A$1:$L$1,0)),0)</f>
        <v>0.45</v>
      </c>
      <c r="AJ411" s="93">
        <f>(12-AF411)/12*INDEX(BV$9:BV$12,MATCH($AB411,$BU$9:$BU$12,0))+AF411/12*AG411</f>
        <v>6.6881868131868152E-2</v>
      </c>
      <c r="AK411" s="93">
        <f>(12-AG411)/12*INDEX(BW$9:BW$12,MATCH($AB411,$BU$9:$BU$12,0))+AG411/12*AH411</f>
        <v>0.10357142857142858</v>
      </c>
      <c r="AL411" s="93">
        <f>(12-AH411)/12*INDEX(BX$9:BX$12,MATCH($AB411,$BU$9:$BU$12,0))+AH411/12*AI411</f>
        <v>0.19357142857142848</v>
      </c>
      <c r="AM411" s="93">
        <f>IF($BC411=1,AJ411/SUMIFS(AJ$3:AJ$623,$BC$3:$BC$623,1,$G$3:$G$623,$G411),0)</f>
        <v>0</v>
      </c>
      <c r="AN411" s="93">
        <f>IF($BC411=1,AK411/SUMIFS(AK$3:AK$623,$BC$3:$BC$623,1,$G$3:$G$623,$G411),0)</f>
        <v>0</v>
      </c>
      <c r="AO411" s="93">
        <f>IF($BC411=1,AL411/SUMIFS(AL$3:AL$623,$BC$3:$BC$623,1,$G$3:$G$623,$G411),0)</f>
        <v>0</v>
      </c>
      <c r="AP411" s="2">
        <f>IFERROR(R411/$V411*90,"")</f>
        <v>6.9713400464756006E-2</v>
      </c>
      <c r="AQ411" s="2">
        <f>IFERROR(S411/$V411*90,"")</f>
        <v>0</v>
      </c>
      <c r="AR411" s="2">
        <f>IFERROR(W411/$V411*90,"")</f>
        <v>0.209140201394268</v>
      </c>
      <c r="AS411" s="2">
        <f>IFERROR(X411/$V411*90,"")</f>
        <v>0.27885360185902403</v>
      </c>
      <c r="AT411" s="2">
        <f>IFERROR(Y411/$V411*90,"")</f>
        <v>0</v>
      </c>
      <c r="AU411" s="2">
        <f>IF(AP411="",INDEX(BV$4:BV$7,MATCH(O411,$BU$4:$BU$7,0)),AP411)</f>
        <v>6.9713400464756006E-2</v>
      </c>
      <c r="AV411" s="2">
        <f>IF(AQ411="",INDEX(BW$4:BW$7,MATCH($O411,$BU$4:$BU$7,0)),AQ411)</f>
        <v>0</v>
      </c>
      <c r="AW411" s="2">
        <f t="shared" si="72"/>
        <v>0.209140201394268</v>
      </c>
      <c r="AX411" s="2">
        <f t="shared" si="73"/>
        <v>0.27885360185902403</v>
      </c>
      <c r="AY411" s="2">
        <f t="shared" si="74"/>
        <v>0</v>
      </c>
      <c r="AZ411" s="2">
        <f>AU411*0.5+AK411*0.5</f>
        <v>8.6642414518092292E-2</v>
      </c>
      <c r="BA411" s="2">
        <f>AV411*0.5+AJ411*0.5</f>
        <v>3.3440934065934076E-2</v>
      </c>
      <c r="BB411" s="2">
        <f t="shared" si="75"/>
        <v>0.36442680092951202</v>
      </c>
      <c r="BC411">
        <f>IF(I411="expected",1,0)</f>
        <v>0</v>
      </c>
      <c r="BD411" s="78">
        <f>IF(BC411=1,AZ411/SUMIFS(AZ$3:AZ$623,$BC$3:$BC$623,1,$G$3:$G$623,$G411),0)</f>
        <v>0</v>
      </c>
      <c r="BE411" s="78">
        <f>IF(BC411=1,BA411/SUMIFS(BA$3:BA$623,$BC$3:$BC$623,1,$G$3:$G$623,$G411),0)</f>
        <v>0</v>
      </c>
      <c r="BF411" s="78">
        <f t="shared" si="76"/>
        <v>0</v>
      </c>
      <c r="BG411" s="2">
        <f t="shared" si="77"/>
        <v>0.36442680092951202</v>
      </c>
      <c r="BH411" s="2">
        <f t="shared" si="78"/>
        <v>0</v>
      </c>
      <c r="BI411" s="2">
        <f t="shared" si="79"/>
        <v>0</v>
      </c>
      <c r="BJ411" s="2">
        <f t="shared" si="80"/>
        <v>0</v>
      </c>
      <c r="BK411" s="2">
        <f t="shared" si="81"/>
        <v>0</v>
      </c>
      <c r="BL411" s="2">
        <f t="shared" si="82"/>
        <v>0.36442680092951202</v>
      </c>
      <c r="BM411" s="2">
        <f t="shared" si="83"/>
        <v>0</v>
      </c>
      <c r="BN411" s="2">
        <f>BI411/SUMIFS(BI$3:BI$623,$BC$3:$BC$623,1,$G$3:$G$623,$G411)</f>
        <v>0</v>
      </c>
      <c r="BO411" s="2">
        <f>BJ411/SUMIFS(BJ$3:BJ$623,$BC$3:$BC$623,1,$G$3:$G$623,$G411)</f>
        <v>0</v>
      </c>
      <c r="BP411" s="2">
        <f>BK411/SUMIFS(BK$3:BK$623,$BC$3:$BC$623,1,$G$3:$G$623,$G411)</f>
        <v>0</v>
      </c>
      <c r="BQ411" s="2">
        <f>BL411</f>
        <v>0.36442680092951202</v>
      </c>
      <c r="BR411" s="2">
        <f>BM411</f>
        <v>0</v>
      </c>
    </row>
    <row r="412" spans="1:70" hidden="1">
      <c r="A412" s="74">
        <v>0</v>
      </c>
      <c r="B412" s="73">
        <v>204806</v>
      </c>
      <c r="C412" s="73" t="s">
        <v>2614</v>
      </c>
      <c r="D412" s="73" t="s">
        <v>2615</v>
      </c>
      <c r="E412" s="73" t="s">
        <v>2616</v>
      </c>
      <c r="F412" s="73">
        <v>18564</v>
      </c>
      <c r="G412" s="73" t="s">
        <v>886</v>
      </c>
      <c r="H412" s="73" t="s">
        <v>919</v>
      </c>
      <c r="I412" s="73" t="s">
        <v>981</v>
      </c>
      <c r="J412" s="73">
        <v>0</v>
      </c>
      <c r="K412" s="73">
        <v>4.5</v>
      </c>
      <c r="L412" s="73">
        <v>0</v>
      </c>
      <c r="M412" s="73">
        <v>0</v>
      </c>
      <c r="N412" s="73">
        <v>0</v>
      </c>
      <c r="O412" s="73" t="s">
        <v>1318</v>
      </c>
      <c r="P412" s="73" t="s">
        <v>2617</v>
      </c>
      <c r="Q412" s="73" t="s">
        <v>2618</v>
      </c>
      <c r="R412" s="73">
        <v>0</v>
      </c>
      <c r="S412" s="73">
        <v>0</v>
      </c>
      <c r="T412" s="73">
        <v>0</v>
      </c>
      <c r="U412" s="73">
        <v>1</v>
      </c>
      <c r="V412" s="73">
        <v>846</v>
      </c>
      <c r="W412" s="73">
        <v>0</v>
      </c>
      <c r="X412" s="73">
        <v>0</v>
      </c>
      <c r="Y412" s="73">
        <v>0</v>
      </c>
      <c r="Z412" s="73" t="s">
        <v>1717</v>
      </c>
      <c r="AA412" s="73" t="s">
        <v>692</v>
      </c>
      <c r="AB412" s="73" t="str">
        <f>IF(AA412&lt;&gt;"",INDEX(Lookup!$N$2:$N$5,MATCH(Players!AA412,Lookup!$P$2:$P$5,0)),INDEX(Lookup!$N$2:$N$5,MATCH(Players!O412,Lookup!$O$2:$O$5,0)))</f>
        <v>Defense</v>
      </c>
      <c r="AC412" s="73">
        <v>3000000</v>
      </c>
      <c r="AD412" s="73" t="s">
        <v>788</v>
      </c>
      <c r="AE412" s="73" t="str">
        <f>INDEX('Translate table'!$H$2:$H$622,MATCH(Players!P412,'Translate table'!$G$2:$G$622,0))</f>
        <v>Filip Helander</v>
      </c>
      <c r="AF412" s="73">
        <f>IFERROR(INDEX('Euro Qual stats'!$A$1:$L$2071,MATCH(Players!$AE412,'Euro Qual stats'!$A$1:$A$2071,0),MATCH(Players!AF$2,'Euro Qual stats'!$A$1:$L$1,0)),0)</f>
        <v>5</v>
      </c>
      <c r="AG412" s="73">
        <f>IFERROR(INDEX('Euro Qual stats'!$A$1:$L$2071,MATCH(Players!$AE412,'Euro Qual stats'!$A$1:$A$2071,0),MATCH(Players!AG$2,'Euro Qual stats'!$A$1:$L$1,0)),0)</f>
        <v>0.2</v>
      </c>
      <c r="AH412" s="73">
        <f>IFERROR(INDEX('Euro Qual stats'!$A$1:$L$2071,MATCH(Players!$AE412,'Euro Qual stats'!$A$1:$A$2071,0),MATCH(Players!AH$2,'Euro Qual stats'!$A$1:$L$1,0)),0)</f>
        <v>0</v>
      </c>
      <c r="AI412" s="73">
        <f>IFERROR(INDEX('Euro Qual stats'!$A$1:$L$2071,MATCH(Players!$AE412,'Euro Qual stats'!$A$1:$A$2071,0),MATCH(Players!AI$2,'Euro Qual stats'!$A$1:$L$1,0)),0)</f>
        <v>0.2</v>
      </c>
      <c r="AJ412" s="93">
        <f>(12-AF412)/12*INDEX(BV$9:BV$12,MATCH($AB412,$BU$9:$BU$12,0))+AF412/12*AG412</f>
        <v>0.13535256410256413</v>
      </c>
      <c r="AK412" s="93">
        <f>(12-AG412)/12*INDEX(BW$9:BW$12,MATCH($AB412,$BU$9:$BU$12,0))+AG412/12*AH412</f>
        <v>0.10184523809523811</v>
      </c>
      <c r="AL412" s="93">
        <f>(12-AH412)/12*INDEX(BX$9:BX$12,MATCH($AB412,$BU$9:$BU$12,0))+AH412/12*AI412</f>
        <v>0.19357142857142848</v>
      </c>
      <c r="AM412" s="93">
        <f>IF($BC412=1,AJ412/SUMIFS(AJ$3:AJ$623,$BC$3:$BC$623,1,$G$3:$G$623,$G412),0)</f>
        <v>0.10606514544593129</v>
      </c>
      <c r="AN412" s="93">
        <f>IF($BC412=1,AK412/SUMIFS(AK$3:AK$623,$BC$3:$BC$623,1,$G$3:$G$623,$G412),0)</f>
        <v>4.7117585978619106E-2</v>
      </c>
      <c r="AO412" s="93">
        <f>IF($BC412=1,AL412/SUMIFS(AL$3:AL$623,$BC$3:$BC$623,1,$G$3:$G$623,$G412),0)</f>
        <v>0.10619324793606214</v>
      </c>
      <c r="AP412" s="2">
        <f>IFERROR(R412/$V412*90,"")</f>
        <v>0</v>
      </c>
      <c r="AQ412" s="2">
        <f>IFERROR(S412/$V412*90,"")</f>
        <v>0</v>
      </c>
      <c r="AR412" s="2">
        <f>IFERROR(W412/$V412*90,"")</f>
        <v>0</v>
      </c>
      <c r="AS412" s="2">
        <f>IFERROR(X412/$V412*90,"")</f>
        <v>0</v>
      </c>
      <c r="AT412" s="2">
        <f>IFERROR(Y412/$V412*90,"")</f>
        <v>0</v>
      </c>
      <c r="AU412" s="2">
        <f>IF(AP412="",INDEX(BV$4:BV$7,MATCH(O412,$BU$4:$BU$7,0)),AP412)</f>
        <v>0</v>
      </c>
      <c r="AV412" s="2">
        <f>IF(AQ412="",INDEX(BW$4:BW$7,MATCH($O412,$BU$4:$BU$7,0)),AQ412)</f>
        <v>0</v>
      </c>
      <c r="AW412" s="2">
        <f t="shared" si="72"/>
        <v>0</v>
      </c>
      <c r="AX412" s="2">
        <f t="shared" si="73"/>
        <v>0</v>
      </c>
      <c r="AY412" s="2">
        <f t="shared" si="74"/>
        <v>0</v>
      </c>
      <c r="AZ412" s="2">
        <f>AU412*0.5+AK412*0.5</f>
        <v>5.0922619047619057E-2</v>
      </c>
      <c r="BA412" s="2">
        <f>AV412*0.5+AJ412*0.5</f>
        <v>6.7676282051282066E-2</v>
      </c>
      <c r="BB412" s="2">
        <f t="shared" si="75"/>
        <v>0.1</v>
      </c>
      <c r="BC412">
        <f>IF(I412="expected",1,0)</f>
        <v>1</v>
      </c>
      <c r="BD412" s="78">
        <f>IF(BC412=1,AZ412/SUMIFS(AZ$3:AZ$623,$BC$3:$BC$623,1,$G$3:$G$623,$G412),0)</f>
        <v>3.2206224741101935E-2</v>
      </c>
      <c r="BE412" s="78">
        <f>IF(BC412=1,BA412/SUMIFS(BA$3:BA$623,$BC$3:$BC$623,1,$G$3:$G$623,$G412),0)</f>
        <v>7.534524378863211E-2</v>
      </c>
      <c r="BF412" s="78">
        <f t="shared" si="76"/>
        <v>0</v>
      </c>
      <c r="BG412" s="2">
        <f t="shared" si="77"/>
        <v>0.1</v>
      </c>
      <c r="BH412" s="2">
        <f t="shared" si="78"/>
        <v>0</v>
      </c>
      <c r="BI412" s="2">
        <f t="shared" si="79"/>
        <v>3.2206224741101935E-2</v>
      </c>
      <c r="BJ412" s="2">
        <f t="shared" si="80"/>
        <v>7.534524378863211E-2</v>
      </c>
      <c r="BK412" s="2">
        <f t="shared" si="81"/>
        <v>0</v>
      </c>
      <c r="BL412" s="2">
        <f t="shared" si="82"/>
        <v>0.1</v>
      </c>
      <c r="BM412" s="2">
        <f t="shared" si="83"/>
        <v>0</v>
      </c>
      <c r="BN412" s="2">
        <f>BI412/SUMIFS(BI$3:BI$623,$BC$3:$BC$623,1,$G$3:$G$623,$G412)</f>
        <v>3.2995667679571072E-2</v>
      </c>
      <c r="BO412" s="2">
        <f>BJ412/SUMIFS(BJ$3:BJ$623,$BC$3:$BC$623,1,$G$3:$G$623,$G412)</f>
        <v>7.534524378863211E-2</v>
      </c>
      <c r="BP412" s="2">
        <f>BK412/SUMIFS(BK$3:BK$623,$BC$3:$BC$623,1,$G$3:$G$623,$G412)</f>
        <v>0</v>
      </c>
      <c r="BQ412" s="2">
        <f>BL412</f>
        <v>0.1</v>
      </c>
      <c r="BR412" s="2">
        <f>BM412</f>
        <v>0</v>
      </c>
    </row>
    <row r="413" spans="1:70" hidden="1">
      <c r="A413" s="74">
        <v>0</v>
      </c>
      <c r="B413" s="73">
        <v>204804</v>
      </c>
      <c r="C413" s="73" t="s">
        <v>2619</v>
      </c>
      <c r="D413" s="73" t="s">
        <v>1010</v>
      </c>
      <c r="E413" s="73" t="s">
        <v>2620</v>
      </c>
      <c r="F413" s="73">
        <v>18564</v>
      </c>
      <c r="G413" s="73" t="s">
        <v>886</v>
      </c>
      <c r="H413" s="73" t="s">
        <v>919</v>
      </c>
      <c r="I413" s="73" t="s">
        <v>1012</v>
      </c>
      <c r="J413" s="73">
        <v>0</v>
      </c>
      <c r="K413" s="73">
        <v>4.5</v>
      </c>
      <c r="L413" s="73">
        <v>0</v>
      </c>
      <c r="M413" s="73">
        <v>0</v>
      </c>
      <c r="N413" s="73">
        <v>0</v>
      </c>
      <c r="O413" s="73" t="s">
        <v>1318</v>
      </c>
      <c r="P413" s="73" t="s">
        <v>2621</v>
      </c>
      <c r="Q413" s="73" t="s">
        <v>35</v>
      </c>
      <c r="R413" s="73">
        <v>11</v>
      </c>
      <c r="S413" s="73">
        <v>9</v>
      </c>
      <c r="T413" s="73">
        <v>0</v>
      </c>
      <c r="U413" s="73">
        <v>7</v>
      </c>
      <c r="V413" s="73">
        <v>2928</v>
      </c>
      <c r="W413" s="73">
        <v>37</v>
      </c>
      <c r="X413" s="73">
        <v>4</v>
      </c>
      <c r="Y413" s="73">
        <v>0</v>
      </c>
      <c r="Z413" s="73" t="s">
        <v>1717</v>
      </c>
      <c r="AA413" s="73" t="s">
        <v>692</v>
      </c>
      <c r="AB413" s="73" t="str">
        <f>IF(AA413&lt;&gt;"",INDEX(Lookup!$N$2:$N$5,MATCH(Players!AA413,Lookup!$P$2:$P$5,0)),INDEX(Lookup!$N$2:$N$5,MATCH(Players!O413,Lookup!$O$2:$O$5,0)))</f>
        <v>Defense</v>
      </c>
      <c r="AC413" s="73">
        <v>2000000</v>
      </c>
      <c r="AD413" s="73" t="s">
        <v>790</v>
      </c>
      <c r="AE413" s="73" t="str">
        <f>INDEX('Translate table'!$H$2:$H$622,MATCH(Players!P413,'Translate table'!$G$2:$G$622,0))</f>
        <v>Markus Danielsson</v>
      </c>
      <c r="AF413" s="73">
        <f>IFERROR(INDEX('Euro Qual stats'!$A$1:$L$2071,MATCH(Players!$AE413,'Euro Qual stats'!$A$1:$A$2071,0),MATCH(Players!AF$2,'Euro Qual stats'!$A$1:$L$1,0)),0)</f>
        <v>2</v>
      </c>
      <c r="AG413" s="73">
        <f>IFERROR(INDEX('Euro Qual stats'!$A$1:$L$2071,MATCH(Players!$AE413,'Euro Qual stats'!$A$1:$A$2071,0),MATCH(Players!AG$2,'Euro Qual stats'!$A$1:$L$1,0)),0)</f>
        <v>0.5</v>
      </c>
      <c r="AH413" s="73">
        <f>IFERROR(INDEX('Euro Qual stats'!$A$1:$L$2071,MATCH(Players!$AE413,'Euro Qual stats'!$A$1:$A$2071,0),MATCH(Players!AH$2,'Euro Qual stats'!$A$1:$L$1,0)),0)</f>
        <v>0.5</v>
      </c>
      <c r="AI413" s="73">
        <f>IFERROR(INDEX('Euro Qual stats'!$A$1:$L$2071,MATCH(Players!$AE413,'Euro Qual stats'!$A$1:$A$2071,0),MATCH(Players!AI$2,'Euro Qual stats'!$A$1:$L$1,0)),0)</f>
        <v>0</v>
      </c>
      <c r="AJ413" s="93">
        <f>(12-AF413)/12*INDEX(BV$9:BV$12,MATCH($AB413,$BU$9:$BU$12,0))+AF413/12*AG413</f>
        <v>0.15764652014652017</v>
      </c>
      <c r="AK413" s="93">
        <f>(12-AG413)/12*INDEX(BW$9:BW$12,MATCH($AB413,$BU$9:$BU$12,0))+AG413/12*AH413</f>
        <v>0.12008928571428572</v>
      </c>
      <c r="AL413" s="93">
        <f>(12-AH413)/12*INDEX(BX$9:BX$12,MATCH($AB413,$BU$9:$BU$12,0))+AH413/12*AI413</f>
        <v>0.1855059523809523</v>
      </c>
      <c r="AM413" s="93">
        <f>IF($BC413=1,AJ413/SUMIFS(AJ$3:AJ$623,$BC$3:$BC$623,1,$G$3:$G$623,$G413),0)</f>
        <v>0</v>
      </c>
      <c r="AN413" s="93">
        <f>IF($BC413=1,AK413/SUMIFS(AK$3:AK$623,$BC$3:$BC$623,1,$G$3:$G$623,$G413),0)</f>
        <v>0</v>
      </c>
      <c r="AO413" s="93">
        <f>IF($BC413=1,AL413/SUMIFS(AL$3:AL$623,$BC$3:$BC$623,1,$G$3:$G$623,$G413),0)</f>
        <v>0</v>
      </c>
      <c r="AP413" s="2">
        <f>IFERROR(R413/$V413*90,"")</f>
        <v>0.33811475409836061</v>
      </c>
      <c r="AQ413" s="2">
        <f>IFERROR(S413/$V413*90,"")</f>
        <v>0.27663934426229508</v>
      </c>
      <c r="AR413" s="2">
        <f>IFERROR(W413/$V413*90,"")</f>
        <v>1.1372950819672132</v>
      </c>
      <c r="AS413" s="2">
        <f>IFERROR(X413/$V413*90,"")</f>
        <v>0.12295081967213115</v>
      </c>
      <c r="AT413" s="2">
        <f>IFERROR(Y413/$V413*90,"")</f>
        <v>0</v>
      </c>
      <c r="AU413" s="2">
        <f>IF(AP413="",INDEX(BV$4:BV$7,MATCH(O413,$BU$4:$BU$7,0)),AP413)</f>
        <v>0.33811475409836061</v>
      </c>
      <c r="AV413" s="2">
        <f>IF(AQ413="",INDEX(BW$4:BW$7,MATCH($O413,$BU$4:$BU$7,0)),AQ413)</f>
        <v>0.27663934426229508</v>
      </c>
      <c r="AW413" s="2">
        <f t="shared" si="72"/>
        <v>1.1372950819672132</v>
      </c>
      <c r="AX413" s="2">
        <f t="shared" si="73"/>
        <v>0.12295081967213115</v>
      </c>
      <c r="AY413" s="2">
        <f t="shared" si="74"/>
        <v>0</v>
      </c>
      <c r="AZ413" s="2">
        <f>AU413*0.5+AK413*0.5</f>
        <v>0.22910201990632317</v>
      </c>
      <c r="BA413" s="2">
        <f>AV413*0.5+AJ413*0.5</f>
        <v>0.21714293220440761</v>
      </c>
      <c r="BB413" s="2">
        <f t="shared" si="75"/>
        <v>6.1475409836065573E-2</v>
      </c>
      <c r="BC413">
        <f>IF(I413="expected",1,0)</f>
        <v>0</v>
      </c>
      <c r="BD413" s="78">
        <f>IF(BC413=1,AZ413/SUMIFS(AZ$3:AZ$623,$BC$3:$BC$623,1,$G$3:$G$623,$G413),0)</f>
        <v>0</v>
      </c>
      <c r="BE413" s="78">
        <f>IF(BC413=1,BA413/SUMIFS(BA$3:BA$623,$BC$3:$BC$623,1,$G$3:$G$623,$G413),0)</f>
        <v>0</v>
      </c>
      <c r="BF413" s="78">
        <f t="shared" si="76"/>
        <v>0</v>
      </c>
      <c r="BG413" s="2">
        <f t="shared" si="77"/>
        <v>6.1475409836065573E-2</v>
      </c>
      <c r="BH413" s="2">
        <f t="shared" si="78"/>
        <v>0</v>
      </c>
      <c r="BI413" s="2">
        <f t="shared" si="79"/>
        <v>0</v>
      </c>
      <c r="BJ413" s="2">
        <f t="shared" si="80"/>
        <v>0</v>
      </c>
      <c r="BK413" s="2">
        <f t="shared" si="81"/>
        <v>0</v>
      </c>
      <c r="BL413" s="2">
        <f t="shared" si="82"/>
        <v>6.1475409836065573E-2</v>
      </c>
      <c r="BM413" s="2">
        <f t="shared" si="83"/>
        <v>0</v>
      </c>
      <c r="BN413" s="2">
        <f>BI413/SUMIFS(BI$3:BI$623,$BC$3:$BC$623,1,$G$3:$G$623,$G413)</f>
        <v>0</v>
      </c>
      <c r="BO413" s="2">
        <f>BJ413/SUMIFS(BJ$3:BJ$623,$BC$3:$BC$623,1,$G$3:$G$623,$G413)</f>
        <v>0</v>
      </c>
      <c r="BP413" s="2">
        <f>BK413/SUMIFS(BK$3:BK$623,$BC$3:$BC$623,1,$G$3:$G$623,$G413)</f>
        <v>0</v>
      </c>
      <c r="BQ413" s="2">
        <f>BL413</f>
        <v>6.1475409836065573E-2</v>
      </c>
      <c r="BR413" s="2">
        <f>BM413</f>
        <v>0</v>
      </c>
    </row>
    <row r="414" spans="1:70" hidden="1">
      <c r="A414" s="74">
        <v>0</v>
      </c>
      <c r="B414" s="73">
        <v>204802</v>
      </c>
      <c r="C414" s="73" t="s">
        <v>2622</v>
      </c>
      <c r="D414" s="73" t="s">
        <v>2623</v>
      </c>
      <c r="E414" s="73" t="s">
        <v>2624</v>
      </c>
      <c r="F414" s="73">
        <v>18564</v>
      </c>
      <c r="G414" s="73" t="s">
        <v>886</v>
      </c>
      <c r="H414" s="73" t="s">
        <v>919</v>
      </c>
      <c r="I414" s="73" t="s">
        <v>981</v>
      </c>
      <c r="J414" s="73">
        <v>0</v>
      </c>
      <c r="K414" s="73">
        <v>4.5</v>
      </c>
      <c r="L414" s="73">
        <v>0</v>
      </c>
      <c r="M414" s="73">
        <v>0</v>
      </c>
      <c r="N414" s="73">
        <v>0</v>
      </c>
      <c r="O414" s="73" t="s">
        <v>1318</v>
      </c>
      <c r="P414" s="73" t="s">
        <v>2625</v>
      </c>
      <c r="Q414" s="73" t="s">
        <v>2626</v>
      </c>
      <c r="R414" s="73">
        <v>0</v>
      </c>
      <c r="S414" s="73">
        <v>1</v>
      </c>
      <c r="T414" s="73">
        <v>0</v>
      </c>
      <c r="U414" s="73">
        <v>6</v>
      </c>
      <c r="V414" s="73">
        <v>1720</v>
      </c>
      <c r="W414" s="73">
        <v>5</v>
      </c>
      <c r="X414" s="73">
        <v>7</v>
      </c>
      <c r="Y414" s="73">
        <v>0</v>
      </c>
      <c r="Z414" s="73" t="s">
        <v>1717</v>
      </c>
      <c r="AA414" s="73" t="s">
        <v>692</v>
      </c>
      <c r="AB414" s="73" t="str">
        <f>IF(AA414&lt;&gt;"",INDEX(Lookup!$N$2:$N$5,MATCH(Players!AA414,Lookup!$P$2:$P$5,0)),INDEX(Lookup!$N$2:$N$5,MATCH(Players!O414,Lookup!$O$2:$O$5,0)))</f>
        <v>Defense</v>
      </c>
      <c r="AC414" s="73">
        <v>3000000</v>
      </c>
      <c r="AD414" s="73" t="s">
        <v>790</v>
      </c>
      <c r="AE414" s="73" t="str">
        <f>INDEX('Translate table'!$H$2:$H$622,MATCH(Players!P414,'Translate table'!$G$2:$G$622,0))</f>
        <v>Mikael Lustig</v>
      </c>
      <c r="AF414" s="73">
        <f>IFERROR(INDEX('Euro Qual stats'!$A$1:$L$2071,MATCH(Players!$AE414,'Euro Qual stats'!$A$1:$A$2071,0),MATCH(Players!AF$2,'Euro Qual stats'!$A$1:$L$1,0)),0)</f>
        <v>8</v>
      </c>
      <c r="AG414" s="73">
        <f>IFERROR(INDEX('Euro Qual stats'!$A$1:$L$2071,MATCH(Players!$AE414,'Euro Qual stats'!$A$1:$A$2071,0),MATCH(Players!AG$2,'Euro Qual stats'!$A$1:$L$1,0)),0)</f>
        <v>0.15</v>
      </c>
      <c r="AH414" s="73">
        <f>IFERROR(INDEX('Euro Qual stats'!$A$1:$L$2071,MATCH(Players!$AE414,'Euro Qual stats'!$A$1:$A$2071,0),MATCH(Players!AH$2,'Euro Qual stats'!$A$1:$L$1,0)),0)</f>
        <v>0</v>
      </c>
      <c r="AI414" s="73">
        <f>IFERROR(INDEX('Euro Qual stats'!$A$1:$L$2071,MATCH(Players!$AE414,'Euro Qual stats'!$A$1:$A$2071,0),MATCH(Players!AI$2,'Euro Qual stats'!$A$1:$L$1,0)),0)</f>
        <v>0</v>
      </c>
      <c r="AJ414" s="93">
        <f>(12-AF414)/12*INDEX(BV$9:BV$12,MATCH($AB414,$BU$9:$BU$12,0))+AF414/12*AG414</f>
        <v>0.12972527472527473</v>
      </c>
      <c r="AK414" s="93">
        <f>(12-AG414)/12*INDEX(BW$9:BW$12,MATCH($AB414,$BU$9:$BU$12,0))+AG414/12*AH414</f>
        <v>0.10227678571428571</v>
      </c>
      <c r="AL414" s="93">
        <f>(12-AH414)/12*INDEX(BX$9:BX$12,MATCH($AB414,$BU$9:$BU$12,0))+AH414/12*AI414</f>
        <v>0.19357142857142848</v>
      </c>
      <c r="AM414" s="93">
        <f>IF($BC414=1,AJ414/SUMIFS(AJ$3:AJ$623,$BC$3:$BC$623,1,$G$3:$G$623,$G414),0)</f>
        <v>0.1016554819111033</v>
      </c>
      <c r="AN414" s="93">
        <f>IF($BC414=1,AK414/SUMIFS(AK$3:AK$623,$BC$3:$BC$623,1,$G$3:$G$623,$G414),0)</f>
        <v>4.7317236766664092E-2</v>
      </c>
      <c r="AO414" s="93">
        <f>IF($BC414=1,AL414/SUMIFS(AL$3:AL$623,$BC$3:$BC$623,1,$G$3:$G$623,$G414),0)</f>
        <v>0.10619324793606214</v>
      </c>
      <c r="AP414" s="2">
        <f>IFERROR(R414/$V414*90,"")</f>
        <v>0</v>
      </c>
      <c r="AQ414" s="2">
        <f>IFERROR(S414/$V414*90,"")</f>
        <v>5.2325581395348833E-2</v>
      </c>
      <c r="AR414" s="2">
        <f>IFERROR(W414/$V414*90,"")</f>
        <v>0.26162790697674421</v>
      </c>
      <c r="AS414" s="2">
        <f>IFERROR(X414/$V414*90,"")</f>
        <v>0.36627906976744184</v>
      </c>
      <c r="AT414" s="2">
        <f>IFERROR(Y414/$V414*90,"")</f>
        <v>0</v>
      </c>
      <c r="AU414" s="2">
        <f>IF(AP414="",INDEX(BV$4:BV$7,MATCH(O414,$BU$4:$BU$7,0)),AP414)</f>
        <v>0</v>
      </c>
      <c r="AV414" s="2">
        <f>IF(AQ414="",INDEX(BW$4:BW$7,MATCH($O414,$BU$4:$BU$7,0)),AQ414)</f>
        <v>5.2325581395348833E-2</v>
      </c>
      <c r="AW414" s="2">
        <f t="shared" si="72"/>
        <v>0.26162790697674421</v>
      </c>
      <c r="AX414" s="2">
        <f t="shared" si="73"/>
        <v>0.36627906976744184</v>
      </c>
      <c r="AY414" s="2">
        <f t="shared" si="74"/>
        <v>0</v>
      </c>
      <c r="AZ414" s="2">
        <f>AU414*0.5+AK414*0.5</f>
        <v>5.1138392857142854E-2</v>
      </c>
      <c r="BA414" s="2">
        <f>AV414*0.5+AJ414*0.5</f>
        <v>9.1025428060311775E-2</v>
      </c>
      <c r="BB414" s="2">
        <f t="shared" si="75"/>
        <v>0.18313953488372092</v>
      </c>
      <c r="BC414">
        <f>IF(I414="expected",1,0)</f>
        <v>1</v>
      </c>
      <c r="BD414" s="78">
        <f>IF(BC414=1,AZ414/SUMIFS(AZ$3:AZ$623,$BC$3:$BC$623,1,$G$3:$G$623,$G414),0)</f>
        <v>3.2342691795089647E-2</v>
      </c>
      <c r="BE414" s="78">
        <f>IF(BC414=1,BA414/SUMIFS(BA$3:BA$623,$BC$3:$BC$623,1,$G$3:$G$623,$G414),0)</f>
        <v>0.10134027550408052</v>
      </c>
      <c r="BF414" s="78">
        <f t="shared" si="76"/>
        <v>8.1351878251556251E-2</v>
      </c>
      <c r="BG414" s="2">
        <f t="shared" si="77"/>
        <v>0.18313953488372092</v>
      </c>
      <c r="BH414" s="2">
        <f t="shared" si="78"/>
        <v>0</v>
      </c>
      <c r="BI414" s="2">
        <f t="shared" si="79"/>
        <v>3.2342691795089647E-2</v>
      </c>
      <c r="BJ414" s="2">
        <f t="shared" si="80"/>
        <v>0.10134027550408052</v>
      </c>
      <c r="BK414" s="2">
        <f t="shared" si="81"/>
        <v>8.1351878251556251E-2</v>
      </c>
      <c r="BL414" s="2">
        <f t="shared" si="82"/>
        <v>0.18313953488372092</v>
      </c>
      <c r="BM414" s="2">
        <f t="shared" si="83"/>
        <v>0</v>
      </c>
      <c r="BN414" s="2">
        <f>BI414/SUMIFS(BI$3:BI$623,$BC$3:$BC$623,1,$G$3:$G$623,$G414)</f>
        <v>3.3135479830755682E-2</v>
      </c>
      <c r="BO414" s="2">
        <f>BJ414/SUMIFS(BJ$3:BJ$623,$BC$3:$BC$623,1,$G$3:$G$623,$G414)</f>
        <v>0.10134027550408052</v>
      </c>
      <c r="BP414" s="2">
        <f>BK414/SUMIFS(BK$3:BK$623,$BC$3:$BC$623,1,$G$3:$G$623,$G414)</f>
        <v>0.10146789684325541</v>
      </c>
      <c r="BQ414" s="2">
        <f>BL414</f>
        <v>0.18313953488372092</v>
      </c>
      <c r="BR414" s="2">
        <f>BM414</f>
        <v>0</v>
      </c>
    </row>
    <row r="415" spans="1:70" hidden="1">
      <c r="A415" s="74">
        <v>0</v>
      </c>
      <c r="B415" s="73">
        <v>204801</v>
      </c>
      <c r="C415" s="73" t="s">
        <v>2627</v>
      </c>
      <c r="D415" s="73" t="s">
        <v>2628</v>
      </c>
      <c r="E415" s="73" t="s">
        <v>2629</v>
      </c>
      <c r="F415" s="73">
        <v>18564</v>
      </c>
      <c r="G415" s="73" t="s">
        <v>886</v>
      </c>
      <c r="H415" s="73" t="s">
        <v>919</v>
      </c>
      <c r="I415" s="73" t="s">
        <v>1012</v>
      </c>
      <c r="J415" s="73">
        <v>0</v>
      </c>
      <c r="K415" s="73">
        <v>4.5</v>
      </c>
      <c r="L415" s="73">
        <v>0</v>
      </c>
      <c r="M415" s="73">
        <v>0</v>
      </c>
      <c r="N415" s="73">
        <v>0</v>
      </c>
      <c r="O415" s="73" t="s">
        <v>1318</v>
      </c>
      <c r="P415" s="73" t="s">
        <v>2630</v>
      </c>
      <c r="Q415" s="73" t="s">
        <v>2631</v>
      </c>
      <c r="R415" s="73">
        <v>4</v>
      </c>
      <c r="S415" s="73">
        <v>2</v>
      </c>
      <c r="T415" s="73">
        <v>0</v>
      </c>
      <c r="U415" s="73">
        <v>4</v>
      </c>
      <c r="V415" s="73">
        <v>2065</v>
      </c>
      <c r="W415" s="73">
        <v>13</v>
      </c>
      <c r="X415" s="73">
        <v>3</v>
      </c>
      <c r="Y415" s="73">
        <v>1</v>
      </c>
      <c r="Z415" s="73" t="s">
        <v>1717</v>
      </c>
      <c r="AA415" s="73" t="s">
        <v>692</v>
      </c>
      <c r="AB415" s="73" t="str">
        <f>IF(AA415&lt;&gt;"",INDEX(Lookup!$N$2:$N$5,MATCH(Players!AA415,Lookup!$P$2:$P$5,0)),INDEX(Lookup!$N$2:$N$5,MATCH(Players!O415,Lookup!$O$2:$O$5,0)))</f>
        <v>Defense</v>
      </c>
      <c r="AC415" s="73">
        <v>2500000</v>
      </c>
      <c r="AD415" s="73" t="s">
        <v>753</v>
      </c>
      <c r="AE415" s="73" t="str">
        <f>INDEX('Translate table'!$H$2:$H$622,MATCH(Players!P415,'Translate table'!$G$2:$G$622,0))</f>
        <v>Pierre Bengtsson</v>
      </c>
      <c r="AF415" s="73">
        <f>IFERROR(INDEX('Euro Qual stats'!$A$1:$L$2071,MATCH(Players!$AE415,'Euro Qual stats'!$A$1:$A$2071,0),MATCH(Players!AF$2,'Euro Qual stats'!$A$1:$L$1,0)),0)</f>
        <v>5</v>
      </c>
      <c r="AG415" s="73">
        <f>IFERROR(INDEX('Euro Qual stats'!$A$1:$L$2071,MATCH(Players!$AE415,'Euro Qual stats'!$A$1:$A$2071,0),MATCH(Players!AG$2,'Euro Qual stats'!$A$1:$L$1,0)),0)</f>
        <v>0.2</v>
      </c>
      <c r="AH415" s="73">
        <f>IFERROR(INDEX('Euro Qual stats'!$A$1:$L$2071,MATCH(Players!$AE415,'Euro Qual stats'!$A$1:$A$2071,0),MATCH(Players!AH$2,'Euro Qual stats'!$A$1:$L$1,0)),0)</f>
        <v>0</v>
      </c>
      <c r="AI415" s="73">
        <f>IFERROR(INDEX('Euro Qual stats'!$A$1:$L$2071,MATCH(Players!$AE415,'Euro Qual stats'!$A$1:$A$2071,0),MATCH(Players!AI$2,'Euro Qual stats'!$A$1:$L$1,0)),0)</f>
        <v>0</v>
      </c>
      <c r="AJ415" s="93">
        <f>(12-AF415)/12*INDEX(BV$9:BV$12,MATCH($AB415,$BU$9:$BU$12,0))+AF415/12*AG415</f>
        <v>0.13535256410256413</v>
      </c>
      <c r="AK415" s="93">
        <f>(12-AG415)/12*INDEX(BW$9:BW$12,MATCH($AB415,$BU$9:$BU$12,0))+AG415/12*AH415</f>
        <v>0.10184523809523811</v>
      </c>
      <c r="AL415" s="93">
        <f>(12-AH415)/12*INDEX(BX$9:BX$12,MATCH($AB415,$BU$9:$BU$12,0))+AH415/12*AI415</f>
        <v>0.19357142857142848</v>
      </c>
      <c r="AM415" s="93">
        <f>IF($BC415=1,AJ415/SUMIFS(AJ$3:AJ$623,$BC$3:$BC$623,1,$G$3:$G$623,$G415),0)</f>
        <v>0</v>
      </c>
      <c r="AN415" s="93">
        <f>IF($BC415=1,AK415/SUMIFS(AK$3:AK$623,$BC$3:$BC$623,1,$G$3:$G$623,$G415),0)</f>
        <v>0</v>
      </c>
      <c r="AO415" s="93">
        <f>IF($BC415=1,AL415/SUMIFS(AL$3:AL$623,$BC$3:$BC$623,1,$G$3:$G$623,$G415),0)</f>
        <v>0</v>
      </c>
      <c r="AP415" s="2">
        <f>IFERROR(R415/$V415*90,"")</f>
        <v>0.17433414043583534</v>
      </c>
      <c r="AQ415" s="2">
        <f>IFERROR(S415/$V415*90,"")</f>
        <v>8.7167070217917669E-2</v>
      </c>
      <c r="AR415" s="2">
        <f>IFERROR(W415/$V415*90,"")</f>
        <v>0.56658595641646492</v>
      </c>
      <c r="AS415" s="2">
        <f>IFERROR(X415/$V415*90,"")</f>
        <v>0.13075060532687649</v>
      </c>
      <c r="AT415" s="2">
        <f>IFERROR(Y415/$V415*90,"")</f>
        <v>4.3583535108958835E-2</v>
      </c>
      <c r="AU415" s="2">
        <f>IF(AP415="",INDEX(BV$4:BV$7,MATCH(O415,$BU$4:$BU$7,0)),AP415)</f>
        <v>0.17433414043583534</v>
      </c>
      <c r="AV415" s="2">
        <f>IF(AQ415="",INDEX(BW$4:BW$7,MATCH($O415,$BU$4:$BU$7,0)),AQ415)</f>
        <v>8.7167070217917669E-2</v>
      </c>
      <c r="AW415" s="2">
        <f t="shared" si="72"/>
        <v>0.56658595641646492</v>
      </c>
      <c r="AX415" s="2">
        <f t="shared" si="73"/>
        <v>0.13075060532687649</v>
      </c>
      <c r="AY415" s="2">
        <f t="shared" si="74"/>
        <v>4.3583535108958835E-2</v>
      </c>
      <c r="AZ415" s="2">
        <f>AU415*0.5+AK415*0.5</f>
        <v>0.13808968926553672</v>
      </c>
      <c r="BA415" s="2">
        <f>AV415*0.5+AJ415*0.5</f>
        <v>0.1112598171602409</v>
      </c>
      <c r="BB415" s="2">
        <f t="shared" si="75"/>
        <v>6.5375302663438245E-2</v>
      </c>
      <c r="BC415">
        <f>IF(I415="expected",1,0)</f>
        <v>0</v>
      </c>
      <c r="BD415" s="78">
        <f>IF(BC415=1,AZ415/SUMIFS(AZ$3:AZ$623,$BC$3:$BC$623,1,$G$3:$G$623,$G415),0)</f>
        <v>0</v>
      </c>
      <c r="BE415" s="78">
        <f>IF(BC415=1,BA415/SUMIFS(BA$3:BA$623,$BC$3:$BC$623,1,$G$3:$G$623,$G415),0)</f>
        <v>0</v>
      </c>
      <c r="BF415" s="78">
        <f t="shared" si="76"/>
        <v>0</v>
      </c>
      <c r="BG415" s="2">
        <f t="shared" si="77"/>
        <v>6.5375302663438245E-2</v>
      </c>
      <c r="BH415" s="2">
        <f t="shared" si="78"/>
        <v>4.3583535108958835E-2</v>
      </c>
      <c r="BI415" s="2">
        <f t="shared" si="79"/>
        <v>0</v>
      </c>
      <c r="BJ415" s="2">
        <f t="shared" si="80"/>
        <v>0</v>
      </c>
      <c r="BK415" s="2">
        <f t="shared" si="81"/>
        <v>0</v>
      </c>
      <c r="BL415" s="2">
        <f t="shared" si="82"/>
        <v>6.5375302663438245E-2</v>
      </c>
      <c r="BM415" s="2">
        <f t="shared" si="83"/>
        <v>4.3583535108958835E-2</v>
      </c>
      <c r="BN415" s="2">
        <f>BI415/SUMIFS(BI$3:BI$623,$BC$3:$BC$623,1,$G$3:$G$623,$G415)</f>
        <v>0</v>
      </c>
      <c r="BO415" s="2">
        <f>BJ415/SUMIFS(BJ$3:BJ$623,$BC$3:$BC$623,1,$G$3:$G$623,$G415)</f>
        <v>0</v>
      </c>
      <c r="BP415" s="2">
        <f>BK415/SUMIFS(BK$3:BK$623,$BC$3:$BC$623,1,$G$3:$G$623,$G415)</f>
        <v>0</v>
      </c>
      <c r="BQ415" s="2">
        <f>BL415</f>
        <v>6.5375302663438245E-2</v>
      </c>
      <c r="BR415" s="2">
        <f>BM415</f>
        <v>4.3583535108958835E-2</v>
      </c>
    </row>
    <row r="416" spans="1:70" hidden="1">
      <c r="A416" s="74">
        <v>0</v>
      </c>
      <c r="B416" s="73">
        <v>221505</v>
      </c>
      <c r="C416" s="73" t="s">
        <v>2632</v>
      </c>
      <c r="D416" s="73" t="s">
        <v>2633</v>
      </c>
      <c r="E416" s="73" t="s">
        <v>2634</v>
      </c>
      <c r="F416" s="73">
        <v>18564</v>
      </c>
      <c r="G416" s="73" t="s">
        <v>886</v>
      </c>
      <c r="H416" s="73" t="s">
        <v>919</v>
      </c>
      <c r="I416" s="73" t="s">
        <v>1012</v>
      </c>
      <c r="J416" s="73">
        <v>0</v>
      </c>
      <c r="K416" s="73">
        <v>4.5</v>
      </c>
      <c r="L416" s="73">
        <v>0</v>
      </c>
      <c r="M416" s="73">
        <v>0</v>
      </c>
      <c r="N416" s="73">
        <v>0</v>
      </c>
      <c r="O416" s="73" t="s">
        <v>994</v>
      </c>
      <c r="P416" s="73" t="s">
        <v>2635</v>
      </c>
      <c r="Q416" s="73" t="s">
        <v>1164</v>
      </c>
      <c r="R416" s="73"/>
      <c r="S416" s="73"/>
      <c r="T416" s="73"/>
      <c r="U416" s="73"/>
      <c r="V416" s="73"/>
      <c r="W416" s="73"/>
      <c r="X416" s="73"/>
      <c r="Y416" s="73"/>
      <c r="Z416" s="73" t="s">
        <v>1717</v>
      </c>
      <c r="AA416" s="73" t="s">
        <v>691</v>
      </c>
      <c r="AB416" s="73" t="str">
        <f>IF(AA416&lt;&gt;"",INDEX(Lookup!$N$2:$N$5,MATCH(Players!AA416,Lookup!$P$2:$P$5,0)),INDEX(Lookup!$N$2:$N$5,MATCH(Players!O416,Lookup!$O$2:$O$5,0)))</f>
        <v>Midfield</v>
      </c>
      <c r="AC416" s="73">
        <v>2000000</v>
      </c>
      <c r="AD416" s="73" t="s">
        <v>802</v>
      </c>
      <c r="AE416" s="73" t="str">
        <f>INDEX('Translate table'!$H$2:$H$622,MATCH(Players!P416,'Translate table'!$G$2:$G$622,0))</f>
        <v>Jens Larsen</v>
      </c>
      <c r="AF416" s="73">
        <f>IFERROR(INDEX('Euro Qual stats'!$A$1:$L$2071,MATCH(Players!$AE416,'Euro Qual stats'!$A$1:$A$2071,0),MATCH(Players!AF$2,'Euro Qual stats'!$A$1:$L$1,0)),0)</f>
        <v>8</v>
      </c>
      <c r="AG416" s="73">
        <f>IFERROR(INDEX('Euro Qual stats'!$A$1:$L$2071,MATCH(Players!$AE416,'Euro Qual stats'!$A$1:$A$2071,0),MATCH(Players!AG$2,'Euro Qual stats'!$A$1:$L$1,0)),0)</f>
        <v>0.13</v>
      </c>
      <c r="AH416" s="73">
        <f>IFERROR(INDEX('Euro Qual stats'!$A$1:$L$2071,MATCH(Players!$AE416,'Euro Qual stats'!$A$1:$A$2071,0),MATCH(Players!AH$2,'Euro Qual stats'!$A$1:$L$1,0)),0)</f>
        <v>0</v>
      </c>
      <c r="AI416" s="73">
        <f>IFERROR(INDEX('Euro Qual stats'!$A$1:$L$2071,MATCH(Players!$AE416,'Euro Qual stats'!$A$1:$A$2071,0),MATCH(Players!AI$2,'Euro Qual stats'!$A$1:$L$1,0)),0)</f>
        <v>0</v>
      </c>
      <c r="AJ416" s="93">
        <f>(12-AF416)/12*INDEX(BV$9:BV$12,MATCH($AB416,$BU$9:$BU$12,0))+AF416/12*AG416</f>
        <v>0.14289703315881325</v>
      </c>
      <c r="AK416" s="93">
        <f>(12-AG416)/12*INDEX(BW$9:BW$12,MATCH($AB416,$BU$9:$BU$12,0))+AG416/12*AH416</f>
        <v>0.22098294066317625</v>
      </c>
      <c r="AL416" s="93">
        <f>(12-AH416)/12*INDEX(BX$9:BX$12,MATCH($AB416,$BU$9:$BU$12,0))+AH416/12*AI416</f>
        <v>0.23942408376963353</v>
      </c>
      <c r="AM416" s="93">
        <f>IF($BC416=1,AJ416/SUMIFS(AJ$3:AJ$623,$BC$3:$BC$623,1,$G$3:$G$623,$G416),0)</f>
        <v>0</v>
      </c>
      <c r="AN416" s="93">
        <f>IF($BC416=1,AK416/SUMIFS(AK$3:AK$623,$BC$3:$BC$623,1,$G$3:$G$623,$G416),0)</f>
        <v>0</v>
      </c>
      <c r="AO416" s="93">
        <f>IF($BC416=1,AL416/SUMIFS(AL$3:AL$623,$BC$3:$BC$623,1,$G$3:$G$623,$G416),0)</f>
        <v>0</v>
      </c>
      <c r="AP416" s="2" t="str">
        <f>IFERROR(R416/$V416*90,"")</f>
        <v/>
      </c>
      <c r="AQ416" s="2" t="str">
        <f>IFERROR(S416/$V416*90,"")</f>
        <v/>
      </c>
      <c r="AR416" s="2" t="str">
        <f>IFERROR(W416/$V416*90,"")</f>
        <v/>
      </c>
      <c r="AS416" s="2" t="str">
        <f>IFERROR(X416/$V416*90,"")</f>
        <v/>
      </c>
      <c r="AT416" s="2" t="str">
        <f>IFERROR(Y416/$V416*90,"")</f>
        <v/>
      </c>
      <c r="AU416" s="2">
        <f>IF(AP416="",INDEX(BV$4:BV$7,MATCH(O416,$BU$4:$BU$7,0)),AP416)</f>
        <v>3.6526142445450806E-2</v>
      </c>
      <c r="AV416" s="2">
        <f>IF(AQ416="",INDEX(BW$4:BW$7,MATCH($O416,$BU$4:$BU$7,0)),AQ416)</f>
        <v>3.2427739661688867E-2</v>
      </c>
      <c r="AW416" s="2">
        <f t="shared" si="72"/>
        <v>0.20013349649571699</v>
      </c>
      <c r="AX416" s="2">
        <f t="shared" si="73"/>
        <v>0.16081000595592615</v>
      </c>
      <c r="AY416" s="2">
        <f t="shared" si="74"/>
        <v>0</v>
      </c>
      <c r="AZ416" s="2">
        <f>AU416*0.5+AK416*0.5</f>
        <v>0.12875454155431354</v>
      </c>
      <c r="BA416" s="2">
        <f>AV416*0.5+AJ416*0.5</f>
        <v>8.7662386410251064E-2</v>
      </c>
      <c r="BB416" s="2">
        <f t="shared" si="75"/>
        <v>8.0405002977963075E-2</v>
      </c>
      <c r="BC416">
        <f>IF(I416="expected",1,0)</f>
        <v>0</v>
      </c>
      <c r="BD416" s="78">
        <f>IF(BC416=1,AZ416/SUMIFS(AZ$3:AZ$623,$BC$3:$BC$623,1,$G$3:$G$623,$G416),0)</f>
        <v>0</v>
      </c>
      <c r="BE416" s="78">
        <f>IF(BC416=1,BA416/SUMIFS(BA$3:BA$623,$BC$3:$BC$623,1,$G$3:$G$623,$G416),0)</f>
        <v>0</v>
      </c>
      <c r="BF416" s="78">
        <f t="shared" si="76"/>
        <v>0</v>
      </c>
      <c r="BG416" s="2">
        <f t="shared" si="77"/>
        <v>8.0405002977963075E-2</v>
      </c>
      <c r="BH416" s="2">
        <f t="shared" si="78"/>
        <v>0</v>
      </c>
      <c r="BI416" s="2">
        <f t="shared" si="79"/>
        <v>0</v>
      </c>
      <c r="BJ416" s="2">
        <f t="shared" si="80"/>
        <v>0</v>
      </c>
      <c r="BK416" s="2">
        <f t="shared" si="81"/>
        <v>0</v>
      </c>
      <c r="BL416" s="2">
        <f t="shared" si="82"/>
        <v>8.0405002977963075E-2</v>
      </c>
      <c r="BM416" s="2">
        <f t="shared" si="83"/>
        <v>0</v>
      </c>
      <c r="BN416" s="2">
        <f>BI416/SUMIFS(BI$3:BI$623,$BC$3:$BC$623,1,$G$3:$G$623,$G416)</f>
        <v>0</v>
      </c>
      <c r="BO416" s="2">
        <f>BJ416/SUMIFS(BJ$3:BJ$623,$BC$3:$BC$623,1,$G$3:$G$623,$G416)</f>
        <v>0</v>
      </c>
      <c r="BP416" s="2">
        <f>BK416/SUMIFS(BK$3:BK$623,$BC$3:$BC$623,1,$G$3:$G$623,$G416)</f>
        <v>0</v>
      </c>
      <c r="BQ416" s="2">
        <f>BL416</f>
        <v>8.0405002977963075E-2</v>
      </c>
      <c r="BR416" s="2">
        <f>BM416</f>
        <v>0</v>
      </c>
    </row>
    <row r="417" spans="1:70" hidden="1">
      <c r="A417" s="74">
        <v>0</v>
      </c>
      <c r="B417" s="73">
        <v>204822</v>
      </c>
      <c r="C417" s="73" t="s">
        <v>2636</v>
      </c>
      <c r="D417" s="73" t="s">
        <v>2637</v>
      </c>
      <c r="E417" s="73" t="s">
        <v>2638</v>
      </c>
      <c r="F417" s="73">
        <v>18564</v>
      </c>
      <c r="G417" s="73" t="s">
        <v>886</v>
      </c>
      <c r="H417" s="73" t="s">
        <v>919</v>
      </c>
      <c r="I417" s="73" t="s">
        <v>1012</v>
      </c>
      <c r="J417" s="73">
        <v>0</v>
      </c>
      <c r="K417" s="73">
        <v>4.5</v>
      </c>
      <c r="L417" s="73">
        <v>0</v>
      </c>
      <c r="M417" s="73">
        <v>0</v>
      </c>
      <c r="N417" s="73">
        <v>0</v>
      </c>
      <c r="O417" s="73" t="s">
        <v>994</v>
      </c>
      <c r="P417" s="73" t="s">
        <v>2639</v>
      </c>
      <c r="Q417" s="73" t="s">
        <v>2639</v>
      </c>
      <c r="R417" s="73">
        <v>5</v>
      </c>
      <c r="S417" s="73">
        <v>2</v>
      </c>
      <c r="T417" s="73">
        <v>0</v>
      </c>
      <c r="U417" s="73">
        <v>0</v>
      </c>
      <c r="V417" s="73">
        <v>1860</v>
      </c>
      <c r="W417" s="73">
        <v>18</v>
      </c>
      <c r="X417" s="73">
        <v>6</v>
      </c>
      <c r="Y417" s="73">
        <v>1</v>
      </c>
      <c r="Z417" s="73" t="s">
        <v>1717</v>
      </c>
      <c r="AA417" s="73" t="s">
        <v>691</v>
      </c>
      <c r="AB417" s="73" t="str">
        <f>IF(AA417&lt;&gt;"",INDEX(Lookup!$N$2:$N$5,MATCH(Players!AA417,Lookup!$P$2:$P$5,0)),INDEX(Lookup!$N$2:$N$5,MATCH(Players!O417,Lookup!$O$2:$O$5,0)))</f>
        <v>Midfield</v>
      </c>
      <c r="AC417" s="73">
        <v>3000000</v>
      </c>
      <c r="AD417" s="73" t="s">
        <v>788</v>
      </c>
      <c r="AE417" s="73" t="str">
        <f>INDEX('Translate table'!$H$2:$H$622,MATCH(Players!P417,'Translate table'!$G$2:$G$622,0))</f>
        <v>Mattias Svanberg</v>
      </c>
      <c r="AF417" s="73">
        <f>IFERROR(INDEX('Euro Qual stats'!$A$1:$L$2071,MATCH(Players!$AE417,'Euro Qual stats'!$A$1:$A$2071,0),MATCH(Players!AF$2,'Euro Qual stats'!$A$1:$L$1,0)),0)</f>
        <v>1</v>
      </c>
      <c r="AG417" s="73">
        <f>IFERROR(INDEX('Euro Qual stats'!$A$1:$L$2071,MATCH(Players!$AE417,'Euro Qual stats'!$A$1:$A$2071,0),MATCH(Players!AG$2,'Euro Qual stats'!$A$1:$L$1,0)),0)</f>
        <v>1</v>
      </c>
      <c r="AH417" s="73">
        <f>IFERROR(INDEX('Euro Qual stats'!$A$1:$L$2071,MATCH(Players!$AE417,'Euro Qual stats'!$A$1:$A$2071,0),MATCH(Players!AH$2,'Euro Qual stats'!$A$1:$L$1,0)),0)</f>
        <v>1</v>
      </c>
      <c r="AI417" s="73">
        <f>IFERROR(INDEX('Euro Qual stats'!$A$1:$L$2071,MATCH(Players!$AE417,'Euro Qual stats'!$A$1:$A$2071,0),MATCH(Players!AI$2,'Euro Qual stats'!$A$1:$L$1,0)),0)</f>
        <v>1</v>
      </c>
      <c r="AJ417" s="93">
        <f>(12-AF417)/12*INDEX(BV$9:BV$12,MATCH($AB417,$BU$9:$BU$12,0))+AF417/12*AG417</f>
        <v>0.23796684118673644</v>
      </c>
      <c r="AK417" s="93">
        <f>(12-AG417)/12*INDEX(BW$9:BW$12,MATCH($AB417,$BU$9:$BU$12,0))+AG417/12*AH417</f>
        <v>0.28811954624781849</v>
      </c>
      <c r="AL417" s="93">
        <f>(12-AH417)/12*INDEX(BX$9:BX$12,MATCH($AB417,$BU$9:$BU$12,0))+AH417/12*AI417</f>
        <v>0.30280541012216405</v>
      </c>
      <c r="AM417" s="93">
        <f>IF($BC417=1,AJ417/SUMIFS(AJ$3:AJ$623,$BC$3:$BC$623,1,$G$3:$G$623,$G417),0)</f>
        <v>0</v>
      </c>
      <c r="AN417" s="93">
        <f>IF($BC417=1,AK417/SUMIFS(AK$3:AK$623,$BC$3:$BC$623,1,$G$3:$G$623,$G417),0)</f>
        <v>0</v>
      </c>
      <c r="AO417" s="93">
        <f>IF($BC417=1,AL417/SUMIFS(AL$3:AL$623,$BC$3:$BC$623,1,$G$3:$G$623,$G417),0)</f>
        <v>0</v>
      </c>
      <c r="AP417" s="2">
        <f>IFERROR(R417/$V417*90,"")</f>
        <v>0.24193548387096775</v>
      </c>
      <c r="AQ417" s="2">
        <f>IFERROR(S417/$V417*90,"")</f>
        <v>9.6774193548387094E-2</v>
      </c>
      <c r="AR417" s="2">
        <f>IFERROR(W417/$V417*90,"")</f>
        <v>0.87096774193548387</v>
      </c>
      <c r="AS417" s="2">
        <f>IFERROR(X417/$V417*90,"")</f>
        <v>0.29032258064516131</v>
      </c>
      <c r="AT417" s="2">
        <f>IFERROR(Y417/$V417*90,"")</f>
        <v>4.8387096774193547E-2</v>
      </c>
      <c r="AU417" s="2">
        <f>IF(AP417="",INDEX(BV$4:BV$7,MATCH(O417,$BU$4:$BU$7,0)),AP417)</f>
        <v>0.24193548387096775</v>
      </c>
      <c r="AV417" s="2">
        <f>IF(AQ417="",INDEX(BW$4:BW$7,MATCH($O417,$BU$4:$BU$7,0)),AQ417)</f>
        <v>9.6774193548387094E-2</v>
      </c>
      <c r="AW417" s="2">
        <f t="shared" si="72"/>
        <v>0.87096774193548387</v>
      </c>
      <c r="AX417" s="2">
        <f t="shared" si="73"/>
        <v>0.29032258064516131</v>
      </c>
      <c r="AY417" s="2">
        <f t="shared" si="74"/>
        <v>4.8387096774193547E-2</v>
      </c>
      <c r="AZ417" s="2">
        <f>AU417*0.5+AK417*0.5</f>
        <v>0.26502751505939315</v>
      </c>
      <c r="BA417" s="2">
        <f>AV417*0.5+AJ417*0.5</f>
        <v>0.16737051736756176</v>
      </c>
      <c r="BB417" s="2">
        <f t="shared" si="75"/>
        <v>0.64516129032258063</v>
      </c>
      <c r="BC417">
        <f>IF(I417="expected",1,0)</f>
        <v>0</v>
      </c>
      <c r="BD417" s="78">
        <f>IF(BC417=1,AZ417/SUMIFS(AZ$3:AZ$623,$BC$3:$BC$623,1,$G$3:$G$623,$G417),0)</f>
        <v>0</v>
      </c>
      <c r="BE417" s="78">
        <f>IF(BC417=1,BA417/SUMIFS(BA$3:BA$623,$BC$3:$BC$623,1,$G$3:$G$623,$G417),0)</f>
        <v>0</v>
      </c>
      <c r="BF417" s="78">
        <f t="shared" si="76"/>
        <v>0</v>
      </c>
      <c r="BG417" s="2">
        <f t="shared" si="77"/>
        <v>0.64516129032258063</v>
      </c>
      <c r="BH417" s="2">
        <f t="shared" si="78"/>
        <v>4.8387096774193547E-2</v>
      </c>
      <c r="BI417" s="2">
        <f t="shared" si="79"/>
        <v>0</v>
      </c>
      <c r="BJ417" s="2">
        <f t="shared" si="80"/>
        <v>0</v>
      </c>
      <c r="BK417" s="2">
        <f t="shared" si="81"/>
        <v>0</v>
      </c>
      <c r="BL417" s="2">
        <f t="shared" si="82"/>
        <v>0.64516129032258063</v>
      </c>
      <c r="BM417" s="2">
        <f t="shared" si="83"/>
        <v>4.8387096774193547E-2</v>
      </c>
      <c r="BN417" s="2">
        <f>BI417/SUMIFS(BI$3:BI$623,$BC$3:$BC$623,1,$G$3:$G$623,$G417)</f>
        <v>0</v>
      </c>
      <c r="BO417" s="2">
        <f>BJ417/SUMIFS(BJ$3:BJ$623,$BC$3:$BC$623,1,$G$3:$G$623,$G417)</f>
        <v>0</v>
      </c>
      <c r="BP417" s="2">
        <f>BK417/SUMIFS(BK$3:BK$623,$BC$3:$BC$623,1,$G$3:$G$623,$G417)</f>
        <v>0</v>
      </c>
      <c r="BQ417" s="2">
        <f>BL417</f>
        <v>0.64516129032258063</v>
      </c>
      <c r="BR417" s="2">
        <f>BM417</f>
        <v>4.8387096774193547E-2</v>
      </c>
    </row>
    <row r="418" spans="1:70" hidden="1">
      <c r="A418" s="74">
        <v>0</v>
      </c>
      <c r="B418" s="73">
        <v>204817</v>
      </c>
      <c r="C418" s="73" t="s">
        <v>2640</v>
      </c>
      <c r="D418" s="73" t="s">
        <v>2641</v>
      </c>
      <c r="E418" s="73" t="s">
        <v>2642</v>
      </c>
      <c r="F418" s="73">
        <v>18564</v>
      </c>
      <c r="G418" s="73" t="s">
        <v>886</v>
      </c>
      <c r="H418" s="73" t="s">
        <v>919</v>
      </c>
      <c r="I418" s="73" t="s">
        <v>1012</v>
      </c>
      <c r="J418" s="73">
        <v>0</v>
      </c>
      <c r="K418" s="73">
        <v>4.5</v>
      </c>
      <c r="L418" s="73">
        <v>0</v>
      </c>
      <c r="M418" s="73">
        <v>0</v>
      </c>
      <c r="N418" s="73">
        <v>0</v>
      </c>
      <c r="O418" s="73" t="s">
        <v>994</v>
      </c>
      <c r="P418" s="73" t="s">
        <v>2643</v>
      </c>
      <c r="Q418" s="73" t="s">
        <v>2644</v>
      </c>
      <c r="R418" s="73">
        <v>0</v>
      </c>
      <c r="S418" s="73">
        <v>0</v>
      </c>
      <c r="T418" s="73">
        <v>0</v>
      </c>
      <c r="U418" s="73">
        <v>0</v>
      </c>
      <c r="V418" s="73">
        <v>91</v>
      </c>
      <c r="W418" s="73">
        <v>0</v>
      </c>
      <c r="X418" s="73">
        <v>2</v>
      </c>
      <c r="Y418" s="73">
        <v>0</v>
      </c>
      <c r="Z418" s="73" t="s">
        <v>1717</v>
      </c>
      <c r="AA418" s="73" t="s">
        <v>691</v>
      </c>
      <c r="AB418" s="73" t="str">
        <f>IF(AA418&lt;&gt;"",INDEX(Lookup!$N$2:$N$5,MATCH(Players!AA418,Lookup!$P$2:$P$5,0)),INDEX(Lookup!$N$2:$N$5,MATCH(Players!O418,Lookup!$O$2:$O$5,0)))</f>
        <v>Midfield</v>
      </c>
      <c r="AC418" s="73">
        <v>3500000</v>
      </c>
      <c r="AD418" s="73" t="s">
        <v>788</v>
      </c>
      <c r="AE418" s="73" t="str">
        <f>INDEX('Translate table'!$H$2:$H$622,MATCH(Players!P418,'Translate table'!$G$2:$G$622,0))</f>
        <v>Kristoffer Olsson</v>
      </c>
      <c r="AF418" s="73">
        <f>IFERROR(INDEX('Euro Qual stats'!$A$1:$L$2071,MATCH(Players!$AE418,'Euro Qual stats'!$A$1:$A$2071,0),MATCH(Players!AF$2,'Euro Qual stats'!$A$1:$L$1,0)),0)</f>
        <v>10</v>
      </c>
      <c r="AG418" s="73">
        <f>IFERROR(INDEX('Euro Qual stats'!$A$1:$L$2071,MATCH(Players!$AE418,'Euro Qual stats'!$A$1:$A$2071,0),MATCH(Players!AG$2,'Euro Qual stats'!$A$1:$L$1,0)),0)</f>
        <v>0</v>
      </c>
      <c r="AH418" s="73">
        <f>IFERROR(INDEX('Euro Qual stats'!$A$1:$L$2071,MATCH(Players!$AE418,'Euro Qual stats'!$A$1:$A$2071,0),MATCH(Players!AH$2,'Euro Qual stats'!$A$1:$L$1,0)),0)</f>
        <v>0</v>
      </c>
      <c r="AI418" s="73">
        <f>IFERROR(INDEX('Euro Qual stats'!$A$1:$L$2071,MATCH(Players!$AE418,'Euro Qual stats'!$A$1:$A$2071,0),MATCH(Players!AI$2,'Euro Qual stats'!$A$1:$L$1,0)),0)</f>
        <v>0.22</v>
      </c>
      <c r="AJ418" s="93">
        <f>(12-AF418)/12*INDEX(BV$9:BV$12,MATCH($AB418,$BU$9:$BU$12,0))+AF418/12*AG418</f>
        <v>2.8115183246073296E-2</v>
      </c>
      <c r="AK418" s="93">
        <f>(12-AG418)/12*INDEX(BW$9:BW$12,MATCH($AB418,$BU$9:$BU$12,0))+AG418/12*AH418</f>
        <v>0.22340314136125652</v>
      </c>
      <c r="AL418" s="93">
        <f>(12-AH418)/12*INDEX(BX$9:BX$12,MATCH($AB418,$BU$9:$BU$12,0))+AH418/12*AI418</f>
        <v>0.23942408376963353</v>
      </c>
      <c r="AM418" s="93">
        <f>IF($BC418=1,AJ418/SUMIFS(AJ$3:AJ$623,$BC$3:$BC$623,1,$G$3:$G$623,$G418),0)</f>
        <v>0</v>
      </c>
      <c r="AN418" s="93">
        <f>IF($BC418=1,AK418/SUMIFS(AK$3:AK$623,$BC$3:$BC$623,1,$G$3:$G$623,$G418),0)</f>
        <v>0</v>
      </c>
      <c r="AO418" s="93">
        <f>IF($BC418=1,AL418/SUMIFS(AL$3:AL$623,$BC$3:$BC$623,1,$G$3:$G$623,$G418),0)</f>
        <v>0</v>
      </c>
      <c r="AP418" s="2">
        <f>IFERROR(R418/$V418*90,"")</f>
        <v>0</v>
      </c>
      <c r="AQ418" s="2">
        <f>IFERROR(S418/$V418*90,"")</f>
        <v>0</v>
      </c>
      <c r="AR418" s="2">
        <f>IFERROR(W418/$V418*90,"")</f>
        <v>0</v>
      </c>
      <c r="AS418" s="2">
        <f>IFERROR(X418/$V418*90,"")</f>
        <v>1.9780219780219781</v>
      </c>
      <c r="AT418" s="2">
        <f>IFERROR(Y418/$V418*90,"")</f>
        <v>0</v>
      </c>
      <c r="AU418" s="2">
        <f>IF(AP418="",INDEX(BV$4:BV$7,MATCH(O418,$BU$4:$BU$7,0)),AP418)</f>
        <v>0</v>
      </c>
      <c r="AV418" s="2">
        <f>IF(AQ418="",INDEX(BW$4:BW$7,MATCH($O418,$BU$4:$BU$7,0)),AQ418)</f>
        <v>0</v>
      </c>
      <c r="AW418" s="2">
        <f t="shared" si="72"/>
        <v>0</v>
      </c>
      <c r="AX418" s="2">
        <f t="shared" si="73"/>
        <v>1.9780219780219781</v>
      </c>
      <c r="AY418" s="2">
        <f t="shared" si="74"/>
        <v>0</v>
      </c>
      <c r="AZ418" s="2">
        <f>AU418*0.5+AK418*0.5</f>
        <v>0.11170157068062826</v>
      </c>
      <c r="BA418" s="2">
        <f>AV418*0.5+AJ418*0.5</f>
        <v>1.4057591623036648E-2</v>
      </c>
      <c r="BB418" s="2">
        <f t="shared" si="75"/>
        <v>1.0990109890109891</v>
      </c>
      <c r="BC418">
        <f>IF(I418="expected",1,0)</f>
        <v>0</v>
      </c>
      <c r="BD418" s="78">
        <f>IF(BC418=1,AZ418/SUMIFS(AZ$3:AZ$623,$BC$3:$BC$623,1,$G$3:$G$623,$G418),0)</f>
        <v>0</v>
      </c>
      <c r="BE418" s="78">
        <f>IF(BC418=1,BA418/SUMIFS(BA$3:BA$623,$BC$3:$BC$623,1,$G$3:$G$623,$G418),0)</f>
        <v>0</v>
      </c>
      <c r="BF418" s="78">
        <f t="shared" si="76"/>
        <v>0</v>
      </c>
      <c r="BG418" s="2">
        <f t="shared" si="77"/>
        <v>1.0990109890109891</v>
      </c>
      <c r="BH418" s="2">
        <f t="shared" si="78"/>
        <v>0</v>
      </c>
      <c r="BI418" s="2">
        <f t="shared" si="79"/>
        <v>0</v>
      </c>
      <c r="BJ418" s="2">
        <f t="shared" si="80"/>
        <v>0</v>
      </c>
      <c r="BK418" s="2">
        <f t="shared" si="81"/>
        <v>0</v>
      </c>
      <c r="BL418" s="2">
        <f t="shared" si="82"/>
        <v>1.0990109890109891</v>
      </c>
      <c r="BM418" s="2">
        <f t="shared" si="83"/>
        <v>0</v>
      </c>
      <c r="BN418" s="2">
        <f>BI418/SUMIFS(BI$3:BI$623,$BC$3:$BC$623,1,$G$3:$G$623,$G418)</f>
        <v>0</v>
      </c>
      <c r="BO418" s="2">
        <f>BJ418/SUMIFS(BJ$3:BJ$623,$BC$3:$BC$623,1,$G$3:$G$623,$G418)</f>
        <v>0</v>
      </c>
      <c r="BP418" s="2">
        <f>BK418/SUMIFS(BK$3:BK$623,$BC$3:$BC$623,1,$G$3:$G$623,$G418)</f>
        <v>0</v>
      </c>
      <c r="BQ418" s="2">
        <f>BL418</f>
        <v>1.0990109890109891</v>
      </c>
      <c r="BR418" s="2">
        <f>BM418</f>
        <v>0</v>
      </c>
    </row>
    <row r="419" spans="1:70" hidden="1">
      <c r="A419" s="74">
        <v>0</v>
      </c>
      <c r="B419" s="73">
        <v>204816</v>
      </c>
      <c r="C419" s="73" t="s">
        <v>2646</v>
      </c>
      <c r="D419" s="73" t="s">
        <v>2647</v>
      </c>
      <c r="E419" s="73" t="s">
        <v>2648</v>
      </c>
      <c r="F419" s="73">
        <v>18564</v>
      </c>
      <c r="G419" s="73" t="s">
        <v>886</v>
      </c>
      <c r="H419" s="73" t="s">
        <v>919</v>
      </c>
      <c r="I419" s="73" t="s">
        <v>1012</v>
      </c>
      <c r="J419" s="73">
        <v>0</v>
      </c>
      <c r="K419" s="73">
        <v>4.5</v>
      </c>
      <c r="L419" s="73">
        <v>0</v>
      </c>
      <c r="M419" s="73">
        <v>0</v>
      </c>
      <c r="N419" s="73">
        <v>0</v>
      </c>
      <c r="O419" s="73" t="s">
        <v>994</v>
      </c>
      <c r="P419" s="73" t="s">
        <v>2649</v>
      </c>
      <c r="Q419" s="73" t="s">
        <v>2650</v>
      </c>
      <c r="R419" s="73">
        <v>0</v>
      </c>
      <c r="S419" s="73">
        <v>2</v>
      </c>
      <c r="T419" s="73">
        <v>0</v>
      </c>
      <c r="U419" s="73">
        <v>1</v>
      </c>
      <c r="V419" s="73">
        <v>1689</v>
      </c>
      <c r="W419" s="73">
        <v>5</v>
      </c>
      <c r="X419" s="73">
        <v>6</v>
      </c>
      <c r="Y419" s="73">
        <v>0</v>
      </c>
      <c r="Z419" s="73" t="s">
        <v>1717</v>
      </c>
      <c r="AA419" s="73" t="s">
        <v>691</v>
      </c>
      <c r="AB419" s="73" t="str">
        <f>IF(AA419&lt;&gt;"",INDEX(Lookup!$N$2:$N$5,MATCH(Players!AA419,Lookup!$P$2:$P$5,0)),INDEX(Lookup!$N$2:$N$5,MATCH(Players!O419,Lookup!$O$2:$O$5,0)))</f>
        <v>Midfield</v>
      </c>
      <c r="AC419" s="73">
        <v>2500000</v>
      </c>
      <c r="AD419" s="73" t="s">
        <v>788</v>
      </c>
      <c r="AE419" s="73" t="str">
        <f>INDEX('Translate table'!$H$2:$H$622,MATCH(Players!P419,'Translate table'!$G$2:$G$622,0))</f>
        <v>Ken Sema</v>
      </c>
      <c r="AF419" s="73">
        <f>IFERROR(INDEX('Euro Qual stats'!$A$1:$L$2071,MATCH(Players!$AE419,'Euro Qual stats'!$A$1:$A$2071,0),MATCH(Players!AF$2,'Euro Qual stats'!$A$1:$L$1,0)),0)</f>
        <v>1</v>
      </c>
      <c r="AG419" s="73">
        <f>IFERROR(INDEX('Euro Qual stats'!$A$1:$L$2071,MATCH(Players!$AE419,'Euro Qual stats'!$A$1:$A$2071,0),MATCH(Players!AG$2,'Euro Qual stats'!$A$1:$L$1,0)),0)</f>
        <v>0</v>
      </c>
      <c r="AH419" s="73">
        <f>IFERROR(INDEX('Euro Qual stats'!$A$1:$L$2071,MATCH(Players!$AE419,'Euro Qual stats'!$A$1:$A$2071,0),MATCH(Players!AH$2,'Euro Qual stats'!$A$1:$L$1,0)),0)</f>
        <v>0</v>
      </c>
      <c r="AI419" s="73">
        <f>IFERROR(INDEX('Euro Qual stats'!$A$1:$L$2071,MATCH(Players!$AE419,'Euro Qual stats'!$A$1:$A$2071,0),MATCH(Players!AI$2,'Euro Qual stats'!$A$1:$L$1,0)),0)</f>
        <v>0</v>
      </c>
      <c r="AJ419" s="93">
        <f>(12-AF419)/12*INDEX(BV$9:BV$12,MATCH($AB419,$BU$9:$BU$12,0))+AF419/12*AG419</f>
        <v>0.15463350785340313</v>
      </c>
      <c r="AK419" s="93">
        <f>(12-AG419)/12*INDEX(BW$9:BW$12,MATCH($AB419,$BU$9:$BU$12,0))+AG419/12*AH419</f>
        <v>0.22340314136125652</v>
      </c>
      <c r="AL419" s="93">
        <f>(12-AH419)/12*INDEX(BX$9:BX$12,MATCH($AB419,$BU$9:$BU$12,0))+AH419/12*AI419</f>
        <v>0.23942408376963353</v>
      </c>
      <c r="AM419" s="93">
        <f>IF($BC419=1,AJ419/SUMIFS(AJ$3:AJ$623,$BC$3:$BC$623,1,$G$3:$G$623,$G419),0)</f>
        <v>0</v>
      </c>
      <c r="AN419" s="93">
        <f>IF($BC419=1,AK419/SUMIFS(AK$3:AK$623,$BC$3:$BC$623,1,$G$3:$G$623,$G419),0)</f>
        <v>0</v>
      </c>
      <c r="AO419" s="93">
        <f>IF($BC419=1,AL419/SUMIFS(AL$3:AL$623,$BC$3:$BC$623,1,$G$3:$G$623,$G419),0)</f>
        <v>0</v>
      </c>
      <c r="AP419" s="2">
        <f>IFERROR(R419/$V419*90,"")</f>
        <v>0</v>
      </c>
      <c r="AQ419" s="2">
        <f>IFERROR(S419/$V419*90,"")</f>
        <v>0.10657193605683836</v>
      </c>
      <c r="AR419" s="2">
        <f>IFERROR(W419/$V419*90,"")</f>
        <v>0.26642984014209592</v>
      </c>
      <c r="AS419" s="2">
        <f>IFERROR(X419/$V419*90,"")</f>
        <v>0.31971580817051509</v>
      </c>
      <c r="AT419" s="2">
        <f>IFERROR(Y419/$V419*90,"")</f>
        <v>0</v>
      </c>
      <c r="AU419" s="2">
        <f>IF(AP419="",INDEX(BV$4:BV$7,MATCH(O419,$BU$4:$BU$7,0)),AP419)</f>
        <v>0</v>
      </c>
      <c r="AV419" s="2">
        <f>IF(AQ419="",INDEX(BW$4:BW$7,MATCH($O419,$BU$4:$BU$7,0)),AQ419)</f>
        <v>0.10657193605683836</v>
      </c>
      <c r="AW419" s="2">
        <f t="shared" si="72"/>
        <v>0.26642984014209592</v>
      </c>
      <c r="AX419" s="2">
        <f t="shared" si="73"/>
        <v>0.31971580817051509</v>
      </c>
      <c r="AY419" s="2">
        <f t="shared" si="74"/>
        <v>0</v>
      </c>
      <c r="AZ419" s="2">
        <f>AU419*0.5+AK419*0.5</f>
        <v>0.11170157068062826</v>
      </c>
      <c r="BA419" s="2">
        <f>AV419*0.5+AJ419*0.5</f>
        <v>0.13060272195512074</v>
      </c>
      <c r="BB419" s="2">
        <f t="shared" si="75"/>
        <v>0.15985790408525755</v>
      </c>
      <c r="BC419">
        <f>IF(I419="expected",1,0)</f>
        <v>0</v>
      </c>
      <c r="BD419" s="78">
        <f>IF(BC419=1,AZ419/SUMIFS(AZ$3:AZ$623,$BC$3:$BC$623,1,$G$3:$G$623,$G419),0)</f>
        <v>0</v>
      </c>
      <c r="BE419" s="78">
        <f>IF(BC419=1,BA419/SUMIFS(BA$3:BA$623,$BC$3:$BC$623,1,$G$3:$G$623,$G419),0)</f>
        <v>0</v>
      </c>
      <c r="BF419" s="78">
        <f t="shared" si="76"/>
        <v>0</v>
      </c>
      <c r="BG419" s="2">
        <f t="shared" si="77"/>
        <v>0.15985790408525755</v>
      </c>
      <c r="BH419" s="2">
        <f t="shared" si="78"/>
        <v>0</v>
      </c>
      <c r="BI419" s="2">
        <f t="shared" si="79"/>
        <v>0</v>
      </c>
      <c r="BJ419" s="2">
        <f t="shared" si="80"/>
        <v>0</v>
      </c>
      <c r="BK419" s="2">
        <f t="shared" si="81"/>
        <v>0</v>
      </c>
      <c r="BL419" s="2">
        <f t="shared" si="82"/>
        <v>0.15985790408525755</v>
      </c>
      <c r="BM419" s="2">
        <f t="shared" si="83"/>
        <v>0</v>
      </c>
      <c r="BN419" s="2">
        <f>BI419/SUMIFS(BI$3:BI$623,$BC$3:$BC$623,1,$G$3:$G$623,$G419)</f>
        <v>0</v>
      </c>
      <c r="BO419" s="2">
        <f>BJ419/SUMIFS(BJ$3:BJ$623,$BC$3:$BC$623,1,$G$3:$G$623,$G419)</f>
        <v>0</v>
      </c>
      <c r="BP419" s="2">
        <f>BK419/SUMIFS(BK$3:BK$623,$BC$3:$BC$623,1,$G$3:$G$623,$G419)</f>
        <v>0</v>
      </c>
      <c r="BQ419" s="2">
        <f>BL419</f>
        <v>0.15985790408525755</v>
      </c>
      <c r="BR419" s="2">
        <f>BM419</f>
        <v>0</v>
      </c>
    </row>
    <row r="420" spans="1:70" hidden="1">
      <c r="A420" s="74">
        <v>0</v>
      </c>
      <c r="B420" s="73">
        <v>204807</v>
      </c>
      <c r="C420" s="73" t="s">
        <v>2651</v>
      </c>
      <c r="D420" s="73"/>
      <c r="E420" s="73" t="s">
        <v>2652</v>
      </c>
      <c r="F420" s="73">
        <v>18564</v>
      </c>
      <c r="G420" s="73" t="s">
        <v>886</v>
      </c>
      <c r="H420" s="73" t="s">
        <v>919</v>
      </c>
      <c r="I420" s="73" t="s">
        <v>981</v>
      </c>
      <c r="J420" s="73">
        <v>0</v>
      </c>
      <c r="K420" s="73">
        <v>4.5</v>
      </c>
      <c r="L420" s="73">
        <v>0</v>
      </c>
      <c r="M420" s="73">
        <v>0</v>
      </c>
      <c r="N420" s="73">
        <v>0</v>
      </c>
      <c r="O420" s="73" t="s">
        <v>994</v>
      </c>
      <c r="P420" s="73" t="s">
        <v>2653</v>
      </c>
      <c r="Q420" s="73" t="s">
        <v>320</v>
      </c>
      <c r="R420" s="73">
        <v>0</v>
      </c>
      <c r="S420" s="73">
        <v>0</v>
      </c>
      <c r="T420" s="73">
        <v>2</v>
      </c>
      <c r="U420" s="73">
        <v>0</v>
      </c>
      <c r="V420" s="73">
        <v>90</v>
      </c>
      <c r="W420" s="73">
        <v>0</v>
      </c>
      <c r="X420" s="73">
        <v>0</v>
      </c>
      <c r="Y420" s="73">
        <v>0</v>
      </c>
      <c r="Z420" s="73" t="s">
        <v>1717</v>
      </c>
      <c r="AA420" s="73" t="s">
        <v>691</v>
      </c>
      <c r="AB420" s="73" t="str">
        <f>IF(AA420&lt;&gt;"",INDEX(Lookup!$N$2:$N$5,MATCH(Players!AA420,Lookup!$P$2:$P$5,0)),INDEX(Lookup!$N$2:$N$5,MATCH(Players!O420,Lookup!$O$2:$O$5,0)))</f>
        <v>Midfield</v>
      </c>
      <c r="AC420" s="73">
        <v>4000000</v>
      </c>
      <c r="AD420" s="73" t="s">
        <v>790</v>
      </c>
      <c r="AE420" s="73" t="str">
        <f>INDEX('Translate table'!$H$2:$H$622,MATCH(Players!P420,'Translate table'!$G$2:$G$622,0))</f>
        <v>Sebastian Larsson</v>
      </c>
      <c r="AF420" s="73">
        <f>IFERROR(INDEX('Euro Qual stats'!$A$1:$L$2071,MATCH(Players!$AE420,'Euro Qual stats'!$A$1:$A$2071,0),MATCH(Players!AF$2,'Euro Qual stats'!$A$1:$L$1,0)),0)</f>
        <v>9</v>
      </c>
      <c r="AG420" s="73">
        <f>IFERROR(INDEX('Euro Qual stats'!$A$1:$L$2071,MATCH(Players!$AE420,'Euro Qual stats'!$A$1:$A$2071,0),MATCH(Players!AG$2,'Euro Qual stats'!$A$1:$L$1,0)),0)</f>
        <v>0.27</v>
      </c>
      <c r="AH420" s="73">
        <f>IFERROR(INDEX('Euro Qual stats'!$A$1:$L$2071,MATCH(Players!$AE420,'Euro Qual stats'!$A$1:$A$2071,0),MATCH(Players!AH$2,'Euro Qual stats'!$A$1:$L$1,0)),0)</f>
        <v>0.27</v>
      </c>
      <c r="AI420" s="73">
        <f>IFERROR(INDEX('Euro Qual stats'!$A$1:$L$2071,MATCH(Players!$AE420,'Euro Qual stats'!$A$1:$A$2071,0),MATCH(Players!AI$2,'Euro Qual stats'!$A$1:$L$1,0)),0)</f>
        <v>0.27</v>
      </c>
      <c r="AJ420" s="93">
        <f>(12-AF420)/12*INDEX(BV$9:BV$12,MATCH($AB420,$BU$9:$BU$12,0))+AF420/12*AG420</f>
        <v>0.24467277486910996</v>
      </c>
      <c r="AK420" s="93">
        <f>(12-AG420)/12*INDEX(BW$9:BW$12,MATCH($AB420,$BU$9:$BU$12,0))+AG420/12*AH420</f>
        <v>0.22445157068062827</v>
      </c>
      <c r="AL420" s="93">
        <f>(12-AH420)/12*INDEX(BX$9:BX$12,MATCH($AB420,$BU$9:$BU$12,0))+AH420/12*AI420</f>
        <v>0.24011204188481677</v>
      </c>
      <c r="AM420" s="93">
        <f>IF($BC420=1,AJ420/SUMIFS(AJ$3:AJ$623,$BC$3:$BC$623,1,$G$3:$G$623,$G420),0)</f>
        <v>0.19173078563540952</v>
      </c>
      <c r="AN420" s="93">
        <f>IF($BC420=1,AK420/SUMIFS(AK$3:AK$623,$BC$3:$BC$623,1,$G$3:$G$623,$G420),0)</f>
        <v>0.10384006535181424</v>
      </c>
      <c r="AO420" s="93">
        <f>IF($BC420=1,AL420/SUMIFS(AL$3:AL$623,$BC$3:$BC$623,1,$G$3:$G$623,$G420),0)</f>
        <v>0.13172541931672285</v>
      </c>
      <c r="AP420" s="2">
        <f>IFERROR(R420/$V420*90,"")</f>
        <v>0</v>
      </c>
      <c r="AQ420" s="2">
        <f>IFERROR(S420/$V420*90,"")</f>
        <v>0</v>
      </c>
      <c r="AR420" s="2">
        <f>IFERROR(W420/$V420*90,"")</f>
        <v>0</v>
      </c>
      <c r="AS420" s="2">
        <f>IFERROR(X420/$V420*90,"")</f>
        <v>0</v>
      </c>
      <c r="AT420" s="2">
        <f>IFERROR(Y420/$V420*90,"")</f>
        <v>0</v>
      </c>
      <c r="AU420" s="2">
        <f>IF(AP420="",INDEX(BV$4:BV$7,MATCH(O420,$BU$4:$BU$7,0)),AP420)</f>
        <v>0</v>
      </c>
      <c r="AV420" s="2">
        <f>IF(AQ420="",INDEX(BW$4:BW$7,MATCH($O420,$BU$4:$BU$7,0)),AQ420)</f>
        <v>0</v>
      </c>
      <c r="AW420" s="2">
        <f t="shared" si="72"/>
        <v>0</v>
      </c>
      <c r="AX420" s="2">
        <f t="shared" si="73"/>
        <v>0</v>
      </c>
      <c r="AY420" s="2">
        <f t="shared" si="74"/>
        <v>0</v>
      </c>
      <c r="AZ420" s="2">
        <f>AU420*0.5+AK420*0.5</f>
        <v>0.11222578534031413</v>
      </c>
      <c r="BA420" s="2">
        <f>AV420*0.5+AJ420*0.5</f>
        <v>0.12233638743455498</v>
      </c>
      <c r="BB420" s="2">
        <f t="shared" si="75"/>
        <v>0.13500000000000001</v>
      </c>
      <c r="BC420">
        <f>IF(I420="expected",1,0)</f>
        <v>1</v>
      </c>
      <c r="BD420" s="78">
        <f>IF(BC420=1,AZ420/SUMIFS(AZ$3:AZ$623,$BC$3:$BC$623,1,$G$3:$G$623,$G420),0)</f>
        <v>7.0977670277267743E-2</v>
      </c>
      <c r="BE420" s="78">
        <f>IF(BC420=1,BA420/SUMIFS(BA$3:BA$623,$BC$3:$BC$623,1,$G$3:$G$623,$G420),0)</f>
        <v>0.13619933979961416</v>
      </c>
      <c r="BF420" s="78">
        <f t="shared" si="76"/>
        <v>0</v>
      </c>
      <c r="BG420" s="2">
        <f t="shared" si="77"/>
        <v>0.13500000000000001</v>
      </c>
      <c r="BH420" s="2">
        <f t="shared" si="78"/>
        <v>0</v>
      </c>
      <c r="BI420" s="2">
        <f t="shared" si="79"/>
        <v>7.0977670277267743E-2</v>
      </c>
      <c r="BJ420" s="2">
        <f t="shared" si="80"/>
        <v>0.13619933979961416</v>
      </c>
      <c r="BK420" s="2">
        <f t="shared" si="81"/>
        <v>0</v>
      </c>
      <c r="BL420" s="2">
        <f t="shared" si="82"/>
        <v>0.13500000000000001</v>
      </c>
      <c r="BM420" s="2">
        <f t="shared" si="83"/>
        <v>0</v>
      </c>
      <c r="BN420" s="2">
        <f>BI420/SUMIFS(BI$3:BI$623,$BC$3:$BC$623,1,$G$3:$G$623,$G420)</f>
        <v>7.271748365309226E-2</v>
      </c>
      <c r="BO420" s="2">
        <f>BJ420/SUMIFS(BJ$3:BJ$623,$BC$3:$BC$623,1,$G$3:$G$623,$G420)</f>
        <v>0.13619933979961416</v>
      </c>
      <c r="BP420" s="2">
        <f>BK420/SUMIFS(BK$3:BK$623,$BC$3:$BC$623,1,$G$3:$G$623,$G420)</f>
        <v>0</v>
      </c>
      <c r="BQ420" s="2">
        <f>BL420</f>
        <v>0.13500000000000001</v>
      </c>
      <c r="BR420" s="2">
        <f>BM420</f>
        <v>0</v>
      </c>
    </row>
    <row r="421" spans="1:70" hidden="1">
      <c r="A421" s="74">
        <v>0</v>
      </c>
      <c r="B421" s="73">
        <v>204991</v>
      </c>
      <c r="C421" s="73" t="s">
        <v>2655</v>
      </c>
      <c r="D421" s="73"/>
      <c r="E421" s="73" t="s">
        <v>2656</v>
      </c>
      <c r="F421" s="73">
        <v>18564</v>
      </c>
      <c r="G421" s="73" t="s">
        <v>886</v>
      </c>
      <c r="H421" s="73" t="s">
        <v>919</v>
      </c>
      <c r="I421" s="73" t="s">
        <v>1012</v>
      </c>
      <c r="J421" s="73">
        <v>0</v>
      </c>
      <c r="K421" s="73">
        <v>4.5</v>
      </c>
      <c r="L421" s="73">
        <v>0</v>
      </c>
      <c r="M421" s="73">
        <v>0</v>
      </c>
      <c r="N421" s="73">
        <v>0</v>
      </c>
      <c r="O421" s="73" t="s">
        <v>982</v>
      </c>
      <c r="P421" s="73" t="s">
        <v>2657</v>
      </c>
      <c r="Q421" s="73" t="s">
        <v>1567</v>
      </c>
      <c r="R421" s="73">
        <v>0</v>
      </c>
      <c r="S421" s="73">
        <v>0</v>
      </c>
      <c r="T421" s="73">
        <v>0</v>
      </c>
      <c r="U421" s="73">
        <v>0</v>
      </c>
      <c r="V421" s="73">
        <v>433</v>
      </c>
      <c r="W421" s="73">
        <v>0</v>
      </c>
      <c r="X421" s="73">
        <v>2</v>
      </c>
      <c r="Y421" s="73">
        <v>1</v>
      </c>
      <c r="Z421" s="73" t="s">
        <v>1717</v>
      </c>
      <c r="AA421" s="73" t="s">
        <v>693</v>
      </c>
      <c r="AB421" s="73" t="str">
        <f>IF(AA421&lt;&gt;"",INDEX(Lookup!$N$2:$N$5,MATCH(Players!AA421,Lookup!$P$2:$P$5,0)),INDEX(Lookup!$N$2:$N$5,MATCH(Players!O421,Lookup!$O$2:$O$5,0)))</f>
        <v>Striker</v>
      </c>
      <c r="AC421" s="73">
        <v>3000000</v>
      </c>
      <c r="AD421" s="73" t="s">
        <v>788</v>
      </c>
      <c r="AE421" s="73" t="str">
        <f>INDEX('Translate table'!$H$2:$H$622,MATCH(Players!P421,'Translate table'!$G$2:$G$622,0))</f>
        <v>Sebastian Larsson</v>
      </c>
      <c r="AF421" s="73">
        <f>IFERROR(INDEX('Euro Qual stats'!$A$1:$L$2071,MATCH(Players!$AE421,'Euro Qual stats'!$A$1:$A$2071,0),MATCH(Players!AF$2,'Euro Qual stats'!$A$1:$L$1,0)),0)</f>
        <v>9</v>
      </c>
      <c r="AG421" s="73">
        <f>IFERROR(INDEX('Euro Qual stats'!$A$1:$L$2071,MATCH(Players!$AE421,'Euro Qual stats'!$A$1:$A$2071,0),MATCH(Players!AG$2,'Euro Qual stats'!$A$1:$L$1,0)),0)</f>
        <v>0.27</v>
      </c>
      <c r="AH421" s="73">
        <f>IFERROR(INDEX('Euro Qual stats'!$A$1:$L$2071,MATCH(Players!$AE421,'Euro Qual stats'!$A$1:$A$2071,0),MATCH(Players!AH$2,'Euro Qual stats'!$A$1:$L$1,0)),0)</f>
        <v>0.27</v>
      </c>
      <c r="AI421" s="73">
        <f>IFERROR(INDEX('Euro Qual stats'!$A$1:$L$2071,MATCH(Players!$AE421,'Euro Qual stats'!$A$1:$A$2071,0),MATCH(Players!AI$2,'Euro Qual stats'!$A$1:$L$1,0)),0)</f>
        <v>0.27</v>
      </c>
      <c r="AJ421" s="93">
        <f>(12-AF421)/12*INDEX(BV$9:BV$12,MATCH($AB421,$BU$9:$BU$12,0))+AF421/12*AG421</f>
        <v>0.25372844827586211</v>
      </c>
      <c r="AK421" s="93">
        <f>(12-AG421)/12*INDEX(BW$9:BW$12,MATCH($AB421,$BU$9:$BU$12,0))+AG421/12*AH421</f>
        <v>0.52794202586206884</v>
      </c>
      <c r="AL421" s="93">
        <f>(12-AH421)/12*INDEX(BX$9:BX$12,MATCH($AB421,$BU$9:$BU$12,0))+AH421/12*AI421</f>
        <v>0.16719396551724142</v>
      </c>
      <c r="AM421" s="93">
        <f>IF($BC421=1,AJ421/SUMIFS(AJ$3:AJ$623,$BC$3:$BC$623,1,$G$3:$G$623,$G421),0)</f>
        <v>0</v>
      </c>
      <c r="AN421" s="93">
        <f>IF($BC421=1,AK421/SUMIFS(AK$3:AK$623,$BC$3:$BC$623,1,$G$3:$G$623,$G421),0)</f>
        <v>0</v>
      </c>
      <c r="AO421" s="93">
        <f>IF($BC421=1,AL421/SUMIFS(AL$3:AL$623,$BC$3:$BC$623,1,$G$3:$G$623,$G421),0)</f>
        <v>0</v>
      </c>
      <c r="AP421" s="2">
        <f>IFERROR(R421/$V421*90,"")</f>
        <v>0</v>
      </c>
      <c r="AQ421" s="2">
        <f>IFERROR(S421/$V421*90,"")</f>
        <v>0</v>
      </c>
      <c r="AR421" s="2">
        <f>IFERROR(W421/$V421*90,"")</f>
        <v>0</v>
      </c>
      <c r="AS421" s="2">
        <f>IFERROR(X421/$V421*90,"")</f>
        <v>0.41570438799076209</v>
      </c>
      <c r="AT421" s="2">
        <f>IFERROR(Y421/$V421*90,"")</f>
        <v>0.20785219399538105</v>
      </c>
      <c r="AU421" s="2">
        <f>IF(AP421="",INDEX(BV$4:BV$7,MATCH(O421,$BU$4:$BU$7,0)),AP421)</f>
        <v>0</v>
      </c>
      <c r="AV421" s="2">
        <f>IF(AQ421="",INDEX(BW$4:BW$7,MATCH($O421,$BU$4:$BU$7,0)),AQ421)</f>
        <v>0</v>
      </c>
      <c r="AW421" s="2">
        <f t="shared" si="72"/>
        <v>0</v>
      </c>
      <c r="AX421" s="2">
        <f t="shared" si="73"/>
        <v>0.41570438799076209</v>
      </c>
      <c r="AY421" s="2">
        <f t="shared" si="74"/>
        <v>0.20785219399538105</v>
      </c>
      <c r="AZ421" s="2">
        <f>AU421*0.5+AK421*0.5</f>
        <v>0.26397101293103442</v>
      </c>
      <c r="BA421" s="2">
        <f>AV421*0.5+AJ421*0.5</f>
        <v>0.12686422413793105</v>
      </c>
      <c r="BB421" s="2">
        <f t="shared" si="75"/>
        <v>0.34285219399538103</v>
      </c>
      <c r="BC421">
        <f>IF(I421="expected",1,0)</f>
        <v>0</v>
      </c>
      <c r="BD421" s="78">
        <f>IF(BC421=1,AZ421/SUMIFS(AZ$3:AZ$623,$BC$3:$BC$623,1,$G$3:$G$623,$G421),0)</f>
        <v>0</v>
      </c>
      <c r="BE421" s="78">
        <f>IF(BC421=1,BA421/SUMIFS(BA$3:BA$623,$BC$3:$BC$623,1,$G$3:$G$623,$G421),0)</f>
        <v>0</v>
      </c>
      <c r="BF421" s="78">
        <f t="shared" si="76"/>
        <v>0</v>
      </c>
      <c r="BG421" s="2">
        <f t="shared" si="77"/>
        <v>0.34285219399538103</v>
      </c>
      <c r="BH421" s="2">
        <f t="shared" si="78"/>
        <v>0.20785219399538105</v>
      </c>
      <c r="BI421" s="2">
        <f t="shared" si="79"/>
        <v>0</v>
      </c>
      <c r="BJ421" s="2">
        <f t="shared" si="80"/>
        <v>0</v>
      </c>
      <c r="BK421" s="2">
        <f t="shared" si="81"/>
        <v>0</v>
      </c>
      <c r="BL421" s="2">
        <f t="shared" si="82"/>
        <v>0.34285219399538103</v>
      </c>
      <c r="BM421" s="2">
        <f t="shared" si="83"/>
        <v>0.06</v>
      </c>
      <c r="BN421" s="2">
        <f>BI421/SUMIFS(BI$3:BI$623,$BC$3:$BC$623,1,$G$3:$G$623,$G421)</f>
        <v>0</v>
      </c>
      <c r="BO421" s="2">
        <f>BJ421/SUMIFS(BJ$3:BJ$623,$BC$3:$BC$623,1,$G$3:$G$623,$G421)</f>
        <v>0</v>
      </c>
      <c r="BP421" s="2">
        <f>BK421/SUMIFS(BK$3:BK$623,$BC$3:$BC$623,1,$G$3:$G$623,$G421)</f>
        <v>0</v>
      </c>
      <c r="BQ421" s="2">
        <f>BL421</f>
        <v>0.34285219399538103</v>
      </c>
      <c r="BR421" s="2">
        <f>BM421</f>
        <v>0.06</v>
      </c>
    </row>
    <row r="422" spans="1:70" hidden="1">
      <c r="A422" s="74">
        <v>0</v>
      </c>
      <c r="B422" s="73">
        <v>204818</v>
      </c>
      <c r="C422" s="73" t="s">
        <v>2658</v>
      </c>
      <c r="D422" s="73" t="s">
        <v>1859</v>
      </c>
      <c r="E422" s="73" t="s">
        <v>2659</v>
      </c>
      <c r="F422" s="73">
        <v>18564</v>
      </c>
      <c r="G422" s="73" t="s">
        <v>886</v>
      </c>
      <c r="H422" s="73" t="s">
        <v>919</v>
      </c>
      <c r="I422" s="73" t="s">
        <v>1012</v>
      </c>
      <c r="J422" s="73">
        <v>0</v>
      </c>
      <c r="K422" s="73">
        <v>4.5</v>
      </c>
      <c r="L422" s="73">
        <v>0</v>
      </c>
      <c r="M422" s="73">
        <v>0</v>
      </c>
      <c r="N422" s="73">
        <v>0</v>
      </c>
      <c r="O422" s="73" t="s">
        <v>982</v>
      </c>
      <c r="P422" s="73" t="s">
        <v>2660</v>
      </c>
      <c r="Q422" s="73" t="s">
        <v>2660</v>
      </c>
      <c r="R422" s="73">
        <v>6</v>
      </c>
      <c r="S422" s="73">
        <v>2</v>
      </c>
      <c r="T422" s="73">
        <v>0</v>
      </c>
      <c r="U422" s="73">
        <v>0</v>
      </c>
      <c r="V422" s="73">
        <v>1480</v>
      </c>
      <c r="W422" s="73">
        <v>17</v>
      </c>
      <c r="X422" s="73">
        <v>1</v>
      </c>
      <c r="Y422" s="73">
        <v>0</v>
      </c>
      <c r="Z422" s="73" t="s">
        <v>1717</v>
      </c>
      <c r="AA422" s="73" t="s">
        <v>691</v>
      </c>
      <c r="AB422" s="73" t="str">
        <f>IF(AA422&lt;&gt;"",INDEX(Lookup!$N$2:$N$5,MATCH(Players!AA422,Lookup!$P$2:$P$5,0)),INDEX(Lookup!$N$2:$N$5,MATCH(Players!O422,Lookup!$O$2:$O$5,0)))</f>
        <v>Midfield</v>
      </c>
      <c r="AC422" s="73">
        <v>4000000</v>
      </c>
      <c r="AD422" s="73" t="s">
        <v>788</v>
      </c>
      <c r="AE422" s="73" t="str">
        <f>INDEX('Translate table'!$H$2:$H$622,MATCH(Players!P422,'Translate table'!$G$2:$G$622,0))</f>
        <v>Robin Quaison</v>
      </c>
      <c r="AF422" s="73">
        <f>IFERROR(INDEX('Euro Qual stats'!$A$1:$L$2071,MATCH(Players!$AE422,'Euro Qual stats'!$A$1:$A$2071,0),MATCH(Players!AF$2,'Euro Qual stats'!$A$1:$L$1,0)),0)</f>
        <v>9</v>
      </c>
      <c r="AG422" s="73">
        <f>IFERROR(INDEX('Euro Qual stats'!$A$1:$L$2071,MATCH(Players!$AE422,'Euro Qual stats'!$A$1:$A$2071,0),MATCH(Players!AG$2,'Euro Qual stats'!$A$1:$L$1,0)),0)</f>
        <v>0.12</v>
      </c>
      <c r="AH422" s="73">
        <f>IFERROR(INDEX('Euro Qual stats'!$A$1:$L$2071,MATCH(Players!$AE422,'Euro Qual stats'!$A$1:$A$2071,0),MATCH(Players!AH$2,'Euro Qual stats'!$A$1:$L$1,0)),0)</f>
        <v>0.59</v>
      </c>
      <c r="AI422" s="73">
        <f>IFERROR(INDEX('Euro Qual stats'!$A$1:$L$2071,MATCH(Players!$AE422,'Euro Qual stats'!$A$1:$A$2071,0),MATCH(Players!AI$2,'Euro Qual stats'!$A$1:$L$1,0)),0)</f>
        <v>0.12</v>
      </c>
      <c r="AJ422" s="93">
        <f>(12-AF422)/12*INDEX(BV$9:BV$12,MATCH($AB422,$BU$9:$BU$12,0))+AF422/12*AG422</f>
        <v>0.13217277486910994</v>
      </c>
      <c r="AK422" s="93">
        <f>(12-AG422)/12*INDEX(BW$9:BW$12,MATCH($AB422,$BU$9:$BU$12,0))+AG422/12*AH422</f>
        <v>0.22706910994764398</v>
      </c>
      <c r="AL422" s="93">
        <f>(12-AH422)/12*INDEX(BX$9:BX$12,MATCH($AB422,$BU$9:$BU$12,0))+AH422/12*AI422</f>
        <v>0.23355239965095986</v>
      </c>
      <c r="AM422" s="93">
        <f>IF($BC422=1,AJ422/SUMIFS(AJ$3:AJ$623,$BC$3:$BC$623,1,$G$3:$G$623,$G422),0)</f>
        <v>0</v>
      </c>
      <c r="AN422" s="93">
        <f>IF($BC422=1,AK422/SUMIFS(AK$3:AK$623,$BC$3:$BC$623,1,$G$3:$G$623,$G422),0)</f>
        <v>0</v>
      </c>
      <c r="AO422" s="93">
        <f>IF($BC422=1,AL422/SUMIFS(AL$3:AL$623,$BC$3:$BC$623,1,$G$3:$G$623,$G422),0)</f>
        <v>0</v>
      </c>
      <c r="AP422" s="2">
        <f>IFERROR(R422/$V422*90,"")</f>
        <v>0.36486486486486491</v>
      </c>
      <c r="AQ422" s="2">
        <f>IFERROR(S422/$V422*90,"")</f>
        <v>0.12162162162162163</v>
      </c>
      <c r="AR422" s="2">
        <f>IFERROR(W422/$V422*90,"")</f>
        <v>1.0337837837837838</v>
      </c>
      <c r="AS422" s="2">
        <f>IFERROR(X422/$V422*90,"")</f>
        <v>6.0810810810810814E-2</v>
      </c>
      <c r="AT422" s="2">
        <f>IFERROR(Y422/$V422*90,"")</f>
        <v>0</v>
      </c>
      <c r="AU422" s="2">
        <f>IF(AP422="",INDEX(BV$4:BV$7,MATCH(O422,$BU$4:$BU$7,0)),AP422)</f>
        <v>0.36486486486486491</v>
      </c>
      <c r="AV422" s="2">
        <f>IF(AQ422="",INDEX(BW$4:BW$7,MATCH($O422,$BU$4:$BU$7,0)),AQ422)</f>
        <v>0.12162162162162163</v>
      </c>
      <c r="AW422" s="2">
        <f t="shared" si="72"/>
        <v>1.0337837837837838</v>
      </c>
      <c r="AX422" s="2">
        <f t="shared" si="73"/>
        <v>6.0810810810810814E-2</v>
      </c>
      <c r="AY422" s="2">
        <f t="shared" si="74"/>
        <v>0</v>
      </c>
      <c r="AZ422" s="2">
        <f>AU422*0.5+AK422*0.5</f>
        <v>0.29596698740625443</v>
      </c>
      <c r="BA422" s="2">
        <f>AV422*0.5+AJ422*0.5</f>
        <v>0.12689719824536577</v>
      </c>
      <c r="BB422" s="2">
        <f t="shared" si="75"/>
        <v>9.0405405405405398E-2</v>
      </c>
      <c r="BC422">
        <f>IF(I422="expected",1,0)</f>
        <v>0</v>
      </c>
      <c r="BD422" s="78">
        <f>IF(BC422=1,AZ422/SUMIFS(AZ$3:AZ$623,$BC$3:$BC$623,1,$G$3:$G$623,$G422),0)</f>
        <v>0</v>
      </c>
      <c r="BE422" s="78">
        <f>IF(BC422=1,BA422/SUMIFS(BA$3:BA$623,$BC$3:$BC$623,1,$G$3:$G$623,$G422),0)</f>
        <v>0</v>
      </c>
      <c r="BF422" s="78">
        <f t="shared" si="76"/>
        <v>0</v>
      </c>
      <c r="BG422" s="2">
        <f t="shared" si="77"/>
        <v>9.0405405405405398E-2</v>
      </c>
      <c r="BH422" s="2">
        <f t="shared" si="78"/>
        <v>0</v>
      </c>
      <c r="BI422" s="2">
        <f t="shared" si="79"/>
        <v>0</v>
      </c>
      <c r="BJ422" s="2">
        <f t="shared" si="80"/>
        <v>0</v>
      </c>
      <c r="BK422" s="2">
        <f t="shared" si="81"/>
        <v>0</v>
      </c>
      <c r="BL422" s="2">
        <f t="shared" si="82"/>
        <v>9.0405405405405398E-2</v>
      </c>
      <c r="BM422" s="2">
        <f t="shared" si="83"/>
        <v>0</v>
      </c>
      <c r="BN422" s="2">
        <f>BI422/SUMIFS(BI$3:BI$623,$BC$3:$BC$623,1,$G$3:$G$623,$G422)</f>
        <v>0</v>
      </c>
      <c r="BO422" s="2">
        <f>BJ422/SUMIFS(BJ$3:BJ$623,$BC$3:$BC$623,1,$G$3:$G$623,$G422)</f>
        <v>0</v>
      </c>
      <c r="BP422" s="2">
        <f>BK422/SUMIFS(BK$3:BK$623,$BC$3:$BC$623,1,$G$3:$G$623,$G422)</f>
        <v>0</v>
      </c>
      <c r="BQ422" s="2">
        <f>BL422</f>
        <v>9.0405405405405398E-2</v>
      </c>
      <c r="BR422" s="2">
        <f>BM422</f>
        <v>0</v>
      </c>
    </row>
    <row r="423" spans="1:70" hidden="1">
      <c r="A423" s="74">
        <v>0</v>
      </c>
      <c r="B423" s="73">
        <v>204824</v>
      </c>
      <c r="C423" s="73" t="s">
        <v>2661</v>
      </c>
      <c r="D423" s="73" t="s">
        <v>2662</v>
      </c>
      <c r="E423" s="73" t="s">
        <v>2663</v>
      </c>
      <c r="F423" s="73">
        <v>18699</v>
      </c>
      <c r="G423" s="73" t="s">
        <v>888</v>
      </c>
      <c r="H423" s="73" t="s">
        <v>941</v>
      </c>
      <c r="I423" s="73" t="s">
        <v>1012</v>
      </c>
      <c r="J423" s="73">
        <v>0</v>
      </c>
      <c r="K423" s="73">
        <v>4.5</v>
      </c>
      <c r="L423" s="73">
        <v>0</v>
      </c>
      <c r="M423" s="73">
        <v>0</v>
      </c>
      <c r="N423" s="73">
        <v>0</v>
      </c>
      <c r="O423" s="73" t="s">
        <v>1290</v>
      </c>
      <c r="P423" s="73" t="s">
        <v>357</v>
      </c>
      <c r="Q423" s="73" t="s">
        <v>357</v>
      </c>
      <c r="R423" s="73">
        <v>0</v>
      </c>
      <c r="S423" s="73">
        <v>0</v>
      </c>
      <c r="T423" s="73">
        <v>103</v>
      </c>
      <c r="U423" s="73">
        <v>10</v>
      </c>
      <c r="V423" s="73">
        <v>3150</v>
      </c>
      <c r="W423" s="73">
        <v>0</v>
      </c>
      <c r="X423" s="73">
        <v>2</v>
      </c>
      <c r="Y423" s="73">
        <v>0</v>
      </c>
      <c r="Z423" s="73" t="s">
        <v>1083</v>
      </c>
      <c r="AA423" s="73" t="s">
        <v>690</v>
      </c>
      <c r="AB423" s="73" t="str">
        <f>IF(AA423&lt;&gt;"",INDEX(Lookup!$N$2:$N$5,MATCH(Players!AA423,Lookup!$P$2:$P$5,0)),INDEX(Lookup!$N$2:$N$5,MATCH(Players!O423,Lookup!$O$2:$O$5,0)))</f>
        <v>Goalkeeper</v>
      </c>
      <c r="AC423" s="73">
        <v>3500000</v>
      </c>
      <c r="AD423" s="73" t="s">
        <v>790</v>
      </c>
      <c r="AE423" s="73" t="str">
        <f>INDEX('Translate table'!$H$2:$H$622,MATCH(Players!P423,'Translate table'!$G$2:$G$622,0))</f>
        <v>Lukas Hinterseer</v>
      </c>
      <c r="AF423" s="73">
        <f>IFERROR(INDEX('Euro Qual stats'!$A$1:$L$2071,MATCH(Players!$AE423,'Euro Qual stats'!$A$1:$A$2071,0),MATCH(Players!AF$2,'Euro Qual stats'!$A$1:$L$1,0)),0)</f>
        <v>1</v>
      </c>
      <c r="AG423" s="73">
        <f>IFERROR(INDEX('Euro Qual stats'!$A$1:$L$2071,MATCH(Players!$AE423,'Euro Qual stats'!$A$1:$A$2071,0),MATCH(Players!AG$2,'Euro Qual stats'!$A$1:$L$1,0)),0)</f>
        <v>0</v>
      </c>
      <c r="AH423" s="73">
        <f>IFERROR(INDEX('Euro Qual stats'!$A$1:$L$2071,MATCH(Players!$AE423,'Euro Qual stats'!$A$1:$A$2071,0),MATCH(Players!AH$2,'Euro Qual stats'!$A$1:$L$1,0)),0)</f>
        <v>0</v>
      </c>
      <c r="AI423" s="73">
        <f>IFERROR(INDEX('Euro Qual stats'!$A$1:$L$2071,MATCH(Players!$AE423,'Euro Qual stats'!$A$1:$A$2071,0),MATCH(Players!AI$2,'Euro Qual stats'!$A$1:$L$1,0)),0)</f>
        <v>0</v>
      </c>
      <c r="AJ423" s="93">
        <f>(12-AF423)/12*INDEX(BV$9:BV$12,MATCH($AB423,$BU$9:$BU$12,0))+AF423/12*AG423</f>
        <v>0</v>
      </c>
      <c r="AK423" s="93">
        <f>(12-AG423)/12*INDEX(BW$9:BW$12,MATCH($AB423,$BU$9:$BU$12,0))+AG423/12*AH423</f>
        <v>0</v>
      </c>
      <c r="AL423" s="93">
        <f>(12-AH423)/12*INDEX(BX$9:BX$12,MATCH($AB423,$BU$9:$BU$12,0))+AH423/12*AI423</f>
        <v>0</v>
      </c>
      <c r="AM423" s="93">
        <f>IF($BC423=1,AJ423/SUMIFS(AJ$3:AJ$623,$BC$3:$BC$623,1,$G$3:$G$623,$G423),0)</f>
        <v>0</v>
      </c>
      <c r="AN423" s="93">
        <f>IF($BC423=1,AK423/SUMIFS(AK$3:AK$623,$BC$3:$BC$623,1,$G$3:$G$623,$G423),0)</f>
        <v>0</v>
      </c>
      <c r="AO423" s="93">
        <f>IF($BC423=1,AL423/SUMIFS(AL$3:AL$623,$BC$3:$BC$623,1,$G$3:$G$623,$G423),0)</f>
        <v>0</v>
      </c>
      <c r="AP423" s="2">
        <f>IFERROR(R423/$V423*90,"")</f>
        <v>0</v>
      </c>
      <c r="AQ423" s="2">
        <f>IFERROR(S423/$V423*90,"")</f>
        <v>0</v>
      </c>
      <c r="AR423" s="2">
        <f>IFERROR(W423/$V423*90,"")</f>
        <v>0</v>
      </c>
      <c r="AS423" s="2">
        <f>IFERROR(X423/$V423*90,"")</f>
        <v>5.7142857142857141E-2</v>
      </c>
      <c r="AT423" s="2">
        <f>IFERROR(Y423/$V423*90,"")</f>
        <v>0</v>
      </c>
      <c r="AU423" s="2">
        <f>IF(AP423="",INDEX(BV$4:BV$7,MATCH(O423,$BU$4:$BU$7,0)),AP423)</f>
        <v>0</v>
      </c>
      <c r="AV423" s="2">
        <f>IF(AQ423="",INDEX(BW$4:BW$7,MATCH($O423,$BU$4:$BU$7,0)),AQ423)</f>
        <v>0</v>
      </c>
      <c r="AW423" s="2">
        <f t="shared" si="72"/>
        <v>0</v>
      </c>
      <c r="AX423" s="2">
        <f t="shared" si="73"/>
        <v>5.7142857142857141E-2</v>
      </c>
      <c r="AY423" s="2">
        <f t="shared" si="74"/>
        <v>0</v>
      </c>
      <c r="AZ423" s="2">
        <f>AU423*0.5+AK423*0.5</f>
        <v>0</v>
      </c>
      <c r="BA423" s="2">
        <f>AV423*0.5+AJ423*0.5</f>
        <v>0</v>
      </c>
      <c r="BB423" s="2">
        <f t="shared" si="75"/>
        <v>2.8571428571428571E-2</v>
      </c>
      <c r="BC423">
        <f>IF(I423="expected",1,0)</f>
        <v>0</v>
      </c>
      <c r="BD423" s="78">
        <f>IF(BC423=1,AZ423/SUMIFS(AZ$3:AZ$623,$BC$3:$BC$623,1,$G$3:$G$623,$G423),0)</f>
        <v>0</v>
      </c>
      <c r="BE423" s="78">
        <f>IF(BC423=1,BA423/SUMIFS(BA$3:BA$623,$BC$3:$BC$623,1,$G$3:$G$623,$G423),0)</f>
        <v>0</v>
      </c>
      <c r="BF423" s="78">
        <f t="shared" si="76"/>
        <v>0</v>
      </c>
      <c r="BG423" s="2">
        <f t="shared" si="77"/>
        <v>2.8571428571428571E-2</v>
      </c>
      <c r="BH423" s="2">
        <f t="shared" si="78"/>
        <v>0</v>
      </c>
      <c r="BI423" s="2">
        <f t="shared" si="79"/>
        <v>0</v>
      </c>
      <c r="BJ423" s="2">
        <f t="shared" si="80"/>
        <v>0</v>
      </c>
      <c r="BK423" s="2">
        <f t="shared" si="81"/>
        <v>0</v>
      </c>
      <c r="BL423" s="2">
        <f t="shared" si="82"/>
        <v>2.8571428571428571E-2</v>
      </c>
      <c r="BM423" s="2">
        <f t="shared" si="83"/>
        <v>0</v>
      </c>
      <c r="BN423" s="2">
        <f>BI423/SUMIFS(BI$3:BI$623,$BC$3:$BC$623,1,$G$3:$G$623,$G423)</f>
        <v>0</v>
      </c>
      <c r="BO423" s="2">
        <f>BJ423/SUMIFS(BJ$3:BJ$623,$BC$3:$BC$623,1,$G$3:$G$623,$G423)</f>
        <v>0</v>
      </c>
      <c r="BP423" s="2">
        <f>BK423/SUMIFS(BK$3:BK$623,$BC$3:$BC$623,1,$G$3:$G$623,$G423)</f>
        <v>0</v>
      </c>
      <c r="BQ423" s="2">
        <f>BL423</f>
        <v>2.8571428571428571E-2</v>
      </c>
      <c r="BR423" s="2">
        <f>BM423</f>
        <v>0</v>
      </c>
    </row>
    <row r="424" spans="1:70" hidden="1">
      <c r="A424" s="74">
        <v>0</v>
      </c>
      <c r="B424" s="73">
        <v>221448</v>
      </c>
      <c r="C424" s="73" t="s">
        <v>2664</v>
      </c>
      <c r="D424" s="73" t="s">
        <v>2665</v>
      </c>
      <c r="E424" s="73" t="s">
        <v>2666</v>
      </c>
      <c r="F424" s="73">
        <v>18699</v>
      </c>
      <c r="G424" s="73" t="s">
        <v>888</v>
      </c>
      <c r="H424" s="73" t="s">
        <v>941</v>
      </c>
      <c r="I424" s="73" t="s">
        <v>1012</v>
      </c>
      <c r="J424" s="73">
        <v>0</v>
      </c>
      <c r="K424" s="73">
        <v>4.5</v>
      </c>
      <c r="L424" s="73">
        <v>0</v>
      </c>
      <c r="M424" s="73">
        <v>0</v>
      </c>
      <c r="N424" s="73">
        <v>0</v>
      </c>
      <c r="O424" s="73" t="s">
        <v>1318</v>
      </c>
      <c r="P424" s="73" t="s">
        <v>2667</v>
      </c>
      <c r="Q424" s="73" t="s">
        <v>539</v>
      </c>
      <c r="R424" s="73">
        <v>0</v>
      </c>
      <c r="S424" s="73">
        <v>1</v>
      </c>
      <c r="T424" s="73">
        <v>0</v>
      </c>
      <c r="U424" s="73">
        <v>0</v>
      </c>
      <c r="V424" s="73">
        <v>149</v>
      </c>
      <c r="W424" s="73">
        <v>0</v>
      </c>
      <c r="X424" s="73">
        <v>0</v>
      </c>
      <c r="Y424" s="73">
        <v>0</v>
      </c>
      <c r="Z424" s="73" t="s">
        <v>1083</v>
      </c>
      <c r="AA424" s="73" t="s">
        <v>692</v>
      </c>
      <c r="AB424" s="73" t="str">
        <f>IF(AA424&lt;&gt;"",INDEX(Lookup!$N$2:$N$5,MATCH(Players!AA424,Lookup!$P$2:$P$5,0)),INDEX(Lookup!$N$2:$N$5,MATCH(Players!O424,Lookup!$O$2:$O$5,0)))</f>
        <v>Defense</v>
      </c>
      <c r="AC424" s="73">
        <v>2000000</v>
      </c>
      <c r="AD424" s="73" t="s">
        <v>801</v>
      </c>
      <c r="AE424" s="73" t="str">
        <f>INDEX('Translate table'!$H$2:$H$622,MATCH(Players!P424,'Translate table'!$G$2:$G$622,0))</f>
        <v>Kamil Glik</v>
      </c>
      <c r="AF424" s="73">
        <f>IFERROR(INDEX('Euro Qual stats'!$A$1:$L$2071,MATCH(Players!$AE424,'Euro Qual stats'!$A$1:$A$2071,0),MATCH(Players!AF$2,'Euro Qual stats'!$A$1:$L$1,0)),0)</f>
        <v>9</v>
      </c>
      <c r="AG424" s="73">
        <f>IFERROR(INDEX('Euro Qual stats'!$A$1:$L$2071,MATCH(Players!$AE424,'Euro Qual stats'!$A$1:$A$2071,0),MATCH(Players!AG$2,'Euro Qual stats'!$A$1:$L$1,0)),0)</f>
        <v>0</v>
      </c>
      <c r="AH424" s="73">
        <f>IFERROR(INDEX('Euro Qual stats'!$A$1:$L$2071,MATCH(Players!$AE424,'Euro Qual stats'!$A$1:$A$2071,0),MATCH(Players!AH$2,'Euro Qual stats'!$A$1:$L$1,0)),0)</f>
        <v>0.12</v>
      </c>
      <c r="AI424" s="73">
        <f>IFERROR(INDEX('Euro Qual stats'!$A$1:$L$2071,MATCH(Players!$AE424,'Euro Qual stats'!$A$1:$A$2071,0),MATCH(Players!AI$2,'Euro Qual stats'!$A$1:$L$1,0)),0)</f>
        <v>0.12</v>
      </c>
      <c r="AJ424" s="93">
        <f>(12-AF424)/12*INDEX(BV$9:BV$12,MATCH($AB424,$BU$9:$BU$12,0))+AF424/12*AG424</f>
        <v>2.2293956043956051E-2</v>
      </c>
      <c r="AK424" s="93">
        <f>(12-AG424)/12*INDEX(BW$9:BW$12,MATCH($AB424,$BU$9:$BU$12,0))+AG424/12*AH424</f>
        <v>0.10357142857142858</v>
      </c>
      <c r="AL424" s="93">
        <f>(12-AH424)/12*INDEX(BX$9:BX$12,MATCH($AB424,$BU$9:$BU$12,0))+AH424/12*AI424</f>
        <v>0.19283571428571422</v>
      </c>
      <c r="AM424" s="93">
        <f>IF($BC424=1,AJ424/SUMIFS(AJ$3:AJ$623,$BC$3:$BC$623,1,$G$3:$G$623,$G424),0)</f>
        <v>0</v>
      </c>
      <c r="AN424" s="93">
        <f>IF($BC424=1,AK424/SUMIFS(AK$3:AK$623,$BC$3:$BC$623,1,$G$3:$G$623,$G424),0)</f>
        <v>0</v>
      </c>
      <c r="AO424" s="93">
        <f>IF($BC424=1,AL424/SUMIFS(AL$3:AL$623,$BC$3:$BC$623,1,$G$3:$G$623,$G424),0)</f>
        <v>0</v>
      </c>
      <c r="AP424" s="2">
        <f>IFERROR(R424/$V424*90,"")</f>
        <v>0</v>
      </c>
      <c r="AQ424" s="2">
        <f>IFERROR(S424/$V424*90,"")</f>
        <v>0.60402684563758391</v>
      </c>
      <c r="AR424" s="2">
        <f>IFERROR(W424/$V424*90,"")</f>
        <v>0</v>
      </c>
      <c r="AS424" s="2">
        <f>IFERROR(X424/$V424*90,"")</f>
        <v>0</v>
      </c>
      <c r="AT424" s="2">
        <f>IFERROR(Y424/$V424*90,"")</f>
        <v>0</v>
      </c>
      <c r="AU424" s="2">
        <f>IF(AP424="",INDEX(BV$4:BV$7,MATCH(O424,$BU$4:$BU$7,0)),AP424)</f>
        <v>0</v>
      </c>
      <c r="AV424" s="2">
        <f>IF(AQ424="",INDEX(BW$4:BW$7,MATCH($O424,$BU$4:$BU$7,0)),AQ424)</f>
        <v>0.60402684563758391</v>
      </c>
      <c r="AW424" s="2">
        <f t="shared" si="72"/>
        <v>0</v>
      </c>
      <c r="AX424" s="2">
        <f t="shared" si="73"/>
        <v>0</v>
      </c>
      <c r="AY424" s="2">
        <f t="shared" si="74"/>
        <v>0</v>
      </c>
      <c r="AZ424" s="2">
        <f>AU424*0.5+AK424*0.5</f>
        <v>5.1785714285714289E-2</v>
      </c>
      <c r="BA424" s="2">
        <f>AV424*0.5+AJ424*0.5</f>
        <v>0.31316040084076996</v>
      </c>
      <c r="BB424" s="2">
        <f t="shared" si="75"/>
        <v>0.06</v>
      </c>
      <c r="BC424">
        <f>IF(I424="expected",1,0)</f>
        <v>0</v>
      </c>
      <c r="BD424" s="78">
        <f>IF(BC424=1,AZ424/SUMIFS(AZ$3:AZ$623,$BC$3:$BC$623,1,$G$3:$G$623,$G424),0)</f>
        <v>0</v>
      </c>
      <c r="BE424" s="78">
        <f>IF(BC424=1,BA424/SUMIFS(BA$3:BA$623,$BC$3:$BC$623,1,$G$3:$G$623,$G424),0)</f>
        <v>0</v>
      </c>
      <c r="BF424" s="78">
        <f t="shared" si="76"/>
        <v>0</v>
      </c>
      <c r="BG424" s="2">
        <f t="shared" si="77"/>
        <v>0.06</v>
      </c>
      <c r="BH424" s="2">
        <f t="shared" si="78"/>
        <v>0</v>
      </c>
      <c r="BI424" s="2">
        <f t="shared" si="79"/>
        <v>0</v>
      </c>
      <c r="BJ424" s="2">
        <f t="shared" si="80"/>
        <v>0</v>
      </c>
      <c r="BK424" s="2">
        <f t="shared" si="81"/>
        <v>0</v>
      </c>
      <c r="BL424" s="2">
        <f t="shared" si="82"/>
        <v>0.06</v>
      </c>
      <c r="BM424" s="2">
        <f t="shared" si="83"/>
        <v>0</v>
      </c>
      <c r="BN424" s="2">
        <f>BI424/SUMIFS(BI$3:BI$623,$BC$3:$BC$623,1,$G$3:$G$623,$G424)</f>
        <v>0</v>
      </c>
      <c r="BO424" s="2">
        <f>BJ424/SUMIFS(BJ$3:BJ$623,$BC$3:$BC$623,1,$G$3:$G$623,$G424)</f>
        <v>0</v>
      </c>
      <c r="BP424" s="2">
        <f>BK424/SUMIFS(BK$3:BK$623,$BC$3:$BC$623,1,$G$3:$G$623,$G424)</f>
        <v>0</v>
      </c>
      <c r="BQ424" s="2">
        <f>BL424</f>
        <v>0.06</v>
      </c>
      <c r="BR424" s="2">
        <f>BM424</f>
        <v>0</v>
      </c>
    </row>
    <row r="425" spans="1:70" hidden="1">
      <c r="A425" s="74">
        <v>0</v>
      </c>
      <c r="B425" s="73">
        <v>221447</v>
      </c>
      <c r="C425" s="73" t="s">
        <v>2668</v>
      </c>
      <c r="D425" s="73" t="s">
        <v>2669</v>
      </c>
      <c r="E425" s="73" t="s">
        <v>2670</v>
      </c>
      <c r="F425" s="73">
        <v>18699</v>
      </c>
      <c r="G425" s="73" t="s">
        <v>888</v>
      </c>
      <c r="H425" s="73" t="s">
        <v>941</v>
      </c>
      <c r="I425" s="73" t="s">
        <v>1012</v>
      </c>
      <c r="J425" s="73">
        <v>0</v>
      </c>
      <c r="K425" s="73">
        <v>4.5</v>
      </c>
      <c r="L425" s="73">
        <v>0</v>
      </c>
      <c r="M425" s="73">
        <v>0</v>
      </c>
      <c r="N425" s="73">
        <v>0</v>
      </c>
      <c r="O425" s="73" t="s">
        <v>1318</v>
      </c>
      <c r="P425" s="73" t="s">
        <v>2671</v>
      </c>
      <c r="Q425" s="73" t="s">
        <v>1164</v>
      </c>
      <c r="R425" s="73"/>
      <c r="S425" s="73"/>
      <c r="T425" s="73"/>
      <c r="U425" s="73"/>
      <c r="V425" s="73"/>
      <c r="W425" s="73"/>
      <c r="X425" s="73"/>
      <c r="Y425" s="73"/>
      <c r="Z425" s="73" t="s">
        <v>1083</v>
      </c>
      <c r="AA425" s="73" t="s">
        <v>692</v>
      </c>
      <c r="AB425" s="73" t="str">
        <f>IF(AA425&lt;&gt;"",INDEX(Lookup!$N$2:$N$5,MATCH(Players!AA425,Lookup!$P$2:$P$5,0)),INDEX(Lookup!$N$2:$N$5,MATCH(Players!O425,Lookup!$O$2:$O$5,0)))</f>
        <v>Defense</v>
      </c>
      <c r="AC425" s="73">
        <v>2000000</v>
      </c>
      <c r="AD425" s="73" t="s">
        <v>788</v>
      </c>
      <c r="AE425" s="73" t="str">
        <f>INDEX('Translate table'!$H$2:$H$622,MATCH(Players!P425,'Translate table'!$G$2:$G$622,0))</f>
        <v>Mateusz Klich</v>
      </c>
      <c r="AF425" s="73">
        <f>IFERROR(INDEX('Euro Qual stats'!$A$1:$L$2071,MATCH(Players!$AE425,'Euro Qual stats'!$A$1:$A$2071,0),MATCH(Players!AF$2,'Euro Qual stats'!$A$1:$L$1,0)),0)</f>
        <v>8</v>
      </c>
      <c r="AG425" s="73">
        <f>IFERROR(INDEX('Euro Qual stats'!$A$1:$L$2071,MATCH(Players!$AE425,'Euro Qual stats'!$A$1:$A$2071,0),MATCH(Players!AG$2,'Euro Qual stats'!$A$1:$L$1,0)),0)</f>
        <v>0</v>
      </c>
      <c r="AH425" s="73">
        <f>IFERROR(INDEX('Euro Qual stats'!$A$1:$L$2071,MATCH(Players!$AE425,'Euro Qual stats'!$A$1:$A$2071,0),MATCH(Players!AH$2,'Euro Qual stats'!$A$1:$L$1,0)),0)</f>
        <v>0</v>
      </c>
      <c r="AI425" s="73">
        <f>IFERROR(INDEX('Euro Qual stats'!$A$1:$L$2071,MATCH(Players!$AE425,'Euro Qual stats'!$A$1:$A$2071,0),MATCH(Players!AI$2,'Euro Qual stats'!$A$1:$L$1,0)),0)</f>
        <v>0.38</v>
      </c>
      <c r="AJ425" s="93">
        <f>(12-AF425)/12*INDEX(BV$9:BV$12,MATCH($AB425,$BU$9:$BU$12,0))+AF425/12*AG425</f>
        <v>2.9725274725274732E-2</v>
      </c>
      <c r="AK425" s="93">
        <f>(12-AG425)/12*INDEX(BW$9:BW$12,MATCH($AB425,$BU$9:$BU$12,0))+AG425/12*AH425</f>
        <v>0.10357142857142858</v>
      </c>
      <c r="AL425" s="93">
        <f>(12-AH425)/12*INDEX(BX$9:BX$12,MATCH($AB425,$BU$9:$BU$12,0))+AH425/12*AI425</f>
        <v>0.19357142857142848</v>
      </c>
      <c r="AM425" s="93">
        <f>IF($BC425=1,AJ425/SUMIFS(AJ$3:AJ$623,$BC$3:$BC$623,1,$G$3:$G$623,$G425),0)</f>
        <v>0</v>
      </c>
      <c r="AN425" s="93">
        <f>IF($BC425=1,AK425/SUMIFS(AK$3:AK$623,$BC$3:$BC$623,1,$G$3:$G$623,$G425),0)</f>
        <v>0</v>
      </c>
      <c r="AO425" s="93">
        <f>IF($BC425=1,AL425/SUMIFS(AL$3:AL$623,$BC$3:$BC$623,1,$G$3:$G$623,$G425),0)</f>
        <v>0</v>
      </c>
      <c r="AP425" s="2" t="str">
        <f>IFERROR(R425/$V425*90,"")</f>
        <v/>
      </c>
      <c r="AQ425" s="2" t="str">
        <f>IFERROR(S425/$V425*90,"")</f>
        <v/>
      </c>
      <c r="AR425" s="2" t="str">
        <f>IFERROR(W425/$V425*90,"")</f>
        <v/>
      </c>
      <c r="AS425" s="2" t="str">
        <f>IFERROR(X425/$V425*90,"")</f>
        <v/>
      </c>
      <c r="AT425" s="2" t="str">
        <f>IFERROR(Y425/$V425*90,"")</f>
        <v/>
      </c>
      <c r="AU425" s="2">
        <f>IF(AP425="",INDEX(BV$4:BV$7,MATCH(O425,$BU$4:$BU$7,0)),AP425)</f>
        <v>0</v>
      </c>
      <c r="AV425" s="2">
        <f>IF(AQ425="",INDEX(BW$4:BW$7,MATCH($O425,$BU$4:$BU$7,0)),AQ425)</f>
        <v>0</v>
      </c>
      <c r="AW425" s="2">
        <f t="shared" si="72"/>
        <v>8.0624805297505417E-2</v>
      </c>
      <c r="AX425" s="2">
        <f t="shared" si="73"/>
        <v>0.1265377855887522</v>
      </c>
      <c r="AY425" s="2">
        <f t="shared" si="74"/>
        <v>0</v>
      </c>
      <c r="AZ425" s="2">
        <f>AU425*0.5+AK425*0.5</f>
        <v>5.1785714285714289E-2</v>
      </c>
      <c r="BA425" s="2">
        <f>AV425*0.5+AJ425*0.5</f>
        <v>1.4862637362637366E-2</v>
      </c>
      <c r="BB425" s="2">
        <f t="shared" si="75"/>
        <v>0.25326889279437609</v>
      </c>
      <c r="BC425">
        <f>IF(I425="expected",1,0)</f>
        <v>0</v>
      </c>
      <c r="BD425" s="78">
        <f>IF(BC425=1,AZ425/SUMIFS(AZ$3:AZ$623,$BC$3:$BC$623,1,$G$3:$G$623,$G425),0)</f>
        <v>0</v>
      </c>
      <c r="BE425" s="78">
        <f>IF(BC425=1,BA425/SUMIFS(BA$3:BA$623,$BC$3:$BC$623,1,$G$3:$G$623,$G425),0)</f>
        <v>0</v>
      </c>
      <c r="BF425" s="78">
        <f t="shared" si="76"/>
        <v>0</v>
      </c>
      <c r="BG425" s="2">
        <f t="shared" si="77"/>
        <v>0.25326889279437609</v>
      </c>
      <c r="BH425" s="2">
        <f t="shared" si="78"/>
        <v>0</v>
      </c>
      <c r="BI425" s="2">
        <f t="shared" si="79"/>
        <v>0</v>
      </c>
      <c r="BJ425" s="2">
        <f t="shared" si="80"/>
        <v>0</v>
      </c>
      <c r="BK425" s="2">
        <f t="shared" si="81"/>
        <v>0</v>
      </c>
      <c r="BL425" s="2">
        <f t="shared" si="82"/>
        <v>0.25326889279437609</v>
      </c>
      <c r="BM425" s="2">
        <f t="shared" si="83"/>
        <v>0</v>
      </c>
      <c r="BN425" s="2">
        <f>BI425/SUMIFS(BI$3:BI$623,$BC$3:$BC$623,1,$G$3:$G$623,$G425)</f>
        <v>0</v>
      </c>
      <c r="BO425" s="2">
        <f>BJ425/SUMIFS(BJ$3:BJ$623,$BC$3:$BC$623,1,$G$3:$G$623,$G425)</f>
        <v>0</v>
      </c>
      <c r="BP425" s="2">
        <f>BK425/SUMIFS(BK$3:BK$623,$BC$3:$BC$623,1,$G$3:$G$623,$G425)</f>
        <v>0</v>
      </c>
      <c r="BQ425" s="2">
        <f>BL425</f>
        <v>0.25326889279437609</v>
      </c>
      <c r="BR425" s="2">
        <f>BM425</f>
        <v>0</v>
      </c>
    </row>
    <row r="426" spans="1:70" hidden="1">
      <c r="A426" s="74">
        <v>0</v>
      </c>
      <c r="B426" s="73">
        <v>221446</v>
      </c>
      <c r="C426" s="73" t="s">
        <v>2672</v>
      </c>
      <c r="D426" s="73" t="s">
        <v>2673</v>
      </c>
      <c r="E426" s="73" t="s">
        <v>2674</v>
      </c>
      <c r="F426" s="73">
        <v>18699</v>
      </c>
      <c r="G426" s="73" t="s">
        <v>888</v>
      </c>
      <c r="H426" s="73" t="s">
        <v>941</v>
      </c>
      <c r="I426" s="73" t="s">
        <v>981</v>
      </c>
      <c r="J426" s="73">
        <v>0</v>
      </c>
      <c r="K426" s="73">
        <v>4.5</v>
      </c>
      <c r="L426" s="73">
        <v>0</v>
      </c>
      <c r="M426" s="73">
        <v>0</v>
      </c>
      <c r="N426" s="73">
        <v>0</v>
      </c>
      <c r="O426" s="73" t="s">
        <v>1318</v>
      </c>
      <c r="P426" s="73" t="s">
        <v>2675</v>
      </c>
      <c r="Q426" s="73" t="s">
        <v>2676</v>
      </c>
      <c r="R426" s="73">
        <v>2</v>
      </c>
      <c r="S426" s="73">
        <v>0</v>
      </c>
      <c r="T426" s="73">
        <v>0</v>
      </c>
      <c r="U426" s="73">
        <v>0</v>
      </c>
      <c r="V426" s="73">
        <v>943</v>
      </c>
      <c r="W426" s="73">
        <v>5</v>
      </c>
      <c r="X426" s="73">
        <v>3</v>
      </c>
      <c r="Y426" s="73">
        <v>0</v>
      </c>
      <c r="Z426" s="73" t="s">
        <v>1083</v>
      </c>
      <c r="AA426" s="73" t="s">
        <v>692</v>
      </c>
      <c r="AB426" s="73" t="str">
        <f>IF(AA426&lt;&gt;"",INDEX(Lookup!$N$2:$N$5,MATCH(Players!AA426,Lookup!$P$2:$P$5,0)),INDEX(Lookup!$N$2:$N$5,MATCH(Players!O426,Lookup!$O$2:$O$5,0)))</f>
        <v>Defense</v>
      </c>
      <c r="AC426" s="73">
        <v>3000000</v>
      </c>
      <c r="AD426" s="73" t="s">
        <v>789</v>
      </c>
      <c r="AE426" s="73" t="str">
        <f>INDEX('Translate table'!$H$2:$H$622,MATCH(Players!P426,'Translate table'!$G$2:$G$622,0))</f>
        <v>Dor Micha</v>
      </c>
      <c r="AF426" s="73">
        <f>IFERROR(INDEX('Euro Qual stats'!$A$1:$L$2071,MATCH(Players!$AE426,'Euro Qual stats'!$A$1:$A$2071,0),MATCH(Players!AF$2,'Euro Qual stats'!$A$1:$L$1,0)),0)</f>
        <v>0</v>
      </c>
      <c r="AG426" s="73">
        <f>IFERROR(INDEX('Euro Qual stats'!$A$1:$L$2071,MATCH(Players!$AE426,'Euro Qual stats'!$A$1:$A$2071,0),MATCH(Players!AG$2,'Euro Qual stats'!$A$1:$L$1,0)),0)</f>
        <v>0</v>
      </c>
      <c r="AH426" s="73">
        <f>IFERROR(INDEX('Euro Qual stats'!$A$1:$L$2071,MATCH(Players!$AE426,'Euro Qual stats'!$A$1:$A$2071,0),MATCH(Players!AH$2,'Euro Qual stats'!$A$1:$L$1,0)),0)</f>
        <v>0</v>
      </c>
      <c r="AI426" s="73">
        <f>IFERROR(INDEX('Euro Qual stats'!$A$1:$L$2071,MATCH(Players!$AE426,'Euro Qual stats'!$A$1:$A$2071,0),MATCH(Players!AI$2,'Euro Qual stats'!$A$1:$L$1,0)),0)</f>
        <v>0</v>
      </c>
      <c r="AJ426" s="93">
        <f>(12-AF426)/12*INDEX(BV$9:BV$12,MATCH($AB426,$BU$9:$BU$12,0))+AF426/12*AG426</f>
        <v>8.9175824175824203E-2</v>
      </c>
      <c r="AK426" s="93">
        <f>(12-AG426)/12*INDEX(BW$9:BW$12,MATCH($AB426,$BU$9:$BU$12,0))+AG426/12*AH426</f>
        <v>0.10357142857142858</v>
      </c>
      <c r="AL426" s="93">
        <f>(12-AH426)/12*INDEX(BX$9:BX$12,MATCH($AB426,$BU$9:$BU$12,0))+AH426/12*AI426</f>
        <v>0.19357142857142848</v>
      </c>
      <c r="AM426" s="93">
        <f>IF($BC426=1,AJ426/SUMIFS(AJ$3:AJ$623,$BC$3:$BC$623,1,$G$3:$G$623,$G426),0)</f>
        <v>6.5607178199425173E-2</v>
      </c>
      <c r="AN426" s="93">
        <f>IF($BC426=1,AK426/SUMIFS(AK$3:AK$623,$BC$3:$BC$623,1,$G$3:$G$623,$G426),0)</f>
        <v>4.284690075455147E-2</v>
      </c>
      <c r="AO426" s="93">
        <f>IF($BC426=1,AL426/SUMIFS(AL$3:AL$623,$BC$3:$BC$623,1,$G$3:$G$623,$G426),0)</f>
        <v>9.5297983513251819E-2</v>
      </c>
      <c r="AP426" s="2">
        <f>IFERROR(R426/$V426*90,"")</f>
        <v>0.19088016967126195</v>
      </c>
      <c r="AQ426" s="2">
        <f>IFERROR(S426/$V426*90,"")</f>
        <v>0</v>
      </c>
      <c r="AR426" s="2">
        <f>IFERROR(W426/$V426*90,"")</f>
        <v>0.47720042417815484</v>
      </c>
      <c r="AS426" s="2">
        <f>IFERROR(X426/$V426*90,"")</f>
        <v>0.28632025450689291</v>
      </c>
      <c r="AT426" s="2">
        <f>IFERROR(Y426/$V426*90,"")</f>
        <v>0</v>
      </c>
      <c r="AU426" s="2">
        <f>IF(AP426="",INDEX(BV$4:BV$7,MATCH(O426,$BU$4:$BU$7,0)),AP426)</f>
        <v>0.19088016967126195</v>
      </c>
      <c r="AV426" s="2">
        <f>IF(AQ426="",INDEX(BW$4:BW$7,MATCH($O426,$BU$4:$BU$7,0)),AQ426)</f>
        <v>0</v>
      </c>
      <c r="AW426" s="2">
        <f t="shared" si="72"/>
        <v>0.47720042417815484</v>
      </c>
      <c r="AX426" s="2">
        <f t="shared" si="73"/>
        <v>0.28632025450689291</v>
      </c>
      <c r="AY426" s="2">
        <f t="shared" si="74"/>
        <v>0</v>
      </c>
      <c r="AZ426" s="2">
        <f>AU426*0.5+AK426*0.5</f>
        <v>0.14722579912134526</v>
      </c>
      <c r="BA426" s="2">
        <f>AV426*0.5+AJ426*0.5</f>
        <v>4.4587912087912102E-2</v>
      </c>
      <c r="BB426" s="2">
        <f t="shared" si="75"/>
        <v>0.14316012725344646</v>
      </c>
      <c r="BC426">
        <f>IF(I426="expected",1,0)</f>
        <v>1</v>
      </c>
      <c r="BD426" s="78">
        <f>IF(BC426=1,AZ426/SUMIFS(AZ$3:AZ$623,$BC$3:$BC$623,1,$G$3:$G$623,$G426),0)</f>
        <v>5.3397305132712874E-2</v>
      </c>
      <c r="BE426" s="78">
        <f>IF(BC426=1,BA426/SUMIFS(BA$3:BA$623,$BC$3:$BC$623,1,$G$3:$G$623,$G426),0)</f>
        <v>3.7586264494998765E-2</v>
      </c>
      <c r="BF426" s="78">
        <f t="shared" si="76"/>
        <v>6.4974441887292608E-2</v>
      </c>
      <c r="BG426" s="2">
        <f t="shared" si="77"/>
        <v>0.14316012725344646</v>
      </c>
      <c r="BH426" s="2">
        <f t="shared" si="78"/>
        <v>0</v>
      </c>
      <c r="BI426" s="2">
        <f t="shared" si="79"/>
        <v>5.3397305132712874E-2</v>
      </c>
      <c r="BJ426" s="2">
        <f t="shared" si="80"/>
        <v>3.7586264494998765E-2</v>
      </c>
      <c r="BK426" s="2">
        <f t="shared" si="81"/>
        <v>6.4974441887292608E-2</v>
      </c>
      <c r="BL426" s="2">
        <f t="shared" si="82"/>
        <v>0.14316012725344646</v>
      </c>
      <c r="BM426" s="2">
        <f t="shared" si="83"/>
        <v>0</v>
      </c>
      <c r="BN426" s="2">
        <f>BI426/SUMIFS(BI$3:BI$623,$BC$3:$BC$623,1,$G$3:$G$623,$G426)</f>
        <v>5.4425314569623802E-2</v>
      </c>
      <c r="BO426" s="2">
        <f>BJ426/SUMIFS(BJ$3:BJ$623,$BC$3:$BC$623,1,$G$3:$G$623,$G426)</f>
        <v>3.7586264494998765E-2</v>
      </c>
      <c r="BP426" s="2">
        <f>BK426/SUMIFS(BK$3:BK$623,$BC$3:$BC$623,1,$G$3:$G$623,$G426)</f>
        <v>6.7563533045823493E-2</v>
      </c>
      <c r="BQ426" s="2">
        <f>BL426</f>
        <v>0.14316012725344646</v>
      </c>
      <c r="BR426" s="2">
        <f>BM426</f>
        <v>0</v>
      </c>
    </row>
    <row r="427" spans="1:70" hidden="1">
      <c r="A427" s="74">
        <v>0</v>
      </c>
      <c r="B427" s="73">
        <v>221445</v>
      </c>
      <c r="C427" s="73" t="s">
        <v>2677</v>
      </c>
      <c r="D427" s="73" t="s">
        <v>2678</v>
      </c>
      <c r="E427" s="73" t="s">
        <v>2679</v>
      </c>
      <c r="F427" s="73">
        <v>18699</v>
      </c>
      <c r="G427" s="73" t="s">
        <v>888</v>
      </c>
      <c r="H427" s="73" t="s">
        <v>941</v>
      </c>
      <c r="I427" s="73" t="s">
        <v>1012</v>
      </c>
      <c r="J427" s="73">
        <v>0</v>
      </c>
      <c r="K427" s="73">
        <v>4.5</v>
      </c>
      <c r="L427" s="73">
        <v>0</v>
      </c>
      <c r="M427" s="73">
        <v>0</v>
      </c>
      <c r="N427" s="73">
        <v>0</v>
      </c>
      <c r="O427" s="73" t="s">
        <v>1318</v>
      </c>
      <c r="P427" s="73" t="s">
        <v>2680</v>
      </c>
      <c r="Q427" s="73" t="s">
        <v>2681</v>
      </c>
      <c r="R427" s="73">
        <v>0</v>
      </c>
      <c r="S427" s="73">
        <v>0</v>
      </c>
      <c r="T427" s="73">
        <v>0</v>
      </c>
      <c r="U427" s="73">
        <v>2</v>
      </c>
      <c r="V427" s="73">
        <v>1862</v>
      </c>
      <c r="W427" s="73">
        <v>4</v>
      </c>
      <c r="X427" s="73">
        <v>9</v>
      </c>
      <c r="Y427" s="73">
        <v>0</v>
      </c>
      <c r="Z427" s="73" t="s">
        <v>1083</v>
      </c>
      <c r="AA427" s="73" t="s">
        <v>692</v>
      </c>
      <c r="AB427" s="73" t="str">
        <f>IF(AA427&lt;&gt;"",INDEX(Lookup!$N$2:$N$5,MATCH(Players!AA427,Lookup!$P$2:$P$5,0)),INDEX(Lookup!$N$2:$N$5,MATCH(Players!O427,Lookup!$O$2:$O$5,0)))</f>
        <v>Defense</v>
      </c>
      <c r="AC427" s="73">
        <v>2000000</v>
      </c>
      <c r="AD427" s="73" t="s">
        <v>788</v>
      </c>
      <c r="AE427" s="73" t="str">
        <f>INDEX('Translate table'!$H$2:$H$622,MATCH(Players!P427,'Translate table'!$G$2:$G$622,0))</f>
        <v>PaweÅ‚ Savitskiy</v>
      </c>
      <c r="AF427" s="73">
        <f>IFERROR(INDEX('Euro Qual stats'!$A$1:$L$2071,MATCH(Players!$AE427,'Euro Qual stats'!$A$1:$A$2071,0),MATCH(Players!AF$2,'Euro Qual stats'!$A$1:$L$1,0)),0)</f>
        <v>3</v>
      </c>
      <c r="AG427" s="73">
        <f>IFERROR(INDEX('Euro Qual stats'!$A$1:$L$2071,MATCH(Players!$AE427,'Euro Qual stats'!$A$1:$A$2071,0),MATCH(Players!AG$2,'Euro Qual stats'!$A$1:$L$1,0)),0)</f>
        <v>0</v>
      </c>
      <c r="AH427" s="73">
        <f>IFERROR(INDEX('Euro Qual stats'!$A$1:$L$2071,MATCH(Players!$AE427,'Euro Qual stats'!$A$1:$A$2071,0),MATCH(Players!AH$2,'Euro Qual stats'!$A$1:$L$1,0)),0)</f>
        <v>0</v>
      </c>
      <c r="AI427" s="73">
        <f>IFERROR(INDEX('Euro Qual stats'!$A$1:$L$2071,MATCH(Players!$AE427,'Euro Qual stats'!$A$1:$A$2071,0),MATCH(Players!AI$2,'Euro Qual stats'!$A$1:$L$1,0)),0)</f>
        <v>0</v>
      </c>
      <c r="AJ427" s="93">
        <f>(12-AF427)/12*INDEX(BV$9:BV$12,MATCH($AB427,$BU$9:$BU$12,0))+AF427/12*AG427</f>
        <v>6.6881868131868152E-2</v>
      </c>
      <c r="AK427" s="93">
        <f>(12-AG427)/12*INDEX(BW$9:BW$12,MATCH($AB427,$BU$9:$BU$12,0))+AG427/12*AH427</f>
        <v>0.10357142857142858</v>
      </c>
      <c r="AL427" s="93">
        <f>(12-AH427)/12*INDEX(BX$9:BX$12,MATCH($AB427,$BU$9:$BU$12,0))+AH427/12*AI427</f>
        <v>0.19357142857142848</v>
      </c>
      <c r="AM427" s="93">
        <f>IF($BC427=1,AJ427/SUMIFS(AJ$3:AJ$623,$BC$3:$BC$623,1,$G$3:$G$623,$G427),0)</f>
        <v>0</v>
      </c>
      <c r="AN427" s="93">
        <f>IF($BC427=1,AK427/SUMIFS(AK$3:AK$623,$BC$3:$BC$623,1,$G$3:$G$623,$G427),0)</f>
        <v>0</v>
      </c>
      <c r="AO427" s="93">
        <f>IF($BC427=1,AL427/SUMIFS(AL$3:AL$623,$BC$3:$BC$623,1,$G$3:$G$623,$G427),0)</f>
        <v>0</v>
      </c>
      <c r="AP427" s="2">
        <f>IFERROR(R427/$V427*90,"")</f>
        <v>0</v>
      </c>
      <c r="AQ427" s="2">
        <f>IFERROR(S427/$V427*90,"")</f>
        <v>0</v>
      </c>
      <c r="AR427" s="2">
        <f>IFERROR(W427/$V427*90,"")</f>
        <v>0.19334049409237378</v>
      </c>
      <c r="AS427" s="2">
        <f>IFERROR(X427/$V427*90,"")</f>
        <v>0.43501611170784105</v>
      </c>
      <c r="AT427" s="2">
        <f>IFERROR(Y427/$V427*90,"")</f>
        <v>0</v>
      </c>
      <c r="AU427" s="2">
        <f>IF(AP427="",INDEX(BV$4:BV$7,MATCH(O427,$BU$4:$BU$7,0)),AP427)</f>
        <v>0</v>
      </c>
      <c r="AV427" s="2">
        <f>IF(AQ427="",INDEX(BW$4:BW$7,MATCH($O427,$BU$4:$BU$7,0)),AQ427)</f>
        <v>0</v>
      </c>
      <c r="AW427" s="2">
        <f t="shared" si="72"/>
        <v>0.19334049409237378</v>
      </c>
      <c r="AX427" s="2">
        <f t="shared" si="73"/>
        <v>0.43501611170784105</v>
      </c>
      <c r="AY427" s="2">
        <f t="shared" si="74"/>
        <v>0</v>
      </c>
      <c r="AZ427" s="2">
        <f>AU427*0.5+AK427*0.5</f>
        <v>5.1785714285714289E-2</v>
      </c>
      <c r="BA427" s="2">
        <f>AV427*0.5+AJ427*0.5</f>
        <v>3.3440934065934076E-2</v>
      </c>
      <c r="BB427" s="2">
        <f t="shared" si="75"/>
        <v>0.21750805585392052</v>
      </c>
      <c r="BC427">
        <f>IF(I427="expected",1,0)</f>
        <v>0</v>
      </c>
      <c r="BD427" s="78">
        <f>IF(BC427=1,AZ427/SUMIFS(AZ$3:AZ$623,$BC$3:$BC$623,1,$G$3:$G$623,$G427),0)</f>
        <v>0</v>
      </c>
      <c r="BE427" s="78">
        <f>IF(BC427=1,BA427/SUMIFS(BA$3:BA$623,$BC$3:$BC$623,1,$G$3:$G$623,$G427),0)</f>
        <v>0</v>
      </c>
      <c r="BF427" s="78">
        <f t="shared" si="76"/>
        <v>0</v>
      </c>
      <c r="BG427" s="2">
        <f t="shared" si="77"/>
        <v>0.21750805585392052</v>
      </c>
      <c r="BH427" s="2">
        <f t="shared" si="78"/>
        <v>0</v>
      </c>
      <c r="BI427" s="2">
        <f t="shared" si="79"/>
        <v>0</v>
      </c>
      <c r="BJ427" s="2">
        <f t="shared" si="80"/>
        <v>0</v>
      </c>
      <c r="BK427" s="2">
        <f t="shared" si="81"/>
        <v>0</v>
      </c>
      <c r="BL427" s="2">
        <f t="shared" si="82"/>
        <v>0.21750805585392052</v>
      </c>
      <c r="BM427" s="2">
        <f t="shared" si="83"/>
        <v>0</v>
      </c>
      <c r="BN427" s="2">
        <f>BI427/SUMIFS(BI$3:BI$623,$BC$3:$BC$623,1,$G$3:$G$623,$G427)</f>
        <v>0</v>
      </c>
      <c r="BO427" s="2">
        <f>BJ427/SUMIFS(BJ$3:BJ$623,$BC$3:$BC$623,1,$G$3:$G$623,$G427)</f>
        <v>0</v>
      </c>
      <c r="BP427" s="2">
        <f>BK427/SUMIFS(BK$3:BK$623,$BC$3:$BC$623,1,$G$3:$G$623,$G427)</f>
        <v>0</v>
      </c>
      <c r="BQ427" s="2">
        <f>BL427</f>
        <v>0.21750805585392052</v>
      </c>
      <c r="BR427" s="2">
        <f>BM427</f>
        <v>0</v>
      </c>
    </row>
    <row r="428" spans="1:70" hidden="1">
      <c r="A428" s="74">
        <v>0</v>
      </c>
      <c r="B428" s="73">
        <v>204828</v>
      </c>
      <c r="C428" s="73" t="s">
        <v>2682</v>
      </c>
      <c r="D428" s="73" t="s">
        <v>2683</v>
      </c>
      <c r="E428" s="73" t="s">
        <v>2684</v>
      </c>
      <c r="F428" s="73">
        <v>18699</v>
      </c>
      <c r="G428" s="73" t="s">
        <v>888</v>
      </c>
      <c r="H428" s="73" t="s">
        <v>941</v>
      </c>
      <c r="I428" s="73" t="s">
        <v>1012</v>
      </c>
      <c r="J428" s="73">
        <v>0</v>
      </c>
      <c r="K428" s="73">
        <v>4.5</v>
      </c>
      <c r="L428" s="73">
        <v>0</v>
      </c>
      <c r="M428" s="73">
        <v>0</v>
      </c>
      <c r="N428" s="73">
        <v>0</v>
      </c>
      <c r="O428" s="73" t="s">
        <v>1318</v>
      </c>
      <c r="P428" s="73" t="s">
        <v>2685</v>
      </c>
      <c r="Q428" s="73" t="s">
        <v>2686</v>
      </c>
      <c r="R428" s="73">
        <v>0</v>
      </c>
      <c r="S428" s="73">
        <v>0</v>
      </c>
      <c r="T428" s="73">
        <v>0</v>
      </c>
      <c r="U428" s="73">
        <v>0</v>
      </c>
      <c r="V428" s="73">
        <v>0</v>
      </c>
      <c r="W428" s="73">
        <v>0</v>
      </c>
      <c r="X428" s="73">
        <v>0</v>
      </c>
      <c r="Y428" s="73">
        <v>0</v>
      </c>
      <c r="Z428" s="73" t="s">
        <v>1083</v>
      </c>
      <c r="AA428" s="73" t="s">
        <v>692</v>
      </c>
      <c r="AB428" s="73" t="str">
        <f>IF(AA428&lt;&gt;"",INDEX(Lookup!$N$2:$N$5,MATCH(Players!AA428,Lookup!$P$2:$P$5,0)),INDEX(Lookup!$N$2:$N$5,MATCH(Players!O428,Lookup!$O$2:$O$5,0)))</f>
        <v>Defense</v>
      </c>
      <c r="AC428" s="73">
        <v>2500000</v>
      </c>
      <c r="AD428" s="73" t="s">
        <v>788</v>
      </c>
      <c r="AE428" s="73" t="str">
        <f>INDEX('Translate table'!$H$2:$H$622,MATCH(Players!P428,'Translate table'!$G$2:$G$622,0))</f>
        <v>Tomasz KÄ™dziora</v>
      </c>
      <c r="AF428" s="73">
        <f>IFERROR(INDEX('Euro Qual stats'!$A$1:$L$2071,MATCH(Players!$AE428,'Euro Qual stats'!$A$1:$A$2071,0),MATCH(Players!AF$2,'Euro Qual stats'!$A$1:$L$1,0)),0)</f>
        <v>9</v>
      </c>
      <c r="AG428" s="73">
        <f>IFERROR(INDEX('Euro Qual stats'!$A$1:$L$2071,MATCH(Players!$AE428,'Euro Qual stats'!$A$1:$A$2071,0),MATCH(Players!AG$2,'Euro Qual stats'!$A$1:$L$1,0)),0)</f>
        <v>0.12</v>
      </c>
      <c r="AH428" s="73">
        <f>IFERROR(INDEX('Euro Qual stats'!$A$1:$L$2071,MATCH(Players!$AE428,'Euro Qual stats'!$A$1:$A$2071,0),MATCH(Players!AH$2,'Euro Qual stats'!$A$1:$L$1,0)),0)</f>
        <v>0</v>
      </c>
      <c r="AI428" s="73">
        <f>IFERROR(INDEX('Euro Qual stats'!$A$1:$L$2071,MATCH(Players!$AE428,'Euro Qual stats'!$A$1:$A$2071,0),MATCH(Players!AI$2,'Euro Qual stats'!$A$1:$L$1,0)),0)</f>
        <v>0.24</v>
      </c>
      <c r="AJ428" s="93">
        <f>(12-AF428)/12*INDEX(BV$9:BV$12,MATCH($AB428,$BU$9:$BU$12,0))+AF428/12*AG428</f>
        <v>0.11229395604395605</v>
      </c>
      <c r="AK428" s="93">
        <f>(12-AG428)/12*INDEX(BW$9:BW$12,MATCH($AB428,$BU$9:$BU$12,0))+AG428/12*AH428</f>
        <v>0.1025357142857143</v>
      </c>
      <c r="AL428" s="93">
        <f>(12-AH428)/12*INDEX(BX$9:BX$12,MATCH($AB428,$BU$9:$BU$12,0))+AH428/12*AI428</f>
        <v>0.19357142857142848</v>
      </c>
      <c r="AM428" s="93">
        <f>IF($BC428=1,AJ428/SUMIFS(AJ$3:AJ$623,$BC$3:$BC$623,1,$G$3:$G$623,$G428),0)</f>
        <v>0</v>
      </c>
      <c r="AN428" s="93">
        <f>IF($BC428=1,AK428/SUMIFS(AK$3:AK$623,$BC$3:$BC$623,1,$G$3:$G$623,$G428),0)</f>
        <v>0</v>
      </c>
      <c r="AO428" s="93">
        <f>IF($BC428=1,AL428/SUMIFS(AL$3:AL$623,$BC$3:$BC$623,1,$G$3:$G$623,$G428),0)</f>
        <v>0</v>
      </c>
      <c r="AP428" s="2" t="str">
        <f>IFERROR(R428/$V428*90,"")</f>
        <v/>
      </c>
      <c r="AQ428" s="2" t="str">
        <f>IFERROR(S428/$V428*90,"")</f>
        <v/>
      </c>
      <c r="AR428" s="2" t="str">
        <f>IFERROR(W428/$V428*90,"")</f>
        <v/>
      </c>
      <c r="AS428" s="2" t="str">
        <f>IFERROR(X428/$V428*90,"")</f>
        <v/>
      </c>
      <c r="AT428" s="2" t="str">
        <f>IFERROR(Y428/$V428*90,"")</f>
        <v/>
      </c>
      <c r="AU428" s="2">
        <f>IF(AP428="",INDEX(BV$4:BV$7,MATCH(O428,$BU$4:$BU$7,0)),AP428)</f>
        <v>0</v>
      </c>
      <c r="AV428" s="2">
        <f>IF(AQ428="",INDEX(BW$4:BW$7,MATCH($O428,$BU$4:$BU$7,0)),AQ428)</f>
        <v>0</v>
      </c>
      <c r="AW428" s="2">
        <f t="shared" si="72"/>
        <v>8.0624805297505417E-2</v>
      </c>
      <c r="AX428" s="2">
        <f t="shared" si="73"/>
        <v>0.1265377855887522</v>
      </c>
      <c r="AY428" s="2">
        <f t="shared" si="74"/>
        <v>0</v>
      </c>
      <c r="AZ428" s="2">
        <f>AU428*0.5+AK428*0.5</f>
        <v>5.126785714285715E-2</v>
      </c>
      <c r="BA428" s="2">
        <f>AV428*0.5+AJ428*0.5</f>
        <v>5.6146978021978024E-2</v>
      </c>
      <c r="BB428" s="2">
        <f t="shared" si="75"/>
        <v>0.18326889279437608</v>
      </c>
      <c r="BC428">
        <f>IF(I428="expected",1,0)</f>
        <v>0</v>
      </c>
      <c r="BD428" s="78">
        <f>IF(BC428=1,AZ428/SUMIFS(AZ$3:AZ$623,$BC$3:$BC$623,1,$G$3:$G$623,$G428),0)</f>
        <v>0</v>
      </c>
      <c r="BE428" s="78">
        <f>IF(BC428=1,BA428/SUMIFS(BA$3:BA$623,$BC$3:$BC$623,1,$G$3:$G$623,$G428),0)</f>
        <v>0</v>
      </c>
      <c r="BF428" s="78">
        <f t="shared" si="76"/>
        <v>0</v>
      </c>
      <c r="BG428" s="2">
        <f t="shared" si="77"/>
        <v>0.18326889279437608</v>
      </c>
      <c r="BH428" s="2">
        <f t="shared" si="78"/>
        <v>0</v>
      </c>
      <c r="BI428" s="2">
        <f t="shared" si="79"/>
        <v>0</v>
      </c>
      <c r="BJ428" s="2">
        <f t="shared" si="80"/>
        <v>0</v>
      </c>
      <c r="BK428" s="2">
        <f t="shared" si="81"/>
        <v>0</v>
      </c>
      <c r="BL428" s="2">
        <f t="shared" si="82"/>
        <v>0.18326889279437608</v>
      </c>
      <c r="BM428" s="2">
        <f t="shared" si="83"/>
        <v>0</v>
      </c>
      <c r="BN428" s="2">
        <f>BI428/SUMIFS(BI$3:BI$623,$BC$3:$BC$623,1,$G$3:$G$623,$G428)</f>
        <v>0</v>
      </c>
      <c r="BO428" s="2">
        <f>BJ428/SUMIFS(BJ$3:BJ$623,$BC$3:$BC$623,1,$G$3:$G$623,$G428)</f>
        <v>0</v>
      </c>
      <c r="BP428" s="2">
        <f>BK428/SUMIFS(BK$3:BK$623,$BC$3:$BC$623,1,$G$3:$G$623,$G428)</f>
        <v>0</v>
      </c>
      <c r="BQ428" s="2">
        <f>BL428</f>
        <v>0.18326889279437608</v>
      </c>
      <c r="BR428" s="2">
        <f>BM428</f>
        <v>0</v>
      </c>
    </row>
    <row r="429" spans="1:70" hidden="1">
      <c r="A429" s="74">
        <v>0</v>
      </c>
      <c r="B429" s="73">
        <v>204825</v>
      </c>
      <c r="C429" s="73" t="s">
        <v>2687</v>
      </c>
      <c r="D429" s="73" t="s">
        <v>2665</v>
      </c>
      <c r="E429" s="73" t="s">
        <v>2688</v>
      </c>
      <c r="F429" s="73">
        <v>18699</v>
      </c>
      <c r="G429" s="73" t="s">
        <v>888</v>
      </c>
      <c r="H429" s="73" t="s">
        <v>941</v>
      </c>
      <c r="I429" s="73" t="s">
        <v>1012</v>
      </c>
      <c r="J429" s="73">
        <v>0</v>
      </c>
      <c r="K429" s="73">
        <v>4.5</v>
      </c>
      <c r="L429" s="73">
        <v>0</v>
      </c>
      <c r="M429" s="73">
        <v>0</v>
      </c>
      <c r="N429" s="73">
        <v>0</v>
      </c>
      <c r="O429" s="73" t="s">
        <v>1318</v>
      </c>
      <c r="P429" s="73" t="s">
        <v>2689</v>
      </c>
      <c r="Q429" s="73" t="s">
        <v>2689</v>
      </c>
      <c r="R429" s="73">
        <v>2</v>
      </c>
      <c r="S429" s="73">
        <v>1</v>
      </c>
      <c r="T429" s="73">
        <v>0</v>
      </c>
      <c r="U429" s="73">
        <v>5</v>
      </c>
      <c r="V429" s="73">
        <v>3207</v>
      </c>
      <c r="W429" s="73">
        <v>11</v>
      </c>
      <c r="X429" s="73">
        <v>8</v>
      </c>
      <c r="Y429" s="73">
        <v>1</v>
      </c>
      <c r="Z429" s="73" t="s">
        <v>1083</v>
      </c>
      <c r="AA429" s="73" t="s">
        <v>692</v>
      </c>
      <c r="AB429" s="73" t="str">
        <f>IF(AA429&lt;&gt;"",INDEX(Lookup!$N$2:$N$5,MATCH(Players!AA429,Lookup!$P$2:$P$5,0)),INDEX(Lookup!$N$2:$N$5,MATCH(Players!O429,Lookup!$O$2:$O$5,0)))</f>
        <v>Defense</v>
      </c>
      <c r="AC429" s="73">
        <v>3000000</v>
      </c>
      <c r="AD429" s="73" t="s">
        <v>791</v>
      </c>
      <c r="AE429" s="73" t="str">
        <f>INDEX('Translate table'!$H$2:$H$622,MATCH(Players!P429,'Translate table'!$G$2:$G$622,0))</f>
        <v>Kamil Glik</v>
      </c>
      <c r="AF429" s="73">
        <f>IFERROR(INDEX('Euro Qual stats'!$A$1:$L$2071,MATCH(Players!$AE429,'Euro Qual stats'!$A$1:$A$2071,0),MATCH(Players!AF$2,'Euro Qual stats'!$A$1:$L$1,0)),0)</f>
        <v>9</v>
      </c>
      <c r="AG429" s="73">
        <f>IFERROR(INDEX('Euro Qual stats'!$A$1:$L$2071,MATCH(Players!$AE429,'Euro Qual stats'!$A$1:$A$2071,0),MATCH(Players!AG$2,'Euro Qual stats'!$A$1:$L$1,0)),0)</f>
        <v>0</v>
      </c>
      <c r="AH429" s="73">
        <f>IFERROR(INDEX('Euro Qual stats'!$A$1:$L$2071,MATCH(Players!$AE429,'Euro Qual stats'!$A$1:$A$2071,0),MATCH(Players!AH$2,'Euro Qual stats'!$A$1:$L$1,0)),0)</f>
        <v>0.12</v>
      </c>
      <c r="AI429" s="73">
        <f>IFERROR(INDEX('Euro Qual stats'!$A$1:$L$2071,MATCH(Players!$AE429,'Euro Qual stats'!$A$1:$A$2071,0),MATCH(Players!AI$2,'Euro Qual stats'!$A$1:$L$1,0)),0)</f>
        <v>0.12</v>
      </c>
      <c r="AJ429" s="93">
        <f>(12-AF429)/12*INDEX(BV$9:BV$12,MATCH($AB429,$BU$9:$BU$12,0))+AF429/12*AG429</f>
        <v>2.2293956043956051E-2</v>
      </c>
      <c r="AK429" s="93">
        <f>(12-AG429)/12*INDEX(BW$9:BW$12,MATCH($AB429,$BU$9:$BU$12,0))+AG429/12*AH429</f>
        <v>0.10357142857142858</v>
      </c>
      <c r="AL429" s="93">
        <f>(12-AH429)/12*INDEX(BX$9:BX$12,MATCH($AB429,$BU$9:$BU$12,0))+AH429/12*AI429</f>
        <v>0.19283571428571422</v>
      </c>
      <c r="AM429" s="93">
        <f>IF($BC429=1,AJ429/SUMIFS(AJ$3:AJ$623,$BC$3:$BC$623,1,$G$3:$G$623,$G429),0)</f>
        <v>0</v>
      </c>
      <c r="AN429" s="93">
        <f>IF($BC429=1,AK429/SUMIFS(AK$3:AK$623,$BC$3:$BC$623,1,$G$3:$G$623,$G429),0)</f>
        <v>0</v>
      </c>
      <c r="AO429" s="93">
        <f>IF($BC429=1,AL429/SUMIFS(AL$3:AL$623,$BC$3:$BC$623,1,$G$3:$G$623,$G429),0)</f>
        <v>0</v>
      </c>
      <c r="AP429" s="2">
        <f>IFERROR(R429/$V429*90,"")</f>
        <v>5.6127221702525723E-2</v>
      </c>
      <c r="AQ429" s="2">
        <f>IFERROR(S429/$V429*90,"")</f>
        <v>2.8063610851262862E-2</v>
      </c>
      <c r="AR429" s="2">
        <f>IFERROR(W429/$V429*90,"")</f>
        <v>0.30869971936389151</v>
      </c>
      <c r="AS429" s="2">
        <f>IFERROR(X429/$V429*90,"")</f>
        <v>0.22450888681010289</v>
      </c>
      <c r="AT429" s="2">
        <f>IFERROR(Y429/$V429*90,"")</f>
        <v>2.8063610851262862E-2</v>
      </c>
      <c r="AU429" s="2">
        <f>IF(AP429="",INDEX(BV$4:BV$7,MATCH(O429,$BU$4:$BU$7,0)),AP429)</f>
        <v>5.6127221702525723E-2</v>
      </c>
      <c r="AV429" s="2">
        <f>IF(AQ429="",INDEX(BW$4:BW$7,MATCH($O429,$BU$4:$BU$7,0)),AQ429)</f>
        <v>2.8063610851262862E-2</v>
      </c>
      <c r="AW429" s="2">
        <f t="shared" si="72"/>
        <v>0.30869971936389151</v>
      </c>
      <c r="AX429" s="2">
        <f t="shared" si="73"/>
        <v>0.22450888681010289</v>
      </c>
      <c r="AY429" s="2">
        <f t="shared" si="74"/>
        <v>2.8063610851262862E-2</v>
      </c>
      <c r="AZ429" s="2">
        <f>AU429*0.5+AK429*0.5</f>
        <v>7.9849325136977151E-2</v>
      </c>
      <c r="BA429" s="2">
        <f>AV429*0.5+AJ429*0.5</f>
        <v>2.5178783447609456E-2</v>
      </c>
      <c r="BB429" s="2">
        <f t="shared" si="75"/>
        <v>0.17225444340505144</v>
      </c>
      <c r="BC429">
        <f>IF(I429="expected",1,0)</f>
        <v>0</v>
      </c>
      <c r="BD429" s="78">
        <f>IF(BC429=1,AZ429/SUMIFS(AZ$3:AZ$623,$BC$3:$BC$623,1,$G$3:$G$623,$G429),0)</f>
        <v>0</v>
      </c>
      <c r="BE429" s="78">
        <f>IF(BC429=1,BA429/SUMIFS(BA$3:BA$623,$BC$3:$BC$623,1,$G$3:$G$623,$G429),0)</f>
        <v>0</v>
      </c>
      <c r="BF429" s="78">
        <f t="shared" si="76"/>
        <v>0</v>
      </c>
      <c r="BG429" s="2">
        <f t="shared" si="77"/>
        <v>0.17225444340505144</v>
      </c>
      <c r="BH429" s="2">
        <f t="shared" si="78"/>
        <v>2.8063610851262862E-2</v>
      </c>
      <c r="BI429" s="2">
        <f t="shared" si="79"/>
        <v>0</v>
      </c>
      <c r="BJ429" s="2">
        <f t="shared" si="80"/>
        <v>0</v>
      </c>
      <c r="BK429" s="2">
        <f t="shared" si="81"/>
        <v>0</v>
      </c>
      <c r="BL429" s="2">
        <f t="shared" si="82"/>
        <v>0.17225444340505144</v>
      </c>
      <c r="BM429" s="2">
        <f t="shared" si="83"/>
        <v>2.8063610851262862E-2</v>
      </c>
      <c r="BN429" s="2">
        <f>BI429/SUMIFS(BI$3:BI$623,$BC$3:$BC$623,1,$G$3:$G$623,$G429)</f>
        <v>0</v>
      </c>
      <c r="BO429" s="2">
        <f>BJ429/SUMIFS(BJ$3:BJ$623,$BC$3:$BC$623,1,$G$3:$G$623,$G429)</f>
        <v>0</v>
      </c>
      <c r="BP429" s="2">
        <f>BK429/SUMIFS(BK$3:BK$623,$BC$3:$BC$623,1,$G$3:$G$623,$G429)</f>
        <v>0</v>
      </c>
      <c r="BQ429" s="2">
        <f>BL429</f>
        <v>0.17225444340505144</v>
      </c>
      <c r="BR429" s="2">
        <f>BM429</f>
        <v>2.8063610851262862E-2</v>
      </c>
    </row>
    <row r="430" spans="1:70" hidden="1">
      <c r="A430" s="74">
        <v>0</v>
      </c>
      <c r="B430" s="73">
        <v>204823</v>
      </c>
      <c r="C430" s="73" t="s">
        <v>2690</v>
      </c>
      <c r="D430" s="73" t="s">
        <v>2691</v>
      </c>
      <c r="E430" s="73" t="s">
        <v>2692</v>
      </c>
      <c r="F430" s="73">
        <v>18699</v>
      </c>
      <c r="G430" s="73" t="s">
        <v>888</v>
      </c>
      <c r="H430" s="73" t="s">
        <v>941</v>
      </c>
      <c r="I430" s="73" t="s">
        <v>981</v>
      </c>
      <c r="J430" s="73">
        <v>0</v>
      </c>
      <c r="K430" s="73">
        <v>4.5</v>
      </c>
      <c r="L430" s="73">
        <v>0</v>
      </c>
      <c r="M430" s="73">
        <v>0</v>
      </c>
      <c r="N430" s="73">
        <v>0</v>
      </c>
      <c r="O430" s="73" t="s">
        <v>1318</v>
      </c>
      <c r="P430" s="73" t="s">
        <v>2693</v>
      </c>
      <c r="Q430" s="73" t="s">
        <v>2694</v>
      </c>
      <c r="R430" s="73">
        <v>8</v>
      </c>
      <c r="S430" s="73">
        <v>6</v>
      </c>
      <c r="T430" s="73">
        <v>0</v>
      </c>
      <c r="U430" s="73">
        <v>1</v>
      </c>
      <c r="V430" s="73">
        <v>2294</v>
      </c>
      <c r="W430" s="73">
        <v>25</v>
      </c>
      <c r="X430" s="73">
        <v>1</v>
      </c>
      <c r="Y430" s="73">
        <v>0</v>
      </c>
      <c r="Z430" s="73" t="s">
        <v>1083</v>
      </c>
      <c r="AA430" s="73" t="s">
        <v>692</v>
      </c>
      <c r="AB430" s="73" t="str">
        <f>IF(AA430&lt;&gt;"",INDEX(Lookup!$N$2:$N$5,MATCH(Players!AA430,Lookup!$P$2:$P$5,0)),INDEX(Lookup!$N$2:$N$5,MATCH(Players!O430,Lookup!$O$2:$O$5,0)))</f>
        <v>Defense</v>
      </c>
      <c r="AC430" s="73">
        <v>2500000</v>
      </c>
      <c r="AD430" s="73" t="s">
        <v>798</v>
      </c>
      <c r="AE430" s="73" t="str">
        <f>INDEX('Translate table'!$H$2:$H$622,MATCH(Players!P430,'Translate table'!$G$2:$G$622,0))</f>
        <v>Maciej Rybus</v>
      </c>
      <c r="AF430" s="73">
        <f>IFERROR(INDEX('Euro Qual stats'!$A$1:$L$2071,MATCH(Players!$AE430,'Euro Qual stats'!$A$1:$A$2071,0),MATCH(Players!AF$2,'Euro Qual stats'!$A$1:$L$1,0)),0)</f>
        <v>2</v>
      </c>
      <c r="AG430" s="73">
        <f>IFERROR(INDEX('Euro Qual stats'!$A$1:$L$2071,MATCH(Players!$AE430,'Euro Qual stats'!$A$1:$A$2071,0),MATCH(Players!AG$2,'Euro Qual stats'!$A$1:$L$1,0)),0)</f>
        <v>0</v>
      </c>
      <c r="AH430" s="73">
        <f>IFERROR(INDEX('Euro Qual stats'!$A$1:$L$2071,MATCH(Players!$AE430,'Euro Qual stats'!$A$1:$A$2071,0),MATCH(Players!AH$2,'Euro Qual stats'!$A$1:$L$1,0)),0)</f>
        <v>0</v>
      </c>
      <c r="AI430" s="73">
        <f>IFERROR(INDEX('Euro Qual stats'!$A$1:$L$2071,MATCH(Players!$AE430,'Euro Qual stats'!$A$1:$A$2071,0),MATCH(Players!AI$2,'Euro Qual stats'!$A$1:$L$1,0)),0)</f>
        <v>0</v>
      </c>
      <c r="AJ430" s="93">
        <f>(12-AF430)/12*INDEX(BV$9:BV$12,MATCH($AB430,$BU$9:$BU$12,0))+AF430/12*AG430</f>
        <v>7.4313186813186841E-2</v>
      </c>
      <c r="AK430" s="93">
        <f>(12-AG430)/12*INDEX(BW$9:BW$12,MATCH($AB430,$BU$9:$BU$12,0))+AG430/12*AH430</f>
        <v>0.10357142857142858</v>
      </c>
      <c r="AL430" s="93">
        <f>(12-AH430)/12*INDEX(BX$9:BX$12,MATCH($AB430,$BU$9:$BU$12,0))+AH430/12*AI430</f>
        <v>0.19357142857142848</v>
      </c>
      <c r="AM430" s="93">
        <f>IF($BC430=1,AJ430/SUMIFS(AJ$3:AJ$623,$BC$3:$BC$623,1,$G$3:$G$623,$G430),0)</f>
        <v>5.4672648499520977E-2</v>
      </c>
      <c r="AN430" s="93">
        <f>IF($BC430=1,AK430/SUMIFS(AK$3:AK$623,$BC$3:$BC$623,1,$G$3:$G$623,$G430),0)</f>
        <v>4.284690075455147E-2</v>
      </c>
      <c r="AO430" s="93">
        <f>IF($BC430=1,AL430/SUMIFS(AL$3:AL$623,$BC$3:$BC$623,1,$G$3:$G$623,$G430),0)</f>
        <v>9.5297983513251819E-2</v>
      </c>
      <c r="AP430" s="2">
        <f>IFERROR(R430/$V430*90,"")</f>
        <v>0.31386224934612034</v>
      </c>
      <c r="AQ430" s="2">
        <f>IFERROR(S430/$V430*90,"")</f>
        <v>0.23539668700959024</v>
      </c>
      <c r="AR430" s="2">
        <f>IFERROR(W430/$V430*90,"")</f>
        <v>0.98081952920662596</v>
      </c>
      <c r="AS430" s="2">
        <f>IFERROR(X430/$V430*90,"")</f>
        <v>3.9232781168265042E-2</v>
      </c>
      <c r="AT430" s="2">
        <f>IFERROR(Y430/$V430*90,"")</f>
        <v>0</v>
      </c>
      <c r="AU430" s="2">
        <f>IF(AP430="",INDEX(BV$4:BV$7,MATCH(O430,$BU$4:$BU$7,0)),AP430)</f>
        <v>0.31386224934612034</v>
      </c>
      <c r="AV430" s="2">
        <f>IF(AQ430="",INDEX(BW$4:BW$7,MATCH($O430,$BU$4:$BU$7,0)),AQ430)</f>
        <v>0.23539668700959024</v>
      </c>
      <c r="AW430" s="2">
        <f t="shared" si="72"/>
        <v>0.98081952920662596</v>
      </c>
      <c r="AX430" s="2">
        <f t="shared" si="73"/>
        <v>3.9232781168265042E-2</v>
      </c>
      <c r="AY430" s="2">
        <f t="shared" si="74"/>
        <v>0</v>
      </c>
      <c r="AZ430" s="2">
        <f>AU430*0.5+AK430*0.5</f>
        <v>0.20871683895877446</v>
      </c>
      <c r="BA430" s="2">
        <f>AV430*0.5+AJ430*0.5</f>
        <v>0.15485493691138855</v>
      </c>
      <c r="BB430" s="2">
        <f t="shared" si="75"/>
        <v>1.9616390584132521E-2</v>
      </c>
      <c r="BC430">
        <f>IF(I430="expected",1,0)</f>
        <v>1</v>
      </c>
      <c r="BD430" s="78">
        <f>IF(BC430=1,AZ430/SUMIFS(AZ$3:AZ$623,$BC$3:$BC$623,1,$G$3:$G$623,$G430),0)</f>
        <v>7.5699482038682639E-2</v>
      </c>
      <c r="BE430" s="78">
        <f>IF(BC430=1,BA430/SUMIFS(BA$3:BA$623,$BC$3:$BC$623,1,$G$3:$G$623,$G430),0)</f>
        <v>0.1305380392253381</v>
      </c>
      <c r="BF430" s="78">
        <f t="shared" si="76"/>
        <v>0.13354598670382939</v>
      </c>
      <c r="BG430" s="2">
        <f t="shared" si="77"/>
        <v>1.9616390584132521E-2</v>
      </c>
      <c r="BH430" s="2">
        <f t="shared" si="78"/>
        <v>0</v>
      </c>
      <c r="BI430" s="2">
        <f t="shared" si="79"/>
        <v>7.5699482038682639E-2</v>
      </c>
      <c r="BJ430" s="2">
        <f t="shared" si="80"/>
        <v>0.1305380392253381</v>
      </c>
      <c r="BK430" s="2">
        <f t="shared" si="81"/>
        <v>0.13354598670382939</v>
      </c>
      <c r="BL430" s="2">
        <f t="shared" si="82"/>
        <v>1.9616390584132521E-2</v>
      </c>
      <c r="BM430" s="2">
        <f t="shared" si="83"/>
        <v>0</v>
      </c>
      <c r="BN430" s="2">
        <f>BI430/SUMIFS(BI$3:BI$623,$BC$3:$BC$623,1,$G$3:$G$623,$G430)</f>
        <v>7.715685487260418E-2</v>
      </c>
      <c r="BO430" s="2">
        <f>BJ430/SUMIFS(BJ$3:BJ$623,$BC$3:$BC$623,1,$G$3:$G$623,$G430)</f>
        <v>0.1305380392253381</v>
      </c>
      <c r="BP430" s="2">
        <f>BK430/SUMIFS(BK$3:BK$623,$BC$3:$BC$623,1,$G$3:$G$623,$G430)</f>
        <v>0.1388675058025535</v>
      </c>
      <c r="BQ430" s="2">
        <f>BL430</f>
        <v>1.9616390584132521E-2</v>
      </c>
      <c r="BR430" s="2">
        <f>BM430</f>
        <v>0</v>
      </c>
    </row>
    <row r="431" spans="1:70" hidden="1">
      <c r="A431" s="74">
        <v>0</v>
      </c>
      <c r="B431" s="73">
        <v>204821</v>
      </c>
      <c r="C431" s="73" t="s">
        <v>2695</v>
      </c>
      <c r="D431" s="73" t="s">
        <v>1830</v>
      </c>
      <c r="E431" s="73" t="s">
        <v>2696</v>
      </c>
      <c r="F431" s="73">
        <v>18699</v>
      </c>
      <c r="G431" s="73" t="s">
        <v>888</v>
      </c>
      <c r="H431" s="73" t="s">
        <v>941</v>
      </c>
      <c r="I431" s="73" t="s">
        <v>981</v>
      </c>
      <c r="J431" s="73">
        <v>0</v>
      </c>
      <c r="K431" s="73">
        <v>4.5</v>
      </c>
      <c r="L431" s="73">
        <v>0</v>
      </c>
      <c r="M431" s="73">
        <v>0</v>
      </c>
      <c r="N431" s="73">
        <v>0</v>
      </c>
      <c r="O431" s="73" t="s">
        <v>1318</v>
      </c>
      <c r="P431" s="73" t="s">
        <v>99</v>
      </c>
      <c r="Q431" s="73" t="s">
        <v>99</v>
      </c>
      <c r="R431" s="73">
        <v>1</v>
      </c>
      <c r="S431" s="73">
        <v>1</v>
      </c>
      <c r="T431" s="73">
        <v>0</v>
      </c>
      <c r="U431" s="73">
        <v>9</v>
      </c>
      <c r="V431" s="73">
        <v>3101</v>
      </c>
      <c r="W431" s="73">
        <v>6</v>
      </c>
      <c r="X431" s="73">
        <v>5</v>
      </c>
      <c r="Y431" s="73">
        <v>1</v>
      </c>
      <c r="Z431" s="73" t="s">
        <v>1083</v>
      </c>
      <c r="AA431" s="73" t="s">
        <v>692</v>
      </c>
      <c r="AB431" s="73" t="str">
        <f>IF(AA431&lt;&gt;"",INDEX(Lookup!$N$2:$N$5,MATCH(Players!AA431,Lookup!$P$2:$P$5,0)),INDEX(Lookup!$N$2:$N$5,MATCH(Players!O431,Lookup!$O$2:$O$5,0)))</f>
        <v>Defense</v>
      </c>
      <c r="AC431" s="73">
        <v>3000000</v>
      </c>
      <c r="AD431" s="73" t="s">
        <v>807</v>
      </c>
      <c r="AE431" s="73" t="str">
        <f>INDEX('Translate table'!$H$2:$H$622,MATCH(Players!P431,'Translate table'!$G$2:$G$622,0))</f>
        <v>Jan Bednarek</v>
      </c>
      <c r="AF431" s="73">
        <f>IFERROR(INDEX('Euro Qual stats'!$A$1:$L$2071,MATCH(Players!$AE431,'Euro Qual stats'!$A$1:$A$2071,0),MATCH(Players!AF$2,'Euro Qual stats'!$A$1:$L$1,0)),0)</f>
        <v>9</v>
      </c>
      <c r="AG431" s="73">
        <f>IFERROR(INDEX('Euro Qual stats'!$A$1:$L$2071,MATCH(Players!$AE431,'Euro Qual stats'!$A$1:$A$2071,0),MATCH(Players!AG$2,'Euro Qual stats'!$A$1:$L$1,0)),0)</f>
        <v>0</v>
      </c>
      <c r="AH431" s="73">
        <f>IFERROR(INDEX('Euro Qual stats'!$A$1:$L$2071,MATCH(Players!$AE431,'Euro Qual stats'!$A$1:$A$2071,0),MATCH(Players!AH$2,'Euro Qual stats'!$A$1:$L$1,0)),0)</f>
        <v>0</v>
      </c>
      <c r="AI431" s="73">
        <f>IFERROR(INDEX('Euro Qual stats'!$A$1:$L$2071,MATCH(Players!$AE431,'Euro Qual stats'!$A$1:$A$2071,0),MATCH(Players!AI$2,'Euro Qual stats'!$A$1:$L$1,0)),0)</f>
        <v>0.22</v>
      </c>
      <c r="AJ431" s="93">
        <f>(12-AF431)/12*INDEX(BV$9:BV$12,MATCH($AB431,$BU$9:$BU$12,0))+AF431/12*AG431</f>
        <v>2.2293956043956051E-2</v>
      </c>
      <c r="AK431" s="93">
        <f>(12-AG431)/12*INDEX(BW$9:BW$12,MATCH($AB431,$BU$9:$BU$12,0))+AG431/12*AH431</f>
        <v>0.10357142857142858</v>
      </c>
      <c r="AL431" s="93">
        <f>(12-AH431)/12*INDEX(BX$9:BX$12,MATCH($AB431,$BU$9:$BU$12,0))+AH431/12*AI431</f>
        <v>0.19357142857142848</v>
      </c>
      <c r="AM431" s="93">
        <f>IF($BC431=1,AJ431/SUMIFS(AJ$3:AJ$623,$BC$3:$BC$623,1,$G$3:$G$623,$G431),0)</f>
        <v>1.6401794549856293E-2</v>
      </c>
      <c r="AN431" s="93">
        <f>IF($BC431=1,AK431/SUMIFS(AK$3:AK$623,$BC$3:$BC$623,1,$G$3:$G$623,$G431),0)</f>
        <v>4.284690075455147E-2</v>
      </c>
      <c r="AO431" s="93">
        <f>IF($BC431=1,AL431/SUMIFS(AL$3:AL$623,$BC$3:$BC$623,1,$G$3:$G$623,$G431),0)</f>
        <v>9.5297983513251819E-2</v>
      </c>
      <c r="AP431" s="2">
        <f>IFERROR(R431/$V431*90,"")</f>
        <v>2.9022895840051594E-2</v>
      </c>
      <c r="AQ431" s="2">
        <f>IFERROR(S431/$V431*90,"")</f>
        <v>2.9022895840051594E-2</v>
      </c>
      <c r="AR431" s="2">
        <f>IFERROR(W431/$V431*90,"")</f>
        <v>0.17413737504030957</v>
      </c>
      <c r="AS431" s="2">
        <f>IFERROR(X431/$V431*90,"")</f>
        <v>0.14511447920025797</v>
      </c>
      <c r="AT431" s="2">
        <f>IFERROR(Y431/$V431*90,"")</f>
        <v>2.9022895840051594E-2</v>
      </c>
      <c r="AU431" s="2">
        <f>IF(AP431="",INDEX(BV$4:BV$7,MATCH(O431,$BU$4:$BU$7,0)),AP431)</f>
        <v>2.9022895840051594E-2</v>
      </c>
      <c r="AV431" s="2">
        <f>IF(AQ431="",INDEX(BW$4:BW$7,MATCH($O431,$BU$4:$BU$7,0)),AQ431)</f>
        <v>2.9022895840051594E-2</v>
      </c>
      <c r="AW431" s="2">
        <f t="shared" si="72"/>
        <v>0.17413737504030957</v>
      </c>
      <c r="AX431" s="2">
        <f t="shared" si="73"/>
        <v>0.14511447920025797</v>
      </c>
      <c r="AY431" s="2">
        <f t="shared" si="74"/>
        <v>2.9022895840051594E-2</v>
      </c>
      <c r="AZ431" s="2">
        <f>AU431*0.5+AK431*0.5</f>
        <v>6.6297162205740084E-2</v>
      </c>
      <c r="BA431" s="2">
        <f>AV431*0.5+AJ431*0.5</f>
        <v>2.5658425942003821E-2</v>
      </c>
      <c r="BB431" s="2">
        <f t="shared" si="75"/>
        <v>0.18255723960012898</v>
      </c>
      <c r="BC431">
        <f>IF(I431="expected",1,0)</f>
        <v>1</v>
      </c>
      <c r="BD431" s="78">
        <f>IF(BC431=1,AZ431/SUMIFS(AZ$3:AZ$623,$BC$3:$BC$623,1,$G$3:$G$623,$G431),0)</f>
        <v>2.40453087764535E-2</v>
      </c>
      <c r="BE431" s="78">
        <f>IF(BC431=1,BA431/SUMIFS(BA$3:BA$623,$BC$3:$BC$623,1,$G$3:$G$623,$G431),0)</f>
        <v>2.1629278852080314E-2</v>
      </c>
      <c r="BF431" s="78">
        <f t="shared" si="76"/>
        <v>2.3710118813176494E-2</v>
      </c>
      <c r="BG431" s="2">
        <f t="shared" si="77"/>
        <v>0.18255723960012898</v>
      </c>
      <c r="BH431" s="2">
        <f t="shared" si="78"/>
        <v>2.9022895840051594E-2</v>
      </c>
      <c r="BI431" s="2">
        <f t="shared" si="79"/>
        <v>2.40453087764535E-2</v>
      </c>
      <c r="BJ431" s="2">
        <f t="shared" si="80"/>
        <v>2.1629278852080314E-2</v>
      </c>
      <c r="BK431" s="2">
        <f t="shared" si="81"/>
        <v>2.3710118813176494E-2</v>
      </c>
      <c r="BL431" s="2">
        <f t="shared" si="82"/>
        <v>0.18255723960012898</v>
      </c>
      <c r="BM431" s="2">
        <f t="shared" si="83"/>
        <v>2.9022895840051594E-2</v>
      </c>
      <c r="BN431" s="2">
        <f>BI431/SUMIFS(BI$3:BI$623,$BC$3:$BC$623,1,$G$3:$G$623,$G431)</f>
        <v>2.4508231095739009E-2</v>
      </c>
      <c r="BO431" s="2">
        <f>BJ431/SUMIFS(BJ$3:BJ$623,$BC$3:$BC$623,1,$G$3:$G$623,$G431)</f>
        <v>2.1629278852080314E-2</v>
      </c>
      <c r="BP431" s="2">
        <f>BK431/SUMIFS(BK$3:BK$623,$BC$3:$BC$623,1,$G$3:$G$623,$G431)</f>
        <v>2.4654915831878055E-2</v>
      </c>
      <c r="BQ431" s="2">
        <f>BL431</f>
        <v>0.18255723960012898</v>
      </c>
      <c r="BR431" s="2">
        <f>BM431</f>
        <v>2.9022895840051594E-2</v>
      </c>
    </row>
    <row r="432" spans="1:70" hidden="1">
      <c r="A432" s="74">
        <v>0</v>
      </c>
      <c r="B432" s="73">
        <v>204819</v>
      </c>
      <c r="C432" s="73" t="s">
        <v>2697</v>
      </c>
      <c r="D432" s="73" t="s">
        <v>2698</v>
      </c>
      <c r="E432" s="73" t="s">
        <v>2699</v>
      </c>
      <c r="F432" s="73">
        <v>18699</v>
      </c>
      <c r="G432" s="73" t="s">
        <v>888</v>
      </c>
      <c r="H432" s="73" t="s">
        <v>941</v>
      </c>
      <c r="I432" s="73" t="s">
        <v>981</v>
      </c>
      <c r="J432" s="73">
        <v>0</v>
      </c>
      <c r="K432" s="73">
        <v>4.5</v>
      </c>
      <c r="L432" s="73">
        <v>0</v>
      </c>
      <c r="M432" s="73">
        <v>0</v>
      </c>
      <c r="N432" s="73">
        <v>0</v>
      </c>
      <c r="O432" s="73" t="s">
        <v>1318</v>
      </c>
      <c r="P432" s="73" t="s">
        <v>2700</v>
      </c>
      <c r="Q432" s="73" t="s">
        <v>2700</v>
      </c>
      <c r="R432" s="73">
        <v>1</v>
      </c>
      <c r="S432" s="73">
        <v>0</v>
      </c>
      <c r="T432" s="73">
        <v>0</v>
      </c>
      <c r="U432" s="73">
        <v>5</v>
      </c>
      <c r="V432" s="73">
        <v>2607</v>
      </c>
      <c r="W432" s="73">
        <v>1</v>
      </c>
      <c r="X432" s="73">
        <v>2</v>
      </c>
      <c r="Y432" s="73">
        <v>0</v>
      </c>
      <c r="Z432" s="73" t="s">
        <v>1083</v>
      </c>
      <c r="AA432" s="73" t="s">
        <v>692</v>
      </c>
      <c r="AB432" s="73" t="str">
        <f>IF(AA432&lt;&gt;"",INDEX(Lookup!$N$2:$N$5,MATCH(Players!AA432,Lookup!$P$2:$P$5,0)),INDEX(Lookup!$N$2:$N$5,MATCH(Players!O432,Lookup!$O$2:$O$5,0)))</f>
        <v>Defense</v>
      </c>
      <c r="AC432" s="73">
        <v>3000000</v>
      </c>
      <c r="AD432" s="73" t="s">
        <v>789</v>
      </c>
      <c r="AE432" s="73" t="str">
        <f>INDEX('Translate table'!$H$2:$H$622,MATCH(Players!P432,'Translate table'!$G$2:$G$622,0))</f>
        <v>Bartosz BereszyÅ„ski</v>
      </c>
      <c r="AF432" s="73">
        <f>IFERROR(INDEX('Euro Qual stats'!$A$1:$L$2071,MATCH(Players!$AE432,'Euro Qual stats'!$A$1:$A$2071,0),MATCH(Players!AF$2,'Euro Qual stats'!$A$1:$L$1,0)),0)</f>
        <v>6</v>
      </c>
      <c r="AG432" s="73">
        <f>IFERROR(INDEX('Euro Qual stats'!$A$1:$L$2071,MATCH(Players!$AE432,'Euro Qual stats'!$A$1:$A$2071,0),MATCH(Players!AG$2,'Euro Qual stats'!$A$1:$L$1,0)),0)</f>
        <v>0</v>
      </c>
      <c r="AH432" s="73">
        <f>IFERROR(INDEX('Euro Qual stats'!$A$1:$L$2071,MATCH(Players!$AE432,'Euro Qual stats'!$A$1:$A$2071,0),MATCH(Players!AH$2,'Euro Qual stats'!$A$1:$L$1,0)),0)</f>
        <v>0</v>
      </c>
      <c r="AI432" s="73">
        <f>IFERROR(INDEX('Euro Qual stats'!$A$1:$L$2071,MATCH(Players!$AE432,'Euro Qual stats'!$A$1:$A$2071,0),MATCH(Players!AI$2,'Euro Qual stats'!$A$1:$L$1,0)),0)</f>
        <v>0.33</v>
      </c>
      <c r="AJ432" s="93">
        <f>(12-AF432)/12*INDEX(BV$9:BV$12,MATCH($AB432,$BU$9:$BU$12,0))+AF432/12*AG432</f>
        <v>4.4587912087912102E-2</v>
      </c>
      <c r="AK432" s="93">
        <f>(12-AG432)/12*INDEX(BW$9:BW$12,MATCH($AB432,$BU$9:$BU$12,0))+AG432/12*AH432</f>
        <v>0.10357142857142858</v>
      </c>
      <c r="AL432" s="93">
        <f>(12-AH432)/12*INDEX(BX$9:BX$12,MATCH($AB432,$BU$9:$BU$12,0))+AH432/12*AI432</f>
        <v>0.19357142857142848</v>
      </c>
      <c r="AM432" s="93">
        <f>IF($BC432=1,AJ432/SUMIFS(AJ$3:AJ$623,$BC$3:$BC$623,1,$G$3:$G$623,$G432),0)</f>
        <v>3.2803589099712586E-2</v>
      </c>
      <c r="AN432" s="93">
        <f>IF($BC432=1,AK432/SUMIFS(AK$3:AK$623,$BC$3:$BC$623,1,$G$3:$G$623,$G432),0)</f>
        <v>4.284690075455147E-2</v>
      </c>
      <c r="AO432" s="93">
        <f>IF($BC432=1,AL432/SUMIFS(AL$3:AL$623,$BC$3:$BC$623,1,$G$3:$G$623,$G432),0)</f>
        <v>9.5297983513251819E-2</v>
      </c>
      <c r="AP432" s="2">
        <f>IFERROR(R432/$V432*90,"")</f>
        <v>3.4522439585730723E-2</v>
      </c>
      <c r="AQ432" s="2">
        <f>IFERROR(S432/$V432*90,"")</f>
        <v>0</v>
      </c>
      <c r="AR432" s="2">
        <f>IFERROR(W432/$V432*90,"")</f>
        <v>3.4522439585730723E-2</v>
      </c>
      <c r="AS432" s="2">
        <f>IFERROR(X432/$V432*90,"")</f>
        <v>6.9044879171461446E-2</v>
      </c>
      <c r="AT432" s="2">
        <f>IFERROR(Y432/$V432*90,"")</f>
        <v>0</v>
      </c>
      <c r="AU432" s="2">
        <f>IF(AP432="",INDEX(BV$4:BV$7,MATCH(O432,$BU$4:$BU$7,0)),AP432)</f>
        <v>3.4522439585730723E-2</v>
      </c>
      <c r="AV432" s="2">
        <f>IF(AQ432="",INDEX(BW$4:BW$7,MATCH($O432,$BU$4:$BU$7,0)),AQ432)</f>
        <v>0</v>
      </c>
      <c r="AW432" s="2">
        <f t="shared" si="72"/>
        <v>3.4522439585730723E-2</v>
      </c>
      <c r="AX432" s="2">
        <f t="shared" si="73"/>
        <v>6.9044879171461446E-2</v>
      </c>
      <c r="AY432" s="2">
        <f t="shared" si="74"/>
        <v>0</v>
      </c>
      <c r="AZ432" s="2">
        <f>AU432*0.5+AK432*0.5</f>
        <v>6.9046934078579647E-2</v>
      </c>
      <c r="BA432" s="2">
        <f>AV432*0.5+AJ432*0.5</f>
        <v>2.2293956043956051E-2</v>
      </c>
      <c r="BB432" s="2">
        <f t="shared" si="75"/>
        <v>0.19952243958573074</v>
      </c>
      <c r="BC432">
        <f>IF(I432="expected",1,0)</f>
        <v>1</v>
      </c>
      <c r="BD432" s="78">
        <f>IF(BC432=1,AZ432/SUMIFS(AZ$3:AZ$623,$BC$3:$BC$623,1,$G$3:$G$623,$G432),0)</f>
        <v>2.5042623164391351E-2</v>
      </c>
      <c r="BE432" s="78">
        <f>IF(BC432=1,BA432/SUMIFS(BA$3:BA$623,$BC$3:$BC$623,1,$G$3:$G$623,$G432),0)</f>
        <v>1.8793132247499383E-2</v>
      </c>
      <c r="BF432" s="78">
        <f t="shared" si="76"/>
        <v>4.7004908860542325E-3</v>
      </c>
      <c r="BG432" s="2">
        <f t="shared" si="77"/>
        <v>0.19952243958573074</v>
      </c>
      <c r="BH432" s="2">
        <f t="shared" si="78"/>
        <v>0</v>
      </c>
      <c r="BI432" s="2">
        <f t="shared" si="79"/>
        <v>2.5042623164391351E-2</v>
      </c>
      <c r="BJ432" s="2">
        <f t="shared" si="80"/>
        <v>1.8793132247499383E-2</v>
      </c>
      <c r="BK432" s="2">
        <f t="shared" si="81"/>
        <v>4.7004908860542325E-3</v>
      </c>
      <c r="BL432" s="2">
        <f t="shared" si="82"/>
        <v>0.19952243958573074</v>
      </c>
      <c r="BM432" s="2">
        <f t="shared" si="83"/>
        <v>0</v>
      </c>
      <c r="BN432" s="2">
        <f>BI432/SUMIFS(BI$3:BI$623,$BC$3:$BC$623,1,$G$3:$G$623,$G432)</f>
        <v>2.5524745864666479E-2</v>
      </c>
      <c r="BO432" s="2">
        <f>BJ432/SUMIFS(BJ$3:BJ$623,$BC$3:$BC$623,1,$G$3:$G$623,$G432)</f>
        <v>1.8793132247499383E-2</v>
      </c>
      <c r="BP432" s="2">
        <f>BK432/SUMIFS(BK$3:BK$623,$BC$3:$BC$623,1,$G$3:$G$623,$G432)</f>
        <v>4.8877952943775635E-3</v>
      </c>
      <c r="BQ432" s="2">
        <f>BL432</f>
        <v>0.19952243958573074</v>
      </c>
      <c r="BR432" s="2">
        <f>BM432</f>
        <v>0</v>
      </c>
    </row>
    <row r="433" spans="1:70" hidden="1">
      <c r="A433" s="74">
        <v>0</v>
      </c>
      <c r="B433" s="73">
        <v>221450</v>
      </c>
      <c r="C433" s="73" t="s">
        <v>2701</v>
      </c>
      <c r="D433" s="73" t="s">
        <v>2702</v>
      </c>
      <c r="E433" s="73" t="s">
        <v>2703</v>
      </c>
      <c r="F433" s="73">
        <v>18699</v>
      </c>
      <c r="G433" s="73" t="s">
        <v>888</v>
      </c>
      <c r="H433" s="73" t="s">
        <v>941</v>
      </c>
      <c r="I433" s="73" t="s">
        <v>1012</v>
      </c>
      <c r="J433" s="73">
        <v>0</v>
      </c>
      <c r="K433" s="73">
        <v>4.5</v>
      </c>
      <c r="L433" s="73">
        <v>0</v>
      </c>
      <c r="M433" s="73">
        <v>0</v>
      </c>
      <c r="N433" s="73">
        <v>0</v>
      </c>
      <c r="O433" s="73" t="s">
        <v>994</v>
      </c>
      <c r="P433" s="73" t="s">
        <v>2704</v>
      </c>
      <c r="Q433" s="73" t="s">
        <v>2705</v>
      </c>
      <c r="R433" s="73">
        <v>0</v>
      </c>
      <c r="S433" s="73">
        <v>0</v>
      </c>
      <c r="T433" s="73">
        <v>0</v>
      </c>
      <c r="U433" s="73">
        <v>0</v>
      </c>
      <c r="V433" s="73">
        <v>1</v>
      </c>
      <c r="W433" s="73">
        <v>0</v>
      </c>
      <c r="X433" s="73">
        <v>0</v>
      </c>
      <c r="Y433" s="73">
        <v>0</v>
      </c>
      <c r="Z433" s="73" t="s">
        <v>1083</v>
      </c>
      <c r="AA433" s="73" t="s">
        <v>691</v>
      </c>
      <c r="AB433" s="73" t="str">
        <f>IF(AA433&lt;&gt;"",INDEX(Lookup!$N$2:$N$5,MATCH(Players!AA433,Lookup!$P$2:$P$5,0)),INDEX(Lookup!$N$2:$N$5,MATCH(Players!O433,Lookup!$O$2:$O$5,0)))</f>
        <v>Midfield</v>
      </c>
      <c r="AC433" s="73">
        <v>2000000</v>
      </c>
      <c r="AD433" s="73" t="s">
        <v>801</v>
      </c>
      <c r="AE433" s="73" t="str">
        <f>INDEX('Translate table'!$H$2:$H$622,MATCH(Players!P433,'Translate table'!$G$2:$G$622,0))</f>
        <v>Kasper Dolberg</v>
      </c>
      <c r="AF433" s="73">
        <f>IFERROR(INDEX('Euro Qual stats'!$A$1:$L$2071,MATCH(Players!$AE433,'Euro Qual stats'!$A$1:$A$2071,0),MATCH(Players!AF$2,'Euro Qual stats'!$A$1:$L$1,0)),0)</f>
        <v>5</v>
      </c>
      <c r="AG433" s="73">
        <f>IFERROR(INDEX('Euro Qual stats'!$A$1:$L$2071,MATCH(Players!$AE433,'Euro Qual stats'!$A$1:$A$2071,0),MATCH(Players!AG$2,'Euro Qual stats'!$A$1:$L$1,0)),0)</f>
        <v>0</v>
      </c>
      <c r="AH433" s="73">
        <f>IFERROR(INDEX('Euro Qual stats'!$A$1:$L$2071,MATCH(Players!$AE433,'Euro Qual stats'!$A$1:$A$2071,0),MATCH(Players!AH$2,'Euro Qual stats'!$A$1:$L$1,0)),0)</f>
        <v>0.66</v>
      </c>
      <c r="AI433" s="73">
        <f>IFERROR(INDEX('Euro Qual stats'!$A$1:$L$2071,MATCH(Players!$AE433,'Euro Qual stats'!$A$1:$A$2071,0),MATCH(Players!AI$2,'Euro Qual stats'!$A$1:$L$1,0)),0)</f>
        <v>0</v>
      </c>
      <c r="AJ433" s="93">
        <f>(12-AF433)/12*INDEX(BV$9:BV$12,MATCH($AB433,$BU$9:$BU$12,0))+AF433/12*AG433</f>
        <v>9.8403141361256552E-2</v>
      </c>
      <c r="AK433" s="93">
        <f>(12-AG433)/12*INDEX(BW$9:BW$12,MATCH($AB433,$BU$9:$BU$12,0))+AG433/12*AH433</f>
        <v>0.22340314136125652</v>
      </c>
      <c r="AL433" s="93">
        <f>(12-AH433)/12*INDEX(BX$9:BX$12,MATCH($AB433,$BU$9:$BU$12,0))+AH433/12*AI433</f>
        <v>0.22625575916230367</v>
      </c>
      <c r="AM433" s="93">
        <f>IF($BC433=1,AJ433/SUMIFS(AJ$3:AJ$623,$BC$3:$BC$623,1,$G$3:$G$623,$G433),0)</f>
        <v>0</v>
      </c>
      <c r="AN433" s="93">
        <f>IF($BC433=1,AK433/SUMIFS(AK$3:AK$623,$BC$3:$BC$623,1,$G$3:$G$623,$G433),0)</f>
        <v>0</v>
      </c>
      <c r="AO433" s="93">
        <f>IF($BC433=1,AL433/SUMIFS(AL$3:AL$623,$BC$3:$BC$623,1,$G$3:$G$623,$G433),0)</f>
        <v>0</v>
      </c>
      <c r="AP433" s="2">
        <f>IFERROR(R433/$V433*90,"")</f>
        <v>0</v>
      </c>
      <c r="AQ433" s="2">
        <f>IFERROR(S433/$V433*90,"")</f>
        <v>0</v>
      </c>
      <c r="AR433" s="2">
        <f>IFERROR(W433/$V433*90,"")</f>
        <v>0</v>
      </c>
      <c r="AS433" s="2">
        <f>IFERROR(X433/$V433*90,"")</f>
        <v>0</v>
      </c>
      <c r="AT433" s="2">
        <f>IFERROR(Y433/$V433*90,"")</f>
        <v>0</v>
      </c>
      <c r="AU433" s="2">
        <f>IF(AP433="",INDEX(BV$4:BV$7,MATCH(O433,$BU$4:$BU$7,0)),AP433)</f>
        <v>0</v>
      </c>
      <c r="AV433" s="2">
        <f>IF(AQ433="",INDEX(BW$4:BW$7,MATCH($O433,$BU$4:$BU$7,0)),AQ433)</f>
        <v>0</v>
      </c>
      <c r="AW433" s="2">
        <f t="shared" si="72"/>
        <v>0</v>
      </c>
      <c r="AX433" s="2">
        <f t="shared" si="73"/>
        <v>0</v>
      </c>
      <c r="AY433" s="2">
        <f t="shared" si="74"/>
        <v>0</v>
      </c>
      <c r="AZ433" s="2">
        <f>AU433*0.5+AK433*0.5</f>
        <v>0.11170157068062826</v>
      </c>
      <c r="BA433" s="2">
        <f>AV433*0.5+AJ433*0.5</f>
        <v>4.9201570680628276E-2</v>
      </c>
      <c r="BB433" s="2">
        <f t="shared" si="75"/>
        <v>0</v>
      </c>
      <c r="BC433">
        <f>IF(I433="expected",1,0)</f>
        <v>0</v>
      </c>
      <c r="BD433" s="78">
        <f>IF(BC433=1,AZ433/SUMIFS(AZ$3:AZ$623,$BC$3:$BC$623,1,$G$3:$G$623,$G433),0)</f>
        <v>0</v>
      </c>
      <c r="BE433" s="78">
        <f>IF(BC433=1,BA433/SUMIFS(BA$3:BA$623,$BC$3:$BC$623,1,$G$3:$G$623,$G433),0)</f>
        <v>0</v>
      </c>
      <c r="BF433" s="78">
        <f t="shared" si="76"/>
        <v>0</v>
      </c>
      <c r="BG433" s="2">
        <f t="shared" si="77"/>
        <v>0</v>
      </c>
      <c r="BH433" s="2">
        <f t="shared" si="78"/>
        <v>0</v>
      </c>
      <c r="BI433" s="2">
        <f t="shared" si="79"/>
        <v>0</v>
      </c>
      <c r="BJ433" s="2">
        <f t="shared" si="80"/>
        <v>0</v>
      </c>
      <c r="BK433" s="2">
        <f t="shared" si="81"/>
        <v>0</v>
      </c>
      <c r="BL433" s="2">
        <f t="shared" si="82"/>
        <v>0</v>
      </c>
      <c r="BM433" s="2">
        <f t="shared" si="83"/>
        <v>0</v>
      </c>
      <c r="BN433" s="2">
        <f>BI433/SUMIFS(BI$3:BI$623,$BC$3:$BC$623,1,$G$3:$G$623,$G433)</f>
        <v>0</v>
      </c>
      <c r="BO433" s="2">
        <f>BJ433/SUMIFS(BJ$3:BJ$623,$BC$3:$BC$623,1,$G$3:$G$623,$G433)</f>
        <v>0</v>
      </c>
      <c r="BP433" s="2">
        <f>BK433/SUMIFS(BK$3:BK$623,$BC$3:$BC$623,1,$G$3:$G$623,$G433)</f>
        <v>0</v>
      </c>
      <c r="BQ433" s="2">
        <f>BL433</f>
        <v>0</v>
      </c>
      <c r="BR433" s="2">
        <f>BM433</f>
        <v>0</v>
      </c>
    </row>
    <row r="434" spans="1:70" hidden="1">
      <c r="A434" s="74">
        <v>0</v>
      </c>
      <c r="B434" s="73">
        <v>221449</v>
      </c>
      <c r="C434" s="73" t="s">
        <v>2706</v>
      </c>
      <c r="D434" s="73" t="s">
        <v>2707</v>
      </c>
      <c r="E434" s="73" t="s">
        <v>2708</v>
      </c>
      <c r="F434" s="73">
        <v>18699</v>
      </c>
      <c r="G434" s="73" t="s">
        <v>888</v>
      </c>
      <c r="H434" s="73" t="s">
        <v>941</v>
      </c>
      <c r="I434" s="73" t="s">
        <v>1012</v>
      </c>
      <c r="J434" s="73">
        <v>0</v>
      </c>
      <c r="K434" s="73">
        <v>4.5</v>
      </c>
      <c r="L434" s="73">
        <v>0</v>
      </c>
      <c r="M434" s="73">
        <v>0</v>
      </c>
      <c r="N434" s="73">
        <v>0</v>
      </c>
      <c r="O434" s="73" t="s">
        <v>994</v>
      </c>
      <c r="P434" s="73" t="s">
        <v>2709</v>
      </c>
      <c r="Q434" s="73" t="s">
        <v>2710</v>
      </c>
      <c r="R434" s="73">
        <v>3</v>
      </c>
      <c r="S434" s="73">
        <v>1</v>
      </c>
      <c r="T434" s="73">
        <v>0</v>
      </c>
      <c r="U434" s="73">
        <v>0</v>
      </c>
      <c r="V434" s="73">
        <v>1459</v>
      </c>
      <c r="W434" s="73">
        <v>13</v>
      </c>
      <c r="X434" s="73">
        <v>1</v>
      </c>
      <c r="Y434" s="73">
        <v>0</v>
      </c>
      <c r="Z434" s="73" t="s">
        <v>1083</v>
      </c>
      <c r="AA434" s="73" t="s">
        <v>691</v>
      </c>
      <c r="AB434" s="73" t="str">
        <f>IF(AA434&lt;&gt;"",INDEX(Lookup!$N$2:$N$5,MATCH(Players!AA434,Lookup!$P$2:$P$5,0)),INDEX(Lookup!$N$2:$N$5,MATCH(Players!O434,Lookup!$O$2:$O$5,0)))</f>
        <v>Midfield</v>
      </c>
      <c r="AC434" s="73">
        <v>2000000</v>
      </c>
      <c r="AD434" s="73" t="s">
        <v>789</v>
      </c>
      <c r="AE434" s="73" t="str">
        <f>INDEX('Translate table'!$H$2:$H$622,MATCH(Players!P434,'Translate table'!$G$2:$G$622,0))</f>
        <v>PrzemysÅ‚aw Frankowski</v>
      </c>
      <c r="AF434" s="73">
        <f>IFERROR(INDEX('Euro Qual stats'!$A$1:$L$2071,MATCH(Players!$AE434,'Euro Qual stats'!$A$1:$A$2071,0),MATCH(Players!AF$2,'Euro Qual stats'!$A$1:$L$1,0)),0)</f>
        <v>6</v>
      </c>
      <c r="AG434" s="73">
        <f>IFERROR(INDEX('Euro Qual stats'!$A$1:$L$2071,MATCH(Players!$AE434,'Euro Qual stats'!$A$1:$A$2071,0),MATCH(Players!AG$2,'Euro Qual stats'!$A$1:$L$1,0)),0)</f>
        <v>0</v>
      </c>
      <c r="AH434" s="73">
        <f>IFERROR(INDEX('Euro Qual stats'!$A$1:$L$2071,MATCH(Players!$AE434,'Euro Qual stats'!$A$1:$A$2071,0),MATCH(Players!AH$2,'Euro Qual stats'!$A$1:$L$1,0)),0)</f>
        <v>0.41</v>
      </c>
      <c r="AI434" s="73">
        <f>IFERROR(INDEX('Euro Qual stats'!$A$1:$L$2071,MATCH(Players!$AE434,'Euro Qual stats'!$A$1:$A$2071,0),MATCH(Players!AI$2,'Euro Qual stats'!$A$1:$L$1,0)),0)</f>
        <v>0</v>
      </c>
      <c r="AJ434" s="93">
        <f>(12-AF434)/12*INDEX(BV$9:BV$12,MATCH($AB434,$BU$9:$BU$12,0))+AF434/12*AG434</f>
        <v>8.4345549738219894E-2</v>
      </c>
      <c r="AK434" s="93">
        <f>(12-AG434)/12*INDEX(BW$9:BW$12,MATCH($AB434,$BU$9:$BU$12,0))+AG434/12*AH434</f>
        <v>0.22340314136125652</v>
      </c>
      <c r="AL434" s="93">
        <f>(12-AH434)/12*INDEX(BX$9:BX$12,MATCH($AB434,$BU$9:$BU$12,0))+AH434/12*AI434</f>
        <v>0.2312437609075044</v>
      </c>
      <c r="AM434" s="93">
        <f>IF($BC434=1,AJ434/SUMIFS(AJ$3:AJ$623,$BC$3:$BC$623,1,$G$3:$G$623,$G434),0)</f>
        <v>0</v>
      </c>
      <c r="AN434" s="93">
        <f>IF($BC434=1,AK434/SUMIFS(AK$3:AK$623,$BC$3:$BC$623,1,$G$3:$G$623,$G434),0)</f>
        <v>0</v>
      </c>
      <c r="AO434" s="93">
        <f>IF($BC434=1,AL434/SUMIFS(AL$3:AL$623,$BC$3:$BC$623,1,$G$3:$G$623,$G434),0)</f>
        <v>0</v>
      </c>
      <c r="AP434" s="2">
        <f>IFERROR(R434/$V434*90,"")</f>
        <v>0.1850582590815627</v>
      </c>
      <c r="AQ434" s="2">
        <f>IFERROR(S434/$V434*90,"")</f>
        <v>6.1686086360520906E-2</v>
      </c>
      <c r="AR434" s="2">
        <f>IFERROR(W434/$V434*90,"")</f>
        <v>0.80191912268677179</v>
      </c>
      <c r="AS434" s="2">
        <f>IFERROR(X434/$V434*90,"")</f>
        <v>6.1686086360520906E-2</v>
      </c>
      <c r="AT434" s="2">
        <f>IFERROR(Y434/$V434*90,"")</f>
        <v>0</v>
      </c>
      <c r="AU434" s="2">
        <f>IF(AP434="",INDEX(BV$4:BV$7,MATCH(O434,$BU$4:$BU$7,0)),AP434)</f>
        <v>0.1850582590815627</v>
      </c>
      <c r="AV434" s="2">
        <f>IF(AQ434="",INDEX(BW$4:BW$7,MATCH($O434,$BU$4:$BU$7,0)),AQ434)</f>
        <v>6.1686086360520906E-2</v>
      </c>
      <c r="AW434" s="2">
        <f t="shared" si="72"/>
        <v>0.80191912268677179</v>
      </c>
      <c r="AX434" s="2">
        <f t="shared" si="73"/>
        <v>6.1686086360520906E-2</v>
      </c>
      <c r="AY434" s="2">
        <f t="shared" si="74"/>
        <v>0</v>
      </c>
      <c r="AZ434" s="2">
        <f>AU434*0.5+AK434*0.5</f>
        <v>0.2042307002214096</v>
      </c>
      <c r="BA434" s="2">
        <f>AV434*0.5+AJ434*0.5</f>
        <v>7.3015818049370407E-2</v>
      </c>
      <c r="BB434" s="2">
        <f t="shared" si="75"/>
        <v>3.0843043180260453E-2</v>
      </c>
      <c r="BC434">
        <f>IF(I434="expected",1,0)</f>
        <v>0</v>
      </c>
      <c r="BD434" s="78">
        <f>IF(BC434=1,AZ434/SUMIFS(AZ$3:AZ$623,$BC$3:$BC$623,1,$G$3:$G$623,$G434),0)</f>
        <v>0</v>
      </c>
      <c r="BE434" s="78">
        <f>IF(BC434=1,BA434/SUMIFS(BA$3:BA$623,$BC$3:$BC$623,1,$G$3:$G$623,$G434),0)</f>
        <v>0</v>
      </c>
      <c r="BF434" s="78">
        <f t="shared" si="76"/>
        <v>0</v>
      </c>
      <c r="BG434" s="2">
        <f t="shared" si="77"/>
        <v>3.0843043180260453E-2</v>
      </c>
      <c r="BH434" s="2">
        <f t="shared" si="78"/>
        <v>0</v>
      </c>
      <c r="BI434" s="2">
        <f t="shared" si="79"/>
        <v>0</v>
      </c>
      <c r="BJ434" s="2">
        <f t="shared" si="80"/>
        <v>0</v>
      </c>
      <c r="BK434" s="2">
        <f t="shared" si="81"/>
        <v>0</v>
      </c>
      <c r="BL434" s="2">
        <f t="shared" si="82"/>
        <v>3.0843043180260453E-2</v>
      </c>
      <c r="BM434" s="2">
        <f t="shared" si="83"/>
        <v>0</v>
      </c>
      <c r="BN434" s="2">
        <f>BI434/SUMIFS(BI$3:BI$623,$BC$3:$BC$623,1,$G$3:$G$623,$G434)</f>
        <v>0</v>
      </c>
      <c r="BO434" s="2">
        <f>BJ434/SUMIFS(BJ$3:BJ$623,$BC$3:$BC$623,1,$G$3:$G$623,$G434)</f>
        <v>0</v>
      </c>
      <c r="BP434" s="2">
        <f>BK434/SUMIFS(BK$3:BK$623,$BC$3:$BC$623,1,$G$3:$G$623,$G434)</f>
        <v>0</v>
      </c>
      <c r="BQ434" s="2">
        <f>BL434</f>
        <v>3.0843043180260453E-2</v>
      </c>
      <c r="BR434" s="2">
        <f>BM434</f>
        <v>0</v>
      </c>
    </row>
    <row r="435" spans="1:70" hidden="1">
      <c r="A435" s="74">
        <v>0</v>
      </c>
      <c r="B435" s="73">
        <v>204996</v>
      </c>
      <c r="C435" s="73" t="s">
        <v>2711</v>
      </c>
      <c r="D435" s="73" t="s">
        <v>2712</v>
      </c>
      <c r="E435" s="73" t="s">
        <v>2713</v>
      </c>
      <c r="F435" s="73">
        <v>18699</v>
      </c>
      <c r="G435" s="73" t="s">
        <v>888</v>
      </c>
      <c r="H435" s="73" t="s">
        <v>941</v>
      </c>
      <c r="I435" s="73" t="s">
        <v>1012</v>
      </c>
      <c r="J435" s="73">
        <v>0</v>
      </c>
      <c r="K435" s="73">
        <v>4.5</v>
      </c>
      <c r="L435" s="73">
        <v>0</v>
      </c>
      <c r="M435" s="73">
        <v>0</v>
      </c>
      <c r="N435" s="73">
        <v>0</v>
      </c>
      <c r="O435" s="73" t="s">
        <v>994</v>
      </c>
      <c r="P435" s="73" t="s">
        <v>2714</v>
      </c>
      <c r="Q435" s="73" t="s">
        <v>2715</v>
      </c>
      <c r="R435" s="73">
        <v>0</v>
      </c>
      <c r="S435" s="73">
        <v>0</v>
      </c>
      <c r="T435" s="73">
        <v>38</v>
      </c>
      <c r="U435" s="73">
        <v>5</v>
      </c>
      <c r="V435" s="73">
        <v>1161</v>
      </c>
      <c r="W435" s="73">
        <v>0</v>
      </c>
      <c r="X435" s="73">
        <v>0</v>
      </c>
      <c r="Y435" s="73">
        <v>0</v>
      </c>
      <c r="Z435" s="73" t="s">
        <v>1083</v>
      </c>
      <c r="AA435" s="73" t="s">
        <v>691</v>
      </c>
      <c r="AB435" s="73" t="str">
        <f>IF(AA435&lt;&gt;"",INDEX(Lookup!$N$2:$N$5,MATCH(Players!AA435,Lookup!$P$2:$P$5,0)),INDEX(Lookup!$N$2:$N$5,MATCH(Players!O435,Lookup!$O$2:$O$5,0)))</f>
        <v>Midfield</v>
      </c>
      <c r="AC435" s="73">
        <v>2000000</v>
      </c>
      <c r="AD435" s="73" t="s">
        <v>788</v>
      </c>
      <c r="AE435" s="73" t="str">
        <f>INDEX('Translate table'!$H$2:$H$622,MATCH(Players!P435,'Translate table'!$G$2:$G$622,0))</f>
        <v>PrzemysÅ‚aw Frankowski</v>
      </c>
      <c r="AF435" s="73">
        <f>IFERROR(INDEX('Euro Qual stats'!$A$1:$L$2071,MATCH(Players!$AE435,'Euro Qual stats'!$A$1:$A$2071,0),MATCH(Players!AF$2,'Euro Qual stats'!$A$1:$L$1,0)),0)</f>
        <v>6</v>
      </c>
      <c r="AG435" s="73">
        <f>IFERROR(INDEX('Euro Qual stats'!$A$1:$L$2071,MATCH(Players!$AE435,'Euro Qual stats'!$A$1:$A$2071,0),MATCH(Players!AG$2,'Euro Qual stats'!$A$1:$L$1,0)),0)</f>
        <v>0</v>
      </c>
      <c r="AH435" s="73">
        <f>IFERROR(INDEX('Euro Qual stats'!$A$1:$L$2071,MATCH(Players!$AE435,'Euro Qual stats'!$A$1:$A$2071,0),MATCH(Players!AH$2,'Euro Qual stats'!$A$1:$L$1,0)),0)</f>
        <v>0.41</v>
      </c>
      <c r="AI435" s="73">
        <f>IFERROR(INDEX('Euro Qual stats'!$A$1:$L$2071,MATCH(Players!$AE435,'Euro Qual stats'!$A$1:$A$2071,0),MATCH(Players!AI$2,'Euro Qual stats'!$A$1:$L$1,0)),0)</f>
        <v>0</v>
      </c>
      <c r="AJ435" s="93">
        <f>(12-AF435)/12*INDEX(BV$9:BV$12,MATCH($AB435,$BU$9:$BU$12,0))+AF435/12*AG435</f>
        <v>8.4345549738219894E-2</v>
      </c>
      <c r="AK435" s="93">
        <f>(12-AG435)/12*INDEX(BW$9:BW$12,MATCH($AB435,$BU$9:$BU$12,0))+AG435/12*AH435</f>
        <v>0.22340314136125652</v>
      </c>
      <c r="AL435" s="93">
        <f>(12-AH435)/12*INDEX(BX$9:BX$12,MATCH($AB435,$BU$9:$BU$12,0))+AH435/12*AI435</f>
        <v>0.2312437609075044</v>
      </c>
      <c r="AM435" s="93">
        <f>IF($BC435=1,AJ435/SUMIFS(AJ$3:AJ$623,$BC$3:$BC$623,1,$G$3:$G$623,$G435),0)</f>
        <v>0</v>
      </c>
      <c r="AN435" s="93">
        <f>IF($BC435=1,AK435/SUMIFS(AK$3:AK$623,$BC$3:$BC$623,1,$G$3:$G$623,$G435),0)</f>
        <v>0</v>
      </c>
      <c r="AO435" s="93">
        <f>IF($BC435=1,AL435/SUMIFS(AL$3:AL$623,$BC$3:$BC$623,1,$G$3:$G$623,$G435),0)</f>
        <v>0</v>
      </c>
      <c r="AP435" s="2">
        <f>IFERROR(R435/$V435*90,"")</f>
        <v>0</v>
      </c>
      <c r="AQ435" s="2">
        <f>IFERROR(S435/$V435*90,"")</f>
        <v>0</v>
      </c>
      <c r="AR435" s="2">
        <f>IFERROR(W435/$V435*90,"")</f>
        <v>0</v>
      </c>
      <c r="AS435" s="2">
        <f>IFERROR(X435/$V435*90,"")</f>
        <v>0</v>
      </c>
      <c r="AT435" s="2">
        <f>IFERROR(Y435/$V435*90,"")</f>
        <v>0</v>
      </c>
      <c r="AU435" s="2">
        <f>IF(AP435="",INDEX(BV$4:BV$7,MATCH(O435,$BU$4:$BU$7,0)),AP435)</f>
        <v>0</v>
      </c>
      <c r="AV435" s="2">
        <f>IF(AQ435="",INDEX(BW$4:BW$7,MATCH($O435,$BU$4:$BU$7,0)),AQ435)</f>
        <v>0</v>
      </c>
      <c r="AW435" s="2">
        <f t="shared" si="72"/>
        <v>0</v>
      </c>
      <c r="AX435" s="2">
        <f t="shared" si="73"/>
        <v>0</v>
      </c>
      <c r="AY435" s="2">
        <f t="shared" si="74"/>
        <v>0</v>
      </c>
      <c r="AZ435" s="2">
        <f>AU435*0.5+AK435*0.5</f>
        <v>0.11170157068062826</v>
      </c>
      <c r="BA435" s="2">
        <f>AV435*0.5+AJ435*0.5</f>
        <v>4.2172774869109947E-2</v>
      </c>
      <c r="BB435" s="2">
        <f t="shared" si="75"/>
        <v>0</v>
      </c>
      <c r="BC435">
        <f>IF(I435="expected",1,0)</f>
        <v>0</v>
      </c>
      <c r="BD435" s="78">
        <f>IF(BC435=1,AZ435/SUMIFS(AZ$3:AZ$623,$BC$3:$BC$623,1,$G$3:$G$623,$G435),0)</f>
        <v>0</v>
      </c>
      <c r="BE435" s="78">
        <f>IF(BC435=1,BA435/SUMIFS(BA$3:BA$623,$BC$3:$BC$623,1,$G$3:$G$623,$G435),0)</f>
        <v>0</v>
      </c>
      <c r="BF435" s="78">
        <f t="shared" si="76"/>
        <v>0</v>
      </c>
      <c r="BG435" s="2">
        <f t="shared" si="77"/>
        <v>0</v>
      </c>
      <c r="BH435" s="2">
        <f t="shared" si="78"/>
        <v>0</v>
      </c>
      <c r="BI435" s="2">
        <f t="shared" si="79"/>
        <v>0</v>
      </c>
      <c r="BJ435" s="2">
        <f t="shared" si="80"/>
        <v>0</v>
      </c>
      <c r="BK435" s="2">
        <f t="shared" si="81"/>
        <v>0</v>
      </c>
      <c r="BL435" s="2">
        <f t="shared" si="82"/>
        <v>0</v>
      </c>
      <c r="BM435" s="2">
        <f t="shared" si="83"/>
        <v>0</v>
      </c>
      <c r="BN435" s="2">
        <f>BI435/SUMIFS(BI$3:BI$623,$BC$3:$BC$623,1,$G$3:$G$623,$G435)</f>
        <v>0</v>
      </c>
      <c r="BO435" s="2">
        <f>BJ435/SUMIFS(BJ$3:BJ$623,$BC$3:$BC$623,1,$G$3:$G$623,$G435)</f>
        <v>0</v>
      </c>
      <c r="BP435" s="2">
        <f>BK435/SUMIFS(BK$3:BK$623,$BC$3:$BC$623,1,$G$3:$G$623,$G435)</f>
        <v>0</v>
      </c>
      <c r="BQ435" s="2">
        <f>BL435</f>
        <v>0</v>
      </c>
      <c r="BR435" s="2">
        <f>BM435</f>
        <v>0</v>
      </c>
    </row>
    <row r="436" spans="1:70" hidden="1">
      <c r="A436" s="74">
        <v>0</v>
      </c>
      <c r="B436" s="73">
        <v>204995</v>
      </c>
      <c r="C436" s="73" t="s">
        <v>2716</v>
      </c>
      <c r="D436" s="73" t="s">
        <v>2665</v>
      </c>
      <c r="E436" s="73" t="s">
        <v>2717</v>
      </c>
      <c r="F436" s="73">
        <v>18699</v>
      </c>
      <c r="G436" s="73" t="s">
        <v>888</v>
      </c>
      <c r="H436" s="73" t="s">
        <v>941</v>
      </c>
      <c r="I436" s="73" t="s">
        <v>1012</v>
      </c>
      <c r="J436" s="73">
        <v>0</v>
      </c>
      <c r="K436" s="73">
        <v>4.5</v>
      </c>
      <c r="L436" s="73">
        <v>0</v>
      </c>
      <c r="M436" s="73">
        <v>0</v>
      </c>
      <c r="N436" s="73">
        <v>0</v>
      </c>
      <c r="O436" s="73" t="s">
        <v>994</v>
      </c>
      <c r="P436" s="73" t="s">
        <v>2718</v>
      </c>
      <c r="Q436" s="73" t="s">
        <v>2689</v>
      </c>
      <c r="R436" s="73">
        <v>2</v>
      </c>
      <c r="S436" s="73">
        <v>1</v>
      </c>
      <c r="T436" s="73">
        <v>0</v>
      </c>
      <c r="U436" s="73">
        <v>5</v>
      </c>
      <c r="V436" s="73">
        <v>3207</v>
      </c>
      <c r="W436" s="73">
        <v>11</v>
      </c>
      <c r="X436" s="73">
        <v>8</v>
      </c>
      <c r="Y436" s="73">
        <v>1</v>
      </c>
      <c r="Z436" s="73" t="s">
        <v>1083</v>
      </c>
      <c r="AA436" s="73" t="s">
        <v>691</v>
      </c>
      <c r="AB436" s="73" t="str">
        <f>IF(AA436&lt;&gt;"",INDEX(Lookup!$N$2:$N$5,MATCH(Players!AA436,Lookup!$P$2:$P$5,0)),INDEX(Lookup!$N$2:$N$5,MATCH(Players!O436,Lookup!$O$2:$O$5,0)))</f>
        <v>Midfield</v>
      </c>
      <c r="AC436" s="73">
        <v>3000000</v>
      </c>
      <c r="AD436" s="73" t="s">
        <v>789</v>
      </c>
      <c r="AE436" s="73" t="str">
        <f>INDEX('Translate table'!$H$2:$H$622,MATCH(Players!P436,'Translate table'!$G$2:$G$622,0))</f>
        <v>Kamil Glik</v>
      </c>
      <c r="AF436" s="73">
        <f>IFERROR(INDEX('Euro Qual stats'!$A$1:$L$2071,MATCH(Players!$AE436,'Euro Qual stats'!$A$1:$A$2071,0),MATCH(Players!AF$2,'Euro Qual stats'!$A$1:$L$1,0)),0)</f>
        <v>9</v>
      </c>
      <c r="AG436" s="73">
        <f>IFERROR(INDEX('Euro Qual stats'!$A$1:$L$2071,MATCH(Players!$AE436,'Euro Qual stats'!$A$1:$A$2071,0),MATCH(Players!AG$2,'Euro Qual stats'!$A$1:$L$1,0)),0)</f>
        <v>0</v>
      </c>
      <c r="AH436" s="73">
        <f>IFERROR(INDEX('Euro Qual stats'!$A$1:$L$2071,MATCH(Players!$AE436,'Euro Qual stats'!$A$1:$A$2071,0),MATCH(Players!AH$2,'Euro Qual stats'!$A$1:$L$1,0)),0)</f>
        <v>0.12</v>
      </c>
      <c r="AI436" s="73">
        <f>IFERROR(INDEX('Euro Qual stats'!$A$1:$L$2071,MATCH(Players!$AE436,'Euro Qual stats'!$A$1:$A$2071,0),MATCH(Players!AI$2,'Euro Qual stats'!$A$1:$L$1,0)),0)</f>
        <v>0.12</v>
      </c>
      <c r="AJ436" s="93">
        <f>(12-AF436)/12*INDEX(BV$9:BV$12,MATCH($AB436,$BU$9:$BU$12,0))+AF436/12*AG436</f>
        <v>4.2172774869109947E-2</v>
      </c>
      <c r="AK436" s="93">
        <f>(12-AG436)/12*INDEX(BW$9:BW$12,MATCH($AB436,$BU$9:$BU$12,0))+AG436/12*AH436</f>
        <v>0.22340314136125652</v>
      </c>
      <c r="AL436" s="93">
        <f>(12-AH436)/12*INDEX(BX$9:BX$12,MATCH($AB436,$BU$9:$BU$12,0))+AH436/12*AI436</f>
        <v>0.23822984293193722</v>
      </c>
      <c r="AM436" s="93">
        <f>IF($BC436=1,AJ436/SUMIFS(AJ$3:AJ$623,$BC$3:$BC$623,1,$G$3:$G$623,$G436),0)</f>
        <v>0</v>
      </c>
      <c r="AN436" s="93">
        <f>IF($BC436=1,AK436/SUMIFS(AK$3:AK$623,$BC$3:$BC$623,1,$G$3:$G$623,$G436),0)</f>
        <v>0</v>
      </c>
      <c r="AO436" s="93">
        <f>IF($BC436=1,AL436/SUMIFS(AL$3:AL$623,$BC$3:$BC$623,1,$G$3:$G$623,$G436),0)</f>
        <v>0</v>
      </c>
      <c r="AP436" s="2">
        <f>IFERROR(R436/$V436*90,"")</f>
        <v>5.6127221702525723E-2</v>
      </c>
      <c r="AQ436" s="2">
        <f>IFERROR(S436/$V436*90,"")</f>
        <v>2.8063610851262862E-2</v>
      </c>
      <c r="AR436" s="2">
        <f>IFERROR(W436/$V436*90,"")</f>
        <v>0.30869971936389151</v>
      </c>
      <c r="AS436" s="2">
        <f>IFERROR(X436/$V436*90,"")</f>
        <v>0.22450888681010289</v>
      </c>
      <c r="AT436" s="2">
        <f>IFERROR(Y436/$V436*90,"")</f>
        <v>2.8063610851262862E-2</v>
      </c>
      <c r="AU436" s="2">
        <f>IF(AP436="",INDEX(BV$4:BV$7,MATCH(O436,$BU$4:$BU$7,0)),AP436)</f>
        <v>5.6127221702525723E-2</v>
      </c>
      <c r="AV436" s="2">
        <f>IF(AQ436="",INDEX(BW$4:BW$7,MATCH($O436,$BU$4:$BU$7,0)),AQ436)</f>
        <v>2.8063610851262862E-2</v>
      </c>
      <c r="AW436" s="2">
        <f t="shared" si="72"/>
        <v>0.30869971936389151</v>
      </c>
      <c r="AX436" s="2">
        <f t="shared" si="73"/>
        <v>0.22450888681010289</v>
      </c>
      <c r="AY436" s="2">
        <f t="shared" si="74"/>
        <v>2.8063610851262862E-2</v>
      </c>
      <c r="AZ436" s="2">
        <f>AU436*0.5+AK436*0.5</f>
        <v>0.13976518153189113</v>
      </c>
      <c r="BA436" s="2">
        <f>AV436*0.5+AJ436*0.5</f>
        <v>3.5118192860186401E-2</v>
      </c>
      <c r="BB436" s="2">
        <f t="shared" si="75"/>
        <v>0.17225444340505144</v>
      </c>
      <c r="BC436">
        <f>IF(I436="expected",1,0)</f>
        <v>0</v>
      </c>
      <c r="BD436" s="78">
        <f>IF(BC436=1,AZ436/SUMIFS(AZ$3:AZ$623,$BC$3:$BC$623,1,$G$3:$G$623,$G436),0)</f>
        <v>0</v>
      </c>
      <c r="BE436" s="78">
        <f>IF(BC436=1,BA436/SUMIFS(BA$3:BA$623,$BC$3:$BC$623,1,$G$3:$G$623,$G436),0)</f>
        <v>0</v>
      </c>
      <c r="BF436" s="78">
        <f t="shared" si="76"/>
        <v>0</v>
      </c>
      <c r="BG436" s="2">
        <f t="shared" si="77"/>
        <v>0.17225444340505144</v>
      </c>
      <c r="BH436" s="2">
        <f t="shared" si="78"/>
        <v>2.8063610851262862E-2</v>
      </c>
      <c r="BI436" s="2">
        <f t="shared" si="79"/>
        <v>0</v>
      </c>
      <c r="BJ436" s="2">
        <f t="shared" si="80"/>
        <v>0</v>
      </c>
      <c r="BK436" s="2">
        <f t="shared" si="81"/>
        <v>0</v>
      </c>
      <c r="BL436" s="2">
        <f t="shared" si="82"/>
        <v>0.17225444340505144</v>
      </c>
      <c r="BM436" s="2">
        <f t="shared" si="83"/>
        <v>2.8063610851262862E-2</v>
      </c>
      <c r="BN436" s="2">
        <f>BI436/SUMIFS(BI$3:BI$623,$BC$3:$BC$623,1,$G$3:$G$623,$G436)</f>
        <v>0</v>
      </c>
      <c r="BO436" s="2">
        <f>BJ436/SUMIFS(BJ$3:BJ$623,$BC$3:$BC$623,1,$G$3:$G$623,$G436)</f>
        <v>0</v>
      </c>
      <c r="BP436" s="2">
        <f>BK436/SUMIFS(BK$3:BK$623,$BC$3:$BC$623,1,$G$3:$G$623,$G436)</f>
        <v>0</v>
      </c>
      <c r="BQ436" s="2">
        <f>BL436</f>
        <v>0.17225444340505144</v>
      </c>
      <c r="BR436" s="2">
        <f>BM436</f>
        <v>2.8063610851262862E-2</v>
      </c>
    </row>
    <row r="437" spans="1:70" hidden="1">
      <c r="A437" s="74">
        <v>0</v>
      </c>
      <c r="B437" s="73">
        <v>204835</v>
      </c>
      <c r="C437" s="73" t="s">
        <v>2719</v>
      </c>
      <c r="D437" s="73" t="s">
        <v>2720</v>
      </c>
      <c r="E437" s="73" t="s">
        <v>2721</v>
      </c>
      <c r="F437" s="73">
        <v>18699</v>
      </c>
      <c r="G437" s="73" t="s">
        <v>888</v>
      </c>
      <c r="H437" s="73" t="s">
        <v>941</v>
      </c>
      <c r="I437" s="73" t="s">
        <v>981</v>
      </c>
      <c r="J437" s="73">
        <v>0</v>
      </c>
      <c r="K437" s="73">
        <v>4.5</v>
      </c>
      <c r="L437" s="73">
        <v>0</v>
      </c>
      <c r="M437" s="73">
        <v>0</v>
      </c>
      <c r="N437" s="73">
        <v>0</v>
      </c>
      <c r="O437" s="73" t="s">
        <v>994</v>
      </c>
      <c r="P437" s="73" t="s">
        <v>2722</v>
      </c>
      <c r="Q437" s="73" t="s">
        <v>2722</v>
      </c>
      <c r="R437" s="73">
        <v>1</v>
      </c>
      <c r="S437" s="73">
        <v>0</v>
      </c>
      <c r="T437" s="73">
        <v>0</v>
      </c>
      <c r="U437" s="73">
        <v>1</v>
      </c>
      <c r="V437" s="73">
        <v>1836</v>
      </c>
      <c r="W437" s="73">
        <v>3</v>
      </c>
      <c r="X437" s="73">
        <v>5</v>
      </c>
      <c r="Y437" s="73">
        <v>0</v>
      </c>
      <c r="Z437" s="73" t="s">
        <v>1083</v>
      </c>
      <c r="AA437" s="73" t="s">
        <v>691</v>
      </c>
      <c r="AB437" s="73" t="str">
        <f>IF(AA437&lt;&gt;"",INDEX(Lookup!$N$2:$N$5,MATCH(Players!AA437,Lookup!$P$2:$P$5,0)),INDEX(Lookup!$N$2:$N$5,MATCH(Players!O437,Lookup!$O$2:$O$5,0)))</f>
        <v>Midfield</v>
      </c>
      <c r="AC437" s="73">
        <v>2500000</v>
      </c>
      <c r="AD437" s="73" t="s">
        <v>788</v>
      </c>
      <c r="AE437" s="73" t="str">
        <f>INDEX('Translate table'!$H$2:$H$622,MATCH(Players!P437,'Translate table'!$G$2:$G$622,0))</f>
        <v>Karol Linetty</v>
      </c>
      <c r="AF437" s="73">
        <f>IFERROR(INDEX('Euro Qual stats'!$A$1:$L$2071,MATCH(Players!$AE437,'Euro Qual stats'!$A$1:$A$2071,0),MATCH(Players!AF$2,'Euro Qual stats'!$A$1:$L$1,0)),0)</f>
        <v>0</v>
      </c>
      <c r="AG437" s="73">
        <f>IFERROR(INDEX('Euro Qual stats'!$A$1:$L$2071,MATCH(Players!$AE437,'Euro Qual stats'!$A$1:$A$2071,0),MATCH(Players!AG$2,'Euro Qual stats'!$A$1:$L$1,0)),0)</f>
        <v>0</v>
      </c>
      <c r="AH437" s="73">
        <f>IFERROR(INDEX('Euro Qual stats'!$A$1:$L$2071,MATCH(Players!$AE437,'Euro Qual stats'!$A$1:$A$2071,0),MATCH(Players!AH$2,'Euro Qual stats'!$A$1:$L$1,0)),0)</f>
        <v>0</v>
      </c>
      <c r="AI437" s="73">
        <f>IFERROR(INDEX('Euro Qual stats'!$A$1:$L$2071,MATCH(Players!$AE437,'Euro Qual stats'!$A$1:$A$2071,0),MATCH(Players!AI$2,'Euro Qual stats'!$A$1:$L$1,0)),0)</f>
        <v>0</v>
      </c>
      <c r="AJ437" s="93">
        <f>(12-AF437)/12*INDEX(BV$9:BV$12,MATCH($AB437,$BU$9:$BU$12,0))+AF437/12*AG437</f>
        <v>0.16869109947643979</v>
      </c>
      <c r="AK437" s="93">
        <f>(12-AG437)/12*INDEX(BW$9:BW$12,MATCH($AB437,$BU$9:$BU$12,0))+AG437/12*AH437</f>
        <v>0.22340314136125652</v>
      </c>
      <c r="AL437" s="93">
        <f>(12-AH437)/12*INDEX(BX$9:BX$12,MATCH($AB437,$BU$9:$BU$12,0))+AH437/12*AI437</f>
        <v>0.23942408376963353</v>
      </c>
      <c r="AM437" s="93">
        <f>IF($BC437=1,AJ437/SUMIFS(AJ$3:AJ$623,$BC$3:$BC$623,1,$G$3:$G$623,$G437),0)</f>
        <v>0.12410703378739425</v>
      </c>
      <c r="AN437" s="93">
        <f>IF($BC437=1,AK437/SUMIFS(AK$3:AK$623,$BC$3:$BC$623,1,$G$3:$G$623,$G437),0)</f>
        <v>9.2420587011207631E-2</v>
      </c>
      <c r="AO437" s="93">
        <f>IF($BC437=1,AL437/SUMIFS(AL$3:AL$623,$BC$3:$BC$623,1,$G$3:$G$623,$G437),0)</f>
        <v>0.11787190163415336</v>
      </c>
      <c r="AP437" s="2">
        <f>IFERROR(R437/$V437*90,"")</f>
        <v>4.9019607843137261E-2</v>
      </c>
      <c r="AQ437" s="2">
        <f>IFERROR(S437/$V437*90,"")</f>
        <v>0</v>
      </c>
      <c r="AR437" s="2">
        <f>IFERROR(W437/$V437*90,"")</f>
        <v>0.14705882352941177</v>
      </c>
      <c r="AS437" s="2">
        <f>IFERROR(X437/$V437*90,"")</f>
        <v>0.24509803921568629</v>
      </c>
      <c r="AT437" s="2">
        <f>IFERROR(Y437/$V437*90,"")</f>
        <v>0</v>
      </c>
      <c r="AU437" s="2">
        <f>IF(AP437="",INDEX(BV$4:BV$7,MATCH(O437,$BU$4:$BU$7,0)),AP437)</f>
        <v>4.9019607843137261E-2</v>
      </c>
      <c r="AV437" s="2">
        <f>IF(AQ437="",INDEX(BW$4:BW$7,MATCH($O437,$BU$4:$BU$7,0)),AQ437)</f>
        <v>0</v>
      </c>
      <c r="AW437" s="2">
        <f t="shared" si="72"/>
        <v>0.14705882352941177</v>
      </c>
      <c r="AX437" s="2">
        <f t="shared" si="73"/>
        <v>0.24509803921568629</v>
      </c>
      <c r="AY437" s="2">
        <f t="shared" si="74"/>
        <v>0</v>
      </c>
      <c r="AZ437" s="2">
        <f>AU437*0.5+AK437*0.5</f>
        <v>0.1362113746021969</v>
      </c>
      <c r="BA437" s="2">
        <f>AV437*0.5+AJ437*0.5</f>
        <v>8.4345549738219894E-2</v>
      </c>
      <c r="BB437" s="2">
        <f t="shared" si="75"/>
        <v>0.12254901960784315</v>
      </c>
      <c r="BC437">
        <f>IF(I437="expected",1,0)</f>
        <v>1</v>
      </c>
      <c r="BD437" s="78">
        <f>IF(BC437=1,AZ437/SUMIFS(AZ$3:AZ$623,$BC$3:$BC$623,1,$G$3:$G$623,$G437),0)</f>
        <v>4.9402484996430601E-2</v>
      </c>
      <c r="BE437" s="78">
        <f>IF(BC437=1,BA437/SUMIFS(BA$3:BA$623,$BC$3:$BC$623,1,$G$3:$G$623,$G437),0)</f>
        <v>7.110075338773858E-2</v>
      </c>
      <c r="BF437" s="78">
        <f t="shared" si="76"/>
        <v>2.0023169509711412E-2</v>
      </c>
      <c r="BG437" s="2">
        <f t="shared" si="77"/>
        <v>0.12254901960784315</v>
      </c>
      <c r="BH437" s="2">
        <f t="shared" si="78"/>
        <v>0</v>
      </c>
      <c r="BI437" s="2">
        <f t="shared" si="79"/>
        <v>4.9402484996430601E-2</v>
      </c>
      <c r="BJ437" s="2">
        <f t="shared" si="80"/>
        <v>7.110075338773858E-2</v>
      </c>
      <c r="BK437" s="2">
        <f t="shared" si="81"/>
        <v>2.0023169509711412E-2</v>
      </c>
      <c r="BL437" s="2">
        <f t="shared" si="82"/>
        <v>0.12254901960784315</v>
      </c>
      <c r="BM437" s="2">
        <f t="shared" si="83"/>
        <v>0</v>
      </c>
      <c r="BN437" s="2">
        <f>BI437/SUMIFS(BI$3:BI$623,$BC$3:$BC$623,1,$G$3:$G$623,$G437)</f>
        <v>5.0353585818034945E-2</v>
      </c>
      <c r="BO437" s="2">
        <f>BJ437/SUMIFS(BJ$3:BJ$623,$BC$3:$BC$623,1,$G$3:$G$623,$G437)</f>
        <v>7.110075338773858E-2</v>
      </c>
      <c r="BP437" s="2">
        <f>BK437/SUMIFS(BK$3:BK$623,$BC$3:$BC$623,1,$G$3:$G$623,$G437)</f>
        <v>2.082104956281423E-2</v>
      </c>
      <c r="BQ437" s="2">
        <f>BL437</f>
        <v>0.12254901960784315</v>
      </c>
      <c r="BR437" s="2">
        <f>BM437</f>
        <v>0</v>
      </c>
    </row>
    <row r="438" spans="1:70" hidden="1">
      <c r="A438" s="74">
        <v>0</v>
      </c>
      <c r="B438" s="73">
        <v>204834</v>
      </c>
      <c r="C438" s="73" t="s">
        <v>2723</v>
      </c>
      <c r="D438" s="73" t="s">
        <v>2411</v>
      </c>
      <c r="E438" s="73" t="s">
        <v>2724</v>
      </c>
      <c r="F438" s="73">
        <v>18699</v>
      </c>
      <c r="G438" s="73" t="s">
        <v>888</v>
      </c>
      <c r="H438" s="73" t="s">
        <v>941</v>
      </c>
      <c r="I438" s="73" t="s">
        <v>981</v>
      </c>
      <c r="J438" s="73">
        <v>0</v>
      </c>
      <c r="K438" s="73">
        <v>4.5</v>
      </c>
      <c r="L438" s="73">
        <v>0</v>
      </c>
      <c r="M438" s="73">
        <v>0</v>
      </c>
      <c r="N438" s="73">
        <v>0</v>
      </c>
      <c r="O438" s="73" t="s">
        <v>994</v>
      </c>
      <c r="P438" s="73" t="s">
        <v>808</v>
      </c>
      <c r="Q438" s="73" t="s">
        <v>808</v>
      </c>
      <c r="R438" s="73">
        <v>0</v>
      </c>
      <c r="S438" s="73">
        <v>0</v>
      </c>
      <c r="T438" s="73">
        <v>0</v>
      </c>
      <c r="U438" s="73">
        <v>0</v>
      </c>
      <c r="V438" s="73">
        <v>648</v>
      </c>
      <c r="W438" s="73">
        <v>3</v>
      </c>
      <c r="X438" s="73">
        <v>0</v>
      </c>
      <c r="Y438" s="73">
        <v>0</v>
      </c>
      <c r="Z438" s="73" t="s">
        <v>1083</v>
      </c>
      <c r="AA438" s="73" t="s">
        <v>691</v>
      </c>
      <c r="AB438" s="73" t="str">
        <f>IF(AA438&lt;&gt;"",INDEX(Lookup!$N$2:$N$5,MATCH(Players!AA438,Lookup!$P$2:$P$5,0)),INDEX(Lookup!$N$2:$N$5,MATCH(Players!O438,Lookup!$O$2:$O$5,0)))</f>
        <v>Midfield</v>
      </c>
      <c r="AC438" s="73">
        <v>3000000</v>
      </c>
      <c r="AD438" s="73" t="s">
        <v>802</v>
      </c>
      <c r="AE438" s="73" t="str">
        <f>INDEX('Translate table'!$H$2:$H$622,MATCH(Players!P438,'Translate table'!$G$2:$G$622,0))</f>
        <v>Jakub Brabec</v>
      </c>
      <c r="AF438" s="73">
        <f>IFERROR(INDEX('Euro Qual stats'!$A$1:$L$2071,MATCH(Players!$AE438,'Euro Qual stats'!$A$1:$A$2071,0),MATCH(Players!AF$2,'Euro Qual stats'!$A$1:$L$1,0)),0)</f>
        <v>3</v>
      </c>
      <c r="AG438" s="73">
        <f>IFERROR(INDEX('Euro Qual stats'!$A$1:$L$2071,MATCH(Players!$AE438,'Euro Qual stats'!$A$1:$A$2071,0),MATCH(Players!AG$2,'Euro Qual stats'!$A$1:$L$1,0)),0)</f>
        <v>0</v>
      </c>
      <c r="AH438" s="73">
        <f>IFERROR(INDEX('Euro Qual stats'!$A$1:$L$2071,MATCH(Players!$AE438,'Euro Qual stats'!$A$1:$A$2071,0),MATCH(Players!AH$2,'Euro Qual stats'!$A$1:$L$1,0)),0)</f>
        <v>0.4</v>
      </c>
      <c r="AI438" s="73">
        <f>IFERROR(INDEX('Euro Qual stats'!$A$1:$L$2071,MATCH(Players!$AE438,'Euro Qual stats'!$A$1:$A$2071,0),MATCH(Players!AI$2,'Euro Qual stats'!$A$1:$L$1,0)),0)</f>
        <v>0</v>
      </c>
      <c r="AJ438" s="93">
        <f>(12-AF438)/12*INDEX(BV$9:BV$12,MATCH($AB438,$BU$9:$BU$12,0))+AF438/12*AG438</f>
        <v>0.12651832460732984</v>
      </c>
      <c r="AK438" s="93">
        <f>(12-AG438)/12*INDEX(BW$9:BW$12,MATCH($AB438,$BU$9:$BU$12,0))+AG438/12*AH438</f>
        <v>0.22340314136125652</v>
      </c>
      <c r="AL438" s="93">
        <f>(12-AH438)/12*INDEX(BX$9:BX$12,MATCH($AB438,$BU$9:$BU$12,0))+AH438/12*AI438</f>
        <v>0.23144328097731243</v>
      </c>
      <c r="AM438" s="93">
        <f>IF($BC438=1,AJ438/SUMIFS(AJ$3:AJ$623,$BC$3:$BC$623,1,$G$3:$G$623,$G438),0)</f>
        <v>9.3080275340545679E-2</v>
      </c>
      <c r="AN438" s="93">
        <f>IF($BC438=1,AK438/SUMIFS(AK$3:AK$623,$BC$3:$BC$623,1,$G$3:$G$623,$G438),0)</f>
        <v>9.2420587011207631E-2</v>
      </c>
      <c r="AO438" s="93">
        <f>IF($BC438=1,AL438/SUMIFS(AL$3:AL$623,$BC$3:$BC$623,1,$G$3:$G$623,$G438),0)</f>
        <v>0.11394283824634824</v>
      </c>
      <c r="AP438" s="2">
        <f>IFERROR(R438/$V438*90,"")</f>
        <v>0</v>
      </c>
      <c r="AQ438" s="2">
        <f>IFERROR(S438/$V438*90,"")</f>
        <v>0</v>
      </c>
      <c r="AR438" s="2">
        <f>IFERROR(W438/$V438*90,"")</f>
        <v>0.41666666666666663</v>
      </c>
      <c r="AS438" s="2">
        <f>IFERROR(X438/$V438*90,"")</f>
        <v>0</v>
      </c>
      <c r="AT438" s="2">
        <f>IFERROR(Y438/$V438*90,"")</f>
        <v>0</v>
      </c>
      <c r="AU438" s="2">
        <f>IF(AP438="",INDEX(BV$4:BV$7,MATCH(O438,$BU$4:$BU$7,0)),AP438)</f>
        <v>0</v>
      </c>
      <c r="AV438" s="2">
        <f>IF(AQ438="",INDEX(BW$4:BW$7,MATCH($O438,$BU$4:$BU$7,0)),AQ438)</f>
        <v>0</v>
      </c>
      <c r="AW438" s="2">
        <f t="shared" si="72"/>
        <v>0.41666666666666663</v>
      </c>
      <c r="AX438" s="2">
        <f t="shared" si="73"/>
        <v>0</v>
      </c>
      <c r="AY438" s="2">
        <f t="shared" si="74"/>
        <v>0</v>
      </c>
      <c r="AZ438" s="2">
        <f>AU438*0.5+AK438*0.5</f>
        <v>0.11170157068062826</v>
      </c>
      <c r="BA438" s="2">
        <f>AV438*0.5+AJ438*0.5</f>
        <v>6.325916230366492E-2</v>
      </c>
      <c r="BB438" s="2">
        <f t="shared" si="75"/>
        <v>0</v>
      </c>
      <c r="BC438">
        <f>IF(I438="expected",1,0)</f>
        <v>1</v>
      </c>
      <c r="BD438" s="78">
        <f>IF(BC438=1,AZ438/SUMIFS(AZ$3:AZ$623,$BC$3:$BC$623,1,$G$3:$G$623,$G438),0)</f>
        <v>4.051302753344703E-2</v>
      </c>
      <c r="BE438" s="78">
        <f>IF(BC438=1,BA438/SUMIFS(BA$3:BA$623,$BC$3:$BC$623,1,$G$3:$G$623,$G438),0)</f>
        <v>5.3325565040803942E-2</v>
      </c>
      <c r="BF438" s="78">
        <f t="shared" si="76"/>
        <v>5.6732313610849003E-2</v>
      </c>
      <c r="BG438" s="2">
        <f t="shared" si="77"/>
        <v>0</v>
      </c>
      <c r="BH438" s="2">
        <f t="shared" si="78"/>
        <v>0</v>
      </c>
      <c r="BI438" s="2">
        <f t="shared" si="79"/>
        <v>4.051302753344703E-2</v>
      </c>
      <c r="BJ438" s="2">
        <f t="shared" si="80"/>
        <v>5.3325565040803942E-2</v>
      </c>
      <c r="BK438" s="2">
        <f t="shared" si="81"/>
        <v>5.6732313610849003E-2</v>
      </c>
      <c r="BL438" s="2">
        <f t="shared" si="82"/>
        <v>0</v>
      </c>
      <c r="BM438" s="2">
        <f t="shared" si="83"/>
        <v>0</v>
      </c>
      <c r="BN438" s="2">
        <f>BI438/SUMIFS(BI$3:BI$623,$BC$3:$BC$623,1,$G$3:$G$623,$G438)</f>
        <v>4.1292987767745468E-2</v>
      </c>
      <c r="BO438" s="2">
        <f>BJ438/SUMIFS(BJ$3:BJ$623,$BC$3:$BC$623,1,$G$3:$G$623,$G438)</f>
        <v>5.3325565040803942E-2</v>
      </c>
      <c r="BP438" s="2">
        <f>BK438/SUMIFS(BK$3:BK$623,$BC$3:$BC$623,1,$G$3:$G$623,$G438)</f>
        <v>5.8992973761306987E-2</v>
      </c>
      <c r="BQ438" s="2">
        <f>BL438</f>
        <v>0</v>
      </c>
      <c r="BR438" s="2">
        <f>BM438</f>
        <v>0</v>
      </c>
    </row>
    <row r="439" spans="1:70" hidden="1">
      <c r="A439" s="74">
        <v>0</v>
      </c>
      <c r="B439" s="73">
        <v>204833</v>
      </c>
      <c r="C439" s="73" t="s">
        <v>2725</v>
      </c>
      <c r="D439" s="73" t="s">
        <v>2726</v>
      </c>
      <c r="E439" s="73" t="s">
        <v>2727</v>
      </c>
      <c r="F439" s="73">
        <v>18699</v>
      </c>
      <c r="G439" s="73" t="s">
        <v>888</v>
      </c>
      <c r="H439" s="73" t="s">
        <v>941</v>
      </c>
      <c r="I439" s="73" t="s">
        <v>981</v>
      </c>
      <c r="J439" s="73">
        <v>0</v>
      </c>
      <c r="K439" s="73">
        <v>4.5</v>
      </c>
      <c r="L439" s="73">
        <v>0</v>
      </c>
      <c r="M439" s="73">
        <v>0</v>
      </c>
      <c r="N439" s="73">
        <v>0</v>
      </c>
      <c r="O439" s="73" t="s">
        <v>994</v>
      </c>
      <c r="P439" s="73" t="s">
        <v>2728</v>
      </c>
      <c r="Q439" s="73" t="s">
        <v>1164</v>
      </c>
      <c r="R439" s="73"/>
      <c r="S439" s="73"/>
      <c r="T439" s="73"/>
      <c r="U439" s="73"/>
      <c r="V439" s="73"/>
      <c r="W439" s="73"/>
      <c r="X439" s="73"/>
      <c r="Y439" s="73"/>
      <c r="Z439" s="73" t="s">
        <v>1083</v>
      </c>
      <c r="AA439" s="73" t="s">
        <v>691</v>
      </c>
      <c r="AB439" s="73" t="str">
        <f>IF(AA439&lt;&gt;"",INDEX(Lookup!$N$2:$N$5,MATCH(Players!AA439,Lookup!$P$2:$P$5,0)),INDEX(Lookup!$N$2:$N$5,MATCH(Players!O439,Lookup!$O$2:$O$5,0)))</f>
        <v>Midfield</v>
      </c>
      <c r="AC439" s="73">
        <v>3500000</v>
      </c>
      <c r="AD439" s="73" t="s">
        <v>792</v>
      </c>
      <c r="AE439" s="73" t="str">
        <f>INDEX('Translate table'!$H$2:$H$622,MATCH(Players!P439,'Translate table'!$G$2:$G$622,0))</f>
        <v>Grzegorz Krychowiak</v>
      </c>
      <c r="AF439" s="73">
        <f>IFERROR(INDEX('Euro Qual stats'!$A$1:$L$2071,MATCH(Players!$AE439,'Euro Qual stats'!$A$1:$A$2071,0),MATCH(Players!AF$2,'Euro Qual stats'!$A$1:$L$1,0)),0)</f>
        <v>10</v>
      </c>
      <c r="AG439" s="73">
        <f>IFERROR(INDEX('Euro Qual stats'!$A$1:$L$2071,MATCH(Players!$AE439,'Euro Qual stats'!$A$1:$A$2071,0),MATCH(Players!AG$2,'Euro Qual stats'!$A$1:$L$1,0)),0)</f>
        <v>0</v>
      </c>
      <c r="AH439" s="73">
        <f>IFERROR(INDEX('Euro Qual stats'!$A$1:$L$2071,MATCH(Players!$AE439,'Euro Qual stats'!$A$1:$A$2071,0),MATCH(Players!AH$2,'Euro Qual stats'!$A$1:$L$1,0)),0)</f>
        <v>0.1</v>
      </c>
      <c r="AI439" s="73">
        <f>IFERROR(INDEX('Euro Qual stats'!$A$1:$L$2071,MATCH(Players!$AE439,'Euro Qual stats'!$A$1:$A$2071,0),MATCH(Players!AI$2,'Euro Qual stats'!$A$1:$L$1,0)),0)</f>
        <v>0.3</v>
      </c>
      <c r="AJ439" s="93">
        <f>(12-AF439)/12*INDEX(BV$9:BV$12,MATCH($AB439,$BU$9:$BU$12,0))+AF439/12*AG439</f>
        <v>2.8115183246073296E-2</v>
      </c>
      <c r="AK439" s="93">
        <f>(12-AG439)/12*INDEX(BW$9:BW$12,MATCH($AB439,$BU$9:$BU$12,0))+AG439/12*AH439</f>
        <v>0.22340314136125652</v>
      </c>
      <c r="AL439" s="93">
        <f>(12-AH439)/12*INDEX(BX$9:BX$12,MATCH($AB439,$BU$9:$BU$12,0))+AH439/12*AI439</f>
        <v>0.23992888307155327</v>
      </c>
      <c r="AM439" s="93">
        <f>IF($BC439=1,AJ439/SUMIFS(AJ$3:AJ$623,$BC$3:$BC$623,1,$G$3:$G$623,$G439),0)</f>
        <v>2.0684505631232374E-2</v>
      </c>
      <c r="AN439" s="93">
        <f>IF($BC439=1,AK439/SUMIFS(AK$3:AK$623,$BC$3:$BC$623,1,$G$3:$G$623,$G439),0)</f>
        <v>9.2420587011207631E-2</v>
      </c>
      <c r="AO439" s="93">
        <f>IF($BC439=1,AL439/SUMIFS(AL$3:AL$623,$BC$3:$BC$623,1,$G$3:$G$623,$G439),0)</f>
        <v>0.11812042155213338</v>
      </c>
      <c r="AP439" s="2" t="str">
        <f>IFERROR(R439/$V439*90,"")</f>
        <v/>
      </c>
      <c r="AQ439" s="2" t="str">
        <f>IFERROR(S439/$V439*90,"")</f>
        <v/>
      </c>
      <c r="AR439" s="2" t="str">
        <f>IFERROR(W439/$V439*90,"")</f>
        <v/>
      </c>
      <c r="AS439" s="2" t="str">
        <f>IFERROR(X439/$V439*90,"")</f>
        <v/>
      </c>
      <c r="AT439" s="2" t="str">
        <f>IFERROR(Y439/$V439*90,"")</f>
        <v/>
      </c>
      <c r="AU439" s="2">
        <f>IF(AP439="",INDEX(BV$4:BV$7,MATCH(O439,$BU$4:$BU$7,0)),AP439)</f>
        <v>3.6526142445450806E-2</v>
      </c>
      <c r="AV439" s="2">
        <f>IF(AQ439="",INDEX(BW$4:BW$7,MATCH($O439,$BU$4:$BU$7,0)),AQ439)</f>
        <v>3.2427739661688867E-2</v>
      </c>
      <c r="AW439" s="2">
        <f t="shared" si="72"/>
        <v>0.20013349649571699</v>
      </c>
      <c r="AX439" s="2">
        <f t="shared" si="73"/>
        <v>0.16081000595592615</v>
      </c>
      <c r="AY439" s="2">
        <f t="shared" si="74"/>
        <v>0</v>
      </c>
      <c r="AZ439" s="2">
        <f>AU439*0.5+AK439*0.5</f>
        <v>0.12996464190335366</v>
      </c>
      <c r="BA439" s="2">
        <f>AV439*0.5+AJ439*0.5</f>
        <v>3.0271461453881082E-2</v>
      </c>
      <c r="BB439" s="2">
        <f t="shared" si="75"/>
        <v>0.23040500297796307</v>
      </c>
      <c r="BC439">
        <f>IF(I439="expected",1,0)</f>
        <v>1</v>
      </c>
      <c r="BD439" s="78">
        <f>IF(BC439=1,AZ439/SUMIFS(AZ$3:AZ$623,$BC$3:$BC$623,1,$G$3:$G$623,$G439),0)</f>
        <v>4.7136858360383581E-2</v>
      </c>
      <c r="BE439" s="78">
        <f>IF(BC439=1,BA439/SUMIFS(BA$3:BA$623,$BC$3:$BC$623,1,$G$3:$G$623,$G439),0)</f>
        <v>2.5517928594916025E-2</v>
      </c>
      <c r="BF439" s="78">
        <f t="shared" si="76"/>
        <v>2.7249687089353838E-2</v>
      </c>
      <c r="BG439" s="2">
        <f t="shared" si="77"/>
        <v>0.23040500297796307</v>
      </c>
      <c r="BH439" s="2">
        <f t="shared" si="78"/>
        <v>0</v>
      </c>
      <c r="BI439" s="2">
        <f t="shared" si="79"/>
        <v>4.7136858360383581E-2</v>
      </c>
      <c r="BJ439" s="2">
        <f t="shared" si="80"/>
        <v>2.5517928594916025E-2</v>
      </c>
      <c r="BK439" s="2">
        <f t="shared" si="81"/>
        <v>2.7249687089353838E-2</v>
      </c>
      <c r="BL439" s="2">
        <f t="shared" si="82"/>
        <v>0.23040500297796307</v>
      </c>
      <c r="BM439" s="2">
        <f t="shared" si="83"/>
        <v>0</v>
      </c>
      <c r="BN439" s="2">
        <f>BI439/SUMIFS(BI$3:BI$623,$BC$3:$BC$623,1,$G$3:$G$623,$G439)</f>
        <v>4.8044341146272748E-2</v>
      </c>
      <c r="BO439" s="2">
        <f>BJ439/SUMIFS(BJ$3:BJ$623,$BC$3:$BC$623,1,$G$3:$G$623,$G439)</f>
        <v>2.5517928594916025E-2</v>
      </c>
      <c r="BP439" s="2">
        <f>BK439/SUMIFS(BK$3:BK$623,$BC$3:$BC$623,1,$G$3:$G$623,$G439)</f>
        <v>2.8335528258073093E-2</v>
      </c>
      <c r="BQ439" s="2">
        <f>BL439</f>
        <v>0.23040500297796307</v>
      </c>
      <c r="BR439" s="2">
        <f>BM439</f>
        <v>0</v>
      </c>
    </row>
    <row r="440" spans="1:70" hidden="1">
      <c r="A440" s="74">
        <v>0</v>
      </c>
      <c r="B440" s="73">
        <v>204826</v>
      </c>
      <c r="C440" s="73" t="s">
        <v>2729</v>
      </c>
      <c r="D440" s="73" t="s">
        <v>2730</v>
      </c>
      <c r="E440" s="73" t="s">
        <v>2731</v>
      </c>
      <c r="F440" s="73">
        <v>18699</v>
      </c>
      <c r="G440" s="73" t="s">
        <v>888</v>
      </c>
      <c r="H440" s="73" t="s">
        <v>941</v>
      </c>
      <c r="I440" s="73" t="s">
        <v>1012</v>
      </c>
      <c r="J440" s="73">
        <v>0</v>
      </c>
      <c r="K440" s="73">
        <v>4.5</v>
      </c>
      <c r="L440" s="73">
        <v>0</v>
      </c>
      <c r="M440" s="73">
        <v>0</v>
      </c>
      <c r="N440" s="73">
        <v>0</v>
      </c>
      <c r="O440" s="73" t="s">
        <v>994</v>
      </c>
      <c r="P440" s="73" t="s">
        <v>548</v>
      </c>
      <c r="Q440" s="73" t="s">
        <v>548</v>
      </c>
      <c r="R440" s="73">
        <v>4</v>
      </c>
      <c r="S440" s="73">
        <v>5</v>
      </c>
      <c r="T440" s="73">
        <v>0</v>
      </c>
      <c r="U440" s="73">
        <v>5</v>
      </c>
      <c r="V440" s="73">
        <v>2395</v>
      </c>
      <c r="W440" s="73">
        <v>11</v>
      </c>
      <c r="X440" s="73">
        <v>6</v>
      </c>
      <c r="Y440" s="73">
        <v>0</v>
      </c>
      <c r="Z440" s="73" t="s">
        <v>1083</v>
      </c>
      <c r="AA440" s="73" t="s">
        <v>691</v>
      </c>
      <c r="AB440" s="73" t="str">
        <f>IF(AA440&lt;&gt;"",INDEX(Lookup!$N$2:$N$5,MATCH(Players!AA440,Lookup!$P$2:$P$5,0)),INDEX(Lookup!$N$2:$N$5,MATCH(Players!O440,Lookup!$O$2:$O$5,0)))</f>
        <v>Midfield</v>
      </c>
      <c r="AC440" s="73">
        <v>2500000</v>
      </c>
      <c r="AD440" s="73" t="s">
        <v>802</v>
      </c>
      <c r="AE440" s="73" t="str">
        <f>INDEX('Translate table'!$H$2:$H$622,MATCH(Players!P440,'Translate table'!$G$2:$G$622,0))</f>
        <v>Mateusz Klich</v>
      </c>
      <c r="AF440" s="73">
        <f>IFERROR(INDEX('Euro Qual stats'!$A$1:$L$2071,MATCH(Players!$AE440,'Euro Qual stats'!$A$1:$A$2071,0),MATCH(Players!AF$2,'Euro Qual stats'!$A$1:$L$1,0)),0)</f>
        <v>8</v>
      </c>
      <c r="AG440" s="73">
        <f>IFERROR(INDEX('Euro Qual stats'!$A$1:$L$2071,MATCH(Players!$AE440,'Euro Qual stats'!$A$1:$A$2071,0),MATCH(Players!AG$2,'Euro Qual stats'!$A$1:$L$1,0)),0)</f>
        <v>0</v>
      </c>
      <c r="AH440" s="73">
        <f>IFERROR(INDEX('Euro Qual stats'!$A$1:$L$2071,MATCH(Players!$AE440,'Euro Qual stats'!$A$1:$A$2071,0),MATCH(Players!AH$2,'Euro Qual stats'!$A$1:$L$1,0)),0)</f>
        <v>0</v>
      </c>
      <c r="AI440" s="73">
        <f>IFERROR(INDEX('Euro Qual stats'!$A$1:$L$2071,MATCH(Players!$AE440,'Euro Qual stats'!$A$1:$A$2071,0),MATCH(Players!AI$2,'Euro Qual stats'!$A$1:$L$1,0)),0)</f>
        <v>0.38</v>
      </c>
      <c r="AJ440" s="93">
        <f>(12-AF440)/12*INDEX(BV$9:BV$12,MATCH($AB440,$BU$9:$BU$12,0))+AF440/12*AG440</f>
        <v>5.6230366492146591E-2</v>
      </c>
      <c r="AK440" s="93">
        <f>(12-AG440)/12*INDEX(BW$9:BW$12,MATCH($AB440,$BU$9:$BU$12,0))+AG440/12*AH440</f>
        <v>0.22340314136125652</v>
      </c>
      <c r="AL440" s="93">
        <f>(12-AH440)/12*INDEX(BX$9:BX$12,MATCH($AB440,$BU$9:$BU$12,0))+AH440/12*AI440</f>
        <v>0.23942408376963353</v>
      </c>
      <c r="AM440" s="93">
        <f>IF($BC440=1,AJ440/SUMIFS(AJ$3:AJ$623,$BC$3:$BC$623,1,$G$3:$G$623,$G440),0)</f>
        <v>0</v>
      </c>
      <c r="AN440" s="93">
        <f>IF($BC440=1,AK440/SUMIFS(AK$3:AK$623,$BC$3:$BC$623,1,$G$3:$G$623,$G440),0)</f>
        <v>0</v>
      </c>
      <c r="AO440" s="93">
        <f>IF($BC440=1,AL440/SUMIFS(AL$3:AL$623,$BC$3:$BC$623,1,$G$3:$G$623,$G440),0)</f>
        <v>0</v>
      </c>
      <c r="AP440" s="2">
        <f>IFERROR(R440/$V440*90,"")</f>
        <v>0.15031315240083509</v>
      </c>
      <c r="AQ440" s="2">
        <f>IFERROR(S440/$V440*90,"")</f>
        <v>0.18789144050104381</v>
      </c>
      <c r="AR440" s="2">
        <f>IFERROR(W440/$V440*90,"")</f>
        <v>0.41336116910229642</v>
      </c>
      <c r="AS440" s="2">
        <f>IFERROR(X440/$V440*90,"")</f>
        <v>0.22546972860125261</v>
      </c>
      <c r="AT440" s="2">
        <f>IFERROR(Y440/$V440*90,"")</f>
        <v>0</v>
      </c>
      <c r="AU440" s="2">
        <f>IF(AP440="",INDEX(BV$4:BV$7,MATCH(O440,$BU$4:$BU$7,0)),AP440)</f>
        <v>0.15031315240083509</v>
      </c>
      <c r="AV440" s="2">
        <f>IF(AQ440="",INDEX(BW$4:BW$7,MATCH($O440,$BU$4:$BU$7,0)),AQ440)</f>
        <v>0.18789144050104381</v>
      </c>
      <c r="AW440" s="2">
        <f t="shared" si="72"/>
        <v>0.41336116910229642</v>
      </c>
      <c r="AX440" s="2">
        <f t="shared" si="73"/>
        <v>0.22546972860125261</v>
      </c>
      <c r="AY440" s="2">
        <f t="shared" si="74"/>
        <v>0</v>
      </c>
      <c r="AZ440" s="2">
        <f>AU440*0.5+AK440*0.5</f>
        <v>0.18685814688104579</v>
      </c>
      <c r="BA440" s="2">
        <f>AV440*0.5+AJ440*0.5</f>
        <v>0.12206090349659521</v>
      </c>
      <c r="BB440" s="2">
        <f t="shared" si="75"/>
        <v>0.30273486430062629</v>
      </c>
      <c r="BC440">
        <f>IF(I440="expected",1,0)</f>
        <v>0</v>
      </c>
      <c r="BD440" s="78">
        <f>IF(BC440=1,AZ440/SUMIFS(AZ$3:AZ$623,$BC$3:$BC$623,1,$G$3:$G$623,$G440),0)</f>
        <v>0</v>
      </c>
      <c r="BE440" s="78">
        <f>IF(BC440=1,BA440/SUMIFS(BA$3:BA$623,$BC$3:$BC$623,1,$G$3:$G$623,$G440),0)</f>
        <v>0</v>
      </c>
      <c r="BF440" s="78">
        <f t="shared" si="76"/>
        <v>0</v>
      </c>
      <c r="BG440" s="2">
        <f t="shared" si="77"/>
        <v>0.30273486430062629</v>
      </c>
      <c r="BH440" s="2">
        <f t="shared" si="78"/>
        <v>0</v>
      </c>
      <c r="BI440" s="2">
        <f t="shared" si="79"/>
        <v>0</v>
      </c>
      <c r="BJ440" s="2">
        <f t="shared" si="80"/>
        <v>0</v>
      </c>
      <c r="BK440" s="2">
        <f t="shared" si="81"/>
        <v>0</v>
      </c>
      <c r="BL440" s="2">
        <f t="shared" si="82"/>
        <v>0.30273486430062629</v>
      </c>
      <c r="BM440" s="2">
        <f t="shared" si="83"/>
        <v>0</v>
      </c>
      <c r="BN440" s="2">
        <f>BI440/SUMIFS(BI$3:BI$623,$BC$3:$BC$623,1,$G$3:$G$623,$G440)</f>
        <v>0</v>
      </c>
      <c r="BO440" s="2">
        <f>BJ440/SUMIFS(BJ$3:BJ$623,$BC$3:$BC$623,1,$G$3:$G$623,$G440)</f>
        <v>0</v>
      </c>
      <c r="BP440" s="2">
        <f>BK440/SUMIFS(BK$3:BK$623,$BC$3:$BC$623,1,$G$3:$G$623,$G440)</f>
        <v>0</v>
      </c>
      <c r="BQ440" s="2">
        <f>BL440</f>
        <v>0.30273486430062629</v>
      </c>
      <c r="BR440" s="2">
        <f>BM440</f>
        <v>0</v>
      </c>
    </row>
    <row r="441" spans="1:70" hidden="1">
      <c r="A441" s="74">
        <v>0</v>
      </c>
      <c r="B441" s="73">
        <v>221453</v>
      </c>
      <c r="C441" s="73" t="s">
        <v>2732</v>
      </c>
      <c r="D441" s="73" t="s">
        <v>2411</v>
      </c>
      <c r="E441" s="73" t="s">
        <v>2733</v>
      </c>
      <c r="F441" s="73">
        <v>18699</v>
      </c>
      <c r="G441" s="73" t="s">
        <v>888</v>
      </c>
      <c r="H441" s="73" t="s">
        <v>941</v>
      </c>
      <c r="I441" s="73" t="s">
        <v>1012</v>
      </c>
      <c r="J441" s="73">
        <v>0</v>
      </c>
      <c r="K441" s="73">
        <v>4.5</v>
      </c>
      <c r="L441" s="73">
        <v>0</v>
      </c>
      <c r="M441" s="73">
        <v>0</v>
      </c>
      <c r="N441" s="73">
        <v>0</v>
      </c>
      <c r="O441" s="73" t="s">
        <v>982</v>
      </c>
      <c r="P441" s="73" t="s">
        <v>2734</v>
      </c>
      <c r="Q441" s="73" t="s">
        <v>808</v>
      </c>
      <c r="R441" s="73">
        <v>0</v>
      </c>
      <c r="S441" s="73">
        <v>0</v>
      </c>
      <c r="T441" s="73">
        <v>0</v>
      </c>
      <c r="U441" s="73">
        <v>0</v>
      </c>
      <c r="V441" s="73">
        <v>648</v>
      </c>
      <c r="W441" s="73">
        <v>3</v>
      </c>
      <c r="X441" s="73">
        <v>0</v>
      </c>
      <c r="Y441" s="73">
        <v>0</v>
      </c>
      <c r="Z441" s="73" t="s">
        <v>1083</v>
      </c>
      <c r="AA441" s="73" t="s">
        <v>693</v>
      </c>
      <c r="AB441" s="73" t="str">
        <f>IF(AA441&lt;&gt;"",INDEX(Lookup!$N$2:$N$5,MATCH(Players!AA441,Lookup!$P$2:$P$5,0)),INDEX(Lookup!$N$2:$N$5,MATCH(Players!O441,Lookup!$O$2:$O$5,0)))</f>
        <v>Striker</v>
      </c>
      <c r="AC441" s="73">
        <v>2000000</v>
      </c>
      <c r="AD441" s="73" t="s">
        <v>790</v>
      </c>
      <c r="AE441" s="73" t="str">
        <f>INDEX('Translate table'!$H$2:$H$622,MATCH(Players!P441,'Translate table'!$G$2:$G$622,0))</f>
        <v>Jakub Brabec</v>
      </c>
      <c r="AF441" s="73">
        <f>IFERROR(INDEX('Euro Qual stats'!$A$1:$L$2071,MATCH(Players!$AE441,'Euro Qual stats'!$A$1:$A$2071,0),MATCH(Players!AF$2,'Euro Qual stats'!$A$1:$L$1,0)),0)</f>
        <v>3</v>
      </c>
      <c r="AG441" s="73">
        <f>IFERROR(INDEX('Euro Qual stats'!$A$1:$L$2071,MATCH(Players!$AE441,'Euro Qual stats'!$A$1:$A$2071,0),MATCH(Players!AG$2,'Euro Qual stats'!$A$1:$L$1,0)),0)</f>
        <v>0</v>
      </c>
      <c r="AH441" s="73">
        <f>IFERROR(INDEX('Euro Qual stats'!$A$1:$L$2071,MATCH(Players!$AE441,'Euro Qual stats'!$A$1:$A$2071,0),MATCH(Players!AH$2,'Euro Qual stats'!$A$1:$L$1,0)),0)</f>
        <v>0.4</v>
      </c>
      <c r="AI441" s="73">
        <f>IFERROR(INDEX('Euro Qual stats'!$A$1:$L$2071,MATCH(Players!$AE441,'Euro Qual stats'!$A$1:$A$2071,0),MATCH(Players!AI$2,'Euro Qual stats'!$A$1:$L$1,0)),0)</f>
        <v>0</v>
      </c>
      <c r="AJ441" s="93">
        <f>(12-AF441)/12*INDEX(BV$9:BV$12,MATCH($AB441,$BU$9:$BU$12,0))+AF441/12*AG441</f>
        <v>0.15368534482758622</v>
      </c>
      <c r="AK441" s="93">
        <f>(12-AG441)/12*INDEX(BW$9:BW$12,MATCH($AB441,$BU$9:$BU$12,0))+AG441/12*AH441</f>
        <v>0.53387931034482738</v>
      </c>
      <c r="AL441" s="93">
        <f>(12-AH441)/12*INDEX(BX$9:BX$12,MATCH($AB441,$BU$9:$BU$12,0))+AH441/12*AI441</f>
        <v>0.15933333333333335</v>
      </c>
      <c r="AM441" s="93">
        <f>IF($BC441=1,AJ441/SUMIFS(AJ$3:AJ$623,$BC$3:$BC$623,1,$G$3:$G$623,$G441),0)</f>
        <v>0</v>
      </c>
      <c r="AN441" s="93">
        <f>IF($BC441=1,AK441/SUMIFS(AK$3:AK$623,$BC$3:$BC$623,1,$G$3:$G$623,$G441),0)</f>
        <v>0</v>
      </c>
      <c r="AO441" s="93">
        <f>IF($BC441=1,AL441/SUMIFS(AL$3:AL$623,$BC$3:$BC$623,1,$G$3:$G$623,$G441),0)</f>
        <v>0</v>
      </c>
      <c r="AP441" s="2">
        <f>IFERROR(R441/$V441*90,"")</f>
        <v>0</v>
      </c>
      <c r="AQ441" s="2">
        <f>IFERROR(S441/$V441*90,"")</f>
        <v>0</v>
      </c>
      <c r="AR441" s="2">
        <f>IFERROR(W441/$V441*90,"")</f>
        <v>0.41666666666666663</v>
      </c>
      <c r="AS441" s="2">
        <f>IFERROR(X441/$V441*90,"")</f>
        <v>0</v>
      </c>
      <c r="AT441" s="2">
        <f>IFERROR(Y441/$V441*90,"")</f>
        <v>0</v>
      </c>
      <c r="AU441" s="2">
        <f>IF(AP441="",INDEX(BV$4:BV$7,MATCH(O441,$BU$4:$BU$7,0)),AP441)</f>
        <v>0</v>
      </c>
      <c r="AV441" s="2">
        <f>IF(AQ441="",INDEX(BW$4:BW$7,MATCH($O441,$BU$4:$BU$7,0)),AQ441)</f>
        <v>0</v>
      </c>
      <c r="AW441" s="2">
        <f t="shared" si="72"/>
        <v>0.41666666666666663</v>
      </c>
      <c r="AX441" s="2">
        <f t="shared" si="73"/>
        <v>0</v>
      </c>
      <c r="AY441" s="2">
        <f t="shared" si="74"/>
        <v>0</v>
      </c>
      <c r="AZ441" s="2">
        <f>AU441*0.5+AK441*0.5</f>
        <v>0.26693965517241369</v>
      </c>
      <c r="BA441" s="2">
        <f>AV441*0.5+AJ441*0.5</f>
        <v>7.6842672413793112E-2</v>
      </c>
      <c r="BB441" s="2">
        <f t="shared" si="75"/>
        <v>0</v>
      </c>
      <c r="BC441">
        <f>IF(I441="expected",1,0)</f>
        <v>0</v>
      </c>
      <c r="BD441" s="78">
        <f>IF(BC441=1,AZ441/SUMIFS(AZ$3:AZ$623,$BC$3:$BC$623,1,$G$3:$G$623,$G441),0)</f>
        <v>0</v>
      </c>
      <c r="BE441" s="78">
        <f>IF(BC441=1,BA441/SUMIFS(BA$3:BA$623,$BC$3:$BC$623,1,$G$3:$G$623,$G441),0)</f>
        <v>0</v>
      </c>
      <c r="BF441" s="78">
        <f t="shared" si="76"/>
        <v>0</v>
      </c>
      <c r="BG441" s="2">
        <f t="shared" si="77"/>
        <v>0</v>
      </c>
      <c r="BH441" s="2">
        <f t="shared" si="78"/>
        <v>0</v>
      </c>
      <c r="BI441" s="2">
        <f t="shared" si="79"/>
        <v>0</v>
      </c>
      <c r="BJ441" s="2">
        <f t="shared" si="80"/>
        <v>0</v>
      </c>
      <c r="BK441" s="2">
        <f t="shared" si="81"/>
        <v>0</v>
      </c>
      <c r="BL441" s="2">
        <f t="shared" si="82"/>
        <v>0</v>
      </c>
      <c r="BM441" s="2">
        <f t="shared" si="83"/>
        <v>0</v>
      </c>
      <c r="BN441" s="2">
        <f>BI441/SUMIFS(BI$3:BI$623,$BC$3:$BC$623,1,$G$3:$G$623,$G441)</f>
        <v>0</v>
      </c>
      <c r="BO441" s="2">
        <f>BJ441/SUMIFS(BJ$3:BJ$623,$BC$3:$BC$623,1,$G$3:$G$623,$G441)</f>
        <v>0</v>
      </c>
      <c r="BP441" s="2">
        <f>BK441/SUMIFS(BK$3:BK$623,$BC$3:$BC$623,1,$G$3:$G$623,$G441)</f>
        <v>0</v>
      </c>
      <c r="BQ441" s="2">
        <f>BL441</f>
        <v>0</v>
      </c>
      <c r="BR441" s="2">
        <f>BM441</f>
        <v>0</v>
      </c>
    </row>
    <row r="442" spans="1:70" hidden="1">
      <c r="A442" s="74">
        <v>0</v>
      </c>
      <c r="B442" s="73">
        <v>221452</v>
      </c>
      <c r="C442" s="73" t="s">
        <v>2735</v>
      </c>
      <c r="D442" s="73" t="s">
        <v>2720</v>
      </c>
      <c r="E442" s="73" t="s">
        <v>2736</v>
      </c>
      <c r="F442" s="73">
        <v>18699</v>
      </c>
      <c r="G442" s="73" t="s">
        <v>888</v>
      </c>
      <c r="H442" s="73" t="s">
        <v>941</v>
      </c>
      <c r="I442" s="73" t="s">
        <v>1012</v>
      </c>
      <c r="J442" s="73">
        <v>0</v>
      </c>
      <c r="K442" s="73">
        <v>4.5</v>
      </c>
      <c r="L442" s="73">
        <v>0</v>
      </c>
      <c r="M442" s="73">
        <v>0</v>
      </c>
      <c r="N442" s="73">
        <v>0</v>
      </c>
      <c r="O442" s="73" t="s">
        <v>982</v>
      </c>
      <c r="P442" s="73" t="s">
        <v>2737</v>
      </c>
      <c r="Q442" s="73" t="s">
        <v>721</v>
      </c>
      <c r="R442" s="73">
        <v>0</v>
      </c>
      <c r="S442" s="73">
        <v>0</v>
      </c>
      <c r="T442" s="73">
        <v>0</v>
      </c>
      <c r="U442" s="73">
        <v>0</v>
      </c>
      <c r="V442" s="73">
        <v>0</v>
      </c>
      <c r="W442" s="73">
        <v>0</v>
      </c>
      <c r="X442" s="73">
        <v>0</v>
      </c>
      <c r="Y442" s="73">
        <v>0</v>
      </c>
      <c r="Z442" s="73" t="s">
        <v>1083</v>
      </c>
      <c r="AA442" s="73" t="s">
        <v>693</v>
      </c>
      <c r="AB442" s="73" t="str">
        <f>IF(AA442&lt;&gt;"",INDEX(Lookup!$N$2:$N$5,MATCH(Players!AA442,Lookup!$P$2:$P$5,0)),INDEX(Lookup!$N$2:$N$5,MATCH(Players!O442,Lookup!$O$2:$O$5,0)))</f>
        <v>Striker</v>
      </c>
      <c r="AC442" s="73">
        <v>3000000</v>
      </c>
      <c r="AD442" s="73" t="s">
        <v>788</v>
      </c>
      <c r="AE442" s="73" t="str">
        <f>INDEX('Translate table'!$H$2:$H$622,MATCH(Players!P442,'Translate table'!$G$2:$G$622,0))</f>
        <v>Karlo Bartolec</v>
      </c>
      <c r="AF442" s="73">
        <f>IFERROR(INDEX('Euro Qual stats'!$A$1:$L$2071,MATCH(Players!$AE442,'Euro Qual stats'!$A$1:$A$2071,0),MATCH(Players!AF$2,'Euro Qual stats'!$A$1:$L$1,0)),0)</f>
        <v>2</v>
      </c>
      <c r="AG442" s="73">
        <f>IFERROR(INDEX('Euro Qual stats'!$A$1:$L$2071,MATCH(Players!$AE442,'Euro Qual stats'!$A$1:$A$2071,0),MATCH(Players!AG$2,'Euro Qual stats'!$A$1:$L$1,0)),0)</f>
        <v>0</v>
      </c>
      <c r="AH442" s="73">
        <f>IFERROR(INDEX('Euro Qual stats'!$A$1:$L$2071,MATCH(Players!$AE442,'Euro Qual stats'!$A$1:$A$2071,0),MATCH(Players!AH$2,'Euro Qual stats'!$A$1:$L$1,0)),0)</f>
        <v>0</v>
      </c>
      <c r="AI442" s="73">
        <f>IFERROR(INDEX('Euro Qual stats'!$A$1:$L$2071,MATCH(Players!$AE442,'Euro Qual stats'!$A$1:$A$2071,0),MATCH(Players!AI$2,'Euro Qual stats'!$A$1:$L$1,0)),0)</f>
        <v>0</v>
      </c>
      <c r="AJ442" s="93">
        <f>(12-AF442)/12*INDEX(BV$9:BV$12,MATCH($AB442,$BU$9:$BU$12,0))+AF442/12*AG442</f>
        <v>0.1707614942528736</v>
      </c>
      <c r="AK442" s="93">
        <f>(12-AG442)/12*INDEX(BW$9:BW$12,MATCH($AB442,$BU$9:$BU$12,0))+AG442/12*AH442</f>
        <v>0.53387931034482738</v>
      </c>
      <c r="AL442" s="93">
        <f>(12-AH442)/12*INDEX(BX$9:BX$12,MATCH($AB442,$BU$9:$BU$12,0))+AH442/12*AI442</f>
        <v>0.16482758620689658</v>
      </c>
      <c r="AM442" s="93">
        <f>IF($BC442=1,AJ442/SUMIFS(AJ$3:AJ$623,$BC$3:$BC$623,1,$G$3:$G$623,$G442),0)</f>
        <v>0</v>
      </c>
      <c r="AN442" s="93">
        <f>IF($BC442=1,AK442/SUMIFS(AK$3:AK$623,$BC$3:$BC$623,1,$G$3:$G$623,$G442),0)</f>
        <v>0</v>
      </c>
      <c r="AO442" s="93">
        <f>IF($BC442=1,AL442/SUMIFS(AL$3:AL$623,$BC$3:$BC$623,1,$G$3:$G$623,$G442),0)</f>
        <v>0</v>
      </c>
      <c r="AP442" s="2" t="str">
        <f>IFERROR(R442/$V442*90,"")</f>
        <v/>
      </c>
      <c r="AQ442" s="2" t="str">
        <f>IFERROR(S442/$V442*90,"")</f>
        <v/>
      </c>
      <c r="AR442" s="2" t="str">
        <f>IFERROR(W442/$V442*90,"")</f>
        <v/>
      </c>
      <c r="AS442" s="2" t="str">
        <f>IFERROR(X442/$V442*90,"")</f>
        <v/>
      </c>
      <c r="AT442" s="2" t="str">
        <f>IFERROR(Y442/$V442*90,"")</f>
        <v/>
      </c>
      <c r="AU442" s="2">
        <f>IF(AP442="",INDEX(BV$4:BV$7,MATCH(O442,$BU$4:$BU$7,0)),AP442)</f>
        <v>0.18769551616266944</v>
      </c>
      <c r="AV442" s="2">
        <f>IF(AQ442="",INDEX(BW$4:BW$7,MATCH($O442,$BU$4:$BU$7,0)),AQ442)</f>
        <v>4.82573726541555E-2</v>
      </c>
      <c r="AW442" s="2">
        <f t="shared" si="72"/>
        <v>0.70512820512820518</v>
      </c>
      <c r="AX442" s="2">
        <f t="shared" si="73"/>
        <v>0.12295081967213115</v>
      </c>
      <c r="AY442" s="2">
        <f t="shared" si="74"/>
        <v>0</v>
      </c>
      <c r="AZ442" s="2">
        <f>AU442*0.5+AK442*0.5</f>
        <v>0.36078741325374841</v>
      </c>
      <c r="BA442" s="2">
        <f>AV442*0.5+AJ442*0.5</f>
        <v>0.10950943345351455</v>
      </c>
      <c r="BB442" s="2">
        <f t="shared" si="75"/>
        <v>6.1475409836065573E-2</v>
      </c>
      <c r="BC442">
        <f>IF(I442="expected",1,0)</f>
        <v>0</v>
      </c>
      <c r="BD442" s="78">
        <f>IF(BC442=1,AZ442/SUMIFS(AZ$3:AZ$623,$BC$3:$BC$623,1,$G$3:$G$623,$G442),0)</f>
        <v>0</v>
      </c>
      <c r="BE442" s="78">
        <f>IF(BC442=1,BA442/SUMIFS(BA$3:BA$623,$BC$3:$BC$623,1,$G$3:$G$623,$G442),0)</f>
        <v>0</v>
      </c>
      <c r="BF442" s="78">
        <f t="shared" si="76"/>
        <v>0</v>
      </c>
      <c r="BG442" s="2">
        <f t="shared" si="77"/>
        <v>6.1475409836065573E-2</v>
      </c>
      <c r="BH442" s="2">
        <f t="shared" si="78"/>
        <v>0</v>
      </c>
      <c r="BI442" s="2">
        <f t="shared" si="79"/>
        <v>0</v>
      </c>
      <c r="BJ442" s="2">
        <f t="shared" si="80"/>
        <v>0</v>
      </c>
      <c r="BK442" s="2">
        <f t="shared" si="81"/>
        <v>0</v>
      </c>
      <c r="BL442" s="2">
        <f t="shared" si="82"/>
        <v>6.1475409836065573E-2</v>
      </c>
      <c r="BM442" s="2">
        <f t="shared" si="83"/>
        <v>0</v>
      </c>
      <c r="BN442" s="2">
        <f>BI442/SUMIFS(BI$3:BI$623,$BC$3:$BC$623,1,$G$3:$G$623,$G442)</f>
        <v>0</v>
      </c>
      <c r="BO442" s="2">
        <f>BJ442/SUMIFS(BJ$3:BJ$623,$BC$3:$BC$623,1,$G$3:$G$623,$G442)</f>
        <v>0</v>
      </c>
      <c r="BP442" s="2">
        <f>BK442/SUMIFS(BK$3:BK$623,$BC$3:$BC$623,1,$G$3:$G$623,$G442)</f>
        <v>0</v>
      </c>
      <c r="BQ442" s="2">
        <f>BL442</f>
        <v>6.1475409836065573E-2</v>
      </c>
      <c r="BR442" s="2">
        <f>BM442</f>
        <v>0</v>
      </c>
    </row>
    <row r="443" spans="1:70" hidden="1">
      <c r="A443" s="74">
        <v>0</v>
      </c>
      <c r="B443" s="73">
        <v>221451</v>
      </c>
      <c r="C443" s="73" t="s">
        <v>2738</v>
      </c>
      <c r="D443" s="73" t="s">
        <v>2739</v>
      </c>
      <c r="E443" s="73" t="s">
        <v>2740</v>
      </c>
      <c r="F443" s="73">
        <v>18699</v>
      </c>
      <c r="G443" s="73" t="s">
        <v>888</v>
      </c>
      <c r="H443" s="73" t="s">
        <v>941</v>
      </c>
      <c r="I443" s="73" t="s">
        <v>1012</v>
      </c>
      <c r="J443" s="73">
        <v>0</v>
      </c>
      <c r="K443" s="73">
        <v>4.5</v>
      </c>
      <c r="L443" s="73">
        <v>0</v>
      </c>
      <c r="M443" s="73">
        <v>0</v>
      </c>
      <c r="N443" s="73">
        <v>0</v>
      </c>
      <c r="O443" s="73" t="s">
        <v>982</v>
      </c>
      <c r="P443" s="73" t="s">
        <v>2741</v>
      </c>
      <c r="Q443" s="73" t="s">
        <v>2742</v>
      </c>
      <c r="R443" s="73">
        <v>1</v>
      </c>
      <c r="S443" s="73">
        <v>0</v>
      </c>
      <c r="T443" s="73">
        <v>0</v>
      </c>
      <c r="U443" s="73">
        <v>11</v>
      </c>
      <c r="V443" s="73">
        <v>3150</v>
      </c>
      <c r="W443" s="73">
        <v>2</v>
      </c>
      <c r="X443" s="73">
        <v>8</v>
      </c>
      <c r="Y443" s="73">
        <v>0</v>
      </c>
      <c r="Z443" s="73" t="s">
        <v>1083</v>
      </c>
      <c r="AA443" s="73" t="s">
        <v>693</v>
      </c>
      <c r="AB443" s="73" t="str">
        <f>IF(AA443&lt;&gt;"",INDEX(Lookup!$N$2:$N$5,MATCH(Players!AA443,Lookup!$P$2:$P$5,0)),INDEX(Lookup!$N$2:$N$5,MATCH(Players!O443,Lookup!$O$2:$O$5,0)))</f>
        <v>Striker</v>
      </c>
      <c r="AC443" s="73">
        <v>2500000</v>
      </c>
      <c r="AD443" s="73" t="s">
        <v>788</v>
      </c>
      <c r="AE443" s="73" t="str">
        <f>INDEX('Translate table'!$H$2:$H$622,MATCH(Players!P443,'Translate table'!$G$2:$G$622,0))</f>
        <v>Dawid Kownacki</v>
      </c>
      <c r="AF443" s="73">
        <f>IFERROR(INDEX('Euro Qual stats'!$A$1:$L$2071,MATCH(Players!$AE443,'Euro Qual stats'!$A$1:$A$2071,0),MATCH(Players!AF$2,'Euro Qual stats'!$A$1:$L$1,0)),0)</f>
        <v>2</v>
      </c>
      <c r="AG443" s="73">
        <f>IFERROR(INDEX('Euro Qual stats'!$A$1:$L$2071,MATCH(Players!$AE443,'Euro Qual stats'!$A$1:$A$2071,0),MATCH(Players!AG$2,'Euro Qual stats'!$A$1:$L$1,0)),0)</f>
        <v>0</v>
      </c>
      <c r="AH443" s="73">
        <f>IFERROR(INDEX('Euro Qual stats'!$A$1:$L$2071,MATCH(Players!$AE443,'Euro Qual stats'!$A$1:$A$2071,0),MATCH(Players!AH$2,'Euro Qual stats'!$A$1:$L$1,0)),0)</f>
        <v>0</v>
      </c>
      <c r="AI443" s="73">
        <f>IFERROR(INDEX('Euro Qual stats'!$A$1:$L$2071,MATCH(Players!$AE443,'Euro Qual stats'!$A$1:$A$2071,0),MATCH(Players!AI$2,'Euro Qual stats'!$A$1:$L$1,0)),0)</f>
        <v>0</v>
      </c>
      <c r="AJ443" s="93">
        <f>(12-AF443)/12*INDEX(BV$9:BV$12,MATCH($AB443,$BU$9:$BU$12,0))+AF443/12*AG443</f>
        <v>0.1707614942528736</v>
      </c>
      <c r="AK443" s="93">
        <f>(12-AG443)/12*INDEX(BW$9:BW$12,MATCH($AB443,$BU$9:$BU$12,0))+AG443/12*AH443</f>
        <v>0.53387931034482738</v>
      </c>
      <c r="AL443" s="93">
        <f>(12-AH443)/12*INDEX(BX$9:BX$12,MATCH($AB443,$BU$9:$BU$12,0))+AH443/12*AI443</f>
        <v>0.16482758620689658</v>
      </c>
      <c r="AM443" s="93">
        <f>IF($BC443=1,AJ443/SUMIFS(AJ$3:AJ$623,$BC$3:$BC$623,1,$G$3:$G$623,$G443),0)</f>
        <v>0</v>
      </c>
      <c r="AN443" s="93">
        <f>IF($BC443=1,AK443/SUMIFS(AK$3:AK$623,$BC$3:$BC$623,1,$G$3:$G$623,$G443),0)</f>
        <v>0</v>
      </c>
      <c r="AO443" s="93">
        <f>IF($BC443=1,AL443/SUMIFS(AL$3:AL$623,$BC$3:$BC$623,1,$G$3:$G$623,$G443),0)</f>
        <v>0</v>
      </c>
      <c r="AP443" s="2">
        <f>IFERROR(R443/$V443*90,"")</f>
        <v>2.8571428571428571E-2</v>
      </c>
      <c r="AQ443" s="2">
        <f>IFERROR(S443/$V443*90,"")</f>
        <v>0</v>
      </c>
      <c r="AR443" s="2">
        <f>IFERROR(W443/$V443*90,"")</f>
        <v>5.7142857142857141E-2</v>
      </c>
      <c r="AS443" s="2">
        <f>IFERROR(X443/$V443*90,"")</f>
        <v>0.22857142857142856</v>
      </c>
      <c r="AT443" s="2">
        <f>IFERROR(Y443/$V443*90,"")</f>
        <v>0</v>
      </c>
      <c r="AU443" s="2">
        <f>IF(AP443="",INDEX(BV$4:BV$7,MATCH(O443,$BU$4:$BU$7,0)),AP443)</f>
        <v>2.8571428571428571E-2</v>
      </c>
      <c r="AV443" s="2">
        <f>IF(AQ443="",INDEX(BW$4:BW$7,MATCH($O443,$BU$4:$BU$7,0)),AQ443)</f>
        <v>0</v>
      </c>
      <c r="AW443" s="2">
        <f t="shared" si="72"/>
        <v>5.7142857142857141E-2</v>
      </c>
      <c r="AX443" s="2">
        <f t="shared" si="73"/>
        <v>0.22857142857142856</v>
      </c>
      <c r="AY443" s="2">
        <f t="shared" si="74"/>
        <v>0</v>
      </c>
      <c r="AZ443" s="2">
        <f>AU443*0.5+AK443*0.5</f>
        <v>0.28122536945812798</v>
      </c>
      <c r="BA443" s="2">
        <f>AV443*0.5+AJ443*0.5</f>
        <v>8.5380747126436798E-2</v>
      </c>
      <c r="BB443" s="2">
        <f t="shared" si="75"/>
        <v>0.11428571428571428</v>
      </c>
      <c r="BC443">
        <f>IF(I443="expected",1,0)</f>
        <v>0</v>
      </c>
      <c r="BD443" s="78">
        <f>IF(BC443=1,AZ443/SUMIFS(AZ$3:AZ$623,$BC$3:$BC$623,1,$G$3:$G$623,$G443),0)</f>
        <v>0</v>
      </c>
      <c r="BE443" s="78">
        <f>IF(BC443=1,BA443/SUMIFS(BA$3:BA$623,$BC$3:$BC$623,1,$G$3:$G$623,$G443),0)</f>
        <v>0</v>
      </c>
      <c r="BF443" s="78">
        <f t="shared" si="76"/>
        <v>0</v>
      </c>
      <c r="BG443" s="2">
        <f t="shared" si="77"/>
        <v>0.11428571428571428</v>
      </c>
      <c r="BH443" s="2">
        <f t="shared" si="78"/>
        <v>0</v>
      </c>
      <c r="BI443" s="2">
        <f t="shared" si="79"/>
        <v>0</v>
      </c>
      <c r="BJ443" s="2">
        <f t="shared" si="80"/>
        <v>0</v>
      </c>
      <c r="BK443" s="2">
        <f t="shared" si="81"/>
        <v>0</v>
      </c>
      <c r="BL443" s="2">
        <f t="shared" si="82"/>
        <v>0.11428571428571428</v>
      </c>
      <c r="BM443" s="2">
        <f t="shared" si="83"/>
        <v>0</v>
      </c>
      <c r="BN443" s="2">
        <f>BI443/SUMIFS(BI$3:BI$623,$BC$3:$BC$623,1,$G$3:$G$623,$G443)</f>
        <v>0</v>
      </c>
      <c r="BO443" s="2">
        <f>BJ443/SUMIFS(BJ$3:BJ$623,$BC$3:$BC$623,1,$G$3:$G$623,$G443)</f>
        <v>0</v>
      </c>
      <c r="BP443" s="2">
        <f>BK443/SUMIFS(BK$3:BK$623,$BC$3:$BC$623,1,$G$3:$G$623,$G443)</f>
        <v>0</v>
      </c>
      <c r="BQ443" s="2">
        <f>BL443</f>
        <v>0.11428571428571428</v>
      </c>
      <c r="BR443" s="2">
        <f>BM443</f>
        <v>0</v>
      </c>
    </row>
    <row r="444" spans="1:70" hidden="1">
      <c r="A444" s="74">
        <v>0</v>
      </c>
      <c r="B444" s="73">
        <v>204897</v>
      </c>
      <c r="C444" s="73" t="s">
        <v>2743</v>
      </c>
      <c r="D444" s="73" t="s">
        <v>2744</v>
      </c>
      <c r="E444" s="73" t="s">
        <v>2745</v>
      </c>
      <c r="F444" s="73">
        <v>18689</v>
      </c>
      <c r="G444" s="73" t="s">
        <v>894</v>
      </c>
      <c r="H444" s="73" t="s">
        <v>925</v>
      </c>
      <c r="I444" s="73" t="s">
        <v>981</v>
      </c>
      <c r="J444" s="73">
        <v>0</v>
      </c>
      <c r="K444" s="73">
        <v>4.5</v>
      </c>
      <c r="L444" s="73">
        <v>0</v>
      </c>
      <c r="M444" s="73">
        <v>0</v>
      </c>
      <c r="N444" s="73">
        <v>0</v>
      </c>
      <c r="O444" s="73" t="s">
        <v>1318</v>
      </c>
      <c r="P444" s="73" t="s">
        <v>544</v>
      </c>
      <c r="Q444" s="73" t="s">
        <v>544</v>
      </c>
      <c r="R444" s="73">
        <v>2</v>
      </c>
      <c r="S444" s="73">
        <v>3</v>
      </c>
      <c r="T444" s="73">
        <v>0</v>
      </c>
      <c r="U444" s="73">
        <v>10</v>
      </c>
      <c r="V444" s="73">
        <v>2463</v>
      </c>
      <c r="W444" s="73">
        <v>8</v>
      </c>
      <c r="X444" s="73">
        <v>7</v>
      </c>
      <c r="Y444" s="73">
        <v>0</v>
      </c>
      <c r="Z444" s="73" t="s">
        <v>2184</v>
      </c>
      <c r="AA444" s="73" t="s">
        <v>691</v>
      </c>
      <c r="AB444" s="73" t="str">
        <f>IF(AA444&lt;&gt;"",INDEX(Lookup!$N$2:$N$5,MATCH(Players!AA444,Lookup!$P$2:$P$5,0)),INDEX(Lookup!$N$2:$N$5,MATCH(Players!O444,Lookup!$O$2:$O$5,0)))</f>
        <v>Midfield</v>
      </c>
      <c r="AC444" s="73">
        <v>3000000</v>
      </c>
      <c r="AD444" s="73" t="s">
        <v>801</v>
      </c>
      <c r="AE444" s="73" t="str">
        <f>INDEX('Translate table'!$H$2:$H$622,MATCH(Players!P444,'Translate table'!$G$2:$G$622,0))</f>
        <v>Ezdzhan Alioski</v>
      </c>
      <c r="AF444" s="73">
        <f>IFERROR(INDEX('Euro Qual stats'!$A$1:$L$2071,MATCH(Players!$AE444,'Euro Qual stats'!$A$1:$A$2071,0),MATCH(Players!AF$2,'Euro Qual stats'!$A$1:$L$1,0)),0)</f>
        <v>10</v>
      </c>
      <c r="AG444" s="73">
        <f>IFERROR(INDEX('Euro Qual stats'!$A$1:$L$2071,MATCH(Players!$AE444,'Euro Qual stats'!$A$1:$A$2071,0),MATCH(Players!AG$2,'Euro Qual stats'!$A$1:$L$1,0)),0)</f>
        <v>0.2</v>
      </c>
      <c r="AH444" s="73">
        <f>IFERROR(INDEX('Euro Qual stats'!$A$1:$L$2071,MATCH(Players!$AE444,'Euro Qual stats'!$A$1:$A$2071,0),MATCH(Players!AH$2,'Euro Qual stats'!$A$1:$L$1,0)),0)</f>
        <v>0.1</v>
      </c>
      <c r="AI444" s="73">
        <f>IFERROR(INDEX('Euro Qual stats'!$A$1:$L$2071,MATCH(Players!$AE444,'Euro Qual stats'!$A$1:$A$2071,0),MATCH(Players!AI$2,'Euro Qual stats'!$A$1:$L$1,0)),0)</f>
        <v>0.2</v>
      </c>
      <c r="AJ444" s="93">
        <f>(12-AF444)/12*INDEX(BV$9:BV$12,MATCH($AB444,$BU$9:$BU$12,0))+AF444/12*AG444</f>
        <v>0.19478184991273997</v>
      </c>
      <c r="AK444" s="93">
        <f>(12-AG444)/12*INDEX(BW$9:BW$12,MATCH($AB444,$BU$9:$BU$12,0))+AG444/12*AH444</f>
        <v>0.22134642233856894</v>
      </c>
      <c r="AL444" s="93">
        <f>(12-AH444)/12*INDEX(BX$9:BX$12,MATCH($AB444,$BU$9:$BU$12,0))+AH444/12*AI444</f>
        <v>0.23909554973821995</v>
      </c>
      <c r="AM444" s="93">
        <f>IF($BC444=1,AJ444/SUMIFS(AJ$3:AJ$623,$BC$3:$BC$623,1,$G$3:$G$623,$G444),0)</f>
        <v>0.2241346378054169</v>
      </c>
      <c r="AN444" s="93">
        <f>IF($BC444=1,AK444/SUMIFS(AK$3:AK$623,$BC$3:$BC$623,1,$G$3:$G$623,$G444),0)</f>
        <v>0.10315484736918595</v>
      </c>
      <c r="AO444" s="93">
        <f>IF($BC444=1,AL444/SUMIFS(AL$3:AL$623,$BC$3:$BC$623,1,$G$3:$G$623,$G444),0)</f>
        <v>0.13141241395697117</v>
      </c>
      <c r="AP444" s="2">
        <f>IFERROR(R444/$V444*90,"")</f>
        <v>7.3081607795371498E-2</v>
      </c>
      <c r="AQ444" s="2">
        <f>IFERROR(S444/$V444*90,"")</f>
        <v>0.10962241169305724</v>
      </c>
      <c r="AR444" s="2">
        <f>IFERROR(W444/$V444*90,"")</f>
        <v>0.29232643118148599</v>
      </c>
      <c r="AS444" s="2">
        <f>IFERROR(X444/$V444*90,"")</f>
        <v>0.25578562728380028</v>
      </c>
      <c r="AT444" s="2">
        <f>IFERROR(Y444/$V444*90,"")</f>
        <v>0</v>
      </c>
      <c r="AU444" s="2">
        <f>IF(AP444="",INDEX(BV$4:BV$7,MATCH(O444,$BU$4:$BU$7,0)),AP444)</f>
        <v>7.3081607795371498E-2</v>
      </c>
      <c r="AV444" s="2">
        <f>IF(AQ444="",INDEX(BW$4:BW$7,MATCH($O444,$BU$4:$BU$7,0)),AQ444)</f>
        <v>0.10962241169305724</v>
      </c>
      <c r="AW444" s="2">
        <f t="shared" si="72"/>
        <v>0.29232643118148599</v>
      </c>
      <c r="AX444" s="2">
        <f t="shared" si="73"/>
        <v>0.25578562728380028</v>
      </c>
      <c r="AY444" s="2">
        <f t="shared" si="74"/>
        <v>0</v>
      </c>
      <c r="AZ444" s="2">
        <f>AU444*0.5+AK444*0.5</f>
        <v>0.14721401506697021</v>
      </c>
      <c r="BA444" s="2">
        <f>AV444*0.5+AJ444*0.5</f>
        <v>0.1522021308028986</v>
      </c>
      <c r="BB444" s="2">
        <f t="shared" si="75"/>
        <v>0.22789281364190014</v>
      </c>
      <c r="BC444">
        <f>IF(I444="expected",1,0)</f>
        <v>1</v>
      </c>
      <c r="BD444" s="78">
        <f>IF(BC444=1,AZ444/SUMIFS(AZ$3:AZ$623,$BC$3:$BC$623,1,$G$3:$G$623,$G444),0)</f>
        <v>9.1300980450611552E-2</v>
      </c>
      <c r="BE444" s="78">
        <f>IF(BC444=1,BA444/SUMIFS(BA$3:BA$623,$BC$3:$BC$623,1,$G$3:$G$623,$G444),0)</f>
        <v>0.18797235325960041</v>
      </c>
      <c r="BF444" s="78">
        <f t="shared" si="76"/>
        <v>8.8792254009358182E-2</v>
      </c>
      <c r="BG444" s="2">
        <f t="shared" si="77"/>
        <v>0.22789281364190014</v>
      </c>
      <c r="BH444" s="2">
        <f t="shared" si="78"/>
        <v>0</v>
      </c>
      <c r="BI444" s="2">
        <f t="shared" si="79"/>
        <v>9.1300980450611552E-2</v>
      </c>
      <c r="BJ444" s="2">
        <f t="shared" si="80"/>
        <v>0.18797235325960041</v>
      </c>
      <c r="BK444" s="2">
        <f t="shared" si="81"/>
        <v>8.8792254009358182E-2</v>
      </c>
      <c r="BL444" s="2">
        <f t="shared" si="82"/>
        <v>0.22789281364190014</v>
      </c>
      <c r="BM444" s="2">
        <f t="shared" si="83"/>
        <v>0</v>
      </c>
      <c r="BN444" s="2">
        <f>BI444/SUMIFS(BI$3:BI$623,$BC$3:$BC$623,1,$G$3:$G$623,$G444)</f>
        <v>9.1300980450611552E-2</v>
      </c>
      <c r="BO444" s="2">
        <f>BJ444/SUMIFS(BJ$3:BJ$623,$BC$3:$BC$623,1,$G$3:$G$623,$G444)</f>
        <v>0.18797235325960035</v>
      </c>
      <c r="BP444" s="2">
        <f>BK444/SUMIFS(BK$3:BK$623,$BC$3:$BC$623,1,$G$3:$G$623,$G444)</f>
        <v>8.8792254009358196E-2</v>
      </c>
      <c r="BQ444" s="2">
        <f>BL444</f>
        <v>0.22789281364190014</v>
      </c>
      <c r="BR444" s="2">
        <f>BM444</f>
        <v>0</v>
      </c>
    </row>
    <row r="445" spans="1:70" hidden="1">
      <c r="A445" s="74">
        <v>0</v>
      </c>
      <c r="B445" s="73">
        <v>213438</v>
      </c>
      <c r="C445" s="73" t="s">
        <v>2746</v>
      </c>
      <c r="D445" s="73" t="s">
        <v>2747</v>
      </c>
      <c r="E445" s="73" t="s">
        <v>2748</v>
      </c>
      <c r="F445" s="73">
        <v>18689</v>
      </c>
      <c r="G445" s="73" t="s">
        <v>894</v>
      </c>
      <c r="H445" s="73" t="s">
        <v>925</v>
      </c>
      <c r="I445" s="73" t="s">
        <v>1012</v>
      </c>
      <c r="J445" s="73">
        <v>0</v>
      </c>
      <c r="K445" s="73">
        <v>4.5</v>
      </c>
      <c r="L445" s="73">
        <v>0</v>
      </c>
      <c r="M445" s="73">
        <v>0</v>
      </c>
      <c r="N445" s="73">
        <v>0</v>
      </c>
      <c r="O445" s="73" t="s">
        <v>994</v>
      </c>
      <c r="P445" s="73" t="s">
        <v>2749</v>
      </c>
      <c r="Q445" s="73" t="s">
        <v>782</v>
      </c>
      <c r="R445" s="73">
        <v>0</v>
      </c>
      <c r="S445" s="73">
        <v>0</v>
      </c>
      <c r="T445" s="73">
        <v>0</v>
      </c>
      <c r="U445" s="73">
        <v>0</v>
      </c>
      <c r="V445" s="73">
        <v>0</v>
      </c>
      <c r="W445" s="73">
        <v>0</v>
      </c>
      <c r="X445" s="73">
        <v>0</v>
      </c>
      <c r="Y445" s="73">
        <v>0</v>
      </c>
      <c r="Z445" s="73" t="s">
        <v>2184</v>
      </c>
      <c r="AA445" s="73" t="s">
        <v>691</v>
      </c>
      <c r="AB445" s="73" t="str">
        <f>IF(AA445&lt;&gt;"",INDEX(Lookup!$N$2:$N$5,MATCH(Players!AA445,Lookup!$P$2:$P$5,0)),INDEX(Lookup!$N$2:$N$5,MATCH(Players!O445,Lookup!$O$2:$O$5,0)))</f>
        <v>Midfield</v>
      </c>
      <c r="AC445" s="73">
        <v>2000000</v>
      </c>
      <c r="AD445" s="73" t="s">
        <v>789</v>
      </c>
      <c r="AE445" s="73" t="str">
        <f>INDEX('Translate table'!$H$2:$H$622,MATCH(Players!P445,'Translate table'!$G$2:$G$622,0))</f>
        <v>Ferhan Hasani</v>
      </c>
      <c r="AF445" s="73">
        <f>IFERROR(INDEX('Euro Qual stats'!$A$1:$L$2071,MATCH(Players!$AE445,'Euro Qual stats'!$A$1:$A$2071,0),MATCH(Players!AF$2,'Euro Qual stats'!$A$1:$L$1,0)),0)</f>
        <v>3</v>
      </c>
      <c r="AG445" s="73">
        <f>IFERROR(INDEX('Euro Qual stats'!$A$1:$L$2071,MATCH(Players!$AE445,'Euro Qual stats'!$A$1:$A$2071,0),MATCH(Players!AG$2,'Euro Qual stats'!$A$1:$L$1,0)),0)</f>
        <v>0</v>
      </c>
      <c r="AH445" s="73">
        <f>IFERROR(INDEX('Euro Qual stats'!$A$1:$L$2071,MATCH(Players!$AE445,'Euro Qual stats'!$A$1:$A$2071,0),MATCH(Players!AH$2,'Euro Qual stats'!$A$1:$L$1,0)),0)</f>
        <v>0</v>
      </c>
      <c r="AI445" s="73">
        <f>IFERROR(INDEX('Euro Qual stats'!$A$1:$L$2071,MATCH(Players!$AE445,'Euro Qual stats'!$A$1:$A$2071,0),MATCH(Players!AI$2,'Euro Qual stats'!$A$1:$L$1,0)),0)</f>
        <v>0</v>
      </c>
      <c r="AJ445" s="93">
        <f>(12-AF445)/12*INDEX(BV$9:BV$12,MATCH($AB445,$BU$9:$BU$12,0))+AF445/12*AG445</f>
        <v>0.12651832460732984</v>
      </c>
      <c r="AK445" s="93">
        <f>(12-AG445)/12*INDEX(BW$9:BW$12,MATCH($AB445,$BU$9:$BU$12,0))+AG445/12*AH445</f>
        <v>0.22340314136125652</v>
      </c>
      <c r="AL445" s="93">
        <f>(12-AH445)/12*INDEX(BX$9:BX$12,MATCH($AB445,$BU$9:$BU$12,0))+AH445/12*AI445</f>
        <v>0.23942408376963353</v>
      </c>
      <c r="AM445" s="93">
        <f>IF($BC445=1,AJ445/SUMIFS(AJ$3:AJ$623,$BC$3:$BC$623,1,$G$3:$G$623,$G445),0)</f>
        <v>0</v>
      </c>
      <c r="AN445" s="93">
        <f>IF($BC445=1,AK445/SUMIFS(AK$3:AK$623,$BC$3:$BC$623,1,$G$3:$G$623,$G445),0)</f>
        <v>0</v>
      </c>
      <c r="AO445" s="93">
        <f>IF($BC445=1,AL445/SUMIFS(AL$3:AL$623,$BC$3:$BC$623,1,$G$3:$G$623,$G445),0)</f>
        <v>0</v>
      </c>
      <c r="AP445" s="2" t="str">
        <f>IFERROR(R445/$V445*90,"")</f>
        <v/>
      </c>
      <c r="AQ445" s="2" t="str">
        <f>IFERROR(S445/$V445*90,"")</f>
        <v/>
      </c>
      <c r="AR445" s="2" t="str">
        <f>IFERROR(W445/$V445*90,"")</f>
        <v/>
      </c>
      <c r="AS445" s="2" t="str">
        <f>IFERROR(X445/$V445*90,"")</f>
        <v/>
      </c>
      <c r="AT445" s="2" t="str">
        <f>IFERROR(Y445/$V445*90,"")</f>
        <v/>
      </c>
      <c r="AU445" s="2">
        <f>IF(AP445="",INDEX(BV$4:BV$7,MATCH(O445,$BU$4:$BU$7,0)),AP445)</f>
        <v>3.6526142445450806E-2</v>
      </c>
      <c r="AV445" s="2">
        <f>IF(AQ445="",INDEX(BW$4:BW$7,MATCH($O445,$BU$4:$BU$7,0)),AQ445)</f>
        <v>3.2427739661688867E-2</v>
      </c>
      <c r="AW445" s="2">
        <f t="shared" si="72"/>
        <v>0.20013349649571699</v>
      </c>
      <c r="AX445" s="2">
        <f t="shared" si="73"/>
        <v>0.16081000595592615</v>
      </c>
      <c r="AY445" s="2">
        <f t="shared" si="74"/>
        <v>0</v>
      </c>
      <c r="AZ445" s="2">
        <f>AU445*0.5+AK445*0.5</f>
        <v>0.12996464190335366</v>
      </c>
      <c r="BA445" s="2">
        <f>AV445*0.5+AJ445*0.5</f>
        <v>7.9473032134509347E-2</v>
      </c>
      <c r="BB445" s="2">
        <f t="shared" si="75"/>
        <v>8.0405002977963075E-2</v>
      </c>
      <c r="BC445">
        <f>IF(I445="expected",1,0)</f>
        <v>0</v>
      </c>
      <c r="BD445" s="78">
        <f>IF(BC445=1,AZ445/SUMIFS(AZ$3:AZ$623,$BC$3:$BC$623,1,$G$3:$G$623,$G445),0)</f>
        <v>0</v>
      </c>
      <c r="BE445" s="78">
        <f>IF(BC445=1,BA445/SUMIFS(BA$3:BA$623,$BC$3:$BC$623,1,$G$3:$G$623,$G445),0)</f>
        <v>0</v>
      </c>
      <c r="BF445" s="78">
        <f t="shared" si="76"/>
        <v>0</v>
      </c>
      <c r="BG445" s="2">
        <f t="shared" si="77"/>
        <v>8.0405002977963075E-2</v>
      </c>
      <c r="BH445" s="2">
        <f t="shared" si="78"/>
        <v>0</v>
      </c>
      <c r="BI445" s="2">
        <f t="shared" si="79"/>
        <v>0</v>
      </c>
      <c r="BJ445" s="2">
        <f t="shared" si="80"/>
        <v>0</v>
      </c>
      <c r="BK445" s="2">
        <f t="shared" si="81"/>
        <v>0</v>
      </c>
      <c r="BL445" s="2">
        <f t="shared" si="82"/>
        <v>8.0405002977963075E-2</v>
      </c>
      <c r="BM445" s="2">
        <f t="shared" si="83"/>
        <v>0</v>
      </c>
      <c r="BN445" s="2">
        <f>BI445/SUMIFS(BI$3:BI$623,$BC$3:$BC$623,1,$G$3:$G$623,$G445)</f>
        <v>0</v>
      </c>
      <c r="BO445" s="2">
        <f>BJ445/SUMIFS(BJ$3:BJ$623,$BC$3:$BC$623,1,$G$3:$G$623,$G445)</f>
        <v>0</v>
      </c>
      <c r="BP445" s="2">
        <f>BK445/SUMIFS(BK$3:BK$623,$BC$3:$BC$623,1,$G$3:$G$623,$G445)</f>
        <v>0</v>
      </c>
      <c r="BQ445" s="2">
        <f>BL445</f>
        <v>8.0405002977963075E-2</v>
      </c>
      <c r="BR445" s="2">
        <f>BM445</f>
        <v>0</v>
      </c>
    </row>
    <row r="446" spans="1:70" hidden="1">
      <c r="A446" s="74">
        <v>0</v>
      </c>
      <c r="B446" s="73">
        <v>204901</v>
      </c>
      <c r="C446" s="73" t="s">
        <v>2750</v>
      </c>
      <c r="D446" s="73" t="s">
        <v>2751</v>
      </c>
      <c r="E446" s="73" t="s">
        <v>2752</v>
      </c>
      <c r="F446" s="73">
        <v>18689</v>
      </c>
      <c r="G446" s="73" t="s">
        <v>894</v>
      </c>
      <c r="H446" s="73" t="s">
        <v>925</v>
      </c>
      <c r="I446" s="73" t="s">
        <v>1012</v>
      </c>
      <c r="J446" s="73">
        <v>0</v>
      </c>
      <c r="K446" s="73">
        <v>4.5</v>
      </c>
      <c r="L446" s="73">
        <v>0</v>
      </c>
      <c r="M446" s="73">
        <v>0</v>
      </c>
      <c r="N446" s="73">
        <v>0</v>
      </c>
      <c r="O446" s="73" t="s">
        <v>994</v>
      </c>
      <c r="P446" s="73" t="s">
        <v>2753</v>
      </c>
      <c r="Q446" s="73" t="s">
        <v>1164</v>
      </c>
      <c r="R446" s="73"/>
      <c r="S446" s="73"/>
      <c r="T446" s="73"/>
      <c r="U446" s="73"/>
      <c r="V446" s="73"/>
      <c r="W446" s="73"/>
      <c r="X446" s="73"/>
      <c r="Y446" s="73"/>
      <c r="Z446" s="73" t="s">
        <v>2184</v>
      </c>
      <c r="AA446" s="73" t="s">
        <v>691</v>
      </c>
      <c r="AB446" s="73" t="str">
        <f>IF(AA446&lt;&gt;"",INDEX(Lookup!$N$2:$N$5,MATCH(Players!AA446,Lookup!$P$2:$P$5,0)),INDEX(Lookup!$N$2:$N$5,MATCH(Players!O446,Lookup!$O$2:$O$5,0)))</f>
        <v>Midfield</v>
      </c>
      <c r="AC446" s="73">
        <v>2000000</v>
      </c>
      <c r="AD446" s="73" t="s">
        <v>788</v>
      </c>
      <c r="AE446" s="73" t="str">
        <f>INDEX('Translate table'!$H$2:$H$622,MATCH(Players!P446,'Translate table'!$G$2:$G$622,0))</f>
        <v>Tihomir Kostadinov</v>
      </c>
      <c r="AF446" s="73">
        <f>IFERROR(INDEX('Euro Qual stats'!$A$1:$L$2071,MATCH(Players!$AE446,'Euro Qual stats'!$A$1:$A$2071,0),MATCH(Players!AF$2,'Euro Qual stats'!$A$1:$L$1,0)),0)</f>
        <v>4</v>
      </c>
      <c r="AG446" s="73">
        <f>IFERROR(INDEX('Euro Qual stats'!$A$1:$L$2071,MATCH(Players!$AE446,'Euro Qual stats'!$A$1:$A$2071,0),MATCH(Players!AG$2,'Euro Qual stats'!$A$1:$L$1,0)),0)</f>
        <v>0</v>
      </c>
      <c r="AH446" s="73">
        <f>IFERROR(INDEX('Euro Qual stats'!$A$1:$L$2071,MATCH(Players!$AE446,'Euro Qual stats'!$A$1:$A$2071,0),MATCH(Players!AH$2,'Euro Qual stats'!$A$1:$L$1,0)),0)</f>
        <v>0</v>
      </c>
      <c r="AI446" s="73">
        <f>IFERROR(INDEX('Euro Qual stats'!$A$1:$L$2071,MATCH(Players!$AE446,'Euro Qual stats'!$A$1:$A$2071,0),MATCH(Players!AI$2,'Euro Qual stats'!$A$1:$L$1,0)),0)</f>
        <v>0.48</v>
      </c>
      <c r="AJ446" s="93">
        <f>(12-AF446)/12*INDEX(BV$9:BV$12,MATCH($AB446,$BU$9:$BU$12,0))+AF446/12*AG446</f>
        <v>0.11246073298429318</v>
      </c>
      <c r="AK446" s="93">
        <f>(12-AG446)/12*INDEX(BW$9:BW$12,MATCH($AB446,$BU$9:$BU$12,0))+AG446/12*AH446</f>
        <v>0.22340314136125652</v>
      </c>
      <c r="AL446" s="93">
        <f>(12-AH446)/12*INDEX(BX$9:BX$12,MATCH($AB446,$BU$9:$BU$12,0))+AH446/12*AI446</f>
        <v>0.23942408376963353</v>
      </c>
      <c r="AM446" s="93">
        <f>IF($BC446=1,AJ446/SUMIFS(AJ$3:AJ$623,$BC$3:$BC$623,1,$G$3:$G$623,$G446),0)</f>
        <v>0</v>
      </c>
      <c r="AN446" s="93">
        <f>IF($BC446=1,AK446/SUMIFS(AK$3:AK$623,$BC$3:$BC$623,1,$G$3:$G$623,$G446),0)</f>
        <v>0</v>
      </c>
      <c r="AO446" s="93">
        <f>IF($BC446=1,AL446/SUMIFS(AL$3:AL$623,$BC$3:$BC$623,1,$G$3:$G$623,$G446),0)</f>
        <v>0</v>
      </c>
      <c r="AP446" s="2" t="str">
        <f>IFERROR(R446/$V446*90,"")</f>
        <v/>
      </c>
      <c r="AQ446" s="2" t="str">
        <f>IFERROR(S446/$V446*90,"")</f>
        <v/>
      </c>
      <c r="AR446" s="2" t="str">
        <f>IFERROR(W446/$V446*90,"")</f>
        <v/>
      </c>
      <c r="AS446" s="2" t="str">
        <f>IFERROR(X446/$V446*90,"")</f>
        <v/>
      </c>
      <c r="AT446" s="2" t="str">
        <f>IFERROR(Y446/$V446*90,"")</f>
        <v/>
      </c>
      <c r="AU446" s="2">
        <f>IF(AP446="",INDEX(BV$4:BV$7,MATCH(O446,$BU$4:$BU$7,0)),AP446)</f>
        <v>3.6526142445450806E-2</v>
      </c>
      <c r="AV446" s="2">
        <f>IF(AQ446="",INDEX(BW$4:BW$7,MATCH($O446,$BU$4:$BU$7,0)),AQ446)</f>
        <v>3.2427739661688867E-2</v>
      </c>
      <c r="AW446" s="2">
        <f t="shared" si="72"/>
        <v>0.20013349649571699</v>
      </c>
      <c r="AX446" s="2">
        <f t="shared" si="73"/>
        <v>0.16081000595592615</v>
      </c>
      <c r="AY446" s="2">
        <f t="shared" si="74"/>
        <v>0</v>
      </c>
      <c r="AZ446" s="2">
        <f>AU446*0.5+AK446*0.5</f>
        <v>0.12996464190335366</v>
      </c>
      <c r="BA446" s="2">
        <f>AV446*0.5+AJ446*0.5</f>
        <v>7.2444236322991018E-2</v>
      </c>
      <c r="BB446" s="2">
        <f t="shared" si="75"/>
        <v>0.32040500297796304</v>
      </c>
      <c r="BC446">
        <f>IF(I446="expected",1,0)</f>
        <v>0</v>
      </c>
      <c r="BD446" s="78">
        <f>IF(BC446=1,AZ446/SUMIFS(AZ$3:AZ$623,$BC$3:$BC$623,1,$G$3:$G$623,$G446),0)</f>
        <v>0</v>
      </c>
      <c r="BE446" s="78">
        <f>IF(BC446=1,BA446/SUMIFS(BA$3:BA$623,$BC$3:$BC$623,1,$G$3:$G$623,$G446),0)</f>
        <v>0</v>
      </c>
      <c r="BF446" s="78">
        <f t="shared" si="76"/>
        <v>0</v>
      </c>
      <c r="BG446" s="2">
        <f t="shared" si="77"/>
        <v>0.32040500297796304</v>
      </c>
      <c r="BH446" s="2">
        <f t="shared" si="78"/>
        <v>0</v>
      </c>
      <c r="BI446" s="2">
        <f t="shared" si="79"/>
        <v>0</v>
      </c>
      <c r="BJ446" s="2">
        <f t="shared" si="80"/>
        <v>0</v>
      </c>
      <c r="BK446" s="2">
        <f t="shared" si="81"/>
        <v>0</v>
      </c>
      <c r="BL446" s="2">
        <f t="shared" si="82"/>
        <v>0.32040500297796304</v>
      </c>
      <c r="BM446" s="2">
        <f t="shared" si="83"/>
        <v>0</v>
      </c>
      <c r="BN446" s="2">
        <f>BI446/SUMIFS(BI$3:BI$623,$BC$3:$BC$623,1,$G$3:$G$623,$G446)</f>
        <v>0</v>
      </c>
      <c r="BO446" s="2">
        <f>BJ446/SUMIFS(BJ$3:BJ$623,$BC$3:$BC$623,1,$G$3:$G$623,$G446)</f>
        <v>0</v>
      </c>
      <c r="BP446" s="2">
        <f>BK446/SUMIFS(BK$3:BK$623,$BC$3:$BC$623,1,$G$3:$G$623,$G446)</f>
        <v>0</v>
      </c>
      <c r="BQ446" s="2">
        <f>BL446</f>
        <v>0.32040500297796304</v>
      </c>
      <c r="BR446" s="2">
        <f>BM446</f>
        <v>0</v>
      </c>
    </row>
    <row r="447" spans="1:70" hidden="1">
      <c r="A447" s="74">
        <v>0</v>
      </c>
      <c r="B447" s="73">
        <v>204900</v>
      </c>
      <c r="C447" s="73" t="s">
        <v>2754</v>
      </c>
      <c r="D447" s="73" t="s">
        <v>2755</v>
      </c>
      <c r="E447" s="73" t="s">
        <v>2756</v>
      </c>
      <c r="F447" s="73">
        <v>18689</v>
      </c>
      <c r="G447" s="73" t="s">
        <v>894</v>
      </c>
      <c r="H447" s="73" t="s">
        <v>925</v>
      </c>
      <c r="I447" s="73" t="s">
        <v>1012</v>
      </c>
      <c r="J447" s="73">
        <v>0</v>
      </c>
      <c r="K447" s="73">
        <v>4.5</v>
      </c>
      <c r="L447" s="73">
        <v>0</v>
      </c>
      <c r="M447" s="73">
        <v>0</v>
      </c>
      <c r="N447" s="73">
        <v>0</v>
      </c>
      <c r="O447" s="73" t="s">
        <v>982</v>
      </c>
      <c r="P447" s="73" t="s">
        <v>2757</v>
      </c>
      <c r="Q447" s="73" t="s">
        <v>2758</v>
      </c>
      <c r="R447" s="73">
        <v>0</v>
      </c>
      <c r="S447" s="73">
        <v>0</v>
      </c>
      <c r="T447" s="73">
        <v>0</v>
      </c>
      <c r="U447" s="73">
        <v>0</v>
      </c>
      <c r="V447" s="73">
        <v>61</v>
      </c>
      <c r="W447" s="73">
        <v>1</v>
      </c>
      <c r="X447" s="73">
        <v>0</v>
      </c>
      <c r="Y447" s="73">
        <v>0</v>
      </c>
      <c r="Z447" s="73" t="s">
        <v>2184</v>
      </c>
      <c r="AA447" s="73" t="s">
        <v>693</v>
      </c>
      <c r="AB447" s="73" t="str">
        <f>IF(AA447&lt;&gt;"",INDEX(Lookup!$N$2:$N$5,MATCH(Players!AA447,Lookup!$P$2:$P$5,0)),INDEX(Lookup!$N$2:$N$5,MATCH(Players!O447,Lookup!$O$2:$O$5,0)))</f>
        <v>Striker</v>
      </c>
      <c r="AC447" s="73">
        <v>2000000</v>
      </c>
      <c r="AD447" s="73" t="s">
        <v>788</v>
      </c>
      <c r="AE447" s="73" t="str">
        <f>INDEX('Translate table'!$H$2:$H$622,MATCH(Players!P447,'Translate table'!$G$2:$G$622,0))</f>
        <v>Vlatko Stojanovski</v>
      </c>
      <c r="AF447" s="73">
        <f>IFERROR(INDEX('Euro Qual stats'!$A$1:$L$2071,MATCH(Players!$AE447,'Euro Qual stats'!$A$1:$A$2071,0),MATCH(Players!AF$2,'Euro Qual stats'!$A$1:$L$1,0)),0)</f>
        <v>2</v>
      </c>
      <c r="AG447" s="73">
        <f>IFERROR(INDEX('Euro Qual stats'!$A$1:$L$2071,MATCH(Players!$AE447,'Euro Qual stats'!$A$1:$A$2071,0),MATCH(Players!AG$2,'Euro Qual stats'!$A$1:$L$1,0)),0)</f>
        <v>0</v>
      </c>
      <c r="AH447" s="73">
        <f>IFERROR(INDEX('Euro Qual stats'!$A$1:$L$2071,MATCH(Players!$AE447,'Euro Qual stats'!$A$1:$A$2071,0),MATCH(Players!AH$2,'Euro Qual stats'!$A$1:$L$1,0)),0)</f>
        <v>0.65</v>
      </c>
      <c r="AI447" s="73">
        <f>IFERROR(INDEX('Euro Qual stats'!$A$1:$L$2071,MATCH(Players!$AE447,'Euro Qual stats'!$A$1:$A$2071,0),MATCH(Players!AI$2,'Euro Qual stats'!$A$1:$L$1,0)),0)</f>
        <v>0</v>
      </c>
      <c r="AJ447" s="93">
        <f>(12-AF447)/12*INDEX(BV$9:BV$12,MATCH($AB447,$BU$9:$BU$12,0))+AF447/12*AG447</f>
        <v>0.1707614942528736</v>
      </c>
      <c r="AK447" s="93">
        <f>(12-AG447)/12*INDEX(BW$9:BW$12,MATCH($AB447,$BU$9:$BU$12,0))+AG447/12*AH447</f>
        <v>0.53387931034482738</v>
      </c>
      <c r="AL447" s="93">
        <f>(12-AH447)/12*INDEX(BX$9:BX$12,MATCH($AB447,$BU$9:$BU$12,0))+AH447/12*AI447</f>
        <v>0.15589942528735634</v>
      </c>
      <c r="AM447" s="93">
        <f>IF($BC447=1,AJ447/SUMIFS(AJ$3:AJ$623,$BC$3:$BC$623,1,$G$3:$G$623,$G447),0)</f>
        <v>0</v>
      </c>
      <c r="AN447" s="93">
        <f>IF($BC447=1,AK447/SUMIFS(AK$3:AK$623,$BC$3:$BC$623,1,$G$3:$G$623,$G447),0)</f>
        <v>0</v>
      </c>
      <c r="AO447" s="93">
        <f>IF($BC447=1,AL447/SUMIFS(AL$3:AL$623,$BC$3:$BC$623,1,$G$3:$G$623,$G447),0)</f>
        <v>0</v>
      </c>
      <c r="AP447" s="2">
        <f>IFERROR(R447/$V447*90,"")</f>
        <v>0</v>
      </c>
      <c r="AQ447" s="2">
        <f>IFERROR(S447/$V447*90,"")</f>
        <v>0</v>
      </c>
      <c r="AR447" s="2">
        <f>IFERROR(W447/$V447*90,"")</f>
        <v>1.4754098360655739</v>
      </c>
      <c r="AS447" s="2">
        <f>IFERROR(X447/$V447*90,"")</f>
        <v>0</v>
      </c>
      <c r="AT447" s="2">
        <f>IFERROR(Y447/$V447*90,"")</f>
        <v>0</v>
      </c>
      <c r="AU447" s="2">
        <f>IF(AP447="",INDEX(BV$4:BV$7,MATCH(O447,$BU$4:$BU$7,0)),AP447)</f>
        <v>0</v>
      </c>
      <c r="AV447" s="2">
        <f>IF(AQ447="",INDEX(BW$4:BW$7,MATCH($O447,$BU$4:$BU$7,0)),AQ447)</f>
        <v>0</v>
      </c>
      <c r="AW447" s="2">
        <f t="shared" si="72"/>
        <v>1.4754098360655739</v>
      </c>
      <c r="AX447" s="2">
        <f t="shared" si="73"/>
        <v>0</v>
      </c>
      <c r="AY447" s="2">
        <f t="shared" si="74"/>
        <v>0</v>
      </c>
      <c r="AZ447" s="2">
        <f>AU447*0.5+AK447*0.5</f>
        <v>0.26693965517241369</v>
      </c>
      <c r="BA447" s="2">
        <f>AV447*0.5+AJ447*0.5</f>
        <v>8.5380747126436798E-2</v>
      </c>
      <c r="BB447" s="2">
        <f t="shared" si="75"/>
        <v>0</v>
      </c>
      <c r="BC447">
        <f>IF(I447="expected",1,0)</f>
        <v>0</v>
      </c>
      <c r="BD447" s="78">
        <f>IF(BC447=1,AZ447/SUMIFS(AZ$3:AZ$623,$BC$3:$BC$623,1,$G$3:$G$623,$G447),0)</f>
        <v>0</v>
      </c>
      <c r="BE447" s="78">
        <f>IF(BC447=1,BA447/SUMIFS(BA$3:BA$623,$BC$3:$BC$623,1,$G$3:$G$623,$G447),0)</f>
        <v>0</v>
      </c>
      <c r="BF447" s="78">
        <f t="shared" si="76"/>
        <v>0</v>
      </c>
      <c r="BG447" s="2">
        <f t="shared" si="77"/>
        <v>0</v>
      </c>
      <c r="BH447" s="2">
        <f t="shared" si="78"/>
        <v>0</v>
      </c>
      <c r="BI447" s="2">
        <f t="shared" si="79"/>
        <v>0</v>
      </c>
      <c r="BJ447" s="2">
        <f t="shared" si="80"/>
        <v>0</v>
      </c>
      <c r="BK447" s="2">
        <f t="shared" si="81"/>
        <v>0</v>
      </c>
      <c r="BL447" s="2">
        <f t="shared" si="82"/>
        <v>0</v>
      </c>
      <c r="BM447" s="2">
        <f t="shared" si="83"/>
        <v>0</v>
      </c>
      <c r="BN447" s="2">
        <f>BI447/SUMIFS(BI$3:BI$623,$BC$3:$BC$623,1,$G$3:$G$623,$G447)</f>
        <v>0</v>
      </c>
      <c r="BO447" s="2">
        <f>BJ447/SUMIFS(BJ$3:BJ$623,$BC$3:$BC$623,1,$G$3:$G$623,$G447)</f>
        <v>0</v>
      </c>
      <c r="BP447" s="2">
        <f>BK447/SUMIFS(BK$3:BK$623,$BC$3:$BC$623,1,$G$3:$G$623,$G447)</f>
        <v>0</v>
      </c>
      <c r="BQ447" s="2">
        <f>BL447</f>
        <v>0</v>
      </c>
      <c r="BR447" s="2">
        <f>BM447</f>
        <v>0</v>
      </c>
    </row>
    <row r="448" spans="1:70" hidden="1">
      <c r="A448" s="74">
        <v>0</v>
      </c>
      <c r="B448" s="73">
        <v>204899</v>
      </c>
      <c r="C448" s="73" t="s">
        <v>2759</v>
      </c>
      <c r="D448" s="73" t="s">
        <v>2760</v>
      </c>
      <c r="E448" s="73" t="s">
        <v>2761</v>
      </c>
      <c r="F448" s="73">
        <v>18689</v>
      </c>
      <c r="G448" s="73" t="s">
        <v>894</v>
      </c>
      <c r="H448" s="73" t="s">
        <v>925</v>
      </c>
      <c r="I448" s="73" t="s">
        <v>981</v>
      </c>
      <c r="J448" s="73">
        <v>0</v>
      </c>
      <c r="K448" s="73">
        <v>4.5</v>
      </c>
      <c r="L448" s="73">
        <v>0</v>
      </c>
      <c r="M448" s="73">
        <v>0</v>
      </c>
      <c r="N448" s="73">
        <v>0</v>
      </c>
      <c r="O448" s="73" t="s">
        <v>982</v>
      </c>
      <c r="P448" s="73" t="s">
        <v>2762</v>
      </c>
      <c r="Q448" s="73" t="s">
        <v>2763</v>
      </c>
      <c r="R448" s="73">
        <v>1</v>
      </c>
      <c r="S448" s="73">
        <v>0</v>
      </c>
      <c r="T448" s="73">
        <v>0</v>
      </c>
      <c r="U448" s="73">
        <v>2</v>
      </c>
      <c r="V448" s="73">
        <v>1131</v>
      </c>
      <c r="W448" s="73">
        <v>2</v>
      </c>
      <c r="X448" s="73">
        <v>3</v>
      </c>
      <c r="Y448" s="73">
        <v>0</v>
      </c>
      <c r="Z448" s="73" t="s">
        <v>2184</v>
      </c>
      <c r="AA448" s="73" t="s">
        <v>693</v>
      </c>
      <c r="AB448" s="73" t="str">
        <f>IF(AA448&lt;&gt;"",INDEX(Lookup!$N$2:$N$5,MATCH(Players!AA448,Lookup!$P$2:$P$5,0)),INDEX(Lookup!$N$2:$N$5,MATCH(Players!O448,Lookup!$O$2:$O$5,0)))</f>
        <v>Striker</v>
      </c>
      <c r="AC448" s="73">
        <v>2500000</v>
      </c>
      <c r="AD448" s="73" t="s">
        <v>789</v>
      </c>
      <c r="AE448" s="73" t="str">
        <f>INDEX('Translate table'!$H$2:$H$622,MATCH(Players!P448,'Translate table'!$G$2:$G$622,0))</f>
        <v>Aleksandar Trajkovski</v>
      </c>
      <c r="AF448" s="73">
        <f>IFERROR(INDEX('Euro Qual stats'!$A$1:$L$2071,MATCH(Players!$AE448,'Euro Qual stats'!$A$1:$A$2071,0),MATCH(Players!AF$2,'Euro Qual stats'!$A$1:$L$1,0)),0)</f>
        <v>8</v>
      </c>
      <c r="AG448" s="73">
        <f>IFERROR(INDEX('Euro Qual stats'!$A$1:$L$2071,MATCH(Players!$AE448,'Euro Qual stats'!$A$1:$A$2071,0),MATCH(Players!AG$2,'Euro Qual stats'!$A$1:$L$1,0)),0)</f>
        <v>0</v>
      </c>
      <c r="AH448" s="73">
        <f>IFERROR(INDEX('Euro Qual stats'!$A$1:$L$2071,MATCH(Players!$AE448,'Euro Qual stats'!$A$1:$A$2071,0),MATCH(Players!AH$2,'Euro Qual stats'!$A$1:$L$1,0)),0)</f>
        <v>0</v>
      </c>
      <c r="AI448" s="73">
        <f>IFERROR(INDEX('Euro Qual stats'!$A$1:$L$2071,MATCH(Players!$AE448,'Euro Qual stats'!$A$1:$A$2071,0),MATCH(Players!AI$2,'Euro Qual stats'!$A$1:$L$1,0)),0)</f>
        <v>0</v>
      </c>
      <c r="AJ448" s="93">
        <f>(12-AF448)/12*INDEX(BV$9:BV$12,MATCH($AB448,$BU$9:$BU$12,0))+AF448/12*AG448</f>
        <v>6.8304597701149439E-2</v>
      </c>
      <c r="AK448" s="93">
        <f>(12-AG448)/12*INDEX(BW$9:BW$12,MATCH($AB448,$BU$9:$BU$12,0))+AG448/12*AH448</f>
        <v>0.53387931034482738</v>
      </c>
      <c r="AL448" s="93">
        <f>(12-AH448)/12*INDEX(BX$9:BX$12,MATCH($AB448,$BU$9:$BU$12,0))+AH448/12*AI448</f>
        <v>0.16482758620689658</v>
      </c>
      <c r="AM448" s="93">
        <f>IF($BC448=1,AJ448/SUMIFS(AJ$3:AJ$623,$BC$3:$BC$623,1,$G$3:$G$623,$G448),0)</f>
        <v>7.8597807100868416E-2</v>
      </c>
      <c r="AN448" s="93">
        <f>IF($BC448=1,AK448/SUMIFS(AK$3:AK$623,$BC$3:$BC$623,1,$G$3:$G$623,$G448),0)</f>
        <v>0.24880564226129243</v>
      </c>
      <c r="AO448" s="93">
        <f>IF($BC448=1,AL448/SUMIFS(AL$3:AL$623,$BC$3:$BC$623,1,$G$3:$G$623,$G448),0)</f>
        <v>9.0593032843415508E-2</v>
      </c>
      <c r="AP448" s="2">
        <f>IFERROR(R448/$V448*90,"")</f>
        <v>7.9575596816976124E-2</v>
      </c>
      <c r="AQ448" s="2">
        <f>IFERROR(S448/$V448*90,"")</f>
        <v>0</v>
      </c>
      <c r="AR448" s="2">
        <f>IFERROR(W448/$V448*90,"")</f>
        <v>0.15915119363395225</v>
      </c>
      <c r="AS448" s="2">
        <f>IFERROR(X448/$V448*90,"")</f>
        <v>0.23872679045092837</v>
      </c>
      <c r="AT448" s="2">
        <f>IFERROR(Y448/$V448*90,"")</f>
        <v>0</v>
      </c>
      <c r="AU448" s="2">
        <f>IF(AP448="",INDEX(BV$4:BV$7,MATCH(O448,$BU$4:$BU$7,0)),AP448)</f>
        <v>7.9575596816976124E-2</v>
      </c>
      <c r="AV448" s="2">
        <f>IF(AQ448="",INDEX(BW$4:BW$7,MATCH($O448,$BU$4:$BU$7,0)),AQ448)</f>
        <v>0</v>
      </c>
      <c r="AW448" s="2">
        <f t="shared" si="72"/>
        <v>0.15915119363395225</v>
      </c>
      <c r="AX448" s="2">
        <f t="shared" si="73"/>
        <v>0.23872679045092837</v>
      </c>
      <c r="AY448" s="2">
        <f t="shared" si="74"/>
        <v>0</v>
      </c>
      <c r="AZ448" s="2">
        <f>AU448*0.5+AK448*0.5</f>
        <v>0.30672745358090175</v>
      </c>
      <c r="BA448" s="2">
        <f>AV448*0.5+AJ448*0.5</f>
        <v>3.4152298850574719E-2</v>
      </c>
      <c r="BB448" s="2">
        <f t="shared" si="75"/>
        <v>0.11936339522546419</v>
      </c>
      <c r="BC448">
        <f>IF(I448="expected",1,0)</f>
        <v>1</v>
      </c>
      <c r="BD448" s="78">
        <f>IF(BC448=1,AZ448/SUMIFS(AZ$3:AZ$623,$BC$3:$BC$623,1,$G$3:$G$623,$G448),0)</f>
        <v>0.19022996710140697</v>
      </c>
      <c r="BE448" s="78">
        <f>IF(BC448=1,BA448/SUMIFS(BA$3:BA$623,$BC$3:$BC$623,1,$G$3:$G$623,$G448),0)</f>
        <v>4.2178699800735089E-2</v>
      </c>
      <c r="BF448" s="78">
        <f t="shared" si="76"/>
        <v>4.8341140942760652E-2</v>
      </c>
      <c r="BG448" s="2">
        <f t="shared" si="77"/>
        <v>0.11936339522546419</v>
      </c>
      <c r="BH448" s="2">
        <f t="shared" si="78"/>
        <v>0</v>
      </c>
      <c r="BI448" s="2">
        <f t="shared" si="79"/>
        <v>0.19022996710140697</v>
      </c>
      <c r="BJ448" s="2">
        <f t="shared" si="80"/>
        <v>4.2178699800735089E-2</v>
      </c>
      <c r="BK448" s="2">
        <f t="shared" si="81"/>
        <v>4.8341140942760652E-2</v>
      </c>
      <c r="BL448" s="2">
        <f t="shared" si="82"/>
        <v>0.11936339522546419</v>
      </c>
      <c r="BM448" s="2">
        <f t="shared" si="83"/>
        <v>0</v>
      </c>
      <c r="BN448" s="2">
        <f>BI448/SUMIFS(BI$3:BI$623,$BC$3:$BC$623,1,$G$3:$G$623,$G448)</f>
        <v>0.19022996710140697</v>
      </c>
      <c r="BO448" s="2">
        <f>BJ448/SUMIFS(BJ$3:BJ$623,$BC$3:$BC$623,1,$G$3:$G$623,$G448)</f>
        <v>4.2178699800735082E-2</v>
      </c>
      <c r="BP448" s="2">
        <f>BK448/SUMIFS(BK$3:BK$623,$BC$3:$BC$623,1,$G$3:$G$623,$G448)</f>
        <v>4.8341140942760659E-2</v>
      </c>
      <c r="BQ448" s="2">
        <f>BL448</f>
        <v>0.11936339522546419</v>
      </c>
      <c r="BR448" s="2">
        <f>BM448</f>
        <v>0</v>
      </c>
    </row>
    <row r="449" spans="1:70" hidden="1">
      <c r="A449" s="74">
        <v>0</v>
      </c>
      <c r="B449" s="73">
        <v>204896</v>
      </c>
      <c r="C449" s="73" t="s">
        <v>2764</v>
      </c>
      <c r="D449" s="73" t="s">
        <v>2765</v>
      </c>
      <c r="E449" s="73" t="s">
        <v>2766</v>
      </c>
      <c r="F449" s="73">
        <v>18689</v>
      </c>
      <c r="G449" s="73" t="s">
        <v>894</v>
      </c>
      <c r="H449" s="73" t="s">
        <v>925</v>
      </c>
      <c r="I449" s="73" t="s">
        <v>981</v>
      </c>
      <c r="J449" s="73">
        <v>0</v>
      </c>
      <c r="K449" s="73">
        <v>4.5</v>
      </c>
      <c r="L449" s="73">
        <v>0</v>
      </c>
      <c r="M449" s="73">
        <v>0</v>
      </c>
      <c r="N449" s="73">
        <v>0</v>
      </c>
      <c r="O449" s="73" t="s">
        <v>982</v>
      </c>
      <c r="P449" s="73" t="s">
        <v>2767</v>
      </c>
      <c r="Q449" s="73" t="s">
        <v>2767</v>
      </c>
      <c r="R449" s="73">
        <v>7</v>
      </c>
      <c r="S449" s="73">
        <v>3</v>
      </c>
      <c r="T449" s="73">
        <v>0</v>
      </c>
      <c r="U449" s="73">
        <v>0</v>
      </c>
      <c r="V449" s="73">
        <v>1404</v>
      </c>
      <c r="W449" s="73">
        <v>11</v>
      </c>
      <c r="X449" s="73">
        <v>5</v>
      </c>
      <c r="Y449" s="73">
        <v>0</v>
      </c>
      <c r="Z449" s="73" t="s">
        <v>2184</v>
      </c>
      <c r="AA449" s="73" t="s">
        <v>693</v>
      </c>
      <c r="AB449" s="73" t="str">
        <f>IF(AA449&lt;&gt;"",INDEX(Lookup!$N$2:$N$5,MATCH(Players!AA449,Lookup!$P$2:$P$5,0)),INDEX(Lookup!$N$2:$N$5,MATCH(Players!O449,Lookup!$O$2:$O$5,0)))</f>
        <v>Striker</v>
      </c>
      <c r="AC449" s="73">
        <v>3500000</v>
      </c>
      <c r="AD449" s="73" t="s">
        <v>789</v>
      </c>
      <c r="AE449" s="73" t="str">
        <f>INDEX('Translate table'!$H$2:$H$622,MATCH(Players!P449,'Translate table'!$G$2:$G$622,0))</f>
        <v>Goran Pandev</v>
      </c>
      <c r="AF449" s="73">
        <f>IFERROR(INDEX('Euro Qual stats'!$A$1:$L$2071,MATCH(Players!$AE449,'Euro Qual stats'!$A$1:$A$2071,0),MATCH(Players!AF$2,'Euro Qual stats'!$A$1:$L$1,0)),0)</f>
        <v>11</v>
      </c>
      <c r="AG449" s="73">
        <f>IFERROR(INDEX('Euro Qual stats'!$A$1:$L$2071,MATCH(Players!$AE449,'Euro Qual stats'!$A$1:$A$2071,0),MATCH(Players!AG$2,'Euro Qual stats'!$A$1:$L$1,0)),0)</f>
        <v>0.22</v>
      </c>
      <c r="AH449" s="73">
        <f>IFERROR(INDEX('Euro Qual stats'!$A$1:$L$2071,MATCH(Players!$AE449,'Euro Qual stats'!$A$1:$A$2071,0),MATCH(Players!AH$2,'Euro Qual stats'!$A$1:$L$1,0)),0)</f>
        <v>0.22</v>
      </c>
      <c r="AI449" s="73">
        <f>IFERROR(INDEX('Euro Qual stats'!$A$1:$L$2071,MATCH(Players!$AE449,'Euro Qual stats'!$A$1:$A$2071,0),MATCH(Players!AI$2,'Euro Qual stats'!$A$1:$L$1,0)),0)</f>
        <v>0.22</v>
      </c>
      <c r="AJ449" s="93">
        <f>(12-AF449)/12*INDEX(BV$9:BV$12,MATCH($AB449,$BU$9:$BU$12,0))+AF449/12*AG449</f>
        <v>0.21874281609195401</v>
      </c>
      <c r="AK449" s="93">
        <f>(12-AG449)/12*INDEX(BW$9:BW$12,MATCH($AB449,$BU$9:$BU$12,0))+AG449/12*AH449</f>
        <v>0.52812485632183881</v>
      </c>
      <c r="AL449" s="93">
        <f>(12-AH449)/12*INDEX(BX$9:BX$12,MATCH($AB449,$BU$9:$BU$12,0))+AH449/12*AI449</f>
        <v>0.16583908045977014</v>
      </c>
      <c r="AM449" s="93">
        <f>IF($BC449=1,AJ449/SUMIFS(AJ$3:AJ$623,$BC$3:$BC$623,1,$G$3:$G$623,$G449),0)</f>
        <v>0.25170641863844573</v>
      </c>
      <c r="AN449" s="93">
        <f>IF($BC449=1,AK449/SUMIFS(AK$3:AK$623,$BC$3:$BC$623,1,$G$3:$G$623,$G449),0)</f>
        <v>0.24612387392655774</v>
      </c>
      <c r="AO449" s="93">
        <f>IF($BC449=1,AL449/SUMIFS(AL$3:AL$623,$BC$3:$BC$623,1,$G$3:$G$623,$G449),0)</f>
        <v>9.1148973351799084E-2</v>
      </c>
      <c r="AP449" s="2">
        <f>IFERROR(R449/$V449*90,"")</f>
        <v>0.44871794871794873</v>
      </c>
      <c r="AQ449" s="2">
        <f>IFERROR(S449/$V449*90,"")</f>
        <v>0.19230769230769232</v>
      </c>
      <c r="AR449" s="2">
        <f>IFERROR(W449/$V449*90,"")</f>
        <v>0.70512820512820518</v>
      </c>
      <c r="AS449" s="2">
        <f>IFERROR(X449/$V449*90,"")</f>
        <v>0.32051282051282054</v>
      </c>
      <c r="AT449" s="2">
        <f>IFERROR(Y449/$V449*90,"")</f>
        <v>0</v>
      </c>
      <c r="AU449" s="2">
        <f>IF(AP449="",INDEX(BV$4:BV$7,MATCH(O449,$BU$4:$BU$7,0)),AP449)</f>
        <v>0.44871794871794873</v>
      </c>
      <c r="AV449" s="2">
        <f>IF(AQ449="",INDEX(BW$4:BW$7,MATCH($O449,$BU$4:$BU$7,0)),AQ449)</f>
        <v>0.19230769230769232</v>
      </c>
      <c r="AW449" s="2">
        <f t="shared" si="72"/>
        <v>0.70512820512820518</v>
      </c>
      <c r="AX449" s="2">
        <f t="shared" si="73"/>
        <v>0.32051282051282054</v>
      </c>
      <c r="AY449" s="2">
        <f t="shared" si="74"/>
        <v>0</v>
      </c>
      <c r="AZ449" s="2">
        <f>AU449*0.5+AK449*0.5</f>
        <v>0.48842140251989374</v>
      </c>
      <c r="BA449" s="2">
        <f>AV449*0.5+AJ449*0.5</f>
        <v>0.20552525419982315</v>
      </c>
      <c r="BB449" s="2">
        <f t="shared" si="75"/>
        <v>0.27025641025641028</v>
      </c>
      <c r="BC449">
        <f>IF(I449="expected",1,0)</f>
        <v>1</v>
      </c>
      <c r="BD449" s="78">
        <f>IF(BC449=1,AZ449/SUMIFS(AZ$3:AZ$623,$BC$3:$BC$623,1,$G$3:$G$623,$G449),0)</f>
        <v>0.30291513279386345</v>
      </c>
      <c r="BE449" s="78">
        <f>IF(BC449=1,BA449/SUMIFS(BA$3:BA$623,$BC$3:$BC$623,1,$G$3:$G$623,$G449),0)</f>
        <v>0.25382736419273955</v>
      </c>
      <c r="BF449" s="78">
        <f t="shared" si="76"/>
        <v>0.21417811056584235</v>
      </c>
      <c r="BG449" s="2">
        <f t="shared" si="77"/>
        <v>0.27025641025641028</v>
      </c>
      <c r="BH449" s="2">
        <f t="shared" si="78"/>
        <v>0</v>
      </c>
      <c r="BI449" s="2">
        <f t="shared" si="79"/>
        <v>0.30291513279386345</v>
      </c>
      <c r="BJ449" s="2">
        <f t="shared" si="80"/>
        <v>0.25382736419273955</v>
      </c>
      <c r="BK449" s="2">
        <f t="shared" si="81"/>
        <v>0.21417811056584235</v>
      </c>
      <c r="BL449" s="2">
        <f t="shared" si="82"/>
        <v>0.27025641025641028</v>
      </c>
      <c r="BM449" s="2">
        <f t="shared" si="83"/>
        <v>0</v>
      </c>
      <c r="BN449" s="2">
        <f>BI449/SUMIFS(BI$3:BI$623,$BC$3:$BC$623,1,$G$3:$G$623,$G449)</f>
        <v>0.30291513279386345</v>
      </c>
      <c r="BO449" s="2">
        <f>BJ449/SUMIFS(BJ$3:BJ$623,$BC$3:$BC$623,1,$G$3:$G$623,$G449)</f>
        <v>0.25382736419273949</v>
      </c>
      <c r="BP449" s="2">
        <f>BK449/SUMIFS(BK$3:BK$623,$BC$3:$BC$623,1,$G$3:$G$623,$G449)</f>
        <v>0.21417811056584238</v>
      </c>
      <c r="BQ449" s="2">
        <f>BL449</f>
        <v>0.27025641025641028</v>
      </c>
      <c r="BR449" s="2">
        <f>BM449</f>
        <v>0</v>
      </c>
    </row>
    <row r="450" spans="1:70" hidden="1">
      <c r="A450" s="74">
        <v>0</v>
      </c>
      <c r="B450" s="73">
        <v>221550</v>
      </c>
      <c r="C450" s="73" t="s">
        <v>2768</v>
      </c>
      <c r="D450" s="73" t="s">
        <v>1538</v>
      </c>
      <c r="E450" s="73" t="s">
        <v>2769</v>
      </c>
      <c r="F450" s="73">
        <v>18708</v>
      </c>
      <c r="G450" s="73" t="s">
        <v>866</v>
      </c>
      <c r="H450" s="73" t="s">
        <v>923</v>
      </c>
      <c r="I450" s="73" t="s">
        <v>1012</v>
      </c>
      <c r="J450" s="73">
        <v>0</v>
      </c>
      <c r="K450" s="73">
        <v>4.5</v>
      </c>
      <c r="L450" s="73">
        <v>0</v>
      </c>
      <c r="M450" s="73">
        <v>0</v>
      </c>
      <c r="N450" s="73">
        <v>0</v>
      </c>
      <c r="O450" s="73" t="s">
        <v>1290</v>
      </c>
      <c r="P450" s="73" t="s">
        <v>1541</v>
      </c>
      <c r="Q450" s="73" t="s">
        <v>1541</v>
      </c>
      <c r="R450" s="73">
        <v>0</v>
      </c>
      <c r="S450" s="73">
        <v>0</v>
      </c>
      <c r="T450" s="73">
        <v>106</v>
      </c>
      <c r="U450" s="73">
        <v>2</v>
      </c>
      <c r="V450" s="73">
        <v>2674</v>
      </c>
      <c r="W450" s="73">
        <v>0</v>
      </c>
      <c r="X450" s="73">
        <v>0</v>
      </c>
      <c r="Y450" s="73">
        <v>1</v>
      </c>
      <c r="Z450" s="73" t="s">
        <v>1342</v>
      </c>
      <c r="AA450" s="73" t="s">
        <v>690</v>
      </c>
      <c r="AB450" s="73" t="str">
        <f>IF(AA450&lt;&gt;"",INDEX(Lookup!$N$2:$N$5,MATCH(Players!AA450,Lookup!$P$2:$P$5,0)),INDEX(Lookup!$N$2:$N$5,MATCH(Players!O450,Lookup!$O$2:$O$5,0)))</f>
        <v>Goalkeeper</v>
      </c>
      <c r="AC450" s="73">
        <v>3500000</v>
      </c>
      <c r="AD450" s="73" t="s">
        <v>753</v>
      </c>
      <c r="AE450" s="73" t="str">
        <f>INDEX('Translate table'!$H$2:$H$622,MATCH(Players!P450,'Translate table'!$G$2:$G$622,0))</f>
        <v>Jonas Omlin</v>
      </c>
      <c r="AF450" s="73">
        <f>IFERROR(INDEX('Euro Qual stats'!$A$1:$L$2071,MATCH(Players!$AE450,'Euro Qual stats'!$A$1:$A$2071,0),MATCH(Players!AF$2,'Euro Qual stats'!$A$1:$L$1,0)),0)</f>
        <v>0</v>
      </c>
      <c r="AG450" s="73">
        <f>IFERROR(INDEX('Euro Qual stats'!$A$1:$L$2071,MATCH(Players!$AE450,'Euro Qual stats'!$A$1:$A$2071,0),MATCH(Players!AG$2,'Euro Qual stats'!$A$1:$L$1,0)),0)</f>
        <v>0</v>
      </c>
      <c r="AH450" s="73">
        <f>IFERROR(INDEX('Euro Qual stats'!$A$1:$L$2071,MATCH(Players!$AE450,'Euro Qual stats'!$A$1:$A$2071,0),MATCH(Players!AH$2,'Euro Qual stats'!$A$1:$L$1,0)),0)</f>
        <v>0</v>
      </c>
      <c r="AI450" s="73">
        <f>IFERROR(INDEX('Euro Qual stats'!$A$1:$L$2071,MATCH(Players!$AE450,'Euro Qual stats'!$A$1:$A$2071,0),MATCH(Players!AI$2,'Euro Qual stats'!$A$1:$L$1,0)),0)</f>
        <v>0</v>
      </c>
      <c r="AJ450" s="93">
        <f>(12-AF450)/12*INDEX(BV$9:BV$12,MATCH($AB450,$BU$9:$BU$12,0))+AF450/12*AG450</f>
        <v>0</v>
      </c>
      <c r="AK450" s="93">
        <f>(12-AG450)/12*INDEX(BW$9:BW$12,MATCH($AB450,$BU$9:$BU$12,0))+AG450/12*AH450</f>
        <v>0</v>
      </c>
      <c r="AL450" s="93">
        <f>(12-AH450)/12*INDEX(BX$9:BX$12,MATCH($AB450,$BU$9:$BU$12,0))+AH450/12*AI450</f>
        <v>0</v>
      </c>
      <c r="AM450" s="93">
        <f>IF($BC450=1,AJ450/SUMIFS(AJ$3:AJ$623,$BC$3:$BC$623,1,$G$3:$G$623,$G450),0)</f>
        <v>0</v>
      </c>
      <c r="AN450" s="93">
        <f>IF($BC450=1,AK450/SUMIFS(AK$3:AK$623,$BC$3:$BC$623,1,$G$3:$G$623,$G450),0)</f>
        <v>0</v>
      </c>
      <c r="AO450" s="93">
        <f>IF($BC450=1,AL450/SUMIFS(AL$3:AL$623,$BC$3:$BC$623,1,$G$3:$G$623,$G450),0)</f>
        <v>0</v>
      </c>
      <c r="AP450" s="2">
        <f>IFERROR(R450/$V450*90,"")</f>
        <v>0</v>
      </c>
      <c r="AQ450" s="2">
        <f>IFERROR(S450/$V450*90,"")</f>
        <v>0</v>
      </c>
      <c r="AR450" s="2">
        <f>IFERROR(W450/$V450*90,"")</f>
        <v>0</v>
      </c>
      <c r="AS450" s="2">
        <f>IFERROR(X450/$V450*90,"")</f>
        <v>0</v>
      </c>
      <c r="AT450" s="2">
        <f>IFERROR(Y450/$V450*90,"")</f>
        <v>3.3657442034405384E-2</v>
      </c>
      <c r="AU450" s="2">
        <f>IF(AP450="",INDEX(BV$4:BV$7,MATCH(O450,$BU$4:$BU$7,0)),AP450)</f>
        <v>0</v>
      </c>
      <c r="AV450" s="2">
        <f>IF(AQ450="",INDEX(BW$4:BW$7,MATCH($O450,$BU$4:$BU$7,0)),AQ450)</f>
        <v>0</v>
      </c>
      <c r="AW450" s="2">
        <f t="shared" si="72"/>
        <v>0</v>
      </c>
      <c r="AX450" s="2">
        <f t="shared" si="73"/>
        <v>0</v>
      </c>
      <c r="AY450" s="2">
        <f t="shared" si="74"/>
        <v>3.3657442034405384E-2</v>
      </c>
      <c r="AZ450" s="2">
        <f>AU450*0.5+AK450*0.5</f>
        <v>0</v>
      </c>
      <c r="BA450" s="2">
        <f>AV450*0.5+AJ450*0.5</f>
        <v>0</v>
      </c>
      <c r="BB450" s="2">
        <f t="shared" si="75"/>
        <v>0</v>
      </c>
      <c r="BC450">
        <f>IF(I450="expected",1,0)</f>
        <v>0</v>
      </c>
      <c r="BD450" s="78">
        <f>IF(BC450=1,AZ450/SUMIFS(AZ$3:AZ$623,$BC$3:$BC$623,1,$G$3:$G$623,$G450),0)</f>
        <v>0</v>
      </c>
      <c r="BE450" s="78">
        <f>IF(BC450=1,BA450/SUMIFS(BA$3:BA$623,$BC$3:$BC$623,1,$G$3:$G$623,$G450),0)</f>
        <v>0</v>
      </c>
      <c r="BF450" s="78">
        <f t="shared" si="76"/>
        <v>0</v>
      </c>
      <c r="BG450" s="2">
        <f t="shared" si="77"/>
        <v>0</v>
      </c>
      <c r="BH450" s="2">
        <f t="shared" si="78"/>
        <v>3.3657442034405384E-2</v>
      </c>
      <c r="BI450" s="2">
        <f t="shared" si="79"/>
        <v>0</v>
      </c>
      <c r="BJ450" s="2">
        <f t="shared" si="80"/>
        <v>0</v>
      </c>
      <c r="BK450" s="2">
        <f t="shared" si="81"/>
        <v>0</v>
      </c>
      <c r="BL450" s="2">
        <f t="shared" si="82"/>
        <v>0</v>
      </c>
      <c r="BM450" s="2">
        <f t="shared" si="83"/>
        <v>3.3657442034405384E-2</v>
      </c>
      <c r="BN450" s="2">
        <f>BI450/SUMIFS(BI$3:BI$623,$BC$3:$BC$623,1,$G$3:$G$623,$G450)</f>
        <v>0</v>
      </c>
      <c r="BO450" s="2">
        <f>BJ450/SUMIFS(BJ$3:BJ$623,$BC$3:$BC$623,1,$G$3:$G$623,$G450)</f>
        <v>0</v>
      </c>
      <c r="BP450" s="2">
        <f>BK450/SUMIFS(BK$3:BK$623,$BC$3:$BC$623,1,$G$3:$G$623,$G450)</f>
        <v>0</v>
      </c>
      <c r="BQ450" s="2">
        <f>BL450</f>
        <v>0</v>
      </c>
      <c r="BR450" s="2">
        <f>BM450</f>
        <v>3.3657442034405384E-2</v>
      </c>
    </row>
    <row r="451" spans="1:70" hidden="1">
      <c r="A451" s="74">
        <v>0</v>
      </c>
      <c r="B451" s="73">
        <v>204720</v>
      </c>
      <c r="C451" s="73" t="s">
        <v>2770</v>
      </c>
      <c r="D451" s="73" t="s">
        <v>2771</v>
      </c>
      <c r="E451" s="73" t="s">
        <v>2772</v>
      </c>
      <c r="F451" s="73">
        <v>18708</v>
      </c>
      <c r="G451" s="73" t="s">
        <v>866</v>
      </c>
      <c r="H451" s="73" t="s">
        <v>923</v>
      </c>
      <c r="I451" s="73" t="s">
        <v>1012</v>
      </c>
      <c r="J451" s="73">
        <v>0</v>
      </c>
      <c r="K451" s="73">
        <v>4.5</v>
      </c>
      <c r="L451" s="73">
        <v>0</v>
      </c>
      <c r="M451" s="73">
        <v>0</v>
      </c>
      <c r="N451" s="73">
        <v>0</v>
      </c>
      <c r="O451" s="73" t="s">
        <v>1290</v>
      </c>
      <c r="P451" s="73" t="s">
        <v>2773</v>
      </c>
      <c r="Q451" s="73" t="s">
        <v>1164</v>
      </c>
      <c r="R451" s="73"/>
      <c r="S451" s="73"/>
      <c r="T451" s="73"/>
      <c r="U451" s="73"/>
      <c r="V451" s="73"/>
      <c r="W451" s="73"/>
      <c r="X451" s="73"/>
      <c r="Y451" s="73"/>
      <c r="Z451" s="73" t="s">
        <v>1342</v>
      </c>
      <c r="AA451" s="73" t="s">
        <v>690</v>
      </c>
      <c r="AB451" s="73" t="str">
        <f>IF(AA451&lt;&gt;"",INDEX(Lookup!$N$2:$N$5,MATCH(Players!AA451,Lookup!$P$2:$P$5,0)),INDEX(Lookup!$N$2:$N$5,MATCH(Players!O451,Lookup!$O$2:$O$5,0)))</f>
        <v>Goalkeeper</v>
      </c>
      <c r="AC451" s="73">
        <v>3500000</v>
      </c>
      <c r="AD451" s="73" t="s">
        <v>788</v>
      </c>
      <c r="AE451" s="73" t="str">
        <f>INDEX('Translate table'!$H$2:$H$622,MATCH(Players!P451,'Translate table'!$G$2:$G$622,0))</f>
        <v>Yvon Mvogo</v>
      </c>
      <c r="AF451" s="73">
        <f>IFERROR(INDEX('Euro Qual stats'!$A$1:$L$2071,MATCH(Players!$AE451,'Euro Qual stats'!$A$1:$A$2071,0),MATCH(Players!AF$2,'Euro Qual stats'!$A$1:$L$1,0)),0)</f>
        <v>0</v>
      </c>
      <c r="AG451" s="73">
        <f>IFERROR(INDEX('Euro Qual stats'!$A$1:$L$2071,MATCH(Players!$AE451,'Euro Qual stats'!$A$1:$A$2071,0),MATCH(Players!AG$2,'Euro Qual stats'!$A$1:$L$1,0)),0)</f>
        <v>0</v>
      </c>
      <c r="AH451" s="73">
        <f>IFERROR(INDEX('Euro Qual stats'!$A$1:$L$2071,MATCH(Players!$AE451,'Euro Qual stats'!$A$1:$A$2071,0),MATCH(Players!AH$2,'Euro Qual stats'!$A$1:$L$1,0)),0)</f>
        <v>0</v>
      </c>
      <c r="AI451" s="73">
        <f>IFERROR(INDEX('Euro Qual stats'!$A$1:$L$2071,MATCH(Players!$AE451,'Euro Qual stats'!$A$1:$A$2071,0),MATCH(Players!AI$2,'Euro Qual stats'!$A$1:$L$1,0)),0)</f>
        <v>0</v>
      </c>
      <c r="AJ451" s="93">
        <f>(12-AF451)/12*INDEX(BV$9:BV$12,MATCH($AB451,$BU$9:$BU$12,0))+AF451/12*AG451</f>
        <v>0</v>
      </c>
      <c r="AK451" s="93">
        <f>(12-AG451)/12*INDEX(BW$9:BW$12,MATCH($AB451,$BU$9:$BU$12,0))+AG451/12*AH451</f>
        <v>0</v>
      </c>
      <c r="AL451" s="93">
        <f>(12-AH451)/12*INDEX(BX$9:BX$12,MATCH($AB451,$BU$9:$BU$12,0))+AH451/12*AI451</f>
        <v>0</v>
      </c>
      <c r="AM451" s="93">
        <f>IF($BC451=1,AJ451/SUMIFS(AJ$3:AJ$623,$BC$3:$BC$623,1,$G$3:$G$623,$G451),0)</f>
        <v>0</v>
      </c>
      <c r="AN451" s="93">
        <f>IF($BC451=1,AK451/SUMIFS(AK$3:AK$623,$BC$3:$BC$623,1,$G$3:$G$623,$G451),0)</f>
        <v>0</v>
      </c>
      <c r="AO451" s="93">
        <f>IF($BC451=1,AL451/SUMIFS(AL$3:AL$623,$BC$3:$BC$623,1,$G$3:$G$623,$G451),0)</f>
        <v>0</v>
      </c>
      <c r="AP451" s="2" t="str">
        <f>IFERROR(R451/$V451*90,"")</f>
        <v/>
      </c>
      <c r="AQ451" s="2" t="str">
        <f>IFERROR(S451/$V451*90,"")</f>
        <v/>
      </c>
      <c r="AR451" s="2" t="str">
        <f>IFERROR(W451/$V451*90,"")</f>
        <v/>
      </c>
      <c r="AS451" s="2" t="str">
        <f>IFERROR(X451/$V451*90,"")</f>
        <v/>
      </c>
      <c r="AT451" s="2" t="str">
        <f>IFERROR(Y451/$V451*90,"")</f>
        <v/>
      </c>
      <c r="AU451" s="2">
        <f>IF(AP451="",INDEX(BV$4:BV$7,MATCH(O451,$BU$4:$BU$7,0)),AP451)</f>
        <v>0</v>
      </c>
      <c r="AV451" s="2">
        <f>IF(AQ451="",INDEX(BW$4:BW$7,MATCH($O451,$BU$4:$BU$7,0)),AQ451)</f>
        <v>0</v>
      </c>
      <c r="AW451" s="2">
        <f t="shared" si="72"/>
        <v>0</v>
      </c>
      <c r="AX451" s="2">
        <f t="shared" si="73"/>
        <v>0</v>
      </c>
      <c r="AY451" s="2">
        <f t="shared" si="74"/>
        <v>0</v>
      </c>
      <c r="AZ451" s="2">
        <f>AU451*0.5+AK451*0.5</f>
        <v>0</v>
      </c>
      <c r="BA451" s="2">
        <f>AV451*0.5+AJ451*0.5</f>
        <v>0</v>
      </c>
      <c r="BB451" s="2">
        <f t="shared" si="75"/>
        <v>0</v>
      </c>
      <c r="BC451">
        <f>IF(I451="expected",1,0)</f>
        <v>0</v>
      </c>
      <c r="BD451" s="78">
        <f>IF(BC451=1,AZ451/SUMIFS(AZ$3:AZ$623,$BC$3:$BC$623,1,$G$3:$G$623,$G451),0)</f>
        <v>0</v>
      </c>
      <c r="BE451" s="78">
        <f>IF(BC451=1,BA451/SUMIFS(BA$3:BA$623,$BC$3:$BC$623,1,$G$3:$G$623,$G451),0)</f>
        <v>0</v>
      </c>
      <c r="BF451" s="78">
        <f t="shared" si="76"/>
        <v>0</v>
      </c>
      <c r="BG451" s="2">
        <f t="shared" si="77"/>
        <v>0</v>
      </c>
      <c r="BH451" s="2">
        <f t="shared" si="78"/>
        <v>0</v>
      </c>
      <c r="BI451" s="2">
        <f t="shared" si="79"/>
        <v>0</v>
      </c>
      <c r="BJ451" s="2">
        <f t="shared" si="80"/>
        <v>0</v>
      </c>
      <c r="BK451" s="2">
        <f t="shared" si="81"/>
        <v>0</v>
      </c>
      <c r="BL451" s="2">
        <f t="shared" si="82"/>
        <v>0</v>
      </c>
      <c r="BM451" s="2">
        <f t="shared" si="83"/>
        <v>0</v>
      </c>
      <c r="BN451" s="2">
        <f>BI451/SUMIFS(BI$3:BI$623,$BC$3:$BC$623,1,$G$3:$G$623,$G451)</f>
        <v>0</v>
      </c>
      <c r="BO451" s="2">
        <f>BJ451/SUMIFS(BJ$3:BJ$623,$BC$3:$BC$623,1,$G$3:$G$623,$G451)</f>
        <v>0</v>
      </c>
      <c r="BP451" s="2">
        <f>BK451/SUMIFS(BK$3:BK$623,$BC$3:$BC$623,1,$G$3:$G$623,$G451)</f>
        <v>0</v>
      </c>
      <c r="BQ451" s="2">
        <f>BL451</f>
        <v>0</v>
      </c>
      <c r="BR451" s="2">
        <f>BM451</f>
        <v>0</v>
      </c>
    </row>
    <row r="452" spans="1:70" hidden="1">
      <c r="A452" s="74">
        <v>0</v>
      </c>
      <c r="B452" s="73">
        <v>221555</v>
      </c>
      <c r="C452" s="73" t="s">
        <v>2774</v>
      </c>
      <c r="D452" s="73" t="s">
        <v>992</v>
      </c>
      <c r="E452" s="73" t="s">
        <v>2775</v>
      </c>
      <c r="F452" s="73">
        <v>18708</v>
      </c>
      <c r="G452" s="73" t="s">
        <v>866</v>
      </c>
      <c r="H452" s="73" t="s">
        <v>923</v>
      </c>
      <c r="I452" s="73" t="s">
        <v>981</v>
      </c>
      <c r="J452" s="73">
        <v>0</v>
      </c>
      <c r="K452" s="73">
        <v>4.5</v>
      </c>
      <c r="L452" s="73">
        <v>0</v>
      </c>
      <c r="M452" s="73">
        <v>0</v>
      </c>
      <c r="N452" s="73">
        <v>0</v>
      </c>
      <c r="O452" s="73" t="s">
        <v>1318</v>
      </c>
      <c r="P452" s="73" t="s">
        <v>2776</v>
      </c>
      <c r="Q452" s="73" t="s">
        <v>2776</v>
      </c>
      <c r="R452" s="73">
        <v>0</v>
      </c>
      <c r="S452" s="73">
        <v>1</v>
      </c>
      <c r="T452" s="73">
        <v>0</v>
      </c>
      <c r="U452" s="73">
        <v>7</v>
      </c>
      <c r="V452" s="73">
        <v>1643</v>
      </c>
      <c r="W452" s="73">
        <v>5</v>
      </c>
      <c r="X452" s="73">
        <v>7</v>
      </c>
      <c r="Y452" s="73">
        <v>0</v>
      </c>
      <c r="Z452" s="73" t="s">
        <v>1342</v>
      </c>
      <c r="AA452" s="73" t="s">
        <v>692</v>
      </c>
      <c r="AB452" s="73" t="str">
        <f>IF(AA452&lt;&gt;"",INDEX(Lookup!$N$2:$N$5,MATCH(Players!AA452,Lookup!$P$2:$P$5,0)),INDEX(Lookup!$N$2:$N$5,MATCH(Players!O452,Lookup!$O$2:$O$5,0)))</f>
        <v>Defense</v>
      </c>
      <c r="AC452" s="73">
        <v>3000000</v>
      </c>
      <c r="AD452" s="73" t="s">
        <v>798</v>
      </c>
      <c r="AE452" s="73" t="str">
        <f>INDEX('Translate table'!$H$2:$H$622,MATCH(Players!P452,'Translate table'!$G$2:$G$622,0))</f>
        <v>Kevin Mbabu</v>
      </c>
      <c r="AF452" s="73">
        <f>IFERROR(INDEX('Euro Qual stats'!$A$1:$L$2071,MATCH(Players!$AE452,'Euro Qual stats'!$A$1:$A$2071,0),MATCH(Players!AF$2,'Euro Qual stats'!$A$1:$L$1,0)),0)</f>
        <v>3</v>
      </c>
      <c r="AG452" s="73">
        <f>IFERROR(INDEX('Euro Qual stats'!$A$1:$L$2071,MATCH(Players!$AE452,'Euro Qual stats'!$A$1:$A$2071,0),MATCH(Players!AG$2,'Euro Qual stats'!$A$1:$L$1,0)),0)</f>
        <v>0</v>
      </c>
      <c r="AH452" s="73">
        <f>IFERROR(INDEX('Euro Qual stats'!$A$1:$L$2071,MATCH(Players!$AE452,'Euro Qual stats'!$A$1:$A$2071,0),MATCH(Players!AH$2,'Euro Qual stats'!$A$1:$L$1,0)),0)</f>
        <v>0</v>
      </c>
      <c r="AI452" s="73">
        <f>IFERROR(INDEX('Euro Qual stats'!$A$1:$L$2071,MATCH(Players!$AE452,'Euro Qual stats'!$A$1:$A$2071,0),MATCH(Players!AI$2,'Euro Qual stats'!$A$1:$L$1,0)),0)</f>
        <v>0.45</v>
      </c>
      <c r="AJ452" s="93">
        <f>(12-AF452)/12*INDEX(BV$9:BV$12,MATCH($AB452,$BU$9:$BU$12,0))+AF452/12*AG452</f>
        <v>6.6881868131868152E-2</v>
      </c>
      <c r="AK452" s="93">
        <f>(12-AG452)/12*INDEX(BW$9:BW$12,MATCH($AB452,$BU$9:$BU$12,0))+AG452/12*AH452</f>
        <v>0.10357142857142858</v>
      </c>
      <c r="AL452" s="93">
        <f>(12-AH452)/12*INDEX(BX$9:BX$12,MATCH($AB452,$BU$9:$BU$12,0))+AH452/12*AI452</f>
        <v>0.19357142857142848</v>
      </c>
      <c r="AM452" s="93">
        <f>IF($BC452=1,AJ452/SUMIFS(AJ$3:AJ$623,$BC$3:$BC$623,1,$G$3:$G$623,$G452),0)</f>
        <v>4.8078529281884795E-2</v>
      </c>
      <c r="AN452" s="93">
        <f>IF($BC452=1,AK452/SUMIFS(AK$3:AK$623,$BC$3:$BC$623,1,$G$3:$G$623,$G452),0)</f>
        <v>4.3670640852102025E-2</v>
      </c>
      <c r="AO452" s="93">
        <f>IF($BC452=1,AL452/SUMIFS(AL$3:AL$623,$BC$3:$BC$623,1,$G$3:$G$623,$G452),0)</f>
        <v>9.4803549569735204E-2</v>
      </c>
      <c r="AP452" s="2">
        <f>IFERROR(R452/$V452*90,"")</f>
        <v>0</v>
      </c>
      <c r="AQ452" s="2">
        <f>IFERROR(S452/$V452*90,"")</f>
        <v>5.4777845404747415E-2</v>
      </c>
      <c r="AR452" s="2">
        <f>IFERROR(W452/$V452*90,"")</f>
        <v>0.27388922702373703</v>
      </c>
      <c r="AS452" s="2">
        <f>IFERROR(X452/$V452*90,"")</f>
        <v>0.38344491783323187</v>
      </c>
      <c r="AT452" s="2">
        <f>IFERROR(Y452/$V452*90,"")</f>
        <v>0</v>
      </c>
      <c r="AU452" s="2">
        <f>IF(AP452="",INDEX(BV$4:BV$7,MATCH(O452,$BU$4:$BU$7,0)),AP452)</f>
        <v>0</v>
      </c>
      <c r="AV452" s="2">
        <f>IF(AQ452="",INDEX(BW$4:BW$7,MATCH($O452,$BU$4:$BU$7,0)),AQ452)</f>
        <v>5.4777845404747415E-2</v>
      </c>
      <c r="AW452" s="2">
        <f t="shared" ref="AW452:AW515" si="84">IF(AR452="",INDEX(BX$4:BX$7,MATCH($O452,$BU$4:$BU$7,0)),AR452)</f>
        <v>0.27388922702373703</v>
      </c>
      <c r="AX452" s="2">
        <f t="shared" ref="AX452:AX515" si="85">IF(AS452="",INDEX(BY$4:BY$7,MATCH($O452,$BU$4:$BU$7,0)),AS452)</f>
        <v>0.38344491783323187</v>
      </c>
      <c r="AY452" s="2">
        <f t="shared" ref="AY452:AY515" si="86">IF(AT452="",INDEX(BZ$4:BZ$7,MATCH($O452,$BU$4:$BU$7,0)),AT452)</f>
        <v>0</v>
      </c>
      <c r="AZ452" s="2">
        <f>AU452*0.5+AK452*0.5</f>
        <v>5.1785714285714289E-2</v>
      </c>
      <c r="BA452" s="2">
        <f>AV452*0.5+AJ452*0.5</f>
        <v>6.082985676830778E-2</v>
      </c>
      <c r="BB452" s="2">
        <f t="shared" ref="BB452:BB515" si="87">AX452*0.5+AI452*0.5</f>
        <v>0.41672245891661597</v>
      </c>
      <c r="BC452">
        <f>IF(I452="expected",1,0)</f>
        <v>1</v>
      </c>
      <c r="BD452" s="78">
        <f>IF(BC452=1,AZ452/SUMIFS(AZ$3:AZ$623,$BC$3:$BC$623,1,$G$3:$G$623,$G452),0)</f>
        <v>3.4871498256504173E-2</v>
      </c>
      <c r="BE452" s="78">
        <f>IF(BC452=1,BA452/SUMIFS(BA$3:BA$623,$BC$3:$BC$623,1,$G$3:$G$623,$G452),0)</f>
        <v>4.3937181186894901E-2</v>
      </c>
      <c r="BF452" s="78">
        <f t="shared" ref="BF452:BF515" si="88">IF(BC452=1,AW452/SUMIFS(AW$3:AW$623,$BC$3:$BC$623,1,$G$3:$G$623,$G452),0)</f>
        <v>7.7840973448958836E-2</v>
      </c>
      <c r="BG452" s="2">
        <f t="shared" ref="BG452:BG515" si="89">BB452</f>
        <v>0.41672245891661597</v>
      </c>
      <c r="BH452" s="2">
        <f t="shared" ref="BH452:BH515" si="90">AY452</f>
        <v>0</v>
      </c>
      <c r="BI452" s="2">
        <f t="shared" ref="BI452:BI515" si="91">MIN(BI$1,BD452)</f>
        <v>3.4871498256504173E-2</v>
      </c>
      <c r="BJ452" s="2">
        <f t="shared" ref="BJ452:BJ515" si="92">MIN(BJ$1,BE452)</f>
        <v>4.3937181186894901E-2</v>
      </c>
      <c r="BK452" s="2">
        <f t="shared" ref="BK452:BK515" si="93">MIN(BK$1,BF452)</f>
        <v>7.7840973448958836E-2</v>
      </c>
      <c r="BL452" s="2">
        <f t="shared" ref="BL452:BL515" si="94">BG452</f>
        <v>0.41672245891661597</v>
      </c>
      <c r="BM452" s="2">
        <f t="shared" ref="BM452:BM515" si="95">MIN($BM$1,BH452)</f>
        <v>0</v>
      </c>
      <c r="BN452" s="2">
        <f>BI452/SUMIFS(BI$3:BI$623,$BC$3:$BC$623,1,$G$3:$G$623,$G452)</f>
        <v>3.487149825650418E-2</v>
      </c>
      <c r="BO452" s="2">
        <f>BJ452/SUMIFS(BJ$3:BJ$623,$BC$3:$BC$623,1,$G$3:$G$623,$G452)</f>
        <v>4.3937181186894901E-2</v>
      </c>
      <c r="BP452" s="2">
        <f>BK452/SUMIFS(BK$3:BK$623,$BC$3:$BC$623,1,$G$3:$G$623,$G452)</f>
        <v>8.4090599798932228E-2</v>
      </c>
      <c r="BQ452" s="2">
        <f>BL452</f>
        <v>0.41672245891661597</v>
      </c>
      <c r="BR452" s="2">
        <f>BM452</f>
        <v>0</v>
      </c>
    </row>
    <row r="453" spans="1:70" hidden="1">
      <c r="A453" s="74">
        <v>0</v>
      </c>
      <c r="B453" s="73">
        <v>221553</v>
      </c>
      <c r="C453" s="73" t="s">
        <v>2777</v>
      </c>
      <c r="D453" s="73" t="s">
        <v>2778</v>
      </c>
      <c r="E453" s="73" t="s">
        <v>2779</v>
      </c>
      <c r="F453" s="73">
        <v>18708</v>
      </c>
      <c r="G453" s="73" t="s">
        <v>866</v>
      </c>
      <c r="H453" s="73" t="s">
        <v>923</v>
      </c>
      <c r="I453" s="73" t="s">
        <v>1012</v>
      </c>
      <c r="J453" s="73">
        <v>0</v>
      </c>
      <c r="K453" s="73">
        <v>4.5</v>
      </c>
      <c r="L453" s="73">
        <v>0</v>
      </c>
      <c r="M453" s="73">
        <v>0</v>
      </c>
      <c r="N453" s="73">
        <v>0</v>
      </c>
      <c r="O453" s="73" t="s">
        <v>1318</v>
      </c>
      <c r="P453" s="73" t="s">
        <v>2780</v>
      </c>
      <c r="Q453" s="73" t="s">
        <v>1164</v>
      </c>
      <c r="R453" s="73"/>
      <c r="S453" s="73"/>
      <c r="T453" s="73"/>
      <c r="U453" s="73"/>
      <c r="V453" s="73"/>
      <c r="W453" s="73"/>
      <c r="X453" s="73"/>
      <c r="Y453" s="73"/>
      <c r="Z453" s="73" t="s">
        <v>1342</v>
      </c>
      <c r="AA453" s="73" t="s">
        <v>692</v>
      </c>
      <c r="AB453" s="73" t="str">
        <f>IF(AA453&lt;&gt;"",INDEX(Lookup!$N$2:$N$5,MATCH(Players!AA453,Lookup!$P$2:$P$5,0)),INDEX(Lookup!$N$2:$N$5,MATCH(Players!O453,Lookup!$O$2:$O$5,0)))</f>
        <v>Defense</v>
      </c>
      <c r="AC453" s="73">
        <v>2500000</v>
      </c>
      <c r="AD453" s="73" t="s">
        <v>789</v>
      </c>
      <c r="AE453" s="73" t="str">
        <f>INDEX('Translate table'!$H$2:$H$622,MATCH(Players!P453,'Translate table'!$G$2:$G$622,0))</f>
        <v>Silvan Widmer</v>
      </c>
      <c r="AF453" s="73">
        <f>IFERROR(INDEX('Euro Qual stats'!$A$1:$L$2071,MATCH(Players!$AE453,'Euro Qual stats'!$A$1:$A$2071,0),MATCH(Players!AF$2,'Euro Qual stats'!$A$1:$L$1,0)),0)</f>
        <v>0</v>
      </c>
      <c r="AG453" s="73">
        <f>IFERROR(INDEX('Euro Qual stats'!$A$1:$L$2071,MATCH(Players!$AE453,'Euro Qual stats'!$A$1:$A$2071,0),MATCH(Players!AG$2,'Euro Qual stats'!$A$1:$L$1,0)),0)</f>
        <v>0</v>
      </c>
      <c r="AH453" s="73">
        <f>IFERROR(INDEX('Euro Qual stats'!$A$1:$L$2071,MATCH(Players!$AE453,'Euro Qual stats'!$A$1:$A$2071,0),MATCH(Players!AH$2,'Euro Qual stats'!$A$1:$L$1,0)),0)</f>
        <v>0</v>
      </c>
      <c r="AI453" s="73">
        <f>IFERROR(INDEX('Euro Qual stats'!$A$1:$L$2071,MATCH(Players!$AE453,'Euro Qual stats'!$A$1:$A$2071,0),MATCH(Players!AI$2,'Euro Qual stats'!$A$1:$L$1,0)),0)</f>
        <v>0</v>
      </c>
      <c r="AJ453" s="93">
        <f>(12-AF453)/12*INDEX(BV$9:BV$12,MATCH($AB453,$BU$9:$BU$12,0))+AF453/12*AG453</f>
        <v>8.9175824175824203E-2</v>
      </c>
      <c r="AK453" s="93">
        <f>(12-AG453)/12*INDEX(BW$9:BW$12,MATCH($AB453,$BU$9:$BU$12,0))+AG453/12*AH453</f>
        <v>0.10357142857142858</v>
      </c>
      <c r="AL453" s="93">
        <f>(12-AH453)/12*INDEX(BX$9:BX$12,MATCH($AB453,$BU$9:$BU$12,0))+AH453/12*AI453</f>
        <v>0.19357142857142848</v>
      </c>
      <c r="AM453" s="93">
        <f>IF($BC453=1,AJ453/SUMIFS(AJ$3:AJ$623,$BC$3:$BC$623,1,$G$3:$G$623,$G453),0)</f>
        <v>0</v>
      </c>
      <c r="AN453" s="93">
        <f>IF($BC453=1,AK453/SUMIFS(AK$3:AK$623,$BC$3:$BC$623,1,$G$3:$G$623,$G453),0)</f>
        <v>0</v>
      </c>
      <c r="AO453" s="93">
        <f>IF($BC453=1,AL453/SUMIFS(AL$3:AL$623,$BC$3:$BC$623,1,$G$3:$G$623,$G453),0)</f>
        <v>0</v>
      </c>
      <c r="AP453" s="2" t="str">
        <f>IFERROR(R453/$V453*90,"")</f>
        <v/>
      </c>
      <c r="AQ453" s="2" t="str">
        <f>IFERROR(S453/$V453*90,"")</f>
        <v/>
      </c>
      <c r="AR453" s="2" t="str">
        <f>IFERROR(W453/$V453*90,"")</f>
        <v/>
      </c>
      <c r="AS453" s="2" t="str">
        <f>IFERROR(X453/$V453*90,"")</f>
        <v/>
      </c>
      <c r="AT453" s="2" t="str">
        <f>IFERROR(Y453/$V453*90,"")</f>
        <v/>
      </c>
      <c r="AU453" s="2">
        <f>IF(AP453="",INDEX(BV$4:BV$7,MATCH(O453,$BU$4:$BU$7,0)),AP453)</f>
        <v>0</v>
      </c>
      <c r="AV453" s="2">
        <f>IF(AQ453="",INDEX(BW$4:BW$7,MATCH($O453,$BU$4:$BU$7,0)),AQ453)</f>
        <v>0</v>
      </c>
      <c r="AW453" s="2">
        <f t="shared" si="84"/>
        <v>8.0624805297505417E-2</v>
      </c>
      <c r="AX453" s="2">
        <f t="shared" si="85"/>
        <v>0.1265377855887522</v>
      </c>
      <c r="AY453" s="2">
        <f t="shared" si="86"/>
        <v>0</v>
      </c>
      <c r="AZ453" s="2">
        <f>AU453*0.5+AK453*0.5</f>
        <v>5.1785714285714289E-2</v>
      </c>
      <c r="BA453" s="2">
        <f>AV453*0.5+AJ453*0.5</f>
        <v>4.4587912087912102E-2</v>
      </c>
      <c r="BB453" s="2">
        <f t="shared" si="87"/>
        <v>6.32688927943761E-2</v>
      </c>
      <c r="BC453">
        <f>IF(I453="expected",1,0)</f>
        <v>0</v>
      </c>
      <c r="BD453" s="78">
        <f>IF(BC453=1,AZ453/SUMIFS(AZ$3:AZ$623,$BC$3:$BC$623,1,$G$3:$G$623,$G453),0)</f>
        <v>0</v>
      </c>
      <c r="BE453" s="78">
        <f>IF(BC453=1,BA453/SUMIFS(BA$3:BA$623,$BC$3:$BC$623,1,$G$3:$G$623,$G453),0)</f>
        <v>0</v>
      </c>
      <c r="BF453" s="78">
        <f t="shared" si="88"/>
        <v>0</v>
      </c>
      <c r="BG453" s="2">
        <f t="shared" si="89"/>
        <v>6.32688927943761E-2</v>
      </c>
      <c r="BH453" s="2">
        <f t="shared" si="90"/>
        <v>0</v>
      </c>
      <c r="BI453" s="2">
        <f t="shared" si="91"/>
        <v>0</v>
      </c>
      <c r="BJ453" s="2">
        <f t="shared" si="92"/>
        <v>0</v>
      </c>
      <c r="BK453" s="2">
        <f t="shared" si="93"/>
        <v>0</v>
      </c>
      <c r="BL453" s="2">
        <f t="shared" si="94"/>
        <v>6.32688927943761E-2</v>
      </c>
      <c r="BM453" s="2">
        <f t="shared" si="95"/>
        <v>0</v>
      </c>
      <c r="BN453" s="2">
        <f>BI453/SUMIFS(BI$3:BI$623,$BC$3:$BC$623,1,$G$3:$G$623,$G453)</f>
        <v>0</v>
      </c>
      <c r="BO453" s="2">
        <f>BJ453/SUMIFS(BJ$3:BJ$623,$BC$3:$BC$623,1,$G$3:$G$623,$G453)</f>
        <v>0</v>
      </c>
      <c r="BP453" s="2">
        <f>BK453/SUMIFS(BK$3:BK$623,$BC$3:$BC$623,1,$G$3:$G$623,$G453)</f>
        <v>0</v>
      </c>
      <c r="BQ453" s="2">
        <f>BL453</f>
        <v>6.32688927943761E-2</v>
      </c>
      <c r="BR453" s="2">
        <f>BM453</f>
        <v>0</v>
      </c>
    </row>
    <row r="454" spans="1:70" hidden="1">
      <c r="A454" s="74">
        <v>0</v>
      </c>
      <c r="B454" s="73">
        <v>221552</v>
      </c>
      <c r="C454" s="73" t="s">
        <v>2781</v>
      </c>
      <c r="D454" s="73" t="s">
        <v>1313</v>
      </c>
      <c r="E454" s="73" t="s">
        <v>2782</v>
      </c>
      <c r="F454" s="73">
        <v>18708</v>
      </c>
      <c r="G454" s="73" t="s">
        <v>866</v>
      </c>
      <c r="H454" s="73" t="s">
        <v>923</v>
      </c>
      <c r="I454" s="73" t="s">
        <v>1012</v>
      </c>
      <c r="J454" s="73">
        <v>0</v>
      </c>
      <c r="K454" s="73">
        <v>4.5</v>
      </c>
      <c r="L454" s="73">
        <v>0</v>
      </c>
      <c r="M454" s="73">
        <v>0</v>
      </c>
      <c r="N454" s="73">
        <v>0</v>
      </c>
      <c r="O454" s="73" t="s">
        <v>1318</v>
      </c>
      <c r="P454" s="73" t="s">
        <v>2783</v>
      </c>
      <c r="Q454" s="73" t="s">
        <v>2783</v>
      </c>
      <c r="R454" s="73">
        <v>1</v>
      </c>
      <c r="S454" s="73">
        <v>0</v>
      </c>
      <c r="T454" s="73">
        <v>0</v>
      </c>
      <c r="U454" s="73">
        <v>4</v>
      </c>
      <c r="V454" s="73">
        <v>2126</v>
      </c>
      <c r="W454" s="73">
        <v>2</v>
      </c>
      <c r="X454" s="73">
        <v>5</v>
      </c>
      <c r="Y454" s="73">
        <v>1</v>
      </c>
      <c r="Z454" s="73" t="s">
        <v>1342</v>
      </c>
      <c r="AA454" s="73" t="s">
        <v>692</v>
      </c>
      <c r="AB454" s="73" t="str">
        <f>IF(AA454&lt;&gt;"",INDEX(Lookup!$N$2:$N$5,MATCH(Players!AA454,Lookup!$P$2:$P$5,0)),INDEX(Lookup!$N$2:$N$5,MATCH(Players!O454,Lookup!$O$2:$O$5,0)))</f>
        <v>Defense</v>
      </c>
      <c r="AC454" s="73">
        <v>2000000</v>
      </c>
      <c r="AD454" s="73" t="s">
        <v>788</v>
      </c>
      <c r="AE454" s="73" t="str">
        <f>INDEX('Translate table'!$H$2:$H$622,MATCH(Players!P454,'Translate table'!$G$2:$G$622,0))</f>
        <v>Ion Jardan</v>
      </c>
      <c r="AF454" s="73">
        <f>IFERROR(INDEX('Euro Qual stats'!$A$1:$L$2071,MATCH(Players!$AE454,'Euro Qual stats'!$A$1:$A$2071,0),MATCH(Players!AF$2,'Euro Qual stats'!$A$1:$L$1,0)),0)</f>
        <v>5</v>
      </c>
      <c r="AG454" s="73">
        <f>IFERROR(INDEX('Euro Qual stats'!$A$1:$L$2071,MATCH(Players!$AE454,'Euro Qual stats'!$A$1:$A$2071,0),MATCH(Players!AG$2,'Euro Qual stats'!$A$1:$L$1,0)),0)</f>
        <v>0</v>
      </c>
      <c r="AH454" s="73">
        <f>IFERROR(INDEX('Euro Qual stats'!$A$1:$L$2071,MATCH(Players!$AE454,'Euro Qual stats'!$A$1:$A$2071,0),MATCH(Players!AH$2,'Euro Qual stats'!$A$1:$L$1,0)),0)</f>
        <v>0</v>
      </c>
      <c r="AI454" s="73">
        <f>IFERROR(INDEX('Euro Qual stats'!$A$1:$L$2071,MATCH(Players!$AE454,'Euro Qual stats'!$A$1:$A$2071,0),MATCH(Players!AI$2,'Euro Qual stats'!$A$1:$L$1,0)),0)</f>
        <v>0.22</v>
      </c>
      <c r="AJ454" s="93">
        <f>(12-AF454)/12*INDEX(BV$9:BV$12,MATCH($AB454,$BU$9:$BU$12,0))+AF454/12*AG454</f>
        <v>5.201923076923079E-2</v>
      </c>
      <c r="AK454" s="93">
        <f>(12-AG454)/12*INDEX(BW$9:BW$12,MATCH($AB454,$BU$9:$BU$12,0))+AG454/12*AH454</f>
        <v>0.10357142857142858</v>
      </c>
      <c r="AL454" s="93">
        <f>(12-AH454)/12*INDEX(BX$9:BX$12,MATCH($AB454,$BU$9:$BU$12,0))+AH454/12*AI454</f>
        <v>0.19357142857142848</v>
      </c>
      <c r="AM454" s="93">
        <f>IF($BC454=1,AJ454/SUMIFS(AJ$3:AJ$623,$BC$3:$BC$623,1,$G$3:$G$623,$G454),0)</f>
        <v>0</v>
      </c>
      <c r="AN454" s="93">
        <f>IF($BC454=1,AK454/SUMIFS(AK$3:AK$623,$BC$3:$BC$623,1,$G$3:$G$623,$G454),0)</f>
        <v>0</v>
      </c>
      <c r="AO454" s="93">
        <f>IF($BC454=1,AL454/SUMIFS(AL$3:AL$623,$BC$3:$BC$623,1,$G$3:$G$623,$G454),0)</f>
        <v>0</v>
      </c>
      <c r="AP454" s="2">
        <f>IFERROR(R454/$V454*90,"")</f>
        <v>4.2333019755409221E-2</v>
      </c>
      <c r="AQ454" s="2">
        <f>IFERROR(S454/$V454*90,"")</f>
        <v>0</v>
      </c>
      <c r="AR454" s="2">
        <f>IFERROR(W454/$V454*90,"")</f>
        <v>8.4666039510818442E-2</v>
      </c>
      <c r="AS454" s="2">
        <f>IFERROR(X454/$V454*90,"")</f>
        <v>0.21166509877704609</v>
      </c>
      <c r="AT454" s="2">
        <f>IFERROR(Y454/$V454*90,"")</f>
        <v>4.2333019755409221E-2</v>
      </c>
      <c r="AU454" s="2">
        <f>IF(AP454="",INDEX(BV$4:BV$7,MATCH(O454,$BU$4:$BU$7,0)),AP454)</f>
        <v>4.2333019755409221E-2</v>
      </c>
      <c r="AV454" s="2">
        <f>IF(AQ454="",INDEX(BW$4:BW$7,MATCH($O454,$BU$4:$BU$7,0)),AQ454)</f>
        <v>0</v>
      </c>
      <c r="AW454" s="2">
        <f t="shared" si="84"/>
        <v>8.4666039510818442E-2</v>
      </c>
      <c r="AX454" s="2">
        <f t="shared" si="85"/>
        <v>0.21166509877704609</v>
      </c>
      <c r="AY454" s="2">
        <f t="shared" si="86"/>
        <v>4.2333019755409221E-2</v>
      </c>
      <c r="AZ454" s="2">
        <f>AU454*0.5+AK454*0.5</f>
        <v>7.2952224163418899E-2</v>
      </c>
      <c r="BA454" s="2">
        <f>AV454*0.5+AJ454*0.5</f>
        <v>2.6009615384615395E-2</v>
      </c>
      <c r="BB454" s="2">
        <f t="shared" si="87"/>
        <v>0.21583254938852303</v>
      </c>
      <c r="BC454">
        <f>IF(I454="expected",1,0)</f>
        <v>0</v>
      </c>
      <c r="BD454" s="78">
        <f>IF(BC454=1,AZ454/SUMIFS(AZ$3:AZ$623,$BC$3:$BC$623,1,$G$3:$G$623,$G454),0)</f>
        <v>0</v>
      </c>
      <c r="BE454" s="78">
        <f>IF(BC454=1,BA454/SUMIFS(BA$3:BA$623,$BC$3:$BC$623,1,$G$3:$G$623,$G454),0)</f>
        <v>0</v>
      </c>
      <c r="BF454" s="78">
        <f t="shared" si="88"/>
        <v>0</v>
      </c>
      <c r="BG454" s="2">
        <f t="shared" si="89"/>
        <v>0.21583254938852303</v>
      </c>
      <c r="BH454" s="2">
        <f t="shared" si="90"/>
        <v>4.2333019755409221E-2</v>
      </c>
      <c r="BI454" s="2">
        <f t="shared" si="91"/>
        <v>0</v>
      </c>
      <c r="BJ454" s="2">
        <f t="shared" si="92"/>
        <v>0</v>
      </c>
      <c r="BK454" s="2">
        <f t="shared" si="93"/>
        <v>0</v>
      </c>
      <c r="BL454" s="2">
        <f t="shared" si="94"/>
        <v>0.21583254938852303</v>
      </c>
      <c r="BM454" s="2">
        <f t="shared" si="95"/>
        <v>4.2333019755409221E-2</v>
      </c>
      <c r="BN454" s="2">
        <f>BI454/SUMIFS(BI$3:BI$623,$BC$3:$BC$623,1,$G$3:$G$623,$G454)</f>
        <v>0</v>
      </c>
      <c r="BO454" s="2">
        <f>BJ454/SUMIFS(BJ$3:BJ$623,$BC$3:$BC$623,1,$G$3:$G$623,$G454)</f>
        <v>0</v>
      </c>
      <c r="BP454" s="2">
        <f>BK454/SUMIFS(BK$3:BK$623,$BC$3:$BC$623,1,$G$3:$G$623,$G454)</f>
        <v>0</v>
      </c>
      <c r="BQ454" s="2">
        <f>BL454</f>
        <v>0.21583254938852303</v>
      </c>
      <c r="BR454" s="2">
        <f>BM454</f>
        <v>4.2333019755409221E-2</v>
      </c>
    </row>
    <row r="455" spans="1:70" hidden="1">
      <c r="A455" s="74">
        <v>0</v>
      </c>
      <c r="B455" s="73">
        <v>221551</v>
      </c>
      <c r="C455" s="73" t="s">
        <v>2784</v>
      </c>
      <c r="D455" s="73" t="s">
        <v>2785</v>
      </c>
      <c r="E455" s="73" t="s">
        <v>2786</v>
      </c>
      <c r="F455" s="73">
        <v>18708</v>
      </c>
      <c r="G455" s="73" t="s">
        <v>866</v>
      </c>
      <c r="H455" s="73" t="s">
        <v>923</v>
      </c>
      <c r="I455" s="73" t="s">
        <v>1012</v>
      </c>
      <c r="J455" s="73">
        <v>0</v>
      </c>
      <c r="K455" s="73">
        <v>4.5</v>
      </c>
      <c r="L455" s="73">
        <v>0</v>
      </c>
      <c r="M455" s="73">
        <v>0</v>
      </c>
      <c r="N455" s="73">
        <v>0</v>
      </c>
      <c r="O455" s="73" t="s">
        <v>1318</v>
      </c>
      <c r="P455" s="73" t="s">
        <v>2787</v>
      </c>
      <c r="Q455" s="73" t="s">
        <v>1164</v>
      </c>
      <c r="R455" s="73"/>
      <c r="S455" s="73"/>
      <c r="T455" s="73"/>
      <c r="U455" s="73"/>
      <c r="V455" s="73"/>
      <c r="W455" s="73"/>
      <c r="X455" s="73"/>
      <c r="Y455" s="73"/>
      <c r="Z455" s="73" t="s">
        <v>1342</v>
      </c>
      <c r="AA455" s="73" t="s">
        <v>692</v>
      </c>
      <c r="AB455" s="73" t="str">
        <f>IF(AA455&lt;&gt;"",INDEX(Lookup!$N$2:$N$5,MATCH(Players!AA455,Lookup!$P$2:$P$5,0)),INDEX(Lookup!$N$2:$N$5,MATCH(Players!O455,Lookup!$O$2:$O$5,0)))</f>
        <v>Defense</v>
      </c>
      <c r="AC455" s="73">
        <v>2000000</v>
      </c>
      <c r="AD455" s="73" t="s">
        <v>788</v>
      </c>
      <c r="AE455" s="73" t="str">
        <f>INDEX('Translate table'!$H$2:$H$622,MATCH(Players!P455,'Translate table'!$G$2:$G$622,0))</f>
        <v>Eray CÃ¼mart</v>
      </c>
      <c r="AF455" s="73">
        <f>IFERROR(INDEX('Euro Qual stats'!$A$1:$L$2071,MATCH(Players!$AE455,'Euro Qual stats'!$A$1:$A$2071,0),MATCH(Players!AF$2,'Euro Qual stats'!$A$1:$L$1,0)),0)</f>
        <v>1</v>
      </c>
      <c r="AG455" s="73">
        <f>IFERROR(INDEX('Euro Qual stats'!$A$1:$L$2071,MATCH(Players!$AE455,'Euro Qual stats'!$A$1:$A$2071,0),MATCH(Players!AG$2,'Euro Qual stats'!$A$1:$L$1,0)),0)</f>
        <v>0</v>
      </c>
      <c r="AH455" s="73">
        <f>IFERROR(INDEX('Euro Qual stats'!$A$1:$L$2071,MATCH(Players!$AE455,'Euro Qual stats'!$A$1:$A$2071,0),MATCH(Players!AH$2,'Euro Qual stats'!$A$1:$L$1,0)),0)</f>
        <v>0</v>
      </c>
      <c r="AI455" s="73">
        <f>IFERROR(INDEX('Euro Qual stats'!$A$1:$L$2071,MATCH(Players!$AE455,'Euro Qual stats'!$A$1:$A$2071,0),MATCH(Players!AI$2,'Euro Qual stats'!$A$1:$L$1,0)),0)</f>
        <v>0</v>
      </c>
      <c r="AJ455" s="93">
        <f>(12-AF455)/12*INDEX(BV$9:BV$12,MATCH($AB455,$BU$9:$BU$12,0))+AF455/12*AG455</f>
        <v>8.1744505494505515E-2</v>
      </c>
      <c r="AK455" s="93">
        <f>(12-AG455)/12*INDEX(BW$9:BW$12,MATCH($AB455,$BU$9:$BU$12,0))+AG455/12*AH455</f>
        <v>0.10357142857142858</v>
      </c>
      <c r="AL455" s="93">
        <f>(12-AH455)/12*INDEX(BX$9:BX$12,MATCH($AB455,$BU$9:$BU$12,0))+AH455/12*AI455</f>
        <v>0.19357142857142848</v>
      </c>
      <c r="AM455" s="93">
        <f>IF($BC455=1,AJ455/SUMIFS(AJ$3:AJ$623,$BC$3:$BC$623,1,$G$3:$G$623,$G455),0)</f>
        <v>0</v>
      </c>
      <c r="AN455" s="93">
        <f>IF($BC455=1,AK455/SUMIFS(AK$3:AK$623,$BC$3:$BC$623,1,$G$3:$G$623,$G455),0)</f>
        <v>0</v>
      </c>
      <c r="AO455" s="93">
        <f>IF($BC455=1,AL455/SUMIFS(AL$3:AL$623,$BC$3:$BC$623,1,$G$3:$G$623,$G455),0)</f>
        <v>0</v>
      </c>
      <c r="AP455" s="2" t="str">
        <f>IFERROR(R455/$V455*90,"")</f>
        <v/>
      </c>
      <c r="AQ455" s="2" t="str">
        <f>IFERROR(S455/$V455*90,"")</f>
        <v/>
      </c>
      <c r="AR455" s="2" t="str">
        <f>IFERROR(W455/$V455*90,"")</f>
        <v/>
      </c>
      <c r="AS455" s="2" t="str">
        <f>IFERROR(X455/$V455*90,"")</f>
        <v/>
      </c>
      <c r="AT455" s="2" t="str">
        <f>IFERROR(Y455/$V455*90,"")</f>
        <v/>
      </c>
      <c r="AU455" s="2">
        <f>IF(AP455="",INDEX(BV$4:BV$7,MATCH(O455,$BU$4:$BU$7,0)),AP455)</f>
        <v>0</v>
      </c>
      <c r="AV455" s="2">
        <f>IF(AQ455="",INDEX(BW$4:BW$7,MATCH($O455,$BU$4:$BU$7,0)),AQ455)</f>
        <v>0</v>
      </c>
      <c r="AW455" s="2">
        <f t="shared" si="84"/>
        <v>8.0624805297505417E-2</v>
      </c>
      <c r="AX455" s="2">
        <f t="shared" si="85"/>
        <v>0.1265377855887522</v>
      </c>
      <c r="AY455" s="2">
        <f t="shared" si="86"/>
        <v>0</v>
      </c>
      <c r="AZ455" s="2">
        <f>AU455*0.5+AK455*0.5</f>
        <v>5.1785714285714289E-2</v>
      </c>
      <c r="BA455" s="2">
        <f>AV455*0.5+AJ455*0.5</f>
        <v>4.0872252747252757E-2</v>
      </c>
      <c r="BB455" s="2">
        <f t="shared" si="87"/>
        <v>6.32688927943761E-2</v>
      </c>
      <c r="BC455">
        <f>IF(I455="expected",1,0)</f>
        <v>0</v>
      </c>
      <c r="BD455" s="78">
        <f>IF(BC455=1,AZ455/SUMIFS(AZ$3:AZ$623,$BC$3:$BC$623,1,$G$3:$G$623,$G455),0)</f>
        <v>0</v>
      </c>
      <c r="BE455" s="78">
        <f>IF(BC455=1,BA455/SUMIFS(BA$3:BA$623,$BC$3:$BC$623,1,$G$3:$G$623,$G455),0)</f>
        <v>0</v>
      </c>
      <c r="BF455" s="78">
        <f t="shared" si="88"/>
        <v>0</v>
      </c>
      <c r="BG455" s="2">
        <f t="shared" si="89"/>
        <v>6.32688927943761E-2</v>
      </c>
      <c r="BH455" s="2">
        <f t="shared" si="90"/>
        <v>0</v>
      </c>
      <c r="BI455" s="2">
        <f t="shared" si="91"/>
        <v>0</v>
      </c>
      <c r="BJ455" s="2">
        <f t="shared" si="92"/>
        <v>0</v>
      </c>
      <c r="BK455" s="2">
        <f t="shared" si="93"/>
        <v>0</v>
      </c>
      <c r="BL455" s="2">
        <f t="shared" si="94"/>
        <v>6.32688927943761E-2</v>
      </c>
      <c r="BM455" s="2">
        <f t="shared" si="95"/>
        <v>0</v>
      </c>
      <c r="BN455" s="2">
        <f>BI455/SUMIFS(BI$3:BI$623,$BC$3:$BC$623,1,$G$3:$G$623,$G455)</f>
        <v>0</v>
      </c>
      <c r="BO455" s="2">
        <f>BJ455/SUMIFS(BJ$3:BJ$623,$BC$3:$BC$623,1,$G$3:$G$623,$G455)</f>
        <v>0</v>
      </c>
      <c r="BP455" s="2">
        <f>BK455/SUMIFS(BK$3:BK$623,$BC$3:$BC$623,1,$G$3:$G$623,$G455)</f>
        <v>0</v>
      </c>
      <c r="BQ455" s="2">
        <f>BL455</f>
        <v>6.32688927943761E-2</v>
      </c>
      <c r="BR455" s="2">
        <f>BM455</f>
        <v>0</v>
      </c>
    </row>
    <row r="456" spans="1:70" hidden="1">
      <c r="A456" s="74">
        <v>0</v>
      </c>
      <c r="B456" s="73">
        <v>204732</v>
      </c>
      <c r="C456" s="73" t="s">
        <v>2788</v>
      </c>
      <c r="D456" s="73" t="s">
        <v>2789</v>
      </c>
      <c r="E456" s="73" t="s">
        <v>2790</v>
      </c>
      <c r="F456" s="73">
        <v>18708</v>
      </c>
      <c r="G456" s="73" t="s">
        <v>866</v>
      </c>
      <c r="H456" s="73" t="s">
        <v>923</v>
      </c>
      <c r="I456" s="73" t="s">
        <v>981</v>
      </c>
      <c r="J456" s="73">
        <v>0</v>
      </c>
      <c r="K456" s="73">
        <v>4.5</v>
      </c>
      <c r="L456" s="73">
        <v>0</v>
      </c>
      <c r="M456" s="73">
        <v>0</v>
      </c>
      <c r="N456" s="73">
        <v>0</v>
      </c>
      <c r="O456" s="73" t="s">
        <v>1318</v>
      </c>
      <c r="P456" s="73" t="s">
        <v>2791</v>
      </c>
      <c r="Q456" s="73" t="s">
        <v>2791</v>
      </c>
      <c r="R456" s="73">
        <v>3</v>
      </c>
      <c r="S456" s="73">
        <v>0</v>
      </c>
      <c r="T456" s="73">
        <v>0</v>
      </c>
      <c r="U456" s="73">
        <v>6</v>
      </c>
      <c r="V456" s="73">
        <v>2537</v>
      </c>
      <c r="W456" s="73">
        <v>6</v>
      </c>
      <c r="X456" s="73">
        <v>1</v>
      </c>
      <c r="Y456" s="73">
        <v>0</v>
      </c>
      <c r="Z456" s="73" t="s">
        <v>1342</v>
      </c>
      <c r="AA456" s="73" t="s">
        <v>692</v>
      </c>
      <c r="AB456" s="73" t="str">
        <f>IF(AA456&lt;&gt;"",INDEX(Lookup!$N$2:$N$5,MATCH(Players!AA456,Lookup!$P$2:$P$5,0)),INDEX(Lookup!$N$2:$N$5,MATCH(Players!O456,Lookup!$O$2:$O$5,0)))</f>
        <v>Defense</v>
      </c>
      <c r="AC456" s="73">
        <v>3000000</v>
      </c>
      <c r="AD456" s="73" t="s">
        <v>802</v>
      </c>
      <c r="AE456" s="73" t="str">
        <f>INDEX('Translate table'!$H$2:$H$622,MATCH(Players!P456,'Translate table'!$G$2:$G$622,0))</f>
        <v>Nico Elvedi</v>
      </c>
      <c r="AF456" s="73">
        <f>IFERROR(INDEX('Euro Qual stats'!$A$1:$L$2071,MATCH(Players!$AE456,'Euro Qual stats'!$A$1:$A$2071,0),MATCH(Players!AF$2,'Euro Qual stats'!$A$1:$L$1,0)),0)</f>
        <v>7</v>
      </c>
      <c r="AG456" s="73">
        <f>IFERROR(INDEX('Euro Qual stats'!$A$1:$L$2071,MATCH(Players!$AE456,'Euro Qual stats'!$A$1:$A$2071,0),MATCH(Players!AG$2,'Euro Qual stats'!$A$1:$L$1,0)),0)</f>
        <v>0</v>
      </c>
      <c r="AH456" s="73">
        <f>IFERROR(INDEX('Euro Qual stats'!$A$1:$L$2071,MATCH(Players!$AE456,'Euro Qual stats'!$A$1:$A$2071,0),MATCH(Players!AH$2,'Euro Qual stats'!$A$1:$L$1,0)),0)</f>
        <v>0</v>
      </c>
      <c r="AI456" s="73">
        <f>IFERROR(INDEX('Euro Qual stats'!$A$1:$L$2071,MATCH(Players!$AE456,'Euro Qual stats'!$A$1:$A$2071,0),MATCH(Players!AI$2,'Euro Qual stats'!$A$1:$L$1,0)),0)</f>
        <v>0.14000000000000001</v>
      </c>
      <c r="AJ456" s="93">
        <f>(12-AF456)/12*INDEX(BV$9:BV$12,MATCH($AB456,$BU$9:$BU$12,0))+AF456/12*AG456</f>
        <v>3.715659340659342E-2</v>
      </c>
      <c r="AK456" s="93">
        <f>(12-AG456)/12*INDEX(BW$9:BW$12,MATCH($AB456,$BU$9:$BU$12,0))+AG456/12*AH456</f>
        <v>0.10357142857142858</v>
      </c>
      <c r="AL456" s="93">
        <f>(12-AH456)/12*INDEX(BX$9:BX$12,MATCH($AB456,$BU$9:$BU$12,0))+AH456/12*AI456</f>
        <v>0.19357142857142848</v>
      </c>
      <c r="AM456" s="93">
        <f>IF($BC456=1,AJ456/SUMIFS(AJ$3:AJ$623,$BC$3:$BC$623,1,$G$3:$G$623,$G456),0)</f>
        <v>2.6710294045491554E-2</v>
      </c>
      <c r="AN456" s="93">
        <f>IF($BC456=1,AK456/SUMIFS(AK$3:AK$623,$BC$3:$BC$623,1,$G$3:$G$623,$G456),0)</f>
        <v>4.3670640852102025E-2</v>
      </c>
      <c r="AO456" s="93">
        <f>IF($BC456=1,AL456/SUMIFS(AL$3:AL$623,$BC$3:$BC$623,1,$G$3:$G$623,$G456),0)</f>
        <v>9.4803549569735204E-2</v>
      </c>
      <c r="AP456" s="2">
        <f>IFERROR(R456/$V456*90,"")</f>
        <v>0.10642491131257391</v>
      </c>
      <c r="AQ456" s="2">
        <f>IFERROR(S456/$V456*90,"")</f>
        <v>0</v>
      </c>
      <c r="AR456" s="2">
        <f>IFERROR(W456/$V456*90,"")</f>
        <v>0.21284982262514782</v>
      </c>
      <c r="AS456" s="2">
        <f>IFERROR(X456/$V456*90,"")</f>
        <v>3.5474970437524636E-2</v>
      </c>
      <c r="AT456" s="2">
        <f>IFERROR(Y456/$V456*90,"")</f>
        <v>0</v>
      </c>
      <c r="AU456" s="2">
        <f>IF(AP456="",INDEX(BV$4:BV$7,MATCH(O456,$BU$4:$BU$7,0)),AP456)</f>
        <v>0.10642491131257391</v>
      </c>
      <c r="AV456" s="2">
        <f>IF(AQ456="",INDEX(BW$4:BW$7,MATCH($O456,$BU$4:$BU$7,0)),AQ456)</f>
        <v>0</v>
      </c>
      <c r="AW456" s="2">
        <f t="shared" si="84"/>
        <v>0.21284982262514782</v>
      </c>
      <c r="AX456" s="2">
        <f t="shared" si="85"/>
        <v>3.5474970437524636E-2</v>
      </c>
      <c r="AY456" s="2">
        <f t="shared" si="86"/>
        <v>0</v>
      </c>
      <c r="AZ456" s="2">
        <f>AU456*0.5+AK456*0.5</f>
        <v>0.10499816994200124</v>
      </c>
      <c r="BA456" s="2">
        <f>AV456*0.5+AJ456*0.5</f>
        <v>1.857829670329671E-2</v>
      </c>
      <c r="BB456" s="2">
        <f t="shared" si="87"/>
        <v>8.7737485218762318E-2</v>
      </c>
      <c r="BC456">
        <f>IF(I456="expected",1,0)</f>
        <v>1</v>
      </c>
      <c r="BD456" s="78">
        <f>IF(BC456=1,AZ456/SUMIFS(AZ$3:AZ$623,$BC$3:$BC$623,1,$G$3:$G$623,$G456),0)</f>
        <v>7.0703736553049304E-2</v>
      </c>
      <c r="BE456" s="78">
        <f>IF(BC456=1,BA456/SUMIFS(BA$3:BA$623,$BC$3:$BC$623,1,$G$3:$G$623,$G456),0)</f>
        <v>1.341903518704188E-2</v>
      </c>
      <c r="BF456" s="78">
        <f t="shared" si="88"/>
        <v>6.0493205854145554E-2</v>
      </c>
      <c r="BG456" s="2">
        <f t="shared" si="89"/>
        <v>8.7737485218762318E-2</v>
      </c>
      <c r="BH456" s="2">
        <f t="shared" si="90"/>
        <v>0</v>
      </c>
      <c r="BI456" s="2">
        <f t="shared" si="91"/>
        <v>7.0703736553049304E-2</v>
      </c>
      <c r="BJ456" s="2">
        <f t="shared" si="92"/>
        <v>1.341903518704188E-2</v>
      </c>
      <c r="BK456" s="2">
        <f t="shared" si="93"/>
        <v>6.0493205854145554E-2</v>
      </c>
      <c r="BL456" s="2">
        <f t="shared" si="94"/>
        <v>8.7737485218762318E-2</v>
      </c>
      <c r="BM456" s="2">
        <f t="shared" si="95"/>
        <v>0</v>
      </c>
      <c r="BN456" s="2">
        <f>BI456/SUMIFS(BI$3:BI$623,$BC$3:$BC$623,1,$G$3:$G$623,$G456)</f>
        <v>7.0703736553049318E-2</v>
      </c>
      <c r="BO456" s="2">
        <f>BJ456/SUMIFS(BJ$3:BJ$623,$BC$3:$BC$623,1,$G$3:$G$623,$G456)</f>
        <v>1.341903518704188E-2</v>
      </c>
      <c r="BP456" s="2">
        <f>BK456/SUMIFS(BK$3:BK$623,$BC$3:$BC$623,1,$G$3:$G$623,$G456)</f>
        <v>6.5350030178783922E-2</v>
      </c>
      <c r="BQ456" s="2">
        <f>BL456</f>
        <v>8.7737485218762318E-2</v>
      </c>
      <c r="BR456" s="2">
        <f>BM456</f>
        <v>0</v>
      </c>
    </row>
    <row r="457" spans="1:70" hidden="1">
      <c r="A457" s="74">
        <v>0</v>
      </c>
      <c r="B457" s="73">
        <v>204728</v>
      </c>
      <c r="C457" s="73" t="s">
        <v>2792</v>
      </c>
      <c r="D457" s="73" t="s">
        <v>2793</v>
      </c>
      <c r="E457" s="73" t="s">
        <v>2794</v>
      </c>
      <c r="F457" s="73">
        <v>18708</v>
      </c>
      <c r="G457" s="73" t="s">
        <v>866</v>
      </c>
      <c r="H457" s="73" t="s">
        <v>923</v>
      </c>
      <c r="I457" s="73" t="s">
        <v>1012</v>
      </c>
      <c r="J457" s="73">
        <v>0</v>
      </c>
      <c r="K457" s="73">
        <v>4.5</v>
      </c>
      <c r="L457" s="73">
        <v>0</v>
      </c>
      <c r="M457" s="73">
        <v>0</v>
      </c>
      <c r="N457" s="73">
        <v>0</v>
      </c>
      <c r="O457" s="73" t="s">
        <v>1318</v>
      </c>
      <c r="P457" s="73" t="s">
        <v>2795</v>
      </c>
      <c r="Q457" s="73" t="s">
        <v>2795</v>
      </c>
      <c r="R457" s="73">
        <v>0</v>
      </c>
      <c r="S457" s="73">
        <v>0</v>
      </c>
      <c r="T457" s="73">
        <v>0</v>
      </c>
      <c r="U457" s="73">
        <v>12</v>
      </c>
      <c r="V457" s="73">
        <v>2653</v>
      </c>
      <c r="W457" s="73">
        <v>1</v>
      </c>
      <c r="X457" s="73">
        <v>7</v>
      </c>
      <c r="Y457" s="73">
        <v>1</v>
      </c>
      <c r="Z457" s="73" t="s">
        <v>1342</v>
      </c>
      <c r="AA457" s="73" t="s">
        <v>692</v>
      </c>
      <c r="AB457" s="73" t="str">
        <f>IF(AA457&lt;&gt;"",INDEX(Lookup!$N$2:$N$5,MATCH(Players!AA457,Lookup!$P$2:$P$5,0)),INDEX(Lookup!$N$2:$N$5,MATCH(Players!O457,Lookup!$O$2:$O$5,0)))</f>
        <v>Defense</v>
      </c>
      <c r="AC457" s="73">
        <v>3000000</v>
      </c>
      <c r="AD457" s="73" t="s">
        <v>753</v>
      </c>
      <c r="AE457" s="73" t="str">
        <f>INDEX('Translate table'!$H$2:$H$622,MATCH(Players!P457,'Translate table'!$G$2:$G$622,0))</f>
        <v>Loris Benito</v>
      </c>
      <c r="AF457" s="73">
        <f>IFERROR(INDEX('Euro Qual stats'!$A$1:$L$2071,MATCH(Players!$AE457,'Euro Qual stats'!$A$1:$A$2071,0),MATCH(Players!AF$2,'Euro Qual stats'!$A$1:$L$1,0)),0)</f>
        <v>3</v>
      </c>
      <c r="AG457" s="73">
        <f>IFERROR(INDEX('Euro Qual stats'!$A$1:$L$2071,MATCH(Players!$AE457,'Euro Qual stats'!$A$1:$A$2071,0),MATCH(Players!AG$2,'Euro Qual stats'!$A$1:$L$1,0)),0)</f>
        <v>0.9</v>
      </c>
      <c r="AH457" s="73">
        <f>IFERROR(INDEX('Euro Qual stats'!$A$1:$L$2071,MATCH(Players!$AE457,'Euro Qual stats'!$A$1:$A$2071,0),MATCH(Players!AH$2,'Euro Qual stats'!$A$1:$L$1,0)),0)</f>
        <v>0.45</v>
      </c>
      <c r="AI457" s="73">
        <f>IFERROR(INDEX('Euro Qual stats'!$A$1:$L$2071,MATCH(Players!$AE457,'Euro Qual stats'!$A$1:$A$2071,0),MATCH(Players!AI$2,'Euro Qual stats'!$A$1:$L$1,0)),0)</f>
        <v>0</v>
      </c>
      <c r="AJ457" s="93">
        <f>(12-AF457)/12*INDEX(BV$9:BV$12,MATCH($AB457,$BU$9:$BU$12,0))+AF457/12*AG457</f>
        <v>0.29188186813186817</v>
      </c>
      <c r="AK457" s="93">
        <f>(12-AG457)/12*INDEX(BW$9:BW$12,MATCH($AB457,$BU$9:$BU$12,0))+AG457/12*AH457</f>
        <v>0.12955357142857143</v>
      </c>
      <c r="AL457" s="93">
        <f>(12-AH457)/12*INDEX(BX$9:BX$12,MATCH($AB457,$BU$9:$BU$12,0))+AH457/12*AI457</f>
        <v>0.18631249999999991</v>
      </c>
      <c r="AM457" s="93">
        <f>IF($BC457=1,AJ457/SUMIFS(AJ$3:AJ$623,$BC$3:$BC$623,1,$G$3:$G$623,$G457),0)</f>
        <v>0</v>
      </c>
      <c r="AN457" s="93">
        <f>IF($BC457=1,AK457/SUMIFS(AK$3:AK$623,$BC$3:$BC$623,1,$G$3:$G$623,$G457),0)</f>
        <v>0</v>
      </c>
      <c r="AO457" s="93">
        <f>IF($BC457=1,AL457/SUMIFS(AL$3:AL$623,$BC$3:$BC$623,1,$G$3:$G$623,$G457),0)</f>
        <v>0</v>
      </c>
      <c r="AP457" s="2">
        <f>IFERROR(R457/$V457*90,"")</f>
        <v>0</v>
      </c>
      <c r="AQ457" s="2">
        <f>IFERROR(S457/$V457*90,"")</f>
        <v>0</v>
      </c>
      <c r="AR457" s="2">
        <f>IFERROR(W457/$V457*90,"")</f>
        <v>3.3923859781379573E-2</v>
      </c>
      <c r="AS457" s="2">
        <f>IFERROR(X457/$V457*90,"")</f>
        <v>0.23746701846965698</v>
      </c>
      <c r="AT457" s="2">
        <f>IFERROR(Y457/$V457*90,"")</f>
        <v>3.3923859781379573E-2</v>
      </c>
      <c r="AU457" s="2">
        <f>IF(AP457="",INDEX(BV$4:BV$7,MATCH(O457,$BU$4:$BU$7,0)),AP457)</f>
        <v>0</v>
      </c>
      <c r="AV457" s="2">
        <f>IF(AQ457="",INDEX(BW$4:BW$7,MATCH($O457,$BU$4:$BU$7,0)),AQ457)</f>
        <v>0</v>
      </c>
      <c r="AW457" s="2">
        <f t="shared" si="84"/>
        <v>3.3923859781379573E-2</v>
      </c>
      <c r="AX457" s="2">
        <f t="shared" si="85"/>
        <v>0.23746701846965698</v>
      </c>
      <c r="AY457" s="2">
        <f t="shared" si="86"/>
        <v>3.3923859781379573E-2</v>
      </c>
      <c r="AZ457" s="2">
        <f>AU457*0.5+AK457*0.5</f>
        <v>6.4776785714285717E-2</v>
      </c>
      <c r="BA457" s="2">
        <f>AV457*0.5+AJ457*0.5</f>
        <v>0.14594093406593409</v>
      </c>
      <c r="BB457" s="2">
        <f t="shared" si="87"/>
        <v>0.11873350923482849</v>
      </c>
      <c r="BC457">
        <f>IF(I457="expected",1,0)</f>
        <v>0</v>
      </c>
      <c r="BD457" s="78">
        <f>IF(BC457=1,AZ457/SUMIFS(AZ$3:AZ$623,$BC$3:$BC$623,1,$G$3:$G$623,$G457),0)</f>
        <v>0</v>
      </c>
      <c r="BE457" s="78">
        <f>IF(BC457=1,BA457/SUMIFS(BA$3:BA$623,$BC$3:$BC$623,1,$G$3:$G$623,$G457),0)</f>
        <v>0</v>
      </c>
      <c r="BF457" s="78">
        <f t="shared" si="88"/>
        <v>0</v>
      </c>
      <c r="BG457" s="2">
        <f t="shared" si="89"/>
        <v>0.11873350923482849</v>
      </c>
      <c r="BH457" s="2">
        <f t="shared" si="90"/>
        <v>3.3923859781379573E-2</v>
      </c>
      <c r="BI457" s="2">
        <f t="shared" si="91"/>
        <v>0</v>
      </c>
      <c r="BJ457" s="2">
        <f t="shared" si="92"/>
        <v>0</v>
      </c>
      <c r="BK457" s="2">
        <f t="shared" si="93"/>
        <v>0</v>
      </c>
      <c r="BL457" s="2">
        <f t="shared" si="94"/>
        <v>0.11873350923482849</v>
      </c>
      <c r="BM457" s="2">
        <f t="shared" si="95"/>
        <v>3.3923859781379573E-2</v>
      </c>
      <c r="BN457" s="2">
        <f>BI457/SUMIFS(BI$3:BI$623,$BC$3:$BC$623,1,$G$3:$G$623,$G457)</f>
        <v>0</v>
      </c>
      <c r="BO457" s="2">
        <f>BJ457/SUMIFS(BJ$3:BJ$623,$BC$3:$BC$623,1,$G$3:$G$623,$G457)</f>
        <v>0</v>
      </c>
      <c r="BP457" s="2">
        <f>BK457/SUMIFS(BK$3:BK$623,$BC$3:$BC$623,1,$G$3:$G$623,$G457)</f>
        <v>0</v>
      </c>
      <c r="BQ457" s="2">
        <f>BL457</f>
        <v>0.11873350923482849</v>
      </c>
      <c r="BR457" s="2">
        <f>BM457</f>
        <v>3.3923859781379573E-2</v>
      </c>
    </row>
    <row r="458" spans="1:70" hidden="1">
      <c r="A458" s="74">
        <v>0</v>
      </c>
      <c r="B458" s="73">
        <v>221562</v>
      </c>
      <c r="C458" s="73" t="s">
        <v>2796</v>
      </c>
      <c r="D458" s="73" t="s">
        <v>1150</v>
      </c>
      <c r="E458" s="73" t="s">
        <v>2797</v>
      </c>
      <c r="F458" s="73">
        <v>18708</v>
      </c>
      <c r="G458" s="73" t="s">
        <v>866</v>
      </c>
      <c r="H458" s="73" t="s">
        <v>923</v>
      </c>
      <c r="I458" s="73" t="s">
        <v>1012</v>
      </c>
      <c r="J458" s="73">
        <v>0</v>
      </c>
      <c r="K458" s="73">
        <v>4.5</v>
      </c>
      <c r="L458" s="73">
        <v>0</v>
      </c>
      <c r="M458" s="73">
        <v>0</v>
      </c>
      <c r="N458" s="73">
        <v>0</v>
      </c>
      <c r="O458" s="73" t="s">
        <v>994</v>
      </c>
      <c r="P458" s="73" t="s">
        <v>2798</v>
      </c>
      <c r="Q458" s="73" t="s">
        <v>2799</v>
      </c>
      <c r="R458" s="73">
        <v>0</v>
      </c>
      <c r="S458" s="73">
        <v>1</v>
      </c>
      <c r="T458" s="73">
        <v>0</v>
      </c>
      <c r="U458" s="73">
        <v>0</v>
      </c>
      <c r="V458" s="73">
        <v>120</v>
      </c>
      <c r="W458" s="73">
        <v>0</v>
      </c>
      <c r="X458" s="73">
        <v>1</v>
      </c>
      <c r="Y458" s="73">
        <v>0</v>
      </c>
      <c r="Z458" s="73" t="s">
        <v>1342</v>
      </c>
      <c r="AA458" s="73" t="s">
        <v>691</v>
      </c>
      <c r="AB458" s="73" t="str">
        <f>IF(AA458&lt;&gt;"",INDEX(Lookup!$N$2:$N$5,MATCH(Players!AA458,Lookup!$P$2:$P$5,0)),INDEX(Lookup!$N$2:$N$5,MATCH(Players!O458,Lookup!$O$2:$O$5,0)))</f>
        <v>Midfield</v>
      </c>
      <c r="AC458" s="73">
        <v>2500000</v>
      </c>
      <c r="AD458" s="73" t="s">
        <v>789</v>
      </c>
      <c r="AE458" s="73" t="str">
        <f>INDEX('Translate table'!$H$2:$H$622,MATCH(Players!P458,'Translate table'!$G$2:$G$622,0))</f>
        <v>Christian Fassnacht</v>
      </c>
      <c r="AF458" s="73">
        <f>IFERROR(INDEX('Euro Qual stats'!$A$1:$L$2071,MATCH(Players!$AE458,'Euro Qual stats'!$A$1:$A$2071,0),MATCH(Players!AF$2,'Euro Qual stats'!$A$1:$L$1,0)),0)</f>
        <v>2</v>
      </c>
      <c r="AG458" s="73">
        <f>IFERROR(INDEX('Euro Qual stats'!$A$1:$L$2071,MATCH(Players!$AE458,'Euro Qual stats'!$A$1:$A$2071,0),MATCH(Players!AG$2,'Euro Qual stats'!$A$1:$L$1,0)),0)</f>
        <v>0.88</v>
      </c>
      <c r="AH458" s="73">
        <f>IFERROR(INDEX('Euro Qual stats'!$A$1:$L$2071,MATCH(Players!$AE458,'Euro Qual stats'!$A$1:$A$2071,0),MATCH(Players!AH$2,'Euro Qual stats'!$A$1:$L$1,0)),0)</f>
        <v>0.88</v>
      </c>
      <c r="AI458" s="73">
        <f>IFERROR(INDEX('Euro Qual stats'!$A$1:$L$2071,MATCH(Players!$AE458,'Euro Qual stats'!$A$1:$A$2071,0),MATCH(Players!AI$2,'Euro Qual stats'!$A$1:$L$1,0)),0)</f>
        <v>0</v>
      </c>
      <c r="AJ458" s="93">
        <f>(12-AF458)/12*INDEX(BV$9:BV$12,MATCH($AB458,$BU$9:$BU$12,0))+AF458/12*AG458</f>
        <v>0.28724258289703319</v>
      </c>
      <c r="AK458" s="93">
        <f>(12-AG458)/12*INDEX(BW$9:BW$12,MATCH($AB458,$BU$9:$BU$12,0))+AG458/12*AH458</f>
        <v>0.27155357766143107</v>
      </c>
      <c r="AL458" s="93">
        <f>(12-AH458)/12*INDEX(BX$9:BX$12,MATCH($AB458,$BU$9:$BU$12,0))+AH458/12*AI458</f>
        <v>0.22186631762652706</v>
      </c>
      <c r="AM458" s="93">
        <f>IF($BC458=1,AJ458/SUMIFS(AJ$3:AJ$623,$BC$3:$BC$623,1,$G$3:$G$623,$G458),0)</f>
        <v>0</v>
      </c>
      <c r="AN458" s="93">
        <f>IF($BC458=1,AK458/SUMIFS(AK$3:AK$623,$BC$3:$BC$623,1,$G$3:$G$623,$G458),0)</f>
        <v>0</v>
      </c>
      <c r="AO458" s="93">
        <f>IF($BC458=1,AL458/SUMIFS(AL$3:AL$623,$BC$3:$BC$623,1,$G$3:$G$623,$G458),0)</f>
        <v>0</v>
      </c>
      <c r="AP458" s="2">
        <f>IFERROR(R458/$V458*90,"")</f>
        <v>0</v>
      </c>
      <c r="AQ458" s="2">
        <f>IFERROR(S458/$V458*90,"")</f>
        <v>0.75</v>
      </c>
      <c r="AR458" s="2">
        <f>IFERROR(W458/$V458*90,"")</f>
        <v>0</v>
      </c>
      <c r="AS458" s="2">
        <f>IFERROR(X458/$V458*90,"")</f>
        <v>0.75</v>
      </c>
      <c r="AT458" s="2">
        <f>IFERROR(Y458/$V458*90,"")</f>
        <v>0</v>
      </c>
      <c r="AU458" s="2">
        <f>IF(AP458="",INDEX(BV$4:BV$7,MATCH(O458,$BU$4:$BU$7,0)),AP458)</f>
        <v>0</v>
      </c>
      <c r="AV458" s="2">
        <f>IF(AQ458="",INDEX(BW$4:BW$7,MATCH($O458,$BU$4:$BU$7,0)),AQ458)</f>
        <v>0.75</v>
      </c>
      <c r="AW458" s="2">
        <f t="shared" si="84"/>
        <v>0</v>
      </c>
      <c r="AX458" s="2">
        <f t="shared" si="85"/>
        <v>0.75</v>
      </c>
      <c r="AY458" s="2">
        <f t="shared" si="86"/>
        <v>0</v>
      </c>
      <c r="AZ458" s="2">
        <f>AU458*0.5+AK458*0.5</f>
        <v>0.13577678883071553</v>
      </c>
      <c r="BA458" s="2">
        <f>AV458*0.5+AJ458*0.5</f>
        <v>0.51862129144851665</v>
      </c>
      <c r="BB458" s="2">
        <f t="shared" si="87"/>
        <v>0.375</v>
      </c>
      <c r="BC458">
        <f>IF(I458="expected",1,0)</f>
        <v>0</v>
      </c>
      <c r="BD458" s="78">
        <f>IF(BC458=1,AZ458/SUMIFS(AZ$3:AZ$623,$BC$3:$BC$623,1,$G$3:$G$623,$G458),0)</f>
        <v>0</v>
      </c>
      <c r="BE458" s="78">
        <f>IF(BC458=1,BA458/SUMIFS(BA$3:BA$623,$BC$3:$BC$623,1,$G$3:$G$623,$G458),0)</f>
        <v>0</v>
      </c>
      <c r="BF458" s="78">
        <f t="shared" si="88"/>
        <v>0</v>
      </c>
      <c r="BG458" s="2">
        <f t="shared" si="89"/>
        <v>0.375</v>
      </c>
      <c r="BH458" s="2">
        <f t="shared" si="90"/>
        <v>0</v>
      </c>
      <c r="BI458" s="2">
        <f t="shared" si="91"/>
        <v>0</v>
      </c>
      <c r="BJ458" s="2">
        <f t="shared" si="92"/>
        <v>0</v>
      </c>
      <c r="BK458" s="2">
        <f t="shared" si="93"/>
        <v>0</v>
      </c>
      <c r="BL458" s="2">
        <f t="shared" si="94"/>
        <v>0.375</v>
      </c>
      <c r="BM458" s="2">
        <f t="shared" si="95"/>
        <v>0</v>
      </c>
      <c r="BN458" s="2">
        <f>BI458/SUMIFS(BI$3:BI$623,$BC$3:$BC$623,1,$G$3:$G$623,$G458)</f>
        <v>0</v>
      </c>
      <c r="BO458" s="2">
        <f>BJ458/SUMIFS(BJ$3:BJ$623,$BC$3:$BC$623,1,$G$3:$G$623,$G458)</f>
        <v>0</v>
      </c>
      <c r="BP458" s="2">
        <f>BK458/SUMIFS(BK$3:BK$623,$BC$3:$BC$623,1,$G$3:$G$623,$G458)</f>
        <v>0</v>
      </c>
      <c r="BQ458" s="2">
        <f>BL458</f>
        <v>0.375</v>
      </c>
      <c r="BR458" s="2">
        <f>BM458</f>
        <v>0</v>
      </c>
    </row>
    <row r="459" spans="1:70" hidden="1">
      <c r="A459" s="74">
        <v>0</v>
      </c>
      <c r="B459" s="73">
        <v>221557</v>
      </c>
      <c r="C459" s="73" t="s">
        <v>2800</v>
      </c>
      <c r="D459" s="73" t="s">
        <v>2801</v>
      </c>
      <c r="E459" s="73" t="s">
        <v>1070</v>
      </c>
      <c r="F459" s="73">
        <v>18708</v>
      </c>
      <c r="G459" s="73" t="s">
        <v>866</v>
      </c>
      <c r="H459" s="73" t="s">
        <v>923</v>
      </c>
      <c r="I459" s="73" t="s">
        <v>1012</v>
      </c>
      <c r="J459" s="73">
        <v>0</v>
      </c>
      <c r="K459" s="73">
        <v>4.5</v>
      </c>
      <c r="L459" s="73">
        <v>0</v>
      </c>
      <c r="M459" s="73">
        <v>0</v>
      </c>
      <c r="N459" s="73">
        <v>0</v>
      </c>
      <c r="O459" s="73" t="s">
        <v>994</v>
      </c>
      <c r="P459" s="73" t="s">
        <v>2802</v>
      </c>
      <c r="Q459" s="73" t="s">
        <v>2802</v>
      </c>
      <c r="R459" s="73">
        <v>0</v>
      </c>
      <c r="S459" s="73">
        <v>1</v>
      </c>
      <c r="T459" s="73">
        <v>0</v>
      </c>
      <c r="U459" s="73">
        <v>1</v>
      </c>
      <c r="V459" s="73">
        <v>841</v>
      </c>
      <c r="W459" s="73">
        <v>4</v>
      </c>
      <c r="X459" s="73">
        <v>1</v>
      </c>
      <c r="Y459" s="73">
        <v>0</v>
      </c>
      <c r="Z459" s="73" t="s">
        <v>1342</v>
      </c>
      <c r="AA459" s="73" t="s">
        <v>691</v>
      </c>
      <c r="AB459" s="73" t="str">
        <f>IF(AA459&lt;&gt;"",INDEX(Lookup!$N$2:$N$5,MATCH(Players!AA459,Lookup!$P$2:$P$5,0)),INDEX(Lookup!$N$2:$N$5,MATCH(Players!O459,Lookup!$O$2:$O$5,0)))</f>
        <v>Midfield</v>
      </c>
      <c r="AC459" s="73">
        <v>3500000</v>
      </c>
      <c r="AD459" s="73" t="s">
        <v>788</v>
      </c>
      <c r="AE459" s="73" t="str">
        <f>INDEX('Translate table'!$H$2:$H$622,MATCH(Players!P459,'Translate table'!$G$2:$G$622,0))</f>
        <v>Edimilson Fernandes</v>
      </c>
      <c r="AF459" s="73">
        <f>IFERROR(INDEX('Euro Qual stats'!$A$1:$L$2071,MATCH(Players!$AE459,'Euro Qual stats'!$A$1:$A$2071,0),MATCH(Players!AF$2,'Euro Qual stats'!$A$1:$L$1,0)),0)</f>
        <v>4</v>
      </c>
      <c r="AG459" s="73">
        <f>IFERROR(INDEX('Euro Qual stats'!$A$1:$L$2071,MATCH(Players!$AE459,'Euro Qual stats'!$A$1:$A$2071,0),MATCH(Players!AG$2,'Euro Qual stats'!$A$1:$L$1,0)),0)</f>
        <v>0</v>
      </c>
      <c r="AH459" s="73">
        <f>IFERROR(INDEX('Euro Qual stats'!$A$1:$L$2071,MATCH(Players!$AE459,'Euro Qual stats'!$A$1:$A$2071,0),MATCH(Players!AH$2,'Euro Qual stats'!$A$1:$L$1,0)),0)</f>
        <v>0</v>
      </c>
      <c r="AI459" s="73">
        <f>IFERROR(INDEX('Euro Qual stats'!$A$1:$L$2071,MATCH(Players!$AE459,'Euro Qual stats'!$A$1:$A$2071,0),MATCH(Players!AI$2,'Euro Qual stats'!$A$1:$L$1,0)),0)</f>
        <v>0</v>
      </c>
      <c r="AJ459" s="93">
        <f>(12-AF459)/12*INDEX(BV$9:BV$12,MATCH($AB459,$BU$9:$BU$12,0))+AF459/12*AG459</f>
        <v>0.11246073298429318</v>
      </c>
      <c r="AK459" s="93">
        <f>(12-AG459)/12*INDEX(BW$9:BW$12,MATCH($AB459,$BU$9:$BU$12,0))+AG459/12*AH459</f>
        <v>0.22340314136125652</v>
      </c>
      <c r="AL459" s="93">
        <f>(12-AH459)/12*INDEX(BX$9:BX$12,MATCH($AB459,$BU$9:$BU$12,0))+AH459/12*AI459</f>
        <v>0.23942408376963353</v>
      </c>
      <c r="AM459" s="93">
        <f>IF($BC459=1,AJ459/SUMIFS(AJ$3:AJ$623,$BC$3:$BC$623,1,$G$3:$G$623,$G459),0)</f>
        <v>0</v>
      </c>
      <c r="AN459" s="93">
        <f>IF($BC459=1,AK459/SUMIFS(AK$3:AK$623,$BC$3:$BC$623,1,$G$3:$G$623,$G459),0)</f>
        <v>0</v>
      </c>
      <c r="AO459" s="93">
        <f>IF($BC459=1,AL459/SUMIFS(AL$3:AL$623,$BC$3:$BC$623,1,$G$3:$G$623,$G459),0)</f>
        <v>0</v>
      </c>
      <c r="AP459" s="2">
        <f>IFERROR(R459/$V459*90,"")</f>
        <v>0</v>
      </c>
      <c r="AQ459" s="2">
        <f>IFERROR(S459/$V459*90,"")</f>
        <v>0.1070154577883472</v>
      </c>
      <c r="AR459" s="2">
        <f>IFERROR(W459/$V459*90,"")</f>
        <v>0.42806183115338881</v>
      </c>
      <c r="AS459" s="2">
        <f>IFERROR(X459/$V459*90,"")</f>
        <v>0.1070154577883472</v>
      </c>
      <c r="AT459" s="2">
        <f>IFERROR(Y459/$V459*90,"")</f>
        <v>0</v>
      </c>
      <c r="AU459" s="2">
        <f>IF(AP459="",INDEX(BV$4:BV$7,MATCH(O459,$BU$4:$BU$7,0)),AP459)</f>
        <v>0</v>
      </c>
      <c r="AV459" s="2">
        <f>IF(AQ459="",INDEX(BW$4:BW$7,MATCH($O459,$BU$4:$BU$7,0)),AQ459)</f>
        <v>0.1070154577883472</v>
      </c>
      <c r="AW459" s="2">
        <f t="shared" si="84"/>
        <v>0.42806183115338881</v>
      </c>
      <c r="AX459" s="2">
        <f t="shared" si="85"/>
        <v>0.1070154577883472</v>
      </c>
      <c r="AY459" s="2">
        <f t="shared" si="86"/>
        <v>0</v>
      </c>
      <c r="AZ459" s="2">
        <f>AU459*0.5+AK459*0.5</f>
        <v>0.11170157068062826</v>
      </c>
      <c r="BA459" s="2">
        <f>AV459*0.5+AJ459*0.5</f>
        <v>0.10973809538632019</v>
      </c>
      <c r="BB459" s="2">
        <f t="shared" si="87"/>
        <v>5.3507728894173601E-2</v>
      </c>
      <c r="BC459">
        <f>IF(I459="expected",1,0)</f>
        <v>0</v>
      </c>
      <c r="BD459" s="78">
        <f>IF(BC459=1,AZ459/SUMIFS(AZ$3:AZ$623,$BC$3:$BC$623,1,$G$3:$G$623,$G459),0)</f>
        <v>0</v>
      </c>
      <c r="BE459" s="78">
        <f>IF(BC459=1,BA459/SUMIFS(BA$3:BA$623,$BC$3:$BC$623,1,$G$3:$G$623,$G459),0)</f>
        <v>0</v>
      </c>
      <c r="BF459" s="78">
        <f t="shared" si="88"/>
        <v>0</v>
      </c>
      <c r="BG459" s="2">
        <f t="shared" si="89"/>
        <v>5.3507728894173601E-2</v>
      </c>
      <c r="BH459" s="2">
        <f t="shared" si="90"/>
        <v>0</v>
      </c>
      <c r="BI459" s="2">
        <f t="shared" si="91"/>
        <v>0</v>
      </c>
      <c r="BJ459" s="2">
        <f t="shared" si="92"/>
        <v>0</v>
      </c>
      <c r="BK459" s="2">
        <f t="shared" si="93"/>
        <v>0</v>
      </c>
      <c r="BL459" s="2">
        <f t="shared" si="94"/>
        <v>5.3507728894173601E-2</v>
      </c>
      <c r="BM459" s="2">
        <f t="shared" si="95"/>
        <v>0</v>
      </c>
      <c r="BN459" s="2">
        <f>BI459/SUMIFS(BI$3:BI$623,$BC$3:$BC$623,1,$G$3:$G$623,$G459)</f>
        <v>0</v>
      </c>
      <c r="BO459" s="2">
        <f>BJ459/SUMIFS(BJ$3:BJ$623,$BC$3:$BC$623,1,$G$3:$G$623,$G459)</f>
        <v>0</v>
      </c>
      <c r="BP459" s="2">
        <f>BK459/SUMIFS(BK$3:BK$623,$BC$3:$BC$623,1,$G$3:$G$623,$G459)</f>
        <v>0</v>
      </c>
      <c r="BQ459" s="2">
        <f>BL459</f>
        <v>5.3507728894173601E-2</v>
      </c>
      <c r="BR459" s="2">
        <f>BM459</f>
        <v>0</v>
      </c>
    </row>
    <row r="460" spans="1:70" hidden="1">
      <c r="A460" s="74">
        <v>0</v>
      </c>
      <c r="B460" s="73">
        <v>213404</v>
      </c>
      <c r="C460" s="73" t="s">
        <v>2803</v>
      </c>
      <c r="D460" s="73" t="s">
        <v>2136</v>
      </c>
      <c r="E460" s="73" t="s">
        <v>2804</v>
      </c>
      <c r="F460" s="73">
        <v>18708</v>
      </c>
      <c r="G460" s="73" t="s">
        <v>866</v>
      </c>
      <c r="H460" s="73" t="s">
        <v>923</v>
      </c>
      <c r="I460" s="73" t="s">
        <v>1012</v>
      </c>
      <c r="J460" s="73">
        <v>0</v>
      </c>
      <c r="K460" s="73">
        <v>4.5</v>
      </c>
      <c r="L460" s="73">
        <v>0</v>
      </c>
      <c r="M460" s="73">
        <v>0</v>
      </c>
      <c r="N460" s="73">
        <v>0</v>
      </c>
      <c r="O460" s="73" t="s">
        <v>994</v>
      </c>
      <c r="P460" s="73" t="s">
        <v>2527</v>
      </c>
      <c r="Q460" s="73" t="s">
        <v>2527</v>
      </c>
      <c r="R460" s="73">
        <v>1</v>
      </c>
      <c r="S460" s="73">
        <v>1</v>
      </c>
      <c r="T460" s="73">
        <v>0</v>
      </c>
      <c r="U460" s="73">
        <v>1</v>
      </c>
      <c r="V460" s="73">
        <v>1419</v>
      </c>
      <c r="W460" s="73">
        <v>2</v>
      </c>
      <c r="X460" s="73">
        <v>5</v>
      </c>
      <c r="Y460" s="73">
        <v>0</v>
      </c>
      <c r="Z460" s="73" t="s">
        <v>1342</v>
      </c>
      <c r="AA460" s="73" t="s">
        <v>691</v>
      </c>
      <c r="AB460" s="73" t="str">
        <f>IF(AA460&lt;&gt;"",INDEX(Lookup!$N$2:$N$5,MATCH(Players!AA460,Lookup!$P$2:$P$5,0)),INDEX(Lookup!$N$2:$N$5,MATCH(Players!O460,Lookup!$O$2:$O$5,0)))</f>
        <v>Midfield</v>
      </c>
      <c r="AC460" s="73">
        <v>3000000</v>
      </c>
      <c r="AD460" s="73" t="s">
        <v>790</v>
      </c>
      <c r="AE460" s="73" t="str">
        <f>INDEX('Translate table'!$H$2:$H$622,MATCH(Players!P460,'Translate table'!$G$2:$G$622,0))</f>
        <v>Denis Zakaria</v>
      </c>
      <c r="AF460" s="73">
        <f>IFERROR(INDEX('Euro Qual stats'!$A$1:$L$2071,MATCH(Players!$AE460,'Euro Qual stats'!$A$1:$A$2071,0),MATCH(Players!AF$2,'Euro Qual stats'!$A$1:$L$1,0)),0)</f>
        <v>8</v>
      </c>
      <c r="AG460" s="73">
        <f>IFERROR(INDEX('Euro Qual stats'!$A$1:$L$2071,MATCH(Players!$AE460,'Euro Qual stats'!$A$1:$A$2071,0),MATCH(Players!AG$2,'Euro Qual stats'!$A$1:$L$1,0)),0)</f>
        <v>0.13</v>
      </c>
      <c r="AH460" s="73">
        <f>IFERROR(INDEX('Euro Qual stats'!$A$1:$L$2071,MATCH(Players!$AE460,'Euro Qual stats'!$A$1:$A$2071,0),MATCH(Players!AH$2,'Euro Qual stats'!$A$1:$L$1,0)),0)</f>
        <v>0.26</v>
      </c>
      <c r="AI460" s="73">
        <f>IFERROR(INDEX('Euro Qual stats'!$A$1:$L$2071,MATCH(Players!$AE460,'Euro Qual stats'!$A$1:$A$2071,0),MATCH(Players!AI$2,'Euro Qual stats'!$A$1:$L$1,0)),0)</f>
        <v>0.26</v>
      </c>
      <c r="AJ460" s="93">
        <f>(12-AF460)/12*INDEX(BV$9:BV$12,MATCH($AB460,$BU$9:$BU$12,0))+AF460/12*AG460</f>
        <v>0.14289703315881325</v>
      </c>
      <c r="AK460" s="93">
        <f>(12-AG460)/12*INDEX(BW$9:BW$12,MATCH($AB460,$BU$9:$BU$12,0))+AG460/12*AH460</f>
        <v>0.22379960732984291</v>
      </c>
      <c r="AL460" s="93">
        <f>(12-AH460)/12*INDEX(BX$9:BX$12,MATCH($AB460,$BU$9:$BU$12,0))+AH460/12*AI460</f>
        <v>0.23986989528795816</v>
      </c>
      <c r="AM460" s="93">
        <f>IF($BC460=1,AJ460/SUMIFS(AJ$3:AJ$623,$BC$3:$BC$623,1,$G$3:$G$623,$G460),0)</f>
        <v>0</v>
      </c>
      <c r="AN460" s="93">
        <f>IF($BC460=1,AK460/SUMIFS(AK$3:AK$623,$BC$3:$BC$623,1,$G$3:$G$623,$G460),0)</f>
        <v>0</v>
      </c>
      <c r="AO460" s="93">
        <f>IF($BC460=1,AL460/SUMIFS(AL$3:AL$623,$BC$3:$BC$623,1,$G$3:$G$623,$G460),0)</f>
        <v>0</v>
      </c>
      <c r="AP460" s="2">
        <f>IFERROR(R460/$V460*90,"")</f>
        <v>6.3424947145877375E-2</v>
      </c>
      <c r="AQ460" s="2">
        <f>IFERROR(S460/$V460*90,"")</f>
        <v>6.3424947145877375E-2</v>
      </c>
      <c r="AR460" s="2">
        <f>IFERROR(W460/$V460*90,"")</f>
        <v>0.12684989429175475</v>
      </c>
      <c r="AS460" s="2">
        <f>IFERROR(X460/$V460*90,"")</f>
        <v>0.31712473572938693</v>
      </c>
      <c r="AT460" s="2">
        <f>IFERROR(Y460/$V460*90,"")</f>
        <v>0</v>
      </c>
      <c r="AU460" s="2">
        <f>IF(AP460="",INDEX(BV$4:BV$7,MATCH(O460,$BU$4:$BU$7,0)),AP460)</f>
        <v>6.3424947145877375E-2</v>
      </c>
      <c r="AV460" s="2">
        <f>IF(AQ460="",INDEX(BW$4:BW$7,MATCH($O460,$BU$4:$BU$7,0)),AQ460)</f>
        <v>6.3424947145877375E-2</v>
      </c>
      <c r="AW460" s="2">
        <f t="shared" si="84"/>
        <v>0.12684989429175475</v>
      </c>
      <c r="AX460" s="2">
        <f t="shared" si="85"/>
        <v>0.31712473572938693</v>
      </c>
      <c r="AY460" s="2">
        <f t="shared" si="86"/>
        <v>0</v>
      </c>
      <c r="AZ460" s="2">
        <f>AU460*0.5+AK460*0.5</f>
        <v>0.14361227723786013</v>
      </c>
      <c r="BA460" s="2">
        <f>AV460*0.5+AJ460*0.5</f>
        <v>0.10316099015234531</v>
      </c>
      <c r="BB460" s="2">
        <f t="shared" si="87"/>
        <v>0.28856236786469347</v>
      </c>
      <c r="BC460">
        <f>IF(I460="expected",1,0)</f>
        <v>0</v>
      </c>
      <c r="BD460" s="78">
        <f>IF(BC460=1,AZ460/SUMIFS(AZ$3:AZ$623,$BC$3:$BC$623,1,$G$3:$G$623,$G460),0)</f>
        <v>0</v>
      </c>
      <c r="BE460" s="78">
        <f>IF(BC460=1,BA460/SUMIFS(BA$3:BA$623,$BC$3:$BC$623,1,$G$3:$G$623,$G460),0)</f>
        <v>0</v>
      </c>
      <c r="BF460" s="78">
        <f t="shared" si="88"/>
        <v>0</v>
      </c>
      <c r="BG460" s="2">
        <f t="shared" si="89"/>
        <v>0.28856236786469347</v>
      </c>
      <c r="BH460" s="2">
        <f t="shared" si="90"/>
        <v>0</v>
      </c>
      <c r="BI460" s="2">
        <f t="shared" si="91"/>
        <v>0</v>
      </c>
      <c r="BJ460" s="2">
        <f t="shared" si="92"/>
        <v>0</v>
      </c>
      <c r="BK460" s="2">
        <f t="shared" si="93"/>
        <v>0</v>
      </c>
      <c r="BL460" s="2">
        <f t="shared" si="94"/>
        <v>0.28856236786469347</v>
      </c>
      <c r="BM460" s="2">
        <f t="shared" si="95"/>
        <v>0</v>
      </c>
      <c r="BN460" s="2">
        <f>BI460/SUMIFS(BI$3:BI$623,$BC$3:$BC$623,1,$G$3:$G$623,$G460)</f>
        <v>0</v>
      </c>
      <c r="BO460" s="2">
        <f>BJ460/SUMIFS(BJ$3:BJ$623,$BC$3:$BC$623,1,$G$3:$G$623,$G460)</f>
        <v>0</v>
      </c>
      <c r="BP460" s="2">
        <f>BK460/SUMIFS(BK$3:BK$623,$BC$3:$BC$623,1,$G$3:$G$623,$G460)</f>
        <v>0</v>
      </c>
      <c r="BQ460" s="2">
        <f>BL460</f>
        <v>0.28856236786469347</v>
      </c>
      <c r="BR460" s="2">
        <f>BM460</f>
        <v>0</v>
      </c>
    </row>
    <row r="461" spans="1:70" hidden="1">
      <c r="A461" s="74">
        <v>0</v>
      </c>
      <c r="B461" s="73">
        <v>204743</v>
      </c>
      <c r="C461" s="73" t="s">
        <v>2805</v>
      </c>
      <c r="D461" s="73" t="s">
        <v>2806</v>
      </c>
      <c r="E461" s="73" t="s">
        <v>2807</v>
      </c>
      <c r="F461" s="73">
        <v>18708</v>
      </c>
      <c r="G461" s="73" t="s">
        <v>866</v>
      </c>
      <c r="H461" s="73" t="s">
        <v>923</v>
      </c>
      <c r="I461" s="73" t="s">
        <v>1012</v>
      </c>
      <c r="J461" s="73">
        <v>0</v>
      </c>
      <c r="K461" s="73">
        <v>4.5</v>
      </c>
      <c r="L461" s="73">
        <v>0</v>
      </c>
      <c r="M461" s="73">
        <v>0</v>
      </c>
      <c r="N461" s="73">
        <v>0</v>
      </c>
      <c r="O461" s="73" t="s">
        <v>994</v>
      </c>
      <c r="P461" s="73" t="s">
        <v>2808</v>
      </c>
      <c r="Q461" s="73" t="s">
        <v>2808</v>
      </c>
      <c r="R461" s="73">
        <v>6</v>
      </c>
      <c r="S461" s="73">
        <v>3</v>
      </c>
      <c r="T461" s="73">
        <v>0</v>
      </c>
      <c r="U461" s="73">
        <v>1</v>
      </c>
      <c r="V461" s="73">
        <v>1614</v>
      </c>
      <c r="W461" s="73">
        <v>13</v>
      </c>
      <c r="X461" s="73">
        <v>2</v>
      </c>
      <c r="Y461" s="73">
        <v>1</v>
      </c>
      <c r="Z461" s="73" t="s">
        <v>1342</v>
      </c>
      <c r="AA461" s="73" t="s">
        <v>691</v>
      </c>
      <c r="AB461" s="73" t="str">
        <f>IF(AA461&lt;&gt;"",INDEX(Lookup!$N$2:$N$5,MATCH(Players!AA461,Lookup!$P$2:$P$5,0)),INDEX(Lookup!$N$2:$N$5,MATCH(Players!O461,Lookup!$O$2:$O$5,0)))</f>
        <v>Midfield</v>
      </c>
      <c r="AC461" s="73">
        <v>3000000</v>
      </c>
      <c r="AD461" s="73" t="s">
        <v>788</v>
      </c>
      <c r="AE461" s="73" t="str">
        <f>INDEX('Translate table'!$H$2:$H$622,MATCH(Players!P461,'Translate table'!$G$2:$G$622,0))</f>
        <v>Ruben Vargas</v>
      </c>
      <c r="AF461" s="73">
        <f>IFERROR(INDEX('Euro Qual stats'!$A$1:$L$2071,MATCH(Players!$AE461,'Euro Qual stats'!$A$1:$A$2071,0),MATCH(Players!AF$2,'Euro Qual stats'!$A$1:$L$1,0)),0)</f>
        <v>3</v>
      </c>
      <c r="AG461" s="73">
        <f>IFERROR(INDEX('Euro Qual stats'!$A$1:$L$2071,MATCH(Players!$AE461,'Euro Qual stats'!$A$1:$A$2071,0),MATCH(Players!AG$2,'Euro Qual stats'!$A$1:$L$1,0)),0)</f>
        <v>0.5</v>
      </c>
      <c r="AH461" s="73">
        <f>IFERROR(INDEX('Euro Qual stats'!$A$1:$L$2071,MATCH(Players!$AE461,'Euro Qual stats'!$A$1:$A$2071,0),MATCH(Players!AH$2,'Euro Qual stats'!$A$1:$L$1,0)),0)</f>
        <v>0.5</v>
      </c>
      <c r="AI461" s="73">
        <f>IFERROR(INDEX('Euro Qual stats'!$A$1:$L$2071,MATCH(Players!$AE461,'Euro Qual stats'!$A$1:$A$2071,0),MATCH(Players!AI$2,'Euro Qual stats'!$A$1:$L$1,0)),0)</f>
        <v>0</v>
      </c>
      <c r="AJ461" s="93">
        <f>(12-AF461)/12*INDEX(BV$9:BV$12,MATCH($AB461,$BU$9:$BU$12,0))+AF461/12*AG461</f>
        <v>0.25151832460732981</v>
      </c>
      <c r="AK461" s="93">
        <f>(12-AG461)/12*INDEX(BW$9:BW$12,MATCH($AB461,$BU$9:$BU$12,0))+AG461/12*AH461</f>
        <v>0.23492801047120418</v>
      </c>
      <c r="AL461" s="93">
        <f>(12-AH461)/12*INDEX(BX$9:BX$12,MATCH($AB461,$BU$9:$BU$12,0))+AH461/12*AI461</f>
        <v>0.22944808027923214</v>
      </c>
      <c r="AM461" s="93">
        <f>IF($BC461=1,AJ461/SUMIFS(AJ$3:AJ$623,$BC$3:$BC$623,1,$G$3:$G$623,$G461),0)</f>
        <v>0</v>
      </c>
      <c r="AN461" s="93">
        <f>IF($BC461=1,AK461/SUMIFS(AK$3:AK$623,$BC$3:$BC$623,1,$G$3:$G$623,$G461),0)</f>
        <v>0</v>
      </c>
      <c r="AO461" s="93">
        <f>IF($BC461=1,AL461/SUMIFS(AL$3:AL$623,$BC$3:$BC$623,1,$G$3:$G$623,$G461),0)</f>
        <v>0</v>
      </c>
      <c r="AP461" s="2">
        <f>IFERROR(R461/$V461*90,"")</f>
        <v>0.33457249070631967</v>
      </c>
      <c r="AQ461" s="2">
        <f>IFERROR(S461/$V461*90,"")</f>
        <v>0.16728624535315983</v>
      </c>
      <c r="AR461" s="2">
        <f>IFERROR(W461/$V461*90,"")</f>
        <v>0.72490706319702591</v>
      </c>
      <c r="AS461" s="2">
        <f>IFERROR(X461/$V461*90,"")</f>
        <v>0.11152416356877323</v>
      </c>
      <c r="AT461" s="2">
        <f>IFERROR(Y461/$V461*90,"")</f>
        <v>5.5762081784386616E-2</v>
      </c>
      <c r="AU461" s="2">
        <f>IF(AP461="",INDEX(BV$4:BV$7,MATCH(O461,$BU$4:$BU$7,0)),AP461)</f>
        <v>0.33457249070631967</v>
      </c>
      <c r="AV461" s="2">
        <f>IF(AQ461="",INDEX(BW$4:BW$7,MATCH($O461,$BU$4:$BU$7,0)),AQ461)</f>
        <v>0.16728624535315983</v>
      </c>
      <c r="AW461" s="2">
        <f t="shared" si="84"/>
        <v>0.72490706319702591</v>
      </c>
      <c r="AX461" s="2">
        <f t="shared" si="85"/>
        <v>0.11152416356877323</v>
      </c>
      <c r="AY461" s="2">
        <f t="shared" si="86"/>
        <v>5.5762081784386616E-2</v>
      </c>
      <c r="AZ461" s="2">
        <f>AU461*0.5+AK461*0.5</f>
        <v>0.28475025058876191</v>
      </c>
      <c r="BA461" s="2">
        <f>AV461*0.5+AJ461*0.5</f>
        <v>0.20940228498024482</v>
      </c>
      <c r="BB461" s="2">
        <f t="shared" si="87"/>
        <v>5.5762081784386616E-2</v>
      </c>
      <c r="BC461">
        <f>IF(I461="expected",1,0)</f>
        <v>0</v>
      </c>
      <c r="BD461" s="78">
        <f>IF(BC461=1,AZ461/SUMIFS(AZ$3:AZ$623,$BC$3:$BC$623,1,$G$3:$G$623,$G461),0)</f>
        <v>0</v>
      </c>
      <c r="BE461" s="78">
        <f>IF(BC461=1,BA461/SUMIFS(BA$3:BA$623,$BC$3:$BC$623,1,$G$3:$G$623,$G461),0)</f>
        <v>0</v>
      </c>
      <c r="BF461" s="78">
        <f t="shared" si="88"/>
        <v>0</v>
      </c>
      <c r="BG461" s="2">
        <f t="shared" si="89"/>
        <v>5.5762081784386616E-2</v>
      </c>
      <c r="BH461" s="2">
        <f t="shared" si="90"/>
        <v>5.5762081784386616E-2</v>
      </c>
      <c r="BI461" s="2">
        <f t="shared" si="91"/>
        <v>0</v>
      </c>
      <c r="BJ461" s="2">
        <f t="shared" si="92"/>
        <v>0</v>
      </c>
      <c r="BK461" s="2">
        <f t="shared" si="93"/>
        <v>0</v>
      </c>
      <c r="BL461" s="2">
        <f t="shared" si="94"/>
        <v>5.5762081784386616E-2</v>
      </c>
      <c r="BM461" s="2">
        <f t="shared" si="95"/>
        <v>5.5762081784386616E-2</v>
      </c>
      <c r="BN461" s="2">
        <f>BI461/SUMIFS(BI$3:BI$623,$BC$3:$BC$623,1,$G$3:$G$623,$G461)</f>
        <v>0</v>
      </c>
      <c r="BO461" s="2">
        <f>BJ461/SUMIFS(BJ$3:BJ$623,$BC$3:$BC$623,1,$G$3:$G$623,$G461)</f>
        <v>0</v>
      </c>
      <c r="BP461" s="2">
        <f>BK461/SUMIFS(BK$3:BK$623,$BC$3:$BC$623,1,$G$3:$G$623,$G461)</f>
        <v>0</v>
      </c>
      <c r="BQ461" s="2">
        <f>BL461</f>
        <v>5.5762081784386616E-2</v>
      </c>
      <c r="BR461" s="2">
        <f>BM461</f>
        <v>5.5762081784386616E-2</v>
      </c>
    </row>
    <row r="462" spans="1:70" hidden="1">
      <c r="A462" s="74">
        <v>0</v>
      </c>
      <c r="B462" s="73">
        <v>204733</v>
      </c>
      <c r="C462" s="73" t="s">
        <v>2809</v>
      </c>
      <c r="D462" s="73" t="s">
        <v>1397</v>
      </c>
      <c r="E462" s="73" t="s">
        <v>2810</v>
      </c>
      <c r="F462" s="73">
        <v>18708</v>
      </c>
      <c r="G462" s="73" t="s">
        <v>866</v>
      </c>
      <c r="H462" s="73" t="s">
        <v>923</v>
      </c>
      <c r="I462" s="73" t="s">
        <v>981</v>
      </c>
      <c r="J462" s="73">
        <v>0</v>
      </c>
      <c r="K462" s="73">
        <v>4.5</v>
      </c>
      <c r="L462" s="73">
        <v>0</v>
      </c>
      <c r="M462" s="73">
        <v>0</v>
      </c>
      <c r="N462" s="73">
        <v>0</v>
      </c>
      <c r="O462" s="73" t="s">
        <v>994</v>
      </c>
      <c r="P462" s="73" t="s">
        <v>2811</v>
      </c>
      <c r="Q462" s="73" t="s">
        <v>2811</v>
      </c>
      <c r="R462" s="73">
        <v>0</v>
      </c>
      <c r="S462" s="73">
        <v>3</v>
      </c>
      <c r="T462" s="73">
        <v>0</v>
      </c>
      <c r="U462" s="73">
        <v>0</v>
      </c>
      <c r="V462" s="73">
        <v>578</v>
      </c>
      <c r="W462" s="73">
        <v>2</v>
      </c>
      <c r="X462" s="73">
        <v>1</v>
      </c>
      <c r="Y462" s="73">
        <v>0</v>
      </c>
      <c r="Z462" s="73" t="s">
        <v>1342</v>
      </c>
      <c r="AA462" s="73" t="s">
        <v>691</v>
      </c>
      <c r="AB462" s="73" t="str">
        <f>IF(AA462&lt;&gt;"",INDEX(Lookup!$N$2:$N$5,MATCH(Players!AA462,Lookup!$P$2:$P$5,0)),INDEX(Lookup!$N$2:$N$5,MATCH(Players!O462,Lookup!$O$2:$O$5,0)))</f>
        <v>Midfield</v>
      </c>
      <c r="AC462" s="73">
        <v>3500000</v>
      </c>
      <c r="AD462" s="73" t="s">
        <v>789</v>
      </c>
      <c r="AE462" s="73" t="str">
        <f>INDEX('Translate table'!$H$2:$H$622,MATCH(Players!P462,'Translate table'!$G$2:$G$622,0))</f>
        <v>Steven Zuber</v>
      </c>
      <c r="AF462" s="73">
        <f>IFERROR(INDEX('Euro Qual stats'!$A$1:$L$2071,MATCH(Players!$AE462,'Euro Qual stats'!$A$1:$A$2071,0),MATCH(Players!AF$2,'Euro Qual stats'!$A$1:$L$1,0)),0)</f>
        <v>2</v>
      </c>
      <c r="AG462" s="73">
        <f>IFERROR(INDEX('Euro Qual stats'!$A$1:$L$2071,MATCH(Players!$AE462,'Euro Qual stats'!$A$1:$A$2071,0),MATCH(Players!AG$2,'Euro Qual stats'!$A$1:$L$1,0)),0)</f>
        <v>0.5</v>
      </c>
      <c r="AH462" s="73">
        <f>IFERROR(INDEX('Euro Qual stats'!$A$1:$L$2071,MATCH(Players!$AE462,'Euro Qual stats'!$A$1:$A$2071,0),MATCH(Players!AH$2,'Euro Qual stats'!$A$1:$L$1,0)),0)</f>
        <v>0.5</v>
      </c>
      <c r="AI462" s="73">
        <f>IFERROR(INDEX('Euro Qual stats'!$A$1:$L$2071,MATCH(Players!$AE462,'Euro Qual stats'!$A$1:$A$2071,0),MATCH(Players!AI$2,'Euro Qual stats'!$A$1:$L$1,0)),0)</f>
        <v>0</v>
      </c>
      <c r="AJ462" s="93">
        <f>(12-AF462)/12*INDEX(BV$9:BV$12,MATCH($AB462,$BU$9:$BU$12,0))+AF462/12*AG462</f>
        <v>0.22390924956369984</v>
      </c>
      <c r="AK462" s="93">
        <f>(12-AG462)/12*INDEX(BW$9:BW$12,MATCH($AB462,$BU$9:$BU$12,0))+AG462/12*AH462</f>
        <v>0.23492801047120418</v>
      </c>
      <c r="AL462" s="93">
        <f>(12-AH462)/12*INDEX(BX$9:BX$12,MATCH($AB462,$BU$9:$BU$12,0))+AH462/12*AI462</f>
        <v>0.22944808027923214</v>
      </c>
      <c r="AM462" s="93">
        <f>IF($BC462=1,AJ462/SUMIFS(AJ$3:AJ$623,$BC$3:$BC$623,1,$G$3:$G$623,$G462),0)</f>
        <v>0.16095883252554863</v>
      </c>
      <c r="AN462" s="93">
        <f>IF($BC462=1,AK462/SUMIFS(AK$3:AK$623,$BC$3:$BC$623,1,$G$3:$G$623,$G462),0)</f>
        <v>9.9056823999596894E-2</v>
      </c>
      <c r="AO462" s="93">
        <f>IF($BC462=1,AL462/SUMIFS(AL$3:AL$623,$BC$3:$BC$623,1,$G$3:$G$623,$G462),0)</f>
        <v>0.11237449975426526</v>
      </c>
      <c r="AP462" s="2">
        <f>IFERROR(R462/$V462*90,"")</f>
        <v>0</v>
      </c>
      <c r="AQ462" s="2">
        <f>IFERROR(S462/$V462*90,"")</f>
        <v>0.4671280276816609</v>
      </c>
      <c r="AR462" s="2">
        <f>IFERROR(W462/$V462*90,"")</f>
        <v>0.31141868512110726</v>
      </c>
      <c r="AS462" s="2">
        <f>IFERROR(X462/$V462*90,"")</f>
        <v>0.15570934256055363</v>
      </c>
      <c r="AT462" s="2">
        <f>IFERROR(Y462/$V462*90,"")</f>
        <v>0</v>
      </c>
      <c r="AU462" s="2">
        <f>IF(AP462="",INDEX(BV$4:BV$7,MATCH(O462,$BU$4:$BU$7,0)),AP462)</f>
        <v>0</v>
      </c>
      <c r="AV462" s="2">
        <f>IF(AQ462="",INDEX(BW$4:BW$7,MATCH($O462,$BU$4:$BU$7,0)),AQ462)</f>
        <v>0.4671280276816609</v>
      </c>
      <c r="AW462" s="2">
        <f t="shared" si="84"/>
        <v>0.31141868512110726</v>
      </c>
      <c r="AX462" s="2">
        <f t="shared" si="85"/>
        <v>0.15570934256055363</v>
      </c>
      <c r="AY462" s="2">
        <f t="shared" si="86"/>
        <v>0</v>
      </c>
      <c r="AZ462" s="2">
        <f>AU462*0.5+AK462*0.5</f>
        <v>0.11746400523560209</v>
      </c>
      <c r="BA462" s="2">
        <f>AV462*0.5+AJ462*0.5</f>
        <v>0.3455186386226804</v>
      </c>
      <c r="BB462" s="2">
        <f t="shared" si="87"/>
        <v>7.7854671280276816E-2</v>
      </c>
      <c r="BC462">
        <f>IF(I462="expected",1,0)</f>
        <v>1</v>
      </c>
      <c r="BD462" s="78">
        <f>IF(BC462=1,AZ462/SUMIFS(AZ$3:AZ$623,$BC$3:$BC$623,1,$G$3:$G$623,$G462),0)</f>
        <v>7.9097988900488456E-2</v>
      </c>
      <c r="BE462" s="78">
        <f>IF(BC462=1,BA462/SUMIFS(BA$3:BA$623,$BC$3:$BC$623,1,$G$3:$G$623,$G462),0)</f>
        <v>0.24956683831159862</v>
      </c>
      <c r="BF462" s="78">
        <f t="shared" si="88"/>
        <v>8.8507072232968442E-2</v>
      </c>
      <c r="BG462" s="2">
        <f t="shared" si="89"/>
        <v>7.7854671280276816E-2</v>
      </c>
      <c r="BH462" s="2">
        <f t="shared" si="90"/>
        <v>0</v>
      </c>
      <c r="BI462" s="2">
        <f t="shared" si="91"/>
        <v>7.9097988900488456E-2</v>
      </c>
      <c r="BJ462" s="2">
        <f t="shared" si="92"/>
        <v>0.24956683831159862</v>
      </c>
      <c r="BK462" s="2">
        <f t="shared" si="93"/>
        <v>8.8507072232968442E-2</v>
      </c>
      <c r="BL462" s="2">
        <f t="shared" si="94"/>
        <v>7.7854671280276816E-2</v>
      </c>
      <c r="BM462" s="2">
        <f t="shared" si="95"/>
        <v>0</v>
      </c>
      <c r="BN462" s="2">
        <f>BI462/SUMIFS(BI$3:BI$623,$BC$3:$BC$623,1,$G$3:$G$623,$G462)</f>
        <v>7.909798890048847E-2</v>
      </c>
      <c r="BO462" s="2">
        <f>BJ462/SUMIFS(BJ$3:BJ$623,$BC$3:$BC$623,1,$G$3:$G$623,$G462)</f>
        <v>0.24956683831159862</v>
      </c>
      <c r="BP462" s="2">
        <f>BK462/SUMIFS(BK$3:BK$623,$BC$3:$BC$623,1,$G$3:$G$623,$G462)</f>
        <v>9.5613048767920886E-2</v>
      </c>
      <c r="BQ462" s="2">
        <f>BL462</f>
        <v>7.7854671280276816E-2</v>
      </c>
      <c r="BR462" s="2">
        <f>BM462</f>
        <v>0</v>
      </c>
    </row>
    <row r="463" spans="1:70" hidden="1">
      <c r="A463" s="74">
        <v>0</v>
      </c>
      <c r="B463" s="73">
        <v>221563</v>
      </c>
      <c r="C463" s="73" t="s">
        <v>2812</v>
      </c>
      <c r="D463" s="73" t="s">
        <v>1129</v>
      </c>
      <c r="E463" s="73" t="s">
        <v>2813</v>
      </c>
      <c r="F463" s="73">
        <v>18708</v>
      </c>
      <c r="G463" s="73" t="s">
        <v>866</v>
      </c>
      <c r="H463" s="73" t="s">
        <v>923</v>
      </c>
      <c r="I463" s="73" t="s">
        <v>1012</v>
      </c>
      <c r="J463" s="73">
        <v>0</v>
      </c>
      <c r="K463" s="73">
        <v>4.5</v>
      </c>
      <c r="L463" s="73">
        <v>0</v>
      </c>
      <c r="M463" s="73">
        <v>0</v>
      </c>
      <c r="N463" s="73">
        <v>0</v>
      </c>
      <c r="O463" s="73" t="s">
        <v>982</v>
      </c>
      <c r="P463" s="73" t="s">
        <v>2814</v>
      </c>
      <c r="Q463" s="73" t="s">
        <v>2503</v>
      </c>
      <c r="R463" s="73">
        <v>0</v>
      </c>
      <c r="S463" s="73">
        <v>0</v>
      </c>
      <c r="T463" s="73">
        <v>0</v>
      </c>
      <c r="U463" s="73">
        <v>0</v>
      </c>
      <c r="V463" s="73">
        <v>0</v>
      </c>
      <c r="W463" s="73">
        <v>0</v>
      </c>
      <c r="X463" s="73">
        <v>0</v>
      </c>
      <c r="Y463" s="73">
        <v>0</v>
      </c>
      <c r="Z463" s="73" t="s">
        <v>1342</v>
      </c>
      <c r="AA463" s="73" t="s">
        <v>693</v>
      </c>
      <c r="AB463" s="73" t="str">
        <f>IF(AA463&lt;&gt;"",INDEX(Lookup!$N$2:$N$5,MATCH(Players!AA463,Lookup!$P$2:$P$5,0)),INDEX(Lookup!$N$2:$N$5,MATCH(Players!O463,Lookup!$O$2:$O$5,0)))</f>
        <v>Striker</v>
      </c>
      <c r="AC463" s="73">
        <v>3000000</v>
      </c>
      <c r="AD463" s="73" t="s">
        <v>801</v>
      </c>
      <c r="AE463" s="73" t="str">
        <f>INDEX('Translate table'!$H$2:$H$622,MATCH(Players!P463,'Translate table'!$G$2:$G$622,0))</f>
        <v>Mario GavranoviÄ‡</v>
      </c>
      <c r="AF463" s="73">
        <f>IFERROR(INDEX('Euro Qual stats'!$A$1:$L$2071,MATCH(Players!$AE463,'Euro Qual stats'!$A$1:$A$2071,0),MATCH(Players!AF$2,'Euro Qual stats'!$A$1:$L$1,0)),0)</f>
        <v>2</v>
      </c>
      <c r="AG463" s="73">
        <f>IFERROR(INDEX('Euro Qual stats'!$A$1:$L$2071,MATCH(Players!$AE463,'Euro Qual stats'!$A$1:$A$2071,0),MATCH(Players!AG$2,'Euro Qual stats'!$A$1:$L$1,0)),0)</f>
        <v>0</v>
      </c>
      <c r="AH463" s="73">
        <f>IFERROR(INDEX('Euro Qual stats'!$A$1:$L$2071,MATCH(Players!$AE463,'Euro Qual stats'!$A$1:$A$2071,0),MATCH(Players!AH$2,'Euro Qual stats'!$A$1:$L$1,0)),0)</f>
        <v>0.94</v>
      </c>
      <c r="AI463" s="73">
        <f>IFERROR(INDEX('Euro Qual stats'!$A$1:$L$2071,MATCH(Players!$AE463,'Euro Qual stats'!$A$1:$A$2071,0),MATCH(Players!AI$2,'Euro Qual stats'!$A$1:$L$1,0)),0)</f>
        <v>0</v>
      </c>
      <c r="AJ463" s="93">
        <f>(12-AF463)/12*INDEX(BV$9:BV$12,MATCH($AB463,$BU$9:$BU$12,0))+AF463/12*AG463</f>
        <v>0.1707614942528736</v>
      </c>
      <c r="AK463" s="93">
        <f>(12-AG463)/12*INDEX(BW$9:BW$12,MATCH($AB463,$BU$9:$BU$12,0))+AG463/12*AH463</f>
        <v>0.53387931034482738</v>
      </c>
      <c r="AL463" s="93">
        <f>(12-AH463)/12*INDEX(BX$9:BX$12,MATCH($AB463,$BU$9:$BU$12,0))+AH463/12*AI463</f>
        <v>0.15191609195402303</v>
      </c>
      <c r="AM463" s="93">
        <f>IF($BC463=1,AJ463/SUMIFS(AJ$3:AJ$623,$BC$3:$BC$623,1,$G$3:$G$623,$G463),0)</f>
        <v>0</v>
      </c>
      <c r="AN463" s="93">
        <f>IF($BC463=1,AK463/SUMIFS(AK$3:AK$623,$BC$3:$BC$623,1,$G$3:$G$623,$G463),0)</f>
        <v>0</v>
      </c>
      <c r="AO463" s="93">
        <f>IF($BC463=1,AL463/SUMIFS(AL$3:AL$623,$BC$3:$BC$623,1,$G$3:$G$623,$G463),0)</f>
        <v>0</v>
      </c>
      <c r="AP463" s="2" t="str">
        <f>IFERROR(R463/$V463*90,"")</f>
        <v/>
      </c>
      <c r="AQ463" s="2" t="str">
        <f>IFERROR(S463/$V463*90,"")</f>
        <v/>
      </c>
      <c r="AR463" s="2" t="str">
        <f>IFERROR(W463/$V463*90,"")</f>
        <v/>
      </c>
      <c r="AS463" s="2" t="str">
        <f>IFERROR(X463/$V463*90,"")</f>
        <v/>
      </c>
      <c r="AT463" s="2" t="str">
        <f>IFERROR(Y463/$V463*90,"")</f>
        <v/>
      </c>
      <c r="AU463" s="2">
        <f>IF(AP463="",INDEX(BV$4:BV$7,MATCH(O463,$BU$4:$BU$7,0)),AP463)</f>
        <v>0.18769551616266944</v>
      </c>
      <c r="AV463" s="2">
        <f>IF(AQ463="",INDEX(BW$4:BW$7,MATCH($O463,$BU$4:$BU$7,0)),AQ463)</f>
        <v>4.82573726541555E-2</v>
      </c>
      <c r="AW463" s="2">
        <f t="shared" si="84"/>
        <v>0.70512820512820518</v>
      </c>
      <c r="AX463" s="2">
        <f t="shared" si="85"/>
        <v>0.12295081967213115</v>
      </c>
      <c r="AY463" s="2">
        <f t="shared" si="86"/>
        <v>0</v>
      </c>
      <c r="AZ463" s="2">
        <f>AU463*0.5+AK463*0.5</f>
        <v>0.36078741325374841</v>
      </c>
      <c r="BA463" s="2">
        <f>AV463*0.5+AJ463*0.5</f>
        <v>0.10950943345351455</v>
      </c>
      <c r="BB463" s="2">
        <f t="shared" si="87"/>
        <v>6.1475409836065573E-2</v>
      </c>
      <c r="BC463">
        <f>IF(I463="expected",1,0)</f>
        <v>0</v>
      </c>
      <c r="BD463" s="78">
        <f>IF(BC463=1,AZ463/SUMIFS(AZ$3:AZ$623,$BC$3:$BC$623,1,$G$3:$G$623,$G463),0)</f>
        <v>0</v>
      </c>
      <c r="BE463" s="78">
        <f>IF(BC463=1,BA463/SUMIFS(BA$3:BA$623,$BC$3:$BC$623,1,$G$3:$G$623,$G463),0)</f>
        <v>0</v>
      </c>
      <c r="BF463" s="78">
        <f t="shared" si="88"/>
        <v>0</v>
      </c>
      <c r="BG463" s="2">
        <f t="shared" si="89"/>
        <v>6.1475409836065573E-2</v>
      </c>
      <c r="BH463" s="2">
        <f t="shared" si="90"/>
        <v>0</v>
      </c>
      <c r="BI463" s="2">
        <f t="shared" si="91"/>
        <v>0</v>
      </c>
      <c r="BJ463" s="2">
        <f t="shared" si="92"/>
        <v>0</v>
      </c>
      <c r="BK463" s="2">
        <f t="shared" si="93"/>
        <v>0</v>
      </c>
      <c r="BL463" s="2">
        <f t="shared" si="94"/>
        <v>6.1475409836065573E-2</v>
      </c>
      <c r="BM463" s="2">
        <f t="shared" si="95"/>
        <v>0</v>
      </c>
      <c r="BN463" s="2">
        <f>BI463/SUMIFS(BI$3:BI$623,$BC$3:$BC$623,1,$G$3:$G$623,$G463)</f>
        <v>0</v>
      </c>
      <c r="BO463" s="2">
        <f>BJ463/SUMIFS(BJ$3:BJ$623,$BC$3:$BC$623,1,$G$3:$G$623,$G463)</f>
        <v>0</v>
      </c>
      <c r="BP463" s="2">
        <f>BK463/SUMIFS(BK$3:BK$623,$BC$3:$BC$623,1,$G$3:$G$623,$G463)</f>
        <v>0</v>
      </c>
      <c r="BQ463" s="2">
        <f>BL463</f>
        <v>6.1475409836065573E-2</v>
      </c>
      <c r="BR463" s="2">
        <f>BM463</f>
        <v>0</v>
      </c>
    </row>
    <row r="464" spans="1:70" hidden="1">
      <c r="A464" s="74">
        <v>0</v>
      </c>
      <c r="B464" s="73">
        <v>204945</v>
      </c>
      <c r="C464" s="73" t="s">
        <v>2815</v>
      </c>
      <c r="D464" s="73" t="s">
        <v>992</v>
      </c>
      <c r="E464" s="73" t="s">
        <v>2816</v>
      </c>
      <c r="F464" s="73">
        <v>18732</v>
      </c>
      <c r="G464" s="73" t="s">
        <v>897</v>
      </c>
      <c r="H464" s="73" t="s">
        <v>931</v>
      </c>
      <c r="I464" s="73" t="s">
        <v>1012</v>
      </c>
      <c r="J464" s="73">
        <v>0</v>
      </c>
      <c r="K464" s="73">
        <v>4.5</v>
      </c>
      <c r="L464" s="73">
        <v>0</v>
      </c>
      <c r="M464" s="73">
        <v>0</v>
      </c>
      <c r="N464" s="73">
        <v>0</v>
      </c>
      <c r="O464" s="73" t="s">
        <v>994</v>
      </c>
      <c r="P464" s="73" t="s">
        <v>2817</v>
      </c>
      <c r="Q464" s="73" t="s">
        <v>2818</v>
      </c>
      <c r="R464" s="73">
        <v>0</v>
      </c>
      <c r="S464" s="73">
        <v>1</v>
      </c>
      <c r="T464" s="73">
        <v>0</v>
      </c>
      <c r="U464" s="73">
        <v>0</v>
      </c>
      <c r="V464" s="73">
        <v>1839</v>
      </c>
      <c r="W464" s="73">
        <v>0</v>
      </c>
      <c r="X464" s="73">
        <v>6</v>
      </c>
      <c r="Y464" s="73">
        <v>0</v>
      </c>
      <c r="Z464" s="73" t="s">
        <v>2819</v>
      </c>
      <c r="AA464" s="73" t="s">
        <v>693</v>
      </c>
      <c r="AB464" s="73" t="str">
        <f>IF(AA464&lt;&gt;"",INDEX(Lookup!$N$2:$N$5,MATCH(Players!AA464,Lookup!$P$2:$P$5,0)),INDEX(Lookup!$N$2:$N$5,MATCH(Players!O464,Lookup!$O$2:$O$5,0)))</f>
        <v>Striker</v>
      </c>
      <c r="AC464" s="73">
        <v>3000000</v>
      </c>
      <c r="AD464" s="73" t="s">
        <v>788</v>
      </c>
      <c r="AE464" s="73" t="str">
        <f>INDEX('Translate table'!$H$2:$H$622,MATCH(Players!P464,'Translate table'!$G$2:$G$622,0))</f>
        <v>Kevin Varga</v>
      </c>
      <c r="AF464" s="73">
        <f>IFERROR(INDEX('Euro Qual stats'!$A$1:$L$2071,MATCH(Players!$AE464,'Euro Qual stats'!$A$1:$A$2071,0),MATCH(Players!AF$2,'Euro Qual stats'!$A$1:$L$1,0)),0)</f>
        <v>0</v>
      </c>
      <c r="AG464" s="73">
        <f>IFERROR(INDEX('Euro Qual stats'!$A$1:$L$2071,MATCH(Players!$AE464,'Euro Qual stats'!$A$1:$A$2071,0),MATCH(Players!AG$2,'Euro Qual stats'!$A$1:$L$1,0)),0)</f>
        <v>0</v>
      </c>
      <c r="AH464" s="73">
        <f>IFERROR(INDEX('Euro Qual stats'!$A$1:$L$2071,MATCH(Players!$AE464,'Euro Qual stats'!$A$1:$A$2071,0),MATCH(Players!AH$2,'Euro Qual stats'!$A$1:$L$1,0)),0)</f>
        <v>0</v>
      </c>
      <c r="AI464" s="73">
        <f>IFERROR(INDEX('Euro Qual stats'!$A$1:$L$2071,MATCH(Players!$AE464,'Euro Qual stats'!$A$1:$A$2071,0),MATCH(Players!AI$2,'Euro Qual stats'!$A$1:$L$1,0)),0)</f>
        <v>0</v>
      </c>
      <c r="AJ464" s="93">
        <f>(12-AF464)/12*INDEX(BV$9:BV$12,MATCH($AB464,$BU$9:$BU$12,0))+AF464/12*AG464</f>
        <v>0.20491379310344832</v>
      </c>
      <c r="AK464" s="93">
        <f>(12-AG464)/12*INDEX(BW$9:BW$12,MATCH($AB464,$BU$9:$BU$12,0))+AG464/12*AH464</f>
        <v>0.53387931034482738</v>
      </c>
      <c r="AL464" s="93">
        <f>(12-AH464)/12*INDEX(BX$9:BX$12,MATCH($AB464,$BU$9:$BU$12,0))+AH464/12*AI464</f>
        <v>0.16482758620689658</v>
      </c>
      <c r="AM464" s="93">
        <f>IF($BC464=1,AJ464/SUMIFS(AJ$3:AJ$623,$BC$3:$BC$623,1,$G$3:$G$623,$G464),0)</f>
        <v>0</v>
      </c>
      <c r="AN464" s="93">
        <f>IF($BC464=1,AK464/SUMIFS(AK$3:AK$623,$BC$3:$BC$623,1,$G$3:$G$623,$G464),0)</f>
        <v>0</v>
      </c>
      <c r="AO464" s="93">
        <f>IF($BC464=1,AL464/SUMIFS(AL$3:AL$623,$BC$3:$BC$623,1,$G$3:$G$623,$G464),0)</f>
        <v>0</v>
      </c>
      <c r="AP464" s="2">
        <f>IFERROR(R464/$V464*90,"")</f>
        <v>0</v>
      </c>
      <c r="AQ464" s="2">
        <f>IFERROR(S464/$V464*90,"")</f>
        <v>4.8939641109298528E-2</v>
      </c>
      <c r="AR464" s="2">
        <f>IFERROR(W464/$V464*90,"")</f>
        <v>0</v>
      </c>
      <c r="AS464" s="2">
        <f>IFERROR(X464/$V464*90,"")</f>
        <v>0.29363784665579118</v>
      </c>
      <c r="AT464" s="2">
        <f>IFERROR(Y464/$V464*90,"")</f>
        <v>0</v>
      </c>
      <c r="AU464" s="2">
        <f>IF(AP464="",INDEX(BV$4:BV$7,MATCH(O464,$BU$4:$BU$7,0)),AP464)</f>
        <v>0</v>
      </c>
      <c r="AV464" s="2">
        <f>IF(AQ464="",INDEX(BW$4:BW$7,MATCH($O464,$BU$4:$BU$7,0)),AQ464)</f>
        <v>4.8939641109298528E-2</v>
      </c>
      <c r="AW464" s="2">
        <f t="shared" si="84"/>
        <v>0</v>
      </c>
      <c r="AX464" s="2">
        <f t="shared" si="85"/>
        <v>0.29363784665579118</v>
      </c>
      <c r="AY464" s="2">
        <f t="shared" si="86"/>
        <v>0</v>
      </c>
      <c r="AZ464" s="2">
        <f>AU464*0.5+AK464*0.5</f>
        <v>0.26693965517241369</v>
      </c>
      <c r="BA464" s="2">
        <f>AV464*0.5+AJ464*0.5</f>
        <v>0.12692671710637343</v>
      </c>
      <c r="BB464" s="2">
        <f t="shared" si="87"/>
        <v>0.14681892332789559</v>
      </c>
      <c r="BC464">
        <f>IF(I464="expected",1,0)</f>
        <v>0</v>
      </c>
      <c r="BD464" s="78">
        <f>IF(BC464=1,AZ464/SUMIFS(AZ$3:AZ$623,$BC$3:$BC$623,1,$G$3:$G$623,$G464),0)</f>
        <v>0</v>
      </c>
      <c r="BE464" s="78">
        <f>IF(BC464=1,BA464/SUMIFS(BA$3:BA$623,$BC$3:$BC$623,1,$G$3:$G$623,$G464),0)</f>
        <v>0</v>
      </c>
      <c r="BF464" s="78">
        <f t="shared" si="88"/>
        <v>0</v>
      </c>
      <c r="BG464" s="2">
        <f t="shared" si="89"/>
        <v>0.14681892332789559</v>
      </c>
      <c r="BH464" s="2">
        <f t="shared" si="90"/>
        <v>0</v>
      </c>
      <c r="BI464" s="2">
        <f t="shared" si="91"/>
        <v>0</v>
      </c>
      <c r="BJ464" s="2">
        <f t="shared" si="92"/>
        <v>0</v>
      </c>
      <c r="BK464" s="2">
        <f t="shared" si="93"/>
        <v>0</v>
      </c>
      <c r="BL464" s="2">
        <f t="shared" si="94"/>
        <v>0.14681892332789559</v>
      </c>
      <c r="BM464" s="2">
        <f t="shared" si="95"/>
        <v>0</v>
      </c>
      <c r="BN464" s="2">
        <f>BI464/SUMIFS(BI$3:BI$623,$BC$3:$BC$623,1,$G$3:$G$623,$G464)</f>
        <v>0</v>
      </c>
      <c r="BO464" s="2">
        <f>BJ464/SUMIFS(BJ$3:BJ$623,$BC$3:$BC$623,1,$G$3:$G$623,$G464)</f>
        <v>0</v>
      </c>
      <c r="BP464" s="2">
        <f>BK464/SUMIFS(BK$3:BK$623,$BC$3:$BC$623,1,$G$3:$G$623,$G464)</f>
        <v>0</v>
      </c>
      <c r="BQ464" s="2">
        <f>BL464</f>
        <v>0.14681892332789559</v>
      </c>
      <c r="BR464" s="2">
        <f>BM464</f>
        <v>0</v>
      </c>
    </row>
    <row r="465" spans="1:70" hidden="1">
      <c r="A465" s="74">
        <v>0</v>
      </c>
      <c r="B465" s="73">
        <v>204933</v>
      </c>
      <c r="C465" s="73" t="s">
        <v>2821</v>
      </c>
      <c r="D465" s="73" t="s">
        <v>2822</v>
      </c>
      <c r="E465" s="73" t="s">
        <v>2823</v>
      </c>
      <c r="F465" s="73">
        <v>18732</v>
      </c>
      <c r="G465" s="73" t="s">
        <v>897</v>
      </c>
      <c r="H465" s="73" t="s">
        <v>931</v>
      </c>
      <c r="I465" s="73" t="s">
        <v>1012</v>
      </c>
      <c r="J465" s="73">
        <v>0</v>
      </c>
      <c r="K465" s="73">
        <v>4.5</v>
      </c>
      <c r="L465" s="73">
        <v>0</v>
      </c>
      <c r="M465" s="73">
        <v>0</v>
      </c>
      <c r="N465" s="73">
        <v>0</v>
      </c>
      <c r="O465" s="73" t="s">
        <v>994</v>
      </c>
      <c r="P465" s="73" t="s">
        <v>2824</v>
      </c>
      <c r="Q465" s="73" t="s">
        <v>1164</v>
      </c>
      <c r="R465" s="73"/>
      <c r="S465" s="73"/>
      <c r="T465" s="73"/>
      <c r="U465" s="73"/>
      <c r="V465" s="73"/>
      <c r="W465" s="73"/>
      <c r="X465" s="73"/>
      <c r="Y465" s="73"/>
      <c r="Z465" s="73" t="s">
        <v>2819</v>
      </c>
      <c r="AA465" s="73" t="s">
        <v>691</v>
      </c>
      <c r="AB465" s="73" t="str">
        <f>IF(AA465&lt;&gt;"",INDEX(Lookup!$N$2:$N$5,MATCH(Players!AA465,Lookup!$P$2:$P$5,0)),INDEX(Lookup!$N$2:$N$5,MATCH(Players!O465,Lookup!$O$2:$O$5,0)))</f>
        <v>Midfield</v>
      </c>
      <c r="AC465" s="73">
        <v>2500000</v>
      </c>
      <c r="AD465" s="73" t="s">
        <v>789</v>
      </c>
      <c r="AE465" s="73" t="str">
        <f>INDEX('Translate table'!$H$2:$H$622,MATCH(Players!P465,'Translate table'!$G$2:$G$622,0))</f>
        <v>LoÃ¯c Nego</v>
      </c>
      <c r="AF465" s="73">
        <f>IFERROR(INDEX('Euro Qual stats'!$A$1:$L$2071,MATCH(Players!$AE465,'Euro Qual stats'!$A$1:$A$2071,0),MATCH(Players!AF$2,'Euro Qual stats'!$A$1:$L$1,0)),0)</f>
        <v>2</v>
      </c>
      <c r="AG465" s="73">
        <f>IFERROR(INDEX('Euro Qual stats'!$A$1:$L$2071,MATCH(Players!$AE465,'Euro Qual stats'!$A$1:$A$2071,0),MATCH(Players!AG$2,'Euro Qual stats'!$A$1:$L$1,0)),0)</f>
        <v>0</v>
      </c>
      <c r="AH465" s="73">
        <f>IFERROR(INDEX('Euro Qual stats'!$A$1:$L$2071,MATCH(Players!$AE465,'Euro Qual stats'!$A$1:$A$2071,0),MATCH(Players!AH$2,'Euro Qual stats'!$A$1:$L$1,0)),0)</f>
        <v>3.46</v>
      </c>
      <c r="AI465" s="73">
        <f>IFERROR(INDEX('Euro Qual stats'!$A$1:$L$2071,MATCH(Players!$AE465,'Euro Qual stats'!$A$1:$A$2071,0),MATCH(Players!AI$2,'Euro Qual stats'!$A$1:$L$1,0)),0)</f>
        <v>0</v>
      </c>
      <c r="AJ465" s="93">
        <f>(12-AF465)/12*INDEX(BV$9:BV$12,MATCH($AB465,$BU$9:$BU$12,0))+AF465/12*AG465</f>
        <v>0.1405759162303665</v>
      </c>
      <c r="AK465" s="93">
        <f>(12-AG465)/12*INDEX(BW$9:BW$12,MATCH($AB465,$BU$9:$BU$12,0))+AG465/12*AH465</f>
        <v>0.22340314136125652</v>
      </c>
      <c r="AL465" s="93">
        <f>(12-AH465)/12*INDEX(BX$9:BX$12,MATCH($AB465,$BU$9:$BU$12,0))+AH465/12*AI465</f>
        <v>0.17039013961605584</v>
      </c>
      <c r="AM465" s="93">
        <f>IF($BC465=1,AJ465/SUMIFS(AJ$3:AJ$623,$BC$3:$BC$623,1,$G$3:$G$623,$G465),0)</f>
        <v>0</v>
      </c>
      <c r="AN465" s="93">
        <f>IF($BC465=1,AK465/SUMIFS(AK$3:AK$623,$BC$3:$BC$623,1,$G$3:$G$623,$G465),0)</f>
        <v>0</v>
      </c>
      <c r="AO465" s="93">
        <f>IF($BC465=1,AL465/SUMIFS(AL$3:AL$623,$BC$3:$BC$623,1,$G$3:$G$623,$G465),0)</f>
        <v>0</v>
      </c>
      <c r="AP465" s="2" t="str">
        <f>IFERROR(R465/$V465*90,"")</f>
        <v/>
      </c>
      <c r="AQ465" s="2" t="str">
        <f>IFERROR(S465/$V465*90,"")</f>
        <v/>
      </c>
      <c r="AR465" s="2" t="str">
        <f>IFERROR(W465/$V465*90,"")</f>
        <v/>
      </c>
      <c r="AS465" s="2" t="str">
        <f>IFERROR(X465/$V465*90,"")</f>
        <v/>
      </c>
      <c r="AT465" s="2" t="str">
        <f>IFERROR(Y465/$V465*90,"")</f>
        <v/>
      </c>
      <c r="AU465" s="2">
        <f>IF(AP465="",INDEX(BV$4:BV$7,MATCH(O465,$BU$4:$BU$7,0)),AP465)</f>
        <v>3.6526142445450806E-2</v>
      </c>
      <c r="AV465" s="2">
        <f>IF(AQ465="",INDEX(BW$4:BW$7,MATCH($O465,$BU$4:$BU$7,0)),AQ465)</f>
        <v>3.2427739661688867E-2</v>
      </c>
      <c r="AW465" s="2">
        <f t="shared" si="84"/>
        <v>0.20013349649571699</v>
      </c>
      <c r="AX465" s="2">
        <f t="shared" si="85"/>
        <v>0.16081000595592615</v>
      </c>
      <c r="AY465" s="2">
        <f t="shared" si="86"/>
        <v>0</v>
      </c>
      <c r="AZ465" s="2">
        <f>AU465*0.5+AK465*0.5</f>
        <v>0.12996464190335366</v>
      </c>
      <c r="BA465" s="2">
        <f>AV465*0.5+AJ465*0.5</f>
        <v>8.6501827946027676E-2</v>
      </c>
      <c r="BB465" s="2">
        <f t="shared" si="87"/>
        <v>8.0405002977963075E-2</v>
      </c>
      <c r="BC465">
        <f>IF(I465="expected",1,0)</f>
        <v>0</v>
      </c>
      <c r="BD465" s="78">
        <f>IF(BC465=1,AZ465/SUMIFS(AZ$3:AZ$623,$BC$3:$BC$623,1,$G$3:$G$623,$G465),0)</f>
        <v>0</v>
      </c>
      <c r="BE465" s="78">
        <f>IF(BC465=1,BA465/SUMIFS(BA$3:BA$623,$BC$3:$BC$623,1,$G$3:$G$623,$G465),0)</f>
        <v>0</v>
      </c>
      <c r="BF465" s="78">
        <f t="shared" si="88"/>
        <v>0</v>
      </c>
      <c r="BG465" s="2">
        <f t="shared" si="89"/>
        <v>8.0405002977963075E-2</v>
      </c>
      <c r="BH465" s="2">
        <f t="shared" si="90"/>
        <v>0</v>
      </c>
      <c r="BI465" s="2">
        <f t="shared" si="91"/>
        <v>0</v>
      </c>
      <c r="BJ465" s="2">
        <f t="shared" si="92"/>
        <v>0</v>
      </c>
      <c r="BK465" s="2">
        <f t="shared" si="93"/>
        <v>0</v>
      </c>
      <c r="BL465" s="2">
        <f t="shared" si="94"/>
        <v>8.0405002977963075E-2</v>
      </c>
      <c r="BM465" s="2">
        <f t="shared" si="95"/>
        <v>0</v>
      </c>
      <c r="BN465" s="2">
        <f>BI465/SUMIFS(BI$3:BI$623,$BC$3:$BC$623,1,$G$3:$G$623,$G465)</f>
        <v>0</v>
      </c>
      <c r="BO465" s="2">
        <f>BJ465/SUMIFS(BJ$3:BJ$623,$BC$3:$BC$623,1,$G$3:$G$623,$G465)</f>
        <v>0</v>
      </c>
      <c r="BP465" s="2">
        <f>BK465/SUMIFS(BK$3:BK$623,$BC$3:$BC$623,1,$G$3:$G$623,$G465)</f>
        <v>0</v>
      </c>
      <c r="BQ465" s="2">
        <f>BL465</f>
        <v>8.0405002977963075E-2</v>
      </c>
      <c r="BR465" s="2">
        <f>BM465</f>
        <v>0</v>
      </c>
    </row>
    <row r="466" spans="1:70" hidden="1">
      <c r="A466" s="74">
        <v>0</v>
      </c>
      <c r="B466" s="73">
        <v>220832</v>
      </c>
      <c r="C466" s="73" t="s">
        <v>2825</v>
      </c>
      <c r="D466" s="73" t="s">
        <v>2826</v>
      </c>
      <c r="E466" s="73" t="s">
        <v>2827</v>
      </c>
      <c r="F466" s="73">
        <v>18732</v>
      </c>
      <c r="G466" s="73" t="s">
        <v>897</v>
      </c>
      <c r="H466" s="73" t="s">
        <v>931</v>
      </c>
      <c r="I466" s="73" t="s">
        <v>1012</v>
      </c>
      <c r="J466" s="73">
        <v>0</v>
      </c>
      <c r="K466" s="73">
        <v>4.5</v>
      </c>
      <c r="L466" s="73">
        <v>0</v>
      </c>
      <c r="M466" s="73">
        <v>0</v>
      </c>
      <c r="N466" s="73">
        <v>0</v>
      </c>
      <c r="O466" s="73" t="s">
        <v>982</v>
      </c>
      <c r="P466" s="73" t="s">
        <v>2828</v>
      </c>
      <c r="Q466" s="73" t="s">
        <v>2829</v>
      </c>
      <c r="R466" s="73">
        <v>8</v>
      </c>
      <c r="S466" s="73">
        <v>3</v>
      </c>
      <c r="T466" s="73">
        <v>0</v>
      </c>
      <c r="U466" s="73">
        <v>0</v>
      </c>
      <c r="V466" s="73">
        <v>1674</v>
      </c>
      <c r="W466" s="73">
        <v>20</v>
      </c>
      <c r="X466" s="73">
        <v>5</v>
      </c>
      <c r="Y466" s="73">
        <v>0</v>
      </c>
      <c r="Z466" s="73" t="s">
        <v>2819</v>
      </c>
      <c r="AA466" s="73" t="s">
        <v>693</v>
      </c>
      <c r="AB466" s="73" t="str">
        <f>IF(AA466&lt;&gt;"",INDEX(Lookup!$N$2:$N$5,MATCH(Players!AA466,Lookup!$P$2:$P$5,0)),INDEX(Lookup!$N$2:$N$5,MATCH(Players!O466,Lookup!$O$2:$O$5,0)))</f>
        <v>Striker</v>
      </c>
      <c r="AC466" s="73">
        <v>2500000</v>
      </c>
      <c r="AD466" s="73" t="s">
        <v>788</v>
      </c>
      <c r="AE466" s="73" t="str">
        <f>INDEX('Translate table'!$H$2:$H$622,MATCH(Players!P466,'Translate table'!$G$2:$G$622,0))</f>
        <v>Roland Varga</v>
      </c>
      <c r="AF466" s="73">
        <f>IFERROR(INDEX('Euro Qual stats'!$A$1:$L$2071,MATCH(Players!$AE466,'Euro Qual stats'!$A$1:$A$2071,0),MATCH(Players!AF$2,'Euro Qual stats'!$A$1:$L$1,0)),0)</f>
        <v>4</v>
      </c>
      <c r="AG466" s="73">
        <f>IFERROR(INDEX('Euro Qual stats'!$A$1:$L$2071,MATCH(Players!$AE466,'Euro Qual stats'!$A$1:$A$2071,0),MATCH(Players!AG$2,'Euro Qual stats'!$A$1:$L$1,0)),0)</f>
        <v>0</v>
      </c>
      <c r="AH466" s="73">
        <f>IFERROR(INDEX('Euro Qual stats'!$A$1:$L$2071,MATCH(Players!$AE466,'Euro Qual stats'!$A$1:$A$2071,0),MATCH(Players!AH$2,'Euro Qual stats'!$A$1:$L$1,0)),0)</f>
        <v>0</v>
      </c>
      <c r="AI466" s="73">
        <f>IFERROR(INDEX('Euro Qual stats'!$A$1:$L$2071,MATCH(Players!$AE466,'Euro Qual stats'!$A$1:$A$2071,0),MATCH(Players!AI$2,'Euro Qual stats'!$A$1:$L$1,0)),0)</f>
        <v>0</v>
      </c>
      <c r="AJ466" s="93">
        <f>(12-AF466)/12*INDEX(BV$9:BV$12,MATCH($AB466,$BU$9:$BU$12,0))+AF466/12*AG466</f>
        <v>0.13660919540229888</v>
      </c>
      <c r="AK466" s="93">
        <f>(12-AG466)/12*INDEX(BW$9:BW$12,MATCH($AB466,$BU$9:$BU$12,0))+AG466/12*AH466</f>
        <v>0.53387931034482738</v>
      </c>
      <c r="AL466" s="93">
        <f>(12-AH466)/12*INDEX(BX$9:BX$12,MATCH($AB466,$BU$9:$BU$12,0))+AH466/12*AI466</f>
        <v>0.16482758620689658</v>
      </c>
      <c r="AM466" s="93">
        <f>IF($BC466=1,AJ466/SUMIFS(AJ$3:AJ$623,$BC$3:$BC$623,1,$G$3:$G$623,$G466),0)</f>
        <v>0</v>
      </c>
      <c r="AN466" s="93">
        <f>IF($BC466=1,AK466/SUMIFS(AK$3:AK$623,$BC$3:$BC$623,1,$G$3:$G$623,$G466),0)</f>
        <v>0</v>
      </c>
      <c r="AO466" s="93">
        <f>IF($BC466=1,AL466/SUMIFS(AL$3:AL$623,$BC$3:$BC$623,1,$G$3:$G$623,$G466),0)</f>
        <v>0</v>
      </c>
      <c r="AP466" s="2">
        <f>IFERROR(R466/$V466*90,"")</f>
        <v>0.43010752688172038</v>
      </c>
      <c r="AQ466" s="2">
        <f>IFERROR(S466/$V466*90,"")</f>
        <v>0.16129032258064516</v>
      </c>
      <c r="AR466" s="2">
        <f>IFERROR(W466/$V466*90,"")</f>
        <v>1.0752688172043012</v>
      </c>
      <c r="AS466" s="2">
        <f>IFERROR(X466/$V466*90,"")</f>
        <v>0.26881720430107531</v>
      </c>
      <c r="AT466" s="2">
        <f>IFERROR(Y466/$V466*90,"")</f>
        <v>0</v>
      </c>
      <c r="AU466" s="2">
        <f>IF(AP466="",INDEX(BV$4:BV$7,MATCH(O466,$BU$4:$BU$7,0)),AP466)</f>
        <v>0.43010752688172038</v>
      </c>
      <c r="AV466" s="2">
        <f>IF(AQ466="",INDEX(BW$4:BW$7,MATCH($O466,$BU$4:$BU$7,0)),AQ466)</f>
        <v>0.16129032258064516</v>
      </c>
      <c r="AW466" s="2">
        <f t="shared" si="84"/>
        <v>1.0752688172043012</v>
      </c>
      <c r="AX466" s="2">
        <f t="shared" si="85"/>
        <v>0.26881720430107531</v>
      </c>
      <c r="AY466" s="2">
        <f t="shared" si="86"/>
        <v>0</v>
      </c>
      <c r="AZ466" s="2">
        <f>AU466*0.5+AK466*0.5</f>
        <v>0.48199341861327388</v>
      </c>
      <c r="BA466" s="2">
        <f>AV466*0.5+AJ466*0.5</f>
        <v>0.148949758991472</v>
      </c>
      <c r="BB466" s="2">
        <f t="shared" si="87"/>
        <v>0.13440860215053765</v>
      </c>
      <c r="BC466">
        <f>IF(I466="expected",1,0)</f>
        <v>0</v>
      </c>
      <c r="BD466" s="78">
        <f>IF(BC466=1,AZ466/SUMIFS(AZ$3:AZ$623,$BC$3:$BC$623,1,$G$3:$G$623,$G466),0)</f>
        <v>0</v>
      </c>
      <c r="BE466" s="78">
        <f>IF(BC466=1,BA466/SUMIFS(BA$3:BA$623,$BC$3:$BC$623,1,$G$3:$G$623,$G466),0)</f>
        <v>0</v>
      </c>
      <c r="BF466" s="78">
        <f t="shared" si="88"/>
        <v>0</v>
      </c>
      <c r="BG466" s="2">
        <f t="shared" si="89"/>
        <v>0.13440860215053765</v>
      </c>
      <c r="BH466" s="2">
        <f t="shared" si="90"/>
        <v>0</v>
      </c>
      <c r="BI466" s="2">
        <f t="shared" si="91"/>
        <v>0</v>
      </c>
      <c r="BJ466" s="2">
        <f t="shared" si="92"/>
        <v>0</v>
      </c>
      <c r="BK466" s="2">
        <f t="shared" si="93"/>
        <v>0</v>
      </c>
      <c r="BL466" s="2">
        <f t="shared" si="94"/>
        <v>0.13440860215053765</v>
      </c>
      <c r="BM466" s="2">
        <f t="shared" si="95"/>
        <v>0</v>
      </c>
      <c r="BN466" s="2">
        <f>BI466/SUMIFS(BI$3:BI$623,$BC$3:$BC$623,1,$G$3:$G$623,$G466)</f>
        <v>0</v>
      </c>
      <c r="BO466" s="2">
        <f>BJ466/SUMIFS(BJ$3:BJ$623,$BC$3:$BC$623,1,$G$3:$G$623,$G466)</f>
        <v>0</v>
      </c>
      <c r="BP466" s="2">
        <f>BK466/SUMIFS(BK$3:BK$623,$BC$3:$BC$623,1,$G$3:$G$623,$G466)</f>
        <v>0</v>
      </c>
      <c r="BQ466" s="2">
        <f>BL466</f>
        <v>0.13440860215053765</v>
      </c>
      <c r="BR466" s="2">
        <f>BM466</f>
        <v>0</v>
      </c>
    </row>
    <row r="467" spans="1:70" hidden="1">
      <c r="A467" s="74">
        <v>0</v>
      </c>
      <c r="B467" s="73">
        <v>220831</v>
      </c>
      <c r="C467" s="73" t="s">
        <v>2831</v>
      </c>
      <c r="D467" s="73" t="s">
        <v>2832</v>
      </c>
      <c r="E467" s="73" t="s">
        <v>2833</v>
      </c>
      <c r="F467" s="73">
        <v>18732</v>
      </c>
      <c r="G467" s="73" t="s">
        <v>897</v>
      </c>
      <c r="H467" s="73" t="s">
        <v>931</v>
      </c>
      <c r="I467" s="73" t="s">
        <v>1012</v>
      </c>
      <c r="J467" s="73">
        <v>0</v>
      </c>
      <c r="K467" s="73">
        <v>4.5</v>
      </c>
      <c r="L467" s="73">
        <v>0</v>
      </c>
      <c r="M467" s="73">
        <v>0</v>
      </c>
      <c r="N467" s="73">
        <v>0</v>
      </c>
      <c r="O467" s="73" t="s">
        <v>982</v>
      </c>
      <c r="P467" s="73" t="s">
        <v>2834</v>
      </c>
      <c r="Q467" s="73" t="s">
        <v>1164</v>
      </c>
      <c r="R467" s="73"/>
      <c r="S467" s="73"/>
      <c r="T467" s="73"/>
      <c r="U467" s="73"/>
      <c r="V467" s="73"/>
      <c r="W467" s="73"/>
      <c r="X467" s="73"/>
      <c r="Y467" s="73"/>
      <c r="Z467" s="73" t="s">
        <v>2819</v>
      </c>
      <c r="AA467" s="73" t="s">
        <v>693</v>
      </c>
      <c r="AB467" s="73" t="str">
        <f>IF(AA467&lt;&gt;"",INDEX(Lookup!$N$2:$N$5,MATCH(Players!AA467,Lookup!$P$2:$P$5,0)),INDEX(Lookup!$N$2:$N$5,MATCH(Players!O467,Lookup!$O$2:$O$5,0)))</f>
        <v>Striker</v>
      </c>
      <c r="AC467" s="73">
        <v>2500000</v>
      </c>
      <c r="AD467" s="73" t="s">
        <v>788</v>
      </c>
      <c r="AE467" s="73" t="str">
        <f>INDEX('Translate table'!$H$2:$H$622,MATCH(Players!P467,'Translate table'!$G$2:$G$622,0))</f>
        <v>Ralph Schon</v>
      </c>
      <c r="AF467" s="73">
        <f>IFERROR(INDEX('Euro Qual stats'!$A$1:$L$2071,MATCH(Players!$AE467,'Euro Qual stats'!$A$1:$A$2071,0),MATCH(Players!AF$2,'Euro Qual stats'!$A$1:$L$1,0)),0)</f>
        <v>0</v>
      </c>
      <c r="AG467" s="73">
        <f>IFERROR(INDEX('Euro Qual stats'!$A$1:$L$2071,MATCH(Players!$AE467,'Euro Qual stats'!$A$1:$A$2071,0),MATCH(Players!AG$2,'Euro Qual stats'!$A$1:$L$1,0)),0)</f>
        <v>0</v>
      </c>
      <c r="AH467" s="73">
        <f>IFERROR(INDEX('Euro Qual stats'!$A$1:$L$2071,MATCH(Players!$AE467,'Euro Qual stats'!$A$1:$A$2071,0),MATCH(Players!AH$2,'Euro Qual stats'!$A$1:$L$1,0)),0)</f>
        <v>0</v>
      </c>
      <c r="AI467" s="73">
        <f>IFERROR(INDEX('Euro Qual stats'!$A$1:$L$2071,MATCH(Players!$AE467,'Euro Qual stats'!$A$1:$A$2071,0),MATCH(Players!AI$2,'Euro Qual stats'!$A$1:$L$1,0)),0)</f>
        <v>0</v>
      </c>
      <c r="AJ467" s="93">
        <f>(12-AF467)/12*INDEX(BV$9:BV$12,MATCH($AB467,$BU$9:$BU$12,0))+AF467/12*AG467</f>
        <v>0.20491379310344832</v>
      </c>
      <c r="AK467" s="93">
        <f>(12-AG467)/12*INDEX(BW$9:BW$12,MATCH($AB467,$BU$9:$BU$12,0))+AG467/12*AH467</f>
        <v>0.53387931034482738</v>
      </c>
      <c r="AL467" s="93">
        <f>(12-AH467)/12*INDEX(BX$9:BX$12,MATCH($AB467,$BU$9:$BU$12,0))+AH467/12*AI467</f>
        <v>0.16482758620689658</v>
      </c>
      <c r="AM467" s="93">
        <f>IF($BC467=1,AJ467/SUMIFS(AJ$3:AJ$623,$BC$3:$BC$623,1,$G$3:$G$623,$G467),0)</f>
        <v>0</v>
      </c>
      <c r="AN467" s="93">
        <f>IF($BC467=1,AK467/SUMIFS(AK$3:AK$623,$BC$3:$BC$623,1,$G$3:$G$623,$G467),0)</f>
        <v>0</v>
      </c>
      <c r="AO467" s="93">
        <f>IF($BC467=1,AL467/SUMIFS(AL$3:AL$623,$BC$3:$BC$623,1,$G$3:$G$623,$G467),0)</f>
        <v>0</v>
      </c>
      <c r="AP467" s="2" t="str">
        <f>IFERROR(R467/$V467*90,"")</f>
        <v/>
      </c>
      <c r="AQ467" s="2" t="str">
        <f>IFERROR(S467/$V467*90,"")</f>
        <v/>
      </c>
      <c r="AR467" s="2" t="str">
        <f>IFERROR(W467/$V467*90,"")</f>
        <v/>
      </c>
      <c r="AS467" s="2" t="str">
        <f>IFERROR(X467/$V467*90,"")</f>
        <v/>
      </c>
      <c r="AT467" s="2" t="str">
        <f>IFERROR(Y467/$V467*90,"")</f>
        <v/>
      </c>
      <c r="AU467" s="2">
        <f>IF(AP467="",INDEX(BV$4:BV$7,MATCH(O467,$BU$4:$BU$7,0)),AP467)</f>
        <v>0.18769551616266944</v>
      </c>
      <c r="AV467" s="2">
        <f>IF(AQ467="",INDEX(BW$4:BW$7,MATCH($O467,$BU$4:$BU$7,0)),AQ467)</f>
        <v>4.82573726541555E-2</v>
      </c>
      <c r="AW467" s="2">
        <f t="shared" si="84"/>
        <v>0.70512820512820518</v>
      </c>
      <c r="AX467" s="2">
        <f t="shared" si="85"/>
        <v>0.12295081967213115</v>
      </c>
      <c r="AY467" s="2">
        <f t="shared" si="86"/>
        <v>0</v>
      </c>
      <c r="AZ467" s="2">
        <f>AU467*0.5+AK467*0.5</f>
        <v>0.36078741325374841</v>
      </c>
      <c r="BA467" s="2">
        <f>AV467*0.5+AJ467*0.5</f>
        <v>0.12658558287880189</v>
      </c>
      <c r="BB467" s="2">
        <f t="shared" si="87"/>
        <v>6.1475409836065573E-2</v>
      </c>
      <c r="BC467">
        <f>IF(I467="expected",1,0)</f>
        <v>0</v>
      </c>
      <c r="BD467" s="78">
        <f>IF(BC467=1,AZ467/SUMIFS(AZ$3:AZ$623,$BC$3:$BC$623,1,$G$3:$G$623,$G467),0)</f>
        <v>0</v>
      </c>
      <c r="BE467" s="78">
        <f>IF(BC467=1,BA467/SUMIFS(BA$3:BA$623,$BC$3:$BC$623,1,$G$3:$G$623,$G467),0)</f>
        <v>0</v>
      </c>
      <c r="BF467" s="78">
        <f t="shared" si="88"/>
        <v>0</v>
      </c>
      <c r="BG467" s="2">
        <f t="shared" si="89"/>
        <v>6.1475409836065573E-2</v>
      </c>
      <c r="BH467" s="2">
        <f t="shared" si="90"/>
        <v>0</v>
      </c>
      <c r="BI467" s="2">
        <f t="shared" si="91"/>
        <v>0</v>
      </c>
      <c r="BJ467" s="2">
        <f t="shared" si="92"/>
        <v>0</v>
      </c>
      <c r="BK467" s="2">
        <f t="shared" si="93"/>
        <v>0</v>
      </c>
      <c r="BL467" s="2">
        <f t="shared" si="94"/>
        <v>6.1475409836065573E-2</v>
      </c>
      <c r="BM467" s="2">
        <f t="shared" si="95"/>
        <v>0</v>
      </c>
      <c r="BN467" s="2">
        <f>BI467/SUMIFS(BI$3:BI$623,$BC$3:$BC$623,1,$G$3:$G$623,$G467)</f>
        <v>0</v>
      </c>
      <c r="BO467" s="2">
        <f>BJ467/SUMIFS(BJ$3:BJ$623,$BC$3:$BC$623,1,$G$3:$G$623,$G467)</f>
        <v>0</v>
      </c>
      <c r="BP467" s="2">
        <f>BK467/SUMIFS(BK$3:BK$623,$BC$3:$BC$623,1,$G$3:$G$623,$G467)</f>
        <v>0</v>
      </c>
      <c r="BQ467" s="2">
        <f>BL467</f>
        <v>6.1475409836065573E-2</v>
      </c>
      <c r="BR467" s="2">
        <f>BM467</f>
        <v>0</v>
      </c>
    </row>
    <row r="468" spans="1:70" hidden="1">
      <c r="A468" s="74">
        <v>0</v>
      </c>
      <c r="B468" s="73">
        <v>220830</v>
      </c>
      <c r="C468" s="73" t="s">
        <v>2835</v>
      </c>
      <c r="D468" s="73" t="s">
        <v>2836</v>
      </c>
      <c r="E468" s="73" t="s">
        <v>2837</v>
      </c>
      <c r="F468" s="73">
        <v>18732</v>
      </c>
      <c r="G468" s="73" t="s">
        <v>897</v>
      </c>
      <c r="H468" s="73" t="s">
        <v>931</v>
      </c>
      <c r="I468" s="73" t="s">
        <v>1012</v>
      </c>
      <c r="J468" s="73">
        <v>0</v>
      </c>
      <c r="K468" s="73">
        <v>4.5</v>
      </c>
      <c r="L468" s="73">
        <v>0</v>
      </c>
      <c r="M468" s="73">
        <v>0</v>
      </c>
      <c r="N468" s="73">
        <v>0</v>
      </c>
      <c r="O468" s="73" t="s">
        <v>982</v>
      </c>
      <c r="P468" s="73" t="s">
        <v>2838</v>
      </c>
      <c r="Q468" s="73" t="s">
        <v>1616</v>
      </c>
      <c r="R468" s="73">
        <v>6</v>
      </c>
      <c r="S468" s="73">
        <v>11</v>
      </c>
      <c r="T468" s="73">
        <v>0</v>
      </c>
      <c r="U468" s="73">
        <v>3</v>
      </c>
      <c r="V468" s="73">
        <v>1824</v>
      </c>
      <c r="W468" s="73">
        <v>11</v>
      </c>
      <c r="X468" s="73">
        <v>1</v>
      </c>
      <c r="Y468" s="73">
        <v>0</v>
      </c>
      <c r="Z468" s="73" t="s">
        <v>2819</v>
      </c>
      <c r="AA468" s="73" t="s">
        <v>693</v>
      </c>
      <c r="AB468" s="73" t="str">
        <f>IF(AA468&lt;&gt;"",INDEX(Lookup!$N$2:$N$5,MATCH(Players!AA468,Lookup!$P$2:$P$5,0)),INDEX(Lookup!$N$2:$N$5,MATCH(Players!O468,Lookup!$O$2:$O$5,0)))</f>
        <v>Striker</v>
      </c>
      <c r="AC468" s="73">
        <v>2500000</v>
      </c>
      <c r="AD468" s="73" t="s">
        <v>788</v>
      </c>
      <c r="AE468" s="73" t="str">
        <f>INDEX('Translate table'!$H$2:$H$622,MATCH(Players!P468,'Translate table'!$G$2:$G$622,0))</f>
        <v>JÃ¡nos Ferenczi</v>
      </c>
      <c r="AF468" s="73">
        <f>IFERROR(INDEX('Euro Qual stats'!$A$1:$L$2071,MATCH(Players!$AE468,'Euro Qual stats'!$A$1:$A$2071,0),MATCH(Players!AF$2,'Euro Qual stats'!$A$1:$L$1,0)),0)</f>
        <v>0</v>
      </c>
      <c r="AG468" s="73">
        <f>IFERROR(INDEX('Euro Qual stats'!$A$1:$L$2071,MATCH(Players!$AE468,'Euro Qual stats'!$A$1:$A$2071,0),MATCH(Players!AG$2,'Euro Qual stats'!$A$1:$L$1,0)),0)</f>
        <v>0</v>
      </c>
      <c r="AH468" s="73">
        <f>IFERROR(INDEX('Euro Qual stats'!$A$1:$L$2071,MATCH(Players!$AE468,'Euro Qual stats'!$A$1:$A$2071,0),MATCH(Players!AH$2,'Euro Qual stats'!$A$1:$L$1,0)),0)</f>
        <v>0</v>
      </c>
      <c r="AI468" s="73">
        <f>IFERROR(INDEX('Euro Qual stats'!$A$1:$L$2071,MATCH(Players!$AE468,'Euro Qual stats'!$A$1:$A$2071,0),MATCH(Players!AI$2,'Euro Qual stats'!$A$1:$L$1,0)),0)</f>
        <v>0</v>
      </c>
      <c r="AJ468" s="93">
        <f>(12-AF468)/12*INDEX(BV$9:BV$12,MATCH($AB468,$BU$9:$BU$12,0))+AF468/12*AG468</f>
        <v>0.20491379310344832</v>
      </c>
      <c r="AK468" s="93">
        <f>(12-AG468)/12*INDEX(BW$9:BW$12,MATCH($AB468,$BU$9:$BU$12,0))+AG468/12*AH468</f>
        <v>0.53387931034482738</v>
      </c>
      <c r="AL468" s="93">
        <f>(12-AH468)/12*INDEX(BX$9:BX$12,MATCH($AB468,$BU$9:$BU$12,0))+AH468/12*AI468</f>
        <v>0.16482758620689658</v>
      </c>
      <c r="AM468" s="93">
        <f>IF($BC468=1,AJ468/SUMIFS(AJ$3:AJ$623,$BC$3:$BC$623,1,$G$3:$G$623,$G468),0)</f>
        <v>0</v>
      </c>
      <c r="AN468" s="93">
        <f>IF($BC468=1,AK468/SUMIFS(AK$3:AK$623,$BC$3:$BC$623,1,$G$3:$G$623,$G468),0)</f>
        <v>0</v>
      </c>
      <c r="AO468" s="93">
        <f>IF($BC468=1,AL468/SUMIFS(AL$3:AL$623,$BC$3:$BC$623,1,$G$3:$G$623,$G468),0)</f>
        <v>0</v>
      </c>
      <c r="AP468" s="2">
        <f>IFERROR(R468/$V468*90,"")</f>
        <v>0.29605263157894735</v>
      </c>
      <c r="AQ468" s="2">
        <f>IFERROR(S468/$V468*90,"")</f>
        <v>0.54276315789473684</v>
      </c>
      <c r="AR468" s="2">
        <f>IFERROR(W468/$V468*90,"")</f>
        <v>0.54276315789473684</v>
      </c>
      <c r="AS468" s="2">
        <f>IFERROR(X468/$V468*90,"")</f>
        <v>4.9342105263157895E-2</v>
      </c>
      <c r="AT468" s="2">
        <f>IFERROR(Y468/$V468*90,"")</f>
        <v>0</v>
      </c>
      <c r="AU468" s="2">
        <f>IF(AP468="",INDEX(BV$4:BV$7,MATCH(O468,$BU$4:$BU$7,0)),AP468)</f>
        <v>0.29605263157894735</v>
      </c>
      <c r="AV468" s="2">
        <f>IF(AQ468="",INDEX(BW$4:BW$7,MATCH($O468,$BU$4:$BU$7,0)),AQ468)</f>
        <v>0.54276315789473684</v>
      </c>
      <c r="AW468" s="2">
        <f t="shared" si="84"/>
        <v>0.54276315789473684</v>
      </c>
      <c r="AX468" s="2">
        <f t="shared" si="85"/>
        <v>4.9342105263157895E-2</v>
      </c>
      <c r="AY468" s="2">
        <f t="shared" si="86"/>
        <v>0</v>
      </c>
      <c r="AZ468" s="2">
        <f>AU468*0.5+AK468*0.5</f>
        <v>0.41496597096188736</v>
      </c>
      <c r="BA468" s="2">
        <f>AV468*0.5+AJ468*0.5</f>
        <v>0.37383847549909255</v>
      </c>
      <c r="BB468" s="2">
        <f t="shared" si="87"/>
        <v>2.4671052631578948E-2</v>
      </c>
      <c r="BC468">
        <f>IF(I468="expected",1,0)</f>
        <v>0</v>
      </c>
      <c r="BD468" s="78">
        <f>IF(BC468=1,AZ468/SUMIFS(AZ$3:AZ$623,$BC$3:$BC$623,1,$G$3:$G$623,$G468),0)</f>
        <v>0</v>
      </c>
      <c r="BE468" s="78">
        <f>IF(BC468=1,BA468/SUMIFS(BA$3:BA$623,$BC$3:$BC$623,1,$G$3:$G$623,$G468),0)</f>
        <v>0</v>
      </c>
      <c r="BF468" s="78">
        <f t="shared" si="88"/>
        <v>0</v>
      </c>
      <c r="BG468" s="2">
        <f t="shared" si="89"/>
        <v>2.4671052631578948E-2</v>
      </c>
      <c r="BH468" s="2">
        <f t="shared" si="90"/>
        <v>0</v>
      </c>
      <c r="BI468" s="2">
        <f t="shared" si="91"/>
        <v>0</v>
      </c>
      <c r="BJ468" s="2">
        <f t="shared" si="92"/>
        <v>0</v>
      </c>
      <c r="BK468" s="2">
        <f t="shared" si="93"/>
        <v>0</v>
      </c>
      <c r="BL468" s="2">
        <f t="shared" si="94"/>
        <v>2.4671052631578948E-2</v>
      </c>
      <c r="BM468" s="2">
        <f t="shared" si="95"/>
        <v>0</v>
      </c>
      <c r="BN468" s="2">
        <f>BI468/SUMIFS(BI$3:BI$623,$BC$3:$BC$623,1,$G$3:$G$623,$G468)</f>
        <v>0</v>
      </c>
      <c r="BO468" s="2">
        <f>BJ468/SUMIFS(BJ$3:BJ$623,$BC$3:$BC$623,1,$G$3:$G$623,$G468)</f>
        <v>0</v>
      </c>
      <c r="BP468" s="2">
        <f>BK468/SUMIFS(BK$3:BK$623,$BC$3:$BC$623,1,$G$3:$G$623,$G468)</f>
        <v>0</v>
      </c>
      <c r="BQ468" s="2">
        <f>BL468</f>
        <v>2.4671052631578948E-2</v>
      </c>
      <c r="BR468" s="2">
        <f>BM468</f>
        <v>0</v>
      </c>
    </row>
    <row r="469" spans="1:70" hidden="1">
      <c r="A469" s="74">
        <v>0</v>
      </c>
      <c r="B469" s="73">
        <v>213469</v>
      </c>
      <c r="C469" s="73" t="s">
        <v>2839</v>
      </c>
      <c r="D469" s="73" t="s">
        <v>2840</v>
      </c>
      <c r="E469" s="73" t="s">
        <v>2841</v>
      </c>
      <c r="F469" s="73">
        <v>18732</v>
      </c>
      <c r="G469" s="73" t="s">
        <v>897</v>
      </c>
      <c r="H469" s="73" t="s">
        <v>931</v>
      </c>
      <c r="I469" s="73" t="s">
        <v>981</v>
      </c>
      <c r="J469" s="73">
        <v>0</v>
      </c>
      <c r="K469" s="73">
        <v>4.5</v>
      </c>
      <c r="L469" s="73">
        <v>0</v>
      </c>
      <c r="M469" s="73">
        <v>0</v>
      </c>
      <c r="N469" s="73">
        <v>0</v>
      </c>
      <c r="O469" s="73" t="s">
        <v>982</v>
      </c>
      <c r="P469" s="73" t="s">
        <v>2842</v>
      </c>
      <c r="Q469" s="73" t="s">
        <v>2843</v>
      </c>
      <c r="R469" s="73">
        <v>1</v>
      </c>
      <c r="S469" s="73">
        <v>0</v>
      </c>
      <c r="T469" s="73">
        <v>0</v>
      </c>
      <c r="U469" s="73">
        <v>0</v>
      </c>
      <c r="V469" s="73">
        <v>732</v>
      </c>
      <c r="W469" s="73">
        <v>6</v>
      </c>
      <c r="X469" s="73">
        <v>1</v>
      </c>
      <c r="Y469" s="73">
        <v>0</v>
      </c>
      <c r="Z469" s="73" t="s">
        <v>2819</v>
      </c>
      <c r="AA469" s="73" t="s">
        <v>693</v>
      </c>
      <c r="AB469" s="73" t="str">
        <f>IF(AA469&lt;&gt;"",INDEX(Lookup!$N$2:$N$5,MATCH(Players!AA469,Lookup!$P$2:$P$5,0)),INDEX(Lookup!$N$2:$N$5,MATCH(Players!O469,Lookup!$O$2:$O$5,0)))</f>
        <v>Striker</v>
      </c>
      <c r="AC469" s="73">
        <v>3000000</v>
      </c>
      <c r="AD469" s="73" t="s">
        <v>788</v>
      </c>
      <c r="AE469" s="73" t="str">
        <f>INDEX('Translate table'!$H$2:$H$622,MATCH(Players!P469,'Translate table'!$G$2:$G$622,0))</f>
        <v>ÃdÃ¡m Szalai</v>
      </c>
      <c r="AF469" s="73">
        <f>IFERROR(INDEX('Euro Qual stats'!$A$1:$L$2071,MATCH(Players!$AE469,'Euro Qual stats'!$A$1:$A$2071,0),MATCH(Players!AF$2,'Euro Qual stats'!$A$1:$L$1,0)),0)</f>
        <v>10</v>
      </c>
      <c r="AG469" s="73">
        <f>IFERROR(INDEX('Euro Qual stats'!$A$1:$L$2071,MATCH(Players!$AE469,'Euro Qual stats'!$A$1:$A$2071,0),MATCH(Players!AG$2,'Euro Qual stats'!$A$1:$L$1,0)),0)</f>
        <v>0.1</v>
      </c>
      <c r="AH469" s="73">
        <f>IFERROR(INDEX('Euro Qual stats'!$A$1:$L$2071,MATCH(Players!$AE469,'Euro Qual stats'!$A$1:$A$2071,0),MATCH(Players!AH$2,'Euro Qual stats'!$A$1:$L$1,0)),0)</f>
        <v>0.1</v>
      </c>
      <c r="AI469" s="73">
        <f>IFERROR(INDEX('Euro Qual stats'!$A$1:$L$2071,MATCH(Players!$AE469,'Euro Qual stats'!$A$1:$A$2071,0),MATCH(Players!AI$2,'Euro Qual stats'!$A$1:$L$1,0)),0)</f>
        <v>0.1</v>
      </c>
      <c r="AJ469" s="93">
        <f>(12-AF469)/12*INDEX(BV$9:BV$12,MATCH($AB469,$BU$9:$BU$12,0))+AF469/12*AG469</f>
        <v>0.11748563218390806</v>
      </c>
      <c r="AK469" s="93">
        <f>(12-AG469)/12*INDEX(BW$9:BW$12,MATCH($AB469,$BU$9:$BU$12,0))+AG469/12*AH469</f>
        <v>0.53026364942528714</v>
      </c>
      <c r="AL469" s="93">
        <f>(12-AH469)/12*INDEX(BX$9:BX$12,MATCH($AB469,$BU$9:$BU$12,0))+AH469/12*AI469</f>
        <v>0.16428735632183911</v>
      </c>
      <c r="AM469" s="93">
        <f>IF($BC469=1,AJ469/SUMIFS(AJ$3:AJ$623,$BC$3:$BC$623,1,$G$3:$G$623,$G469),0)</f>
        <v>0.10536544914401892</v>
      </c>
      <c r="AN469" s="93">
        <f>IF($BC469=1,AK469/SUMIFS(AK$3:AK$623,$BC$3:$BC$623,1,$G$3:$G$623,$G469),0)</f>
        <v>0.22538710404128556</v>
      </c>
      <c r="AO469" s="93">
        <f>IF($BC469=1,AL469/SUMIFS(AL$3:AL$623,$BC$3:$BC$623,1,$G$3:$G$623,$G469),0)</f>
        <v>7.9915094798540712E-2</v>
      </c>
      <c r="AP469" s="2">
        <f>IFERROR(R469/$V469*90,"")</f>
        <v>0.12295081967213115</v>
      </c>
      <c r="AQ469" s="2">
        <f>IFERROR(S469/$V469*90,"")</f>
        <v>0</v>
      </c>
      <c r="AR469" s="2">
        <f>IFERROR(W469/$V469*90,"")</f>
        <v>0.73770491803278693</v>
      </c>
      <c r="AS469" s="2">
        <f>IFERROR(X469/$V469*90,"")</f>
        <v>0.12295081967213115</v>
      </c>
      <c r="AT469" s="2">
        <f>IFERROR(Y469/$V469*90,"")</f>
        <v>0</v>
      </c>
      <c r="AU469" s="2">
        <f>IF(AP469="",INDEX(BV$4:BV$7,MATCH(O469,$BU$4:$BU$7,0)),AP469)</f>
        <v>0.12295081967213115</v>
      </c>
      <c r="AV469" s="2">
        <f>IF(AQ469="",INDEX(BW$4:BW$7,MATCH($O469,$BU$4:$BU$7,0)),AQ469)</f>
        <v>0</v>
      </c>
      <c r="AW469" s="2">
        <f t="shared" si="84"/>
        <v>0.73770491803278693</v>
      </c>
      <c r="AX469" s="2">
        <f t="shared" si="85"/>
        <v>0.12295081967213115</v>
      </c>
      <c r="AY469" s="2">
        <f t="shared" si="86"/>
        <v>0</v>
      </c>
      <c r="AZ469" s="2">
        <f>AU469*0.5+AK469*0.5</f>
        <v>0.32660723454870916</v>
      </c>
      <c r="BA469" s="2">
        <f>AV469*0.5+AJ469*0.5</f>
        <v>5.8742816091954031E-2</v>
      </c>
      <c r="BB469" s="2">
        <f t="shared" si="87"/>
        <v>0.11147540983606558</v>
      </c>
      <c r="BC469">
        <f>IF(I469="expected",1,0)</f>
        <v>1</v>
      </c>
      <c r="BD469" s="78">
        <f>IF(BC469=1,AZ469/SUMIFS(AZ$3:AZ$623,$BC$3:$BC$623,1,$G$3:$G$623,$G469),0)</f>
        <v>0.17707080808796669</v>
      </c>
      <c r="BE469" s="78">
        <f>IF(BC469=1,BA469/SUMIFS(BA$3:BA$623,$BC$3:$BC$623,1,$G$3:$G$623,$G469),0)</f>
        <v>7.1630384165407984E-2</v>
      </c>
      <c r="BF469" s="78">
        <f t="shared" si="88"/>
        <v>0.18104594256795825</v>
      </c>
      <c r="BG469" s="2">
        <f t="shared" si="89"/>
        <v>0.11147540983606558</v>
      </c>
      <c r="BH469" s="2">
        <f t="shared" si="90"/>
        <v>0</v>
      </c>
      <c r="BI469" s="2">
        <f t="shared" si="91"/>
        <v>0.17707080808796669</v>
      </c>
      <c r="BJ469" s="2">
        <f t="shared" si="92"/>
        <v>7.1630384165407984E-2</v>
      </c>
      <c r="BK469" s="2">
        <f t="shared" si="93"/>
        <v>0.18104594256795825</v>
      </c>
      <c r="BL469" s="2">
        <f t="shared" si="94"/>
        <v>0.11147540983606558</v>
      </c>
      <c r="BM469" s="2">
        <f t="shared" si="95"/>
        <v>0</v>
      </c>
      <c r="BN469" s="2">
        <f>BI469/SUMIFS(BI$3:BI$623,$BC$3:$BC$623,1,$G$3:$G$623,$G469)</f>
        <v>0.17707080808796674</v>
      </c>
      <c r="BO469" s="2">
        <f>BJ469/SUMIFS(BJ$3:BJ$623,$BC$3:$BC$623,1,$G$3:$G$623,$G469)</f>
        <v>7.163038416540797E-2</v>
      </c>
      <c r="BP469" s="2">
        <f>BK469/SUMIFS(BK$3:BK$623,$BC$3:$BC$623,1,$G$3:$G$623,$G469)</f>
        <v>0.18104594256795825</v>
      </c>
      <c r="BQ469" s="2">
        <f>BL469</f>
        <v>0.11147540983606558</v>
      </c>
      <c r="BR469" s="2">
        <f>BM469</f>
        <v>0</v>
      </c>
    </row>
    <row r="470" spans="1:70" hidden="1">
      <c r="A470" s="74">
        <v>0</v>
      </c>
      <c r="B470" s="73">
        <v>204954</v>
      </c>
      <c r="C470" s="73" t="s">
        <v>2844</v>
      </c>
      <c r="D470" s="73" t="s">
        <v>2845</v>
      </c>
      <c r="E470" s="73" t="s">
        <v>2846</v>
      </c>
      <c r="F470" s="73">
        <v>18732</v>
      </c>
      <c r="G470" s="73" t="s">
        <v>897</v>
      </c>
      <c r="H470" s="73" t="s">
        <v>931</v>
      </c>
      <c r="I470" s="73" t="s">
        <v>1012</v>
      </c>
      <c r="J470" s="73">
        <v>0</v>
      </c>
      <c r="K470" s="73">
        <v>4.5</v>
      </c>
      <c r="L470" s="73">
        <v>0</v>
      </c>
      <c r="M470" s="73">
        <v>0</v>
      </c>
      <c r="N470" s="73">
        <v>0</v>
      </c>
      <c r="O470" s="73" t="s">
        <v>982</v>
      </c>
      <c r="P470" s="73" t="s">
        <v>2847</v>
      </c>
      <c r="Q470" s="73" t="s">
        <v>2848</v>
      </c>
      <c r="R470" s="73">
        <v>3</v>
      </c>
      <c r="S470" s="73">
        <v>3</v>
      </c>
      <c r="T470" s="73">
        <v>0</v>
      </c>
      <c r="U470" s="73">
        <v>1</v>
      </c>
      <c r="V470" s="73">
        <v>1002</v>
      </c>
      <c r="W470" s="73">
        <v>13</v>
      </c>
      <c r="X470" s="73">
        <v>3</v>
      </c>
      <c r="Y470" s="73">
        <v>0</v>
      </c>
      <c r="Z470" s="73" t="s">
        <v>2819</v>
      </c>
      <c r="AA470" s="73" t="s">
        <v>693</v>
      </c>
      <c r="AB470" s="73" t="str">
        <f>IF(AA470&lt;&gt;"",INDEX(Lookup!$N$2:$N$5,MATCH(Players!AA470,Lookup!$P$2:$P$5,0)),INDEX(Lookup!$N$2:$N$5,MATCH(Players!O470,Lookup!$O$2:$O$5,0)))</f>
        <v>Striker</v>
      </c>
      <c r="AC470" s="73">
        <v>3000000</v>
      </c>
      <c r="AD470" s="73" t="s">
        <v>788</v>
      </c>
      <c r="AE470" s="73" t="str">
        <f>INDEX('Translate table'!$H$2:$H$622,MATCH(Players!P470,'Translate table'!$G$2:$G$622,0))</f>
        <v>Nemanja NikoliÄ‡</v>
      </c>
      <c r="AF470" s="73">
        <f>IFERROR(INDEX('Euro Qual stats'!$A$1:$L$2071,MATCH(Players!$AE470,'Euro Qual stats'!$A$1:$A$2071,0),MATCH(Players!AF$2,'Euro Qual stats'!$A$1:$L$1,0)),0)</f>
        <v>2</v>
      </c>
      <c r="AG470" s="73">
        <f>IFERROR(INDEX('Euro Qual stats'!$A$1:$L$2071,MATCH(Players!$AE470,'Euro Qual stats'!$A$1:$A$2071,0),MATCH(Players!AG$2,'Euro Qual stats'!$A$1:$L$1,0)),0)</f>
        <v>0</v>
      </c>
      <c r="AH470" s="73">
        <f>IFERROR(INDEX('Euro Qual stats'!$A$1:$L$2071,MATCH(Players!$AE470,'Euro Qual stats'!$A$1:$A$2071,0),MATCH(Players!AH$2,'Euro Qual stats'!$A$1:$L$1,0)),0)</f>
        <v>1.8</v>
      </c>
      <c r="AI470" s="73">
        <f>IFERROR(INDEX('Euro Qual stats'!$A$1:$L$2071,MATCH(Players!$AE470,'Euro Qual stats'!$A$1:$A$2071,0),MATCH(Players!AI$2,'Euro Qual stats'!$A$1:$L$1,0)),0)</f>
        <v>0</v>
      </c>
      <c r="AJ470" s="93">
        <f>(12-AF470)/12*INDEX(BV$9:BV$12,MATCH($AB470,$BU$9:$BU$12,0))+AF470/12*AG470</f>
        <v>0.1707614942528736</v>
      </c>
      <c r="AK470" s="93">
        <f>(12-AG470)/12*INDEX(BW$9:BW$12,MATCH($AB470,$BU$9:$BU$12,0))+AG470/12*AH470</f>
        <v>0.53387931034482738</v>
      </c>
      <c r="AL470" s="93">
        <f>(12-AH470)/12*INDEX(BX$9:BX$12,MATCH($AB470,$BU$9:$BU$12,0))+AH470/12*AI470</f>
        <v>0.1401034482758621</v>
      </c>
      <c r="AM470" s="93">
        <f>IF($BC470=1,AJ470/SUMIFS(AJ$3:AJ$623,$BC$3:$BC$623,1,$G$3:$G$623,$G470),0)</f>
        <v>0</v>
      </c>
      <c r="AN470" s="93">
        <f>IF($BC470=1,AK470/SUMIFS(AK$3:AK$623,$BC$3:$BC$623,1,$G$3:$G$623,$G470),0)</f>
        <v>0</v>
      </c>
      <c r="AO470" s="93">
        <f>IF($BC470=1,AL470/SUMIFS(AL$3:AL$623,$BC$3:$BC$623,1,$G$3:$G$623,$G470),0)</f>
        <v>0</v>
      </c>
      <c r="AP470" s="2">
        <f>IFERROR(R470/$V470*90,"")</f>
        <v>0.26946107784431139</v>
      </c>
      <c r="AQ470" s="2">
        <f>IFERROR(S470/$V470*90,"")</f>
        <v>0.26946107784431139</v>
      </c>
      <c r="AR470" s="2">
        <f>IFERROR(W470/$V470*90,"")</f>
        <v>1.1676646706586826</v>
      </c>
      <c r="AS470" s="2">
        <f>IFERROR(X470/$V470*90,"")</f>
        <v>0.26946107784431139</v>
      </c>
      <c r="AT470" s="2">
        <f>IFERROR(Y470/$V470*90,"")</f>
        <v>0</v>
      </c>
      <c r="AU470" s="2">
        <f>IF(AP470="",INDEX(BV$4:BV$7,MATCH(O470,$BU$4:$BU$7,0)),AP470)</f>
        <v>0.26946107784431139</v>
      </c>
      <c r="AV470" s="2">
        <f>IF(AQ470="",INDEX(BW$4:BW$7,MATCH($O470,$BU$4:$BU$7,0)),AQ470)</f>
        <v>0.26946107784431139</v>
      </c>
      <c r="AW470" s="2">
        <f t="shared" si="84"/>
        <v>1.1676646706586826</v>
      </c>
      <c r="AX470" s="2">
        <f t="shared" si="85"/>
        <v>0.26946107784431139</v>
      </c>
      <c r="AY470" s="2">
        <f t="shared" si="86"/>
        <v>0</v>
      </c>
      <c r="AZ470" s="2">
        <f>AU470*0.5+AK470*0.5</f>
        <v>0.40167019409456939</v>
      </c>
      <c r="BA470" s="2">
        <f>AV470*0.5+AJ470*0.5</f>
        <v>0.22011128604859248</v>
      </c>
      <c r="BB470" s="2">
        <f t="shared" si="87"/>
        <v>0.1347305389221557</v>
      </c>
      <c r="BC470">
        <f>IF(I470="expected",1,0)</f>
        <v>0</v>
      </c>
      <c r="BD470" s="78">
        <f>IF(BC470=1,AZ470/SUMIFS(AZ$3:AZ$623,$BC$3:$BC$623,1,$G$3:$G$623,$G470),0)</f>
        <v>0</v>
      </c>
      <c r="BE470" s="78">
        <f>IF(BC470=1,BA470/SUMIFS(BA$3:BA$623,$BC$3:$BC$623,1,$G$3:$G$623,$G470),0)</f>
        <v>0</v>
      </c>
      <c r="BF470" s="78">
        <f t="shared" si="88"/>
        <v>0</v>
      </c>
      <c r="BG470" s="2">
        <f t="shared" si="89"/>
        <v>0.1347305389221557</v>
      </c>
      <c r="BH470" s="2">
        <f t="shared" si="90"/>
        <v>0</v>
      </c>
      <c r="BI470" s="2">
        <f t="shared" si="91"/>
        <v>0</v>
      </c>
      <c r="BJ470" s="2">
        <f t="shared" si="92"/>
        <v>0</v>
      </c>
      <c r="BK470" s="2">
        <f t="shared" si="93"/>
        <v>0</v>
      </c>
      <c r="BL470" s="2">
        <f t="shared" si="94"/>
        <v>0.1347305389221557</v>
      </c>
      <c r="BM470" s="2">
        <f t="shared" si="95"/>
        <v>0</v>
      </c>
      <c r="BN470" s="2">
        <f>BI470/SUMIFS(BI$3:BI$623,$BC$3:$BC$623,1,$G$3:$G$623,$G470)</f>
        <v>0</v>
      </c>
      <c r="BO470" s="2">
        <f>BJ470/SUMIFS(BJ$3:BJ$623,$BC$3:$BC$623,1,$G$3:$G$623,$G470)</f>
        <v>0</v>
      </c>
      <c r="BP470" s="2">
        <f>BK470/SUMIFS(BK$3:BK$623,$BC$3:$BC$623,1,$G$3:$G$623,$G470)</f>
        <v>0</v>
      </c>
      <c r="BQ470" s="2">
        <f>BL470</f>
        <v>0.1347305389221557</v>
      </c>
      <c r="BR470" s="2">
        <f>BM470</f>
        <v>0</v>
      </c>
    </row>
    <row r="471" spans="1:70" hidden="1">
      <c r="A471" s="74">
        <v>0</v>
      </c>
      <c r="B471" s="73">
        <v>204934</v>
      </c>
      <c r="C471" s="73" t="s">
        <v>2849</v>
      </c>
      <c r="D471" s="73" t="s">
        <v>2615</v>
      </c>
      <c r="E471" s="73" t="s">
        <v>2850</v>
      </c>
      <c r="F471" s="73">
        <v>18732</v>
      </c>
      <c r="G471" s="73" t="s">
        <v>897</v>
      </c>
      <c r="H471" s="73" t="s">
        <v>931</v>
      </c>
      <c r="I471" s="73" t="s">
        <v>1012</v>
      </c>
      <c r="J471" s="73">
        <v>0</v>
      </c>
      <c r="K471" s="73">
        <v>4.5</v>
      </c>
      <c r="L471" s="73">
        <v>0</v>
      </c>
      <c r="M471" s="73">
        <v>0</v>
      </c>
      <c r="N471" s="73">
        <v>0</v>
      </c>
      <c r="O471" s="73" t="s">
        <v>982</v>
      </c>
      <c r="P471" s="73" t="s">
        <v>2851</v>
      </c>
      <c r="Q471" s="73" t="s">
        <v>2852</v>
      </c>
      <c r="R471" s="73">
        <v>0</v>
      </c>
      <c r="S471" s="73">
        <v>0</v>
      </c>
      <c r="T471" s="73">
        <v>0</v>
      </c>
      <c r="U471" s="73">
        <v>0</v>
      </c>
      <c r="V471" s="73">
        <v>0</v>
      </c>
      <c r="W471" s="73">
        <v>0</v>
      </c>
      <c r="X471" s="73">
        <v>0</v>
      </c>
      <c r="Y471" s="73">
        <v>0</v>
      </c>
      <c r="Z471" s="73" t="s">
        <v>2819</v>
      </c>
      <c r="AA471" s="73" t="s">
        <v>691</v>
      </c>
      <c r="AB471" s="73" t="str">
        <f>IF(AA471&lt;&gt;"",INDEX(Lookup!$N$2:$N$5,MATCH(Players!AA471,Lookup!$P$2:$P$5,0)),INDEX(Lookup!$N$2:$N$5,MATCH(Players!O471,Lookup!$O$2:$O$5,0)))</f>
        <v>Midfield</v>
      </c>
      <c r="AC471" s="73">
        <v>2500000</v>
      </c>
      <c r="AD471" s="73" t="s">
        <v>753</v>
      </c>
      <c r="AE471" s="73" t="str">
        <f>INDEX('Translate table'!$H$2:$H$622,MATCH(Players!P471,'Translate table'!$G$2:$G$622,0))</f>
        <v>Filip Holender</v>
      </c>
      <c r="AF471" s="73">
        <f>IFERROR(INDEX('Euro Qual stats'!$A$1:$L$2071,MATCH(Players!$AE471,'Euro Qual stats'!$A$1:$A$2071,0),MATCH(Players!AF$2,'Euro Qual stats'!$A$1:$L$1,0)),0)</f>
        <v>6</v>
      </c>
      <c r="AG471" s="73">
        <f>IFERROR(INDEX('Euro Qual stats'!$A$1:$L$2071,MATCH(Players!$AE471,'Euro Qual stats'!$A$1:$A$2071,0),MATCH(Players!AG$2,'Euro Qual stats'!$A$1:$L$1,0)),0)</f>
        <v>0</v>
      </c>
      <c r="AH471" s="73">
        <f>IFERROR(INDEX('Euro Qual stats'!$A$1:$L$2071,MATCH(Players!$AE471,'Euro Qual stats'!$A$1:$A$2071,0),MATCH(Players!AH$2,'Euro Qual stats'!$A$1:$L$1,0)),0)</f>
        <v>0</v>
      </c>
      <c r="AI471" s="73">
        <f>IFERROR(INDEX('Euro Qual stats'!$A$1:$L$2071,MATCH(Players!$AE471,'Euro Qual stats'!$A$1:$A$2071,0),MATCH(Players!AI$2,'Euro Qual stats'!$A$1:$L$1,0)),0)</f>
        <v>0</v>
      </c>
      <c r="AJ471" s="93">
        <f>(12-AF471)/12*INDEX(BV$9:BV$12,MATCH($AB471,$BU$9:$BU$12,0))+AF471/12*AG471</f>
        <v>8.4345549738219894E-2</v>
      </c>
      <c r="AK471" s="93">
        <f>(12-AG471)/12*INDEX(BW$9:BW$12,MATCH($AB471,$BU$9:$BU$12,0))+AG471/12*AH471</f>
        <v>0.22340314136125652</v>
      </c>
      <c r="AL471" s="93">
        <f>(12-AH471)/12*INDEX(BX$9:BX$12,MATCH($AB471,$BU$9:$BU$12,0))+AH471/12*AI471</f>
        <v>0.23942408376963353</v>
      </c>
      <c r="AM471" s="93">
        <f>IF($BC471=1,AJ471/SUMIFS(AJ$3:AJ$623,$BC$3:$BC$623,1,$G$3:$G$623,$G471),0)</f>
        <v>0</v>
      </c>
      <c r="AN471" s="93">
        <f>IF($BC471=1,AK471/SUMIFS(AK$3:AK$623,$BC$3:$BC$623,1,$G$3:$G$623,$G471),0)</f>
        <v>0</v>
      </c>
      <c r="AO471" s="93">
        <f>IF($BC471=1,AL471/SUMIFS(AL$3:AL$623,$BC$3:$BC$623,1,$G$3:$G$623,$G471),0)</f>
        <v>0</v>
      </c>
      <c r="AP471" s="2" t="str">
        <f>IFERROR(R471/$V471*90,"")</f>
        <v/>
      </c>
      <c r="AQ471" s="2" t="str">
        <f>IFERROR(S471/$V471*90,"")</f>
        <v/>
      </c>
      <c r="AR471" s="2" t="str">
        <f>IFERROR(W471/$V471*90,"")</f>
        <v/>
      </c>
      <c r="AS471" s="2" t="str">
        <f>IFERROR(X471/$V471*90,"")</f>
        <v/>
      </c>
      <c r="AT471" s="2" t="str">
        <f>IFERROR(Y471/$V471*90,"")</f>
        <v/>
      </c>
      <c r="AU471" s="2">
        <f>IF(AP471="",INDEX(BV$4:BV$7,MATCH(O471,$BU$4:$BU$7,0)),AP471)</f>
        <v>0.18769551616266944</v>
      </c>
      <c r="AV471" s="2">
        <f>IF(AQ471="",INDEX(BW$4:BW$7,MATCH($O471,$BU$4:$BU$7,0)),AQ471)</f>
        <v>4.82573726541555E-2</v>
      </c>
      <c r="AW471" s="2">
        <f t="shared" si="84"/>
        <v>0.70512820512820518</v>
      </c>
      <c r="AX471" s="2">
        <f t="shared" si="85"/>
        <v>0.12295081967213115</v>
      </c>
      <c r="AY471" s="2">
        <f t="shared" si="86"/>
        <v>0</v>
      </c>
      <c r="AZ471" s="2">
        <f>AU471*0.5+AK471*0.5</f>
        <v>0.20554932876196297</v>
      </c>
      <c r="BA471" s="2">
        <f>AV471*0.5+AJ471*0.5</f>
        <v>6.6301461196187697E-2</v>
      </c>
      <c r="BB471" s="2">
        <f t="shared" si="87"/>
        <v>6.1475409836065573E-2</v>
      </c>
      <c r="BC471">
        <f>IF(I471="expected",1,0)</f>
        <v>0</v>
      </c>
      <c r="BD471" s="78">
        <f>IF(BC471=1,AZ471/SUMIFS(AZ$3:AZ$623,$BC$3:$BC$623,1,$G$3:$G$623,$G471),0)</f>
        <v>0</v>
      </c>
      <c r="BE471" s="78">
        <f>IF(BC471=1,BA471/SUMIFS(BA$3:BA$623,$BC$3:$BC$623,1,$G$3:$G$623,$G471),0)</f>
        <v>0</v>
      </c>
      <c r="BF471" s="78">
        <f t="shared" si="88"/>
        <v>0</v>
      </c>
      <c r="BG471" s="2">
        <f t="shared" si="89"/>
        <v>6.1475409836065573E-2</v>
      </c>
      <c r="BH471" s="2">
        <f t="shared" si="90"/>
        <v>0</v>
      </c>
      <c r="BI471" s="2">
        <f t="shared" si="91"/>
        <v>0</v>
      </c>
      <c r="BJ471" s="2">
        <f t="shared" si="92"/>
        <v>0</v>
      </c>
      <c r="BK471" s="2">
        <f t="shared" si="93"/>
        <v>0</v>
      </c>
      <c r="BL471" s="2">
        <f t="shared" si="94"/>
        <v>6.1475409836065573E-2</v>
      </c>
      <c r="BM471" s="2">
        <f t="shared" si="95"/>
        <v>0</v>
      </c>
      <c r="BN471" s="2">
        <f>BI471/SUMIFS(BI$3:BI$623,$BC$3:$BC$623,1,$G$3:$G$623,$G471)</f>
        <v>0</v>
      </c>
      <c r="BO471" s="2">
        <f>BJ471/SUMIFS(BJ$3:BJ$623,$BC$3:$BC$623,1,$G$3:$G$623,$G471)</f>
        <v>0</v>
      </c>
      <c r="BP471" s="2">
        <f>BK471/SUMIFS(BK$3:BK$623,$BC$3:$BC$623,1,$G$3:$G$623,$G471)</f>
        <v>0</v>
      </c>
      <c r="BQ471" s="2">
        <f>BL471</f>
        <v>6.1475409836065573E-2</v>
      </c>
      <c r="BR471" s="2">
        <f>BM471</f>
        <v>0</v>
      </c>
    </row>
    <row r="472" spans="1:70" hidden="1">
      <c r="A472" s="74">
        <v>0</v>
      </c>
      <c r="B472" s="73">
        <v>204965</v>
      </c>
      <c r="C472" s="73" t="s">
        <v>2853</v>
      </c>
      <c r="D472" s="73" t="s">
        <v>1943</v>
      </c>
      <c r="E472" s="73" t="s">
        <v>2854</v>
      </c>
      <c r="F472" s="73">
        <v>18643</v>
      </c>
      <c r="G472" s="73" t="s">
        <v>878</v>
      </c>
      <c r="H472" s="73" t="s">
        <v>911</v>
      </c>
      <c r="I472" s="73" t="s">
        <v>981</v>
      </c>
      <c r="J472" s="73">
        <v>0</v>
      </c>
      <c r="K472" s="73">
        <v>4.5</v>
      </c>
      <c r="L472" s="73">
        <v>0</v>
      </c>
      <c r="M472" s="73">
        <v>0</v>
      </c>
      <c r="N472" s="73">
        <v>0</v>
      </c>
      <c r="O472" s="73" t="s">
        <v>1290</v>
      </c>
      <c r="P472" s="73" t="s">
        <v>2855</v>
      </c>
      <c r="Q472" s="73" t="s">
        <v>2856</v>
      </c>
      <c r="R472" s="73">
        <v>0</v>
      </c>
      <c r="S472" s="73">
        <v>0</v>
      </c>
      <c r="T472" s="73">
        <v>69</v>
      </c>
      <c r="U472" s="73">
        <v>8</v>
      </c>
      <c r="V472" s="73">
        <v>2340</v>
      </c>
      <c r="W472" s="73">
        <v>0</v>
      </c>
      <c r="X472" s="73">
        <v>0</v>
      </c>
      <c r="Y472" s="73">
        <v>0</v>
      </c>
      <c r="Z472" s="73" t="s">
        <v>1734</v>
      </c>
      <c r="AA472" s="73" t="s">
        <v>690</v>
      </c>
      <c r="AB472" s="73" t="str">
        <f>IF(AA472&lt;&gt;"",INDEX(Lookup!$N$2:$N$5,MATCH(Players!AA472,Lookup!$P$2:$P$5,0)),INDEX(Lookup!$N$2:$N$5,MATCH(Players!O472,Lookup!$O$2:$O$5,0)))</f>
        <v>Goalkeeper</v>
      </c>
      <c r="AC472" s="73">
        <v>4000000</v>
      </c>
      <c r="AD472" s="73" t="s">
        <v>803</v>
      </c>
      <c r="AE472" s="73" t="str">
        <f>INDEX('Translate table'!$H$2:$H$622,MATCH(Players!P472,'Translate table'!$G$2:$G$622,0))</f>
        <v>Alexander Schlager</v>
      </c>
      <c r="AF472" s="73">
        <f>IFERROR(INDEX('Euro Qual stats'!$A$1:$L$2071,MATCH(Players!$AE472,'Euro Qual stats'!$A$1:$A$2071,0),MATCH(Players!AF$2,'Euro Qual stats'!$A$1:$L$1,0)),0)</f>
        <v>1</v>
      </c>
      <c r="AG472" s="73">
        <f>IFERROR(INDEX('Euro Qual stats'!$A$1:$L$2071,MATCH(Players!$AE472,'Euro Qual stats'!$A$1:$A$2071,0),MATCH(Players!AG$2,'Euro Qual stats'!$A$1:$L$1,0)),0)</f>
        <v>0</v>
      </c>
      <c r="AH472" s="73">
        <f>IFERROR(INDEX('Euro Qual stats'!$A$1:$L$2071,MATCH(Players!$AE472,'Euro Qual stats'!$A$1:$A$2071,0),MATCH(Players!AH$2,'Euro Qual stats'!$A$1:$L$1,0)),0)</f>
        <v>0</v>
      </c>
      <c r="AI472" s="73">
        <f>IFERROR(INDEX('Euro Qual stats'!$A$1:$L$2071,MATCH(Players!$AE472,'Euro Qual stats'!$A$1:$A$2071,0),MATCH(Players!AI$2,'Euro Qual stats'!$A$1:$L$1,0)),0)</f>
        <v>0</v>
      </c>
      <c r="AJ472" s="93">
        <f>(12-AF472)/12*INDEX(BV$9:BV$12,MATCH($AB472,$BU$9:$BU$12,0))+AF472/12*AG472</f>
        <v>0</v>
      </c>
      <c r="AK472" s="93">
        <f>(12-AG472)/12*INDEX(BW$9:BW$12,MATCH($AB472,$BU$9:$BU$12,0))+AG472/12*AH472</f>
        <v>0</v>
      </c>
      <c r="AL472" s="93">
        <f>(12-AH472)/12*INDEX(BX$9:BX$12,MATCH($AB472,$BU$9:$BU$12,0))+AH472/12*AI472</f>
        <v>0</v>
      </c>
      <c r="AM472" s="93">
        <f>IF($BC472=1,AJ472/SUMIFS(AJ$3:AJ$623,$BC$3:$BC$623,1,$G$3:$G$623,$G472),0)</f>
        <v>0</v>
      </c>
      <c r="AN472" s="93">
        <f>IF($BC472=1,AK472/SUMIFS(AK$3:AK$623,$BC$3:$BC$623,1,$G$3:$G$623,$G472),0)</f>
        <v>0</v>
      </c>
      <c r="AO472" s="93">
        <f>IF($BC472=1,AL472/SUMIFS(AL$3:AL$623,$BC$3:$BC$623,1,$G$3:$G$623,$G472),0)</f>
        <v>0</v>
      </c>
      <c r="AP472" s="2">
        <f>IFERROR(R472/$V472*90,"")</f>
        <v>0</v>
      </c>
      <c r="AQ472" s="2">
        <f>IFERROR(S472/$V472*90,"")</f>
        <v>0</v>
      </c>
      <c r="AR472" s="2">
        <f>IFERROR(W472/$V472*90,"")</f>
        <v>0</v>
      </c>
      <c r="AS472" s="2">
        <f>IFERROR(X472/$V472*90,"")</f>
        <v>0</v>
      </c>
      <c r="AT472" s="2">
        <f>IFERROR(Y472/$V472*90,"")</f>
        <v>0</v>
      </c>
      <c r="AU472" s="2">
        <f>IF(AP472="",INDEX(BV$4:BV$7,MATCH(O472,$BU$4:$BU$7,0)),AP472)</f>
        <v>0</v>
      </c>
      <c r="AV472" s="2">
        <f>IF(AQ472="",INDEX(BW$4:BW$7,MATCH($O472,$BU$4:$BU$7,0)),AQ472)</f>
        <v>0</v>
      </c>
      <c r="AW472" s="2">
        <f t="shared" si="84"/>
        <v>0</v>
      </c>
      <c r="AX472" s="2">
        <f t="shared" si="85"/>
        <v>0</v>
      </c>
      <c r="AY472" s="2">
        <f t="shared" si="86"/>
        <v>0</v>
      </c>
      <c r="AZ472" s="2">
        <f>AU472*0.5+AK472*0.5</f>
        <v>0</v>
      </c>
      <c r="BA472" s="2">
        <f>AV472*0.5+AJ472*0.5</f>
        <v>0</v>
      </c>
      <c r="BB472" s="2">
        <f t="shared" si="87"/>
        <v>0</v>
      </c>
      <c r="BC472">
        <f>IF(I472="expected",1,0)</f>
        <v>1</v>
      </c>
      <c r="BD472" s="78">
        <f>IF(BC472=1,AZ472/SUMIFS(AZ$3:AZ$623,$BC$3:$BC$623,1,$G$3:$G$623,$G472),0)</f>
        <v>0</v>
      </c>
      <c r="BE472" s="78">
        <f>IF(BC472=1,BA472/SUMIFS(BA$3:BA$623,$BC$3:$BC$623,1,$G$3:$G$623,$G472),0)</f>
        <v>0</v>
      </c>
      <c r="BF472" s="78">
        <f t="shared" si="88"/>
        <v>0</v>
      </c>
      <c r="BG472" s="2">
        <f t="shared" si="89"/>
        <v>0</v>
      </c>
      <c r="BH472" s="2">
        <f t="shared" si="90"/>
        <v>0</v>
      </c>
      <c r="BI472" s="2">
        <f t="shared" si="91"/>
        <v>0</v>
      </c>
      <c r="BJ472" s="2">
        <f t="shared" si="92"/>
        <v>0</v>
      </c>
      <c r="BK472" s="2">
        <f t="shared" si="93"/>
        <v>0</v>
      </c>
      <c r="BL472" s="2">
        <f t="shared" si="94"/>
        <v>0</v>
      </c>
      <c r="BM472" s="2">
        <f t="shared" si="95"/>
        <v>0</v>
      </c>
      <c r="BN472" s="2">
        <f>BI472/SUMIFS(BI$3:BI$623,$BC$3:$BC$623,1,$G$3:$G$623,$G472)</f>
        <v>0</v>
      </c>
      <c r="BO472" s="2">
        <f>BJ472/SUMIFS(BJ$3:BJ$623,$BC$3:$BC$623,1,$G$3:$G$623,$G472)</f>
        <v>0</v>
      </c>
      <c r="BP472" s="2">
        <f>BK472/SUMIFS(BK$3:BK$623,$BC$3:$BC$623,1,$G$3:$G$623,$G472)</f>
        <v>0</v>
      </c>
      <c r="BQ472" s="2">
        <f>BL472</f>
        <v>0</v>
      </c>
      <c r="BR472" s="2">
        <f>BM472</f>
        <v>0</v>
      </c>
    </row>
    <row r="473" spans="1:70" hidden="1">
      <c r="A473" s="74">
        <v>0</v>
      </c>
      <c r="B473" s="73">
        <v>222101</v>
      </c>
      <c r="C473" s="73" t="s">
        <v>2857</v>
      </c>
      <c r="D473" s="73" t="s">
        <v>2858</v>
      </c>
      <c r="E473" s="73" t="s">
        <v>2859</v>
      </c>
      <c r="F473" s="73">
        <v>18643</v>
      </c>
      <c r="G473" s="73" t="s">
        <v>878</v>
      </c>
      <c r="H473" s="73" t="s">
        <v>911</v>
      </c>
      <c r="I473" s="73" t="s">
        <v>981</v>
      </c>
      <c r="J473" s="73">
        <v>0</v>
      </c>
      <c r="K473" s="73">
        <v>4.5</v>
      </c>
      <c r="L473" s="73">
        <v>0</v>
      </c>
      <c r="M473" s="73">
        <v>0</v>
      </c>
      <c r="N473" s="73">
        <v>0</v>
      </c>
      <c r="O473" s="73" t="s">
        <v>1318</v>
      </c>
      <c r="P473" s="73" t="s">
        <v>2860</v>
      </c>
      <c r="Q473" s="73" t="s">
        <v>2860</v>
      </c>
      <c r="R473" s="73">
        <v>4</v>
      </c>
      <c r="S473" s="73">
        <v>0</v>
      </c>
      <c r="T473" s="73">
        <v>0</v>
      </c>
      <c r="U473" s="73">
        <v>6</v>
      </c>
      <c r="V473" s="73">
        <v>2993</v>
      </c>
      <c r="W473" s="73">
        <v>4</v>
      </c>
      <c r="X473" s="73">
        <v>4</v>
      </c>
      <c r="Y473" s="73">
        <v>0</v>
      </c>
      <c r="Z473" s="73" t="s">
        <v>1734</v>
      </c>
      <c r="AA473" s="73" t="s">
        <v>692</v>
      </c>
      <c r="AB473" s="73" t="str">
        <f>IF(AA473&lt;&gt;"",INDEX(Lookup!$N$2:$N$5,MATCH(Players!AA473,Lookup!$P$2:$P$5,0)),INDEX(Lookup!$N$2:$N$5,MATCH(Players!O473,Lookup!$O$2:$O$5,0)))</f>
        <v>Defense</v>
      </c>
      <c r="AC473" s="73">
        <v>2000000</v>
      </c>
      <c r="AD473" s="73" t="s">
        <v>788</v>
      </c>
      <c r="AE473" s="73" t="str">
        <f>INDEX('Translate table'!$H$2:$H$622,MATCH(Players!P473,'Translate table'!$G$2:$G$622,0))</f>
        <v>Philipp Lienhart</v>
      </c>
      <c r="AF473" s="73">
        <f>IFERROR(INDEX('Euro Qual stats'!$A$1:$L$2071,MATCH(Players!$AE473,'Euro Qual stats'!$A$1:$A$2071,0),MATCH(Players!AF$2,'Euro Qual stats'!$A$1:$L$1,0)),0)</f>
        <v>0</v>
      </c>
      <c r="AG473" s="73">
        <f>IFERROR(INDEX('Euro Qual stats'!$A$1:$L$2071,MATCH(Players!$AE473,'Euro Qual stats'!$A$1:$A$2071,0),MATCH(Players!AG$2,'Euro Qual stats'!$A$1:$L$1,0)),0)</f>
        <v>0</v>
      </c>
      <c r="AH473" s="73">
        <f>IFERROR(INDEX('Euro Qual stats'!$A$1:$L$2071,MATCH(Players!$AE473,'Euro Qual stats'!$A$1:$A$2071,0),MATCH(Players!AH$2,'Euro Qual stats'!$A$1:$L$1,0)),0)</f>
        <v>0</v>
      </c>
      <c r="AI473" s="73">
        <f>IFERROR(INDEX('Euro Qual stats'!$A$1:$L$2071,MATCH(Players!$AE473,'Euro Qual stats'!$A$1:$A$2071,0),MATCH(Players!AI$2,'Euro Qual stats'!$A$1:$L$1,0)),0)</f>
        <v>0</v>
      </c>
      <c r="AJ473" s="93">
        <f>(12-AF473)/12*INDEX(BV$9:BV$12,MATCH($AB473,$BU$9:$BU$12,0))+AF473/12*AG473</f>
        <v>8.9175824175824203E-2</v>
      </c>
      <c r="AK473" s="93">
        <f>(12-AG473)/12*INDEX(BW$9:BW$12,MATCH($AB473,$BU$9:$BU$12,0))+AG473/12*AH473</f>
        <v>0.10357142857142858</v>
      </c>
      <c r="AL473" s="93">
        <f>(12-AH473)/12*INDEX(BX$9:BX$12,MATCH($AB473,$BU$9:$BU$12,0))+AH473/12*AI473</f>
        <v>0.19357142857142848</v>
      </c>
      <c r="AM473" s="93">
        <f>IF($BC473=1,AJ473/SUMIFS(AJ$3:AJ$623,$BC$3:$BC$623,1,$G$3:$G$623,$G473),0)</f>
        <v>7.5550312281903245E-2</v>
      </c>
      <c r="AN473" s="93">
        <f>IF($BC473=1,AK473/SUMIFS(AK$3:AK$623,$BC$3:$BC$623,1,$G$3:$G$623,$G473),0)</f>
        <v>4.1251220228273489E-2</v>
      </c>
      <c r="AO473" s="93">
        <f>IF($BC473=1,AL473/SUMIFS(AL$3:AL$623,$BC$3:$BC$623,1,$G$3:$G$623,$G473),0)</f>
        <v>9.2363834162473346E-2</v>
      </c>
      <c r="AP473" s="2">
        <f>IFERROR(R473/$V473*90,"")</f>
        <v>0.12028065486134314</v>
      </c>
      <c r="AQ473" s="2">
        <f>IFERROR(S473/$V473*90,"")</f>
        <v>0</v>
      </c>
      <c r="AR473" s="2">
        <f>IFERROR(W473/$V473*90,"")</f>
        <v>0.12028065486134314</v>
      </c>
      <c r="AS473" s="2">
        <f>IFERROR(X473/$V473*90,"")</f>
        <v>0.12028065486134314</v>
      </c>
      <c r="AT473" s="2">
        <f>IFERROR(Y473/$V473*90,"")</f>
        <v>0</v>
      </c>
      <c r="AU473" s="2">
        <f>IF(AP473="",INDEX(BV$4:BV$7,MATCH(O473,$BU$4:$BU$7,0)),AP473)</f>
        <v>0.12028065486134314</v>
      </c>
      <c r="AV473" s="2">
        <f>IF(AQ473="",INDEX(BW$4:BW$7,MATCH($O473,$BU$4:$BU$7,0)),AQ473)</f>
        <v>0</v>
      </c>
      <c r="AW473" s="2">
        <f t="shared" si="84"/>
        <v>0.12028065486134314</v>
      </c>
      <c r="AX473" s="2">
        <f t="shared" si="85"/>
        <v>0.12028065486134314</v>
      </c>
      <c r="AY473" s="2">
        <f t="shared" si="86"/>
        <v>0</v>
      </c>
      <c r="AZ473" s="2">
        <f>AU473*0.5+AK473*0.5</f>
        <v>0.11192604171638586</v>
      </c>
      <c r="BA473" s="2">
        <f>AV473*0.5+AJ473*0.5</f>
        <v>4.4587912087912102E-2</v>
      </c>
      <c r="BB473" s="2">
        <f t="shared" si="87"/>
        <v>6.0140327430671568E-2</v>
      </c>
      <c r="BC473">
        <f>IF(I473="expected",1,0)</f>
        <v>1</v>
      </c>
      <c r="BD473" s="78">
        <f>IF(BC473=1,AZ473/SUMIFS(AZ$3:AZ$623,$BC$3:$BC$623,1,$G$3:$G$623,$G473),0)</f>
        <v>5.6059631762544179E-2</v>
      </c>
      <c r="BE473" s="78">
        <f>IF(BC473=1,BA473/SUMIFS(BA$3:BA$623,$BC$3:$BC$623,1,$G$3:$G$623,$G473),0)</f>
        <v>4.8084266210302214E-2</v>
      </c>
      <c r="BF473" s="78">
        <f t="shared" si="88"/>
        <v>3.2687091152193586E-2</v>
      </c>
      <c r="BG473" s="2">
        <f t="shared" si="89"/>
        <v>6.0140327430671568E-2</v>
      </c>
      <c r="BH473" s="2">
        <f t="shared" si="90"/>
        <v>0</v>
      </c>
      <c r="BI473" s="2">
        <f t="shared" si="91"/>
        <v>5.6059631762544179E-2</v>
      </c>
      <c r="BJ473" s="2">
        <f t="shared" si="92"/>
        <v>4.8084266210302214E-2</v>
      </c>
      <c r="BK473" s="2">
        <f t="shared" si="93"/>
        <v>3.2687091152193586E-2</v>
      </c>
      <c r="BL473" s="2">
        <f t="shared" si="94"/>
        <v>6.0140327430671568E-2</v>
      </c>
      <c r="BM473" s="2">
        <f t="shared" si="95"/>
        <v>0</v>
      </c>
      <c r="BN473" s="2">
        <f>BI473/SUMIFS(BI$3:BI$623,$BC$3:$BC$623,1,$G$3:$G$623,$G473)</f>
        <v>5.6059631762544179E-2</v>
      </c>
      <c r="BO473" s="2">
        <f>BJ473/SUMIFS(BJ$3:BJ$623,$BC$3:$BC$623,1,$G$3:$G$623,$G473)</f>
        <v>4.8084266210302214E-2</v>
      </c>
      <c r="BP473" s="2">
        <f>BK473/SUMIFS(BK$3:BK$623,$BC$3:$BC$623,1,$G$3:$G$623,$G473)</f>
        <v>3.3753593662514965E-2</v>
      </c>
      <c r="BQ473" s="2">
        <f>BL473</f>
        <v>6.0140327430671568E-2</v>
      </c>
      <c r="BR473" s="2">
        <f>BM473</f>
        <v>0</v>
      </c>
    </row>
    <row r="474" spans="1:70" hidden="1">
      <c r="A474" s="74">
        <v>0</v>
      </c>
      <c r="B474" s="73">
        <v>221556</v>
      </c>
      <c r="C474" s="73" t="s">
        <v>2861</v>
      </c>
      <c r="D474" s="73" t="s">
        <v>2862</v>
      </c>
      <c r="E474" s="73" t="s">
        <v>2863</v>
      </c>
      <c r="F474" s="73">
        <v>18643</v>
      </c>
      <c r="G474" s="73" t="s">
        <v>878</v>
      </c>
      <c r="H474" s="73" t="s">
        <v>911</v>
      </c>
      <c r="I474" s="73" t="s">
        <v>1012</v>
      </c>
      <c r="J474" s="73">
        <v>0</v>
      </c>
      <c r="K474" s="73">
        <v>4.5</v>
      </c>
      <c r="L474" s="73">
        <v>0</v>
      </c>
      <c r="M474" s="73">
        <v>0</v>
      </c>
      <c r="N474" s="73">
        <v>0</v>
      </c>
      <c r="O474" s="73" t="s">
        <v>1318</v>
      </c>
      <c r="P474" s="73" t="s">
        <v>2864</v>
      </c>
      <c r="Q474" s="73" t="s">
        <v>2865</v>
      </c>
      <c r="R474" s="73">
        <v>1</v>
      </c>
      <c r="S474" s="73">
        <v>9</v>
      </c>
      <c r="T474" s="73">
        <v>0</v>
      </c>
      <c r="U474" s="73">
        <v>6</v>
      </c>
      <c r="V474" s="73">
        <v>2580</v>
      </c>
      <c r="W474" s="73">
        <v>3</v>
      </c>
      <c r="X474" s="73">
        <v>9</v>
      </c>
      <c r="Y474" s="73">
        <v>0</v>
      </c>
      <c r="Z474" s="73" t="s">
        <v>1734</v>
      </c>
      <c r="AA474" s="73" t="s">
        <v>692</v>
      </c>
      <c r="AB474" s="73" t="str">
        <f>IF(AA474&lt;&gt;"",INDEX(Lookup!$N$2:$N$5,MATCH(Players!AA474,Lookup!$P$2:$P$5,0)),INDEX(Lookup!$N$2:$N$5,MATCH(Players!O474,Lookup!$O$2:$O$5,0)))</f>
        <v>Defense</v>
      </c>
      <c r="AC474" s="73">
        <v>2500000</v>
      </c>
      <c r="AD474" s="73" t="s">
        <v>789</v>
      </c>
      <c r="AE474" s="73" t="str">
        <f>INDEX('Translate table'!$H$2:$H$622,MATCH(Players!P474,'Translate table'!$G$2:$G$622,0))</f>
        <v>Christopher Trimmel</v>
      </c>
      <c r="AF474" s="73">
        <f>IFERROR(INDEX('Euro Qual stats'!$A$1:$L$2071,MATCH(Players!$AE474,'Euro Qual stats'!$A$1:$A$2071,0),MATCH(Players!AF$2,'Euro Qual stats'!$A$1:$L$1,0)),0)</f>
        <v>4</v>
      </c>
      <c r="AG474" s="73">
        <f>IFERROR(INDEX('Euro Qual stats'!$A$1:$L$2071,MATCH(Players!$AE474,'Euro Qual stats'!$A$1:$A$2071,0),MATCH(Players!AG$2,'Euro Qual stats'!$A$1:$L$1,0)),0)</f>
        <v>0</v>
      </c>
      <c r="AH474" s="73">
        <f>IFERROR(INDEX('Euro Qual stats'!$A$1:$L$2071,MATCH(Players!$AE474,'Euro Qual stats'!$A$1:$A$2071,0),MATCH(Players!AH$2,'Euro Qual stats'!$A$1:$L$1,0)),0)</f>
        <v>0</v>
      </c>
      <c r="AI474" s="73">
        <f>IFERROR(INDEX('Euro Qual stats'!$A$1:$L$2071,MATCH(Players!$AE474,'Euro Qual stats'!$A$1:$A$2071,0),MATCH(Players!AI$2,'Euro Qual stats'!$A$1:$L$1,0)),0)</f>
        <v>0</v>
      </c>
      <c r="AJ474" s="93">
        <f>(12-AF474)/12*INDEX(BV$9:BV$12,MATCH($AB474,$BU$9:$BU$12,0))+AF474/12*AG474</f>
        <v>5.9450549450549464E-2</v>
      </c>
      <c r="AK474" s="93">
        <f>(12-AG474)/12*INDEX(BW$9:BW$12,MATCH($AB474,$BU$9:$BU$12,0))+AG474/12*AH474</f>
        <v>0.10357142857142858</v>
      </c>
      <c r="AL474" s="93">
        <f>(12-AH474)/12*INDEX(BX$9:BX$12,MATCH($AB474,$BU$9:$BU$12,0))+AH474/12*AI474</f>
        <v>0.19357142857142848</v>
      </c>
      <c r="AM474" s="93">
        <f>IF($BC474=1,AJ474/SUMIFS(AJ$3:AJ$623,$BC$3:$BC$623,1,$G$3:$G$623,$G474),0)</f>
        <v>0</v>
      </c>
      <c r="AN474" s="93">
        <f>IF($BC474=1,AK474/SUMIFS(AK$3:AK$623,$BC$3:$BC$623,1,$G$3:$G$623,$G474),0)</f>
        <v>0</v>
      </c>
      <c r="AO474" s="93">
        <f>IF($BC474=1,AL474/SUMIFS(AL$3:AL$623,$BC$3:$BC$623,1,$G$3:$G$623,$G474),0)</f>
        <v>0</v>
      </c>
      <c r="AP474" s="2">
        <f>IFERROR(R474/$V474*90,"")</f>
        <v>3.4883720930232558E-2</v>
      </c>
      <c r="AQ474" s="2">
        <f>IFERROR(S474/$V474*90,"")</f>
        <v>0.31395348837209303</v>
      </c>
      <c r="AR474" s="2">
        <f>IFERROR(W474/$V474*90,"")</f>
        <v>0.10465116279069767</v>
      </c>
      <c r="AS474" s="2">
        <f>IFERROR(X474/$V474*90,"")</f>
        <v>0.31395348837209303</v>
      </c>
      <c r="AT474" s="2">
        <f>IFERROR(Y474/$V474*90,"")</f>
        <v>0</v>
      </c>
      <c r="AU474" s="2">
        <f>IF(AP474="",INDEX(BV$4:BV$7,MATCH(O474,$BU$4:$BU$7,0)),AP474)</f>
        <v>3.4883720930232558E-2</v>
      </c>
      <c r="AV474" s="2">
        <f>IF(AQ474="",INDEX(BW$4:BW$7,MATCH($O474,$BU$4:$BU$7,0)),AQ474)</f>
        <v>0.31395348837209303</v>
      </c>
      <c r="AW474" s="2">
        <f t="shared" si="84"/>
        <v>0.10465116279069767</v>
      </c>
      <c r="AX474" s="2">
        <f t="shared" si="85"/>
        <v>0.31395348837209303</v>
      </c>
      <c r="AY474" s="2">
        <f t="shared" si="86"/>
        <v>0</v>
      </c>
      <c r="AZ474" s="2">
        <f>AU474*0.5+AK474*0.5</f>
        <v>6.9227574750830564E-2</v>
      </c>
      <c r="BA474" s="2">
        <f>AV474*0.5+AJ474*0.5</f>
        <v>0.18670201891132124</v>
      </c>
      <c r="BB474" s="2">
        <f t="shared" si="87"/>
        <v>0.15697674418604651</v>
      </c>
      <c r="BC474">
        <f>IF(I474="expected",1,0)</f>
        <v>0</v>
      </c>
      <c r="BD474" s="78">
        <f>IF(BC474=1,AZ474/SUMIFS(AZ$3:AZ$623,$BC$3:$BC$623,1,$G$3:$G$623,$G474),0)</f>
        <v>0</v>
      </c>
      <c r="BE474" s="78">
        <f>IF(BC474=1,BA474/SUMIFS(BA$3:BA$623,$BC$3:$BC$623,1,$G$3:$G$623,$G474),0)</f>
        <v>0</v>
      </c>
      <c r="BF474" s="78">
        <f t="shared" si="88"/>
        <v>0</v>
      </c>
      <c r="BG474" s="2">
        <f t="shared" si="89"/>
        <v>0.15697674418604651</v>
      </c>
      <c r="BH474" s="2">
        <f t="shared" si="90"/>
        <v>0</v>
      </c>
      <c r="BI474" s="2">
        <f t="shared" si="91"/>
        <v>0</v>
      </c>
      <c r="BJ474" s="2">
        <f t="shared" si="92"/>
        <v>0</v>
      </c>
      <c r="BK474" s="2">
        <f t="shared" si="93"/>
        <v>0</v>
      </c>
      <c r="BL474" s="2">
        <f t="shared" si="94"/>
        <v>0.15697674418604651</v>
      </c>
      <c r="BM474" s="2">
        <f t="shared" si="95"/>
        <v>0</v>
      </c>
      <c r="BN474" s="2">
        <f>BI474/SUMIFS(BI$3:BI$623,$BC$3:$BC$623,1,$G$3:$G$623,$G474)</f>
        <v>0</v>
      </c>
      <c r="BO474" s="2">
        <f>BJ474/SUMIFS(BJ$3:BJ$623,$BC$3:$BC$623,1,$G$3:$G$623,$G474)</f>
        <v>0</v>
      </c>
      <c r="BP474" s="2">
        <f>BK474/SUMIFS(BK$3:BK$623,$BC$3:$BC$623,1,$G$3:$G$623,$G474)</f>
        <v>0</v>
      </c>
      <c r="BQ474" s="2">
        <f>BL474</f>
        <v>0.15697674418604651</v>
      </c>
      <c r="BR474" s="2">
        <f>BM474</f>
        <v>0</v>
      </c>
    </row>
    <row r="475" spans="1:70" hidden="1">
      <c r="A475" s="74">
        <v>0</v>
      </c>
      <c r="B475" s="73">
        <v>221547</v>
      </c>
      <c r="C475" s="73" t="s">
        <v>2866</v>
      </c>
      <c r="D475" s="73" t="s">
        <v>2867</v>
      </c>
      <c r="E475" s="73" t="s">
        <v>2868</v>
      </c>
      <c r="F475" s="73">
        <v>18643</v>
      </c>
      <c r="G475" s="73" t="s">
        <v>878</v>
      </c>
      <c r="H475" s="73" t="s">
        <v>911</v>
      </c>
      <c r="I475" s="73" t="s">
        <v>1012</v>
      </c>
      <c r="J475" s="73">
        <v>0</v>
      </c>
      <c r="K475" s="73">
        <v>4.5</v>
      </c>
      <c r="L475" s="73">
        <v>0</v>
      </c>
      <c r="M475" s="73">
        <v>0</v>
      </c>
      <c r="N475" s="73">
        <v>0</v>
      </c>
      <c r="O475" s="73" t="s">
        <v>1318</v>
      </c>
      <c r="P475" s="73" t="s">
        <v>2869</v>
      </c>
      <c r="Q475" s="73" t="s">
        <v>2870</v>
      </c>
      <c r="R475" s="73">
        <v>0</v>
      </c>
      <c r="S475" s="73">
        <v>0</v>
      </c>
      <c r="T475" s="73">
        <v>0</v>
      </c>
      <c r="U475" s="73">
        <v>5</v>
      </c>
      <c r="V475" s="73">
        <v>2788</v>
      </c>
      <c r="W475" s="73">
        <v>1</v>
      </c>
      <c r="X475" s="73">
        <v>6</v>
      </c>
      <c r="Y475" s="73">
        <v>0</v>
      </c>
      <c r="Z475" s="73" t="s">
        <v>1734</v>
      </c>
      <c r="AA475" s="73" t="s">
        <v>692</v>
      </c>
      <c r="AB475" s="73" t="str">
        <f>IF(AA475&lt;&gt;"",INDEX(Lookup!$N$2:$N$5,MATCH(Players!AA475,Lookup!$P$2:$P$5,0)),INDEX(Lookup!$N$2:$N$5,MATCH(Players!O475,Lookup!$O$2:$O$5,0)))</f>
        <v>Defense</v>
      </c>
      <c r="AC475" s="73">
        <v>2500000</v>
      </c>
      <c r="AD475" s="73" t="s">
        <v>789</v>
      </c>
      <c r="AE475" s="73" t="str">
        <f>INDEX('Translate table'!$H$2:$H$622,MATCH(Players!P475,'Translate table'!$G$2:$G$622,0))</f>
        <v>Marco Friedl</v>
      </c>
      <c r="AF475" s="73">
        <f>IFERROR(INDEX('Euro Qual stats'!$A$1:$L$2071,MATCH(Players!$AE475,'Euro Qual stats'!$A$1:$A$2071,0),MATCH(Players!AF$2,'Euro Qual stats'!$A$1:$L$1,0)),0)</f>
        <v>0</v>
      </c>
      <c r="AG475" s="73">
        <f>IFERROR(INDEX('Euro Qual stats'!$A$1:$L$2071,MATCH(Players!$AE475,'Euro Qual stats'!$A$1:$A$2071,0),MATCH(Players!AG$2,'Euro Qual stats'!$A$1:$L$1,0)),0)</f>
        <v>0</v>
      </c>
      <c r="AH475" s="73">
        <f>IFERROR(INDEX('Euro Qual stats'!$A$1:$L$2071,MATCH(Players!$AE475,'Euro Qual stats'!$A$1:$A$2071,0),MATCH(Players!AH$2,'Euro Qual stats'!$A$1:$L$1,0)),0)</f>
        <v>0</v>
      </c>
      <c r="AI475" s="73">
        <f>IFERROR(INDEX('Euro Qual stats'!$A$1:$L$2071,MATCH(Players!$AE475,'Euro Qual stats'!$A$1:$A$2071,0),MATCH(Players!AI$2,'Euro Qual stats'!$A$1:$L$1,0)),0)</f>
        <v>0</v>
      </c>
      <c r="AJ475" s="93">
        <f>(12-AF475)/12*INDEX(BV$9:BV$12,MATCH($AB475,$BU$9:$BU$12,0))+AF475/12*AG475</f>
        <v>8.9175824175824203E-2</v>
      </c>
      <c r="AK475" s="93">
        <f>(12-AG475)/12*INDEX(BW$9:BW$12,MATCH($AB475,$BU$9:$BU$12,0))+AG475/12*AH475</f>
        <v>0.10357142857142858</v>
      </c>
      <c r="AL475" s="93">
        <f>(12-AH475)/12*INDEX(BX$9:BX$12,MATCH($AB475,$BU$9:$BU$12,0))+AH475/12*AI475</f>
        <v>0.19357142857142848</v>
      </c>
      <c r="AM475" s="93">
        <f>IF($BC475=1,AJ475/SUMIFS(AJ$3:AJ$623,$BC$3:$BC$623,1,$G$3:$G$623,$G475),0)</f>
        <v>0</v>
      </c>
      <c r="AN475" s="93">
        <f>IF($BC475=1,AK475/SUMIFS(AK$3:AK$623,$BC$3:$BC$623,1,$G$3:$G$623,$G475),0)</f>
        <v>0</v>
      </c>
      <c r="AO475" s="93">
        <f>IF($BC475=1,AL475/SUMIFS(AL$3:AL$623,$BC$3:$BC$623,1,$G$3:$G$623,$G475),0)</f>
        <v>0</v>
      </c>
      <c r="AP475" s="2">
        <f>IFERROR(R475/$V475*90,"")</f>
        <v>0</v>
      </c>
      <c r="AQ475" s="2">
        <f>IFERROR(S475/$V475*90,"")</f>
        <v>0</v>
      </c>
      <c r="AR475" s="2">
        <f>IFERROR(W475/$V475*90,"")</f>
        <v>3.2281205164992825E-2</v>
      </c>
      <c r="AS475" s="2">
        <f>IFERROR(X475/$V475*90,"")</f>
        <v>0.19368723098995694</v>
      </c>
      <c r="AT475" s="2">
        <f>IFERROR(Y475/$V475*90,"")</f>
        <v>0</v>
      </c>
      <c r="AU475" s="2">
        <f>IF(AP475="",INDEX(BV$4:BV$7,MATCH(O475,$BU$4:$BU$7,0)),AP475)</f>
        <v>0</v>
      </c>
      <c r="AV475" s="2">
        <f>IF(AQ475="",INDEX(BW$4:BW$7,MATCH($O475,$BU$4:$BU$7,0)),AQ475)</f>
        <v>0</v>
      </c>
      <c r="AW475" s="2">
        <f t="shared" si="84"/>
        <v>3.2281205164992825E-2</v>
      </c>
      <c r="AX475" s="2">
        <f t="shared" si="85"/>
        <v>0.19368723098995694</v>
      </c>
      <c r="AY475" s="2">
        <f t="shared" si="86"/>
        <v>0</v>
      </c>
      <c r="AZ475" s="2">
        <f>AU475*0.5+AK475*0.5</f>
        <v>5.1785714285714289E-2</v>
      </c>
      <c r="BA475" s="2">
        <f>AV475*0.5+AJ475*0.5</f>
        <v>4.4587912087912102E-2</v>
      </c>
      <c r="BB475" s="2">
        <f t="shared" si="87"/>
        <v>9.6843615494978469E-2</v>
      </c>
      <c r="BC475">
        <f>IF(I475="expected",1,0)</f>
        <v>0</v>
      </c>
      <c r="BD475" s="78">
        <f>IF(BC475=1,AZ475/SUMIFS(AZ$3:AZ$623,$BC$3:$BC$623,1,$G$3:$G$623,$G475),0)</f>
        <v>0</v>
      </c>
      <c r="BE475" s="78">
        <f>IF(BC475=1,BA475/SUMIFS(BA$3:BA$623,$BC$3:$BC$623,1,$G$3:$G$623,$G475),0)</f>
        <v>0</v>
      </c>
      <c r="BF475" s="78">
        <f t="shared" si="88"/>
        <v>0</v>
      </c>
      <c r="BG475" s="2">
        <f t="shared" si="89"/>
        <v>9.6843615494978469E-2</v>
      </c>
      <c r="BH475" s="2">
        <f t="shared" si="90"/>
        <v>0</v>
      </c>
      <c r="BI475" s="2">
        <f t="shared" si="91"/>
        <v>0</v>
      </c>
      <c r="BJ475" s="2">
        <f t="shared" si="92"/>
        <v>0</v>
      </c>
      <c r="BK475" s="2">
        <f t="shared" si="93"/>
        <v>0</v>
      </c>
      <c r="BL475" s="2">
        <f t="shared" si="94"/>
        <v>9.6843615494978469E-2</v>
      </c>
      <c r="BM475" s="2">
        <f t="shared" si="95"/>
        <v>0</v>
      </c>
      <c r="BN475" s="2">
        <f>BI475/SUMIFS(BI$3:BI$623,$BC$3:$BC$623,1,$G$3:$G$623,$G475)</f>
        <v>0</v>
      </c>
      <c r="BO475" s="2">
        <f>BJ475/SUMIFS(BJ$3:BJ$623,$BC$3:$BC$623,1,$G$3:$G$623,$G475)</f>
        <v>0</v>
      </c>
      <c r="BP475" s="2">
        <f>BK475/SUMIFS(BK$3:BK$623,$BC$3:$BC$623,1,$G$3:$G$623,$G475)</f>
        <v>0</v>
      </c>
      <c r="BQ475" s="2">
        <f>BL475</f>
        <v>9.6843615494978469E-2</v>
      </c>
      <c r="BR475" s="2">
        <f>BM475</f>
        <v>0</v>
      </c>
    </row>
    <row r="476" spans="1:70" hidden="1">
      <c r="A476" s="74">
        <v>0</v>
      </c>
      <c r="B476" s="73">
        <v>213433</v>
      </c>
      <c r="C476" s="73" t="s">
        <v>2871</v>
      </c>
      <c r="D476" s="73" t="s">
        <v>1585</v>
      </c>
      <c r="E476" s="73" t="s">
        <v>2872</v>
      </c>
      <c r="F476" s="73">
        <v>18643</v>
      </c>
      <c r="G476" s="73" t="s">
        <v>878</v>
      </c>
      <c r="H476" s="73" t="s">
        <v>911</v>
      </c>
      <c r="I476" s="73" t="s">
        <v>1012</v>
      </c>
      <c r="J476" s="73">
        <v>0</v>
      </c>
      <c r="K476" s="73">
        <v>4.5</v>
      </c>
      <c r="L476" s="73">
        <v>0</v>
      </c>
      <c r="M476" s="73">
        <v>0</v>
      </c>
      <c r="N476" s="73">
        <v>0</v>
      </c>
      <c r="O476" s="73" t="s">
        <v>1318</v>
      </c>
      <c r="P476" s="73" t="s">
        <v>2873</v>
      </c>
      <c r="Q476" s="73" t="s">
        <v>2873</v>
      </c>
      <c r="R476" s="73">
        <v>0</v>
      </c>
      <c r="S476" s="73">
        <v>0</v>
      </c>
      <c r="T476" s="73">
        <v>0</v>
      </c>
      <c r="U476" s="73">
        <v>5</v>
      </c>
      <c r="V476" s="73">
        <v>2123</v>
      </c>
      <c r="W476" s="73">
        <v>2</v>
      </c>
      <c r="X476" s="73">
        <v>9</v>
      </c>
      <c r="Y476" s="73">
        <v>1</v>
      </c>
      <c r="Z476" s="73" t="s">
        <v>1734</v>
      </c>
      <c r="AA476" s="73" t="s">
        <v>692</v>
      </c>
      <c r="AB476" s="73" t="str">
        <f>IF(AA476&lt;&gt;"",INDEX(Lookup!$N$2:$N$5,MATCH(Players!AA476,Lookup!$P$2:$P$5,0)),INDEX(Lookup!$N$2:$N$5,MATCH(Players!O476,Lookup!$O$2:$O$5,0)))</f>
        <v>Defense</v>
      </c>
      <c r="AC476" s="73">
        <v>2000000</v>
      </c>
      <c r="AD476" s="73" t="s">
        <v>791</v>
      </c>
      <c r="AE476" s="73" t="str">
        <f>INDEX('Translate table'!$H$2:$H$622,MATCH(Players!P476,'Translate table'!$G$2:$G$622,0))</f>
        <v>Stefan Posch</v>
      </c>
      <c r="AF476" s="73">
        <f>IFERROR(INDEX('Euro Qual stats'!$A$1:$L$2071,MATCH(Players!$AE476,'Euro Qual stats'!$A$1:$A$2071,0),MATCH(Players!AF$2,'Euro Qual stats'!$A$1:$L$1,0)),0)</f>
        <v>5</v>
      </c>
      <c r="AG476" s="73">
        <f>IFERROR(INDEX('Euro Qual stats'!$A$1:$L$2071,MATCH(Players!$AE476,'Euro Qual stats'!$A$1:$A$2071,0),MATCH(Players!AG$2,'Euro Qual stats'!$A$1:$L$1,0)),0)</f>
        <v>0</v>
      </c>
      <c r="AH476" s="73">
        <f>IFERROR(INDEX('Euro Qual stats'!$A$1:$L$2071,MATCH(Players!$AE476,'Euro Qual stats'!$A$1:$A$2071,0),MATCH(Players!AH$2,'Euro Qual stats'!$A$1:$L$1,0)),0)</f>
        <v>0.24</v>
      </c>
      <c r="AI476" s="73">
        <f>IFERROR(INDEX('Euro Qual stats'!$A$1:$L$2071,MATCH(Players!$AE476,'Euro Qual stats'!$A$1:$A$2071,0),MATCH(Players!AI$2,'Euro Qual stats'!$A$1:$L$1,0)),0)</f>
        <v>0.24</v>
      </c>
      <c r="AJ476" s="93">
        <f>(12-AF476)/12*INDEX(BV$9:BV$12,MATCH($AB476,$BU$9:$BU$12,0))+AF476/12*AG476</f>
        <v>5.201923076923079E-2</v>
      </c>
      <c r="AK476" s="93">
        <f>(12-AG476)/12*INDEX(BW$9:BW$12,MATCH($AB476,$BU$9:$BU$12,0))+AG476/12*AH476</f>
        <v>0.10357142857142858</v>
      </c>
      <c r="AL476" s="93">
        <f>(12-AH476)/12*INDEX(BX$9:BX$12,MATCH($AB476,$BU$9:$BU$12,0))+AH476/12*AI476</f>
        <v>0.1944999999999999</v>
      </c>
      <c r="AM476" s="93">
        <f>IF($BC476=1,AJ476/SUMIFS(AJ$3:AJ$623,$BC$3:$BC$623,1,$G$3:$G$623,$G476),0)</f>
        <v>0</v>
      </c>
      <c r="AN476" s="93">
        <f>IF($BC476=1,AK476/SUMIFS(AK$3:AK$623,$BC$3:$BC$623,1,$G$3:$G$623,$G476),0)</f>
        <v>0</v>
      </c>
      <c r="AO476" s="93">
        <f>IF($BC476=1,AL476/SUMIFS(AL$3:AL$623,$BC$3:$BC$623,1,$G$3:$G$623,$G476),0)</f>
        <v>0</v>
      </c>
      <c r="AP476" s="2">
        <f>IFERROR(R476/$V476*90,"")</f>
        <v>0</v>
      </c>
      <c r="AQ476" s="2">
        <f>IFERROR(S476/$V476*90,"")</f>
        <v>0</v>
      </c>
      <c r="AR476" s="2">
        <f>IFERROR(W476/$V476*90,"")</f>
        <v>8.478568064060292E-2</v>
      </c>
      <c r="AS476" s="2">
        <f>IFERROR(X476/$V476*90,"")</f>
        <v>0.38153556288271318</v>
      </c>
      <c r="AT476" s="2">
        <f>IFERROR(Y476/$V476*90,"")</f>
        <v>4.239284032030146E-2</v>
      </c>
      <c r="AU476" s="2">
        <f>IF(AP476="",INDEX(BV$4:BV$7,MATCH(O476,$BU$4:$BU$7,0)),AP476)</f>
        <v>0</v>
      </c>
      <c r="AV476" s="2">
        <f>IF(AQ476="",INDEX(BW$4:BW$7,MATCH($O476,$BU$4:$BU$7,0)),AQ476)</f>
        <v>0</v>
      </c>
      <c r="AW476" s="2">
        <f t="shared" si="84"/>
        <v>8.478568064060292E-2</v>
      </c>
      <c r="AX476" s="2">
        <f t="shared" si="85"/>
        <v>0.38153556288271318</v>
      </c>
      <c r="AY476" s="2">
        <f t="shared" si="86"/>
        <v>4.239284032030146E-2</v>
      </c>
      <c r="AZ476" s="2">
        <f>AU476*0.5+AK476*0.5</f>
        <v>5.1785714285714289E-2</v>
      </c>
      <c r="BA476" s="2">
        <f>AV476*0.5+AJ476*0.5</f>
        <v>2.6009615384615395E-2</v>
      </c>
      <c r="BB476" s="2">
        <f t="shared" si="87"/>
        <v>0.31076778144135658</v>
      </c>
      <c r="BC476">
        <f>IF(I476="expected",1,0)</f>
        <v>0</v>
      </c>
      <c r="BD476" s="78">
        <f>IF(BC476=1,AZ476/SUMIFS(AZ$3:AZ$623,$BC$3:$BC$623,1,$G$3:$G$623,$G476),0)</f>
        <v>0</v>
      </c>
      <c r="BE476" s="78">
        <f>IF(BC476=1,BA476/SUMIFS(BA$3:BA$623,$BC$3:$BC$623,1,$G$3:$G$623,$G476),0)</f>
        <v>0</v>
      </c>
      <c r="BF476" s="78">
        <f t="shared" si="88"/>
        <v>0</v>
      </c>
      <c r="BG476" s="2">
        <f t="shared" si="89"/>
        <v>0.31076778144135658</v>
      </c>
      <c r="BH476" s="2">
        <f t="shared" si="90"/>
        <v>4.239284032030146E-2</v>
      </c>
      <c r="BI476" s="2">
        <f t="shared" si="91"/>
        <v>0</v>
      </c>
      <c r="BJ476" s="2">
        <f t="shared" si="92"/>
        <v>0</v>
      </c>
      <c r="BK476" s="2">
        <f t="shared" si="93"/>
        <v>0</v>
      </c>
      <c r="BL476" s="2">
        <f t="shared" si="94"/>
        <v>0.31076778144135658</v>
      </c>
      <c r="BM476" s="2">
        <f t="shared" si="95"/>
        <v>4.239284032030146E-2</v>
      </c>
      <c r="BN476" s="2">
        <f>BI476/SUMIFS(BI$3:BI$623,$BC$3:$BC$623,1,$G$3:$G$623,$G476)</f>
        <v>0</v>
      </c>
      <c r="BO476" s="2">
        <f>BJ476/SUMIFS(BJ$3:BJ$623,$BC$3:$BC$623,1,$G$3:$G$623,$G476)</f>
        <v>0</v>
      </c>
      <c r="BP476" s="2">
        <f>BK476/SUMIFS(BK$3:BK$623,$BC$3:$BC$623,1,$G$3:$G$623,$G476)</f>
        <v>0</v>
      </c>
      <c r="BQ476" s="2">
        <f>BL476</f>
        <v>0.31076778144135658</v>
      </c>
      <c r="BR476" s="2">
        <f>BM476</f>
        <v>4.239284032030146E-2</v>
      </c>
    </row>
    <row r="477" spans="1:70" hidden="1">
      <c r="A477" s="74">
        <v>0</v>
      </c>
      <c r="B477" s="73">
        <v>204992</v>
      </c>
      <c r="C477" s="73" t="s">
        <v>2874</v>
      </c>
      <c r="D477" s="73" t="s">
        <v>1966</v>
      </c>
      <c r="E477" s="73" t="s">
        <v>2875</v>
      </c>
      <c r="F477" s="73">
        <v>18643</v>
      </c>
      <c r="G477" s="73" t="s">
        <v>878</v>
      </c>
      <c r="H477" s="73" t="s">
        <v>911</v>
      </c>
      <c r="I477" s="73" t="s">
        <v>1012</v>
      </c>
      <c r="J477" s="73">
        <v>0</v>
      </c>
      <c r="K477" s="73">
        <v>4.5</v>
      </c>
      <c r="L477" s="73">
        <v>0</v>
      </c>
      <c r="M477" s="73">
        <v>0</v>
      </c>
      <c r="N477" s="73">
        <v>0</v>
      </c>
      <c r="O477" s="73" t="s">
        <v>1318</v>
      </c>
      <c r="P477" s="73" t="s">
        <v>2876</v>
      </c>
      <c r="Q477" s="73" t="s">
        <v>2877</v>
      </c>
      <c r="R477" s="73">
        <v>2</v>
      </c>
      <c r="S477" s="73">
        <v>2</v>
      </c>
      <c r="T477" s="73">
        <v>0</v>
      </c>
      <c r="U477" s="73">
        <v>2</v>
      </c>
      <c r="V477" s="73">
        <v>1003</v>
      </c>
      <c r="W477" s="73">
        <v>12</v>
      </c>
      <c r="X477" s="73">
        <v>1</v>
      </c>
      <c r="Y477" s="73">
        <v>0</v>
      </c>
      <c r="Z477" s="73" t="s">
        <v>1734</v>
      </c>
      <c r="AA477" s="73" t="s">
        <v>692</v>
      </c>
      <c r="AB477" s="73" t="str">
        <f>IF(AA477&lt;&gt;"",INDEX(Lookup!$N$2:$N$5,MATCH(Players!AA477,Lookup!$P$2:$P$5,0)),INDEX(Lookup!$N$2:$N$5,MATCH(Players!O477,Lookup!$O$2:$O$5,0)))</f>
        <v>Defense</v>
      </c>
      <c r="AC477" s="73">
        <v>3000000</v>
      </c>
      <c r="AD477" s="73" t="s">
        <v>803</v>
      </c>
      <c r="AE477" s="73" t="str">
        <f>INDEX('Translate table'!$H$2:$H$622,MATCH(Players!P477,'Translate table'!$G$2:$G$622,0))</f>
        <v>Andreas Ulmer</v>
      </c>
      <c r="AF477" s="73">
        <f>IFERROR(INDEX('Euro Qual stats'!$A$1:$L$2071,MATCH(Players!$AE477,'Euro Qual stats'!$A$1:$A$2071,0),MATCH(Players!AF$2,'Euro Qual stats'!$A$1:$L$1,0)),0)</f>
        <v>8</v>
      </c>
      <c r="AG477" s="73">
        <f>IFERROR(INDEX('Euro Qual stats'!$A$1:$L$2071,MATCH(Players!$AE477,'Euro Qual stats'!$A$1:$A$2071,0),MATCH(Players!AG$2,'Euro Qual stats'!$A$1:$L$1,0)),0)</f>
        <v>0</v>
      </c>
      <c r="AH477" s="73">
        <f>IFERROR(INDEX('Euro Qual stats'!$A$1:$L$2071,MATCH(Players!$AE477,'Euro Qual stats'!$A$1:$A$2071,0),MATCH(Players!AH$2,'Euro Qual stats'!$A$1:$L$1,0)),0)</f>
        <v>0</v>
      </c>
      <c r="AI477" s="73">
        <f>IFERROR(INDEX('Euro Qual stats'!$A$1:$L$2071,MATCH(Players!$AE477,'Euro Qual stats'!$A$1:$A$2071,0),MATCH(Players!AI$2,'Euro Qual stats'!$A$1:$L$1,0)),0)</f>
        <v>0.13</v>
      </c>
      <c r="AJ477" s="93">
        <f>(12-AF477)/12*INDEX(BV$9:BV$12,MATCH($AB477,$BU$9:$BU$12,0))+AF477/12*AG477</f>
        <v>2.9725274725274732E-2</v>
      </c>
      <c r="AK477" s="93">
        <f>(12-AG477)/12*INDEX(BW$9:BW$12,MATCH($AB477,$BU$9:$BU$12,0))+AG477/12*AH477</f>
        <v>0.10357142857142858</v>
      </c>
      <c r="AL477" s="93">
        <f>(12-AH477)/12*INDEX(BX$9:BX$12,MATCH($AB477,$BU$9:$BU$12,0))+AH477/12*AI477</f>
        <v>0.19357142857142848</v>
      </c>
      <c r="AM477" s="93">
        <f>IF($BC477=1,AJ477/SUMIFS(AJ$3:AJ$623,$BC$3:$BC$623,1,$G$3:$G$623,$G477),0)</f>
        <v>0</v>
      </c>
      <c r="AN477" s="93">
        <f>IF($BC477=1,AK477/SUMIFS(AK$3:AK$623,$BC$3:$BC$623,1,$G$3:$G$623,$G477),0)</f>
        <v>0</v>
      </c>
      <c r="AO477" s="93">
        <f>IF($BC477=1,AL477/SUMIFS(AL$3:AL$623,$BC$3:$BC$623,1,$G$3:$G$623,$G477),0)</f>
        <v>0</v>
      </c>
      <c r="AP477" s="2">
        <f>IFERROR(R477/$V477*90,"")</f>
        <v>0.17946161515453637</v>
      </c>
      <c r="AQ477" s="2">
        <f>IFERROR(S477/$V477*90,"")</f>
        <v>0.17946161515453637</v>
      </c>
      <c r="AR477" s="2">
        <f>IFERROR(W477/$V477*90,"")</f>
        <v>1.0767696909272184</v>
      </c>
      <c r="AS477" s="2">
        <f>IFERROR(X477/$V477*90,"")</f>
        <v>8.9730807577268187E-2</v>
      </c>
      <c r="AT477" s="2">
        <f>IFERROR(Y477/$V477*90,"")</f>
        <v>0</v>
      </c>
      <c r="AU477" s="2">
        <f>IF(AP477="",INDEX(BV$4:BV$7,MATCH(O477,$BU$4:$BU$7,0)),AP477)</f>
        <v>0.17946161515453637</v>
      </c>
      <c r="AV477" s="2">
        <f>IF(AQ477="",INDEX(BW$4:BW$7,MATCH($O477,$BU$4:$BU$7,0)),AQ477)</f>
        <v>0.17946161515453637</v>
      </c>
      <c r="AW477" s="2">
        <f t="shared" si="84"/>
        <v>1.0767696909272184</v>
      </c>
      <c r="AX477" s="2">
        <f t="shared" si="85"/>
        <v>8.9730807577268187E-2</v>
      </c>
      <c r="AY477" s="2">
        <f t="shared" si="86"/>
        <v>0</v>
      </c>
      <c r="AZ477" s="2">
        <f>AU477*0.5+AK477*0.5</f>
        <v>0.14151652186298247</v>
      </c>
      <c r="BA477" s="2">
        <f>AV477*0.5+AJ477*0.5</f>
        <v>0.10459344493990555</v>
      </c>
      <c r="BB477" s="2">
        <f t="shared" si="87"/>
        <v>0.1098654037886341</v>
      </c>
      <c r="BC477">
        <f>IF(I477="expected",1,0)</f>
        <v>0</v>
      </c>
      <c r="BD477" s="78">
        <f>IF(BC477=1,AZ477/SUMIFS(AZ$3:AZ$623,$BC$3:$BC$623,1,$G$3:$G$623,$G477),0)</f>
        <v>0</v>
      </c>
      <c r="BE477" s="78">
        <f>IF(BC477=1,BA477/SUMIFS(BA$3:BA$623,$BC$3:$BC$623,1,$G$3:$G$623,$G477),0)</f>
        <v>0</v>
      </c>
      <c r="BF477" s="78">
        <f t="shared" si="88"/>
        <v>0</v>
      </c>
      <c r="BG477" s="2">
        <f t="shared" si="89"/>
        <v>0.1098654037886341</v>
      </c>
      <c r="BH477" s="2">
        <f t="shared" si="90"/>
        <v>0</v>
      </c>
      <c r="BI477" s="2">
        <f t="shared" si="91"/>
        <v>0</v>
      </c>
      <c r="BJ477" s="2">
        <f t="shared" si="92"/>
        <v>0</v>
      </c>
      <c r="BK477" s="2">
        <f t="shared" si="93"/>
        <v>0</v>
      </c>
      <c r="BL477" s="2">
        <f t="shared" si="94"/>
        <v>0.1098654037886341</v>
      </c>
      <c r="BM477" s="2">
        <f t="shared" si="95"/>
        <v>0</v>
      </c>
      <c r="BN477" s="2">
        <f>BI477/SUMIFS(BI$3:BI$623,$BC$3:$BC$623,1,$G$3:$G$623,$G477)</f>
        <v>0</v>
      </c>
      <c r="BO477" s="2">
        <f>BJ477/SUMIFS(BJ$3:BJ$623,$BC$3:$BC$623,1,$G$3:$G$623,$G477)</f>
        <v>0</v>
      </c>
      <c r="BP477" s="2">
        <f>BK477/SUMIFS(BK$3:BK$623,$BC$3:$BC$623,1,$G$3:$G$623,$G477)</f>
        <v>0</v>
      </c>
      <c r="BQ477" s="2">
        <f>BL477</f>
        <v>0.1098654037886341</v>
      </c>
      <c r="BR477" s="2">
        <f>BM477</f>
        <v>0</v>
      </c>
    </row>
    <row r="478" spans="1:70" hidden="1">
      <c r="A478" s="74">
        <v>0</v>
      </c>
      <c r="B478" s="73">
        <v>204973</v>
      </c>
      <c r="C478" s="73" t="s">
        <v>2878</v>
      </c>
      <c r="D478" s="73" t="s">
        <v>1585</v>
      </c>
      <c r="E478" s="73" t="s">
        <v>2879</v>
      </c>
      <c r="F478" s="73">
        <v>18643</v>
      </c>
      <c r="G478" s="73" t="s">
        <v>878</v>
      </c>
      <c r="H478" s="73" t="s">
        <v>911</v>
      </c>
      <c r="I478" s="73" t="s">
        <v>981</v>
      </c>
      <c r="J478" s="73">
        <v>0</v>
      </c>
      <c r="K478" s="73">
        <v>4.5</v>
      </c>
      <c r="L478" s="73">
        <v>0</v>
      </c>
      <c r="M478" s="73">
        <v>0</v>
      </c>
      <c r="N478" s="73">
        <v>0</v>
      </c>
      <c r="O478" s="73" t="s">
        <v>1318</v>
      </c>
      <c r="P478" s="73" t="s">
        <v>2880</v>
      </c>
      <c r="Q478" s="73" t="s">
        <v>2880</v>
      </c>
      <c r="R478" s="73">
        <v>1</v>
      </c>
      <c r="S478" s="73">
        <v>0</v>
      </c>
      <c r="T478" s="73">
        <v>0</v>
      </c>
      <c r="U478" s="73">
        <v>0</v>
      </c>
      <c r="V478" s="73">
        <v>1573</v>
      </c>
      <c r="W478" s="73">
        <v>4</v>
      </c>
      <c r="X478" s="73">
        <v>4</v>
      </c>
      <c r="Y478" s="73">
        <v>0</v>
      </c>
      <c r="Z478" s="73" t="s">
        <v>1734</v>
      </c>
      <c r="AA478" s="73" t="s">
        <v>691</v>
      </c>
      <c r="AB478" s="73" t="str">
        <f>IF(AA478&lt;&gt;"",INDEX(Lookup!$N$2:$N$5,MATCH(Players!AA478,Lookup!$P$2:$P$5,0)),INDEX(Lookup!$N$2:$N$5,MATCH(Players!O478,Lookup!$O$2:$O$5,0)))</f>
        <v>Midfield</v>
      </c>
      <c r="AC478" s="73">
        <v>3000000</v>
      </c>
      <c r="AD478" s="73" t="s">
        <v>789</v>
      </c>
      <c r="AE478" s="73" t="str">
        <f>INDEX('Translate table'!$H$2:$H$622,MATCH(Players!P478,'Translate table'!$G$2:$G$622,0))</f>
        <v>Stefan Ilsanker</v>
      </c>
      <c r="AF478" s="73">
        <f>IFERROR(INDEX('Euro Qual stats'!$A$1:$L$2071,MATCH(Players!$AE478,'Euro Qual stats'!$A$1:$A$2071,0),MATCH(Players!AF$2,'Euro Qual stats'!$A$1:$L$1,0)),0)</f>
        <v>8</v>
      </c>
      <c r="AG478" s="73">
        <f>IFERROR(INDEX('Euro Qual stats'!$A$1:$L$2071,MATCH(Players!$AE478,'Euro Qual stats'!$A$1:$A$2071,0),MATCH(Players!AG$2,'Euro Qual stats'!$A$1:$L$1,0)),0)</f>
        <v>0</v>
      </c>
      <c r="AH478" s="73">
        <f>IFERROR(INDEX('Euro Qual stats'!$A$1:$L$2071,MATCH(Players!$AE478,'Euro Qual stats'!$A$1:$A$2071,0),MATCH(Players!AH$2,'Euro Qual stats'!$A$1:$L$1,0)),0)</f>
        <v>0</v>
      </c>
      <c r="AI478" s="73">
        <f>IFERROR(INDEX('Euro Qual stats'!$A$1:$L$2071,MATCH(Players!$AE478,'Euro Qual stats'!$A$1:$A$2071,0),MATCH(Players!AI$2,'Euro Qual stats'!$A$1:$L$1,0)),0)</f>
        <v>0.23</v>
      </c>
      <c r="AJ478" s="93">
        <f>(12-AF478)/12*INDEX(BV$9:BV$12,MATCH($AB478,$BU$9:$BU$12,0))+AF478/12*AG478</f>
        <v>5.6230366492146591E-2</v>
      </c>
      <c r="AK478" s="93">
        <f>(12-AG478)/12*INDEX(BW$9:BW$12,MATCH($AB478,$BU$9:$BU$12,0))+AG478/12*AH478</f>
        <v>0.22340314136125652</v>
      </c>
      <c r="AL478" s="93">
        <f>(12-AH478)/12*INDEX(BX$9:BX$12,MATCH($AB478,$BU$9:$BU$12,0))+AH478/12*AI478</f>
        <v>0.23942408376963353</v>
      </c>
      <c r="AM478" s="93">
        <f>IF($BC478=1,AJ478/SUMIFS(AJ$3:AJ$623,$BC$3:$BC$623,1,$G$3:$G$623,$G478),0)</f>
        <v>4.7638715845580569E-2</v>
      </c>
      <c r="AN478" s="93">
        <f>IF($BC478=1,AK478/SUMIFS(AK$3:AK$623,$BC$3:$BC$623,1,$G$3:$G$623,$G478),0)</f>
        <v>8.897871074188847E-2</v>
      </c>
      <c r="AO478" s="93">
        <f>IF($BC478=1,AL478/SUMIFS(AL$3:AL$623,$BC$3:$BC$623,1,$G$3:$G$623,$G478),0)</f>
        <v>0.11424271924325016</v>
      </c>
      <c r="AP478" s="2">
        <f>IFERROR(R478/$V478*90,"")</f>
        <v>5.7215511760966307E-2</v>
      </c>
      <c r="AQ478" s="2">
        <f>IFERROR(S478/$V478*90,"")</f>
        <v>0</v>
      </c>
      <c r="AR478" s="2">
        <f>IFERROR(W478/$V478*90,"")</f>
        <v>0.22886204704386523</v>
      </c>
      <c r="AS478" s="2">
        <f>IFERROR(X478/$V478*90,"")</f>
        <v>0.22886204704386523</v>
      </c>
      <c r="AT478" s="2">
        <f>IFERROR(Y478/$V478*90,"")</f>
        <v>0</v>
      </c>
      <c r="AU478" s="2">
        <f>IF(AP478="",INDEX(BV$4:BV$7,MATCH(O478,$BU$4:$BU$7,0)),AP478)</f>
        <v>5.7215511760966307E-2</v>
      </c>
      <c r="AV478" s="2">
        <f>IF(AQ478="",INDEX(BW$4:BW$7,MATCH($O478,$BU$4:$BU$7,0)),AQ478)</f>
        <v>0</v>
      </c>
      <c r="AW478" s="2">
        <f t="shared" si="84"/>
        <v>0.22886204704386523</v>
      </c>
      <c r="AX478" s="2">
        <f t="shared" si="85"/>
        <v>0.22886204704386523</v>
      </c>
      <c r="AY478" s="2">
        <f t="shared" si="86"/>
        <v>0</v>
      </c>
      <c r="AZ478" s="2">
        <f>AU478*0.5+AK478*0.5</f>
        <v>0.14030932656111142</v>
      </c>
      <c r="BA478" s="2">
        <f>AV478*0.5+AJ478*0.5</f>
        <v>2.8115183246073296E-2</v>
      </c>
      <c r="BB478" s="2">
        <f t="shared" si="87"/>
        <v>0.22943102352193262</v>
      </c>
      <c r="BC478">
        <f>IF(I478="expected",1,0)</f>
        <v>1</v>
      </c>
      <c r="BD478" s="78">
        <f>IF(BC478=1,AZ478/SUMIFS(AZ$3:AZ$623,$BC$3:$BC$623,1,$G$3:$G$623,$G478),0)</f>
        <v>7.027577370955071E-2</v>
      </c>
      <c r="BE478" s="78">
        <f>IF(BC478=1,BA478/SUMIFS(BA$3:BA$623,$BC$3:$BC$623,1,$G$3:$G$623,$G478),0)</f>
        <v>3.0319830923909084E-2</v>
      </c>
      <c r="BF478" s="78">
        <f t="shared" si="88"/>
        <v>6.2194827602361981E-2</v>
      </c>
      <c r="BG478" s="2">
        <f t="shared" si="89"/>
        <v>0.22943102352193262</v>
      </c>
      <c r="BH478" s="2">
        <f t="shared" si="90"/>
        <v>0</v>
      </c>
      <c r="BI478" s="2">
        <f t="shared" si="91"/>
        <v>7.027577370955071E-2</v>
      </c>
      <c r="BJ478" s="2">
        <f t="shared" si="92"/>
        <v>3.0319830923909084E-2</v>
      </c>
      <c r="BK478" s="2">
        <f t="shared" si="93"/>
        <v>6.2194827602361981E-2</v>
      </c>
      <c r="BL478" s="2">
        <f t="shared" si="94"/>
        <v>0.22943102352193262</v>
      </c>
      <c r="BM478" s="2">
        <f t="shared" si="95"/>
        <v>0</v>
      </c>
      <c r="BN478" s="2">
        <f>BI478/SUMIFS(BI$3:BI$623,$BC$3:$BC$623,1,$G$3:$G$623,$G478)</f>
        <v>7.027577370955071E-2</v>
      </c>
      <c r="BO478" s="2">
        <f>BJ478/SUMIFS(BJ$3:BJ$623,$BC$3:$BC$623,1,$G$3:$G$623,$G478)</f>
        <v>3.0319830923909084E-2</v>
      </c>
      <c r="BP478" s="2">
        <f>BK478/SUMIFS(BK$3:BK$623,$BC$3:$BC$623,1,$G$3:$G$623,$G478)</f>
        <v>6.4224097795236662E-2</v>
      </c>
      <c r="BQ478" s="2">
        <f>BL478</f>
        <v>0.22943102352193262</v>
      </c>
      <c r="BR478" s="2">
        <f>BM478</f>
        <v>0</v>
      </c>
    </row>
    <row r="479" spans="1:70" hidden="1">
      <c r="A479" s="74">
        <v>0</v>
      </c>
      <c r="B479" s="73">
        <v>204970</v>
      </c>
      <c r="C479" s="73" t="s">
        <v>2881</v>
      </c>
      <c r="D479" s="73" t="s">
        <v>1264</v>
      </c>
      <c r="E479" s="73" t="s">
        <v>2882</v>
      </c>
      <c r="F479" s="73">
        <v>18643</v>
      </c>
      <c r="G479" s="73" t="s">
        <v>878</v>
      </c>
      <c r="H479" s="73" t="s">
        <v>911</v>
      </c>
      <c r="I479" s="73" t="s">
        <v>1012</v>
      </c>
      <c r="J479" s="73">
        <v>0</v>
      </c>
      <c r="K479" s="73">
        <v>4.5</v>
      </c>
      <c r="L479" s="73">
        <v>0</v>
      </c>
      <c r="M479" s="73">
        <v>0</v>
      </c>
      <c r="N479" s="73">
        <v>0</v>
      </c>
      <c r="O479" s="73" t="s">
        <v>1318</v>
      </c>
      <c r="P479" s="73" t="s">
        <v>2883</v>
      </c>
      <c r="Q479" s="73" t="s">
        <v>2883</v>
      </c>
      <c r="R479" s="73">
        <v>2</v>
      </c>
      <c r="S479" s="73">
        <v>1</v>
      </c>
      <c r="T479" s="73">
        <v>0</v>
      </c>
      <c r="U479" s="73">
        <v>3</v>
      </c>
      <c r="V479" s="73">
        <v>2527</v>
      </c>
      <c r="W479" s="73">
        <v>7</v>
      </c>
      <c r="X479" s="73">
        <v>4</v>
      </c>
      <c r="Y479" s="73">
        <v>0</v>
      </c>
      <c r="Z479" s="73" t="s">
        <v>1734</v>
      </c>
      <c r="AA479" s="73" t="s">
        <v>692</v>
      </c>
      <c r="AB479" s="73" t="str">
        <f>IF(AA479&lt;&gt;"",INDEX(Lookup!$N$2:$N$5,MATCH(Players!AA479,Lookup!$P$2:$P$5,0)),INDEX(Lookup!$N$2:$N$5,MATCH(Players!O479,Lookup!$O$2:$O$5,0)))</f>
        <v>Defense</v>
      </c>
      <c r="AC479" s="73">
        <v>3000000</v>
      </c>
      <c r="AD479" s="73" t="s">
        <v>802</v>
      </c>
      <c r="AE479" s="73" t="str">
        <f>INDEX('Translate table'!$H$2:$H$622,MATCH(Players!P479,'Translate table'!$G$2:$G$622,0))</f>
        <v>Martin Hinteregger</v>
      </c>
      <c r="AF479" s="73">
        <f>IFERROR(INDEX('Euro Qual stats'!$A$1:$L$2071,MATCH(Players!$AE479,'Euro Qual stats'!$A$1:$A$2071,0),MATCH(Players!AF$2,'Euro Qual stats'!$A$1:$L$1,0)),0)</f>
        <v>8</v>
      </c>
      <c r="AG479" s="73">
        <f>IFERROR(INDEX('Euro Qual stats'!$A$1:$L$2071,MATCH(Players!$AE479,'Euro Qual stats'!$A$1:$A$2071,0),MATCH(Players!AG$2,'Euro Qual stats'!$A$1:$L$1,0)),0)</f>
        <v>0</v>
      </c>
      <c r="AH479" s="73">
        <f>IFERROR(INDEX('Euro Qual stats'!$A$1:$L$2071,MATCH(Players!$AE479,'Euro Qual stats'!$A$1:$A$2071,0),MATCH(Players!AH$2,'Euro Qual stats'!$A$1:$L$1,0)),0)</f>
        <v>0.13</v>
      </c>
      <c r="AI479" s="73">
        <f>IFERROR(INDEX('Euro Qual stats'!$A$1:$L$2071,MATCH(Players!$AE479,'Euro Qual stats'!$A$1:$A$2071,0),MATCH(Players!AI$2,'Euro Qual stats'!$A$1:$L$1,0)),0)</f>
        <v>0.13</v>
      </c>
      <c r="AJ479" s="93">
        <f>(12-AF479)/12*INDEX(BV$9:BV$12,MATCH($AB479,$BU$9:$BU$12,0))+AF479/12*AG479</f>
        <v>2.9725274725274732E-2</v>
      </c>
      <c r="AK479" s="93">
        <f>(12-AG479)/12*INDEX(BW$9:BW$12,MATCH($AB479,$BU$9:$BU$12,0))+AG479/12*AH479</f>
        <v>0.10357142857142858</v>
      </c>
      <c r="AL479" s="93">
        <f>(12-AH479)/12*INDEX(BX$9:BX$12,MATCH($AB479,$BU$9:$BU$12,0))+AH479/12*AI479</f>
        <v>0.19288273809523801</v>
      </c>
      <c r="AM479" s="93">
        <f>IF($BC479=1,AJ479/SUMIFS(AJ$3:AJ$623,$BC$3:$BC$623,1,$G$3:$G$623,$G479),0)</f>
        <v>0</v>
      </c>
      <c r="AN479" s="93">
        <f>IF($BC479=1,AK479/SUMIFS(AK$3:AK$623,$BC$3:$BC$623,1,$G$3:$G$623,$G479),0)</f>
        <v>0</v>
      </c>
      <c r="AO479" s="93">
        <f>IF($BC479=1,AL479/SUMIFS(AL$3:AL$623,$BC$3:$BC$623,1,$G$3:$G$623,$G479),0)</f>
        <v>0</v>
      </c>
      <c r="AP479" s="2">
        <f>IFERROR(R479/$V479*90,"")</f>
        <v>7.1230708349821925E-2</v>
      </c>
      <c r="AQ479" s="2">
        <f>IFERROR(S479/$V479*90,"")</f>
        <v>3.5615354174910963E-2</v>
      </c>
      <c r="AR479" s="2">
        <f>IFERROR(W479/$V479*90,"")</f>
        <v>0.24930747922437674</v>
      </c>
      <c r="AS479" s="2">
        <f>IFERROR(X479/$V479*90,"")</f>
        <v>0.14246141669964385</v>
      </c>
      <c r="AT479" s="2">
        <f>IFERROR(Y479/$V479*90,"")</f>
        <v>0</v>
      </c>
      <c r="AU479" s="2">
        <f>IF(AP479="",INDEX(BV$4:BV$7,MATCH(O479,$BU$4:$BU$7,0)),AP479)</f>
        <v>7.1230708349821925E-2</v>
      </c>
      <c r="AV479" s="2">
        <f>IF(AQ479="",INDEX(BW$4:BW$7,MATCH($O479,$BU$4:$BU$7,0)),AQ479)</f>
        <v>3.5615354174910963E-2</v>
      </c>
      <c r="AW479" s="2">
        <f t="shared" si="84"/>
        <v>0.24930747922437674</v>
      </c>
      <c r="AX479" s="2">
        <f t="shared" si="85"/>
        <v>0.14246141669964385</v>
      </c>
      <c r="AY479" s="2">
        <f t="shared" si="86"/>
        <v>0</v>
      </c>
      <c r="AZ479" s="2">
        <f>AU479*0.5+AK479*0.5</f>
        <v>8.7401068460625259E-2</v>
      </c>
      <c r="BA479" s="2">
        <f>AV479*0.5+AJ479*0.5</f>
        <v>3.2670314450092844E-2</v>
      </c>
      <c r="BB479" s="2">
        <f t="shared" si="87"/>
        <v>0.13623070834982193</v>
      </c>
      <c r="BC479">
        <f>IF(I479="expected",1,0)</f>
        <v>0</v>
      </c>
      <c r="BD479" s="78">
        <f>IF(BC479=1,AZ479/SUMIFS(AZ$3:AZ$623,$BC$3:$BC$623,1,$G$3:$G$623,$G479),0)</f>
        <v>0</v>
      </c>
      <c r="BE479" s="78">
        <f>IF(BC479=1,BA479/SUMIFS(BA$3:BA$623,$BC$3:$BC$623,1,$G$3:$G$623,$G479),0)</f>
        <v>0</v>
      </c>
      <c r="BF479" s="78">
        <f t="shared" si="88"/>
        <v>0</v>
      </c>
      <c r="BG479" s="2">
        <f t="shared" si="89"/>
        <v>0.13623070834982193</v>
      </c>
      <c r="BH479" s="2">
        <f t="shared" si="90"/>
        <v>0</v>
      </c>
      <c r="BI479" s="2">
        <f t="shared" si="91"/>
        <v>0</v>
      </c>
      <c r="BJ479" s="2">
        <f t="shared" si="92"/>
        <v>0</v>
      </c>
      <c r="BK479" s="2">
        <f t="shared" si="93"/>
        <v>0</v>
      </c>
      <c r="BL479" s="2">
        <f t="shared" si="94"/>
        <v>0.13623070834982193</v>
      </c>
      <c r="BM479" s="2">
        <f t="shared" si="95"/>
        <v>0</v>
      </c>
      <c r="BN479" s="2">
        <f>BI479/SUMIFS(BI$3:BI$623,$BC$3:$BC$623,1,$G$3:$G$623,$G479)</f>
        <v>0</v>
      </c>
      <c r="BO479" s="2">
        <f>BJ479/SUMIFS(BJ$3:BJ$623,$BC$3:$BC$623,1,$G$3:$G$623,$G479)</f>
        <v>0</v>
      </c>
      <c r="BP479" s="2">
        <f>BK479/SUMIFS(BK$3:BK$623,$BC$3:$BC$623,1,$G$3:$G$623,$G479)</f>
        <v>0</v>
      </c>
      <c r="BQ479" s="2">
        <f>BL479</f>
        <v>0.13623070834982193</v>
      </c>
      <c r="BR479" s="2">
        <f>BM479</f>
        <v>0</v>
      </c>
    </row>
    <row r="480" spans="1:70" hidden="1">
      <c r="A480" s="74">
        <v>0</v>
      </c>
      <c r="B480" s="73">
        <v>204967</v>
      </c>
      <c r="C480" s="73" t="s">
        <v>2884</v>
      </c>
      <c r="D480" s="73" t="s">
        <v>2760</v>
      </c>
      <c r="E480" s="73" t="s">
        <v>2885</v>
      </c>
      <c r="F480" s="73">
        <v>18643</v>
      </c>
      <c r="G480" s="73" t="s">
        <v>878</v>
      </c>
      <c r="H480" s="73" t="s">
        <v>911</v>
      </c>
      <c r="I480" s="73" t="s">
        <v>981</v>
      </c>
      <c r="J480" s="73">
        <v>0</v>
      </c>
      <c r="K480" s="73">
        <v>4.5</v>
      </c>
      <c r="L480" s="73">
        <v>0</v>
      </c>
      <c r="M480" s="73">
        <v>0</v>
      </c>
      <c r="N480" s="73">
        <v>0</v>
      </c>
      <c r="O480" s="73" t="s">
        <v>1318</v>
      </c>
      <c r="P480" s="73" t="s">
        <v>2763</v>
      </c>
      <c r="Q480" s="73" t="s">
        <v>2763</v>
      </c>
      <c r="R480" s="73">
        <v>1</v>
      </c>
      <c r="S480" s="73">
        <v>0</v>
      </c>
      <c r="T480" s="73">
        <v>0</v>
      </c>
      <c r="U480" s="73">
        <v>2</v>
      </c>
      <c r="V480" s="73">
        <v>1131</v>
      </c>
      <c r="W480" s="73">
        <v>2</v>
      </c>
      <c r="X480" s="73">
        <v>3</v>
      </c>
      <c r="Y480" s="73">
        <v>0</v>
      </c>
      <c r="Z480" s="73" t="s">
        <v>1734</v>
      </c>
      <c r="AA480" s="73" t="s">
        <v>692</v>
      </c>
      <c r="AB480" s="73" t="str">
        <f>IF(AA480&lt;&gt;"",INDEX(Lookup!$N$2:$N$5,MATCH(Players!AA480,Lookup!$P$2:$P$5,0)),INDEX(Lookup!$N$2:$N$5,MATCH(Players!O480,Lookup!$O$2:$O$5,0)))</f>
        <v>Defense</v>
      </c>
      <c r="AC480" s="73">
        <v>3000000</v>
      </c>
      <c r="AD480" s="73" t="s">
        <v>793</v>
      </c>
      <c r="AE480" s="73" t="str">
        <f>INDEX('Translate table'!$H$2:$H$622,MATCH(Players!P480,'Translate table'!$G$2:$G$622,0))</f>
        <v>Aleksandar DragoviÄ‡</v>
      </c>
      <c r="AF480" s="73">
        <f>IFERROR(INDEX('Euro Qual stats'!$A$1:$L$2071,MATCH(Players!$AE480,'Euro Qual stats'!$A$1:$A$2071,0),MATCH(Players!AF$2,'Euro Qual stats'!$A$1:$L$1,0)),0)</f>
        <v>10</v>
      </c>
      <c r="AG480" s="73">
        <f>IFERROR(INDEX('Euro Qual stats'!$A$1:$L$2071,MATCH(Players!$AE480,'Euro Qual stats'!$A$1:$A$2071,0),MATCH(Players!AG$2,'Euro Qual stats'!$A$1:$L$1,0)),0)</f>
        <v>0.11</v>
      </c>
      <c r="AH480" s="73">
        <f>IFERROR(INDEX('Euro Qual stats'!$A$1:$L$2071,MATCH(Players!$AE480,'Euro Qual stats'!$A$1:$A$2071,0),MATCH(Players!AH$2,'Euro Qual stats'!$A$1:$L$1,0)),0)</f>
        <v>0</v>
      </c>
      <c r="AI480" s="73">
        <f>IFERROR(INDEX('Euro Qual stats'!$A$1:$L$2071,MATCH(Players!$AE480,'Euro Qual stats'!$A$1:$A$2071,0),MATCH(Players!AI$2,'Euro Qual stats'!$A$1:$L$1,0)),0)</f>
        <v>0.21</v>
      </c>
      <c r="AJ480" s="93">
        <f>(12-AF480)/12*INDEX(BV$9:BV$12,MATCH($AB480,$BU$9:$BU$12,0))+AF480/12*AG480</f>
        <v>0.10652930402930404</v>
      </c>
      <c r="AK480" s="93">
        <f>(12-AG480)/12*INDEX(BW$9:BW$12,MATCH($AB480,$BU$9:$BU$12,0))+AG480/12*AH480</f>
        <v>0.10262202380952382</v>
      </c>
      <c r="AL480" s="93">
        <f>(12-AH480)/12*INDEX(BX$9:BX$12,MATCH($AB480,$BU$9:$BU$12,0))+AH480/12*AI480</f>
        <v>0.19357142857142848</v>
      </c>
      <c r="AM480" s="93">
        <f>IF($BC480=1,AJ480/SUMIFS(AJ$3:AJ$623,$BC$3:$BC$623,1,$G$3:$G$623,$G480),0)</f>
        <v>9.0252288229141539E-2</v>
      </c>
      <c r="AN480" s="93">
        <f>IF($BC480=1,AK480/SUMIFS(AK$3:AK$623,$BC$3:$BC$623,1,$G$3:$G$623,$G480),0)</f>
        <v>4.0873084042847646E-2</v>
      </c>
      <c r="AO480" s="93">
        <f>IF($BC480=1,AL480/SUMIFS(AL$3:AL$623,$BC$3:$BC$623,1,$G$3:$G$623,$G480),0)</f>
        <v>9.2363834162473346E-2</v>
      </c>
      <c r="AP480" s="2">
        <f>IFERROR(R480/$V480*90,"")</f>
        <v>7.9575596816976124E-2</v>
      </c>
      <c r="AQ480" s="2">
        <f>IFERROR(S480/$V480*90,"")</f>
        <v>0</v>
      </c>
      <c r="AR480" s="2">
        <f>IFERROR(W480/$V480*90,"")</f>
        <v>0.15915119363395225</v>
      </c>
      <c r="AS480" s="2">
        <f>IFERROR(X480/$V480*90,"")</f>
        <v>0.23872679045092837</v>
      </c>
      <c r="AT480" s="2">
        <f>IFERROR(Y480/$V480*90,"")</f>
        <v>0</v>
      </c>
      <c r="AU480" s="2">
        <f>IF(AP480="",INDEX(BV$4:BV$7,MATCH(O480,$BU$4:$BU$7,0)),AP480)</f>
        <v>7.9575596816976124E-2</v>
      </c>
      <c r="AV480" s="2">
        <f>IF(AQ480="",INDEX(BW$4:BW$7,MATCH($O480,$BU$4:$BU$7,0)),AQ480)</f>
        <v>0</v>
      </c>
      <c r="AW480" s="2">
        <f t="shared" si="84"/>
        <v>0.15915119363395225</v>
      </c>
      <c r="AX480" s="2">
        <f t="shared" si="85"/>
        <v>0.23872679045092837</v>
      </c>
      <c r="AY480" s="2">
        <f t="shared" si="86"/>
        <v>0</v>
      </c>
      <c r="AZ480" s="2">
        <f>AU480*0.5+AK480*0.5</f>
        <v>9.109881031324997E-2</v>
      </c>
      <c r="BA480" s="2">
        <f>AV480*0.5+AJ480*0.5</f>
        <v>5.3264652014652018E-2</v>
      </c>
      <c r="BB480" s="2">
        <f t="shared" si="87"/>
        <v>0.22436339522546417</v>
      </c>
      <c r="BC480">
        <f>IF(I480="expected",1,0)</f>
        <v>1</v>
      </c>
      <c r="BD480" s="78">
        <f>IF(BC480=1,AZ480/SUMIFS(AZ$3:AZ$623,$BC$3:$BC$623,1,$G$3:$G$623,$G480),0)</f>
        <v>4.562803867492618E-2</v>
      </c>
      <c r="BE480" s="78">
        <f>IF(BC480=1,BA480/SUMIFS(BA$3:BA$623,$BC$3:$BC$623,1,$G$3:$G$623,$G480),0)</f>
        <v>5.7441391335432891E-2</v>
      </c>
      <c r="BF480" s="78">
        <f t="shared" si="88"/>
        <v>4.32504260912977E-2</v>
      </c>
      <c r="BG480" s="2">
        <f t="shared" si="89"/>
        <v>0.22436339522546417</v>
      </c>
      <c r="BH480" s="2">
        <f t="shared" si="90"/>
        <v>0</v>
      </c>
      <c r="BI480" s="2">
        <f t="shared" si="91"/>
        <v>4.562803867492618E-2</v>
      </c>
      <c r="BJ480" s="2">
        <f t="shared" si="92"/>
        <v>5.7441391335432891E-2</v>
      </c>
      <c r="BK480" s="2">
        <f t="shared" si="93"/>
        <v>4.32504260912977E-2</v>
      </c>
      <c r="BL480" s="2">
        <f t="shared" si="94"/>
        <v>0.22436339522546417</v>
      </c>
      <c r="BM480" s="2">
        <f t="shared" si="95"/>
        <v>0</v>
      </c>
      <c r="BN480" s="2">
        <f>BI480/SUMIFS(BI$3:BI$623,$BC$3:$BC$623,1,$G$3:$G$623,$G480)</f>
        <v>4.562803867492618E-2</v>
      </c>
      <c r="BO480" s="2">
        <f>BJ480/SUMIFS(BJ$3:BJ$623,$BC$3:$BC$623,1,$G$3:$G$623,$G480)</f>
        <v>5.7441391335432891E-2</v>
      </c>
      <c r="BP480" s="2">
        <f>BK480/SUMIFS(BK$3:BK$623,$BC$3:$BC$623,1,$G$3:$G$623,$G480)</f>
        <v>4.4661585248411705E-2</v>
      </c>
      <c r="BQ480" s="2">
        <f>BL480</f>
        <v>0.22436339522546417</v>
      </c>
      <c r="BR480" s="2">
        <f>BM480</f>
        <v>0</v>
      </c>
    </row>
    <row r="481" spans="1:70" hidden="1">
      <c r="A481" s="74">
        <v>0</v>
      </c>
      <c r="B481" s="73">
        <v>221566</v>
      </c>
      <c r="C481" s="73" t="s">
        <v>2886</v>
      </c>
      <c r="D481" s="73" t="s">
        <v>2887</v>
      </c>
      <c r="E481" s="73" t="s">
        <v>2888</v>
      </c>
      <c r="F481" s="73">
        <v>18643</v>
      </c>
      <c r="G481" s="73" t="s">
        <v>878</v>
      </c>
      <c r="H481" s="73" t="s">
        <v>911</v>
      </c>
      <c r="I481" s="73" t="s">
        <v>1012</v>
      </c>
      <c r="J481" s="73">
        <v>0</v>
      </c>
      <c r="K481" s="73">
        <v>4.5</v>
      </c>
      <c r="L481" s="73">
        <v>0</v>
      </c>
      <c r="M481" s="73">
        <v>0</v>
      </c>
      <c r="N481" s="73">
        <v>0</v>
      </c>
      <c r="O481" s="73" t="s">
        <v>994</v>
      </c>
      <c r="P481" s="73" t="s">
        <v>2889</v>
      </c>
      <c r="Q481" s="73" t="s">
        <v>1164</v>
      </c>
      <c r="R481" s="73"/>
      <c r="S481" s="73"/>
      <c r="T481" s="73"/>
      <c r="U481" s="73"/>
      <c r="V481" s="73"/>
      <c r="W481" s="73"/>
      <c r="X481" s="73"/>
      <c r="Y481" s="73"/>
      <c r="Z481" s="73" t="s">
        <v>1734</v>
      </c>
      <c r="AA481" s="73" t="s">
        <v>691</v>
      </c>
      <c r="AB481" s="73" t="str">
        <f>IF(AA481&lt;&gt;"",INDEX(Lookup!$N$2:$N$5,MATCH(Players!AA481,Lookup!$P$2:$P$5,0)),INDEX(Lookup!$N$2:$N$5,MATCH(Players!O481,Lookup!$O$2:$O$5,0)))</f>
        <v>Midfield</v>
      </c>
      <c r="AC481" s="73">
        <v>3000000</v>
      </c>
      <c r="AD481" s="73" t="s">
        <v>788</v>
      </c>
      <c r="AE481" s="73" t="str">
        <f>INDEX('Translate table'!$H$2:$H$622,MATCH(Players!P481,'Translate table'!$G$2:$G$622,0))</f>
        <v>Louis Schaub</v>
      </c>
      <c r="AF481" s="73">
        <f>IFERROR(INDEX('Euro Qual stats'!$A$1:$L$2071,MATCH(Players!$AE481,'Euro Qual stats'!$A$1:$A$2071,0),MATCH(Players!AF$2,'Euro Qual stats'!$A$1:$L$1,0)),0)</f>
        <v>3</v>
      </c>
      <c r="AG481" s="73">
        <f>IFERROR(INDEX('Euro Qual stats'!$A$1:$L$2071,MATCH(Players!$AE481,'Euro Qual stats'!$A$1:$A$2071,0),MATCH(Players!AG$2,'Euro Qual stats'!$A$1:$L$1,0)),0)</f>
        <v>0</v>
      </c>
      <c r="AH481" s="73">
        <f>IFERROR(INDEX('Euro Qual stats'!$A$1:$L$2071,MATCH(Players!$AE481,'Euro Qual stats'!$A$1:$A$2071,0),MATCH(Players!AH$2,'Euro Qual stats'!$A$1:$L$1,0)),0)</f>
        <v>0</v>
      </c>
      <c r="AI481" s="73">
        <f>IFERROR(INDEX('Euro Qual stats'!$A$1:$L$2071,MATCH(Players!$AE481,'Euro Qual stats'!$A$1:$A$2071,0),MATCH(Players!AI$2,'Euro Qual stats'!$A$1:$L$1,0)),0)</f>
        <v>0</v>
      </c>
      <c r="AJ481" s="93">
        <f>(12-AF481)/12*INDEX(BV$9:BV$12,MATCH($AB481,$BU$9:$BU$12,0))+AF481/12*AG481</f>
        <v>0.12651832460732984</v>
      </c>
      <c r="AK481" s="93">
        <f>(12-AG481)/12*INDEX(BW$9:BW$12,MATCH($AB481,$BU$9:$BU$12,0))+AG481/12*AH481</f>
        <v>0.22340314136125652</v>
      </c>
      <c r="AL481" s="93">
        <f>(12-AH481)/12*INDEX(BX$9:BX$12,MATCH($AB481,$BU$9:$BU$12,0))+AH481/12*AI481</f>
        <v>0.23942408376963353</v>
      </c>
      <c r="AM481" s="93">
        <f>IF($BC481=1,AJ481/SUMIFS(AJ$3:AJ$623,$BC$3:$BC$623,1,$G$3:$G$623,$G481),0)</f>
        <v>0</v>
      </c>
      <c r="AN481" s="93">
        <f>IF($BC481=1,AK481/SUMIFS(AK$3:AK$623,$BC$3:$BC$623,1,$G$3:$G$623,$G481),0)</f>
        <v>0</v>
      </c>
      <c r="AO481" s="93">
        <f>IF($BC481=1,AL481/SUMIFS(AL$3:AL$623,$BC$3:$BC$623,1,$G$3:$G$623,$G481),0)</f>
        <v>0</v>
      </c>
      <c r="AP481" s="2" t="str">
        <f>IFERROR(R481/$V481*90,"")</f>
        <v/>
      </c>
      <c r="AQ481" s="2" t="str">
        <f>IFERROR(S481/$V481*90,"")</f>
        <v/>
      </c>
      <c r="AR481" s="2" t="str">
        <f>IFERROR(W481/$V481*90,"")</f>
        <v/>
      </c>
      <c r="AS481" s="2" t="str">
        <f>IFERROR(X481/$V481*90,"")</f>
        <v/>
      </c>
      <c r="AT481" s="2" t="str">
        <f>IFERROR(Y481/$V481*90,"")</f>
        <v/>
      </c>
      <c r="AU481" s="2">
        <f>IF(AP481="",INDEX(BV$4:BV$7,MATCH(O481,$BU$4:$BU$7,0)),AP481)</f>
        <v>3.6526142445450806E-2</v>
      </c>
      <c r="AV481" s="2">
        <f>IF(AQ481="",INDEX(BW$4:BW$7,MATCH($O481,$BU$4:$BU$7,0)),AQ481)</f>
        <v>3.2427739661688867E-2</v>
      </c>
      <c r="AW481" s="2">
        <f t="shared" si="84"/>
        <v>0.20013349649571699</v>
      </c>
      <c r="AX481" s="2">
        <f t="shared" si="85"/>
        <v>0.16081000595592615</v>
      </c>
      <c r="AY481" s="2">
        <f t="shared" si="86"/>
        <v>0</v>
      </c>
      <c r="AZ481" s="2">
        <f>AU481*0.5+AK481*0.5</f>
        <v>0.12996464190335366</v>
      </c>
      <c r="BA481" s="2">
        <f>AV481*0.5+AJ481*0.5</f>
        <v>7.9473032134509347E-2</v>
      </c>
      <c r="BB481" s="2">
        <f t="shared" si="87"/>
        <v>8.0405002977963075E-2</v>
      </c>
      <c r="BC481">
        <f>IF(I481="expected",1,0)</f>
        <v>0</v>
      </c>
      <c r="BD481" s="78">
        <f>IF(BC481=1,AZ481/SUMIFS(AZ$3:AZ$623,$BC$3:$BC$623,1,$G$3:$G$623,$G481),0)</f>
        <v>0</v>
      </c>
      <c r="BE481" s="78">
        <f>IF(BC481=1,BA481/SUMIFS(BA$3:BA$623,$BC$3:$BC$623,1,$G$3:$G$623,$G481),0)</f>
        <v>0</v>
      </c>
      <c r="BF481" s="78">
        <f t="shared" si="88"/>
        <v>0</v>
      </c>
      <c r="BG481" s="2">
        <f t="shared" si="89"/>
        <v>8.0405002977963075E-2</v>
      </c>
      <c r="BH481" s="2">
        <f t="shared" si="90"/>
        <v>0</v>
      </c>
      <c r="BI481" s="2">
        <f t="shared" si="91"/>
        <v>0</v>
      </c>
      <c r="BJ481" s="2">
        <f t="shared" si="92"/>
        <v>0</v>
      </c>
      <c r="BK481" s="2">
        <f t="shared" si="93"/>
        <v>0</v>
      </c>
      <c r="BL481" s="2">
        <f t="shared" si="94"/>
        <v>8.0405002977963075E-2</v>
      </c>
      <c r="BM481" s="2">
        <f t="shared" si="95"/>
        <v>0</v>
      </c>
      <c r="BN481" s="2">
        <f>BI481/SUMIFS(BI$3:BI$623,$BC$3:$BC$623,1,$G$3:$G$623,$G481)</f>
        <v>0</v>
      </c>
      <c r="BO481" s="2">
        <f>BJ481/SUMIFS(BJ$3:BJ$623,$BC$3:$BC$623,1,$G$3:$G$623,$G481)</f>
        <v>0</v>
      </c>
      <c r="BP481" s="2">
        <f>BK481/SUMIFS(BK$3:BK$623,$BC$3:$BC$623,1,$G$3:$G$623,$G481)</f>
        <v>0</v>
      </c>
      <c r="BQ481" s="2">
        <f>BL481</f>
        <v>8.0405002977963075E-2</v>
      </c>
      <c r="BR481" s="2">
        <f>BM481</f>
        <v>0</v>
      </c>
    </row>
    <row r="482" spans="1:70" hidden="1">
      <c r="A482" s="74">
        <v>0</v>
      </c>
      <c r="B482" s="73">
        <v>221565</v>
      </c>
      <c r="C482" s="73" t="s">
        <v>2891</v>
      </c>
      <c r="D482" s="73" t="s">
        <v>2892</v>
      </c>
      <c r="E482" s="73" t="s">
        <v>2893</v>
      </c>
      <c r="F482" s="73">
        <v>18643</v>
      </c>
      <c r="G482" s="73" t="s">
        <v>878</v>
      </c>
      <c r="H482" s="73" t="s">
        <v>911</v>
      </c>
      <c r="I482" s="73" t="s">
        <v>1012</v>
      </c>
      <c r="J482" s="73">
        <v>0</v>
      </c>
      <c r="K482" s="73">
        <v>4.5</v>
      </c>
      <c r="L482" s="73">
        <v>0</v>
      </c>
      <c r="M482" s="73">
        <v>0</v>
      </c>
      <c r="N482" s="73">
        <v>0</v>
      </c>
      <c r="O482" s="73" t="s">
        <v>994</v>
      </c>
      <c r="P482" s="73" t="s">
        <v>2894</v>
      </c>
      <c r="Q482" s="73" t="s">
        <v>2895</v>
      </c>
      <c r="R482" s="73">
        <v>2</v>
      </c>
      <c r="S482" s="73">
        <v>0</v>
      </c>
      <c r="T482" s="73">
        <v>0</v>
      </c>
      <c r="U482" s="73">
        <v>0</v>
      </c>
      <c r="V482" s="73">
        <v>1238</v>
      </c>
      <c r="W482" s="73">
        <v>4</v>
      </c>
      <c r="X482" s="73">
        <v>3</v>
      </c>
      <c r="Y482" s="73">
        <v>0</v>
      </c>
      <c r="Z482" s="73" t="s">
        <v>1734</v>
      </c>
      <c r="AA482" s="73" t="s">
        <v>691</v>
      </c>
      <c r="AB482" s="73" t="str">
        <f>IF(AA482&lt;&gt;"",INDEX(Lookup!$N$2:$N$5,MATCH(Players!AA482,Lookup!$P$2:$P$5,0)),INDEX(Lookup!$N$2:$N$5,MATCH(Players!O482,Lookup!$O$2:$O$5,0)))</f>
        <v>Midfield</v>
      </c>
      <c r="AC482" s="73">
        <v>2000000</v>
      </c>
      <c r="AD482" s="73" t="s">
        <v>1384</v>
      </c>
      <c r="AE482" s="73" t="str">
        <f>INDEX('Translate table'!$H$2:$H$622,MATCH(Players!P482,'Translate table'!$G$2:$G$622,0))</f>
        <v>Valentino Lazaro</v>
      </c>
      <c r="AF482" s="73">
        <f>IFERROR(INDEX('Euro Qual stats'!$A$1:$L$2071,MATCH(Players!$AE482,'Euro Qual stats'!$A$1:$A$2071,0),MATCH(Players!AF$2,'Euro Qual stats'!$A$1:$L$1,0)),0)</f>
        <v>9</v>
      </c>
      <c r="AG482" s="73">
        <f>IFERROR(INDEX('Euro Qual stats'!$A$1:$L$2071,MATCH(Players!$AE482,'Euro Qual stats'!$A$1:$A$2071,0),MATCH(Players!AG$2,'Euro Qual stats'!$A$1:$L$1,0)),0)</f>
        <v>0.12</v>
      </c>
      <c r="AH482" s="73">
        <f>IFERROR(INDEX('Euro Qual stats'!$A$1:$L$2071,MATCH(Players!$AE482,'Euro Qual stats'!$A$1:$A$2071,0),MATCH(Players!AH$2,'Euro Qual stats'!$A$1:$L$1,0)),0)</f>
        <v>0.24</v>
      </c>
      <c r="AI482" s="73">
        <f>IFERROR(INDEX('Euro Qual stats'!$A$1:$L$2071,MATCH(Players!$AE482,'Euro Qual stats'!$A$1:$A$2071,0),MATCH(Players!AI$2,'Euro Qual stats'!$A$1:$L$1,0)),0)</f>
        <v>0.24</v>
      </c>
      <c r="AJ482" s="93">
        <f>(12-AF482)/12*INDEX(BV$9:BV$12,MATCH($AB482,$BU$9:$BU$12,0))+AF482/12*AG482</f>
        <v>0.13217277486910994</v>
      </c>
      <c r="AK482" s="93">
        <f>(12-AG482)/12*INDEX(BW$9:BW$12,MATCH($AB482,$BU$9:$BU$12,0))+AG482/12*AH482</f>
        <v>0.22356910994764401</v>
      </c>
      <c r="AL482" s="93">
        <f>(12-AH482)/12*INDEX(BX$9:BX$12,MATCH($AB482,$BU$9:$BU$12,0))+AH482/12*AI482</f>
        <v>0.23943560209424086</v>
      </c>
      <c r="AM482" s="93">
        <f>IF($BC482=1,AJ482/SUMIFS(AJ$3:AJ$623,$BC$3:$BC$623,1,$G$3:$G$623,$G482),0)</f>
        <v>0</v>
      </c>
      <c r="AN482" s="93">
        <f>IF($BC482=1,AK482/SUMIFS(AK$3:AK$623,$BC$3:$BC$623,1,$G$3:$G$623,$G482),0)</f>
        <v>0</v>
      </c>
      <c r="AO482" s="93">
        <f>IF($BC482=1,AL482/SUMIFS(AL$3:AL$623,$BC$3:$BC$623,1,$G$3:$G$623,$G482),0)</f>
        <v>0</v>
      </c>
      <c r="AP482" s="2">
        <f>IFERROR(R482/$V482*90,"")</f>
        <v>0.14539579967689822</v>
      </c>
      <c r="AQ482" s="2">
        <f>IFERROR(S482/$V482*90,"")</f>
        <v>0</v>
      </c>
      <c r="AR482" s="2">
        <f>IFERROR(W482/$V482*90,"")</f>
        <v>0.29079159935379645</v>
      </c>
      <c r="AS482" s="2">
        <f>IFERROR(X482/$V482*90,"")</f>
        <v>0.21809369951534732</v>
      </c>
      <c r="AT482" s="2">
        <f>IFERROR(Y482/$V482*90,"")</f>
        <v>0</v>
      </c>
      <c r="AU482" s="2">
        <f>IF(AP482="",INDEX(BV$4:BV$7,MATCH(O482,$BU$4:$BU$7,0)),AP482)</f>
        <v>0.14539579967689822</v>
      </c>
      <c r="AV482" s="2">
        <f>IF(AQ482="",INDEX(BW$4:BW$7,MATCH($O482,$BU$4:$BU$7,0)),AQ482)</f>
        <v>0</v>
      </c>
      <c r="AW482" s="2">
        <f t="shared" si="84"/>
        <v>0.29079159935379645</v>
      </c>
      <c r="AX482" s="2">
        <f t="shared" si="85"/>
        <v>0.21809369951534732</v>
      </c>
      <c r="AY482" s="2">
        <f t="shared" si="86"/>
        <v>0</v>
      </c>
      <c r="AZ482" s="2">
        <f>AU482*0.5+AK482*0.5</f>
        <v>0.1844824548122711</v>
      </c>
      <c r="BA482" s="2">
        <f>AV482*0.5+AJ482*0.5</f>
        <v>6.6086387434554972E-2</v>
      </c>
      <c r="BB482" s="2">
        <f t="shared" si="87"/>
        <v>0.22904684975767364</v>
      </c>
      <c r="BC482">
        <f>IF(I482="expected",1,0)</f>
        <v>0</v>
      </c>
      <c r="BD482" s="78">
        <f>IF(BC482=1,AZ482/SUMIFS(AZ$3:AZ$623,$BC$3:$BC$623,1,$G$3:$G$623,$G482),0)</f>
        <v>0</v>
      </c>
      <c r="BE482" s="78">
        <f>IF(BC482=1,BA482/SUMIFS(BA$3:BA$623,$BC$3:$BC$623,1,$G$3:$G$623,$G482),0)</f>
        <v>0</v>
      </c>
      <c r="BF482" s="78">
        <f t="shared" si="88"/>
        <v>0</v>
      </c>
      <c r="BG482" s="2">
        <f t="shared" si="89"/>
        <v>0.22904684975767364</v>
      </c>
      <c r="BH482" s="2">
        <f t="shared" si="90"/>
        <v>0</v>
      </c>
      <c r="BI482" s="2">
        <f t="shared" si="91"/>
        <v>0</v>
      </c>
      <c r="BJ482" s="2">
        <f t="shared" si="92"/>
        <v>0</v>
      </c>
      <c r="BK482" s="2">
        <f t="shared" si="93"/>
        <v>0</v>
      </c>
      <c r="BL482" s="2">
        <f t="shared" si="94"/>
        <v>0.22904684975767364</v>
      </c>
      <c r="BM482" s="2">
        <f t="shared" si="95"/>
        <v>0</v>
      </c>
      <c r="BN482" s="2">
        <f>BI482/SUMIFS(BI$3:BI$623,$BC$3:$BC$623,1,$G$3:$G$623,$G482)</f>
        <v>0</v>
      </c>
      <c r="BO482" s="2">
        <f>BJ482/SUMIFS(BJ$3:BJ$623,$BC$3:$BC$623,1,$G$3:$G$623,$G482)</f>
        <v>0</v>
      </c>
      <c r="BP482" s="2">
        <f>BK482/SUMIFS(BK$3:BK$623,$BC$3:$BC$623,1,$G$3:$G$623,$G482)</f>
        <v>0</v>
      </c>
      <c r="BQ482" s="2">
        <f>BL482</f>
        <v>0.22904684975767364</v>
      </c>
      <c r="BR482" s="2">
        <f>BM482</f>
        <v>0</v>
      </c>
    </row>
    <row r="483" spans="1:70" hidden="1">
      <c r="A483" s="74">
        <v>0</v>
      </c>
      <c r="B483" s="73">
        <v>221564</v>
      </c>
      <c r="C483" s="73" t="s">
        <v>2896</v>
      </c>
      <c r="D483" s="73" t="s">
        <v>2897</v>
      </c>
      <c r="E483" s="73" t="s">
        <v>2898</v>
      </c>
      <c r="F483" s="73">
        <v>18643</v>
      </c>
      <c r="G483" s="73" t="s">
        <v>878</v>
      </c>
      <c r="H483" s="73" t="s">
        <v>911</v>
      </c>
      <c r="I483" s="73" t="s">
        <v>1012</v>
      </c>
      <c r="J483" s="73">
        <v>0</v>
      </c>
      <c r="K483" s="73">
        <v>4.5</v>
      </c>
      <c r="L483" s="73">
        <v>0</v>
      </c>
      <c r="M483" s="73">
        <v>0</v>
      </c>
      <c r="N483" s="73">
        <v>0</v>
      </c>
      <c r="O483" s="73" t="s">
        <v>994</v>
      </c>
      <c r="P483" s="73" t="s">
        <v>2899</v>
      </c>
      <c r="Q483" s="73" t="s">
        <v>2900</v>
      </c>
      <c r="R483" s="73">
        <v>0</v>
      </c>
      <c r="S483" s="73">
        <v>0</v>
      </c>
      <c r="T483" s="73">
        <v>0</v>
      </c>
      <c r="U483" s="73">
        <v>0</v>
      </c>
      <c r="V483" s="73">
        <v>82</v>
      </c>
      <c r="W483" s="73">
        <v>2</v>
      </c>
      <c r="X483" s="73">
        <v>0</v>
      </c>
      <c r="Y483" s="73">
        <v>0</v>
      </c>
      <c r="Z483" s="73" t="s">
        <v>1734</v>
      </c>
      <c r="AA483" s="73" t="s">
        <v>691</v>
      </c>
      <c r="AB483" s="73" t="str">
        <f>IF(AA483&lt;&gt;"",INDEX(Lookup!$N$2:$N$5,MATCH(Players!AA483,Lookup!$P$2:$P$5,0)),INDEX(Lookup!$N$2:$N$5,MATCH(Players!O483,Lookup!$O$2:$O$5,0)))</f>
        <v>Midfield</v>
      </c>
      <c r="AC483" s="73">
        <v>2500000</v>
      </c>
      <c r="AD483" s="73" t="s">
        <v>801</v>
      </c>
      <c r="AE483" s="73" t="str">
        <f>INDEX('Translate table'!$H$2:$H$622,MATCH(Players!P483,'Translate table'!$G$2:$G$622,0))</f>
        <v>Konrad Laimer</v>
      </c>
      <c r="AF483" s="73">
        <f>IFERROR(INDEX('Euro Qual stats'!$A$1:$L$2071,MATCH(Players!$AE483,'Euro Qual stats'!$A$1:$A$2071,0),MATCH(Players!AF$2,'Euro Qual stats'!$A$1:$L$1,0)),0)</f>
        <v>7</v>
      </c>
      <c r="AG483" s="73">
        <f>IFERROR(INDEX('Euro Qual stats'!$A$1:$L$2071,MATCH(Players!$AE483,'Euro Qual stats'!$A$1:$A$2071,0),MATCH(Players!AG$2,'Euro Qual stats'!$A$1:$L$1,0)),0)</f>
        <v>0.46</v>
      </c>
      <c r="AH483" s="73">
        <f>IFERROR(INDEX('Euro Qual stats'!$A$1:$L$2071,MATCH(Players!$AE483,'Euro Qual stats'!$A$1:$A$2071,0),MATCH(Players!AH$2,'Euro Qual stats'!$A$1:$L$1,0)),0)</f>
        <v>0.15</v>
      </c>
      <c r="AI483" s="73">
        <f>IFERROR(INDEX('Euro Qual stats'!$A$1:$L$2071,MATCH(Players!$AE483,'Euro Qual stats'!$A$1:$A$2071,0),MATCH(Players!AI$2,'Euro Qual stats'!$A$1:$L$1,0)),0)</f>
        <v>0.31</v>
      </c>
      <c r="AJ483" s="93">
        <f>(12-AF483)/12*INDEX(BV$9:BV$12,MATCH($AB483,$BU$9:$BU$12,0))+AF483/12*AG483</f>
        <v>0.3386212914485166</v>
      </c>
      <c r="AK483" s="93">
        <f>(12-AG483)/12*INDEX(BW$9:BW$12,MATCH($AB483,$BU$9:$BU$12,0))+AG483/12*AH483</f>
        <v>0.22058935427574167</v>
      </c>
      <c r="AL483" s="93">
        <f>(12-AH483)/12*INDEX(BX$9:BX$12,MATCH($AB483,$BU$9:$BU$12,0))+AH483/12*AI483</f>
        <v>0.24030628272251309</v>
      </c>
      <c r="AM483" s="93">
        <f>IF($BC483=1,AJ483/SUMIFS(AJ$3:AJ$623,$BC$3:$BC$623,1,$G$3:$G$623,$G483),0)</f>
        <v>0</v>
      </c>
      <c r="AN483" s="93">
        <f>IF($BC483=1,AK483/SUMIFS(AK$3:AK$623,$BC$3:$BC$623,1,$G$3:$G$623,$G483),0)</f>
        <v>0</v>
      </c>
      <c r="AO483" s="93">
        <f>IF($BC483=1,AL483/SUMIFS(AL$3:AL$623,$BC$3:$BC$623,1,$G$3:$G$623,$G483),0)</f>
        <v>0</v>
      </c>
      <c r="AP483" s="2">
        <f>IFERROR(R483/$V483*90,"")</f>
        <v>0</v>
      </c>
      <c r="AQ483" s="2">
        <f>IFERROR(S483/$V483*90,"")</f>
        <v>0</v>
      </c>
      <c r="AR483" s="2">
        <f>IFERROR(W483/$V483*90,"")</f>
        <v>2.1951219512195124</v>
      </c>
      <c r="AS483" s="2">
        <f>IFERROR(X483/$V483*90,"")</f>
        <v>0</v>
      </c>
      <c r="AT483" s="2">
        <f>IFERROR(Y483/$V483*90,"")</f>
        <v>0</v>
      </c>
      <c r="AU483" s="2">
        <f>IF(AP483="",INDEX(BV$4:BV$7,MATCH(O483,$BU$4:$BU$7,0)),AP483)</f>
        <v>0</v>
      </c>
      <c r="AV483" s="2">
        <f>IF(AQ483="",INDEX(BW$4:BW$7,MATCH($O483,$BU$4:$BU$7,0)),AQ483)</f>
        <v>0</v>
      </c>
      <c r="AW483" s="2">
        <f t="shared" si="84"/>
        <v>2.1951219512195124</v>
      </c>
      <c r="AX483" s="2">
        <f t="shared" si="85"/>
        <v>0</v>
      </c>
      <c r="AY483" s="2">
        <f t="shared" si="86"/>
        <v>0</v>
      </c>
      <c r="AZ483" s="2">
        <f>AU483*0.5+AK483*0.5</f>
        <v>0.11029467713787083</v>
      </c>
      <c r="BA483" s="2">
        <f>AV483*0.5+AJ483*0.5</f>
        <v>0.1693106457242583</v>
      </c>
      <c r="BB483" s="2">
        <f t="shared" si="87"/>
        <v>0.155</v>
      </c>
      <c r="BC483">
        <f>IF(I483="expected",1,0)</f>
        <v>0</v>
      </c>
      <c r="BD483" s="78">
        <f>IF(BC483=1,AZ483/SUMIFS(AZ$3:AZ$623,$BC$3:$BC$623,1,$G$3:$G$623,$G483),0)</f>
        <v>0</v>
      </c>
      <c r="BE483" s="78">
        <f>IF(BC483=1,BA483/SUMIFS(BA$3:BA$623,$BC$3:$BC$623,1,$G$3:$G$623,$G483),0)</f>
        <v>0</v>
      </c>
      <c r="BF483" s="78">
        <f t="shared" si="88"/>
        <v>0</v>
      </c>
      <c r="BG483" s="2">
        <f t="shared" si="89"/>
        <v>0.155</v>
      </c>
      <c r="BH483" s="2">
        <f t="shared" si="90"/>
        <v>0</v>
      </c>
      <c r="BI483" s="2">
        <f t="shared" si="91"/>
        <v>0</v>
      </c>
      <c r="BJ483" s="2">
        <f t="shared" si="92"/>
        <v>0</v>
      </c>
      <c r="BK483" s="2">
        <f t="shared" si="93"/>
        <v>0</v>
      </c>
      <c r="BL483" s="2">
        <f t="shared" si="94"/>
        <v>0.155</v>
      </c>
      <c r="BM483" s="2">
        <f t="shared" si="95"/>
        <v>0</v>
      </c>
      <c r="BN483" s="2">
        <f>BI483/SUMIFS(BI$3:BI$623,$BC$3:$BC$623,1,$G$3:$G$623,$G483)</f>
        <v>0</v>
      </c>
      <c r="BO483" s="2">
        <f>BJ483/SUMIFS(BJ$3:BJ$623,$BC$3:$BC$623,1,$G$3:$G$623,$G483)</f>
        <v>0</v>
      </c>
      <c r="BP483" s="2">
        <f>BK483/SUMIFS(BK$3:BK$623,$BC$3:$BC$623,1,$G$3:$G$623,$G483)</f>
        <v>0</v>
      </c>
      <c r="BQ483" s="2">
        <f>BL483</f>
        <v>0.155</v>
      </c>
      <c r="BR483" s="2">
        <f>BM483</f>
        <v>0</v>
      </c>
    </row>
    <row r="484" spans="1:70" hidden="1">
      <c r="A484" s="74">
        <v>0</v>
      </c>
      <c r="B484" s="73">
        <v>221561</v>
      </c>
      <c r="C484" s="73" t="s">
        <v>2901</v>
      </c>
      <c r="D484" s="73" t="s">
        <v>2902</v>
      </c>
      <c r="E484" s="73" t="s">
        <v>2903</v>
      </c>
      <c r="F484" s="73">
        <v>18643</v>
      </c>
      <c r="G484" s="73" t="s">
        <v>878</v>
      </c>
      <c r="H484" s="73" t="s">
        <v>911</v>
      </c>
      <c r="I484" s="73" t="s">
        <v>981</v>
      </c>
      <c r="J484" s="73">
        <v>0</v>
      </c>
      <c r="K484" s="73">
        <v>4.5</v>
      </c>
      <c r="L484" s="73">
        <v>0</v>
      </c>
      <c r="M484" s="73">
        <v>0</v>
      </c>
      <c r="N484" s="73">
        <v>0</v>
      </c>
      <c r="O484" s="73" t="s">
        <v>994</v>
      </c>
      <c r="P484" s="73" t="s">
        <v>2904</v>
      </c>
      <c r="Q484" s="73" t="s">
        <v>2905</v>
      </c>
      <c r="R484" s="73">
        <v>2</v>
      </c>
      <c r="S484" s="73">
        <v>1</v>
      </c>
      <c r="T484" s="73">
        <v>0</v>
      </c>
      <c r="U484" s="73">
        <v>2</v>
      </c>
      <c r="V484" s="73">
        <v>1882</v>
      </c>
      <c r="W484" s="73">
        <v>9</v>
      </c>
      <c r="X484" s="73">
        <v>4</v>
      </c>
      <c r="Y484" s="73">
        <v>1</v>
      </c>
      <c r="Z484" s="73" t="s">
        <v>1734</v>
      </c>
      <c r="AA484" s="73" t="s">
        <v>691</v>
      </c>
      <c r="AB484" s="73" t="str">
        <f>IF(AA484&lt;&gt;"",INDEX(Lookup!$N$2:$N$5,MATCH(Players!AA484,Lookup!$P$2:$P$5,0)),INDEX(Lookup!$N$2:$N$5,MATCH(Players!O484,Lookup!$O$2:$O$5,0)))</f>
        <v>Midfield</v>
      </c>
      <c r="AC484" s="73">
        <v>3000000</v>
      </c>
      <c r="AD484" s="73" t="s">
        <v>790</v>
      </c>
      <c r="AE484" s="73" t="str">
        <f>INDEX('Translate table'!$H$2:$H$622,MATCH(Players!P484,'Translate table'!$G$2:$G$622,0))</f>
        <v>Florian Grillitsch</v>
      </c>
      <c r="AF484" s="73">
        <f>IFERROR(INDEX('Euro Qual stats'!$A$1:$L$2071,MATCH(Players!$AE484,'Euro Qual stats'!$A$1:$A$2071,0),MATCH(Players!AF$2,'Euro Qual stats'!$A$1:$L$1,0)),0)</f>
        <v>3</v>
      </c>
      <c r="AG484" s="73">
        <f>IFERROR(INDEX('Euro Qual stats'!$A$1:$L$2071,MATCH(Players!$AE484,'Euro Qual stats'!$A$1:$A$2071,0),MATCH(Players!AG$2,'Euro Qual stats'!$A$1:$L$1,0)),0)</f>
        <v>0</v>
      </c>
      <c r="AH484" s="73">
        <f>IFERROR(INDEX('Euro Qual stats'!$A$1:$L$2071,MATCH(Players!$AE484,'Euro Qual stats'!$A$1:$A$2071,0),MATCH(Players!AH$2,'Euro Qual stats'!$A$1:$L$1,0)),0)</f>
        <v>0</v>
      </c>
      <c r="AI484" s="73">
        <f>IFERROR(INDEX('Euro Qual stats'!$A$1:$L$2071,MATCH(Players!$AE484,'Euro Qual stats'!$A$1:$A$2071,0),MATCH(Players!AI$2,'Euro Qual stats'!$A$1:$L$1,0)),0)</f>
        <v>0</v>
      </c>
      <c r="AJ484" s="93">
        <f>(12-AF484)/12*INDEX(BV$9:BV$12,MATCH($AB484,$BU$9:$BU$12,0))+AF484/12*AG484</f>
        <v>0.12651832460732984</v>
      </c>
      <c r="AK484" s="93">
        <f>(12-AG484)/12*INDEX(BW$9:BW$12,MATCH($AB484,$BU$9:$BU$12,0))+AG484/12*AH484</f>
        <v>0.22340314136125652</v>
      </c>
      <c r="AL484" s="93">
        <f>(12-AH484)/12*INDEX(BX$9:BX$12,MATCH($AB484,$BU$9:$BU$12,0))+AH484/12*AI484</f>
        <v>0.23942408376963353</v>
      </c>
      <c r="AM484" s="93">
        <f>IF($BC484=1,AJ484/SUMIFS(AJ$3:AJ$623,$BC$3:$BC$623,1,$G$3:$G$623,$G484),0)</f>
        <v>0.10718711065255629</v>
      </c>
      <c r="AN484" s="93">
        <f>IF($BC484=1,AK484/SUMIFS(AK$3:AK$623,$BC$3:$BC$623,1,$G$3:$G$623,$G484),0)</f>
        <v>8.897871074188847E-2</v>
      </c>
      <c r="AO484" s="93">
        <f>IF($BC484=1,AL484/SUMIFS(AL$3:AL$623,$BC$3:$BC$623,1,$G$3:$G$623,$G484),0)</f>
        <v>0.11424271924325016</v>
      </c>
      <c r="AP484" s="2">
        <f>IFERROR(R484/$V484*90,"")</f>
        <v>9.5642933049946866E-2</v>
      </c>
      <c r="AQ484" s="2">
        <f>IFERROR(S484/$V484*90,"")</f>
        <v>4.7821466524973433E-2</v>
      </c>
      <c r="AR484" s="2">
        <f>IFERROR(W484/$V484*90,"")</f>
        <v>0.43039319872476095</v>
      </c>
      <c r="AS484" s="2">
        <f>IFERROR(X484/$V484*90,"")</f>
        <v>0.19128586609989373</v>
      </c>
      <c r="AT484" s="2">
        <f>IFERROR(Y484/$V484*90,"")</f>
        <v>4.7821466524973433E-2</v>
      </c>
      <c r="AU484" s="2">
        <f>IF(AP484="",INDEX(BV$4:BV$7,MATCH(O484,$BU$4:$BU$7,0)),AP484)</f>
        <v>9.5642933049946866E-2</v>
      </c>
      <c r="AV484" s="2">
        <f>IF(AQ484="",INDEX(BW$4:BW$7,MATCH($O484,$BU$4:$BU$7,0)),AQ484)</f>
        <v>4.7821466524973433E-2</v>
      </c>
      <c r="AW484" s="2">
        <f t="shared" si="84"/>
        <v>0.43039319872476095</v>
      </c>
      <c r="AX484" s="2">
        <f t="shared" si="85"/>
        <v>0.19128586609989373</v>
      </c>
      <c r="AY484" s="2">
        <f t="shared" si="86"/>
        <v>4.7821466524973433E-2</v>
      </c>
      <c r="AZ484" s="2">
        <f>AU484*0.5+AK484*0.5</f>
        <v>0.15952303720560168</v>
      </c>
      <c r="BA484" s="2">
        <f>AV484*0.5+AJ484*0.5</f>
        <v>8.7169895566151637E-2</v>
      </c>
      <c r="BB484" s="2">
        <f t="shared" si="87"/>
        <v>9.5642933049946866E-2</v>
      </c>
      <c r="BC484">
        <f>IF(I484="expected",1,0)</f>
        <v>1</v>
      </c>
      <c r="BD484" s="78">
        <f>IF(BC484=1,AZ484/SUMIFS(AZ$3:AZ$623,$BC$3:$BC$623,1,$G$3:$G$623,$G484),0)</f>
        <v>7.9899213679415299E-2</v>
      </c>
      <c r="BE484" s="78">
        <f>IF(BC484=1,BA484/SUMIFS(BA$3:BA$623,$BC$3:$BC$623,1,$G$3:$G$623,$G484),0)</f>
        <v>9.400530923410079E-2</v>
      </c>
      <c r="BF484" s="78">
        <f t="shared" si="88"/>
        <v>0.11696229733882023</v>
      </c>
      <c r="BG484" s="2">
        <f t="shared" si="89"/>
        <v>9.5642933049946866E-2</v>
      </c>
      <c r="BH484" s="2">
        <f t="shared" si="90"/>
        <v>4.7821466524973433E-2</v>
      </c>
      <c r="BI484" s="2">
        <f t="shared" si="91"/>
        <v>7.9899213679415299E-2</v>
      </c>
      <c r="BJ484" s="2">
        <f t="shared" si="92"/>
        <v>9.400530923410079E-2</v>
      </c>
      <c r="BK484" s="2">
        <f t="shared" si="93"/>
        <v>0.11696229733882023</v>
      </c>
      <c r="BL484" s="2">
        <f t="shared" si="94"/>
        <v>9.5642933049946866E-2</v>
      </c>
      <c r="BM484" s="2">
        <f t="shared" si="95"/>
        <v>4.7821466524973433E-2</v>
      </c>
      <c r="BN484" s="2">
        <f>BI484/SUMIFS(BI$3:BI$623,$BC$3:$BC$623,1,$G$3:$G$623,$G484)</f>
        <v>7.9899213679415299E-2</v>
      </c>
      <c r="BO484" s="2">
        <f>BJ484/SUMIFS(BJ$3:BJ$623,$BC$3:$BC$623,1,$G$3:$G$623,$G484)</f>
        <v>9.400530923410079E-2</v>
      </c>
      <c r="BP484" s="2">
        <f>BK484/SUMIFS(BK$3:BK$623,$BC$3:$BC$623,1,$G$3:$G$623,$G484)</f>
        <v>0.12077850059606345</v>
      </c>
      <c r="BQ484" s="2">
        <f>BL484</f>
        <v>9.5642933049946866E-2</v>
      </c>
      <c r="BR484" s="2">
        <f>BM484</f>
        <v>4.7821466524973433E-2</v>
      </c>
    </row>
    <row r="485" spans="1:70" hidden="1">
      <c r="A485" s="74">
        <v>0</v>
      </c>
      <c r="B485" s="73">
        <v>213434</v>
      </c>
      <c r="C485" s="73" t="s">
        <v>2906</v>
      </c>
      <c r="D485" s="73" t="s">
        <v>1356</v>
      </c>
      <c r="E485" s="73" t="s">
        <v>2907</v>
      </c>
      <c r="F485" s="73">
        <v>18643</v>
      </c>
      <c r="G485" s="73" t="s">
        <v>878</v>
      </c>
      <c r="H485" s="73" t="s">
        <v>911</v>
      </c>
      <c r="I485" s="73" t="s">
        <v>1012</v>
      </c>
      <c r="J485" s="73">
        <v>0</v>
      </c>
      <c r="K485" s="73">
        <v>4.5</v>
      </c>
      <c r="L485" s="73">
        <v>0</v>
      </c>
      <c r="M485" s="73">
        <v>0</v>
      </c>
      <c r="N485" s="73">
        <v>0</v>
      </c>
      <c r="O485" s="73" t="s">
        <v>994</v>
      </c>
      <c r="P485" s="73" t="s">
        <v>2908</v>
      </c>
      <c r="Q485" s="73" t="s">
        <v>2909</v>
      </c>
      <c r="R485" s="73">
        <v>0</v>
      </c>
      <c r="S485" s="73">
        <v>0</v>
      </c>
      <c r="T485" s="73">
        <v>0</v>
      </c>
      <c r="U485" s="73">
        <v>0</v>
      </c>
      <c r="V485" s="73">
        <v>941</v>
      </c>
      <c r="W485" s="73">
        <v>1</v>
      </c>
      <c r="X485" s="73">
        <v>0</v>
      </c>
      <c r="Y485" s="73">
        <v>0</v>
      </c>
      <c r="Z485" s="73" t="s">
        <v>1734</v>
      </c>
      <c r="AA485" s="73" t="s">
        <v>691</v>
      </c>
      <c r="AB485" s="73" t="str">
        <f>IF(AA485&lt;&gt;"",INDEX(Lookup!$N$2:$N$5,MATCH(Players!AA485,Lookup!$P$2:$P$5,0)),INDEX(Lookup!$N$2:$N$5,MATCH(Players!O485,Lookup!$O$2:$O$5,0)))</f>
        <v>Midfield</v>
      </c>
      <c r="AC485" s="73">
        <v>2500000</v>
      </c>
      <c r="AD485" s="73" t="s">
        <v>789</v>
      </c>
      <c r="AE485" s="73" t="str">
        <f>INDEX('Translate table'!$H$2:$H$622,MATCH(Players!P485,'Translate table'!$G$2:$G$622,0))</f>
        <v>Alessandro Golinucci</v>
      </c>
      <c r="AF485" s="73">
        <f>IFERROR(INDEX('Euro Qual stats'!$A$1:$L$2071,MATCH(Players!$AE485,'Euro Qual stats'!$A$1:$A$2071,0),MATCH(Players!AF$2,'Euro Qual stats'!$A$1:$L$1,0)),0)</f>
        <v>7</v>
      </c>
      <c r="AG485" s="73">
        <f>IFERROR(INDEX('Euro Qual stats'!$A$1:$L$2071,MATCH(Players!$AE485,'Euro Qual stats'!$A$1:$A$2071,0),MATCH(Players!AG$2,'Euro Qual stats'!$A$1:$L$1,0)),0)</f>
        <v>0</v>
      </c>
      <c r="AH485" s="73">
        <f>IFERROR(INDEX('Euro Qual stats'!$A$1:$L$2071,MATCH(Players!$AE485,'Euro Qual stats'!$A$1:$A$2071,0),MATCH(Players!AH$2,'Euro Qual stats'!$A$1:$L$1,0)),0)</f>
        <v>0</v>
      </c>
      <c r="AI485" s="73">
        <f>IFERROR(INDEX('Euro Qual stats'!$A$1:$L$2071,MATCH(Players!$AE485,'Euro Qual stats'!$A$1:$A$2071,0),MATCH(Players!AI$2,'Euro Qual stats'!$A$1:$L$1,0)),0)</f>
        <v>0.19</v>
      </c>
      <c r="AJ485" s="93">
        <f>(12-AF485)/12*INDEX(BV$9:BV$12,MATCH($AB485,$BU$9:$BU$12,0))+AF485/12*AG485</f>
        <v>7.0287958115183249E-2</v>
      </c>
      <c r="AK485" s="93">
        <f>(12-AG485)/12*INDEX(BW$9:BW$12,MATCH($AB485,$BU$9:$BU$12,0))+AG485/12*AH485</f>
        <v>0.22340314136125652</v>
      </c>
      <c r="AL485" s="93">
        <f>(12-AH485)/12*INDEX(BX$9:BX$12,MATCH($AB485,$BU$9:$BU$12,0))+AH485/12*AI485</f>
        <v>0.23942408376963353</v>
      </c>
      <c r="AM485" s="93">
        <f>IF($BC485=1,AJ485/SUMIFS(AJ$3:AJ$623,$BC$3:$BC$623,1,$G$3:$G$623,$G485),0)</f>
        <v>0</v>
      </c>
      <c r="AN485" s="93">
        <f>IF($BC485=1,AK485/SUMIFS(AK$3:AK$623,$BC$3:$BC$623,1,$G$3:$G$623,$G485),0)</f>
        <v>0</v>
      </c>
      <c r="AO485" s="93">
        <f>IF($BC485=1,AL485/SUMIFS(AL$3:AL$623,$BC$3:$BC$623,1,$G$3:$G$623,$G485),0)</f>
        <v>0</v>
      </c>
      <c r="AP485" s="2">
        <f>IFERROR(R485/$V485*90,"")</f>
        <v>0</v>
      </c>
      <c r="AQ485" s="2">
        <f>IFERROR(S485/$V485*90,"")</f>
        <v>0</v>
      </c>
      <c r="AR485" s="2">
        <f>IFERROR(W485/$V485*90,"")</f>
        <v>9.5642933049946866E-2</v>
      </c>
      <c r="AS485" s="2">
        <f>IFERROR(X485/$V485*90,"")</f>
        <v>0</v>
      </c>
      <c r="AT485" s="2">
        <f>IFERROR(Y485/$V485*90,"")</f>
        <v>0</v>
      </c>
      <c r="AU485" s="2">
        <f>IF(AP485="",INDEX(BV$4:BV$7,MATCH(O485,$BU$4:$BU$7,0)),AP485)</f>
        <v>0</v>
      </c>
      <c r="AV485" s="2">
        <f>IF(AQ485="",INDEX(BW$4:BW$7,MATCH($O485,$BU$4:$BU$7,0)),AQ485)</f>
        <v>0</v>
      </c>
      <c r="AW485" s="2">
        <f t="shared" si="84"/>
        <v>9.5642933049946866E-2</v>
      </c>
      <c r="AX485" s="2">
        <f t="shared" si="85"/>
        <v>0</v>
      </c>
      <c r="AY485" s="2">
        <f t="shared" si="86"/>
        <v>0</v>
      </c>
      <c r="AZ485" s="2">
        <f>AU485*0.5+AK485*0.5</f>
        <v>0.11170157068062826</v>
      </c>
      <c r="BA485" s="2">
        <f>AV485*0.5+AJ485*0.5</f>
        <v>3.5143979057591625E-2</v>
      </c>
      <c r="BB485" s="2">
        <f t="shared" si="87"/>
        <v>9.5000000000000001E-2</v>
      </c>
      <c r="BC485">
        <f>IF(I485="expected",1,0)</f>
        <v>0</v>
      </c>
      <c r="BD485" s="78">
        <f>IF(BC485=1,AZ485/SUMIFS(AZ$3:AZ$623,$BC$3:$BC$623,1,$G$3:$G$623,$G485),0)</f>
        <v>0</v>
      </c>
      <c r="BE485" s="78">
        <f>IF(BC485=1,BA485/SUMIFS(BA$3:BA$623,$BC$3:$BC$623,1,$G$3:$G$623,$G485),0)</f>
        <v>0</v>
      </c>
      <c r="BF485" s="78">
        <f t="shared" si="88"/>
        <v>0</v>
      </c>
      <c r="BG485" s="2">
        <f t="shared" si="89"/>
        <v>9.5000000000000001E-2</v>
      </c>
      <c r="BH485" s="2">
        <f t="shared" si="90"/>
        <v>0</v>
      </c>
      <c r="BI485" s="2">
        <f t="shared" si="91"/>
        <v>0</v>
      </c>
      <c r="BJ485" s="2">
        <f t="shared" si="92"/>
        <v>0</v>
      </c>
      <c r="BK485" s="2">
        <f t="shared" si="93"/>
        <v>0</v>
      </c>
      <c r="BL485" s="2">
        <f t="shared" si="94"/>
        <v>9.5000000000000001E-2</v>
      </c>
      <c r="BM485" s="2">
        <f t="shared" si="95"/>
        <v>0</v>
      </c>
      <c r="BN485" s="2">
        <f>BI485/SUMIFS(BI$3:BI$623,$BC$3:$BC$623,1,$G$3:$G$623,$G485)</f>
        <v>0</v>
      </c>
      <c r="BO485" s="2">
        <f>BJ485/SUMIFS(BJ$3:BJ$623,$BC$3:$BC$623,1,$G$3:$G$623,$G485)</f>
        <v>0</v>
      </c>
      <c r="BP485" s="2">
        <f>BK485/SUMIFS(BK$3:BK$623,$BC$3:$BC$623,1,$G$3:$G$623,$G485)</f>
        <v>0</v>
      </c>
      <c r="BQ485" s="2">
        <f>BL485</f>
        <v>9.5000000000000001E-2</v>
      </c>
      <c r="BR485" s="2">
        <f>BM485</f>
        <v>0</v>
      </c>
    </row>
    <row r="486" spans="1:70" hidden="1">
      <c r="A486" s="74">
        <v>0</v>
      </c>
      <c r="B486" s="73">
        <v>204971</v>
      </c>
      <c r="C486" s="73" t="s">
        <v>2910</v>
      </c>
      <c r="D486" s="73" t="s">
        <v>2911</v>
      </c>
      <c r="E486" s="73" t="s">
        <v>2854</v>
      </c>
      <c r="F486" s="73">
        <v>18643</v>
      </c>
      <c r="G486" s="73" t="s">
        <v>878</v>
      </c>
      <c r="H486" s="73" t="s">
        <v>911</v>
      </c>
      <c r="I486" s="73" t="s">
        <v>981</v>
      </c>
      <c r="J486" s="73">
        <v>0</v>
      </c>
      <c r="K486" s="73">
        <v>4.5</v>
      </c>
      <c r="L486" s="73">
        <v>0</v>
      </c>
      <c r="M486" s="73">
        <v>0</v>
      </c>
      <c r="N486" s="73">
        <v>0</v>
      </c>
      <c r="O486" s="73" t="s">
        <v>994</v>
      </c>
      <c r="P486" s="73" t="s">
        <v>2912</v>
      </c>
      <c r="Q486" s="73" t="s">
        <v>2912</v>
      </c>
      <c r="R486" s="73">
        <v>2</v>
      </c>
      <c r="S486" s="73">
        <v>4</v>
      </c>
      <c r="T486" s="73">
        <v>0</v>
      </c>
      <c r="U486" s="73">
        <v>5</v>
      </c>
      <c r="V486" s="73">
        <v>2634</v>
      </c>
      <c r="W486" s="73">
        <v>4</v>
      </c>
      <c r="X486" s="73">
        <v>7</v>
      </c>
      <c r="Y486" s="73">
        <v>0</v>
      </c>
      <c r="Z486" s="73" t="s">
        <v>1734</v>
      </c>
      <c r="AA486" s="73" t="s">
        <v>691</v>
      </c>
      <c r="AB486" s="73" t="str">
        <f>IF(AA486&lt;&gt;"",INDEX(Lookup!$N$2:$N$5,MATCH(Players!AA486,Lookup!$P$2:$P$5,0)),INDEX(Lookup!$N$2:$N$5,MATCH(Players!O486,Lookup!$O$2:$O$5,0)))</f>
        <v>Midfield</v>
      </c>
      <c r="AC486" s="73">
        <v>3000000</v>
      </c>
      <c r="AD486" s="73" t="s">
        <v>790</v>
      </c>
      <c r="AE486" s="73" t="str">
        <f>INDEX('Translate table'!$H$2:$H$622,MATCH(Players!P486,'Translate table'!$G$2:$G$622,0))</f>
        <v>Xaver Schlager</v>
      </c>
      <c r="AF486" s="73">
        <f>IFERROR(INDEX('Euro Qual stats'!$A$1:$L$2071,MATCH(Players!$AE486,'Euro Qual stats'!$A$1:$A$2071,0),MATCH(Players!AF$2,'Euro Qual stats'!$A$1:$L$1,0)),0)</f>
        <v>3</v>
      </c>
      <c r="AG486" s="73">
        <f>IFERROR(INDEX('Euro Qual stats'!$A$1:$L$2071,MATCH(Players!$AE486,'Euro Qual stats'!$A$1:$A$2071,0),MATCH(Players!AG$2,'Euro Qual stats'!$A$1:$L$1,0)),0)</f>
        <v>0</v>
      </c>
      <c r="AH486" s="73">
        <f>IFERROR(INDEX('Euro Qual stats'!$A$1:$L$2071,MATCH(Players!$AE486,'Euro Qual stats'!$A$1:$A$2071,0),MATCH(Players!AH$2,'Euro Qual stats'!$A$1:$L$1,0)),0)</f>
        <v>0</v>
      </c>
      <c r="AI486" s="73">
        <f>IFERROR(INDEX('Euro Qual stats'!$A$1:$L$2071,MATCH(Players!$AE486,'Euro Qual stats'!$A$1:$A$2071,0),MATCH(Players!AI$2,'Euro Qual stats'!$A$1:$L$1,0)),0)</f>
        <v>0</v>
      </c>
      <c r="AJ486" s="93">
        <f>(12-AF486)/12*INDEX(BV$9:BV$12,MATCH($AB486,$BU$9:$BU$12,0))+AF486/12*AG486</f>
        <v>0.12651832460732984</v>
      </c>
      <c r="AK486" s="93">
        <f>(12-AG486)/12*INDEX(BW$9:BW$12,MATCH($AB486,$BU$9:$BU$12,0))+AG486/12*AH486</f>
        <v>0.22340314136125652</v>
      </c>
      <c r="AL486" s="93">
        <f>(12-AH486)/12*INDEX(BX$9:BX$12,MATCH($AB486,$BU$9:$BU$12,0))+AH486/12*AI486</f>
        <v>0.23942408376963353</v>
      </c>
      <c r="AM486" s="93">
        <f>IF($BC486=1,AJ486/SUMIFS(AJ$3:AJ$623,$BC$3:$BC$623,1,$G$3:$G$623,$G486),0)</f>
        <v>0.10718711065255629</v>
      </c>
      <c r="AN486" s="93">
        <f>IF($BC486=1,AK486/SUMIFS(AK$3:AK$623,$BC$3:$BC$623,1,$G$3:$G$623,$G486),0)</f>
        <v>8.897871074188847E-2</v>
      </c>
      <c r="AO486" s="93">
        <f>IF($BC486=1,AL486/SUMIFS(AL$3:AL$623,$BC$3:$BC$623,1,$G$3:$G$623,$G486),0)</f>
        <v>0.11424271924325016</v>
      </c>
      <c r="AP486" s="2">
        <f>IFERROR(R486/$V486*90,"")</f>
        <v>6.8337129840546698E-2</v>
      </c>
      <c r="AQ486" s="2">
        <f>IFERROR(S486/$V486*90,"")</f>
        <v>0.1366742596810934</v>
      </c>
      <c r="AR486" s="2">
        <f>IFERROR(W486/$V486*90,"")</f>
        <v>0.1366742596810934</v>
      </c>
      <c r="AS486" s="2">
        <f>IFERROR(X486/$V486*90,"")</f>
        <v>0.23917995444191342</v>
      </c>
      <c r="AT486" s="2">
        <f>IFERROR(Y486/$V486*90,"")</f>
        <v>0</v>
      </c>
      <c r="AU486" s="2">
        <f>IF(AP486="",INDEX(BV$4:BV$7,MATCH(O486,$BU$4:$BU$7,0)),AP486)</f>
        <v>6.8337129840546698E-2</v>
      </c>
      <c r="AV486" s="2">
        <f>IF(AQ486="",INDEX(BW$4:BW$7,MATCH($O486,$BU$4:$BU$7,0)),AQ486)</f>
        <v>0.1366742596810934</v>
      </c>
      <c r="AW486" s="2">
        <f t="shared" si="84"/>
        <v>0.1366742596810934</v>
      </c>
      <c r="AX486" s="2">
        <f t="shared" si="85"/>
        <v>0.23917995444191342</v>
      </c>
      <c r="AY486" s="2">
        <f t="shared" si="86"/>
        <v>0</v>
      </c>
      <c r="AZ486" s="2">
        <f>AU486*0.5+AK486*0.5</f>
        <v>0.14587013560090162</v>
      </c>
      <c r="BA486" s="2">
        <f>AV486*0.5+AJ486*0.5</f>
        <v>0.13159629214421162</v>
      </c>
      <c r="BB486" s="2">
        <f t="shared" si="87"/>
        <v>0.11958997722095671</v>
      </c>
      <c r="BC486">
        <f>IF(I486="expected",1,0)</f>
        <v>1</v>
      </c>
      <c r="BD486" s="78">
        <f>IF(BC486=1,AZ486/SUMIFS(AZ$3:AZ$623,$BC$3:$BC$623,1,$G$3:$G$623,$G486),0)</f>
        <v>7.3060978138225041E-2</v>
      </c>
      <c r="BE486" s="78">
        <f>IF(BC486=1,BA486/SUMIFS(BA$3:BA$623,$BC$3:$BC$623,1,$G$3:$G$623,$G486),0)</f>
        <v>0.14191539472121711</v>
      </c>
      <c r="BF486" s="78">
        <f t="shared" si="88"/>
        <v>3.7142165458813742E-2</v>
      </c>
      <c r="BG486" s="2">
        <f t="shared" si="89"/>
        <v>0.11958997722095671</v>
      </c>
      <c r="BH486" s="2">
        <f t="shared" si="90"/>
        <v>0</v>
      </c>
      <c r="BI486" s="2">
        <f t="shared" si="91"/>
        <v>7.3060978138225041E-2</v>
      </c>
      <c r="BJ486" s="2">
        <f t="shared" si="92"/>
        <v>0.14191539472121711</v>
      </c>
      <c r="BK486" s="2">
        <f t="shared" si="93"/>
        <v>3.7142165458813742E-2</v>
      </c>
      <c r="BL486" s="2">
        <f t="shared" si="94"/>
        <v>0.11958997722095671</v>
      </c>
      <c r="BM486" s="2">
        <f t="shared" si="95"/>
        <v>0</v>
      </c>
      <c r="BN486" s="2">
        <f>BI486/SUMIFS(BI$3:BI$623,$BC$3:$BC$623,1,$G$3:$G$623,$G486)</f>
        <v>7.3060978138225041E-2</v>
      </c>
      <c r="BO486" s="2">
        <f>BJ486/SUMIFS(BJ$3:BJ$623,$BC$3:$BC$623,1,$G$3:$G$623,$G486)</f>
        <v>0.14191539472121711</v>
      </c>
      <c r="BP486" s="2">
        <f>BK486/SUMIFS(BK$3:BK$623,$BC$3:$BC$623,1,$G$3:$G$623,$G486)</f>
        <v>3.8354026511733967E-2</v>
      </c>
      <c r="BQ486" s="2">
        <f>BL486</f>
        <v>0.11958997722095671</v>
      </c>
      <c r="BR486" s="2">
        <f>BM486</f>
        <v>0</v>
      </c>
    </row>
    <row r="487" spans="1:70" hidden="1">
      <c r="A487" s="74">
        <v>0</v>
      </c>
      <c r="B487" s="73">
        <v>204968</v>
      </c>
      <c r="C487" s="73" t="s">
        <v>2913</v>
      </c>
      <c r="D487" s="73" t="s">
        <v>2914</v>
      </c>
      <c r="E487" s="73" t="s">
        <v>2915</v>
      </c>
      <c r="F487" s="73">
        <v>18643</v>
      </c>
      <c r="G487" s="73" t="s">
        <v>878</v>
      </c>
      <c r="H487" s="73" t="s">
        <v>911</v>
      </c>
      <c r="I487" s="73" t="s">
        <v>1012</v>
      </c>
      <c r="J487" s="73">
        <v>0</v>
      </c>
      <c r="K487" s="73">
        <v>4.5</v>
      </c>
      <c r="L487" s="73">
        <v>0</v>
      </c>
      <c r="M487" s="73">
        <v>0</v>
      </c>
      <c r="N487" s="73">
        <v>0</v>
      </c>
      <c r="O487" s="73" t="s">
        <v>994</v>
      </c>
      <c r="P487" s="73" t="s">
        <v>2916</v>
      </c>
      <c r="Q487" s="73" t="s">
        <v>2916</v>
      </c>
      <c r="R487" s="73">
        <v>2</v>
      </c>
      <c r="S487" s="73">
        <v>0</v>
      </c>
      <c r="T487" s="73">
        <v>0</v>
      </c>
      <c r="U487" s="73">
        <v>2</v>
      </c>
      <c r="V487" s="73">
        <v>1072</v>
      </c>
      <c r="W487" s="73">
        <v>4</v>
      </c>
      <c r="X487" s="73">
        <v>1</v>
      </c>
      <c r="Y487" s="73">
        <v>0</v>
      </c>
      <c r="Z487" s="73" t="s">
        <v>1734</v>
      </c>
      <c r="AA487" s="73" t="s">
        <v>692</v>
      </c>
      <c r="AB487" s="73" t="str">
        <f>IF(AA487&lt;&gt;"",INDEX(Lookup!$N$2:$N$5,MATCH(Players!AA487,Lookup!$P$2:$P$5,0)),INDEX(Lookup!$N$2:$N$5,MATCH(Players!O487,Lookup!$O$2:$O$5,0)))</f>
        <v>Defense</v>
      </c>
      <c r="AC487" s="73">
        <v>2500000</v>
      </c>
      <c r="AD487" s="73" t="s">
        <v>788</v>
      </c>
      <c r="AE487" s="73" t="str">
        <f>INDEX('Translate table'!$H$2:$H$622,MATCH(Players!P487,'Translate table'!$G$2:$G$622,0))</f>
        <v>Julian Baumgartlinger</v>
      </c>
      <c r="AF487" s="73">
        <f>IFERROR(INDEX('Euro Qual stats'!$A$1:$L$2071,MATCH(Players!$AE487,'Euro Qual stats'!$A$1:$A$2071,0),MATCH(Players!AF$2,'Euro Qual stats'!$A$1:$L$1,0)),0)</f>
        <v>8</v>
      </c>
      <c r="AG487" s="73">
        <f>IFERROR(INDEX('Euro Qual stats'!$A$1:$L$2071,MATCH(Players!$AE487,'Euro Qual stats'!$A$1:$A$2071,0),MATCH(Players!AG$2,'Euro Qual stats'!$A$1:$L$1,0)),0)</f>
        <v>0</v>
      </c>
      <c r="AH487" s="73">
        <f>IFERROR(INDEX('Euro Qual stats'!$A$1:$L$2071,MATCH(Players!$AE487,'Euro Qual stats'!$A$1:$A$2071,0),MATCH(Players!AH$2,'Euro Qual stats'!$A$1:$L$1,0)),0)</f>
        <v>0</v>
      </c>
      <c r="AI487" s="73">
        <f>IFERROR(INDEX('Euro Qual stats'!$A$1:$L$2071,MATCH(Players!$AE487,'Euro Qual stats'!$A$1:$A$2071,0),MATCH(Players!AI$2,'Euro Qual stats'!$A$1:$L$1,0)),0)</f>
        <v>0.14000000000000001</v>
      </c>
      <c r="AJ487" s="93">
        <f>(12-AF487)/12*INDEX(BV$9:BV$12,MATCH($AB487,$BU$9:$BU$12,0))+AF487/12*AG487</f>
        <v>2.9725274725274732E-2</v>
      </c>
      <c r="AK487" s="93">
        <f>(12-AG487)/12*INDEX(BW$9:BW$12,MATCH($AB487,$BU$9:$BU$12,0))+AG487/12*AH487</f>
        <v>0.10357142857142858</v>
      </c>
      <c r="AL487" s="93">
        <f>(12-AH487)/12*INDEX(BX$9:BX$12,MATCH($AB487,$BU$9:$BU$12,0))+AH487/12*AI487</f>
        <v>0.19357142857142848</v>
      </c>
      <c r="AM487" s="93">
        <f>IF($BC487=1,AJ487/SUMIFS(AJ$3:AJ$623,$BC$3:$BC$623,1,$G$3:$G$623,$G487),0)</f>
        <v>0</v>
      </c>
      <c r="AN487" s="93">
        <f>IF($BC487=1,AK487/SUMIFS(AK$3:AK$623,$BC$3:$BC$623,1,$G$3:$G$623,$G487),0)</f>
        <v>0</v>
      </c>
      <c r="AO487" s="93">
        <f>IF($BC487=1,AL487/SUMIFS(AL$3:AL$623,$BC$3:$BC$623,1,$G$3:$G$623,$G487),0)</f>
        <v>0</v>
      </c>
      <c r="AP487" s="2">
        <f>IFERROR(R487/$V487*90,"")</f>
        <v>0.16791044776119401</v>
      </c>
      <c r="AQ487" s="2">
        <f>IFERROR(S487/$V487*90,"")</f>
        <v>0</v>
      </c>
      <c r="AR487" s="2">
        <f>IFERROR(W487/$V487*90,"")</f>
        <v>0.33582089552238803</v>
      </c>
      <c r="AS487" s="2">
        <f>IFERROR(X487/$V487*90,"")</f>
        <v>8.3955223880597007E-2</v>
      </c>
      <c r="AT487" s="2">
        <f>IFERROR(Y487/$V487*90,"")</f>
        <v>0</v>
      </c>
      <c r="AU487" s="2">
        <f>IF(AP487="",INDEX(BV$4:BV$7,MATCH(O487,$BU$4:$BU$7,0)),AP487)</f>
        <v>0.16791044776119401</v>
      </c>
      <c r="AV487" s="2">
        <f>IF(AQ487="",INDEX(BW$4:BW$7,MATCH($O487,$BU$4:$BU$7,0)),AQ487)</f>
        <v>0</v>
      </c>
      <c r="AW487" s="2">
        <f t="shared" si="84"/>
        <v>0.33582089552238803</v>
      </c>
      <c r="AX487" s="2">
        <f t="shared" si="85"/>
        <v>8.3955223880597007E-2</v>
      </c>
      <c r="AY487" s="2">
        <f t="shared" si="86"/>
        <v>0</v>
      </c>
      <c r="AZ487" s="2">
        <f>AU487*0.5+AK487*0.5</f>
        <v>0.1357409381663113</v>
      </c>
      <c r="BA487" s="2">
        <f>AV487*0.5+AJ487*0.5</f>
        <v>1.4862637362637366E-2</v>
      </c>
      <c r="BB487" s="2">
        <f t="shared" si="87"/>
        <v>0.11197761194029851</v>
      </c>
      <c r="BC487">
        <f>IF(I487="expected",1,0)</f>
        <v>0</v>
      </c>
      <c r="BD487" s="78">
        <f>IF(BC487=1,AZ487/SUMIFS(AZ$3:AZ$623,$BC$3:$BC$623,1,$G$3:$G$623,$G487),0)</f>
        <v>0</v>
      </c>
      <c r="BE487" s="78">
        <f>IF(BC487=1,BA487/SUMIFS(BA$3:BA$623,$BC$3:$BC$623,1,$G$3:$G$623,$G487),0)</f>
        <v>0</v>
      </c>
      <c r="BF487" s="78">
        <f t="shared" si="88"/>
        <v>0</v>
      </c>
      <c r="BG487" s="2">
        <f t="shared" si="89"/>
        <v>0.11197761194029851</v>
      </c>
      <c r="BH487" s="2">
        <f t="shared" si="90"/>
        <v>0</v>
      </c>
      <c r="BI487" s="2">
        <f t="shared" si="91"/>
        <v>0</v>
      </c>
      <c r="BJ487" s="2">
        <f t="shared" si="92"/>
        <v>0</v>
      </c>
      <c r="BK487" s="2">
        <f t="shared" si="93"/>
        <v>0</v>
      </c>
      <c r="BL487" s="2">
        <f t="shared" si="94"/>
        <v>0.11197761194029851</v>
      </c>
      <c r="BM487" s="2">
        <f t="shared" si="95"/>
        <v>0</v>
      </c>
      <c r="BN487" s="2">
        <f>BI487/SUMIFS(BI$3:BI$623,$BC$3:$BC$623,1,$G$3:$G$623,$G487)</f>
        <v>0</v>
      </c>
      <c r="BO487" s="2">
        <f>BJ487/SUMIFS(BJ$3:BJ$623,$BC$3:$BC$623,1,$G$3:$G$623,$G487)</f>
        <v>0</v>
      </c>
      <c r="BP487" s="2">
        <f>BK487/SUMIFS(BK$3:BK$623,$BC$3:$BC$623,1,$G$3:$G$623,$G487)</f>
        <v>0</v>
      </c>
      <c r="BQ487" s="2">
        <f>BL487</f>
        <v>0.11197761194029851</v>
      </c>
      <c r="BR487" s="2">
        <f>BM487</f>
        <v>0</v>
      </c>
    </row>
    <row r="488" spans="1:70" hidden="1">
      <c r="A488" s="74">
        <v>0</v>
      </c>
      <c r="B488" s="73">
        <v>204976</v>
      </c>
      <c r="C488" s="73" t="s">
        <v>2917</v>
      </c>
      <c r="D488" s="73" t="s">
        <v>1039</v>
      </c>
      <c r="E488" s="73" t="s">
        <v>2918</v>
      </c>
      <c r="F488" s="73">
        <v>18643</v>
      </c>
      <c r="G488" s="73" t="s">
        <v>878</v>
      </c>
      <c r="H488" s="73" t="s">
        <v>911</v>
      </c>
      <c r="I488" s="73" t="s">
        <v>1012</v>
      </c>
      <c r="J488" s="73">
        <v>0</v>
      </c>
      <c r="K488" s="73">
        <v>4.5</v>
      </c>
      <c r="L488" s="73">
        <v>0</v>
      </c>
      <c r="M488" s="73">
        <v>0</v>
      </c>
      <c r="N488" s="73">
        <v>0</v>
      </c>
      <c r="O488" s="73" t="s">
        <v>982</v>
      </c>
      <c r="P488" s="73" t="s">
        <v>2919</v>
      </c>
      <c r="Q488" s="73" t="s">
        <v>2919</v>
      </c>
      <c r="R488" s="73">
        <v>4</v>
      </c>
      <c r="S488" s="73">
        <v>0</v>
      </c>
      <c r="T488" s="73">
        <v>0</v>
      </c>
      <c r="U488" s="73">
        <v>0</v>
      </c>
      <c r="V488" s="73">
        <v>1843</v>
      </c>
      <c r="W488" s="73">
        <v>20</v>
      </c>
      <c r="X488" s="73">
        <v>2</v>
      </c>
      <c r="Y488" s="73">
        <v>0</v>
      </c>
      <c r="Z488" s="73" t="s">
        <v>1734</v>
      </c>
      <c r="AA488" s="73" t="s">
        <v>693</v>
      </c>
      <c r="AB488" s="73" t="str">
        <f>IF(AA488&lt;&gt;"",INDEX(Lookup!$N$2:$N$5,MATCH(Players!AA488,Lookup!$P$2:$P$5,0)),INDEX(Lookup!$N$2:$N$5,MATCH(Players!O488,Lookup!$O$2:$O$5,0)))</f>
        <v>Striker</v>
      </c>
      <c r="AC488" s="73">
        <v>2500000</v>
      </c>
      <c r="AD488" s="73" t="s">
        <v>788</v>
      </c>
      <c r="AE488" s="73" t="str">
        <f>INDEX('Translate table'!$H$2:$H$622,MATCH(Players!P488,'Translate table'!$G$2:$G$622,0))</f>
        <v>Karim Onisiwo</v>
      </c>
      <c r="AF488" s="73">
        <f>IFERROR(INDEX('Euro Qual stats'!$A$1:$L$2071,MATCH(Players!$AE488,'Euro Qual stats'!$A$1:$A$2071,0),MATCH(Players!AF$2,'Euro Qual stats'!$A$1:$L$1,0)),0)</f>
        <v>4</v>
      </c>
      <c r="AG488" s="73">
        <f>IFERROR(INDEX('Euro Qual stats'!$A$1:$L$2071,MATCH(Players!$AE488,'Euro Qual stats'!$A$1:$A$2071,0),MATCH(Players!AG$2,'Euro Qual stats'!$A$1:$L$1,0)),0)</f>
        <v>0</v>
      </c>
      <c r="AH488" s="73">
        <f>IFERROR(INDEX('Euro Qual stats'!$A$1:$L$2071,MATCH(Players!$AE488,'Euro Qual stats'!$A$1:$A$2071,0),MATCH(Players!AH$2,'Euro Qual stats'!$A$1:$L$1,0)),0)</f>
        <v>0</v>
      </c>
      <c r="AI488" s="73">
        <f>IFERROR(INDEX('Euro Qual stats'!$A$1:$L$2071,MATCH(Players!$AE488,'Euro Qual stats'!$A$1:$A$2071,0),MATCH(Players!AI$2,'Euro Qual stats'!$A$1:$L$1,0)),0)</f>
        <v>1.05</v>
      </c>
      <c r="AJ488" s="93">
        <f>(12-AF488)/12*INDEX(BV$9:BV$12,MATCH($AB488,$BU$9:$BU$12,0))+AF488/12*AG488</f>
        <v>0.13660919540229888</v>
      </c>
      <c r="AK488" s="93">
        <f>(12-AG488)/12*INDEX(BW$9:BW$12,MATCH($AB488,$BU$9:$BU$12,0))+AG488/12*AH488</f>
        <v>0.53387931034482738</v>
      </c>
      <c r="AL488" s="93">
        <f>(12-AH488)/12*INDEX(BX$9:BX$12,MATCH($AB488,$BU$9:$BU$12,0))+AH488/12*AI488</f>
        <v>0.16482758620689658</v>
      </c>
      <c r="AM488" s="93">
        <f>IF($BC488=1,AJ488/SUMIFS(AJ$3:AJ$623,$BC$3:$BC$623,1,$G$3:$G$623,$G488),0)</f>
        <v>0</v>
      </c>
      <c r="AN488" s="93">
        <f>IF($BC488=1,AK488/SUMIFS(AK$3:AK$623,$BC$3:$BC$623,1,$G$3:$G$623,$G488),0)</f>
        <v>0</v>
      </c>
      <c r="AO488" s="93">
        <f>IF($BC488=1,AL488/SUMIFS(AL$3:AL$623,$BC$3:$BC$623,1,$G$3:$G$623,$G488),0)</f>
        <v>0</v>
      </c>
      <c r="AP488" s="2">
        <f>IFERROR(R488/$V488*90,"")</f>
        <v>0.19533369506239825</v>
      </c>
      <c r="AQ488" s="2">
        <f>IFERROR(S488/$V488*90,"")</f>
        <v>0</v>
      </c>
      <c r="AR488" s="2">
        <f>IFERROR(W488/$V488*90,"")</f>
        <v>0.9766684753119913</v>
      </c>
      <c r="AS488" s="2">
        <f>IFERROR(X488/$V488*90,"")</f>
        <v>9.7666847531199127E-2</v>
      </c>
      <c r="AT488" s="2">
        <f>IFERROR(Y488/$V488*90,"")</f>
        <v>0</v>
      </c>
      <c r="AU488" s="2">
        <f>IF(AP488="",INDEX(BV$4:BV$7,MATCH(O488,$BU$4:$BU$7,0)),AP488)</f>
        <v>0.19533369506239825</v>
      </c>
      <c r="AV488" s="2">
        <f>IF(AQ488="",INDEX(BW$4:BW$7,MATCH($O488,$BU$4:$BU$7,0)),AQ488)</f>
        <v>0</v>
      </c>
      <c r="AW488" s="2">
        <f t="shared" si="84"/>
        <v>0.9766684753119913</v>
      </c>
      <c r="AX488" s="2">
        <f t="shared" si="85"/>
        <v>9.7666847531199127E-2</v>
      </c>
      <c r="AY488" s="2">
        <f t="shared" si="86"/>
        <v>0</v>
      </c>
      <c r="AZ488" s="2">
        <f>AU488*0.5+AK488*0.5</f>
        <v>0.36460650270361283</v>
      </c>
      <c r="BA488" s="2">
        <f>AV488*0.5+AJ488*0.5</f>
        <v>6.8304597701149439E-2</v>
      </c>
      <c r="BB488" s="2">
        <f t="shared" si="87"/>
        <v>0.57383342376559954</v>
      </c>
      <c r="BC488">
        <f>IF(I488="expected",1,0)</f>
        <v>0</v>
      </c>
      <c r="BD488" s="78">
        <f>IF(BC488=1,AZ488/SUMIFS(AZ$3:AZ$623,$BC$3:$BC$623,1,$G$3:$G$623,$G488),0)</f>
        <v>0</v>
      </c>
      <c r="BE488" s="78">
        <f>IF(BC488=1,BA488/SUMIFS(BA$3:BA$623,$BC$3:$BC$623,1,$G$3:$G$623,$G488),0)</f>
        <v>0</v>
      </c>
      <c r="BF488" s="78">
        <f t="shared" si="88"/>
        <v>0</v>
      </c>
      <c r="BG488" s="2">
        <f t="shared" si="89"/>
        <v>0.57383342376559954</v>
      </c>
      <c r="BH488" s="2">
        <f t="shared" si="90"/>
        <v>0</v>
      </c>
      <c r="BI488" s="2">
        <f t="shared" si="91"/>
        <v>0</v>
      </c>
      <c r="BJ488" s="2">
        <f t="shared" si="92"/>
        <v>0</v>
      </c>
      <c r="BK488" s="2">
        <f t="shared" si="93"/>
        <v>0</v>
      </c>
      <c r="BL488" s="2">
        <f t="shared" si="94"/>
        <v>0.57383342376559954</v>
      </c>
      <c r="BM488" s="2">
        <f t="shared" si="95"/>
        <v>0</v>
      </c>
      <c r="BN488" s="2">
        <f>BI488/SUMIFS(BI$3:BI$623,$BC$3:$BC$623,1,$G$3:$G$623,$G488)</f>
        <v>0</v>
      </c>
      <c r="BO488" s="2">
        <f>BJ488/SUMIFS(BJ$3:BJ$623,$BC$3:$BC$623,1,$G$3:$G$623,$G488)</f>
        <v>0</v>
      </c>
      <c r="BP488" s="2">
        <f>BK488/SUMIFS(BK$3:BK$623,$BC$3:$BC$623,1,$G$3:$G$623,$G488)</f>
        <v>0</v>
      </c>
      <c r="BQ488" s="2">
        <f>BL488</f>
        <v>0.57383342376559954</v>
      </c>
      <c r="BR488" s="2">
        <f>BM488</f>
        <v>0</v>
      </c>
    </row>
    <row r="489" spans="1:70" hidden="1">
      <c r="A489" s="74">
        <v>0</v>
      </c>
      <c r="B489" s="73">
        <v>204974</v>
      </c>
      <c r="C489" s="73" t="s">
        <v>2920</v>
      </c>
      <c r="D489" s="73" t="s">
        <v>2427</v>
      </c>
      <c r="E489" s="73" t="s">
        <v>2921</v>
      </c>
      <c r="F489" s="73">
        <v>18643</v>
      </c>
      <c r="G489" s="73" t="s">
        <v>878</v>
      </c>
      <c r="H489" s="73" t="s">
        <v>911</v>
      </c>
      <c r="I489" s="73" t="s">
        <v>1012</v>
      </c>
      <c r="J489" s="73">
        <v>0</v>
      </c>
      <c r="K489" s="73">
        <v>4.5</v>
      </c>
      <c r="L489" s="73">
        <v>0</v>
      </c>
      <c r="M489" s="73">
        <v>0</v>
      </c>
      <c r="N489" s="73">
        <v>0</v>
      </c>
      <c r="O489" s="73" t="s">
        <v>982</v>
      </c>
      <c r="P489" s="73" t="s">
        <v>2922</v>
      </c>
      <c r="Q489" s="73" t="s">
        <v>2922</v>
      </c>
      <c r="R489" s="73">
        <v>1</v>
      </c>
      <c r="S489" s="73">
        <v>2</v>
      </c>
      <c r="T489" s="73">
        <v>0</v>
      </c>
      <c r="U489" s="73">
        <v>0</v>
      </c>
      <c r="V489" s="73">
        <v>831</v>
      </c>
      <c r="W489" s="73">
        <v>3</v>
      </c>
      <c r="X489" s="73">
        <v>1</v>
      </c>
      <c r="Y489" s="73">
        <v>0</v>
      </c>
      <c r="Z489" s="73" t="s">
        <v>1734</v>
      </c>
      <c r="AA489" s="73" t="s">
        <v>693</v>
      </c>
      <c r="AB489" s="73" t="str">
        <f>IF(AA489&lt;&gt;"",INDEX(Lookup!$N$2:$N$5,MATCH(Players!AA489,Lookup!$P$2:$P$5,0)),INDEX(Lookup!$N$2:$N$5,MATCH(Players!O489,Lookup!$O$2:$O$5,0)))</f>
        <v>Striker</v>
      </c>
      <c r="AC489" s="73">
        <v>3000000</v>
      </c>
      <c r="AD489" s="73" t="s">
        <v>788</v>
      </c>
      <c r="AE489" s="73" t="str">
        <f>INDEX('Translate table'!$H$2:$H$622,MATCH(Players!P489,'Translate table'!$G$2:$G$622,0))</f>
        <v>Michael Gregoritsch</v>
      </c>
      <c r="AF489" s="73">
        <f>IFERROR(INDEX('Euro Qual stats'!$A$1:$L$2071,MATCH(Players!$AE489,'Euro Qual stats'!$A$1:$A$2071,0),MATCH(Players!AF$2,'Euro Qual stats'!$A$1:$L$1,0)),0)</f>
        <v>6</v>
      </c>
      <c r="AG489" s="73">
        <f>IFERROR(INDEX('Euro Qual stats'!$A$1:$L$2071,MATCH(Players!$AE489,'Euro Qual stats'!$A$1:$A$2071,0),MATCH(Players!AG$2,'Euro Qual stats'!$A$1:$L$1,0)),0)</f>
        <v>0.44</v>
      </c>
      <c r="AH489" s="73">
        <f>IFERROR(INDEX('Euro Qual stats'!$A$1:$L$2071,MATCH(Players!$AE489,'Euro Qual stats'!$A$1:$A$2071,0),MATCH(Players!AH$2,'Euro Qual stats'!$A$1:$L$1,0)),0)</f>
        <v>0.44</v>
      </c>
      <c r="AI489" s="73">
        <f>IFERROR(INDEX('Euro Qual stats'!$A$1:$L$2071,MATCH(Players!$AE489,'Euro Qual stats'!$A$1:$A$2071,0),MATCH(Players!AI$2,'Euro Qual stats'!$A$1:$L$1,0)),0)</f>
        <v>0</v>
      </c>
      <c r="AJ489" s="93">
        <f>(12-AF489)/12*INDEX(BV$9:BV$12,MATCH($AB489,$BU$9:$BU$12,0))+AF489/12*AG489</f>
        <v>0.32245689655172416</v>
      </c>
      <c r="AK489" s="93">
        <f>(12-AG489)/12*INDEX(BW$9:BW$12,MATCH($AB489,$BU$9:$BU$12,0))+AG489/12*AH489</f>
        <v>0.53043706896551712</v>
      </c>
      <c r="AL489" s="93">
        <f>(12-AH489)/12*INDEX(BX$9:BX$12,MATCH($AB489,$BU$9:$BU$12,0))+AH489/12*AI489</f>
        <v>0.15878390804597706</v>
      </c>
      <c r="AM489" s="93">
        <f>IF($BC489=1,AJ489/SUMIFS(AJ$3:AJ$623,$BC$3:$BC$623,1,$G$3:$G$623,$G489),0)</f>
        <v>0</v>
      </c>
      <c r="AN489" s="93">
        <f>IF($BC489=1,AK489/SUMIFS(AK$3:AK$623,$BC$3:$BC$623,1,$G$3:$G$623,$G489),0)</f>
        <v>0</v>
      </c>
      <c r="AO489" s="93">
        <f>IF($BC489=1,AL489/SUMIFS(AL$3:AL$623,$BC$3:$BC$623,1,$G$3:$G$623,$G489),0)</f>
        <v>0</v>
      </c>
      <c r="AP489" s="2">
        <f>IFERROR(R489/$V489*90,"")</f>
        <v>0.10830324909747292</v>
      </c>
      <c r="AQ489" s="2">
        <f>IFERROR(S489/$V489*90,"")</f>
        <v>0.21660649819494585</v>
      </c>
      <c r="AR489" s="2">
        <f>IFERROR(W489/$V489*90,"")</f>
        <v>0.32490974729241878</v>
      </c>
      <c r="AS489" s="2">
        <f>IFERROR(X489/$V489*90,"")</f>
        <v>0.10830324909747292</v>
      </c>
      <c r="AT489" s="2">
        <f>IFERROR(Y489/$V489*90,"")</f>
        <v>0</v>
      </c>
      <c r="AU489" s="2">
        <f>IF(AP489="",INDEX(BV$4:BV$7,MATCH(O489,$BU$4:$BU$7,0)),AP489)</f>
        <v>0.10830324909747292</v>
      </c>
      <c r="AV489" s="2">
        <f>IF(AQ489="",INDEX(BW$4:BW$7,MATCH($O489,$BU$4:$BU$7,0)),AQ489)</f>
        <v>0.21660649819494585</v>
      </c>
      <c r="AW489" s="2">
        <f t="shared" si="84"/>
        <v>0.32490974729241878</v>
      </c>
      <c r="AX489" s="2">
        <f t="shared" si="85"/>
        <v>0.10830324909747292</v>
      </c>
      <c r="AY489" s="2">
        <f t="shared" si="86"/>
        <v>0</v>
      </c>
      <c r="AZ489" s="2">
        <f>AU489*0.5+AK489*0.5</f>
        <v>0.31937015903149502</v>
      </c>
      <c r="BA489" s="2">
        <f>AV489*0.5+AJ489*0.5</f>
        <v>0.26953169737333499</v>
      </c>
      <c r="BB489" s="2">
        <f t="shared" si="87"/>
        <v>5.4151624548736461E-2</v>
      </c>
      <c r="BC489">
        <f>IF(I489="expected",1,0)</f>
        <v>0</v>
      </c>
      <c r="BD489" s="78">
        <f>IF(BC489=1,AZ489/SUMIFS(AZ$3:AZ$623,$BC$3:$BC$623,1,$G$3:$G$623,$G489),0)</f>
        <v>0</v>
      </c>
      <c r="BE489" s="78">
        <f>IF(BC489=1,BA489/SUMIFS(BA$3:BA$623,$BC$3:$BC$623,1,$G$3:$G$623,$G489),0)</f>
        <v>0</v>
      </c>
      <c r="BF489" s="78">
        <f t="shared" si="88"/>
        <v>0</v>
      </c>
      <c r="BG489" s="2">
        <f t="shared" si="89"/>
        <v>5.4151624548736461E-2</v>
      </c>
      <c r="BH489" s="2">
        <f t="shared" si="90"/>
        <v>0</v>
      </c>
      <c r="BI489" s="2">
        <f t="shared" si="91"/>
        <v>0</v>
      </c>
      <c r="BJ489" s="2">
        <f t="shared" si="92"/>
        <v>0</v>
      </c>
      <c r="BK489" s="2">
        <f t="shared" si="93"/>
        <v>0</v>
      </c>
      <c r="BL489" s="2">
        <f t="shared" si="94"/>
        <v>5.4151624548736461E-2</v>
      </c>
      <c r="BM489" s="2">
        <f t="shared" si="95"/>
        <v>0</v>
      </c>
      <c r="BN489" s="2">
        <f>BI489/SUMIFS(BI$3:BI$623,$BC$3:$BC$623,1,$G$3:$G$623,$G489)</f>
        <v>0</v>
      </c>
      <c r="BO489" s="2">
        <f>BJ489/SUMIFS(BJ$3:BJ$623,$BC$3:$BC$623,1,$G$3:$G$623,$G489)</f>
        <v>0</v>
      </c>
      <c r="BP489" s="2">
        <f>BK489/SUMIFS(BK$3:BK$623,$BC$3:$BC$623,1,$G$3:$G$623,$G489)</f>
        <v>0</v>
      </c>
      <c r="BQ489" s="2">
        <f>BL489</f>
        <v>5.4151624548736461E-2</v>
      </c>
      <c r="BR489" s="2">
        <f>BM489</f>
        <v>0</v>
      </c>
    </row>
    <row r="490" spans="1:70" hidden="1">
      <c r="A490" s="74">
        <v>0</v>
      </c>
      <c r="B490" s="73">
        <v>204911</v>
      </c>
      <c r="C490" s="73" t="s">
        <v>2923</v>
      </c>
      <c r="D490" s="73" t="s">
        <v>2284</v>
      </c>
      <c r="E490" s="73" t="s">
        <v>2924</v>
      </c>
      <c r="F490" s="73">
        <v>18648</v>
      </c>
      <c r="G490" s="73" t="s">
        <v>896</v>
      </c>
      <c r="H490" s="73" t="s">
        <v>929</v>
      </c>
      <c r="I490" s="73" t="s">
        <v>981</v>
      </c>
      <c r="J490" s="73">
        <v>0</v>
      </c>
      <c r="K490" s="73">
        <v>4.5</v>
      </c>
      <c r="L490" s="73">
        <v>0</v>
      </c>
      <c r="M490" s="73">
        <v>0</v>
      </c>
      <c r="N490" s="73">
        <v>0</v>
      </c>
      <c r="O490" s="73" t="s">
        <v>1318</v>
      </c>
      <c r="P490" s="73" t="s">
        <v>2925</v>
      </c>
      <c r="Q490" s="73" t="s">
        <v>2926</v>
      </c>
      <c r="R490" s="73">
        <v>3</v>
      </c>
      <c r="S490" s="73">
        <v>0</v>
      </c>
      <c r="T490" s="73">
        <v>0</v>
      </c>
      <c r="U490" s="73">
        <v>12</v>
      </c>
      <c r="V490" s="73">
        <v>2779</v>
      </c>
      <c r="W490" s="73">
        <v>6</v>
      </c>
      <c r="X490" s="73">
        <v>1</v>
      </c>
      <c r="Y490" s="73">
        <v>0</v>
      </c>
      <c r="Z490" s="73" t="s">
        <v>2927</v>
      </c>
      <c r="AA490" s="73" t="s">
        <v>692</v>
      </c>
      <c r="AB490" s="73" t="str">
        <f>IF(AA490&lt;&gt;"",INDEX(Lookup!$N$2:$N$5,MATCH(Players!AA490,Lookup!$P$2:$P$5,0)),INDEX(Lookup!$N$2:$N$5,MATCH(Players!O490,Lookup!$O$2:$O$5,0)))</f>
        <v>Defense</v>
      </c>
      <c r="AC490" s="73">
        <v>3000000</v>
      </c>
      <c r="AD490" s="73" t="s">
        <v>790</v>
      </c>
      <c r="AE490" s="73" t="str">
        <f>INDEX('Translate table'!$H$2:$H$622,MATCH(Players!P490,'Translate table'!$G$2:$G$622,0))</f>
        <v>Milan Å kriniar</v>
      </c>
      <c r="AF490" s="73">
        <f>IFERROR(INDEX('Euro Qual stats'!$A$1:$L$2071,MATCH(Players!$AE490,'Euro Qual stats'!$A$1:$A$2071,0),MATCH(Players!AF$2,'Euro Qual stats'!$A$1:$L$1,0)),0)</f>
        <v>9</v>
      </c>
      <c r="AG490" s="73">
        <f>IFERROR(INDEX('Euro Qual stats'!$A$1:$L$2071,MATCH(Players!$AE490,'Euro Qual stats'!$A$1:$A$2071,0),MATCH(Players!AG$2,'Euro Qual stats'!$A$1:$L$1,0)),0)</f>
        <v>0</v>
      </c>
      <c r="AH490" s="73">
        <f>IFERROR(INDEX('Euro Qual stats'!$A$1:$L$2071,MATCH(Players!$AE490,'Euro Qual stats'!$A$1:$A$2071,0),MATCH(Players!AH$2,'Euro Qual stats'!$A$1:$L$1,0)),0)</f>
        <v>0</v>
      </c>
      <c r="AI490" s="73">
        <f>IFERROR(INDEX('Euro Qual stats'!$A$1:$L$2071,MATCH(Players!$AE490,'Euro Qual stats'!$A$1:$A$2071,0),MATCH(Players!AI$2,'Euro Qual stats'!$A$1:$L$1,0)),0)</f>
        <v>0.22</v>
      </c>
      <c r="AJ490" s="93">
        <f>(12-AF490)/12*INDEX(BV$9:BV$12,MATCH($AB490,$BU$9:$BU$12,0))+AF490/12*AG490</f>
        <v>2.2293956043956051E-2</v>
      </c>
      <c r="AK490" s="93">
        <f>(12-AG490)/12*INDEX(BW$9:BW$12,MATCH($AB490,$BU$9:$BU$12,0))+AG490/12*AH490</f>
        <v>0.10357142857142858</v>
      </c>
      <c r="AL490" s="93">
        <f>(12-AH490)/12*INDEX(BX$9:BX$12,MATCH($AB490,$BU$9:$BU$12,0))+AH490/12*AI490</f>
        <v>0.19357142857142848</v>
      </c>
      <c r="AM490" s="93">
        <f>IF($BC490=1,AJ490/SUMIFS(AJ$3:AJ$623,$BC$3:$BC$623,1,$G$3:$G$623,$G490),0)</f>
        <v>1.619691526872951E-2</v>
      </c>
      <c r="AN490" s="93">
        <f>IF($BC490=1,AK490/SUMIFS(AK$3:AK$623,$BC$3:$BC$623,1,$G$3:$G$623,$G490),0)</f>
        <v>4.368327798382491E-2</v>
      </c>
      <c r="AO490" s="93">
        <f>IF($BC490=1,AL490/SUMIFS(AL$3:AL$623,$BC$3:$BC$623,1,$G$3:$G$623,$G490),0)</f>
        <v>9.375393986763822E-2</v>
      </c>
      <c r="AP490" s="2">
        <f>IFERROR(R490/$V490*90,"")</f>
        <v>9.7157250809643755E-2</v>
      </c>
      <c r="AQ490" s="2">
        <f>IFERROR(S490/$V490*90,"")</f>
        <v>0</v>
      </c>
      <c r="AR490" s="2">
        <f>IFERROR(W490/$V490*90,"")</f>
        <v>0.19431450161928751</v>
      </c>
      <c r="AS490" s="2">
        <f>IFERROR(X490/$V490*90,"")</f>
        <v>3.2385750269881247E-2</v>
      </c>
      <c r="AT490" s="2">
        <f>IFERROR(Y490/$V490*90,"")</f>
        <v>0</v>
      </c>
      <c r="AU490" s="2">
        <f>IF(AP490="",INDEX(BV$4:BV$7,MATCH(O490,$BU$4:$BU$7,0)),AP490)</f>
        <v>9.7157250809643755E-2</v>
      </c>
      <c r="AV490" s="2">
        <f>IF(AQ490="",INDEX(BW$4:BW$7,MATCH($O490,$BU$4:$BU$7,0)),AQ490)</f>
        <v>0</v>
      </c>
      <c r="AW490" s="2">
        <f t="shared" si="84"/>
        <v>0.19431450161928751</v>
      </c>
      <c r="AX490" s="2">
        <f t="shared" si="85"/>
        <v>3.2385750269881247E-2</v>
      </c>
      <c r="AY490" s="2">
        <f t="shared" si="86"/>
        <v>0</v>
      </c>
      <c r="AZ490" s="2">
        <f>AU490*0.5+AK490*0.5</f>
        <v>0.10036433969053617</v>
      </c>
      <c r="BA490" s="2">
        <f>AV490*0.5+AJ490*0.5</f>
        <v>1.1146978021978025E-2</v>
      </c>
      <c r="BB490" s="2">
        <f t="shared" si="87"/>
        <v>0.12619287513494062</v>
      </c>
      <c r="BC490">
        <f>IF(I490="expected",1,0)</f>
        <v>1</v>
      </c>
      <c r="BD490" s="78">
        <f>IF(BC490=1,AZ490/SUMIFS(AZ$3:AZ$623,$BC$3:$BC$623,1,$G$3:$G$623,$G490),0)</f>
        <v>5.0600043676542458E-2</v>
      </c>
      <c r="BE490" s="78">
        <f>IF(BC490=1,BA490/SUMIFS(BA$3:BA$623,$BC$3:$BC$623,1,$G$3:$G$623,$G490),0)</f>
        <v>1.2796730471587746E-2</v>
      </c>
      <c r="BF490" s="78">
        <f t="shared" si="88"/>
        <v>3.081367226084613E-2</v>
      </c>
      <c r="BG490" s="2">
        <f t="shared" si="89"/>
        <v>0.12619287513494062</v>
      </c>
      <c r="BH490" s="2">
        <f t="shared" si="90"/>
        <v>0</v>
      </c>
      <c r="BI490" s="2">
        <f t="shared" si="91"/>
        <v>5.0600043676542458E-2</v>
      </c>
      <c r="BJ490" s="2">
        <f t="shared" si="92"/>
        <v>1.2796730471587746E-2</v>
      </c>
      <c r="BK490" s="2">
        <f t="shared" si="93"/>
        <v>3.081367226084613E-2</v>
      </c>
      <c r="BL490" s="2">
        <f t="shared" si="94"/>
        <v>0.12619287513494062</v>
      </c>
      <c r="BM490" s="2">
        <f t="shared" si="95"/>
        <v>0</v>
      </c>
      <c r="BN490" s="2">
        <f>BI490/SUMIFS(BI$3:BI$623,$BC$3:$BC$623,1,$G$3:$G$623,$G490)</f>
        <v>5.0600043676542444E-2</v>
      </c>
      <c r="BO490" s="2">
        <f>BJ490/SUMIFS(BJ$3:BJ$623,$BC$3:$BC$623,1,$G$3:$G$623,$G490)</f>
        <v>1.2796730471587746E-2</v>
      </c>
      <c r="BP490" s="2">
        <f>BK490/SUMIFS(BK$3:BK$623,$BC$3:$BC$623,1,$G$3:$G$623,$G490)</f>
        <v>3.081367226084613E-2</v>
      </c>
      <c r="BQ490" s="2">
        <f>BL490</f>
        <v>0.12619287513494062</v>
      </c>
      <c r="BR490" s="2">
        <f>BM490</f>
        <v>0</v>
      </c>
    </row>
    <row r="491" spans="1:70" hidden="1">
      <c r="A491" s="74">
        <v>0</v>
      </c>
      <c r="B491" s="73">
        <v>204905</v>
      </c>
      <c r="C491" s="73" t="s">
        <v>2928</v>
      </c>
      <c r="D491" s="73" t="s">
        <v>2929</v>
      </c>
      <c r="E491" s="73" t="s">
        <v>2930</v>
      </c>
      <c r="F491" s="73">
        <v>18648</v>
      </c>
      <c r="G491" s="73" t="s">
        <v>896</v>
      </c>
      <c r="H491" s="73" t="s">
        <v>929</v>
      </c>
      <c r="I491" s="73" t="s">
        <v>981</v>
      </c>
      <c r="J491" s="73">
        <v>0</v>
      </c>
      <c r="K491" s="73">
        <v>4.5</v>
      </c>
      <c r="L491" s="73">
        <v>0</v>
      </c>
      <c r="M491" s="73">
        <v>0</v>
      </c>
      <c r="N491" s="73">
        <v>0</v>
      </c>
      <c r="O491" s="73" t="s">
        <v>1318</v>
      </c>
      <c r="P491" s="73" t="s">
        <v>2931</v>
      </c>
      <c r="Q491" s="73" t="s">
        <v>2405</v>
      </c>
      <c r="R491" s="73">
        <v>3</v>
      </c>
      <c r="S491" s="73">
        <v>1</v>
      </c>
      <c r="T491" s="73">
        <v>0</v>
      </c>
      <c r="U491" s="73">
        <v>4</v>
      </c>
      <c r="V491" s="73">
        <v>1699</v>
      </c>
      <c r="W491" s="73">
        <v>5</v>
      </c>
      <c r="X491" s="73">
        <v>4</v>
      </c>
      <c r="Y491" s="73">
        <v>0</v>
      </c>
      <c r="Z491" s="73" t="s">
        <v>2927</v>
      </c>
      <c r="AA491" s="73" t="s">
        <v>692</v>
      </c>
      <c r="AB491" s="73" t="str">
        <f>IF(AA491&lt;&gt;"",INDEX(Lookup!$N$2:$N$5,MATCH(Players!AA491,Lookup!$P$2:$P$5,0)),INDEX(Lookup!$N$2:$N$5,MATCH(Players!O491,Lookup!$O$2:$O$5,0)))</f>
        <v>Defense</v>
      </c>
      <c r="AC491" s="73">
        <v>2500000</v>
      </c>
      <c r="AD491" s="73" t="s">
        <v>788</v>
      </c>
      <c r="AE491" s="73" t="str">
        <f>INDEX('Translate table'!$H$2:$H$622,MATCH(Players!P491,'Translate table'!$G$2:$G$622,0))</f>
        <v>Peter PekarÃ­k</v>
      </c>
      <c r="AF491" s="73">
        <f>IFERROR(INDEX('Euro Qual stats'!$A$1:$L$2071,MATCH(Players!$AE491,'Euro Qual stats'!$A$1:$A$2071,0),MATCH(Players!AF$2,'Euro Qual stats'!$A$1:$L$1,0)),0)</f>
        <v>8</v>
      </c>
      <c r="AG491" s="73">
        <f>IFERROR(INDEX('Euro Qual stats'!$A$1:$L$2071,MATCH(Players!$AE491,'Euro Qual stats'!$A$1:$A$2071,0),MATCH(Players!AG$2,'Euro Qual stats'!$A$1:$L$1,0)),0)</f>
        <v>0</v>
      </c>
      <c r="AH491" s="73">
        <f>IFERROR(INDEX('Euro Qual stats'!$A$1:$L$2071,MATCH(Players!$AE491,'Euro Qual stats'!$A$1:$A$2071,0),MATCH(Players!AH$2,'Euro Qual stats'!$A$1:$L$1,0)),0)</f>
        <v>0</v>
      </c>
      <c r="AI491" s="73">
        <f>IFERROR(INDEX('Euro Qual stats'!$A$1:$L$2071,MATCH(Players!$AE491,'Euro Qual stats'!$A$1:$A$2071,0),MATCH(Players!AI$2,'Euro Qual stats'!$A$1:$L$1,0)),0)</f>
        <v>0</v>
      </c>
      <c r="AJ491" s="93">
        <f>(12-AF491)/12*INDEX(BV$9:BV$12,MATCH($AB491,$BU$9:$BU$12,0))+AF491/12*AG491</f>
        <v>2.9725274725274732E-2</v>
      </c>
      <c r="AK491" s="93">
        <f>(12-AG491)/12*INDEX(BW$9:BW$12,MATCH($AB491,$BU$9:$BU$12,0))+AG491/12*AH491</f>
        <v>0.10357142857142858</v>
      </c>
      <c r="AL491" s="93">
        <f>(12-AH491)/12*INDEX(BX$9:BX$12,MATCH($AB491,$BU$9:$BU$12,0))+AH491/12*AI491</f>
        <v>0.19357142857142848</v>
      </c>
      <c r="AM491" s="93">
        <f>IF($BC491=1,AJ491/SUMIFS(AJ$3:AJ$623,$BC$3:$BC$623,1,$G$3:$G$623,$G491),0)</f>
        <v>2.1595887024972678E-2</v>
      </c>
      <c r="AN491" s="93">
        <f>IF($BC491=1,AK491/SUMIFS(AK$3:AK$623,$BC$3:$BC$623,1,$G$3:$G$623,$G491),0)</f>
        <v>4.368327798382491E-2</v>
      </c>
      <c r="AO491" s="93">
        <f>IF($BC491=1,AL491/SUMIFS(AL$3:AL$623,$BC$3:$BC$623,1,$G$3:$G$623,$G491),0)</f>
        <v>9.375393986763822E-2</v>
      </c>
      <c r="AP491" s="2">
        <f>IFERROR(R491/$V491*90,"")</f>
        <v>0.15891701000588582</v>
      </c>
      <c r="AQ491" s="2">
        <f>IFERROR(S491/$V491*90,"")</f>
        <v>5.2972336668628606E-2</v>
      </c>
      <c r="AR491" s="2">
        <f>IFERROR(W491/$V491*90,"")</f>
        <v>0.26486168334314303</v>
      </c>
      <c r="AS491" s="2">
        <f>IFERROR(X491/$V491*90,"")</f>
        <v>0.21188934667451442</v>
      </c>
      <c r="AT491" s="2">
        <f>IFERROR(Y491/$V491*90,"")</f>
        <v>0</v>
      </c>
      <c r="AU491" s="2">
        <f>IF(AP491="",INDEX(BV$4:BV$7,MATCH(O491,$BU$4:$BU$7,0)),AP491)</f>
        <v>0.15891701000588582</v>
      </c>
      <c r="AV491" s="2">
        <f>IF(AQ491="",INDEX(BW$4:BW$7,MATCH($O491,$BU$4:$BU$7,0)),AQ491)</f>
        <v>5.2972336668628606E-2</v>
      </c>
      <c r="AW491" s="2">
        <f t="shared" si="84"/>
        <v>0.26486168334314303</v>
      </c>
      <c r="AX491" s="2">
        <f t="shared" si="85"/>
        <v>0.21188934667451442</v>
      </c>
      <c r="AY491" s="2">
        <f t="shared" si="86"/>
        <v>0</v>
      </c>
      <c r="AZ491" s="2">
        <f>AU491*0.5+AK491*0.5</f>
        <v>0.1312442192886572</v>
      </c>
      <c r="BA491" s="2">
        <f>AV491*0.5+AJ491*0.5</f>
        <v>4.1348805696951665E-2</v>
      </c>
      <c r="BB491" s="2">
        <f t="shared" si="87"/>
        <v>0.10594467333725721</v>
      </c>
      <c r="BC491">
        <f>IF(I491="expected",1,0)</f>
        <v>1</v>
      </c>
      <c r="BD491" s="78">
        <f>IF(BC491=1,AZ491/SUMIFS(AZ$3:AZ$623,$BC$3:$BC$623,1,$G$3:$G$623,$G491),0)</f>
        <v>6.6168553978201275E-2</v>
      </c>
      <c r="BE491" s="78">
        <f>IF(BC491=1,BA491/SUMIFS(BA$3:BA$623,$BC$3:$BC$623,1,$G$3:$G$623,$G491),0)</f>
        <v>4.7468427836017985E-2</v>
      </c>
      <c r="BF491" s="78">
        <f t="shared" si="88"/>
        <v>4.2000782427355013E-2</v>
      </c>
      <c r="BG491" s="2">
        <f t="shared" si="89"/>
        <v>0.10594467333725721</v>
      </c>
      <c r="BH491" s="2">
        <f t="shared" si="90"/>
        <v>0</v>
      </c>
      <c r="BI491" s="2">
        <f t="shared" si="91"/>
        <v>6.6168553978201275E-2</v>
      </c>
      <c r="BJ491" s="2">
        <f t="shared" si="92"/>
        <v>4.7468427836017985E-2</v>
      </c>
      <c r="BK491" s="2">
        <f t="shared" si="93"/>
        <v>4.2000782427355013E-2</v>
      </c>
      <c r="BL491" s="2">
        <f t="shared" si="94"/>
        <v>0.10594467333725721</v>
      </c>
      <c r="BM491" s="2">
        <f t="shared" si="95"/>
        <v>0</v>
      </c>
      <c r="BN491" s="2">
        <f>BI491/SUMIFS(BI$3:BI$623,$BC$3:$BC$623,1,$G$3:$G$623,$G491)</f>
        <v>6.6168553978201261E-2</v>
      </c>
      <c r="BO491" s="2">
        <f>BJ491/SUMIFS(BJ$3:BJ$623,$BC$3:$BC$623,1,$G$3:$G$623,$G491)</f>
        <v>4.7468427836017985E-2</v>
      </c>
      <c r="BP491" s="2">
        <f>BK491/SUMIFS(BK$3:BK$623,$BC$3:$BC$623,1,$G$3:$G$623,$G491)</f>
        <v>4.2000782427355013E-2</v>
      </c>
      <c r="BQ491" s="2">
        <f>BL491</f>
        <v>0.10594467333725721</v>
      </c>
      <c r="BR491" s="2">
        <f>BM491</f>
        <v>0</v>
      </c>
    </row>
    <row r="492" spans="1:70" hidden="1">
      <c r="A492" s="74">
        <v>0</v>
      </c>
      <c r="B492" s="73">
        <v>204916</v>
      </c>
      <c r="C492" s="73" t="s">
        <v>2932</v>
      </c>
      <c r="D492" s="73" t="s">
        <v>2933</v>
      </c>
      <c r="E492" s="73" t="s">
        <v>2934</v>
      </c>
      <c r="F492" s="73">
        <v>18648</v>
      </c>
      <c r="G492" s="73" t="s">
        <v>896</v>
      </c>
      <c r="H492" s="73" t="s">
        <v>929</v>
      </c>
      <c r="I492" s="73" t="s">
        <v>1012</v>
      </c>
      <c r="J492" s="73">
        <v>0</v>
      </c>
      <c r="K492" s="73">
        <v>4.5</v>
      </c>
      <c r="L492" s="73">
        <v>0</v>
      </c>
      <c r="M492" s="73">
        <v>0</v>
      </c>
      <c r="N492" s="73">
        <v>0</v>
      </c>
      <c r="O492" s="73" t="s">
        <v>994</v>
      </c>
      <c r="P492" s="73" t="s">
        <v>2935</v>
      </c>
      <c r="Q492" s="73" t="s">
        <v>530</v>
      </c>
      <c r="R492" s="73">
        <v>0</v>
      </c>
      <c r="S492" s="73">
        <v>0</v>
      </c>
      <c r="T492" s="73">
        <v>4</v>
      </c>
      <c r="U492" s="73">
        <v>0</v>
      </c>
      <c r="V492" s="73">
        <v>180</v>
      </c>
      <c r="W492" s="73">
        <v>0</v>
      </c>
      <c r="X492" s="73">
        <v>0</v>
      </c>
      <c r="Y492" s="73">
        <v>0</v>
      </c>
      <c r="Z492" s="73" t="s">
        <v>2927</v>
      </c>
      <c r="AA492" s="73" t="s">
        <v>691</v>
      </c>
      <c r="AB492" s="73" t="str">
        <f>IF(AA492&lt;&gt;"",INDEX(Lookup!$N$2:$N$5,MATCH(Players!AA492,Lookup!$P$2:$P$5,0)),INDEX(Lookup!$N$2:$N$5,MATCH(Players!O492,Lookup!$O$2:$O$5,0)))</f>
        <v>Midfield</v>
      </c>
      <c r="AC492" s="73">
        <v>3500000</v>
      </c>
      <c r="AD492" s="73" t="s">
        <v>790</v>
      </c>
      <c r="AE492" s="73" t="str">
        <f>INDEX('Translate table'!$H$2:$H$622,MATCH(Players!P492,'Translate table'!$G$2:$G$622,0))</f>
        <v>Marek SuchÃ½</v>
      </c>
      <c r="AF492" s="73">
        <f>IFERROR(INDEX('Euro Qual stats'!$A$1:$L$2071,MATCH(Players!$AE492,'Euro Qual stats'!$A$1:$A$2071,0),MATCH(Players!AF$2,'Euro Qual stats'!$A$1:$L$1,0)),0)</f>
        <v>4</v>
      </c>
      <c r="AG492" s="73">
        <f>IFERROR(INDEX('Euro Qual stats'!$A$1:$L$2071,MATCH(Players!$AE492,'Euro Qual stats'!$A$1:$A$2071,0),MATCH(Players!AG$2,'Euro Qual stats'!$A$1:$L$1,0)),0)</f>
        <v>0.28000000000000003</v>
      </c>
      <c r="AH492" s="73">
        <f>IFERROR(INDEX('Euro Qual stats'!$A$1:$L$2071,MATCH(Players!$AE492,'Euro Qual stats'!$A$1:$A$2071,0),MATCH(Players!AH$2,'Euro Qual stats'!$A$1:$L$1,0)),0)</f>
        <v>0</v>
      </c>
      <c r="AI492" s="73">
        <f>IFERROR(INDEX('Euro Qual stats'!$A$1:$L$2071,MATCH(Players!$AE492,'Euro Qual stats'!$A$1:$A$2071,0),MATCH(Players!AI$2,'Euro Qual stats'!$A$1:$L$1,0)),0)</f>
        <v>0.28000000000000003</v>
      </c>
      <c r="AJ492" s="93">
        <f>(12-AF492)/12*INDEX(BV$9:BV$12,MATCH($AB492,$BU$9:$BU$12,0))+AF492/12*AG492</f>
        <v>0.20579406631762653</v>
      </c>
      <c r="AK492" s="93">
        <f>(12-AG492)/12*INDEX(BW$9:BW$12,MATCH($AB492,$BU$9:$BU$12,0))+AG492/12*AH492</f>
        <v>0.21819040139616055</v>
      </c>
      <c r="AL492" s="93">
        <f>(12-AH492)/12*INDEX(BX$9:BX$12,MATCH($AB492,$BU$9:$BU$12,0))+AH492/12*AI492</f>
        <v>0.23942408376963353</v>
      </c>
      <c r="AM492" s="93">
        <f>IF($BC492=1,AJ492/SUMIFS(AJ$3:AJ$623,$BC$3:$BC$623,1,$G$3:$G$623,$G492),0)</f>
        <v>0</v>
      </c>
      <c r="AN492" s="93">
        <f>IF($BC492=1,AK492/SUMIFS(AK$3:AK$623,$BC$3:$BC$623,1,$G$3:$G$623,$G492),0)</f>
        <v>0</v>
      </c>
      <c r="AO492" s="93">
        <f>IF($BC492=1,AL492/SUMIFS(AL$3:AL$623,$BC$3:$BC$623,1,$G$3:$G$623,$G492),0)</f>
        <v>0</v>
      </c>
      <c r="AP492" s="2">
        <f>IFERROR(R492/$V492*90,"")</f>
        <v>0</v>
      </c>
      <c r="AQ492" s="2">
        <f>IFERROR(S492/$V492*90,"")</f>
        <v>0</v>
      </c>
      <c r="AR492" s="2">
        <f>IFERROR(W492/$V492*90,"")</f>
        <v>0</v>
      </c>
      <c r="AS492" s="2">
        <f>IFERROR(X492/$V492*90,"")</f>
        <v>0</v>
      </c>
      <c r="AT492" s="2">
        <f>IFERROR(Y492/$V492*90,"")</f>
        <v>0</v>
      </c>
      <c r="AU492" s="2">
        <f>IF(AP492="",INDEX(BV$4:BV$7,MATCH(O492,$BU$4:$BU$7,0)),AP492)</f>
        <v>0</v>
      </c>
      <c r="AV492" s="2">
        <f>IF(AQ492="",INDEX(BW$4:BW$7,MATCH($O492,$BU$4:$BU$7,0)),AQ492)</f>
        <v>0</v>
      </c>
      <c r="AW492" s="2">
        <f t="shared" si="84"/>
        <v>0</v>
      </c>
      <c r="AX492" s="2">
        <f t="shared" si="85"/>
        <v>0</v>
      </c>
      <c r="AY492" s="2">
        <f t="shared" si="86"/>
        <v>0</v>
      </c>
      <c r="AZ492" s="2">
        <f>AU492*0.5+AK492*0.5</f>
        <v>0.10909520069808028</v>
      </c>
      <c r="BA492" s="2">
        <f>AV492*0.5+AJ492*0.5</f>
        <v>0.10289703315881327</v>
      </c>
      <c r="BB492" s="2">
        <f t="shared" si="87"/>
        <v>0.14000000000000001</v>
      </c>
      <c r="BC492">
        <f>IF(I492="expected",1,0)</f>
        <v>0</v>
      </c>
      <c r="BD492" s="78">
        <f>IF(BC492=1,AZ492/SUMIFS(AZ$3:AZ$623,$BC$3:$BC$623,1,$G$3:$G$623,$G492),0)</f>
        <v>0</v>
      </c>
      <c r="BE492" s="78">
        <f>IF(BC492=1,BA492/SUMIFS(BA$3:BA$623,$BC$3:$BC$623,1,$G$3:$G$623,$G492),0)</f>
        <v>0</v>
      </c>
      <c r="BF492" s="78">
        <f t="shared" si="88"/>
        <v>0</v>
      </c>
      <c r="BG492" s="2">
        <f t="shared" si="89"/>
        <v>0.14000000000000001</v>
      </c>
      <c r="BH492" s="2">
        <f t="shared" si="90"/>
        <v>0</v>
      </c>
      <c r="BI492" s="2">
        <f t="shared" si="91"/>
        <v>0</v>
      </c>
      <c r="BJ492" s="2">
        <f t="shared" si="92"/>
        <v>0</v>
      </c>
      <c r="BK492" s="2">
        <f t="shared" si="93"/>
        <v>0</v>
      </c>
      <c r="BL492" s="2">
        <f t="shared" si="94"/>
        <v>0.14000000000000001</v>
      </c>
      <c r="BM492" s="2">
        <f t="shared" si="95"/>
        <v>0</v>
      </c>
      <c r="BN492" s="2">
        <f>BI492/SUMIFS(BI$3:BI$623,$BC$3:$BC$623,1,$G$3:$G$623,$G492)</f>
        <v>0</v>
      </c>
      <c r="BO492" s="2">
        <f>BJ492/SUMIFS(BJ$3:BJ$623,$BC$3:$BC$623,1,$G$3:$G$623,$G492)</f>
        <v>0</v>
      </c>
      <c r="BP492" s="2">
        <f>BK492/SUMIFS(BK$3:BK$623,$BC$3:$BC$623,1,$G$3:$G$623,$G492)</f>
        <v>0</v>
      </c>
      <c r="BQ492" s="2">
        <f>BL492</f>
        <v>0.14000000000000001</v>
      </c>
      <c r="BR492" s="2">
        <f>BM492</f>
        <v>0</v>
      </c>
    </row>
    <row r="493" spans="1:70" hidden="1">
      <c r="A493" s="74">
        <v>0</v>
      </c>
      <c r="B493" s="73">
        <v>204915</v>
      </c>
      <c r="C493" s="73" t="s">
        <v>2936</v>
      </c>
      <c r="D493" s="73" t="s">
        <v>2937</v>
      </c>
      <c r="E493" s="73" t="s">
        <v>2938</v>
      </c>
      <c r="F493" s="73">
        <v>18648</v>
      </c>
      <c r="G493" s="73" t="s">
        <v>896</v>
      </c>
      <c r="H493" s="73" t="s">
        <v>929</v>
      </c>
      <c r="I493" s="73" t="s">
        <v>981</v>
      </c>
      <c r="J493" s="73">
        <v>0</v>
      </c>
      <c r="K493" s="73">
        <v>4.5</v>
      </c>
      <c r="L493" s="73">
        <v>0</v>
      </c>
      <c r="M493" s="73">
        <v>0</v>
      </c>
      <c r="N493" s="73">
        <v>0</v>
      </c>
      <c r="O493" s="73" t="s">
        <v>994</v>
      </c>
      <c r="P493" s="73" t="s">
        <v>2939</v>
      </c>
      <c r="Q493" s="73" t="s">
        <v>2940</v>
      </c>
      <c r="R493" s="73">
        <v>1</v>
      </c>
      <c r="S493" s="73">
        <v>0</v>
      </c>
      <c r="T493" s="73">
        <v>0</v>
      </c>
      <c r="U493" s="73">
        <v>0</v>
      </c>
      <c r="V493" s="73">
        <v>1166</v>
      </c>
      <c r="W493" s="73">
        <v>7</v>
      </c>
      <c r="X493" s="73">
        <v>0</v>
      </c>
      <c r="Y493" s="73">
        <v>1</v>
      </c>
      <c r="Z493" s="73" t="s">
        <v>2927</v>
      </c>
      <c r="AA493" s="73" t="s">
        <v>691</v>
      </c>
      <c r="AB493" s="73" t="str">
        <f>IF(AA493&lt;&gt;"",INDEX(Lookup!$N$2:$N$5,MATCH(Players!AA493,Lookup!$P$2:$P$5,0)),INDEX(Lookup!$N$2:$N$5,MATCH(Players!O493,Lookup!$O$2:$O$5,0)))</f>
        <v>Midfield</v>
      </c>
      <c r="AC493" s="73">
        <v>2500000</v>
      </c>
      <c r="AD493" s="73" t="s">
        <v>789</v>
      </c>
      <c r="AE493" s="73" t="str">
        <f>INDEX('Translate table'!$H$2:$H$622,MATCH(Players!P493,'Translate table'!$G$2:$G$622,0))</f>
        <v>RÃ³bert Mak</v>
      </c>
      <c r="AF493" s="73">
        <f>IFERROR(INDEX('Euro Qual stats'!$A$1:$L$2071,MATCH(Players!$AE493,'Euro Qual stats'!$A$1:$A$2071,0),MATCH(Players!AF$2,'Euro Qual stats'!$A$1:$L$1,0)),0)</f>
        <v>9</v>
      </c>
      <c r="AG493" s="73">
        <f>IFERROR(INDEX('Euro Qual stats'!$A$1:$L$2071,MATCH(Players!$AE493,'Euro Qual stats'!$A$1:$A$2071,0),MATCH(Players!AG$2,'Euro Qual stats'!$A$1:$L$1,0)),0)</f>
        <v>0.15</v>
      </c>
      <c r="AH493" s="73">
        <f>IFERROR(INDEX('Euro Qual stats'!$A$1:$L$2071,MATCH(Players!$AE493,'Euro Qual stats'!$A$1:$A$2071,0),MATCH(Players!AH$2,'Euro Qual stats'!$A$1:$L$1,0)),0)</f>
        <v>0.15</v>
      </c>
      <c r="AI493" s="73">
        <f>IFERROR(INDEX('Euro Qual stats'!$A$1:$L$2071,MATCH(Players!$AE493,'Euro Qual stats'!$A$1:$A$2071,0),MATCH(Players!AI$2,'Euro Qual stats'!$A$1:$L$1,0)),0)</f>
        <v>0.44</v>
      </c>
      <c r="AJ493" s="93">
        <f>(12-AF493)/12*INDEX(BV$9:BV$12,MATCH($AB493,$BU$9:$BU$12,0))+AF493/12*AG493</f>
        <v>0.15467277486910994</v>
      </c>
      <c r="AK493" s="93">
        <f>(12-AG493)/12*INDEX(BW$9:BW$12,MATCH($AB493,$BU$9:$BU$12,0))+AG493/12*AH493</f>
        <v>0.22248560209424079</v>
      </c>
      <c r="AL493" s="93">
        <f>(12-AH493)/12*INDEX(BX$9:BX$12,MATCH($AB493,$BU$9:$BU$12,0))+AH493/12*AI493</f>
        <v>0.2419312827225131</v>
      </c>
      <c r="AM493" s="93">
        <f>IF($BC493=1,AJ493/SUMIFS(AJ$3:AJ$623,$BC$3:$BC$623,1,$G$3:$G$623,$G493),0)</f>
        <v>0.11237224223438894</v>
      </c>
      <c r="AN493" s="93">
        <f>IF($BC493=1,AK493/SUMIFS(AK$3:AK$623,$BC$3:$BC$623,1,$G$3:$G$623,$G493),0)</f>
        <v>9.3837659070027085E-2</v>
      </c>
      <c r="AO493" s="93">
        <f>IF($BC493=1,AL493/SUMIFS(AL$3:AL$623,$BC$3:$BC$623,1,$G$3:$G$623,$G493),0)</f>
        <v>0.11717644024152739</v>
      </c>
      <c r="AP493" s="2">
        <f>IFERROR(R493/$V493*90,"")</f>
        <v>7.7186963979416809E-2</v>
      </c>
      <c r="AQ493" s="2">
        <f>IFERROR(S493/$V493*90,"")</f>
        <v>0</v>
      </c>
      <c r="AR493" s="2">
        <f>IFERROR(W493/$V493*90,"")</f>
        <v>0.54030874785591765</v>
      </c>
      <c r="AS493" s="2">
        <f>IFERROR(X493/$V493*90,"")</f>
        <v>0</v>
      </c>
      <c r="AT493" s="2">
        <f>IFERROR(Y493/$V493*90,"")</f>
        <v>7.7186963979416809E-2</v>
      </c>
      <c r="AU493" s="2">
        <f>IF(AP493="",INDEX(BV$4:BV$7,MATCH(O493,$BU$4:$BU$7,0)),AP493)</f>
        <v>7.7186963979416809E-2</v>
      </c>
      <c r="AV493" s="2">
        <f>IF(AQ493="",INDEX(BW$4:BW$7,MATCH($O493,$BU$4:$BU$7,0)),AQ493)</f>
        <v>0</v>
      </c>
      <c r="AW493" s="2">
        <f t="shared" si="84"/>
        <v>0.54030874785591765</v>
      </c>
      <c r="AX493" s="2">
        <f t="shared" si="85"/>
        <v>0</v>
      </c>
      <c r="AY493" s="2">
        <f t="shared" si="86"/>
        <v>7.7186963979416809E-2</v>
      </c>
      <c r="AZ493" s="2">
        <f>AU493*0.5+AK493*0.5</f>
        <v>0.1498362830368288</v>
      </c>
      <c r="BA493" s="2">
        <f>AV493*0.5+AJ493*0.5</f>
        <v>7.7336387434554968E-2</v>
      </c>
      <c r="BB493" s="2">
        <f t="shared" si="87"/>
        <v>0.22</v>
      </c>
      <c r="BC493">
        <f>IF(I493="expected",1,0)</f>
        <v>1</v>
      </c>
      <c r="BD493" s="78">
        <f>IF(BC493=1,AZ493/SUMIFS(AZ$3:AZ$623,$BC$3:$BC$623,1,$G$3:$G$623,$G493),0)</f>
        <v>7.5541995188448716E-2</v>
      </c>
      <c r="BE493" s="78">
        <f>IF(BC493=1,BA493/SUMIFS(BA$3:BA$623,$BC$3:$BC$623,1,$G$3:$G$623,$G493),0)</f>
        <v>8.8782170709857722E-2</v>
      </c>
      <c r="BF493" s="78">
        <f t="shared" si="88"/>
        <v>8.5680155301635183E-2</v>
      </c>
      <c r="BG493" s="2">
        <f t="shared" si="89"/>
        <v>0.22</v>
      </c>
      <c r="BH493" s="2">
        <f t="shared" si="90"/>
        <v>7.7186963979416809E-2</v>
      </c>
      <c r="BI493" s="2">
        <f t="shared" si="91"/>
        <v>7.5541995188448716E-2</v>
      </c>
      <c r="BJ493" s="2">
        <f t="shared" si="92"/>
        <v>8.8782170709857722E-2</v>
      </c>
      <c r="BK493" s="2">
        <f t="shared" si="93"/>
        <v>8.5680155301635183E-2</v>
      </c>
      <c r="BL493" s="2">
        <f t="shared" si="94"/>
        <v>0.22</v>
      </c>
      <c r="BM493" s="2">
        <f t="shared" si="95"/>
        <v>0.06</v>
      </c>
      <c r="BN493" s="2">
        <f>BI493/SUMIFS(BI$3:BI$623,$BC$3:$BC$623,1,$G$3:$G$623,$G493)</f>
        <v>7.5541995188448702E-2</v>
      </c>
      <c r="BO493" s="2">
        <f>BJ493/SUMIFS(BJ$3:BJ$623,$BC$3:$BC$623,1,$G$3:$G$623,$G493)</f>
        <v>8.8782170709857722E-2</v>
      </c>
      <c r="BP493" s="2">
        <f>BK493/SUMIFS(BK$3:BK$623,$BC$3:$BC$623,1,$G$3:$G$623,$G493)</f>
        <v>8.5680155301635183E-2</v>
      </c>
      <c r="BQ493" s="2">
        <f>BL493</f>
        <v>0.22</v>
      </c>
      <c r="BR493" s="2">
        <f>BM493</f>
        <v>0.06</v>
      </c>
    </row>
    <row r="494" spans="1:70" hidden="1">
      <c r="A494" s="74">
        <v>0</v>
      </c>
      <c r="B494" s="73">
        <v>204914</v>
      </c>
      <c r="C494" s="73" t="s">
        <v>2941</v>
      </c>
      <c r="D494" s="73" t="s">
        <v>2384</v>
      </c>
      <c r="E494" s="73" t="s">
        <v>2942</v>
      </c>
      <c r="F494" s="73">
        <v>18648</v>
      </c>
      <c r="G494" s="73" t="s">
        <v>896</v>
      </c>
      <c r="H494" s="73" t="s">
        <v>929</v>
      </c>
      <c r="I494" s="73" t="s">
        <v>981</v>
      </c>
      <c r="J494" s="73">
        <v>0</v>
      </c>
      <c r="K494" s="73">
        <v>4.5</v>
      </c>
      <c r="L494" s="73">
        <v>0</v>
      </c>
      <c r="M494" s="73">
        <v>0</v>
      </c>
      <c r="N494" s="73">
        <v>0</v>
      </c>
      <c r="O494" s="73" t="s">
        <v>994</v>
      </c>
      <c r="P494" s="73" t="s">
        <v>2387</v>
      </c>
      <c r="Q494" s="73" t="s">
        <v>2387</v>
      </c>
      <c r="R494" s="73">
        <v>7</v>
      </c>
      <c r="S494" s="73">
        <v>4</v>
      </c>
      <c r="T494" s="73">
        <v>0</v>
      </c>
      <c r="U494" s="73">
        <v>4</v>
      </c>
      <c r="V494" s="73">
        <v>2552</v>
      </c>
      <c r="W494" s="73">
        <v>16</v>
      </c>
      <c r="X494" s="73">
        <v>6</v>
      </c>
      <c r="Y494" s="73">
        <v>1</v>
      </c>
      <c r="Z494" s="73" t="s">
        <v>2927</v>
      </c>
      <c r="AA494" s="73" t="s">
        <v>691</v>
      </c>
      <c r="AB494" s="73" t="str">
        <f>IF(AA494&lt;&gt;"",INDEX(Lookup!$N$2:$N$5,MATCH(Players!AA494,Lookup!$P$2:$P$5,0)),INDEX(Lookup!$N$2:$N$5,MATCH(Players!O494,Lookup!$O$2:$O$5,0)))</f>
        <v>Midfield</v>
      </c>
      <c r="AC494" s="73">
        <v>3500000</v>
      </c>
      <c r="AD494" s="73" t="s">
        <v>788</v>
      </c>
      <c r="AE494" s="73" t="str">
        <f>INDEX('Translate table'!$H$2:$H$622,MATCH(Players!P494,'Translate table'!$G$2:$G$622,0))</f>
        <v>Ondrej Duda</v>
      </c>
      <c r="AF494" s="73">
        <f>IFERROR(INDEX('Euro Qual stats'!$A$1:$L$2071,MATCH(Players!$AE494,'Euro Qual stats'!$A$1:$A$2071,0),MATCH(Players!AF$2,'Euro Qual stats'!$A$1:$L$1,0)),0)</f>
        <v>7</v>
      </c>
      <c r="AG494" s="73">
        <f>IFERROR(INDEX('Euro Qual stats'!$A$1:$L$2071,MATCH(Players!$AE494,'Euro Qual stats'!$A$1:$A$2071,0),MATCH(Players!AG$2,'Euro Qual stats'!$A$1:$L$1,0)),0)</f>
        <v>0.39</v>
      </c>
      <c r="AH494" s="73">
        <f>IFERROR(INDEX('Euro Qual stats'!$A$1:$L$2071,MATCH(Players!$AE494,'Euro Qual stats'!$A$1:$A$2071,0),MATCH(Players!AH$2,'Euro Qual stats'!$A$1:$L$1,0)),0)</f>
        <v>0.2</v>
      </c>
      <c r="AI494" s="73">
        <f>IFERROR(INDEX('Euro Qual stats'!$A$1:$L$2071,MATCH(Players!$AE494,'Euro Qual stats'!$A$1:$A$2071,0),MATCH(Players!AI$2,'Euro Qual stats'!$A$1:$L$1,0)),0)</f>
        <v>0.39</v>
      </c>
      <c r="AJ494" s="93">
        <f>(12-AF494)/12*INDEX(BV$9:BV$12,MATCH($AB494,$BU$9:$BU$12,0))+AF494/12*AG494</f>
        <v>0.29778795811518327</v>
      </c>
      <c r="AK494" s="93">
        <f>(12-AG494)/12*INDEX(BW$9:BW$12,MATCH($AB494,$BU$9:$BU$12,0))+AG494/12*AH494</f>
        <v>0.22264253926701569</v>
      </c>
      <c r="AL494" s="93">
        <f>(12-AH494)/12*INDEX(BX$9:BX$12,MATCH($AB494,$BU$9:$BU$12,0))+AH494/12*AI494</f>
        <v>0.24193368237347299</v>
      </c>
      <c r="AM494" s="93">
        <f>IF($BC494=1,AJ494/SUMIFS(AJ$3:AJ$623,$BC$3:$BC$623,1,$G$3:$G$623,$G494),0)</f>
        <v>0.21634770949264476</v>
      </c>
      <c r="AN494" s="93">
        <f>IF($BC494=1,AK494/SUMIFS(AK$3:AK$623,$BC$3:$BC$623,1,$G$3:$G$623,$G494),0)</f>
        <v>9.3903850395558458E-2</v>
      </c>
      <c r="AO494" s="93">
        <f>IF($BC494=1,AL494/SUMIFS(AL$3:AL$623,$BC$3:$BC$623,1,$G$3:$G$623,$G494),0)</f>
        <v>0.11717760248294626</v>
      </c>
      <c r="AP494" s="2">
        <f>IFERROR(R494/$V494*90,"")</f>
        <v>0.2468652037617555</v>
      </c>
      <c r="AQ494" s="2">
        <f>IFERROR(S494/$V494*90,"")</f>
        <v>0.14106583072100312</v>
      </c>
      <c r="AR494" s="2">
        <f>IFERROR(W494/$V494*90,"")</f>
        <v>0.56426332288401249</v>
      </c>
      <c r="AS494" s="2">
        <f>IFERROR(X494/$V494*90,"")</f>
        <v>0.21159874608150472</v>
      </c>
      <c r="AT494" s="2">
        <f>IFERROR(Y494/$V494*90,"")</f>
        <v>3.526645768025078E-2</v>
      </c>
      <c r="AU494" s="2">
        <f>IF(AP494="",INDEX(BV$4:BV$7,MATCH(O494,$BU$4:$BU$7,0)),AP494)</f>
        <v>0.2468652037617555</v>
      </c>
      <c r="AV494" s="2">
        <f>IF(AQ494="",INDEX(BW$4:BW$7,MATCH($O494,$BU$4:$BU$7,0)),AQ494)</f>
        <v>0.14106583072100312</v>
      </c>
      <c r="AW494" s="2">
        <f t="shared" si="84"/>
        <v>0.56426332288401249</v>
      </c>
      <c r="AX494" s="2">
        <f t="shared" si="85"/>
        <v>0.21159874608150472</v>
      </c>
      <c r="AY494" s="2">
        <f t="shared" si="86"/>
        <v>3.526645768025078E-2</v>
      </c>
      <c r="AZ494" s="2">
        <f>AU494*0.5+AK494*0.5</f>
        <v>0.23475387151438559</v>
      </c>
      <c r="BA494" s="2">
        <f>AV494*0.5+AJ494*0.5</f>
        <v>0.21942689441809321</v>
      </c>
      <c r="BB494" s="2">
        <f t="shared" si="87"/>
        <v>0.30079937304075238</v>
      </c>
      <c r="BC494">
        <f>IF(I494="expected",1,0)</f>
        <v>1</v>
      </c>
      <c r="BD494" s="78">
        <f>IF(BC494=1,AZ494/SUMIFS(AZ$3:AZ$623,$BC$3:$BC$623,1,$G$3:$G$623,$G494),0)</f>
        <v>0.11835434964741201</v>
      </c>
      <c r="BE494" s="78">
        <f>IF(BC494=1,BA494/SUMIFS(BA$3:BA$623,$BC$3:$BC$623,1,$G$3:$G$623,$G494),0)</f>
        <v>0.25190206893290457</v>
      </c>
      <c r="BF494" s="78">
        <f t="shared" si="88"/>
        <v>8.947878287658452E-2</v>
      </c>
      <c r="BG494" s="2">
        <f t="shared" si="89"/>
        <v>0.30079937304075238</v>
      </c>
      <c r="BH494" s="2">
        <f t="shared" si="90"/>
        <v>3.526645768025078E-2</v>
      </c>
      <c r="BI494" s="2">
        <f t="shared" si="91"/>
        <v>0.11835434964741201</v>
      </c>
      <c r="BJ494" s="2">
        <f t="shared" si="92"/>
        <v>0.25190206893290457</v>
      </c>
      <c r="BK494" s="2">
        <f t="shared" si="93"/>
        <v>8.947878287658452E-2</v>
      </c>
      <c r="BL494" s="2">
        <f t="shared" si="94"/>
        <v>0.30079937304075238</v>
      </c>
      <c r="BM494" s="2">
        <f t="shared" si="95"/>
        <v>3.526645768025078E-2</v>
      </c>
      <c r="BN494" s="2">
        <f>BI494/SUMIFS(BI$3:BI$623,$BC$3:$BC$623,1,$G$3:$G$623,$G494)</f>
        <v>0.11835434964741198</v>
      </c>
      <c r="BO494" s="2">
        <f>BJ494/SUMIFS(BJ$3:BJ$623,$BC$3:$BC$623,1,$G$3:$G$623,$G494)</f>
        <v>0.25190206893290457</v>
      </c>
      <c r="BP494" s="2">
        <f>BK494/SUMIFS(BK$3:BK$623,$BC$3:$BC$623,1,$G$3:$G$623,$G494)</f>
        <v>8.947878287658452E-2</v>
      </c>
      <c r="BQ494" s="2">
        <f>BL494</f>
        <v>0.30079937304075238</v>
      </c>
      <c r="BR494" s="2">
        <f>BM494</f>
        <v>3.526645768025078E-2</v>
      </c>
    </row>
    <row r="495" spans="1:70" hidden="1">
      <c r="A495" s="74">
        <v>0</v>
      </c>
      <c r="B495" s="73">
        <v>204908</v>
      </c>
      <c r="C495" s="73" t="s">
        <v>2943</v>
      </c>
      <c r="D495" s="73" t="s">
        <v>2944</v>
      </c>
      <c r="E495" s="73" t="s">
        <v>2945</v>
      </c>
      <c r="F495" s="73">
        <v>18648</v>
      </c>
      <c r="G495" s="73" t="s">
        <v>896</v>
      </c>
      <c r="H495" s="73" t="s">
        <v>929</v>
      </c>
      <c r="I495" s="73" t="s">
        <v>981</v>
      </c>
      <c r="J495" s="73">
        <v>0</v>
      </c>
      <c r="K495" s="73">
        <v>4.5</v>
      </c>
      <c r="L495" s="73">
        <v>0</v>
      </c>
      <c r="M495" s="73">
        <v>0</v>
      </c>
      <c r="N495" s="73">
        <v>0</v>
      </c>
      <c r="O495" s="73" t="s">
        <v>994</v>
      </c>
      <c r="P495" s="73" t="s">
        <v>2946</v>
      </c>
      <c r="Q495" s="73" t="s">
        <v>2946</v>
      </c>
      <c r="R495" s="73">
        <v>7</v>
      </c>
      <c r="S495" s="73">
        <v>2</v>
      </c>
      <c r="T495" s="73">
        <v>0</v>
      </c>
      <c r="U495" s="73">
        <v>3</v>
      </c>
      <c r="V495" s="73">
        <v>2343</v>
      </c>
      <c r="W495" s="73">
        <v>20</v>
      </c>
      <c r="X495" s="73">
        <v>8</v>
      </c>
      <c r="Y495" s="73">
        <v>0</v>
      </c>
      <c r="Z495" s="73" t="s">
        <v>2927</v>
      </c>
      <c r="AA495" s="73" t="s">
        <v>691</v>
      </c>
      <c r="AB495" s="73" t="str">
        <f>IF(AA495&lt;&gt;"",INDEX(Lookup!$N$2:$N$5,MATCH(Players!AA495,Lookup!$P$2:$P$5,0)),INDEX(Lookup!$N$2:$N$5,MATCH(Players!O495,Lookup!$O$2:$O$5,0)))</f>
        <v>Midfield</v>
      </c>
      <c r="AC495" s="73">
        <v>3500000</v>
      </c>
      <c r="AD495" s="73" t="s">
        <v>788</v>
      </c>
      <c r="AE495" s="73" t="str">
        <f>INDEX('Translate table'!$H$2:$H$622,MATCH(Players!P495,'Translate table'!$G$2:$G$622,0))</f>
        <v>Juraj Kucka</v>
      </c>
      <c r="AF495" s="73">
        <f>IFERROR(INDEX('Euro Qual stats'!$A$1:$L$2071,MATCH(Players!$AE495,'Euro Qual stats'!$A$1:$A$2071,0),MATCH(Players!AF$2,'Euro Qual stats'!$A$1:$L$1,0)),0)</f>
        <v>10</v>
      </c>
      <c r="AG495" s="73">
        <f>IFERROR(INDEX('Euro Qual stats'!$A$1:$L$2071,MATCH(Players!$AE495,'Euro Qual stats'!$A$1:$A$2071,0),MATCH(Players!AG$2,'Euro Qual stats'!$A$1:$L$1,0)),0)</f>
        <v>0</v>
      </c>
      <c r="AH495" s="73">
        <f>IFERROR(INDEX('Euro Qual stats'!$A$1:$L$2071,MATCH(Players!$AE495,'Euro Qual stats'!$A$1:$A$2071,0),MATCH(Players!AH$2,'Euro Qual stats'!$A$1:$L$1,0)),0)</f>
        <v>0.32</v>
      </c>
      <c r="AI495" s="73">
        <f>IFERROR(INDEX('Euro Qual stats'!$A$1:$L$2071,MATCH(Players!$AE495,'Euro Qual stats'!$A$1:$A$2071,0),MATCH(Players!AI$2,'Euro Qual stats'!$A$1:$L$1,0)),0)</f>
        <v>0.21</v>
      </c>
      <c r="AJ495" s="93">
        <f>(12-AF495)/12*INDEX(BV$9:BV$12,MATCH($AB495,$BU$9:$BU$12,0))+AF495/12*AG495</f>
        <v>2.8115183246073296E-2</v>
      </c>
      <c r="AK495" s="93">
        <f>(12-AG495)/12*INDEX(BW$9:BW$12,MATCH($AB495,$BU$9:$BU$12,0))+AG495/12*AH495</f>
        <v>0.22340314136125652</v>
      </c>
      <c r="AL495" s="93">
        <f>(12-AH495)/12*INDEX(BX$9:BX$12,MATCH($AB495,$BU$9:$BU$12,0))+AH495/12*AI495</f>
        <v>0.23863944153577663</v>
      </c>
      <c r="AM495" s="93">
        <f>IF($BC495=1,AJ495/SUMIFS(AJ$3:AJ$623,$BC$3:$BC$623,1,$G$3:$G$623,$G495),0)</f>
        <v>2.0426129840015864E-2</v>
      </c>
      <c r="AN495" s="93">
        <f>IF($BC495=1,AK495/SUMIFS(AK$3:AK$623,$BC$3:$BC$623,1,$G$3:$G$623,$G495),0)</f>
        <v>9.4224649221799309E-2</v>
      </c>
      <c r="AO495" s="93">
        <f>IF($BC495=1,AL495/SUMIFS(AL$3:AL$623,$BC$3:$BC$623,1,$G$3:$G$623,$G495),0)</f>
        <v>0.115582077463132</v>
      </c>
      <c r="AP495" s="2">
        <f>IFERROR(R495/$V495*90,"")</f>
        <v>0.26888604353393086</v>
      </c>
      <c r="AQ495" s="2">
        <f>IFERROR(S495/$V495*90,"")</f>
        <v>7.6824583866837395E-2</v>
      </c>
      <c r="AR495" s="2">
        <f>IFERROR(W495/$V495*90,"")</f>
        <v>0.76824583866837393</v>
      </c>
      <c r="AS495" s="2">
        <f>IFERROR(X495/$V495*90,"")</f>
        <v>0.30729833546734958</v>
      </c>
      <c r="AT495" s="2">
        <f>IFERROR(Y495/$V495*90,"")</f>
        <v>0</v>
      </c>
      <c r="AU495" s="2">
        <f>IF(AP495="",INDEX(BV$4:BV$7,MATCH(O495,$BU$4:$BU$7,0)),AP495)</f>
        <v>0.26888604353393086</v>
      </c>
      <c r="AV495" s="2">
        <f>IF(AQ495="",INDEX(BW$4:BW$7,MATCH($O495,$BU$4:$BU$7,0)),AQ495)</f>
        <v>7.6824583866837395E-2</v>
      </c>
      <c r="AW495" s="2">
        <f t="shared" si="84"/>
        <v>0.76824583866837393</v>
      </c>
      <c r="AX495" s="2">
        <f t="shared" si="85"/>
        <v>0.30729833546734958</v>
      </c>
      <c r="AY495" s="2">
        <f t="shared" si="86"/>
        <v>0</v>
      </c>
      <c r="AZ495" s="2">
        <f>AU495*0.5+AK495*0.5</f>
        <v>0.24614459244759368</v>
      </c>
      <c r="BA495" s="2">
        <f>AV495*0.5+AJ495*0.5</f>
        <v>5.2469883556455349E-2</v>
      </c>
      <c r="BB495" s="2">
        <f t="shared" si="87"/>
        <v>0.2586491677336748</v>
      </c>
      <c r="BC495">
        <f>IF(I495="expected",1,0)</f>
        <v>1</v>
      </c>
      <c r="BD495" s="78">
        <f>IF(BC495=1,AZ495/SUMIFS(AZ$3:AZ$623,$BC$3:$BC$623,1,$G$3:$G$623,$G495),0)</f>
        <v>0.12409713616406544</v>
      </c>
      <c r="BE495" s="78">
        <f>IF(BC495=1,BA495/SUMIFS(BA$3:BA$623,$BC$3:$BC$623,1,$G$3:$G$623,$G495),0)</f>
        <v>6.0235424921776762E-2</v>
      </c>
      <c r="BF495" s="78">
        <f t="shared" si="88"/>
        <v>0.12182557293056111</v>
      </c>
      <c r="BG495" s="2">
        <f t="shared" si="89"/>
        <v>0.2586491677336748</v>
      </c>
      <c r="BH495" s="2">
        <f t="shared" si="90"/>
        <v>0</v>
      </c>
      <c r="BI495" s="2">
        <f t="shared" si="91"/>
        <v>0.12409713616406544</v>
      </c>
      <c r="BJ495" s="2">
        <f t="shared" si="92"/>
        <v>6.0235424921776762E-2</v>
      </c>
      <c r="BK495" s="2">
        <f t="shared" si="93"/>
        <v>0.12182557293056111</v>
      </c>
      <c r="BL495" s="2">
        <f t="shared" si="94"/>
        <v>0.2586491677336748</v>
      </c>
      <c r="BM495" s="2">
        <f t="shared" si="95"/>
        <v>0</v>
      </c>
      <c r="BN495" s="2">
        <f>BI495/SUMIFS(BI$3:BI$623,$BC$3:$BC$623,1,$G$3:$G$623,$G495)</f>
        <v>0.12409713616406541</v>
      </c>
      <c r="BO495" s="2">
        <f>BJ495/SUMIFS(BJ$3:BJ$623,$BC$3:$BC$623,1,$G$3:$G$623,$G495)</f>
        <v>6.0235424921776762E-2</v>
      </c>
      <c r="BP495" s="2">
        <f>BK495/SUMIFS(BK$3:BK$623,$BC$3:$BC$623,1,$G$3:$G$623,$G495)</f>
        <v>0.12182557293056111</v>
      </c>
      <c r="BQ495" s="2">
        <f>BL495</f>
        <v>0.2586491677336748</v>
      </c>
      <c r="BR495" s="2">
        <f>BM495</f>
        <v>0</v>
      </c>
    </row>
    <row r="496" spans="1:70" hidden="1">
      <c r="A496" s="74">
        <v>0</v>
      </c>
      <c r="B496" s="73">
        <v>204930</v>
      </c>
      <c r="C496" s="73" t="s">
        <v>2947</v>
      </c>
      <c r="D496" s="73" t="s">
        <v>1135</v>
      </c>
      <c r="E496" s="73" t="s">
        <v>2948</v>
      </c>
      <c r="F496" s="73">
        <v>18648</v>
      </c>
      <c r="G496" s="73" t="s">
        <v>896</v>
      </c>
      <c r="H496" s="73" t="s">
        <v>929</v>
      </c>
      <c r="I496" s="73" t="s">
        <v>1012</v>
      </c>
      <c r="J496" s="73">
        <v>0</v>
      </c>
      <c r="K496" s="73">
        <v>4.5</v>
      </c>
      <c r="L496" s="73">
        <v>0</v>
      </c>
      <c r="M496" s="73">
        <v>0</v>
      </c>
      <c r="N496" s="73">
        <v>0</v>
      </c>
      <c r="O496" s="73" t="s">
        <v>982</v>
      </c>
      <c r="P496" s="73" t="s">
        <v>2949</v>
      </c>
      <c r="Q496" s="73" t="s">
        <v>2950</v>
      </c>
      <c r="R496" s="73">
        <v>1</v>
      </c>
      <c r="S496" s="73">
        <v>0</v>
      </c>
      <c r="T496" s="73">
        <v>0</v>
      </c>
      <c r="U496" s="73">
        <v>0</v>
      </c>
      <c r="V496" s="73">
        <v>386</v>
      </c>
      <c r="W496" s="73">
        <v>6</v>
      </c>
      <c r="X496" s="73">
        <v>2</v>
      </c>
      <c r="Y496" s="73">
        <v>0</v>
      </c>
      <c r="Z496" s="73" t="s">
        <v>2927</v>
      </c>
      <c r="AA496" s="73" t="s">
        <v>693</v>
      </c>
      <c r="AB496" s="73" t="str">
        <f>IF(AA496&lt;&gt;"",INDEX(Lookup!$N$2:$N$5,MATCH(Players!AA496,Lookup!$P$2:$P$5,0)),INDEX(Lookup!$N$2:$N$5,MATCH(Players!O496,Lookup!$O$2:$O$5,0)))</f>
        <v>Striker</v>
      </c>
      <c r="AC496" s="73">
        <v>2500000</v>
      </c>
      <c r="AD496" s="73" t="s">
        <v>788</v>
      </c>
      <c r="AE496" s="73" t="str">
        <f>INDEX('Translate table'!$H$2:$H$622,MATCH(Players!P496,'Translate table'!$G$2:$G$622,0))</f>
        <v>Ivan Schranz</v>
      </c>
      <c r="AF496" s="73">
        <f>IFERROR(INDEX('Euro Qual stats'!$A$1:$L$2071,MATCH(Players!$AE496,'Euro Qual stats'!$A$1:$A$2071,0),MATCH(Players!AF$2,'Euro Qual stats'!$A$1:$L$1,0)),0)</f>
        <v>0</v>
      </c>
      <c r="AG496" s="73">
        <f>IFERROR(INDEX('Euro Qual stats'!$A$1:$L$2071,MATCH(Players!$AE496,'Euro Qual stats'!$A$1:$A$2071,0),MATCH(Players!AG$2,'Euro Qual stats'!$A$1:$L$1,0)),0)</f>
        <v>0</v>
      </c>
      <c r="AH496" s="73">
        <f>IFERROR(INDEX('Euro Qual stats'!$A$1:$L$2071,MATCH(Players!$AE496,'Euro Qual stats'!$A$1:$A$2071,0),MATCH(Players!AH$2,'Euro Qual stats'!$A$1:$L$1,0)),0)</f>
        <v>0</v>
      </c>
      <c r="AI496" s="73">
        <f>IFERROR(INDEX('Euro Qual stats'!$A$1:$L$2071,MATCH(Players!$AE496,'Euro Qual stats'!$A$1:$A$2071,0),MATCH(Players!AI$2,'Euro Qual stats'!$A$1:$L$1,0)),0)</f>
        <v>0</v>
      </c>
      <c r="AJ496" s="93">
        <f>(12-AF496)/12*INDEX(BV$9:BV$12,MATCH($AB496,$BU$9:$BU$12,0))+AF496/12*AG496</f>
        <v>0.20491379310344832</v>
      </c>
      <c r="AK496" s="93">
        <f>(12-AG496)/12*INDEX(BW$9:BW$12,MATCH($AB496,$BU$9:$BU$12,0))+AG496/12*AH496</f>
        <v>0.53387931034482738</v>
      </c>
      <c r="AL496" s="93">
        <f>(12-AH496)/12*INDEX(BX$9:BX$12,MATCH($AB496,$BU$9:$BU$12,0))+AH496/12*AI496</f>
        <v>0.16482758620689658</v>
      </c>
      <c r="AM496" s="93">
        <f>IF($BC496=1,AJ496/SUMIFS(AJ$3:AJ$623,$BC$3:$BC$623,1,$G$3:$G$623,$G496),0)</f>
        <v>0</v>
      </c>
      <c r="AN496" s="93">
        <f>IF($BC496=1,AK496/SUMIFS(AK$3:AK$623,$BC$3:$BC$623,1,$G$3:$G$623,$G496),0)</f>
        <v>0</v>
      </c>
      <c r="AO496" s="93">
        <f>IF($BC496=1,AL496/SUMIFS(AL$3:AL$623,$BC$3:$BC$623,1,$G$3:$G$623,$G496),0)</f>
        <v>0</v>
      </c>
      <c r="AP496" s="2">
        <f>IFERROR(R496/$V496*90,"")</f>
        <v>0.23316062176165803</v>
      </c>
      <c r="AQ496" s="2">
        <f>IFERROR(S496/$V496*90,"")</f>
        <v>0</v>
      </c>
      <c r="AR496" s="2">
        <f>IFERROR(W496/$V496*90,"")</f>
        <v>1.3989637305699483</v>
      </c>
      <c r="AS496" s="2">
        <f>IFERROR(X496/$V496*90,"")</f>
        <v>0.46632124352331605</v>
      </c>
      <c r="AT496" s="2">
        <f>IFERROR(Y496/$V496*90,"")</f>
        <v>0</v>
      </c>
      <c r="AU496" s="2">
        <f>IF(AP496="",INDEX(BV$4:BV$7,MATCH(O496,$BU$4:$BU$7,0)),AP496)</f>
        <v>0.23316062176165803</v>
      </c>
      <c r="AV496" s="2">
        <f>IF(AQ496="",INDEX(BW$4:BW$7,MATCH($O496,$BU$4:$BU$7,0)),AQ496)</f>
        <v>0</v>
      </c>
      <c r="AW496" s="2">
        <f t="shared" si="84"/>
        <v>1.3989637305699483</v>
      </c>
      <c r="AX496" s="2">
        <f t="shared" si="85"/>
        <v>0.46632124352331605</v>
      </c>
      <c r="AY496" s="2">
        <f t="shared" si="86"/>
        <v>0</v>
      </c>
      <c r="AZ496" s="2">
        <f>AU496*0.5+AK496*0.5</f>
        <v>0.38351996605324268</v>
      </c>
      <c r="BA496" s="2">
        <f>AV496*0.5+AJ496*0.5</f>
        <v>0.10245689655172416</v>
      </c>
      <c r="BB496" s="2">
        <f t="shared" si="87"/>
        <v>0.23316062176165803</v>
      </c>
      <c r="BC496">
        <f>IF(I496="expected",1,0)</f>
        <v>0</v>
      </c>
      <c r="BD496" s="78">
        <f>IF(BC496=1,AZ496/SUMIFS(AZ$3:AZ$623,$BC$3:$BC$623,1,$G$3:$G$623,$G496),0)</f>
        <v>0</v>
      </c>
      <c r="BE496" s="78">
        <f>IF(BC496=1,BA496/SUMIFS(BA$3:BA$623,$BC$3:$BC$623,1,$G$3:$G$623,$G496),0)</f>
        <v>0</v>
      </c>
      <c r="BF496" s="78">
        <f t="shared" si="88"/>
        <v>0</v>
      </c>
      <c r="BG496" s="2">
        <f t="shared" si="89"/>
        <v>0.23316062176165803</v>
      </c>
      <c r="BH496" s="2">
        <f t="shared" si="90"/>
        <v>0</v>
      </c>
      <c r="BI496" s="2">
        <f t="shared" si="91"/>
        <v>0</v>
      </c>
      <c r="BJ496" s="2">
        <f t="shared" si="92"/>
        <v>0</v>
      </c>
      <c r="BK496" s="2">
        <f t="shared" si="93"/>
        <v>0</v>
      </c>
      <c r="BL496" s="2">
        <f t="shared" si="94"/>
        <v>0.23316062176165803</v>
      </c>
      <c r="BM496" s="2">
        <f t="shared" si="95"/>
        <v>0</v>
      </c>
      <c r="BN496" s="2">
        <f>BI496/SUMIFS(BI$3:BI$623,$BC$3:$BC$623,1,$G$3:$G$623,$G496)</f>
        <v>0</v>
      </c>
      <c r="BO496" s="2">
        <f>BJ496/SUMIFS(BJ$3:BJ$623,$BC$3:$BC$623,1,$G$3:$G$623,$G496)</f>
        <v>0</v>
      </c>
      <c r="BP496" s="2">
        <f>BK496/SUMIFS(BK$3:BK$623,$BC$3:$BC$623,1,$G$3:$G$623,$G496)</f>
        <v>0</v>
      </c>
      <c r="BQ496" s="2">
        <f>BL496</f>
        <v>0.23316062176165803</v>
      </c>
      <c r="BR496" s="2">
        <f>BM496</f>
        <v>0</v>
      </c>
    </row>
    <row r="497" spans="1:70" hidden="1">
      <c r="A497" s="74">
        <v>0</v>
      </c>
      <c r="B497" s="73">
        <v>204927</v>
      </c>
      <c r="C497" s="73" t="s">
        <v>2951</v>
      </c>
      <c r="D497" s="73" t="s">
        <v>2952</v>
      </c>
      <c r="E497" s="73" t="s">
        <v>2953</v>
      </c>
      <c r="F497" s="73">
        <v>18648</v>
      </c>
      <c r="G497" s="73" t="s">
        <v>896</v>
      </c>
      <c r="H497" s="73" t="s">
        <v>929</v>
      </c>
      <c r="I497" s="73" t="s">
        <v>981</v>
      </c>
      <c r="J497" s="73">
        <v>0</v>
      </c>
      <c r="K497" s="73">
        <v>4.5</v>
      </c>
      <c r="L497" s="73">
        <v>0</v>
      </c>
      <c r="M497" s="73">
        <v>0</v>
      </c>
      <c r="N497" s="73">
        <v>0</v>
      </c>
      <c r="O497" s="73" t="s">
        <v>982</v>
      </c>
      <c r="P497" s="73" t="s">
        <v>2954</v>
      </c>
      <c r="Q497" s="73" t="s">
        <v>371</v>
      </c>
      <c r="R497" s="73">
        <v>0</v>
      </c>
      <c r="S497" s="73">
        <v>0</v>
      </c>
      <c r="T497" s="73">
        <v>0</v>
      </c>
      <c r="U497" s="73">
        <v>0</v>
      </c>
      <c r="V497" s="73">
        <v>0</v>
      </c>
      <c r="W497" s="73">
        <v>0</v>
      </c>
      <c r="X497" s="73">
        <v>0</v>
      </c>
      <c r="Y497" s="73">
        <v>0</v>
      </c>
      <c r="Z497" s="73" t="s">
        <v>2927</v>
      </c>
      <c r="AA497" s="73" t="s">
        <v>693</v>
      </c>
      <c r="AB497" s="73" t="str">
        <f>IF(AA497&lt;&gt;"",INDEX(Lookup!$N$2:$N$5,MATCH(Players!AA497,Lookup!$P$2:$P$5,0)),INDEX(Lookup!$N$2:$N$5,MATCH(Players!O497,Lookup!$O$2:$O$5,0)))</f>
        <v>Striker</v>
      </c>
      <c r="AC497" s="73">
        <v>2500000</v>
      </c>
      <c r="AD497" s="73" t="s">
        <v>788</v>
      </c>
      <c r="AE497" s="73" t="str">
        <f>INDEX('Translate table'!$H$2:$H$622,MATCH(Players!P497,'Translate table'!$G$2:$G$622,0))</f>
        <v>Dor Micha</v>
      </c>
      <c r="AF497" s="73">
        <f>IFERROR(INDEX('Euro Qual stats'!$A$1:$L$2071,MATCH(Players!$AE497,'Euro Qual stats'!$A$1:$A$2071,0),MATCH(Players!AF$2,'Euro Qual stats'!$A$1:$L$1,0)),0)</f>
        <v>0</v>
      </c>
      <c r="AG497" s="73">
        <f>IFERROR(INDEX('Euro Qual stats'!$A$1:$L$2071,MATCH(Players!$AE497,'Euro Qual stats'!$A$1:$A$2071,0),MATCH(Players!AG$2,'Euro Qual stats'!$A$1:$L$1,0)),0)</f>
        <v>0</v>
      </c>
      <c r="AH497" s="73">
        <f>IFERROR(INDEX('Euro Qual stats'!$A$1:$L$2071,MATCH(Players!$AE497,'Euro Qual stats'!$A$1:$A$2071,0),MATCH(Players!AH$2,'Euro Qual stats'!$A$1:$L$1,0)),0)</f>
        <v>0</v>
      </c>
      <c r="AI497" s="73">
        <f>IFERROR(INDEX('Euro Qual stats'!$A$1:$L$2071,MATCH(Players!$AE497,'Euro Qual stats'!$A$1:$A$2071,0),MATCH(Players!AI$2,'Euro Qual stats'!$A$1:$L$1,0)),0)</f>
        <v>0</v>
      </c>
      <c r="AJ497" s="93">
        <f>(12-AF497)/12*INDEX(BV$9:BV$12,MATCH($AB497,$BU$9:$BU$12,0))+AF497/12*AG497</f>
        <v>0.20491379310344832</v>
      </c>
      <c r="AK497" s="93">
        <f>(12-AG497)/12*INDEX(BW$9:BW$12,MATCH($AB497,$BU$9:$BU$12,0))+AG497/12*AH497</f>
        <v>0.53387931034482738</v>
      </c>
      <c r="AL497" s="93">
        <f>(12-AH497)/12*INDEX(BX$9:BX$12,MATCH($AB497,$BU$9:$BU$12,0))+AH497/12*AI497</f>
        <v>0.16482758620689658</v>
      </c>
      <c r="AM497" s="93">
        <f>IF($BC497=1,AJ497/SUMIFS(AJ$3:AJ$623,$BC$3:$BC$623,1,$G$3:$G$623,$G497),0)</f>
        <v>0.14887314471001226</v>
      </c>
      <c r="AN497" s="93">
        <f>IF($BC497=1,AK497/SUMIFS(AK$3:AK$623,$BC$3:$BC$623,1,$G$3:$G$623,$G497),0)</f>
        <v>0.22517405277964242</v>
      </c>
      <c r="AO497" s="93">
        <f>IF($BC497=1,AL497/SUMIFS(AL$3:AL$623,$BC$3:$BC$623,1,$G$3:$G$623,$G497),0)</f>
        <v>7.9832213461539056E-2</v>
      </c>
      <c r="AP497" s="2" t="str">
        <f>IFERROR(R497/$V497*90,"")</f>
        <v/>
      </c>
      <c r="AQ497" s="2" t="str">
        <f>IFERROR(S497/$V497*90,"")</f>
        <v/>
      </c>
      <c r="AR497" s="2" t="str">
        <f>IFERROR(W497/$V497*90,"")</f>
        <v/>
      </c>
      <c r="AS497" s="2" t="str">
        <f>IFERROR(X497/$V497*90,"")</f>
        <v/>
      </c>
      <c r="AT497" s="2" t="str">
        <f>IFERROR(Y497/$V497*90,"")</f>
        <v/>
      </c>
      <c r="AU497" s="2">
        <f>IF(AP497="",INDEX(BV$4:BV$7,MATCH(O497,$BU$4:$BU$7,0)),AP497)</f>
        <v>0.18769551616266944</v>
      </c>
      <c r="AV497" s="2">
        <f>IF(AQ497="",INDEX(BW$4:BW$7,MATCH($O497,$BU$4:$BU$7,0)),AQ497)</f>
        <v>4.82573726541555E-2</v>
      </c>
      <c r="AW497" s="2">
        <f t="shared" si="84"/>
        <v>0.70512820512820518</v>
      </c>
      <c r="AX497" s="2">
        <f t="shared" si="85"/>
        <v>0.12295081967213115</v>
      </c>
      <c r="AY497" s="2">
        <f t="shared" si="86"/>
        <v>0</v>
      </c>
      <c r="AZ497" s="2">
        <f>AU497*0.5+AK497*0.5</f>
        <v>0.36078741325374841</v>
      </c>
      <c r="BA497" s="2">
        <f>AV497*0.5+AJ497*0.5</f>
        <v>0.12658558287880189</v>
      </c>
      <c r="BB497" s="2">
        <f t="shared" si="87"/>
        <v>6.1475409836065573E-2</v>
      </c>
      <c r="BC497">
        <f>IF(I497="expected",1,0)</f>
        <v>1</v>
      </c>
      <c r="BD497" s="78">
        <f>IF(BC497=1,AZ497/SUMIFS(AZ$3:AZ$623,$BC$3:$BC$623,1,$G$3:$G$623,$G497),0)</f>
        <v>0.18189586983660369</v>
      </c>
      <c r="BE497" s="78">
        <f>IF(BC497=1,BA497/SUMIFS(BA$3:BA$623,$BC$3:$BC$623,1,$G$3:$G$623,$G497),0)</f>
        <v>0.145320245764817</v>
      </c>
      <c r="BF497" s="78">
        <f t="shared" si="88"/>
        <v>0.11181661293231308</v>
      </c>
      <c r="BG497" s="2">
        <f t="shared" si="89"/>
        <v>6.1475409836065573E-2</v>
      </c>
      <c r="BH497" s="2">
        <f t="shared" si="90"/>
        <v>0</v>
      </c>
      <c r="BI497" s="2">
        <f t="shared" si="91"/>
        <v>0.18189586983660369</v>
      </c>
      <c r="BJ497" s="2">
        <f t="shared" si="92"/>
        <v>0.145320245764817</v>
      </c>
      <c r="BK497" s="2">
        <f t="shared" si="93"/>
        <v>0.11181661293231308</v>
      </c>
      <c r="BL497" s="2">
        <f t="shared" si="94"/>
        <v>6.1475409836065573E-2</v>
      </c>
      <c r="BM497" s="2">
        <f t="shared" si="95"/>
        <v>0</v>
      </c>
      <c r="BN497" s="2">
        <f>BI497/SUMIFS(BI$3:BI$623,$BC$3:$BC$623,1,$G$3:$G$623,$G497)</f>
        <v>0.18189586983660366</v>
      </c>
      <c r="BO497" s="2">
        <f>BJ497/SUMIFS(BJ$3:BJ$623,$BC$3:$BC$623,1,$G$3:$G$623,$G497)</f>
        <v>0.145320245764817</v>
      </c>
      <c r="BP497" s="2">
        <f>BK497/SUMIFS(BK$3:BK$623,$BC$3:$BC$623,1,$G$3:$G$623,$G497)</f>
        <v>0.11181661293231308</v>
      </c>
      <c r="BQ497" s="2">
        <f>BL497</f>
        <v>6.1475409836065573E-2</v>
      </c>
      <c r="BR497" s="2">
        <f>BM497</f>
        <v>0</v>
      </c>
    </row>
    <row r="498" spans="1:70" hidden="1">
      <c r="A498" s="74">
        <v>0</v>
      </c>
      <c r="B498" s="73">
        <v>223178</v>
      </c>
      <c r="C498" s="73" t="s">
        <v>2955</v>
      </c>
      <c r="D498" s="73" t="s">
        <v>2956</v>
      </c>
      <c r="E498" s="73" t="s">
        <v>2957</v>
      </c>
      <c r="F498" s="73">
        <v>18583</v>
      </c>
      <c r="G498" s="73" t="s">
        <v>869</v>
      </c>
      <c r="H498" s="73" t="s">
        <v>905</v>
      </c>
      <c r="I498" s="73" t="s">
        <v>1012</v>
      </c>
      <c r="J498" s="73">
        <v>0</v>
      </c>
      <c r="K498" s="73">
        <v>4.5</v>
      </c>
      <c r="L498" s="73">
        <v>0</v>
      </c>
      <c r="M498" s="73">
        <v>0</v>
      </c>
      <c r="N498" s="73">
        <v>0</v>
      </c>
      <c r="O498" s="73" t="s">
        <v>1318</v>
      </c>
      <c r="P498" s="73" t="s">
        <v>2958</v>
      </c>
      <c r="Q498" s="73" t="s">
        <v>2959</v>
      </c>
      <c r="R498" s="73">
        <v>0</v>
      </c>
      <c r="S498" s="73">
        <v>0</v>
      </c>
      <c r="T498" s="73">
        <v>0</v>
      </c>
      <c r="U498" s="73">
        <v>0</v>
      </c>
      <c r="V498" s="73">
        <v>0</v>
      </c>
      <c r="W498" s="73">
        <v>0</v>
      </c>
      <c r="X498" s="73">
        <v>0</v>
      </c>
      <c r="Y498" s="73">
        <v>0</v>
      </c>
      <c r="Z498" s="73" t="s">
        <v>1267</v>
      </c>
      <c r="AA498" s="73" t="s">
        <v>692</v>
      </c>
      <c r="AB498" s="73" t="str">
        <f>IF(AA498&lt;&gt;"",INDEX(Lookup!$N$2:$N$5,MATCH(Players!AA498,Lookup!$P$2:$P$5,0)),INDEX(Lookup!$N$2:$N$5,MATCH(Players!O498,Lookup!$O$2:$O$5,0)))</f>
        <v>Defense</v>
      </c>
      <c r="AC498" s="73">
        <v>2500000</v>
      </c>
      <c r="AD498" s="73" t="s">
        <v>802</v>
      </c>
      <c r="AE498" s="73" t="str">
        <f>INDEX('Translate table'!$H$2:$H$622,MATCH(Players!P498,'Translate table'!$G$2:$G$622,0))</f>
        <v>Nicolai JÃ¸rgensen</v>
      </c>
      <c r="AF498" s="73">
        <f>IFERROR(INDEX('Euro Qual stats'!$A$1:$L$2071,MATCH(Players!$AE498,'Euro Qual stats'!$A$1:$A$2071,0),MATCH(Players!AF$2,'Euro Qual stats'!$A$1:$L$1,0)),0)</f>
        <v>2</v>
      </c>
      <c r="AG498" s="73">
        <f>IFERROR(INDEX('Euro Qual stats'!$A$1:$L$2071,MATCH(Players!$AE498,'Euro Qual stats'!$A$1:$A$2071,0),MATCH(Players!AG$2,'Euro Qual stats'!$A$1:$L$1,0)),0)</f>
        <v>0</v>
      </c>
      <c r="AH498" s="73">
        <f>IFERROR(INDEX('Euro Qual stats'!$A$1:$L$2071,MATCH(Players!$AE498,'Euro Qual stats'!$A$1:$A$2071,0),MATCH(Players!AH$2,'Euro Qual stats'!$A$1:$L$1,0)),0)</f>
        <v>0</v>
      </c>
      <c r="AI498" s="73">
        <f>IFERROR(INDEX('Euro Qual stats'!$A$1:$L$2071,MATCH(Players!$AE498,'Euro Qual stats'!$A$1:$A$2071,0),MATCH(Players!AI$2,'Euro Qual stats'!$A$1:$L$1,0)),0)</f>
        <v>0.56000000000000005</v>
      </c>
      <c r="AJ498" s="93">
        <f>(12-AF498)/12*INDEX(BV$9:BV$12,MATCH($AB498,$BU$9:$BU$12,0))+AF498/12*AG498</f>
        <v>7.4313186813186841E-2</v>
      </c>
      <c r="AK498" s="93">
        <f>(12-AG498)/12*INDEX(BW$9:BW$12,MATCH($AB498,$BU$9:$BU$12,0))+AG498/12*AH498</f>
        <v>0.10357142857142858</v>
      </c>
      <c r="AL498" s="93">
        <f>(12-AH498)/12*INDEX(BX$9:BX$12,MATCH($AB498,$BU$9:$BU$12,0))+AH498/12*AI498</f>
        <v>0.19357142857142848</v>
      </c>
      <c r="AM498" s="93">
        <f>IF($BC498=1,AJ498/SUMIFS(AJ$3:AJ$623,$BC$3:$BC$623,1,$G$3:$G$623,$G498),0)</f>
        <v>0</v>
      </c>
      <c r="AN498" s="93">
        <f>IF($BC498=1,AK498/SUMIFS(AK$3:AK$623,$BC$3:$BC$623,1,$G$3:$G$623,$G498),0)</f>
        <v>0</v>
      </c>
      <c r="AO498" s="93">
        <f>IF($BC498=1,AL498/SUMIFS(AL$3:AL$623,$BC$3:$BC$623,1,$G$3:$G$623,$G498),0)</f>
        <v>0</v>
      </c>
      <c r="AP498" s="2" t="str">
        <f>IFERROR(R498/$V498*90,"")</f>
        <v/>
      </c>
      <c r="AQ498" s="2" t="str">
        <f>IFERROR(S498/$V498*90,"")</f>
        <v/>
      </c>
      <c r="AR498" s="2" t="str">
        <f>IFERROR(W498/$V498*90,"")</f>
        <v/>
      </c>
      <c r="AS498" s="2" t="str">
        <f>IFERROR(X498/$V498*90,"")</f>
        <v/>
      </c>
      <c r="AT498" s="2" t="str">
        <f>IFERROR(Y498/$V498*90,"")</f>
        <v/>
      </c>
      <c r="AU498" s="2">
        <f>IF(AP498="",INDEX(BV$4:BV$7,MATCH(O498,$BU$4:$BU$7,0)),AP498)</f>
        <v>0</v>
      </c>
      <c r="AV498" s="2">
        <f>IF(AQ498="",INDEX(BW$4:BW$7,MATCH($O498,$BU$4:$BU$7,0)),AQ498)</f>
        <v>0</v>
      </c>
      <c r="AW498" s="2">
        <f t="shared" si="84"/>
        <v>8.0624805297505417E-2</v>
      </c>
      <c r="AX498" s="2">
        <f t="shared" si="85"/>
        <v>0.1265377855887522</v>
      </c>
      <c r="AY498" s="2">
        <f t="shared" si="86"/>
        <v>0</v>
      </c>
      <c r="AZ498" s="2">
        <f>AU498*0.5+AK498*0.5</f>
        <v>5.1785714285714289E-2</v>
      </c>
      <c r="BA498" s="2">
        <f>AV498*0.5+AJ498*0.5</f>
        <v>3.715659340659342E-2</v>
      </c>
      <c r="BB498" s="2">
        <f t="shared" si="87"/>
        <v>0.34326889279437611</v>
      </c>
      <c r="BC498">
        <f>IF(I498="expected",1,0)</f>
        <v>0</v>
      </c>
      <c r="BD498" s="78">
        <f>IF(BC498=1,AZ498/SUMIFS(AZ$3:AZ$623,$BC$3:$BC$623,1,$G$3:$G$623,$G498),0)</f>
        <v>0</v>
      </c>
      <c r="BE498" s="78">
        <f>IF(BC498=1,BA498/SUMIFS(BA$3:BA$623,$BC$3:$BC$623,1,$G$3:$G$623,$G498),0)</f>
        <v>0</v>
      </c>
      <c r="BF498" s="78">
        <f t="shared" si="88"/>
        <v>0</v>
      </c>
      <c r="BG498" s="2">
        <f t="shared" si="89"/>
        <v>0.34326889279437611</v>
      </c>
      <c r="BH498" s="2">
        <f t="shared" si="90"/>
        <v>0</v>
      </c>
      <c r="BI498" s="2">
        <f t="shared" si="91"/>
        <v>0</v>
      </c>
      <c r="BJ498" s="2">
        <f t="shared" si="92"/>
        <v>0</v>
      </c>
      <c r="BK498" s="2">
        <f t="shared" si="93"/>
        <v>0</v>
      </c>
      <c r="BL498" s="2">
        <f t="shared" si="94"/>
        <v>0.34326889279437611</v>
      </c>
      <c r="BM498" s="2">
        <f t="shared" si="95"/>
        <v>0</v>
      </c>
      <c r="BN498" s="2">
        <f>BI498/SUMIFS(BI$3:BI$623,$BC$3:$BC$623,1,$G$3:$G$623,$G498)</f>
        <v>0</v>
      </c>
      <c r="BO498" s="2">
        <f>BJ498/SUMIFS(BJ$3:BJ$623,$BC$3:$BC$623,1,$G$3:$G$623,$G498)</f>
        <v>0</v>
      </c>
      <c r="BP498" s="2">
        <f>BK498/SUMIFS(BK$3:BK$623,$BC$3:$BC$623,1,$G$3:$G$623,$G498)</f>
        <v>0</v>
      </c>
      <c r="BQ498" s="2">
        <f>BL498</f>
        <v>0.34326889279437611</v>
      </c>
      <c r="BR498" s="2">
        <f>BM498</f>
        <v>0</v>
      </c>
    </row>
    <row r="499" spans="1:70" hidden="1">
      <c r="A499" s="74">
        <v>0</v>
      </c>
      <c r="B499" s="73">
        <v>223177</v>
      </c>
      <c r="C499" s="73" t="s">
        <v>2960</v>
      </c>
      <c r="D499" s="73" t="s">
        <v>2961</v>
      </c>
      <c r="E499" s="73" t="s">
        <v>2962</v>
      </c>
      <c r="F499" s="73">
        <v>18583</v>
      </c>
      <c r="G499" s="73" t="s">
        <v>869</v>
      </c>
      <c r="H499" s="73" t="s">
        <v>905</v>
      </c>
      <c r="I499" s="73" t="s">
        <v>1012</v>
      </c>
      <c r="J499" s="73">
        <v>0</v>
      </c>
      <c r="K499" s="73">
        <v>4.5</v>
      </c>
      <c r="L499" s="73">
        <v>0</v>
      </c>
      <c r="M499" s="73">
        <v>0</v>
      </c>
      <c r="N499" s="73">
        <v>0</v>
      </c>
      <c r="O499" s="73" t="s">
        <v>1318</v>
      </c>
      <c r="P499" s="73" t="s">
        <v>2963</v>
      </c>
      <c r="Q499" s="73" t="s">
        <v>1748</v>
      </c>
      <c r="R499" s="73">
        <v>0</v>
      </c>
      <c r="S499" s="73">
        <v>0</v>
      </c>
      <c r="T499" s="73">
        <v>0</v>
      </c>
      <c r="U499" s="73">
        <v>0</v>
      </c>
      <c r="V499" s="73">
        <v>265</v>
      </c>
      <c r="W499" s="73">
        <v>1</v>
      </c>
      <c r="X499" s="73">
        <v>0</v>
      </c>
      <c r="Y499" s="73">
        <v>0</v>
      </c>
      <c r="Z499" s="73" t="s">
        <v>1267</v>
      </c>
      <c r="AA499" s="73" t="s">
        <v>692</v>
      </c>
      <c r="AB499" s="73" t="str">
        <f>IF(AA499&lt;&gt;"",INDEX(Lookup!$N$2:$N$5,MATCH(Players!AA499,Lookup!$P$2:$P$5,0)),INDEX(Lookup!$N$2:$N$5,MATCH(Players!O499,Lookup!$O$2:$O$5,0)))</f>
        <v>Defense</v>
      </c>
      <c r="AC499" s="73">
        <v>2500000</v>
      </c>
      <c r="AD499" s="73" t="s">
        <v>801</v>
      </c>
      <c r="AE499" s="73" t="str">
        <f>INDEX('Translate table'!$H$2:$H$622,MATCH(Players!P499,'Translate table'!$G$2:$G$622,0))</f>
        <v>Mathias Jattah-Njie JÃ¸rgensen</v>
      </c>
      <c r="AF499" s="73">
        <f>IFERROR(INDEX('Euro Qual stats'!$A$1:$L$2071,MATCH(Players!$AE499,'Euro Qual stats'!$A$1:$A$2071,0),MATCH(Players!AF$2,'Euro Qual stats'!$A$1:$L$1,0)),0)</f>
        <v>6</v>
      </c>
      <c r="AG499" s="73">
        <f>IFERROR(INDEX('Euro Qual stats'!$A$1:$L$2071,MATCH(Players!$AE499,'Euro Qual stats'!$A$1:$A$2071,0),MATCH(Players!AG$2,'Euro Qual stats'!$A$1:$L$1,0)),0)</f>
        <v>0</v>
      </c>
      <c r="AH499" s="73">
        <f>IFERROR(INDEX('Euro Qual stats'!$A$1:$L$2071,MATCH(Players!$AE499,'Euro Qual stats'!$A$1:$A$2071,0),MATCH(Players!AH$2,'Euro Qual stats'!$A$1:$L$1,0)),0)</f>
        <v>0.25</v>
      </c>
      <c r="AI499" s="73">
        <f>IFERROR(INDEX('Euro Qual stats'!$A$1:$L$2071,MATCH(Players!$AE499,'Euro Qual stats'!$A$1:$A$2071,0),MATCH(Players!AI$2,'Euro Qual stats'!$A$1:$L$1,0)),0)</f>
        <v>0</v>
      </c>
      <c r="AJ499" s="93">
        <f>(12-AF499)/12*INDEX(BV$9:BV$12,MATCH($AB499,$BU$9:$BU$12,0))+AF499/12*AG499</f>
        <v>4.4587912087912102E-2</v>
      </c>
      <c r="AK499" s="93">
        <f>(12-AG499)/12*INDEX(BW$9:BW$12,MATCH($AB499,$BU$9:$BU$12,0))+AG499/12*AH499</f>
        <v>0.10357142857142858</v>
      </c>
      <c r="AL499" s="93">
        <f>(12-AH499)/12*INDEX(BX$9:BX$12,MATCH($AB499,$BU$9:$BU$12,0))+AH499/12*AI499</f>
        <v>0.18953869047619037</v>
      </c>
      <c r="AM499" s="93">
        <f>IF($BC499=1,AJ499/SUMIFS(AJ$3:AJ$623,$BC$3:$BC$623,1,$G$3:$G$623,$G499),0)</f>
        <v>0</v>
      </c>
      <c r="AN499" s="93">
        <f>IF($BC499=1,AK499/SUMIFS(AK$3:AK$623,$BC$3:$BC$623,1,$G$3:$G$623,$G499),0)</f>
        <v>0</v>
      </c>
      <c r="AO499" s="93">
        <f>IF($BC499=1,AL499/SUMIFS(AL$3:AL$623,$BC$3:$BC$623,1,$G$3:$G$623,$G499),0)</f>
        <v>0</v>
      </c>
      <c r="AP499" s="2">
        <f>IFERROR(R499/$V499*90,"")</f>
        <v>0</v>
      </c>
      <c r="AQ499" s="2">
        <f>IFERROR(S499/$V499*90,"")</f>
        <v>0</v>
      </c>
      <c r="AR499" s="2">
        <f>IFERROR(W499/$V499*90,"")</f>
        <v>0.33962264150943394</v>
      </c>
      <c r="AS499" s="2">
        <f>IFERROR(X499/$V499*90,"")</f>
        <v>0</v>
      </c>
      <c r="AT499" s="2">
        <f>IFERROR(Y499/$V499*90,"")</f>
        <v>0</v>
      </c>
      <c r="AU499" s="2">
        <f>IF(AP499="",INDEX(BV$4:BV$7,MATCH(O499,$BU$4:$BU$7,0)),AP499)</f>
        <v>0</v>
      </c>
      <c r="AV499" s="2">
        <f>IF(AQ499="",INDEX(BW$4:BW$7,MATCH($O499,$BU$4:$BU$7,0)),AQ499)</f>
        <v>0</v>
      </c>
      <c r="AW499" s="2">
        <f t="shared" si="84"/>
        <v>0.33962264150943394</v>
      </c>
      <c r="AX499" s="2">
        <f t="shared" si="85"/>
        <v>0</v>
      </c>
      <c r="AY499" s="2">
        <f t="shared" si="86"/>
        <v>0</v>
      </c>
      <c r="AZ499" s="2">
        <f>AU499*0.5+AK499*0.5</f>
        <v>5.1785714285714289E-2</v>
      </c>
      <c r="BA499" s="2">
        <f>AV499*0.5+AJ499*0.5</f>
        <v>2.2293956043956051E-2</v>
      </c>
      <c r="BB499" s="2">
        <f t="shared" si="87"/>
        <v>0</v>
      </c>
      <c r="BC499">
        <f>IF(I499="expected",1,0)</f>
        <v>0</v>
      </c>
      <c r="BD499" s="78">
        <f>IF(BC499=1,AZ499/SUMIFS(AZ$3:AZ$623,$BC$3:$BC$623,1,$G$3:$G$623,$G499),0)</f>
        <v>0</v>
      </c>
      <c r="BE499" s="78">
        <f>IF(BC499=1,BA499/SUMIFS(BA$3:BA$623,$BC$3:$BC$623,1,$G$3:$G$623,$G499),0)</f>
        <v>0</v>
      </c>
      <c r="BF499" s="78">
        <f t="shared" si="88"/>
        <v>0</v>
      </c>
      <c r="BG499" s="2">
        <f t="shared" si="89"/>
        <v>0</v>
      </c>
      <c r="BH499" s="2">
        <f t="shared" si="90"/>
        <v>0</v>
      </c>
      <c r="BI499" s="2">
        <f t="shared" si="91"/>
        <v>0</v>
      </c>
      <c r="BJ499" s="2">
        <f t="shared" si="92"/>
        <v>0</v>
      </c>
      <c r="BK499" s="2">
        <f t="shared" si="93"/>
        <v>0</v>
      </c>
      <c r="BL499" s="2">
        <f t="shared" si="94"/>
        <v>0</v>
      </c>
      <c r="BM499" s="2">
        <f t="shared" si="95"/>
        <v>0</v>
      </c>
      <c r="BN499" s="2">
        <f>BI499/SUMIFS(BI$3:BI$623,$BC$3:$BC$623,1,$G$3:$G$623,$G499)</f>
        <v>0</v>
      </c>
      <c r="BO499" s="2">
        <f>BJ499/SUMIFS(BJ$3:BJ$623,$BC$3:$BC$623,1,$G$3:$G$623,$G499)</f>
        <v>0</v>
      </c>
      <c r="BP499" s="2">
        <f>BK499/SUMIFS(BK$3:BK$623,$BC$3:$BC$623,1,$G$3:$G$623,$G499)</f>
        <v>0</v>
      </c>
      <c r="BQ499" s="2">
        <f>BL499</f>
        <v>0</v>
      </c>
      <c r="BR499" s="2">
        <f>BM499</f>
        <v>0</v>
      </c>
    </row>
    <row r="500" spans="1:70" hidden="1">
      <c r="A500" s="74">
        <v>0</v>
      </c>
      <c r="B500" s="73">
        <v>204957</v>
      </c>
      <c r="C500" s="73" t="s">
        <v>2964</v>
      </c>
      <c r="D500" s="73" t="s">
        <v>2965</v>
      </c>
      <c r="E500" s="73" t="s">
        <v>2966</v>
      </c>
      <c r="F500" s="73">
        <v>18583</v>
      </c>
      <c r="G500" s="73" t="s">
        <v>869</v>
      </c>
      <c r="H500" s="73" t="s">
        <v>905</v>
      </c>
      <c r="I500" s="73" t="s">
        <v>1012</v>
      </c>
      <c r="J500" s="73">
        <v>0</v>
      </c>
      <c r="K500" s="73">
        <v>4.5</v>
      </c>
      <c r="L500" s="73">
        <v>0</v>
      </c>
      <c r="M500" s="73">
        <v>0</v>
      </c>
      <c r="N500" s="73">
        <v>0</v>
      </c>
      <c r="O500" s="73" t="s">
        <v>1318</v>
      </c>
      <c r="P500" s="73" t="s">
        <v>2967</v>
      </c>
      <c r="Q500" s="73" t="s">
        <v>2967</v>
      </c>
      <c r="R500" s="73">
        <v>2</v>
      </c>
      <c r="S500" s="73">
        <v>0</v>
      </c>
      <c r="T500" s="73">
        <v>0</v>
      </c>
      <c r="U500" s="73">
        <v>6</v>
      </c>
      <c r="V500" s="73">
        <v>2646</v>
      </c>
      <c r="W500" s="73">
        <v>12</v>
      </c>
      <c r="X500" s="73">
        <v>0</v>
      </c>
      <c r="Y500" s="73">
        <v>0</v>
      </c>
      <c r="Z500" s="73" t="s">
        <v>1267</v>
      </c>
      <c r="AA500" s="73" t="s">
        <v>692</v>
      </c>
      <c r="AB500" s="73" t="str">
        <f>IF(AA500&lt;&gt;"",INDEX(Lookup!$N$2:$N$5,MATCH(Players!AA500,Lookup!$P$2:$P$5,0)),INDEX(Lookup!$N$2:$N$5,MATCH(Players!O500,Lookup!$O$2:$O$5,0)))</f>
        <v>Defense</v>
      </c>
      <c r="AC500" s="73">
        <v>3000000</v>
      </c>
      <c r="AD500" s="73" t="s">
        <v>812</v>
      </c>
      <c r="AE500" s="73" t="str">
        <f>INDEX('Translate table'!$H$2:$H$622,MATCH(Players!P500,'Translate table'!$G$2:$G$622,0))</f>
        <v>Jens Larsen</v>
      </c>
      <c r="AF500" s="73">
        <f>IFERROR(INDEX('Euro Qual stats'!$A$1:$L$2071,MATCH(Players!$AE500,'Euro Qual stats'!$A$1:$A$2071,0),MATCH(Players!AF$2,'Euro Qual stats'!$A$1:$L$1,0)),0)</f>
        <v>8</v>
      </c>
      <c r="AG500" s="73">
        <f>IFERROR(INDEX('Euro Qual stats'!$A$1:$L$2071,MATCH(Players!$AE500,'Euro Qual stats'!$A$1:$A$2071,0),MATCH(Players!AG$2,'Euro Qual stats'!$A$1:$L$1,0)),0)</f>
        <v>0.13</v>
      </c>
      <c r="AH500" s="73">
        <f>IFERROR(INDEX('Euro Qual stats'!$A$1:$L$2071,MATCH(Players!$AE500,'Euro Qual stats'!$A$1:$A$2071,0),MATCH(Players!AH$2,'Euro Qual stats'!$A$1:$L$1,0)),0)</f>
        <v>0</v>
      </c>
      <c r="AI500" s="73">
        <f>IFERROR(INDEX('Euro Qual stats'!$A$1:$L$2071,MATCH(Players!$AE500,'Euro Qual stats'!$A$1:$A$2071,0),MATCH(Players!AI$2,'Euro Qual stats'!$A$1:$L$1,0)),0)</f>
        <v>0</v>
      </c>
      <c r="AJ500" s="93">
        <f>(12-AF500)/12*INDEX(BV$9:BV$12,MATCH($AB500,$BU$9:$BU$12,0))+AF500/12*AG500</f>
        <v>0.11639194139194139</v>
      </c>
      <c r="AK500" s="93">
        <f>(12-AG500)/12*INDEX(BW$9:BW$12,MATCH($AB500,$BU$9:$BU$12,0))+AG500/12*AH500</f>
        <v>0.10244940476190477</v>
      </c>
      <c r="AL500" s="93">
        <f>(12-AH500)/12*INDEX(BX$9:BX$12,MATCH($AB500,$BU$9:$BU$12,0))+AH500/12*AI500</f>
        <v>0.19357142857142848</v>
      </c>
      <c r="AM500" s="93">
        <f>IF($BC500=1,AJ500/SUMIFS(AJ$3:AJ$623,$BC$3:$BC$623,1,$G$3:$G$623,$G500),0)</f>
        <v>0</v>
      </c>
      <c r="AN500" s="93">
        <f>IF($BC500=1,AK500/SUMIFS(AK$3:AK$623,$BC$3:$BC$623,1,$G$3:$G$623,$G500),0)</f>
        <v>0</v>
      </c>
      <c r="AO500" s="93">
        <f>IF($BC500=1,AL500/SUMIFS(AL$3:AL$623,$BC$3:$BC$623,1,$G$3:$G$623,$G500),0)</f>
        <v>0</v>
      </c>
      <c r="AP500" s="2">
        <f>IFERROR(R500/$V500*90,"")</f>
        <v>6.8027210884353748E-2</v>
      </c>
      <c r="AQ500" s="2">
        <f>IFERROR(S500/$V500*90,"")</f>
        <v>0</v>
      </c>
      <c r="AR500" s="2">
        <f>IFERROR(W500/$V500*90,"")</f>
        <v>0.40816326530612246</v>
      </c>
      <c r="AS500" s="2">
        <f>IFERROR(X500/$V500*90,"")</f>
        <v>0</v>
      </c>
      <c r="AT500" s="2">
        <f>IFERROR(Y500/$V500*90,"")</f>
        <v>0</v>
      </c>
      <c r="AU500" s="2">
        <f>IF(AP500="",INDEX(BV$4:BV$7,MATCH(O500,$BU$4:$BU$7,0)),AP500)</f>
        <v>6.8027210884353748E-2</v>
      </c>
      <c r="AV500" s="2">
        <f>IF(AQ500="",INDEX(BW$4:BW$7,MATCH($O500,$BU$4:$BU$7,0)),AQ500)</f>
        <v>0</v>
      </c>
      <c r="AW500" s="2">
        <f t="shared" si="84"/>
        <v>0.40816326530612246</v>
      </c>
      <c r="AX500" s="2">
        <f t="shared" si="85"/>
        <v>0</v>
      </c>
      <c r="AY500" s="2">
        <f t="shared" si="86"/>
        <v>0</v>
      </c>
      <c r="AZ500" s="2">
        <f>AU500*0.5+AK500*0.5</f>
        <v>8.5238307823129258E-2</v>
      </c>
      <c r="BA500" s="2">
        <f>AV500*0.5+AJ500*0.5</f>
        <v>5.8195970695970697E-2</v>
      </c>
      <c r="BB500" s="2">
        <f t="shared" si="87"/>
        <v>0</v>
      </c>
      <c r="BC500">
        <f>IF(I500="expected",1,0)</f>
        <v>0</v>
      </c>
      <c r="BD500" s="78">
        <f>IF(BC500=1,AZ500/SUMIFS(AZ$3:AZ$623,$BC$3:$BC$623,1,$G$3:$G$623,$G500),0)</f>
        <v>0</v>
      </c>
      <c r="BE500" s="78">
        <f>IF(BC500=1,BA500/SUMIFS(BA$3:BA$623,$BC$3:$BC$623,1,$G$3:$G$623,$G500),0)</f>
        <v>0</v>
      </c>
      <c r="BF500" s="78">
        <f t="shared" si="88"/>
        <v>0</v>
      </c>
      <c r="BG500" s="2">
        <f t="shared" si="89"/>
        <v>0</v>
      </c>
      <c r="BH500" s="2">
        <f t="shared" si="90"/>
        <v>0</v>
      </c>
      <c r="BI500" s="2">
        <f t="shared" si="91"/>
        <v>0</v>
      </c>
      <c r="BJ500" s="2">
        <f t="shared" si="92"/>
        <v>0</v>
      </c>
      <c r="BK500" s="2">
        <f t="shared" si="93"/>
        <v>0</v>
      </c>
      <c r="BL500" s="2">
        <f t="shared" si="94"/>
        <v>0</v>
      </c>
      <c r="BM500" s="2">
        <f t="shared" si="95"/>
        <v>0</v>
      </c>
      <c r="BN500" s="2">
        <f>BI500/SUMIFS(BI$3:BI$623,$BC$3:$BC$623,1,$G$3:$G$623,$G500)</f>
        <v>0</v>
      </c>
      <c r="BO500" s="2">
        <f>BJ500/SUMIFS(BJ$3:BJ$623,$BC$3:$BC$623,1,$G$3:$G$623,$G500)</f>
        <v>0</v>
      </c>
      <c r="BP500" s="2">
        <f>BK500/SUMIFS(BK$3:BK$623,$BC$3:$BC$623,1,$G$3:$G$623,$G500)</f>
        <v>0</v>
      </c>
      <c r="BQ500" s="2">
        <f>BL500</f>
        <v>0</v>
      </c>
      <c r="BR500" s="2">
        <f>BM500</f>
        <v>0</v>
      </c>
    </row>
    <row r="501" spans="1:70" hidden="1">
      <c r="A501" s="74">
        <v>0</v>
      </c>
      <c r="B501" s="73">
        <v>204947</v>
      </c>
      <c r="C501" s="73" t="s">
        <v>2968</v>
      </c>
      <c r="D501" s="73" t="s">
        <v>2969</v>
      </c>
      <c r="E501" s="73" t="s">
        <v>2970</v>
      </c>
      <c r="F501" s="73">
        <v>18583</v>
      </c>
      <c r="G501" s="73" t="s">
        <v>869</v>
      </c>
      <c r="H501" s="73" t="s">
        <v>905</v>
      </c>
      <c r="I501" s="73" t="s">
        <v>981</v>
      </c>
      <c r="J501" s="73">
        <v>0</v>
      </c>
      <c r="K501" s="73">
        <v>4.5</v>
      </c>
      <c r="L501" s="73">
        <v>0</v>
      </c>
      <c r="M501" s="73">
        <v>0</v>
      </c>
      <c r="N501" s="73">
        <v>0</v>
      </c>
      <c r="O501" s="73" t="s">
        <v>1318</v>
      </c>
      <c r="P501" s="73" t="s">
        <v>2971</v>
      </c>
      <c r="Q501" s="73" t="s">
        <v>2971</v>
      </c>
      <c r="R501" s="73">
        <v>0</v>
      </c>
      <c r="S501" s="73">
        <v>2</v>
      </c>
      <c r="T501" s="73">
        <v>0</v>
      </c>
      <c r="U501" s="73">
        <v>2</v>
      </c>
      <c r="V501" s="73">
        <v>1210</v>
      </c>
      <c r="W501" s="73">
        <v>6</v>
      </c>
      <c r="X501" s="73">
        <v>0</v>
      </c>
      <c r="Y501" s="73">
        <v>0</v>
      </c>
      <c r="Z501" s="73" t="s">
        <v>1267</v>
      </c>
      <c r="AA501" s="73" t="s">
        <v>692</v>
      </c>
      <c r="AB501" s="73" t="str">
        <f>IF(AA501&lt;&gt;"",INDEX(Lookup!$N$2:$N$5,MATCH(Players!AA501,Lookup!$P$2:$P$5,0)),INDEX(Lookup!$N$2:$N$5,MATCH(Players!O501,Lookup!$O$2:$O$5,0)))</f>
        <v>Defense</v>
      </c>
      <c r="AC501" s="73">
        <v>3500000</v>
      </c>
      <c r="AD501" s="73" t="s">
        <v>2972</v>
      </c>
      <c r="AE501" s="73" t="str">
        <f>INDEX('Translate table'!$H$2:$H$622,MATCH(Players!P501,'Translate table'!$G$2:$G$622,0))</f>
        <v>Bojan JokiÄ‡</v>
      </c>
      <c r="AF501" s="73">
        <f>IFERROR(INDEX('Euro Qual stats'!$A$1:$L$2071,MATCH(Players!$AE501,'Euro Qual stats'!$A$1:$A$2071,0),MATCH(Players!AF$2,'Euro Qual stats'!$A$1:$L$1,0)),0)</f>
        <v>6</v>
      </c>
      <c r="AG501" s="73">
        <f>IFERROR(INDEX('Euro Qual stats'!$A$1:$L$2071,MATCH(Players!$AE501,'Euro Qual stats'!$A$1:$A$2071,0),MATCH(Players!AG$2,'Euro Qual stats'!$A$1:$L$1,0)),0)</f>
        <v>0.18</v>
      </c>
      <c r="AH501" s="73">
        <f>IFERROR(INDEX('Euro Qual stats'!$A$1:$L$2071,MATCH(Players!$AE501,'Euro Qual stats'!$A$1:$A$2071,0),MATCH(Players!AH$2,'Euro Qual stats'!$A$1:$L$1,0)),0)</f>
        <v>0</v>
      </c>
      <c r="AI501" s="73">
        <f>IFERROR(INDEX('Euro Qual stats'!$A$1:$L$2071,MATCH(Players!$AE501,'Euro Qual stats'!$A$1:$A$2071,0),MATCH(Players!AI$2,'Euro Qual stats'!$A$1:$L$1,0)),0)</f>
        <v>0.54</v>
      </c>
      <c r="AJ501" s="93">
        <f>(12-AF501)/12*INDEX(BV$9:BV$12,MATCH($AB501,$BU$9:$BU$12,0))+AF501/12*AG501</f>
        <v>0.1345879120879121</v>
      </c>
      <c r="AK501" s="93">
        <f>(12-AG501)/12*INDEX(BW$9:BW$12,MATCH($AB501,$BU$9:$BU$12,0))+AG501/12*AH501</f>
        <v>0.10201785714285715</v>
      </c>
      <c r="AL501" s="93">
        <f>(12-AH501)/12*INDEX(BX$9:BX$12,MATCH($AB501,$BU$9:$BU$12,0))+AH501/12*AI501</f>
        <v>0.19357142857142848</v>
      </c>
      <c r="AM501" s="93">
        <f>IF($BC501=1,AJ501/SUMIFS(AJ$3:AJ$623,$BC$3:$BC$623,1,$G$3:$G$623,$G501),0)</f>
        <v>8.884291091524503E-2</v>
      </c>
      <c r="AN501" s="93">
        <f>IF($BC501=1,AK501/SUMIFS(AK$3:AK$623,$BC$3:$BC$623,1,$G$3:$G$623,$G501),0)</f>
        <v>3.6488706067964664E-2</v>
      </c>
      <c r="AO501" s="93">
        <f>IF($BC501=1,AL501/SUMIFS(AL$3:AL$623,$BC$3:$BC$623,1,$G$3:$G$623,$G501),0)</f>
        <v>9.6943280046535074E-2</v>
      </c>
      <c r="AP501" s="2">
        <f>IFERROR(R501/$V501*90,"")</f>
        <v>0</v>
      </c>
      <c r="AQ501" s="2">
        <f>IFERROR(S501/$V501*90,"")</f>
        <v>0.1487603305785124</v>
      </c>
      <c r="AR501" s="2">
        <f>IFERROR(W501/$V501*90,"")</f>
        <v>0.4462809917355372</v>
      </c>
      <c r="AS501" s="2">
        <f>IFERROR(X501/$V501*90,"")</f>
        <v>0</v>
      </c>
      <c r="AT501" s="2">
        <f>IFERROR(Y501/$V501*90,"")</f>
        <v>0</v>
      </c>
      <c r="AU501" s="2">
        <f>IF(AP501="",INDEX(BV$4:BV$7,MATCH(O501,$BU$4:$BU$7,0)),AP501)</f>
        <v>0</v>
      </c>
      <c r="AV501" s="2">
        <f>IF(AQ501="",INDEX(BW$4:BW$7,MATCH($O501,$BU$4:$BU$7,0)),AQ501)</f>
        <v>0.1487603305785124</v>
      </c>
      <c r="AW501" s="2">
        <f t="shared" si="84"/>
        <v>0.4462809917355372</v>
      </c>
      <c r="AX501" s="2">
        <f t="shared" si="85"/>
        <v>0</v>
      </c>
      <c r="AY501" s="2">
        <f t="shared" si="86"/>
        <v>0</v>
      </c>
      <c r="AZ501" s="2">
        <f>AU501*0.5+AK501*0.5</f>
        <v>5.1008928571428573E-2</v>
      </c>
      <c r="BA501" s="2">
        <f>AV501*0.5+AJ501*0.5</f>
        <v>0.14167412133321225</v>
      </c>
      <c r="BB501" s="2">
        <f t="shared" si="87"/>
        <v>0.27</v>
      </c>
      <c r="BC501">
        <f>IF(I501="expected",1,0)</f>
        <v>1</v>
      </c>
      <c r="BD501" s="78">
        <f>IF(BC501=1,AZ501/SUMIFS(AZ$3:AZ$623,$BC$3:$BC$623,1,$G$3:$G$623,$G501),0)</f>
        <v>2.5498865233609478E-2</v>
      </c>
      <c r="BE501" s="78">
        <f>IF(BC501=1,BA501/SUMIFS(BA$3:BA$623,$BC$3:$BC$623,1,$G$3:$G$623,$G501),0)</f>
        <v>0.11523784938717233</v>
      </c>
      <c r="BF501" s="78">
        <f t="shared" si="88"/>
        <v>0.10064633471099052</v>
      </c>
      <c r="BG501" s="2">
        <f t="shared" si="89"/>
        <v>0.27</v>
      </c>
      <c r="BH501" s="2">
        <f t="shared" si="90"/>
        <v>0</v>
      </c>
      <c r="BI501" s="2">
        <f t="shared" si="91"/>
        <v>2.5498865233609478E-2</v>
      </c>
      <c r="BJ501" s="2">
        <f t="shared" si="92"/>
        <v>0.11523784938717233</v>
      </c>
      <c r="BK501" s="2">
        <f t="shared" si="93"/>
        <v>0.10064633471099052</v>
      </c>
      <c r="BL501" s="2">
        <f t="shared" si="94"/>
        <v>0.27</v>
      </c>
      <c r="BM501" s="2">
        <f t="shared" si="95"/>
        <v>0</v>
      </c>
      <c r="BN501" s="2">
        <f>BI501/SUMIFS(BI$3:BI$623,$BC$3:$BC$623,1,$G$3:$G$623,$G501)</f>
        <v>2.5498865233609481E-2</v>
      </c>
      <c r="BO501" s="2">
        <f>BJ501/SUMIFS(BJ$3:BJ$623,$BC$3:$BC$623,1,$G$3:$G$623,$G501)</f>
        <v>0.11523784938717234</v>
      </c>
      <c r="BP501" s="2">
        <f>BK501/SUMIFS(BK$3:BK$623,$BC$3:$BC$623,1,$G$3:$G$623,$G501)</f>
        <v>0.10064633471099055</v>
      </c>
      <c r="BQ501" s="2">
        <f>BL501</f>
        <v>0.27</v>
      </c>
      <c r="BR501" s="2">
        <f>BM501</f>
        <v>0</v>
      </c>
    </row>
    <row r="502" spans="1:70" hidden="1">
      <c r="A502" s="74">
        <v>0</v>
      </c>
      <c r="B502" s="73">
        <v>213407</v>
      </c>
      <c r="C502" s="73" t="s">
        <v>2973</v>
      </c>
      <c r="D502" s="73" t="s">
        <v>1080</v>
      </c>
      <c r="E502" s="73" t="s">
        <v>2974</v>
      </c>
      <c r="F502" s="73">
        <v>18583</v>
      </c>
      <c r="G502" s="73" t="s">
        <v>869</v>
      </c>
      <c r="H502" s="73" t="s">
        <v>905</v>
      </c>
      <c r="I502" s="73" t="s">
        <v>1012</v>
      </c>
      <c r="J502" s="73">
        <v>0</v>
      </c>
      <c r="K502" s="73">
        <v>4.5</v>
      </c>
      <c r="L502" s="73">
        <v>0</v>
      </c>
      <c r="M502" s="73">
        <v>0</v>
      </c>
      <c r="N502" s="73">
        <v>0</v>
      </c>
      <c r="O502" s="73" t="s">
        <v>982</v>
      </c>
      <c r="P502" s="73" t="s">
        <v>2940</v>
      </c>
      <c r="Q502" s="73" t="s">
        <v>2940</v>
      </c>
      <c r="R502" s="73">
        <v>1</v>
      </c>
      <c r="S502" s="73">
        <v>0</v>
      </c>
      <c r="T502" s="73">
        <v>0</v>
      </c>
      <c r="U502" s="73">
        <v>0</v>
      </c>
      <c r="V502" s="73">
        <v>1166</v>
      </c>
      <c r="W502" s="73">
        <v>7</v>
      </c>
      <c r="X502" s="73">
        <v>0</v>
      </c>
      <c r="Y502" s="73">
        <v>1</v>
      </c>
      <c r="Z502" s="73" t="s">
        <v>1267</v>
      </c>
      <c r="AA502" s="73" t="s">
        <v>693</v>
      </c>
      <c r="AB502" s="73" t="str">
        <f>IF(AA502&lt;&gt;"",INDEX(Lookup!$N$2:$N$5,MATCH(Players!AA502,Lookup!$P$2:$P$5,0)),INDEX(Lookup!$N$2:$N$5,MATCH(Players!O502,Lookup!$O$2:$O$5,0)))</f>
        <v>Striker</v>
      </c>
      <c r="AC502" s="73">
        <v>3000000</v>
      </c>
      <c r="AD502" s="73" t="s">
        <v>811</v>
      </c>
      <c r="AE502" s="73" t="str">
        <f>INDEX('Translate table'!$H$2:$H$622,MATCH(Players!P502,'Translate table'!$G$2:$G$622,0))</f>
        <v>Robert Skov</v>
      </c>
      <c r="AF502" s="73">
        <f>IFERROR(INDEX('Euro Qual stats'!$A$1:$L$2071,MATCH(Players!$AE502,'Euro Qual stats'!$A$1:$A$2071,0),MATCH(Players!AF$2,'Euro Qual stats'!$A$1:$L$1,0)),0)</f>
        <v>3</v>
      </c>
      <c r="AG502" s="73">
        <f>IFERROR(INDEX('Euro Qual stats'!$A$1:$L$2071,MATCH(Players!$AE502,'Euro Qual stats'!$A$1:$A$2071,0),MATCH(Players!AG$2,'Euro Qual stats'!$A$1:$L$1,0)),0)</f>
        <v>0.74</v>
      </c>
      <c r="AH502" s="73">
        <f>IFERROR(INDEX('Euro Qual stats'!$A$1:$L$2071,MATCH(Players!$AE502,'Euro Qual stats'!$A$1:$A$2071,0),MATCH(Players!AH$2,'Euro Qual stats'!$A$1:$L$1,0)),0)</f>
        <v>1.1200000000000001</v>
      </c>
      <c r="AI502" s="73">
        <f>IFERROR(INDEX('Euro Qual stats'!$A$1:$L$2071,MATCH(Players!$AE502,'Euro Qual stats'!$A$1:$A$2071,0),MATCH(Players!AI$2,'Euro Qual stats'!$A$1:$L$1,0)),0)</f>
        <v>0</v>
      </c>
      <c r="AJ502" s="93">
        <f>(12-AF502)/12*INDEX(BV$9:BV$12,MATCH($AB502,$BU$9:$BU$12,0))+AF502/12*AG502</f>
        <v>0.33868534482758622</v>
      </c>
      <c r="AK502" s="93">
        <f>(12-AG502)/12*INDEX(BW$9:BW$12,MATCH($AB502,$BU$9:$BU$12,0))+AG502/12*AH502</f>
        <v>0.57002341954022973</v>
      </c>
      <c r="AL502" s="93">
        <f>(12-AH502)/12*INDEX(BX$9:BX$12,MATCH($AB502,$BU$9:$BU$12,0))+AH502/12*AI502</f>
        <v>0.14944367816091955</v>
      </c>
      <c r="AM502" s="93">
        <f>IF($BC502=1,AJ502/SUMIFS(AJ$3:AJ$623,$BC$3:$BC$623,1,$G$3:$G$623,$G502),0)</f>
        <v>0</v>
      </c>
      <c r="AN502" s="93">
        <f>IF($BC502=1,AK502/SUMIFS(AK$3:AK$623,$BC$3:$BC$623,1,$G$3:$G$623,$G502),0)</f>
        <v>0</v>
      </c>
      <c r="AO502" s="93">
        <f>IF($BC502=1,AL502/SUMIFS(AL$3:AL$623,$BC$3:$BC$623,1,$G$3:$G$623,$G502),0)</f>
        <v>0</v>
      </c>
      <c r="AP502" s="2">
        <f>IFERROR(R502/$V502*90,"")</f>
        <v>7.7186963979416809E-2</v>
      </c>
      <c r="AQ502" s="2">
        <f>IFERROR(S502/$V502*90,"")</f>
        <v>0</v>
      </c>
      <c r="AR502" s="2">
        <f>IFERROR(W502/$V502*90,"")</f>
        <v>0.54030874785591765</v>
      </c>
      <c r="AS502" s="2">
        <f>IFERROR(X502/$V502*90,"")</f>
        <v>0</v>
      </c>
      <c r="AT502" s="2">
        <f>IFERROR(Y502/$V502*90,"")</f>
        <v>7.7186963979416809E-2</v>
      </c>
      <c r="AU502" s="2">
        <f>IF(AP502="",INDEX(BV$4:BV$7,MATCH(O502,$BU$4:$BU$7,0)),AP502)</f>
        <v>7.7186963979416809E-2</v>
      </c>
      <c r="AV502" s="2">
        <f>IF(AQ502="",INDEX(BW$4:BW$7,MATCH($O502,$BU$4:$BU$7,0)),AQ502)</f>
        <v>0</v>
      </c>
      <c r="AW502" s="2">
        <f t="shared" si="84"/>
        <v>0.54030874785591765</v>
      </c>
      <c r="AX502" s="2">
        <f t="shared" si="85"/>
        <v>0</v>
      </c>
      <c r="AY502" s="2">
        <f t="shared" si="86"/>
        <v>7.7186963979416809E-2</v>
      </c>
      <c r="AZ502" s="2">
        <f>AU502*0.5+AK502*0.5</f>
        <v>0.32360519175982327</v>
      </c>
      <c r="BA502" s="2">
        <f>AV502*0.5+AJ502*0.5</f>
        <v>0.16934267241379311</v>
      </c>
      <c r="BB502" s="2">
        <f t="shared" si="87"/>
        <v>0</v>
      </c>
      <c r="BC502">
        <f>IF(I502="expected",1,0)</f>
        <v>0</v>
      </c>
      <c r="BD502" s="78">
        <f>IF(BC502=1,AZ502/SUMIFS(AZ$3:AZ$623,$BC$3:$BC$623,1,$G$3:$G$623,$G502),0)</f>
        <v>0</v>
      </c>
      <c r="BE502" s="78">
        <f>IF(BC502=1,BA502/SUMIFS(BA$3:BA$623,$BC$3:$BC$623,1,$G$3:$G$623,$G502),0)</f>
        <v>0</v>
      </c>
      <c r="BF502" s="78">
        <f t="shared" si="88"/>
        <v>0</v>
      </c>
      <c r="BG502" s="2">
        <f t="shared" si="89"/>
        <v>0</v>
      </c>
      <c r="BH502" s="2">
        <f t="shared" si="90"/>
        <v>7.7186963979416809E-2</v>
      </c>
      <c r="BI502" s="2">
        <f t="shared" si="91"/>
        <v>0</v>
      </c>
      <c r="BJ502" s="2">
        <f t="shared" si="92"/>
        <v>0</v>
      </c>
      <c r="BK502" s="2">
        <f t="shared" si="93"/>
        <v>0</v>
      </c>
      <c r="BL502" s="2">
        <f t="shared" si="94"/>
        <v>0</v>
      </c>
      <c r="BM502" s="2">
        <f t="shared" si="95"/>
        <v>0.06</v>
      </c>
      <c r="BN502" s="2">
        <f>BI502/SUMIFS(BI$3:BI$623,$BC$3:$BC$623,1,$G$3:$G$623,$G502)</f>
        <v>0</v>
      </c>
      <c r="BO502" s="2">
        <f>BJ502/SUMIFS(BJ$3:BJ$623,$BC$3:$BC$623,1,$G$3:$G$623,$G502)</f>
        <v>0</v>
      </c>
      <c r="BP502" s="2">
        <f>BK502/SUMIFS(BK$3:BK$623,$BC$3:$BC$623,1,$G$3:$G$623,$G502)</f>
        <v>0</v>
      </c>
      <c r="BQ502" s="2">
        <f>BL502</f>
        <v>0</v>
      </c>
      <c r="BR502" s="2">
        <f>BM502</f>
        <v>0.06</v>
      </c>
    </row>
    <row r="503" spans="1:70" hidden="1">
      <c r="A503" s="74">
        <v>0</v>
      </c>
      <c r="B503" s="73">
        <v>204856</v>
      </c>
      <c r="C503" s="73" t="s">
        <v>2975</v>
      </c>
      <c r="D503" s="73" t="s">
        <v>2976</v>
      </c>
      <c r="E503" s="73" t="s">
        <v>2977</v>
      </c>
      <c r="F503" s="73">
        <v>18570</v>
      </c>
      <c r="G503" s="73" t="s">
        <v>870</v>
      </c>
      <c r="H503" s="73" t="s">
        <v>917</v>
      </c>
      <c r="I503" s="73" t="s">
        <v>1012</v>
      </c>
      <c r="J503" s="73">
        <v>0</v>
      </c>
      <c r="K503" s="73">
        <v>4.5</v>
      </c>
      <c r="L503" s="73">
        <v>0</v>
      </c>
      <c r="M503" s="73">
        <v>0</v>
      </c>
      <c r="N503" s="73">
        <v>0</v>
      </c>
      <c r="O503" s="73" t="s">
        <v>1318</v>
      </c>
      <c r="P503" s="73" t="s">
        <v>2978</v>
      </c>
      <c r="Q503" s="73" t="s">
        <v>2979</v>
      </c>
      <c r="R503" s="73">
        <v>0</v>
      </c>
      <c r="S503" s="73">
        <v>0</v>
      </c>
      <c r="T503" s="73">
        <v>0</v>
      </c>
      <c r="U503" s="73">
        <v>0</v>
      </c>
      <c r="V503" s="73">
        <v>179</v>
      </c>
      <c r="W503" s="73">
        <v>0</v>
      </c>
      <c r="X503" s="73">
        <v>0</v>
      </c>
      <c r="Y503" s="73">
        <v>0</v>
      </c>
      <c r="Z503" s="73" t="s">
        <v>870</v>
      </c>
      <c r="AA503" s="73" t="s">
        <v>692</v>
      </c>
      <c r="AB503" s="73" t="str">
        <f>IF(AA503&lt;&gt;"",INDEX(Lookup!$N$2:$N$5,MATCH(Players!AA503,Lookup!$P$2:$P$5,0)),INDEX(Lookup!$N$2:$N$5,MATCH(Players!O503,Lookup!$O$2:$O$5,0)))</f>
        <v>Defense</v>
      </c>
      <c r="AC503" s="73">
        <v>2000000</v>
      </c>
      <c r="AD503" s="73" t="s">
        <v>753</v>
      </c>
      <c r="AE503" s="73" t="str">
        <f>INDEX('Translate table'!$H$2:$H$622,MATCH(Players!P503,'Translate table'!$G$2:$G$622,0))</f>
        <v>Jere Uronen</v>
      </c>
      <c r="AF503" s="73">
        <f>IFERROR(INDEX('Euro Qual stats'!$A$1:$L$2071,MATCH(Players!$AE503,'Euro Qual stats'!$A$1:$A$2071,0),MATCH(Players!AF$2,'Euro Qual stats'!$A$1:$L$1,0)),0)</f>
        <v>6</v>
      </c>
      <c r="AG503" s="73">
        <f>IFERROR(INDEX('Euro Qual stats'!$A$1:$L$2071,MATCH(Players!$AE503,'Euro Qual stats'!$A$1:$A$2071,0),MATCH(Players!AG$2,'Euro Qual stats'!$A$1:$L$1,0)),0)</f>
        <v>0</v>
      </c>
      <c r="AH503" s="73">
        <f>IFERROR(INDEX('Euro Qual stats'!$A$1:$L$2071,MATCH(Players!$AE503,'Euro Qual stats'!$A$1:$A$2071,0),MATCH(Players!AH$2,'Euro Qual stats'!$A$1:$L$1,0)),0)</f>
        <v>0</v>
      </c>
      <c r="AI503" s="73">
        <f>IFERROR(INDEX('Euro Qual stats'!$A$1:$L$2071,MATCH(Players!$AE503,'Euro Qual stats'!$A$1:$A$2071,0),MATCH(Players!AI$2,'Euro Qual stats'!$A$1:$L$1,0)),0)</f>
        <v>0.17</v>
      </c>
      <c r="AJ503" s="93">
        <f>(12-AF503)/12*INDEX(BV$9:BV$12,MATCH($AB503,$BU$9:$BU$12,0))+AF503/12*AG503</f>
        <v>4.4587912087912102E-2</v>
      </c>
      <c r="AK503" s="93">
        <f>(12-AG503)/12*INDEX(BW$9:BW$12,MATCH($AB503,$BU$9:$BU$12,0))+AG503/12*AH503</f>
        <v>0.10357142857142858</v>
      </c>
      <c r="AL503" s="93">
        <f>(12-AH503)/12*INDEX(BX$9:BX$12,MATCH($AB503,$BU$9:$BU$12,0))+AH503/12*AI503</f>
        <v>0.19357142857142848</v>
      </c>
      <c r="AM503" s="93">
        <f>IF($BC503=1,AJ503/SUMIFS(AJ$3:AJ$623,$BC$3:$BC$623,1,$G$3:$G$623,$G503),0)</f>
        <v>0</v>
      </c>
      <c r="AN503" s="93">
        <f>IF($BC503=1,AK503/SUMIFS(AK$3:AK$623,$BC$3:$BC$623,1,$G$3:$G$623,$G503),0)</f>
        <v>0</v>
      </c>
      <c r="AO503" s="93">
        <f>IF($BC503=1,AL503/SUMIFS(AL$3:AL$623,$BC$3:$BC$623,1,$G$3:$G$623,$G503),0)</f>
        <v>0</v>
      </c>
      <c r="AP503" s="2">
        <f>IFERROR(R503/$V503*90,"")</f>
        <v>0</v>
      </c>
      <c r="AQ503" s="2">
        <f>IFERROR(S503/$V503*90,"")</f>
        <v>0</v>
      </c>
      <c r="AR503" s="2">
        <f>IFERROR(W503/$V503*90,"")</f>
        <v>0</v>
      </c>
      <c r="AS503" s="2">
        <f>IFERROR(X503/$V503*90,"")</f>
        <v>0</v>
      </c>
      <c r="AT503" s="2">
        <f>IFERROR(Y503/$V503*90,"")</f>
        <v>0</v>
      </c>
      <c r="AU503" s="2">
        <f>IF(AP503="",INDEX(BV$4:BV$7,MATCH(O503,$BU$4:$BU$7,0)),AP503)</f>
        <v>0</v>
      </c>
      <c r="AV503" s="2">
        <f>IF(AQ503="",INDEX(BW$4:BW$7,MATCH($O503,$BU$4:$BU$7,0)),AQ503)</f>
        <v>0</v>
      </c>
      <c r="AW503" s="2">
        <f t="shared" si="84"/>
        <v>0</v>
      </c>
      <c r="AX503" s="2">
        <f t="shared" si="85"/>
        <v>0</v>
      </c>
      <c r="AY503" s="2">
        <f t="shared" si="86"/>
        <v>0</v>
      </c>
      <c r="AZ503" s="2">
        <f>AU503*0.5+AK503*0.5</f>
        <v>5.1785714285714289E-2</v>
      </c>
      <c r="BA503" s="2">
        <f>AV503*0.5+AJ503*0.5</f>
        <v>2.2293956043956051E-2</v>
      </c>
      <c r="BB503" s="2">
        <f t="shared" si="87"/>
        <v>8.5000000000000006E-2</v>
      </c>
      <c r="BC503">
        <f>IF(I503="expected",1,0)</f>
        <v>0</v>
      </c>
      <c r="BD503" s="78">
        <f>IF(BC503=1,AZ503/SUMIFS(AZ$3:AZ$623,$BC$3:$BC$623,1,$G$3:$G$623,$G503),0)</f>
        <v>0</v>
      </c>
      <c r="BE503" s="78">
        <f>IF(BC503=1,BA503/SUMIFS(BA$3:BA$623,$BC$3:$BC$623,1,$G$3:$G$623,$G503),0)</f>
        <v>0</v>
      </c>
      <c r="BF503" s="78">
        <f t="shared" si="88"/>
        <v>0</v>
      </c>
      <c r="BG503" s="2">
        <f t="shared" si="89"/>
        <v>8.5000000000000006E-2</v>
      </c>
      <c r="BH503" s="2">
        <f t="shared" si="90"/>
        <v>0</v>
      </c>
      <c r="BI503" s="2">
        <f t="shared" si="91"/>
        <v>0</v>
      </c>
      <c r="BJ503" s="2">
        <f t="shared" si="92"/>
        <v>0</v>
      </c>
      <c r="BK503" s="2">
        <f t="shared" si="93"/>
        <v>0</v>
      </c>
      <c r="BL503" s="2">
        <f t="shared" si="94"/>
        <v>8.5000000000000006E-2</v>
      </c>
      <c r="BM503" s="2">
        <f t="shared" si="95"/>
        <v>0</v>
      </c>
      <c r="BN503" s="2">
        <f>BI503/SUMIFS(BI$3:BI$623,$BC$3:$BC$623,1,$G$3:$G$623,$G503)</f>
        <v>0</v>
      </c>
      <c r="BO503" s="2">
        <f>BJ503/SUMIFS(BJ$3:BJ$623,$BC$3:$BC$623,1,$G$3:$G$623,$G503)</f>
        <v>0</v>
      </c>
      <c r="BP503" s="2">
        <f>BK503/SUMIFS(BK$3:BK$623,$BC$3:$BC$623,1,$G$3:$G$623,$G503)</f>
        <v>0</v>
      </c>
      <c r="BQ503" s="2">
        <f>BL503</f>
        <v>8.5000000000000006E-2</v>
      </c>
      <c r="BR503" s="2">
        <f>BM503</f>
        <v>0</v>
      </c>
    </row>
    <row r="504" spans="1:70" hidden="1">
      <c r="A504" s="74">
        <v>0</v>
      </c>
      <c r="B504" s="73">
        <v>223264</v>
      </c>
      <c r="C504" s="73" t="s">
        <v>2980</v>
      </c>
      <c r="D504" s="73" t="s">
        <v>2981</v>
      </c>
      <c r="E504" s="73" t="s">
        <v>2982</v>
      </c>
      <c r="F504" s="73">
        <v>18570</v>
      </c>
      <c r="G504" s="73" t="s">
        <v>870</v>
      </c>
      <c r="H504" s="73" t="s">
        <v>917</v>
      </c>
      <c r="I504" s="73" t="s">
        <v>1012</v>
      </c>
      <c r="J504" s="73">
        <v>0</v>
      </c>
      <c r="K504" s="73">
        <v>4.5</v>
      </c>
      <c r="L504" s="73">
        <v>0</v>
      </c>
      <c r="M504" s="73">
        <v>0</v>
      </c>
      <c r="N504" s="73">
        <v>0</v>
      </c>
      <c r="O504" s="73" t="s">
        <v>994</v>
      </c>
      <c r="P504" s="73" t="s">
        <v>2983</v>
      </c>
      <c r="Q504" s="73" t="s">
        <v>2983</v>
      </c>
      <c r="R504" s="73">
        <v>4</v>
      </c>
      <c r="S504" s="73">
        <v>0</v>
      </c>
      <c r="T504" s="73">
        <v>0</v>
      </c>
      <c r="U504" s="73">
        <v>0</v>
      </c>
      <c r="V504" s="73">
        <v>698</v>
      </c>
      <c r="W504" s="73">
        <v>11</v>
      </c>
      <c r="X504" s="73">
        <v>0</v>
      </c>
      <c r="Y504" s="73">
        <v>0</v>
      </c>
      <c r="Z504" s="73" t="s">
        <v>870</v>
      </c>
      <c r="AA504" s="73" t="s">
        <v>691</v>
      </c>
      <c r="AB504" s="73" t="str">
        <f>IF(AA504&lt;&gt;"",INDEX(Lookup!$N$2:$N$5,MATCH(Players!AA504,Lookup!$P$2:$P$5,0)),INDEX(Lookup!$N$2:$N$5,MATCH(Players!O504,Lookup!$O$2:$O$5,0)))</f>
        <v>Midfield</v>
      </c>
      <c r="AC504" s="73">
        <v>2000000</v>
      </c>
      <c r="AD504" s="73" t="s">
        <v>753</v>
      </c>
      <c r="AE504" s="73" t="str">
        <f>INDEX('Translate table'!$H$2:$H$622,MATCH(Players!P504,'Translate table'!$G$2:$G$622,0))</f>
        <v>Lassi Lappalainen</v>
      </c>
      <c r="AF504" s="73">
        <f>IFERROR(INDEX('Euro Qual stats'!$A$1:$L$2071,MATCH(Players!$AE504,'Euro Qual stats'!$A$1:$A$2071,0),MATCH(Players!AF$2,'Euro Qual stats'!$A$1:$L$1,0)),0)</f>
        <v>5</v>
      </c>
      <c r="AG504" s="73">
        <f>IFERROR(INDEX('Euro Qual stats'!$A$1:$L$2071,MATCH(Players!$AE504,'Euro Qual stats'!$A$1:$A$2071,0),MATCH(Players!AG$2,'Euro Qual stats'!$A$1:$L$1,0)),0)</f>
        <v>0.35</v>
      </c>
      <c r="AH504" s="73">
        <f>IFERROR(INDEX('Euro Qual stats'!$A$1:$L$2071,MATCH(Players!$AE504,'Euro Qual stats'!$A$1:$A$2071,0),MATCH(Players!AH$2,'Euro Qual stats'!$A$1:$L$1,0)),0)</f>
        <v>0</v>
      </c>
      <c r="AI504" s="73">
        <f>IFERROR(INDEX('Euro Qual stats'!$A$1:$L$2071,MATCH(Players!$AE504,'Euro Qual stats'!$A$1:$A$2071,0),MATCH(Players!AI$2,'Euro Qual stats'!$A$1:$L$1,0)),0)</f>
        <v>0</v>
      </c>
      <c r="AJ504" s="93">
        <f>(12-AF504)/12*INDEX(BV$9:BV$12,MATCH($AB504,$BU$9:$BU$12,0))+AF504/12*AG504</f>
        <v>0.24423647469458989</v>
      </c>
      <c r="AK504" s="93">
        <f>(12-AG504)/12*INDEX(BW$9:BW$12,MATCH($AB504,$BU$9:$BU$12,0))+AG504/12*AH504</f>
        <v>0.21688721640488653</v>
      </c>
      <c r="AL504" s="93">
        <f>(12-AH504)/12*INDEX(BX$9:BX$12,MATCH($AB504,$BU$9:$BU$12,0))+AH504/12*AI504</f>
        <v>0.23942408376963353</v>
      </c>
      <c r="AM504" s="93">
        <f>IF($BC504=1,AJ504/SUMIFS(AJ$3:AJ$623,$BC$3:$BC$623,1,$G$3:$G$623,$G504),0)</f>
        <v>0</v>
      </c>
      <c r="AN504" s="93">
        <f>IF($BC504=1,AK504/SUMIFS(AK$3:AK$623,$BC$3:$BC$623,1,$G$3:$G$623,$G504),0)</f>
        <v>0</v>
      </c>
      <c r="AO504" s="93">
        <f>IF($BC504=1,AL504/SUMIFS(AL$3:AL$623,$BC$3:$BC$623,1,$G$3:$G$623,$G504),0)</f>
        <v>0</v>
      </c>
      <c r="AP504" s="2">
        <f>IFERROR(R504/$V504*90,"")</f>
        <v>0.51575931232091687</v>
      </c>
      <c r="AQ504" s="2">
        <f>IFERROR(S504/$V504*90,"")</f>
        <v>0</v>
      </c>
      <c r="AR504" s="2">
        <f>IFERROR(W504/$V504*90,"")</f>
        <v>1.4183381088825215</v>
      </c>
      <c r="AS504" s="2">
        <f>IFERROR(X504/$V504*90,"")</f>
        <v>0</v>
      </c>
      <c r="AT504" s="2">
        <f>IFERROR(Y504/$V504*90,"")</f>
        <v>0</v>
      </c>
      <c r="AU504" s="2">
        <f>IF(AP504="",INDEX(BV$4:BV$7,MATCH(O504,$BU$4:$BU$7,0)),AP504)</f>
        <v>0.51575931232091687</v>
      </c>
      <c r="AV504" s="2">
        <f>IF(AQ504="",INDEX(BW$4:BW$7,MATCH($O504,$BU$4:$BU$7,0)),AQ504)</f>
        <v>0</v>
      </c>
      <c r="AW504" s="2">
        <f t="shared" si="84"/>
        <v>1.4183381088825215</v>
      </c>
      <c r="AX504" s="2">
        <f t="shared" si="85"/>
        <v>0</v>
      </c>
      <c r="AY504" s="2">
        <f t="shared" si="86"/>
        <v>0</v>
      </c>
      <c r="AZ504" s="2">
        <f>AU504*0.5+AK504*0.5</f>
        <v>0.36632326436290169</v>
      </c>
      <c r="BA504" s="2">
        <f>AV504*0.5+AJ504*0.5</f>
        <v>0.12211823734729495</v>
      </c>
      <c r="BB504" s="2">
        <f t="shared" si="87"/>
        <v>0</v>
      </c>
      <c r="BC504">
        <f>IF(I504="expected",1,0)</f>
        <v>0</v>
      </c>
      <c r="BD504" s="78">
        <f>IF(BC504=1,AZ504/SUMIFS(AZ$3:AZ$623,$BC$3:$BC$623,1,$G$3:$G$623,$G504),0)</f>
        <v>0</v>
      </c>
      <c r="BE504" s="78">
        <f>IF(BC504=1,BA504/SUMIFS(BA$3:BA$623,$BC$3:$BC$623,1,$G$3:$G$623,$G504),0)</f>
        <v>0</v>
      </c>
      <c r="BF504" s="78">
        <f t="shared" si="88"/>
        <v>0</v>
      </c>
      <c r="BG504" s="2">
        <f t="shared" si="89"/>
        <v>0</v>
      </c>
      <c r="BH504" s="2">
        <f t="shared" si="90"/>
        <v>0</v>
      </c>
      <c r="BI504" s="2">
        <f t="shared" si="91"/>
        <v>0</v>
      </c>
      <c r="BJ504" s="2">
        <f t="shared" si="92"/>
        <v>0</v>
      </c>
      <c r="BK504" s="2">
        <f t="shared" si="93"/>
        <v>0</v>
      </c>
      <c r="BL504" s="2">
        <f t="shared" si="94"/>
        <v>0</v>
      </c>
      <c r="BM504" s="2">
        <f t="shared" si="95"/>
        <v>0</v>
      </c>
      <c r="BN504" s="2">
        <f>BI504/SUMIFS(BI$3:BI$623,$BC$3:$BC$623,1,$G$3:$G$623,$G504)</f>
        <v>0</v>
      </c>
      <c r="BO504" s="2">
        <f>BJ504/SUMIFS(BJ$3:BJ$623,$BC$3:$BC$623,1,$G$3:$G$623,$G504)</f>
        <v>0</v>
      </c>
      <c r="BP504" s="2">
        <f>BK504/SUMIFS(BK$3:BK$623,$BC$3:$BC$623,1,$G$3:$G$623,$G504)</f>
        <v>0</v>
      </c>
      <c r="BQ504" s="2">
        <f>BL504</f>
        <v>0</v>
      </c>
      <c r="BR504" s="2">
        <f>BM504</f>
        <v>0</v>
      </c>
    </row>
    <row r="505" spans="1:70" hidden="1">
      <c r="A505" s="74">
        <v>0</v>
      </c>
      <c r="B505" s="73">
        <v>223260</v>
      </c>
      <c r="C505" s="73" t="s">
        <v>2984</v>
      </c>
      <c r="D505" s="73" t="s">
        <v>2985</v>
      </c>
      <c r="E505" s="73" t="s">
        <v>2986</v>
      </c>
      <c r="F505" s="73">
        <v>18570</v>
      </c>
      <c r="G505" s="73" t="s">
        <v>870</v>
      </c>
      <c r="H505" s="73" t="s">
        <v>917</v>
      </c>
      <c r="I505" s="73" t="s">
        <v>1012</v>
      </c>
      <c r="J505" s="73">
        <v>0</v>
      </c>
      <c r="K505" s="73">
        <v>4.5</v>
      </c>
      <c r="L505" s="73">
        <v>0</v>
      </c>
      <c r="M505" s="73">
        <v>0</v>
      </c>
      <c r="N505" s="73">
        <v>0</v>
      </c>
      <c r="O505" s="73" t="s">
        <v>994</v>
      </c>
      <c r="P505" s="73" t="s">
        <v>2987</v>
      </c>
      <c r="Q505" s="73" t="s">
        <v>1164</v>
      </c>
      <c r="R505" s="73"/>
      <c r="S505" s="73"/>
      <c r="T505" s="73"/>
      <c r="U505" s="73"/>
      <c r="V505" s="73"/>
      <c r="W505" s="73"/>
      <c r="X505" s="73"/>
      <c r="Y505" s="73"/>
      <c r="Z505" s="73" t="s">
        <v>870</v>
      </c>
      <c r="AA505" s="73" t="s">
        <v>692</v>
      </c>
      <c r="AB505" s="73" t="str">
        <f>IF(AA505&lt;&gt;"",INDEX(Lookup!$N$2:$N$5,MATCH(Players!AA505,Lookup!$P$2:$P$5,0)),INDEX(Lookup!$N$2:$N$5,MATCH(Players!O505,Lookup!$O$2:$O$5,0)))</f>
        <v>Defense</v>
      </c>
      <c r="AC505" s="73">
        <v>2000000</v>
      </c>
      <c r="AD505" s="73" t="s">
        <v>788</v>
      </c>
      <c r="AE505" s="73" t="str">
        <f>INDEX('Translate table'!$H$2:$H$622,MATCH(Players!P505,'Translate table'!$G$2:$G$622,0))</f>
        <v>Pyry Soiri</v>
      </c>
      <c r="AF505" s="73">
        <f>IFERROR(INDEX('Euro Qual stats'!$A$1:$L$2071,MATCH(Players!$AE505,'Euro Qual stats'!$A$1:$A$2071,0),MATCH(Players!AF$2,'Euro Qual stats'!$A$1:$L$1,0)),0)</f>
        <v>9</v>
      </c>
      <c r="AG505" s="73">
        <f>IFERROR(INDEX('Euro Qual stats'!$A$1:$L$2071,MATCH(Players!$AE505,'Euro Qual stats'!$A$1:$A$2071,0),MATCH(Players!AG$2,'Euro Qual stats'!$A$1:$L$1,0)),0)</f>
        <v>0</v>
      </c>
      <c r="AH505" s="73">
        <f>IFERROR(INDEX('Euro Qual stats'!$A$1:$L$2071,MATCH(Players!$AE505,'Euro Qual stats'!$A$1:$A$2071,0),MATCH(Players!AH$2,'Euro Qual stats'!$A$1:$L$1,0)),0)</f>
        <v>0.28999999999999998</v>
      </c>
      <c r="AI505" s="73">
        <f>IFERROR(INDEX('Euro Qual stats'!$A$1:$L$2071,MATCH(Players!$AE505,'Euro Qual stats'!$A$1:$A$2071,0),MATCH(Players!AI$2,'Euro Qual stats'!$A$1:$L$1,0)),0)</f>
        <v>0</v>
      </c>
      <c r="AJ505" s="93">
        <f>(12-AF505)/12*INDEX(BV$9:BV$12,MATCH($AB505,$BU$9:$BU$12,0))+AF505/12*AG505</f>
        <v>2.2293956043956051E-2</v>
      </c>
      <c r="AK505" s="93">
        <f>(12-AG505)/12*INDEX(BW$9:BW$12,MATCH($AB505,$BU$9:$BU$12,0))+AG505/12*AH505</f>
        <v>0.10357142857142858</v>
      </c>
      <c r="AL505" s="93">
        <f>(12-AH505)/12*INDEX(BX$9:BX$12,MATCH($AB505,$BU$9:$BU$12,0))+AH505/12*AI505</f>
        <v>0.18889345238095231</v>
      </c>
      <c r="AM505" s="93">
        <f>IF($BC505=1,AJ505/SUMIFS(AJ$3:AJ$623,$BC$3:$BC$623,1,$G$3:$G$623,$G505),0)</f>
        <v>0</v>
      </c>
      <c r="AN505" s="93">
        <f>IF($BC505=1,AK505/SUMIFS(AK$3:AK$623,$BC$3:$BC$623,1,$G$3:$G$623,$G505),0)</f>
        <v>0</v>
      </c>
      <c r="AO505" s="93">
        <f>IF($BC505=1,AL505/SUMIFS(AL$3:AL$623,$BC$3:$BC$623,1,$G$3:$G$623,$G505),0)</f>
        <v>0</v>
      </c>
      <c r="AP505" s="2" t="str">
        <f>IFERROR(R505/$V505*90,"")</f>
        <v/>
      </c>
      <c r="AQ505" s="2" t="str">
        <f>IFERROR(S505/$V505*90,"")</f>
        <v/>
      </c>
      <c r="AR505" s="2" t="str">
        <f>IFERROR(W505/$V505*90,"")</f>
        <v/>
      </c>
      <c r="AS505" s="2" t="str">
        <f>IFERROR(X505/$V505*90,"")</f>
        <v/>
      </c>
      <c r="AT505" s="2" t="str">
        <f>IFERROR(Y505/$V505*90,"")</f>
        <v/>
      </c>
      <c r="AU505" s="2">
        <f>IF(AP505="",INDEX(BV$4:BV$7,MATCH(O505,$BU$4:$BU$7,0)),AP505)</f>
        <v>3.6526142445450806E-2</v>
      </c>
      <c r="AV505" s="2">
        <f>IF(AQ505="",INDEX(BW$4:BW$7,MATCH($O505,$BU$4:$BU$7,0)),AQ505)</f>
        <v>3.2427739661688867E-2</v>
      </c>
      <c r="AW505" s="2">
        <f t="shared" si="84"/>
        <v>0.20013349649571699</v>
      </c>
      <c r="AX505" s="2">
        <f t="shared" si="85"/>
        <v>0.16081000595592615</v>
      </c>
      <c r="AY505" s="2">
        <f t="shared" si="86"/>
        <v>0</v>
      </c>
      <c r="AZ505" s="2">
        <f>AU505*0.5+AK505*0.5</f>
        <v>7.0048785508439695E-2</v>
      </c>
      <c r="BA505" s="2">
        <f>AV505*0.5+AJ505*0.5</f>
        <v>2.7360847852822459E-2</v>
      </c>
      <c r="BB505" s="2">
        <f t="shared" si="87"/>
        <v>8.0405002977963075E-2</v>
      </c>
      <c r="BC505">
        <f>IF(I505="expected",1,0)</f>
        <v>0</v>
      </c>
      <c r="BD505" s="78">
        <f>IF(BC505=1,AZ505/SUMIFS(AZ$3:AZ$623,$BC$3:$BC$623,1,$G$3:$G$623,$G505),0)</f>
        <v>0</v>
      </c>
      <c r="BE505" s="78">
        <f>IF(BC505=1,BA505/SUMIFS(BA$3:BA$623,$BC$3:$BC$623,1,$G$3:$G$623,$G505),0)</f>
        <v>0</v>
      </c>
      <c r="BF505" s="78">
        <f t="shared" si="88"/>
        <v>0</v>
      </c>
      <c r="BG505" s="2">
        <f t="shared" si="89"/>
        <v>8.0405002977963075E-2</v>
      </c>
      <c r="BH505" s="2">
        <f t="shared" si="90"/>
        <v>0</v>
      </c>
      <c r="BI505" s="2">
        <f t="shared" si="91"/>
        <v>0</v>
      </c>
      <c r="BJ505" s="2">
        <f t="shared" si="92"/>
        <v>0</v>
      </c>
      <c r="BK505" s="2">
        <f t="shared" si="93"/>
        <v>0</v>
      </c>
      <c r="BL505" s="2">
        <f t="shared" si="94"/>
        <v>8.0405002977963075E-2</v>
      </c>
      <c r="BM505" s="2">
        <f t="shared" si="95"/>
        <v>0</v>
      </c>
      <c r="BN505" s="2">
        <f>BI505/SUMIFS(BI$3:BI$623,$BC$3:$BC$623,1,$G$3:$G$623,$G505)</f>
        <v>0</v>
      </c>
      <c r="BO505" s="2">
        <f>BJ505/SUMIFS(BJ$3:BJ$623,$BC$3:$BC$623,1,$G$3:$G$623,$G505)</f>
        <v>0</v>
      </c>
      <c r="BP505" s="2">
        <f>BK505/SUMIFS(BK$3:BK$623,$BC$3:$BC$623,1,$G$3:$G$623,$G505)</f>
        <v>0</v>
      </c>
      <c r="BQ505" s="2">
        <f>BL505</f>
        <v>8.0405002977963075E-2</v>
      </c>
      <c r="BR505" s="2">
        <f>BM505</f>
        <v>0</v>
      </c>
    </row>
    <row r="506" spans="1:70" hidden="1">
      <c r="A506" s="74">
        <v>0</v>
      </c>
      <c r="B506" s="73">
        <v>204881</v>
      </c>
      <c r="C506" s="73" t="s">
        <v>2988</v>
      </c>
      <c r="D506" s="73" t="s">
        <v>1010</v>
      </c>
      <c r="E506" s="73" t="s">
        <v>2989</v>
      </c>
      <c r="F506" s="73">
        <v>18570</v>
      </c>
      <c r="G506" s="73" t="s">
        <v>870</v>
      </c>
      <c r="H506" s="73" t="s">
        <v>917</v>
      </c>
      <c r="I506" s="73" t="s">
        <v>1012</v>
      </c>
      <c r="J506" s="73">
        <v>0</v>
      </c>
      <c r="K506" s="73">
        <v>4.5</v>
      </c>
      <c r="L506" s="73">
        <v>0</v>
      </c>
      <c r="M506" s="73">
        <v>0</v>
      </c>
      <c r="N506" s="73">
        <v>0</v>
      </c>
      <c r="O506" s="73" t="s">
        <v>982</v>
      </c>
      <c r="P506" s="73" t="s">
        <v>2990</v>
      </c>
      <c r="Q506" s="73" t="s">
        <v>2991</v>
      </c>
      <c r="R506" s="73">
        <v>0</v>
      </c>
      <c r="S506" s="73">
        <v>2</v>
      </c>
      <c r="T506" s="73">
        <v>0</v>
      </c>
      <c r="U506" s="73">
        <v>0</v>
      </c>
      <c r="V506" s="73">
        <v>1471</v>
      </c>
      <c r="W506" s="73">
        <v>2</v>
      </c>
      <c r="X506" s="73">
        <v>6</v>
      </c>
      <c r="Y506" s="73">
        <v>0</v>
      </c>
      <c r="Z506" s="73" t="s">
        <v>870</v>
      </c>
      <c r="AA506" s="73" t="s">
        <v>693</v>
      </c>
      <c r="AB506" s="73" t="str">
        <f>IF(AA506&lt;&gt;"",INDEX(Lookup!$N$2:$N$5,MATCH(Players!AA506,Lookup!$P$2:$P$5,0)),INDEX(Lookup!$N$2:$N$5,MATCH(Players!O506,Lookup!$O$2:$O$5,0)))</f>
        <v>Striker</v>
      </c>
      <c r="AC506" s="73">
        <v>2500000</v>
      </c>
      <c r="AD506" s="73" t="s">
        <v>753</v>
      </c>
      <c r="AE506" s="73" t="str">
        <f>INDEX('Translate table'!$H$2:$H$622,MATCH(Players!P506,'Translate table'!$G$2:$G$622,0))</f>
        <v>Marcus Berg</v>
      </c>
      <c r="AF506" s="73">
        <f>IFERROR(INDEX('Euro Qual stats'!$A$1:$L$2071,MATCH(Players!$AE506,'Euro Qual stats'!$A$1:$A$2071,0),MATCH(Players!AF$2,'Euro Qual stats'!$A$1:$L$1,0)),0)</f>
        <v>9</v>
      </c>
      <c r="AG506" s="73">
        <f>IFERROR(INDEX('Euro Qual stats'!$A$1:$L$2071,MATCH(Players!$AE506,'Euro Qual stats'!$A$1:$A$2071,0),MATCH(Players!AG$2,'Euro Qual stats'!$A$1:$L$1,0)),0)</f>
        <v>0.26</v>
      </c>
      <c r="AH506" s="73">
        <f>IFERROR(INDEX('Euro Qual stats'!$A$1:$L$2071,MATCH(Players!$AE506,'Euro Qual stats'!$A$1:$A$2071,0),MATCH(Players!AH$2,'Euro Qual stats'!$A$1:$L$1,0)),0)</f>
        <v>0.26</v>
      </c>
      <c r="AI506" s="73">
        <f>IFERROR(INDEX('Euro Qual stats'!$A$1:$L$2071,MATCH(Players!$AE506,'Euro Qual stats'!$A$1:$A$2071,0),MATCH(Players!AI$2,'Euro Qual stats'!$A$1:$L$1,0)),0)</f>
        <v>0.13</v>
      </c>
      <c r="AJ506" s="93">
        <f>(12-AF506)/12*INDEX(BV$9:BV$12,MATCH($AB506,$BU$9:$BU$12,0))+AF506/12*AG506</f>
        <v>0.2462284482758621</v>
      </c>
      <c r="AK506" s="93">
        <f>(12-AG506)/12*INDEX(BW$9:BW$12,MATCH($AB506,$BU$9:$BU$12,0))+AG506/12*AH506</f>
        <v>0.52794525862068953</v>
      </c>
      <c r="AL506" s="93">
        <f>(12-AH506)/12*INDEX(BX$9:BX$12,MATCH($AB506,$BU$9:$BU$12,0))+AH506/12*AI506</f>
        <v>0.16407298850574717</v>
      </c>
      <c r="AM506" s="93">
        <f>IF($BC506=1,AJ506/SUMIFS(AJ$3:AJ$623,$BC$3:$BC$623,1,$G$3:$G$623,$G506),0)</f>
        <v>0</v>
      </c>
      <c r="AN506" s="93">
        <f>IF($BC506=1,AK506/SUMIFS(AK$3:AK$623,$BC$3:$BC$623,1,$G$3:$G$623,$G506),0)</f>
        <v>0</v>
      </c>
      <c r="AO506" s="93">
        <f>IF($BC506=1,AL506/SUMIFS(AL$3:AL$623,$BC$3:$BC$623,1,$G$3:$G$623,$G506),0)</f>
        <v>0</v>
      </c>
      <c r="AP506" s="2">
        <f>IFERROR(R506/$V506*90,"")</f>
        <v>0</v>
      </c>
      <c r="AQ506" s="2">
        <f>IFERROR(S506/$V506*90,"")</f>
        <v>0.12236573759347381</v>
      </c>
      <c r="AR506" s="2">
        <f>IFERROR(W506/$V506*90,"")</f>
        <v>0.12236573759347381</v>
      </c>
      <c r="AS506" s="2">
        <f>IFERROR(X506/$V506*90,"")</f>
        <v>0.36709721278042151</v>
      </c>
      <c r="AT506" s="2">
        <f>IFERROR(Y506/$V506*90,"")</f>
        <v>0</v>
      </c>
      <c r="AU506" s="2">
        <f>IF(AP506="",INDEX(BV$4:BV$7,MATCH(O506,$BU$4:$BU$7,0)),AP506)</f>
        <v>0</v>
      </c>
      <c r="AV506" s="2">
        <f>IF(AQ506="",INDEX(BW$4:BW$7,MATCH($O506,$BU$4:$BU$7,0)),AQ506)</f>
        <v>0.12236573759347381</v>
      </c>
      <c r="AW506" s="2">
        <f t="shared" si="84"/>
        <v>0.12236573759347381</v>
      </c>
      <c r="AX506" s="2">
        <f t="shared" si="85"/>
        <v>0.36709721278042151</v>
      </c>
      <c r="AY506" s="2">
        <f t="shared" si="86"/>
        <v>0</v>
      </c>
      <c r="AZ506" s="2">
        <f>AU506*0.5+AK506*0.5</f>
        <v>0.26397262931034476</v>
      </c>
      <c r="BA506" s="2">
        <f>AV506*0.5+AJ506*0.5</f>
        <v>0.18429709293466795</v>
      </c>
      <c r="BB506" s="2">
        <f t="shared" si="87"/>
        <v>0.24854860639021076</v>
      </c>
      <c r="BC506">
        <f>IF(I506="expected",1,0)</f>
        <v>0</v>
      </c>
      <c r="BD506" s="78">
        <f>IF(BC506=1,AZ506/SUMIFS(AZ$3:AZ$623,$BC$3:$BC$623,1,$G$3:$G$623,$G506),0)</f>
        <v>0</v>
      </c>
      <c r="BE506" s="78">
        <f>IF(BC506=1,BA506/SUMIFS(BA$3:BA$623,$BC$3:$BC$623,1,$G$3:$G$623,$G506),0)</f>
        <v>0</v>
      </c>
      <c r="BF506" s="78">
        <f t="shared" si="88"/>
        <v>0</v>
      </c>
      <c r="BG506" s="2">
        <f t="shared" si="89"/>
        <v>0.24854860639021076</v>
      </c>
      <c r="BH506" s="2">
        <f t="shared" si="90"/>
        <v>0</v>
      </c>
      <c r="BI506" s="2">
        <f t="shared" si="91"/>
        <v>0</v>
      </c>
      <c r="BJ506" s="2">
        <f t="shared" si="92"/>
        <v>0</v>
      </c>
      <c r="BK506" s="2">
        <f t="shared" si="93"/>
        <v>0</v>
      </c>
      <c r="BL506" s="2">
        <f t="shared" si="94"/>
        <v>0.24854860639021076</v>
      </c>
      <c r="BM506" s="2">
        <f t="shared" si="95"/>
        <v>0</v>
      </c>
      <c r="BN506" s="2">
        <f>BI506/SUMIFS(BI$3:BI$623,$BC$3:$BC$623,1,$G$3:$G$623,$G506)</f>
        <v>0</v>
      </c>
      <c r="BO506" s="2">
        <f>BJ506/SUMIFS(BJ$3:BJ$623,$BC$3:$BC$623,1,$G$3:$G$623,$G506)</f>
        <v>0</v>
      </c>
      <c r="BP506" s="2">
        <f>BK506/SUMIFS(BK$3:BK$623,$BC$3:$BC$623,1,$G$3:$G$623,$G506)</f>
        <v>0</v>
      </c>
      <c r="BQ506" s="2">
        <f>BL506</f>
        <v>0.24854860639021076</v>
      </c>
      <c r="BR506" s="2">
        <f>BM506</f>
        <v>0</v>
      </c>
    </row>
    <row r="507" spans="1:70" hidden="1">
      <c r="A507" s="74">
        <v>0</v>
      </c>
      <c r="B507" s="73">
        <v>220798</v>
      </c>
      <c r="C507" s="73" t="s">
        <v>2992</v>
      </c>
      <c r="D507" s="73" t="s">
        <v>1680</v>
      </c>
      <c r="E507" s="73" t="s">
        <v>2993</v>
      </c>
      <c r="F507" s="73">
        <v>18624</v>
      </c>
      <c r="G507" s="73" t="s">
        <v>877</v>
      </c>
      <c r="H507" s="73" t="s">
        <v>951</v>
      </c>
      <c r="I507" s="73" t="s">
        <v>1012</v>
      </c>
      <c r="J507" s="73">
        <v>0</v>
      </c>
      <c r="K507" s="73">
        <v>4</v>
      </c>
      <c r="L507" s="73">
        <v>0</v>
      </c>
      <c r="M507" s="73">
        <v>0</v>
      </c>
      <c r="N507" s="73">
        <v>0</v>
      </c>
      <c r="O507" s="73" t="s">
        <v>1318</v>
      </c>
      <c r="P507" s="73" t="s">
        <v>2994</v>
      </c>
      <c r="Q507" s="73" t="s">
        <v>449</v>
      </c>
      <c r="R507" s="73">
        <v>0</v>
      </c>
      <c r="S507" s="73">
        <v>0</v>
      </c>
      <c r="T507" s="73">
        <v>0</v>
      </c>
      <c r="U507" s="73">
        <v>7</v>
      </c>
      <c r="V507" s="73">
        <v>1474</v>
      </c>
      <c r="W507" s="73">
        <v>4</v>
      </c>
      <c r="X507" s="73">
        <v>0</v>
      </c>
      <c r="Y507" s="73">
        <v>0</v>
      </c>
      <c r="Z507" s="73" t="s">
        <v>877</v>
      </c>
      <c r="AA507" s="73" t="s">
        <v>692</v>
      </c>
      <c r="AB507" s="73" t="str">
        <f>IF(AA507&lt;&gt;"",INDEX(Lookup!$N$2:$N$5,MATCH(Players!AA507,Lookup!$P$2:$P$5,0)),INDEX(Lookup!$N$2:$N$5,MATCH(Players!O507,Lookup!$O$2:$O$5,0)))</f>
        <v>Defense</v>
      </c>
      <c r="AC507" s="73">
        <v>2000000</v>
      </c>
      <c r="AD507" s="73" t="s">
        <v>788</v>
      </c>
      <c r="AE507" s="73" t="str">
        <f>INDEX('Translate table'!$H$2:$H$622,MATCH(Players!P507,'Translate table'!$G$2:$G$622,0))</f>
        <v>Oleksandr Karavaev</v>
      </c>
      <c r="AF507" s="73">
        <f>IFERROR(INDEX('Euro Qual stats'!$A$1:$L$2071,MATCH(Players!$AE507,'Euro Qual stats'!$A$1:$A$2071,0),MATCH(Players!AF$2,'Euro Qual stats'!$A$1:$L$1,0)),0)</f>
        <v>6</v>
      </c>
      <c r="AG507" s="73">
        <f>IFERROR(INDEX('Euro Qual stats'!$A$1:$L$2071,MATCH(Players!$AE507,'Euro Qual stats'!$A$1:$A$2071,0),MATCH(Players!AG$2,'Euro Qual stats'!$A$1:$L$1,0)),0)</f>
        <v>0.39</v>
      </c>
      <c r="AH507" s="73">
        <f>IFERROR(INDEX('Euro Qual stats'!$A$1:$L$2071,MATCH(Players!$AE507,'Euro Qual stats'!$A$1:$A$2071,0),MATCH(Players!AH$2,'Euro Qual stats'!$A$1:$L$1,0)),0)</f>
        <v>0</v>
      </c>
      <c r="AI507" s="73">
        <f>IFERROR(INDEX('Euro Qual stats'!$A$1:$L$2071,MATCH(Players!$AE507,'Euro Qual stats'!$A$1:$A$2071,0),MATCH(Players!AI$2,'Euro Qual stats'!$A$1:$L$1,0)),0)</f>
        <v>0.2</v>
      </c>
      <c r="AJ507" s="93">
        <f>(12-AF507)/12*INDEX(BV$9:BV$12,MATCH($AB507,$BU$9:$BU$12,0))+AF507/12*AG507</f>
        <v>0.23958791208791211</v>
      </c>
      <c r="AK507" s="93">
        <f>(12-AG507)/12*INDEX(BW$9:BW$12,MATCH($AB507,$BU$9:$BU$12,0))+AG507/12*AH507</f>
        <v>0.10020535714285714</v>
      </c>
      <c r="AL507" s="93">
        <f>(12-AH507)/12*INDEX(BX$9:BX$12,MATCH($AB507,$BU$9:$BU$12,0))+AH507/12*AI507</f>
        <v>0.19357142857142848</v>
      </c>
      <c r="AM507" s="93">
        <f>IF($BC507=1,AJ507/SUMIFS(AJ$3:AJ$623,$BC$3:$BC$623,1,$G$3:$G$623,$G507),0)</f>
        <v>0</v>
      </c>
      <c r="AN507" s="93">
        <f>IF($BC507=1,AK507/SUMIFS(AK$3:AK$623,$BC$3:$BC$623,1,$G$3:$G$623,$G507),0)</f>
        <v>0</v>
      </c>
      <c r="AO507" s="93">
        <f>IF($BC507=1,AL507/SUMIFS(AL$3:AL$623,$BC$3:$BC$623,1,$G$3:$G$623,$G507),0)</f>
        <v>0</v>
      </c>
      <c r="AP507" s="2">
        <f>IFERROR(R507/$V507*90,"")</f>
        <v>0</v>
      </c>
      <c r="AQ507" s="2">
        <f>IFERROR(S507/$V507*90,"")</f>
        <v>0</v>
      </c>
      <c r="AR507" s="2">
        <f>IFERROR(W507/$V507*90,"")</f>
        <v>0.24423337856173674</v>
      </c>
      <c r="AS507" s="2">
        <f>IFERROR(X507/$V507*90,"")</f>
        <v>0</v>
      </c>
      <c r="AT507" s="2">
        <f>IFERROR(Y507/$V507*90,"")</f>
        <v>0</v>
      </c>
      <c r="AU507" s="2">
        <f>IF(AP507="",INDEX(BV$4:BV$7,MATCH(O507,$BU$4:$BU$7,0)),AP507)</f>
        <v>0</v>
      </c>
      <c r="AV507" s="2">
        <f>IF(AQ507="",INDEX(BW$4:BW$7,MATCH($O507,$BU$4:$BU$7,0)),AQ507)</f>
        <v>0</v>
      </c>
      <c r="AW507" s="2">
        <f t="shared" si="84"/>
        <v>0.24423337856173674</v>
      </c>
      <c r="AX507" s="2">
        <f t="shared" si="85"/>
        <v>0</v>
      </c>
      <c r="AY507" s="2">
        <f t="shared" si="86"/>
        <v>0</v>
      </c>
      <c r="AZ507" s="2">
        <f>AU507*0.5+AK507*0.5</f>
        <v>5.0102678571428569E-2</v>
      </c>
      <c r="BA507" s="2">
        <f>AV507*0.5+AJ507*0.5</f>
        <v>0.11979395604395605</v>
      </c>
      <c r="BB507" s="2">
        <f t="shared" si="87"/>
        <v>0.1</v>
      </c>
      <c r="BC507">
        <f>IF(I507="expected",1,0)</f>
        <v>0</v>
      </c>
      <c r="BD507" s="78">
        <f>IF(BC507=1,AZ507/SUMIFS(AZ$3:AZ$623,$BC$3:$BC$623,1,$G$3:$G$623,$G507),0)</f>
        <v>0</v>
      </c>
      <c r="BE507" s="78">
        <f>IF(BC507=1,BA507/SUMIFS(BA$3:BA$623,$BC$3:$BC$623,1,$G$3:$G$623,$G507),0)</f>
        <v>0</v>
      </c>
      <c r="BF507" s="78">
        <f t="shared" si="88"/>
        <v>0</v>
      </c>
      <c r="BG507" s="2">
        <f t="shared" si="89"/>
        <v>0.1</v>
      </c>
      <c r="BH507" s="2">
        <f t="shared" si="90"/>
        <v>0</v>
      </c>
      <c r="BI507" s="2">
        <f t="shared" si="91"/>
        <v>0</v>
      </c>
      <c r="BJ507" s="2">
        <f t="shared" si="92"/>
        <v>0</v>
      </c>
      <c r="BK507" s="2">
        <f t="shared" si="93"/>
        <v>0</v>
      </c>
      <c r="BL507" s="2">
        <f t="shared" si="94"/>
        <v>0.1</v>
      </c>
      <c r="BM507" s="2">
        <f t="shared" si="95"/>
        <v>0</v>
      </c>
      <c r="BN507" s="2">
        <f>BI507/SUMIFS(BI$3:BI$623,$BC$3:$BC$623,1,$G$3:$G$623,$G507)</f>
        <v>0</v>
      </c>
      <c r="BO507" s="2">
        <f>BJ507/SUMIFS(BJ$3:BJ$623,$BC$3:$BC$623,1,$G$3:$G$623,$G507)</f>
        <v>0</v>
      </c>
      <c r="BP507" s="2">
        <f>BK507/SUMIFS(BK$3:BK$623,$BC$3:$BC$623,1,$G$3:$G$623,$G507)</f>
        <v>0</v>
      </c>
      <c r="BQ507" s="2">
        <f>BL507</f>
        <v>0.1</v>
      </c>
      <c r="BR507" s="2">
        <f>BM507</f>
        <v>0</v>
      </c>
    </row>
    <row r="508" spans="1:70" hidden="1">
      <c r="A508" s="74">
        <v>0</v>
      </c>
      <c r="B508" s="73">
        <v>204493</v>
      </c>
      <c r="C508" s="73" t="s">
        <v>2995</v>
      </c>
      <c r="D508" s="73" t="s">
        <v>2996</v>
      </c>
      <c r="E508" s="73" t="s">
        <v>2997</v>
      </c>
      <c r="F508" s="73">
        <v>18624</v>
      </c>
      <c r="G508" s="73" t="s">
        <v>877</v>
      </c>
      <c r="H508" s="73" t="s">
        <v>951</v>
      </c>
      <c r="I508" s="73" t="s">
        <v>981</v>
      </c>
      <c r="J508" s="73">
        <v>0</v>
      </c>
      <c r="K508" s="73">
        <v>4</v>
      </c>
      <c r="L508" s="73">
        <v>0</v>
      </c>
      <c r="M508" s="73">
        <v>0</v>
      </c>
      <c r="N508" s="73">
        <v>0</v>
      </c>
      <c r="O508" s="73" t="s">
        <v>1318</v>
      </c>
      <c r="P508" s="73" t="s">
        <v>2998</v>
      </c>
      <c r="Q508" s="73" t="s">
        <v>1164</v>
      </c>
      <c r="R508" s="73"/>
      <c r="S508" s="73"/>
      <c r="T508" s="73"/>
      <c r="U508" s="73"/>
      <c r="V508" s="73"/>
      <c r="W508" s="73"/>
      <c r="X508" s="73"/>
      <c r="Y508" s="73"/>
      <c r="Z508" s="73" t="s">
        <v>877</v>
      </c>
      <c r="AA508" s="73" t="s">
        <v>692</v>
      </c>
      <c r="AB508" s="73" t="str">
        <f>IF(AA508&lt;&gt;"",INDEX(Lookup!$N$2:$N$5,MATCH(Players!AA508,Lookup!$P$2:$P$5,0)),INDEX(Lookup!$N$2:$N$5,MATCH(Players!O508,Lookup!$O$2:$O$5,0)))</f>
        <v>Defense</v>
      </c>
      <c r="AC508" s="73">
        <v>2500000</v>
      </c>
      <c r="AD508" s="73" t="s">
        <v>788</v>
      </c>
      <c r="AE508" s="73" t="str">
        <f>INDEX('Translate table'!$H$2:$H$622,MATCH(Players!P508,'Translate table'!$G$2:$G$622,0))</f>
        <v>Ilja Antonov</v>
      </c>
      <c r="AF508" s="73">
        <f>IFERROR(INDEX('Euro Qual stats'!$A$1:$L$2071,MATCH(Players!$AE508,'Euro Qual stats'!$A$1:$A$2071,0),MATCH(Players!AF$2,'Euro Qual stats'!$A$1:$L$1,0)),0)</f>
        <v>2</v>
      </c>
      <c r="AG508" s="73">
        <f>IFERROR(INDEX('Euro Qual stats'!$A$1:$L$2071,MATCH(Players!$AE508,'Euro Qual stats'!$A$1:$A$2071,0),MATCH(Players!AG$2,'Euro Qual stats'!$A$1:$L$1,0)),0)</f>
        <v>0</v>
      </c>
      <c r="AH508" s="73">
        <f>IFERROR(INDEX('Euro Qual stats'!$A$1:$L$2071,MATCH(Players!$AE508,'Euro Qual stats'!$A$1:$A$2071,0),MATCH(Players!AH$2,'Euro Qual stats'!$A$1:$L$1,0)),0)</f>
        <v>0</v>
      </c>
      <c r="AI508" s="73">
        <f>IFERROR(INDEX('Euro Qual stats'!$A$1:$L$2071,MATCH(Players!$AE508,'Euro Qual stats'!$A$1:$A$2071,0),MATCH(Players!AI$2,'Euro Qual stats'!$A$1:$L$1,0)),0)</f>
        <v>0</v>
      </c>
      <c r="AJ508" s="93">
        <f>(12-AF508)/12*INDEX(BV$9:BV$12,MATCH($AB508,$BU$9:$BU$12,0))+AF508/12*AG508</f>
        <v>7.4313186813186841E-2</v>
      </c>
      <c r="AK508" s="93">
        <f>(12-AG508)/12*INDEX(BW$9:BW$12,MATCH($AB508,$BU$9:$BU$12,0))+AG508/12*AH508</f>
        <v>0.10357142857142858</v>
      </c>
      <c r="AL508" s="93">
        <f>(12-AH508)/12*INDEX(BX$9:BX$12,MATCH($AB508,$BU$9:$BU$12,0))+AH508/12*AI508</f>
        <v>0.19357142857142848</v>
      </c>
      <c r="AM508" s="93">
        <f>IF($BC508=1,AJ508/SUMIFS(AJ$3:AJ$623,$BC$3:$BC$623,1,$G$3:$G$623,$G508),0)</f>
        <v>4.6139788447952364E-2</v>
      </c>
      <c r="AN508" s="93">
        <f>IF($BC508=1,AK508/SUMIFS(AK$3:AK$623,$BC$3:$BC$623,1,$G$3:$G$623,$G508),0)</f>
        <v>4.985266805480161E-2</v>
      </c>
      <c r="AO508" s="93">
        <f>IF($BC508=1,AL508/SUMIFS(AL$3:AL$623,$BC$3:$BC$623,1,$G$3:$G$623,$G508),0)</f>
        <v>9.2180219325292079E-2</v>
      </c>
      <c r="AP508" s="2" t="str">
        <f>IFERROR(R508/$V508*90,"")</f>
        <v/>
      </c>
      <c r="AQ508" s="2" t="str">
        <f>IFERROR(S508/$V508*90,"")</f>
        <v/>
      </c>
      <c r="AR508" s="2" t="str">
        <f>IFERROR(W508/$V508*90,"")</f>
        <v/>
      </c>
      <c r="AS508" s="2" t="str">
        <f>IFERROR(X508/$V508*90,"")</f>
        <v/>
      </c>
      <c r="AT508" s="2" t="str">
        <f>IFERROR(Y508/$V508*90,"")</f>
        <v/>
      </c>
      <c r="AU508" s="2">
        <f>IF(AP508="",INDEX(BV$4:BV$7,MATCH(O508,$BU$4:$BU$7,0)),AP508)</f>
        <v>0</v>
      </c>
      <c r="AV508" s="2">
        <f>IF(AQ508="",INDEX(BW$4:BW$7,MATCH($O508,$BU$4:$BU$7,0)),AQ508)</f>
        <v>0</v>
      </c>
      <c r="AW508" s="2">
        <f t="shared" si="84"/>
        <v>8.0624805297505417E-2</v>
      </c>
      <c r="AX508" s="2">
        <f t="shared" si="85"/>
        <v>0.1265377855887522</v>
      </c>
      <c r="AY508" s="2">
        <f t="shared" si="86"/>
        <v>0</v>
      </c>
      <c r="AZ508" s="2">
        <f>AU508*0.5+AK508*0.5</f>
        <v>5.1785714285714289E-2</v>
      </c>
      <c r="BA508" s="2">
        <f>AV508*0.5+AJ508*0.5</f>
        <v>3.715659340659342E-2</v>
      </c>
      <c r="BB508" s="2">
        <f t="shared" si="87"/>
        <v>6.32688927943761E-2</v>
      </c>
      <c r="BC508">
        <f>IF(I508="expected",1,0)</f>
        <v>1</v>
      </c>
      <c r="BD508" s="78">
        <f>IF(BC508=1,AZ508/SUMIFS(AZ$3:AZ$623,$BC$3:$BC$623,1,$G$3:$G$623,$G508),0)</f>
        <v>3.7364556456689187E-2</v>
      </c>
      <c r="BE508" s="78">
        <f>IF(BC508=1,BA508/SUMIFS(BA$3:BA$623,$BC$3:$BC$623,1,$G$3:$G$623,$G508),0)</f>
        <v>2.8209018943440925E-2</v>
      </c>
      <c r="BF508" s="78">
        <f t="shared" si="88"/>
        <v>2.5279945139636658E-2</v>
      </c>
      <c r="BG508" s="2">
        <f t="shared" si="89"/>
        <v>6.32688927943761E-2</v>
      </c>
      <c r="BH508" s="2">
        <f t="shared" si="90"/>
        <v>0</v>
      </c>
      <c r="BI508" s="2">
        <f t="shared" si="91"/>
        <v>3.7364556456689187E-2</v>
      </c>
      <c r="BJ508" s="2">
        <f t="shared" si="92"/>
        <v>2.8209018943440925E-2</v>
      </c>
      <c r="BK508" s="2">
        <f t="shared" si="93"/>
        <v>2.5279945139636658E-2</v>
      </c>
      <c r="BL508" s="2">
        <f t="shared" si="94"/>
        <v>6.32688927943761E-2</v>
      </c>
      <c r="BM508" s="2">
        <f t="shared" si="95"/>
        <v>0</v>
      </c>
      <c r="BN508" s="2">
        <f>BI508/SUMIFS(BI$3:BI$623,$BC$3:$BC$623,1,$G$3:$G$623,$G508)</f>
        <v>3.7364556456689187E-2</v>
      </c>
      <c r="BO508" s="2">
        <f>BJ508/SUMIFS(BJ$3:BJ$623,$BC$3:$BC$623,1,$G$3:$G$623,$G508)</f>
        <v>2.9242554739792766E-2</v>
      </c>
      <c r="BP508" s="2">
        <f>BK508/SUMIFS(BK$3:BK$623,$BC$3:$BC$623,1,$G$3:$G$623,$G508)</f>
        <v>2.5661878674404583E-2</v>
      </c>
      <c r="BQ508" s="2">
        <f>BL508</f>
        <v>6.32688927943761E-2</v>
      </c>
      <c r="BR508" s="2">
        <f>BM508</f>
        <v>0</v>
      </c>
    </row>
    <row r="509" spans="1:70" hidden="1">
      <c r="A509" s="74">
        <v>0</v>
      </c>
      <c r="B509" s="73">
        <v>204787</v>
      </c>
      <c r="C509" s="73" t="s">
        <v>2999</v>
      </c>
      <c r="D509" s="73" t="s">
        <v>3000</v>
      </c>
      <c r="E509" s="73" t="s">
        <v>3001</v>
      </c>
      <c r="F509" s="73">
        <v>18706</v>
      </c>
      <c r="G509" s="73" t="s">
        <v>895</v>
      </c>
      <c r="H509" s="73" t="s">
        <v>907</v>
      </c>
      <c r="I509" s="73" t="s">
        <v>1012</v>
      </c>
      <c r="J509" s="73">
        <v>0</v>
      </c>
      <c r="K509" s="73">
        <v>4</v>
      </c>
      <c r="L509" s="73">
        <v>0</v>
      </c>
      <c r="M509" s="73">
        <v>0</v>
      </c>
      <c r="N509" s="73">
        <v>0</v>
      </c>
      <c r="O509" s="73" t="s">
        <v>1290</v>
      </c>
      <c r="P509" s="73" t="s">
        <v>3002</v>
      </c>
      <c r="Q509" s="73" t="s">
        <v>3003</v>
      </c>
      <c r="R509" s="73">
        <v>0</v>
      </c>
      <c r="S509" s="73">
        <v>0</v>
      </c>
      <c r="T509" s="73">
        <v>0</v>
      </c>
      <c r="U509" s="73">
        <v>0</v>
      </c>
      <c r="V509" s="73">
        <v>0</v>
      </c>
      <c r="W509" s="73">
        <v>0</v>
      </c>
      <c r="X509" s="73">
        <v>0</v>
      </c>
      <c r="Y509" s="73">
        <v>0</v>
      </c>
      <c r="Z509" s="73" t="s">
        <v>2066</v>
      </c>
      <c r="AA509" s="73" t="s">
        <v>690</v>
      </c>
      <c r="AB509" s="73" t="str">
        <f>IF(AA509&lt;&gt;"",INDEX(Lookup!$N$2:$N$5,MATCH(Players!AA509,Lookup!$P$2:$P$5,0)),INDEX(Lookup!$N$2:$N$5,MATCH(Players!O509,Lookup!$O$2:$O$5,0)))</f>
        <v>Goalkeeper</v>
      </c>
      <c r="AC509" s="73">
        <v>3000000</v>
      </c>
      <c r="AD509" s="73" t="s">
        <v>788</v>
      </c>
      <c r="AE509" s="73" t="str">
        <f>INDEX('Translate table'!$H$2:$H$622,MATCH(Players!P509,'Translate table'!$G$2:$G$622,0))</f>
        <v>Craig Gordon</v>
      </c>
      <c r="AF509" s="73">
        <f>IFERROR(INDEX('Euro Qual stats'!$A$1:$L$2071,MATCH(Players!$AE509,'Euro Qual stats'!$A$1:$A$2071,0),MATCH(Players!AF$2,'Euro Qual stats'!$A$1:$L$1,0)),0)</f>
        <v>0</v>
      </c>
      <c r="AG509" s="73">
        <f>IFERROR(INDEX('Euro Qual stats'!$A$1:$L$2071,MATCH(Players!$AE509,'Euro Qual stats'!$A$1:$A$2071,0),MATCH(Players!AG$2,'Euro Qual stats'!$A$1:$L$1,0)),0)</f>
        <v>0</v>
      </c>
      <c r="AH509" s="73">
        <f>IFERROR(INDEX('Euro Qual stats'!$A$1:$L$2071,MATCH(Players!$AE509,'Euro Qual stats'!$A$1:$A$2071,0),MATCH(Players!AH$2,'Euro Qual stats'!$A$1:$L$1,0)),0)</f>
        <v>0</v>
      </c>
      <c r="AI509" s="73">
        <f>IFERROR(INDEX('Euro Qual stats'!$A$1:$L$2071,MATCH(Players!$AE509,'Euro Qual stats'!$A$1:$A$2071,0),MATCH(Players!AI$2,'Euro Qual stats'!$A$1:$L$1,0)),0)</f>
        <v>0</v>
      </c>
      <c r="AJ509" s="93">
        <f>(12-AF509)/12*INDEX(BV$9:BV$12,MATCH($AB509,$BU$9:$BU$12,0))+AF509/12*AG509</f>
        <v>0</v>
      </c>
      <c r="AK509" s="93">
        <f>(12-AG509)/12*INDEX(BW$9:BW$12,MATCH($AB509,$BU$9:$BU$12,0))+AG509/12*AH509</f>
        <v>0</v>
      </c>
      <c r="AL509" s="93">
        <f>(12-AH509)/12*INDEX(BX$9:BX$12,MATCH($AB509,$BU$9:$BU$12,0))+AH509/12*AI509</f>
        <v>0</v>
      </c>
      <c r="AM509" s="93">
        <f>IF($BC509=1,AJ509/SUMIFS(AJ$3:AJ$623,$BC$3:$BC$623,1,$G$3:$G$623,$G509),0)</f>
        <v>0</v>
      </c>
      <c r="AN509" s="93">
        <f>IF($BC509=1,AK509/SUMIFS(AK$3:AK$623,$BC$3:$BC$623,1,$G$3:$G$623,$G509),0)</f>
        <v>0</v>
      </c>
      <c r="AO509" s="93">
        <f>IF($BC509=1,AL509/SUMIFS(AL$3:AL$623,$BC$3:$BC$623,1,$G$3:$G$623,$G509),0)</f>
        <v>0</v>
      </c>
      <c r="AP509" s="2" t="str">
        <f>IFERROR(R509/$V509*90,"")</f>
        <v/>
      </c>
      <c r="AQ509" s="2" t="str">
        <f>IFERROR(S509/$V509*90,"")</f>
        <v/>
      </c>
      <c r="AR509" s="2" t="str">
        <f>IFERROR(W509/$V509*90,"")</f>
        <v/>
      </c>
      <c r="AS509" s="2" t="str">
        <f>IFERROR(X509/$V509*90,"")</f>
        <v/>
      </c>
      <c r="AT509" s="2" t="str">
        <f>IFERROR(Y509/$V509*90,"")</f>
        <v/>
      </c>
      <c r="AU509" s="2">
        <f>IF(AP509="",INDEX(BV$4:BV$7,MATCH(O509,$BU$4:$BU$7,0)),AP509)</f>
        <v>0</v>
      </c>
      <c r="AV509" s="2">
        <f>IF(AQ509="",INDEX(BW$4:BW$7,MATCH($O509,$BU$4:$BU$7,0)),AQ509)</f>
        <v>0</v>
      </c>
      <c r="AW509" s="2">
        <f t="shared" si="84"/>
        <v>0</v>
      </c>
      <c r="AX509" s="2">
        <f t="shared" si="85"/>
        <v>0</v>
      </c>
      <c r="AY509" s="2">
        <f t="shared" si="86"/>
        <v>0</v>
      </c>
      <c r="AZ509" s="2">
        <f>AU509*0.5+AK509*0.5</f>
        <v>0</v>
      </c>
      <c r="BA509" s="2">
        <f>AV509*0.5+AJ509*0.5</f>
        <v>0</v>
      </c>
      <c r="BB509" s="2">
        <f t="shared" si="87"/>
        <v>0</v>
      </c>
      <c r="BC509">
        <f>IF(I509="expected",1,0)</f>
        <v>0</v>
      </c>
      <c r="BD509" s="78">
        <f>IF(BC509=1,AZ509/SUMIFS(AZ$3:AZ$623,$BC$3:$BC$623,1,$G$3:$G$623,$G509),0)</f>
        <v>0</v>
      </c>
      <c r="BE509" s="78">
        <f>IF(BC509=1,BA509/SUMIFS(BA$3:BA$623,$BC$3:$BC$623,1,$G$3:$G$623,$G509),0)</f>
        <v>0</v>
      </c>
      <c r="BF509" s="78">
        <f t="shared" si="88"/>
        <v>0</v>
      </c>
      <c r="BG509" s="2">
        <f t="shared" si="89"/>
        <v>0</v>
      </c>
      <c r="BH509" s="2">
        <f t="shared" si="90"/>
        <v>0</v>
      </c>
      <c r="BI509" s="2">
        <f t="shared" si="91"/>
        <v>0</v>
      </c>
      <c r="BJ509" s="2">
        <f t="shared" si="92"/>
        <v>0</v>
      </c>
      <c r="BK509" s="2">
        <f t="shared" si="93"/>
        <v>0</v>
      </c>
      <c r="BL509" s="2">
        <f t="shared" si="94"/>
        <v>0</v>
      </c>
      <c r="BM509" s="2">
        <f t="shared" si="95"/>
        <v>0</v>
      </c>
      <c r="BN509" s="2">
        <f>BI509/SUMIFS(BI$3:BI$623,$BC$3:$BC$623,1,$G$3:$G$623,$G509)</f>
        <v>0</v>
      </c>
      <c r="BO509" s="2">
        <f>BJ509/SUMIFS(BJ$3:BJ$623,$BC$3:$BC$623,1,$G$3:$G$623,$G509)</f>
        <v>0</v>
      </c>
      <c r="BP509" s="2">
        <f>BK509/SUMIFS(BK$3:BK$623,$BC$3:$BC$623,1,$G$3:$G$623,$G509)</f>
        <v>0</v>
      </c>
      <c r="BQ509" s="2">
        <f>BL509</f>
        <v>0</v>
      </c>
      <c r="BR509" s="2">
        <f>BM509</f>
        <v>0</v>
      </c>
    </row>
    <row r="510" spans="1:70" hidden="1">
      <c r="A510" s="74">
        <v>0</v>
      </c>
      <c r="B510" s="73">
        <v>204783</v>
      </c>
      <c r="C510" s="73" t="s">
        <v>3004</v>
      </c>
      <c r="D510" s="73" t="s">
        <v>3005</v>
      </c>
      <c r="E510" s="73" t="s">
        <v>3006</v>
      </c>
      <c r="F510" s="73">
        <v>18706</v>
      </c>
      <c r="G510" s="73" t="s">
        <v>895</v>
      </c>
      <c r="H510" s="73" t="s">
        <v>907</v>
      </c>
      <c r="I510" s="73" t="s">
        <v>1012</v>
      </c>
      <c r="J510" s="73">
        <v>0</v>
      </c>
      <c r="K510" s="73">
        <v>4</v>
      </c>
      <c r="L510" s="73">
        <v>0</v>
      </c>
      <c r="M510" s="73">
        <v>0</v>
      </c>
      <c r="N510" s="73">
        <v>0</v>
      </c>
      <c r="O510" s="73" t="s">
        <v>1290</v>
      </c>
      <c r="P510" s="73" t="s">
        <v>3007</v>
      </c>
      <c r="Q510" s="73" t="s">
        <v>3008</v>
      </c>
      <c r="R510" s="73">
        <v>0</v>
      </c>
      <c r="S510" s="73">
        <v>0</v>
      </c>
      <c r="T510" s="73">
        <v>0</v>
      </c>
      <c r="U510" s="73">
        <v>0</v>
      </c>
      <c r="V510" s="73">
        <v>1</v>
      </c>
      <c r="W510" s="73">
        <v>0</v>
      </c>
      <c r="X510" s="73">
        <v>0</v>
      </c>
      <c r="Y510" s="73">
        <v>0</v>
      </c>
      <c r="Z510" s="73" t="s">
        <v>2066</v>
      </c>
      <c r="AA510" s="73" t="s">
        <v>690</v>
      </c>
      <c r="AB510" s="73" t="str">
        <f>IF(AA510&lt;&gt;"",INDEX(Lookup!$N$2:$N$5,MATCH(Players!AA510,Lookup!$P$2:$P$5,0)),INDEX(Lookup!$N$2:$N$5,MATCH(Players!O510,Lookup!$O$2:$O$5,0)))</f>
        <v>Goalkeeper</v>
      </c>
      <c r="AC510" s="73">
        <v>3000000</v>
      </c>
      <c r="AD510" s="73" t="s">
        <v>753</v>
      </c>
      <c r="AE510" s="73" t="str">
        <f>INDEX('Translate table'!$H$2:$H$622,MATCH(Players!P510,'Translate table'!$G$2:$G$622,0))</f>
        <v>Jon McLaughlin</v>
      </c>
      <c r="AF510" s="73">
        <f>IFERROR(INDEX('Euro Qual stats'!$A$1:$L$2071,MATCH(Players!$AE510,'Euro Qual stats'!$A$1:$A$2071,0),MATCH(Players!AF$2,'Euro Qual stats'!$A$1:$L$1,0)),0)</f>
        <v>1</v>
      </c>
      <c r="AG510" s="73">
        <f>IFERROR(INDEX('Euro Qual stats'!$A$1:$L$2071,MATCH(Players!$AE510,'Euro Qual stats'!$A$1:$A$2071,0),MATCH(Players!AG$2,'Euro Qual stats'!$A$1:$L$1,0)),0)</f>
        <v>0</v>
      </c>
      <c r="AH510" s="73">
        <f>IFERROR(INDEX('Euro Qual stats'!$A$1:$L$2071,MATCH(Players!$AE510,'Euro Qual stats'!$A$1:$A$2071,0),MATCH(Players!AH$2,'Euro Qual stats'!$A$1:$L$1,0)),0)</f>
        <v>0</v>
      </c>
      <c r="AI510" s="73">
        <f>IFERROR(INDEX('Euro Qual stats'!$A$1:$L$2071,MATCH(Players!$AE510,'Euro Qual stats'!$A$1:$A$2071,0),MATCH(Players!AI$2,'Euro Qual stats'!$A$1:$L$1,0)),0)</f>
        <v>0</v>
      </c>
      <c r="AJ510" s="93">
        <f>(12-AF510)/12*INDEX(BV$9:BV$12,MATCH($AB510,$BU$9:$BU$12,0))+AF510/12*AG510</f>
        <v>0</v>
      </c>
      <c r="AK510" s="93">
        <f>(12-AG510)/12*INDEX(BW$9:BW$12,MATCH($AB510,$BU$9:$BU$12,0))+AG510/12*AH510</f>
        <v>0</v>
      </c>
      <c r="AL510" s="93">
        <f>(12-AH510)/12*INDEX(BX$9:BX$12,MATCH($AB510,$BU$9:$BU$12,0))+AH510/12*AI510</f>
        <v>0</v>
      </c>
      <c r="AM510" s="93">
        <f>IF($BC510=1,AJ510/SUMIFS(AJ$3:AJ$623,$BC$3:$BC$623,1,$G$3:$G$623,$G510),0)</f>
        <v>0</v>
      </c>
      <c r="AN510" s="93">
        <f>IF($BC510=1,AK510/SUMIFS(AK$3:AK$623,$BC$3:$BC$623,1,$G$3:$G$623,$G510),0)</f>
        <v>0</v>
      </c>
      <c r="AO510" s="93">
        <f>IF($BC510=1,AL510/SUMIFS(AL$3:AL$623,$BC$3:$BC$623,1,$G$3:$G$623,$G510),0)</f>
        <v>0</v>
      </c>
      <c r="AP510" s="2">
        <f>IFERROR(R510/$V510*90,"")</f>
        <v>0</v>
      </c>
      <c r="AQ510" s="2">
        <f>IFERROR(S510/$V510*90,"")</f>
        <v>0</v>
      </c>
      <c r="AR510" s="2">
        <f>IFERROR(W510/$V510*90,"")</f>
        <v>0</v>
      </c>
      <c r="AS510" s="2">
        <f>IFERROR(X510/$V510*90,"")</f>
        <v>0</v>
      </c>
      <c r="AT510" s="2">
        <f>IFERROR(Y510/$V510*90,"")</f>
        <v>0</v>
      </c>
      <c r="AU510" s="2">
        <f>IF(AP510="",INDEX(BV$4:BV$7,MATCH(O510,$BU$4:$BU$7,0)),AP510)</f>
        <v>0</v>
      </c>
      <c r="AV510" s="2">
        <f>IF(AQ510="",INDEX(BW$4:BW$7,MATCH($O510,$BU$4:$BU$7,0)),AQ510)</f>
        <v>0</v>
      </c>
      <c r="AW510" s="2">
        <f t="shared" si="84"/>
        <v>0</v>
      </c>
      <c r="AX510" s="2">
        <f t="shared" si="85"/>
        <v>0</v>
      </c>
      <c r="AY510" s="2">
        <f t="shared" si="86"/>
        <v>0</v>
      </c>
      <c r="AZ510" s="2">
        <f>AU510*0.5+AK510*0.5</f>
        <v>0</v>
      </c>
      <c r="BA510" s="2">
        <f>AV510*0.5+AJ510*0.5</f>
        <v>0</v>
      </c>
      <c r="BB510" s="2">
        <f t="shared" si="87"/>
        <v>0</v>
      </c>
      <c r="BC510">
        <f>IF(I510="expected",1,0)</f>
        <v>0</v>
      </c>
      <c r="BD510" s="78">
        <f>IF(BC510=1,AZ510/SUMIFS(AZ$3:AZ$623,$BC$3:$BC$623,1,$G$3:$G$623,$G510),0)</f>
        <v>0</v>
      </c>
      <c r="BE510" s="78">
        <f>IF(BC510=1,BA510/SUMIFS(BA$3:BA$623,$BC$3:$BC$623,1,$G$3:$G$623,$G510),0)</f>
        <v>0</v>
      </c>
      <c r="BF510" s="78">
        <f t="shared" si="88"/>
        <v>0</v>
      </c>
      <c r="BG510" s="2">
        <f t="shared" si="89"/>
        <v>0</v>
      </c>
      <c r="BH510" s="2">
        <f t="shared" si="90"/>
        <v>0</v>
      </c>
      <c r="BI510" s="2">
        <f t="shared" si="91"/>
        <v>0</v>
      </c>
      <c r="BJ510" s="2">
        <f t="shared" si="92"/>
        <v>0</v>
      </c>
      <c r="BK510" s="2">
        <f t="shared" si="93"/>
        <v>0</v>
      </c>
      <c r="BL510" s="2">
        <f t="shared" si="94"/>
        <v>0</v>
      </c>
      <c r="BM510" s="2">
        <f t="shared" si="95"/>
        <v>0</v>
      </c>
      <c r="BN510" s="2">
        <f>BI510/SUMIFS(BI$3:BI$623,$BC$3:$BC$623,1,$G$3:$G$623,$G510)</f>
        <v>0</v>
      </c>
      <c r="BO510" s="2">
        <f>BJ510/SUMIFS(BJ$3:BJ$623,$BC$3:$BC$623,1,$G$3:$G$623,$G510)</f>
        <v>0</v>
      </c>
      <c r="BP510" s="2">
        <f>BK510/SUMIFS(BK$3:BK$623,$BC$3:$BC$623,1,$G$3:$G$623,$G510)</f>
        <v>0</v>
      </c>
      <c r="BQ510" s="2">
        <f>BL510</f>
        <v>0</v>
      </c>
      <c r="BR510" s="2">
        <f>BM510</f>
        <v>0</v>
      </c>
    </row>
    <row r="511" spans="1:70" hidden="1">
      <c r="A511" s="74">
        <v>0</v>
      </c>
      <c r="B511" s="73">
        <v>221542</v>
      </c>
      <c r="C511" s="73" t="s">
        <v>3009</v>
      </c>
      <c r="D511" s="73" t="s">
        <v>3010</v>
      </c>
      <c r="E511" s="73" t="s">
        <v>3011</v>
      </c>
      <c r="F511" s="73">
        <v>18706</v>
      </c>
      <c r="G511" s="73" t="s">
        <v>895</v>
      </c>
      <c r="H511" s="73" t="s">
        <v>907</v>
      </c>
      <c r="I511" s="73" t="s">
        <v>981</v>
      </c>
      <c r="J511" s="73">
        <v>0</v>
      </c>
      <c r="K511" s="73">
        <v>4</v>
      </c>
      <c r="L511" s="73">
        <v>0</v>
      </c>
      <c r="M511" s="73">
        <v>0</v>
      </c>
      <c r="N511" s="73">
        <v>0</v>
      </c>
      <c r="O511" s="73" t="s">
        <v>1318</v>
      </c>
      <c r="P511" s="73" t="s">
        <v>3012</v>
      </c>
      <c r="Q511" s="73" t="s">
        <v>3013</v>
      </c>
      <c r="R511" s="73">
        <v>0</v>
      </c>
      <c r="S511" s="73">
        <v>0</v>
      </c>
      <c r="T511" s="73">
        <v>0</v>
      </c>
      <c r="U511" s="73">
        <v>0</v>
      </c>
      <c r="V511" s="73">
        <v>127</v>
      </c>
      <c r="W511" s="73">
        <v>0</v>
      </c>
      <c r="X511" s="73">
        <v>0</v>
      </c>
      <c r="Y511" s="73">
        <v>0</v>
      </c>
      <c r="Z511" s="73" t="s">
        <v>2066</v>
      </c>
      <c r="AA511" s="73" t="s">
        <v>692</v>
      </c>
      <c r="AB511" s="73" t="str">
        <f>IF(AA511&lt;&gt;"",INDEX(Lookup!$N$2:$N$5,MATCH(Players!AA511,Lookup!$P$2:$P$5,0)),INDEX(Lookup!$N$2:$N$5,MATCH(Players!O511,Lookup!$O$2:$O$5,0)))</f>
        <v>Defense</v>
      </c>
      <c r="AC511" s="73">
        <v>2500000</v>
      </c>
      <c r="AD511" s="73" t="s">
        <v>788</v>
      </c>
      <c r="AE511" s="73" t="str">
        <f>INDEX('Translate table'!$H$2:$H$622,MATCH(Players!P511,'Translate table'!$G$2:$G$622,0))</f>
        <v>Jacek GÃ³ralski</v>
      </c>
      <c r="AF511" s="73">
        <f>IFERROR(INDEX('Euro Qual stats'!$A$1:$L$2071,MATCH(Players!$AE511,'Euro Qual stats'!$A$1:$A$2071,0),MATCH(Players!AF$2,'Euro Qual stats'!$A$1:$L$1,0)),0)</f>
        <v>4</v>
      </c>
      <c r="AG511" s="73">
        <f>IFERROR(INDEX('Euro Qual stats'!$A$1:$L$2071,MATCH(Players!$AE511,'Euro Qual stats'!$A$1:$A$2071,0),MATCH(Players!AG$2,'Euro Qual stats'!$A$1:$L$1,0)),0)</f>
        <v>0</v>
      </c>
      <c r="AH511" s="73">
        <f>IFERROR(INDEX('Euro Qual stats'!$A$1:$L$2071,MATCH(Players!$AE511,'Euro Qual stats'!$A$1:$A$2071,0),MATCH(Players!AH$2,'Euro Qual stats'!$A$1:$L$1,0)),0)</f>
        <v>0.46</v>
      </c>
      <c r="AI511" s="73">
        <f>IFERROR(INDEX('Euro Qual stats'!$A$1:$L$2071,MATCH(Players!$AE511,'Euro Qual stats'!$A$1:$A$2071,0),MATCH(Players!AI$2,'Euro Qual stats'!$A$1:$L$1,0)),0)</f>
        <v>0</v>
      </c>
      <c r="AJ511" s="93">
        <f>(12-AF511)/12*INDEX(BV$9:BV$12,MATCH($AB511,$BU$9:$BU$12,0))+AF511/12*AG511</f>
        <v>5.9450549450549464E-2</v>
      </c>
      <c r="AK511" s="93">
        <f>(12-AG511)/12*INDEX(BW$9:BW$12,MATCH($AB511,$BU$9:$BU$12,0))+AG511/12*AH511</f>
        <v>0.10357142857142858</v>
      </c>
      <c r="AL511" s="93">
        <f>(12-AH511)/12*INDEX(BX$9:BX$12,MATCH($AB511,$BU$9:$BU$12,0))+AH511/12*AI511</f>
        <v>0.18615119047619036</v>
      </c>
      <c r="AM511" s="93">
        <f>IF($BC511=1,AJ511/SUMIFS(AJ$3:AJ$623,$BC$3:$BC$623,1,$G$3:$G$623,$G511),0)</f>
        <v>5.3261398724184589E-2</v>
      </c>
      <c r="AN511" s="93">
        <f>IF($BC511=1,AK511/SUMIFS(AK$3:AK$623,$BC$3:$BC$623,1,$G$3:$G$623,$G511),0)</f>
        <v>5.2707180771416139E-2</v>
      </c>
      <c r="AO511" s="93">
        <f>IF($BC511=1,AL511/SUMIFS(AL$3:AL$623,$BC$3:$BC$623,1,$G$3:$G$623,$G511),0)</f>
        <v>9.0001792951900431E-2</v>
      </c>
      <c r="AP511" s="2">
        <f>IFERROR(R511/$V511*90,"")</f>
        <v>0</v>
      </c>
      <c r="AQ511" s="2">
        <f>IFERROR(S511/$V511*90,"")</f>
        <v>0</v>
      </c>
      <c r="AR511" s="2">
        <f>IFERROR(W511/$V511*90,"")</f>
        <v>0</v>
      </c>
      <c r="AS511" s="2">
        <f>IFERROR(X511/$V511*90,"")</f>
        <v>0</v>
      </c>
      <c r="AT511" s="2">
        <f>IFERROR(Y511/$V511*90,"")</f>
        <v>0</v>
      </c>
      <c r="AU511" s="2">
        <f>IF(AP511="",INDEX(BV$4:BV$7,MATCH(O511,$BU$4:$BU$7,0)),AP511)</f>
        <v>0</v>
      </c>
      <c r="AV511" s="2">
        <f>IF(AQ511="",INDEX(BW$4:BW$7,MATCH($O511,$BU$4:$BU$7,0)),AQ511)</f>
        <v>0</v>
      </c>
      <c r="AW511" s="2">
        <f t="shared" si="84"/>
        <v>0</v>
      </c>
      <c r="AX511" s="2">
        <f t="shared" si="85"/>
        <v>0</v>
      </c>
      <c r="AY511" s="2">
        <f t="shared" si="86"/>
        <v>0</v>
      </c>
      <c r="AZ511" s="2">
        <f>AU511*0.5+AK511*0.5</f>
        <v>5.1785714285714289E-2</v>
      </c>
      <c r="BA511" s="2">
        <f>AV511*0.5+AJ511*0.5</f>
        <v>2.9725274725274732E-2</v>
      </c>
      <c r="BB511" s="2">
        <f t="shared" si="87"/>
        <v>0</v>
      </c>
      <c r="BC511">
        <f>IF(I511="expected",1,0)</f>
        <v>1</v>
      </c>
      <c r="BD511" s="78">
        <f>IF(BC511=1,AZ511/SUMIFS(AZ$3:AZ$623,$BC$3:$BC$623,1,$G$3:$G$623,$G511),0)</f>
        <v>4.1406905977911239E-2</v>
      </c>
      <c r="BE511" s="78">
        <f>IF(BC511=1,BA511/SUMIFS(BA$3:BA$623,$BC$3:$BC$623,1,$G$3:$G$623,$G511),0)</f>
        <v>3.2265370529378105E-2</v>
      </c>
      <c r="BF511" s="78">
        <f t="shared" si="88"/>
        <v>0</v>
      </c>
      <c r="BG511" s="2">
        <f t="shared" si="89"/>
        <v>0</v>
      </c>
      <c r="BH511" s="2">
        <f t="shared" si="90"/>
        <v>0</v>
      </c>
      <c r="BI511" s="2">
        <f t="shared" si="91"/>
        <v>4.1406905977911239E-2</v>
      </c>
      <c r="BJ511" s="2">
        <f t="shared" si="92"/>
        <v>3.2265370529378105E-2</v>
      </c>
      <c r="BK511" s="2">
        <f t="shared" si="93"/>
        <v>0</v>
      </c>
      <c r="BL511" s="2">
        <f t="shared" si="94"/>
        <v>0</v>
      </c>
      <c r="BM511" s="2">
        <f t="shared" si="95"/>
        <v>0</v>
      </c>
      <c r="BN511" s="2">
        <f>BI511/SUMIFS(BI$3:BI$623,$BC$3:$BC$623,1,$G$3:$G$623,$G511)</f>
        <v>4.1406905977911246E-2</v>
      </c>
      <c r="BO511" s="2">
        <f>BJ511/SUMIFS(BJ$3:BJ$623,$BC$3:$BC$623,1,$G$3:$G$623,$G511)</f>
        <v>3.2265370529378112E-2</v>
      </c>
      <c r="BP511" s="2">
        <f>BK511/SUMIFS(BK$3:BK$623,$BC$3:$BC$623,1,$G$3:$G$623,$G511)</f>
        <v>0</v>
      </c>
      <c r="BQ511" s="2">
        <f>BL511</f>
        <v>0</v>
      </c>
      <c r="BR511" s="2">
        <f>BM511</f>
        <v>0</v>
      </c>
    </row>
    <row r="512" spans="1:70" hidden="1">
      <c r="A512" s="74">
        <v>0</v>
      </c>
      <c r="B512" s="73">
        <v>221541</v>
      </c>
      <c r="C512" s="73" t="s">
        <v>3014</v>
      </c>
      <c r="D512" s="73" t="s">
        <v>3015</v>
      </c>
      <c r="E512" s="73" t="s">
        <v>2251</v>
      </c>
      <c r="F512" s="73">
        <v>18706</v>
      </c>
      <c r="G512" s="73" t="s">
        <v>895</v>
      </c>
      <c r="H512" s="73" t="s">
        <v>907</v>
      </c>
      <c r="I512" s="73" t="s">
        <v>1012</v>
      </c>
      <c r="J512" s="73">
        <v>0</v>
      </c>
      <c r="K512" s="73">
        <v>4</v>
      </c>
      <c r="L512" s="73">
        <v>0</v>
      </c>
      <c r="M512" s="73">
        <v>0</v>
      </c>
      <c r="N512" s="73">
        <v>0</v>
      </c>
      <c r="O512" s="73" t="s">
        <v>1318</v>
      </c>
      <c r="P512" s="73" t="s">
        <v>3016</v>
      </c>
      <c r="Q512" s="73" t="s">
        <v>174</v>
      </c>
      <c r="R512" s="73">
        <v>0</v>
      </c>
      <c r="S512" s="73">
        <v>0</v>
      </c>
      <c r="T512" s="73">
        <v>0</v>
      </c>
      <c r="U512" s="73">
        <v>0</v>
      </c>
      <c r="V512" s="73">
        <v>15</v>
      </c>
      <c r="W512" s="73">
        <v>0</v>
      </c>
      <c r="X512" s="73">
        <v>1</v>
      </c>
      <c r="Y512" s="73">
        <v>0</v>
      </c>
      <c r="Z512" s="73" t="s">
        <v>2066</v>
      </c>
      <c r="AA512" s="73" t="s">
        <v>692</v>
      </c>
      <c r="AB512" s="73" t="str">
        <f>IF(AA512&lt;&gt;"",INDEX(Lookup!$N$2:$N$5,MATCH(Players!AA512,Lookup!$P$2:$P$5,0)),INDEX(Lookup!$N$2:$N$5,MATCH(Players!O512,Lookup!$O$2:$O$5,0)))</f>
        <v>Defense</v>
      </c>
      <c r="AC512" s="73">
        <v>2500000</v>
      </c>
      <c r="AD512" s="73" t="s">
        <v>788</v>
      </c>
      <c r="AE512" s="73" t="str">
        <f>INDEX('Translate table'!$H$2:$H$622,MATCH(Players!P512,'Translate table'!$G$2:$G$622,0))</f>
        <v>Greg Taylor</v>
      </c>
      <c r="AF512" s="73">
        <f>IFERROR(INDEX('Euro Qual stats'!$A$1:$L$2071,MATCH(Players!$AE512,'Euro Qual stats'!$A$1:$A$2071,0),MATCH(Players!AF$2,'Euro Qual stats'!$A$1:$L$1,0)),0)</f>
        <v>3</v>
      </c>
      <c r="AG512" s="73">
        <f>IFERROR(INDEX('Euro Qual stats'!$A$1:$L$2071,MATCH(Players!$AE512,'Euro Qual stats'!$A$1:$A$2071,0),MATCH(Players!AG$2,'Euro Qual stats'!$A$1:$L$1,0)),0)</f>
        <v>0.67</v>
      </c>
      <c r="AH512" s="73">
        <f>IFERROR(INDEX('Euro Qual stats'!$A$1:$L$2071,MATCH(Players!$AE512,'Euro Qual stats'!$A$1:$A$2071,0),MATCH(Players!AH$2,'Euro Qual stats'!$A$1:$L$1,0)),0)</f>
        <v>0</v>
      </c>
      <c r="AI512" s="73">
        <f>IFERROR(INDEX('Euro Qual stats'!$A$1:$L$2071,MATCH(Players!$AE512,'Euro Qual stats'!$A$1:$A$2071,0),MATCH(Players!AI$2,'Euro Qual stats'!$A$1:$L$1,0)),0)</f>
        <v>0.33</v>
      </c>
      <c r="AJ512" s="93">
        <f>(12-AF512)/12*INDEX(BV$9:BV$12,MATCH($AB512,$BU$9:$BU$12,0))+AF512/12*AG512</f>
        <v>0.23438186813186818</v>
      </c>
      <c r="AK512" s="93">
        <f>(12-AG512)/12*INDEX(BW$9:BW$12,MATCH($AB512,$BU$9:$BU$12,0))+AG512/12*AH512</f>
        <v>9.7788690476190487E-2</v>
      </c>
      <c r="AL512" s="93">
        <f>(12-AH512)/12*INDEX(BX$9:BX$12,MATCH($AB512,$BU$9:$BU$12,0))+AH512/12*AI512</f>
        <v>0.19357142857142848</v>
      </c>
      <c r="AM512" s="93">
        <f>IF($BC512=1,AJ512/SUMIFS(AJ$3:AJ$623,$BC$3:$BC$623,1,$G$3:$G$623,$G512),0)</f>
        <v>0</v>
      </c>
      <c r="AN512" s="93">
        <f>IF($BC512=1,AK512/SUMIFS(AK$3:AK$623,$BC$3:$BC$623,1,$G$3:$G$623,$G512),0)</f>
        <v>0</v>
      </c>
      <c r="AO512" s="93">
        <f>IF($BC512=1,AL512/SUMIFS(AL$3:AL$623,$BC$3:$BC$623,1,$G$3:$G$623,$G512),0)</f>
        <v>0</v>
      </c>
      <c r="AP512" s="2">
        <f>IFERROR(R512/$V512*90,"")</f>
        <v>0</v>
      </c>
      <c r="AQ512" s="2">
        <f>IFERROR(S512/$V512*90,"")</f>
        <v>0</v>
      </c>
      <c r="AR512" s="2">
        <f>IFERROR(W512/$V512*90,"")</f>
        <v>0</v>
      </c>
      <c r="AS512" s="2">
        <f>IFERROR(X512/$V512*90,"")</f>
        <v>6</v>
      </c>
      <c r="AT512" s="2">
        <f>IFERROR(Y512/$V512*90,"")</f>
        <v>0</v>
      </c>
      <c r="AU512" s="2">
        <f>IF(AP512="",INDEX(BV$4:BV$7,MATCH(O512,$BU$4:$BU$7,0)),AP512)</f>
        <v>0</v>
      </c>
      <c r="AV512" s="2">
        <f>IF(AQ512="",INDEX(BW$4:BW$7,MATCH($O512,$BU$4:$BU$7,0)),AQ512)</f>
        <v>0</v>
      </c>
      <c r="AW512" s="2">
        <f t="shared" si="84"/>
        <v>0</v>
      </c>
      <c r="AX512" s="2">
        <f t="shared" si="85"/>
        <v>6</v>
      </c>
      <c r="AY512" s="2">
        <f t="shared" si="86"/>
        <v>0</v>
      </c>
      <c r="AZ512" s="2">
        <f>AU512*0.5+AK512*0.5</f>
        <v>4.8894345238095244E-2</v>
      </c>
      <c r="BA512" s="2">
        <f>AV512*0.5+AJ512*0.5</f>
        <v>0.11719093406593409</v>
      </c>
      <c r="BB512" s="2">
        <f t="shared" si="87"/>
        <v>3.165</v>
      </c>
      <c r="BC512">
        <f>IF(I512="expected",1,0)</f>
        <v>0</v>
      </c>
      <c r="BD512" s="78">
        <f>IF(BC512=1,AZ512/SUMIFS(AZ$3:AZ$623,$BC$3:$BC$623,1,$G$3:$G$623,$G512),0)</f>
        <v>0</v>
      </c>
      <c r="BE512" s="78">
        <f>IF(BC512=1,BA512/SUMIFS(BA$3:BA$623,$BC$3:$BC$623,1,$G$3:$G$623,$G512),0)</f>
        <v>0</v>
      </c>
      <c r="BF512" s="78">
        <f t="shared" si="88"/>
        <v>0</v>
      </c>
      <c r="BG512" s="2">
        <f t="shared" si="89"/>
        <v>3.165</v>
      </c>
      <c r="BH512" s="2">
        <f t="shared" si="90"/>
        <v>0</v>
      </c>
      <c r="BI512" s="2">
        <f t="shared" si="91"/>
        <v>0</v>
      </c>
      <c r="BJ512" s="2">
        <f t="shared" si="92"/>
        <v>0</v>
      </c>
      <c r="BK512" s="2">
        <f t="shared" si="93"/>
        <v>0</v>
      </c>
      <c r="BL512" s="2">
        <f t="shared" si="94"/>
        <v>3.165</v>
      </c>
      <c r="BM512" s="2">
        <f t="shared" si="95"/>
        <v>0</v>
      </c>
      <c r="BN512" s="2">
        <f>BI512/SUMIFS(BI$3:BI$623,$BC$3:$BC$623,1,$G$3:$G$623,$G512)</f>
        <v>0</v>
      </c>
      <c r="BO512" s="2">
        <f>BJ512/SUMIFS(BJ$3:BJ$623,$BC$3:$BC$623,1,$G$3:$G$623,$G512)</f>
        <v>0</v>
      </c>
      <c r="BP512" s="2">
        <f>BK512/SUMIFS(BK$3:BK$623,$BC$3:$BC$623,1,$G$3:$G$623,$G512)</f>
        <v>0</v>
      </c>
      <c r="BQ512" s="2">
        <f>BL512</f>
        <v>3.165</v>
      </c>
      <c r="BR512" s="2">
        <f>BM512</f>
        <v>0</v>
      </c>
    </row>
    <row r="513" spans="1:70" hidden="1">
      <c r="A513" s="74">
        <v>0</v>
      </c>
      <c r="B513" s="73">
        <v>221540</v>
      </c>
      <c r="C513" s="73" t="s">
        <v>3018</v>
      </c>
      <c r="D513" s="73" t="s">
        <v>3019</v>
      </c>
      <c r="E513" s="73" t="s">
        <v>3020</v>
      </c>
      <c r="F513" s="73">
        <v>18706</v>
      </c>
      <c r="G513" s="73" t="s">
        <v>895</v>
      </c>
      <c r="H513" s="73" t="s">
        <v>907</v>
      </c>
      <c r="I513" s="73" t="s">
        <v>1012</v>
      </c>
      <c r="J513" s="73">
        <v>0</v>
      </c>
      <c r="K513" s="73">
        <v>4</v>
      </c>
      <c r="L513" s="73">
        <v>0</v>
      </c>
      <c r="M513" s="73">
        <v>0</v>
      </c>
      <c r="N513" s="73">
        <v>0</v>
      </c>
      <c r="O513" s="73" t="s">
        <v>1318</v>
      </c>
      <c r="P513" s="73" t="s">
        <v>3021</v>
      </c>
      <c r="Q513" s="73" t="s">
        <v>145</v>
      </c>
      <c r="R513" s="73">
        <v>2</v>
      </c>
      <c r="S513" s="73">
        <v>3</v>
      </c>
      <c r="T513" s="73">
        <v>0</v>
      </c>
      <c r="U513" s="73">
        <v>1</v>
      </c>
      <c r="V513" s="73">
        <v>1730</v>
      </c>
      <c r="W513" s="73">
        <v>13</v>
      </c>
      <c r="X513" s="73">
        <v>1</v>
      </c>
      <c r="Y513" s="73">
        <v>0</v>
      </c>
      <c r="Z513" s="73" t="s">
        <v>2066</v>
      </c>
      <c r="AA513" s="73" t="s">
        <v>692</v>
      </c>
      <c r="AB513" s="73" t="str">
        <f>IF(AA513&lt;&gt;"",INDEX(Lookup!$N$2:$N$5,MATCH(Players!AA513,Lookup!$P$2:$P$5,0)),INDEX(Lookup!$N$2:$N$5,MATCH(Players!O513,Lookup!$O$2:$O$5,0)))</f>
        <v>Defense</v>
      </c>
      <c r="AC513" s="73">
        <v>2000000</v>
      </c>
      <c r="AD513" s="73" t="s">
        <v>788</v>
      </c>
      <c r="AE513" s="73" t="str">
        <f>INDEX('Translate table'!$H$2:$H$622,MATCH(Players!P513,'Translate table'!$G$2:$G$622,0))</f>
        <v>Nathan AkÃ©</v>
      </c>
      <c r="AF513" s="73">
        <f>IFERROR(INDEX('Euro Qual stats'!$A$1:$L$2071,MATCH(Players!$AE513,'Euro Qual stats'!$A$1:$A$2071,0),MATCH(Players!AF$2,'Euro Qual stats'!$A$1:$L$1,0)),0)</f>
        <v>3</v>
      </c>
      <c r="AG513" s="73">
        <f>IFERROR(INDEX('Euro Qual stats'!$A$1:$L$2071,MATCH(Players!$AE513,'Euro Qual stats'!$A$1:$A$2071,0),MATCH(Players!AG$2,'Euro Qual stats'!$A$1:$L$1,0)),0)</f>
        <v>0</v>
      </c>
      <c r="AH513" s="73">
        <f>IFERROR(INDEX('Euro Qual stats'!$A$1:$L$2071,MATCH(Players!$AE513,'Euro Qual stats'!$A$1:$A$2071,0),MATCH(Players!AH$2,'Euro Qual stats'!$A$1:$L$1,0)),0)</f>
        <v>0.91</v>
      </c>
      <c r="AI513" s="73">
        <f>IFERROR(INDEX('Euro Qual stats'!$A$1:$L$2071,MATCH(Players!$AE513,'Euro Qual stats'!$A$1:$A$2071,0),MATCH(Players!AI$2,'Euro Qual stats'!$A$1:$L$1,0)),0)</f>
        <v>0</v>
      </c>
      <c r="AJ513" s="93">
        <f>(12-AF513)/12*INDEX(BV$9:BV$12,MATCH($AB513,$BU$9:$BU$12,0))+AF513/12*AG513</f>
        <v>6.6881868131868152E-2</v>
      </c>
      <c r="AK513" s="93">
        <f>(12-AG513)/12*INDEX(BW$9:BW$12,MATCH($AB513,$BU$9:$BU$12,0))+AG513/12*AH513</f>
        <v>0.10357142857142858</v>
      </c>
      <c r="AL513" s="93">
        <f>(12-AH513)/12*INDEX(BX$9:BX$12,MATCH($AB513,$BU$9:$BU$12,0))+AH513/12*AI513</f>
        <v>0.17889226190476182</v>
      </c>
      <c r="AM513" s="93">
        <f>IF($BC513=1,AJ513/SUMIFS(AJ$3:AJ$623,$BC$3:$BC$623,1,$G$3:$G$623,$G513),0)</f>
        <v>0</v>
      </c>
      <c r="AN513" s="93">
        <f>IF($BC513=1,AK513/SUMIFS(AK$3:AK$623,$BC$3:$BC$623,1,$G$3:$G$623,$G513),0)</f>
        <v>0</v>
      </c>
      <c r="AO513" s="93">
        <f>IF($BC513=1,AL513/SUMIFS(AL$3:AL$623,$BC$3:$BC$623,1,$G$3:$G$623,$G513),0)</f>
        <v>0</v>
      </c>
      <c r="AP513" s="2">
        <f>IFERROR(R513/$V513*90,"")</f>
        <v>0.10404624277456648</v>
      </c>
      <c r="AQ513" s="2">
        <f>IFERROR(S513/$V513*90,"")</f>
        <v>0.15606936416184972</v>
      </c>
      <c r="AR513" s="2">
        <f>IFERROR(W513/$V513*90,"")</f>
        <v>0.67630057803468202</v>
      </c>
      <c r="AS513" s="2">
        <f>IFERROR(X513/$V513*90,"")</f>
        <v>5.2023121387283239E-2</v>
      </c>
      <c r="AT513" s="2">
        <f>IFERROR(Y513/$V513*90,"")</f>
        <v>0</v>
      </c>
      <c r="AU513" s="2">
        <f>IF(AP513="",INDEX(BV$4:BV$7,MATCH(O513,$BU$4:$BU$7,0)),AP513)</f>
        <v>0.10404624277456648</v>
      </c>
      <c r="AV513" s="2">
        <f>IF(AQ513="",INDEX(BW$4:BW$7,MATCH($O513,$BU$4:$BU$7,0)),AQ513)</f>
        <v>0.15606936416184972</v>
      </c>
      <c r="AW513" s="2">
        <f t="shared" si="84"/>
        <v>0.67630057803468202</v>
      </c>
      <c r="AX513" s="2">
        <f t="shared" si="85"/>
        <v>5.2023121387283239E-2</v>
      </c>
      <c r="AY513" s="2">
        <f t="shared" si="86"/>
        <v>0</v>
      </c>
      <c r="AZ513" s="2">
        <f>AU513*0.5+AK513*0.5</f>
        <v>0.10380883567299753</v>
      </c>
      <c r="BA513" s="2">
        <f>AV513*0.5+AJ513*0.5</f>
        <v>0.11147561614685894</v>
      </c>
      <c r="BB513" s="2">
        <f t="shared" si="87"/>
        <v>2.6011560693641619E-2</v>
      </c>
      <c r="BC513">
        <f>IF(I513="expected",1,0)</f>
        <v>0</v>
      </c>
      <c r="BD513" s="78">
        <f>IF(BC513=1,AZ513/SUMIFS(AZ$3:AZ$623,$BC$3:$BC$623,1,$G$3:$G$623,$G513),0)</f>
        <v>0</v>
      </c>
      <c r="BE513" s="78">
        <f>IF(BC513=1,BA513/SUMIFS(BA$3:BA$623,$BC$3:$BC$623,1,$G$3:$G$623,$G513),0)</f>
        <v>0</v>
      </c>
      <c r="BF513" s="78">
        <f t="shared" si="88"/>
        <v>0</v>
      </c>
      <c r="BG513" s="2">
        <f t="shared" si="89"/>
        <v>2.6011560693641619E-2</v>
      </c>
      <c r="BH513" s="2">
        <f t="shared" si="90"/>
        <v>0</v>
      </c>
      <c r="BI513" s="2">
        <f t="shared" si="91"/>
        <v>0</v>
      </c>
      <c r="BJ513" s="2">
        <f t="shared" si="92"/>
        <v>0</v>
      </c>
      <c r="BK513" s="2">
        <f t="shared" si="93"/>
        <v>0</v>
      </c>
      <c r="BL513" s="2">
        <f t="shared" si="94"/>
        <v>2.6011560693641619E-2</v>
      </c>
      <c r="BM513" s="2">
        <f t="shared" si="95"/>
        <v>0</v>
      </c>
      <c r="BN513" s="2">
        <f>BI513/SUMIFS(BI$3:BI$623,$BC$3:$BC$623,1,$G$3:$G$623,$G513)</f>
        <v>0</v>
      </c>
      <c r="BO513" s="2">
        <f>BJ513/SUMIFS(BJ$3:BJ$623,$BC$3:$BC$623,1,$G$3:$G$623,$G513)</f>
        <v>0</v>
      </c>
      <c r="BP513" s="2">
        <f>BK513/SUMIFS(BK$3:BK$623,$BC$3:$BC$623,1,$G$3:$G$623,$G513)</f>
        <v>0</v>
      </c>
      <c r="BQ513" s="2">
        <f>BL513</f>
        <v>2.6011560693641619E-2</v>
      </c>
      <c r="BR513" s="2">
        <f>BM513</f>
        <v>0</v>
      </c>
    </row>
    <row r="514" spans="1:70" hidden="1">
      <c r="A514" s="74">
        <v>0</v>
      </c>
      <c r="B514" s="73">
        <v>213450</v>
      </c>
      <c r="C514" s="73" t="s">
        <v>3022</v>
      </c>
      <c r="D514" s="73" t="s">
        <v>3023</v>
      </c>
      <c r="E514" s="73" t="s">
        <v>3024</v>
      </c>
      <c r="F514" s="73">
        <v>18706</v>
      </c>
      <c r="G514" s="73" t="s">
        <v>895</v>
      </c>
      <c r="H514" s="73" t="s">
        <v>907</v>
      </c>
      <c r="I514" s="73" t="s">
        <v>981</v>
      </c>
      <c r="J514" s="73">
        <v>0</v>
      </c>
      <c r="K514" s="73">
        <v>4</v>
      </c>
      <c r="L514" s="73">
        <v>0</v>
      </c>
      <c r="M514" s="73">
        <v>0</v>
      </c>
      <c r="N514" s="73">
        <v>0</v>
      </c>
      <c r="O514" s="73" t="s">
        <v>1318</v>
      </c>
      <c r="P514" s="73" t="s">
        <v>3025</v>
      </c>
      <c r="Q514" s="73" t="s">
        <v>534</v>
      </c>
      <c r="R514" s="73">
        <v>0</v>
      </c>
      <c r="S514" s="73">
        <v>0</v>
      </c>
      <c r="T514" s="73">
        <v>0</v>
      </c>
      <c r="U514" s="73">
        <v>0</v>
      </c>
      <c r="V514" s="73">
        <v>0</v>
      </c>
      <c r="W514" s="73">
        <v>0</v>
      </c>
      <c r="X514" s="73">
        <v>0</v>
      </c>
      <c r="Y514" s="73">
        <v>0</v>
      </c>
      <c r="Z514" s="73" t="s">
        <v>2066</v>
      </c>
      <c r="AA514" s="73" t="s">
        <v>692</v>
      </c>
      <c r="AB514" s="73" t="str">
        <f>IF(AA514&lt;&gt;"",INDEX(Lookup!$N$2:$N$5,MATCH(Players!AA514,Lookup!$P$2:$P$5,0)),INDEX(Lookup!$N$2:$N$5,MATCH(Players!O514,Lookup!$O$2:$O$5,0)))</f>
        <v>Defense</v>
      </c>
      <c r="AC514" s="73">
        <v>3000000</v>
      </c>
      <c r="AD514" s="73" t="s">
        <v>788</v>
      </c>
      <c r="AE514" s="73" t="str">
        <f>INDEX('Translate table'!$H$2:$H$622,MATCH(Players!P514,'Translate table'!$G$2:$G$622,0))</f>
        <v>Granit Xhaka</v>
      </c>
      <c r="AF514" s="73">
        <f>IFERROR(INDEX('Euro Qual stats'!$A$1:$L$2071,MATCH(Players!$AE514,'Euro Qual stats'!$A$1:$A$2071,0),MATCH(Players!AF$2,'Euro Qual stats'!$A$1:$L$1,0)),0)</f>
        <v>8</v>
      </c>
      <c r="AG514" s="73">
        <f>IFERROR(INDEX('Euro Qual stats'!$A$1:$L$2071,MATCH(Players!$AE514,'Euro Qual stats'!$A$1:$A$2071,0),MATCH(Players!AG$2,'Euro Qual stats'!$A$1:$L$1,0)),0)</f>
        <v>0.13</v>
      </c>
      <c r="AH514" s="73">
        <f>IFERROR(INDEX('Euro Qual stats'!$A$1:$L$2071,MATCH(Players!$AE514,'Euro Qual stats'!$A$1:$A$2071,0),MATCH(Players!AH$2,'Euro Qual stats'!$A$1:$L$1,0)),0)</f>
        <v>0.26</v>
      </c>
      <c r="AI514" s="73">
        <f>IFERROR(INDEX('Euro Qual stats'!$A$1:$L$2071,MATCH(Players!$AE514,'Euro Qual stats'!$A$1:$A$2071,0),MATCH(Players!AI$2,'Euro Qual stats'!$A$1:$L$1,0)),0)</f>
        <v>0.26</v>
      </c>
      <c r="AJ514" s="93">
        <f>(12-AF514)/12*INDEX(BV$9:BV$12,MATCH($AB514,$BU$9:$BU$12,0))+AF514/12*AG514</f>
        <v>0.11639194139194139</v>
      </c>
      <c r="AK514" s="93">
        <f>(12-AG514)/12*INDEX(BW$9:BW$12,MATCH($AB514,$BU$9:$BU$12,0))+AG514/12*AH514</f>
        <v>0.10526607142857143</v>
      </c>
      <c r="AL514" s="93">
        <f>(12-AH514)/12*INDEX(BX$9:BX$12,MATCH($AB514,$BU$9:$BU$12,0))+AH514/12*AI514</f>
        <v>0.1950107142857142</v>
      </c>
      <c r="AM514" s="93">
        <f>IF($BC514=1,AJ514/SUMIFS(AJ$3:AJ$623,$BC$3:$BC$623,1,$G$3:$G$623,$G514),0)</f>
        <v>0.10427485794583888</v>
      </c>
      <c r="AN514" s="93">
        <f>IF($BC514=1,AK514/SUMIFS(AK$3:AK$623,$BC$3:$BC$623,1,$G$3:$G$623,$G514),0)</f>
        <v>5.3569579298176032E-2</v>
      </c>
      <c r="AO514" s="93">
        <f>IF($BC514=1,AL514/SUMIFS(AL$3:AL$623,$BC$3:$BC$623,1,$G$3:$G$623,$G514),0)</f>
        <v>9.4285262885761445E-2</v>
      </c>
      <c r="AP514" s="2" t="str">
        <f>IFERROR(R514/$V514*90,"")</f>
        <v/>
      </c>
      <c r="AQ514" s="2" t="str">
        <f>IFERROR(S514/$V514*90,"")</f>
        <v/>
      </c>
      <c r="AR514" s="2" t="str">
        <f>IFERROR(W514/$V514*90,"")</f>
        <v/>
      </c>
      <c r="AS514" s="2" t="str">
        <f>IFERROR(X514/$V514*90,"")</f>
        <v/>
      </c>
      <c r="AT514" s="2" t="str">
        <f>IFERROR(Y514/$V514*90,"")</f>
        <v/>
      </c>
      <c r="AU514" s="2">
        <f>IF(AP514="",INDEX(BV$4:BV$7,MATCH(O514,$BU$4:$BU$7,0)),AP514)</f>
        <v>0</v>
      </c>
      <c r="AV514" s="2">
        <f>IF(AQ514="",INDEX(BW$4:BW$7,MATCH($O514,$BU$4:$BU$7,0)),AQ514)</f>
        <v>0</v>
      </c>
      <c r="AW514" s="2">
        <f t="shared" si="84"/>
        <v>8.0624805297505417E-2</v>
      </c>
      <c r="AX514" s="2">
        <f t="shared" si="85"/>
        <v>0.1265377855887522</v>
      </c>
      <c r="AY514" s="2">
        <f t="shared" si="86"/>
        <v>0</v>
      </c>
      <c r="AZ514" s="2">
        <f>AU514*0.5+AK514*0.5</f>
        <v>5.2633035714285716E-2</v>
      </c>
      <c r="BA514" s="2">
        <f>AV514*0.5+AJ514*0.5</f>
        <v>5.8195970695970697E-2</v>
      </c>
      <c r="BB514" s="2">
        <f t="shared" si="87"/>
        <v>0.19326889279437609</v>
      </c>
      <c r="BC514">
        <f>IF(I514="expected",1,0)</f>
        <v>1</v>
      </c>
      <c r="BD514" s="78">
        <f>IF(BC514=1,AZ514/SUMIFS(AZ$3:AZ$623,$BC$3:$BC$623,1,$G$3:$G$623,$G514),0)</f>
        <v>4.2084408629170511E-2</v>
      </c>
      <c r="BE514" s="78">
        <f>IF(BC514=1,BA514/SUMIFS(BA$3:BA$623,$BC$3:$BC$623,1,$G$3:$G$623,$G514),0)</f>
        <v>6.3168955549660441E-2</v>
      </c>
      <c r="BF514" s="78">
        <f t="shared" si="88"/>
        <v>4.8015394045207584E-2</v>
      </c>
      <c r="BG514" s="2">
        <f t="shared" si="89"/>
        <v>0.19326889279437609</v>
      </c>
      <c r="BH514" s="2">
        <f t="shared" si="90"/>
        <v>0</v>
      </c>
      <c r="BI514" s="2">
        <f t="shared" si="91"/>
        <v>4.2084408629170511E-2</v>
      </c>
      <c r="BJ514" s="2">
        <f t="shared" si="92"/>
        <v>6.3168955549660441E-2</v>
      </c>
      <c r="BK514" s="2">
        <f t="shared" si="93"/>
        <v>4.8015394045207584E-2</v>
      </c>
      <c r="BL514" s="2">
        <f t="shared" si="94"/>
        <v>0.19326889279437609</v>
      </c>
      <c r="BM514" s="2">
        <f t="shared" si="95"/>
        <v>0</v>
      </c>
      <c r="BN514" s="2">
        <f>BI514/SUMIFS(BI$3:BI$623,$BC$3:$BC$623,1,$G$3:$G$623,$G514)</f>
        <v>4.2084408629170518E-2</v>
      </c>
      <c r="BO514" s="2">
        <f>BJ514/SUMIFS(BJ$3:BJ$623,$BC$3:$BC$623,1,$G$3:$G$623,$G514)</f>
        <v>6.3168955549660455E-2</v>
      </c>
      <c r="BP514" s="2">
        <f>BK514/SUMIFS(BK$3:BK$623,$BC$3:$BC$623,1,$G$3:$G$623,$G514)</f>
        <v>4.8015394045207584E-2</v>
      </c>
      <c r="BQ514" s="2">
        <f>BL514</f>
        <v>0.19326889279437609</v>
      </c>
      <c r="BR514" s="2">
        <f>BM514</f>
        <v>0</v>
      </c>
    </row>
    <row r="515" spans="1:70" hidden="1">
      <c r="A515" s="74">
        <v>0</v>
      </c>
      <c r="B515" s="73">
        <v>204792</v>
      </c>
      <c r="C515" s="73" t="s">
        <v>3026</v>
      </c>
      <c r="D515" s="73" t="s">
        <v>2359</v>
      </c>
      <c r="E515" s="73" t="s">
        <v>3027</v>
      </c>
      <c r="F515" s="73">
        <v>18706</v>
      </c>
      <c r="G515" s="73" t="s">
        <v>895</v>
      </c>
      <c r="H515" s="73" t="s">
        <v>907</v>
      </c>
      <c r="I515" s="73" t="s">
        <v>1012</v>
      </c>
      <c r="J515" s="73">
        <v>0</v>
      </c>
      <c r="K515" s="73">
        <v>4</v>
      </c>
      <c r="L515" s="73">
        <v>0</v>
      </c>
      <c r="M515" s="73">
        <v>0</v>
      </c>
      <c r="N515" s="73">
        <v>0</v>
      </c>
      <c r="O515" s="73" t="s">
        <v>1318</v>
      </c>
      <c r="P515" s="73" t="s">
        <v>3028</v>
      </c>
      <c r="Q515" s="73" t="s">
        <v>78</v>
      </c>
      <c r="R515" s="73">
        <v>4</v>
      </c>
      <c r="S515" s="73">
        <v>1</v>
      </c>
      <c r="T515" s="73">
        <v>0</v>
      </c>
      <c r="U515" s="73">
        <v>7</v>
      </c>
      <c r="V515" s="73">
        <v>2127</v>
      </c>
      <c r="W515" s="73">
        <v>8</v>
      </c>
      <c r="X515" s="73">
        <v>3</v>
      </c>
      <c r="Y515" s="73">
        <v>0</v>
      </c>
      <c r="Z515" s="73" t="s">
        <v>2066</v>
      </c>
      <c r="AA515" s="73" t="s">
        <v>692</v>
      </c>
      <c r="AB515" s="73" t="str">
        <f>IF(AA515&lt;&gt;"",INDEX(Lookup!$N$2:$N$5,MATCH(Players!AA515,Lookup!$P$2:$P$5,0)),INDEX(Lookup!$N$2:$N$5,MATCH(Players!O515,Lookup!$O$2:$O$5,0)))</f>
        <v>Defense</v>
      </c>
      <c r="AC515" s="73">
        <v>2000000</v>
      </c>
      <c r="AD515" s="73" t="s">
        <v>788</v>
      </c>
      <c r="AE515" s="73" t="str">
        <f>INDEX('Translate table'!$H$2:$H$622,MATCH(Players!P515,'Translate table'!$G$2:$G$622,0))</f>
        <v>Scott McKenna</v>
      </c>
      <c r="AF515" s="73">
        <f>IFERROR(INDEX('Euro Qual stats'!$A$1:$L$2071,MATCH(Players!$AE515,'Euro Qual stats'!$A$1:$A$2071,0),MATCH(Players!AF$2,'Euro Qual stats'!$A$1:$L$1,0)),0)</f>
        <v>6</v>
      </c>
      <c r="AG515" s="73">
        <f>IFERROR(INDEX('Euro Qual stats'!$A$1:$L$2071,MATCH(Players!$AE515,'Euro Qual stats'!$A$1:$A$2071,0),MATCH(Players!AG$2,'Euro Qual stats'!$A$1:$L$1,0)),0)</f>
        <v>0</v>
      </c>
      <c r="AH515" s="73">
        <f>IFERROR(INDEX('Euro Qual stats'!$A$1:$L$2071,MATCH(Players!$AE515,'Euro Qual stats'!$A$1:$A$2071,0),MATCH(Players!AH$2,'Euro Qual stats'!$A$1:$L$1,0)),0)</f>
        <v>0</v>
      </c>
      <c r="AI515" s="73">
        <f>IFERROR(INDEX('Euro Qual stats'!$A$1:$L$2071,MATCH(Players!$AE515,'Euro Qual stats'!$A$1:$A$2071,0),MATCH(Players!AI$2,'Euro Qual stats'!$A$1:$L$1,0)),0)</f>
        <v>0.17</v>
      </c>
      <c r="AJ515" s="93">
        <f>(12-AF515)/12*INDEX(BV$9:BV$12,MATCH($AB515,$BU$9:$BU$12,0))+AF515/12*AG515</f>
        <v>4.4587912087912102E-2</v>
      </c>
      <c r="AK515" s="93">
        <f>(12-AG515)/12*INDEX(BW$9:BW$12,MATCH($AB515,$BU$9:$BU$12,0))+AG515/12*AH515</f>
        <v>0.10357142857142858</v>
      </c>
      <c r="AL515" s="93">
        <f>(12-AH515)/12*INDEX(BX$9:BX$12,MATCH($AB515,$BU$9:$BU$12,0))+AH515/12*AI515</f>
        <v>0.19357142857142848</v>
      </c>
      <c r="AM515" s="93">
        <f>IF($BC515=1,AJ515/SUMIFS(AJ$3:AJ$623,$BC$3:$BC$623,1,$G$3:$G$623,$G515),0)</f>
        <v>0</v>
      </c>
      <c r="AN515" s="93">
        <f>IF($BC515=1,AK515/SUMIFS(AK$3:AK$623,$BC$3:$BC$623,1,$G$3:$G$623,$G515),0)</f>
        <v>0</v>
      </c>
      <c r="AO515" s="93">
        <f>IF($BC515=1,AL515/SUMIFS(AL$3:AL$623,$BC$3:$BC$623,1,$G$3:$G$623,$G515),0)</f>
        <v>0</v>
      </c>
      <c r="AP515" s="2">
        <f>IFERROR(R515/$V515*90,"")</f>
        <v>0.16925246826516219</v>
      </c>
      <c r="AQ515" s="2">
        <f>IFERROR(S515/$V515*90,"")</f>
        <v>4.2313117066290547E-2</v>
      </c>
      <c r="AR515" s="2">
        <f>IFERROR(W515/$V515*90,"")</f>
        <v>0.33850493653032437</v>
      </c>
      <c r="AS515" s="2">
        <f>IFERROR(X515/$V515*90,"")</f>
        <v>0.12693935119887165</v>
      </c>
      <c r="AT515" s="2">
        <f>IFERROR(Y515/$V515*90,"")</f>
        <v>0</v>
      </c>
      <c r="AU515" s="2">
        <f>IF(AP515="",INDEX(BV$4:BV$7,MATCH(O515,$BU$4:$BU$7,0)),AP515)</f>
        <v>0.16925246826516219</v>
      </c>
      <c r="AV515" s="2">
        <f>IF(AQ515="",INDEX(BW$4:BW$7,MATCH($O515,$BU$4:$BU$7,0)),AQ515)</f>
        <v>4.2313117066290547E-2</v>
      </c>
      <c r="AW515" s="2">
        <f t="shared" si="84"/>
        <v>0.33850493653032437</v>
      </c>
      <c r="AX515" s="2">
        <f t="shared" si="85"/>
        <v>0.12693935119887165</v>
      </c>
      <c r="AY515" s="2">
        <f t="shared" si="86"/>
        <v>0</v>
      </c>
      <c r="AZ515" s="2">
        <f>AU515*0.5+AK515*0.5</f>
        <v>0.13641194841829538</v>
      </c>
      <c r="BA515" s="2">
        <f>AV515*0.5+AJ515*0.5</f>
        <v>4.3450514577101321E-2</v>
      </c>
      <c r="BB515" s="2">
        <f t="shared" si="87"/>
        <v>0.14846967559943583</v>
      </c>
      <c r="BC515">
        <f>IF(I515="expected",1,0)</f>
        <v>0</v>
      </c>
      <c r="BD515" s="78">
        <f>IF(BC515=1,AZ515/SUMIFS(AZ$3:AZ$623,$BC$3:$BC$623,1,$G$3:$G$623,$G515),0)</f>
        <v>0</v>
      </c>
      <c r="BE515" s="78">
        <f>IF(BC515=1,BA515/SUMIFS(BA$3:BA$623,$BC$3:$BC$623,1,$G$3:$G$623,$G515),0)</f>
        <v>0</v>
      </c>
      <c r="BF515" s="78">
        <f t="shared" si="88"/>
        <v>0</v>
      </c>
      <c r="BG515" s="2">
        <f t="shared" si="89"/>
        <v>0.14846967559943583</v>
      </c>
      <c r="BH515" s="2">
        <f t="shared" si="90"/>
        <v>0</v>
      </c>
      <c r="BI515" s="2">
        <f t="shared" si="91"/>
        <v>0</v>
      </c>
      <c r="BJ515" s="2">
        <f t="shared" si="92"/>
        <v>0</v>
      </c>
      <c r="BK515" s="2">
        <f t="shared" si="93"/>
        <v>0</v>
      </c>
      <c r="BL515" s="2">
        <f t="shared" si="94"/>
        <v>0.14846967559943583</v>
      </c>
      <c r="BM515" s="2">
        <f t="shared" si="95"/>
        <v>0</v>
      </c>
      <c r="BN515" s="2">
        <f>BI515/SUMIFS(BI$3:BI$623,$BC$3:$BC$623,1,$G$3:$G$623,$G515)</f>
        <v>0</v>
      </c>
      <c r="BO515" s="2">
        <f>BJ515/SUMIFS(BJ$3:BJ$623,$BC$3:$BC$623,1,$G$3:$G$623,$G515)</f>
        <v>0</v>
      </c>
      <c r="BP515" s="2">
        <f>BK515/SUMIFS(BK$3:BK$623,$BC$3:$BC$623,1,$G$3:$G$623,$G515)</f>
        <v>0</v>
      </c>
      <c r="BQ515" s="2">
        <f>BL515</f>
        <v>0.14846967559943583</v>
      </c>
      <c r="BR515" s="2">
        <f>BM515</f>
        <v>0</v>
      </c>
    </row>
    <row r="516" spans="1:70" hidden="1">
      <c r="A516" s="74">
        <v>0</v>
      </c>
      <c r="B516" s="73">
        <v>204790</v>
      </c>
      <c r="C516" s="73" t="s">
        <v>3029</v>
      </c>
      <c r="D516" s="73" t="s">
        <v>1436</v>
      </c>
      <c r="E516" s="73" t="s">
        <v>3030</v>
      </c>
      <c r="F516" s="73">
        <v>18706</v>
      </c>
      <c r="G516" s="73" t="s">
        <v>895</v>
      </c>
      <c r="H516" s="73" t="s">
        <v>907</v>
      </c>
      <c r="I516" s="73" t="s">
        <v>1012</v>
      </c>
      <c r="J516" s="73">
        <v>0</v>
      </c>
      <c r="K516" s="73">
        <v>4</v>
      </c>
      <c r="L516" s="73">
        <v>0</v>
      </c>
      <c r="M516" s="73">
        <v>0</v>
      </c>
      <c r="N516" s="73">
        <v>0</v>
      </c>
      <c r="O516" s="73" t="s">
        <v>1318</v>
      </c>
      <c r="P516" s="73" t="s">
        <v>3031</v>
      </c>
      <c r="Q516" s="73" t="s">
        <v>3032</v>
      </c>
      <c r="R516" s="73">
        <v>4</v>
      </c>
      <c r="S516" s="73">
        <v>0</v>
      </c>
      <c r="T516" s="73">
        <v>0</v>
      </c>
      <c r="U516" s="73">
        <v>1</v>
      </c>
      <c r="V516" s="73">
        <v>983</v>
      </c>
      <c r="W516" s="73">
        <v>7</v>
      </c>
      <c r="X516" s="73">
        <v>0</v>
      </c>
      <c r="Y516" s="73">
        <v>0</v>
      </c>
      <c r="Z516" s="73" t="s">
        <v>2066</v>
      </c>
      <c r="AA516" s="73" t="s">
        <v>692</v>
      </c>
      <c r="AB516" s="73" t="str">
        <f>IF(AA516&lt;&gt;"",INDEX(Lookup!$N$2:$N$5,MATCH(Players!AA516,Lookup!$P$2:$P$5,0)),INDEX(Lookup!$N$2:$N$5,MATCH(Players!O516,Lookup!$O$2:$O$5,0)))</f>
        <v>Defense</v>
      </c>
      <c r="AC516" s="73">
        <v>2500000</v>
      </c>
      <c r="AD516" s="73" t="s">
        <v>788</v>
      </c>
      <c r="AE516" s="73" t="str">
        <f>INDEX('Translate table'!$H$2:$H$622,MATCH(Players!P516,'Translate table'!$G$2:$G$622,0))</f>
        <v>Declan Gallagher</v>
      </c>
      <c r="AF516" s="73">
        <f>IFERROR(INDEX('Euro Qual stats'!$A$1:$L$2071,MATCH(Players!$AE516,'Euro Qual stats'!$A$1:$A$2071,0),MATCH(Players!AF$2,'Euro Qual stats'!$A$1:$L$1,0)),0)</f>
        <v>4</v>
      </c>
      <c r="AG516" s="73">
        <f>IFERROR(INDEX('Euro Qual stats'!$A$1:$L$2071,MATCH(Players!$AE516,'Euro Qual stats'!$A$1:$A$2071,0),MATCH(Players!AG$2,'Euro Qual stats'!$A$1:$L$1,0)),0)</f>
        <v>0</v>
      </c>
      <c r="AH516" s="73">
        <f>IFERROR(INDEX('Euro Qual stats'!$A$1:$L$2071,MATCH(Players!$AE516,'Euro Qual stats'!$A$1:$A$2071,0),MATCH(Players!AH$2,'Euro Qual stats'!$A$1:$L$1,0)),0)</f>
        <v>0</v>
      </c>
      <c r="AI516" s="73">
        <f>IFERROR(INDEX('Euro Qual stats'!$A$1:$L$2071,MATCH(Players!$AE516,'Euro Qual stats'!$A$1:$A$2071,0),MATCH(Players!AI$2,'Euro Qual stats'!$A$1:$L$1,0)),0)</f>
        <v>0.5</v>
      </c>
      <c r="AJ516" s="93">
        <f>(12-AF516)/12*INDEX(BV$9:BV$12,MATCH($AB516,$BU$9:$BU$12,0))+AF516/12*AG516</f>
        <v>5.9450549450549464E-2</v>
      </c>
      <c r="AK516" s="93">
        <f>(12-AG516)/12*INDEX(BW$9:BW$12,MATCH($AB516,$BU$9:$BU$12,0))+AG516/12*AH516</f>
        <v>0.10357142857142858</v>
      </c>
      <c r="AL516" s="93">
        <f>(12-AH516)/12*INDEX(BX$9:BX$12,MATCH($AB516,$BU$9:$BU$12,0))+AH516/12*AI516</f>
        <v>0.19357142857142848</v>
      </c>
      <c r="AM516" s="93">
        <f>IF($BC516=1,AJ516/SUMIFS(AJ$3:AJ$623,$BC$3:$BC$623,1,$G$3:$G$623,$G516),0)</f>
        <v>0</v>
      </c>
      <c r="AN516" s="93">
        <f>IF($BC516=1,AK516/SUMIFS(AK$3:AK$623,$BC$3:$BC$623,1,$G$3:$G$623,$G516),0)</f>
        <v>0</v>
      </c>
      <c r="AO516" s="93">
        <f>IF($BC516=1,AL516/SUMIFS(AL$3:AL$623,$BC$3:$BC$623,1,$G$3:$G$623,$G516),0)</f>
        <v>0</v>
      </c>
      <c r="AP516" s="2">
        <f>IFERROR(R516/$V516*90,"")</f>
        <v>0.36622583926754831</v>
      </c>
      <c r="AQ516" s="2">
        <f>IFERROR(S516/$V516*90,"")</f>
        <v>0</v>
      </c>
      <c r="AR516" s="2">
        <f>IFERROR(W516/$V516*90,"")</f>
        <v>0.64089521871820954</v>
      </c>
      <c r="AS516" s="2">
        <f>IFERROR(X516/$V516*90,"")</f>
        <v>0</v>
      </c>
      <c r="AT516" s="2">
        <f>IFERROR(Y516/$V516*90,"")</f>
        <v>0</v>
      </c>
      <c r="AU516" s="2">
        <f>IF(AP516="",INDEX(BV$4:BV$7,MATCH(O516,$BU$4:$BU$7,0)),AP516)</f>
        <v>0.36622583926754831</v>
      </c>
      <c r="AV516" s="2">
        <f>IF(AQ516="",INDEX(BW$4:BW$7,MATCH($O516,$BU$4:$BU$7,0)),AQ516)</f>
        <v>0</v>
      </c>
      <c r="AW516" s="2">
        <f t="shared" ref="AW516:AW579" si="96">IF(AR516="",INDEX(BX$4:BX$7,MATCH($O516,$BU$4:$BU$7,0)),AR516)</f>
        <v>0.64089521871820954</v>
      </c>
      <c r="AX516" s="2">
        <f t="shared" ref="AX516:AX579" si="97">IF(AS516="",INDEX(BY$4:BY$7,MATCH($O516,$BU$4:$BU$7,0)),AS516)</f>
        <v>0</v>
      </c>
      <c r="AY516" s="2">
        <f t="shared" ref="AY516:AY579" si="98">IF(AT516="",INDEX(BZ$4:BZ$7,MATCH($O516,$BU$4:$BU$7,0)),AT516)</f>
        <v>0</v>
      </c>
      <c r="AZ516" s="2">
        <f>AU516*0.5+AK516*0.5</f>
        <v>0.23489863391948845</v>
      </c>
      <c r="BA516" s="2">
        <f>AV516*0.5+AJ516*0.5</f>
        <v>2.9725274725274732E-2</v>
      </c>
      <c r="BB516" s="2">
        <f t="shared" ref="BB516:BB579" si="99">AX516*0.5+AI516*0.5</f>
        <v>0.25</v>
      </c>
      <c r="BC516">
        <f>IF(I516="expected",1,0)</f>
        <v>0</v>
      </c>
      <c r="BD516" s="78">
        <f>IF(BC516=1,AZ516/SUMIFS(AZ$3:AZ$623,$BC$3:$BC$623,1,$G$3:$G$623,$G516),0)</f>
        <v>0</v>
      </c>
      <c r="BE516" s="78">
        <f>IF(BC516=1,BA516/SUMIFS(BA$3:BA$623,$BC$3:$BC$623,1,$G$3:$G$623,$G516),0)</f>
        <v>0</v>
      </c>
      <c r="BF516" s="78">
        <f t="shared" ref="BF516:BF579" si="100">IF(BC516=1,AW516/SUMIFS(AW$3:AW$623,$BC$3:$BC$623,1,$G$3:$G$623,$G516),0)</f>
        <v>0</v>
      </c>
      <c r="BG516" s="2">
        <f t="shared" ref="BG516:BG579" si="101">BB516</f>
        <v>0.25</v>
      </c>
      <c r="BH516" s="2">
        <f t="shared" ref="BH516:BH579" si="102">AY516</f>
        <v>0</v>
      </c>
      <c r="BI516" s="2">
        <f t="shared" ref="BI516:BI579" si="103">MIN(BI$1,BD516)</f>
        <v>0</v>
      </c>
      <c r="BJ516" s="2">
        <f t="shared" ref="BJ516:BJ579" si="104">MIN(BJ$1,BE516)</f>
        <v>0</v>
      </c>
      <c r="BK516" s="2">
        <f t="shared" ref="BK516:BK579" si="105">MIN(BK$1,BF516)</f>
        <v>0</v>
      </c>
      <c r="BL516" s="2">
        <f t="shared" ref="BL516:BL579" si="106">BG516</f>
        <v>0.25</v>
      </c>
      <c r="BM516" s="2">
        <f t="shared" ref="BM516:BM579" si="107">MIN($BM$1,BH516)</f>
        <v>0</v>
      </c>
      <c r="BN516" s="2">
        <f>BI516/SUMIFS(BI$3:BI$623,$BC$3:$BC$623,1,$G$3:$G$623,$G516)</f>
        <v>0</v>
      </c>
      <c r="BO516" s="2">
        <f>BJ516/SUMIFS(BJ$3:BJ$623,$BC$3:$BC$623,1,$G$3:$G$623,$G516)</f>
        <v>0</v>
      </c>
      <c r="BP516" s="2">
        <f>BK516/SUMIFS(BK$3:BK$623,$BC$3:$BC$623,1,$G$3:$G$623,$G516)</f>
        <v>0</v>
      </c>
      <c r="BQ516" s="2">
        <f>BL516</f>
        <v>0.25</v>
      </c>
      <c r="BR516" s="2">
        <f>BM516</f>
        <v>0</v>
      </c>
    </row>
    <row r="517" spans="1:70" hidden="1">
      <c r="A517" s="74">
        <v>0</v>
      </c>
      <c r="B517" s="73">
        <v>204784</v>
      </c>
      <c r="C517" s="73" t="s">
        <v>3033</v>
      </c>
      <c r="D517" s="73" t="s">
        <v>3034</v>
      </c>
      <c r="E517" s="73" t="s">
        <v>3035</v>
      </c>
      <c r="F517" s="73">
        <v>18706</v>
      </c>
      <c r="G517" s="73" t="s">
        <v>895</v>
      </c>
      <c r="H517" s="73" t="s">
        <v>907</v>
      </c>
      <c r="I517" s="73" t="s">
        <v>1012</v>
      </c>
      <c r="J517" s="73">
        <v>0</v>
      </c>
      <c r="K517" s="73">
        <v>4</v>
      </c>
      <c r="L517" s="73">
        <v>0</v>
      </c>
      <c r="M517" s="73">
        <v>0</v>
      </c>
      <c r="N517" s="73">
        <v>0</v>
      </c>
      <c r="O517" s="73" t="s">
        <v>1318</v>
      </c>
      <c r="P517" s="73" t="s">
        <v>571</v>
      </c>
      <c r="Q517" s="73" t="s">
        <v>571</v>
      </c>
      <c r="R517" s="73">
        <v>1</v>
      </c>
      <c r="S517" s="73">
        <v>0</v>
      </c>
      <c r="T517" s="73">
        <v>0</v>
      </c>
      <c r="U517" s="73">
        <v>6</v>
      </c>
      <c r="V517" s="73">
        <v>2187</v>
      </c>
      <c r="W517" s="73">
        <v>9</v>
      </c>
      <c r="X517" s="73">
        <v>4</v>
      </c>
      <c r="Y517" s="73">
        <v>1</v>
      </c>
      <c r="Z517" s="73" t="s">
        <v>2066</v>
      </c>
      <c r="AA517" s="73" t="s">
        <v>692</v>
      </c>
      <c r="AB517" s="73" t="str">
        <f>IF(AA517&lt;&gt;"",INDEX(Lookup!$N$2:$N$5,MATCH(Players!AA517,Lookup!$P$2:$P$5,0)),INDEX(Lookup!$N$2:$N$5,MATCH(Players!O517,Lookup!$O$2:$O$5,0)))</f>
        <v>Defense</v>
      </c>
      <c r="AC517" s="73">
        <v>2500000</v>
      </c>
      <c r="AD517" s="73" t="s">
        <v>788</v>
      </c>
      <c r="AE517" s="73" t="str">
        <f>INDEX('Translate table'!$H$2:$H$622,MATCH(Players!P517,'Translate table'!$G$2:$G$622,0))</f>
        <v>Liam Cooper</v>
      </c>
      <c r="AF517" s="73">
        <f>IFERROR(INDEX('Euro Qual stats'!$A$1:$L$2071,MATCH(Players!$AE517,'Euro Qual stats'!$A$1:$A$2071,0),MATCH(Players!AF$2,'Euro Qual stats'!$A$1:$L$1,0)),0)</f>
        <v>3</v>
      </c>
      <c r="AG517" s="73">
        <f>IFERROR(INDEX('Euro Qual stats'!$A$1:$L$2071,MATCH(Players!$AE517,'Euro Qual stats'!$A$1:$A$2071,0),MATCH(Players!AG$2,'Euro Qual stats'!$A$1:$L$1,0)),0)</f>
        <v>0</v>
      </c>
      <c r="AH517" s="73">
        <f>IFERROR(INDEX('Euro Qual stats'!$A$1:$L$2071,MATCH(Players!$AE517,'Euro Qual stats'!$A$1:$A$2071,0),MATCH(Players!AH$2,'Euro Qual stats'!$A$1:$L$1,0)),0)</f>
        <v>0</v>
      </c>
      <c r="AI517" s="73">
        <f>IFERROR(INDEX('Euro Qual stats'!$A$1:$L$2071,MATCH(Players!$AE517,'Euro Qual stats'!$A$1:$A$2071,0),MATCH(Players!AI$2,'Euro Qual stats'!$A$1:$L$1,0)),0)</f>
        <v>0.33</v>
      </c>
      <c r="AJ517" s="93">
        <f>(12-AF517)/12*INDEX(BV$9:BV$12,MATCH($AB517,$BU$9:$BU$12,0))+AF517/12*AG517</f>
        <v>6.6881868131868152E-2</v>
      </c>
      <c r="AK517" s="93">
        <f>(12-AG517)/12*INDEX(BW$9:BW$12,MATCH($AB517,$BU$9:$BU$12,0))+AG517/12*AH517</f>
        <v>0.10357142857142858</v>
      </c>
      <c r="AL517" s="93">
        <f>(12-AH517)/12*INDEX(BX$9:BX$12,MATCH($AB517,$BU$9:$BU$12,0))+AH517/12*AI517</f>
        <v>0.19357142857142848</v>
      </c>
      <c r="AM517" s="93">
        <f>IF($BC517=1,AJ517/SUMIFS(AJ$3:AJ$623,$BC$3:$BC$623,1,$G$3:$G$623,$G517),0)</f>
        <v>0</v>
      </c>
      <c r="AN517" s="93">
        <f>IF($BC517=1,AK517/SUMIFS(AK$3:AK$623,$BC$3:$BC$623,1,$G$3:$G$623,$G517),0)</f>
        <v>0</v>
      </c>
      <c r="AO517" s="93">
        <f>IF($BC517=1,AL517/SUMIFS(AL$3:AL$623,$BC$3:$BC$623,1,$G$3:$G$623,$G517),0)</f>
        <v>0</v>
      </c>
      <c r="AP517" s="2">
        <f>IFERROR(R517/$V517*90,"")</f>
        <v>4.1152263374485597E-2</v>
      </c>
      <c r="AQ517" s="2">
        <f>IFERROR(S517/$V517*90,"")</f>
        <v>0</v>
      </c>
      <c r="AR517" s="2">
        <f>IFERROR(W517/$V517*90,"")</f>
        <v>0.37037037037037041</v>
      </c>
      <c r="AS517" s="2">
        <f>IFERROR(X517/$V517*90,"")</f>
        <v>0.16460905349794239</v>
      </c>
      <c r="AT517" s="2">
        <f>IFERROR(Y517/$V517*90,"")</f>
        <v>4.1152263374485597E-2</v>
      </c>
      <c r="AU517" s="2">
        <f>IF(AP517="",INDEX(BV$4:BV$7,MATCH(O517,$BU$4:$BU$7,0)),AP517)</f>
        <v>4.1152263374485597E-2</v>
      </c>
      <c r="AV517" s="2">
        <f>IF(AQ517="",INDEX(BW$4:BW$7,MATCH($O517,$BU$4:$BU$7,0)),AQ517)</f>
        <v>0</v>
      </c>
      <c r="AW517" s="2">
        <f t="shared" si="96"/>
        <v>0.37037037037037041</v>
      </c>
      <c r="AX517" s="2">
        <f t="shared" si="97"/>
        <v>0.16460905349794239</v>
      </c>
      <c r="AY517" s="2">
        <f t="shared" si="98"/>
        <v>4.1152263374485597E-2</v>
      </c>
      <c r="AZ517" s="2">
        <f>AU517*0.5+AK517*0.5</f>
        <v>7.2361845972957084E-2</v>
      </c>
      <c r="BA517" s="2">
        <f>AV517*0.5+AJ517*0.5</f>
        <v>3.3440934065934076E-2</v>
      </c>
      <c r="BB517" s="2">
        <f t="shared" si="99"/>
        <v>0.24730452674897119</v>
      </c>
      <c r="BC517">
        <f>IF(I517="expected",1,0)</f>
        <v>0</v>
      </c>
      <c r="BD517" s="78">
        <f>IF(BC517=1,AZ517/SUMIFS(AZ$3:AZ$623,$BC$3:$BC$623,1,$G$3:$G$623,$G517),0)</f>
        <v>0</v>
      </c>
      <c r="BE517" s="78">
        <f>IF(BC517=1,BA517/SUMIFS(BA$3:BA$623,$BC$3:$BC$623,1,$G$3:$G$623,$G517),0)</f>
        <v>0</v>
      </c>
      <c r="BF517" s="78">
        <f t="shared" si="100"/>
        <v>0</v>
      </c>
      <c r="BG517" s="2">
        <f t="shared" si="101"/>
        <v>0.24730452674897119</v>
      </c>
      <c r="BH517" s="2">
        <f t="shared" si="102"/>
        <v>4.1152263374485597E-2</v>
      </c>
      <c r="BI517" s="2">
        <f t="shared" si="103"/>
        <v>0</v>
      </c>
      <c r="BJ517" s="2">
        <f t="shared" si="104"/>
        <v>0</v>
      </c>
      <c r="BK517" s="2">
        <f t="shared" si="105"/>
        <v>0</v>
      </c>
      <c r="BL517" s="2">
        <f t="shared" si="106"/>
        <v>0.24730452674897119</v>
      </c>
      <c r="BM517" s="2">
        <f t="shared" si="107"/>
        <v>4.1152263374485597E-2</v>
      </c>
      <c r="BN517" s="2">
        <f>BI517/SUMIFS(BI$3:BI$623,$BC$3:$BC$623,1,$G$3:$G$623,$G517)</f>
        <v>0</v>
      </c>
      <c r="BO517" s="2">
        <f>BJ517/SUMIFS(BJ$3:BJ$623,$BC$3:$BC$623,1,$G$3:$G$623,$G517)</f>
        <v>0</v>
      </c>
      <c r="BP517" s="2">
        <f>BK517/SUMIFS(BK$3:BK$623,$BC$3:$BC$623,1,$G$3:$G$623,$G517)</f>
        <v>0</v>
      </c>
      <c r="BQ517" s="2">
        <f>BL517</f>
        <v>0.24730452674897119</v>
      </c>
      <c r="BR517" s="2">
        <f>BM517</f>
        <v>4.1152263374485597E-2</v>
      </c>
    </row>
    <row r="518" spans="1:70" hidden="1">
      <c r="A518" s="74">
        <v>0</v>
      </c>
      <c r="B518" s="73">
        <v>222225</v>
      </c>
      <c r="C518" s="73" t="s">
        <v>3036</v>
      </c>
      <c r="D518" s="73" t="s">
        <v>1630</v>
      </c>
      <c r="E518" s="73" t="s">
        <v>3037</v>
      </c>
      <c r="F518" s="73">
        <v>18706</v>
      </c>
      <c r="G518" s="73" t="s">
        <v>895</v>
      </c>
      <c r="H518" s="73" t="s">
        <v>907</v>
      </c>
      <c r="I518" s="73" t="s">
        <v>1012</v>
      </c>
      <c r="J518" s="73">
        <v>0</v>
      </c>
      <c r="K518" s="73">
        <v>4</v>
      </c>
      <c r="L518" s="73">
        <v>0</v>
      </c>
      <c r="M518" s="73">
        <v>0</v>
      </c>
      <c r="N518" s="73">
        <v>0</v>
      </c>
      <c r="O518" s="73" t="s">
        <v>994</v>
      </c>
      <c r="P518" s="73" t="s">
        <v>3038</v>
      </c>
      <c r="Q518" s="73" t="s">
        <v>3039</v>
      </c>
      <c r="R518" s="73">
        <v>0</v>
      </c>
      <c r="S518" s="73">
        <v>1</v>
      </c>
      <c r="T518" s="73">
        <v>0</v>
      </c>
      <c r="U518" s="73">
        <v>0</v>
      </c>
      <c r="V518" s="73">
        <v>344</v>
      </c>
      <c r="W518" s="73">
        <v>0</v>
      </c>
      <c r="X518" s="73">
        <v>1</v>
      </c>
      <c r="Y518" s="73">
        <v>0</v>
      </c>
      <c r="Z518" s="73" t="s">
        <v>2066</v>
      </c>
      <c r="AA518" s="73" t="s">
        <v>693</v>
      </c>
      <c r="AB518" s="73" t="str">
        <f>IF(AA518&lt;&gt;"",INDEX(Lookup!$N$2:$N$5,MATCH(Players!AA518,Lookup!$P$2:$P$5,0)),INDEX(Lookup!$N$2:$N$5,MATCH(Players!O518,Lookup!$O$2:$O$5,0)))</f>
        <v>Striker</v>
      </c>
      <c r="AC518" s="73">
        <v>2500000</v>
      </c>
      <c r="AD518" s="73" t="s">
        <v>788</v>
      </c>
      <c r="AE518" s="73" t="str">
        <f>INDEX('Translate table'!$H$2:$H$622,MATCH(Players!P518,'Translate table'!$G$2:$G$622,0))</f>
        <v>James Forrest</v>
      </c>
      <c r="AF518" s="73">
        <f>IFERROR(INDEX('Euro Qual stats'!$A$1:$L$2071,MATCH(Players!$AE518,'Euro Qual stats'!$A$1:$A$2071,0),MATCH(Players!AF$2,'Euro Qual stats'!$A$1:$L$1,0)),0)</f>
        <v>8</v>
      </c>
      <c r="AG518" s="73">
        <f>IFERROR(INDEX('Euro Qual stats'!$A$1:$L$2071,MATCH(Players!$AE518,'Euro Qual stats'!$A$1:$A$2071,0),MATCH(Players!AG$2,'Euro Qual stats'!$A$1:$L$1,0)),0)</f>
        <v>0.17</v>
      </c>
      <c r="AH518" s="73">
        <f>IFERROR(INDEX('Euro Qual stats'!$A$1:$L$2071,MATCH(Players!$AE518,'Euro Qual stats'!$A$1:$A$2071,0),MATCH(Players!AH$2,'Euro Qual stats'!$A$1:$L$1,0)),0)</f>
        <v>0</v>
      </c>
      <c r="AI518" s="73">
        <f>IFERROR(INDEX('Euro Qual stats'!$A$1:$L$2071,MATCH(Players!$AE518,'Euro Qual stats'!$A$1:$A$2071,0),MATCH(Players!AI$2,'Euro Qual stats'!$A$1:$L$1,0)),0)</f>
        <v>0</v>
      </c>
      <c r="AJ518" s="93">
        <f>(12-AF518)/12*INDEX(BV$9:BV$12,MATCH($AB518,$BU$9:$BU$12,0))+AF518/12*AG518</f>
        <v>0.18163793103448278</v>
      </c>
      <c r="AK518" s="93">
        <f>(12-AG518)/12*INDEX(BW$9:BW$12,MATCH($AB518,$BU$9:$BU$12,0))+AG518/12*AH518</f>
        <v>0.52631602011494238</v>
      </c>
      <c r="AL518" s="93">
        <f>(12-AH518)/12*INDEX(BX$9:BX$12,MATCH($AB518,$BU$9:$BU$12,0))+AH518/12*AI518</f>
        <v>0.16482758620689658</v>
      </c>
      <c r="AM518" s="93">
        <f>IF($BC518=1,AJ518/SUMIFS(AJ$3:AJ$623,$BC$3:$BC$623,1,$G$3:$G$623,$G518),0)</f>
        <v>0</v>
      </c>
      <c r="AN518" s="93">
        <f>IF($BC518=1,AK518/SUMIFS(AK$3:AK$623,$BC$3:$BC$623,1,$G$3:$G$623,$G518),0)</f>
        <v>0</v>
      </c>
      <c r="AO518" s="93">
        <f>IF($BC518=1,AL518/SUMIFS(AL$3:AL$623,$BC$3:$BC$623,1,$G$3:$G$623,$G518),0)</f>
        <v>0</v>
      </c>
      <c r="AP518" s="2">
        <f>IFERROR(R518/$V518*90,"")</f>
        <v>0</v>
      </c>
      <c r="AQ518" s="2">
        <f>IFERROR(S518/$V518*90,"")</f>
        <v>0.26162790697674421</v>
      </c>
      <c r="AR518" s="2">
        <f>IFERROR(W518/$V518*90,"")</f>
        <v>0</v>
      </c>
      <c r="AS518" s="2">
        <f>IFERROR(X518/$V518*90,"")</f>
        <v>0.26162790697674421</v>
      </c>
      <c r="AT518" s="2">
        <f>IFERROR(Y518/$V518*90,"")</f>
        <v>0</v>
      </c>
      <c r="AU518" s="2">
        <f>IF(AP518="",INDEX(BV$4:BV$7,MATCH(O518,$BU$4:$BU$7,0)),AP518)</f>
        <v>0</v>
      </c>
      <c r="AV518" s="2">
        <f>IF(AQ518="",INDEX(BW$4:BW$7,MATCH($O518,$BU$4:$BU$7,0)),AQ518)</f>
        <v>0.26162790697674421</v>
      </c>
      <c r="AW518" s="2">
        <f t="shared" si="96"/>
        <v>0</v>
      </c>
      <c r="AX518" s="2">
        <f t="shared" si="97"/>
        <v>0.26162790697674421</v>
      </c>
      <c r="AY518" s="2">
        <f t="shared" si="98"/>
        <v>0</v>
      </c>
      <c r="AZ518" s="2">
        <f>AU518*0.5+AK518*0.5</f>
        <v>0.26315801005747119</v>
      </c>
      <c r="BA518" s="2">
        <f>AV518*0.5+AJ518*0.5</f>
        <v>0.22163291900561349</v>
      </c>
      <c r="BB518" s="2">
        <f t="shared" si="99"/>
        <v>0.1308139534883721</v>
      </c>
      <c r="BC518">
        <f>IF(I518="expected",1,0)</f>
        <v>0</v>
      </c>
      <c r="BD518" s="78">
        <f>IF(BC518=1,AZ518/SUMIFS(AZ$3:AZ$623,$BC$3:$BC$623,1,$G$3:$G$623,$G518),0)</f>
        <v>0</v>
      </c>
      <c r="BE518" s="78">
        <f>IF(BC518=1,BA518/SUMIFS(BA$3:BA$623,$BC$3:$BC$623,1,$G$3:$G$623,$G518),0)</f>
        <v>0</v>
      </c>
      <c r="BF518" s="78">
        <f t="shared" si="100"/>
        <v>0</v>
      </c>
      <c r="BG518" s="2">
        <f t="shared" si="101"/>
        <v>0.1308139534883721</v>
      </c>
      <c r="BH518" s="2">
        <f t="shared" si="102"/>
        <v>0</v>
      </c>
      <c r="BI518" s="2">
        <f t="shared" si="103"/>
        <v>0</v>
      </c>
      <c r="BJ518" s="2">
        <f t="shared" si="104"/>
        <v>0</v>
      </c>
      <c r="BK518" s="2">
        <f t="shared" si="105"/>
        <v>0</v>
      </c>
      <c r="BL518" s="2">
        <f t="shared" si="106"/>
        <v>0.1308139534883721</v>
      </c>
      <c r="BM518" s="2">
        <f t="shared" si="107"/>
        <v>0</v>
      </c>
      <c r="BN518" s="2">
        <f>BI518/SUMIFS(BI$3:BI$623,$BC$3:$BC$623,1,$G$3:$G$623,$G518)</f>
        <v>0</v>
      </c>
      <c r="BO518" s="2">
        <f>BJ518/SUMIFS(BJ$3:BJ$623,$BC$3:$BC$623,1,$G$3:$G$623,$G518)</f>
        <v>0</v>
      </c>
      <c r="BP518" s="2">
        <f>BK518/SUMIFS(BK$3:BK$623,$BC$3:$BC$623,1,$G$3:$G$623,$G518)</f>
        <v>0</v>
      </c>
      <c r="BQ518" s="2">
        <f>BL518</f>
        <v>0.1308139534883721</v>
      </c>
      <c r="BR518" s="2">
        <f>BM518</f>
        <v>0</v>
      </c>
    </row>
    <row r="519" spans="1:70" hidden="1">
      <c r="A519" s="74">
        <v>0</v>
      </c>
      <c r="B519" s="73">
        <v>221544</v>
      </c>
      <c r="C519" s="73" t="s">
        <v>3040</v>
      </c>
      <c r="D519" s="73" t="s">
        <v>3041</v>
      </c>
      <c r="E519" s="73" t="s">
        <v>3042</v>
      </c>
      <c r="F519" s="73">
        <v>18706</v>
      </c>
      <c r="G519" s="73" t="s">
        <v>895</v>
      </c>
      <c r="H519" s="73" t="s">
        <v>907</v>
      </c>
      <c r="I519" s="73" t="s">
        <v>1012</v>
      </c>
      <c r="J519" s="73">
        <v>0</v>
      </c>
      <c r="K519" s="73">
        <v>4</v>
      </c>
      <c r="L519" s="73">
        <v>0</v>
      </c>
      <c r="M519" s="73">
        <v>0</v>
      </c>
      <c r="N519" s="73">
        <v>0</v>
      </c>
      <c r="O519" s="73" t="s">
        <v>994</v>
      </c>
      <c r="P519" s="73" t="s">
        <v>3043</v>
      </c>
      <c r="Q519" s="73" t="s">
        <v>3044</v>
      </c>
      <c r="R519" s="73">
        <v>0</v>
      </c>
      <c r="S519" s="73">
        <v>0</v>
      </c>
      <c r="T519" s="73">
        <v>0</v>
      </c>
      <c r="U519" s="73">
        <v>0</v>
      </c>
      <c r="V519" s="73">
        <v>0</v>
      </c>
      <c r="W519" s="73">
        <v>0</v>
      </c>
      <c r="X519" s="73">
        <v>1</v>
      </c>
      <c r="Y519" s="73">
        <v>0</v>
      </c>
      <c r="Z519" s="73" t="s">
        <v>2066</v>
      </c>
      <c r="AA519" s="73" t="s">
        <v>691</v>
      </c>
      <c r="AB519" s="73" t="str">
        <f>IF(AA519&lt;&gt;"",INDEX(Lookup!$N$2:$N$5,MATCH(Players!AA519,Lookup!$P$2:$P$5,0)),INDEX(Lookup!$N$2:$N$5,MATCH(Players!O519,Lookup!$O$2:$O$5,0)))</f>
        <v>Midfield</v>
      </c>
      <c r="AC519" s="73">
        <v>2000000</v>
      </c>
      <c r="AD519" s="73" t="s">
        <v>789</v>
      </c>
      <c r="AE519" s="73" t="str">
        <f>INDEX('Translate table'!$H$2:$H$622,MATCH(Players!P519,'Translate table'!$G$2:$G$622,0))</f>
        <v>DÃ¡vid Hancko</v>
      </c>
      <c r="AF519" s="73">
        <f>IFERROR(INDEX('Euro Qual stats'!$A$1:$L$2071,MATCH(Players!$AE519,'Euro Qual stats'!$A$1:$A$2071,0),MATCH(Players!AF$2,'Euro Qual stats'!$A$1:$L$1,0)),0)</f>
        <v>8</v>
      </c>
      <c r="AG519" s="73">
        <f>IFERROR(INDEX('Euro Qual stats'!$A$1:$L$2071,MATCH(Players!$AE519,'Euro Qual stats'!$A$1:$A$2071,0),MATCH(Players!AG$2,'Euro Qual stats'!$A$1:$L$1,0)),0)</f>
        <v>0</v>
      </c>
      <c r="AH519" s="73">
        <f>IFERROR(INDEX('Euro Qual stats'!$A$1:$L$2071,MATCH(Players!$AE519,'Euro Qual stats'!$A$1:$A$2071,0),MATCH(Players!AH$2,'Euro Qual stats'!$A$1:$L$1,0)),0)</f>
        <v>0.13</v>
      </c>
      <c r="AI519" s="73">
        <f>IFERROR(INDEX('Euro Qual stats'!$A$1:$L$2071,MATCH(Players!$AE519,'Euro Qual stats'!$A$1:$A$2071,0),MATCH(Players!AI$2,'Euro Qual stats'!$A$1:$L$1,0)),0)</f>
        <v>0</v>
      </c>
      <c r="AJ519" s="93">
        <f>(12-AF519)/12*INDEX(BV$9:BV$12,MATCH($AB519,$BU$9:$BU$12,0))+AF519/12*AG519</f>
        <v>5.6230366492146591E-2</v>
      </c>
      <c r="AK519" s="93">
        <f>(12-AG519)/12*INDEX(BW$9:BW$12,MATCH($AB519,$BU$9:$BU$12,0))+AG519/12*AH519</f>
        <v>0.22340314136125652</v>
      </c>
      <c r="AL519" s="93">
        <f>(12-AH519)/12*INDEX(BX$9:BX$12,MATCH($AB519,$BU$9:$BU$12,0))+AH519/12*AI519</f>
        <v>0.23683032286212916</v>
      </c>
      <c r="AM519" s="93">
        <f>IF($BC519=1,AJ519/SUMIFS(AJ$3:AJ$623,$BC$3:$BC$623,1,$G$3:$G$623,$G519),0)</f>
        <v>0</v>
      </c>
      <c r="AN519" s="93">
        <f>IF($BC519=1,AK519/SUMIFS(AK$3:AK$623,$BC$3:$BC$623,1,$G$3:$G$623,$G519),0)</f>
        <v>0</v>
      </c>
      <c r="AO519" s="93">
        <f>IF($BC519=1,AL519/SUMIFS(AL$3:AL$623,$BC$3:$BC$623,1,$G$3:$G$623,$G519),0)</f>
        <v>0</v>
      </c>
      <c r="AP519" s="2" t="str">
        <f>IFERROR(R519/$V519*90,"")</f>
        <v/>
      </c>
      <c r="AQ519" s="2" t="str">
        <f>IFERROR(S519/$V519*90,"")</f>
        <v/>
      </c>
      <c r="AR519" s="2" t="str">
        <f>IFERROR(W519/$V519*90,"")</f>
        <v/>
      </c>
      <c r="AS519" s="2" t="str">
        <f>IFERROR(X519/$V519*90,"")</f>
        <v/>
      </c>
      <c r="AT519" s="2" t="str">
        <f>IFERROR(Y519/$V519*90,"")</f>
        <v/>
      </c>
      <c r="AU519" s="2">
        <f>IF(AP519="",INDEX(BV$4:BV$7,MATCH(O519,$BU$4:$BU$7,0)),AP519)</f>
        <v>3.6526142445450806E-2</v>
      </c>
      <c r="AV519" s="2">
        <f>IF(AQ519="",INDEX(BW$4:BW$7,MATCH($O519,$BU$4:$BU$7,0)),AQ519)</f>
        <v>3.2427739661688867E-2</v>
      </c>
      <c r="AW519" s="2">
        <f t="shared" si="96"/>
        <v>0.20013349649571699</v>
      </c>
      <c r="AX519" s="2">
        <f t="shared" si="97"/>
        <v>0.16081000595592615</v>
      </c>
      <c r="AY519" s="2">
        <f t="shared" si="98"/>
        <v>0</v>
      </c>
      <c r="AZ519" s="2">
        <f>AU519*0.5+AK519*0.5</f>
        <v>0.12996464190335366</v>
      </c>
      <c r="BA519" s="2">
        <f>AV519*0.5+AJ519*0.5</f>
        <v>4.4329053076917729E-2</v>
      </c>
      <c r="BB519" s="2">
        <f t="shared" si="99"/>
        <v>8.0405002977963075E-2</v>
      </c>
      <c r="BC519">
        <f>IF(I519="expected",1,0)</f>
        <v>0</v>
      </c>
      <c r="BD519" s="78">
        <f>IF(BC519=1,AZ519/SUMIFS(AZ$3:AZ$623,$BC$3:$BC$623,1,$G$3:$G$623,$G519),0)</f>
        <v>0</v>
      </c>
      <c r="BE519" s="78">
        <f>IF(BC519=1,BA519/SUMIFS(BA$3:BA$623,$BC$3:$BC$623,1,$G$3:$G$623,$G519),0)</f>
        <v>0</v>
      </c>
      <c r="BF519" s="78">
        <f t="shared" si="100"/>
        <v>0</v>
      </c>
      <c r="BG519" s="2">
        <f t="shared" si="101"/>
        <v>8.0405002977963075E-2</v>
      </c>
      <c r="BH519" s="2">
        <f t="shared" si="102"/>
        <v>0</v>
      </c>
      <c r="BI519" s="2">
        <f t="shared" si="103"/>
        <v>0</v>
      </c>
      <c r="BJ519" s="2">
        <f t="shared" si="104"/>
        <v>0</v>
      </c>
      <c r="BK519" s="2">
        <f t="shared" si="105"/>
        <v>0</v>
      </c>
      <c r="BL519" s="2">
        <f t="shared" si="106"/>
        <v>8.0405002977963075E-2</v>
      </c>
      <c r="BM519" s="2">
        <f t="shared" si="107"/>
        <v>0</v>
      </c>
      <c r="BN519" s="2">
        <f>BI519/SUMIFS(BI$3:BI$623,$BC$3:$BC$623,1,$G$3:$G$623,$G519)</f>
        <v>0</v>
      </c>
      <c r="BO519" s="2">
        <f>BJ519/SUMIFS(BJ$3:BJ$623,$BC$3:$BC$623,1,$G$3:$G$623,$G519)</f>
        <v>0</v>
      </c>
      <c r="BP519" s="2">
        <f>BK519/SUMIFS(BK$3:BK$623,$BC$3:$BC$623,1,$G$3:$G$623,$G519)</f>
        <v>0</v>
      </c>
      <c r="BQ519" s="2">
        <f>BL519</f>
        <v>8.0405002977963075E-2</v>
      </c>
      <c r="BR519" s="2">
        <f>BM519</f>
        <v>0</v>
      </c>
    </row>
    <row r="520" spans="1:70" hidden="1">
      <c r="A520" s="74">
        <v>0</v>
      </c>
      <c r="B520" s="73">
        <v>221543</v>
      </c>
      <c r="C520" s="73" t="s">
        <v>3045</v>
      </c>
      <c r="D520" s="73" t="s">
        <v>3046</v>
      </c>
      <c r="E520" s="73" t="s">
        <v>3047</v>
      </c>
      <c r="F520" s="73">
        <v>18706</v>
      </c>
      <c r="G520" s="73" t="s">
        <v>895</v>
      </c>
      <c r="H520" s="73" t="s">
        <v>907</v>
      </c>
      <c r="I520" s="73" t="s">
        <v>1012</v>
      </c>
      <c r="J520" s="73">
        <v>0</v>
      </c>
      <c r="K520" s="73">
        <v>4</v>
      </c>
      <c r="L520" s="73">
        <v>0</v>
      </c>
      <c r="M520" s="73">
        <v>0</v>
      </c>
      <c r="N520" s="73">
        <v>0</v>
      </c>
      <c r="O520" s="73" t="s">
        <v>994</v>
      </c>
      <c r="P520" s="73" t="s">
        <v>3048</v>
      </c>
      <c r="Q520" s="73" t="s">
        <v>265</v>
      </c>
      <c r="R520" s="73">
        <v>0</v>
      </c>
      <c r="S520" s="73">
        <v>0</v>
      </c>
      <c r="T520" s="73">
        <v>0</v>
      </c>
      <c r="U520" s="73">
        <v>1</v>
      </c>
      <c r="V520" s="73">
        <v>259</v>
      </c>
      <c r="W520" s="73">
        <v>0</v>
      </c>
      <c r="X520" s="73">
        <v>0</v>
      </c>
      <c r="Y520" s="73">
        <v>0</v>
      </c>
      <c r="Z520" s="73" t="s">
        <v>2066</v>
      </c>
      <c r="AA520" s="73" t="s">
        <v>691</v>
      </c>
      <c r="AB520" s="73" t="str">
        <f>IF(AA520&lt;&gt;"",INDEX(Lookup!$N$2:$N$5,MATCH(Players!AA520,Lookup!$P$2:$P$5,0)),INDEX(Lookup!$N$2:$N$5,MATCH(Players!O520,Lookup!$O$2:$O$5,0)))</f>
        <v>Midfield</v>
      </c>
      <c r="AC520" s="73">
        <v>2500000</v>
      </c>
      <c r="AD520" s="73" t="s">
        <v>789</v>
      </c>
      <c r="AE520" s="73">
        <f>INDEX('Translate table'!$H$2:$H$622,MATCH(Players!P520,'Translate table'!$G$2:$G$622,0))</f>
        <v>0</v>
      </c>
      <c r="AF520" s="73">
        <f>IFERROR(INDEX('Euro Qual stats'!$A$1:$L$2071,MATCH(Players!$AE520,'Euro Qual stats'!$A$1:$A$2071,0),MATCH(Players!AF$2,'Euro Qual stats'!$A$1:$L$1,0)),0)</f>
        <v>0</v>
      </c>
      <c r="AG520" s="73">
        <f>IFERROR(INDEX('Euro Qual stats'!$A$1:$L$2071,MATCH(Players!$AE520,'Euro Qual stats'!$A$1:$A$2071,0),MATCH(Players!AG$2,'Euro Qual stats'!$A$1:$L$1,0)),0)</f>
        <v>0</v>
      </c>
      <c r="AH520" s="73">
        <f>IFERROR(INDEX('Euro Qual stats'!$A$1:$L$2071,MATCH(Players!$AE520,'Euro Qual stats'!$A$1:$A$2071,0),MATCH(Players!AH$2,'Euro Qual stats'!$A$1:$L$1,0)),0)</f>
        <v>0</v>
      </c>
      <c r="AI520" s="73">
        <f>IFERROR(INDEX('Euro Qual stats'!$A$1:$L$2071,MATCH(Players!$AE520,'Euro Qual stats'!$A$1:$A$2071,0),MATCH(Players!AI$2,'Euro Qual stats'!$A$1:$L$1,0)),0)</f>
        <v>0</v>
      </c>
      <c r="AJ520" s="93">
        <f>(12-AF520)/12*INDEX(BV$9:BV$12,MATCH($AB520,$BU$9:$BU$12,0))+AF520/12*AG520</f>
        <v>0.16869109947643979</v>
      </c>
      <c r="AK520" s="93">
        <f>(12-AG520)/12*INDEX(BW$9:BW$12,MATCH($AB520,$BU$9:$BU$12,0))+AG520/12*AH520</f>
        <v>0.22340314136125652</v>
      </c>
      <c r="AL520" s="93">
        <f>(12-AH520)/12*INDEX(BX$9:BX$12,MATCH($AB520,$BU$9:$BU$12,0))+AH520/12*AI520</f>
        <v>0.23942408376963353</v>
      </c>
      <c r="AM520" s="93">
        <f>IF($BC520=1,AJ520/SUMIFS(AJ$3:AJ$623,$BC$3:$BC$623,1,$G$3:$G$623,$G520),0)</f>
        <v>0</v>
      </c>
      <c r="AN520" s="93">
        <f>IF($BC520=1,AK520/SUMIFS(AK$3:AK$623,$BC$3:$BC$623,1,$G$3:$G$623,$G520),0)</f>
        <v>0</v>
      </c>
      <c r="AO520" s="93">
        <f>IF($BC520=1,AL520/SUMIFS(AL$3:AL$623,$BC$3:$BC$623,1,$G$3:$G$623,$G520),0)</f>
        <v>0</v>
      </c>
      <c r="AP520" s="2">
        <f>IFERROR(R520/$V520*90,"")</f>
        <v>0</v>
      </c>
      <c r="AQ520" s="2">
        <f>IFERROR(S520/$V520*90,"")</f>
        <v>0</v>
      </c>
      <c r="AR520" s="2">
        <f>IFERROR(W520/$V520*90,"")</f>
        <v>0</v>
      </c>
      <c r="AS520" s="2">
        <f>IFERROR(X520/$V520*90,"")</f>
        <v>0</v>
      </c>
      <c r="AT520" s="2">
        <f>IFERROR(Y520/$V520*90,"")</f>
        <v>0</v>
      </c>
      <c r="AU520" s="2">
        <f>IF(AP520="",INDEX(BV$4:BV$7,MATCH(O520,$BU$4:$BU$7,0)),AP520)</f>
        <v>0</v>
      </c>
      <c r="AV520" s="2">
        <f>IF(AQ520="",INDEX(BW$4:BW$7,MATCH($O520,$BU$4:$BU$7,0)),AQ520)</f>
        <v>0</v>
      </c>
      <c r="AW520" s="2">
        <f t="shared" si="96"/>
        <v>0</v>
      </c>
      <c r="AX520" s="2">
        <f t="shared" si="97"/>
        <v>0</v>
      </c>
      <c r="AY520" s="2">
        <f t="shared" si="98"/>
        <v>0</v>
      </c>
      <c r="AZ520" s="2">
        <f>AU520*0.5+AK520*0.5</f>
        <v>0.11170157068062826</v>
      </c>
      <c r="BA520" s="2">
        <f>AV520*0.5+AJ520*0.5</f>
        <v>8.4345549738219894E-2</v>
      </c>
      <c r="BB520" s="2">
        <f t="shared" si="99"/>
        <v>0</v>
      </c>
      <c r="BC520">
        <f>IF(I520="expected",1,0)</f>
        <v>0</v>
      </c>
      <c r="BD520" s="78">
        <f>IF(BC520=1,AZ520/SUMIFS(AZ$3:AZ$623,$BC$3:$BC$623,1,$G$3:$G$623,$G520),0)</f>
        <v>0</v>
      </c>
      <c r="BE520" s="78">
        <f>IF(BC520=1,BA520/SUMIFS(BA$3:BA$623,$BC$3:$BC$623,1,$G$3:$G$623,$G520),0)</f>
        <v>0</v>
      </c>
      <c r="BF520" s="78">
        <f t="shared" si="100"/>
        <v>0</v>
      </c>
      <c r="BG520" s="2">
        <f t="shared" si="101"/>
        <v>0</v>
      </c>
      <c r="BH520" s="2">
        <f t="shared" si="102"/>
        <v>0</v>
      </c>
      <c r="BI520" s="2">
        <f t="shared" si="103"/>
        <v>0</v>
      </c>
      <c r="BJ520" s="2">
        <f t="shared" si="104"/>
        <v>0</v>
      </c>
      <c r="BK520" s="2">
        <f t="shared" si="105"/>
        <v>0</v>
      </c>
      <c r="BL520" s="2">
        <f t="shared" si="106"/>
        <v>0</v>
      </c>
      <c r="BM520" s="2">
        <f t="shared" si="107"/>
        <v>0</v>
      </c>
      <c r="BN520" s="2">
        <f>BI520/SUMIFS(BI$3:BI$623,$BC$3:$BC$623,1,$G$3:$G$623,$G520)</f>
        <v>0</v>
      </c>
      <c r="BO520" s="2">
        <f>BJ520/SUMIFS(BJ$3:BJ$623,$BC$3:$BC$623,1,$G$3:$G$623,$G520)</f>
        <v>0</v>
      </c>
      <c r="BP520" s="2">
        <f>BK520/SUMIFS(BK$3:BK$623,$BC$3:$BC$623,1,$G$3:$G$623,$G520)</f>
        <v>0</v>
      </c>
      <c r="BQ520" s="2">
        <f>BL520</f>
        <v>0</v>
      </c>
      <c r="BR520" s="2">
        <f>BM520</f>
        <v>0</v>
      </c>
    </row>
    <row r="521" spans="1:70" hidden="1">
      <c r="A521" s="74">
        <v>0</v>
      </c>
      <c r="B521" s="73">
        <v>222230</v>
      </c>
      <c r="C521" s="73" t="s">
        <v>3049</v>
      </c>
      <c r="D521" s="73" t="s">
        <v>2397</v>
      </c>
      <c r="E521" s="73" t="s">
        <v>3050</v>
      </c>
      <c r="F521" s="73">
        <v>18718</v>
      </c>
      <c r="G521" s="73" t="s">
        <v>882</v>
      </c>
      <c r="H521" s="73" t="s">
        <v>937</v>
      </c>
      <c r="I521" s="73" t="s">
        <v>1012</v>
      </c>
      <c r="J521" s="73">
        <v>0</v>
      </c>
      <c r="K521" s="73">
        <v>4</v>
      </c>
      <c r="L521" s="73">
        <v>0</v>
      </c>
      <c r="M521" s="73">
        <v>0</v>
      </c>
      <c r="N521" s="73">
        <v>0</v>
      </c>
      <c r="O521" s="73" t="s">
        <v>1290</v>
      </c>
      <c r="P521" s="73" t="s">
        <v>3051</v>
      </c>
      <c r="Q521" s="73" t="s">
        <v>3052</v>
      </c>
      <c r="R521" s="73">
        <v>2</v>
      </c>
      <c r="S521" s="73">
        <v>1</v>
      </c>
      <c r="T521" s="73">
        <v>0</v>
      </c>
      <c r="U521" s="73">
        <v>2</v>
      </c>
      <c r="V521" s="73">
        <v>1858</v>
      </c>
      <c r="W521" s="73">
        <v>3</v>
      </c>
      <c r="X521" s="73">
        <v>2</v>
      </c>
      <c r="Y521" s="73">
        <v>0</v>
      </c>
      <c r="Z521" s="73" t="s">
        <v>2082</v>
      </c>
      <c r="AA521" s="73" t="s">
        <v>690</v>
      </c>
      <c r="AB521" s="73" t="str">
        <f>IF(AA521&lt;&gt;"",INDEX(Lookup!$N$2:$N$5,MATCH(Players!AA521,Lookup!$P$2:$P$5,0)),INDEX(Lookup!$N$2:$N$5,MATCH(Players!O521,Lookup!$O$2:$O$5,0)))</f>
        <v>Goalkeeper</v>
      </c>
      <c r="AC521" s="73">
        <v>3000000</v>
      </c>
      <c r="AD521" s="73" t="s">
        <v>788</v>
      </c>
      <c r="AE521" s="73" t="str">
        <f>INDEX('Translate table'!$H$2:$H$622,MATCH(Players!P521,'Translate table'!$G$2:$G$622,0))</f>
        <v>Alen HaliloviÄ‡</v>
      </c>
      <c r="AF521" s="73">
        <f>IFERROR(INDEX('Euro Qual stats'!$A$1:$L$2071,MATCH(Players!$AE521,'Euro Qual stats'!$A$1:$A$2071,0),MATCH(Players!AF$2,'Euro Qual stats'!$A$1:$L$1,0)),0)</f>
        <v>0</v>
      </c>
      <c r="AG521" s="73">
        <f>IFERROR(INDEX('Euro Qual stats'!$A$1:$L$2071,MATCH(Players!$AE521,'Euro Qual stats'!$A$1:$A$2071,0),MATCH(Players!AG$2,'Euro Qual stats'!$A$1:$L$1,0)),0)</f>
        <v>0</v>
      </c>
      <c r="AH521" s="73">
        <f>IFERROR(INDEX('Euro Qual stats'!$A$1:$L$2071,MATCH(Players!$AE521,'Euro Qual stats'!$A$1:$A$2071,0),MATCH(Players!AH$2,'Euro Qual stats'!$A$1:$L$1,0)),0)</f>
        <v>0</v>
      </c>
      <c r="AI521" s="73">
        <f>IFERROR(INDEX('Euro Qual stats'!$A$1:$L$2071,MATCH(Players!$AE521,'Euro Qual stats'!$A$1:$A$2071,0),MATCH(Players!AI$2,'Euro Qual stats'!$A$1:$L$1,0)),0)</f>
        <v>0</v>
      </c>
      <c r="AJ521" s="93">
        <f>(12-AF521)/12*INDEX(BV$9:BV$12,MATCH($AB521,$BU$9:$BU$12,0))+AF521/12*AG521</f>
        <v>0</v>
      </c>
      <c r="AK521" s="93">
        <f>(12-AG521)/12*INDEX(BW$9:BW$12,MATCH($AB521,$BU$9:$BU$12,0))+AG521/12*AH521</f>
        <v>0</v>
      </c>
      <c r="AL521" s="93">
        <f>(12-AH521)/12*INDEX(BX$9:BX$12,MATCH($AB521,$BU$9:$BU$12,0))+AH521/12*AI521</f>
        <v>0</v>
      </c>
      <c r="AM521" s="93">
        <f>IF($BC521=1,AJ521/SUMIFS(AJ$3:AJ$623,$BC$3:$BC$623,1,$G$3:$G$623,$G521),0)</f>
        <v>0</v>
      </c>
      <c r="AN521" s="93">
        <f>IF($BC521=1,AK521/SUMIFS(AK$3:AK$623,$BC$3:$BC$623,1,$G$3:$G$623,$G521),0)</f>
        <v>0</v>
      </c>
      <c r="AO521" s="93">
        <f>IF($BC521=1,AL521/SUMIFS(AL$3:AL$623,$BC$3:$BC$623,1,$G$3:$G$623,$G521),0)</f>
        <v>0</v>
      </c>
      <c r="AP521" s="2">
        <f>IFERROR(R521/$V521*90,"")</f>
        <v>9.6878363832077499E-2</v>
      </c>
      <c r="AQ521" s="2">
        <f>IFERROR(S521/$V521*90,"")</f>
        <v>4.843918191603875E-2</v>
      </c>
      <c r="AR521" s="2">
        <f>IFERROR(W521/$V521*90,"")</f>
        <v>0.14531754574811626</v>
      </c>
      <c r="AS521" s="2">
        <f>IFERROR(X521/$V521*90,"")</f>
        <v>9.6878363832077499E-2</v>
      </c>
      <c r="AT521" s="2">
        <f>IFERROR(Y521/$V521*90,"")</f>
        <v>0</v>
      </c>
      <c r="AU521" s="2">
        <f>IF(AP521="",INDEX(BV$4:BV$7,MATCH(O521,$BU$4:$BU$7,0)),AP521)</f>
        <v>9.6878363832077499E-2</v>
      </c>
      <c r="AV521" s="2">
        <f>IF(AQ521="",INDEX(BW$4:BW$7,MATCH($O521,$BU$4:$BU$7,0)),AQ521)</f>
        <v>4.843918191603875E-2</v>
      </c>
      <c r="AW521" s="2">
        <f t="shared" si="96"/>
        <v>0.14531754574811626</v>
      </c>
      <c r="AX521" s="2">
        <f t="shared" si="97"/>
        <v>9.6878363832077499E-2</v>
      </c>
      <c r="AY521" s="2">
        <f t="shared" si="98"/>
        <v>0</v>
      </c>
      <c r="AZ521" s="2">
        <f>AU521*0.5+AK521*0.5</f>
        <v>4.843918191603875E-2</v>
      </c>
      <c r="BA521" s="2">
        <f>AV521*0.5+AJ521*0.5</f>
        <v>2.4219590958019375E-2</v>
      </c>
      <c r="BB521" s="2">
        <f t="shared" si="99"/>
        <v>4.843918191603875E-2</v>
      </c>
      <c r="BC521">
        <f>IF(I521="expected",1,0)</f>
        <v>0</v>
      </c>
      <c r="BD521" s="78">
        <f>IF(BC521=1,AZ521/SUMIFS(AZ$3:AZ$623,$BC$3:$BC$623,1,$G$3:$G$623,$G521),0)</f>
        <v>0</v>
      </c>
      <c r="BE521" s="78">
        <f>IF(BC521=1,BA521/SUMIFS(BA$3:BA$623,$BC$3:$BC$623,1,$G$3:$G$623,$G521),0)</f>
        <v>0</v>
      </c>
      <c r="BF521" s="78">
        <f t="shared" si="100"/>
        <v>0</v>
      </c>
      <c r="BG521" s="2">
        <f t="shared" si="101"/>
        <v>4.843918191603875E-2</v>
      </c>
      <c r="BH521" s="2">
        <f t="shared" si="102"/>
        <v>0</v>
      </c>
      <c r="BI521" s="2">
        <f t="shared" si="103"/>
        <v>0</v>
      </c>
      <c r="BJ521" s="2">
        <f t="shared" si="104"/>
        <v>0</v>
      </c>
      <c r="BK521" s="2">
        <f t="shared" si="105"/>
        <v>0</v>
      </c>
      <c r="BL521" s="2">
        <f t="shared" si="106"/>
        <v>4.843918191603875E-2</v>
      </c>
      <c r="BM521" s="2">
        <f t="shared" si="107"/>
        <v>0</v>
      </c>
      <c r="BN521" s="2">
        <f>BI521/SUMIFS(BI$3:BI$623,$BC$3:$BC$623,1,$G$3:$G$623,$G521)</f>
        <v>0</v>
      </c>
      <c r="BO521" s="2">
        <f>BJ521/SUMIFS(BJ$3:BJ$623,$BC$3:$BC$623,1,$G$3:$G$623,$G521)</f>
        <v>0</v>
      </c>
      <c r="BP521" s="2">
        <f>BK521/SUMIFS(BK$3:BK$623,$BC$3:$BC$623,1,$G$3:$G$623,$G521)</f>
        <v>0</v>
      </c>
      <c r="BQ521" s="2">
        <f>BL521</f>
        <v>4.843918191603875E-2</v>
      </c>
      <c r="BR521" s="2">
        <f>BM521</f>
        <v>0</v>
      </c>
    </row>
    <row r="522" spans="1:70" hidden="1">
      <c r="A522" s="74">
        <v>0</v>
      </c>
      <c r="B522" s="73">
        <v>204763</v>
      </c>
      <c r="C522" s="73" t="s">
        <v>3053</v>
      </c>
      <c r="D522" s="73" t="s">
        <v>3054</v>
      </c>
      <c r="E522" s="73" t="s">
        <v>3055</v>
      </c>
      <c r="F522" s="73">
        <v>18718</v>
      </c>
      <c r="G522" s="73" t="s">
        <v>882</v>
      </c>
      <c r="H522" s="73" t="s">
        <v>937</v>
      </c>
      <c r="I522" s="73" t="s">
        <v>981</v>
      </c>
      <c r="J522" s="73">
        <v>0</v>
      </c>
      <c r="K522" s="73">
        <v>4</v>
      </c>
      <c r="L522" s="73">
        <v>0</v>
      </c>
      <c r="M522" s="73">
        <v>0</v>
      </c>
      <c r="N522" s="73">
        <v>0</v>
      </c>
      <c r="O522" s="73" t="s">
        <v>1290</v>
      </c>
      <c r="P522" s="73" t="s">
        <v>3056</v>
      </c>
      <c r="Q522" s="73" t="s">
        <v>3056</v>
      </c>
      <c r="R522" s="73">
        <v>0</v>
      </c>
      <c r="S522" s="73">
        <v>0</v>
      </c>
      <c r="T522" s="73">
        <v>106</v>
      </c>
      <c r="U522" s="73">
        <v>6</v>
      </c>
      <c r="V522" s="73">
        <v>3060</v>
      </c>
      <c r="W522" s="73">
        <v>0</v>
      </c>
      <c r="X522" s="73">
        <v>2</v>
      </c>
      <c r="Y522" s="73">
        <v>0</v>
      </c>
      <c r="Z522" s="73" t="s">
        <v>2082</v>
      </c>
      <c r="AA522" s="73" t="s">
        <v>690</v>
      </c>
      <c r="AB522" s="73" t="str">
        <f>IF(AA522&lt;&gt;"",INDEX(Lookup!$N$2:$N$5,MATCH(Players!AA522,Lookup!$P$2:$P$5,0)),INDEX(Lookup!$N$2:$N$5,MATCH(Players!O522,Lookup!$O$2:$O$5,0)))</f>
        <v>Goalkeeper</v>
      </c>
      <c r="AC522" s="73">
        <v>3500000</v>
      </c>
      <c r="AD522" s="73" t="s">
        <v>788</v>
      </c>
      <c r="AE522" s="73" t="str">
        <f>INDEX('Translate table'!$H$2:$H$622,MATCH(Players!P522,'Translate table'!$G$2:$G$622,0))</f>
        <v>JiÅ™Ã­ Pavlenka</v>
      </c>
      <c r="AF522" s="73">
        <f>IFERROR(INDEX('Euro Qual stats'!$A$1:$L$2071,MATCH(Players!$AE522,'Euro Qual stats'!$A$1:$A$2071,0),MATCH(Players!AF$2,'Euro Qual stats'!$A$1:$L$1,0)),0)</f>
        <v>1</v>
      </c>
      <c r="AG522" s="73">
        <f>IFERROR(INDEX('Euro Qual stats'!$A$1:$L$2071,MATCH(Players!$AE522,'Euro Qual stats'!$A$1:$A$2071,0),MATCH(Players!AG$2,'Euro Qual stats'!$A$1:$L$1,0)),0)</f>
        <v>0</v>
      </c>
      <c r="AH522" s="73">
        <f>IFERROR(INDEX('Euro Qual stats'!$A$1:$L$2071,MATCH(Players!$AE522,'Euro Qual stats'!$A$1:$A$2071,0),MATCH(Players!AH$2,'Euro Qual stats'!$A$1:$L$1,0)),0)</f>
        <v>0</v>
      </c>
      <c r="AI522" s="73">
        <f>IFERROR(INDEX('Euro Qual stats'!$A$1:$L$2071,MATCH(Players!$AE522,'Euro Qual stats'!$A$1:$A$2071,0),MATCH(Players!AI$2,'Euro Qual stats'!$A$1:$L$1,0)),0)</f>
        <v>0</v>
      </c>
      <c r="AJ522" s="93">
        <f>(12-AF522)/12*INDEX(BV$9:BV$12,MATCH($AB522,$BU$9:$BU$12,0))+AF522/12*AG522</f>
        <v>0</v>
      </c>
      <c r="AK522" s="93">
        <f>(12-AG522)/12*INDEX(BW$9:BW$12,MATCH($AB522,$BU$9:$BU$12,0))+AG522/12*AH522</f>
        <v>0</v>
      </c>
      <c r="AL522" s="93">
        <f>(12-AH522)/12*INDEX(BX$9:BX$12,MATCH($AB522,$BU$9:$BU$12,0))+AH522/12*AI522</f>
        <v>0</v>
      </c>
      <c r="AM522" s="93">
        <f>IF($BC522=1,AJ522/SUMIFS(AJ$3:AJ$623,$BC$3:$BC$623,1,$G$3:$G$623,$G522),0)</f>
        <v>0</v>
      </c>
      <c r="AN522" s="93">
        <f>IF($BC522=1,AK522/SUMIFS(AK$3:AK$623,$BC$3:$BC$623,1,$G$3:$G$623,$G522),0)</f>
        <v>0</v>
      </c>
      <c r="AO522" s="93">
        <f>IF($BC522=1,AL522/SUMIFS(AL$3:AL$623,$BC$3:$BC$623,1,$G$3:$G$623,$G522),0)</f>
        <v>0</v>
      </c>
      <c r="AP522" s="2">
        <f>IFERROR(R522/$V522*90,"")</f>
        <v>0</v>
      </c>
      <c r="AQ522" s="2">
        <f>IFERROR(S522/$V522*90,"")</f>
        <v>0</v>
      </c>
      <c r="AR522" s="2">
        <f>IFERROR(W522/$V522*90,"")</f>
        <v>0</v>
      </c>
      <c r="AS522" s="2">
        <f>IFERROR(X522/$V522*90,"")</f>
        <v>5.8823529411764705E-2</v>
      </c>
      <c r="AT522" s="2">
        <f>IFERROR(Y522/$V522*90,"")</f>
        <v>0</v>
      </c>
      <c r="AU522" s="2">
        <f>IF(AP522="",INDEX(BV$4:BV$7,MATCH(O522,$BU$4:$BU$7,0)),AP522)</f>
        <v>0</v>
      </c>
      <c r="AV522" s="2">
        <f>IF(AQ522="",INDEX(BW$4:BW$7,MATCH($O522,$BU$4:$BU$7,0)),AQ522)</f>
        <v>0</v>
      </c>
      <c r="AW522" s="2">
        <f t="shared" si="96"/>
        <v>0</v>
      </c>
      <c r="AX522" s="2">
        <f t="shared" si="97"/>
        <v>5.8823529411764705E-2</v>
      </c>
      <c r="AY522" s="2">
        <f t="shared" si="98"/>
        <v>0</v>
      </c>
      <c r="AZ522" s="2">
        <f>AU522*0.5+AK522*0.5</f>
        <v>0</v>
      </c>
      <c r="BA522" s="2">
        <f>AV522*0.5+AJ522*0.5</f>
        <v>0</v>
      </c>
      <c r="BB522" s="2">
        <f t="shared" si="99"/>
        <v>2.9411764705882353E-2</v>
      </c>
      <c r="BC522">
        <f>IF(I522="expected",1,0)</f>
        <v>1</v>
      </c>
      <c r="BD522" s="78">
        <f>IF(BC522=1,AZ522/SUMIFS(AZ$3:AZ$623,$BC$3:$BC$623,1,$G$3:$G$623,$G522),0)</f>
        <v>0</v>
      </c>
      <c r="BE522" s="78">
        <f>IF(BC522=1,BA522/SUMIFS(BA$3:BA$623,$BC$3:$BC$623,1,$G$3:$G$623,$G522),0)</f>
        <v>0</v>
      </c>
      <c r="BF522" s="78">
        <f t="shared" si="100"/>
        <v>0</v>
      </c>
      <c r="BG522" s="2">
        <f t="shared" si="101"/>
        <v>2.9411764705882353E-2</v>
      </c>
      <c r="BH522" s="2">
        <f t="shared" si="102"/>
        <v>0</v>
      </c>
      <c r="BI522" s="2">
        <f t="shared" si="103"/>
        <v>0</v>
      </c>
      <c r="BJ522" s="2">
        <f t="shared" si="104"/>
        <v>0</v>
      </c>
      <c r="BK522" s="2">
        <f t="shared" si="105"/>
        <v>0</v>
      </c>
      <c r="BL522" s="2">
        <f t="shared" si="106"/>
        <v>2.9411764705882353E-2</v>
      </c>
      <c r="BM522" s="2">
        <f t="shared" si="107"/>
        <v>0</v>
      </c>
      <c r="BN522" s="2">
        <f>BI522/SUMIFS(BI$3:BI$623,$BC$3:$BC$623,1,$G$3:$G$623,$G522)</f>
        <v>0</v>
      </c>
      <c r="BO522" s="2">
        <f>BJ522/SUMIFS(BJ$3:BJ$623,$BC$3:$BC$623,1,$G$3:$G$623,$G522)</f>
        <v>0</v>
      </c>
      <c r="BP522" s="2">
        <f>BK522/SUMIFS(BK$3:BK$623,$BC$3:$BC$623,1,$G$3:$G$623,$G522)</f>
        <v>0</v>
      </c>
      <c r="BQ522" s="2">
        <f>BL522</f>
        <v>2.9411764705882353E-2</v>
      </c>
      <c r="BR522" s="2">
        <f>BM522</f>
        <v>0</v>
      </c>
    </row>
    <row r="523" spans="1:70" hidden="1">
      <c r="A523" s="74">
        <v>0</v>
      </c>
      <c r="B523" s="73">
        <v>204782</v>
      </c>
      <c r="C523" s="73" t="s">
        <v>3057</v>
      </c>
      <c r="D523" s="73" t="s">
        <v>2411</v>
      </c>
      <c r="E523" s="73" t="s">
        <v>3058</v>
      </c>
      <c r="F523" s="73">
        <v>18718</v>
      </c>
      <c r="G523" s="73" t="s">
        <v>882</v>
      </c>
      <c r="H523" s="73" t="s">
        <v>937</v>
      </c>
      <c r="I523" s="73" t="s">
        <v>1012</v>
      </c>
      <c r="J523" s="73">
        <v>0</v>
      </c>
      <c r="K523" s="73">
        <v>4</v>
      </c>
      <c r="L523" s="73">
        <v>0</v>
      </c>
      <c r="M523" s="73">
        <v>0</v>
      </c>
      <c r="N523" s="73">
        <v>0</v>
      </c>
      <c r="O523" s="73" t="s">
        <v>1318</v>
      </c>
      <c r="P523" s="73" t="s">
        <v>3059</v>
      </c>
      <c r="Q523" s="73" t="s">
        <v>808</v>
      </c>
      <c r="R523" s="73">
        <v>0</v>
      </c>
      <c r="S523" s="73">
        <v>0</v>
      </c>
      <c r="T523" s="73">
        <v>0</v>
      </c>
      <c r="U523" s="73">
        <v>0</v>
      </c>
      <c r="V523" s="73">
        <v>648</v>
      </c>
      <c r="W523" s="73">
        <v>3</v>
      </c>
      <c r="X523" s="73">
        <v>0</v>
      </c>
      <c r="Y523" s="73">
        <v>0</v>
      </c>
      <c r="Z523" s="73" t="s">
        <v>2082</v>
      </c>
      <c r="AA523" s="73" t="s">
        <v>692</v>
      </c>
      <c r="AB523" s="73" t="str">
        <f>IF(AA523&lt;&gt;"",INDEX(Lookup!$N$2:$N$5,MATCH(Players!AA523,Lookup!$P$2:$P$5,0)),INDEX(Lookup!$N$2:$N$5,MATCH(Players!O523,Lookup!$O$2:$O$5,0)))</f>
        <v>Defense</v>
      </c>
      <c r="AC523" s="73">
        <v>2000000</v>
      </c>
      <c r="AD523" s="73" t="s">
        <v>788</v>
      </c>
      <c r="AE523" s="73" t="str">
        <f>INDEX('Translate table'!$H$2:$H$622,MATCH(Players!P523,'Translate table'!$G$2:$G$622,0))</f>
        <v>Jakub Brabec</v>
      </c>
      <c r="AF523" s="73">
        <f>IFERROR(INDEX('Euro Qual stats'!$A$1:$L$2071,MATCH(Players!$AE523,'Euro Qual stats'!$A$1:$A$2071,0),MATCH(Players!AF$2,'Euro Qual stats'!$A$1:$L$1,0)),0)</f>
        <v>3</v>
      </c>
      <c r="AG523" s="73">
        <f>IFERROR(INDEX('Euro Qual stats'!$A$1:$L$2071,MATCH(Players!$AE523,'Euro Qual stats'!$A$1:$A$2071,0),MATCH(Players!AG$2,'Euro Qual stats'!$A$1:$L$1,0)),0)</f>
        <v>0</v>
      </c>
      <c r="AH523" s="73">
        <f>IFERROR(INDEX('Euro Qual stats'!$A$1:$L$2071,MATCH(Players!$AE523,'Euro Qual stats'!$A$1:$A$2071,0),MATCH(Players!AH$2,'Euro Qual stats'!$A$1:$L$1,0)),0)</f>
        <v>0.4</v>
      </c>
      <c r="AI523" s="73">
        <f>IFERROR(INDEX('Euro Qual stats'!$A$1:$L$2071,MATCH(Players!$AE523,'Euro Qual stats'!$A$1:$A$2071,0),MATCH(Players!AI$2,'Euro Qual stats'!$A$1:$L$1,0)),0)</f>
        <v>0</v>
      </c>
      <c r="AJ523" s="93">
        <f>(12-AF523)/12*INDEX(BV$9:BV$12,MATCH($AB523,$BU$9:$BU$12,0))+AF523/12*AG523</f>
        <v>6.6881868131868152E-2</v>
      </c>
      <c r="AK523" s="93">
        <f>(12-AG523)/12*INDEX(BW$9:BW$12,MATCH($AB523,$BU$9:$BU$12,0))+AG523/12*AH523</f>
        <v>0.10357142857142858</v>
      </c>
      <c r="AL523" s="93">
        <f>(12-AH523)/12*INDEX(BX$9:BX$12,MATCH($AB523,$BU$9:$BU$12,0))+AH523/12*AI523</f>
        <v>0.18711904761904752</v>
      </c>
      <c r="AM523" s="93">
        <f>IF($BC523=1,AJ523/SUMIFS(AJ$3:AJ$623,$BC$3:$BC$623,1,$G$3:$G$623,$G523),0)</f>
        <v>0</v>
      </c>
      <c r="AN523" s="93">
        <f>IF($BC523=1,AK523/SUMIFS(AK$3:AK$623,$BC$3:$BC$623,1,$G$3:$G$623,$G523),0)</f>
        <v>0</v>
      </c>
      <c r="AO523" s="93">
        <f>IF($BC523=1,AL523/SUMIFS(AL$3:AL$623,$BC$3:$BC$623,1,$G$3:$G$623,$G523),0)</f>
        <v>0</v>
      </c>
      <c r="AP523" s="2">
        <f>IFERROR(R523/$V523*90,"")</f>
        <v>0</v>
      </c>
      <c r="AQ523" s="2">
        <f>IFERROR(S523/$V523*90,"")</f>
        <v>0</v>
      </c>
      <c r="AR523" s="2">
        <f>IFERROR(W523/$V523*90,"")</f>
        <v>0.41666666666666663</v>
      </c>
      <c r="AS523" s="2">
        <f>IFERROR(X523/$V523*90,"")</f>
        <v>0</v>
      </c>
      <c r="AT523" s="2">
        <f>IFERROR(Y523/$V523*90,"")</f>
        <v>0</v>
      </c>
      <c r="AU523" s="2">
        <f>IF(AP523="",INDEX(BV$4:BV$7,MATCH(O523,$BU$4:$BU$7,0)),AP523)</f>
        <v>0</v>
      </c>
      <c r="AV523" s="2">
        <f>IF(AQ523="",INDEX(BW$4:BW$7,MATCH($O523,$BU$4:$BU$7,0)),AQ523)</f>
        <v>0</v>
      </c>
      <c r="AW523" s="2">
        <f t="shared" si="96"/>
        <v>0.41666666666666663</v>
      </c>
      <c r="AX523" s="2">
        <f t="shared" si="97"/>
        <v>0</v>
      </c>
      <c r="AY523" s="2">
        <f t="shared" si="98"/>
        <v>0</v>
      </c>
      <c r="AZ523" s="2">
        <f>AU523*0.5+AK523*0.5</f>
        <v>5.1785714285714289E-2</v>
      </c>
      <c r="BA523" s="2">
        <f>AV523*0.5+AJ523*0.5</f>
        <v>3.3440934065934076E-2</v>
      </c>
      <c r="BB523" s="2">
        <f t="shared" si="99"/>
        <v>0</v>
      </c>
      <c r="BC523">
        <f>IF(I523="expected",1,0)</f>
        <v>0</v>
      </c>
      <c r="BD523" s="78">
        <f>IF(BC523=1,AZ523/SUMIFS(AZ$3:AZ$623,$BC$3:$BC$623,1,$G$3:$G$623,$G523),0)</f>
        <v>0</v>
      </c>
      <c r="BE523" s="78">
        <f>IF(BC523=1,BA523/SUMIFS(BA$3:BA$623,$BC$3:$BC$623,1,$G$3:$G$623,$G523),0)</f>
        <v>0</v>
      </c>
      <c r="BF523" s="78">
        <f t="shared" si="100"/>
        <v>0</v>
      </c>
      <c r="BG523" s="2">
        <f t="shared" si="101"/>
        <v>0</v>
      </c>
      <c r="BH523" s="2">
        <f t="shared" si="102"/>
        <v>0</v>
      </c>
      <c r="BI523" s="2">
        <f t="shared" si="103"/>
        <v>0</v>
      </c>
      <c r="BJ523" s="2">
        <f t="shared" si="104"/>
        <v>0</v>
      </c>
      <c r="BK523" s="2">
        <f t="shared" si="105"/>
        <v>0</v>
      </c>
      <c r="BL523" s="2">
        <f t="shared" si="106"/>
        <v>0</v>
      </c>
      <c r="BM523" s="2">
        <f t="shared" si="107"/>
        <v>0</v>
      </c>
      <c r="BN523" s="2">
        <f>BI523/SUMIFS(BI$3:BI$623,$BC$3:$BC$623,1,$G$3:$G$623,$G523)</f>
        <v>0</v>
      </c>
      <c r="BO523" s="2">
        <f>BJ523/SUMIFS(BJ$3:BJ$623,$BC$3:$BC$623,1,$G$3:$G$623,$G523)</f>
        <v>0</v>
      </c>
      <c r="BP523" s="2">
        <f>BK523/SUMIFS(BK$3:BK$623,$BC$3:$BC$623,1,$G$3:$G$623,$G523)</f>
        <v>0</v>
      </c>
      <c r="BQ523" s="2">
        <f>BL523</f>
        <v>0</v>
      </c>
      <c r="BR523" s="2">
        <f>BM523</f>
        <v>0</v>
      </c>
    </row>
    <row r="524" spans="1:70" hidden="1">
      <c r="A524" s="74">
        <v>0</v>
      </c>
      <c r="B524" s="73">
        <v>204769</v>
      </c>
      <c r="C524" s="73" t="s">
        <v>3060</v>
      </c>
      <c r="D524" s="73" t="s">
        <v>2089</v>
      </c>
      <c r="E524" s="73" t="s">
        <v>3061</v>
      </c>
      <c r="F524" s="73">
        <v>18718</v>
      </c>
      <c r="G524" s="73" t="s">
        <v>882</v>
      </c>
      <c r="H524" s="73" t="s">
        <v>937</v>
      </c>
      <c r="I524" s="73" t="s">
        <v>981</v>
      </c>
      <c r="J524" s="73">
        <v>0</v>
      </c>
      <c r="K524" s="73">
        <v>4</v>
      </c>
      <c r="L524" s="73">
        <v>0</v>
      </c>
      <c r="M524" s="73">
        <v>0</v>
      </c>
      <c r="N524" s="73">
        <v>0</v>
      </c>
      <c r="O524" s="73" t="s">
        <v>1318</v>
      </c>
      <c r="P524" s="73" t="s">
        <v>3062</v>
      </c>
      <c r="Q524" s="73" t="s">
        <v>3063</v>
      </c>
      <c r="R524" s="73">
        <v>0</v>
      </c>
      <c r="S524" s="73">
        <v>0</v>
      </c>
      <c r="T524" s="73">
        <v>0</v>
      </c>
      <c r="U524" s="73">
        <v>0</v>
      </c>
      <c r="V524" s="73">
        <v>62</v>
      </c>
      <c r="W524" s="73">
        <v>0</v>
      </c>
      <c r="X524" s="73">
        <v>0</v>
      </c>
      <c r="Y524" s="73">
        <v>0</v>
      </c>
      <c r="Z524" s="73" t="s">
        <v>2082</v>
      </c>
      <c r="AA524" s="73" t="s">
        <v>692</v>
      </c>
      <c r="AB524" s="73" t="str">
        <f>IF(AA524&lt;&gt;"",INDEX(Lookup!$N$2:$N$5,MATCH(Players!AA524,Lookup!$P$2:$P$5,0)),INDEX(Lookup!$N$2:$N$5,MATCH(Players!O524,Lookup!$O$2:$O$5,0)))</f>
        <v>Defense</v>
      </c>
      <c r="AC524" s="73">
        <v>2000000</v>
      </c>
      <c r="AD524" s="73" t="s">
        <v>788</v>
      </c>
      <c r="AE524" s="73" t="str">
        <f>INDEX('Translate table'!$H$2:$H$622,MATCH(Players!P524,'Translate table'!$G$2:$G$622,0))</f>
        <v>TomÃ¡Å¡ Kalas</v>
      </c>
      <c r="AF524" s="73">
        <f>IFERROR(INDEX('Euro Qual stats'!$A$1:$L$2071,MATCH(Players!$AE524,'Euro Qual stats'!$A$1:$A$2071,0),MATCH(Players!AF$2,'Euro Qual stats'!$A$1:$L$1,0)),0)</f>
        <v>1</v>
      </c>
      <c r="AG524" s="73">
        <f>IFERROR(INDEX('Euro Qual stats'!$A$1:$L$2071,MATCH(Players!$AE524,'Euro Qual stats'!$A$1:$A$2071,0),MATCH(Players!AG$2,'Euro Qual stats'!$A$1:$L$1,0)),0)</f>
        <v>0</v>
      </c>
      <c r="AH524" s="73">
        <f>IFERROR(INDEX('Euro Qual stats'!$A$1:$L$2071,MATCH(Players!$AE524,'Euro Qual stats'!$A$1:$A$2071,0),MATCH(Players!AH$2,'Euro Qual stats'!$A$1:$L$1,0)),0)</f>
        <v>0</v>
      </c>
      <c r="AI524" s="73">
        <f>IFERROR(INDEX('Euro Qual stats'!$A$1:$L$2071,MATCH(Players!$AE524,'Euro Qual stats'!$A$1:$A$2071,0),MATCH(Players!AI$2,'Euro Qual stats'!$A$1:$L$1,0)),0)</f>
        <v>0</v>
      </c>
      <c r="AJ524" s="93">
        <f>(12-AF524)/12*INDEX(BV$9:BV$12,MATCH($AB524,$BU$9:$BU$12,0))+AF524/12*AG524</f>
        <v>8.1744505494505515E-2</v>
      </c>
      <c r="AK524" s="93">
        <f>(12-AG524)/12*INDEX(BW$9:BW$12,MATCH($AB524,$BU$9:$BU$12,0))+AG524/12*AH524</f>
        <v>0.10357142857142858</v>
      </c>
      <c r="AL524" s="93">
        <f>(12-AH524)/12*INDEX(BX$9:BX$12,MATCH($AB524,$BU$9:$BU$12,0))+AH524/12*AI524</f>
        <v>0.19357142857142848</v>
      </c>
      <c r="AM524" s="93">
        <f>IF($BC524=1,AJ524/SUMIFS(AJ$3:AJ$623,$BC$3:$BC$623,1,$G$3:$G$623,$G524),0)</f>
        <v>6.0096925700939115E-2</v>
      </c>
      <c r="AN524" s="93">
        <f>IF($BC524=1,AK524/SUMIFS(AK$3:AK$623,$BC$3:$BC$623,1,$G$3:$G$623,$G524),0)</f>
        <v>5.0282775089500374E-2</v>
      </c>
      <c r="AO524" s="93">
        <f>IF($BC524=1,AL524/SUMIFS(AL$3:AL$623,$BC$3:$BC$623,1,$G$3:$G$623,$G524),0)</f>
        <v>9.0209048206677231E-2</v>
      </c>
      <c r="AP524" s="2">
        <f>IFERROR(R524/$V524*90,"")</f>
        <v>0</v>
      </c>
      <c r="AQ524" s="2">
        <f>IFERROR(S524/$V524*90,"")</f>
        <v>0</v>
      </c>
      <c r="AR524" s="2">
        <f>IFERROR(W524/$V524*90,"")</f>
        <v>0</v>
      </c>
      <c r="AS524" s="2">
        <f>IFERROR(X524/$V524*90,"")</f>
        <v>0</v>
      </c>
      <c r="AT524" s="2">
        <f>IFERROR(Y524/$V524*90,"")</f>
        <v>0</v>
      </c>
      <c r="AU524" s="2">
        <f>IF(AP524="",INDEX(BV$4:BV$7,MATCH(O524,$BU$4:$BU$7,0)),AP524)</f>
        <v>0</v>
      </c>
      <c r="AV524" s="2">
        <f>IF(AQ524="",INDEX(BW$4:BW$7,MATCH($O524,$BU$4:$BU$7,0)),AQ524)</f>
        <v>0</v>
      </c>
      <c r="AW524" s="2">
        <f t="shared" si="96"/>
        <v>0</v>
      </c>
      <c r="AX524" s="2">
        <f t="shared" si="97"/>
        <v>0</v>
      </c>
      <c r="AY524" s="2">
        <f t="shared" si="98"/>
        <v>0</v>
      </c>
      <c r="AZ524" s="2">
        <f>AU524*0.5+AK524*0.5</f>
        <v>5.1785714285714289E-2</v>
      </c>
      <c r="BA524" s="2">
        <f>AV524*0.5+AJ524*0.5</f>
        <v>4.0872252747252757E-2</v>
      </c>
      <c r="BB524" s="2">
        <f t="shared" si="99"/>
        <v>0</v>
      </c>
      <c r="BC524">
        <f>IF(I524="expected",1,0)</f>
        <v>1</v>
      </c>
      <c r="BD524" s="78">
        <f>IF(BC524=1,AZ524/SUMIFS(AZ$3:AZ$623,$BC$3:$BC$623,1,$G$3:$G$623,$G524),0)</f>
        <v>3.3730365695539499E-2</v>
      </c>
      <c r="BE524" s="78">
        <f>IF(BC524=1,BA524/SUMIFS(BA$3:BA$623,$BC$3:$BC$623,1,$G$3:$G$623,$G524),0)</f>
        <v>3.7071680532908949E-2</v>
      </c>
      <c r="BF524" s="78">
        <f t="shared" si="100"/>
        <v>0</v>
      </c>
      <c r="BG524" s="2">
        <f t="shared" si="101"/>
        <v>0</v>
      </c>
      <c r="BH524" s="2">
        <f t="shared" si="102"/>
        <v>0</v>
      </c>
      <c r="BI524" s="2">
        <f t="shared" si="103"/>
        <v>3.3730365695539499E-2</v>
      </c>
      <c r="BJ524" s="2">
        <f t="shared" si="104"/>
        <v>3.7071680532908949E-2</v>
      </c>
      <c r="BK524" s="2">
        <f t="shared" si="105"/>
        <v>0</v>
      </c>
      <c r="BL524" s="2">
        <f t="shared" si="106"/>
        <v>0</v>
      </c>
      <c r="BM524" s="2">
        <f t="shared" si="107"/>
        <v>0</v>
      </c>
      <c r="BN524" s="2">
        <f>BI524/SUMIFS(BI$3:BI$623,$BC$3:$BC$623,1,$G$3:$G$623,$G524)</f>
        <v>3.3730365695539506E-2</v>
      </c>
      <c r="BO524" s="2">
        <f>BJ524/SUMIFS(BJ$3:BJ$623,$BC$3:$BC$623,1,$G$3:$G$623,$G524)</f>
        <v>3.7071680532908949E-2</v>
      </c>
      <c r="BP524" s="2">
        <f>BK524/SUMIFS(BK$3:BK$623,$BC$3:$BC$623,1,$G$3:$G$623,$G524)</f>
        <v>0</v>
      </c>
      <c r="BQ524" s="2">
        <f>BL524</f>
        <v>0</v>
      </c>
      <c r="BR524" s="2">
        <f>BM524</f>
        <v>0</v>
      </c>
    </row>
    <row r="525" spans="1:70" hidden="1">
      <c r="A525" s="74">
        <v>0</v>
      </c>
      <c r="B525" s="73">
        <v>204767</v>
      </c>
      <c r="C525" s="73" t="s">
        <v>3064</v>
      </c>
      <c r="D525" s="73" t="s">
        <v>2423</v>
      </c>
      <c r="E525" s="73" t="s">
        <v>3065</v>
      </c>
      <c r="F525" s="73">
        <v>18718</v>
      </c>
      <c r="G525" s="73" t="s">
        <v>882</v>
      </c>
      <c r="H525" s="73" t="s">
        <v>937</v>
      </c>
      <c r="I525" s="73" t="s">
        <v>981</v>
      </c>
      <c r="J525" s="73">
        <v>0</v>
      </c>
      <c r="K525" s="73">
        <v>4</v>
      </c>
      <c r="L525" s="73">
        <v>0</v>
      </c>
      <c r="M525" s="73">
        <v>0</v>
      </c>
      <c r="N525" s="73">
        <v>0</v>
      </c>
      <c r="O525" s="73" t="s">
        <v>1318</v>
      </c>
      <c r="P525" s="73" t="s">
        <v>3066</v>
      </c>
      <c r="Q525" s="73" t="s">
        <v>673</v>
      </c>
      <c r="R525" s="73">
        <v>0</v>
      </c>
      <c r="S525" s="73">
        <v>0</v>
      </c>
      <c r="T525" s="73">
        <v>0</v>
      </c>
      <c r="U525" s="73">
        <v>0</v>
      </c>
      <c r="V525" s="73">
        <v>0</v>
      </c>
      <c r="W525" s="73">
        <v>0</v>
      </c>
      <c r="X525" s="73">
        <v>0</v>
      </c>
      <c r="Y525" s="73">
        <v>0</v>
      </c>
      <c r="Z525" s="73" t="s">
        <v>2082</v>
      </c>
      <c r="AA525" s="73" t="s">
        <v>692</v>
      </c>
      <c r="AB525" s="73" t="str">
        <f>IF(AA525&lt;&gt;"",INDEX(Lookup!$N$2:$N$5,MATCH(Players!AA525,Lookup!$P$2:$P$5,0)),INDEX(Lookup!$N$2:$N$5,MATCH(Players!O525,Lookup!$O$2:$O$5,0)))</f>
        <v>Defense</v>
      </c>
      <c r="AC525" s="73">
        <v>3000000</v>
      </c>
      <c r="AD525" s="73" t="s">
        <v>788</v>
      </c>
      <c r="AE525" s="73" t="str">
        <f>INDEX('Translate table'!$H$2:$H$622,MATCH(Players!P525,'Translate table'!$G$2:$G$622,0))</f>
        <v>Tomasz KÄ™dziora</v>
      </c>
      <c r="AF525" s="73">
        <f>IFERROR(INDEX('Euro Qual stats'!$A$1:$L$2071,MATCH(Players!$AE525,'Euro Qual stats'!$A$1:$A$2071,0),MATCH(Players!AF$2,'Euro Qual stats'!$A$1:$L$1,0)),0)</f>
        <v>9</v>
      </c>
      <c r="AG525" s="73">
        <f>IFERROR(INDEX('Euro Qual stats'!$A$1:$L$2071,MATCH(Players!$AE525,'Euro Qual stats'!$A$1:$A$2071,0),MATCH(Players!AG$2,'Euro Qual stats'!$A$1:$L$1,0)),0)</f>
        <v>0.12</v>
      </c>
      <c r="AH525" s="73">
        <f>IFERROR(INDEX('Euro Qual stats'!$A$1:$L$2071,MATCH(Players!$AE525,'Euro Qual stats'!$A$1:$A$2071,0),MATCH(Players!AH$2,'Euro Qual stats'!$A$1:$L$1,0)),0)</f>
        <v>0</v>
      </c>
      <c r="AI525" s="73">
        <f>IFERROR(INDEX('Euro Qual stats'!$A$1:$L$2071,MATCH(Players!$AE525,'Euro Qual stats'!$A$1:$A$2071,0),MATCH(Players!AI$2,'Euro Qual stats'!$A$1:$L$1,0)),0)</f>
        <v>0.24</v>
      </c>
      <c r="AJ525" s="93">
        <f>(12-AF525)/12*INDEX(BV$9:BV$12,MATCH($AB525,$BU$9:$BU$12,0))+AF525/12*AG525</f>
        <v>0.11229395604395605</v>
      </c>
      <c r="AK525" s="93">
        <f>(12-AG525)/12*INDEX(BW$9:BW$12,MATCH($AB525,$BU$9:$BU$12,0))+AG525/12*AH525</f>
        <v>0.1025357142857143</v>
      </c>
      <c r="AL525" s="93">
        <f>(12-AH525)/12*INDEX(BX$9:BX$12,MATCH($AB525,$BU$9:$BU$12,0))+AH525/12*AI525</f>
        <v>0.19357142857142848</v>
      </c>
      <c r="AM525" s="93">
        <f>IF($BC525=1,AJ525/SUMIFS(AJ$3:AJ$623,$BC$3:$BC$623,1,$G$3:$G$623,$G525),0)</f>
        <v>8.2556270812498264E-2</v>
      </c>
      <c r="AN525" s="93">
        <f>IF($BC525=1,AK525/SUMIFS(AK$3:AK$623,$BC$3:$BC$623,1,$G$3:$G$623,$G525),0)</f>
        <v>4.9779947338605378E-2</v>
      </c>
      <c r="AO525" s="93">
        <f>IF($BC525=1,AL525/SUMIFS(AL$3:AL$623,$BC$3:$BC$623,1,$G$3:$G$623,$G525),0)</f>
        <v>9.0209048206677231E-2</v>
      </c>
      <c r="AP525" s="2" t="str">
        <f>IFERROR(R525/$V525*90,"")</f>
        <v/>
      </c>
      <c r="AQ525" s="2" t="str">
        <f>IFERROR(S525/$V525*90,"")</f>
        <v/>
      </c>
      <c r="AR525" s="2" t="str">
        <f>IFERROR(W525/$V525*90,"")</f>
        <v/>
      </c>
      <c r="AS525" s="2" t="str">
        <f>IFERROR(X525/$V525*90,"")</f>
        <v/>
      </c>
      <c r="AT525" s="2" t="str">
        <f>IFERROR(Y525/$V525*90,"")</f>
        <v/>
      </c>
      <c r="AU525" s="2">
        <f>IF(AP525="",INDEX(BV$4:BV$7,MATCH(O525,$BU$4:$BU$7,0)),AP525)</f>
        <v>0</v>
      </c>
      <c r="AV525" s="2">
        <f>IF(AQ525="",INDEX(BW$4:BW$7,MATCH($O525,$BU$4:$BU$7,0)),AQ525)</f>
        <v>0</v>
      </c>
      <c r="AW525" s="2">
        <f t="shared" si="96"/>
        <v>8.0624805297505417E-2</v>
      </c>
      <c r="AX525" s="2">
        <f t="shared" si="97"/>
        <v>0.1265377855887522</v>
      </c>
      <c r="AY525" s="2">
        <f t="shared" si="98"/>
        <v>0</v>
      </c>
      <c r="AZ525" s="2">
        <f>AU525*0.5+AK525*0.5</f>
        <v>5.126785714285715E-2</v>
      </c>
      <c r="BA525" s="2">
        <f>AV525*0.5+AJ525*0.5</f>
        <v>5.6146978021978024E-2</v>
      </c>
      <c r="BB525" s="2">
        <f t="shared" si="99"/>
        <v>0.18326889279437608</v>
      </c>
      <c r="BC525">
        <f>IF(I525="expected",1,0)</f>
        <v>1</v>
      </c>
      <c r="BD525" s="78">
        <f>IF(BC525=1,AZ525/SUMIFS(AZ$3:AZ$623,$BC$3:$BC$623,1,$G$3:$G$623,$G525),0)</f>
        <v>3.3393062038584109E-2</v>
      </c>
      <c r="BE525" s="78">
        <f>IF(BC525=1,BA525/SUMIFS(BA$3:BA$623,$BC$3:$BC$623,1,$G$3:$G$623,$G525),0)</f>
        <v>5.0926060890023626E-2</v>
      </c>
      <c r="BF525" s="78">
        <f t="shared" si="100"/>
        <v>2.6262539239218067E-2</v>
      </c>
      <c r="BG525" s="2">
        <f t="shared" si="101"/>
        <v>0.18326889279437608</v>
      </c>
      <c r="BH525" s="2">
        <f t="shared" si="102"/>
        <v>0</v>
      </c>
      <c r="BI525" s="2">
        <f t="shared" si="103"/>
        <v>3.3393062038584109E-2</v>
      </c>
      <c r="BJ525" s="2">
        <f t="shared" si="104"/>
        <v>5.0926060890023626E-2</v>
      </c>
      <c r="BK525" s="2">
        <f t="shared" si="105"/>
        <v>2.6262539239218067E-2</v>
      </c>
      <c r="BL525" s="2">
        <f t="shared" si="106"/>
        <v>0.18326889279437608</v>
      </c>
      <c r="BM525" s="2">
        <f t="shared" si="107"/>
        <v>0</v>
      </c>
      <c r="BN525" s="2">
        <f>BI525/SUMIFS(BI$3:BI$623,$BC$3:$BC$623,1,$G$3:$G$623,$G525)</f>
        <v>3.3393062038584116E-2</v>
      </c>
      <c r="BO525" s="2">
        <f>BJ525/SUMIFS(BJ$3:BJ$623,$BC$3:$BC$623,1,$G$3:$G$623,$G525)</f>
        <v>5.0926060890023626E-2</v>
      </c>
      <c r="BP525" s="2">
        <f>BK525/SUMIFS(BK$3:BK$623,$BC$3:$BC$623,1,$G$3:$G$623,$G525)</f>
        <v>2.707769049155883E-2</v>
      </c>
      <c r="BQ525" s="2">
        <f>BL525</f>
        <v>0.18326889279437608</v>
      </c>
      <c r="BR525" s="2">
        <f>BM525</f>
        <v>0</v>
      </c>
    </row>
    <row r="526" spans="1:70" hidden="1">
      <c r="A526" s="74">
        <v>0</v>
      </c>
      <c r="B526" s="73">
        <v>204766</v>
      </c>
      <c r="C526" s="73" t="s">
        <v>3067</v>
      </c>
      <c r="D526" s="73" t="s">
        <v>3068</v>
      </c>
      <c r="E526" s="73" t="s">
        <v>3069</v>
      </c>
      <c r="F526" s="73">
        <v>18718</v>
      </c>
      <c r="G526" s="73" t="s">
        <v>882</v>
      </c>
      <c r="H526" s="73" t="s">
        <v>937</v>
      </c>
      <c r="I526" s="73" t="s">
        <v>981</v>
      </c>
      <c r="J526" s="73">
        <v>0</v>
      </c>
      <c r="K526" s="73">
        <v>4</v>
      </c>
      <c r="L526" s="73">
        <v>0</v>
      </c>
      <c r="M526" s="73">
        <v>0</v>
      </c>
      <c r="N526" s="73">
        <v>0</v>
      </c>
      <c r="O526" s="73" t="s">
        <v>1318</v>
      </c>
      <c r="P526" s="73" t="s">
        <v>3070</v>
      </c>
      <c r="Q526" s="73" t="s">
        <v>3070</v>
      </c>
      <c r="R526" s="73">
        <v>0</v>
      </c>
      <c r="S526" s="73">
        <v>3</v>
      </c>
      <c r="T526" s="73">
        <v>0</v>
      </c>
      <c r="U526" s="73">
        <v>2</v>
      </c>
      <c r="V526" s="73">
        <v>1587</v>
      </c>
      <c r="W526" s="73">
        <v>4</v>
      </c>
      <c r="X526" s="73">
        <v>3</v>
      </c>
      <c r="Y526" s="73">
        <v>0</v>
      </c>
      <c r="Z526" s="73" t="s">
        <v>2082</v>
      </c>
      <c r="AA526" s="73" t="s">
        <v>692</v>
      </c>
      <c r="AB526" s="73" t="str">
        <f>IF(AA526&lt;&gt;"",INDEX(Lookup!$N$2:$N$5,MATCH(Players!AA526,Lookup!$P$2:$P$5,0)),INDEX(Lookup!$N$2:$N$5,MATCH(Players!O526,Lookup!$O$2:$O$5,0)))</f>
        <v>Defense</v>
      </c>
      <c r="AC526" s="73">
        <v>2500000</v>
      </c>
      <c r="AD526" s="73" t="s">
        <v>788</v>
      </c>
      <c r="AE526" s="73" t="str">
        <f>INDEX('Translate table'!$H$2:$H$622,MATCH(Players!P526,'Translate table'!$G$2:$G$622,0))</f>
        <v>Pavol Å afranko</v>
      </c>
      <c r="AF526" s="73">
        <f>IFERROR(INDEX('Euro Qual stats'!$A$1:$L$2071,MATCH(Players!$AE526,'Euro Qual stats'!$A$1:$A$2071,0),MATCH(Players!AF$2,'Euro Qual stats'!$A$1:$L$1,0)),0)</f>
        <v>3</v>
      </c>
      <c r="AG526" s="73">
        <f>IFERROR(INDEX('Euro Qual stats'!$A$1:$L$2071,MATCH(Players!$AE526,'Euro Qual stats'!$A$1:$A$2071,0),MATCH(Players!AG$2,'Euro Qual stats'!$A$1:$L$1,0)),0)</f>
        <v>0</v>
      </c>
      <c r="AH526" s="73">
        <f>IFERROR(INDEX('Euro Qual stats'!$A$1:$L$2071,MATCH(Players!$AE526,'Euro Qual stats'!$A$1:$A$2071,0),MATCH(Players!AH$2,'Euro Qual stats'!$A$1:$L$1,0)),0)</f>
        <v>0</v>
      </c>
      <c r="AI526" s="73">
        <f>IFERROR(INDEX('Euro Qual stats'!$A$1:$L$2071,MATCH(Players!$AE526,'Euro Qual stats'!$A$1:$A$2071,0),MATCH(Players!AI$2,'Euro Qual stats'!$A$1:$L$1,0)),0)</f>
        <v>0</v>
      </c>
      <c r="AJ526" s="93">
        <f>(12-AF526)/12*INDEX(BV$9:BV$12,MATCH($AB526,$BU$9:$BU$12,0))+AF526/12*AG526</f>
        <v>6.6881868131868152E-2</v>
      </c>
      <c r="AK526" s="93">
        <f>(12-AG526)/12*INDEX(BW$9:BW$12,MATCH($AB526,$BU$9:$BU$12,0))+AG526/12*AH526</f>
        <v>0.10357142857142858</v>
      </c>
      <c r="AL526" s="93">
        <f>(12-AH526)/12*INDEX(BX$9:BX$12,MATCH($AB526,$BU$9:$BU$12,0))+AH526/12*AI526</f>
        <v>0.19357142857142848</v>
      </c>
      <c r="AM526" s="93">
        <f>IF($BC526=1,AJ526/SUMIFS(AJ$3:AJ$623,$BC$3:$BC$623,1,$G$3:$G$623,$G526),0)</f>
        <v>4.9170211937132009E-2</v>
      </c>
      <c r="AN526" s="93">
        <f>IF($BC526=1,AK526/SUMIFS(AK$3:AK$623,$BC$3:$BC$623,1,$G$3:$G$623,$G526),0)</f>
        <v>5.0282775089500374E-2</v>
      </c>
      <c r="AO526" s="93">
        <f>IF($BC526=1,AL526/SUMIFS(AL$3:AL$623,$BC$3:$BC$623,1,$G$3:$G$623,$G526),0)</f>
        <v>9.0209048206677231E-2</v>
      </c>
      <c r="AP526" s="2">
        <f>IFERROR(R526/$V526*90,"")</f>
        <v>0</v>
      </c>
      <c r="AQ526" s="2">
        <f>IFERROR(S526/$V526*90,"")</f>
        <v>0.17013232514177695</v>
      </c>
      <c r="AR526" s="2">
        <f>IFERROR(W526/$V526*90,"")</f>
        <v>0.22684310018903592</v>
      </c>
      <c r="AS526" s="2">
        <f>IFERROR(X526/$V526*90,"")</f>
        <v>0.17013232514177695</v>
      </c>
      <c r="AT526" s="2">
        <f>IFERROR(Y526/$V526*90,"")</f>
        <v>0</v>
      </c>
      <c r="AU526" s="2">
        <f>IF(AP526="",INDEX(BV$4:BV$7,MATCH(O526,$BU$4:$BU$7,0)),AP526)</f>
        <v>0</v>
      </c>
      <c r="AV526" s="2">
        <f>IF(AQ526="",INDEX(BW$4:BW$7,MATCH($O526,$BU$4:$BU$7,0)),AQ526)</f>
        <v>0.17013232514177695</v>
      </c>
      <c r="AW526" s="2">
        <f t="shared" si="96"/>
        <v>0.22684310018903592</v>
      </c>
      <c r="AX526" s="2">
        <f t="shared" si="97"/>
        <v>0.17013232514177695</v>
      </c>
      <c r="AY526" s="2">
        <f t="shared" si="98"/>
        <v>0</v>
      </c>
      <c r="AZ526" s="2">
        <f>AU526*0.5+AK526*0.5</f>
        <v>5.1785714285714289E-2</v>
      </c>
      <c r="BA526" s="2">
        <f>AV526*0.5+AJ526*0.5</f>
        <v>0.11850709663682255</v>
      </c>
      <c r="BB526" s="2">
        <f t="shared" si="99"/>
        <v>8.5066162570888476E-2</v>
      </c>
      <c r="BC526">
        <f>IF(I526="expected",1,0)</f>
        <v>1</v>
      </c>
      <c r="BD526" s="78">
        <f>IF(BC526=1,AZ526/SUMIFS(AZ$3:AZ$623,$BC$3:$BC$623,1,$G$3:$G$623,$G526),0)</f>
        <v>3.3730365695539499E-2</v>
      </c>
      <c r="BE526" s="78">
        <f>IF(BC526=1,BA526/SUMIFS(BA$3:BA$623,$BC$3:$BC$623,1,$G$3:$G$623,$G526),0)</f>
        <v>0.1074875234935062</v>
      </c>
      <c r="BF526" s="78">
        <f t="shared" si="100"/>
        <v>7.3891351400817082E-2</v>
      </c>
      <c r="BG526" s="2">
        <f t="shared" si="101"/>
        <v>8.5066162570888476E-2</v>
      </c>
      <c r="BH526" s="2">
        <f t="shared" si="102"/>
        <v>0</v>
      </c>
      <c r="BI526" s="2">
        <f t="shared" si="103"/>
        <v>3.3730365695539499E-2</v>
      </c>
      <c r="BJ526" s="2">
        <f t="shared" si="104"/>
        <v>0.1074875234935062</v>
      </c>
      <c r="BK526" s="2">
        <f t="shared" si="105"/>
        <v>7.3891351400817082E-2</v>
      </c>
      <c r="BL526" s="2">
        <f t="shared" si="106"/>
        <v>8.5066162570888476E-2</v>
      </c>
      <c r="BM526" s="2">
        <f t="shared" si="107"/>
        <v>0</v>
      </c>
      <c r="BN526" s="2">
        <f>BI526/SUMIFS(BI$3:BI$623,$BC$3:$BC$623,1,$G$3:$G$623,$G526)</f>
        <v>3.3730365695539506E-2</v>
      </c>
      <c r="BO526" s="2">
        <f>BJ526/SUMIFS(BJ$3:BJ$623,$BC$3:$BC$623,1,$G$3:$G$623,$G526)</f>
        <v>0.1074875234935062</v>
      </c>
      <c r="BP526" s="2">
        <f>BK526/SUMIFS(BK$3:BK$623,$BC$3:$BC$623,1,$G$3:$G$623,$G526)</f>
        <v>7.6184832129503874E-2</v>
      </c>
      <c r="BQ526" s="2">
        <f>BL526</f>
        <v>8.5066162570888476E-2</v>
      </c>
      <c r="BR526" s="2">
        <f>BM526</f>
        <v>0</v>
      </c>
    </row>
    <row r="527" spans="1:70" hidden="1">
      <c r="A527" s="74">
        <v>0</v>
      </c>
      <c r="B527" s="73">
        <v>223250</v>
      </c>
      <c r="C527" s="73" t="s">
        <v>3071</v>
      </c>
      <c r="D527" s="73" t="s">
        <v>2952</v>
      </c>
      <c r="E527" s="73" t="s">
        <v>3072</v>
      </c>
      <c r="F527" s="73">
        <v>18718</v>
      </c>
      <c r="G527" s="73" t="s">
        <v>882</v>
      </c>
      <c r="H527" s="73" t="s">
        <v>937</v>
      </c>
      <c r="I527" s="73" t="s">
        <v>1812</v>
      </c>
      <c r="J527" s="73">
        <v>0</v>
      </c>
      <c r="K527" s="73">
        <v>4</v>
      </c>
      <c r="L527" s="73">
        <v>0</v>
      </c>
      <c r="M527" s="73">
        <v>0</v>
      </c>
      <c r="N527" s="73">
        <v>0</v>
      </c>
      <c r="O527" s="73" t="s">
        <v>994</v>
      </c>
      <c r="P527" s="73" t="s">
        <v>3073</v>
      </c>
      <c r="Q527" s="73" t="s">
        <v>3074</v>
      </c>
      <c r="R527" s="73">
        <v>0</v>
      </c>
      <c r="S527" s="73">
        <v>0</v>
      </c>
      <c r="T527" s="73">
        <v>0</v>
      </c>
      <c r="U527" s="73">
        <v>4</v>
      </c>
      <c r="V527" s="73">
        <v>1269</v>
      </c>
      <c r="W527" s="73">
        <v>2</v>
      </c>
      <c r="X527" s="73">
        <v>2</v>
      </c>
      <c r="Y527" s="73">
        <v>0</v>
      </c>
      <c r="Z527" s="73" t="s">
        <v>2082</v>
      </c>
      <c r="AA527" s="73" t="s">
        <v>691</v>
      </c>
      <c r="AB527" s="73" t="str">
        <f>IF(AA527&lt;&gt;"",INDEX(Lookup!$N$2:$N$5,MATCH(Players!AA527,Lookup!$P$2:$P$5,0)),INDEX(Lookup!$N$2:$N$5,MATCH(Players!O527,Lookup!$O$2:$O$5,0)))</f>
        <v>Midfield</v>
      </c>
      <c r="AC527" s="73">
        <v>2000000</v>
      </c>
      <c r="AD527" s="73" t="s">
        <v>789</v>
      </c>
      <c r="AE527" s="73" t="str">
        <f>INDEX('Translate table'!$H$2:$H$622,MATCH(Players!P527,'Translate table'!$G$2:$G$622,0))</f>
        <v>Dor Micha</v>
      </c>
      <c r="AF527" s="73">
        <f>IFERROR(INDEX('Euro Qual stats'!$A$1:$L$2071,MATCH(Players!$AE527,'Euro Qual stats'!$A$1:$A$2071,0),MATCH(Players!AF$2,'Euro Qual stats'!$A$1:$L$1,0)),0)</f>
        <v>0</v>
      </c>
      <c r="AG527" s="73">
        <f>IFERROR(INDEX('Euro Qual stats'!$A$1:$L$2071,MATCH(Players!$AE527,'Euro Qual stats'!$A$1:$A$2071,0),MATCH(Players!AG$2,'Euro Qual stats'!$A$1:$L$1,0)),0)</f>
        <v>0</v>
      </c>
      <c r="AH527" s="73">
        <f>IFERROR(INDEX('Euro Qual stats'!$A$1:$L$2071,MATCH(Players!$AE527,'Euro Qual stats'!$A$1:$A$2071,0),MATCH(Players!AH$2,'Euro Qual stats'!$A$1:$L$1,0)),0)</f>
        <v>0</v>
      </c>
      <c r="AI527" s="73">
        <f>IFERROR(INDEX('Euro Qual stats'!$A$1:$L$2071,MATCH(Players!$AE527,'Euro Qual stats'!$A$1:$A$2071,0),MATCH(Players!AI$2,'Euro Qual stats'!$A$1:$L$1,0)),0)</f>
        <v>0</v>
      </c>
      <c r="AJ527" s="93">
        <f>(12-AF527)/12*INDEX(BV$9:BV$12,MATCH($AB527,$BU$9:$BU$12,0))+AF527/12*AG527</f>
        <v>0.16869109947643979</v>
      </c>
      <c r="AK527" s="93">
        <f>(12-AG527)/12*INDEX(BW$9:BW$12,MATCH($AB527,$BU$9:$BU$12,0))+AG527/12*AH527</f>
        <v>0.22340314136125652</v>
      </c>
      <c r="AL527" s="93">
        <f>(12-AH527)/12*INDEX(BX$9:BX$12,MATCH($AB527,$BU$9:$BU$12,0))+AH527/12*AI527</f>
        <v>0.23942408376963353</v>
      </c>
      <c r="AM527" s="93">
        <f>IF($BC527=1,AJ527/SUMIFS(AJ$3:AJ$623,$BC$3:$BC$623,1,$G$3:$G$623,$G527),0)</f>
        <v>0</v>
      </c>
      <c r="AN527" s="93">
        <f>IF($BC527=1,AK527/SUMIFS(AK$3:AK$623,$BC$3:$BC$623,1,$G$3:$G$623,$G527),0)</f>
        <v>0</v>
      </c>
      <c r="AO527" s="93">
        <f>IF($BC527=1,AL527/SUMIFS(AL$3:AL$623,$BC$3:$BC$623,1,$G$3:$G$623,$G527),0)</f>
        <v>0</v>
      </c>
      <c r="AP527" s="2">
        <f>IFERROR(R527/$V527*90,"")</f>
        <v>0</v>
      </c>
      <c r="AQ527" s="2">
        <f>IFERROR(S527/$V527*90,"")</f>
        <v>0</v>
      </c>
      <c r="AR527" s="2">
        <f>IFERROR(W527/$V527*90,"")</f>
        <v>0.14184397163120568</v>
      </c>
      <c r="AS527" s="2">
        <f>IFERROR(X527/$V527*90,"")</f>
        <v>0.14184397163120568</v>
      </c>
      <c r="AT527" s="2">
        <f>IFERROR(Y527/$V527*90,"")</f>
        <v>0</v>
      </c>
      <c r="AU527" s="2">
        <f>IF(AP527="",INDEX(BV$4:BV$7,MATCH(O527,$BU$4:$BU$7,0)),AP527)</f>
        <v>0</v>
      </c>
      <c r="AV527" s="2">
        <f>IF(AQ527="",INDEX(BW$4:BW$7,MATCH($O527,$BU$4:$BU$7,0)),AQ527)</f>
        <v>0</v>
      </c>
      <c r="AW527" s="2">
        <f t="shared" si="96"/>
        <v>0.14184397163120568</v>
      </c>
      <c r="AX527" s="2">
        <f t="shared" si="97"/>
        <v>0.14184397163120568</v>
      </c>
      <c r="AY527" s="2">
        <f t="shared" si="98"/>
        <v>0</v>
      </c>
      <c r="AZ527" s="2">
        <f>AU527*0.5+AK527*0.5</f>
        <v>0.11170157068062826</v>
      </c>
      <c r="BA527" s="2">
        <f>AV527*0.5+AJ527*0.5</f>
        <v>8.4345549738219894E-2</v>
      </c>
      <c r="BB527" s="2">
        <f t="shared" si="99"/>
        <v>7.0921985815602842E-2</v>
      </c>
      <c r="BC527">
        <f>IF(I527="expected",1,0)</f>
        <v>0</v>
      </c>
      <c r="BD527" s="78">
        <f>IF(BC527=1,AZ527/SUMIFS(AZ$3:AZ$623,$BC$3:$BC$623,1,$G$3:$G$623,$G527),0)</f>
        <v>0</v>
      </c>
      <c r="BE527" s="78">
        <f>IF(BC527=1,BA527/SUMIFS(BA$3:BA$623,$BC$3:$BC$623,1,$G$3:$G$623,$G527),0)</f>
        <v>0</v>
      </c>
      <c r="BF527" s="78">
        <f t="shared" si="100"/>
        <v>0</v>
      </c>
      <c r="BG527" s="2">
        <f t="shared" si="101"/>
        <v>7.0921985815602842E-2</v>
      </c>
      <c r="BH527" s="2">
        <f t="shared" si="102"/>
        <v>0</v>
      </c>
      <c r="BI527" s="2">
        <f t="shared" si="103"/>
        <v>0</v>
      </c>
      <c r="BJ527" s="2">
        <f t="shared" si="104"/>
        <v>0</v>
      </c>
      <c r="BK527" s="2">
        <f t="shared" si="105"/>
        <v>0</v>
      </c>
      <c r="BL527" s="2">
        <f t="shared" si="106"/>
        <v>7.0921985815602842E-2</v>
      </c>
      <c r="BM527" s="2">
        <f t="shared" si="107"/>
        <v>0</v>
      </c>
      <c r="BN527" s="2">
        <f>BI527/SUMIFS(BI$3:BI$623,$BC$3:$BC$623,1,$G$3:$G$623,$G527)</f>
        <v>0</v>
      </c>
      <c r="BO527" s="2">
        <f>BJ527/SUMIFS(BJ$3:BJ$623,$BC$3:$BC$623,1,$G$3:$G$623,$G527)</f>
        <v>0</v>
      </c>
      <c r="BP527" s="2">
        <f>BK527/SUMIFS(BK$3:BK$623,$BC$3:$BC$623,1,$G$3:$G$623,$G527)</f>
        <v>0</v>
      </c>
      <c r="BQ527" s="2">
        <f>BL527</f>
        <v>7.0921985815602842E-2</v>
      </c>
      <c r="BR527" s="2">
        <f>BM527</f>
        <v>0</v>
      </c>
    </row>
    <row r="528" spans="1:70" hidden="1">
      <c r="A528" s="74">
        <v>0</v>
      </c>
      <c r="B528" s="73">
        <v>204786</v>
      </c>
      <c r="C528" s="73" t="s">
        <v>3075</v>
      </c>
      <c r="D528" s="73" t="s">
        <v>1780</v>
      </c>
      <c r="E528" s="73" t="s">
        <v>3076</v>
      </c>
      <c r="F528" s="73">
        <v>18718</v>
      </c>
      <c r="G528" s="73" t="s">
        <v>882</v>
      </c>
      <c r="H528" s="73" t="s">
        <v>937</v>
      </c>
      <c r="I528" s="73" t="s">
        <v>981</v>
      </c>
      <c r="J528" s="73">
        <v>0</v>
      </c>
      <c r="K528" s="73">
        <v>4</v>
      </c>
      <c r="L528" s="73">
        <v>0</v>
      </c>
      <c r="M528" s="73">
        <v>0</v>
      </c>
      <c r="N528" s="73">
        <v>0</v>
      </c>
      <c r="O528" s="73" t="s">
        <v>994</v>
      </c>
      <c r="P528" s="73" t="s">
        <v>3077</v>
      </c>
      <c r="Q528" s="73" t="s">
        <v>3078</v>
      </c>
      <c r="R528" s="73">
        <v>0</v>
      </c>
      <c r="S528" s="73">
        <v>0</v>
      </c>
      <c r="T528" s="73">
        <v>118</v>
      </c>
      <c r="U528" s="73">
        <v>2</v>
      </c>
      <c r="V528" s="73">
        <v>3240</v>
      </c>
      <c r="W528" s="73">
        <v>0</v>
      </c>
      <c r="X528" s="73">
        <v>1</v>
      </c>
      <c r="Y528" s="73">
        <v>0</v>
      </c>
      <c r="Z528" s="73" t="s">
        <v>2082</v>
      </c>
      <c r="AA528" s="73" t="s">
        <v>691</v>
      </c>
      <c r="AB528" s="73" t="str">
        <f>IF(AA528&lt;&gt;"",INDEX(Lookup!$N$2:$N$5,MATCH(Players!AA528,Lookup!$P$2:$P$5,0)),INDEX(Lookup!$N$2:$N$5,MATCH(Players!O528,Lookup!$O$2:$O$5,0)))</f>
        <v>Midfield</v>
      </c>
      <c r="AC528" s="73">
        <v>2500000</v>
      </c>
      <c r="AD528" s="73" t="s">
        <v>788</v>
      </c>
      <c r="AE528" s="73" t="str">
        <f>INDEX('Translate table'!$H$2:$H$622,MATCH(Players!P528,'Translate table'!$G$2:$G$622,0))</f>
        <v>Alex KrÃ¡l</v>
      </c>
      <c r="AF528" s="73">
        <f>IFERROR(INDEX('Euro Qual stats'!$A$1:$L$2071,MATCH(Players!$AE528,'Euro Qual stats'!$A$1:$A$2071,0),MATCH(Players!AF$2,'Euro Qual stats'!$A$1:$L$1,0)),0)</f>
        <v>7</v>
      </c>
      <c r="AG528" s="73">
        <f>IFERROR(INDEX('Euro Qual stats'!$A$1:$L$2071,MATCH(Players!$AE528,'Euro Qual stats'!$A$1:$A$2071,0),MATCH(Players!AG$2,'Euro Qual stats'!$A$1:$L$1,0)),0)</f>
        <v>0.15</v>
      </c>
      <c r="AH528" s="73">
        <f>IFERROR(INDEX('Euro Qual stats'!$A$1:$L$2071,MATCH(Players!$AE528,'Euro Qual stats'!$A$1:$A$2071,0),MATCH(Players!AH$2,'Euro Qual stats'!$A$1:$L$1,0)),0)</f>
        <v>0.15</v>
      </c>
      <c r="AI528" s="73">
        <f>IFERROR(INDEX('Euro Qual stats'!$A$1:$L$2071,MATCH(Players!$AE528,'Euro Qual stats'!$A$1:$A$2071,0),MATCH(Players!AI$2,'Euro Qual stats'!$A$1:$L$1,0)),0)</f>
        <v>0</v>
      </c>
      <c r="AJ528" s="93">
        <f>(12-AF528)/12*INDEX(BV$9:BV$12,MATCH($AB528,$BU$9:$BU$12,0))+AF528/12*AG528</f>
        <v>0.15778795811518326</v>
      </c>
      <c r="AK528" s="93">
        <f>(12-AG528)/12*INDEX(BW$9:BW$12,MATCH($AB528,$BU$9:$BU$12,0))+AG528/12*AH528</f>
        <v>0.22248560209424079</v>
      </c>
      <c r="AL528" s="93">
        <f>(12-AH528)/12*INDEX(BX$9:BX$12,MATCH($AB528,$BU$9:$BU$12,0))+AH528/12*AI528</f>
        <v>0.2364312827225131</v>
      </c>
      <c r="AM528" s="93">
        <f>IF($BC528=1,AJ528/SUMIFS(AJ$3:AJ$623,$BC$3:$BC$623,1,$G$3:$G$623,$G528),0)</f>
        <v>0.11600255133953237</v>
      </c>
      <c r="AN528" s="93">
        <f>IF($BC528=1,AK528/SUMIFS(AK$3:AK$623,$BC$3:$BC$623,1,$G$3:$G$623,$G528),0)</f>
        <v>0.10801428197972066</v>
      </c>
      <c r="AO528" s="93">
        <f>IF($BC528=1,AL528/SUMIFS(AL$3:AL$623,$BC$3:$BC$623,1,$G$3:$G$623,$G528),0)</f>
        <v>0.11018279473414914</v>
      </c>
      <c r="AP528" s="2">
        <f>IFERROR(R528/$V528*90,"")</f>
        <v>0</v>
      </c>
      <c r="AQ528" s="2">
        <f>IFERROR(S528/$V528*90,"")</f>
        <v>0</v>
      </c>
      <c r="AR528" s="2">
        <f>IFERROR(W528/$V528*90,"")</f>
        <v>0</v>
      </c>
      <c r="AS528" s="2">
        <f>IFERROR(X528/$V528*90,"")</f>
        <v>2.7777777777777776E-2</v>
      </c>
      <c r="AT528" s="2">
        <f>IFERROR(Y528/$V528*90,"")</f>
        <v>0</v>
      </c>
      <c r="AU528" s="2">
        <f>IF(AP528="",INDEX(BV$4:BV$7,MATCH(O528,$BU$4:$BU$7,0)),AP528)</f>
        <v>0</v>
      </c>
      <c r="AV528" s="2">
        <f>IF(AQ528="",INDEX(BW$4:BW$7,MATCH($O528,$BU$4:$BU$7,0)),AQ528)</f>
        <v>0</v>
      </c>
      <c r="AW528" s="2">
        <f t="shared" si="96"/>
        <v>0</v>
      </c>
      <c r="AX528" s="2">
        <f t="shared" si="97"/>
        <v>2.7777777777777776E-2</v>
      </c>
      <c r="AY528" s="2">
        <f t="shared" si="98"/>
        <v>0</v>
      </c>
      <c r="AZ528" s="2">
        <f>AU528*0.5+AK528*0.5</f>
        <v>0.11124280104712039</v>
      </c>
      <c r="BA528" s="2">
        <f>AV528*0.5+AJ528*0.5</f>
        <v>7.8893979057591629E-2</v>
      </c>
      <c r="BB528" s="2">
        <f t="shared" si="99"/>
        <v>1.3888888888888888E-2</v>
      </c>
      <c r="BC528">
        <f>IF(I528="expected",1,0)</f>
        <v>1</v>
      </c>
      <c r="BD528" s="78">
        <f>IF(BC528=1,AZ528/SUMIFS(AZ$3:AZ$623,$BC$3:$BC$623,1,$G$3:$G$623,$G528),0)</f>
        <v>7.2457441440575462E-2</v>
      </c>
      <c r="BE528" s="78">
        <f>IF(BC528=1,BA528/SUMIFS(BA$3:BA$623,$BC$3:$BC$623,1,$G$3:$G$623,$G528),0)</f>
        <v>7.1557895418172979E-2</v>
      </c>
      <c r="BF528" s="78">
        <f t="shared" si="100"/>
        <v>0</v>
      </c>
      <c r="BG528" s="2">
        <f t="shared" si="101"/>
        <v>1.3888888888888888E-2</v>
      </c>
      <c r="BH528" s="2">
        <f t="shared" si="102"/>
        <v>0</v>
      </c>
      <c r="BI528" s="2">
        <f t="shared" si="103"/>
        <v>7.2457441440575462E-2</v>
      </c>
      <c r="BJ528" s="2">
        <f t="shared" si="104"/>
        <v>7.1557895418172979E-2</v>
      </c>
      <c r="BK528" s="2">
        <f t="shared" si="105"/>
        <v>0</v>
      </c>
      <c r="BL528" s="2">
        <f t="shared" si="106"/>
        <v>1.3888888888888888E-2</v>
      </c>
      <c r="BM528" s="2">
        <f t="shared" si="107"/>
        <v>0</v>
      </c>
      <c r="BN528" s="2">
        <f>BI528/SUMIFS(BI$3:BI$623,$BC$3:$BC$623,1,$G$3:$G$623,$G528)</f>
        <v>7.2457441440575476E-2</v>
      </c>
      <c r="BO528" s="2">
        <f>BJ528/SUMIFS(BJ$3:BJ$623,$BC$3:$BC$623,1,$G$3:$G$623,$G528)</f>
        <v>7.1557895418172979E-2</v>
      </c>
      <c r="BP528" s="2">
        <f>BK528/SUMIFS(BK$3:BK$623,$BC$3:$BC$623,1,$G$3:$G$623,$G528)</f>
        <v>0</v>
      </c>
      <c r="BQ528" s="2">
        <f>BL528</f>
        <v>1.3888888888888888E-2</v>
      </c>
      <c r="BR528" s="2">
        <f>BM528</f>
        <v>0</v>
      </c>
    </row>
    <row r="529" spans="1:70" hidden="1">
      <c r="A529" s="74">
        <v>0</v>
      </c>
      <c r="B529" s="73">
        <v>213390</v>
      </c>
      <c r="C529" s="73" t="s">
        <v>3079</v>
      </c>
      <c r="D529" s="73" t="s">
        <v>3080</v>
      </c>
      <c r="E529" s="73" t="s">
        <v>3081</v>
      </c>
      <c r="F529" s="73">
        <v>18716</v>
      </c>
      <c r="G529" s="73" t="s">
        <v>862</v>
      </c>
      <c r="H529" s="73" t="s">
        <v>935</v>
      </c>
      <c r="I529" s="73" t="s">
        <v>1012</v>
      </c>
      <c r="J529" s="73">
        <v>0</v>
      </c>
      <c r="K529" s="73">
        <v>4</v>
      </c>
      <c r="L529" s="73">
        <v>0</v>
      </c>
      <c r="M529" s="73">
        <v>0</v>
      </c>
      <c r="N529" s="73">
        <v>0</v>
      </c>
      <c r="O529" s="73" t="s">
        <v>1318</v>
      </c>
      <c r="P529" s="73" t="s">
        <v>3082</v>
      </c>
      <c r="Q529" s="73" t="s">
        <v>3083</v>
      </c>
      <c r="R529" s="73">
        <v>3</v>
      </c>
      <c r="S529" s="73">
        <v>2</v>
      </c>
      <c r="T529" s="73">
        <v>0</v>
      </c>
      <c r="U529" s="73">
        <v>11</v>
      </c>
      <c r="V529" s="73">
        <v>2389</v>
      </c>
      <c r="W529" s="73">
        <v>7</v>
      </c>
      <c r="X529" s="73">
        <v>8</v>
      </c>
      <c r="Y529" s="73">
        <v>0</v>
      </c>
      <c r="Z529" s="73" t="s">
        <v>1922</v>
      </c>
      <c r="AA529" s="73" t="s">
        <v>692</v>
      </c>
      <c r="AB529" s="73" t="str">
        <f>IF(AA529&lt;&gt;"",INDEX(Lookup!$N$2:$N$5,MATCH(Players!AA529,Lookup!$P$2:$P$5,0)),INDEX(Lookup!$N$2:$N$5,MATCH(Players!O529,Lookup!$O$2:$O$5,0)))</f>
        <v>Defense</v>
      </c>
      <c r="AC529" s="73">
        <v>2500000</v>
      </c>
      <c r="AD529" s="73" t="s">
        <v>806</v>
      </c>
      <c r="AE529" s="73" t="str">
        <f>INDEX('Translate table'!$H$2:$H$622,MATCH(Players!P529,'Translate table'!$G$2:$G$622,0))</f>
        <v>Mehmet Zeki Ã‡elik</v>
      </c>
      <c r="AF529" s="73">
        <f>IFERROR(INDEX('Euro Qual stats'!$A$1:$L$2071,MATCH(Players!$AE529,'Euro Qual stats'!$A$1:$A$2071,0),MATCH(Players!AF$2,'Euro Qual stats'!$A$1:$L$1,0)),0)</f>
        <v>9</v>
      </c>
      <c r="AG529" s="73">
        <f>IFERROR(INDEX('Euro Qual stats'!$A$1:$L$2071,MATCH(Players!$AE529,'Euro Qual stats'!$A$1:$A$2071,0),MATCH(Players!AG$2,'Euro Qual stats'!$A$1:$L$1,0)),0)</f>
        <v>0</v>
      </c>
      <c r="AH529" s="73">
        <f>IFERROR(INDEX('Euro Qual stats'!$A$1:$L$2071,MATCH(Players!$AE529,'Euro Qual stats'!$A$1:$A$2071,0),MATCH(Players!AH$2,'Euro Qual stats'!$A$1:$L$1,0)),0)</f>
        <v>0</v>
      </c>
      <c r="AI529" s="73">
        <f>IFERROR(INDEX('Euro Qual stats'!$A$1:$L$2071,MATCH(Players!$AE529,'Euro Qual stats'!$A$1:$A$2071,0),MATCH(Players!AI$2,'Euro Qual stats'!$A$1:$L$1,0)),0)</f>
        <v>0.25</v>
      </c>
      <c r="AJ529" s="93">
        <f>(12-AF529)/12*INDEX(BV$9:BV$12,MATCH($AB529,$BU$9:$BU$12,0))+AF529/12*AG529</f>
        <v>2.2293956043956051E-2</v>
      </c>
      <c r="AK529" s="93">
        <f>(12-AG529)/12*INDEX(BW$9:BW$12,MATCH($AB529,$BU$9:$BU$12,0))+AG529/12*AH529</f>
        <v>0.10357142857142858</v>
      </c>
      <c r="AL529" s="93">
        <f>(12-AH529)/12*INDEX(BX$9:BX$12,MATCH($AB529,$BU$9:$BU$12,0))+AH529/12*AI529</f>
        <v>0.19357142857142848</v>
      </c>
      <c r="AM529" s="93">
        <f>IF($BC529=1,AJ529/SUMIFS(AJ$3:AJ$623,$BC$3:$BC$623,1,$G$3:$G$623,$G529),0)</f>
        <v>0</v>
      </c>
      <c r="AN529" s="93">
        <f>IF($BC529=1,AK529/SUMIFS(AK$3:AK$623,$BC$3:$BC$623,1,$G$3:$G$623,$G529),0)</f>
        <v>0</v>
      </c>
      <c r="AO529" s="93">
        <f>IF($BC529=1,AL529/SUMIFS(AL$3:AL$623,$BC$3:$BC$623,1,$G$3:$G$623,$G529),0)</f>
        <v>0</v>
      </c>
      <c r="AP529" s="2">
        <f>IFERROR(R529/$V529*90,"")</f>
        <v>0.11301799916282963</v>
      </c>
      <c r="AQ529" s="2">
        <f>IFERROR(S529/$V529*90,"")</f>
        <v>7.5345332775219764E-2</v>
      </c>
      <c r="AR529" s="2">
        <f>IFERROR(W529/$V529*90,"")</f>
        <v>0.26370866471326915</v>
      </c>
      <c r="AS529" s="2">
        <f>IFERROR(X529/$V529*90,"")</f>
        <v>0.30138133110087906</v>
      </c>
      <c r="AT529" s="2">
        <f>IFERROR(Y529/$V529*90,"")</f>
        <v>0</v>
      </c>
      <c r="AU529" s="2">
        <f>IF(AP529="",INDEX(BV$4:BV$7,MATCH(O529,$BU$4:$BU$7,0)),AP529)</f>
        <v>0.11301799916282963</v>
      </c>
      <c r="AV529" s="2">
        <f>IF(AQ529="",INDEX(BW$4:BW$7,MATCH($O529,$BU$4:$BU$7,0)),AQ529)</f>
        <v>7.5345332775219764E-2</v>
      </c>
      <c r="AW529" s="2">
        <f t="shared" si="96"/>
        <v>0.26370866471326915</v>
      </c>
      <c r="AX529" s="2">
        <f t="shared" si="97"/>
        <v>0.30138133110087906</v>
      </c>
      <c r="AY529" s="2">
        <f t="shared" si="98"/>
        <v>0</v>
      </c>
      <c r="AZ529" s="2">
        <f>AU529*0.5+AK529*0.5</f>
        <v>0.10829471386712911</v>
      </c>
      <c r="BA529" s="2">
        <f>AV529*0.5+AJ529*0.5</f>
        <v>4.8819644409587908E-2</v>
      </c>
      <c r="BB529" s="2">
        <f t="shared" si="99"/>
        <v>0.27569066555043953</v>
      </c>
      <c r="BC529">
        <f>IF(I529="expected",1,0)</f>
        <v>0</v>
      </c>
      <c r="BD529" s="78">
        <f>IF(BC529=1,AZ529/SUMIFS(AZ$3:AZ$623,$BC$3:$BC$623,1,$G$3:$G$623,$G529),0)</f>
        <v>0</v>
      </c>
      <c r="BE529" s="78">
        <f>IF(BC529=1,BA529/SUMIFS(BA$3:BA$623,$BC$3:$BC$623,1,$G$3:$G$623,$G529),0)</f>
        <v>0</v>
      </c>
      <c r="BF529" s="78">
        <f t="shared" si="100"/>
        <v>0</v>
      </c>
      <c r="BG529" s="2">
        <f t="shared" si="101"/>
        <v>0.27569066555043953</v>
      </c>
      <c r="BH529" s="2">
        <f t="shared" si="102"/>
        <v>0</v>
      </c>
      <c r="BI529" s="2">
        <f t="shared" si="103"/>
        <v>0</v>
      </c>
      <c r="BJ529" s="2">
        <f t="shared" si="104"/>
        <v>0</v>
      </c>
      <c r="BK529" s="2">
        <f t="shared" si="105"/>
        <v>0</v>
      </c>
      <c r="BL529" s="2">
        <f t="shared" si="106"/>
        <v>0.27569066555043953</v>
      </c>
      <c r="BM529" s="2">
        <f t="shared" si="107"/>
        <v>0</v>
      </c>
      <c r="BN529" s="2">
        <f>BI529/SUMIFS(BI$3:BI$623,$BC$3:$BC$623,1,$G$3:$G$623,$G529)</f>
        <v>0</v>
      </c>
      <c r="BO529" s="2">
        <f>BJ529/SUMIFS(BJ$3:BJ$623,$BC$3:$BC$623,1,$G$3:$G$623,$G529)</f>
        <v>0</v>
      </c>
      <c r="BP529" s="2">
        <f>BK529/SUMIFS(BK$3:BK$623,$BC$3:$BC$623,1,$G$3:$G$623,$G529)</f>
        <v>0</v>
      </c>
      <c r="BQ529" s="2">
        <f>BL529</f>
        <v>0.27569066555043953</v>
      </c>
      <c r="BR529" s="2">
        <f>BM529</f>
        <v>0</v>
      </c>
    </row>
    <row r="530" spans="1:70" hidden="1">
      <c r="A530" s="74">
        <v>0</v>
      </c>
      <c r="B530" s="73">
        <v>204725</v>
      </c>
      <c r="C530" s="73" t="s">
        <v>3084</v>
      </c>
      <c r="D530" s="73" t="s">
        <v>3085</v>
      </c>
      <c r="E530" s="73" t="s">
        <v>3086</v>
      </c>
      <c r="F530" s="73">
        <v>18716</v>
      </c>
      <c r="G530" s="73" t="s">
        <v>862</v>
      </c>
      <c r="H530" s="73" t="s">
        <v>935</v>
      </c>
      <c r="I530" s="73" t="s">
        <v>981</v>
      </c>
      <c r="J530" s="73">
        <v>0</v>
      </c>
      <c r="K530" s="73">
        <v>4</v>
      </c>
      <c r="L530" s="73">
        <v>0</v>
      </c>
      <c r="M530" s="73">
        <v>0</v>
      </c>
      <c r="N530" s="73">
        <v>0</v>
      </c>
      <c r="O530" s="73" t="s">
        <v>1318</v>
      </c>
      <c r="P530" s="73" t="s">
        <v>3087</v>
      </c>
      <c r="Q530" s="73" t="s">
        <v>3087</v>
      </c>
      <c r="R530" s="73">
        <v>0</v>
      </c>
      <c r="S530" s="73">
        <v>0</v>
      </c>
      <c r="T530" s="73">
        <v>0</v>
      </c>
      <c r="U530" s="73">
        <v>3</v>
      </c>
      <c r="V530" s="73">
        <v>788</v>
      </c>
      <c r="W530" s="73">
        <v>0</v>
      </c>
      <c r="X530" s="73">
        <v>2</v>
      </c>
      <c r="Y530" s="73">
        <v>0</v>
      </c>
      <c r="Z530" s="73" t="s">
        <v>1922</v>
      </c>
      <c r="AA530" s="73" t="s">
        <v>692</v>
      </c>
      <c r="AB530" s="73" t="str">
        <f>IF(AA530&lt;&gt;"",INDEX(Lookup!$N$2:$N$5,MATCH(Players!AA530,Lookup!$P$2:$P$5,0)),INDEX(Lookup!$N$2:$N$5,MATCH(Players!O530,Lookup!$O$2:$O$5,0)))</f>
        <v>Defense</v>
      </c>
      <c r="AC530" s="73">
        <v>2500000</v>
      </c>
      <c r="AD530" s="73" t="s">
        <v>790</v>
      </c>
      <c r="AE530" s="73" t="str">
        <f>INDEX('Translate table'!$H$2:$H$622,MATCH(Players!P530,'Translate table'!$G$2:$G$622,0))</f>
        <v>Kaan Ayhan</v>
      </c>
      <c r="AF530" s="73">
        <f>IFERROR(INDEX('Euro Qual stats'!$A$1:$L$2071,MATCH(Players!$AE530,'Euro Qual stats'!$A$1:$A$2071,0),MATCH(Players!AF$2,'Euro Qual stats'!$A$1:$L$1,0)),0)</f>
        <v>9</v>
      </c>
      <c r="AG530" s="73">
        <f>IFERROR(INDEX('Euro Qual stats'!$A$1:$L$2071,MATCH(Players!$AE530,'Euro Qual stats'!$A$1:$A$2071,0),MATCH(Players!AG$2,'Euro Qual stats'!$A$1:$L$1,0)),0)</f>
        <v>0</v>
      </c>
      <c r="AH530" s="73">
        <f>IFERROR(INDEX('Euro Qual stats'!$A$1:$L$2071,MATCH(Players!$AE530,'Euro Qual stats'!$A$1:$A$2071,0),MATCH(Players!AH$2,'Euro Qual stats'!$A$1:$L$1,0)),0)</f>
        <v>0.43</v>
      </c>
      <c r="AI530" s="73">
        <f>IFERROR(INDEX('Euro Qual stats'!$A$1:$L$2071,MATCH(Players!$AE530,'Euro Qual stats'!$A$1:$A$2071,0),MATCH(Players!AI$2,'Euro Qual stats'!$A$1:$L$1,0)),0)</f>
        <v>0.43</v>
      </c>
      <c r="AJ530" s="93">
        <f>(12-AF530)/12*INDEX(BV$9:BV$12,MATCH($AB530,$BU$9:$BU$12,0))+AF530/12*AG530</f>
        <v>2.2293956043956051E-2</v>
      </c>
      <c r="AK530" s="93">
        <f>(12-AG530)/12*INDEX(BW$9:BW$12,MATCH($AB530,$BU$9:$BU$12,0))+AG530/12*AH530</f>
        <v>0.10357142857142858</v>
      </c>
      <c r="AL530" s="93">
        <f>(12-AH530)/12*INDEX(BX$9:BX$12,MATCH($AB530,$BU$9:$BU$12,0))+AH530/12*AI530</f>
        <v>0.20204345238095231</v>
      </c>
      <c r="AM530" s="93">
        <f>IF($BC530=1,AJ530/SUMIFS(AJ$3:AJ$623,$BC$3:$BC$623,1,$G$3:$G$623,$G530),0)</f>
        <v>1.8182107096734745E-2</v>
      </c>
      <c r="AN530" s="93">
        <f>IF($BC530=1,AK530/SUMIFS(AK$3:AK$623,$BC$3:$BC$623,1,$G$3:$G$623,$G530),0)</f>
        <v>3.8735395641179712E-2</v>
      </c>
      <c r="AO530" s="93">
        <f>IF($BC530=1,AL530/SUMIFS(AL$3:AL$623,$BC$3:$BC$623,1,$G$3:$G$623,$G530),0)</f>
        <v>0.10114096691704062</v>
      </c>
      <c r="AP530" s="2">
        <f>IFERROR(R530/$V530*90,"")</f>
        <v>0</v>
      </c>
      <c r="AQ530" s="2">
        <f>IFERROR(S530/$V530*90,"")</f>
        <v>0</v>
      </c>
      <c r="AR530" s="2">
        <f>IFERROR(W530/$V530*90,"")</f>
        <v>0</v>
      </c>
      <c r="AS530" s="2">
        <f>IFERROR(X530/$V530*90,"")</f>
        <v>0.22842639593908629</v>
      </c>
      <c r="AT530" s="2">
        <f>IFERROR(Y530/$V530*90,"")</f>
        <v>0</v>
      </c>
      <c r="AU530" s="2">
        <f>IF(AP530="",INDEX(BV$4:BV$7,MATCH(O530,$BU$4:$BU$7,0)),AP530)</f>
        <v>0</v>
      </c>
      <c r="AV530" s="2">
        <f>IF(AQ530="",INDEX(BW$4:BW$7,MATCH($O530,$BU$4:$BU$7,0)),AQ530)</f>
        <v>0</v>
      </c>
      <c r="AW530" s="2">
        <f t="shared" si="96"/>
        <v>0</v>
      </c>
      <c r="AX530" s="2">
        <f t="shared" si="97"/>
        <v>0.22842639593908629</v>
      </c>
      <c r="AY530" s="2">
        <f t="shared" si="98"/>
        <v>0</v>
      </c>
      <c r="AZ530" s="2">
        <f>AU530*0.5+AK530*0.5</f>
        <v>5.1785714285714289E-2</v>
      </c>
      <c r="BA530" s="2">
        <f>AV530*0.5+AJ530*0.5</f>
        <v>1.1146978021978025E-2</v>
      </c>
      <c r="BB530" s="2">
        <f t="shared" si="99"/>
        <v>0.32921319796954313</v>
      </c>
      <c r="BC530">
        <f>IF(I530="expected",1,0)</f>
        <v>1</v>
      </c>
      <c r="BD530" s="78">
        <f>IF(BC530=1,AZ530/SUMIFS(AZ$3:AZ$623,$BC$3:$BC$623,1,$G$3:$G$623,$G530),0)</f>
        <v>2.2808652923184299E-2</v>
      </c>
      <c r="BE530" s="78">
        <f>IF(BC530=1,BA530/SUMIFS(BA$3:BA$623,$BC$3:$BC$623,1,$G$3:$G$623,$G530),0)</f>
        <v>9.349159524649207E-3</v>
      </c>
      <c r="BF530" s="78">
        <f t="shared" si="100"/>
        <v>0</v>
      </c>
      <c r="BG530" s="2">
        <f t="shared" si="101"/>
        <v>0.32921319796954313</v>
      </c>
      <c r="BH530" s="2">
        <f t="shared" si="102"/>
        <v>0</v>
      </c>
      <c r="BI530" s="2">
        <f t="shared" si="103"/>
        <v>2.2808652923184299E-2</v>
      </c>
      <c r="BJ530" s="2">
        <f t="shared" si="104"/>
        <v>9.349159524649207E-3</v>
      </c>
      <c r="BK530" s="2">
        <f t="shared" si="105"/>
        <v>0</v>
      </c>
      <c r="BL530" s="2">
        <f t="shared" si="106"/>
        <v>0.32921319796954313</v>
      </c>
      <c r="BM530" s="2">
        <f t="shared" si="107"/>
        <v>0</v>
      </c>
      <c r="BN530" s="2">
        <f>BI530/SUMIFS(BI$3:BI$623,$BC$3:$BC$623,1,$G$3:$G$623,$G530)</f>
        <v>2.2808652923184302E-2</v>
      </c>
      <c r="BO530" s="2">
        <f>BJ530/SUMIFS(BJ$3:BJ$623,$BC$3:$BC$623,1,$G$3:$G$623,$G530)</f>
        <v>9.3491595246492053E-3</v>
      </c>
      <c r="BP530" s="2">
        <f>BK530/SUMIFS(BK$3:BK$623,$BC$3:$BC$623,1,$G$3:$G$623,$G530)</f>
        <v>0</v>
      </c>
      <c r="BQ530" s="2">
        <f>BL530</f>
        <v>0.32921319796954313</v>
      </c>
      <c r="BR530" s="2">
        <f>BM530</f>
        <v>0</v>
      </c>
    </row>
    <row r="531" spans="1:70" hidden="1">
      <c r="A531" s="74">
        <v>0</v>
      </c>
      <c r="B531" s="73">
        <v>220817</v>
      </c>
      <c r="C531" s="73" t="s">
        <v>3088</v>
      </c>
      <c r="D531" s="73" t="s">
        <v>3089</v>
      </c>
      <c r="E531" s="73" t="s">
        <v>3090</v>
      </c>
      <c r="F531" s="73">
        <v>18716</v>
      </c>
      <c r="G531" s="73" t="s">
        <v>862</v>
      </c>
      <c r="H531" s="73" t="s">
        <v>935</v>
      </c>
      <c r="I531" s="73" t="s">
        <v>1012</v>
      </c>
      <c r="J531" s="73">
        <v>0</v>
      </c>
      <c r="K531" s="73">
        <v>4</v>
      </c>
      <c r="L531" s="73">
        <v>0</v>
      </c>
      <c r="M531" s="73">
        <v>0</v>
      </c>
      <c r="N531" s="73">
        <v>0</v>
      </c>
      <c r="O531" s="73" t="s">
        <v>994</v>
      </c>
      <c r="P531" s="73" t="s">
        <v>3091</v>
      </c>
      <c r="Q531" s="73" t="s">
        <v>1164</v>
      </c>
      <c r="R531" s="73"/>
      <c r="S531" s="73"/>
      <c r="T531" s="73"/>
      <c r="U531" s="73"/>
      <c r="V531" s="73"/>
      <c r="W531" s="73"/>
      <c r="X531" s="73"/>
      <c r="Y531" s="73"/>
      <c r="Z531" s="73" t="s">
        <v>1922</v>
      </c>
      <c r="AA531" s="73" t="s">
        <v>691</v>
      </c>
      <c r="AB531" s="73" t="str">
        <f>IF(AA531&lt;&gt;"",INDEX(Lookup!$N$2:$N$5,MATCH(Players!AA531,Lookup!$P$2:$P$5,0)),INDEX(Lookup!$N$2:$N$5,MATCH(Players!O531,Lookup!$O$2:$O$5,0)))</f>
        <v>Midfield</v>
      </c>
      <c r="AC531" s="73">
        <v>2500000</v>
      </c>
      <c r="AD531" s="73" t="s">
        <v>788</v>
      </c>
      <c r="AE531" s="73" t="str">
        <f>INDEX('Translate table'!$H$2:$H$622,MATCH(Players!P531,'Translate table'!$G$2:$G$622,0))</f>
        <v>Robert Taylor</v>
      </c>
      <c r="AF531" s="73">
        <f>IFERROR(INDEX('Euro Qual stats'!$A$1:$L$2071,MATCH(Players!$AE531,'Euro Qual stats'!$A$1:$A$2071,0),MATCH(Players!AF$2,'Euro Qual stats'!$A$1:$L$1,0)),0)</f>
        <v>1</v>
      </c>
      <c r="AG531" s="73">
        <f>IFERROR(INDEX('Euro Qual stats'!$A$1:$L$2071,MATCH(Players!$AE531,'Euro Qual stats'!$A$1:$A$2071,0),MATCH(Players!AG$2,'Euro Qual stats'!$A$1:$L$1,0)),0)</f>
        <v>0</v>
      </c>
      <c r="AH531" s="73">
        <f>IFERROR(INDEX('Euro Qual stats'!$A$1:$L$2071,MATCH(Players!$AE531,'Euro Qual stats'!$A$1:$A$2071,0),MATCH(Players!AH$2,'Euro Qual stats'!$A$1:$L$1,0)),0)</f>
        <v>0</v>
      </c>
      <c r="AI531" s="73">
        <f>IFERROR(INDEX('Euro Qual stats'!$A$1:$L$2071,MATCH(Players!$AE531,'Euro Qual stats'!$A$1:$A$2071,0),MATCH(Players!AI$2,'Euro Qual stats'!$A$1:$L$1,0)),0)</f>
        <v>0</v>
      </c>
      <c r="AJ531" s="93">
        <f>(12-AF531)/12*INDEX(BV$9:BV$12,MATCH($AB531,$BU$9:$BU$12,0))+AF531/12*AG531</f>
        <v>0.15463350785340313</v>
      </c>
      <c r="AK531" s="93">
        <f>(12-AG531)/12*INDEX(BW$9:BW$12,MATCH($AB531,$BU$9:$BU$12,0))+AG531/12*AH531</f>
        <v>0.22340314136125652</v>
      </c>
      <c r="AL531" s="93">
        <f>(12-AH531)/12*INDEX(BX$9:BX$12,MATCH($AB531,$BU$9:$BU$12,0))+AH531/12*AI531</f>
        <v>0.23942408376963353</v>
      </c>
      <c r="AM531" s="93">
        <f>IF($BC531=1,AJ531/SUMIFS(AJ$3:AJ$623,$BC$3:$BC$623,1,$G$3:$G$623,$G531),0)</f>
        <v>0</v>
      </c>
      <c r="AN531" s="93">
        <f>IF($BC531=1,AK531/SUMIFS(AK$3:AK$623,$BC$3:$BC$623,1,$G$3:$G$623,$G531),0)</f>
        <v>0</v>
      </c>
      <c r="AO531" s="93">
        <f>IF($BC531=1,AL531/SUMIFS(AL$3:AL$623,$BC$3:$BC$623,1,$G$3:$G$623,$G531),0)</f>
        <v>0</v>
      </c>
      <c r="AP531" s="2" t="str">
        <f>IFERROR(R531/$V531*90,"")</f>
        <v/>
      </c>
      <c r="AQ531" s="2" t="str">
        <f>IFERROR(S531/$V531*90,"")</f>
        <v/>
      </c>
      <c r="AR531" s="2" t="str">
        <f>IFERROR(W531/$V531*90,"")</f>
        <v/>
      </c>
      <c r="AS531" s="2" t="str">
        <f>IFERROR(X531/$V531*90,"")</f>
        <v/>
      </c>
      <c r="AT531" s="2" t="str">
        <f>IFERROR(Y531/$V531*90,"")</f>
        <v/>
      </c>
      <c r="AU531" s="2">
        <f>IF(AP531="",INDEX(BV$4:BV$7,MATCH(O531,$BU$4:$BU$7,0)),AP531)</f>
        <v>3.6526142445450806E-2</v>
      </c>
      <c r="AV531" s="2">
        <f>IF(AQ531="",INDEX(BW$4:BW$7,MATCH($O531,$BU$4:$BU$7,0)),AQ531)</f>
        <v>3.2427739661688867E-2</v>
      </c>
      <c r="AW531" s="2">
        <f t="shared" si="96"/>
        <v>0.20013349649571699</v>
      </c>
      <c r="AX531" s="2">
        <f t="shared" si="97"/>
        <v>0.16081000595592615</v>
      </c>
      <c r="AY531" s="2">
        <f t="shared" si="98"/>
        <v>0</v>
      </c>
      <c r="AZ531" s="2">
        <f>AU531*0.5+AK531*0.5</f>
        <v>0.12996464190335366</v>
      </c>
      <c r="BA531" s="2">
        <f>AV531*0.5+AJ531*0.5</f>
        <v>9.3530623757546005E-2</v>
      </c>
      <c r="BB531" s="2">
        <f t="shared" si="99"/>
        <v>8.0405002977963075E-2</v>
      </c>
      <c r="BC531">
        <f>IF(I531="expected",1,0)</f>
        <v>0</v>
      </c>
      <c r="BD531" s="78">
        <f>IF(BC531=1,AZ531/SUMIFS(AZ$3:AZ$623,$BC$3:$BC$623,1,$G$3:$G$623,$G531),0)</f>
        <v>0</v>
      </c>
      <c r="BE531" s="78">
        <f>IF(BC531=1,BA531/SUMIFS(BA$3:BA$623,$BC$3:$BC$623,1,$G$3:$G$623,$G531),0)</f>
        <v>0</v>
      </c>
      <c r="BF531" s="78">
        <f t="shared" si="100"/>
        <v>0</v>
      </c>
      <c r="BG531" s="2">
        <f t="shared" si="101"/>
        <v>8.0405002977963075E-2</v>
      </c>
      <c r="BH531" s="2">
        <f t="shared" si="102"/>
        <v>0</v>
      </c>
      <c r="BI531" s="2">
        <f t="shared" si="103"/>
        <v>0</v>
      </c>
      <c r="BJ531" s="2">
        <f t="shared" si="104"/>
        <v>0</v>
      </c>
      <c r="BK531" s="2">
        <f t="shared" si="105"/>
        <v>0</v>
      </c>
      <c r="BL531" s="2">
        <f t="shared" si="106"/>
        <v>8.0405002977963075E-2</v>
      </c>
      <c r="BM531" s="2">
        <f t="shared" si="107"/>
        <v>0</v>
      </c>
      <c r="BN531" s="2">
        <f>BI531/SUMIFS(BI$3:BI$623,$BC$3:$BC$623,1,$G$3:$G$623,$G531)</f>
        <v>0</v>
      </c>
      <c r="BO531" s="2">
        <f>BJ531/SUMIFS(BJ$3:BJ$623,$BC$3:$BC$623,1,$G$3:$G$623,$G531)</f>
        <v>0</v>
      </c>
      <c r="BP531" s="2">
        <f>BK531/SUMIFS(BK$3:BK$623,$BC$3:$BC$623,1,$G$3:$G$623,$G531)</f>
        <v>0</v>
      </c>
      <c r="BQ531" s="2">
        <f>BL531</f>
        <v>8.0405002977963075E-2</v>
      </c>
      <c r="BR531" s="2">
        <f>BM531</f>
        <v>0</v>
      </c>
    </row>
    <row r="532" spans="1:70" hidden="1">
      <c r="A532" s="74">
        <v>0</v>
      </c>
      <c r="B532" s="73">
        <v>204716</v>
      </c>
      <c r="C532" s="73" t="s">
        <v>3092</v>
      </c>
      <c r="D532" s="73" t="s">
        <v>841</v>
      </c>
      <c r="E532" s="73" t="s">
        <v>3093</v>
      </c>
      <c r="F532" s="73">
        <v>18716</v>
      </c>
      <c r="G532" s="73" t="s">
        <v>862</v>
      </c>
      <c r="H532" s="73" t="s">
        <v>935</v>
      </c>
      <c r="I532" s="73" t="s">
        <v>981</v>
      </c>
      <c r="J532" s="73">
        <v>0</v>
      </c>
      <c r="K532" s="73">
        <v>4</v>
      </c>
      <c r="L532" s="73">
        <v>0</v>
      </c>
      <c r="M532" s="73">
        <v>0</v>
      </c>
      <c r="N532" s="73">
        <v>0</v>
      </c>
      <c r="O532" s="73" t="s">
        <v>994</v>
      </c>
      <c r="P532" s="73" t="s">
        <v>831</v>
      </c>
      <c r="Q532" s="73" t="s">
        <v>1164</v>
      </c>
      <c r="R532" s="73"/>
      <c r="S532" s="73"/>
      <c r="T532" s="73"/>
      <c r="U532" s="73"/>
      <c r="V532" s="73"/>
      <c r="W532" s="73"/>
      <c r="X532" s="73"/>
      <c r="Y532" s="73"/>
      <c r="Z532" s="73" t="s">
        <v>1922</v>
      </c>
      <c r="AA532" s="73" t="s">
        <v>691</v>
      </c>
      <c r="AB532" s="73" t="str">
        <f>IF(AA532&lt;&gt;"",INDEX(Lookup!$N$2:$N$5,MATCH(Players!AA532,Lookup!$P$2:$P$5,0)),INDEX(Lookup!$N$2:$N$5,MATCH(Players!O532,Lookup!$O$2:$O$5,0)))</f>
        <v>Midfield</v>
      </c>
      <c r="AC532" s="73">
        <v>3000000</v>
      </c>
      <c r="AD532" s="73" t="s">
        <v>789</v>
      </c>
      <c r="AE532" s="73" t="str">
        <f>INDEX('Translate table'!$H$2:$H$622,MATCH(Players!P532,'Translate table'!$G$2:$G$622,0))</f>
        <v>Okay YokuÅŸlu</v>
      </c>
      <c r="AF532" s="73">
        <f>IFERROR(INDEX('Euro Qual stats'!$A$1:$L$2071,MATCH(Players!$AE532,'Euro Qual stats'!$A$1:$A$2071,0),MATCH(Players!AF$2,'Euro Qual stats'!$A$1:$L$1,0)),0)</f>
        <v>3</v>
      </c>
      <c r="AG532" s="73">
        <f>IFERROR(INDEX('Euro Qual stats'!$A$1:$L$2071,MATCH(Players!$AE532,'Euro Qual stats'!$A$1:$A$2071,0),MATCH(Players!AG$2,'Euro Qual stats'!$A$1:$L$1,0)),0)</f>
        <v>0</v>
      </c>
      <c r="AH532" s="73">
        <f>IFERROR(INDEX('Euro Qual stats'!$A$1:$L$2071,MATCH(Players!$AE532,'Euro Qual stats'!$A$1:$A$2071,0),MATCH(Players!AH$2,'Euro Qual stats'!$A$1:$L$1,0)),0)</f>
        <v>0</v>
      </c>
      <c r="AI532" s="73">
        <f>IFERROR(INDEX('Euro Qual stats'!$A$1:$L$2071,MATCH(Players!$AE532,'Euro Qual stats'!$A$1:$A$2071,0),MATCH(Players!AI$2,'Euro Qual stats'!$A$1:$L$1,0)),0)</f>
        <v>0.8</v>
      </c>
      <c r="AJ532" s="93">
        <f>(12-AF532)/12*INDEX(BV$9:BV$12,MATCH($AB532,$BU$9:$BU$12,0))+AF532/12*AG532</f>
        <v>0.12651832460732984</v>
      </c>
      <c r="AK532" s="93">
        <f>(12-AG532)/12*INDEX(BW$9:BW$12,MATCH($AB532,$BU$9:$BU$12,0))+AG532/12*AH532</f>
        <v>0.22340314136125652</v>
      </c>
      <c r="AL532" s="93">
        <f>(12-AH532)/12*INDEX(BX$9:BX$12,MATCH($AB532,$BU$9:$BU$12,0))+AH532/12*AI532</f>
        <v>0.23942408376963353</v>
      </c>
      <c r="AM532" s="93">
        <f>IF($BC532=1,AJ532/SUMIFS(AJ$3:AJ$623,$BC$3:$BC$623,1,$G$3:$G$623,$G532),0)</f>
        <v>0.10318355895088248</v>
      </c>
      <c r="AN532" s="93">
        <f>IF($BC532=1,AK532/SUMIFS(AK$3:AK$623,$BC$3:$BC$623,1,$G$3:$G$623,$G532),0)</f>
        <v>8.3552087554171997E-2</v>
      </c>
      <c r="AO532" s="93">
        <f>IF($BC532=1,AL532/SUMIFS(AL$3:AL$623,$BC$3:$BC$623,1,$G$3:$G$623,$G532),0)</f>
        <v>0.11985334367593789</v>
      </c>
      <c r="AP532" s="2" t="str">
        <f>IFERROR(R532/$V532*90,"")</f>
        <v/>
      </c>
      <c r="AQ532" s="2" t="str">
        <f>IFERROR(S532/$V532*90,"")</f>
        <v/>
      </c>
      <c r="AR532" s="2" t="str">
        <f>IFERROR(W532/$V532*90,"")</f>
        <v/>
      </c>
      <c r="AS532" s="2" t="str">
        <f>IFERROR(X532/$V532*90,"")</f>
        <v/>
      </c>
      <c r="AT532" s="2" t="str">
        <f>IFERROR(Y532/$V532*90,"")</f>
        <v/>
      </c>
      <c r="AU532" s="2">
        <f>IF(AP532="",INDEX(BV$4:BV$7,MATCH(O532,$BU$4:$BU$7,0)),AP532)</f>
        <v>3.6526142445450806E-2</v>
      </c>
      <c r="AV532" s="2">
        <f>IF(AQ532="",INDEX(BW$4:BW$7,MATCH($O532,$BU$4:$BU$7,0)),AQ532)</f>
        <v>3.2427739661688867E-2</v>
      </c>
      <c r="AW532" s="2">
        <f t="shared" si="96"/>
        <v>0.20013349649571699</v>
      </c>
      <c r="AX532" s="2">
        <f t="shared" si="97"/>
        <v>0.16081000595592615</v>
      </c>
      <c r="AY532" s="2">
        <f t="shared" si="98"/>
        <v>0</v>
      </c>
      <c r="AZ532" s="2">
        <f>AU532*0.5+AK532*0.5</f>
        <v>0.12996464190335366</v>
      </c>
      <c r="BA532" s="2">
        <f>AV532*0.5+AJ532*0.5</f>
        <v>7.9473032134509347E-2</v>
      </c>
      <c r="BB532" s="2">
        <f t="shared" si="99"/>
        <v>0.48040500297796307</v>
      </c>
      <c r="BC532">
        <f>IF(I532="expected",1,0)</f>
        <v>1</v>
      </c>
      <c r="BD532" s="78">
        <f>IF(BC532=1,AZ532/SUMIFS(AZ$3:AZ$623,$BC$3:$BC$623,1,$G$3:$G$623,$G532),0)</f>
        <v>5.7242010665425364E-2</v>
      </c>
      <c r="BE532" s="78">
        <f>IF(BC532=1,BA532/SUMIFS(BA$3:BA$623,$BC$3:$BC$623,1,$G$3:$G$623,$G532),0)</f>
        <v>6.665537994855171E-2</v>
      </c>
      <c r="BF532" s="78">
        <f t="shared" si="100"/>
        <v>3.776088203855691E-2</v>
      </c>
      <c r="BG532" s="2">
        <f t="shared" si="101"/>
        <v>0.48040500297796307</v>
      </c>
      <c r="BH532" s="2">
        <f t="shared" si="102"/>
        <v>0</v>
      </c>
      <c r="BI532" s="2">
        <f t="shared" si="103"/>
        <v>5.7242010665425364E-2</v>
      </c>
      <c r="BJ532" s="2">
        <f t="shared" si="104"/>
        <v>6.665537994855171E-2</v>
      </c>
      <c r="BK532" s="2">
        <f t="shared" si="105"/>
        <v>3.776088203855691E-2</v>
      </c>
      <c r="BL532" s="2">
        <f t="shared" si="106"/>
        <v>0.48040500297796307</v>
      </c>
      <c r="BM532" s="2">
        <f t="shared" si="107"/>
        <v>0</v>
      </c>
      <c r="BN532" s="2">
        <f>BI532/SUMIFS(BI$3:BI$623,$BC$3:$BC$623,1,$G$3:$G$623,$G532)</f>
        <v>5.724201066542537E-2</v>
      </c>
      <c r="BO532" s="2">
        <f>BJ532/SUMIFS(BJ$3:BJ$623,$BC$3:$BC$623,1,$G$3:$G$623,$G532)</f>
        <v>6.6655379948551696E-2</v>
      </c>
      <c r="BP532" s="2">
        <f>BK532/SUMIFS(BK$3:BK$623,$BC$3:$BC$623,1,$G$3:$G$623,$G532)</f>
        <v>3.8985606514693578E-2</v>
      </c>
      <c r="BQ532" s="2">
        <f>BL532</f>
        <v>0.48040500297796307</v>
      </c>
      <c r="BR532" s="2">
        <f>BM532</f>
        <v>0</v>
      </c>
    </row>
    <row r="533" spans="1:70" hidden="1">
      <c r="A533" s="74">
        <v>0</v>
      </c>
      <c r="B533" s="73">
        <v>220835</v>
      </c>
      <c r="C533" s="73" t="s">
        <v>3094</v>
      </c>
      <c r="D533" s="73" t="s">
        <v>1932</v>
      </c>
      <c r="E533" s="73" t="s">
        <v>3095</v>
      </c>
      <c r="F533" s="73">
        <v>18702</v>
      </c>
      <c r="G533" s="73" t="s">
        <v>872</v>
      </c>
      <c r="H533" s="73" t="s">
        <v>913</v>
      </c>
      <c r="I533" s="73" t="s">
        <v>981</v>
      </c>
      <c r="J533" s="73">
        <v>0</v>
      </c>
      <c r="K533" s="73">
        <v>4</v>
      </c>
      <c r="L533" s="73">
        <v>0</v>
      </c>
      <c r="M533" s="73">
        <v>0</v>
      </c>
      <c r="N533" s="73">
        <v>0</v>
      </c>
      <c r="O533" s="73" t="s">
        <v>1290</v>
      </c>
      <c r="P533" s="73" t="s">
        <v>3096</v>
      </c>
      <c r="Q533" s="73" t="s">
        <v>3097</v>
      </c>
      <c r="R533" s="73">
        <v>0</v>
      </c>
      <c r="S533" s="73">
        <v>0</v>
      </c>
      <c r="T533" s="73">
        <v>0</v>
      </c>
      <c r="U533" s="73">
        <v>0</v>
      </c>
      <c r="V533" s="73">
        <v>0</v>
      </c>
      <c r="W533" s="73">
        <v>0</v>
      </c>
      <c r="X533" s="73">
        <v>0</v>
      </c>
      <c r="Y533" s="73">
        <v>0</v>
      </c>
      <c r="Z533" s="73" t="s">
        <v>1689</v>
      </c>
      <c r="AA533" s="73" t="s">
        <v>690</v>
      </c>
      <c r="AB533" s="73" t="str">
        <f>IF(AA533&lt;&gt;"",INDEX(Lookup!$N$2:$N$5,MATCH(Players!AA533,Lookup!$P$2:$P$5,0)),INDEX(Lookup!$N$2:$N$5,MATCH(Players!O533,Lookup!$O$2:$O$5,0)))</f>
        <v>Goalkeeper</v>
      </c>
      <c r="AC533" s="73">
        <v>4000000</v>
      </c>
      <c r="AD533" s="73" t="s">
        <v>788</v>
      </c>
      <c r="AE533" s="73" t="str">
        <f>INDEX('Translate table'!$H$2:$H$622,MATCH(Players!P533,'Translate table'!$G$2:$G$622,0))</f>
        <v>Anton Shunin</v>
      </c>
      <c r="AF533" s="73">
        <f>IFERROR(INDEX('Euro Qual stats'!$A$1:$L$2071,MATCH(Players!$AE533,'Euro Qual stats'!$A$1:$A$2071,0),MATCH(Players!AF$2,'Euro Qual stats'!$A$1:$L$1,0)),0)</f>
        <v>1</v>
      </c>
      <c r="AG533" s="73">
        <f>IFERROR(INDEX('Euro Qual stats'!$A$1:$L$2071,MATCH(Players!$AE533,'Euro Qual stats'!$A$1:$A$2071,0),MATCH(Players!AG$2,'Euro Qual stats'!$A$1:$L$1,0)),0)</f>
        <v>0</v>
      </c>
      <c r="AH533" s="73">
        <f>IFERROR(INDEX('Euro Qual stats'!$A$1:$L$2071,MATCH(Players!$AE533,'Euro Qual stats'!$A$1:$A$2071,0),MATCH(Players!AH$2,'Euro Qual stats'!$A$1:$L$1,0)),0)</f>
        <v>0</v>
      </c>
      <c r="AI533" s="73">
        <f>IFERROR(INDEX('Euro Qual stats'!$A$1:$L$2071,MATCH(Players!$AE533,'Euro Qual stats'!$A$1:$A$2071,0),MATCH(Players!AI$2,'Euro Qual stats'!$A$1:$L$1,0)),0)</f>
        <v>0</v>
      </c>
      <c r="AJ533" s="93">
        <f>(12-AF533)/12*INDEX(BV$9:BV$12,MATCH($AB533,$BU$9:$BU$12,0))+AF533/12*AG533</f>
        <v>0</v>
      </c>
      <c r="AK533" s="93">
        <f>(12-AG533)/12*INDEX(BW$9:BW$12,MATCH($AB533,$BU$9:$BU$12,0))+AG533/12*AH533</f>
        <v>0</v>
      </c>
      <c r="AL533" s="93">
        <f>(12-AH533)/12*INDEX(BX$9:BX$12,MATCH($AB533,$BU$9:$BU$12,0))+AH533/12*AI533</f>
        <v>0</v>
      </c>
      <c r="AM533" s="93">
        <f>IF($BC533=1,AJ533/SUMIFS(AJ$3:AJ$623,$BC$3:$BC$623,1,$G$3:$G$623,$G533),0)</f>
        <v>0</v>
      </c>
      <c r="AN533" s="93">
        <f>IF($BC533=1,AK533/SUMIFS(AK$3:AK$623,$BC$3:$BC$623,1,$G$3:$G$623,$G533),0)</f>
        <v>0</v>
      </c>
      <c r="AO533" s="93">
        <f>IF($BC533=1,AL533/SUMIFS(AL$3:AL$623,$BC$3:$BC$623,1,$G$3:$G$623,$G533),0)</f>
        <v>0</v>
      </c>
      <c r="AP533" s="2" t="str">
        <f>IFERROR(R533/$V533*90,"")</f>
        <v/>
      </c>
      <c r="AQ533" s="2" t="str">
        <f>IFERROR(S533/$V533*90,"")</f>
        <v/>
      </c>
      <c r="AR533" s="2" t="str">
        <f>IFERROR(W533/$V533*90,"")</f>
        <v/>
      </c>
      <c r="AS533" s="2" t="str">
        <f>IFERROR(X533/$V533*90,"")</f>
        <v/>
      </c>
      <c r="AT533" s="2" t="str">
        <f>IFERROR(Y533/$V533*90,"")</f>
        <v/>
      </c>
      <c r="AU533" s="2">
        <f>IF(AP533="",INDEX(BV$4:BV$7,MATCH(O533,$BU$4:$BU$7,0)),AP533)</f>
        <v>0</v>
      </c>
      <c r="AV533" s="2">
        <f>IF(AQ533="",INDEX(BW$4:BW$7,MATCH($O533,$BU$4:$BU$7,0)),AQ533)</f>
        <v>0</v>
      </c>
      <c r="AW533" s="2">
        <f t="shared" si="96"/>
        <v>0</v>
      </c>
      <c r="AX533" s="2">
        <f t="shared" si="97"/>
        <v>0</v>
      </c>
      <c r="AY533" s="2">
        <f t="shared" si="98"/>
        <v>0</v>
      </c>
      <c r="AZ533" s="2">
        <f>AU533*0.5+AK533*0.5</f>
        <v>0</v>
      </c>
      <c r="BA533" s="2">
        <f>AV533*0.5+AJ533*0.5</f>
        <v>0</v>
      </c>
      <c r="BB533" s="2">
        <f t="shared" si="99"/>
        <v>0</v>
      </c>
      <c r="BC533">
        <f>IF(I533="expected",1,0)</f>
        <v>1</v>
      </c>
      <c r="BD533" s="78">
        <f>IF(BC533=1,AZ533/SUMIFS(AZ$3:AZ$623,$BC$3:$BC$623,1,$G$3:$G$623,$G533),0)</f>
        <v>0</v>
      </c>
      <c r="BE533" s="78">
        <f>IF(BC533=1,BA533/SUMIFS(BA$3:BA$623,$BC$3:$BC$623,1,$G$3:$G$623,$G533),0)</f>
        <v>0</v>
      </c>
      <c r="BF533" s="78">
        <f t="shared" si="100"/>
        <v>0</v>
      </c>
      <c r="BG533" s="2">
        <f t="shared" si="101"/>
        <v>0</v>
      </c>
      <c r="BH533" s="2">
        <f t="shared" si="102"/>
        <v>0</v>
      </c>
      <c r="BI533" s="2">
        <f t="shared" si="103"/>
        <v>0</v>
      </c>
      <c r="BJ533" s="2">
        <f t="shared" si="104"/>
        <v>0</v>
      </c>
      <c r="BK533" s="2">
        <f t="shared" si="105"/>
        <v>0</v>
      </c>
      <c r="BL533" s="2">
        <f t="shared" si="106"/>
        <v>0</v>
      </c>
      <c r="BM533" s="2">
        <f t="shared" si="107"/>
        <v>0</v>
      </c>
      <c r="BN533" s="2">
        <f>BI533/SUMIFS(BI$3:BI$623,$BC$3:$BC$623,1,$G$3:$G$623,$G533)</f>
        <v>0</v>
      </c>
      <c r="BO533" s="2">
        <f>BJ533/SUMIFS(BJ$3:BJ$623,$BC$3:$BC$623,1,$G$3:$G$623,$G533)</f>
        <v>0</v>
      </c>
      <c r="BP533" s="2">
        <f>BK533/SUMIFS(BK$3:BK$623,$BC$3:$BC$623,1,$G$3:$G$623,$G533)</f>
        <v>0</v>
      </c>
      <c r="BQ533" s="2">
        <f>BL533</f>
        <v>0</v>
      </c>
      <c r="BR533" s="2">
        <f>BM533</f>
        <v>0</v>
      </c>
    </row>
    <row r="534" spans="1:70" hidden="1">
      <c r="A534" s="74">
        <v>0</v>
      </c>
      <c r="B534" s="73">
        <v>220833</v>
      </c>
      <c r="C534" s="73" t="s">
        <v>3098</v>
      </c>
      <c r="D534" s="73" t="s">
        <v>2513</v>
      </c>
      <c r="E534" s="73" t="s">
        <v>3099</v>
      </c>
      <c r="F534" s="73">
        <v>18702</v>
      </c>
      <c r="G534" s="73" t="s">
        <v>872</v>
      </c>
      <c r="H534" s="73" t="s">
        <v>913</v>
      </c>
      <c r="I534" s="73" t="s">
        <v>1012</v>
      </c>
      <c r="J534" s="73">
        <v>0</v>
      </c>
      <c r="K534" s="73">
        <v>4</v>
      </c>
      <c r="L534" s="73">
        <v>0</v>
      </c>
      <c r="M534" s="73">
        <v>0</v>
      </c>
      <c r="N534" s="73">
        <v>0</v>
      </c>
      <c r="O534" s="73" t="s">
        <v>1290</v>
      </c>
      <c r="P534" s="73" t="s">
        <v>3100</v>
      </c>
      <c r="Q534" s="73" t="s">
        <v>1164</v>
      </c>
      <c r="R534" s="73"/>
      <c r="S534" s="73"/>
      <c r="T534" s="73"/>
      <c r="U534" s="73"/>
      <c r="V534" s="73"/>
      <c r="W534" s="73"/>
      <c r="X534" s="73"/>
      <c r="Y534" s="73"/>
      <c r="Z534" s="73" t="s">
        <v>1689</v>
      </c>
      <c r="AA534" s="73" t="s">
        <v>690</v>
      </c>
      <c r="AB534" s="73" t="str">
        <f>IF(AA534&lt;&gt;"",INDEX(Lookup!$N$2:$N$5,MATCH(Players!AA534,Lookup!$P$2:$P$5,0)),INDEX(Lookup!$N$2:$N$5,MATCH(Players!O534,Lookup!$O$2:$O$5,0)))</f>
        <v>Goalkeeper</v>
      </c>
      <c r="AC534" s="73">
        <v>3500000</v>
      </c>
      <c r="AD534" s="73" t="s">
        <v>788</v>
      </c>
      <c r="AE534" s="73" t="str">
        <f>INDEX('Translate table'!$H$2:$H$622,MATCH(Players!P534,'Translate table'!$G$2:$G$622,0))</f>
        <v>Yuri Kovalev</v>
      </c>
      <c r="AF534" s="73">
        <f>IFERROR(INDEX('Euro Qual stats'!$A$1:$L$2071,MATCH(Players!$AE534,'Euro Qual stats'!$A$1:$A$2071,0),MATCH(Players!AF$2,'Euro Qual stats'!$A$1:$L$1,0)),0)</f>
        <v>6</v>
      </c>
      <c r="AG534" s="73">
        <f>IFERROR(INDEX('Euro Qual stats'!$A$1:$L$2071,MATCH(Players!$AE534,'Euro Qual stats'!$A$1:$A$2071,0),MATCH(Players!AG$2,'Euro Qual stats'!$A$1:$L$1,0)),0)</f>
        <v>0</v>
      </c>
      <c r="AH534" s="73">
        <f>IFERROR(INDEX('Euro Qual stats'!$A$1:$L$2071,MATCH(Players!$AE534,'Euro Qual stats'!$A$1:$A$2071,0),MATCH(Players!AH$2,'Euro Qual stats'!$A$1:$L$1,0)),0)</f>
        <v>0</v>
      </c>
      <c r="AI534" s="73">
        <f>IFERROR(INDEX('Euro Qual stats'!$A$1:$L$2071,MATCH(Players!$AE534,'Euro Qual stats'!$A$1:$A$2071,0),MATCH(Players!AI$2,'Euro Qual stats'!$A$1:$L$1,0)),0)</f>
        <v>0</v>
      </c>
      <c r="AJ534" s="93">
        <f>(12-AF534)/12*INDEX(BV$9:BV$12,MATCH($AB534,$BU$9:$BU$12,0))+AF534/12*AG534</f>
        <v>0</v>
      </c>
      <c r="AK534" s="93">
        <f>(12-AG534)/12*INDEX(BW$9:BW$12,MATCH($AB534,$BU$9:$BU$12,0))+AG534/12*AH534</f>
        <v>0</v>
      </c>
      <c r="AL534" s="93">
        <f>(12-AH534)/12*INDEX(BX$9:BX$12,MATCH($AB534,$BU$9:$BU$12,0))+AH534/12*AI534</f>
        <v>0</v>
      </c>
      <c r="AM534" s="93">
        <f>IF($BC534=1,AJ534/SUMIFS(AJ$3:AJ$623,$BC$3:$BC$623,1,$G$3:$G$623,$G534),0)</f>
        <v>0</v>
      </c>
      <c r="AN534" s="93">
        <f>IF($BC534=1,AK534/SUMIFS(AK$3:AK$623,$BC$3:$BC$623,1,$G$3:$G$623,$G534),0)</f>
        <v>0</v>
      </c>
      <c r="AO534" s="93">
        <f>IF($BC534=1,AL534/SUMIFS(AL$3:AL$623,$BC$3:$BC$623,1,$G$3:$G$623,$G534),0)</f>
        <v>0</v>
      </c>
      <c r="AP534" s="2" t="str">
        <f>IFERROR(R534/$V534*90,"")</f>
        <v/>
      </c>
      <c r="AQ534" s="2" t="str">
        <f>IFERROR(S534/$V534*90,"")</f>
        <v/>
      </c>
      <c r="AR534" s="2" t="str">
        <f>IFERROR(W534/$V534*90,"")</f>
        <v/>
      </c>
      <c r="AS534" s="2" t="str">
        <f>IFERROR(X534/$V534*90,"")</f>
        <v/>
      </c>
      <c r="AT534" s="2" t="str">
        <f>IFERROR(Y534/$V534*90,"")</f>
        <v/>
      </c>
      <c r="AU534" s="2">
        <f>IF(AP534="",INDEX(BV$4:BV$7,MATCH(O534,$BU$4:$BU$7,0)),AP534)</f>
        <v>0</v>
      </c>
      <c r="AV534" s="2">
        <f>IF(AQ534="",INDEX(BW$4:BW$7,MATCH($O534,$BU$4:$BU$7,0)),AQ534)</f>
        <v>0</v>
      </c>
      <c r="AW534" s="2">
        <f t="shared" si="96"/>
        <v>0</v>
      </c>
      <c r="AX534" s="2">
        <f t="shared" si="97"/>
        <v>0</v>
      </c>
      <c r="AY534" s="2">
        <f t="shared" si="98"/>
        <v>0</v>
      </c>
      <c r="AZ534" s="2">
        <f>AU534*0.5+AK534*0.5</f>
        <v>0</v>
      </c>
      <c r="BA534" s="2">
        <f>AV534*0.5+AJ534*0.5</f>
        <v>0</v>
      </c>
      <c r="BB534" s="2">
        <f t="shared" si="99"/>
        <v>0</v>
      </c>
      <c r="BC534">
        <f>IF(I534="expected",1,0)</f>
        <v>0</v>
      </c>
      <c r="BD534" s="78">
        <f>IF(BC534=1,AZ534/SUMIFS(AZ$3:AZ$623,$BC$3:$BC$623,1,$G$3:$G$623,$G534),0)</f>
        <v>0</v>
      </c>
      <c r="BE534" s="78">
        <f>IF(BC534=1,BA534/SUMIFS(BA$3:BA$623,$BC$3:$BC$623,1,$G$3:$G$623,$G534),0)</f>
        <v>0</v>
      </c>
      <c r="BF534" s="78">
        <f t="shared" si="100"/>
        <v>0</v>
      </c>
      <c r="BG534" s="2">
        <f t="shared" si="101"/>
        <v>0</v>
      </c>
      <c r="BH534" s="2">
        <f t="shared" si="102"/>
        <v>0</v>
      </c>
      <c r="BI534" s="2">
        <f t="shared" si="103"/>
        <v>0</v>
      </c>
      <c r="BJ534" s="2">
        <f t="shared" si="104"/>
        <v>0</v>
      </c>
      <c r="BK534" s="2">
        <f t="shared" si="105"/>
        <v>0</v>
      </c>
      <c r="BL534" s="2">
        <f t="shared" si="106"/>
        <v>0</v>
      </c>
      <c r="BM534" s="2">
        <f t="shared" si="107"/>
        <v>0</v>
      </c>
      <c r="BN534" s="2">
        <f>BI534/SUMIFS(BI$3:BI$623,$BC$3:$BC$623,1,$G$3:$G$623,$G534)</f>
        <v>0</v>
      </c>
      <c r="BO534" s="2">
        <f>BJ534/SUMIFS(BJ$3:BJ$623,$BC$3:$BC$623,1,$G$3:$G$623,$G534)</f>
        <v>0</v>
      </c>
      <c r="BP534" s="2">
        <f>BK534/SUMIFS(BK$3:BK$623,$BC$3:$BC$623,1,$G$3:$G$623,$G534)</f>
        <v>0</v>
      </c>
      <c r="BQ534" s="2">
        <f>BL534</f>
        <v>0</v>
      </c>
      <c r="BR534" s="2">
        <f>BM534</f>
        <v>0</v>
      </c>
    </row>
    <row r="535" spans="1:70" hidden="1">
      <c r="A535" s="74">
        <v>0</v>
      </c>
      <c r="B535" s="73">
        <v>220838</v>
      </c>
      <c r="C535" s="73" t="s">
        <v>3101</v>
      </c>
      <c r="D535" s="73" t="s">
        <v>3102</v>
      </c>
      <c r="E535" s="73" t="s">
        <v>3103</v>
      </c>
      <c r="F535" s="73">
        <v>18702</v>
      </c>
      <c r="G535" s="73" t="s">
        <v>872</v>
      </c>
      <c r="H535" s="73" t="s">
        <v>913</v>
      </c>
      <c r="I535" s="73" t="s">
        <v>981</v>
      </c>
      <c r="J535" s="73">
        <v>0</v>
      </c>
      <c r="K535" s="73">
        <v>4</v>
      </c>
      <c r="L535" s="73">
        <v>0</v>
      </c>
      <c r="M535" s="73">
        <v>0</v>
      </c>
      <c r="N535" s="73">
        <v>0</v>
      </c>
      <c r="O535" s="73" t="s">
        <v>1318</v>
      </c>
      <c r="P535" s="73" t="s">
        <v>3104</v>
      </c>
      <c r="Q535" s="73" t="s">
        <v>280</v>
      </c>
      <c r="R535" s="73">
        <v>0</v>
      </c>
      <c r="S535" s="73">
        <v>1</v>
      </c>
      <c r="T535" s="73">
        <v>0</v>
      </c>
      <c r="U535" s="73">
        <v>0</v>
      </c>
      <c r="V535" s="73">
        <v>363</v>
      </c>
      <c r="W535" s="73">
        <v>2</v>
      </c>
      <c r="X535" s="73">
        <v>3</v>
      </c>
      <c r="Y535" s="73">
        <v>0</v>
      </c>
      <c r="Z535" s="73" t="s">
        <v>1689</v>
      </c>
      <c r="AA535" s="73" t="s">
        <v>692</v>
      </c>
      <c r="AB535" s="73" t="str">
        <f>IF(AA535&lt;&gt;"",INDEX(Lookup!$N$2:$N$5,MATCH(Players!AA535,Lookup!$P$2:$P$5,0)),INDEX(Lookup!$N$2:$N$5,MATCH(Players!O535,Lookup!$O$2:$O$5,0)))</f>
        <v>Defense</v>
      </c>
      <c r="AC535" s="73">
        <v>3000000</v>
      </c>
      <c r="AD535" s="73" t="s">
        <v>788</v>
      </c>
      <c r="AE535" s="73" t="str">
        <f>INDEX('Translate table'!$H$2:$H$622,MATCH(Players!P535,'Translate table'!$G$2:$G$622,0))</f>
        <v>Andrey Semenov</v>
      </c>
      <c r="AF535" s="73">
        <f>IFERROR(INDEX('Euro Qual stats'!$A$1:$L$2071,MATCH(Players!$AE535,'Euro Qual stats'!$A$1:$A$2071,0),MATCH(Players!AF$2,'Euro Qual stats'!$A$1:$L$1,0)),0)</f>
        <v>8</v>
      </c>
      <c r="AG535" s="73">
        <f>IFERROR(INDEX('Euro Qual stats'!$A$1:$L$2071,MATCH(Players!$AE535,'Euro Qual stats'!$A$1:$A$2071,0),MATCH(Players!AG$2,'Euro Qual stats'!$A$1:$L$1,0)),0)</f>
        <v>0</v>
      </c>
      <c r="AH535" s="73">
        <f>IFERROR(INDEX('Euro Qual stats'!$A$1:$L$2071,MATCH(Players!$AE535,'Euro Qual stats'!$A$1:$A$2071,0),MATCH(Players!AH$2,'Euro Qual stats'!$A$1:$L$1,0)),0)</f>
        <v>0</v>
      </c>
      <c r="AI535" s="73">
        <f>IFERROR(INDEX('Euro Qual stats'!$A$1:$L$2071,MATCH(Players!$AE535,'Euro Qual stats'!$A$1:$A$2071,0),MATCH(Players!AI$2,'Euro Qual stats'!$A$1:$L$1,0)),0)</f>
        <v>0</v>
      </c>
      <c r="AJ535" s="93">
        <f>(12-AF535)/12*INDEX(BV$9:BV$12,MATCH($AB535,$BU$9:$BU$12,0))+AF535/12*AG535</f>
        <v>2.9725274725274732E-2</v>
      </c>
      <c r="AK535" s="93">
        <f>(12-AG535)/12*INDEX(BW$9:BW$12,MATCH($AB535,$BU$9:$BU$12,0))+AG535/12*AH535</f>
        <v>0.10357142857142858</v>
      </c>
      <c r="AL535" s="93">
        <f>(12-AH535)/12*INDEX(BX$9:BX$12,MATCH($AB535,$BU$9:$BU$12,0))+AH535/12*AI535</f>
        <v>0.19357142857142848</v>
      </c>
      <c r="AM535" s="93">
        <f>IF($BC535=1,AJ535/SUMIFS(AJ$3:AJ$623,$BC$3:$BC$623,1,$G$3:$G$623,$G535),0)</f>
        <v>1.4433259508380286E-2</v>
      </c>
      <c r="AN535" s="93">
        <f>IF($BC535=1,AK535/SUMIFS(AK$3:AK$623,$BC$3:$BC$623,1,$G$3:$G$623,$G535),0)</f>
        <v>4.5303057534999837E-2</v>
      </c>
      <c r="AO535" s="93">
        <f>IF($BC535=1,AL535/SUMIFS(AL$3:AL$623,$BC$3:$BC$623,1,$G$3:$G$623,$G535),0)</f>
        <v>8.9747207778442945E-2</v>
      </c>
      <c r="AP535" s="2">
        <f>IFERROR(R535/$V535*90,"")</f>
        <v>0</v>
      </c>
      <c r="AQ535" s="2">
        <f>IFERROR(S535/$V535*90,"")</f>
        <v>0.24793388429752067</v>
      </c>
      <c r="AR535" s="2">
        <f>IFERROR(W535/$V535*90,"")</f>
        <v>0.49586776859504134</v>
      </c>
      <c r="AS535" s="2">
        <f>IFERROR(X535/$V535*90,"")</f>
        <v>0.74380165289256195</v>
      </c>
      <c r="AT535" s="2">
        <f>IFERROR(Y535/$V535*90,"")</f>
        <v>0</v>
      </c>
      <c r="AU535" s="2">
        <f>IF(AP535="",INDEX(BV$4:BV$7,MATCH(O535,$BU$4:$BU$7,0)),AP535)</f>
        <v>0</v>
      </c>
      <c r="AV535" s="2">
        <f>IF(AQ535="",INDEX(BW$4:BW$7,MATCH($O535,$BU$4:$BU$7,0)),AQ535)</f>
        <v>0.24793388429752067</v>
      </c>
      <c r="AW535" s="2">
        <f t="shared" si="96"/>
        <v>0.49586776859504134</v>
      </c>
      <c r="AX535" s="2">
        <f t="shared" si="97"/>
        <v>0.74380165289256195</v>
      </c>
      <c r="AY535" s="2">
        <f t="shared" si="98"/>
        <v>0</v>
      </c>
      <c r="AZ535" s="2">
        <f>AU535*0.5+AK535*0.5</f>
        <v>5.1785714285714289E-2</v>
      </c>
      <c r="BA535" s="2">
        <f>AV535*0.5+AJ535*0.5</f>
        <v>0.13882957951139771</v>
      </c>
      <c r="BB535" s="2">
        <f t="shared" si="99"/>
        <v>0.37190082644628097</v>
      </c>
      <c r="BC535">
        <f>IF(I535="expected",1,0)</f>
        <v>1</v>
      </c>
      <c r="BD535" s="78">
        <f>IF(BC535=1,AZ535/SUMIFS(AZ$3:AZ$623,$BC$3:$BC$623,1,$G$3:$G$623,$G535),0)</f>
        <v>3.4486555336679291E-2</v>
      </c>
      <c r="BE535" s="78">
        <f>IF(BC535=1,BA535/SUMIFS(BA$3:BA$623,$BC$3:$BC$623,1,$G$3:$G$623,$G535),0)</f>
        <v>8.039751301163113E-2</v>
      </c>
      <c r="BF535" s="78">
        <f t="shared" si="100"/>
        <v>0.13991429938025032</v>
      </c>
      <c r="BG535" s="2">
        <f t="shared" si="101"/>
        <v>0.37190082644628097</v>
      </c>
      <c r="BH535" s="2">
        <f t="shared" si="102"/>
        <v>0</v>
      </c>
      <c r="BI535" s="2">
        <f t="shared" si="103"/>
        <v>3.4486555336679291E-2</v>
      </c>
      <c r="BJ535" s="2">
        <f t="shared" si="104"/>
        <v>8.039751301163113E-2</v>
      </c>
      <c r="BK535" s="2">
        <f t="shared" si="105"/>
        <v>0.13991429938025032</v>
      </c>
      <c r="BL535" s="2">
        <f t="shared" si="106"/>
        <v>0.37190082644628097</v>
      </c>
      <c r="BM535" s="2">
        <f t="shared" si="107"/>
        <v>0</v>
      </c>
      <c r="BN535" s="2">
        <f>BI535/SUMIFS(BI$3:BI$623,$BC$3:$BC$623,1,$G$3:$G$623,$G535)</f>
        <v>3.4486555336679298E-2</v>
      </c>
      <c r="BO535" s="2">
        <f>BJ535/SUMIFS(BJ$3:BJ$623,$BC$3:$BC$623,1,$G$3:$G$623,$G535)</f>
        <v>8.3855590458609727E-2</v>
      </c>
      <c r="BP535" s="2">
        <f>BK535/SUMIFS(BK$3:BK$623,$BC$3:$BC$623,1,$G$3:$G$623,$G535)</f>
        <v>0.14103624658821312</v>
      </c>
      <c r="BQ535" s="2">
        <f>BL535</f>
        <v>0.37190082644628097</v>
      </c>
      <c r="BR535" s="2">
        <f>BM535</f>
        <v>0</v>
      </c>
    </row>
    <row r="536" spans="1:70" hidden="1">
      <c r="A536" s="74">
        <v>0</v>
      </c>
      <c r="B536" s="73">
        <v>220841</v>
      </c>
      <c r="C536" s="73" t="s">
        <v>3105</v>
      </c>
      <c r="D536" s="73" t="s">
        <v>3106</v>
      </c>
      <c r="E536" s="73" t="s">
        <v>3107</v>
      </c>
      <c r="F536" s="73">
        <v>18702</v>
      </c>
      <c r="G536" s="73" t="s">
        <v>872</v>
      </c>
      <c r="H536" s="73" t="s">
        <v>913</v>
      </c>
      <c r="I536" s="73" t="s">
        <v>1012</v>
      </c>
      <c r="J536" s="73">
        <v>0</v>
      </c>
      <c r="K536" s="73">
        <v>4</v>
      </c>
      <c r="L536" s="73">
        <v>0</v>
      </c>
      <c r="M536" s="73">
        <v>0</v>
      </c>
      <c r="N536" s="73">
        <v>0</v>
      </c>
      <c r="O536" s="73" t="s">
        <v>994</v>
      </c>
      <c r="P536" s="73" t="s">
        <v>3108</v>
      </c>
      <c r="Q536" s="73" t="s">
        <v>1164</v>
      </c>
      <c r="R536" s="73"/>
      <c r="S536" s="73"/>
      <c r="T536" s="73"/>
      <c r="U536" s="73"/>
      <c r="V536" s="73"/>
      <c r="W536" s="73"/>
      <c r="X536" s="73"/>
      <c r="Y536" s="73"/>
      <c r="Z536" s="73" t="s">
        <v>1689</v>
      </c>
      <c r="AA536" s="73" t="s">
        <v>691</v>
      </c>
      <c r="AB536" s="73" t="str">
        <f>IF(AA536&lt;&gt;"",INDEX(Lookup!$N$2:$N$5,MATCH(Players!AA536,Lookup!$P$2:$P$5,0)),INDEX(Lookup!$N$2:$N$5,MATCH(Players!O536,Lookup!$O$2:$O$5,0)))</f>
        <v>Midfield</v>
      </c>
      <c r="AC536" s="73">
        <v>2000000</v>
      </c>
      <c r="AD536" s="73" t="s">
        <v>788</v>
      </c>
      <c r="AE536" s="73" t="str">
        <f>INDEX('Translate table'!$H$2:$H$622,MATCH(Players!P536,'Translate table'!$G$2:$G$622,0))</f>
        <v>Andreas Makris</v>
      </c>
      <c r="AF536" s="73">
        <f>IFERROR(INDEX('Euro Qual stats'!$A$1:$L$2071,MATCH(Players!$AE536,'Euro Qual stats'!$A$1:$A$2071,0),MATCH(Players!AF$2,'Euro Qual stats'!$A$1:$L$1,0)),0)</f>
        <v>4</v>
      </c>
      <c r="AG536" s="73">
        <f>IFERROR(INDEX('Euro Qual stats'!$A$1:$L$2071,MATCH(Players!$AE536,'Euro Qual stats'!$A$1:$A$2071,0),MATCH(Players!AG$2,'Euro Qual stats'!$A$1:$L$1,0)),0)</f>
        <v>0</v>
      </c>
      <c r="AH536" s="73">
        <f>IFERROR(INDEX('Euro Qual stats'!$A$1:$L$2071,MATCH(Players!$AE536,'Euro Qual stats'!$A$1:$A$2071,0),MATCH(Players!AH$2,'Euro Qual stats'!$A$1:$L$1,0)),0)</f>
        <v>0</v>
      </c>
      <c r="AI536" s="73">
        <f>IFERROR(INDEX('Euro Qual stats'!$A$1:$L$2071,MATCH(Players!$AE536,'Euro Qual stats'!$A$1:$A$2071,0),MATCH(Players!AI$2,'Euro Qual stats'!$A$1:$L$1,0)),0)</f>
        <v>0.39</v>
      </c>
      <c r="AJ536" s="93">
        <f>(12-AF536)/12*INDEX(BV$9:BV$12,MATCH($AB536,$BU$9:$BU$12,0))+AF536/12*AG536</f>
        <v>0.11246073298429318</v>
      </c>
      <c r="AK536" s="93">
        <f>(12-AG536)/12*INDEX(BW$9:BW$12,MATCH($AB536,$BU$9:$BU$12,0))+AG536/12*AH536</f>
        <v>0.22340314136125652</v>
      </c>
      <c r="AL536" s="93">
        <f>(12-AH536)/12*INDEX(BX$9:BX$12,MATCH($AB536,$BU$9:$BU$12,0))+AH536/12*AI536</f>
        <v>0.23942408376963353</v>
      </c>
      <c r="AM536" s="93">
        <f>IF($BC536=1,AJ536/SUMIFS(AJ$3:AJ$623,$BC$3:$BC$623,1,$G$3:$G$623,$G536),0)</f>
        <v>0</v>
      </c>
      <c r="AN536" s="93">
        <f>IF($BC536=1,AK536/SUMIFS(AK$3:AK$623,$BC$3:$BC$623,1,$G$3:$G$623,$G536),0)</f>
        <v>0</v>
      </c>
      <c r="AO536" s="93">
        <f>IF($BC536=1,AL536/SUMIFS(AL$3:AL$623,$BC$3:$BC$623,1,$G$3:$G$623,$G536),0)</f>
        <v>0</v>
      </c>
      <c r="AP536" s="2" t="str">
        <f>IFERROR(R536/$V536*90,"")</f>
        <v/>
      </c>
      <c r="AQ536" s="2" t="str">
        <f>IFERROR(S536/$V536*90,"")</f>
        <v/>
      </c>
      <c r="AR536" s="2" t="str">
        <f>IFERROR(W536/$V536*90,"")</f>
        <v/>
      </c>
      <c r="AS536" s="2" t="str">
        <f>IFERROR(X536/$V536*90,"")</f>
        <v/>
      </c>
      <c r="AT536" s="2" t="str">
        <f>IFERROR(Y536/$V536*90,"")</f>
        <v/>
      </c>
      <c r="AU536" s="2">
        <f>IF(AP536="",INDEX(BV$4:BV$7,MATCH(O536,$BU$4:$BU$7,0)),AP536)</f>
        <v>3.6526142445450806E-2</v>
      </c>
      <c r="AV536" s="2">
        <f>IF(AQ536="",INDEX(BW$4:BW$7,MATCH($O536,$BU$4:$BU$7,0)),AQ536)</f>
        <v>3.2427739661688867E-2</v>
      </c>
      <c r="AW536" s="2">
        <f t="shared" si="96"/>
        <v>0.20013349649571699</v>
      </c>
      <c r="AX536" s="2">
        <f t="shared" si="97"/>
        <v>0.16081000595592615</v>
      </c>
      <c r="AY536" s="2">
        <f t="shared" si="98"/>
        <v>0</v>
      </c>
      <c r="AZ536" s="2">
        <f>AU536*0.5+AK536*0.5</f>
        <v>0.12996464190335366</v>
      </c>
      <c r="BA536" s="2">
        <f>AV536*0.5+AJ536*0.5</f>
        <v>7.2444236322991018E-2</v>
      </c>
      <c r="BB536" s="2">
        <f t="shared" si="99"/>
        <v>0.27540500297796311</v>
      </c>
      <c r="BC536">
        <f>IF(I536="expected",1,0)</f>
        <v>0</v>
      </c>
      <c r="BD536" s="78">
        <f>IF(BC536=1,AZ536/SUMIFS(AZ$3:AZ$623,$BC$3:$BC$623,1,$G$3:$G$623,$G536),0)</f>
        <v>0</v>
      </c>
      <c r="BE536" s="78">
        <f>IF(BC536=1,BA536/SUMIFS(BA$3:BA$623,$BC$3:$BC$623,1,$G$3:$G$623,$G536),0)</f>
        <v>0</v>
      </c>
      <c r="BF536" s="78">
        <f t="shared" si="100"/>
        <v>0</v>
      </c>
      <c r="BG536" s="2">
        <f t="shared" si="101"/>
        <v>0.27540500297796311</v>
      </c>
      <c r="BH536" s="2">
        <f t="shared" si="102"/>
        <v>0</v>
      </c>
      <c r="BI536" s="2">
        <f t="shared" si="103"/>
        <v>0</v>
      </c>
      <c r="BJ536" s="2">
        <f t="shared" si="104"/>
        <v>0</v>
      </c>
      <c r="BK536" s="2">
        <f t="shared" si="105"/>
        <v>0</v>
      </c>
      <c r="BL536" s="2">
        <f t="shared" si="106"/>
        <v>0.27540500297796311</v>
      </c>
      <c r="BM536" s="2">
        <f t="shared" si="107"/>
        <v>0</v>
      </c>
      <c r="BN536" s="2">
        <f>BI536/SUMIFS(BI$3:BI$623,$BC$3:$BC$623,1,$G$3:$G$623,$G536)</f>
        <v>0</v>
      </c>
      <c r="BO536" s="2">
        <f>BJ536/SUMIFS(BJ$3:BJ$623,$BC$3:$BC$623,1,$G$3:$G$623,$G536)</f>
        <v>0</v>
      </c>
      <c r="BP536" s="2">
        <f>BK536/SUMIFS(BK$3:BK$623,$BC$3:$BC$623,1,$G$3:$G$623,$G536)</f>
        <v>0</v>
      </c>
      <c r="BQ536" s="2">
        <f>BL536</f>
        <v>0.27540500297796311</v>
      </c>
      <c r="BR536" s="2">
        <f>BM536</f>
        <v>0</v>
      </c>
    </row>
    <row r="537" spans="1:70" hidden="1">
      <c r="A537" s="74">
        <v>0</v>
      </c>
      <c r="B537" s="73">
        <v>223744</v>
      </c>
      <c r="C537" s="73" t="s">
        <v>3109</v>
      </c>
      <c r="D537" s="73" t="s">
        <v>2407</v>
      </c>
      <c r="E537" s="73" t="s">
        <v>3110</v>
      </c>
      <c r="F537" s="73">
        <v>18721</v>
      </c>
      <c r="G537" s="73" t="s">
        <v>865</v>
      </c>
      <c r="H537" s="73" t="s">
        <v>921</v>
      </c>
      <c r="I537" s="73" t="s">
        <v>1012</v>
      </c>
      <c r="J537" s="73">
        <v>0</v>
      </c>
      <c r="K537" s="73">
        <v>4</v>
      </c>
      <c r="L537" s="73">
        <v>0</v>
      </c>
      <c r="M537" s="73">
        <v>0</v>
      </c>
      <c r="N537" s="73">
        <v>0</v>
      </c>
      <c r="O537" s="73" t="s">
        <v>1290</v>
      </c>
      <c r="P537" s="73" t="s">
        <v>3111</v>
      </c>
      <c r="Q537" s="73" t="s">
        <v>214</v>
      </c>
      <c r="R537" s="73">
        <v>0</v>
      </c>
      <c r="S537" s="73">
        <v>1</v>
      </c>
      <c r="T537" s="73">
        <v>0</v>
      </c>
      <c r="U537" s="73">
        <v>2</v>
      </c>
      <c r="V537" s="73">
        <v>1426</v>
      </c>
      <c r="W537" s="73">
        <v>0</v>
      </c>
      <c r="X537" s="73">
        <v>3</v>
      </c>
      <c r="Y537" s="73">
        <v>0</v>
      </c>
      <c r="Z537" s="73" t="s">
        <v>865</v>
      </c>
      <c r="AA537" s="73" t="s">
        <v>690</v>
      </c>
      <c r="AB537" s="73" t="str">
        <f>IF(AA537&lt;&gt;"",INDEX(Lookup!$N$2:$N$5,MATCH(Players!AA537,Lookup!$P$2:$P$5,0)),INDEX(Lookup!$N$2:$N$5,MATCH(Players!O537,Lookup!$O$2:$O$5,0)))</f>
        <v>Goalkeeper</v>
      </c>
      <c r="AC537" s="73">
        <v>3000000</v>
      </c>
      <c r="AD537" s="73" t="s">
        <v>753</v>
      </c>
      <c r="AE537" s="73" t="str">
        <f>INDEX('Translate table'!$H$2:$H$622,MATCH(Players!P537,'Translate table'!$G$2:$G$622,0))</f>
        <v>Adam Davies</v>
      </c>
      <c r="AF537" s="73">
        <f>IFERROR(INDEX('Euro Qual stats'!$A$1:$L$2071,MATCH(Players!$AE537,'Euro Qual stats'!$A$1:$A$2071,0),MATCH(Players!AF$2,'Euro Qual stats'!$A$1:$L$1,0)),0)</f>
        <v>0</v>
      </c>
      <c r="AG537" s="73">
        <f>IFERROR(INDEX('Euro Qual stats'!$A$1:$L$2071,MATCH(Players!$AE537,'Euro Qual stats'!$A$1:$A$2071,0),MATCH(Players!AG$2,'Euro Qual stats'!$A$1:$L$1,0)),0)</f>
        <v>0</v>
      </c>
      <c r="AH537" s="73">
        <f>IFERROR(INDEX('Euro Qual stats'!$A$1:$L$2071,MATCH(Players!$AE537,'Euro Qual stats'!$A$1:$A$2071,0),MATCH(Players!AH$2,'Euro Qual stats'!$A$1:$L$1,0)),0)</f>
        <v>0</v>
      </c>
      <c r="AI537" s="73">
        <f>IFERROR(INDEX('Euro Qual stats'!$A$1:$L$2071,MATCH(Players!$AE537,'Euro Qual stats'!$A$1:$A$2071,0),MATCH(Players!AI$2,'Euro Qual stats'!$A$1:$L$1,0)),0)</f>
        <v>0</v>
      </c>
      <c r="AJ537" s="93">
        <f>(12-AF537)/12*INDEX(BV$9:BV$12,MATCH($AB537,$BU$9:$BU$12,0))+AF537/12*AG537</f>
        <v>0</v>
      </c>
      <c r="AK537" s="93">
        <f>(12-AG537)/12*INDEX(BW$9:BW$12,MATCH($AB537,$BU$9:$BU$12,0))+AG537/12*AH537</f>
        <v>0</v>
      </c>
      <c r="AL537" s="93">
        <f>(12-AH537)/12*INDEX(BX$9:BX$12,MATCH($AB537,$BU$9:$BU$12,0))+AH537/12*AI537</f>
        <v>0</v>
      </c>
      <c r="AM537" s="93">
        <f>IF($BC537=1,AJ537/SUMIFS(AJ$3:AJ$623,$BC$3:$BC$623,1,$G$3:$G$623,$G537),0)</f>
        <v>0</v>
      </c>
      <c r="AN537" s="93">
        <f>IF($BC537=1,AK537/SUMIFS(AK$3:AK$623,$BC$3:$BC$623,1,$G$3:$G$623,$G537),0)</f>
        <v>0</v>
      </c>
      <c r="AO537" s="93">
        <f>IF($BC537=1,AL537/SUMIFS(AL$3:AL$623,$BC$3:$BC$623,1,$G$3:$G$623,$G537),0)</f>
        <v>0</v>
      </c>
      <c r="AP537" s="2">
        <f>IFERROR(R537/$V537*90,"")</f>
        <v>0</v>
      </c>
      <c r="AQ537" s="2">
        <f>IFERROR(S537/$V537*90,"")</f>
        <v>6.311360448807854E-2</v>
      </c>
      <c r="AR537" s="2">
        <f>IFERROR(W537/$V537*90,"")</f>
        <v>0</v>
      </c>
      <c r="AS537" s="2">
        <f>IFERROR(X537/$V537*90,"")</f>
        <v>0.18934081346423562</v>
      </c>
      <c r="AT537" s="2">
        <f>IFERROR(Y537/$V537*90,"")</f>
        <v>0</v>
      </c>
      <c r="AU537" s="2">
        <f>IF(AP537="",INDEX(BV$4:BV$7,MATCH(O537,$BU$4:$BU$7,0)),AP537)</f>
        <v>0</v>
      </c>
      <c r="AV537" s="2">
        <f>IF(AQ537="",INDEX(BW$4:BW$7,MATCH($O537,$BU$4:$BU$7,0)),AQ537)</f>
        <v>6.311360448807854E-2</v>
      </c>
      <c r="AW537" s="2">
        <f t="shared" si="96"/>
        <v>0</v>
      </c>
      <c r="AX537" s="2">
        <f t="shared" si="97"/>
        <v>0.18934081346423562</v>
      </c>
      <c r="AY537" s="2">
        <f t="shared" si="98"/>
        <v>0</v>
      </c>
      <c r="AZ537" s="2">
        <f>AU537*0.5+AK537*0.5</f>
        <v>0</v>
      </c>
      <c r="BA537" s="2">
        <f>AV537*0.5+AJ537*0.5</f>
        <v>3.155680224403927E-2</v>
      </c>
      <c r="BB537" s="2">
        <f t="shared" si="99"/>
        <v>9.4670406732117809E-2</v>
      </c>
      <c r="BC537">
        <f>IF(I537="expected",1,0)</f>
        <v>0</v>
      </c>
      <c r="BD537" s="78">
        <f>IF(BC537=1,AZ537/SUMIFS(AZ$3:AZ$623,$BC$3:$BC$623,1,$G$3:$G$623,$G537),0)</f>
        <v>0</v>
      </c>
      <c r="BE537" s="78">
        <f>IF(BC537=1,BA537/SUMIFS(BA$3:BA$623,$BC$3:$BC$623,1,$G$3:$G$623,$G537),0)</f>
        <v>0</v>
      </c>
      <c r="BF537" s="78">
        <f t="shared" si="100"/>
        <v>0</v>
      </c>
      <c r="BG537" s="2">
        <f t="shared" si="101"/>
        <v>9.4670406732117809E-2</v>
      </c>
      <c r="BH537" s="2">
        <f t="shared" si="102"/>
        <v>0</v>
      </c>
      <c r="BI537" s="2">
        <f t="shared" si="103"/>
        <v>0</v>
      </c>
      <c r="BJ537" s="2">
        <f t="shared" si="104"/>
        <v>0</v>
      </c>
      <c r="BK537" s="2">
        <f t="shared" si="105"/>
        <v>0</v>
      </c>
      <c r="BL537" s="2">
        <f t="shared" si="106"/>
        <v>9.4670406732117809E-2</v>
      </c>
      <c r="BM537" s="2">
        <f t="shared" si="107"/>
        <v>0</v>
      </c>
      <c r="BN537" s="2">
        <f>BI537/SUMIFS(BI$3:BI$623,$BC$3:$BC$623,1,$G$3:$G$623,$G537)</f>
        <v>0</v>
      </c>
      <c r="BO537" s="2">
        <f>BJ537/SUMIFS(BJ$3:BJ$623,$BC$3:$BC$623,1,$G$3:$G$623,$G537)</f>
        <v>0</v>
      </c>
      <c r="BP537" s="2">
        <f>BK537/SUMIFS(BK$3:BK$623,$BC$3:$BC$623,1,$G$3:$G$623,$G537)</f>
        <v>0</v>
      </c>
      <c r="BQ537" s="2">
        <f>BL537</f>
        <v>9.4670406732117809E-2</v>
      </c>
      <c r="BR537" s="2">
        <f>BM537</f>
        <v>0</v>
      </c>
    </row>
    <row r="538" spans="1:70" hidden="1">
      <c r="A538" s="74">
        <v>0</v>
      </c>
      <c r="B538" s="73">
        <v>213400</v>
      </c>
      <c r="C538" s="73" t="s">
        <v>3113</v>
      </c>
      <c r="D538" s="73" t="s">
        <v>3114</v>
      </c>
      <c r="E538" s="73" t="s">
        <v>3115</v>
      </c>
      <c r="F538" s="73">
        <v>18721</v>
      </c>
      <c r="G538" s="73" t="s">
        <v>865</v>
      </c>
      <c r="H538" s="73" t="s">
        <v>921</v>
      </c>
      <c r="I538" s="73" t="s">
        <v>1012</v>
      </c>
      <c r="J538" s="73">
        <v>0</v>
      </c>
      <c r="K538" s="73">
        <v>4</v>
      </c>
      <c r="L538" s="73">
        <v>0</v>
      </c>
      <c r="M538" s="73">
        <v>0</v>
      </c>
      <c r="N538" s="73">
        <v>0</v>
      </c>
      <c r="O538" s="73" t="s">
        <v>1290</v>
      </c>
      <c r="P538" s="73" t="s">
        <v>205</v>
      </c>
      <c r="Q538" s="73" t="s">
        <v>205</v>
      </c>
      <c r="R538" s="73">
        <v>0</v>
      </c>
      <c r="S538" s="73">
        <v>0</v>
      </c>
      <c r="T538" s="73">
        <v>0</v>
      </c>
      <c r="U538" s="73">
        <v>0</v>
      </c>
      <c r="V538" s="73">
        <v>0</v>
      </c>
      <c r="W538" s="73">
        <v>0</v>
      </c>
      <c r="X538" s="73">
        <v>0</v>
      </c>
      <c r="Y538" s="73">
        <v>0</v>
      </c>
      <c r="Z538" s="73" t="s">
        <v>865</v>
      </c>
      <c r="AA538" s="73" t="s">
        <v>690</v>
      </c>
      <c r="AB538" s="73" t="str">
        <f>IF(AA538&lt;&gt;"",INDEX(Lookup!$N$2:$N$5,MATCH(Players!AA538,Lookup!$P$2:$P$5,0)),INDEX(Lookup!$N$2:$N$5,MATCH(Players!O538,Lookup!$O$2:$O$5,0)))</f>
        <v>Goalkeeper</v>
      </c>
      <c r="AC538" s="73">
        <v>3500000</v>
      </c>
      <c r="AD538" s="73" t="s">
        <v>788</v>
      </c>
      <c r="AE538" s="73" t="str">
        <f>INDEX('Translate table'!$H$2:$H$622,MATCH(Players!P538,'Translate table'!$G$2:$G$622,0))</f>
        <v>Wayne Hennessey</v>
      </c>
      <c r="AF538" s="73">
        <f>IFERROR(INDEX('Euro Qual stats'!$A$1:$L$2071,MATCH(Players!$AE538,'Euro Qual stats'!$A$1:$A$2071,0),MATCH(Players!AF$2,'Euro Qual stats'!$A$1:$L$1,0)),0)</f>
        <v>8</v>
      </c>
      <c r="AG538" s="73">
        <f>IFERROR(INDEX('Euro Qual stats'!$A$1:$L$2071,MATCH(Players!$AE538,'Euro Qual stats'!$A$1:$A$2071,0),MATCH(Players!AG$2,'Euro Qual stats'!$A$1:$L$1,0)),0)</f>
        <v>0</v>
      </c>
      <c r="AH538" s="73">
        <f>IFERROR(INDEX('Euro Qual stats'!$A$1:$L$2071,MATCH(Players!$AE538,'Euro Qual stats'!$A$1:$A$2071,0),MATCH(Players!AH$2,'Euro Qual stats'!$A$1:$L$1,0)),0)</f>
        <v>0</v>
      </c>
      <c r="AI538" s="73">
        <f>IFERROR(INDEX('Euro Qual stats'!$A$1:$L$2071,MATCH(Players!$AE538,'Euro Qual stats'!$A$1:$A$2071,0),MATCH(Players!AI$2,'Euro Qual stats'!$A$1:$L$1,0)),0)</f>
        <v>0</v>
      </c>
      <c r="AJ538" s="93">
        <f>(12-AF538)/12*INDEX(BV$9:BV$12,MATCH($AB538,$BU$9:$BU$12,0))+AF538/12*AG538</f>
        <v>0</v>
      </c>
      <c r="AK538" s="93">
        <f>(12-AG538)/12*INDEX(BW$9:BW$12,MATCH($AB538,$BU$9:$BU$12,0))+AG538/12*AH538</f>
        <v>0</v>
      </c>
      <c r="AL538" s="93">
        <f>(12-AH538)/12*INDEX(BX$9:BX$12,MATCH($AB538,$BU$9:$BU$12,0))+AH538/12*AI538</f>
        <v>0</v>
      </c>
      <c r="AM538" s="93">
        <f>IF($BC538=1,AJ538/SUMIFS(AJ$3:AJ$623,$BC$3:$BC$623,1,$G$3:$G$623,$G538),0)</f>
        <v>0</v>
      </c>
      <c r="AN538" s="93">
        <f>IF($BC538=1,AK538/SUMIFS(AK$3:AK$623,$BC$3:$BC$623,1,$G$3:$G$623,$G538),0)</f>
        <v>0</v>
      </c>
      <c r="AO538" s="93">
        <f>IF($BC538=1,AL538/SUMIFS(AL$3:AL$623,$BC$3:$BC$623,1,$G$3:$G$623,$G538),0)</f>
        <v>0</v>
      </c>
      <c r="AP538" s="2" t="str">
        <f>IFERROR(R538/$V538*90,"")</f>
        <v/>
      </c>
      <c r="AQ538" s="2" t="str">
        <f>IFERROR(S538/$V538*90,"")</f>
        <v/>
      </c>
      <c r="AR538" s="2" t="str">
        <f>IFERROR(W538/$V538*90,"")</f>
        <v/>
      </c>
      <c r="AS538" s="2" t="str">
        <f>IFERROR(X538/$V538*90,"")</f>
        <v/>
      </c>
      <c r="AT538" s="2" t="str">
        <f>IFERROR(Y538/$V538*90,"")</f>
        <v/>
      </c>
      <c r="AU538" s="2">
        <f>IF(AP538="",INDEX(BV$4:BV$7,MATCH(O538,$BU$4:$BU$7,0)),AP538)</f>
        <v>0</v>
      </c>
      <c r="AV538" s="2">
        <f>IF(AQ538="",INDEX(BW$4:BW$7,MATCH($O538,$BU$4:$BU$7,0)),AQ538)</f>
        <v>0</v>
      </c>
      <c r="AW538" s="2">
        <f t="shared" si="96"/>
        <v>0</v>
      </c>
      <c r="AX538" s="2">
        <f t="shared" si="97"/>
        <v>0</v>
      </c>
      <c r="AY538" s="2">
        <f t="shared" si="98"/>
        <v>0</v>
      </c>
      <c r="AZ538" s="2">
        <f>AU538*0.5+AK538*0.5</f>
        <v>0</v>
      </c>
      <c r="BA538" s="2">
        <f>AV538*0.5+AJ538*0.5</f>
        <v>0</v>
      </c>
      <c r="BB538" s="2">
        <f t="shared" si="99"/>
        <v>0</v>
      </c>
      <c r="BC538">
        <f>IF(I538="expected",1,0)</f>
        <v>0</v>
      </c>
      <c r="BD538" s="78">
        <f>IF(BC538=1,AZ538/SUMIFS(AZ$3:AZ$623,$BC$3:$BC$623,1,$G$3:$G$623,$G538),0)</f>
        <v>0</v>
      </c>
      <c r="BE538" s="78">
        <f>IF(BC538=1,BA538/SUMIFS(BA$3:BA$623,$BC$3:$BC$623,1,$G$3:$G$623,$G538),0)</f>
        <v>0</v>
      </c>
      <c r="BF538" s="78">
        <f t="shared" si="100"/>
        <v>0</v>
      </c>
      <c r="BG538" s="2">
        <f t="shared" si="101"/>
        <v>0</v>
      </c>
      <c r="BH538" s="2">
        <f t="shared" si="102"/>
        <v>0</v>
      </c>
      <c r="BI538" s="2">
        <f t="shared" si="103"/>
        <v>0</v>
      </c>
      <c r="BJ538" s="2">
        <f t="shared" si="104"/>
        <v>0</v>
      </c>
      <c r="BK538" s="2">
        <f t="shared" si="105"/>
        <v>0</v>
      </c>
      <c r="BL538" s="2">
        <f t="shared" si="106"/>
        <v>0</v>
      </c>
      <c r="BM538" s="2">
        <f t="shared" si="107"/>
        <v>0</v>
      </c>
      <c r="BN538" s="2">
        <f>BI538/SUMIFS(BI$3:BI$623,$BC$3:$BC$623,1,$G$3:$G$623,$G538)</f>
        <v>0</v>
      </c>
      <c r="BO538" s="2">
        <f>BJ538/SUMIFS(BJ$3:BJ$623,$BC$3:$BC$623,1,$G$3:$G$623,$G538)</f>
        <v>0</v>
      </c>
      <c r="BP538" s="2">
        <f>BK538/SUMIFS(BK$3:BK$623,$BC$3:$BC$623,1,$G$3:$G$623,$G538)</f>
        <v>0</v>
      </c>
      <c r="BQ538" s="2">
        <f>BL538</f>
        <v>0</v>
      </c>
      <c r="BR538" s="2">
        <f>BM538</f>
        <v>0</v>
      </c>
    </row>
    <row r="539" spans="1:70" hidden="1">
      <c r="A539" s="74">
        <v>0</v>
      </c>
      <c r="B539" s="73">
        <v>204853</v>
      </c>
      <c r="C539" s="73" t="s">
        <v>3116</v>
      </c>
      <c r="D539" s="73" t="s">
        <v>3117</v>
      </c>
      <c r="E539" s="73" t="s">
        <v>3118</v>
      </c>
      <c r="F539" s="73">
        <v>18721</v>
      </c>
      <c r="G539" s="73" t="s">
        <v>865</v>
      </c>
      <c r="H539" s="73" t="s">
        <v>921</v>
      </c>
      <c r="I539" s="73" t="s">
        <v>1012</v>
      </c>
      <c r="J539" s="73">
        <v>0</v>
      </c>
      <c r="K539" s="73">
        <v>4</v>
      </c>
      <c r="L539" s="73">
        <v>0</v>
      </c>
      <c r="M539" s="73">
        <v>0</v>
      </c>
      <c r="N539" s="73">
        <v>0</v>
      </c>
      <c r="O539" s="73" t="s">
        <v>1318</v>
      </c>
      <c r="P539" s="73" t="s">
        <v>3119</v>
      </c>
      <c r="Q539" s="73" t="s">
        <v>3120</v>
      </c>
      <c r="R539" s="73">
        <v>0</v>
      </c>
      <c r="S539" s="73">
        <v>0</v>
      </c>
      <c r="T539" s="73">
        <v>0</v>
      </c>
      <c r="U539" s="73">
        <v>4</v>
      </c>
      <c r="V539" s="73">
        <v>1640</v>
      </c>
      <c r="W539" s="73">
        <v>1</v>
      </c>
      <c r="X539" s="73">
        <v>1</v>
      </c>
      <c r="Y539" s="73">
        <v>0</v>
      </c>
      <c r="Z539" s="73" t="s">
        <v>865</v>
      </c>
      <c r="AA539" s="73" t="s">
        <v>692</v>
      </c>
      <c r="AB539" s="73" t="str">
        <f>IF(AA539&lt;&gt;"",INDEX(Lookup!$N$2:$N$5,MATCH(Players!AA539,Lookup!$P$2:$P$5,0)),INDEX(Lookup!$N$2:$N$5,MATCH(Players!O539,Lookup!$O$2:$O$5,0)))</f>
        <v>Defense</v>
      </c>
      <c r="AC539" s="73">
        <v>2000000</v>
      </c>
      <c r="AD539" s="73" t="s">
        <v>788</v>
      </c>
      <c r="AE539" s="73" t="str">
        <f>INDEX('Translate table'!$H$2:$H$622,MATCH(Players!P539,'Translate table'!$G$2:$G$622,0))</f>
        <v>Tom Lockyer</v>
      </c>
      <c r="AF539" s="73">
        <f>IFERROR(INDEX('Euro Qual stats'!$A$1:$L$2071,MATCH(Players!$AE539,'Euro Qual stats'!$A$1:$A$2071,0),MATCH(Players!AF$2,'Euro Qual stats'!$A$1:$L$1,0)),0)</f>
        <v>4</v>
      </c>
      <c r="AG539" s="73">
        <f>IFERROR(INDEX('Euro Qual stats'!$A$1:$L$2071,MATCH(Players!$AE539,'Euro Qual stats'!$A$1:$A$2071,0),MATCH(Players!AG$2,'Euro Qual stats'!$A$1:$L$1,0)),0)</f>
        <v>0</v>
      </c>
      <c r="AH539" s="73">
        <f>IFERROR(INDEX('Euro Qual stats'!$A$1:$L$2071,MATCH(Players!$AE539,'Euro Qual stats'!$A$1:$A$2071,0),MATCH(Players!AH$2,'Euro Qual stats'!$A$1:$L$1,0)),0)</f>
        <v>0</v>
      </c>
      <c r="AI539" s="73">
        <f>IFERROR(INDEX('Euro Qual stats'!$A$1:$L$2071,MATCH(Players!$AE539,'Euro Qual stats'!$A$1:$A$2071,0),MATCH(Players!AI$2,'Euro Qual stats'!$A$1:$L$1,0)),0)</f>
        <v>0.25</v>
      </c>
      <c r="AJ539" s="93">
        <f>(12-AF539)/12*INDEX(BV$9:BV$12,MATCH($AB539,$BU$9:$BU$12,0))+AF539/12*AG539</f>
        <v>5.9450549450549464E-2</v>
      </c>
      <c r="AK539" s="93">
        <f>(12-AG539)/12*INDEX(BW$9:BW$12,MATCH($AB539,$BU$9:$BU$12,0))+AG539/12*AH539</f>
        <v>0.10357142857142858</v>
      </c>
      <c r="AL539" s="93">
        <f>(12-AH539)/12*INDEX(BX$9:BX$12,MATCH($AB539,$BU$9:$BU$12,0))+AH539/12*AI539</f>
        <v>0.19357142857142848</v>
      </c>
      <c r="AM539" s="93">
        <f>IF($BC539=1,AJ539/SUMIFS(AJ$3:AJ$623,$BC$3:$BC$623,1,$G$3:$G$623,$G539),0)</f>
        <v>0</v>
      </c>
      <c r="AN539" s="93">
        <f>IF($BC539=1,AK539/SUMIFS(AK$3:AK$623,$BC$3:$BC$623,1,$G$3:$G$623,$G539),0)</f>
        <v>0</v>
      </c>
      <c r="AO539" s="93">
        <f>IF($BC539=1,AL539/SUMIFS(AL$3:AL$623,$BC$3:$BC$623,1,$G$3:$G$623,$G539),0)</f>
        <v>0</v>
      </c>
      <c r="AP539" s="2">
        <f>IFERROR(R539/$V539*90,"")</f>
        <v>0</v>
      </c>
      <c r="AQ539" s="2">
        <f>IFERROR(S539/$V539*90,"")</f>
        <v>0</v>
      </c>
      <c r="AR539" s="2">
        <f>IFERROR(W539/$V539*90,"")</f>
        <v>5.4878048780487805E-2</v>
      </c>
      <c r="AS539" s="2">
        <f>IFERROR(X539/$V539*90,"")</f>
        <v>5.4878048780487805E-2</v>
      </c>
      <c r="AT539" s="2">
        <f>IFERROR(Y539/$V539*90,"")</f>
        <v>0</v>
      </c>
      <c r="AU539" s="2">
        <f>IF(AP539="",INDEX(BV$4:BV$7,MATCH(O539,$BU$4:$BU$7,0)),AP539)</f>
        <v>0</v>
      </c>
      <c r="AV539" s="2">
        <f>IF(AQ539="",INDEX(BW$4:BW$7,MATCH($O539,$BU$4:$BU$7,0)),AQ539)</f>
        <v>0</v>
      </c>
      <c r="AW539" s="2">
        <f t="shared" si="96"/>
        <v>5.4878048780487805E-2</v>
      </c>
      <c r="AX539" s="2">
        <f t="shared" si="97"/>
        <v>5.4878048780487805E-2</v>
      </c>
      <c r="AY539" s="2">
        <f t="shared" si="98"/>
        <v>0</v>
      </c>
      <c r="AZ539" s="2">
        <f>AU539*0.5+AK539*0.5</f>
        <v>5.1785714285714289E-2</v>
      </c>
      <c r="BA539" s="2">
        <f>AV539*0.5+AJ539*0.5</f>
        <v>2.9725274725274732E-2</v>
      </c>
      <c r="BB539" s="2">
        <f t="shared" si="99"/>
        <v>0.1524390243902439</v>
      </c>
      <c r="BC539">
        <f>IF(I539="expected",1,0)</f>
        <v>0</v>
      </c>
      <c r="BD539" s="78">
        <f>IF(BC539=1,AZ539/SUMIFS(AZ$3:AZ$623,$BC$3:$BC$623,1,$G$3:$G$623,$G539),0)</f>
        <v>0</v>
      </c>
      <c r="BE539" s="78">
        <f>IF(BC539=1,BA539/SUMIFS(BA$3:BA$623,$BC$3:$BC$623,1,$G$3:$G$623,$G539),0)</f>
        <v>0</v>
      </c>
      <c r="BF539" s="78">
        <f t="shared" si="100"/>
        <v>0</v>
      </c>
      <c r="BG539" s="2">
        <f t="shared" si="101"/>
        <v>0.1524390243902439</v>
      </c>
      <c r="BH539" s="2">
        <f t="shared" si="102"/>
        <v>0</v>
      </c>
      <c r="BI539" s="2">
        <f t="shared" si="103"/>
        <v>0</v>
      </c>
      <c r="BJ539" s="2">
        <f t="shared" si="104"/>
        <v>0</v>
      </c>
      <c r="BK539" s="2">
        <f t="shared" si="105"/>
        <v>0</v>
      </c>
      <c r="BL539" s="2">
        <f t="shared" si="106"/>
        <v>0.1524390243902439</v>
      </c>
      <c r="BM539" s="2">
        <f t="shared" si="107"/>
        <v>0</v>
      </c>
      <c r="BN539" s="2">
        <f>BI539/SUMIFS(BI$3:BI$623,$BC$3:$BC$623,1,$G$3:$G$623,$G539)</f>
        <v>0</v>
      </c>
      <c r="BO539" s="2">
        <f>BJ539/SUMIFS(BJ$3:BJ$623,$BC$3:$BC$623,1,$G$3:$G$623,$G539)</f>
        <v>0</v>
      </c>
      <c r="BP539" s="2">
        <f>BK539/SUMIFS(BK$3:BK$623,$BC$3:$BC$623,1,$G$3:$G$623,$G539)</f>
        <v>0</v>
      </c>
      <c r="BQ539" s="2">
        <f>BL539</f>
        <v>0.1524390243902439</v>
      </c>
      <c r="BR539" s="2">
        <f>BM539</f>
        <v>0</v>
      </c>
    </row>
    <row r="540" spans="1:70" hidden="1">
      <c r="A540" s="74">
        <v>0</v>
      </c>
      <c r="B540" s="73">
        <v>204841</v>
      </c>
      <c r="C540" s="73" t="s">
        <v>3121</v>
      </c>
      <c r="D540" s="73" t="s">
        <v>2578</v>
      </c>
      <c r="E540" s="73" t="s">
        <v>2035</v>
      </c>
      <c r="F540" s="73">
        <v>18721</v>
      </c>
      <c r="G540" s="73" t="s">
        <v>865</v>
      </c>
      <c r="H540" s="73" t="s">
        <v>921</v>
      </c>
      <c r="I540" s="73" t="s">
        <v>1012</v>
      </c>
      <c r="J540" s="73">
        <v>0</v>
      </c>
      <c r="K540" s="73">
        <v>4</v>
      </c>
      <c r="L540" s="73">
        <v>0</v>
      </c>
      <c r="M540" s="73">
        <v>0</v>
      </c>
      <c r="N540" s="73">
        <v>0</v>
      </c>
      <c r="O540" s="73" t="s">
        <v>1318</v>
      </c>
      <c r="P540" s="73" t="s">
        <v>3122</v>
      </c>
      <c r="Q540" s="73" t="s">
        <v>2037</v>
      </c>
      <c r="R540" s="73">
        <v>3</v>
      </c>
      <c r="S540" s="73">
        <v>3</v>
      </c>
      <c r="T540" s="73">
        <v>0</v>
      </c>
      <c r="U540" s="73">
        <v>6</v>
      </c>
      <c r="V540" s="73">
        <v>3060</v>
      </c>
      <c r="W540" s="73">
        <v>7</v>
      </c>
      <c r="X540" s="73">
        <v>2</v>
      </c>
      <c r="Y540" s="73">
        <v>0</v>
      </c>
      <c r="Z540" s="73" t="s">
        <v>865</v>
      </c>
      <c r="AA540" s="73" t="s">
        <v>692</v>
      </c>
      <c r="AB540" s="73" t="str">
        <f>IF(AA540&lt;&gt;"",INDEX(Lookup!$N$2:$N$5,MATCH(Players!AA540,Lookup!$P$2:$P$5,0)),INDEX(Lookup!$N$2:$N$5,MATCH(Players!O540,Lookup!$O$2:$O$5,0)))</f>
        <v>Defense</v>
      </c>
      <c r="AC540" s="73">
        <v>2500000</v>
      </c>
      <c r="AD540" s="73" t="s">
        <v>753</v>
      </c>
      <c r="AE540" s="73" t="str">
        <f>INDEX('Translate table'!$H$2:$H$622,MATCH(Players!P540,'Translate table'!$G$2:$G$622,0))</f>
        <v>Chris Gunter</v>
      </c>
      <c r="AF540" s="73">
        <f>IFERROR(INDEX('Euro Qual stats'!$A$1:$L$2071,MATCH(Players!$AE540,'Euro Qual stats'!$A$1:$A$2071,0),MATCH(Players!AF$2,'Euro Qual stats'!$A$1:$L$1,0)),0)</f>
        <v>1</v>
      </c>
      <c r="AG540" s="73">
        <f>IFERROR(INDEX('Euro Qual stats'!$A$1:$L$2071,MATCH(Players!$AE540,'Euro Qual stats'!$A$1:$A$2071,0),MATCH(Players!AG$2,'Euro Qual stats'!$A$1:$L$1,0)),0)</f>
        <v>0</v>
      </c>
      <c r="AH540" s="73">
        <f>IFERROR(INDEX('Euro Qual stats'!$A$1:$L$2071,MATCH(Players!$AE540,'Euro Qual stats'!$A$1:$A$2071,0),MATCH(Players!AH$2,'Euro Qual stats'!$A$1:$L$1,0)),0)</f>
        <v>0</v>
      </c>
      <c r="AI540" s="73">
        <f>IFERROR(INDEX('Euro Qual stats'!$A$1:$L$2071,MATCH(Players!$AE540,'Euro Qual stats'!$A$1:$A$2071,0),MATCH(Players!AI$2,'Euro Qual stats'!$A$1:$L$1,0)),0)</f>
        <v>1</v>
      </c>
      <c r="AJ540" s="93">
        <f>(12-AF540)/12*INDEX(BV$9:BV$12,MATCH($AB540,$BU$9:$BU$12,0))+AF540/12*AG540</f>
        <v>8.1744505494505515E-2</v>
      </c>
      <c r="AK540" s="93">
        <f>(12-AG540)/12*INDEX(BW$9:BW$12,MATCH($AB540,$BU$9:$BU$12,0))+AG540/12*AH540</f>
        <v>0.10357142857142858</v>
      </c>
      <c r="AL540" s="93">
        <f>(12-AH540)/12*INDEX(BX$9:BX$12,MATCH($AB540,$BU$9:$BU$12,0))+AH540/12*AI540</f>
        <v>0.19357142857142848</v>
      </c>
      <c r="AM540" s="93">
        <f>IF($BC540=1,AJ540/SUMIFS(AJ$3:AJ$623,$BC$3:$BC$623,1,$G$3:$G$623,$G540),0)</f>
        <v>0</v>
      </c>
      <c r="AN540" s="93">
        <f>IF($BC540=1,AK540/SUMIFS(AK$3:AK$623,$BC$3:$BC$623,1,$G$3:$G$623,$G540),0)</f>
        <v>0</v>
      </c>
      <c r="AO540" s="93">
        <f>IF($BC540=1,AL540/SUMIFS(AL$3:AL$623,$BC$3:$BC$623,1,$G$3:$G$623,$G540),0)</f>
        <v>0</v>
      </c>
      <c r="AP540" s="2">
        <f>IFERROR(R540/$V540*90,"")</f>
        <v>8.8235294117647051E-2</v>
      </c>
      <c r="AQ540" s="2">
        <f>IFERROR(S540/$V540*90,"")</f>
        <v>8.8235294117647051E-2</v>
      </c>
      <c r="AR540" s="2">
        <f>IFERROR(W540/$V540*90,"")</f>
        <v>0.20588235294117649</v>
      </c>
      <c r="AS540" s="2">
        <f>IFERROR(X540/$V540*90,"")</f>
        <v>5.8823529411764705E-2</v>
      </c>
      <c r="AT540" s="2">
        <f>IFERROR(Y540/$V540*90,"")</f>
        <v>0</v>
      </c>
      <c r="AU540" s="2">
        <f>IF(AP540="",INDEX(BV$4:BV$7,MATCH(O540,$BU$4:$BU$7,0)),AP540)</f>
        <v>8.8235294117647051E-2</v>
      </c>
      <c r="AV540" s="2">
        <f>IF(AQ540="",INDEX(BW$4:BW$7,MATCH($O540,$BU$4:$BU$7,0)),AQ540)</f>
        <v>8.8235294117647051E-2</v>
      </c>
      <c r="AW540" s="2">
        <f t="shared" si="96"/>
        <v>0.20588235294117649</v>
      </c>
      <c r="AX540" s="2">
        <f t="shared" si="97"/>
        <v>5.8823529411764705E-2</v>
      </c>
      <c r="AY540" s="2">
        <f t="shared" si="98"/>
        <v>0</v>
      </c>
      <c r="AZ540" s="2">
        <f>AU540*0.5+AK540*0.5</f>
        <v>9.5903361344537807E-2</v>
      </c>
      <c r="BA540" s="2">
        <f>AV540*0.5+AJ540*0.5</f>
        <v>8.4989899806076283E-2</v>
      </c>
      <c r="BB540" s="2">
        <f t="shared" si="99"/>
        <v>0.52941176470588236</v>
      </c>
      <c r="BC540">
        <f>IF(I540="expected",1,0)</f>
        <v>0</v>
      </c>
      <c r="BD540" s="78">
        <f>IF(BC540=1,AZ540/SUMIFS(AZ$3:AZ$623,$BC$3:$BC$623,1,$G$3:$G$623,$G540),0)</f>
        <v>0</v>
      </c>
      <c r="BE540" s="78">
        <f>IF(BC540=1,BA540/SUMIFS(BA$3:BA$623,$BC$3:$BC$623,1,$G$3:$G$623,$G540),0)</f>
        <v>0</v>
      </c>
      <c r="BF540" s="78">
        <f t="shared" si="100"/>
        <v>0</v>
      </c>
      <c r="BG540" s="2">
        <f t="shared" si="101"/>
        <v>0.52941176470588236</v>
      </c>
      <c r="BH540" s="2">
        <f t="shared" si="102"/>
        <v>0</v>
      </c>
      <c r="BI540" s="2">
        <f t="shared" si="103"/>
        <v>0</v>
      </c>
      <c r="BJ540" s="2">
        <f t="shared" si="104"/>
        <v>0</v>
      </c>
      <c r="BK540" s="2">
        <f t="shared" si="105"/>
        <v>0</v>
      </c>
      <c r="BL540" s="2">
        <f t="shared" si="106"/>
        <v>0.52941176470588236</v>
      </c>
      <c r="BM540" s="2">
        <f t="shared" si="107"/>
        <v>0</v>
      </c>
      <c r="BN540" s="2">
        <f>BI540/SUMIFS(BI$3:BI$623,$BC$3:$BC$623,1,$G$3:$G$623,$G540)</f>
        <v>0</v>
      </c>
      <c r="BO540" s="2">
        <f>BJ540/SUMIFS(BJ$3:BJ$623,$BC$3:$BC$623,1,$G$3:$G$623,$G540)</f>
        <v>0</v>
      </c>
      <c r="BP540" s="2">
        <f>BK540/SUMIFS(BK$3:BK$623,$BC$3:$BC$623,1,$G$3:$G$623,$G540)</f>
        <v>0</v>
      </c>
      <c r="BQ540" s="2">
        <f>BL540</f>
        <v>0.52941176470588236</v>
      </c>
      <c r="BR540" s="2">
        <f>BM540</f>
        <v>0</v>
      </c>
    </row>
    <row r="541" spans="1:70" hidden="1">
      <c r="A541" s="74">
        <v>0</v>
      </c>
      <c r="B541" s="73">
        <v>223746</v>
      </c>
      <c r="C541" s="73" t="s">
        <v>3123</v>
      </c>
      <c r="D541" s="73" t="s">
        <v>3124</v>
      </c>
      <c r="E541" s="73" t="s">
        <v>3125</v>
      </c>
      <c r="F541" s="73">
        <v>18721</v>
      </c>
      <c r="G541" s="73" t="s">
        <v>865</v>
      </c>
      <c r="H541" s="73" t="s">
        <v>921</v>
      </c>
      <c r="I541" s="73" t="s">
        <v>1012</v>
      </c>
      <c r="J541" s="73">
        <v>0</v>
      </c>
      <c r="K541" s="73">
        <v>4</v>
      </c>
      <c r="L541" s="73">
        <v>0</v>
      </c>
      <c r="M541" s="73">
        <v>0</v>
      </c>
      <c r="N541" s="73">
        <v>0</v>
      </c>
      <c r="O541" s="73" t="s">
        <v>994</v>
      </c>
      <c r="P541" s="73" t="s">
        <v>3126</v>
      </c>
      <c r="Q541" s="73" t="s">
        <v>1164</v>
      </c>
      <c r="R541" s="73"/>
      <c r="S541" s="73"/>
      <c r="T541" s="73"/>
      <c r="U541" s="73"/>
      <c r="V541" s="73"/>
      <c r="W541" s="73"/>
      <c r="X541" s="73"/>
      <c r="Y541" s="73"/>
      <c r="Z541" s="73" t="s">
        <v>865</v>
      </c>
      <c r="AA541" s="73" t="s">
        <v>691</v>
      </c>
      <c r="AB541" s="73" t="str">
        <f>IF(AA541&lt;&gt;"",INDEX(Lookup!$N$2:$N$5,MATCH(Players!AA541,Lookup!$P$2:$P$5,0)),INDEX(Lookup!$N$2:$N$5,MATCH(Players!O541,Lookup!$O$2:$O$5,0)))</f>
        <v>Midfield</v>
      </c>
      <c r="AC541" s="73">
        <v>2000000</v>
      </c>
      <c r="AD541" s="73" t="s">
        <v>788</v>
      </c>
      <c r="AE541" s="73" t="str">
        <f>INDEX('Translate table'!$H$2:$H$622,MATCH(Players!P541,'Translate table'!$G$2:$G$622,0))</f>
        <v>Ruben Gabrielsen</v>
      </c>
      <c r="AF541" s="73">
        <f>IFERROR(INDEX('Euro Qual stats'!$A$1:$L$2071,MATCH(Players!$AE541,'Euro Qual stats'!$A$1:$A$2071,0),MATCH(Players!AF$2,'Euro Qual stats'!$A$1:$L$1,0)),0)</f>
        <v>0</v>
      </c>
      <c r="AG541" s="73">
        <f>IFERROR(INDEX('Euro Qual stats'!$A$1:$L$2071,MATCH(Players!$AE541,'Euro Qual stats'!$A$1:$A$2071,0),MATCH(Players!AG$2,'Euro Qual stats'!$A$1:$L$1,0)),0)</f>
        <v>0</v>
      </c>
      <c r="AH541" s="73">
        <f>IFERROR(INDEX('Euro Qual stats'!$A$1:$L$2071,MATCH(Players!$AE541,'Euro Qual stats'!$A$1:$A$2071,0),MATCH(Players!AH$2,'Euro Qual stats'!$A$1:$L$1,0)),0)</f>
        <v>0</v>
      </c>
      <c r="AI541" s="73">
        <f>IFERROR(INDEX('Euro Qual stats'!$A$1:$L$2071,MATCH(Players!$AE541,'Euro Qual stats'!$A$1:$A$2071,0),MATCH(Players!AI$2,'Euro Qual stats'!$A$1:$L$1,0)),0)</f>
        <v>0</v>
      </c>
      <c r="AJ541" s="93">
        <f>(12-AF541)/12*INDEX(BV$9:BV$12,MATCH($AB541,$BU$9:$BU$12,0))+AF541/12*AG541</f>
        <v>0.16869109947643979</v>
      </c>
      <c r="AK541" s="93">
        <f>(12-AG541)/12*INDEX(BW$9:BW$12,MATCH($AB541,$BU$9:$BU$12,0))+AG541/12*AH541</f>
        <v>0.22340314136125652</v>
      </c>
      <c r="AL541" s="93">
        <f>(12-AH541)/12*INDEX(BX$9:BX$12,MATCH($AB541,$BU$9:$BU$12,0))+AH541/12*AI541</f>
        <v>0.23942408376963353</v>
      </c>
      <c r="AM541" s="93">
        <f>IF($BC541=1,AJ541/SUMIFS(AJ$3:AJ$623,$BC$3:$BC$623,1,$G$3:$G$623,$G541),0)</f>
        <v>0</v>
      </c>
      <c r="AN541" s="93">
        <f>IF($BC541=1,AK541/SUMIFS(AK$3:AK$623,$BC$3:$BC$623,1,$G$3:$G$623,$G541),0)</f>
        <v>0</v>
      </c>
      <c r="AO541" s="93">
        <f>IF($BC541=1,AL541/SUMIFS(AL$3:AL$623,$BC$3:$BC$623,1,$G$3:$G$623,$G541),0)</f>
        <v>0</v>
      </c>
      <c r="AP541" s="2" t="str">
        <f>IFERROR(R541/$V541*90,"")</f>
        <v/>
      </c>
      <c r="AQ541" s="2" t="str">
        <f>IFERROR(S541/$V541*90,"")</f>
        <v/>
      </c>
      <c r="AR541" s="2" t="str">
        <f>IFERROR(W541/$V541*90,"")</f>
        <v/>
      </c>
      <c r="AS541" s="2" t="str">
        <f>IFERROR(X541/$V541*90,"")</f>
        <v/>
      </c>
      <c r="AT541" s="2" t="str">
        <f>IFERROR(Y541/$V541*90,"")</f>
        <v/>
      </c>
      <c r="AU541" s="2">
        <f>IF(AP541="",INDEX(BV$4:BV$7,MATCH(O541,$BU$4:$BU$7,0)),AP541)</f>
        <v>3.6526142445450806E-2</v>
      </c>
      <c r="AV541" s="2">
        <f>IF(AQ541="",INDEX(BW$4:BW$7,MATCH($O541,$BU$4:$BU$7,0)),AQ541)</f>
        <v>3.2427739661688867E-2</v>
      </c>
      <c r="AW541" s="2">
        <f t="shared" si="96"/>
        <v>0.20013349649571699</v>
      </c>
      <c r="AX541" s="2">
        <f t="shared" si="97"/>
        <v>0.16081000595592615</v>
      </c>
      <c r="AY541" s="2">
        <f t="shared" si="98"/>
        <v>0</v>
      </c>
      <c r="AZ541" s="2">
        <f>AU541*0.5+AK541*0.5</f>
        <v>0.12996464190335366</v>
      </c>
      <c r="BA541" s="2">
        <f>AV541*0.5+AJ541*0.5</f>
        <v>0.10055941956906433</v>
      </c>
      <c r="BB541" s="2">
        <f t="shared" si="99"/>
        <v>8.0405002977963075E-2</v>
      </c>
      <c r="BC541">
        <f>IF(I541="expected",1,0)</f>
        <v>0</v>
      </c>
      <c r="BD541" s="78">
        <f>IF(BC541=1,AZ541/SUMIFS(AZ$3:AZ$623,$BC$3:$BC$623,1,$G$3:$G$623,$G541),0)</f>
        <v>0</v>
      </c>
      <c r="BE541" s="78">
        <f>IF(BC541=1,BA541/SUMIFS(BA$3:BA$623,$BC$3:$BC$623,1,$G$3:$G$623,$G541),0)</f>
        <v>0</v>
      </c>
      <c r="BF541" s="78">
        <f t="shared" si="100"/>
        <v>0</v>
      </c>
      <c r="BG541" s="2">
        <f t="shared" si="101"/>
        <v>8.0405002977963075E-2</v>
      </c>
      <c r="BH541" s="2">
        <f t="shared" si="102"/>
        <v>0</v>
      </c>
      <c r="BI541" s="2">
        <f t="shared" si="103"/>
        <v>0</v>
      </c>
      <c r="BJ541" s="2">
        <f t="shared" si="104"/>
        <v>0</v>
      </c>
      <c r="BK541" s="2">
        <f t="shared" si="105"/>
        <v>0</v>
      </c>
      <c r="BL541" s="2">
        <f t="shared" si="106"/>
        <v>8.0405002977963075E-2</v>
      </c>
      <c r="BM541" s="2">
        <f t="shared" si="107"/>
        <v>0</v>
      </c>
      <c r="BN541" s="2">
        <f>BI541/SUMIFS(BI$3:BI$623,$BC$3:$BC$623,1,$G$3:$G$623,$G541)</f>
        <v>0</v>
      </c>
      <c r="BO541" s="2">
        <f>BJ541/SUMIFS(BJ$3:BJ$623,$BC$3:$BC$623,1,$G$3:$G$623,$G541)</f>
        <v>0</v>
      </c>
      <c r="BP541" s="2">
        <f>BK541/SUMIFS(BK$3:BK$623,$BC$3:$BC$623,1,$G$3:$G$623,$G541)</f>
        <v>0</v>
      </c>
      <c r="BQ541" s="2">
        <f>BL541</f>
        <v>8.0405002977963075E-2</v>
      </c>
      <c r="BR541" s="2">
        <f>BM541</f>
        <v>0</v>
      </c>
    </row>
    <row r="542" spans="1:70" hidden="1">
      <c r="A542" s="74">
        <v>0</v>
      </c>
      <c r="B542" s="73">
        <v>213402</v>
      </c>
      <c r="C542" s="73" t="s">
        <v>3127</v>
      </c>
      <c r="D542" s="73" t="s">
        <v>3128</v>
      </c>
      <c r="E542" s="73" t="s">
        <v>3129</v>
      </c>
      <c r="F542" s="73">
        <v>18721</v>
      </c>
      <c r="G542" s="73" t="s">
        <v>865</v>
      </c>
      <c r="H542" s="73" t="s">
        <v>921</v>
      </c>
      <c r="I542" s="73" t="s">
        <v>1012</v>
      </c>
      <c r="J542" s="73">
        <v>0</v>
      </c>
      <c r="K542" s="73">
        <v>4</v>
      </c>
      <c r="L542" s="73">
        <v>0</v>
      </c>
      <c r="M542" s="73">
        <v>0</v>
      </c>
      <c r="N542" s="73">
        <v>0</v>
      </c>
      <c r="O542" s="73" t="s">
        <v>994</v>
      </c>
      <c r="P542" s="73" t="s">
        <v>3130</v>
      </c>
      <c r="Q542" s="73" t="s">
        <v>3131</v>
      </c>
      <c r="R542" s="73">
        <v>0</v>
      </c>
      <c r="S542" s="73">
        <v>0</v>
      </c>
      <c r="T542" s="73">
        <v>0</v>
      </c>
      <c r="U542" s="73">
        <v>1</v>
      </c>
      <c r="V542" s="73">
        <v>1137</v>
      </c>
      <c r="W542" s="73">
        <v>1</v>
      </c>
      <c r="X542" s="73">
        <v>2</v>
      </c>
      <c r="Y542" s="73">
        <v>0</v>
      </c>
      <c r="Z542" s="73" t="s">
        <v>865</v>
      </c>
      <c r="AA542" s="73" t="s">
        <v>691</v>
      </c>
      <c r="AB542" s="73" t="str">
        <f>IF(AA542&lt;&gt;"",INDEX(Lookup!$N$2:$N$5,MATCH(Players!AA542,Lookup!$P$2:$P$5,0)),INDEX(Lookup!$N$2:$N$5,MATCH(Players!O542,Lookup!$O$2:$O$5,0)))</f>
        <v>Midfield</v>
      </c>
      <c r="AC542" s="73">
        <v>2500000</v>
      </c>
      <c r="AD542" s="73" t="s">
        <v>788</v>
      </c>
      <c r="AE542" s="73" t="str">
        <f>INDEX('Translate table'!$H$2:$H$622,MATCH(Players!P542,'Translate table'!$G$2:$G$622,0))</f>
        <v>Dylan Levitt</v>
      </c>
      <c r="AF542" s="73">
        <f>IFERROR(INDEX('Euro Qual stats'!$A$1:$L$2071,MATCH(Players!$AE542,'Euro Qual stats'!$A$1:$A$2071,0),MATCH(Players!AF$2,'Euro Qual stats'!$A$1:$L$1,0)),0)</f>
        <v>0</v>
      </c>
      <c r="AG542" s="73">
        <f>IFERROR(INDEX('Euro Qual stats'!$A$1:$L$2071,MATCH(Players!$AE542,'Euro Qual stats'!$A$1:$A$2071,0),MATCH(Players!AG$2,'Euro Qual stats'!$A$1:$L$1,0)),0)</f>
        <v>0</v>
      </c>
      <c r="AH542" s="73">
        <f>IFERROR(INDEX('Euro Qual stats'!$A$1:$L$2071,MATCH(Players!$AE542,'Euro Qual stats'!$A$1:$A$2071,0),MATCH(Players!AH$2,'Euro Qual stats'!$A$1:$L$1,0)),0)</f>
        <v>0</v>
      </c>
      <c r="AI542" s="73">
        <f>IFERROR(INDEX('Euro Qual stats'!$A$1:$L$2071,MATCH(Players!$AE542,'Euro Qual stats'!$A$1:$A$2071,0),MATCH(Players!AI$2,'Euro Qual stats'!$A$1:$L$1,0)),0)</f>
        <v>0</v>
      </c>
      <c r="AJ542" s="93">
        <f>(12-AF542)/12*INDEX(BV$9:BV$12,MATCH($AB542,$BU$9:$BU$12,0))+AF542/12*AG542</f>
        <v>0.16869109947643979</v>
      </c>
      <c r="AK542" s="93">
        <f>(12-AG542)/12*INDEX(BW$9:BW$12,MATCH($AB542,$BU$9:$BU$12,0))+AG542/12*AH542</f>
        <v>0.22340314136125652</v>
      </c>
      <c r="AL542" s="93">
        <f>(12-AH542)/12*INDEX(BX$9:BX$12,MATCH($AB542,$BU$9:$BU$12,0))+AH542/12*AI542</f>
        <v>0.23942408376963353</v>
      </c>
      <c r="AM542" s="93">
        <f>IF($BC542=1,AJ542/SUMIFS(AJ$3:AJ$623,$BC$3:$BC$623,1,$G$3:$G$623,$G542),0)</f>
        <v>0</v>
      </c>
      <c r="AN542" s="93">
        <f>IF($BC542=1,AK542/SUMIFS(AK$3:AK$623,$BC$3:$BC$623,1,$G$3:$G$623,$G542),0)</f>
        <v>0</v>
      </c>
      <c r="AO542" s="93">
        <f>IF($BC542=1,AL542/SUMIFS(AL$3:AL$623,$BC$3:$BC$623,1,$G$3:$G$623,$G542),0)</f>
        <v>0</v>
      </c>
      <c r="AP542" s="2">
        <f>IFERROR(R542/$V542*90,"")</f>
        <v>0</v>
      </c>
      <c r="AQ542" s="2">
        <f>IFERROR(S542/$V542*90,"")</f>
        <v>0</v>
      </c>
      <c r="AR542" s="2">
        <f>IFERROR(W542/$V542*90,"")</f>
        <v>7.9155672823219003E-2</v>
      </c>
      <c r="AS542" s="2">
        <f>IFERROR(X542/$V542*90,"")</f>
        <v>0.15831134564643801</v>
      </c>
      <c r="AT542" s="2">
        <f>IFERROR(Y542/$V542*90,"")</f>
        <v>0</v>
      </c>
      <c r="AU542" s="2">
        <f>IF(AP542="",INDEX(BV$4:BV$7,MATCH(O542,$BU$4:$BU$7,0)),AP542)</f>
        <v>0</v>
      </c>
      <c r="AV542" s="2">
        <f>IF(AQ542="",INDEX(BW$4:BW$7,MATCH($O542,$BU$4:$BU$7,0)),AQ542)</f>
        <v>0</v>
      </c>
      <c r="AW542" s="2">
        <f t="shared" si="96"/>
        <v>7.9155672823219003E-2</v>
      </c>
      <c r="AX542" s="2">
        <f t="shared" si="97"/>
        <v>0.15831134564643801</v>
      </c>
      <c r="AY542" s="2">
        <f t="shared" si="98"/>
        <v>0</v>
      </c>
      <c r="AZ542" s="2">
        <f>AU542*0.5+AK542*0.5</f>
        <v>0.11170157068062826</v>
      </c>
      <c r="BA542" s="2">
        <f>AV542*0.5+AJ542*0.5</f>
        <v>8.4345549738219894E-2</v>
      </c>
      <c r="BB542" s="2">
        <f t="shared" si="99"/>
        <v>7.9155672823219003E-2</v>
      </c>
      <c r="BC542">
        <f>IF(I542="expected",1,0)</f>
        <v>0</v>
      </c>
      <c r="BD542" s="78">
        <f>IF(BC542=1,AZ542/SUMIFS(AZ$3:AZ$623,$BC$3:$BC$623,1,$G$3:$G$623,$G542),0)</f>
        <v>0</v>
      </c>
      <c r="BE542" s="78">
        <f>IF(BC542=1,BA542/SUMIFS(BA$3:BA$623,$BC$3:$BC$623,1,$G$3:$G$623,$G542),0)</f>
        <v>0</v>
      </c>
      <c r="BF542" s="78">
        <f t="shared" si="100"/>
        <v>0</v>
      </c>
      <c r="BG542" s="2">
        <f t="shared" si="101"/>
        <v>7.9155672823219003E-2</v>
      </c>
      <c r="BH542" s="2">
        <f t="shared" si="102"/>
        <v>0</v>
      </c>
      <c r="BI542" s="2">
        <f t="shared" si="103"/>
        <v>0</v>
      </c>
      <c r="BJ542" s="2">
        <f t="shared" si="104"/>
        <v>0</v>
      </c>
      <c r="BK542" s="2">
        <f t="shared" si="105"/>
        <v>0</v>
      </c>
      <c r="BL542" s="2">
        <f t="shared" si="106"/>
        <v>7.9155672823219003E-2</v>
      </c>
      <c r="BM542" s="2">
        <f t="shared" si="107"/>
        <v>0</v>
      </c>
      <c r="BN542" s="2">
        <f>BI542/SUMIFS(BI$3:BI$623,$BC$3:$BC$623,1,$G$3:$G$623,$G542)</f>
        <v>0</v>
      </c>
      <c r="BO542" s="2">
        <f>BJ542/SUMIFS(BJ$3:BJ$623,$BC$3:$BC$623,1,$G$3:$G$623,$G542)</f>
        <v>0</v>
      </c>
      <c r="BP542" s="2">
        <f>BK542/SUMIFS(BK$3:BK$623,$BC$3:$BC$623,1,$G$3:$G$623,$G542)</f>
        <v>0</v>
      </c>
      <c r="BQ542" s="2">
        <f>BL542</f>
        <v>7.9155672823219003E-2</v>
      </c>
      <c r="BR542" s="2">
        <f>BM542</f>
        <v>0</v>
      </c>
    </row>
    <row r="543" spans="1:70" hidden="1">
      <c r="A543" s="74">
        <v>0</v>
      </c>
      <c r="B543" s="73">
        <v>204870</v>
      </c>
      <c r="C543" s="73" t="s">
        <v>3132</v>
      </c>
      <c r="D543" s="73" t="s">
        <v>3133</v>
      </c>
      <c r="E543" s="73" t="s">
        <v>3134</v>
      </c>
      <c r="F543" s="73">
        <v>18721</v>
      </c>
      <c r="G543" s="73" t="s">
        <v>865</v>
      </c>
      <c r="H543" s="73" t="s">
        <v>921</v>
      </c>
      <c r="I543" s="73" t="s">
        <v>1012</v>
      </c>
      <c r="J543" s="73">
        <v>0</v>
      </c>
      <c r="K543" s="73">
        <v>4</v>
      </c>
      <c r="L543" s="73">
        <v>0</v>
      </c>
      <c r="M543" s="73">
        <v>0</v>
      </c>
      <c r="N543" s="73">
        <v>0</v>
      </c>
      <c r="O543" s="73" t="s">
        <v>994</v>
      </c>
      <c r="P543" s="73" t="s">
        <v>3135</v>
      </c>
      <c r="Q543" s="73" t="s">
        <v>262</v>
      </c>
      <c r="R543" s="73">
        <v>1</v>
      </c>
      <c r="S543" s="73">
        <v>1</v>
      </c>
      <c r="T543" s="73">
        <v>0</v>
      </c>
      <c r="U543" s="73">
        <v>10</v>
      </c>
      <c r="V543" s="73">
        <v>3060</v>
      </c>
      <c r="W543" s="73">
        <v>4</v>
      </c>
      <c r="X543" s="73">
        <v>5</v>
      </c>
      <c r="Y543" s="73">
        <v>0</v>
      </c>
      <c r="Z543" s="73" t="s">
        <v>865</v>
      </c>
      <c r="AA543" s="73" t="s">
        <v>691</v>
      </c>
      <c r="AB543" s="73" t="str">
        <f>IF(AA543&lt;&gt;"",INDEX(Lookup!$N$2:$N$5,MATCH(Players!AA543,Lookup!$P$2:$P$5,0)),INDEX(Lookup!$N$2:$N$5,MATCH(Players!O543,Lookup!$O$2:$O$5,0)))</f>
        <v>Midfield</v>
      </c>
      <c r="AC543" s="73">
        <v>2000000</v>
      </c>
      <c r="AD543" s="73" t="s">
        <v>788</v>
      </c>
      <c r="AE543" s="73" t="str">
        <f>INDEX('Translate table'!$H$2:$H$622,MATCH(Players!P543,'Translate table'!$G$2:$G$622,0))</f>
        <v>Matthew Smith</v>
      </c>
      <c r="AF543" s="73">
        <f>IFERROR(INDEX('Euro Qual stats'!$A$1:$L$2071,MATCH(Players!$AE543,'Euro Qual stats'!$A$1:$A$2071,0),MATCH(Players!AF$2,'Euro Qual stats'!$A$1:$L$1,0)),0)</f>
        <v>3</v>
      </c>
      <c r="AG543" s="73">
        <f>IFERROR(INDEX('Euro Qual stats'!$A$1:$L$2071,MATCH(Players!$AE543,'Euro Qual stats'!$A$1:$A$2071,0),MATCH(Players!AG$2,'Euro Qual stats'!$A$1:$L$1,0)),0)</f>
        <v>0</v>
      </c>
      <c r="AH543" s="73">
        <f>IFERROR(INDEX('Euro Qual stats'!$A$1:$L$2071,MATCH(Players!$AE543,'Euro Qual stats'!$A$1:$A$2071,0),MATCH(Players!AH$2,'Euro Qual stats'!$A$1:$L$1,0)),0)</f>
        <v>0</v>
      </c>
      <c r="AI543" s="73">
        <f>IFERROR(INDEX('Euro Qual stats'!$A$1:$L$2071,MATCH(Players!$AE543,'Euro Qual stats'!$A$1:$A$2071,0),MATCH(Players!AI$2,'Euro Qual stats'!$A$1:$L$1,0)),0)</f>
        <v>0</v>
      </c>
      <c r="AJ543" s="93">
        <f>(12-AF543)/12*INDEX(BV$9:BV$12,MATCH($AB543,$BU$9:$BU$12,0))+AF543/12*AG543</f>
        <v>0.12651832460732984</v>
      </c>
      <c r="AK543" s="93">
        <f>(12-AG543)/12*INDEX(BW$9:BW$12,MATCH($AB543,$BU$9:$BU$12,0))+AG543/12*AH543</f>
        <v>0.22340314136125652</v>
      </c>
      <c r="AL543" s="93">
        <f>(12-AH543)/12*INDEX(BX$9:BX$12,MATCH($AB543,$BU$9:$BU$12,0))+AH543/12*AI543</f>
        <v>0.23942408376963353</v>
      </c>
      <c r="AM543" s="93">
        <f>IF($BC543=1,AJ543/SUMIFS(AJ$3:AJ$623,$BC$3:$BC$623,1,$G$3:$G$623,$G543),0)</f>
        <v>0</v>
      </c>
      <c r="AN543" s="93">
        <f>IF($BC543=1,AK543/SUMIFS(AK$3:AK$623,$BC$3:$BC$623,1,$G$3:$G$623,$G543),0)</f>
        <v>0</v>
      </c>
      <c r="AO543" s="93">
        <f>IF($BC543=1,AL543/SUMIFS(AL$3:AL$623,$BC$3:$BC$623,1,$G$3:$G$623,$G543),0)</f>
        <v>0</v>
      </c>
      <c r="AP543" s="2">
        <f>IFERROR(R543/$V543*90,"")</f>
        <v>2.9411764705882353E-2</v>
      </c>
      <c r="AQ543" s="2">
        <f>IFERROR(S543/$V543*90,"")</f>
        <v>2.9411764705882353E-2</v>
      </c>
      <c r="AR543" s="2">
        <f>IFERROR(W543/$V543*90,"")</f>
        <v>0.11764705882352941</v>
      </c>
      <c r="AS543" s="2">
        <f>IFERROR(X543/$V543*90,"")</f>
        <v>0.14705882352941177</v>
      </c>
      <c r="AT543" s="2">
        <f>IFERROR(Y543/$V543*90,"")</f>
        <v>0</v>
      </c>
      <c r="AU543" s="2">
        <f>IF(AP543="",INDEX(BV$4:BV$7,MATCH(O543,$BU$4:$BU$7,0)),AP543)</f>
        <v>2.9411764705882353E-2</v>
      </c>
      <c r="AV543" s="2">
        <f>IF(AQ543="",INDEX(BW$4:BW$7,MATCH($O543,$BU$4:$BU$7,0)),AQ543)</f>
        <v>2.9411764705882353E-2</v>
      </c>
      <c r="AW543" s="2">
        <f t="shared" si="96"/>
        <v>0.11764705882352941</v>
      </c>
      <c r="AX543" s="2">
        <f t="shared" si="97"/>
        <v>0.14705882352941177</v>
      </c>
      <c r="AY543" s="2">
        <f t="shared" si="98"/>
        <v>0</v>
      </c>
      <c r="AZ543" s="2">
        <f>AU543*0.5+AK543*0.5</f>
        <v>0.12640745303356943</v>
      </c>
      <c r="BA543" s="2">
        <f>AV543*0.5+AJ543*0.5</f>
        <v>7.79650446566061E-2</v>
      </c>
      <c r="BB543" s="2">
        <f t="shared" si="99"/>
        <v>7.3529411764705885E-2</v>
      </c>
      <c r="BC543">
        <f>IF(I543="expected",1,0)</f>
        <v>0</v>
      </c>
      <c r="BD543" s="78">
        <f>IF(BC543=1,AZ543/SUMIFS(AZ$3:AZ$623,$BC$3:$BC$623,1,$G$3:$G$623,$G543),0)</f>
        <v>0</v>
      </c>
      <c r="BE543" s="78">
        <f>IF(BC543=1,BA543/SUMIFS(BA$3:BA$623,$BC$3:$BC$623,1,$G$3:$G$623,$G543),0)</f>
        <v>0</v>
      </c>
      <c r="BF543" s="78">
        <f t="shared" si="100"/>
        <v>0</v>
      </c>
      <c r="BG543" s="2">
        <f t="shared" si="101"/>
        <v>7.3529411764705885E-2</v>
      </c>
      <c r="BH543" s="2">
        <f t="shared" si="102"/>
        <v>0</v>
      </c>
      <c r="BI543" s="2">
        <f t="shared" si="103"/>
        <v>0</v>
      </c>
      <c r="BJ543" s="2">
        <f t="shared" si="104"/>
        <v>0</v>
      </c>
      <c r="BK543" s="2">
        <f t="shared" si="105"/>
        <v>0</v>
      </c>
      <c r="BL543" s="2">
        <f t="shared" si="106"/>
        <v>7.3529411764705885E-2</v>
      </c>
      <c r="BM543" s="2">
        <f t="shared" si="107"/>
        <v>0</v>
      </c>
      <c r="BN543" s="2">
        <f>BI543/SUMIFS(BI$3:BI$623,$BC$3:$BC$623,1,$G$3:$G$623,$G543)</f>
        <v>0</v>
      </c>
      <c r="BO543" s="2">
        <f>BJ543/SUMIFS(BJ$3:BJ$623,$BC$3:$BC$623,1,$G$3:$G$623,$G543)</f>
        <v>0</v>
      </c>
      <c r="BP543" s="2">
        <f>BK543/SUMIFS(BK$3:BK$623,$BC$3:$BC$623,1,$G$3:$G$623,$G543)</f>
        <v>0</v>
      </c>
      <c r="BQ543" s="2">
        <f>BL543</f>
        <v>7.3529411764705885E-2</v>
      </c>
      <c r="BR543" s="2">
        <f>BM543</f>
        <v>0</v>
      </c>
    </row>
    <row r="544" spans="1:70" hidden="1">
      <c r="A544" s="74">
        <v>0</v>
      </c>
      <c r="B544" s="73">
        <v>204855</v>
      </c>
      <c r="C544" s="73" t="s">
        <v>3136</v>
      </c>
      <c r="D544" s="73" t="s">
        <v>2156</v>
      </c>
      <c r="E544" s="73" t="s">
        <v>3137</v>
      </c>
      <c r="F544" s="73">
        <v>18721</v>
      </c>
      <c r="G544" s="73" t="s">
        <v>865</v>
      </c>
      <c r="H544" s="73" t="s">
        <v>921</v>
      </c>
      <c r="I544" s="73" t="s">
        <v>1012</v>
      </c>
      <c r="J544" s="73">
        <v>0</v>
      </c>
      <c r="K544" s="73">
        <v>4</v>
      </c>
      <c r="L544" s="73">
        <v>0</v>
      </c>
      <c r="M544" s="73">
        <v>0</v>
      </c>
      <c r="N544" s="73">
        <v>0</v>
      </c>
      <c r="O544" s="73" t="s">
        <v>994</v>
      </c>
      <c r="P544" s="73" t="s">
        <v>3138</v>
      </c>
      <c r="Q544" s="73" t="s">
        <v>3139</v>
      </c>
      <c r="R544" s="73">
        <v>2</v>
      </c>
      <c r="S544" s="73">
        <v>2</v>
      </c>
      <c r="T544" s="73">
        <v>0</v>
      </c>
      <c r="U544" s="73">
        <v>0</v>
      </c>
      <c r="V544" s="73">
        <v>1362</v>
      </c>
      <c r="W544" s="73">
        <v>8</v>
      </c>
      <c r="X544" s="73">
        <v>3</v>
      </c>
      <c r="Y544" s="73">
        <v>0</v>
      </c>
      <c r="Z544" s="73" t="s">
        <v>865</v>
      </c>
      <c r="AA544" s="73" t="s">
        <v>691</v>
      </c>
      <c r="AB544" s="73" t="str">
        <f>IF(AA544&lt;&gt;"",INDEX(Lookup!$N$2:$N$5,MATCH(Players!AA544,Lookup!$P$2:$P$5,0)),INDEX(Lookup!$N$2:$N$5,MATCH(Players!O544,Lookup!$O$2:$O$5,0)))</f>
        <v>Midfield</v>
      </c>
      <c r="AC544" s="73">
        <v>2500000</v>
      </c>
      <c r="AD544" s="73" t="s">
        <v>788</v>
      </c>
      <c r="AE544" s="73" t="str">
        <f>INDEX('Translate table'!$H$2:$H$622,MATCH(Players!P544,'Translate table'!$G$2:$G$622,0))</f>
        <v>Joseff Morrell</v>
      </c>
      <c r="AF544" s="73">
        <f>IFERROR(INDEX('Euro Qual stats'!$A$1:$L$2071,MATCH(Players!$AE544,'Euro Qual stats'!$A$1:$A$2071,0),MATCH(Players!AF$2,'Euro Qual stats'!$A$1:$L$1,0)),0)</f>
        <v>4</v>
      </c>
      <c r="AG544" s="73">
        <f>IFERROR(INDEX('Euro Qual stats'!$A$1:$L$2071,MATCH(Players!$AE544,'Euro Qual stats'!$A$1:$A$2071,0),MATCH(Players!AG$2,'Euro Qual stats'!$A$1:$L$1,0)),0)</f>
        <v>0</v>
      </c>
      <c r="AH544" s="73">
        <f>IFERROR(INDEX('Euro Qual stats'!$A$1:$L$2071,MATCH(Players!$AE544,'Euro Qual stats'!$A$1:$A$2071,0),MATCH(Players!AH$2,'Euro Qual stats'!$A$1:$L$1,0)),0)</f>
        <v>0</v>
      </c>
      <c r="AI544" s="73">
        <f>IFERROR(INDEX('Euro Qual stats'!$A$1:$L$2071,MATCH(Players!$AE544,'Euro Qual stats'!$A$1:$A$2071,0),MATCH(Players!AI$2,'Euro Qual stats'!$A$1:$L$1,0)),0)</f>
        <v>0.42</v>
      </c>
      <c r="AJ544" s="93">
        <f>(12-AF544)/12*INDEX(BV$9:BV$12,MATCH($AB544,$BU$9:$BU$12,0))+AF544/12*AG544</f>
        <v>0.11246073298429318</v>
      </c>
      <c r="AK544" s="93">
        <f>(12-AG544)/12*INDEX(BW$9:BW$12,MATCH($AB544,$BU$9:$BU$12,0))+AG544/12*AH544</f>
        <v>0.22340314136125652</v>
      </c>
      <c r="AL544" s="93">
        <f>(12-AH544)/12*INDEX(BX$9:BX$12,MATCH($AB544,$BU$9:$BU$12,0))+AH544/12*AI544</f>
        <v>0.23942408376963353</v>
      </c>
      <c r="AM544" s="93">
        <f>IF($BC544=1,AJ544/SUMIFS(AJ$3:AJ$623,$BC$3:$BC$623,1,$G$3:$G$623,$G544),0)</f>
        <v>0</v>
      </c>
      <c r="AN544" s="93">
        <f>IF($BC544=1,AK544/SUMIFS(AK$3:AK$623,$BC$3:$BC$623,1,$G$3:$G$623,$G544),0)</f>
        <v>0</v>
      </c>
      <c r="AO544" s="93">
        <f>IF($BC544=1,AL544/SUMIFS(AL$3:AL$623,$BC$3:$BC$623,1,$G$3:$G$623,$G544),0)</f>
        <v>0</v>
      </c>
      <c r="AP544" s="2">
        <f>IFERROR(R544/$V544*90,"")</f>
        <v>0.13215859030837004</v>
      </c>
      <c r="AQ544" s="2">
        <f>IFERROR(S544/$V544*90,"")</f>
        <v>0.13215859030837004</v>
      </c>
      <c r="AR544" s="2">
        <f>IFERROR(W544/$V544*90,"")</f>
        <v>0.52863436123348018</v>
      </c>
      <c r="AS544" s="2">
        <f>IFERROR(X544/$V544*90,"")</f>
        <v>0.19823788546255508</v>
      </c>
      <c r="AT544" s="2">
        <f>IFERROR(Y544/$V544*90,"")</f>
        <v>0</v>
      </c>
      <c r="AU544" s="2">
        <f>IF(AP544="",INDEX(BV$4:BV$7,MATCH(O544,$BU$4:$BU$7,0)),AP544)</f>
        <v>0.13215859030837004</v>
      </c>
      <c r="AV544" s="2">
        <f>IF(AQ544="",INDEX(BW$4:BW$7,MATCH($O544,$BU$4:$BU$7,0)),AQ544)</f>
        <v>0.13215859030837004</v>
      </c>
      <c r="AW544" s="2">
        <f t="shared" si="96"/>
        <v>0.52863436123348018</v>
      </c>
      <c r="AX544" s="2">
        <f t="shared" si="97"/>
        <v>0.19823788546255508</v>
      </c>
      <c r="AY544" s="2">
        <f t="shared" si="98"/>
        <v>0</v>
      </c>
      <c r="AZ544" s="2">
        <f>AU544*0.5+AK544*0.5</f>
        <v>0.17778086583481328</v>
      </c>
      <c r="BA544" s="2">
        <f>AV544*0.5+AJ544*0.5</f>
        <v>0.12230966164633161</v>
      </c>
      <c r="BB544" s="2">
        <f t="shared" si="99"/>
        <v>0.30911894273127755</v>
      </c>
      <c r="BC544">
        <f>IF(I544="expected",1,0)</f>
        <v>0</v>
      </c>
      <c r="BD544" s="78">
        <f>IF(BC544=1,AZ544/SUMIFS(AZ$3:AZ$623,$BC$3:$BC$623,1,$G$3:$G$623,$G544),0)</f>
        <v>0</v>
      </c>
      <c r="BE544" s="78">
        <f>IF(BC544=1,BA544/SUMIFS(BA$3:BA$623,$BC$3:$BC$623,1,$G$3:$G$623,$G544),0)</f>
        <v>0</v>
      </c>
      <c r="BF544" s="78">
        <f t="shared" si="100"/>
        <v>0</v>
      </c>
      <c r="BG544" s="2">
        <f t="shared" si="101"/>
        <v>0.30911894273127755</v>
      </c>
      <c r="BH544" s="2">
        <f t="shared" si="102"/>
        <v>0</v>
      </c>
      <c r="BI544" s="2">
        <f t="shared" si="103"/>
        <v>0</v>
      </c>
      <c r="BJ544" s="2">
        <f t="shared" si="104"/>
        <v>0</v>
      </c>
      <c r="BK544" s="2">
        <f t="shared" si="105"/>
        <v>0</v>
      </c>
      <c r="BL544" s="2">
        <f t="shared" si="106"/>
        <v>0.30911894273127755</v>
      </c>
      <c r="BM544" s="2">
        <f t="shared" si="107"/>
        <v>0</v>
      </c>
      <c r="BN544" s="2">
        <f>BI544/SUMIFS(BI$3:BI$623,$BC$3:$BC$623,1,$G$3:$G$623,$G544)</f>
        <v>0</v>
      </c>
      <c r="BO544" s="2">
        <f>BJ544/SUMIFS(BJ$3:BJ$623,$BC$3:$BC$623,1,$G$3:$G$623,$G544)</f>
        <v>0</v>
      </c>
      <c r="BP544" s="2">
        <f>BK544/SUMIFS(BK$3:BK$623,$BC$3:$BC$623,1,$G$3:$G$623,$G544)</f>
        <v>0</v>
      </c>
      <c r="BQ544" s="2">
        <f>BL544</f>
        <v>0.30911894273127755</v>
      </c>
      <c r="BR544" s="2">
        <f>BM544</f>
        <v>0</v>
      </c>
    </row>
    <row r="545" spans="1:70" hidden="1">
      <c r="A545" s="74">
        <v>0</v>
      </c>
      <c r="B545" s="73">
        <v>204815</v>
      </c>
      <c r="C545" s="73" t="s">
        <v>3140</v>
      </c>
      <c r="D545" s="73" t="s">
        <v>3141</v>
      </c>
      <c r="E545" s="73" t="s">
        <v>3142</v>
      </c>
      <c r="F545" s="73">
        <v>18564</v>
      </c>
      <c r="G545" s="73" t="s">
        <v>886</v>
      </c>
      <c r="H545" s="73" t="s">
        <v>919</v>
      </c>
      <c r="I545" s="73" t="s">
        <v>1012</v>
      </c>
      <c r="J545" s="73">
        <v>0</v>
      </c>
      <c r="K545" s="73">
        <v>4</v>
      </c>
      <c r="L545" s="73">
        <v>0</v>
      </c>
      <c r="M545" s="73">
        <v>0</v>
      </c>
      <c r="N545" s="73">
        <v>0</v>
      </c>
      <c r="O545" s="73" t="s">
        <v>1290</v>
      </c>
      <c r="P545" s="73" t="s">
        <v>3143</v>
      </c>
      <c r="Q545" s="73" t="s">
        <v>3144</v>
      </c>
      <c r="R545" s="73">
        <v>0</v>
      </c>
      <c r="S545" s="73">
        <v>0</v>
      </c>
      <c r="T545" s="73">
        <v>86</v>
      </c>
      <c r="U545" s="73">
        <v>7</v>
      </c>
      <c r="V545" s="73">
        <v>2370</v>
      </c>
      <c r="W545" s="73">
        <v>0</v>
      </c>
      <c r="X545" s="73">
        <v>1</v>
      </c>
      <c r="Y545" s="73">
        <v>0</v>
      </c>
      <c r="Z545" s="73" t="s">
        <v>1717</v>
      </c>
      <c r="AA545" s="73" t="s">
        <v>690</v>
      </c>
      <c r="AB545" s="73" t="str">
        <f>IF(AA545&lt;&gt;"",INDEX(Lookup!$N$2:$N$5,MATCH(Players!AA545,Lookup!$P$2:$P$5,0)),INDEX(Lookup!$N$2:$N$5,MATCH(Players!O545,Lookup!$O$2:$O$5,0)))</f>
        <v>Goalkeeper</v>
      </c>
      <c r="AC545" s="73">
        <v>3500000</v>
      </c>
      <c r="AD545" s="73" t="s">
        <v>788</v>
      </c>
      <c r="AE545" s="73" t="str">
        <f>INDEX('Translate table'!$H$2:$H$622,MATCH(Players!P545,'Translate table'!$G$2:$G$622,0))</f>
        <v>Karl-Johan Johnsson</v>
      </c>
      <c r="AF545" s="73">
        <f>IFERROR(INDEX('Euro Qual stats'!$A$1:$L$2071,MATCH(Players!$AE545,'Euro Qual stats'!$A$1:$A$2071,0),MATCH(Players!AF$2,'Euro Qual stats'!$A$1:$L$1,0)),0)</f>
        <v>0</v>
      </c>
      <c r="AG545" s="73">
        <f>IFERROR(INDEX('Euro Qual stats'!$A$1:$L$2071,MATCH(Players!$AE545,'Euro Qual stats'!$A$1:$A$2071,0),MATCH(Players!AG$2,'Euro Qual stats'!$A$1:$L$1,0)),0)</f>
        <v>0</v>
      </c>
      <c r="AH545" s="73">
        <f>IFERROR(INDEX('Euro Qual stats'!$A$1:$L$2071,MATCH(Players!$AE545,'Euro Qual stats'!$A$1:$A$2071,0),MATCH(Players!AH$2,'Euro Qual stats'!$A$1:$L$1,0)),0)</f>
        <v>0</v>
      </c>
      <c r="AI545" s="73">
        <f>IFERROR(INDEX('Euro Qual stats'!$A$1:$L$2071,MATCH(Players!$AE545,'Euro Qual stats'!$A$1:$A$2071,0),MATCH(Players!AI$2,'Euro Qual stats'!$A$1:$L$1,0)),0)</f>
        <v>0</v>
      </c>
      <c r="AJ545" s="93">
        <f>(12-AF545)/12*INDEX(BV$9:BV$12,MATCH($AB545,$BU$9:$BU$12,0))+AF545/12*AG545</f>
        <v>0</v>
      </c>
      <c r="AK545" s="93">
        <f>(12-AG545)/12*INDEX(BW$9:BW$12,MATCH($AB545,$BU$9:$BU$12,0))+AG545/12*AH545</f>
        <v>0</v>
      </c>
      <c r="AL545" s="93">
        <f>(12-AH545)/12*INDEX(BX$9:BX$12,MATCH($AB545,$BU$9:$BU$12,0))+AH545/12*AI545</f>
        <v>0</v>
      </c>
      <c r="AM545" s="93">
        <f>IF($BC545=1,AJ545/SUMIFS(AJ$3:AJ$623,$BC$3:$BC$623,1,$G$3:$G$623,$G545),0)</f>
        <v>0</v>
      </c>
      <c r="AN545" s="93">
        <f>IF($BC545=1,AK545/SUMIFS(AK$3:AK$623,$BC$3:$BC$623,1,$G$3:$G$623,$G545),0)</f>
        <v>0</v>
      </c>
      <c r="AO545" s="93">
        <f>IF($BC545=1,AL545/SUMIFS(AL$3:AL$623,$BC$3:$BC$623,1,$G$3:$G$623,$G545),0)</f>
        <v>0</v>
      </c>
      <c r="AP545" s="2">
        <f>IFERROR(R545/$V545*90,"")</f>
        <v>0</v>
      </c>
      <c r="AQ545" s="2">
        <f>IFERROR(S545/$V545*90,"")</f>
        <v>0</v>
      </c>
      <c r="AR545" s="2">
        <f>IFERROR(W545/$V545*90,"")</f>
        <v>0</v>
      </c>
      <c r="AS545" s="2">
        <f>IFERROR(X545/$V545*90,"")</f>
        <v>3.7974683544303799E-2</v>
      </c>
      <c r="AT545" s="2">
        <f>IFERROR(Y545/$V545*90,"")</f>
        <v>0</v>
      </c>
      <c r="AU545" s="2">
        <f>IF(AP545="",INDEX(BV$4:BV$7,MATCH(O545,$BU$4:$BU$7,0)),AP545)</f>
        <v>0</v>
      </c>
      <c r="AV545" s="2">
        <f>IF(AQ545="",INDEX(BW$4:BW$7,MATCH($O545,$BU$4:$BU$7,0)),AQ545)</f>
        <v>0</v>
      </c>
      <c r="AW545" s="2">
        <f t="shared" si="96"/>
        <v>0</v>
      </c>
      <c r="AX545" s="2">
        <f t="shared" si="97"/>
        <v>3.7974683544303799E-2</v>
      </c>
      <c r="AY545" s="2">
        <f t="shared" si="98"/>
        <v>0</v>
      </c>
      <c r="AZ545" s="2">
        <f>AU545*0.5+AK545*0.5</f>
        <v>0</v>
      </c>
      <c r="BA545" s="2">
        <f>AV545*0.5+AJ545*0.5</f>
        <v>0</v>
      </c>
      <c r="BB545" s="2">
        <f t="shared" si="99"/>
        <v>1.8987341772151899E-2</v>
      </c>
      <c r="BC545">
        <f>IF(I545="expected",1,0)</f>
        <v>0</v>
      </c>
      <c r="BD545" s="78">
        <f>IF(BC545=1,AZ545/SUMIFS(AZ$3:AZ$623,$BC$3:$BC$623,1,$G$3:$G$623,$G545),0)</f>
        <v>0</v>
      </c>
      <c r="BE545" s="78">
        <f>IF(BC545=1,BA545/SUMIFS(BA$3:BA$623,$BC$3:$BC$623,1,$G$3:$G$623,$G545),0)</f>
        <v>0</v>
      </c>
      <c r="BF545" s="78">
        <f t="shared" si="100"/>
        <v>0</v>
      </c>
      <c r="BG545" s="2">
        <f t="shared" si="101"/>
        <v>1.8987341772151899E-2</v>
      </c>
      <c r="BH545" s="2">
        <f t="shared" si="102"/>
        <v>0</v>
      </c>
      <c r="BI545" s="2">
        <f t="shared" si="103"/>
        <v>0</v>
      </c>
      <c r="BJ545" s="2">
        <f t="shared" si="104"/>
        <v>0</v>
      </c>
      <c r="BK545" s="2">
        <f t="shared" si="105"/>
        <v>0</v>
      </c>
      <c r="BL545" s="2">
        <f t="shared" si="106"/>
        <v>1.8987341772151899E-2</v>
      </c>
      <c r="BM545" s="2">
        <f t="shared" si="107"/>
        <v>0</v>
      </c>
      <c r="BN545" s="2">
        <f>BI545/SUMIFS(BI$3:BI$623,$BC$3:$BC$623,1,$G$3:$G$623,$G545)</f>
        <v>0</v>
      </c>
      <c r="BO545" s="2">
        <f>BJ545/SUMIFS(BJ$3:BJ$623,$BC$3:$BC$623,1,$G$3:$G$623,$G545)</f>
        <v>0</v>
      </c>
      <c r="BP545" s="2">
        <f>BK545/SUMIFS(BK$3:BK$623,$BC$3:$BC$623,1,$G$3:$G$623,$G545)</f>
        <v>0</v>
      </c>
      <c r="BQ545" s="2">
        <f>BL545</f>
        <v>1.8987341772151899E-2</v>
      </c>
      <c r="BR545" s="2">
        <f>BM545</f>
        <v>0</v>
      </c>
    </row>
    <row r="546" spans="1:70" hidden="1">
      <c r="A546" s="74">
        <v>0</v>
      </c>
      <c r="B546" s="73">
        <v>204799</v>
      </c>
      <c r="C546" s="73" t="s">
        <v>3145</v>
      </c>
      <c r="D546" s="73" t="s">
        <v>2641</v>
      </c>
      <c r="E546" s="73" t="s">
        <v>3146</v>
      </c>
      <c r="F546" s="73">
        <v>18564</v>
      </c>
      <c r="G546" s="73" t="s">
        <v>886</v>
      </c>
      <c r="H546" s="73" t="s">
        <v>919</v>
      </c>
      <c r="I546" s="73" t="s">
        <v>981</v>
      </c>
      <c r="J546" s="73">
        <v>0</v>
      </c>
      <c r="K546" s="73">
        <v>4</v>
      </c>
      <c r="L546" s="73">
        <v>0</v>
      </c>
      <c r="M546" s="73">
        <v>0</v>
      </c>
      <c r="N546" s="73">
        <v>0</v>
      </c>
      <c r="O546" s="73" t="s">
        <v>1290</v>
      </c>
      <c r="P546" s="73" t="s">
        <v>3147</v>
      </c>
      <c r="Q546" s="73" t="s">
        <v>3148</v>
      </c>
      <c r="R546" s="73">
        <v>0</v>
      </c>
      <c r="S546" s="73">
        <v>0</v>
      </c>
      <c r="T546" s="73">
        <v>0</v>
      </c>
      <c r="U546" s="73">
        <v>0</v>
      </c>
      <c r="V546" s="73">
        <v>0</v>
      </c>
      <c r="W546" s="73">
        <v>0</v>
      </c>
      <c r="X546" s="73">
        <v>0</v>
      </c>
      <c r="Y546" s="73">
        <v>0</v>
      </c>
      <c r="Z546" s="73" t="s">
        <v>1717</v>
      </c>
      <c r="AA546" s="73" t="s">
        <v>690</v>
      </c>
      <c r="AB546" s="73" t="str">
        <f>IF(AA546&lt;&gt;"",INDEX(Lookup!$N$2:$N$5,MATCH(Players!AA546,Lookup!$P$2:$P$5,0)),INDEX(Lookup!$N$2:$N$5,MATCH(Players!O546,Lookup!$O$2:$O$5,0)))</f>
        <v>Goalkeeper</v>
      </c>
      <c r="AC546" s="73">
        <v>4500000</v>
      </c>
      <c r="AD546" s="73" t="s">
        <v>788</v>
      </c>
      <c r="AE546" s="73" t="str">
        <f>INDEX('Translate table'!$H$2:$H$622,MATCH(Players!P546,'Translate table'!$G$2:$G$622,0))</f>
        <v>Kristoffer Nordfeldt</v>
      </c>
      <c r="AF546" s="73">
        <f>IFERROR(INDEX('Euro Qual stats'!$A$1:$L$2071,MATCH(Players!$AE546,'Euro Qual stats'!$A$1:$A$2071,0),MATCH(Players!AF$2,'Euro Qual stats'!$A$1:$L$1,0)),0)</f>
        <v>1</v>
      </c>
      <c r="AG546" s="73">
        <f>IFERROR(INDEX('Euro Qual stats'!$A$1:$L$2071,MATCH(Players!$AE546,'Euro Qual stats'!$A$1:$A$2071,0),MATCH(Players!AG$2,'Euro Qual stats'!$A$1:$L$1,0)),0)</f>
        <v>0</v>
      </c>
      <c r="AH546" s="73">
        <f>IFERROR(INDEX('Euro Qual stats'!$A$1:$L$2071,MATCH(Players!$AE546,'Euro Qual stats'!$A$1:$A$2071,0),MATCH(Players!AH$2,'Euro Qual stats'!$A$1:$L$1,0)),0)</f>
        <v>0</v>
      </c>
      <c r="AI546" s="73">
        <f>IFERROR(INDEX('Euro Qual stats'!$A$1:$L$2071,MATCH(Players!$AE546,'Euro Qual stats'!$A$1:$A$2071,0),MATCH(Players!AI$2,'Euro Qual stats'!$A$1:$L$1,0)),0)</f>
        <v>0</v>
      </c>
      <c r="AJ546" s="93">
        <f>(12-AF546)/12*INDEX(BV$9:BV$12,MATCH($AB546,$BU$9:$BU$12,0))+AF546/12*AG546</f>
        <v>0</v>
      </c>
      <c r="AK546" s="93">
        <f>(12-AG546)/12*INDEX(BW$9:BW$12,MATCH($AB546,$BU$9:$BU$12,0))+AG546/12*AH546</f>
        <v>0</v>
      </c>
      <c r="AL546" s="93">
        <f>(12-AH546)/12*INDEX(BX$9:BX$12,MATCH($AB546,$BU$9:$BU$12,0))+AH546/12*AI546</f>
        <v>0</v>
      </c>
      <c r="AM546" s="93">
        <f>IF($BC546=1,AJ546/SUMIFS(AJ$3:AJ$623,$BC$3:$BC$623,1,$G$3:$G$623,$G546),0)</f>
        <v>0</v>
      </c>
      <c r="AN546" s="93">
        <f>IF($BC546=1,AK546/SUMIFS(AK$3:AK$623,$BC$3:$BC$623,1,$G$3:$G$623,$G546),0)</f>
        <v>0</v>
      </c>
      <c r="AO546" s="93">
        <f>IF($BC546=1,AL546/SUMIFS(AL$3:AL$623,$BC$3:$BC$623,1,$G$3:$G$623,$G546),0)</f>
        <v>0</v>
      </c>
      <c r="AP546" s="2" t="str">
        <f>IFERROR(R546/$V546*90,"")</f>
        <v/>
      </c>
      <c r="AQ546" s="2" t="str">
        <f>IFERROR(S546/$V546*90,"")</f>
        <v/>
      </c>
      <c r="AR546" s="2" t="str">
        <f>IFERROR(W546/$V546*90,"")</f>
        <v/>
      </c>
      <c r="AS546" s="2" t="str">
        <f>IFERROR(X546/$V546*90,"")</f>
        <v/>
      </c>
      <c r="AT546" s="2" t="str">
        <f>IFERROR(Y546/$V546*90,"")</f>
        <v/>
      </c>
      <c r="AU546" s="2">
        <f>IF(AP546="",INDEX(BV$4:BV$7,MATCH(O546,$BU$4:$BU$7,0)),AP546)</f>
        <v>0</v>
      </c>
      <c r="AV546" s="2">
        <f>IF(AQ546="",INDEX(BW$4:BW$7,MATCH($O546,$BU$4:$BU$7,0)),AQ546)</f>
        <v>0</v>
      </c>
      <c r="AW546" s="2">
        <f t="shared" si="96"/>
        <v>0</v>
      </c>
      <c r="AX546" s="2">
        <f t="shared" si="97"/>
        <v>0</v>
      </c>
      <c r="AY546" s="2">
        <f t="shared" si="98"/>
        <v>0</v>
      </c>
      <c r="AZ546" s="2">
        <f>AU546*0.5+AK546*0.5</f>
        <v>0</v>
      </c>
      <c r="BA546" s="2">
        <f>AV546*0.5+AJ546*0.5</f>
        <v>0</v>
      </c>
      <c r="BB546" s="2">
        <f t="shared" si="99"/>
        <v>0</v>
      </c>
      <c r="BC546">
        <f>IF(I546="expected",1,0)</f>
        <v>1</v>
      </c>
      <c r="BD546" s="78">
        <f>IF(BC546=1,AZ546/SUMIFS(AZ$3:AZ$623,$BC$3:$BC$623,1,$G$3:$G$623,$G546),0)</f>
        <v>0</v>
      </c>
      <c r="BE546" s="78">
        <f>IF(BC546=1,BA546/SUMIFS(BA$3:BA$623,$BC$3:$BC$623,1,$G$3:$G$623,$G546),0)</f>
        <v>0</v>
      </c>
      <c r="BF546" s="78">
        <f t="shared" si="100"/>
        <v>0</v>
      </c>
      <c r="BG546" s="2">
        <f t="shared" si="101"/>
        <v>0</v>
      </c>
      <c r="BH546" s="2">
        <f t="shared" si="102"/>
        <v>0</v>
      </c>
      <c r="BI546" s="2">
        <f t="shared" si="103"/>
        <v>0</v>
      </c>
      <c r="BJ546" s="2">
        <f t="shared" si="104"/>
        <v>0</v>
      </c>
      <c r="BK546" s="2">
        <f t="shared" si="105"/>
        <v>0</v>
      </c>
      <c r="BL546" s="2">
        <f t="shared" si="106"/>
        <v>0</v>
      </c>
      <c r="BM546" s="2">
        <f t="shared" si="107"/>
        <v>0</v>
      </c>
      <c r="BN546" s="2">
        <f>BI546/SUMIFS(BI$3:BI$623,$BC$3:$BC$623,1,$G$3:$G$623,$G546)</f>
        <v>0</v>
      </c>
      <c r="BO546" s="2">
        <f>BJ546/SUMIFS(BJ$3:BJ$623,$BC$3:$BC$623,1,$G$3:$G$623,$G546)</f>
        <v>0</v>
      </c>
      <c r="BP546" s="2">
        <f>BK546/SUMIFS(BK$3:BK$623,$BC$3:$BC$623,1,$G$3:$G$623,$G546)</f>
        <v>0</v>
      </c>
      <c r="BQ546" s="2">
        <f>BL546</f>
        <v>0</v>
      </c>
      <c r="BR546" s="2">
        <f>BM546</f>
        <v>0</v>
      </c>
    </row>
    <row r="547" spans="1:70" hidden="1">
      <c r="A547" s="74">
        <v>0</v>
      </c>
      <c r="B547" s="73">
        <v>221504</v>
      </c>
      <c r="C547" s="73" t="s">
        <v>3149</v>
      </c>
      <c r="D547" s="73" t="s">
        <v>3150</v>
      </c>
      <c r="E547" s="73" t="s">
        <v>3151</v>
      </c>
      <c r="F547" s="73">
        <v>18564</v>
      </c>
      <c r="G547" s="73" t="s">
        <v>886</v>
      </c>
      <c r="H547" s="73" t="s">
        <v>919</v>
      </c>
      <c r="I547" s="73" t="s">
        <v>1012</v>
      </c>
      <c r="J547" s="73">
        <v>0</v>
      </c>
      <c r="K547" s="73">
        <v>4</v>
      </c>
      <c r="L547" s="73">
        <v>0</v>
      </c>
      <c r="M547" s="73">
        <v>0</v>
      </c>
      <c r="N547" s="73">
        <v>0</v>
      </c>
      <c r="O547" s="73" t="s">
        <v>994</v>
      </c>
      <c r="P547" s="73" t="s">
        <v>3152</v>
      </c>
      <c r="Q547" s="73" t="s">
        <v>3152</v>
      </c>
      <c r="R547" s="73">
        <v>1</v>
      </c>
      <c r="S547" s="73">
        <v>0</v>
      </c>
      <c r="T547" s="73">
        <v>0</v>
      </c>
      <c r="U547" s="73">
        <v>3</v>
      </c>
      <c r="V547" s="73">
        <v>1107</v>
      </c>
      <c r="W547" s="73">
        <v>3</v>
      </c>
      <c r="X547" s="73">
        <v>0</v>
      </c>
      <c r="Y547" s="73">
        <v>0</v>
      </c>
      <c r="Z547" s="73" t="s">
        <v>1717</v>
      </c>
      <c r="AA547" s="73" t="s">
        <v>691</v>
      </c>
      <c r="AB547" s="73" t="str">
        <f>IF(AA547&lt;&gt;"",INDEX(Lookup!$N$2:$N$5,MATCH(Players!AA547,Lookup!$P$2:$P$5,0)),INDEX(Lookup!$N$2:$N$5,MATCH(Players!O547,Lookup!$O$2:$O$5,0)))</f>
        <v>Midfield</v>
      </c>
      <c r="AC547" s="73">
        <v>2000000</v>
      </c>
      <c r="AD547" s="73" t="s">
        <v>789</v>
      </c>
      <c r="AE547" s="73" t="str">
        <f>INDEX('Translate table'!$H$2:$H$622,MATCH(Players!P547,'Translate table'!$G$2:$G$622,0))</f>
        <v>Gustav Svensson</v>
      </c>
      <c r="AF547" s="73">
        <f>IFERROR(INDEX('Euro Qual stats'!$A$1:$L$2071,MATCH(Players!$AE547,'Euro Qual stats'!$A$1:$A$2071,0),MATCH(Players!AF$2,'Euro Qual stats'!$A$1:$L$1,0)),0)</f>
        <v>7</v>
      </c>
      <c r="AG547" s="73">
        <f>IFERROR(INDEX('Euro Qual stats'!$A$1:$L$2071,MATCH(Players!$AE547,'Euro Qual stats'!$A$1:$A$2071,0),MATCH(Players!AG$2,'Euro Qual stats'!$A$1:$L$1,0)),0)</f>
        <v>0</v>
      </c>
      <c r="AH547" s="73">
        <f>IFERROR(INDEX('Euro Qual stats'!$A$1:$L$2071,MATCH(Players!$AE547,'Euro Qual stats'!$A$1:$A$2071,0),MATCH(Players!AH$2,'Euro Qual stats'!$A$1:$L$1,0)),0)</f>
        <v>0</v>
      </c>
      <c r="AI547" s="73">
        <f>IFERROR(INDEX('Euro Qual stats'!$A$1:$L$2071,MATCH(Players!$AE547,'Euro Qual stats'!$A$1:$A$2071,0),MATCH(Players!AI$2,'Euro Qual stats'!$A$1:$L$1,0)),0)</f>
        <v>0.68</v>
      </c>
      <c r="AJ547" s="93">
        <f>(12-AF547)/12*INDEX(BV$9:BV$12,MATCH($AB547,$BU$9:$BU$12,0))+AF547/12*AG547</f>
        <v>7.0287958115183249E-2</v>
      </c>
      <c r="AK547" s="93">
        <f>(12-AG547)/12*INDEX(BW$9:BW$12,MATCH($AB547,$BU$9:$BU$12,0))+AG547/12*AH547</f>
        <v>0.22340314136125652</v>
      </c>
      <c r="AL547" s="93">
        <f>(12-AH547)/12*INDEX(BX$9:BX$12,MATCH($AB547,$BU$9:$BU$12,0))+AH547/12*AI547</f>
        <v>0.23942408376963353</v>
      </c>
      <c r="AM547" s="93">
        <f>IF($BC547=1,AJ547/SUMIFS(AJ$3:AJ$623,$BC$3:$BC$623,1,$G$3:$G$623,$G547),0)</f>
        <v>0</v>
      </c>
      <c r="AN547" s="93">
        <f>IF($BC547=1,AK547/SUMIFS(AK$3:AK$623,$BC$3:$BC$623,1,$G$3:$G$623,$G547),0)</f>
        <v>0</v>
      </c>
      <c r="AO547" s="93">
        <f>IF($BC547=1,AL547/SUMIFS(AL$3:AL$623,$BC$3:$BC$623,1,$G$3:$G$623,$G547),0)</f>
        <v>0</v>
      </c>
      <c r="AP547" s="2">
        <f>IFERROR(R547/$V547*90,"")</f>
        <v>8.1300813008130079E-2</v>
      </c>
      <c r="AQ547" s="2">
        <f>IFERROR(S547/$V547*90,"")</f>
        <v>0</v>
      </c>
      <c r="AR547" s="2">
        <f>IFERROR(W547/$V547*90,"")</f>
        <v>0.24390243902439024</v>
      </c>
      <c r="AS547" s="2">
        <f>IFERROR(X547/$V547*90,"")</f>
        <v>0</v>
      </c>
      <c r="AT547" s="2">
        <f>IFERROR(Y547/$V547*90,"")</f>
        <v>0</v>
      </c>
      <c r="AU547" s="2">
        <f>IF(AP547="",INDEX(BV$4:BV$7,MATCH(O547,$BU$4:$BU$7,0)),AP547)</f>
        <v>8.1300813008130079E-2</v>
      </c>
      <c r="AV547" s="2">
        <f>IF(AQ547="",INDEX(BW$4:BW$7,MATCH($O547,$BU$4:$BU$7,0)),AQ547)</f>
        <v>0</v>
      </c>
      <c r="AW547" s="2">
        <f t="shared" si="96"/>
        <v>0.24390243902439024</v>
      </c>
      <c r="AX547" s="2">
        <f t="shared" si="97"/>
        <v>0</v>
      </c>
      <c r="AY547" s="2">
        <f t="shared" si="98"/>
        <v>0</v>
      </c>
      <c r="AZ547" s="2">
        <f>AU547*0.5+AK547*0.5</f>
        <v>0.15235197718469329</v>
      </c>
      <c r="BA547" s="2">
        <f>AV547*0.5+AJ547*0.5</f>
        <v>3.5143979057591625E-2</v>
      </c>
      <c r="BB547" s="2">
        <f t="shared" si="99"/>
        <v>0.34</v>
      </c>
      <c r="BC547">
        <f>IF(I547="expected",1,0)</f>
        <v>0</v>
      </c>
      <c r="BD547" s="78">
        <f>IF(BC547=1,AZ547/SUMIFS(AZ$3:AZ$623,$BC$3:$BC$623,1,$G$3:$G$623,$G547),0)</f>
        <v>0</v>
      </c>
      <c r="BE547" s="78">
        <f>IF(BC547=1,BA547/SUMIFS(BA$3:BA$623,$BC$3:$BC$623,1,$G$3:$G$623,$G547),0)</f>
        <v>0</v>
      </c>
      <c r="BF547" s="78">
        <f t="shared" si="100"/>
        <v>0</v>
      </c>
      <c r="BG547" s="2">
        <f t="shared" si="101"/>
        <v>0.34</v>
      </c>
      <c r="BH547" s="2">
        <f t="shared" si="102"/>
        <v>0</v>
      </c>
      <c r="BI547" s="2">
        <f t="shared" si="103"/>
        <v>0</v>
      </c>
      <c r="BJ547" s="2">
        <f t="shared" si="104"/>
        <v>0</v>
      </c>
      <c r="BK547" s="2">
        <f t="shared" si="105"/>
        <v>0</v>
      </c>
      <c r="BL547" s="2">
        <f t="shared" si="106"/>
        <v>0.34</v>
      </c>
      <c r="BM547" s="2">
        <f t="shared" si="107"/>
        <v>0</v>
      </c>
      <c r="BN547" s="2">
        <f>BI547/SUMIFS(BI$3:BI$623,$BC$3:$BC$623,1,$G$3:$G$623,$G547)</f>
        <v>0</v>
      </c>
      <c r="BO547" s="2">
        <f>BJ547/SUMIFS(BJ$3:BJ$623,$BC$3:$BC$623,1,$G$3:$G$623,$G547)</f>
        <v>0</v>
      </c>
      <c r="BP547" s="2">
        <f>BK547/SUMIFS(BK$3:BK$623,$BC$3:$BC$623,1,$G$3:$G$623,$G547)</f>
        <v>0</v>
      </c>
      <c r="BQ547" s="2">
        <f>BL547</f>
        <v>0.34</v>
      </c>
      <c r="BR547" s="2">
        <f>BM547</f>
        <v>0</v>
      </c>
    </row>
    <row r="548" spans="1:70" hidden="1">
      <c r="A548" s="74">
        <v>0</v>
      </c>
      <c r="B548" s="73">
        <v>204814</v>
      </c>
      <c r="C548" s="73" t="s">
        <v>3153</v>
      </c>
      <c r="D548" s="73" t="s">
        <v>3154</v>
      </c>
      <c r="E548" s="73" t="s">
        <v>3155</v>
      </c>
      <c r="F548" s="73">
        <v>18564</v>
      </c>
      <c r="G548" s="73" t="s">
        <v>886</v>
      </c>
      <c r="H548" s="73" t="s">
        <v>919</v>
      </c>
      <c r="I548" s="73" t="s">
        <v>1012</v>
      </c>
      <c r="J548" s="73">
        <v>0</v>
      </c>
      <c r="K548" s="73">
        <v>4</v>
      </c>
      <c r="L548" s="73">
        <v>0</v>
      </c>
      <c r="M548" s="73">
        <v>0</v>
      </c>
      <c r="N548" s="73">
        <v>0</v>
      </c>
      <c r="O548" s="73" t="s">
        <v>994</v>
      </c>
      <c r="P548" s="73" t="s">
        <v>3156</v>
      </c>
      <c r="Q548" s="73" t="s">
        <v>3156</v>
      </c>
      <c r="R548" s="73">
        <v>2</v>
      </c>
      <c r="S548" s="73">
        <v>1</v>
      </c>
      <c r="T548" s="73">
        <v>0</v>
      </c>
      <c r="U548" s="73">
        <v>2</v>
      </c>
      <c r="V548" s="73">
        <v>2302</v>
      </c>
      <c r="W548" s="73">
        <v>3</v>
      </c>
      <c r="X548" s="73">
        <v>9</v>
      </c>
      <c r="Y548" s="73">
        <v>0</v>
      </c>
      <c r="Z548" s="73" t="s">
        <v>1717</v>
      </c>
      <c r="AA548" s="73" t="s">
        <v>691</v>
      </c>
      <c r="AB548" s="73" t="str">
        <f>IF(AA548&lt;&gt;"",INDEX(Lookup!$N$2:$N$5,MATCH(Players!AA548,Lookup!$P$2:$P$5,0)),INDEX(Lookup!$N$2:$N$5,MATCH(Players!O548,Lookup!$O$2:$O$5,0)))</f>
        <v>Midfield</v>
      </c>
      <c r="AC548" s="73">
        <v>3000000</v>
      </c>
      <c r="AD548" s="73" t="s">
        <v>789</v>
      </c>
      <c r="AE548" s="73" t="str">
        <f>INDEX('Translate table'!$H$2:$H$622,MATCH(Players!P548,'Translate table'!$G$2:$G$622,0))</f>
        <v>Albin Ekdal</v>
      </c>
      <c r="AF548" s="73">
        <f>IFERROR(INDEX('Euro Qual stats'!$A$1:$L$2071,MATCH(Players!$AE548,'Euro Qual stats'!$A$1:$A$2071,0),MATCH(Players!AF$2,'Euro Qual stats'!$A$1:$L$1,0)),0)</f>
        <v>8</v>
      </c>
      <c r="AG548" s="73">
        <f>IFERROR(INDEX('Euro Qual stats'!$A$1:$L$2071,MATCH(Players!$AE548,'Euro Qual stats'!$A$1:$A$2071,0),MATCH(Players!AG$2,'Euro Qual stats'!$A$1:$L$1,0)),0)</f>
        <v>0.15</v>
      </c>
      <c r="AH548" s="73">
        <f>IFERROR(INDEX('Euro Qual stats'!$A$1:$L$2071,MATCH(Players!$AE548,'Euro Qual stats'!$A$1:$A$2071,0),MATCH(Players!AH$2,'Euro Qual stats'!$A$1:$L$1,0)),0)</f>
        <v>0</v>
      </c>
      <c r="AI548" s="73">
        <f>IFERROR(INDEX('Euro Qual stats'!$A$1:$L$2071,MATCH(Players!$AE548,'Euro Qual stats'!$A$1:$A$2071,0),MATCH(Players!AI$2,'Euro Qual stats'!$A$1:$L$1,0)),0)</f>
        <v>0.15</v>
      </c>
      <c r="AJ548" s="93">
        <f>(12-AF548)/12*INDEX(BV$9:BV$12,MATCH($AB548,$BU$9:$BU$12,0))+AF548/12*AG548</f>
        <v>0.15623036649214658</v>
      </c>
      <c r="AK548" s="93">
        <f>(12-AG548)/12*INDEX(BW$9:BW$12,MATCH($AB548,$BU$9:$BU$12,0))+AG548/12*AH548</f>
        <v>0.2206106020942408</v>
      </c>
      <c r="AL548" s="93">
        <f>(12-AH548)/12*INDEX(BX$9:BX$12,MATCH($AB548,$BU$9:$BU$12,0))+AH548/12*AI548</f>
        <v>0.23942408376963353</v>
      </c>
      <c r="AM548" s="93">
        <f>IF($BC548=1,AJ548/SUMIFS(AJ$3:AJ$623,$BC$3:$BC$623,1,$G$3:$G$623,$G548),0)</f>
        <v>0</v>
      </c>
      <c r="AN548" s="93">
        <f>IF($BC548=1,AK548/SUMIFS(AK$3:AK$623,$BC$3:$BC$623,1,$G$3:$G$623,$G548),0)</f>
        <v>0</v>
      </c>
      <c r="AO548" s="93">
        <f>IF($BC548=1,AL548/SUMIFS(AL$3:AL$623,$BC$3:$BC$623,1,$G$3:$G$623,$G548),0)</f>
        <v>0</v>
      </c>
      <c r="AP548" s="2">
        <f>IFERROR(R548/$V548*90,"")</f>
        <v>7.8192875760208516E-2</v>
      </c>
      <c r="AQ548" s="2">
        <f>IFERROR(S548/$V548*90,"")</f>
        <v>3.9096437880104258E-2</v>
      </c>
      <c r="AR548" s="2">
        <f>IFERROR(W548/$V548*90,"")</f>
        <v>0.11728931364031278</v>
      </c>
      <c r="AS548" s="2">
        <f>IFERROR(X548/$V548*90,"")</f>
        <v>0.35186794092093832</v>
      </c>
      <c r="AT548" s="2">
        <f>IFERROR(Y548/$V548*90,"")</f>
        <v>0</v>
      </c>
      <c r="AU548" s="2">
        <f>IF(AP548="",INDEX(BV$4:BV$7,MATCH(O548,$BU$4:$BU$7,0)),AP548)</f>
        <v>7.8192875760208516E-2</v>
      </c>
      <c r="AV548" s="2">
        <f>IF(AQ548="",INDEX(BW$4:BW$7,MATCH($O548,$BU$4:$BU$7,0)),AQ548)</f>
        <v>3.9096437880104258E-2</v>
      </c>
      <c r="AW548" s="2">
        <f t="shared" si="96"/>
        <v>0.11728931364031278</v>
      </c>
      <c r="AX548" s="2">
        <f t="shared" si="97"/>
        <v>0.35186794092093832</v>
      </c>
      <c r="AY548" s="2">
        <f t="shared" si="98"/>
        <v>0</v>
      </c>
      <c r="AZ548" s="2">
        <f>AU548*0.5+AK548*0.5</f>
        <v>0.14940173892722466</v>
      </c>
      <c r="BA548" s="2">
        <f>AV548*0.5+AJ548*0.5</f>
        <v>9.7663402186125417E-2</v>
      </c>
      <c r="BB548" s="2">
        <f t="shared" si="99"/>
        <v>0.25093397046046917</v>
      </c>
      <c r="BC548">
        <f>IF(I548="expected",1,0)</f>
        <v>0</v>
      </c>
      <c r="BD548" s="78">
        <f>IF(BC548=1,AZ548/SUMIFS(AZ$3:AZ$623,$BC$3:$BC$623,1,$G$3:$G$623,$G548),0)</f>
        <v>0</v>
      </c>
      <c r="BE548" s="78">
        <f>IF(BC548=1,BA548/SUMIFS(BA$3:BA$623,$BC$3:$BC$623,1,$G$3:$G$623,$G548),0)</f>
        <v>0</v>
      </c>
      <c r="BF548" s="78">
        <f t="shared" si="100"/>
        <v>0</v>
      </c>
      <c r="BG548" s="2">
        <f t="shared" si="101"/>
        <v>0.25093397046046917</v>
      </c>
      <c r="BH548" s="2">
        <f t="shared" si="102"/>
        <v>0</v>
      </c>
      <c r="BI548" s="2">
        <f t="shared" si="103"/>
        <v>0</v>
      </c>
      <c r="BJ548" s="2">
        <f t="shared" si="104"/>
        <v>0</v>
      </c>
      <c r="BK548" s="2">
        <f t="shared" si="105"/>
        <v>0</v>
      </c>
      <c r="BL548" s="2">
        <f t="shared" si="106"/>
        <v>0.25093397046046917</v>
      </c>
      <c r="BM548" s="2">
        <f t="shared" si="107"/>
        <v>0</v>
      </c>
      <c r="BN548" s="2">
        <f>BI548/SUMIFS(BI$3:BI$623,$BC$3:$BC$623,1,$G$3:$G$623,$G548)</f>
        <v>0</v>
      </c>
      <c r="BO548" s="2">
        <f>BJ548/SUMIFS(BJ$3:BJ$623,$BC$3:$BC$623,1,$G$3:$G$623,$G548)</f>
        <v>0</v>
      </c>
      <c r="BP548" s="2">
        <f>BK548/SUMIFS(BK$3:BK$623,$BC$3:$BC$623,1,$G$3:$G$623,$G548)</f>
        <v>0</v>
      </c>
      <c r="BQ548" s="2">
        <f>BL548</f>
        <v>0.25093397046046917</v>
      </c>
      <c r="BR548" s="2">
        <f>BM548</f>
        <v>0</v>
      </c>
    </row>
    <row r="549" spans="1:70" hidden="1">
      <c r="A549" s="74">
        <v>0</v>
      </c>
      <c r="B549" s="73">
        <v>204829</v>
      </c>
      <c r="C549" s="73" t="s">
        <v>3157</v>
      </c>
      <c r="D549" s="73" t="s">
        <v>2662</v>
      </c>
      <c r="E549" s="73" t="s">
        <v>3158</v>
      </c>
      <c r="F549" s="73">
        <v>18699</v>
      </c>
      <c r="G549" s="73" t="s">
        <v>888</v>
      </c>
      <c r="H549" s="73" t="s">
        <v>941</v>
      </c>
      <c r="I549" s="73" t="s">
        <v>1012</v>
      </c>
      <c r="J549" s="73">
        <v>0</v>
      </c>
      <c r="K549" s="73">
        <v>4</v>
      </c>
      <c r="L549" s="73">
        <v>0</v>
      </c>
      <c r="M549" s="73">
        <v>0</v>
      </c>
      <c r="N549" s="73">
        <v>0</v>
      </c>
      <c r="O549" s="73" t="s">
        <v>1290</v>
      </c>
      <c r="P549" s="73" t="s">
        <v>3159</v>
      </c>
      <c r="Q549" s="73" t="s">
        <v>3159</v>
      </c>
      <c r="R549" s="73">
        <v>0</v>
      </c>
      <c r="S549" s="73">
        <v>0</v>
      </c>
      <c r="T549" s="73">
        <v>103</v>
      </c>
      <c r="U549" s="73">
        <v>4</v>
      </c>
      <c r="V549" s="73">
        <v>2520</v>
      </c>
      <c r="W549" s="73">
        <v>0</v>
      </c>
      <c r="X549" s="73">
        <v>1</v>
      </c>
      <c r="Y549" s="73">
        <v>0</v>
      </c>
      <c r="Z549" s="73" t="s">
        <v>1083</v>
      </c>
      <c r="AA549" s="73" t="s">
        <v>690</v>
      </c>
      <c r="AB549" s="73" t="str">
        <f>IF(AA549&lt;&gt;"",INDEX(Lookup!$N$2:$N$5,MATCH(Players!AA549,Lookup!$P$2:$P$5,0)),INDEX(Lookup!$N$2:$N$5,MATCH(Players!O549,Lookup!$O$2:$O$5,0)))</f>
        <v>Goalkeeper</v>
      </c>
      <c r="AC549" s="73">
        <v>3000000</v>
      </c>
      <c r="AD549" s="73" t="s">
        <v>788</v>
      </c>
      <c r="AE549" s="73" t="str">
        <f>INDEX('Translate table'!$H$2:$H$622,MATCH(Players!P549,'Translate table'!$G$2:$G$622,0))</f>
        <v>Åukasz Skorupski</v>
      </c>
      <c r="AF549" s="73">
        <f>IFERROR(INDEX('Euro Qual stats'!$A$1:$L$2071,MATCH(Players!$AE549,'Euro Qual stats'!$A$1:$A$2071,0),MATCH(Players!AF$2,'Euro Qual stats'!$A$1:$L$1,0)),0)</f>
        <v>0</v>
      </c>
      <c r="AG549" s="73">
        <f>IFERROR(INDEX('Euro Qual stats'!$A$1:$L$2071,MATCH(Players!$AE549,'Euro Qual stats'!$A$1:$A$2071,0),MATCH(Players!AG$2,'Euro Qual stats'!$A$1:$L$1,0)),0)</f>
        <v>0</v>
      </c>
      <c r="AH549" s="73">
        <f>IFERROR(INDEX('Euro Qual stats'!$A$1:$L$2071,MATCH(Players!$AE549,'Euro Qual stats'!$A$1:$A$2071,0),MATCH(Players!AH$2,'Euro Qual stats'!$A$1:$L$1,0)),0)</f>
        <v>0</v>
      </c>
      <c r="AI549" s="73">
        <f>IFERROR(INDEX('Euro Qual stats'!$A$1:$L$2071,MATCH(Players!$AE549,'Euro Qual stats'!$A$1:$A$2071,0),MATCH(Players!AI$2,'Euro Qual stats'!$A$1:$L$1,0)),0)</f>
        <v>0</v>
      </c>
      <c r="AJ549" s="93">
        <f>(12-AF549)/12*INDEX(BV$9:BV$12,MATCH($AB549,$BU$9:$BU$12,0))+AF549/12*AG549</f>
        <v>0</v>
      </c>
      <c r="AK549" s="93">
        <f>(12-AG549)/12*INDEX(BW$9:BW$12,MATCH($AB549,$BU$9:$BU$12,0))+AG549/12*AH549</f>
        <v>0</v>
      </c>
      <c r="AL549" s="93">
        <f>(12-AH549)/12*INDEX(BX$9:BX$12,MATCH($AB549,$BU$9:$BU$12,0))+AH549/12*AI549</f>
        <v>0</v>
      </c>
      <c r="AM549" s="93">
        <f>IF($BC549=1,AJ549/SUMIFS(AJ$3:AJ$623,$BC$3:$BC$623,1,$G$3:$G$623,$G549),0)</f>
        <v>0</v>
      </c>
      <c r="AN549" s="93">
        <f>IF($BC549=1,AK549/SUMIFS(AK$3:AK$623,$BC$3:$BC$623,1,$G$3:$G$623,$G549),0)</f>
        <v>0</v>
      </c>
      <c r="AO549" s="93">
        <f>IF($BC549=1,AL549/SUMIFS(AL$3:AL$623,$BC$3:$BC$623,1,$G$3:$G$623,$G549),0)</f>
        <v>0</v>
      </c>
      <c r="AP549" s="2">
        <f>IFERROR(R549/$V549*90,"")</f>
        <v>0</v>
      </c>
      <c r="AQ549" s="2">
        <f>IFERROR(S549/$V549*90,"")</f>
        <v>0</v>
      </c>
      <c r="AR549" s="2">
        <f>IFERROR(W549/$V549*90,"")</f>
        <v>0</v>
      </c>
      <c r="AS549" s="2">
        <f>IFERROR(X549/$V549*90,"")</f>
        <v>3.5714285714285712E-2</v>
      </c>
      <c r="AT549" s="2">
        <f>IFERROR(Y549/$V549*90,"")</f>
        <v>0</v>
      </c>
      <c r="AU549" s="2">
        <f>IF(AP549="",INDEX(BV$4:BV$7,MATCH(O549,$BU$4:$BU$7,0)),AP549)</f>
        <v>0</v>
      </c>
      <c r="AV549" s="2">
        <f>IF(AQ549="",INDEX(BW$4:BW$7,MATCH($O549,$BU$4:$BU$7,0)),AQ549)</f>
        <v>0</v>
      </c>
      <c r="AW549" s="2">
        <f t="shared" si="96"/>
        <v>0</v>
      </c>
      <c r="AX549" s="2">
        <f t="shared" si="97"/>
        <v>3.5714285714285712E-2</v>
      </c>
      <c r="AY549" s="2">
        <f t="shared" si="98"/>
        <v>0</v>
      </c>
      <c r="AZ549" s="2">
        <f>AU549*0.5+AK549*0.5</f>
        <v>0</v>
      </c>
      <c r="BA549" s="2">
        <f>AV549*0.5+AJ549*0.5</f>
        <v>0</v>
      </c>
      <c r="BB549" s="2">
        <f t="shared" si="99"/>
        <v>1.7857142857142856E-2</v>
      </c>
      <c r="BC549">
        <f>IF(I549="expected",1,0)</f>
        <v>0</v>
      </c>
      <c r="BD549" s="78">
        <f>IF(BC549=1,AZ549/SUMIFS(AZ$3:AZ$623,$BC$3:$BC$623,1,$G$3:$G$623,$G549),0)</f>
        <v>0</v>
      </c>
      <c r="BE549" s="78">
        <f>IF(BC549=1,BA549/SUMIFS(BA$3:BA$623,$BC$3:$BC$623,1,$G$3:$G$623,$G549),0)</f>
        <v>0</v>
      </c>
      <c r="BF549" s="78">
        <f t="shared" si="100"/>
        <v>0</v>
      </c>
      <c r="BG549" s="2">
        <f t="shared" si="101"/>
        <v>1.7857142857142856E-2</v>
      </c>
      <c r="BH549" s="2">
        <f t="shared" si="102"/>
        <v>0</v>
      </c>
      <c r="BI549" s="2">
        <f t="shared" si="103"/>
        <v>0</v>
      </c>
      <c r="BJ549" s="2">
        <f t="shared" si="104"/>
        <v>0</v>
      </c>
      <c r="BK549" s="2">
        <f t="shared" si="105"/>
        <v>0</v>
      </c>
      <c r="BL549" s="2">
        <f t="shared" si="106"/>
        <v>1.7857142857142856E-2</v>
      </c>
      <c r="BM549" s="2">
        <f t="shared" si="107"/>
        <v>0</v>
      </c>
      <c r="BN549" s="2">
        <f>BI549/SUMIFS(BI$3:BI$623,$BC$3:$BC$623,1,$G$3:$G$623,$G549)</f>
        <v>0</v>
      </c>
      <c r="BO549" s="2">
        <f>BJ549/SUMIFS(BJ$3:BJ$623,$BC$3:$BC$623,1,$G$3:$G$623,$G549)</f>
        <v>0</v>
      </c>
      <c r="BP549" s="2">
        <f>BK549/SUMIFS(BK$3:BK$623,$BC$3:$BC$623,1,$G$3:$G$623,$G549)</f>
        <v>0</v>
      </c>
      <c r="BQ549" s="2">
        <f>BL549</f>
        <v>1.7857142857142856E-2</v>
      </c>
      <c r="BR549" s="2">
        <f>BM549</f>
        <v>0</v>
      </c>
    </row>
    <row r="550" spans="1:70" hidden="1">
      <c r="A550" s="74">
        <v>0</v>
      </c>
      <c r="B550" s="73">
        <v>223189</v>
      </c>
      <c r="C550" s="73" t="s">
        <v>3160</v>
      </c>
      <c r="D550" s="73" t="s">
        <v>3161</v>
      </c>
      <c r="E550" s="73" t="s">
        <v>3162</v>
      </c>
      <c r="F550" s="73">
        <v>18689</v>
      </c>
      <c r="G550" s="73" t="s">
        <v>894</v>
      </c>
      <c r="H550" s="73" t="s">
        <v>925</v>
      </c>
      <c r="I550" s="73" t="s">
        <v>1012</v>
      </c>
      <c r="J550" s="73">
        <v>0</v>
      </c>
      <c r="K550" s="73">
        <v>4</v>
      </c>
      <c r="L550" s="73">
        <v>0</v>
      </c>
      <c r="M550" s="73">
        <v>0</v>
      </c>
      <c r="N550" s="73">
        <v>0</v>
      </c>
      <c r="O550" s="73" t="s">
        <v>1290</v>
      </c>
      <c r="P550" s="73" t="s">
        <v>3163</v>
      </c>
      <c r="Q550" s="73" t="s">
        <v>3164</v>
      </c>
      <c r="R550" s="73">
        <v>0</v>
      </c>
      <c r="S550" s="73">
        <v>1</v>
      </c>
      <c r="T550" s="73">
        <v>0</v>
      </c>
      <c r="U550" s="73">
        <v>1</v>
      </c>
      <c r="V550" s="73">
        <v>1224</v>
      </c>
      <c r="W550" s="73">
        <v>1</v>
      </c>
      <c r="X550" s="73">
        <v>4</v>
      </c>
      <c r="Y550" s="73">
        <v>0</v>
      </c>
      <c r="Z550" s="73" t="s">
        <v>2184</v>
      </c>
      <c r="AA550" s="73" t="s">
        <v>690</v>
      </c>
      <c r="AB550" s="73" t="str">
        <f>IF(AA550&lt;&gt;"",INDEX(Lookup!$N$2:$N$5,MATCH(Players!AA550,Lookup!$P$2:$P$5,0)),INDEX(Lookup!$N$2:$N$5,MATCH(Players!O550,Lookup!$O$2:$O$5,0)))</f>
        <v>Goalkeeper</v>
      </c>
      <c r="AC550" s="73">
        <v>2500000</v>
      </c>
      <c r="AD550" s="73" t="s">
        <v>792</v>
      </c>
      <c r="AE550" s="73" t="str">
        <f>INDEX('Translate table'!$H$2:$H$622,MATCH(Players!P550,'Translate table'!$G$2:$G$622,0))</f>
        <v>Risto RadunoviÄ‡</v>
      </c>
      <c r="AF550" s="73">
        <f>IFERROR(INDEX('Euro Qual stats'!$A$1:$L$2071,MATCH(Players!$AE550,'Euro Qual stats'!$A$1:$A$2071,0),MATCH(Players!AF$2,'Euro Qual stats'!$A$1:$L$1,0)),0)</f>
        <v>3</v>
      </c>
      <c r="AG550" s="73">
        <f>IFERROR(INDEX('Euro Qual stats'!$A$1:$L$2071,MATCH(Players!$AE550,'Euro Qual stats'!$A$1:$A$2071,0),MATCH(Players!AG$2,'Euro Qual stats'!$A$1:$L$1,0)),0)</f>
        <v>0</v>
      </c>
      <c r="AH550" s="73">
        <f>IFERROR(INDEX('Euro Qual stats'!$A$1:$L$2071,MATCH(Players!$AE550,'Euro Qual stats'!$A$1:$A$2071,0),MATCH(Players!AH$2,'Euro Qual stats'!$A$1:$L$1,0)),0)</f>
        <v>0</v>
      </c>
      <c r="AI550" s="73">
        <f>IFERROR(INDEX('Euro Qual stats'!$A$1:$L$2071,MATCH(Players!$AE550,'Euro Qual stats'!$A$1:$A$2071,0),MATCH(Players!AI$2,'Euro Qual stats'!$A$1:$L$1,0)),0)</f>
        <v>0.43</v>
      </c>
      <c r="AJ550" s="93">
        <f>(12-AF550)/12*INDEX(BV$9:BV$12,MATCH($AB550,$BU$9:$BU$12,0))+AF550/12*AG550</f>
        <v>0</v>
      </c>
      <c r="AK550" s="93">
        <f>(12-AG550)/12*INDEX(BW$9:BW$12,MATCH($AB550,$BU$9:$BU$12,0))+AG550/12*AH550</f>
        <v>0</v>
      </c>
      <c r="AL550" s="93">
        <f>(12-AH550)/12*INDEX(BX$9:BX$12,MATCH($AB550,$BU$9:$BU$12,0))+AH550/12*AI550</f>
        <v>0</v>
      </c>
      <c r="AM550" s="93">
        <f>IF($BC550=1,AJ550/SUMIFS(AJ$3:AJ$623,$BC$3:$BC$623,1,$G$3:$G$623,$G550),0)</f>
        <v>0</v>
      </c>
      <c r="AN550" s="93">
        <f>IF($BC550=1,AK550/SUMIFS(AK$3:AK$623,$BC$3:$BC$623,1,$G$3:$G$623,$G550),0)</f>
        <v>0</v>
      </c>
      <c r="AO550" s="93">
        <f>IF($BC550=1,AL550/SUMIFS(AL$3:AL$623,$BC$3:$BC$623,1,$G$3:$G$623,$G550),0)</f>
        <v>0</v>
      </c>
      <c r="AP550" s="2">
        <f>IFERROR(R550/$V550*90,"")</f>
        <v>0</v>
      </c>
      <c r="AQ550" s="2">
        <f>IFERROR(S550/$V550*90,"")</f>
        <v>7.3529411764705885E-2</v>
      </c>
      <c r="AR550" s="2">
        <f>IFERROR(W550/$V550*90,"")</f>
        <v>7.3529411764705885E-2</v>
      </c>
      <c r="AS550" s="2">
        <f>IFERROR(X550/$V550*90,"")</f>
        <v>0.29411764705882354</v>
      </c>
      <c r="AT550" s="2">
        <f>IFERROR(Y550/$V550*90,"")</f>
        <v>0</v>
      </c>
      <c r="AU550" s="2">
        <f>IF(AP550="",INDEX(BV$4:BV$7,MATCH(O550,$BU$4:$BU$7,0)),AP550)</f>
        <v>0</v>
      </c>
      <c r="AV550" s="2">
        <f>IF(AQ550="",INDEX(BW$4:BW$7,MATCH($O550,$BU$4:$BU$7,0)),AQ550)</f>
        <v>7.3529411764705885E-2</v>
      </c>
      <c r="AW550" s="2">
        <f t="shared" si="96"/>
        <v>7.3529411764705885E-2</v>
      </c>
      <c r="AX550" s="2">
        <f t="shared" si="97"/>
        <v>0.29411764705882354</v>
      </c>
      <c r="AY550" s="2">
        <f t="shared" si="98"/>
        <v>0</v>
      </c>
      <c r="AZ550" s="2">
        <f>AU550*0.5+AK550*0.5</f>
        <v>0</v>
      </c>
      <c r="BA550" s="2">
        <f>AV550*0.5+AJ550*0.5</f>
        <v>3.6764705882352942E-2</v>
      </c>
      <c r="BB550" s="2">
        <f t="shared" si="99"/>
        <v>0.36205882352941177</v>
      </c>
      <c r="BC550">
        <f>IF(I550="expected",1,0)</f>
        <v>0</v>
      </c>
      <c r="BD550" s="78">
        <f>IF(BC550=1,AZ550/SUMIFS(AZ$3:AZ$623,$BC$3:$BC$623,1,$G$3:$G$623,$G550),0)</f>
        <v>0</v>
      </c>
      <c r="BE550" s="78">
        <f>IF(BC550=1,BA550/SUMIFS(BA$3:BA$623,$BC$3:$BC$623,1,$G$3:$G$623,$G550),0)</f>
        <v>0</v>
      </c>
      <c r="BF550" s="78">
        <f t="shared" si="100"/>
        <v>0</v>
      </c>
      <c r="BG550" s="2">
        <f t="shared" si="101"/>
        <v>0.36205882352941177</v>
      </c>
      <c r="BH550" s="2">
        <f t="shared" si="102"/>
        <v>0</v>
      </c>
      <c r="BI550" s="2">
        <f t="shared" si="103"/>
        <v>0</v>
      </c>
      <c r="BJ550" s="2">
        <f t="shared" si="104"/>
        <v>0</v>
      </c>
      <c r="BK550" s="2">
        <f t="shared" si="105"/>
        <v>0</v>
      </c>
      <c r="BL550" s="2">
        <f t="shared" si="106"/>
        <v>0.36205882352941177</v>
      </c>
      <c r="BM550" s="2">
        <f t="shared" si="107"/>
        <v>0</v>
      </c>
      <c r="BN550" s="2">
        <f>BI550/SUMIFS(BI$3:BI$623,$BC$3:$BC$623,1,$G$3:$G$623,$G550)</f>
        <v>0</v>
      </c>
      <c r="BO550" s="2">
        <f>BJ550/SUMIFS(BJ$3:BJ$623,$BC$3:$BC$623,1,$G$3:$G$623,$G550)</f>
        <v>0</v>
      </c>
      <c r="BP550" s="2">
        <f>BK550/SUMIFS(BK$3:BK$623,$BC$3:$BC$623,1,$G$3:$G$623,$G550)</f>
        <v>0</v>
      </c>
      <c r="BQ550" s="2">
        <f>BL550</f>
        <v>0.36205882352941177</v>
      </c>
      <c r="BR550" s="2">
        <f>BM550</f>
        <v>0</v>
      </c>
    </row>
    <row r="551" spans="1:70" hidden="1">
      <c r="A551" s="74">
        <v>0</v>
      </c>
      <c r="B551" s="73">
        <v>204878</v>
      </c>
      <c r="C551" s="73" t="s">
        <v>3165</v>
      </c>
      <c r="D551" s="73" t="s">
        <v>3166</v>
      </c>
      <c r="E551" s="73" t="s">
        <v>3167</v>
      </c>
      <c r="F551" s="73">
        <v>18689</v>
      </c>
      <c r="G551" s="73" t="s">
        <v>894</v>
      </c>
      <c r="H551" s="73" t="s">
        <v>925</v>
      </c>
      <c r="I551" s="73" t="s">
        <v>981</v>
      </c>
      <c r="J551" s="73">
        <v>0</v>
      </c>
      <c r="K551" s="73">
        <v>4</v>
      </c>
      <c r="L551" s="73">
        <v>0</v>
      </c>
      <c r="M551" s="73">
        <v>0</v>
      </c>
      <c r="N551" s="73">
        <v>0</v>
      </c>
      <c r="O551" s="73" t="s">
        <v>1290</v>
      </c>
      <c r="P551" s="73" t="s">
        <v>3168</v>
      </c>
      <c r="Q551" s="73" t="s">
        <v>1164</v>
      </c>
      <c r="R551" s="73"/>
      <c r="S551" s="73"/>
      <c r="T551" s="73"/>
      <c r="U551" s="73"/>
      <c r="V551" s="73"/>
      <c r="W551" s="73"/>
      <c r="X551" s="73"/>
      <c r="Y551" s="73"/>
      <c r="Z551" s="73" t="s">
        <v>2184</v>
      </c>
      <c r="AA551" s="73" t="s">
        <v>690</v>
      </c>
      <c r="AB551" s="73" t="str">
        <f>IF(AA551&lt;&gt;"",INDEX(Lookup!$N$2:$N$5,MATCH(Players!AA551,Lookup!$P$2:$P$5,0)),INDEX(Lookup!$N$2:$N$5,MATCH(Players!O551,Lookup!$O$2:$O$5,0)))</f>
        <v>Goalkeeper</v>
      </c>
      <c r="AC551" s="73">
        <v>3000000</v>
      </c>
      <c r="AD551" s="73" t="s">
        <v>789</v>
      </c>
      <c r="AE551" s="73" t="str">
        <f>INDEX('Translate table'!$H$2:$H$622,MATCH(Players!P551,'Translate table'!$G$2:$G$622,0))</f>
        <v>Stole Dimitrievski</v>
      </c>
      <c r="AF551" s="73">
        <f>IFERROR(INDEX('Euro Qual stats'!$A$1:$L$2071,MATCH(Players!$AE551,'Euro Qual stats'!$A$1:$A$2071,0),MATCH(Players!AF$2,'Euro Qual stats'!$A$1:$L$1,0)),0)</f>
        <v>12</v>
      </c>
      <c r="AG551" s="73">
        <f>IFERROR(INDEX('Euro Qual stats'!$A$1:$L$2071,MATCH(Players!$AE551,'Euro Qual stats'!$A$1:$A$2071,0),MATCH(Players!AG$2,'Euro Qual stats'!$A$1:$L$1,0)),0)</f>
        <v>0</v>
      </c>
      <c r="AH551" s="73">
        <f>IFERROR(INDEX('Euro Qual stats'!$A$1:$L$2071,MATCH(Players!$AE551,'Euro Qual stats'!$A$1:$A$2071,0),MATCH(Players!AH$2,'Euro Qual stats'!$A$1:$L$1,0)),0)</f>
        <v>0</v>
      </c>
      <c r="AI551" s="73">
        <f>IFERROR(INDEX('Euro Qual stats'!$A$1:$L$2071,MATCH(Players!$AE551,'Euro Qual stats'!$A$1:$A$2071,0),MATCH(Players!AI$2,'Euro Qual stats'!$A$1:$L$1,0)),0)</f>
        <v>0.08</v>
      </c>
      <c r="AJ551" s="93">
        <f>(12-AF551)/12*INDEX(BV$9:BV$12,MATCH($AB551,$BU$9:$BU$12,0))+AF551/12*AG551</f>
        <v>0</v>
      </c>
      <c r="AK551" s="93">
        <f>(12-AG551)/12*INDEX(BW$9:BW$12,MATCH($AB551,$BU$9:$BU$12,0))+AG551/12*AH551</f>
        <v>0</v>
      </c>
      <c r="AL551" s="93">
        <f>(12-AH551)/12*INDEX(BX$9:BX$12,MATCH($AB551,$BU$9:$BU$12,0))+AH551/12*AI551</f>
        <v>0</v>
      </c>
      <c r="AM551" s="93">
        <f>IF($BC551=1,AJ551/SUMIFS(AJ$3:AJ$623,$BC$3:$BC$623,1,$G$3:$G$623,$G551),0)</f>
        <v>0</v>
      </c>
      <c r="AN551" s="93">
        <f>IF($BC551=1,AK551/SUMIFS(AK$3:AK$623,$BC$3:$BC$623,1,$G$3:$G$623,$G551),0)</f>
        <v>0</v>
      </c>
      <c r="AO551" s="93">
        <f>IF($BC551=1,AL551/SUMIFS(AL$3:AL$623,$BC$3:$BC$623,1,$G$3:$G$623,$G551),0)</f>
        <v>0</v>
      </c>
      <c r="AP551" s="2" t="str">
        <f>IFERROR(R551/$V551*90,"")</f>
        <v/>
      </c>
      <c r="AQ551" s="2" t="str">
        <f>IFERROR(S551/$V551*90,"")</f>
        <v/>
      </c>
      <c r="AR551" s="2" t="str">
        <f>IFERROR(W551/$V551*90,"")</f>
        <v/>
      </c>
      <c r="AS551" s="2" t="str">
        <f>IFERROR(X551/$V551*90,"")</f>
        <v/>
      </c>
      <c r="AT551" s="2" t="str">
        <f>IFERROR(Y551/$V551*90,"")</f>
        <v/>
      </c>
      <c r="AU551" s="2">
        <f>IF(AP551="",INDEX(BV$4:BV$7,MATCH(O551,$BU$4:$BU$7,0)),AP551)</f>
        <v>0</v>
      </c>
      <c r="AV551" s="2">
        <f>IF(AQ551="",INDEX(BW$4:BW$7,MATCH($O551,$BU$4:$BU$7,0)),AQ551)</f>
        <v>0</v>
      </c>
      <c r="AW551" s="2">
        <f t="shared" si="96"/>
        <v>0</v>
      </c>
      <c r="AX551" s="2">
        <f t="shared" si="97"/>
        <v>0</v>
      </c>
      <c r="AY551" s="2">
        <f t="shared" si="98"/>
        <v>0</v>
      </c>
      <c r="AZ551" s="2">
        <f>AU551*0.5+AK551*0.5</f>
        <v>0</v>
      </c>
      <c r="BA551" s="2">
        <f>AV551*0.5+AJ551*0.5</f>
        <v>0</v>
      </c>
      <c r="BB551" s="2">
        <f t="shared" si="99"/>
        <v>0.04</v>
      </c>
      <c r="BC551">
        <f>IF(I551="expected",1,0)</f>
        <v>1</v>
      </c>
      <c r="BD551" s="78">
        <f>IF(BC551=1,AZ551/SUMIFS(AZ$3:AZ$623,$BC$3:$BC$623,1,$G$3:$G$623,$G551),0)</f>
        <v>0</v>
      </c>
      <c r="BE551" s="78">
        <f>IF(BC551=1,BA551/SUMIFS(BA$3:BA$623,$BC$3:$BC$623,1,$G$3:$G$623,$G551),0)</f>
        <v>0</v>
      </c>
      <c r="BF551" s="78">
        <f t="shared" si="100"/>
        <v>0</v>
      </c>
      <c r="BG551" s="2">
        <f t="shared" si="101"/>
        <v>0.04</v>
      </c>
      <c r="BH551" s="2">
        <f t="shared" si="102"/>
        <v>0</v>
      </c>
      <c r="BI551" s="2">
        <f t="shared" si="103"/>
        <v>0</v>
      </c>
      <c r="BJ551" s="2">
        <f t="shared" si="104"/>
        <v>0</v>
      </c>
      <c r="BK551" s="2">
        <f t="shared" si="105"/>
        <v>0</v>
      </c>
      <c r="BL551" s="2">
        <f t="shared" si="106"/>
        <v>0.04</v>
      </c>
      <c r="BM551" s="2">
        <f t="shared" si="107"/>
        <v>0</v>
      </c>
      <c r="BN551" s="2">
        <f>BI551/SUMIFS(BI$3:BI$623,$BC$3:$BC$623,1,$G$3:$G$623,$G551)</f>
        <v>0</v>
      </c>
      <c r="BO551" s="2">
        <f>BJ551/SUMIFS(BJ$3:BJ$623,$BC$3:$BC$623,1,$G$3:$G$623,$G551)</f>
        <v>0</v>
      </c>
      <c r="BP551" s="2">
        <f>BK551/SUMIFS(BK$3:BK$623,$BC$3:$BC$623,1,$G$3:$G$623,$G551)</f>
        <v>0</v>
      </c>
      <c r="BQ551" s="2">
        <f>BL551</f>
        <v>0.04</v>
      </c>
      <c r="BR551" s="2">
        <f>BM551</f>
        <v>0</v>
      </c>
    </row>
    <row r="552" spans="1:70" hidden="1">
      <c r="A552" s="74">
        <v>0</v>
      </c>
      <c r="B552" s="73">
        <v>204873</v>
      </c>
      <c r="C552" s="73" t="s">
        <v>3169</v>
      </c>
      <c r="D552" s="73" t="s">
        <v>3170</v>
      </c>
      <c r="E552" s="73" t="s">
        <v>3171</v>
      </c>
      <c r="F552" s="73">
        <v>18689</v>
      </c>
      <c r="G552" s="73" t="s">
        <v>894</v>
      </c>
      <c r="H552" s="73" t="s">
        <v>925</v>
      </c>
      <c r="I552" s="73" t="s">
        <v>1012</v>
      </c>
      <c r="J552" s="73">
        <v>0</v>
      </c>
      <c r="K552" s="73">
        <v>4</v>
      </c>
      <c r="L552" s="73">
        <v>0</v>
      </c>
      <c r="M552" s="73">
        <v>0</v>
      </c>
      <c r="N552" s="73">
        <v>0</v>
      </c>
      <c r="O552" s="73" t="s">
        <v>1290</v>
      </c>
      <c r="P552" s="73" t="s">
        <v>3172</v>
      </c>
      <c r="Q552" s="73" t="s">
        <v>3173</v>
      </c>
      <c r="R552" s="73">
        <v>5</v>
      </c>
      <c r="S552" s="73">
        <v>1</v>
      </c>
      <c r="T552" s="73">
        <v>0</v>
      </c>
      <c r="U552" s="73">
        <v>0</v>
      </c>
      <c r="V552" s="73">
        <v>653</v>
      </c>
      <c r="W552" s="73">
        <v>16</v>
      </c>
      <c r="X552" s="73">
        <v>0</v>
      </c>
      <c r="Y552" s="73">
        <v>0</v>
      </c>
      <c r="Z552" s="73" t="s">
        <v>2184</v>
      </c>
      <c r="AA552" s="73" t="s">
        <v>690</v>
      </c>
      <c r="AB552" s="73" t="str">
        <f>IF(AA552&lt;&gt;"",INDEX(Lookup!$N$2:$N$5,MATCH(Players!AA552,Lookup!$P$2:$P$5,0)),INDEX(Lookup!$N$2:$N$5,MATCH(Players!O552,Lookup!$O$2:$O$5,0)))</f>
        <v>Goalkeeper</v>
      </c>
      <c r="AC552" s="73">
        <v>2500000</v>
      </c>
      <c r="AD552" s="73" t="s">
        <v>789</v>
      </c>
      <c r="AE552" s="73" t="str">
        <f>INDEX('Translate table'!$H$2:$H$622,MATCH(Players!P552,'Translate table'!$G$2:$G$622,0))</f>
        <v>Damjan Shishkovski</v>
      </c>
      <c r="AF552" s="73">
        <f>IFERROR(INDEX('Euro Qual stats'!$A$1:$L$2071,MATCH(Players!$AE552,'Euro Qual stats'!$A$1:$A$2071,0),MATCH(Players!AF$2,'Euro Qual stats'!$A$1:$L$1,0)),0)</f>
        <v>0</v>
      </c>
      <c r="AG552" s="73">
        <f>IFERROR(INDEX('Euro Qual stats'!$A$1:$L$2071,MATCH(Players!$AE552,'Euro Qual stats'!$A$1:$A$2071,0),MATCH(Players!AG$2,'Euro Qual stats'!$A$1:$L$1,0)),0)</f>
        <v>0</v>
      </c>
      <c r="AH552" s="73">
        <f>IFERROR(INDEX('Euro Qual stats'!$A$1:$L$2071,MATCH(Players!$AE552,'Euro Qual stats'!$A$1:$A$2071,0),MATCH(Players!AH$2,'Euro Qual stats'!$A$1:$L$1,0)),0)</f>
        <v>0</v>
      </c>
      <c r="AI552" s="73">
        <f>IFERROR(INDEX('Euro Qual stats'!$A$1:$L$2071,MATCH(Players!$AE552,'Euro Qual stats'!$A$1:$A$2071,0),MATCH(Players!AI$2,'Euro Qual stats'!$A$1:$L$1,0)),0)</f>
        <v>0</v>
      </c>
      <c r="AJ552" s="93">
        <f>(12-AF552)/12*INDEX(BV$9:BV$12,MATCH($AB552,$BU$9:$BU$12,0))+AF552/12*AG552</f>
        <v>0</v>
      </c>
      <c r="AK552" s="93">
        <f>(12-AG552)/12*INDEX(BW$9:BW$12,MATCH($AB552,$BU$9:$BU$12,0))+AG552/12*AH552</f>
        <v>0</v>
      </c>
      <c r="AL552" s="93">
        <f>(12-AH552)/12*INDEX(BX$9:BX$12,MATCH($AB552,$BU$9:$BU$12,0))+AH552/12*AI552</f>
        <v>0</v>
      </c>
      <c r="AM552" s="93">
        <f>IF($BC552=1,AJ552/SUMIFS(AJ$3:AJ$623,$BC$3:$BC$623,1,$G$3:$G$623,$G552),0)</f>
        <v>0</v>
      </c>
      <c r="AN552" s="93">
        <f>IF($BC552=1,AK552/SUMIFS(AK$3:AK$623,$BC$3:$BC$623,1,$G$3:$G$623,$G552),0)</f>
        <v>0</v>
      </c>
      <c r="AO552" s="93">
        <f>IF($BC552=1,AL552/SUMIFS(AL$3:AL$623,$BC$3:$BC$623,1,$G$3:$G$623,$G552),0)</f>
        <v>0</v>
      </c>
      <c r="AP552" s="2">
        <f>IFERROR(R552/$V552*90,"")</f>
        <v>0.6891271056661562</v>
      </c>
      <c r="AQ552" s="2">
        <f>IFERROR(S552/$V552*90,"")</f>
        <v>0.13782542113323124</v>
      </c>
      <c r="AR552" s="2">
        <f>IFERROR(W552/$V552*90,"")</f>
        <v>2.2052067381316998</v>
      </c>
      <c r="AS552" s="2">
        <f>IFERROR(X552/$V552*90,"")</f>
        <v>0</v>
      </c>
      <c r="AT552" s="2">
        <f>IFERROR(Y552/$V552*90,"")</f>
        <v>0</v>
      </c>
      <c r="AU552" s="2">
        <f>IF(AP552="",INDEX(BV$4:BV$7,MATCH(O552,$BU$4:$BU$7,0)),AP552)</f>
        <v>0.6891271056661562</v>
      </c>
      <c r="AV552" s="2">
        <f>IF(AQ552="",INDEX(BW$4:BW$7,MATCH($O552,$BU$4:$BU$7,0)),AQ552)</f>
        <v>0.13782542113323124</v>
      </c>
      <c r="AW552" s="2">
        <f t="shared" si="96"/>
        <v>2.2052067381316998</v>
      </c>
      <c r="AX552" s="2">
        <f t="shared" si="97"/>
        <v>0</v>
      </c>
      <c r="AY552" s="2">
        <f t="shared" si="98"/>
        <v>0</v>
      </c>
      <c r="AZ552" s="2">
        <f>AU552*0.5+AK552*0.5</f>
        <v>0.3445635528330781</v>
      </c>
      <c r="BA552" s="2">
        <f>AV552*0.5+AJ552*0.5</f>
        <v>6.8912710566615618E-2</v>
      </c>
      <c r="BB552" s="2">
        <f t="shared" si="99"/>
        <v>0</v>
      </c>
      <c r="BC552">
        <f>IF(I552="expected",1,0)</f>
        <v>0</v>
      </c>
      <c r="BD552" s="78">
        <f>IF(BC552=1,AZ552/SUMIFS(AZ$3:AZ$623,$BC$3:$BC$623,1,$G$3:$G$623,$G552),0)</f>
        <v>0</v>
      </c>
      <c r="BE552" s="78">
        <f>IF(BC552=1,BA552/SUMIFS(BA$3:BA$623,$BC$3:$BC$623,1,$G$3:$G$623,$G552),0)</f>
        <v>0</v>
      </c>
      <c r="BF552" s="78">
        <f t="shared" si="100"/>
        <v>0</v>
      </c>
      <c r="BG552" s="2">
        <f t="shared" si="101"/>
        <v>0</v>
      </c>
      <c r="BH552" s="2">
        <f t="shared" si="102"/>
        <v>0</v>
      </c>
      <c r="BI552" s="2">
        <f t="shared" si="103"/>
        <v>0</v>
      </c>
      <c r="BJ552" s="2">
        <f t="shared" si="104"/>
        <v>0</v>
      </c>
      <c r="BK552" s="2">
        <f t="shared" si="105"/>
        <v>0</v>
      </c>
      <c r="BL552" s="2">
        <f t="shared" si="106"/>
        <v>0</v>
      </c>
      <c r="BM552" s="2">
        <f t="shared" si="107"/>
        <v>0</v>
      </c>
      <c r="BN552" s="2">
        <f>BI552/SUMIFS(BI$3:BI$623,$BC$3:$BC$623,1,$G$3:$G$623,$G552)</f>
        <v>0</v>
      </c>
      <c r="BO552" s="2">
        <f>BJ552/SUMIFS(BJ$3:BJ$623,$BC$3:$BC$623,1,$G$3:$G$623,$G552)</f>
        <v>0</v>
      </c>
      <c r="BP552" s="2">
        <f>BK552/SUMIFS(BK$3:BK$623,$BC$3:$BC$623,1,$G$3:$G$623,$G552)</f>
        <v>0</v>
      </c>
      <c r="BQ552" s="2">
        <f>BL552</f>
        <v>0</v>
      </c>
      <c r="BR552" s="2">
        <f>BM552</f>
        <v>0</v>
      </c>
    </row>
    <row r="553" spans="1:70" hidden="1">
      <c r="A553" s="74">
        <v>0</v>
      </c>
      <c r="B553" s="73">
        <v>213435</v>
      </c>
      <c r="C553" s="73" t="s">
        <v>3174</v>
      </c>
      <c r="D553" s="73" t="s">
        <v>3175</v>
      </c>
      <c r="E553" s="73" t="s">
        <v>3176</v>
      </c>
      <c r="F553" s="73">
        <v>18689</v>
      </c>
      <c r="G553" s="73" t="s">
        <v>894</v>
      </c>
      <c r="H553" s="73" t="s">
        <v>925</v>
      </c>
      <c r="I553" s="73" t="s">
        <v>1012</v>
      </c>
      <c r="J553" s="73">
        <v>0</v>
      </c>
      <c r="K553" s="73">
        <v>4</v>
      </c>
      <c r="L553" s="73">
        <v>0</v>
      </c>
      <c r="M553" s="73">
        <v>0</v>
      </c>
      <c r="N553" s="73">
        <v>0</v>
      </c>
      <c r="O553" s="73" t="s">
        <v>1318</v>
      </c>
      <c r="P553" s="73" t="s">
        <v>3177</v>
      </c>
      <c r="Q553" s="73" t="s">
        <v>1164</v>
      </c>
      <c r="R553" s="73"/>
      <c r="S553" s="73"/>
      <c r="T553" s="73"/>
      <c r="U553" s="73"/>
      <c r="V553" s="73"/>
      <c r="W553" s="73"/>
      <c r="X553" s="73"/>
      <c r="Y553" s="73"/>
      <c r="Z553" s="73" t="s">
        <v>2184</v>
      </c>
      <c r="AA553" s="73" t="s">
        <v>692</v>
      </c>
      <c r="AB553" s="73" t="str">
        <f>IF(AA553&lt;&gt;"",INDEX(Lookup!$N$2:$N$5,MATCH(Players!AA553,Lookup!$P$2:$P$5,0)),INDEX(Lookup!$N$2:$N$5,MATCH(Players!O553,Lookup!$O$2:$O$5,0)))</f>
        <v>Defense</v>
      </c>
      <c r="AC553" s="73">
        <v>2000000</v>
      </c>
      <c r="AD553" s="73" t="s">
        <v>788</v>
      </c>
      <c r="AE553" s="73" t="str">
        <f>INDEX('Translate table'!$H$2:$H$622,MATCH(Players!P553,'Translate table'!$G$2:$G$622,0))</f>
        <v>Kire Ristevski</v>
      </c>
      <c r="AF553" s="73">
        <f>IFERROR(INDEX('Euro Qual stats'!$A$1:$L$2071,MATCH(Players!$AE553,'Euro Qual stats'!$A$1:$A$2071,0),MATCH(Players!AF$2,'Euro Qual stats'!$A$1:$L$1,0)),0)</f>
        <v>9</v>
      </c>
      <c r="AG553" s="73">
        <f>IFERROR(INDEX('Euro Qual stats'!$A$1:$L$2071,MATCH(Players!$AE553,'Euro Qual stats'!$A$1:$A$2071,0),MATCH(Players!AG$2,'Euro Qual stats'!$A$1:$L$1,0)),0)</f>
        <v>0</v>
      </c>
      <c r="AH553" s="73">
        <f>IFERROR(INDEX('Euro Qual stats'!$A$1:$L$2071,MATCH(Players!$AE553,'Euro Qual stats'!$A$1:$A$2071,0),MATCH(Players!AH$2,'Euro Qual stats'!$A$1:$L$1,0)),0)</f>
        <v>0</v>
      </c>
      <c r="AI553" s="73">
        <f>IFERROR(INDEX('Euro Qual stats'!$A$1:$L$2071,MATCH(Players!$AE553,'Euro Qual stats'!$A$1:$A$2071,0),MATCH(Players!AI$2,'Euro Qual stats'!$A$1:$L$1,0)),0)</f>
        <v>0</v>
      </c>
      <c r="AJ553" s="93">
        <f>(12-AF553)/12*INDEX(BV$9:BV$12,MATCH($AB553,$BU$9:$BU$12,0))+AF553/12*AG553</f>
        <v>2.2293956043956051E-2</v>
      </c>
      <c r="AK553" s="93">
        <f>(12-AG553)/12*INDEX(BW$9:BW$12,MATCH($AB553,$BU$9:$BU$12,0))+AG553/12*AH553</f>
        <v>0.10357142857142858</v>
      </c>
      <c r="AL553" s="93">
        <f>(12-AH553)/12*INDEX(BX$9:BX$12,MATCH($AB553,$BU$9:$BU$12,0))+AH553/12*AI553</f>
        <v>0.19357142857142848</v>
      </c>
      <c r="AM553" s="93">
        <f>IF($BC553=1,AJ553/SUMIFS(AJ$3:AJ$623,$BC$3:$BC$623,1,$G$3:$G$623,$G553),0)</f>
        <v>0</v>
      </c>
      <c r="AN553" s="93">
        <f>IF($BC553=1,AK553/SUMIFS(AK$3:AK$623,$BC$3:$BC$623,1,$G$3:$G$623,$G553),0)</f>
        <v>0</v>
      </c>
      <c r="AO553" s="93">
        <f>IF($BC553=1,AL553/SUMIFS(AL$3:AL$623,$BC$3:$BC$623,1,$G$3:$G$623,$G553),0)</f>
        <v>0</v>
      </c>
      <c r="AP553" s="2" t="str">
        <f>IFERROR(R553/$V553*90,"")</f>
        <v/>
      </c>
      <c r="AQ553" s="2" t="str">
        <f>IFERROR(S553/$V553*90,"")</f>
        <v/>
      </c>
      <c r="AR553" s="2" t="str">
        <f>IFERROR(W553/$V553*90,"")</f>
        <v/>
      </c>
      <c r="AS553" s="2" t="str">
        <f>IFERROR(X553/$V553*90,"")</f>
        <v/>
      </c>
      <c r="AT553" s="2" t="str">
        <f>IFERROR(Y553/$V553*90,"")</f>
        <v/>
      </c>
      <c r="AU553" s="2">
        <f>IF(AP553="",INDEX(BV$4:BV$7,MATCH(O553,$BU$4:$BU$7,0)),AP553)</f>
        <v>0</v>
      </c>
      <c r="AV553" s="2">
        <f>IF(AQ553="",INDEX(BW$4:BW$7,MATCH($O553,$BU$4:$BU$7,0)),AQ553)</f>
        <v>0</v>
      </c>
      <c r="AW553" s="2">
        <f t="shared" si="96"/>
        <v>8.0624805297505417E-2</v>
      </c>
      <c r="AX553" s="2">
        <f t="shared" si="97"/>
        <v>0.1265377855887522</v>
      </c>
      <c r="AY553" s="2">
        <f t="shared" si="98"/>
        <v>0</v>
      </c>
      <c r="AZ553" s="2">
        <f>AU553*0.5+AK553*0.5</f>
        <v>5.1785714285714289E-2</v>
      </c>
      <c r="BA553" s="2">
        <f>AV553*0.5+AJ553*0.5</f>
        <v>1.1146978021978025E-2</v>
      </c>
      <c r="BB553" s="2">
        <f t="shared" si="99"/>
        <v>6.32688927943761E-2</v>
      </c>
      <c r="BC553">
        <f>IF(I553="expected",1,0)</f>
        <v>0</v>
      </c>
      <c r="BD553" s="78">
        <f>IF(BC553=1,AZ553/SUMIFS(AZ$3:AZ$623,$BC$3:$BC$623,1,$G$3:$G$623,$G553),0)</f>
        <v>0</v>
      </c>
      <c r="BE553" s="78">
        <f>IF(BC553=1,BA553/SUMIFS(BA$3:BA$623,$BC$3:$BC$623,1,$G$3:$G$623,$G553),0)</f>
        <v>0</v>
      </c>
      <c r="BF553" s="78">
        <f t="shared" si="100"/>
        <v>0</v>
      </c>
      <c r="BG553" s="2">
        <f t="shared" si="101"/>
        <v>6.32688927943761E-2</v>
      </c>
      <c r="BH553" s="2">
        <f t="shared" si="102"/>
        <v>0</v>
      </c>
      <c r="BI553" s="2">
        <f t="shared" si="103"/>
        <v>0</v>
      </c>
      <c r="BJ553" s="2">
        <f t="shared" si="104"/>
        <v>0</v>
      </c>
      <c r="BK553" s="2">
        <f t="shared" si="105"/>
        <v>0</v>
      </c>
      <c r="BL553" s="2">
        <f t="shared" si="106"/>
        <v>6.32688927943761E-2</v>
      </c>
      <c r="BM553" s="2">
        <f t="shared" si="107"/>
        <v>0</v>
      </c>
      <c r="BN553" s="2">
        <f>BI553/SUMIFS(BI$3:BI$623,$BC$3:$BC$623,1,$G$3:$G$623,$G553)</f>
        <v>0</v>
      </c>
      <c r="BO553" s="2">
        <f>BJ553/SUMIFS(BJ$3:BJ$623,$BC$3:$BC$623,1,$G$3:$G$623,$G553)</f>
        <v>0</v>
      </c>
      <c r="BP553" s="2">
        <f>BK553/SUMIFS(BK$3:BK$623,$BC$3:$BC$623,1,$G$3:$G$623,$G553)</f>
        <v>0</v>
      </c>
      <c r="BQ553" s="2">
        <f>BL553</f>
        <v>6.32688927943761E-2</v>
      </c>
      <c r="BR553" s="2">
        <f>BM553</f>
        <v>0</v>
      </c>
    </row>
    <row r="554" spans="1:70" hidden="1">
      <c r="A554" s="74">
        <v>0</v>
      </c>
      <c r="B554" s="73">
        <v>204888</v>
      </c>
      <c r="C554" s="73" t="s">
        <v>3178</v>
      </c>
      <c r="D554" s="73" t="s">
        <v>3179</v>
      </c>
      <c r="E554" s="73" t="s">
        <v>3180</v>
      </c>
      <c r="F554" s="73">
        <v>18689</v>
      </c>
      <c r="G554" s="73" t="s">
        <v>894</v>
      </c>
      <c r="H554" s="73" t="s">
        <v>925</v>
      </c>
      <c r="I554" s="73" t="s">
        <v>1012</v>
      </c>
      <c r="J554" s="73">
        <v>0</v>
      </c>
      <c r="K554" s="73">
        <v>4</v>
      </c>
      <c r="L554" s="73">
        <v>0</v>
      </c>
      <c r="M554" s="73">
        <v>0</v>
      </c>
      <c r="N554" s="73">
        <v>0</v>
      </c>
      <c r="O554" s="73" t="s">
        <v>1318</v>
      </c>
      <c r="P554" s="73" t="s">
        <v>3181</v>
      </c>
      <c r="Q554" s="73" t="s">
        <v>1164</v>
      </c>
      <c r="R554" s="73"/>
      <c r="S554" s="73"/>
      <c r="T554" s="73"/>
      <c r="U554" s="73"/>
      <c r="V554" s="73"/>
      <c r="W554" s="73"/>
      <c r="X554" s="73"/>
      <c r="Y554" s="73"/>
      <c r="Z554" s="73" t="s">
        <v>2184</v>
      </c>
      <c r="AA554" s="73" t="s">
        <v>692</v>
      </c>
      <c r="AB554" s="73" t="str">
        <f>IF(AA554&lt;&gt;"",INDEX(Lookup!$N$2:$N$5,MATCH(Players!AA554,Lookup!$P$2:$P$5,0)),INDEX(Lookup!$N$2:$N$5,MATCH(Players!O554,Lookup!$O$2:$O$5,0)))</f>
        <v>Defense</v>
      </c>
      <c r="AC554" s="73">
        <v>2000000</v>
      </c>
      <c r="AD554" s="73" t="s">
        <v>788</v>
      </c>
      <c r="AE554" s="73" t="str">
        <f>INDEX('Translate table'!$H$2:$H$622,MATCH(Players!P554,'Translate table'!$G$2:$G$622,0))</f>
        <v>Gjoko Zajkov</v>
      </c>
      <c r="AF554" s="73">
        <f>IFERROR(INDEX('Euro Qual stats'!$A$1:$L$2071,MATCH(Players!$AE554,'Euro Qual stats'!$A$1:$A$2071,0),MATCH(Players!AF$2,'Euro Qual stats'!$A$1:$L$1,0)),0)</f>
        <v>4</v>
      </c>
      <c r="AG554" s="73">
        <f>IFERROR(INDEX('Euro Qual stats'!$A$1:$L$2071,MATCH(Players!$AE554,'Euro Qual stats'!$A$1:$A$2071,0),MATCH(Players!AG$2,'Euro Qual stats'!$A$1:$L$1,0)),0)</f>
        <v>0</v>
      </c>
      <c r="AH554" s="73">
        <f>IFERROR(INDEX('Euro Qual stats'!$A$1:$L$2071,MATCH(Players!$AE554,'Euro Qual stats'!$A$1:$A$2071,0),MATCH(Players!AH$2,'Euro Qual stats'!$A$1:$L$1,0)),0)</f>
        <v>0</v>
      </c>
      <c r="AI554" s="73">
        <f>IFERROR(INDEX('Euro Qual stats'!$A$1:$L$2071,MATCH(Players!$AE554,'Euro Qual stats'!$A$1:$A$2071,0),MATCH(Players!AI$2,'Euro Qual stats'!$A$1:$L$1,0)),0)</f>
        <v>1.27</v>
      </c>
      <c r="AJ554" s="93">
        <f>(12-AF554)/12*INDEX(BV$9:BV$12,MATCH($AB554,$BU$9:$BU$12,0))+AF554/12*AG554</f>
        <v>5.9450549450549464E-2</v>
      </c>
      <c r="AK554" s="93">
        <f>(12-AG554)/12*INDEX(BW$9:BW$12,MATCH($AB554,$BU$9:$BU$12,0))+AG554/12*AH554</f>
        <v>0.10357142857142858</v>
      </c>
      <c r="AL554" s="93">
        <f>(12-AH554)/12*INDEX(BX$9:BX$12,MATCH($AB554,$BU$9:$BU$12,0))+AH554/12*AI554</f>
        <v>0.19357142857142848</v>
      </c>
      <c r="AM554" s="93">
        <f>IF($BC554=1,AJ554/SUMIFS(AJ$3:AJ$623,$BC$3:$BC$623,1,$G$3:$G$623,$G554),0)</f>
        <v>0</v>
      </c>
      <c r="AN554" s="93">
        <f>IF($BC554=1,AK554/SUMIFS(AK$3:AK$623,$BC$3:$BC$623,1,$G$3:$G$623,$G554),0)</f>
        <v>0</v>
      </c>
      <c r="AO554" s="93">
        <f>IF($BC554=1,AL554/SUMIFS(AL$3:AL$623,$BC$3:$BC$623,1,$G$3:$G$623,$G554),0)</f>
        <v>0</v>
      </c>
      <c r="AP554" s="2" t="str">
        <f>IFERROR(R554/$V554*90,"")</f>
        <v/>
      </c>
      <c r="AQ554" s="2" t="str">
        <f>IFERROR(S554/$V554*90,"")</f>
        <v/>
      </c>
      <c r="AR554" s="2" t="str">
        <f>IFERROR(W554/$V554*90,"")</f>
        <v/>
      </c>
      <c r="AS554" s="2" t="str">
        <f>IFERROR(X554/$V554*90,"")</f>
        <v/>
      </c>
      <c r="AT554" s="2" t="str">
        <f>IFERROR(Y554/$V554*90,"")</f>
        <v/>
      </c>
      <c r="AU554" s="2">
        <f>IF(AP554="",INDEX(BV$4:BV$7,MATCH(O554,$BU$4:$BU$7,0)),AP554)</f>
        <v>0</v>
      </c>
      <c r="AV554" s="2">
        <f>IF(AQ554="",INDEX(BW$4:BW$7,MATCH($O554,$BU$4:$BU$7,0)),AQ554)</f>
        <v>0</v>
      </c>
      <c r="AW554" s="2">
        <f t="shared" si="96"/>
        <v>8.0624805297505417E-2</v>
      </c>
      <c r="AX554" s="2">
        <f t="shared" si="97"/>
        <v>0.1265377855887522</v>
      </c>
      <c r="AY554" s="2">
        <f t="shared" si="98"/>
        <v>0</v>
      </c>
      <c r="AZ554" s="2">
        <f>AU554*0.5+AK554*0.5</f>
        <v>5.1785714285714289E-2</v>
      </c>
      <c r="BA554" s="2">
        <f>AV554*0.5+AJ554*0.5</f>
        <v>2.9725274725274732E-2</v>
      </c>
      <c r="BB554" s="2">
        <f t="shared" si="99"/>
        <v>0.69826889279437609</v>
      </c>
      <c r="BC554">
        <f>IF(I554="expected",1,0)</f>
        <v>0</v>
      </c>
      <c r="BD554" s="78">
        <f>IF(BC554=1,AZ554/SUMIFS(AZ$3:AZ$623,$BC$3:$BC$623,1,$G$3:$G$623,$G554),0)</f>
        <v>0</v>
      </c>
      <c r="BE554" s="78">
        <f>IF(BC554=1,BA554/SUMIFS(BA$3:BA$623,$BC$3:$BC$623,1,$G$3:$G$623,$G554),0)</f>
        <v>0</v>
      </c>
      <c r="BF554" s="78">
        <f t="shared" si="100"/>
        <v>0</v>
      </c>
      <c r="BG554" s="2">
        <f t="shared" si="101"/>
        <v>0.69826889279437609</v>
      </c>
      <c r="BH554" s="2">
        <f t="shared" si="102"/>
        <v>0</v>
      </c>
      <c r="BI554" s="2">
        <f t="shared" si="103"/>
        <v>0</v>
      </c>
      <c r="BJ554" s="2">
        <f t="shared" si="104"/>
        <v>0</v>
      </c>
      <c r="BK554" s="2">
        <f t="shared" si="105"/>
        <v>0</v>
      </c>
      <c r="BL554" s="2">
        <f t="shared" si="106"/>
        <v>0.69826889279437609</v>
      </c>
      <c r="BM554" s="2">
        <f t="shared" si="107"/>
        <v>0</v>
      </c>
      <c r="BN554" s="2">
        <f>BI554/SUMIFS(BI$3:BI$623,$BC$3:$BC$623,1,$G$3:$G$623,$G554)</f>
        <v>0</v>
      </c>
      <c r="BO554" s="2">
        <f>BJ554/SUMIFS(BJ$3:BJ$623,$BC$3:$BC$623,1,$G$3:$G$623,$G554)</f>
        <v>0</v>
      </c>
      <c r="BP554" s="2">
        <f>BK554/SUMIFS(BK$3:BK$623,$BC$3:$BC$623,1,$G$3:$G$623,$G554)</f>
        <v>0</v>
      </c>
      <c r="BQ554" s="2">
        <f>BL554</f>
        <v>0.69826889279437609</v>
      </c>
      <c r="BR554" s="2">
        <f>BM554</f>
        <v>0</v>
      </c>
    </row>
    <row r="555" spans="1:70" hidden="1">
      <c r="A555" s="74">
        <v>0</v>
      </c>
      <c r="B555" s="73">
        <v>204886</v>
      </c>
      <c r="C555" s="73" t="s">
        <v>3182</v>
      </c>
      <c r="D555" s="73" t="s">
        <v>3183</v>
      </c>
      <c r="E555" s="73" t="s">
        <v>3184</v>
      </c>
      <c r="F555" s="73">
        <v>18689</v>
      </c>
      <c r="G555" s="73" t="s">
        <v>894</v>
      </c>
      <c r="H555" s="73" t="s">
        <v>925</v>
      </c>
      <c r="I555" s="73" t="s">
        <v>981</v>
      </c>
      <c r="J555" s="73">
        <v>0</v>
      </c>
      <c r="K555" s="73">
        <v>4</v>
      </c>
      <c r="L555" s="73">
        <v>0</v>
      </c>
      <c r="M555" s="73">
        <v>0</v>
      </c>
      <c r="N555" s="73">
        <v>0</v>
      </c>
      <c r="O555" s="73" t="s">
        <v>1318</v>
      </c>
      <c r="P555" s="73" t="s">
        <v>3185</v>
      </c>
      <c r="Q555" s="73" t="s">
        <v>1164</v>
      </c>
      <c r="R555" s="73"/>
      <c r="S555" s="73"/>
      <c r="T555" s="73"/>
      <c r="U555" s="73"/>
      <c r="V555" s="73"/>
      <c r="W555" s="73"/>
      <c r="X555" s="73"/>
      <c r="Y555" s="73"/>
      <c r="Z555" s="73" t="s">
        <v>2184</v>
      </c>
      <c r="AA555" s="73" t="s">
        <v>692</v>
      </c>
      <c r="AB555" s="73" t="str">
        <f>IF(AA555&lt;&gt;"",INDEX(Lookup!$N$2:$N$5,MATCH(Players!AA555,Lookup!$P$2:$P$5,0)),INDEX(Lookup!$N$2:$N$5,MATCH(Players!O555,Lookup!$O$2:$O$5,0)))</f>
        <v>Defense</v>
      </c>
      <c r="AC555" s="73">
        <v>2500000</v>
      </c>
      <c r="AD555" s="73" t="s">
        <v>788</v>
      </c>
      <c r="AE555" s="73" t="str">
        <f>INDEX('Translate table'!$H$2:$H$622,MATCH(Players!P555,'Translate table'!$G$2:$G$622,0))</f>
        <v>Visar Musliu</v>
      </c>
      <c r="AF555" s="73">
        <f>IFERROR(INDEX('Euro Qual stats'!$A$1:$L$2071,MATCH(Players!$AE555,'Euro Qual stats'!$A$1:$A$2071,0),MATCH(Players!AF$2,'Euro Qual stats'!$A$1:$L$1,0)),0)</f>
        <v>10</v>
      </c>
      <c r="AG555" s="73">
        <f>IFERROR(INDEX('Euro Qual stats'!$A$1:$L$2071,MATCH(Players!$AE555,'Euro Qual stats'!$A$1:$A$2071,0),MATCH(Players!AG$2,'Euro Qual stats'!$A$1:$L$1,0)),0)</f>
        <v>0</v>
      </c>
      <c r="AH555" s="73">
        <f>IFERROR(INDEX('Euro Qual stats'!$A$1:$L$2071,MATCH(Players!$AE555,'Euro Qual stats'!$A$1:$A$2071,0),MATCH(Players!AH$2,'Euro Qual stats'!$A$1:$L$1,0)),0)</f>
        <v>0</v>
      </c>
      <c r="AI555" s="73">
        <f>IFERROR(INDEX('Euro Qual stats'!$A$1:$L$2071,MATCH(Players!$AE555,'Euro Qual stats'!$A$1:$A$2071,0),MATCH(Players!AI$2,'Euro Qual stats'!$A$1:$L$1,0)),0)</f>
        <v>0.5</v>
      </c>
      <c r="AJ555" s="93">
        <f>(12-AF555)/12*INDEX(BV$9:BV$12,MATCH($AB555,$BU$9:$BU$12,0))+AF555/12*AG555</f>
        <v>1.4862637362637366E-2</v>
      </c>
      <c r="AK555" s="93">
        <f>(12-AG555)/12*INDEX(BW$9:BW$12,MATCH($AB555,$BU$9:$BU$12,0))+AG555/12*AH555</f>
        <v>0.10357142857142858</v>
      </c>
      <c r="AL555" s="93">
        <f>(12-AH555)/12*INDEX(BX$9:BX$12,MATCH($AB555,$BU$9:$BU$12,0))+AH555/12*AI555</f>
        <v>0.19357142857142848</v>
      </c>
      <c r="AM555" s="93">
        <f>IF($BC555=1,AJ555/SUMIFS(AJ$3:AJ$623,$BC$3:$BC$623,1,$G$3:$G$623,$G555),0)</f>
        <v>1.7102372955182098E-2</v>
      </c>
      <c r="AN555" s="93">
        <f>IF($BC555=1,AK555/SUMIFS(AK$3:AK$623,$BC$3:$BC$623,1,$G$3:$G$623,$G555),0)</f>
        <v>4.8267755101784736E-2</v>
      </c>
      <c r="AO555" s="93">
        <f>IF($BC555=1,AL555/SUMIFS(AL$3:AL$623,$BC$3:$BC$623,1,$G$3:$G$623,$G555),0)</f>
        <v>0.10639130979025732</v>
      </c>
      <c r="AP555" s="2" t="str">
        <f>IFERROR(R555/$V555*90,"")</f>
        <v/>
      </c>
      <c r="AQ555" s="2" t="str">
        <f>IFERROR(S555/$V555*90,"")</f>
        <v/>
      </c>
      <c r="AR555" s="2" t="str">
        <f>IFERROR(W555/$V555*90,"")</f>
        <v/>
      </c>
      <c r="AS555" s="2" t="str">
        <f>IFERROR(X555/$V555*90,"")</f>
        <v/>
      </c>
      <c r="AT555" s="2" t="str">
        <f>IFERROR(Y555/$V555*90,"")</f>
        <v/>
      </c>
      <c r="AU555" s="2">
        <f>IF(AP555="",INDEX(BV$4:BV$7,MATCH(O555,$BU$4:$BU$7,0)),AP555)</f>
        <v>0</v>
      </c>
      <c r="AV555" s="2">
        <f>IF(AQ555="",INDEX(BW$4:BW$7,MATCH($O555,$BU$4:$BU$7,0)),AQ555)</f>
        <v>0</v>
      </c>
      <c r="AW555" s="2">
        <f t="shared" si="96"/>
        <v>8.0624805297505417E-2</v>
      </c>
      <c r="AX555" s="2">
        <f t="shared" si="97"/>
        <v>0.1265377855887522</v>
      </c>
      <c r="AY555" s="2">
        <f t="shared" si="98"/>
        <v>0</v>
      </c>
      <c r="AZ555" s="2">
        <f>AU555*0.5+AK555*0.5</f>
        <v>5.1785714285714289E-2</v>
      </c>
      <c r="BA555" s="2">
        <f>AV555*0.5+AJ555*0.5</f>
        <v>7.431318681318683E-3</v>
      </c>
      <c r="BB555" s="2">
        <f t="shared" si="99"/>
        <v>0.31326889279437609</v>
      </c>
      <c r="BC555">
        <f>IF(I555="expected",1,0)</f>
        <v>1</v>
      </c>
      <c r="BD555" s="78">
        <f>IF(BC555=1,AZ555/SUMIFS(AZ$3:AZ$623,$BC$3:$BC$623,1,$G$3:$G$623,$G555),0)</f>
        <v>3.2117094866749386E-2</v>
      </c>
      <c r="BE555" s="78">
        <f>IF(BC555=1,BA555/SUMIFS(BA$3:BA$623,$BC$3:$BC$623,1,$G$3:$G$623,$G555),0)</f>
        <v>9.1778114601986927E-3</v>
      </c>
      <c r="BF555" s="78">
        <f t="shared" si="100"/>
        <v>2.4489260729854051E-2</v>
      </c>
      <c r="BG555" s="2">
        <f t="shared" si="101"/>
        <v>0.31326889279437609</v>
      </c>
      <c r="BH555" s="2">
        <f t="shared" si="102"/>
        <v>0</v>
      </c>
      <c r="BI555" s="2">
        <f t="shared" si="103"/>
        <v>3.2117094866749386E-2</v>
      </c>
      <c r="BJ555" s="2">
        <f t="shared" si="104"/>
        <v>9.1778114601986927E-3</v>
      </c>
      <c r="BK555" s="2">
        <f t="shared" si="105"/>
        <v>2.4489260729854051E-2</v>
      </c>
      <c r="BL555" s="2">
        <f t="shared" si="106"/>
        <v>0.31326889279437609</v>
      </c>
      <c r="BM555" s="2">
        <f t="shared" si="107"/>
        <v>0</v>
      </c>
      <c r="BN555" s="2">
        <f>BI555/SUMIFS(BI$3:BI$623,$BC$3:$BC$623,1,$G$3:$G$623,$G555)</f>
        <v>3.2117094866749386E-2</v>
      </c>
      <c r="BO555" s="2">
        <f>BJ555/SUMIFS(BJ$3:BJ$623,$BC$3:$BC$623,1,$G$3:$G$623,$G555)</f>
        <v>9.1778114601986909E-3</v>
      </c>
      <c r="BP555" s="2">
        <f>BK555/SUMIFS(BK$3:BK$623,$BC$3:$BC$623,1,$G$3:$G$623,$G555)</f>
        <v>2.4489260729854054E-2</v>
      </c>
      <c r="BQ555" s="2">
        <f>BL555</f>
        <v>0.31326889279437609</v>
      </c>
      <c r="BR555" s="2">
        <f>BM555</f>
        <v>0</v>
      </c>
    </row>
    <row r="556" spans="1:70" hidden="1">
      <c r="A556" s="74">
        <v>0</v>
      </c>
      <c r="B556" s="73">
        <v>204885</v>
      </c>
      <c r="C556" s="73" t="s">
        <v>3186</v>
      </c>
      <c r="D556" s="73" t="s">
        <v>3187</v>
      </c>
      <c r="E556" s="73" t="s">
        <v>3188</v>
      </c>
      <c r="F556" s="73">
        <v>18689</v>
      </c>
      <c r="G556" s="73" t="s">
        <v>894</v>
      </c>
      <c r="H556" s="73" t="s">
        <v>925</v>
      </c>
      <c r="I556" s="73" t="s">
        <v>981</v>
      </c>
      <c r="J556" s="73">
        <v>0</v>
      </c>
      <c r="K556" s="73">
        <v>4</v>
      </c>
      <c r="L556" s="73">
        <v>0</v>
      </c>
      <c r="M556" s="73">
        <v>0</v>
      </c>
      <c r="N556" s="73">
        <v>0</v>
      </c>
      <c r="O556" s="73" t="s">
        <v>1318</v>
      </c>
      <c r="P556" s="73" t="s">
        <v>3189</v>
      </c>
      <c r="Q556" s="73" t="s">
        <v>3190</v>
      </c>
      <c r="R556" s="73">
        <v>0</v>
      </c>
      <c r="S556" s="73">
        <v>0</v>
      </c>
      <c r="T556" s="73">
        <v>0</v>
      </c>
      <c r="U556" s="73">
        <v>0</v>
      </c>
      <c r="V556" s="73">
        <v>0</v>
      </c>
      <c r="W556" s="73">
        <v>0</v>
      </c>
      <c r="X556" s="73">
        <v>0</v>
      </c>
      <c r="Y556" s="73">
        <v>0</v>
      </c>
      <c r="Z556" s="73" t="s">
        <v>2184</v>
      </c>
      <c r="AA556" s="73" t="s">
        <v>692</v>
      </c>
      <c r="AB556" s="73" t="str">
        <f>IF(AA556&lt;&gt;"",INDEX(Lookup!$N$2:$N$5,MATCH(Players!AA556,Lookup!$P$2:$P$5,0)),INDEX(Lookup!$N$2:$N$5,MATCH(Players!O556,Lookup!$O$2:$O$5,0)))</f>
        <v>Defense</v>
      </c>
      <c r="AC556" s="73">
        <v>2000000</v>
      </c>
      <c r="AD556" s="73" t="s">
        <v>788</v>
      </c>
      <c r="AE556" s="73" t="str">
        <f>INDEX('Translate table'!$H$2:$H$622,MATCH(Players!P556,'Translate table'!$G$2:$G$622,0))</f>
        <v>Egzon Bejtulai</v>
      </c>
      <c r="AF556" s="73">
        <f>IFERROR(INDEX('Euro Qual stats'!$A$1:$L$2071,MATCH(Players!$AE556,'Euro Qual stats'!$A$1:$A$2071,0),MATCH(Players!AF$2,'Euro Qual stats'!$A$1:$L$1,0)),0)</f>
        <v>8</v>
      </c>
      <c r="AG556" s="73">
        <f>IFERROR(INDEX('Euro Qual stats'!$A$1:$L$2071,MATCH(Players!$AE556,'Euro Qual stats'!$A$1:$A$2071,0),MATCH(Players!AG$2,'Euro Qual stats'!$A$1:$L$1,0)),0)</f>
        <v>0</v>
      </c>
      <c r="AH556" s="73">
        <f>IFERROR(INDEX('Euro Qual stats'!$A$1:$L$2071,MATCH(Players!$AE556,'Euro Qual stats'!$A$1:$A$2071,0),MATCH(Players!AH$2,'Euro Qual stats'!$A$1:$L$1,0)),0)</f>
        <v>0</v>
      </c>
      <c r="AI556" s="73">
        <f>IFERROR(INDEX('Euro Qual stats'!$A$1:$L$2071,MATCH(Players!$AE556,'Euro Qual stats'!$A$1:$A$2071,0),MATCH(Players!AI$2,'Euro Qual stats'!$A$1:$L$1,0)),0)</f>
        <v>0.53</v>
      </c>
      <c r="AJ556" s="93">
        <f>(12-AF556)/12*INDEX(BV$9:BV$12,MATCH($AB556,$BU$9:$BU$12,0))+AF556/12*AG556</f>
        <v>2.9725274725274732E-2</v>
      </c>
      <c r="AK556" s="93">
        <f>(12-AG556)/12*INDEX(BW$9:BW$12,MATCH($AB556,$BU$9:$BU$12,0))+AG556/12*AH556</f>
        <v>0.10357142857142858</v>
      </c>
      <c r="AL556" s="93">
        <f>(12-AH556)/12*INDEX(BX$9:BX$12,MATCH($AB556,$BU$9:$BU$12,0))+AH556/12*AI556</f>
        <v>0.19357142857142848</v>
      </c>
      <c r="AM556" s="93">
        <f>IF($BC556=1,AJ556/SUMIFS(AJ$3:AJ$623,$BC$3:$BC$623,1,$G$3:$G$623,$G556),0)</f>
        <v>3.4204745910364195E-2</v>
      </c>
      <c r="AN556" s="93">
        <f>IF($BC556=1,AK556/SUMIFS(AK$3:AK$623,$BC$3:$BC$623,1,$G$3:$G$623,$G556),0)</f>
        <v>4.8267755101784736E-2</v>
      </c>
      <c r="AO556" s="93">
        <f>IF($BC556=1,AL556/SUMIFS(AL$3:AL$623,$BC$3:$BC$623,1,$G$3:$G$623,$G556),0)</f>
        <v>0.10639130979025732</v>
      </c>
      <c r="AP556" s="2" t="str">
        <f>IFERROR(R556/$V556*90,"")</f>
        <v/>
      </c>
      <c r="AQ556" s="2" t="str">
        <f>IFERROR(S556/$V556*90,"")</f>
        <v/>
      </c>
      <c r="AR556" s="2" t="str">
        <f>IFERROR(W556/$V556*90,"")</f>
        <v/>
      </c>
      <c r="AS556" s="2" t="str">
        <f>IFERROR(X556/$V556*90,"")</f>
        <v/>
      </c>
      <c r="AT556" s="2" t="str">
        <f>IFERROR(Y556/$V556*90,"")</f>
        <v/>
      </c>
      <c r="AU556" s="2">
        <f>IF(AP556="",INDEX(BV$4:BV$7,MATCH(O556,$BU$4:$BU$7,0)),AP556)</f>
        <v>0</v>
      </c>
      <c r="AV556" s="2">
        <f>IF(AQ556="",INDEX(BW$4:BW$7,MATCH($O556,$BU$4:$BU$7,0)),AQ556)</f>
        <v>0</v>
      </c>
      <c r="AW556" s="2">
        <f t="shared" si="96"/>
        <v>8.0624805297505417E-2</v>
      </c>
      <c r="AX556" s="2">
        <f t="shared" si="97"/>
        <v>0.1265377855887522</v>
      </c>
      <c r="AY556" s="2">
        <f t="shared" si="98"/>
        <v>0</v>
      </c>
      <c r="AZ556" s="2">
        <f>AU556*0.5+AK556*0.5</f>
        <v>5.1785714285714289E-2</v>
      </c>
      <c r="BA556" s="2">
        <f>AV556*0.5+AJ556*0.5</f>
        <v>1.4862637362637366E-2</v>
      </c>
      <c r="BB556" s="2">
        <f t="shared" si="99"/>
        <v>0.3282688927943761</v>
      </c>
      <c r="BC556">
        <f>IF(I556="expected",1,0)</f>
        <v>1</v>
      </c>
      <c r="BD556" s="78">
        <f>IF(BC556=1,AZ556/SUMIFS(AZ$3:AZ$623,$BC$3:$BC$623,1,$G$3:$G$623,$G556),0)</f>
        <v>3.2117094866749386E-2</v>
      </c>
      <c r="BE556" s="78">
        <f>IF(BC556=1,BA556/SUMIFS(BA$3:BA$623,$BC$3:$BC$623,1,$G$3:$G$623,$G556),0)</f>
        <v>1.8355622920397385E-2</v>
      </c>
      <c r="BF556" s="78">
        <f t="shared" si="100"/>
        <v>2.4489260729854051E-2</v>
      </c>
      <c r="BG556" s="2">
        <f t="shared" si="101"/>
        <v>0.3282688927943761</v>
      </c>
      <c r="BH556" s="2">
        <f t="shared" si="102"/>
        <v>0</v>
      </c>
      <c r="BI556" s="2">
        <f t="shared" si="103"/>
        <v>3.2117094866749386E-2</v>
      </c>
      <c r="BJ556" s="2">
        <f t="shared" si="104"/>
        <v>1.8355622920397385E-2</v>
      </c>
      <c r="BK556" s="2">
        <f t="shared" si="105"/>
        <v>2.4489260729854051E-2</v>
      </c>
      <c r="BL556" s="2">
        <f t="shared" si="106"/>
        <v>0.3282688927943761</v>
      </c>
      <c r="BM556" s="2">
        <f t="shared" si="107"/>
        <v>0</v>
      </c>
      <c r="BN556" s="2">
        <f>BI556/SUMIFS(BI$3:BI$623,$BC$3:$BC$623,1,$G$3:$G$623,$G556)</f>
        <v>3.2117094866749386E-2</v>
      </c>
      <c r="BO556" s="2">
        <f>BJ556/SUMIFS(BJ$3:BJ$623,$BC$3:$BC$623,1,$G$3:$G$623,$G556)</f>
        <v>1.8355622920397382E-2</v>
      </c>
      <c r="BP556" s="2">
        <f>BK556/SUMIFS(BK$3:BK$623,$BC$3:$BC$623,1,$G$3:$G$623,$G556)</f>
        <v>2.4489260729854054E-2</v>
      </c>
      <c r="BQ556" s="2">
        <f>BL556</f>
        <v>0.3282688927943761</v>
      </c>
      <c r="BR556" s="2">
        <f>BM556</f>
        <v>0</v>
      </c>
    </row>
    <row r="557" spans="1:70" hidden="1">
      <c r="A557" s="74">
        <v>0</v>
      </c>
      <c r="B557" s="73">
        <v>204877</v>
      </c>
      <c r="C557" s="73" t="s">
        <v>3191</v>
      </c>
      <c r="D557" s="73" t="s">
        <v>1585</v>
      </c>
      <c r="E557" s="73" t="s">
        <v>3192</v>
      </c>
      <c r="F557" s="73">
        <v>18689</v>
      </c>
      <c r="G557" s="73" t="s">
        <v>894</v>
      </c>
      <c r="H557" s="73" t="s">
        <v>925</v>
      </c>
      <c r="I557" s="73" t="s">
        <v>981</v>
      </c>
      <c r="J557" s="73">
        <v>0</v>
      </c>
      <c r="K557" s="73">
        <v>4</v>
      </c>
      <c r="L557" s="73">
        <v>0</v>
      </c>
      <c r="M557" s="73">
        <v>0</v>
      </c>
      <c r="N557" s="73">
        <v>0</v>
      </c>
      <c r="O557" s="73" t="s">
        <v>1318</v>
      </c>
      <c r="P557" s="73" t="s">
        <v>3193</v>
      </c>
      <c r="Q557" s="73" t="s">
        <v>3194</v>
      </c>
      <c r="R557" s="73">
        <v>2</v>
      </c>
      <c r="S557" s="73">
        <v>0</v>
      </c>
      <c r="T557" s="73">
        <v>0</v>
      </c>
      <c r="U557" s="73">
        <v>6</v>
      </c>
      <c r="V557" s="73">
        <v>2785</v>
      </c>
      <c r="W557" s="73">
        <v>4</v>
      </c>
      <c r="X557" s="73">
        <v>3</v>
      </c>
      <c r="Y557" s="73">
        <v>1</v>
      </c>
      <c r="Z557" s="73" t="s">
        <v>2184</v>
      </c>
      <c r="AA557" s="73" t="s">
        <v>692</v>
      </c>
      <c r="AB557" s="73" t="str">
        <f>IF(AA557&lt;&gt;"",INDEX(Lookup!$N$2:$N$5,MATCH(Players!AA557,Lookup!$P$2:$P$5,0)),INDEX(Lookup!$N$2:$N$5,MATCH(Players!O557,Lookup!$O$2:$O$5,0)))</f>
        <v>Defense</v>
      </c>
      <c r="AC557" s="73">
        <v>2500000</v>
      </c>
      <c r="AD557" s="73" t="s">
        <v>788</v>
      </c>
      <c r="AE557" s="73" t="str">
        <f>INDEX('Translate table'!$H$2:$H$622,MATCH(Players!P557,'Translate table'!$G$2:$G$622,0))</f>
        <v>Stefan Ristovski</v>
      </c>
      <c r="AF557" s="73">
        <f>IFERROR(INDEX('Euro Qual stats'!$A$1:$L$2071,MATCH(Players!$AE557,'Euro Qual stats'!$A$1:$A$2071,0),MATCH(Players!AF$2,'Euro Qual stats'!$A$1:$L$1,0)),0)</f>
        <v>10</v>
      </c>
      <c r="AG557" s="73">
        <f>IFERROR(INDEX('Euro Qual stats'!$A$1:$L$2071,MATCH(Players!$AE557,'Euro Qual stats'!$A$1:$A$2071,0),MATCH(Players!AG$2,'Euro Qual stats'!$A$1:$L$1,0)),0)</f>
        <v>0</v>
      </c>
      <c r="AH557" s="73">
        <f>IFERROR(INDEX('Euro Qual stats'!$A$1:$L$2071,MATCH(Players!$AE557,'Euro Qual stats'!$A$1:$A$2071,0),MATCH(Players!AH$2,'Euro Qual stats'!$A$1:$L$1,0)),0)</f>
        <v>0</v>
      </c>
      <c r="AI557" s="73">
        <f>IFERROR(INDEX('Euro Qual stats'!$A$1:$L$2071,MATCH(Players!$AE557,'Euro Qual stats'!$A$1:$A$2071,0),MATCH(Players!AI$2,'Euro Qual stats'!$A$1:$L$1,0)),0)</f>
        <v>0.21</v>
      </c>
      <c r="AJ557" s="93">
        <f>(12-AF557)/12*INDEX(BV$9:BV$12,MATCH($AB557,$BU$9:$BU$12,0))+AF557/12*AG557</f>
        <v>1.4862637362637366E-2</v>
      </c>
      <c r="AK557" s="93">
        <f>(12-AG557)/12*INDEX(BW$9:BW$12,MATCH($AB557,$BU$9:$BU$12,0))+AG557/12*AH557</f>
        <v>0.10357142857142858</v>
      </c>
      <c r="AL557" s="93">
        <f>(12-AH557)/12*INDEX(BX$9:BX$12,MATCH($AB557,$BU$9:$BU$12,0))+AH557/12*AI557</f>
        <v>0.19357142857142848</v>
      </c>
      <c r="AM557" s="93">
        <f>IF($BC557=1,AJ557/SUMIFS(AJ$3:AJ$623,$BC$3:$BC$623,1,$G$3:$G$623,$G557),0)</f>
        <v>1.7102372955182098E-2</v>
      </c>
      <c r="AN557" s="93">
        <f>IF($BC557=1,AK557/SUMIFS(AK$3:AK$623,$BC$3:$BC$623,1,$G$3:$G$623,$G557),0)</f>
        <v>4.8267755101784736E-2</v>
      </c>
      <c r="AO557" s="93">
        <f>IF($BC557=1,AL557/SUMIFS(AL$3:AL$623,$BC$3:$BC$623,1,$G$3:$G$623,$G557),0)</f>
        <v>0.10639130979025732</v>
      </c>
      <c r="AP557" s="2">
        <f>IFERROR(R557/$V557*90,"")</f>
        <v>6.4631956912028735E-2</v>
      </c>
      <c r="AQ557" s="2">
        <f>IFERROR(S557/$V557*90,"")</f>
        <v>0</v>
      </c>
      <c r="AR557" s="2">
        <f>IFERROR(W557/$V557*90,"")</f>
        <v>0.12926391382405747</v>
      </c>
      <c r="AS557" s="2">
        <f>IFERROR(X557/$V557*90,"")</f>
        <v>9.6947935368043081E-2</v>
      </c>
      <c r="AT557" s="2">
        <f>IFERROR(Y557/$V557*90,"")</f>
        <v>3.2315978456014367E-2</v>
      </c>
      <c r="AU557" s="2">
        <f>IF(AP557="",INDEX(BV$4:BV$7,MATCH(O557,$BU$4:$BU$7,0)),AP557)</f>
        <v>6.4631956912028735E-2</v>
      </c>
      <c r="AV557" s="2">
        <f>IF(AQ557="",INDEX(BW$4:BW$7,MATCH($O557,$BU$4:$BU$7,0)),AQ557)</f>
        <v>0</v>
      </c>
      <c r="AW557" s="2">
        <f t="shared" si="96"/>
        <v>0.12926391382405747</v>
      </c>
      <c r="AX557" s="2">
        <f t="shared" si="97"/>
        <v>9.6947935368043081E-2</v>
      </c>
      <c r="AY557" s="2">
        <f t="shared" si="98"/>
        <v>3.2315978456014367E-2</v>
      </c>
      <c r="AZ557" s="2">
        <f>AU557*0.5+AK557*0.5</f>
        <v>8.4101692741728656E-2</v>
      </c>
      <c r="BA557" s="2">
        <f>AV557*0.5+AJ557*0.5</f>
        <v>7.431318681318683E-3</v>
      </c>
      <c r="BB557" s="2">
        <f t="shared" si="99"/>
        <v>0.15347396768402155</v>
      </c>
      <c r="BC557">
        <f>IF(I557="expected",1,0)</f>
        <v>1</v>
      </c>
      <c r="BD557" s="78">
        <f>IF(BC557=1,AZ557/SUMIFS(AZ$3:AZ$623,$BC$3:$BC$623,1,$G$3:$G$623,$G557),0)</f>
        <v>5.2159211888778347E-2</v>
      </c>
      <c r="BE557" s="78">
        <f>IF(BC557=1,BA557/SUMIFS(BA$3:BA$623,$BC$3:$BC$623,1,$G$3:$G$623,$G557),0)</f>
        <v>9.1778114601986927E-3</v>
      </c>
      <c r="BF557" s="78">
        <f t="shared" si="100"/>
        <v>3.9263073900367901E-2</v>
      </c>
      <c r="BG557" s="2">
        <f t="shared" si="101"/>
        <v>0.15347396768402155</v>
      </c>
      <c r="BH557" s="2">
        <f t="shared" si="102"/>
        <v>3.2315978456014367E-2</v>
      </c>
      <c r="BI557" s="2">
        <f t="shared" si="103"/>
        <v>5.2159211888778347E-2</v>
      </c>
      <c r="BJ557" s="2">
        <f t="shared" si="104"/>
        <v>9.1778114601986927E-3</v>
      </c>
      <c r="BK557" s="2">
        <f t="shared" si="105"/>
        <v>3.9263073900367901E-2</v>
      </c>
      <c r="BL557" s="2">
        <f t="shared" si="106"/>
        <v>0.15347396768402155</v>
      </c>
      <c r="BM557" s="2">
        <f t="shared" si="107"/>
        <v>3.2315978456014367E-2</v>
      </c>
      <c r="BN557" s="2">
        <f>BI557/SUMIFS(BI$3:BI$623,$BC$3:$BC$623,1,$G$3:$G$623,$G557)</f>
        <v>5.2159211888778347E-2</v>
      </c>
      <c r="BO557" s="2">
        <f>BJ557/SUMIFS(BJ$3:BJ$623,$BC$3:$BC$623,1,$G$3:$G$623,$G557)</f>
        <v>9.1778114601986909E-3</v>
      </c>
      <c r="BP557" s="2">
        <f>BK557/SUMIFS(BK$3:BK$623,$BC$3:$BC$623,1,$G$3:$G$623,$G557)</f>
        <v>3.9263073900367908E-2</v>
      </c>
      <c r="BQ557" s="2">
        <f>BL557</f>
        <v>0.15347396768402155</v>
      </c>
      <c r="BR557" s="2">
        <f>BM557</f>
        <v>3.2315978456014367E-2</v>
      </c>
    </row>
    <row r="558" spans="1:70" hidden="1">
      <c r="A558" s="74">
        <v>0</v>
      </c>
      <c r="B558" s="73">
        <v>204876</v>
      </c>
      <c r="C558" s="73" t="s">
        <v>3195</v>
      </c>
      <c r="D558" s="73" t="s">
        <v>3196</v>
      </c>
      <c r="E558" s="73" t="s">
        <v>3197</v>
      </c>
      <c r="F558" s="73">
        <v>18689</v>
      </c>
      <c r="G558" s="73" t="s">
        <v>894</v>
      </c>
      <c r="H558" s="73" t="s">
        <v>925</v>
      </c>
      <c r="I558" s="73" t="s">
        <v>981</v>
      </c>
      <c r="J558" s="73">
        <v>0</v>
      </c>
      <c r="K558" s="73">
        <v>4</v>
      </c>
      <c r="L558" s="73">
        <v>0</v>
      </c>
      <c r="M558" s="73">
        <v>0</v>
      </c>
      <c r="N558" s="73">
        <v>0</v>
      </c>
      <c r="O558" s="73" t="s">
        <v>1318</v>
      </c>
      <c r="P558" s="73" t="s">
        <v>3198</v>
      </c>
      <c r="Q558" s="73" t="s">
        <v>3199</v>
      </c>
      <c r="R558" s="73">
        <v>3</v>
      </c>
      <c r="S558" s="73">
        <v>6</v>
      </c>
      <c r="T558" s="73">
        <v>0</v>
      </c>
      <c r="U558" s="73">
        <v>4</v>
      </c>
      <c r="V558" s="73">
        <v>2503</v>
      </c>
      <c r="W558" s="73">
        <v>11</v>
      </c>
      <c r="X558" s="73">
        <v>3</v>
      </c>
      <c r="Y558" s="73">
        <v>0</v>
      </c>
      <c r="Z558" s="73" t="s">
        <v>2184</v>
      </c>
      <c r="AA558" s="73" t="s">
        <v>692</v>
      </c>
      <c r="AB558" s="73" t="str">
        <f>IF(AA558&lt;&gt;"",INDEX(Lookup!$N$2:$N$5,MATCH(Players!AA558,Lookup!$P$2:$P$5,0)),INDEX(Lookup!$N$2:$N$5,MATCH(Players!O558,Lookup!$O$2:$O$5,0)))</f>
        <v>Defense</v>
      </c>
      <c r="AC558" s="73">
        <v>2500000</v>
      </c>
      <c r="AD558" s="73" t="s">
        <v>788</v>
      </c>
      <c r="AE558" s="73" t="str">
        <f>INDEX('Translate table'!$H$2:$H$622,MATCH(Players!P558,'Translate table'!$G$2:$G$622,0))</f>
        <v>Darko Velkoski</v>
      </c>
      <c r="AF558" s="73">
        <f>IFERROR(INDEX('Euro Qual stats'!$A$1:$L$2071,MATCH(Players!$AE558,'Euro Qual stats'!$A$1:$A$2071,0),MATCH(Players!AF$2,'Euro Qual stats'!$A$1:$L$1,0)),0)</f>
        <v>10</v>
      </c>
      <c r="AG558" s="73">
        <f>IFERROR(INDEX('Euro Qual stats'!$A$1:$L$2071,MATCH(Players!$AE558,'Euro Qual stats'!$A$1:$A$2071,0),MATCH(Players!AG$2,'Euro Qual stats'!$A$1:$L$1,0)),0)</f>
        <v>0</v>
      </c>
      <c r="AH558" s="73">
        <f>IFERROR(INDEX('Euro Qual stats'!$A$1:$L$2071,MATCH(Players!$AE558,'Euro Qual stats'!$A$1:$A$2071,0),MATCH(Players!AH$2,'Euro Qual stats'!$A$1:$L$1,0)),0)</f>
        <v>0.1</v>
      </c>
      <c r="AI558" s="73">
        <f>IFERROR(INDEX('Euro Qual stats'!$A$1:$L$2071,MATCH(Players!$AE558,'Euro Qual stats'!$A$1:$A$2071,0),MATCH(Players!AI$2,'Euro Qual stats'!$A$1:$L$1,0)),0)</f>
        <v>0.1</v>
      </c>
      <c r="AJ558" s="93">
        <f>(12-AF558)/12*INDEX(BV$9:BV$12,MATCH($AB558,$BU$9:$BU$12,0))+AF558/12*AG558</f>
        <v>1.4862637362637366E-2</v>
      </c>
      <c r="AK558" s="93">
        <f>(12-AG558)/12*INDEX(BW$9:BW$12,MATCH($AB558,$BU$9:$BU$12,0))+AG558/12*AH558</f>
        <v>0.10357142857142858</v>
      </c>
      <c r="AL558" s="93">
        <f>(12-AH558)/12*INDEX(BX$9:BX$12,MATCH($AB558,$BU$9:$BU$12,0))+AH558/12*AI558</f>
        <v>0.19279166666666658</v>
      </c>
      <c r="AM558" s="93">
        <f>IF($BC558=1,AJ558/SUMIFS(AJ$3:AJ$623,$BC$3:$BC$623,1,$G$3:$G$623,$G558),0)</f>
        <v>1.7102372955182098E-2</v>
      </c>
      <c r="AN558" s="93">
        <f>IF($BC558=1,AK558/SUMIFS(AK$3:AK$623,$BC$3:$BC$623,1,$G$3:$G$623,$G558),0)</f>
        <v>4.8267755101784736E-2</v>
      </c>
      <c r="AO558" s="93">
        <f>IF($BC558=1,AL558/SUMIFS(AL$3:AL$623,$BC$3:$BC$623,1,$G$3:$G$623,$G558),0)</f>
        <v>0.10596273471084393</v>
      </c>
      <c r="AP558" s="2">
        <f>IFERROR(R558/$V558*90,"")</f>
        <v>0.10787055533359967</v>
      </c>
      <c r="AQ558" s="2">
        <f>IFERROR(S558/$V558*90,"")</f>
        <v>0.21574111066719934</v>
      </c>
      <c r="AR558" s="2">
        <f>IFERROR(W558/$V558*90,"")</f>
        <v>0.39552536955653211</v>
      </c>
      <c r="AS558" s="2">
        <f>IFERROR(X558/$V558*90,"")</f>
        <v>0.10787055533359967</v>
      </c>
      <c r="AT558" s="2">
        <f>IFERROR(Y558/$V558*90,"")</f>
        <v>0</v>
      </c>
      <c r="AU558" s="2">
        <f>IF(AP558="",INDEX(BV$4:BV$7,MATCH(O558,$BU$4:$BU$7,0)),AP558)</f>
        <v>0.10787055533359967</v>
      </c>
      <c r="AV558" s="2">
        <f>IF(AQ558="",INDEX(BW$4:BW$7,MATCH($O558,$BU$4:$BU$7,0)),AQ558)</f>
        <v>0.21574111066719934</v>
      </c>
      <c r="AW558" s="2">
        <f t="shared" si="96"/>
        <v>0.39552536955653211</v>
      </c>
      <c r="AX558" s="2">
        <f t="shared" si="97"/>
        <v>0.10787055533359967</v>
      </c>
      <c r="AY558" s="2">
        <f t="shared" si="98"/>
        <v>0</v>
      </c>
      <c r="AZ558" s="2">
        <f>AU558*0.5+AK558*0.5</f>
        <v>0.10572099195251412</v>
      </c>
      <c r="BA558" s="2">
        <f>AV558*0.5+AJ558*0.5</f>
        <v>0.11530187401491836</v>
      </c>
      <c r="BB558" s="2">
        <f t="shared" si="99"/>
        <v>0.10393527766679983</v>
      </c>
      <c r="BC558">
        <f>IF(I558="expected",1,0)</f>
        <v>1</v>
      </c>
      <c r="BD558" s="78">
        <f>IF(BC558=1,AZ558/SUMIFS(AZ$3:AZ$623,$BC$3:$BC$623,1,$G$3:$G$623,$G558),0)</f>
        <v>6.5567332125848851E-2</v>
      </c>
      <c r="BE558" s="78">
        <f>IF(BC558=1,BA558/SUMIFS(BA$3:BA$623,$BC$3:$BC$623,1,$G$3:$G$623,$G558),0)</f>
        <v>0.14239987626647216</v>
      </c>
      <c r="BF558" s="78">
        <f t="shared" si="100"/>
        <v>0.12013826098060032</v>
      </c>
      <c r="BG558" s="2">
        <f t="shared" si="101"/>
        <v>0.10393527766679983</v>
      </c>
      <c r="BH558" s="2">
        <f t="shared" si="102"/>
        <v>0</v>
      </c>
      <c r="BI558" s="2">
        <f t="shared" si="103"/>
        <v>6.5567332125848851E-2</v>
      </c>
      <c r="BJ558" s="2">
        <f t="shared" si="104"/>
        <v>0.14239987626647216</v>
      </c>
      <c r="BK558" s="2">
        <f t="shared" si="105"/>
        <v>0.12013826098060032</v>
      </c>
      <c r="BL558" s="2">
        <f t="shared" si="106"/>
        <v>0.10393527766679983</v>
      </c>
      <c r="BM558" s="2">
        <f t="shared" si="107"/>
        <v>0</v>
      </c>
      <c r="BN558" s="2">
        <f>BI558/SUMIFS(BI$3:BI$623,$BC$3:$BC$623,1,$G$3:$G$623,$G558)</f>
        <v>6.5567332125848851E-2</v>
      </c>
      <c r="BO558" s="2">
        <f>BJ558/SUMIFS(BJ$3:BJ$623,$BC$3:$BC$623,1,$G$3:$G$623,$G558)</f>
        <v>0.14239987626647213</v>
      </c>
      <c r="BP558" s="2">
        <f>BK558/SUMIFS(BK$3:BK$623,$BC$3:$BC$623,1,$G$3:$G$623,$G558)</f>
        <v>0.12013826098060033</v>
      </c>
      <c r="BQ558" s="2">
        <f>BL558</f>
        <v>0.10393527766679983</v>
      </c>
      <c r="BR558" s="2">
        <f>BM558</f>
        <v>0</v>
      </c>
    </row>
    <row r="559" spans="1:70" hidden="1">
      <c r="A559" s="74">
        <v>0</v>
      </c>
      <c r="B559" s="73">
        <v>223186</v>
      </c>
      <c r="C559" s="73" t="s">
        <v>3200</v>
      </c>
      <c r="D559" s="73" t="s">
        <v>3196</v>
      </c>
      <c r="E559" s="73" t="s">
        <v>3201</v>
      </c>
      <c r="F559" s="73">
        <v>18689</v>
      </c>
      <c r="G559" s="73" t="s">
        <v>894</v>
      </c>
      <c r="H559" s="73" t="s">
        <v>925</v>
      </c>
      <c r="I559" s="73" t="s">
        <v>1012</v>
      </c>
      <c r="J559" s="73">
        <v>0</v>
      </c>
      <c r="K559" s="73">
        <v>4</v>
      </c>
      <c r="L559" s="73">
        <v>0</v>
      </c>
      <c r="M559" s="73">
        <v>0</v>
      </c>
      <c r="N559" s="73">
        <v>0</v>
      </c>
      <c r="O559" s="73" t="s">
        <v>994</v>
      </c>
      <c r="P559" s="73" t="s">
        <v>3202</v>
      </c>
      <c r="Q559" s="73" t="s">
        <v>3202</v>
      </c>
      <c r="R559" s="73">
        <v>0</v>
      </c>
      <c r="S559" s="73">
        <v>1</v>
      </c>
      <c r="T559" s="73">
        <v>0</v>
      </c>
      <c r="U559" s="73">
        <v>0</v>
      </c>
      <c r="V559" s="73">
        <v>205</v>
      </c>
      <c r="W559" s="73">
        <v>0</v>
      </c>
      <c r="X559" s="73">
        <v>0</v>
      </c>
      <c r="Y559" s="73">
        <v>0</v>
      </c>
      <c r="Z559" s="73" t="s">
        <v>2184</v>
      </c>
      <c r="AA559" s="73" t="s">
        <v>691</v>
      </c>
      <c r="AB559" s="73" t="str">
        <f>IF(AA559&lt;&gt;"",INDEX(Lookup!$N$2:$N$5,MATCH(Players!AA559,Lookup!$P$2:$P$5,0)),INDEX(Lookup!$N$2:$N$5,MATCH(Players!O559,Lookup!$O$2:$O$5,0)))</f>
        <v>Midfield</v>
      </c>
      <c r="AC559" s="73">
        <v>2000000</v>
      </c>
      <c r="AD559" s="73" t="s">
        <v>788</v>
      </c>
      <c r="AE559" s="73" t="str">
        <f>INDEX('Translate table'!$H$2:$H$622,MATCH(Players!P559,'Translate table'!$G$2:$G$622,0))</f>
        <v>Darko Churlinov</v>
      </c>
      <c r="AF559" s="73">
        <f>IFERROR(INDEX('Euro Qual stats'!$A$1:$L$2071,MATCH(Players!$AE559,'Euro Qual stats'!$A$1:$A$2071,0),MATCH(Players!AF$2,'Euro Qual stats'!$A$1:$L$1,0)),0)</f>
        <v>0</v>
      </c>
      <c r="AG559" s="73">
        <f>IFERROR(INDEX('Euro Qual stats'!$A$1:$L$2071,MATCH(Players!$AE559,'Euro Qual stats'!$A$1:$A$2071,0),MATCH(Players!AG$2,'Euro Qual stats'!$A$1:$L$1,0)),0)</f>
        <v>0</v>
      </c>
      <c r="AH559" s="73">
        <f>IFERROR(INDEX('Euro Qual stats'!$A$1:$L$2071,MATCH(Players!$AE559,'Euro Qual stats'!$A$1:$A$2071,0),MATCH(Players!AH$2,'Euro Qual stats'!$A$1:$L$1,0)),0)</f>
        <v>0</v>
      </c>
      <c r="AI559" s="73">
        <f>IFERROR(INDEX('Euro Qual stats'!$A$1:$L$2071,MATCH(Players!$AE559,'Euro Qual stats'!$A$1:$A$2071,0),MATCH(Players!AI$2,'Euro Qual stats'!$A$1:$L$1,0)),0)</f>
        <v>0</v>
      </c>
      <c r="AJ559" s="93">
        <f>(12-AF559)/12*INDEX(BV$9:BV$12,MATCH($AB559,$BU$9:$BU$12,0))+AF559/12*AG559</f>
        <v>0.16869109947643979</v>
      </c>
      <c r="AK559" s="93">
        <f>(12-AG559)/12*INDEX(BW$9:BW$12,MATCH($AB559,$BU$9:$BU$12,0))+AG559/12*AH559</f>
        <v>0.22340314136125652</v>
      </c>
      <c r="AL559" s="93">
        <f>(12-AH559)/12*INDEX(BX$9:BX$12,MATCH($AB559,$BU$9:$BU$12,0))+AH559/12*AI559</f>
        <v>0.23942408376963353</v>
      </c>
      <c r="AM559" s="93">
        <f>IF($BC559=1,AJ559/SUMIFS(AJ$3:AJ$623,$BC$3:$BC$623,1,$G$3:$G$623,$G559),0)</f>
        <v>0</v>
      </c>
      <c r="AN559" s="93">
        <f>IF($BC559=1,AK559/SUMIFS(AK$3:AK$623,$BC$3:$BC$623,1,$G$3:$G$623,$G559),0)</f>
        <v>0</v>
      </c>
      <c r="AO559" s="93">
        <f>IF($BC559=1,AL559/SUMIFS(AL$3:AL$623,$BC$3:$BC$623,1,$G$3:$G$623,$G559),0)</f>
        <v>0</v>
      </c>
      <c r="AP559" s="2">
        <f>IFERROR(R559/$V559*90,"")</f>
        <v>0</v>
      </c>
      <c r="AQ559" s="2">
        <f>IFERROR(S559/$V559*90,"")</f>
        <v>0.43902439024390244</v>
      </c>
      <c r="AR559" s="2">
        <f>IFERROR(W559/$V559*90,"")</f>
        <v>0</v>
      </c>
      <c r="AS559" s="2">
        <f>IFERROR(X559/$V559*90,"")</f>
        <v>0</v>
      </c>
      <c r="AT559" s="2">
        <f>IFERROR(Y559/$V559*90,"")</f>
        <v>0</v>
      </c>
      <c r="AU559" s="2">
        <f>IF(AP559="",INDEX(BV$4:BV$7,MATCH(O559,$BU$4:$BU$7,0)),AP559)</f>
        <v>0</v>
      </c>
      <c r="AV559" s="2">
        <f>IF(AQ559="",INDEX(BW$4:BW$7,MATCH($O559,$BU$4:$BU$7,0)),AQ559)</f>
        <v>0.43902439024390244</v>
      </c>
      <c r="AW559" s="2">
        <f t="shared" si="96"/>
        <v>0</v>
      </c>
      <c r="AX559" s="2">
        <f t="shared" si="97"/>
        <v>0</v>
      </c>
      <c r="AY559" s="2">
        <f t="shared" si="98"/>
        <v>0</v>
      </c>
      <c r="AZ559" s="2">
        <f>AU559*0.5+AK559*0.5</f>
        <v>0.11170157068062826</v>
      </c>
      <c r="BA559" s="2">
        <f>AV559*0.5+AJ559*0.5</f>
        <v>0.30385774486017114</v>
      </c>
      <c r="BB559" s="2">
        <f t="shared" si="99"/>
        <v>0</v>
      </c>
      <c r="BC559">
        <f>IF(I559="expected",1,0)</f>
        <v>0</v>
      </c>
      <c r="BD559" s="78">
        <f>IF(BC559=1,AZ559/SUMIFS(AZ$3:AZ$623,$BC$3:$BC$623,1,$G$3:$G$623,$G559),0)</f>
        <v>0</v>
      </c>
      <c r="BE559" s="78">
        <f>IF(BC559=1,BA559/SUMIFS(BA$3:BA$623,$BC$3:$BC$623,1,$G$3:$G$623,$G559),0)</f>
        <v>0</v>
      </c>
      <c r="BF559" s="78">
        <f t="shared" si="100"/>
        <v>0</v>
      </c>
      <c r="BG559" s="2">
        <f t="shared" si="101"/>
        <v>0</v>
      </c>
      <c r="BH559" s="2">
        <f t="shared" si="102"/>
        <v>0</v>
      </c>
      <c r="BI559" s="2">
        <f t="shared" si="103"/>
        <v>0</v>
      </c>
      <c r="BJ559" s="2">
        <f t="shared" si="104"/>
        <v>0</v>
      </c>
      <c r="BK559" s="2">
        <f t="shared" si="105"/>
        <v>0</v>
      </c>
      <c r="BL559" s="2">
        <f t="shared" si="106"/>
        <v>0</v>
      </c>
      <c r="BM559" s="2">
        <f t="shared" si="107"/>
        <v>0</v>
      </c>
      <c r="BN559" s="2">
        <f>BI559/SUMIFS(BI$3:BI$623,$BC$3:$BC$623,1,$G$3:$G$623,$G559)</f>
        <v>0</v>
      </c>
      <c r="BO559" s="2">
        <f>BJ559/SUMIFS(BJ$3:BJ$623,$BC$3:$BC$623,1,$G$3:$G$623,$G559)</f>
        <v>0</v>
      </c>
      <c r="BP559" s="2">
        <f>BK559/SUMIFS(BK$3:BK$623,$BC$3:$BC$623,1,$G$3:$G$623,$G559)</f>
        <v>0</v>
      </c>
      <c r="BQ559" s="2">
        <f>BL559</f>
        <v>0</v>
      </c>
      <c r="BR559" s="2">
        <f>BM559</f>
        <v>0</v>
      </c>
    </row>
    <row r="560" spans="1:70" hidden="1">
      <c r="A560" s="74">
        <v>0</v>
      </c>
      <c r="B560" s="73">
        <v>223185</v>
      </c>
      <c r="C560" s="73" t="s">
        <v>3203</v>
      </c>
      <c r="D560" s="73" t="s">
        <v>1736</v>
      </c>
      <c r="E560" s="73" t="s">
        <v>3204</v>
      </c>
      <c r="F560" s="73">
        <v>18689</v>
      </c>
      <c r="G560" s="73" t="s">
        <v>894</v>
      </c>
      <c r="H560" s="73" t="s">
        <v>925</v>
      </c>
      <c r="I560" s="73" t="s">
        <v>1012</v>
      </c>
      <c r="J560" s="73">
        <v>0</v>
      </c>
      <c r="K560" s="73">
        <v>4</v>
      </c>
      <c r="L560" s="73">
        <v>0</v>
      </c>
      <c r="M560" s="73">
        <v>0</v>
      </c>
      <c r="N560" s="73">
        <v>0</v>
      </c>
      <c r="O560" s="73" t="s">
        <v>994</v>
      </c>
      <c r="P560" s="73" t="s">
        <v>3205</v>
      </c>
      <c r="Q560" s="73" t="s">
        <v>3206</v>
      </c>
      <c r="R560" s="73">
        <v>2</v>
      </c>
      <c r="S560" s="73">
        <v>1</v>
      </c>
      <c r="T560" s="73">
        <v>0</v>
      </c>
      <c r="U560" s="73">
        <v>1</v>
      </c>
      <c r="V560" s="73">
        <v>1430</v>
      </c>
      <c r="W560" s="73">
        <v>3</v>
      </c>
      <c r="X560" s="73">
        <v>0</v>
      </c>
      <c r="Y560" s="73">
        <v>0</v>
      </c>
      <c r="Z560" s="73" t="s">
        <v>2184</v>
      </c>
      <c r="AA560" s="73" t="s">
        <v>691</v>
      </c>
      <c r="AB560" s="73" t="str">
        <f>IF(AA560&lt;&gt;"",INDEX(Lookup!$N$2:$N$5,MATCH(Players!AA560,Lookup!$P$2:$P$5,0)),INDEX(Lookup!$N$2:$N$5,MATCH(Players!O560,Lookup!$O$2:$O$5,0)))</f>
        <v>Midfield</v>
      </c>
      <c r="AC560" s="73">
        <v>2000000</v>
      </c>
      <c r="AD560" s="73" t="s">
        <v>788</v>
      </c>
      <c r="AE560" s="73" t="str">
        <f>INDEX('Translate table'!$H$2:$H$622,MATCH(Players!P560,'Translate table'!$G$2:$G$622,0))</f>
        <v>Daniel Avramovski</v>
      </c>
      <c r="AF560" s="73">
        <f>IFERROR(INDEX('Euro Qual stats'!$A$1:$L$2071,MATCH(Players!$AE560,'Euro Qual stats'!$A$1:$A$2071,0),MATCH(Players!AF$2,'Euro Qual stats'!$A$1:$L$1,0)),0)</f>
        <v>2</v>
      </c>
      <c r="AG560" s="73">
        <f>IFERROR(INDEX('Euro Qual stats'!$A$1:$L$2071,MATCH(Players!$AE560,'Euro Qual stats'!$A$1:$A$2071,0),MATCH(Players!AG$2,'Euro Qual stats'!$A$1:$L$1,0)),0)</f>
        <v>0</v>
      </c>
      <c r="AH560" s="73">
        <f>IFERROR(INDEX('Euro Qual stats'!$A$1:$L$2071,MATCH(Players!$AE560,'Euro Qual stats'!$A$1:$A$2071,0),MATCH(Players!AH$2,'Euro Qual stats'!$A$1:$L$1,0)),0)</f>
        <v>0</v>
      </c>
      <c r="AI560" s="73">
        <f>IFERROR(INDEX('Euro Qual stats'!$A$1:$L$2071,MATCH(Players!$AE560,'Euro Qual stats'!$A$1:$A$2071,0),MATCH(Players!AI$2,'Euro Qual stats'!$A$1:$L$1,0)),0)</f>
        <v>0</v>
      </c>
      <c r="AJ560" s="93">
        <f>(12-AF560)/12*INDEX(BV$9:BV$12,MATCH($AB560,$BU$9:$BU$12,0))+AF560/12*AG560</f>
        <v>0.1405759162303665</v>
      </c>
      <c r="AK560" s="93">
        <f>(12-AG560)/12*INDEX(BW$9:BW$12,MATCH($AB560,$BU$9:$BU$12,0))+AG560/12*AH560</f>
        <v>0.22340314136125652</v>
      </c>
      <c r="AL560" s="93">
        <f>(12-AH560)/12*INDEX(BX$9:BX$12,MATCH($AB560,$BU$9:$BU$12,0))+AH560/12*AI560</f>
        <v>0.23942408376963353</v>
      </c>
      <c r="AM560" s="93">
        <f>IF($BC560=1,AJ560/SUMIFS(AJ$3:AJ$623,$BC$3:$BC$623,1,$G$3:$G$623,$G560),0)</f>
        <v>0</v>
      </c>
      <c r="AN560" s="93">
        <f>IF($BC560=1,AK560/SUMIFS(AK$3:AK$623,$BC$3:$BC$623,1,$G$3:$G$623,$G560),0)</f>
        <v>0</v>
      </c>
      <c r="AO560" s="93">
        <f>IF($BC560=1,AL560/SUMIFS(AL$3:AL$623,$BC$3:$BC$623,1,$G$3:$G$623,$G560),0)</f>
        <v>0</v>
      </c>
      <c r="AP560" s="2">
        <f>IFERROR(R560/$V560*90,"")</f>
        <v>0.12587412587412589</v>
      </c>
      <c r="AQ560" s="2">
        <f>IFERROR(S560/$V560*90,"")</f>
        <v>6.2937062937062943E-2</v>
      </c>
      <c r="AR560" s="2">
        <f>IFERROR(W560/$V560*90,"")</f>
        <v>0.1888111888111888</v>
      </c>
      <c r="AS560" s="2">
        <f>IFERROR(X560/$V560*90,"")</f>
        <v>0</v>
      </c>
      <c r="AT560" s="2">
        <f>IFERROR(Y560/$V560*90,"")</f>
        <v>0</v>
      </c>
      <c r="AU560" s="2">
        <f>IF(AP560="",INDEX(BV$4:BV$7,MATCH(O560,$BU$4:$BU$7,0)),AP560)</f>
        <v>0.12587412587412589</v>
      </c>
      <c r="AV560" s="2">
        <f>IF(AQ560="",INDEX(BW$4:BW$7,MATCH($O560,$BU$4:$BU$7,0)),AQ560)</f>
        <v>6.2937062937062943E-2</v>
      </c>
      <c r="AW560" s="2">
        <f t="shared" si="96"/>
        <v>0.1888111888111888</v>
      </c>
      <c r="AX560" s="2">
        <f t="shared" si="97"/>
        <v>0</v>
      </c>
      <c r="AY560" s="2">
        <f t="shared" si="98"/>
        <v>0</v>
      </c>
      <c r="AZ560" s="2">
        <f>AU560*0.5+AK560*0.5</f>
        <v>0.17463863361769122</v>
      </c>
      <c r="BA560" s="2">
        <f>AV560*0.5+AJ560*0.5</f>
        <v>0.10175648958371472</v>
      </c>
      <c r="BB560" s="2">
        <f t="shared" si="99"/>
        <v>0</v>
      </c>
      <c r="BC560">
        <f>IF(I560="expected",1,0)</f>
        <v>0</v>
      </c>
      <c r="BD560" s="78">
        <f>IF(BC560=1,AZ560/SUMIFS(AZ$3:AZ$623,$BC$3:$BC$623,1,$G$3:$G$623,$G560),0)</f>
        <v>0</v>
      </c>
      <c r="BE560" s="78">
        <f>IF(BC560=1,BA560/SUMIFS(BA$3:BA$623,$BC$3:$BC$623,1,$G$3:$G$623,$G560),0)</f>
        <v>0</v>
      </c>
      <c r="BF560" s="78">
        <f t="shared" si="100"/>
        <v>0</v>
      </c>
      <c r="BG560" s="2">
        <f t="shared" si="101"/>
        <v>0</v>
      </c>
      <c r="BH560" s="2">
        <f t="shared" si="102"/>
        <v>0</v>
      </c>
      <c r="BI560" s="2">
        <f t="shared" si="103"/>
        <v>0</v>
      </c>
      <c r="BJ560" s="2">
        <f t="shared" si="104"/>
        <v>0</v>
      </c>
      <c r="BK560" s="2">
        <f t="shared" si="105"/>
        <v>0</v>
      </c>
      <c r="BL560" s="2">
        <f t="shared" si="106"/>
        <v>0</v>
      </c>
      <c r="BM560" s="2">
        <f t="shared" si="107"/>
        <v>0</v>
      </c>
      <c r="BN560" s="2">
        <f>BI560/SUMIFS(BI$3:BI$623,$BC$3:$BC$623,1,$G$3:$G$623,$G560)</f>
        <v>0</v>
      </c>
      <c r="BO560" s="2">
        <f>BJ560/SUMIFS(BJ$3:BJ$623,$BC$3:$BC$623,1,$G$3:$G$623,$G560)</f>
        <v>0</v>
      </c>
      <c r="BP560" s="2">
        <f>BK560/SUMIFS(BK$3:BK$623,$BC$3:$BC$623,1,$G$3:$G$623,$G560)</f>
        <v>0</v>
      </c>
      <c r="BQ560" s="2">
        <f>BL560</f>
        <v>0</v>
      </c>
      <c r="BR560" s="2">
        <f>BM560</f>
        <v>0</v>
      </c>
    </row>
    <row r="561" spans="1:70" hidden="1">
      <c r="A561" s="74">
        <v>0</v>
      </c>
      <c r="B561" s="73">
        <v>213439</v>
      </c>
      <c r="C561" s="73" t="s">
        <v>3207</v>
      </c>
      <c r="D561" s="73" t="s">
        <v>3208</v>
      </c>
      <c r="E561" s="73" t="s">
        <v>3209</v>
      </c>
      <c r="F561" s="73">
        <v>18689</v>
      </c>
      <c r="G561" s="73" t="s">
        <v>894</v>
      </c>
      <c r="H561" s="73" t="s">
        <v>925</v>
      </c>
      <c r="I561" s="73" t="s">
        <v>1012</v>
      </c>
      <c r="J561" s="73">
        <v>0</v>
      </c>
      <c r="K561" s="73">
        <v>4</v>
      </c>
      <c r="L561" s="73">
        <v>0</v>
      </c>
      <c r="M561" s="73">
        <v>0</v>
      </c>
      <c r="N561" s="73">
        <v>0</v>
      </c>
      <c r="O561" s="73" t="s">
        <v>994</v>
      </c>
      <c r="P561" s="73" t="s">
        <v>3210</v>
      </c>
      <c r="Q561" s="73" t="s">
        <v>3211</v>
      </c>
      <c r="R561" s="73">
        <v>0</v>
      </c>
      <c r="S561" s="73">
        <v>0</v>
      </c>
      <c r="T561" s="73">
        <v>0</v>
      </c>
      <c r="U561" s="73">
        <v>0</v>
      </c>
      <c r="V561" s="73">
        <v>218</v>
      </c>
      <c r="W561" s="73">
        <v>0</v>
      </c>
      <c r="X561" s="73">
        <v>0</v>
      </c>
      <c r="Y561" s="73">
        <v>0</v>
      </c>
      <c r="Z561" s="73" t="s">
        <v>2184</v>
      </c>
      <c r="AA561" s="73" t="s">
        <v>693</v>
      </c>
      <c r="AB561" s="73" t="str">
        <f>IF(AA561&lt;&gt;"",INDEX(Lookup!$N$2:$N$5,MATCH(Players!AA561,Lookup!$P$2:$P$5,0)),INDEX(Lookup!$N$2:$N$5,MATCH(Players!O561,Lookup!$O$2:$O$5,0)))</f>
        <v>Striker</v>
      </c>
      <c r="AC561" s="73">
        <v>2000000</v>
      </c>
      <c r="AD561" s="73" t="s">
        <v>789</v>
      </c>
      <c r="AE561" s="73" t="str">
        <f>INDEX('Translate table'!$H$2:$H$622,MATCH(Players!P561,'Translate table'!$G$2:$G$622,0))</f>
        <v>Marjan Radeski</v>
      </c>
      <c r="AF561" s="73">
        <f>IFERROR(INDEX('Euro Qual stats'!$A$1:$L$2071,MATCH(Players!$AE561,'Euro Qual stats'!$A$1:$A$2071,0),MATCH(Players!AF$2,'Euro Qual stats'!$A$1:$L$1,0)),0)</f>
        <v>3</v>
      </c>
      <c r="AG561" s="73">
        <f>IFERROR(INDEX('Euro Qual stats'!$A$1:$L$2071,MATCH(Players!$AE561,'Euro Qual stats'!$A$1:$A$2071,0),MATCH(Players!AG$2,'Euro Qual stats'!$A$1:$L$1,0)),0)</f>
        <v>0</v>
      </c>
      <c r="AH561" s="73">
        <f>IFERROR(INDEX('Euro Qual stats'!$A$1:$L$2071,MATCH(Players!$AE561,'Euro Qual stats'!$A$1:$A$2071,0),MATCH(Players!AH$2,'Euro Qual stats'!$A$1:$L$1,0)),0)</f>
        <v>0</v>
      </c>
      <c r="AI561" s="73">
        <f>IFERROR(INDEX('Euro Qual stats'!$A$1:$L$2071,MATCH(Players!$AE561,'Euro Qual stats'!$A$1:$A$2071,0),MATCH(Players!AI$2,'Euro Qual stats'!$A$1:$L$1,0)),0)</f>
        <v>0</v>
      </c>
      <c r="AJ561" s="93">
        <f>(12-AF561)/12*INDEX(BV$9:BV$12,MATCH($AB561,$BU$9:$BU$12,0))+AF561/12*AG561</f>
        <v>0.15368534482758622</v>
      </c>
      <c r="AK561" s="93">
        <f>(12-AG561)/12*INDEX(BW$9:BW$12,MATCH($AB561,$BU$9:$BU$12,0))+AG561/12*AH561</f>
        <v>0.53387931034482738</v>
      </c>
      <c r="AL561" s="93">
        <f>(12-AH561)/12*INDEX(BX$9:BX$12,MATCH($AB561,$BU$9:$BU$12,0))+AH561/12*AI561</f>
        <v>0.16482758620689658</v>
      </c>
      <c r="AM561" s="93">
        <f>IF($BC561=1,AJ561/SUMIFS(AJ$3:AJ$623,$BC$3:$BC$623,1,$G$3:$G$623,$G561),0)</f>
        <v>0</v>
      </c>
      <c r="AN561" s="93">
        <f>IF($BC561=1,AK561/SUMIFS(AK$3:AK$623,$BC$3:$BC$623,1,$G$3:$G$623,$G561),0)</f>
        <v>0</v>
      </c>
      <c r="AO561" s="93">
        <f>IF($BC561=1,AL561/SUMIFS(AL$3:AL$623,$BC$3:$BC$623,1,$G$3:$G$623,$G561),0)</f>
        <v>0</v>
      </c>
      <c r="AP561" s="2">
        <f>IFERROR(R561/$V561*90,"")</f>
        <v>0</v>
      </c>
      <c r="AQ561" s="2">
        <f>IFERROR(S561/$V561*90,"")</f>
        <v>0</v>
      </c>
      <c r="AR561" s="2">
        <f>IFERROR(W561/$V561*90,"")</f>
        <v>0</v>
      </c>
      <c r="AS561" s="2">
        <f>IFERROR(X561/$V561*90,"")</f>
        <v>0</v>
      </c>
      <c r="AT561" s="2">
        <f>IFERROR(Y561/$V561*90,"")</f>
        <v>0</v>
      </c>
      <c r="AU561" s="2">
        <f>IF(AP561="",INDEX(BV$4:BV$7,MATCH(O561,$BU$4:$BU$7,0)),AP561)</f>
        <v>0</v>
      </c>
      <c r="AV561" s="2">
        <f>IF(AQ561="",INDEX(BW$4:BW$7,MATCH($O561,$BU$4:$BU$7,0)),AQ561)</f>
        <v>0</v>
      </c>
      <c r="AW561" s="2">
        <f t="shared" si="96"/>
        <v>0</v>
      </c>
      <c r="AX561" s="2">
        <f t="shared" si="97"/>
        <v>0</v>
      </c>
      <c r="AY561" s="2">
        <f t="shared" si="98"/>
        <v>0</v>
      </c>
      <c r="AZ561" s="2">
        <f>AU561*0.5+AK561*0.5</f>
        <v>0.26693965517241369</v>
      </c>
      <c r="BA561" s="2">
        <f>AV561*0.5+AJ561*0.5</f>
        <v>7.6842672413793112E-2</v>
      </c>
      <c r="BB561" s="2">
        <f t="shared" si="99"/>
        <v>0</v>
      </c>
      <c r="BC561">
        <f>IF(I561="expected",1,0)</f>
        <v>0</v>
      </c>
      <c r="BD561" s="78">
        <f>IF(BC561=1,AZ561/SUMIFS(AZ$3:AZ$623,$BC$3:$BC$623,1,$G$3:$G$623,$G561),0)</f>
        <v>0</v>
      </c>
      <c r="BE561" s="78">
        <f>IF(BC561=1,BA561/SUMIFS(BA$3:BA$623,$BC$3:$BC$623,1,$G$3:$G$623,$G561),0)</f>
        <v>0</v>
      </c>
      <c r="BF561" s="78">
        <f t="shared" si="100"/>
        <v>0</v>
      </c>
      <c r="BG561" s="2">
        <f t="shared" si="101"/>
        <v>0</v>
      </c>
      <c r="BH561" s="2">
        <f t="shared" si="102"/>
        <v>0</v>
      </c>
      <c r="BI561" s="2">
        <f t="shared" si="103"/>
        <v>0</v>
      </c>
      <c r="BJ561" s="2">
        <f t="shared" si="104"/>
        <v>0</v>
      </c>
      <c r="BK561" s="2">
        <f t="shared" si="105"/>
        <v>0</v>
      </c>
      <c r="BL561" s="2">
        <f t="shared" si="106"/>
        <v>0</v>
      </c>
      <c r="BM561" s="2">
        <f t="shared" si="107"/>
        <v>0</v>
      </c>
      <c r="BN561" s="2">
        <f>BI561/SUMIFS(BI$3:BI$623,$BC$3:$BC$623,1,$G$3:$G$623,$G561)</f>
        <v>0</v>
      </c>
      <c r="BO561" s="2">
        <f>BJ561/SUMIFS(BJ$3:BJ$623,$BC$3:$BC$623,1,$G$3:$G$623,$G561)</f>
        <v>0</v>
      </c>
      <c r="BP561" s="2">
        <f>BK561/SUMIFS(BK$3:BK$623,$BC$3:$BC$623,1,$G$3:$G$623,$G561)</f>
        <v>0</v>
      </c>
      <c r="BQ561" s="2">
        <f>BL561</f>
        <v>0</v>
      </c>
      <c r="BR561" s="2">
        <f>BM561</f>
        <v>0</v>
      </c>
    </row>
    <row r="562" spans="1:70" hidden="1">
      <c r="A562" s="74">
        <v>0</v>
      </c>
      <c r="B562" s="73">
        <v>204893</v>
      </c>
      <c r="C562" s="73" t="s">
        <v>3212</v>
      </c>
      <c r="D562" s="73" t="s">
        <v>3213</v>
      </c>
      <c r="E562" s="73" t="s">
        <v>3214</v>
      </c>
      <c r="F562" s="73">
        <v>18689</v>
      </c>
      <c r="G562" s="73" t="s">
        <v>894</v>
      </c>
      <c r="H562" s="73" t="s">
        <v>925</v>
      </c>
      <c r="I562" s="73" t="s">
        <v>1012</v>
      </c>
      <c r="J562" s="73">
        <v>0</v>
      </c>
      <c r="K562" s="73">
        <v>4</v>
      </c>
      <c r="L562" s="73">
        <v>0</v>
      </c>
      <c r="M562" s="73">
        <v>0</v>
      </c>
      <c r="N562" s="73">
        <v>0</v>
      </c>
      <c r="O562" s="73" t="s">
        <v>994</v>
      </c>
      <c r="P562" s="73" t="s">
        <v>3215</v>
      </c>
      <c r="Q562" s="73" t="s">
        <v>1164</v>
      </c>
      <c r="R562" s="73"/>
      <c r="S562" s="73"/>
      <c r="T562" s="73"/>
      <c r="U562" s="73"/>
      <c r="V562" s="73"/>
      <c r="W562" s="73"/>
      <c r="X562" s="73"/>
      <c r="Y562" s="73"/>
      <c r="Z562" s="73" t="s">
        <v>2184</v>
      </c>
      <c r="AA562" s="73" t="s">
        <v>691</v>
      </c>
      <c r="AB562" s="73" t="str">
        <f>IF(AA562&lt;&gt;"",INDEX(Lookup!$N$2:$N$5,MATCH(Players!AA562,Lookup!$P$2:$P$5,0)),INDEX(Lookup!$N$2:$N$5,MATCH(Players!O562,Lookup!$O$2:$O$5,0)))</f>
        <v>Midfield</v>
      </c>
      <c r="AC562" s="73">
        <v>2500000</v>
      </c>
      <c r="AD562" s="73" t="s">
        <v>788</v>
      </c>
      <c r="AE562" s="73" t="str">
        <f>INDEX('Translate table'!$H$2:$H$622,MATCH(Players!P562,'Translate table'!$G$2:$G$622,0))</f>
        <v>Boban Nikolov</v>
      </c>
      <c r="AF562" s="73">
        <f>IFERROR(INDEX('Euro Qual stats'!$A$1:$L$2071,MATCH(Players!$AE562,'Euro Qual stats'!$A$1:$A$2071,0),MATCH(Players!AF$2,'Euro Qual stats'!$A$1:$L$1,0)),0)</f>
        <v>11</v>
      </c>
      <c r="AG562" s="73">
        <f>IFERROR(INDEX('Euro Qual stats'!$A$1:$L$2071,MATCH(Players!$AE562,'Euro Qual stats'!$A$1:$A$2071,0),MATCH(Players!AG$2,'Euro Qual stats'!$A$1:$L$1,0)),0)</f>
        <v>0</v>
      </c>
      <c r="AH562" s="73">
        <f>IFERROR(INDEX('Euro Qual stats'!$A$1:$L$2071,MATCH(Players!$AE562,'Euro Qual stats'!$A$1:$A$2071,0),MATCH(Players!AH$2,'Euro Qual stats'!$A$1:$L$1,0)),0)</f>
        <v>0.11</v>
      </c>
      <c r="AI562" s="73">
        <f>IFERROR(INDEX('Euro Qual stats'!$A$1:$L$2071,MATCH(Players!$AE562,'Euro Qual stats'!$A$1:$A$2071,0),MATCH(Players!AI$2,'Euro Qual stats'!$A$1:$L$1,0)),0)</f>
        <v>0.54</v>
      </c>
      <c r="AJ562" s="93">
        <f>(12-AF562)/12*INDEX(BV$9:BV$12,MATCH($AB562,$BU$9:$BU$12,0))+AF562/12*AG562</f>
        <v>1.4057591623036648E-2</v>
      </c>
      <c r="AK562" s="93">
        <f>(12-AG562)/12*INDEX(BW$9:BW$12,MATCH($AB562,$BU$9:$BU$12,0))+AG562/12*AH562</f>
        <v>0.22340314136125652</v>
      </c>
      <c r="AL562" s="93">
        <f>(12-AH562)/12*INDEX(BX$9:BX$12,MATCH($AB562,$BU$9:$BU$12,0))+AH562/12*AI562</f>
        <v>0.24217936300174525</v>
      </c>
      <c r="AM562" s="93">
        <f>IF($BC562=1,AJ562/SUMIFS(AJ$3:AJ$623,$BC$3:$BC$623,1,$G$3:$G$623,$G562),0)</f>
        <v>0</v>
      </c>
      <c r="AN562" s="93">
        <f>IF($BC562=1,AK562/SUMIFS(AK$3:AK$623,$BC$3:$BC$623,1,$G$3:$G$623,$G562),0)</f>
        <v>0</v>
      </c>
      <c r="AO562" s="93">
        <f>IF($BC562=1,AL562/SUMIFS(AL$3:AL$623,$BC$3:$BC$623,1,$G$3:$G$623,$G562),0)</f>
        <v>0</v>
      </c>
      <c r="AP562" s="2" t="str">
        <f>IFERROR(R562/$V562*90,"")</f>
        <v/>
      </c>
      <c r="AQ562" s="2" t="str">
        <f>IFERROR(S562/$V562*90,"")</f>
        <v/>
      </c>
      <c r="AR562" s="2" t="str">
        <f>IFERROR(W562/$V562*90,"")</f>
        <v/>
      </c>
      <c r="AS562" s="2" t="str">
        <f>IFERROR(X562/$V562*90,"")</f>
        <v/>
      </c>
      <c r="AT562" s="2" t="str">
        <f>IFERROR(Y562/$V562*90,"")</f>
        <v/>
      </c>
      <c r="AU562" s="2">
        <f>IF(AP562="",INDEX(BV$4:BV$7,MATCH(O562,$BU$4:$BU$7,0)),AP562)</f>
        <v>3.6526142445450806E-2</v>
      </c>
      <c r="AV562" s="2">
        <f>IF(AQ562="",INDEX(BW$4:BW$7,MATCH($O562,$BU$4:$BU$7,0)),AQ562)</f>
        <v>3.2427739661688867E-2</v>
      </c>
      <c r="AW562" s="2">
        <f t="shared" si="96"/>
        <v>0.20013349649571699</v>
      </c>
      <c r="AX562" s="2">
        <f t="shared" si="97"/>
        <v>0.16081000595592615</v>
      </c>
      <c r="AY562" s="2">
        <f t="shared" si="98"/>
        <v>0</v>
      </c>
      <c r="AZ562" s="2">
        <f>AU562*0.5+AK562*0.5</f>
        <v>0.12996464190335366</v>
      </c>
      <c r="BA562" s="2">
        <f>AV562*0.5+AJ562*0.5</f>
        <v>2.3242665642362756E-2</v>
      </c>
      <c r="BB562" s="2">
        <f t="shared" si="99"/>
        <v>0.35040500297796306</v>
      </c>
      <c r="BC562">
        <f>IF(I562="expected",1,0)</f>
        <v>0</v>
      </c>
      <c r="BD562" s="78">
        <f>IF(BC562=1,AZ562/SUMIFS(AZ$3:AZ$623,$BC$3:$BC$623,1,$G$3:$G$623,$G562),0)</f>
        <v>0</v>
      </c>
      <c r="BE562" s="78">
        <f>IF(BC562=1,BA562/SUMIFS(BA$3:BA$623,$BC$3:$BC$623,1,$G$3:$G$623,$G562),0)</f>
        <v>0</v>
      </c>
      <c r="BF562" s="78">
        <f t="shared" si="100"/>
        <v>0</v>
      </c>
      <c r="BG562" s="2">
        <f t="shared" si="101"/>
        <v>0.35040500297796306</v>
      </c>
      <c r="BH562" s="2">
        <f t="shared" si="102"/>
        <v>0</v>
      </c>
      <c r="BI562" s="2">
        <f t="shared" si="103"/>
        <v>0</v>
      </c>
      <c r="BJ562" s="2">
        <f t="shared" si="104"/>
        <v>0</v>
      </c>
      <c r="BK562" s="2">
        <f t="shared" si="105"/>
        <v>0</v>
      </c>
      <c r="BL562" s="2">
        <f t="shared" si="106"/>
        <v>0.35040500297796306</v>
      </c>
      <c r="BM562" s="2">
        <f t="shared" si="107"/>
        <v>0</v>
      </c>
      <c r="BN562" s="2">
        <f>BI562/SUMIFS(BI$3:BI$623,$BC$3:$BC$623,1,$G$3:$G$623,$G562)</f>
        <v>0</v>
      </c>
      <c r="BO562" s="2">
        <f>BJ562/SUMIFS(BJ$3:BJ$623,$BC$3:$BC$623,1,$G$3:$G$623,$G562)</f>
        <v>0</v>
      </c>
      <c r="BP562" s="2">
        <f>BK562/SUMIFS(BK$3:BK$623,$BC$3:$BC$623,1,$G$3:$G$623,$G562)</f>
        <v>0</v>
      </c>
      <c r="BQ562" s="2">
        <f>BL562</f>
        <v>0.35040500297796306</v>
      </c>
      <c r="BR562" s="2">
        <f>BM562</f>
        <v>0</v>
      </c>
    </row>
    <row r="563" spans="1:70" hidden="1">
      <c r="A563" s="74">
        <v>0</v>
      </c>
      <c r="B563" s="73">
        <v>204890</v>
      </c>
      <c r="C563" s="73" t="s">
        <v>3216</v>
      </c>
      <c r="D563" s="73" t="s">
        <v>3217</v>
      </c>
      <c r="E563" s="73" t="s">
        <v>3218</v>
      </c>
      <c r="F563" s="73">
        <v>18689</v>
      </c>
      <c r="G563" s="73" t="s">
        <v>894</v>
      </c>
      <c r="H563" s="73" t="s">
        <v>925</v>
      </c>
      <c r="I563" s="73" t="s">
        <v>1012</v>
      </c>
      <c r="J563" s="73">
        <v>0</v>
      </c>
      <c r="K563" s="73">
        <v>4</v>
      </c>
      <c r="L563" s="73">
        <v>0</v>
      </c>
      <c r="M563" s="73">
        <v>0</v>
      </c>
      <c r="N563" s="73">
        <v>0</v>
      </c>
      <c r="O563" s="73" t="s">
        <v>994</v>
      </c>
      <c r="P563" s="73" t="s">
        <v>3219</v>
      </c>
      <c r="Q563" s="73" t="s">
        <v>3220</v>
      </c>
      <c r="R563" s="73">
        <v>0</v>
      </c>
      <c r="S563" s="73">
        <v>2</v>
      </c>
      <c r="T563" s="73">
        <v>0</v>
      </c>
      <c r="U563" s="73">
        <v>0</v>
      </c>
      <c r="V563" s="73">
        <v>40</v>
      </c>
      <c r="W563" s="73">
        <v>1</v>
      </c>
      <c r="X563" s="73">
        <v>0</v>
      </c>
      <c r="Y563" s="73">
        <v>0</v>
      </c>
      <c r="Z563" s="73" t="s">
        <v>2184</v>
      </c>
      <c r="AA563" s="73" t="s">
        <v>691</v>
      </c>
      <c r="AB563" s="73" t="str">
        <f>IF(AA563&lt;&gt;"",INDEX(Lookup!$N$2:$N$5,MATCH(Players!AA563,Lookup!$P$2:$P$5,0)),INDEX(Lookup!$N$2:$N$5,MATCH(Players!O563,Lookup!$O$2:$O$5,0)))</f>
        <v>Midfield</v>
      </c>
      <c r="AC563" s="73">
        <v>2500000</v>
      </c>
      <c r="AD563" s="73" t="s">
        <v>788</v>
      </c>
      <c r="AE563" s="73" t="str">
        <f>INDEX('Translate table'!$H$2:$H$622,MATCH(Players!P563,'Translate table'!$G$2:$G$622,0))</f>
        <v>Arijan Ademi</v>
      </c>
      <c r="AF563" s="73">
        <f>IFERROR(INDEX('Euro Qual stats'!$A$1:$L$2071,MATCH(Players!$AE563,'Euro Qual stats'!$A$1:$A$2071,0),MATCH(Players!AF$2,'Euro Qual stats'!$A$1:$L$1,0)),0)</f>
        <v>7</v>
      </c>
      <c r="AG563" s="73">
        <f>IFERROR(INDEX('Euro Qual stats'!$A$1:$L$2071,MATCH(Players!$AE563,'Euro Qual stats'!$A$1:$A$2071,0),MATCH(Players!AG$2,'Euro Qual stats'!$A$1:$L$1,0)),0)</f>
        <v>0.18</v>
      </c>
      <c r="AH563" s="73">
        <f>IFERROR(INDEX('Euro Qual stats'!$A$1:$L$2071,MATCH(Players!$AE563,'Euro Qual stats'!$A$1:$A$2071,0),MATCH(Players!AH$2,'Euro Qual stats'!$A$1:$L$1,0)),0)</f>
        <v>0.18</v>
      </c>
      <c r="AI563" s="73">
        <f>IFERROR(INDEX('Euro Qual stats'!$A$1:$L$2071,MATCH(Players!$AE563,'Euro Qual stats'!$A$1:$A$2071,0),MATCH(Players!AI$2,'Euro Qual stats'!$A$1:$L$1,0)),0)</f>
        <v>0.35</v>
      </c>
      <c r="AJ563" s="93">
        <f>(12-AF563)/12*INDEX(BV$9:BV$12,MATCH($AB563,$BU$9:$BU$12,0))+AF563/12*AG563</f>
        <v>0.17528795811518325</v>
      </c>
      <c r="AK563" s="93">
        <f>(12-AG563)/12*INDEX(BW$9:BW$12,MATCH($AB563,$BU$9:$BU$12,0))+AG563/12*AH563</f>
        <v>0.22275209424083769</v>
      </c>
      <c r="AL563" s="93">
        <f>(12-AH563)/12*INDEX(BX$9:BX$12,MATCH($AB563,$BU$9:$BU$12,0))+AH563/12*AI563</f>
        <v>0.24108272251308904</v>
      </c>
      <c r="AM563" s="93">
        <f>IF($BC563=1,AJ563/SUMIFS(AJ$3:AJ$623,$BC$3:$BC$623,1,$G$3:$G$623,$G563),0)</f>
        <v>0</v>
      </c>
      <c r="AN563" s="93">
        <f>IF($BC563=1,AK563/SUMIFS(AK$3:AK$623,$BC$3:$BC$623,1,$G$3:$G$623,$G563),0)</f>
        <v>0</v>
      </c>
      <c r="AO563" s="93">
        <f>IF($BC563=1,AL563/SUMIFS(AL$3:AL$623,$BC$3:$BC$623,1,$G$3:$G$623,$G563),0)</f>
        <v>0</v>
      </c>
      <c r="AP563" s="2">
        <f>IFERROR(R563/$V563*90,"")</f>
        <v>0</v>
      </c>
      <c r="AQ563" s="2">
        <f>IFERROR(S563/$V563*90,"")</f>
        <v>4.5</v>
      </c>
      <c r="AR563" s="2">
        <f>IFERROR(W563/$V563*90,"")</f>
        <v>2.25</v>
      </c>
      <c r="AS563" s="2">
        <f>IFERROR(X563/$V563*90,"")</f>
        <v>0</v>
      </c>
      <c r="AT563" s="2">
        <f>IFERROR(Y563/$V563*90,"")</f>
        <v>0</v>
      </c>
      <c r="AU563" s="2">
        <f>IF(AP563="",INDEX(BV$4:BV$7,MATCH(O563,$BU$4:$BU$7,0)),AP563)</f>
        <v>0</v>
      </c>
      <c r="AV563" s="2">
        <f>IF(AQ563="",INDEX(BW$4:BW$7,MATCH($O563,$BU$4:$BU$7,0)),AQ563)</f>
        <v>4.5</v>
      </c>
      <c r="AW563" s="2">
        <f t="shared" si="96"/>
        <v>2.25</v>
      </c>
      <c r="AX563" s="2">
        <f t="shared" si="97"/>
        <v>0</v>
      </c>
      <c r="AY563" s="2">
        <f t="shared" si="98"/>
        <v>0</v>
      </c>
      <c r="AZ563" s="2">
        <f>AU563*0.5+AK563*0.5</f>
        <v>0.11137604712041885</v>
      </c>
      <c r="BA563" s="2">
        <f>AV563*0.5+AJ563*0.5</f>
        <v>2.3376439790575918</v>
      </c>
      <c r="BB563" s="2">
        <f t="shared" si="99"/>
        <v>0.17499999999999999</v>
      </c>
      <c r="BC563">
        <f>IF(I563="expected",1,0)</f>
        <v>0</v>
      </c>
      <c r="BD563" s="78">
        <f>IF(BC563=1,AZ563/SUMIFS(AZ$3:AZ$623,$BC$3:$BC$623,1,$G$3:$G$623,$G563),0)</f>
        <v>0</v>
      </c>
      <c r="BE563" s="78">
        <f>IF(BC563=1,BA563/SUMIFS(BA$3:BA$623,$BC$3:$BC$623,1,$G$3:$G$623,$G563),0)</f>
        <v>0</v>
      </c>
      <c r="BF563" s="78">
        <f t="shared" si="100"/>
        <v>0</v>
      </c>
      <c r="BG563" s="2">
        <f t="shared" si="101"/>
        <v>0.17499999999999999</v>
      </c>
      <c r="BH563" s="2">
        <f t="shared" si="102"/>
        <v>0</v>
      </c>
      <c r="BI563" s="2">
        <f t="shared" si="103"/>
        <v>0</v>
      </c>
      <c r="BJ563" s="2">
        <f t="shared" si="104"/>
        <v>0</v>
      </c>
      <c r="BK563" s="2">
        <f t="shared" si="105"/>
        <v>0</v>
      </c>
      <c r="BL563" s="2">
        <f t="shared" si="106"/>
        <v>0.17499999999999999</v>
      </c>
      <c r="BM563" s="2">
        <f t="shared" si="107"/>
        <v>0</v>
      </c>
      <c r="BN563" s="2">
        <f>BI563/SUMIFS(BI$3:BI$623,$BC$3:$BC$623,1,$G$3:$G$623,$G563)</f>
        <v>0</v>
      </c>
      <c r="BO563" s="2">
        <f>BJ563/SUMIFS(BJ$3:BJ$623,$BC$3:$BC$623,1,$G$3:$G$623,$G563)</f>
        <v>0</v>
      </c>
      <c r="BP563" s="2">
        <f>BK563/SUMIFS(BK$3:BK$623,$BC$3:$BC$623,1,$G$3:$G$623,$G563)</f>
        <v>0</v>
      </c>
      <c r="BQ563" s="2">
        <f>BL563</f>
        <v>0.17499999999999999</v>
      </c>
      <c r="BR563" s="2">
        <f>BM563</f>
        <v>0</v>
      </c>
    </row>
    <row r="564" spans="1:70" hidden="1">
      <c r="A564" s="74">
        <v>0</v>
      </c>
      <c r="B564" s="73">
        <v>204883</v>
      </c>
      <c r="C564" s="73" t="s">
        <v>3221</v>
      </c>
      <c r="D564" s="73" t="s">
        <v>1585</v>
      </c>
      <c r="E564" s="73" t="s">
        <v>3222</v>
      </c>
      <c r="F564" s="73">
        <v>18689</v>
      </c>
      <c r="G564" s="73" t="s">
        <v>894</v>
      </c>
      <c r="H564" s="73" t="s">
        <v>925</v>
      </c>
      <c r="I564" s="73" t="s">
        <v>1012</v>
      </c>
      <c r="J564" s="73">
        <v>0</v>
      </c>
      <c r="K564" s="73">
        <v>4</v>
      </c>
      <c r="L564" s="73">
        <v>0</v>
      </c>
      <c r="M564" s="73">
        <v>0</v>
      </c>
      <c r="N564" s="73">
        <v>0</v>
      </c>
      <c r="O564" s="73" t="s">
        <v>994</v>
      </c>
      <c r="P564" s="73" t="s">
        <v>3223</v>
      </c>
      <c r="Q564" s="73" t="s">
        <v>3194</v>
      </c>
      <c r="R564" s="73">
        <v>2</v>
      </c>
      <c r="S564" s="73">
        <v>0</v>
      </c>
      <c r="T564" s="73">
        <v>0</v>
      </c>
      <c r="U564" s="73">
        <v>6</v>
      </c>
      <c r="V564" s="73">
        <v>2785</v>
      </c>
      <c r="W564" s="73">
        <v>4</v>
      </c>
      <c r="X564" s="73">
        <v>3</v>
      </c>
      <c r="Y564" s="73">
        <v>1</v>
      </c>
      <c r="Z564" s="73" t="s">
        <v>2184</v>
      </c>
      <c r="AA564" s="73" t="s">
        <v>691</v>
      </c>
      <c r="AB564" s="73" t="str">
        <f>IF(AA564&lt;&gt;"",INDEX(Lookup!$N$2:$N$5,MATCH(Players!AA564,Lookup!$P$2:$P$5,0)),INDEX(Lookup!$N$2:$N$5,MATCH(Players!O564,Lookup!$O$2:$O$5,0)))</f>
        <v>Midfield</v>
      </c>
      <c r="AC564" s="73">
        <v>2000000</v>
      </c>
      <c r="AD564" s="73" t="s">
        <v>788</v>
      </c>
      <c r="AE564" s="73" t="str">
        <f>INDEX('Translate table'!$H$2:$H$622,MATCH(Players!P564,'Translate table'!$G$2:$G$622,0))</f>
        <v>Stefan Spirovski</v>
      </c>
      <c r="AF564" s="73">
        <f>IFERROR(INDEX('Euro Qual stats'!$A$1:$L$2071,MATCH(Players!$AE564,'Euro Qual stats'!$A$1:$A$2071,0),MATCH(Players!AF$2,'Euro Qual stats'!$A$1:$L$1,0)),0)</f>
        <v>6</v>
      </c>
      <c r="AG564" s="73">
        <f>IFERROR(INDEX('Euro Qual stats'!$A$1:$L$2071,MATCH(Players!$AE564,'Euro Qual stats'!$A$1:$A$2071,0),MATCH(Players!AG$2,'Euro Qual stats'!$A$1:$L$1,0)),0)</f>
        <v>0</v>
      </c>
      <c r="AH564" s="73">
        <f>IFERROR(INDEX('Euro Qual stats'!$A$1:$L$2071,MATCH(Players!$AE564,'Euro Qual stats'!$A$1:$A$2071,0),MATCH(Players!AH$2,'Euro Qual stats'!$A$1:$L$1,0)),0)</f>
        <v>0</v>
      </c>
      <c r="AI564" s="73">
        <f>IFERROR(INDEX('Euro Qual stats'!$A$1:$L$2071,MATCH(Players!$AE564,'Euro Qual stats'!$A$1:$A$2071,0),MATCH(Players!AI$2,'Euro Qual stats'!$A$1:$L$1,0)),0)</f>
        <v>0.28999999999999998</v>
      </c>
      <c r="AJ564" s="93">
        <f>(12-AF564)/12*INDEX(BV$9:BV$12,MATCH($AB564,$BU$9:$BU$12,0))+AF564/12*AG564</f>
        <v>8.4345549738219894E-2</v>
      </c>
      <c r="AK564" s="93">
        <f>(12-AG564)/12*INDEX(BW$9:BW$12,MATCH($AB564,$BU$9:$BU$12,0))+AG564/12*AH564</f>
        <v>0.22340314136125652</v>
      </c>
      <c r="AL564" s="93">
        <f>(12-AH564)/12*INDEX(BX$9:BX$12,MATCH($AB564,$BU$9:$BU$12,0))+AH564/12*AI564</f>
        <v>0.23942408376963353</v>
      </c>
      <c r="AM564" s="93">
        <f>IF($BC564=1,AJ564/SUMIFS(AJ$3:AJ$623,$BC$3:$BC$623,1,$G$3:$G$623,$G564),0)</f>
        <v>0</v>
      </c>
      <c r="AN564" s="93">
        <f>IF($BC564=1,AK564/SUMIFS(AK$3:AK$623,$BC$3:$BC$623,1,$G$3:$G$623,$G564),0)</f>
        <v>0</v>
      </c>
      <c r="AO564" s="93">
        <f>IF($BC564=1,AL564/SUMIFS(AL$3:AL$623,$BC$3:$BC$623,1,$G$3:$G$623,$G564),0)</f>
        <v>0</v>
      </c>
      <c r="AP564" s="2">
        <f>IFERROR(R564/$V564*90,"")</f>
        <v>6.4631956912028735E-2</v>
      </c>
      <c r="AQ564" s="2">
        <f>IFERROR(S564/$V564*90,"")</f>
        <v>0</v>
      </c>
      <c r="AR564" s="2">
        <f>IFERROR(W564/$V564*90,"")</f>
        <v>0.12926391382405747</v>
      </c>
      <c r="AS564" s="2">
        <f>IFERROR(X564/$V564*90,"")</f>
        <v>9.6947935368043081E-2</v>
      </c>
      <c r="AT564" s="2">
        <f>IFERROR(Y564/$V564*90,"")</f>
        <v>3.2315978456014367E-2</v>
      </c>
      <c r="AU564" s="2">
        <f>IF(AP564="",INDEX(BV$4:BV$7,MATCH(O564,$BU$4:$BU$7,0)),AP564)</f>
        <v>6.4631956912028735E-2</v>
      </c>
      <c r="AV564" s="2">
        <f>IF(AQ564="",INDEX(BW$4:BW$7,MATCH($O564,$BU$4:$BU$7,0)),AQ564)</f>
        <v>0</v>
      </c>
      <c r="AW564" s="2">
        <f t="shared" si="96"/>
        <v>0.12926391382405747</v>
      </c>
      <c r="AX564" s="2">
        <f t="shared" si="97"/>
        <v>9.6947935368043081E-2</v>
      </c>
      <c r="AY564" s="2">
        <f t="shared" si="98"/>
        <v>3.2315978456014367E-2</v>
      </c>
      <c r="AZ564" s="2">
        <f>AU564*0.5+AK564*0.5</f>
        <v>0.14401754913664264</v>
      </c>
      <c r="BA564" s="2">
        <f>AV564*0.5+AJ564*0.5</f>
        <v>4.2172774869109947E-2</v>
      </c>
      <c r="BB564" s="2">
        <f t="shared" si="99"/>
        <v>0.19347396768402153</v>
      </c>
      <c r="BC564">
        <f>IF(I564="expected",1,0)</f>
        <v>0</v>
      </c>
      <c r="BD564" s="78">
        <f>IF(BC564=1,AZ564/SUMIFS(AZ$3:AZ$623,$BC$3:$BC$623,1,$G$3:$G$623,$G564),0)</f>
        <v>0</v>
      </c>
      <c r="BE564" s="78">
        <f>IF(BC564=1,BA564/SUMIFS(BA$3:BA$623,$BC$3:$BC$623,1,$G$3:$G$623,$G564),0)</f>
        <v>0</v>
      </c>
      <c r="BF564" s="78">
        <f t="shared" si="100"/>
        <v>0</v>
      </c>
      <c r="BG564" s="2">
        <f t="shared" si="101"/>
        <v>0.19347396768402153</v>
      </c>
      <c r="BH564" s="2">
        <f t="shared" si="102"/>
        <v>3.2315978456014367E-2</v>
      </c>
      <c r="BI564" s="2">
        <f t="shared" si="103"/>
        <v>0</v>
      </c>
      <c r="BJ564" s="2">
        <f t="shared" si="104"/>
        <v>0</v>
      </c>
      <c r="BK564" s="2">
        <f t="shared" si="105"/>
        <v>0</v>
      </c>
      <c r="BL564" s="2">
        <f t="shared" si="106"/>
        <v>0.19347396768402153</v>
      </c>
      <c r="BM564" s="2">
        <f t="shared" si="107"/>
        <v>3.2315978456014367E-2</v>
      </c>
      <c r="BN564" s="2">
        <f>BI564/SUMIFS(BI$3:BI$623,$BC$3:$BC$623,1,$G$3:$G$623,$G564)</f>
        <v>0</v>
      </c>
      <c r="BO564" s="2">
        <f>BJ564/SUMIFS(BJ$3:BJ$623,$BC$3:$BC$623,1,$G$3:$G$623,$G564)</f>
        <v>0</v>
      </c>
      <c r="BP564" s="2">
        <f>BK564/SUMIFS(BK$3:BK$623,$BC$3:$BC$623,1,$G$3:$G$623,$G564)</f>
        <v>0</v>
      </c>
      <c r="BQ564" s="2">
        <f>BL564</f>
        <v>0.19347396768402153</v>
      </c>
      <c r="BR564" s="2">
        <f>BM564</f>
        <v>3.2315978456014367E-2</v>
      </c>
    </row>
    <row r="565" spans="1:70" hidden="1">
      <c r="A565" s="74">
        <v>0</v>
      </c>
      <c r="B565" s="73">
        <v>223188</v>
      </c>
      <c r="C565" s="73" t="s">
        <v>3224</v>
      </c>
      <c r="D565" s="73" t="s">
        <v>2284</v>
      </c>
      <c r="E565" s="73" t="s">
        <v>3192</v>
      </c>
      <c r="F565" s="73">
        <v>18689</v>
      </c>
      <c r="G565" s="73" t="s">
        <v>894</v>
      </c>
      <c r="H565" s="73" t="s">
        <v>925</v>
      </c>
      <c r="I565" s="73" t="s">
        <v>1012</v>
      </c>
      <c r="J565" s="73">
        <v>0</v>
      </c>
      <c r="K565" s="73">
        <v>4</v>
      </c>
      <c r="L565" s="73">
        <v>0</v>
      </c>
      <c r="M565" s="73">
        <v>0</v>
      </c>
      <c r="N565" s="73">
        <v>0</v>
      </c>
      <c r="O565" s="73" t="s">
        <v>982</v>
      </c>
      <c r="P565" s="73" t="s">
        <v>3225</v>
      </c>
      <c r="Q565" s="73" t="s">
        <v>3226</v>
      </c>
      <c r="R565" s="73">
        <v>0</v>
      </c>
      <c r="S565" s="73">
        <v>0</v>
      </c>
      <c r="T565" s="73">
        <v>0</v>
      </c>
      <c r="U565" s="73">
        <v>0</v>
      </c>
      <c r="V565" s="73">
        <v>1</v>
      </c>
      <c r="W565" s="73">
        <v>0</v>
      </c>
      <c r="X565" s="73">
        <v>0</v>
      </c>
      <c r="Y565" s="73">
        <v>0</v>
      </c>
      <c r="Z565" s="73" t="s">
        <v>2184</v>
      </c>
      <c r="AA565" s="73" t="s">
        <v>693</v>
      </c>
      <c r="AB565" s="73" t="str">
        <f>IF(AA565&lt;&gt;"",INDEX(Lookup!$N$2:$N$5,MATCH(Players!AA565,Lookup!$P$2:$P$5,0)),INDEX(Lookup!$N$2:$N$5,MATCH(Players!O565,Lookup!$O$2:$O$5,0)))</f>
        <v>Striker</v>
      </c>
      <c r="AC565" s="73">
        <v>2000000</v>
      </c>
      <c r="AD565" s="73" t="s">
        <v>788</v>
      </c>
      <c r="AE565" s="73" t="str">
        <f>INDEX('Translate table'!$H$2:$H$622,MATCH(Players!P565,'Translate table'!$G$2:$G$622,0))</f>
        <v>Stefan Ristovski</v>
      </c>
      <c r="AF565" s="73">
        <f>IFERROR(INDEX('Euro Qual stats'!$A$1:$L$2071,MATCH(Players!$AE565,'Euro Qual stats'!$A$1:$A$2071,0),MATCH(Players!AF$2,'Euro Qual stats'!$A$1:$L$1,0)),0)</f>
        <v>10</v>
      </c>
      <c r="AG565" s="73">
        <f>IFERROR(INDEX('Euro Qual stats'!$A$1:$L$2071,MATCH(Players!$AE565,'Euro Qual stats'!$A$1:$A$2071,0),MATCH(Players!AG$2,'Euro Qual stats'!$A$1:$L$1,0)),0)</f>
        <v>0</v>
      </c>
      <c r="AH565" s="73">
        <f>IFERROR(INDEX('Euro Qual stats'!$A$1:$L$2071,MATCH(Players!$AE565,'Euro Qual stats'!$A$1:$A$2071,0),MATCH(Players!AH$2,'Euro Qual stats'!$A$1:$L$1,0)),0)</f>
        <v>0</v>
      </c>
      <c r="AI565" s="73">
        <f>IFERROR(INDEX('Euro Qual stats'!$A$1:$L$2071,MATCH(Players!$AE565,'Euro Qual stats'!$A$1:$A$2071,0),MATCH(Players!AI$2,'Euro Qual stats'!$A$1:$L$1,0)),0)</f>
        <v>0.21</v>
      </c>
      <c r="AJ565" s="93">
        <f>(12-AF565)/12*INDEX(BV$9:BV$12,MATCH($AB565,$BU$9:$BU$12,0))+AF565/12*AG565</f>
        <v>3.4152298850574719E-2</v>
      </c>
      <c r="AK565" s="93">
        <f>(12-AG565)/12*INDEX(BW$9:BW$12,MATCH($AB565,$BU$9:$BU$12,0))+AG565/12*AH565</f>
        <v>0.53387931034482738</v>
      </c>
      <c r="AL565" s="93">
        <f>(12-AH565)/12*INDEX(BX$9:BX$12,MATCH($AB565,$BU$9:$BU$12,0))+AH565/12*AI565</f>
        <v>0.16482758620689658</v>
      </c>
      <c r="AM565" s="93">
        <f>IF($BC565=1,AJ565/SUMIFS(AJ$3:AJ$623,$BC$3:$BC$623,1,$G$3:$G$623,$G565),0)</f>
        <v>0</v>
      </c>
      <c r="AN565" s="93">
        <f>IF($BC565=1,AK565/SUMIFS(AK$3:AK$623,$BC$3:$BC$623,1,$G$3:$G$623,$G565),0)</f>
        <v>0</v>
      </c>
      <c r="AO565" s="93">
        <f>IF($BC565=1,AL565/SUMIFS(AL$3:AL$623,$BC$3:$BC$623,1,$G$3:$G$623,$G565),0)</f>
        <v>0</v>
      </c>
      <c r="AP565" s="2">
        <f>IFERROR(R565/$V565*90,"")</f>
        <v>0</v>
      </c>
      <c r="AQ565" s="2">
        <f>IFERROR(S565/$V565*90,"")</f>
        <v>0</v>
      </c>
      <c r="AR565" s="2">
        <f>IFERROR(W565/$V565*90,"")</f>
        <v>0</v>
      </c>
      <c r="AS565" s="2">
        <f>IFERROR(X565/$V565*90,"")</f>
        <v>0</v>
      </c>
      <c r="AT565" s="2">
        <f>IFERROR(Y565/$V565*90,"")</f>
        <v>0</v>
      </c>
      <c r="AU565" s="2">
        <f>IF(AP565="",INDEX(BV$4:BV$7,MATCH(O565,$BU$4:$BU$7,0)),AP565)</f>
        <v>0</v>
      </c>
      <c r="AV565" s="2">
        <f>IF(AQ565="",INDEX(BW$4:BW$7,MATCH($O565,$BU$4:$BU$7,0)),AQ565)</f>
        <v>0</v>
      </c>
      <c r="AW565" s="2">
        <f t="shared" si="96"/>
        <v>0</v>
      </c>
      <c r="AX565" s="2">
        <f t="shared" si="97"/>
        <v>0</v>
      </c>
      <c r="AY565" s="2">
        <f t="shared" si="98"/>
        <v>0</v>
      </c>
      <c r="AZ565" s="2">
        <f>AU565*0.5+AK565*0.5</f>
        <v>0.26693965517241369</v>
      </c>
      <c r="BA565" s="2">
        <f>AV565*0.5+AJ565*0.5</f>
        <v>1.707614942528736E-2</v>
      </c>
      <c r="BB565" s="2">
        <f t="shared" si="99"/>
        <v>0.105</v>
      </c>
      <c r="BC565">
        <f>IF(I565="expected",1,0)</f>
        <v>0</v>
      </c>
      <c r="BD565" s="78">
        <f>IF(BC565=1,AZ565/SUMIFS(AZ$3:AZ$623,$BC$3:$BC$623,1,$G$3:$G$623,$G565),0)</f>
        <v>0</v>
      </c>
      <c r="BE565" s="78">
        <f>IF(BC565=1,BA565/SUMIFS(BA$3:BA$623,$BC$3:$BC$623,1,$G$3:$G$623,$G565),0)</f>
        <v>0</v>
      </c>
      <c r="BF565" s="78">
        <f t="shared" si="100"/>
        <v>0</v>
      </c>
      <c r="BG565" s="2">
        <f t="shared" si="101"/>
        <v>0.105</v>
      </c>
      <c r="BH565" s="2">
        <f t="shared" si="102"/>
        <v>0</v>
      </c>
      <c r="BI565" s="2">
        <f t="shared" si="103"/>
        <v>0</v>
      </c>
      <c r="BJ565" s="2">
        <f t="shared" si="104"/>
        <v>0</v>
      </c>
      <c r="BK565" s="2">
        <f t="shared" si="105"/>
        <v>0</v>
      </c>
      <c r="BL565" s="2">
        <f t="shared" si="106"/>
        <v>0.105</v>
      </c>
      <c r="BM565" s="2">
        <f t="shared" si="107"/>
        <v>0</v>
      </c>
      <c r="BN565" s="2">
        <f>BI565/SUMIFS(BI$3:BI$623,$BC$3:$BC$623,1,$G$3:$G$623,$G565)</f>
        <v>0</v>
      </c>
      <c r="BO565" s="2">
        <f>BJ565/SUMIFS(BJ$3:BJ$623,$BC$3:$BC$623,1,$G$3:$G$623,$G565)</f>
        <v>0</v>
      </c>
      <c r="BP565" s="2">
        <f>BK565/SUMIFS(BK$3:BK$623,$BC$3:$BC$623,1,$G$3:$G$623,$G565)</f>
        <v>0</v>
      </c>
      <c r="BQ565" s="2">
        <f>BL565</f>
        <v>0.105</v>
      </c>
      <c r="BR565" s="2">
        <f>BM565</f>
        <v>0</v>
      </c>
    </row>
    <row r="566" spans="1:70" hidden="1">
      <c r="A566" s="74">
        <v>0</v>
      </c>
      <c r="B566" s="73">
        <v>223187</v>
      </c>
      <c r="C566" s="73" t="s">
        <v>3227</v>
      </c>
      <c r="D566" s="73" t="s">
        <v>3228</v>
      </c>
      <c r="E566" s="73" t="s">
        <v>3197</v>
      </c>
      <c r="F566" s="73">
        <v>18689</v>
      </c>
      <c r="G566" s="73" t="s">
        <v>894</v>
      </c>
      <c r="H566" s="73" t="s">
        <v>925</v>
      </c>
      <c r="I566" s="73" t="s">
        <v>1012</v>
      </c>
      <c r="J566" s="73">
        <v>0</v>
      </c>
      <c r="K566" s="73">
        <v>4</v>
      </c>
      <c r="L566" s="73">
        <v>0</v>
      </c>
      <c r="M566" s="73">
        <v>0</v>
      </c>
      <c r="N566" s="73">
        <v>0</v>
      </c>
      <c r="O566" s="73" t="s">
        <v>982</v>
      </c>
      <c r="P566" s="73" t="s">
        <v>3229</v>
      </c>
      <c r="Q566" s="73" t="s">
        <v>3230</v>
      </c>
      <c r="R566" s="73">
        <v>0</v>
      </c>
      <c r="S566" s="73">
        <v>0</v>
      </c>
      <c r="T566" s="73">
        <v>0</v>
      </c>
      <c r="U566" s="73">
        <v>4</v>
      </c>
      <c r="V566" s="73">
        <v>1721</v>
      </c>
      <c r="W566" s="73">
        <v>1</v>
      </c>
      <c r="X566" s="73">
        <v>1</v>
      </c>
      <c r="Y566" s="73">
        <v>0</v>
      </c>
      <c r="Z566" s="73" t="s">
        <v>2184</v>
      </c>
      <c r="AA566" s="73" t="s">
        <v>693</v>
      </c>
      <c r="AB566" s="73" t="str">
        <f>IF(AA566&lt;&gt;"",INDEX(Lookup!$N$2:$N$5,MATCH(Players!AA566,Lookup!$P$2:$P$5,0)),INDEX(Lookup!$N$2:$N$5,MATCH(Players!O566,Lookup!$O$2:$O$5,0)))</f>
        <v>Striker</v>
      </c>
      <c r="AC566" s="73">
        <v>2000000</v>
      </c>
      <c r="AD566" s="73" t="s">
        <v>788</v>
      </c>
      <c r="AE566" s="73" t="str">
        <f>INDEX('Translate table'!$H$2:$H$622,MATCH(Players!P566,'Translate table'!$G$2:$G$622,0))</f>
        <v>Krste Velkoski</v>
      </c>
      <c r="AF566" s="73">
        <f>IFERROR(INDEX('Euro Qual stats'!$A$1:$L$2071,MATCH(Players!$AE566,'Euro Qual stats'!$A$1:$A$2071,0),MATCH(Players!AF$2,'Euro Qual stats'!$A$1:$L$1,0)),0)</f>
        <v>0</v>
      </c>
      <c r="AG566" s="73">
        <f>IFERROR(INDEX('Euro Qual stats'!$A$1:$L$2071,MATCH(Players!$AE566,'Euro Qual stats'!$A$1:$A$2071,0),MATCH(Players!AG$2,'Euro Qual stats'!$A$1:$L$1,0)),0)</f>
        <v>0</v>
      </c>
      <c r="AH566" s="73">
        <f>IFERROR(INDEX('Euro Qual stats'!$A$1:$L$2071,MATCH(Players!$AE566,'Euro Qual stats'!$A$1:$A$2071,0),MATCH(Players!AH$2,'Euro Qual stats'!$A$1:$L$1,0)),0)</f>
        <v>0</v>
      </c>
      <c r="AI566" s="73">
        <f>IFERROR(INDEX('Euro Qual stats'!$A$1:$L$2071,MATCH(Players!$AE566,'Euro Qual stats'!$A$1:$A$2071,0),MATCH(Players!AI$2,'Euro Qual stats'!$A$1:$L$1,0)),0)</f>
        <v>0</v>
      </c>
      <c r="AJ566" s="93">
        <f>(12-AF566)/12*INDEX(BV$9:BV$12,MATCH($AB566,$BU$9:$BU$12,0))+AF566/12*AG566</f>
        <v>0.20491379310344832</v>
      </c>
      <c r="AK566" s="93">
        <f>(12-AG566)/12*INDEX(BW$9:BW$12,MATCH($AB566,$BU$9:$BU$12,0))+AG566/12*AH566</f>
        <v>0.53387931034482738</v>
      </c>
      <c r="AL566" s="93">
        <f>(12-AH566)/12*INDEX(BX$9:BX$12,MATCH($AB566,$BU$9:$BU$12,0))+AH566/12*AI566</f>
        <v>0.16482758620689658</v>
      </c>
      <c r="AM566" s="93">
        <f>IF($BC566=1,AJ566/SUMIFS(AJ$3:AJ$623,$BC$3:$BC$623,1,$G$3:$G$623,$G566),0)</f>
        <v>0</v>
      </c>
      <c r="AN566" s="93">
        <f>IF($BC566=1,AK566/SUMIFS(AK$3:AK$623,$BC$3:$BC$623,1,$G$3:$G$623,$G566),0)</f>
        <v>0</v>
      </c>
      <c r="AO566" s="93">
        <f>IF($BC566=1,AL566/SUMIFS(AL$3:AL$623,$BC$3:$BC$623,1,$G$3:$G$623,$G566),0)</f>
        <v>0</v>
      </c>
      <c r="AP566" s="2">
        <f>IFERROR(R566/$V566*90,"")</f>
        <v>0</v>
      </c>
      <c r="AQ566" s="2">
        <f>IFERROR(S566/$V566*90,"")</f>
        <v>0</v>
      </c>
      <c r="AR566" s="2">
        <f>IFERROR(W566/$V566*90,"")</f>
        <v>5.2295177222545029E-2</v>
      </c>
      <c r="AS566" s="2">
        <f>IFERROR(X566/$V566*90,"")</f>
        <v>5.2295177222545029E-2</v>
      </c>
      <c r="AT566" s="2">
        <f>IFERROR(Y566/$V566*90,"")</f>
        <v>0</v>
      </c>
      <c r="AU566" s="2">
        <f>IF(AP566="",INDEX(BV$4:BV$7,MATCH(O566,$BU$4:$BU$7,0)),AP566)</f>
        <v>0</v>
      </c>
      <c r="AV566" s="2">
        <f>IF(AQ566="",INDEX(BW$4:BW$7,MATCH($O566,$BU$4:$BU$7,0)),AQ566)</f>
        <v>0</v>
      </c>
      <c r="AW566" s="2">
        <f t="shared" si="96"/>
        <v>5.2295177222545029E-2</v>
      </c>
      <c r="AX566" s="2">
        <f t="shared" si="97"/>
        <v>5.2295177222545029E-2</v>
      </c>
      <c r="AY566" s="2">
        <f t="shared" si="98"/>
        <v>0</v>
      </c>
      <c r="AZ566" s="2">
        <f>AU566*0.5+AK566*0.5</f>
        <v>0.26693965517241369</v>
      </c>
      <c r="BA566" s="2">
        <f>AV566*0.5+AJ566*0.5</f>
        <v>0.10245689655172416</v>
      </c>
      <c r="BB566" s="2">
        <f t="shared" si="99"/>
        <v>2.6147588611272515E-2</v>
      </c>
      <c r="BC566">
        <f>IF(I566="expected",1,0)</f>
        <v>0</v>
      </c>
      <c r="BD566" s="78">
        <f>IF(BC566=1,AZ566/SUMIFS(AZ$3:AZ$623,$BC$3:$BC$623,1,$G$3:$G$623,$G566),0)</f>
        <v>0</v>
      </c>
      <c r="BE566" s="78">
        <f>IF(BC566=1,BA566/SUMIFS(BA$3:BA$623,$BC$3:$BC$623,1,$G$3:$G$623,$G566),0)</f>
        <v>0</v>
      </c>
      <c r="BF566" s="78">
        <f t="shared" si="100"/>
        <v>0</v>
      </c>
      <c r="BG566" s="2">
        <f t="shared" si="101"/>
        <v>2.6147588611272515E-2</v>
      </c>
      <c r="BH566" s="2">
        <f t="shared" si="102"/>
        <v>0</v>
      </c>
      <c r="BI566" s="2">
        <f t="shared" si="103"/>
        <v>0</v>
      </c>
      <c r="BJ566" s="2">
        <f t="shared" si="104"/>
        <v>0</v>
      </c>
      <c r="BK566" s="2">
        <f t="shared" si="105"/>
        <v>0</v>
      </c>
      <c r="BL566" s="2">
        <f t="shared" si="106"/>
        <v>2.6147588611272515E-2</v>
      </c>
      <c r="BM566" s="2">
        <f t="shared" si="107"/>
        <v>0</v>
      </c>
      <c r="BN566" s="2">
        <f>BI566/SUMIFS(BI$3:BI$623,$BC$3:$BC$623,1,$G$3:$G$623,$G566)</f>
        <v>0</v>
      </c>
      <c r="BO566" s="2">
        <f>BJ566/SUMIFS(BJ$3:BJ$623,$BC$3:$BC$623,1,$G$3:$G$623,$G566)</f>
        <v>0</v>
      </c>
      <c r="BP566" s="2">
        <f>BK566/SUMIFS(BK$3:BK$623,$BC$3:$BC$623,1,$G$3:$G$623,$G566)</f>
        <v>0</v>
      </c>
      <c r="BQ566" s="2">
        <f>BL566</f>
        <v>2.6147588611272515E-2</v>
      </c>
      <c r="BR566" s="2">
        <f>BM566</f>
        <v>0</v>
      </c>
    </row>
    <row r="567" spans="1:70" hidden="1">
      <c r="A567" s="74">
        <v>0</v>
      </c>
      <c r="B567" s="73">
        <v>221554</v>
      </c>
      <c r="C567" s="73" t="s">
        <v>3232</v>
      </c>
      <c r="D567" s="73" t="s">
        <v>3233</v>
      </c>
      <c r="E567" s="73" t="s">
        <v>3234</v>
      </c>
      <c r="F567" s="73">
        <v>18708</v>
      </c>
      <c r="G567" s="73" t="s">
        <v>866</v>
      </c>
      <c r="H567" s="73" t="s">
        <v>923</v>
      </c>
      <c r="I567" s="73" t="s">
        <v>1012</v>
      </c>
      <c r="J567" s="73">
        <v>0</v>
      </c>
      <c r="K567" s="73">
        <v>4</v>
      </c>
      <c r="L567" s="73">
        <v>0</v>
      </c>
      <c r="M567" s="73">
        <v>0</v>
      </c>
      <c r="N567" s="73">
        <v>0</v>
      </c>
      <c r="O567" s="73" t="s">
        <v>1318</v>
      </c>
      <c r="P567" s="73" t="s">
        <v>3235</v>
      </c>
      <c r="Q567" s="73" t="s">
        <v>1164</v>
      </c>
      <c r="R567" s="73"/>
      <c r="S567" s="73"/>
      <c r="T567" s="73"/>
      <c r="U567" s="73"/>
      <c r="V567" s="73"/>
      <c r="W567" s="73"/>
      <c r="X567" s="73"/>
      <c r="Y567" s="73"/>
      <c r="Z567" s="73" t="s">
        <v>1342</v>
      </c>
      <c r="AA567" s="73" t="s">
        <v>692</v>
      </c>
      <c r="AB567" s="73" t="str">
        <f>IF(AA567&lt;&gt;"",INDEX(Lookup!$N$2:$N$5,MATCH(Players!AA567,Lookup!$P$2:$P$5,0)),INDEX(Lookup!$N$2:$N$5,MATCH(Players!O567,Lookup!$O$2:$O$5,0)))</f>
        <v>Defense</v>
      </c>
      <c r="AC567" s="73">
        <v>2000000</v>
      </c>
      <c r="AD567" s="73" t="s">
        <v>788</v>
      </c>
      <c r="AE567" s="73">
        <f>INDEX('Translate table'!$H$2:$H$622,MATCH(Players!P567,'Translate table'!$G$2:$G$622,0))</f>
        <v>0</v>
      </c>
      <c r="AF567" s="73">
        <f>IFERROR(INDEX('Euro Qual stats'!$A$1:$L$2071,MATCH(Players!$AE567,'Euro Qual stats'!$A$1:$A$2071,0),MATCH(Players!AF$2,'Euro Qual stats'!$A$1:$L$1,0)),0)</f>
        <v>0</v>
      </c>
      <c r="AG567" s="73">
        <f>IFERROR(INDEX('Euro Qual stats'!$A$1:$L$2071,MATCH(Players!$AE567,'Euro Qual stats'!$A$1:$A$2071,0),MATCH(Players!AG$2,'Euro Qual stats'!$A$1:$L$1,0)),0)</f>
        <v>0</v>
      </c>
      <c r="AH567" s="73">
        <f>IFERROR(INDEX('Euro Qual stats'!$A$1:$L$2071,MATCH(Players!$AE567,'Euro Qual stats'!$A$1:$A$2071,0),MATCH(Players!AH$2,'Euro Qual stats'!$A$1:$L$1,0)),0)</f>
        <v>0</v>
      </c>
      <c r="AI567" s="73">
        <f>IFERROR(INDEX('Euro Qual stats'!$A$1:$L$2071,MATCH(Players!$AE567,'Euro Qual stats'!$A$1:$A$2071,0),MATCH(Players!AI$2,'Euro Qual stats'!$A$1:$L$1,0)),0)</f>
        <v>0</v>
      </c>
      <c r="AJ567" s="93">
        <f>(12-AF567)/12*INDEX(BV$9:BV$12,MATCH($AB567,$BU$9:$BU$12,0))+AF567/12*AG567</f>
        <v>8.9175824175824203E-2</v>
      </c>
      <c r="AK567" s="93">
        <f>(12-AG567)/12*INDEX(BW$9:BW$12,MATCH($AB567,$BU$9:$BU$12,0))+AG567/12*AH567</f>
        <v>0.10357142857142858</v>
      </c>
      <c r="AL567" s="93">
        <f>(12-AH567)/12*INDEX(BX$9:BX$12,MATCH($AB567,$BU$9:$BU$12,0))+AH567/12*AI567</f>
        <v>0.19357142857142848</v>
      </c>
      <c r="AM567" s="93">
        <f>IF($BC567=1,AJ567/SUMIFS(AJ$3:AJ$623,$BC$3:$BC$623,1,$G$3:$G$623,$G567),0)</f>
        <v>0</v>
      </c>
      <c r="AN567" s="93">
        <f>IF($BC567=1,AK567/SUMIFS(AK$3:AK$623,$BC$3:$BC$623,1,$G$3:$G$623,$G567),0)</f>
        <v>0</v>
      </c>
      <c r="AO567" s="93">
        <f>IF($BC567=1,AL567/SUMIFS(AL$3:AL$623,$BC$3:$BC$623,1,$G$3:$G$623,$G567),0)</f>
        <v>0</v>
      </c>
      <c r="AP567" s="2" t="str">
        <f>IFERROR(R567/$V567*90,"")</f>
        <v/>
      </c>
      <c r="AQ567" s="2" t="str">
        <f>IFERROR(S567/$V567*90,"")</f>
        <v/>
      </c>
      <c r="AR567" s="2" t="str">
        <f>IFERROR(W567/$V567*90,"")</f>
        <v/>
      </c>
      <c r="AS567" s="2" t="str">
        <f>IFERROR(X567/$V567*90,"")</f>
        <v/>
      </c>
      <c r="AT567" s="2" t="str">
        <f>IFERROR(Y567/$V567*90,"")</f>
        <v/>
      </c>
      <c r="AU567" s="2">
        <f>IF(AP567="",INDEX(BV$4:BV$7,MATCH(O567,$BU$4:$BU$7,0)),AP567)</f>
        <v>0</v>
      </c>
      <c r="AV567" s="2">
        <f>IF(AQ567="",INDEX(BW$4:BW$7,MATCH($O567,$BU$4:$BU$7,0)),AQ567)</f>
        <v>0</v>
      </c>
      <c r="AW567" s="2">
        <f t="shared" si="96"/>
        <v>8.0624805297505417E-2</v>
      </c>
      <c r="AX567" s="2">
        <f t="shared" si="97"/>
        <v>0.1265377855887522</v>
      </c>
      <c r="AY567" s="2">
        <f t="shared" si="98"/>
        <v>0</v>
      </c>
      <c r="AZ567" s="2">
        <f>AU567*0.5+AK567*0.5</f>
        <v>5.1785714285714289E-2</v>
      </c>
      <c r="BA567" s="2">
        <f>AV567*0.5+AJ567*0.5</f>
        <v>4.4587912087912102E-2</v>
      </c>
      <c r="BB567" s="2">
        <f t="shared" si="99"/>
        <v>6.32688927943761E-2</v>
      </c>
      <c r="BC567">
        <f>IF(I567="expected",1,0)</f>
        <v>0</v>
      </c>
      <c r="BD567" s="78">
        <f>IF(BC567=1,AZ567/SUMIFS(AZ$3:AZ$623,$BC$3:$BC$623,1,$G$3:$G$623,$G567),0)</f>
        <v>0</v>
      </c>
      <c r="BE567" s="78">
        <f>IF(BC567=1,BA567/SUMIFS(BA$3:BA$623,$BC$3:$BC$623,1,$G$3:$G$623,$G567),0)</f>
        <v>0</v>
      </c>
      <c r="BF567" s="78">
        <f t="shared" si="100"/>
        <v>0</v>
      </c>
      <c r="BG567" s="2">
        <f t="shared" si="101"/>
        <v>6.32688927943761E-2</v>
      </c>
      <c r="BH567" s="2">
        <f t="shared" si="102"/>
        <v>0</v>
      </c>
      <c r="BI567" s="2">
        <f t="shared" si="103"/>
        <v>0</v>
      </c>
      <c r="BJ567" s="2">
        <f t="shared" si="104"/>
        <v>0</v>
      </c>
      <c r="BK567" s="2">
        <f t="shared" si="105"/>
        <v>0</v>
      </c>
      <c r="BL567" s="2">
        <f t="shared" si="106"/>
        <v>6.32688927943761E-2</v>
      </c>
      <c r="BM567" s="2">
        <f t="shared" si="107"/>
        <v>0</v>
      </c>
      <c r="BN567" s="2">
        <f>BI567/SUMIFS(BI$3:BI$623,$BC$3:$BC$623,1,$G$3:$G$623,$G567)</f>
        <v>0</v>
      </c>
      <c r="BO567" s="2">
        <f>BJ567/SUMIFS(BJ$3:BJ$623,$BC$3:$BC$623,1,$G$3:$G$623,$G567)</f>
        <v>0</v>
      </c>
      <c r="BP567" s="2">
        <f>BK567/SUMIFS(BK$3:BK$623,$BC$3:$BC$623,1,$G$3:$G$623,$G567)</f>
        <v>0</v>
      </c>
      <c r="BQ567" s="2">
        <f>BL567</f>
        <v>6.32688927943761E-2</v>
      </c>
      <c r="BR567" s="2">
        <f>BM567</f>
        <v>0</v>
      </c>
    </row>
    <row r="568" spans="1:70" hidden="1">
      <c r="A568" s="74">
        <v>0</v>
      </c>
      <c r="B568" s="73">
        <v>220825</v>
      </c>
      <c r="C568" s="73" t="s">
        <v>3236</v>
      </c>
      <c r="D568" s="73" t="s">
        <v>3237</v>
      </c>
      <c r="E568" s="73" t="s">
        <v>3238</v>
      </c>
      <c r="F568" s="73">
        <v>18732</v>
      </c>
      <c r="G568" s="73" t="s">
        <v>897</v>
      </c>
      <c r="H568" s="73" t="s">
        <v>931</v>
      </c>
      <c r="I568" s="73" t="s">
        <v>981</v>
      </c>
      <c r="J568" s="73">
        <v>0</v>
      </c>
      <c r="K568" s="73">
        <v>4</v>
      </c>
      <c r="L568" s="73">
        <v>0</v>
      </c>
      <c r="M568" s="73">
        <v>0</v>
      </c>
      <c r="N568" s="73">
        <v>0</v>
      </c>
      <c r="O568" s="73" t="s">
        <v>1290</v>
      </c>
      <c r="P568" s="73" t="s">
        <v>3239</v>
      </c>
      <c r="Q568" s="73" t="s">
        <v>3240</v>
      </c>
      <c r="R568" s="73">
        <v>0</v>
      </c>
      <c r="S568" s="73">
        <v>0</v>
      </c>
      <c r="T568" s="73">
        <v>51</v>
      </c>
      <c r="U568" s="73">
        <v>15</v>
      </c>
      <c r="V568" s="73">
        <v>2970</v>
      </c>
      <c r="W568" s="73">
        <v>0</v>
      </c>
      <c r="X568" s="73">
        <v>0</v>
      </c>
      <c r="Y568" s="73">
        <v>0</v>
      </c>
      <c r="Z568" s="73" t="s">
        <v>2819</v>
      </c>
      <c r="AA568" s="73" t="s">
        <v>690</v>
      </c>
      <c r="AB568" s="73" t="str">
        <f>IF(AA568&lt;&gt;"",INDEX(Lookup!$N$2:$N$5,MATCH(Players!AA568,Lookup!$P$2:$P$5,0)),INDEX(Lookup!$N$2:$N$5,MATCH(Players!O568,Lookup!$O$2:$O$5,0)))</f>
        <v>Goalkeeper</v>
      </c>
      <c r="AC568" s="73">
        <v>3000000</v>
      </c>
      <c r="AD568" s="73" t="s">
        <v>790</v>
      </c>
      <c r="AE568" s="73" t="str">
        <f>INDEX('Translate table'!$H$2:$H$622,MATCH(Players!P568,'Translate table'!$G$2:$G$622,0))</f>
        <v>PÃ©ter GulÃ¡csi</v>
      </c>
      <c r="AF568" s="73">
        <f>IFERROR(INDEX('Euro Qual stats'!$A$1:$L$2071,MATCH(Players!$AE568,'Euro Qual stats'!$A$1:$A$2071,0),MATCH(Players!AF$2,'Euro Qual stats'!$A$1:$L$1,0)),0)</f>
        <v>10</v>
      </c>
      <c r="AG568" s="73">
        <f>IFERROR(INDEX('Euro Qual stats'!$A$1:$L$2071,MATCH(Players!$AE568,'Euro Qual stats'!$A$1:$A$2071,0),MATCH(Players!AG$2,'Euro Qual stats'!$A$1:$L$1,0)),0)</f>
        <v>0</v>
      </c>
      <c r="AH568" s="73">
        <f>IFERROR(INDEX('Euro Qual stats'!$A$1:$L$2071,MATCH(Players!$AE568,'Euro Qual stats'!$A$1:$A$2071,0),MATCH(Players!AH$2,'Euro Qual stats'!$A$1:$L$1,0)),0)</f>
        <v>0</v>
      </c>
      <c r="AI568" s="73">
        <f>IFERROR(INDEX('Euro Qual stats'!$A$1:$L$2071,MATCH(Players!$AE568,'Euro Qual stats'!$A$1:$A$2071,0),MATCH(Players!AI$2,'Euro Qual stats'!$A$1:$L$1,0)),0)</f>
        <v>0</v>
      </c>
      <c r="AJ568" s="93">
        <f>(12-AF568)/12*INDEX(BV$9:BV$12,MATCH($AB568,$BU$9:$BU$12,0))+AF568/12*AG568</f>
        <v>0</v>
      </c>
      <c r="AK568" s="93">
        <f>(12-AG568)/12*INDEX(BW$9:BW$12,MATCH($AB568,$BU$9:$BU$12,0))+AG568/12*AH568</f>
        <v>0</v>
      </c>
      <c r="AL568" s="93">
        <f>(12-AH568)/12*INDEX(BX$9:BX$12,MATCH($AB568,$BU$9:$BU$12,0))+AH568/12*AI568</f>
        <v>0</v>
      </c>
      <c r="AM568" s="93">
        <f>IF($BC568=1,AJ568/SUMIFS(AJ$3:AJ$623,$BC$3:$BC$623,1,$G$3:$G$623,$G568),0)</f>
        <v>0</v>
      </c>
      <c r="AN568" s="93">
        <f>IF($BC568=1,AK568/SUMIFS(AK$3:AK$623,$BC$3:$BC$623,1,$G$3:$G$623,$G568),0)</f>
        <v>0</v>
      </c>
      <c r="AO568" s="93">
        <f>IF($BC568=1,AL568/SUMIFS(AL$3:AL$623,$BC$3:$BC$623,1,$G$3:$G$623,$G568),0)</f>
        <v>0</v>
      </c>
      <c r="AP568" s="2">
        <f>IFERROR(R568/$V568*90,"")</f>
        <v>0</v>
      </c>
      <c r="AQ568" s="2">
        <f>IFERROR(S568/$V568*90,"")</f>
        <v>0</v>
      </c>
      <c r="AR568" s="2">
        <f>IFERROR(W568/$V568*90,"")</f>
        <v>0</v>
      </c>
      <c r="AS568" s="2">
        <f>IFERROR(X568/$V568*90,"")</f>
        <v>0</v>
      </c>
      <c r="AT568" s="2">
        <f>IFERROR(Y568/$V568*90,"")</f>
        <v>0</v>
      </c>
      <c r="AU568" s="2">
        <f>IF(AP568="",INDEX(BV$4:BV$7,MATCH(O568,$BU$4:$BU$7,0)),AP568)</f>
        <v>0</v>
      </c>
      <c r="AV568" s="2">
        <f>IF(AQ568="",INDEX(BW$4:BW$7,MATCH($O568,$BU$4:$BU$7,0)),AQ568)</f>
        <v>0</v>
      </c>
      <c r="AW568" s="2">
        <f t="shared" si="96"/>
        <v>0</v>
      </c>
      <c r="AX568" s="2">
        <f t="shared" si="97"/>
        <v>0</v>
      </c>
      <c r="AY568" s="2">
        <f t="shared" si="98"/>
        <v>0</v>
      </c>
      <c r="AZ568" s="2">
        <f>AU568*0.5+AK568*0.5</f>
        <v>0</v>
      </c>
      <c r="BA568" s="2">
        <f>AV568*0.5+AJ568*0.5</f>
        <v>0</v>
      </c>
      <c r="BB568" s="2">
        <f t="shared" si="99"/>
        <v>0</v>
      </c>
      <c r="BC568">
        <f>IF(I568="expected",1,0)</f>
        <v>1</v>
      </c>
      <c r="BD568" s="78">
        <f>IF(BC568=1,AZ568/SUMIFS(AZ$3:AZ$623,$BC$3:$BC$623,1,$G$3:$G$623,$G568),0)</f>
        <v>0</v>
      </c>
      <c r="BE568" s="78">
        <f>IF(BC568=1,BA568/SUMIFS(BA$3:BA$623,$BC$3:$BC$623,1,$G$3:$G$623,$G568),0)</f>
        <v>0</v>
      </c>
      <c r="BF568" s="78">
        <f t="shared" si="100"/>
        <v>0</v>
      </c>
      <c r="BG568" s="2">
        <f t="shared" si="101"/>
        <v>0</v>
      </c>
      <c r="BH568" s="2">
        <f t="shared" si="102"/>
        <v>0</v>
      </c>
      <c r="BI568" s="2">
        <f t="shared" si="103"/>
        <v>0</v>
      </c>
      <c r="BJ568" s="2">
        <f t="shared" si="104"/>
        <v>0</v>
      </c>
      <c r="BK568" s="2">
        <f t="shared" si="105"/>
        <v>0</v>
      </c>
      <c r="BL568" s="2">
        <f t="shared" si="106"/>
        <v>0</v>
      </c>
      <c r="BM568" s="2">
        <f t="shared" si="107"/>
        <v>0</v>
      </c>
      <c r="BN568" s="2">
        <f>BI568/SUMIFS(BI$3:BI$623,$BC$3:$BC$623,1,$G$3:$G$623,$G568)</f>
        <v>0</v>
      </c>
      <c r="BO568" s="2">
        <f>BJ568/SUMIFS(BJ$3:BJ$623,$BC$3:$BC$623,1,$G$3:$G$623,$G568)</f>
        <v>0</v>
      </c>
      <c r="BP568" s="2">
        <f>BK568/SUMIFS(BK$3:BK$623,$BC$3:$BC$623,1,$G$3:$G$623,$G568)</f>
        <v>0</v>
      </c>
      <c r="BQ568" s="2">
        <f>BL568</f>
        <v>0</v>
      </c>
      <c r="BR568" s="2">
        <f>BM568</f>
        <v>0</v>
      </c>
    </row>
    <row r="569" spans="1:70" hidden="1">
      <c r="A569" s="74">
        <v>0</v>
      </c>
      <c r="B569" s="73">
        <v>220824</v>
      </c>
      <c r="C569" s="73" t="s">
        <v>3241</v>
      </c>
      <c r="D569" s="73" t="s">
        <v>2840</v>
      </c>
      <c r="E569" s="73" t="s">
        <v>3242</v>
      </c>
      <c r="F569" s="73">
        <v>18732</v>
      </c>
      <c r="G569" s="73" t="s">
        <v>897</v>
      </c>
      <c r="H569" s="73" t="s">
        <v>931</v>
      </c>
      <c r="I569" s="73" t="s">
        <v>1012</v>
      </c>
      <c r="J569" s="73">
        <v>0</v>
      </c>
      <c r="K569" s="73">
        <v>4</v>
      </c>
      <c r="L569" s="73">
        <v>0</v>
      </c>
      <c r="M569" s="73">
        <v>0</v>
      </c>
      <c r="N569" s="73">
        <v>0</v>
      </c>
      <c r="O569" s="73" t="s">
        <v>1290</v>
      </c>
      <c r="P569" s="73" t="s">
        <v>3243</v>
      </c>
      <c r="Q569" s="73" t="s">
        <v>1164</v>
      </c>
      <c r="R569" s="73"/>
      <c r="S569" s="73"/>
      <c r="T569" s="73"/>
      <c r="U569" s="73"/>
      <c r="V569" s="73"/>
      <c r="W569" s="73"/>
      <c r="X569" s="73"/>
      <c r="Y569" s="73"/>
      <c r="Z569" s="73" t="s">
        <v>2819</v>
      </c>
      <c r="AA569" s="73" t="s">
        <v>690</v>
      </c>
      <c r="AB569" s="73" t="str">
        <f>IF(AA569&lt;&gt;"",INDEX(Lookup!$N$2:$N$5,MATCH(Players!AA569,Lookup!$P$2:$P$5,0)),INDEX(Lookup!$N$2:$N$5,MATCH(Players!O569,Lookup!$O$2:$O$5,0)))</f>
        <v>Goalkeeper</v>
      </c>
      <c r="AC569" s="73">
        <v>2500000</v>
      </c>
      <c r="AD569" s="73" t="s">
        <v>789</v>
      </c>
      <c r="AE569" s="73" t="str">
        <f>INDEX('Translate table'!$H$2:$H$622,MATCH(Players!P569,'Translate table'!$G$2:$G$622,0))</f>
        <v>Florin Bogdan È˜tefan</v>
      </c>
      <c r="AF569" s="73">
        <f>IFERROR(INDEX('Euro Qual stats'!$A$1:$L$2071,MATCH(Players!$AE569,'Euro Qual stats'!$A$1:$A$2071,0),MATCH(Players!AF$2,'Euro Qual stats'!$A$1:$L$1,0)),0)</f>
        <v>1</v>
      </c>
      <c r="AG569" s="73">
        <f>IFERROR(INDEX('Euro Qual stats'!$A$1:$L$2071,MATCH(Players!$AE569,'Euro Qual stats'!$A$1:$A$2071,0),MATCH(Players!AG$2,'Euro Qual stats'!$A$1:$L$1,0)),0)</f>
        <v>0</v>
      </c>
      <c r="AH569" s="73">
        <f>IFERROR(INDEX('Euro Qual stats'!$A$1:$L$2071,MATCH(Players!$AE569,'Euro Qual stats'!$A$1:$A$2071,0),MATCH(Players!AH$2,'Euro Qual stats'!$A$1:$L$1,0)),0)</f>
        <v>0</v>
      </c>
      <c r="AI569" s="73">
        <f>IFERROR(INDEX('Euro Qual stats'!$A$1:$L$2071,MATCH(Players!$AE569,'Euro Qual stats'!$A$1:$A$2071,0),MATCH(Players!AI$2,'Euro Qual stats'!$A$1:$L$1,0)),0)</f>
        <v>0</v>
      </c>
      <c r="AJ569" s="93">
        <f>(12-AF569)/12*INDEX(BV$9:BV$12,MATCH($AB569,$BU$9:$BU$12,0))+AF569/12*AG569</f>
        <v>0</v>
      </c>
      <c r="AK569" s="93">
        <f>(12-AG569)/12*INDEX(BW$9:BW$12,MATCH($AB569,$BU$9:$BU$12,0))+AG569/12*AH569</f>
        <v>0</v>
      </c>
      <c r="AL569" s="93">
        <f>(12-AH569)/12*INDEX(BX$9:BX$12,MATCH($AB569,$BU$9:$BU$12,0))+AH569/12*AI569</f>
        <v>0</v>
      </c>
      <c r="AM569" s="93">
        <f>IF($BC569=1,AJ569/SUMIFS(AJ$3:AJ$623,$BC$3:$BC$623,1,$G$3:$G$623,$G569),0)</f>
        <v>0</v>
      </c>
      <c r="AN569" s="93">
        <f>IF($BC569=1,AK569/SUMIFS(AK$3:AK$623,$BC$3:$BC$623,1,$G$3:$G$623,$G569),0)</f>
        <v>0</v>
      </c>
      <c r="AO569" s="93">
        <f>IF($BC569=1,AL569/SUMIFS(AL$3:AL$623,$BC$3:$BC$623,1,$G$3:$G$623,$G569),0)</f>
        <v>0</v>
      </c>
      <c r="AP569" s="2" t="str">
        <f>IFERROR(R569/$V569*90,"")</f>
        <v/>
      </c>
      <c r="AQ569" s="2" t="str">
        <f>IFERROR(S569/$V569*90,"")</f>
        <v/>
      </c>
      <c r="AR569" s="2" t="str">
        <f>IFERROR(W569/$V569*90,"")</f>
        <v/>
      </c>
      <c r="AS569" s="2" t="str">
        <f>IFERROR(X569/$V569*90,"")</f>
        <v/>
      </c>
      <c r="AT569" s="2" t="str">
        <f>IFERROR(Y569/$V569*90,"")</f>
        <v/>
      </c>
      <c r="AU569" s="2">
        <f>IF(AP569="",INDEX(BV$4:BV$7,MATCH(O569,$BU$4:$BU$7,0)),AP569)</f>
        <v>0</v>
      </c>
      <c r="AV569" s="2">
        <f>IF(AQ569="",INDEX(BW$4:BW$7,MATCH($O569,$BU$4:$BU$7,0)),AQ569)</f>
        <v>0</v>
      </c>
      <c r="AW569" s="2">
        <f t="shared" si="96"/>
        <v>0</v>
      </c>
      <c r="AX569" s="2">
        <f t="shared" si="97"/>
        <v>0</v>
      </c>
      <c r="AY569" s="2">
        <f t="shared" si="98"/>
        <v>0</v>
      </c>
      <c r="AZ569" s="2">
        <f>AU569*0.5+AK569*0.5</f>
        <v>0</v>
      </c>
      <c r="BA569" s="2">
        <f>AV569*0.5+AJ569*0.5</f>
        <v>0</v>
      </c>
      <c r="BB569" s="2">
        <f t="shared" si="99"/>
        <v>0</v>
      </c>
      <c r="BC569">
        <f>IF(I569="expected",1,0)</f>
        <v>0</v>
      </c>
      <c r="BD569" s="78">
        <f>IF(BC569=1,AZ569/SUMIFS(AZ$3:AZ$623,$BC$3:$BC$623,1,$G$3:$G$623,$G569),0)</f>
        <v>0</v>
      </c>
      <c r="BE569" s="78">
        <f>IF(BC569=1,BA569/SUMIFS(BA$3:BA$623,$BC$3:$BC$623,1,$G$3:$G$623,$G569),0)</f>
        <v>0</v>
      </c>
      <c r="BF569" s="78">
        <f t="shared" si="100"/>
        <v>0</v>
      </c>
      <c r="BG569" s="2">
        <f t="shared" si="101"/>
        <v>0</v>
      </c>
      <c r="BH569" s="2">
        <f t="shared" si="102"/>
        <v>0</v>
      </c>
      <c r="BI569" s="2">
        <f t="shared" si="103"/>
        <v>0</v>
      </c>
      <c r="BJ569" s="2">
        <f t="shared" si="104"/>
        <v>0</v>
      </c>
      <c r="BK569" s="2">
        <f t="shared" si="105"/>
        <v>0</v>
      </c>
      <c r="BL569" s="2">
        <f t="shared" si="106"/>
        <v>0</v>
      </c>
      <c r="BM569" s="2">
        <f t="shared" si="107"/>
        <v>0</v>
      </c>
      <c r="BN569" s="2">
        <f>BI569/SUMIFS(BI$3:BI$623,$BC$3:$BC$623,1,$G$3:$G$623,$G569)</f>
        <v>0</v>
      </c>
      <c r="BO569" s="2">
        <f>BJ569/SUMIFS(BJ$3:BJ$623,$BC$3:$BC$623,1,$G$3:$G$623,$G569)</f>
        <v>0</v>
      </c>
      <c r="BP569" s="2">
        <f>BK569/SUMIFS(BK$3:BK$623,$BC$3:$BC$623,1,$G$3:$G$623,$G569)</f>
        <v>0</v>
      </c>
      <c r="BQ569" s="2">
        <f>BL569</f>
        <v>0</v>
      </c>
      <c r="BR569" s="2">
        <f>BM569</f>
        <v>0</v>
      </c>
    </row>
    <row r="570" spans="1:70" hidden="1">
      <c r="A570" s="74">
        <v>0</v>
      </c>
      <c r="B570" s="73">
        <v>204924</v>
      </c>
      <c r="C570" s="73" t="s">
        <v>3244</v>
      </c>
      <c r="D570" s="73" t="s">
        <v>3245</v>
      </c>
      <c r="E570" s="73" t="s">
        <v>3246</v>
      </c>
      <c r="F570" s="73">
        <v>18732</v>
      </c>
      <c r="G570" s="73" t="s">
        <v>897</v>
      </c>
      <c r="H570" s="73" t="s">
        <v>931</v>
      </c>
      <c r="I570" s="73" t="s">
        <v>1012</v>
      </c>
      <c r="J570" s="73">
        <v>0</v>
      </c>
      <c r="K570" s="73">
        <v>4</v>
      </c>
      <c r="L570" s="73">
        <v>0</v>
      </c>
      <c r="M570" s="73">
        <v>0</v>
      </c>
      <c r="N570" s="73">
        <v>0</v>
      </c>
      <c r="O570" s="73" t="s">
        <v>1290</v>
      </c>
      <c r="P570" s="73" t="s">
        <v>3247</v>
      </c>
      <c r="Q570" s="73" t="s">
        <v>1164</v>
      </c>
      <c r="R570" s="73"/>
      <c r="S570" s="73"/>
      <c r="T570" s="73"/>
      <c r="U570" s="73"/>
      <c r="V570" s="73"/>
      <c r="W570" s="73"/>
      <c r="X570" s="73"/>
      <c r="Y570" s="73"/>
      <c r="Z570" s="73" t="s">
        <v>2819</v>
      </c>
      <c r="AA570" s="73" t="s">
        <v>690</v>
      </c>
      <c r="AB570" s="73" t="str">
        <f>IF(AA570&lt;&gt;"",INDEX(Lookup!$N$2:$N$5,MATCH(Players!AA570,Lookup!$P$2:$P$5,0)),INDEX(Lookup!$N$2:$N$5,MATCH(Players!O570,Lookup!$O$2:$O$5,0)))</f>
        <v>Goalkeeper</v>
      </c>
      <c r="AC570" s="73">
        <v>3000000</v>
      </c>
      <c r="AD570" s="73" t="s">
        <v>753</v>
      </c>
      <c r="AE570" s="73" t="str">
        <f>INDEX('Translate table'!$H$2:$H$622,MATCH(Players!P570,'Translate table'!$G$2:$G$622,0))</f>
        <v>DÃ©nes Dibusz</v>
      </c>
      <c r="AF570" s="73">
        <f>IFERROR(INDEX('Euro Qual stats'!$A$1:$L$2071,MATCH(Players!$AE570,'Euro Qual stats'!$A$1:$A$2071,0),MATCH(Players!AF$2,'Euro Qual stats'!$A$1:$L$1,0)),0)</f>
        <v>0</v>
      </c>
      <c r="AG570" s="73">
        <f>IFERROR(INDEX('Euro Qual stats'!$A$1:$L$2071,MATCH(Players!$AE570,'Euro Qual stats'!$A$1:$A$2071,0),MATCH(Players!AG$2,'Euro Qual stats'!$A$1:$L$1,0)),0)</f>
        <v>0</v>
      </c>
      <c r="AH570" s="73">
        <f>IFERROR(INDEX('Euro Qual stats'!$A$1:$L$2071,MATCH(Players!$AE570,'Euro Qual stats'!$A$1:$A$2071,0),MATCH(Players!AH$2,'Euro Qual stats'!$A$1:$L$1,0)),0)</f>
        <v>0</v>
      </c>
      <c r="AI570" s="73">
        <f>IFERROR(INDEX('Euro Qual stats'!$A$1:$L$2071,MATCH(Players!$AE570,'Euro Qual stats'!$A$1:$A$2071,0),MATCH(Players!AI$2,'Euro Qual stats'!$A$1:$L$1,0)),0)</f>
        <v>0</v>
      </c>
      <c r="AJ570" s="93">
        <f>(12-AF570)/12*INDEX(BV$9:BV$12,MATCH($AB570,$BU$9:$BU$12,0))+AF570/12*AG570</f>
        <v>0</v>
      </c>
      <c r="AK570" s="93">
        <f>(12-AG570)/12*INDEX(BW$9:BW$12,MATCH($AB570,$BU$9:$BU$12,0))+AG570/12*AH570</f>
        <v>0</v>
      </c>
      <c r="AL570" s="93">
        <f>(12-AH570)/12*INDEX(BX$9:BX$12,MATCH($AB570,$BU$9:$BU$12,0))+AH570/12*AI570</f>
        <v>0</v>
      </c>
      <c r="AM570" s="93">
        <f>IF($BC570=1,AJ570/SUMIFS(AJ$3:AJ$623,$BC$3:$BC$623,1,$G$3:$G$623,$G570),0)</f>
        <v>0</v>
      </c>
      <c r="AN570" s="93">
        <f>IF($BC570=1,AK570/SUMIFS(AK$3:AK$623,$BC$3:$BC$623,1,$G$3:$G$623,$G570),0)</f>
        <v>0</v>
      </c>
      <c r="AO570" s="93">
        <f>IF($BC570=1,AL570/SUMIFS(AL$3:AL$623,$BC$3:$BC$623,1,$G$3:$G$623,$G570),0)</f>
        <v>0</v>
      </c>
      <c r="AP570" s="2" t="str">
        <f>IFERROR(R570/$V570*90,"")</f>
        <v/>
      </c>
      <c r="AQ570" s="2" t="str">
        <f>IFERROR(S570/$V570*90,"")</f>
        <v/>
      </c>
      <c r="AR570" s="2" t="str">
        <f>IFERROR(W570/$V570*90,"")</f>
        <v/>
      </c>
      <c r="AS570" s="2" t="str">
        <f>IFERROR(X570/$V570*90,"")</f>
        <v/>
      </c>
      <c r="AT570" s="2" t="str">
        <f>IFERROR(Y570/$V570*90,"")</f>
        <v/>
      </c>
      <c r="AU570" s="2">
        <f>IF(AP570="",INDEX(BV$4:BV$7,MATCH(O570,$BU$4:$BU$7,0)),AP570)</f>
        <v>0</v>
      </c>
      <c r="AV570" s="2">
        <f>IF(AQ570="",INDEX(BW$4:BW$7,MATCH($O570,$BU$4:$BU$7,0)),AQ570)</f>
        <v>0</v>
      </c>
      <c r="AW570" s="2">
        <f t="shared" si="96"/>
        <v>0</v>
      </c>
      <c r="AX570" s="2">
        <f t="shared" si="97"/>
        <v>0</v>
      </c>
      <c r="AY570" s="2">
        <f t="shared" si="98"/>
        <v>0</v>
      </c>
      <c r="AZ570" s="2">
        <f>AU570*0.5+AK570*0.5</f>
        <v>0</v>
      </c>
      <c r="BA570" s="2">
        <f>AV570*0.5+AJ570*0.5</f>
        <v>0</v>
      </c>
      <c r="BB570" s="2">
        <f t="shared" si="99"/>
        <v>0</v>
      </c>
      <c r="BC570">
        <f>IF(I570="expected",1,0)</f>
        <v>0</v>
      </c>
      <c r="BD570" s="78">
        <f>IF(BC570=1,AZ570/SUMIFS(AZ$3:AZ$623,$BC$3:$BC$623,1,$G$3:$G$623,$G570),0)</f>
        <v>0</v>
      </c>
      <c r="BE570" s="78">
        <f>IF(BC570=1,BA570/SUMIFS(BA$3:BA$623,$BC$3:$BC$623,1,$G$3:$G$623,$G570),0)</f>
        <v>0</v>
      </c>
      <c r="BF570" s="78">
        <f t="shared" si="100"/>
        <v>0</v>
      </c>
      <c r="BG570" s="2">
        <f t="shared" si="101"/>
        <v>0</v>
      </c>
      <c r="BH570" s="2">
        <f t="shared" si="102"/>
        <v>0</v>
      </c>
      <c r="BI570" s="2">
        <f t="shared" si="103"/>
        <v>0</v>
      </c>
      <c r="BJ570" s="2">
        <f t="shared" si="104"/>
        <v>0</v>
      </c>
      <c r="BK570" s="2">
        <f t="shared" si="105"/>
        <v>0</v>
      </c>
      <c r="BL570" s="2">
        <f t="shared" si="106"/>
        <v>0</v>
      </c>
      <c r="BM570" s="2">
        <f t="shared" si="107"/>
        <v>0</v>
      </c>
      <c r="BN570" s="2">
        <f>BI570/SUMIFS(BI$3:BI$623,$BC$3:$BC$623,1,$G$3:$G$623,$G570)</f>
        <v>0</v>
      </c>
      <c r="BO570" s="2">
        <f>BJ570/SUMIFS(BJ$3:BJ$623,$BC$3:$BC$623,1,$G$3:$G$623,$G570)</f>
        <v>0</v>
      </c>
      <c r="BP570" s="2">
        <f>BK570/SUMIFS(BK$3:BK$623,$BC$3:$BC$623,1,$G$3:$G$623,$G570)</f>
        <v>0</v>
      </c>
      <c r="BQ570" s="2">
        <f>BL570</f>
        <v>0</v>
      </c>
      <c r="BR570" s="2">
        <f>BM570</f>
        <v>0</v>
      </c>
    </row>
    <row r="571" spans="1:70" hidden="1">
      <c r="A571" s="74">
        <v>0</v>
      </c>
      <c r="B571" s="73">
        <v>220828</v>
      </c>
      <c r="C571" s="73" t="s">
        <v>3248</v>
      </c>
      <c r="D571" s="73" t="s">
        <v>3249</v>
      </c>
      <c r="E571" s="73" t="s">
        <v>3250</v>
      </c>
      <c r="F571" s="73">
        <v>18732</v>
      </c>
      <c r="G571" s="73" t="s">
        <v>897</v>
      </c>
      <c r="H571" s="73" t="s">
        <v>931</v>
      </c>
      <c r="I571" s="73" t="s">
        <v>1012</v>
      </c>
      <c r="J571" s="73">
        <v>0</v>
      </c>
      <c r="K571" s="73">
        <v>4</v>
      </c>
      <c r="L571" s="73">
        <v>0</v>
      </c>
      <c r="M571" s="73">
        <v>0</v>
      </c>
      <c r="N571" s="73">
        <v>0</v>
      </c>
      <c r="O571" s="73" t="s">
        <v>1318</v>
      </c>
      <c r="P571" s="73" t="s">
        <v>3251</v>
      </c>
      <c r="Q571" s="73" t="s">
        <v>1164</v>
      </c>
      <c r="R571" s="73"/>
      <c r="S571" s="73"/>
      <c r="T571" s="73"/>
      <c r="U571" s="73"/>
      <c r="V571" s="73"/>
      <c r="W571" s="73"/>
      <c r="X571" s="73"/>
      <c r="Y571" s="73"/>
      <c r="Z571" s="73" t="s">
        <v>2819</v>
      </c>
      <c r="AA571" s="73" t="s">
        <v>692</v>
      </c>
      <c r="AB571" s="73" t="str">
        <f>IF(AA571&lt;&gt;"",INDEX(Lookup!$N$2:$N$5,MATCH(Players!AA571,Lookup!$P$2:$P$5,0)),INDEX(Lookup!$N$2:$N$5,MATCH(Players!O571,Lookup!$O$2:$O$5,0)))</f>
        <v>Defense</v>
      </c>
      <c r="AC571" s="73">
        <v>2000000</v>
      </c>
      <c r="AD571" s="73" t="s">
        <v>753</v>
      </c>
      <c r="AE571" s="73">
        <f>INDEX('Translate table'!$H$2:$H$622,MATCH(Players!P571,'Translate table'!$G$2:$G$622,0))</f>
        <v>0</v>
      </c>
      <c r="AF571" s="73">
        <f>IFERROR(INDEX('Euro Qual stats'!$A$1:$L$2071,MATCH(Players!$AE571,'Euro Qual stats'!$A$1:$A$2071,0),MATCH(Players!AF$2,'Euro Qual stats'!$A$1:$L$1,0)),0)</f>
        <v>0</v>
      </c>
      <c r="AG571" s="73">
        <f>IFERROR(INDEX('Euro Qual stats'!$A$1:$L$2071,MATCH(Players!$AE571,'Euro Qual stats'!$A$1:$A$2071,0),MATCH(Players!AG$2,'Euro Qual stats'!$A$1:$L$1,0)),0)</f>
        <v>0</v>
      </c>
      <c r="AH571" s="73">
        <f>IFERROR(INDEX('Euro Qual stats'!$A$1:$L$2071,MATCH(Players!$AE571,'Euro Qual stats'!$A$1:$A$2071,0),MATCH(Players!AH$2,'Euro Qual stats'!$A$1:$L$1,0)),0)</f>
        <v>0</v>
      </c>
      <c r="AI571" s="73">
        <f>IFERROR(INDEX('Euro Qual stats'!$A$1:$L$2071,MATCH(Players!$AE571,'Euro Qual stats'!$A$1:$A$2071,0),MATCH(Players!AI$2,'Euro Qual stats'!$A$1:$L$1,0)),0)</f>
        <v>0</v>
      </c>
      <c r="AJ571" s="93">
        <f>(12-AF571)/12*INDEX(BV$9:BV$12,MATCH($AB571,$BU$9:$BU$12,0))+AF571/12*AG571</f>
        <v>8.9175824175824203E-2</v>
      </c>
      <c r="AK571" s="93">
        <f>(12-AG571)/12*INDEX(BW$9:BW$12,MATCH($AB571,$BU$9:$BU$12,0))+AG571/12*AH571</f>
        <v>0.10357142857142858</v>
      </c>
      <c r="AL571" s="93">
        <f>(12-AH571)/12*INDEX(BX$9:BX$12,MATCH($AB571,$BU$9:$BU$12,0))+AH571/12*AI571</f>
        <v>0.19357142857142848</v>
      </c>
      <c r="AM571" s="93">
        <f>IF($BC571=1,AJ571/SUMIFS(AJ$3:AJ$623,$BC$3:$BC$623,1,$G$3:$G$623,$G571),0)</f>
        <v>0</v>
      </c>
      <c r="AN571" s="93">
        <f>IF($BC571=1,AK571/SUMIFS(AK$3:AK$623,$BC$3:$BC$623,1,$G$3:$G$623,$G571),0)</f>
        <v>0</v>
      </c>
      <c r="AO571" s="93">
        <f>IF($BC571=1,AL571/SUMIFS(AL$3:AL$623,$BC$3:$BC$623,1,$G$3:$G$623,$G571),0)</f>
        <v>0</v>
      </c>
      <c r="AP571" s="2" t="str">
        <f>IFERROR(R571/$V571*90,"")</f>
        <v/>
      </c>
      <c r="AQ571" s="2" t="str">
        <f>IFERROR(S571/$V571*90,"")</f>
        <v/>
      </c>
      <c r="AR571" s="2" t="str">
        <f>IFERROR(W571/$V571*90,"")</f>
        <v/>
      </c>
      <c r="AS571" s="2" t="str">
        <f>IFERROR(X571/$V571*90,"")</f>
        <v/>
      </c>
      <c r="AT571" s="2" t="str">
        <f>IFERROR(Y571/$V571*90,"")</f>
        <v/>
      </c>
      <c r="AU571" s="2">
        <f>IF(AP571="",INDEX(BV$4:BV$7,MATCH(O571,$BU$4:$BU$7,0)),AP571)</f>
        <v>0</v>
      </c>
      <c r="AV571" s="2">
        <f>IF(AQ571="",INDEX(BW$4:BW$7,MATCH($O571,$BU$4:$BU$7,0)),AQ571)</f>
        <v>0</v>
      </c>
      <c r="AW571" s="2">
        <f t="shared" si="96"/>
        <v>8.0624805297505417E-2</v>
      </c>
      <c r="AX571" s="2">
        <f t="shared" si="97"/>
        <v>0.1265377855887522</v>
      </c>
      <c r="AY571" s="2">
        <f t="shared" si="98"/>
        <v>0</v>
      </c>
      <c r="AZ571" s="2">
        <f>AU571*0.5+AK571*0.5</f>
        <v>5.1785714285714289E-2</v>
      </c>
      <c r="BA571" s="2">
        <f>AV571*0.5+AJ571*0.5</f>
        <v>4.4587912087912102E-2</v>
      </c>
      <c r="BB571" s="2">
        <f t="shared" si="99"/>
        <v>6.32688927943761E-2</v>
      </c>
      <c r="BC571">
        <f>IF(I571="expected",1,0)</f>
        <v>0</v>
      </c>
      <c r="BD571" s="78">
        <f>IF(BC571=1,AZ571/SUMIFS(AZ$3:AZ$623,$BC$3:$BC$623,1,$G$3:$G$623,$G571),0)</f>
        <v>0</v>
      </c>
      <c r="BE571" s="78">
        <f>IF(BC571=1,BA571/SUMIFS(BA$3:BA$623,$BC$3:$BC$623,1,$G$3:$G$623,$G571),0)</f>
        <v>0</v>
      </c>
      <c r="BF571" s="78">
        <f t="shared" si="100"/>
        <v>0</v>
      </c>
      <c r="BG571" s="2">
        <f t="shared" si="101"/>
        <v>6.32688927943761E-2</v>
      </c>
      <c r="BH571" s="2">
        <f t="shared" si="102"/>
        <v>0</v>
      </c>
      <c r="BI571" s="2">
        <f t="shared" si="103"/>
        <v>0</v>
      </c>
      <c r="BJ571" s="2">
        <f t="shared" si="104"/>
        <v>0</v>
      </c>
      <c r="BK571" s="2">
        <f t="shared" si="105"/>
        <v>0</v>
      </c>
      <c r="BL571" s="2">
        <f t="shared" si="106"/>
        <v>6.32688927943761E-2</v>
      </c>
      <c r="BM571" s="2">
        <f t="shared" si="107"/>
        <v>0</v>
      </c>
      <c r="BN571" s="2">
        <f>BI571/SUMIFS(BI$3:BI$623,$BC$3:$BC$623,1,$G$3:$G$623,$G571)</f>
        <v>0</v>
      </c>
      <c r="BO571" s="2">
        <f>BJ571/SUMIFS(BJ$3:BJ$623,$BC$3:$BC$623,1,$G$3:$G$623,$G571)</f>
        <v>0</v>
      </c>
      <c r="BP571" s="2">
        <f>BK571/SUMIFS(BK$3:BK$623,$BC$3:$BC$623,1,$G$3:$G$623,$G571)</f>
        <v>0</v>
      </c>
      <c r="BQ571" s="2">
        <f>BL571</f>
        <v>6.32688927943761E-2</v>
      </c>
      <c r="BR571" s="2">
        <f>BM571</f>
        <v>0</v>
      </c>
    </row>
    <row r="572" spans="1:70" hidden="1">
      <c r="A572" s="74">
        <v>0</v>
      </c>
      <c r="B572" s="73">
        <v>213465</v>
      </c>
      <c r="C572" s="73" t="s">
        <v>3252</v>
      </c>
      <c r="D572" s="73" t="s">
        <v>3253</v>
      </c>
      <c r="E572" s="73" t="s">
        <v>3254</v>
      </c>
      <c r="F572" s="73">
        <v>18732</v>
      </c>
      <c r="G572" s="73" t="s">
        <v>897</v>
      </c>
      <c r="H572" s="73" t="s">
        <v>931</v>
      </c>
      <c r="I572" s="73" t="s">
        <v>981</v>
      </c>
      <c r="J572" s="73">
        <v>0</v>
      </c>
      <c r="K572" s="73">
        <v>4</v>
      </c>
      <c r="L572" s="73">
        <v>0</v>
      </c>
      <c r="M572" s="73">
        <v>0</v>
      </c>
      <c r="N572" s="73">
        <v>0</v>
      </c>
      <c r="O572" s="73" t="s">
        <v>1318</v>
      </c>
      <c r="P572" s="73" t="s">
        <v>3255</v>
      </c>
      <c r="Q572" s="73" t="s">
        <v>3256</v>
      </c>
      <c r="R572" s="73">
        <v>4</v>
      </c>
      <c r="S572" s="73">
        <v>1</v>
      </c>
      <c r="T572" s="73">
        <v>0</v>
      </c>
      <c r="U572" s="73">
        <v>11</v>
      </c>
      <c r="V572" s="73">
        <v>2361</v>
      </c>
      <c r="W572" s="73">
        <v>7</v>
      </c>
      <c r="X572" s="73">
        <v>4</v>
      </c>
      <c r="Y572" s="73">
        <v>0</v>
      </c>
      <c r="Z572" s="73" t="s">
        <v>2819</v>
      </c>
      <c r="AA572" s="73" t="s">
        <v>692</v>
      </c>
      <c r="AB572" s="73" t="str">
        <f>IF(AA572&lt;&gt;"",INDEX(Lookup!$N$2:$N$5,MATCH(Players!AA572,Lookup!$P$2:$P$5,0)),INDEX(Lookup!$N$2:$N$5,MATCH(Players!O572,Lookup!$O$2:$O$5,0)))</f>
        <v>Defense</v>
      </c>
      <c r="AC572" s="73">
        <v>3000000</v>
      </c>
      <c r="AD572" s="73" t="s">
        <v>788</v>
      </c>
      <c r="AE572" s="73" t="str">
        <f>INDEX('Translate table'!$H$2:$H$622,MATCH(Players!P572,'Translate table'!$G$2:$G$622,0))</f>
        <v>Willi Orban</v>
      </c>
      <c r="AF572" s="73">
        <f>IFERROR(INDEX('Euro Qual stats'!$A$1:$L$2071,MATCH(Players!$AE572,'Euro Qual stats'!$A$1:$A$2071,0),MATCH(Players!AF$2,'Euro Qual stats'!$A$1:$L$1,0)),0)</f>
        <v>9</v>
      </c>
      <c r="AG572" s="73">
        <f>IFERROR(INDEX('Euro Qual stats'!$A$1:$L$2071,MATCH(Players!$AE572,'Euro Qual stats'!$A$1:$A$2071,0),MATCH(Players!AG$2,'Euro Qual stats'!$A$1:$L$1,0)),0)</f>
        <v>0</v>
      </c>
      <c r="AH572" s="73">
        <f>IFERROR(INDEX('Euro Qual stats'!$A$1:$L$2071,MATCH(Players!$AE572,'Euro Qual stats'!$A$1:$A$2071,0),MATCH(Players!AH$2,'Euro Qual stats'!$A$1:$L$1,0)),0)</f>
        <v>0.33</v>
      </c>
      <c r="AI572" s="73">
        <f>IFERROR(INDEX('Euro Qual stats'!$A$1:$L$2071,MATCH(Players!$AE572,'Euro Qual stats'!$A$1:$A$2071,0),MATCH(Players!AI$2,'Euro Qual stats'!$A$1:$L$1,0)),0)</f>
        <v>0</v>
      </c>
      <c r="AJ572" s="93">
        <f>(12-AF572)/12*INDEX(BV$9:BV$12,MATCH($AB572,$BU$9:$BU$12,0))+AF572/12*AG572</f>
        <v>2.2293956043956051E-2</v>
      </c>
      <c r="AK572" s="93">
        <f>(12-AG572)/12*INDEX(BW$9:BW$12,MATCH($AB572,$BU$9:$BU$12,0))+AG572/12*AH572</f>
        <v>0.10357142857142858</v>
      </c>
      <c r="AL572" s="93">
        <f>(12-AH572)/12*INDEX(BX$9:BX$12,MATCH($AB572,$BU$9:$BU$12,0))+AH572/12*AI572</f>
        <v>0.1882482142857142</v>
      </c>
      <c r="AM572" s="93">
        <f>IF($BC572=1,AJ572/SUMIFS(AJ$3:AJ$623,$BC$3:$BC$623,1,$G$3:$G$623,$G572),0)</f>
        <v>1.999404223395912E-2</v>
      </c>
      <c r="AN572" s="93">
        <f>IF($BC572=1,AK572/SUMIFS(AK$3:AK$623,$BC$3:$BC$623,1,$G$3:$G$623,$G572),0)</f>
        <v>4.4022750517471052E-2</v>
      </c>
      <c r="AO572" s="93">
        <f>IF($BC572=1,AL572/SUMIFS(AL$3:AL$623,$BC$3:$BC$623,1,$G$3:$G$623,$G572),0)</f>
        <v>9.1570491041488872E-2</v>
      </c>
      <c r="AP572" s="2">
        <f>IFERROR(R572/$V572*90,"")</f>
        <v>0.15247776365946633</v>
      </c>
      <c r="AQ572" s="2">
        <f>IFERROR(S572/$V572*90,"")</f>
        <v>3.8119440914866583E-2</v>
      </c>
      <c r="AR572" s="2">
        <f>IFERROR(W572/$V572*90,"")</f>
        <v>0.26683608640406609</v>
      </c>
      <c r="AS572" s="2">
        <f>IFERROR(X572/$V572*90,"")</f>
        <v>0.15247776365946633</v>
      </c>
      <c r="AT572" s="2">
        <f>IFERROR(Y572/$V572*90,"")</f>
        <v>0</v>
      </c>
      <c r="AU572" s="2">
        <f>IF(AP572="",INDEX(BV$4:BV$7,MATCH(O572,$BU$4:$BU$7,0)),AP572)</f>
        <v>0.15247776365946633</v>
      </c>
      <c r="AV572" s="2">
        <f>IF(AQ572="",INDEX(BW$4:BW$7,MATCH($O572,$BU$4:$BU$7,0)),AQ572)</f>
        <v>3.8119440914866583E-2</v>
      </c>
      <c r="AW572" s="2">
        <f t="shared" si="96"/>
        <v>0.26683608640406609</v>
      </c>
      <c r="AX572" s="2">
        <f t="shared" si="97"/>
        <v>0.15247776365946633</v>
      </c>
      <c r="AY572" s="2">
        <f t="shared" si="98"/>
        <v>0</v>
      </c>
      <c r="AZ572" s="2">
        <f>AU572*0.5+AK572*0.5</f>
        <v>0.12802459611544745</v>
      </c>
      <c r="BA572" s="2">
        <f>AV572*0.5+AJ572*0.5</f>
        <v>3.0206698479411317E-2</v>
      </c>
      <c r="BB572" s="2">
        <f t="shared" si="99"/>
        <v>7.6238881829733166E-2</v>
      </c>
      <c r="BC572">
        <f>IF(I572="expected",1,0)</f>
        <v>1</v>
      </c>
      <c r="BD572" s="78">
        <f>IF(BC572=1,AZ572/SUMIFS(AZ$3:AZ$623,$BC$3:$BC$623,1,$G$3:$G$623,$G572),0)</f>
        <v>6.9408807556334148E-2</v>
      </c>
      <c r="BE572" s="78">
        <f>IF(BC572=1,BA572/SUMIFS(BA$3:BA$623,$BC$3:$BC$623,1,$G$3:$G$623,$G572),0)</f>
        <v>3.6833736623417358E-2</v>
      </c>
      <c r="BF572" s="78">
        <f t="shared" si="100"/>
        <v>6.5486334160540602E-2</v>
      </c>
      <c r="BG572" s="2">
        <f t="shared" si="101"/>
        <v>7.6238881829733166E-2</v>
      </c>
      <c r="BH572" s="2">
        <f t="shared" si="102"/>
        <v>0</v>
      </c>
      <c r="BI572" s="2">
        <f t="shared" si="103"/>
        <v>6.9408807556334148E-2</v>
      </c>
      <c r="BJ572" s="2">
        <f t="shared" si="104"/>
        <v>3.6833736623417358E-2</v>
      </c>
      <c r="BK572" s="2">
        <f t="shared" si="105"/>
        <v>6.5486334160540602E-2</v>
      </c>
      <c r="BL572" s="2">
        <f t="shared" si="106"/>
        <v>7.6238881829733166E-2</v>
      </c>
      <c r="BM572" s="2">
        <f t="shared" si="107"/>
        <v>0</v>
      </c>
      <c r="BN572" s="2">
        <f>BI572/SUMIFS(BI$3:BI$623,$BC$3:$BC$623,1,$G$3:$G$623,$G572)</f>
        <v>6.9408807556334176E-2</v>
      </c>
      <c r="BO572" s="2">
        <f>BJ572/SUMIFS(BJ$3:BJ$623,$BC$3:$BC$623,1,$G$3:$G$623,$G572)</f>
        <v>3.6833736623417351E-2</v>
      </c>
      <c r="BP572" s="2">
        <f>BK572/SUMIFS(BK$3:BK$623,$BC$3:$BC$623,1,$G$3:$G$623,$G572)</f>
        <v>6.5486334160540602E-2</v>
      </c>
      <c r="BQ572" s="2">
        <f>BL572</f>
        <v>7.6238881829733166E-2</v>
      </c>
      <c r="BR572" s="2">
        <f>BM572</f>
        <v>0</v>
      </c>
    </row>
    <row r="573" spans="1:70" hidden="1">
      <c r="A573" s="74">
        <v>0</v>
      </c>
      <c r="B573" s="73">
        <v>213464</v>
      </c>
      <c r="C573" s="73" t="s">
        <v>3257</v>
      </c>
      <c r="D573" s="73" t="s">
        <v>3258</v>
      </c>
      <c r="E573" s="73" t="s">
        <v>3259</v>
      </c>
      <c r="F573" s="73">
        <v>18732</v>
      </c>
      <c r="G573" s="73" t="s">
        <v>897</v>
      </c>
      <c r="H573" s="73" t="s">
        <v>931</v>
      </c>
      <c r="I573" s="73" t="s">
        <v>981</v>
      </c>
      <c r="J573" s="73">
        <v>0</v>
      </c>
      <c r="K573" s="73">
        <v>4</v>
      </c>
      <c r="L573" s="73">
        <v>0</v>
      </c>
      <c r="M573" s="73">
        <v>0</v>
      </c>
      <c r="N573" s="73">
        <v>0</v>
      </c>
      <c r="O573" s="73" t="s">
        <v>1318</v>
      </c>
      <c r="P573" s="73" t="s">
        <v>3260</v>
      </c>
      <c r="Q573" s="73" t="s">
        <v>1164</v>
      </c>
      <c r="R573" s="73"/>
      <c r="S573" s="73"/>
      <c r="T573" s="73"/>
      <c r="U573" s="73"/>
      <c r="V573" s="73"/>
      <c r="W573" s="73"/>
      <c r="X573" s="73"/>
      <c r="Y573" s="73"/>
      <c r="Z573" s="73" t="s">
        <v>2819</v>
      </c>
      <c r="AA573" s="73" t="s">
        <v>691</v>
      </c>
      <c r="AB573" s="73" t="str">
        <f>IF(AA573&lt;&gt;"",INDEX(Lookup!$N$2:$N$5,MATCH(Players!AA573,Lookup!$P$2:$P$5,0)),INDEX(Lookup!$N$2:$N$5,MATCH(Players!O573,Lookup!$O$2:$O$5,0)))</f>
        <v>Midfield</v>
      </c>
      <c r="AC573" s="73">
        <v>2500000</v>
      </c>
      <c r="AD573" s="73" t="s">
        <v>788</v>
      </c>
      <c r="AE573" s="73" t="str">
        <f>INDEX('Translate table'!$H$2:$H$622,MATCH(Players!P573,'Translate table'!$G$2:$G$622,0))</f>
        <v>GergÅ‘ Lovrencsics</v>
      </c>
      <c r="AF573" s="73">
        <f>IFERROR(INDEX('Euro Qual stats'!$A$1:$L$2071,MATCH(Players!$AE573,'Euro Qual stats'!$A$1:$A$2071,0),MATCH(Players!AF$2,'Euro Qual stats'!$A$1:$L$1,0)),0)</f>
        <v>9</v>
      </c>
      <c r="AG573" s="73">
        <f>IFERROR(INDEX('Euro Qual stats'!$A$1:$L$2071,MATCH(Players!$AE573,'Euro Qual stats'!$A$1:$A$2071,0),MATCH(Players!AG$2,'Euro Qual stats'!$A$1:$L$1,0)),0)</f>
        <v>0</v>
      </c>
      <c r="AH573" s="73">
        <f>IFERROR(INDEX('Euro Qual stats'!$A$1:$L$2071,MATCH(Players!$AE573,'Euro Qual stats'!$A$1:$A$2071,0),MATCH(Players!AH$2,'Euro Qual stats'!$A$1:$L$1,0)),0)</f>
        <v>0</v>
      </c>
      <c r="AI573" s="73">
        <f>IFERROR(INDEX('Euro Qual stats'!$A$1:$L$2071,MATCH(Players!$AE573,'Euro Qual stats'!$A$1:$A$2071,0),MATCH(Players!AI$2,'Euro Qual stats'!$A$1:$L$1,0)),0)</f>
        <v>0.26</v>
      </c>
      <c r="AJ573" s="93">
        <f>(12-AF573)/12*INDEX(BV$9:BV$12,MATCH($AB573,$BU$9:$BU$12,0))+AF573/12*AG573</f>
        <v>4.2172774869109947E-2</v>
      </c>
      <c r="AK573" s="93">
        <f>(12-AG573)/12*INDEX(BW$9:BW$12,MATCH($AB573,$BU$9:$BU$12,0))+AG573/12*AH573</f>
        <v>0.22340314136125652</v>
      </c>
      <c r="AL573" s="93">
        <f>(12-AH573)/12*INDEX(BX$9:BX$12,MATCH($AB573,$BU$9:$BU$12,0))+AH573/12*AI573</f>
        <v>0.23942408376963353</v>
      </c>
      <c r="AM573" s="93">
        <f>IF($BC573=1,AJ573/SUMIFS(AJ$3:AJ$623,$BC$3:$BC$623,1,$G$3:$G$623,$G573),0)</f>
        <v>3.7822100312466925E-2</v>
      </c>
      <c r="AN573" s="93">
        <f>IF($BC573=1,AK573/SUMIFS(AK$3:AK$623,$BC$3:$BC$623,1,$G$3:$G$623,$G573),0)</f>
        <v>9.4956890067257105E-2</v>
      </c>
      <c r="AO573" s="93">
        <f>IF($BC573=1,AL573/SUMIFS(AL$3:AL$623,$BC$3:$BC$623,1,$G$3:$G$623,$G573),0)</f>
        <v>0.11646421720988241</v>
      </c>
      <c r="AP573" s="2" t="str">
        <f>IFERROR(R573/$V573*90,"")</f>
        <v/>
      </c>
      <c r="AQ573" s="2" t="str">
        <f>IFERROR(S573/$V573*90,"")</f>
        <v/>
      </c>
      <c r="AR573" s="2" t="str">
        <f>IFERROR(W573/$V573*90,"")</f>
        <v/>
      </c>
      <c r="AS573" s="2" t="str">
        <f>IFERROR(X573/$V573*90,"")</f>
        <v/>
      </c>
      <c r="AT573" s="2" t="str">
        <f>IFERROR(Y573/$V573*90,"")</f>
        <v/>
      </c>
      <c r="AU573" s="2">
        <f>IF(AP573="",INDEX(BV$4:BV$7,MATCH(O573,$BU$4:$BU$7,0)),AP573)</f>
        <v>0</v>
      </c>
      <c r="AV573" s="2">
        <f>IF(AQ573="",INDEX(BW$4:BW$7,MATCH($O573,$BU$4:$BU$7,0)),AQ573)</f>
        <v>0</v>
      </c>
      <c r="AW573" s="2">
        <f t="shared" si="96"/>
        <v>8.0624805297505417E-2</v>
      </c>
      <c r="AX573" s="2">
        <f t="shared" si="97"/>
        <v>0.1265377855887522</v>
      </c>
      <c r="AY573" s="2">
        <f t="shared" si="98"/>
        <v>0</v>
      </c>
      <c r="AZ573" s="2">
        <f>AU573*0.5+AK573*0.5</f>
        <v>0.11170157068062826</v>
      </c>
      <c r="BA573" s="2">
        <f>AV573*0.5+AJ573*0.5</f>
        <v>2.1086387434554973E-2</v>
      </c>
      <c r="BB573" s="2">
        <f t="shared" si="99"/>
        <v>0.19326889279437609</v>
      </c>
      <c r="BC573">
        <f>IF(I573="expected",1,0)</f>
        <v>1</v>
      </c>
      <c r="BD573" s="78">
        <f>IF(BC573=1,AZ573/SUMIFS(AZ$3:AZ$623,$BC$3:$BC$623,1,$G$3:$G$623,$G573),0)</f>
        <v>6.0559244538608607E-2</v>
      </c>
      <c r="BE573" s="78">
        <f>IF(BC573=1,BA573/SUMIFS(BA$3:BA$623,$BC$3:$BC$623,1,$G$3:$G$623,$G573),0)</f>
        <v>2.5712523387258695E-2</v>
      </c>
      <c r="BF573" s="78">
        <f t="shared" si="100"/>
        <v>1.978676502302542E-2</v>
      </c>
      <c r="BG573" s="2">
        <f t="shared" si="101"/>
        <v>0.19326889279437609</v>
      </c>
      <c r="BH573" s="2">
        <f t="shared" si="102"/>
        <v>0</v>
      </c>
      <c r="BI573" s="2">
        <f t="shared" si="103"/>
        <v>6.0559244538608607E-2</v>
      </c>
      <c r="BJ573" s="2">
        <f t="shared" si="104"/>
        <v>2.5712523387258695E-2</v>
      </c>
      <c r="BK573" s="2">
        <f t="shared" si="105"/>
        <v>1.978676502302542E-2</v>
      </c>
      <c r="BL573" s="2">
        <f t="shared" si="106"/>
        <v>0.19326889279437609</v>
      </c>
      <c r="BM573" s="2">
        <f t="shared" si="107"/>
        <v>0</v>
      </c>
      <c r="BN573" s="2">
        <f>BI573/SUMIFS(BI$3:BI$623,$BC$3:$BC$623,1,$G$3:$G$623,$G573)</f>
        <v>6.0559244538608628E-2</v>
      </c>
      <c r="BO573" s="2">
        <f>BJ573/SUMIFS(BJ$3:BJ$623,$BC$3:$BC$623,1,$G$3:$G$623,$G573)</f>
        <v>2.5712523387258688E-2</v>
      </c>
      <c r="BP573" s="2">
        <f>BK573/SUMIFS(BK$3:BK$623,$BC$3:$BC$623,1,$G$3:$G$623,$G573)</f>
        <v>1.978676502302542E-2</v>
      </c>
      <c r="BQ573" s="2">
        <f>BL573</f>
        <v>0.19326889279437609</v>
      </c>
      <c r="BR573" s="2">
        <f>BM573</f>
        <v>0</v>
      </c>
    </row>
    <row r="574" spans="1:70" hidden="1">
      <c r="A574" s="74">
        <v>0</v>
      </c>
      <c r="B574" s="73">
        <v>204939</v>
      </c>
      <c r="C574" s="73" t="s">
        <v>3261</v>
      </c>
      <c r="D574" s="73" t="s">
        <v>3262</v>
      </c>
      <c r="E574" s="73" t="s">
        <v>3263</v>
      </c>
      <c r="F574" s="73">
        <v>18732</v>
      </c>
      <c r="G574" s="73" t="s">
        <v>897</v>
      </c>
      <c r="H574" s="73" t="s">
        <v>931</v>
      </c>
      <c r="I574" s="73" t="s">
        <v>981</v>
      </c>
      <c r="J574" s="73">
        <v>0</v>
      </c>
      <c r="K574" s="73">
        <v>4</v>
      </c>
      <c r="L574" s="73">
        <v>0</v>
      </c>
      <c r="M574" s="73">
        <v>0</v>
      </c>
      <c r="N574" s="73">
        <v>0</v>
      </c>
      <c r="O574" s="73" t="s">
        <v>1318</v>
      </c>
      <c r="P574" s="73" t="s">
        <v>3264</v>
      </c>
      <c r="Q574" s="73" t="s">
        <v>2843</v>
      </c>
      <c r="R574" s="73">
        <v>1</v>
      </c>
      <c r="S574" s="73">
        <v>0</v>
      </c>
      <c r="T574" s="73">
        <v>0</v>
      </c>
      <c r="U574" s="73">
        <v>0</v>
      </c>
      <c r="V574" s="73">
        <v>732</v>
      </c>
      <c r="W574" s="73">
        <v>6</v>
      </c>
      <c r="X574" s="73">
        <v>1</v>
      </c>
      <c r="Y574" s="73">
        <v>0</v>
      </c>
      <c r="Z574" s="73" t="s">
        <v>2819</v>
      </c>
      <c r="AA574" s="73" t="s">
        <v>692</v>
      </c>
      <c r="AB574" s="73" t="str">
        <f>IF(AA574&lt;&gt;"",INDEX(Lookup!$N$2:$N$5,MATCH(Players!AA574,Lookup!$P$2:$P$5,0)),INDEX(Lookup!$N$2:$N$5,MATCH(Players!O574,Lookup!$O$2:$O$5,0)))</f>
        <v>Defense</v>
      </c>
      <c r="AC574" s="73">
        <v>2500000</v>
      </c>
      <c r="AD574" s="73" t="s">
        <v>788</v>
      </c>
      <c r="AE574" s="73" t="str">
        <f>INDEX('Translate table'!$H$2:$H$622,MATCH(Players!P574,'Translate table'!$G$2:$G$622,0))</f>
        <v>Attila Szalai</v>
      </c>
      <c r="AF574" s="73">
        <f>IFERROR(INDEX('Euro Qual stats'!$A$1:$L$2071,MATCH(Players!$AE574,'Euro Qual stats'!$A$1:$A$2071,0),MATCH(Players!AF$2,'Euro Qual stats'!$A$1:$L$1,0)),0)</f>
        <v>2</v>
      </c>
      <c r="AG574" s="73">
        <f>IFERROR(INDEX('Euro Qual stats'!$A$1:$L$2071,MATCH(Players!$AE574,'Euro Qual stats'!$A$1:$A$2071,0),MATCH(Players!AG$2,'Euro Qual stats'!$A$1:$L$1,0)),0)</f>
        <v>0</v>
      </c>
      <c r="AH574" s="73">
        <f>IFERROR(INDEX('Euro Qual stats'!$A$1:$L$2071,MATCH(Players!$AE574,'Euro Qual stats'!$A$1:$A$2071,0),MATCH(Players!AH$2,'Euro Qual stats'!$A$1:$L$1,0)),0)</f>
        <v>0</v>
      </c>
      <c r="AI574" s="73">
        <f>IFERROR(INDEX('Euro Qual stats'!$A$1:$L$2071,MATCH(Players!$AE574,'Euro Qual stats'!$A$1:$A$2071,0),MATCH(Players!AI$2,'Euro Qual stats'!$A$1:$L$1,0)),0)</f>
        <v>0.5</v>
      </c>
      <c r="AJ574" s="93">
        <f>(12-AF574)/12*INDEX(BV$9:BV$12,MATCH($AB574,$BU$9:$BU$12,0))+AF574/12*AG574</f>
        <v>7.4313186813186841E-2</v>
      </c>
      <c r="AK574" s="93">
        <f>(12-AG574)/12*INDEX(BW$9:BW$12,MATCH($AB574,$BU$9:$BU$12,0))+AG574/12*AH574</f>
        <v>0.10357142857142858</v>
      </c>
      <c r="AL574" s="93">
        <f>(12-AH574)/12*INDEX(BX$9:BX$12,MATCH($AB574,$BU$9:$BU$12,0))+AH574/12*AI574</f>
        <v>0.19357142857142848</v>
      </c>
      <c r="AM574" s="93">
        <f>IF($BC574=1,AJ574/SUMIFS(AJ$3:AJ$623,$BC$3:$BC$623,1,$G$3:$G$623,$G574),0)</f>
        <v>6.6646807446530398E-2</v>
      </c>
      <c r="AN574" s="93">
        <f>IF($BC574=1,AK574/SUMIFS(AK$3:AK$623,$BC$3:$BC$623,1,$G$3:$G$623,$G574),0)</f>
        <v>4.4022750517471052E-2</v>
      </c>
      <c r="AO574" s="93">
        <f>IF($BC574=1,AL574/SUMIFS(AL$3:AL$623,$BC$3:$BC$623,1,$G$3:$G$623,$G574),0)</f>
        <v>9.4159887960399855E-2</v>
      </c>
      <c r="AP574" s="2">
        <f>IFERROR(R574/$V574*90,"")</f>
        <v>0.12295081967213115</v>
      </c>
      <c r="AQ574" s="2">
        <f>IFERROR(S574/$V574*90,"")</f>
        <v>0</v>
      </c>
      <c r="AR574" s="2">
        <f>IFERROR(W574/$V574*90,"")</f>
        <v>0.73770491803278693</v>
      </c>
      <c r="AS574" s="2">
        <f>IFERROR(X574/$V574*90,"")</f>
        <v>0.12295081967213115</v>
      </c>
      <c r="AT574" s="2">
        <f>IFERROR(Y574/$V574*90,"")</f>
        <v>0</v>
      </c>
      <c r="AU574" s="2">
        <f>IF(AP574="",INDEX(BV$4:BV$7,MATCH(O574,$BU$4:$BU$7,0)),AP574)</f>
        <v>0.12295081967213115</v>
      </c>
      <c r="AV574" s="2">
        <f>IF(AQ574="",INDEX(BW$4:BW$7,MATCH($O574,$BU$4:$BU$7,0)),AQ574)</f>
        <v>0</v>
      </c>
      <c r="AW574" s="2">
        <f t="shared" si="96"/>
        <v>0.73770491803278693</v>
      </c>
      <c r="AX574" s="2">
        <f t="shared" si="97"/>
        <v>0.12295081967213115</v>
      </c>
      <c r="AY574" s="2">
        <f t="shared" si="98"/>
        <v>0</v>
      </c>
      <c r="AZ574" s="2">
        <f>AU574*0.5+AK574*0.5</f>
        <v>0.11326112412177985</v>
      </c>
      <c r="BA574" s="2">
        <f>AV574*0.5+AJ574*0.5</f>
        <v>3.715659340659342E-2</v>
      </c>
      <c r="BB574" s="2">
        <f t="shared" si="99"/>
        <v>0.31147540983606559</v>
      </c>
      <c r="BC574">
        <f>IF(I574="expected",1,0)</f>
        <v>1</v>
      </c>
      <c r="BD574" s="78">
        <f>IF(BC574=1,AZ574/SUMIFS(AZ$3:AZ$623,$BC$3:$BC$623,1,$G$3:$G$623,$G574),0)</f>
        <v>6.1404759759551751E-2</v>
      </c>
      <c r="BE574" s="78">
        <f>IF(BC574=1,BA574/SUMIFS(BA$3:BA$623,$BC$3:$BC$623,1,$G$3:$G$623,$G574),0)</f>
        <v>4.5308366827798402E-2</v>
      </c>
      <c r="BF574" s="78">
        <f t="shared" si="100"/>
        <v>0.18104594256795825</v>
      </c>
      <c r="BG574" s="2">
        <f t="shared" si="101"/>
        <v>0.31147540983606559</v>
      </c>
      <c r="BH574" s="2">
        <f t="shared" si="102"/>
        <v>0</v>
      </c>
      <c r="BI574" s="2">
        <f t="shared" si="103"/>
        <v>6.1404759759551751E-2</v>
      </c>
      <c r="BJ574" s="2">
        <f t="shared" si="104"/>
        <v>4.5308366827798402E-2</v>
      </c>
      <c r="BK574" s="2">
        <f t="shared" si="105"/>
        <v>0.18104594256795825</v>
      </c>
      <c r="BL574" s="2">
        <f t="shared" si="106"/>
        <v>0.31147540983606559</v>
      </c>
      <c r="BM574" s="2">
        <f t="shared" si="107"/>
        <v>0</v>
      </c>
      <c r="BN574" s="2">
        <f>BI574/SUMIFS(BI$3:BI$623,$BC$3:$BC$623,1,$G$3:$G$623,$G574)</f>
        <v>6.1404759759551772E-2</v>
      </c>
      <c r="BO574" s="2">
        <f>BJ574/SUMIFS(BJ$3:BJ$623,$BC$3:$BC$623,1,$G$3:$G$623,$G574)</f>
        <v>4.5308366827798395E-2</v>
      </c>
      <c r="BP574" s="2">
        <f>BK574/SUMIFS(BK$3:BK$623,$BC$3:$BC$623,1,$G$3:$G$623,$G574)</f>
        <v>0.18104594256795825</v>
      </c>
      <c r="BQ574" s="2">
        <f>BL574</f>
        <v>0.31147540983606559</v>
      </c>
      <c r="BR574" s="2">
        <f>BM574</f>
        <v>0</v>
      </c>
    </row>
    <row r="575" spans="1:70" hidden="1">
      <c r="A575" s="74">
        <v>0</v>
      </c>
      <c r="B575" s="73">
        <v>204935</v>
      </c>
      <c r="C575" s="73" t="s">
        <v>3266</v>
      </c>
      <c r="D575" s="73" t="s">
        <v>3267</v>
      </c>
      <c r="E575" s="73" t="s">
        <v>3268</v>
      </c>
      <c r="F575" s="73">
        <v>18732</v>
      </c>
      <c r="G575" s="73" t="s">
        <v>897</v>
      </c>
      <c r="H575" s="73" t="s">
        <v>931</v>
      </c>
      <c r="I575" s="73" t="s">
        <v>1012</v>
      </c>
      <c r="J575" s="73">
        <v>0</v>
      </c>
      <c r="K575" s="73">
        <v>4</v>
      </c>
      <c r="L575" s="73">
        <v>0</v>
      </c>
      <c r="M575" s="73">
        <v>0</v>
      </c>
      <c r="N575" s="73">
        <v>0</v>
      </c>
      <c r="O575" s="73" t="s">
        <v>1318</v>
      </c>
      <c r="P575" s="73" t="s">
        <v>3269</v>
      </c>
      <c r="Q575" s="73" t="s">
        <v>3270</v>
      </c>
      <c r="R575" s="73">
        <v>1</v>
      </c>
      <c r="S575" s="73">
        <v>0</v>
      </c>
      <c r="T575" s="73">
        <v>0</v>
      </c>
      <c r="U575" s="73">
        <v>2</v>
      </c>
      <c r="V575" s="73">
        <v>270</v>
      </c>
      <c r="W575" s="73">
        <v>1</v>
      </c>
      <c r="X575" s="73">
        <v>0</v>
      </c>
      <c r="Y575" s="73">
        <v>0</v>
      </c>
      <c r="Z575" s="73" t="s">
        <v>2819</v>
      </c>
      <c r="AA575" s="73" t="s">
        <v>692</v>
      </c>
      <c r="AB575" s="73" t="str">
        <f>IF(AA575&lt;&gt;"",INDEX(Lookup!$N$2:$N$5,MATCH(Players!AA575,Lookup!$P$2:$P$5,0)),INDEX(Lookup!$N$2:$N$5,MATCH(Players!O575,Lookup!$O$2:$O$5,0)))</f>
        <v>Defense</v>
      </c>
      <c r="AC575" s="73">
        <v>2000000</v>
      </c>
      <c r="AD575" s="73" t="s">
        <v>788</v>
      </c>
      <c r="AE575" s="73" t="str">
        <f>INDEX('Translate table'!$H$2:$H$622,MATCH(Players!P575,'Translate table'!$G$2:$G$622,0))</f>
        <v>Endre Botka</v>
      </c>
      <c r="AF575" s="73">
        <f>IFERROR(INDEX('Euro Qual stats'!$A$1:$L$2071,MATCH(Players!$AE575,'Euro Qual stats'!$A$1:$A$2071,0),MATCH(Players!AF$2,'Euro Qual stats'!$A$1:$L$1,0)),0)</f>
        <v>2</v>
      </c>
      <c r="AG575" s="73">
        <f>IFERROR(INDEX('Euro Qual stats'!$A$1:$L$2071,MATCH(Players!$AE575,'Euro Qual stats'!$A$1:$A$2071,0),MATCH(Players!AG$2,'Euro Qual stats'!$A$1:$L$1,0)),0)</f>
        <v>0</v>
      </c>
      <c r="AH575" s="73">
        <f>IFERROR(INDEX('Euro Qual stats'!$A$1:$L$2071,MATCH(Players!$AE575,'Euro Qual stats'!$A$1:$A$2071,0),MATCH(Players!AH$2,'Euro Qual stats'!$A$1:$L$1,0)),0)</f>
        <v>0</v>
      </c>
      <c r="AI575" s="73">
        <f>IFERROR(INDEX('Euro Qual stats'!$A$1:$L$2071,MATCH(Players!$AE575,'Euro Qual stats'!$A$1:$A$2071,0),MATCH(Players!AI$2,'Euro Qual stats'!$A$1:$L$1,0)),0)</f>
        <v>0</v>
      </c>
      <c r="AJ575" s="93">
        <f>(12-AF575)/12*INDEX(BV$9:BV$12,MATCH($AB575,$BU$9:$BU$12,0))+AF575/12*AG575</f>
        <v>7.4313186813186841E-2</v>
      </c>
      <c r="AK575" s="93">
        <f>(12-AG575)/12*INDEX(BW$9:BW$12,MATCH($AB575,$BU$9:$BU$12,0))+AG575/12*AH575</f>
        <v>0.10357142857142858</v>
      </c>
      <c r="AL575" s="93">
        <f>(12-AH575)/12*INDEX(BX$9:BX$12,MATCH($AB575,$BU$9:$BU$12,0))+AH575/12*AI575</f>
        <v>0.19357142857142848</v>
      </c>
      <c r="AM575" s="93">
        <f>IF($BC575=1,AJ575/SUMIFS(AJ$3:AJ$623,$BC$3:$BC$623,1,$G$3:$G$623,$G575),0)</f>
        <v>0</v>
      </c>
      <c r="AN575" s="93">
        <f>IF($BC575=1,AK575/SUMIFS(AK$3:AK$623,$BC$3:$BC$623,1,$G$3:$G$623,$G575),0)</f>
        <v>0</v>
      </c>
      <c r="AO575" s="93">
        <f>IF($BC575=1,AL575/SUMIFS(AL$3:AL$623,$BC$3:$BC$623,1,$G$3:$G$623,$G575),0)</f>
        <v>0</v>
      </c>
      <c r="AP575" s="2">
        <f>IFERROR(R575/$V575*90,"")</f>
        <v>0.33333333333333337</v>
      </c>
      <c r="AQ575" s="2">
        <f>IFERROR(S575/$V575*90,"")</f>
        <v>0</v>
      </c>
      <c r="AR575" s="2">
        <f>IFERROR(W575/$V575*90,"")</f>
        <v>0.33333333333333337</v>
      </c>
      <c r="AS575" s="2">
        <f>IFERROR(X575/$V575*90,"")</f>
        <v>0</v>
      </c>
      <c r="AT575" s="2">
        <f>IFERROR(Y575/$V575*90,"")</f>
        <v>0</v>
      </c>
      <c r="AU575" s="2">
        <f>IF(AP575="",INDEX(BV$4:BV$7,MATCH(O575,$BU$4:$BU$7,0)),AP575)</f>
        <v>0.33333333333333337</v>
      </c>
      <c r="AV575" s="2">
        <f>IF(AQ575="",INDEX(BW$4:BW$7,MATCH($O575,$BU$4:$BU$7,0)),AQ575)</f>
        <v>0</v>
      </c>
      <c r="AW575" s="2">
        <f t="shared" si="96"/>
        <v>0.33333333333333337</v>
      </c>
      <c r="AX575" s="2">
        <f t="shared" si="97"/>
        <v>0</v>
      </c>
      <c r="AY575" s="2">
        <f t="shared" si="98"/>
        <v>0</v>
      </c>
      <c r="AZ575" s="2">
        <f>AU575*0.5+AK575*0.5</f>
        <v>0.21845238095238098</v>
      </c>
      <c r="BA575" s="2">
        <f>AV575*0.5+AJ575*0.5</f>
        <v>3.715659340659342E-2</v>
      </c>
      <c r="BB575" s="2">
        <f t="shared" si="99"/>
        <v>0</v>
      </c>
      <c r="BC575">
        <f>IF(I575="expected",1,0)</f>
        <v>0</v>
      </c>
      <c r="BD575" s="78">
        <f>IF(BC575=1,AZ575/SUMIFS(AZ$3:AZ$623,$BC$3:$BC$623,1,$G$3:$G$623,$G575),0)</f>
        <v>0</v>
      </c>
      <c r="BE575" s="78">
        <f>IF(BC575=1,BA575/SUMIFS(BA$3:BA$623,$BC$3:$BC$623,1,$G$3:$G$623,$G575),0)</f>
        <v>0</v>
      </c>
      <c r="BF575" s="78">
        <f t="shared" si="100"/>
        <v>0</v>
      </c>
      <c r="BG575" s="2">
        <f t="shared" si="101"/>
        <v>0</v>
      </c>
      <c r="BH575" s="2">
        <f t="shared" si="102"/>
        <v>0</v>
      </c>
      <c r="BI575" s="2">
        <f t="shared" si="103"/>
        <v>0</v>
      </c>
      <c r="BJ575" s="2">
        <f t="shared" si="104"/>
        <v>0</v>
      </c>
      <c r="BK575" s="2">
        <f t="shared" si="105"/>
        <v>0</v>
      </c>
      <c r="BL575" s="2">
        <f t="shared" si="106"/>
        <v>0</v>
      </c>
      <c r="BM575" s="2">
        <f t="shared" si="107"/>
        <v>0</v>
      </c>
      <c r="BN575" s="2">
        <f>BI575/SUMIFS(BI$3:BI$623,$BC$3:$BC$623,1,$G$3:$G$623,$G575)</f>
        <v>0</v>
      </c>
      <c r="BO575" s="2">
        <f>BJ575/SUMIFS(BJ$3:BJ$623,$BC$3:$BC$623,1,$G$3:$G$623,$G575)</f>
        <v>0</v>
      </c>
      <c r="BP575" s="2">
        <f>BK575/SUMIFS(BK$3:BK$623,$BC$3:$BC$623,1,$G$3:$G$623,$G575)</f>
        <v>0</v>
      </c>
      <c r="BQ575" s="2">
        <f>BL575</f>
        <v>0</v>
      </c>
      <c r="BR575" s="2">
        <f>BM575</f>
        <v>0</v>
      </c>
    </row>
    <row r="576" spans="1:70" hidden="1">
      <c r="A576" s="74">
        <v>0</v>
      </c>
      <c r="B576" s="73">
        <v>204931</v>
      </c>
      <c r="C576" s="73" t="s">
        <v>3271</v>
      </c>
      <c r="D576" s="73" t="s">
        <v>3272</v>
      </c>
      <c r="E576" s="73" t="s">
        <v>3273</v>
      </c>
      <c r="F576" s="73">
        <v>18732</v>
      </c>
      <c r="G576" s="73" t="s">
        <v>897</v>
      </c>
      <c r="H576" s="73" t="s">
        <v>931</v>
      </c>
      <c r="I576" s="73" t="s">
        <v>981</v>
      </c>
      <c r="J576" s="73">
        <v>0</v>
      </c>
      <c r="K576" s="73">
        <v>4</v>
      </c>
      <c r="L576" s="73">
        <v>0</v>
      </c>
      <c r="M576" s="73">
        <v>0</v>
      </c>
      <c r="N576" s="73">
        <v>0</v>
      </c>
      <c r="O576" s="73" t="s">
        <v>1318</v>
      </c>
      <c r="P576" s="73" t="s">
        <v>3274</v>
      </c>
      <c r="Q576" s="73" t="s">
        <v>1164</v>
      </c>
      <c r="R576" s="73"/>
      <c r="S576" s="73"/>
      <c r="T576" s="73"/>
      <c r="U576" s="73"/>
      <c r="V576" s="73"/>
      <c r="W576" s="73"/>
      <c r="X576" s="73"/>
      <c r="Y576" s="73"/>
      <c r="Z576" s="73" t="s">
        <v>2819</v>
      </c>
      <c r="AA576" s="73" t="s">
        <v>692</v>
      </c>
      <c r="AB576" s="73" t="str">
        <f>IF(AA576&lt;&gt;"",INDEX(Lookup!$N$2:$N$5,MATCH(Players!AA576,Lookup!$P$2:$P$5,0)),INDEX(Lookup!$N$2:$N$5,MATCH(Players!O576,Lookup!$O$2:$O$5,0)))</f>
        <v>Defense</v>
      </c>
      <c r="AC576" s="73">
        <v>2000000</v>
      </c>
      <c r="AD576" s="73" t="s">
        <v>753</v>
      </c>
      <c r="AE576" s="73">
        <f>INDEX('Translate table'!$H$2:$H$622,MATCH(Players!P576,'Translate table'!$G$2:$G$622,0))</f>
        <v>0</v>
      </c>
      <c r="AF576" s="73">
        <f>IFERROR(INDEX('Euro Qual stats'!$A$1:$L$2071,MATCH(Players!$AE576,'Euro Qual stats'!$A$1:$A$2071,0),MATCH(Players!AF$2,'Euro Qual stats'!$A$1:$L$1,0)),0)</f>
        <v>0</v>
      </c>
      <c r="AG576" s="73">
        <f>IFERROR(INDEX('Euro Qual stats'!$A$1:$L$2071,MATCH(Players!$AE576,'Euro Qual stats'!$A$1:$A$2071,0),MATCH(Players!AG$2,'Euro Qual stats'!$A$1:$L$1,0)),0)</f>
        <v>0</v>
      </c>
      <c r="AH576" s="73">
        <f>IFERROR(INDEX('Euro Qual stats'!$A$1:$L$2071,MATCH(Players!$AE576,'Euro Qual stats'!$A$1:$A$2071,0),MATCH(Players!AH$2,'Euro Qual stats'!$A$1:$L$1,0)),0)</f>
        <v>0</v>
      </c>
      <c r="AI576" s="73">
        <f>IFERROR(INDEX('Euro Qual stats'!$A$1:$L$2071,MATCH(Players!$AE576,'Euro Qual stats'!$A$1:$A$2071,0),MATCH(Players!AI$2,'Euro Qual stats'!$A$1:$L$1,0)),0)</f>
        <v>0</v>
      </c>
      <c r="AJ576" s="93">
        <f>(12-AF576)/12*INDEX(BV$9:BV$12,MATCH($AB576,$BU$9:$BU$12,0))+AF576/12*AG576</f>
        <v>8.9175824175824203E-2</v>
      </c>
      <c r="AK576" s="93">
        <f>(12-AG576)/12*INDEX(BW$9:BW$12,MATCH($AB576,$BU$9:$BU$12,0))+AG576/12*AH576</f>
        <v>0.10357142857142858</v>
      </c>
      <c r="AL576" s="93">
        <f>(12-AH576)/12*INDEX(BX$9:BX$12,MATCH($AB576,$BU$9:$BU$12,0))+AH576/12*AI576</f>
        <v>0.19357142857142848</v>
      </c>
      <c r="AM576" s="93">
        <f>IF($BC576=1,AJ576/SUMIFS(AJ$3:AJ$623,$BC$3:$BC$623,1,$G$3:$G$623,$G576),0)</f>
        <v>7.9976168935836478E-2</v>
      </c>
      <c r="AN576" s="93">
        <f>IF($BC576=1,AK576/SUMIFS(AK$3:AK$623,$BC$3:$BC$623,1,$G$3:$G$623,$G576),0)</f>
        <v>4.4022750517471052E-2</v>
      </c>
      <c r="AO576" s="93">
        <f>IF($BC576=1,AL576/SUMIFS(AL$3:AL$623,$BC$3:$BC$623,1,$G$3:$G$623,$G576),0)</f>
        <v>9.4159887960399855E-2</v>
      </c>
      <c r="AP576" s="2" t="str">
        <f>IFERROR(R576/$V576*90,"")</f>
        <v/>
      </c>
      <c r="AQ576" s="2" t="str">
        <f>IFERROR(S576/$V576*90,"")</f>
        <v/>
      </c>
      <c r="AR576" s="2" t="str">
        <f>IFERROR(W576/$V576*90,"")</f>
        <v/>
      </c>
      <c r="AS576" s="2" t="str">
        <f>IFERROR(X576/$V576*90,"")</f>
        <v/>
      </c>
      <c r="AT576" s="2" t="str">
        <f>IFERROR(Y576/$V576*90,"")</f>
        <v/>
      </c>
      <c r="AU576" s="2">
        <f>IF(AP576="",INDEX(BV$4:BV$7,MATCH(O576,$BU$4:$BU$7,0)),AP576)</f>
        <v>0</v>
      </c>
      <c r="AV576" s="2">
        <f>IF(AQ576="",INDEX(BW$4:BW$7,MATCH($O576,$BU$4:$BU$7,0)),AQ576)</f>
        <v>0</v>
      </c>
      <c r="AW576" s="2">
        <f t="shared" si="96"/>
        <v>8.0624805297505417E-2</v>
      </c>
      <c r="AX576" s="2">
        <f t="shared" si="97"/>
        <v>0.1265377855887522</v>
      </c>
      <c r="AY576" s="2">
        <f t="shared" si="98"/>
        <v>0</v>
      </c>
      <c r="AZ576" s="2">
        <f>AU576*0.5+AK576*0.5</f>
        <v>5.1785714285714289E-2</v>
      </c>
      <c r="BA576" s="2">
        <f>AV576*0.5+AJ576*0.5</f>
        <v>4.4587912087912102E-2</v>
      </c>
      <c r="BB576" s="2">
        <f t="shared" si="99"/>
        <v>6.32688927943761E-2</v>
      </c>
      <c r="BC576">
        <f>IF(I576="expected",1,0)</f>
        <v>1</v>
      </c>
      <c r="BD576" s="78">
        <f>IF(BC576=1,AZ576/SUMIFS(AZ$3:AZ$623,$BC$3:$BC$623,1,$G$3:$G$623,$G576),0)</f>
        <v>2.8075735335912913E-2</v>
      </c>
      <c r="BE576" s="78">
        <f>IF(BC576=1,BA576/SUMIFS(BA$3:BA$623,$BC$3:$BC$623,1,$G$3:$G$623,$G576),0)</f>
        <v>5.4370040193358081E-2</v>
      </c>
      <c r="BF576" s="78">
        <f t="shared" si="100"/>
        <v>1.978676502302542E-2</v>
      </c>
      <c r="BG576" s="2">
        <f t="shared" si="101"/>
        <v>6.32688927943761E-2</v>
      </c>
      <c r="BH576" s="2">
        <f t="shared" si="102"/>
        <v>0</v>
      </c>
      <c r="BI576" s="2">
        <f t="shared" si="103"/>
        <v>2.8075735335912913E-2</v>
      </c>
      <c r="BJ576" s="2">
        <f t="shared" si="104"/>
        <v>5.4370040193358081E-2</v>
      </c>
      <c r="BK576" s="2">
        <f t="shared" si="105"/>
        <v>1.978676502302542E-2</v>
      </c>
      <c r="BL576" s="2">
        <f t="shared" si="106"/>
        <v>6.32688927943761E-2</v>
      </c>
      <c r="BM576" s="2">
        <f t="shared" si="107"/>
        <v>0</v>
      </c>
      <c r="BN576" s="2">
        <f>BI576/SUMIFS(BI$3:BI$623,$BC$3:$BC$623,1,$G$3:$G$623,$G576)</f>
        <v>2.8075735335912923E-2</v>
      </c>
      <c r="BO576" s="2">
        <f>BJ576/SUMIFS(BJ$3:BJ$623,$BC$3:$BC$623,1,$G$3:$G$623,$G576)</f>
        <v>5.4370040193358067E-2</v>
      </c>
      <c r="BP576" s="2">
        <f>BK576/SUMIFS(BK$3:BK$623,$BC$3:$BC$623,1,$G$3:$G$623,$G576)</f>
        <v>1.978676502302542E-2</v>
      </c>
      <c r="BQ576" s="2">
        <f>BL576</f>
        <v>6.32688927943761E-2</v>
      </c>
      <c r="BR576" s="2">
        <f>BM576</f>
        <v>0</v>
      </c>
    </row>
    <row r="577" spans="1:70" hidden="1">
      <c r="A577" s="74">
        <v>0</v>
      </c>
      <c r="B577" s="73">
        <v>204928</v>
      </c>
      <c r="C577" s="73" t="s">
        <v>3275</v>
      </c>
      <c r="D577" s="73" t="s">
        <v>2840</v>
      </c>
      <c r="E577" s="73" t="s">
        <v>3276</v>
      </c>
      <c r="F577" s="73">
        <v>18732</v>
      </c>
      <c r="G577" s="73" t="s">
        <v>897</v>
      </c>
      <c r="H577" s="73" t="s">
        <v>931</v>
      </c>
      <c r="I577" s="73" t="s">
        <v>1012</v>
      </c>
      <c r="J577" s="73">
        <v>0</v>
      </c>
      <c r="K577" s="73">
        <v>4</v>
      </c>
      <c r="L577" s="73">
        <v>0</v>
      </c>
      <c r="M577" s="73">
        <v>0</v>
      </c>
      <c r="N577" s="73">
        <v>0</v>
      </c>
      <c r="O577" s="73" t="s">
        <v>1318</v>
      </c>
      <c r="P577" s="73" t="s">
        <v>3277</v>
      </c>
      <c r="Q577" s="73" t="s">
        <v>1164</v>
      </c>
      <c r="R577" s="73"/>
      <c r="S577" s="73"/>
      <c r="T577" s="73"/>
      <c r="U577" s="73"/>
      <c r="V577" s="73"/>
      <c r="W577" s="73"/>
      <c r="X577" s="73"/>
      <c r="Y577" s="73"/>
      <c r="Z577" s="73" t="s">
        <v>2819</v>
      </c>
      <c r="AA577" s="73" t="s">
        <v>692</v>
      </c>
      <c r="AB577" s="73" t="str">
        <f>IF(AA577&lt;&gt;"",INDEX(Lookup!$N$2:$N$5,MATCH(Players!AA577,Lookup!$P$2:$P$5,0)),INDEX(Lookup!$N$2:$N$5,MATCH(Players!O577,Lookup!$O$2:$O$5,0)))</f>
        <v>Defense</v>
      </c>
      <c r="AC577" s="73">
        <v>2000000</v>
      </c>
      <c r="AD577" s="73" t="s">
        <v>788</v>
      </c>
      <c r="AE577" s="73" t="str">
        <f>INDEX('Translate table'!$H$2:$H$622,MATCH(Players!P577,'Translate table'!$G$2:$G$622,0))</f>
        <v>ÃdÃ¡m Lang</v>
      </c>
      <c r="AF577" s="73">
        <f>IFERROR(INDEX('Euro Qual stats'!$A$1:$L$2071,MATCH(Players!$AE577,'Euro Qual stats'!$A$1:$A$2071,0),MATCH(Players!AF$2,'Euro Qual stats'!$A$1:$L$1,0)),0)</f>
        <v>4</v>
      </c>
      <c r="AG577" s="73">
        <f>IFERROR(INDEX('Euro Qual stats'!$A$1:$L$2071,MATCH(Players!$AE577,'Euro Qual stats'!$A$1:$A$2071,0),MATCH(Players!AG$2,'Euro Qual stats'!$A$1:$L$1,0)),0)</f>
        <v>0</v>
      </c>
      <c r="AH577" s="73">
        <f>IFERROR(INDEX('Euro Qual stats'!$A$1:$L$2071,MATCH(Players!$AE577,'Euro Qual stats'!$A$1:$A$2071,0),MATCH(Players!AH$2,'Euro Qual stats'!$A$1:$L$1,0)),0)</f>
        <v>0</v>
      </c>
      <c r="AI577" s="73">
        <f>IFERROR(INDEX('Euro Qual stats'!$A$1:$L$2071,MATCH(Players!$AE577,'Euro Qual stats'!$A$1:$A$2071,0),MATCH(Players!AI$2,'Euro Qual stats'!$A$1:$L$1,0)),0)</f>
        <v>0.3</v>
      </c>
      <c r="AJ577" s="93">
        <f>(12-AF577)/12*INDEX(BV$9:BV$12,MATCH($AB577,$BU$9:$BU$12,0))+AF577/12*AG577</f>
        <v>5.9450549450549464E-2</v>
      </c>
      <c r="AK577" s="93">
        <f>(12-AG577)/12*INDEX(BW$9:BW$12,MATCH($AB577,$BU$9:$BU$12,0))+AG577/12*AH577</f>
        <v>0.10357142857142858</v>
      </c>
      <c r="AL577" s="93">
        <f>(12-AH577)/12*INDEX(BX$9:BX$12,MATCH($AB577,$BU$9:$BU$12,0))+AH577/12*AI577</f>
        <v>0.19357142857142848</v>
      </c>
      <c r="AM577" s="93">
        <f>IF($BC577=1,AJ577/SUMIFS(AJ$3:AJ$623,$BC$3:$BC$623,1,$G$3:$G$623,$G577),0)</f>
        <v>0</v>
      </c>
      <c r="AN577" s="93">
        <f>IF($BC577=1,AK577/SUMIFS(AK$3:AK$623,$BC$3:$BC$623,1,$G$3:$G$623,$G577),0)</f>
        <v>0</v>
      </c>
      <c r="AO577" s="93">
        <f>IF($BC577=1,AL577/SUMIFS(AL$3:AL$623,$BC$3:$BC$623,1,$G$3:$G$623,$G577),0)</f>
        <v>0</v>
      </c>
      <c r="AP577" s="2" t="str">
        <f>IFERROR(R577/$V577*90,"")</f>
        <v/>
      </c>
      <c r="AQ577" s="2" t="str">
        <f>IFERROR(S577/$V577*90,"")</f>
        <v/>
      </c>
      <c r="AR577" s="2" t="str">
        <f>IFERROR(W577/$V577*90,"")</f>
        <v/>
      </c>
      <c r="AS577" s="2" t="str">
        <f>IFERROR(X577/$V577*90,"")</f>
        <v/>
      </c>
      <c r="AT577" s="2" t="str">
        <f>IFERROR(Y577/$V577*90,"")</f>
        <v/>
      </c>
      <c r="AU577" s="2">
        <f>IF(AP577="",INDEX(BV$4:BV$7,MATCH(O577,$BU$4:$BU$7,0)),AP577)</f>
        <v>0</v>
      </c>
      <c r="AV577" s="2">
        <f>IF(AQ577="",INDEX(BW$4:BW$7,MATCH($O577,$BU$4:$BU$7,0)),AQ577)</f>
        <v>0</v>
      </c>
      <c r="AW577" s="2">
        <f t="shared" si="96"/>
        <v>8.0624805297505417E-2</v>
      </c>
      <c r="AX577" s="2">
        <f t="shared" si="97"/>
        <v>0.1265377855887522</v>
      </c>
      <c r="AY577" s="2">
        <f t="shared" si="98"/>
        <v>0</v>
      </c>
      <c r="AZ577" s="2">
        <f>AU577*0.5+AK577*0.5</f>
        <v>5.1785714285714289E-2</v>
      </c>
      <c r="BA577" s="2">
        <f>AV577*0.5+AJ577*0.5</f>
        <v>2.9725274725274732E-2</v>
      </c>
      <c r="BB577" s="2">
        <f t="shared" si="99"/>
        <v>0.21326889279437611</v>
      </c>
      <c r="BC577">
        <f>IF(I577="expected",1,0)</f>
        <v>0</v>
      </c>
      <c r="BD577" s="78">
        <f>IF(BC577=1,AZ577/SUMIFS(AZ$3:AZ$623,$BC$3:$BC$623,1,$G$3:$G$623,$G577),0)</f>
        <v>0</v>
      </c>
      <c r="BE577" s="78">
        <f>IF(BC577=1,BA577/SUMIFS(BA$3:BA$623,$BC$3:$BC$623,1,$G$3:$G$623,$G577),0)</f>
        <v>0</v>
      </c>
      <c r="BF577" s="78">
        <f t="shared" si="100"/>
        <v>0</v>
      </c>
      <c r="BG577" s="2">
        <f t="shared" si="101"/>
        <v>0.21326889279437611</v>
      </c>
      <c r="BH577" s="2">
        <f t="shared" si="102"/>
        <v>0</v>
      </c>
      <c r="BI577" s="2">
        <f t="shared" si="103"/>
        <v>0</v>
      </c>
      <c r="BJ577" s="2">
        <f t="shared" si="104"/>
        <v>0</v>
      </c>
      <c r="BK577" s="2">
        <f t="shared" si="105"/>
        <v>0</v>
      </c>
      <c r="BL577" s="2">
        <f t="shared" si="106"/>
        <v>0.21326889279437611</v>
      </c>
      <c r="BM577" s="2">
        <f t="shared" si="107"/>
        <v>0</v>
      </c>
      <c r="BN577" s="2">
        <f>BI577/SUMIFS(BI$3:BI$623,$BC$3:$BC$623,1,$G$3:$G$623,$G577)</f>
        <v>0</v>
      </c>
      <c r="BO577" s="2">
        <f>BJ577/SUMIFS(BJ$3:BJ$623,$BC$3:$BC$623,1,$G$3:$G$623,$G577)</f>
        <v>0</v>
      </c>
      <c r="BP577" s="2">
        <f>BK577/SUMIFS(BK$3:BK$623,$BC$3:$BC$623,1,$G$3:$G$623,$G577)</f>
        <v>0</v>
      </c>
      <c r="BQ577" s="2">
        <f>BL577</f>
        <v>0.21326889279437611</v>
      </c>
      <c r="BR577" s="2">
        <f>BM577</f>
        <v>0</v>
      </c>
    </row>
    <row r="578" spans="1:70" hidden="1">
      <c r="A578" s="74">
        <v>0</v>
      </c>
      <c r="B578" s="73">
        <v>204922</v>
      </c>
      <c r="C578" s="73" t="s">
        <v>3278</v>
      </c>
      <c r="D578" s="73" t="s">
        <v>3262</v>
      </c>
      <c r="E578" s="73" t="s">
        <v>3279</v>
      </c>
      <c r="F578" s="73">
        <v>18732</v>
      </c>
      <c r="G578" s="73" t="s">
        <v>897</v>
      </c>
      <c r="H578" s="73" t="s">
        <v>931</v>
      </c>
      <c r="I578" s="73" t="s">
        <v>981</v>
      </c>
      <c r="J578" s="73">
        <v>0</v>
      </c>
      <c r="K578" s="73">
        <v>4</v>
      </c>
      <c r="L578" s="73">
        <v>0</v>
      </c>
      <c r="M578" s="73">
        <v>0</v>
      </c>
      <c r="N578" s="73">
        <v>0</v>
      </c>
      <c r="O578" s="73" t="s">
        <v>1318</v>
      </c>
      <c r="P578" s="73" t="s">
        <v>3280</v>
      </c>
      <c r="Q578" s="73" t="s">
        <v>1213</v>
      </c>
      <c r="R578" s="73">
        <v>5</v>
      </c>
      <c r="S578" s="73">
        <v>3</v>
      </c>
      <c r="T578" s="73">
        <v>0</v>
      </c>
      <c r="U578" s="73">
        <v>1</v>
      </c>
      <c r="V578" s="73">
        <v>1035</v>
      </c>
      <c r="W578" s="73">
        <v>8</v>
      </c>
      <c r="X578" s="73">
        <v>1</v>
      </c>
      <c r="Y578" s="73">
        <v>0</v>
      </c>
      <c r="Z578" s="73" t="s">
        <v>2819</v>
      </c>
      <c r="AA578" s="73" t="s">
        <v>692</v>
      </c>
      <c r="AB578" s="73" t="str">
        <f>IF(AA578&lt;&gt;"",INDEX(Lookup!$N$2:$N$5,MATCH(Players!AA578,Lookup!$P$2:$P$5,0)),INDEX(Lookup!$N$2:$N$5,MATCH(Players!O578,Lookup!$O$2:$O$5,0)))</f>
        <v>Defense</v>
      </c>
      <c r="AC578" s="73">
        <v>2500000</v>
      </c>
      <c r="AD578" s="73" t="s">
        <v>788</v>
      </c>
      <c r="AE578" s="73" t="str">
        <f>INDEX('Translate table'!$H$2:$H$622,MATCH(Players!P578,'Translate table'!$G$2:$G$622,0))</f>
        <v>Attila Fiola</v>
      </c>
      <c r="AF578" s="73">
        <f>IFERROR(INDEX('Euro Qual stats'!$A$1:$L$2071,MATCH(Players!$AE578,'Euro Qual stats'!$A$1:$A$2071,0),MATCH(Players!AF$2,'Euro Qual stats'!$A$1:$L$1,0)),0)</f>
        <v>2</v>
      </c>
      <c r="AG578" s="73">
        <f>IFERROR(INDEX('Euro Qual stats'!$A$1:$L$2071,MATCH(Players!$AE578,'Euro Qual stats'!$A$1:$A$2071,0),MATCH(Players!AG$2,'Euro Qual stats'!$A$1:$L$1,0)),0)</f>
        <v>0</v>
      </c>
      <c r="AH578" s="73">
        <f>IFERROR(INDEX('Euro Qual stats'!$A$1:$L$2071,MATCH(Players!$AE578,'Euro Qual stats'!$A$1:$A$2071,0),MATCH(Players!AH$2,'Euro Qual stats'!$A$1:$L$1,0)),0)</f>
        <v>0</v>
      </c>
      <c r="AI578" s="73">
        <f>IFERROR(INDEX('Euro Qual stats'!$A$1:$L$2071,MATCH(Players!$AE578,'Euro Qual stats'!$A$1:$A$2071,0),MATCH(Players!AI$2,'Euro Qual stats'!$A$1:$L$1,0)),0)</f>
        <v>0</v>
      </c>
      <c r="AJ578" s="93">
        <f>(12-AF578)/12*INDEX(BV$9:BV$12,MATCH($AB578,$BU$9:$BU$12,0))+AF578/12*AG578</f>
        <v>7.4313186813186841E-2</v>
      </c>
      <c r="AK578" s="93">
        <f>(12-AG578)/12*INDEX(BW$9:BW$12,MATCH($AB578,$BU$9:$BU$12,0))+AG578/12*AH578</f>
        <v>0.10357142857142858</v>
      </c>
      <c r="AL578" s="93">
        <f>(12-AH578)/12*INDEX(BX$9:BX$12,MATCH($AB578,$BU$9:$BU$12,0))+AH578/12*AI578</f>
        <v>0.19357142857142848</v>
      </c>
      <c r="AM578" s="93">
        <f>IF($BC578=1,AJ578/SUMIFS(AJ$3:AJ$623,$BC$3:$BC$623,1,$G$3:$G$623,$G578),0)</f>
        <v>6.6646807446530398E-2</v>
      </c>
      <c r="AN578" s="93">
        <f>IF($BC578=1,AK578/SUMIFS(AK$3:AK$623,$BC$3:$BC$623,1,$G$3:$G$623,$G578),0)</f>
        <v>4.4022750517471052E-2</v>
      </c>
      <c r="AO578" s="93">
        <f>IF($BC578=1,AL578/SUMIFS(AL$3:AL$623,$BC$3:$BC$623,1,$G$3:$G$623,$G578),0)</f>
        <v>9.4159887960399855E-2</v>
      </c>
      <c r="AP578" s="2">
        <f>IFERROR(R578/$V578*90,"")</f>
        <v>0.43478260869565216</v>
      </c>
      <c r="AQ578" s="2">
        <f>IFERROR(S578/$V578*90,"")</f>
        <v>0.2608695652173913</v>
      </c>
      <c r="AR578" s="2">
        <f>IFERROR(W578/$V578*90,"")</f>
        <v>0.69565217391304346</v>
      </c>
      <c r="AS578" s="2">
        <f>IFERROR(X578/$V578*90,"")</f>
        <v>8.6956521739130432E-2</v>
      </c>
      <c r="AT578" s="2">
        <f>IFERROR(Y578/$V578*90,"")</f>
        <v>0</v>
      </c>
      <c r="AU578" s="2">
        <f>IF(AP578="",INDEX(BV$4:BV$7,MATCH(O578,$BU$4:$BU$7,0)),AP578)</f>
        <v>0.43478260869565216</v>
      </c>
      <c r="AV578" s="2">
        <f>IF(AQ578="",INDEX(BW$4:BW$7,MATCH($O578,$BU$4:$BU$7,0)),AQ578)</f>
        <v>0.2608695652173913</v>
      </c>
      <c r="AW578" s="2">
        <f t="shared" si="96"/>
        <v>0.69565217391304346</v>
      </c>
      <c r="AX578" s="2">
        <f t="shared" si="97"/>
        <v>8.6956521739130432E-2</v>
      </c>
      <c r="AY578" s="2">
        <f t="shared" si="98"/>
        <v>0</v>
      </c>
      <c r="AZ578" s="2">
        <f>AU578*0.5+AK578*0.5</f>
        <v>0.26917701863354038</v>
      </c>
      <c r="BA578" s="2">
        <f>AV578*0.5+AJ578*0.5</f>
        <v>0.16759137601528906</v>
      </c>
      <c r="BB578" s="2">
        <f t="shared" si="99"/>
        <v>4.3478260869565216E-2</v>
      </c>
      <c r="BC578">
        <f>IF(I578="expected",1,0)</f>
        <v>1</v>
      </c>
      <c r="BD578" s="78">
        <f>IF(BC578=1,AZ578/SUMIFS(AZ$3:AZ$623,$BC$3:$BC$623,1,$G$3:$G$623,$G578),0)</f>
        <v>0.14593489416733144</v>
      </c>
      <c r="BE578" s="78">
        <f>IF(BC578=1,BA578/SUMIFS(BA$3:BA$623,$BC$3:$BC$623,1,$G$3:$G$623,$G578),0)</f>
        <v>0.20435919565028762</v>
      </c>
      <c r="BF578" s="78">
        <f t="shared" si="100"/>
        <v>0.17072544922350458</v>
      </c>
      <c r="BG578" s="2">
        <f t="shared" si="101"/>
        <v>4.3478260869565216E-2</v>
      </c>
      <c r="BH578" s="2">
        <f t="shared" si="102"/>
        <v>0</v>
      </c>
      <c r="BI578" s="2">
        <f t="shared" si="103"/>
        <v>0.14593489416733144</v>
      </c>
      <c r="BJ578" s="2">
        <f t="shared" si="104"/>
        <v>0.20435919565028762</v>
      </c>
      <c r="BK578" s="2">
        <f t="shared" si="105"/>
        <v>0.17072544922350458</v>
      </c>
      <c r="BL578" s="2">
        <f t="shared" si="106"/>
        <v>4.3478260869565216E-2</v>
      </c>
      <c r="BM578" s="2">
        <f t="shared" si="107"/>
        <v>0</v>
      </c>
      <c r="BN578" s="2">
        <f>BI578/SUMIFS(BI$3:BI$623,$BC$3:$BC$623,1,$G$3:$G$623,$G578)</f>
        <v>0.14593489416733149</v>
      </c>
      <c r="BO578" s="2">
        <f>BJ578/SUMIFS(BJ$3:BJ$623,$BC$3:$BC$623,1,$G$3:$G$623,$G578)</f>
        <v>0.20435919565028757</v>
      </c>
      <c r="BP578" s="2">
        <f>BK578/SUMIFS(BK$3:BK$623,$BC$3:$BC$623,1,$G$3:$G$623,$G578)</f>
        <v>0.17072544922350458</v>
      </c>
      <c r="BQ578" s="2">
        <f>BL578</f>
        <v>4.3478260869565216E-2</v>
      </c>
      <c r="BR578" s="2">
        <f>BM578</f>
        <v>0</v>
      </c>
    </row>
    <row r="579" spans="1:70" hidden="1">
      <c r="A579" s="74">
        <v>0</v>
      </c>
      <c r="B579" s="73">
        <v>220829</v>
      </c>
      <c r="C579" s="73" t="s">
        <v>3281</v>
      </c>
      <c r="D579" s="73" t="s">
        <v>3282</v>
      </c>
      <c r="E579" s="73" t="s">
        <v>3283</v>
      </c>
      <c r="F579" s="73">
        <v>18732</v>
      </c>
      <c r="G579" s="73" t="s">
        <v>897</v>
      </c>
      <c r="H579" s="73" t="s">
        <v>931</v>
      </c>
      <c r="I579" s="73" t="s">
        <v>1012</v>
      </c>
      <c r="J579" s="73">
        <v>0</v>
      </c>
      <c r="K579" s="73">
        <v>4</v>
      </c>
      <c r="L579" s="73">
        <v>0</v>
      </c>
      <c r="M579" s="73">
        <v>0</v>
      </c>
      <c r="N579" s="73">
        <v>0</v>
      </c>
      <c r="O579" s="73" t="s">
        <v>994</v>
      </c>
      <c r="P579" s="73" t="s">
        <v>3284</v>
      </c>
      <c r="Q579" s="73" t="s">
        <v>3285</v>
      </c>
      <c r="R579" s="73">
        <v>0</v>
      </c>
      <c r="S579" s="73">
        <v>0</v>
      </c>
      <c r="T579" s="73">
        <v>28</v>
      </c>
      <c r="U579" s="73">
        <v>1</v>
      </c>
      <c r="V579" s="73">
        <v>720</v>
      </c>
      <c r="W579" s="73">
        <v>0</v>
      </c>
      <c r="X579" s="73">
        <v>1</v>
      </c>
      <c r="Y579" s="73">
        <v>0</v>
      </c>
      <c r="Z579" s="73" t="s">
        <v>2819</v>
      </c>
      <c r="AA579" s="73" t="s">
        <v>691</v>
      </c>
      <c r="AB579" s="73" t="str">
        <f>IF(AA579&lt;&gt;"",INDEX(Lookup!$N$2:$N$5,MATCH(Players!AA579,Lookup!$P$2:$P$5,0)),INDEX(Lookup!$N$2:$N$5,MATCH(Players!O579,Lookup!$O$2:$O$5,0)))</f>
        <v>Midfield</v>
      </c>
      <c r="AC579" s="73">
        <v>2500000</v>
      </c>
      <c r="AD579" s="73" t="s">
        <v>788</v>
      </c>
      <c r="AE579" s="73" t="str">
        <f>INDEX('Translate table'!$H$2:$H$622,MATCH(Players!P579,'Translate table'!$G$2:$G$622,0))</f>
        <v>DÃ¡niel Gazdag</v>
      </c>
      <c r="AF579" s="73">
        <f>IFERROR(INDEX('Euro Qual stats'!$A$1:$L$2071,MATCH(Players!$AE579,'Euro Qual stats'!$A$1:$A$2071,0),MATCH(Players!AF$2,'Euro Qual stats'!$A$1:$L$1,0)),0)</f>
        <v>1</v>
      </c>
      <c r="AG579" s="73">
        <f>IFERROR(INDEX('Euro Qual stats'!$A$1:$L$2071,MATCH(Players!$AE579,'Euro Qual stats'!$A$1:$A$2071,0),MATCH(Players!AG$2,'Euro Qual stats'!$A$1:$L$1,0)),0)</f>
        <v>0</v>
      </c>
      <c r="AH579" s="73">
        <f>IFERROR(INDEX('Euro Qual stats'!$A$1:$L$2071,MATCH(Players!$AE579,'Euro Qual stats'!$A$1:$A$2071,0),MATCH(Players!AH$2,'Euro Qual stats'!$A$1:$L$1,0)),0)</f>
        <v>0</v>
      </c>
      <c r="AI579" s="73">
        <f>IFERROR(INDEX('Euro Qual stats'!$A$1:$L$2071,MATCH(Players!$AE579,'Euro Qual stats'!$A$1:$A$2071,0),MATCH(Players!AI$2,'Euro Qual stats'!$A$1:$L$1,0)),0)</f>
        <v>11.25</v>
      </c>
      <c r="AJ579" s="93">
        <f>(12-AF579)/12*INDEX(BV$9:BV$12,MATCH($AB579,$BU$9:$BU$12,0))+AF579/12*AG579</f>
        <v>0.15463350785340313</v>
      </c>
      <c r="AK579" s="93">
        <f>(12-AG579)/12*INDEX(BW$9:BW$12,MATCH($AB579,$BU$9:$BU$12,0))+AG579/12*AH579</f>
        <v>0.22340314136125652</v>
      </c>
      <c r="AL579" s="93">
        <f>(12-AH579)/12*INDEX(BX$9:BX$12,MATCH($AB579,$BU$9:$BU$12,0))+AH579/12*AI579</f>
        <v>0.23942408376963353</v>
      </c>
      <c r="AM579" s="93">
        <f>IF($BC579=1,AJ579/SUMIFS(AJ$3:AJ$623,$BC$3:$BC$623,1,$G$3:$G$623,$G579),0)</f>
        <v>0</v>
      </c>
      <c r="AN579" s="93">
        <f>IF($BC579=1,AK579/SUMIFS(AK$3:AK$623,$BC$3:$BC$623,1,$G$3:$G$623,$G579),0)</f>
        <v>0</v>
      </c>
      <c r="AO579" s="93">
        <f>IF($BC579=1,AL579/SUMIFS(AL$3:AL$623,$BC$3:$BC$623,1,$G$3:$G$623,$G579),0)</f>
        <v>0</v>
      </c>
      <c r="AP579" s="2">
        <f>IFERROR(R579/$V579*90,"")</f>
        <v>0</v>
      </c>
      <c r="AQ579" s="2">
        <f>IFERROR(S579/$V579*90,"")</f>
        <v>0</v>
      </c>
      <c r="AR579" s="2">
        <f>IFERROR(W579/$V579*90,"")</f>
        <v>0</v>
      </c>
      <c r="AS579" s="2">
        <f>IFERROR(X579/$V579*90,"")</f>
        <v>0.125</v>
      </c>
      <c r="AT579" s="2">
        <f>IFERROR(Y579/$V579*90,"")</f>
        <v>0</v>
      </c>
      <c r="AU579" s="2">
        <f>IF(AP579="",INDEX(BV$4:BV$7,MATCH(O579,$BU$4:$BU$7,0)),AP579)</f>
        <v>0</v>
      </c>
      <c r="AV579" s="2">
        <f>IF(AQ579="",INDEX(BW$4:BW$7,MATCH($O579,$BU$4:$BU$7,0)),AQ579)</f>
        <v>0</v>
      </c>
      <c r="AW579" s="2">
        <f t="shared" si="96"/>
        <v>0</v>
      </c>
      <c r="AX579" s="2">
        <f t="shared" si="97"/>
        <v>0.125</v>
      </c>
      <c r="AY579" s="2">
        <f t="shared" si="98"/>
        <v>0</v>
      </c>
      <c r="AZ579" s="2">
        <f>AU579*0.5+AK579*0.5</f>
        <v>0.11170157068062826</v>
      </c>
      <c r="BA579" s="2">
        <f>AV579*0.5+AJ579*0.5</f>
        <v>7.7316753926701565E-2</v>
      </c>
      <c r="BB579" s="2">
        <f t="shared" si="99"/>
        <v>5.6875</v>
      </c>
      <c r="BC579">
        <f>IF(I579="expected",1,0)</f>
        <v>0</v>
      </c>
      <c r="BD579" s="78">
        <f>IF(BC579=1,AZ579/SUMIFS(AZ$3:AZ$623,$BC$3:$BC$623,1,$G$3:$G$623,$G579),0)</f>
        <v>0</v>
      </c>
      <c r="BE579" s="78">
        <f>IF(BC579=1,BA579/SUMIFS(BA$3:BA$623,$BC$3:$BC$623,1,$G$3:$G$623,$G579),0)</f>
        <v>0</v>
      </c>
      <c r="BF579" s="78">
        <f t="shared" si="100"/>
        <v>0</v>
      </c>
      <c r="BG579" s="2">
        <f t="shared" si="101"/>
        <v>5.6875</v>
      </c>
      <c r="BH579" s="2">
        <f t="shared" si="102"/>
        <v>0</v>
      </c>
      <c r="BI579" s="2">
        <f t="shared" si="103"/>
        <v>0</v>
      </c>
      <c r="BJ579" s="2">
        <f t="shared" si="104"/>
        <v>0</v>
      </c>
      <c r="BK579" s="2">
        <f t="shared" si="105"/>
        <v>0</v>
      </c>
      <c r="BL579" s="2">
        <f t="shared" si="106"/>
        <v>5.6875</v>
      </c>
      <c r="BM579" s="2">
        <f t="shared" si="107"/>
        <v>0</v>
      </c>
      <c r="BN579" s="2">
        <f>BI579/SUMIFS(BI$3:BI$623,$BC$3:$BC$623,1,$G$3:$G$623,$G579)</f>
        <v>0</v>
      </c>
      <c r="BO579" s="2">
        <f>BJ579/SUMIFS(BJ$3:BJ$623,$BC$3:$BC$623,1,$G$3:$G$623,$G579)</f>
        <v>0</v>
      </c>
      <c r="BP579" s="2">
        <f>BK579/SUMIFS(BK$3:BK$623,$BC$3:$BC$623,1,$G$3:$G$623,$G579)</f>
        <v>0</v>
      </c>
      <c r="BQ579" s="2">
        <f>BL579</f>
        <v>5.6875</v>
      </c>
      <c r="BR579" s="2">
        <f>BM579</f>
        <v>0</v>
      </c>
    </row>
    <row r="580" spans="1:70" hidden="1">
      <c r="A580" s="74">
        <v>0</v>
      </c>
      <c r="B580" s="73">
        <v>213467</v>
      </c>
      <c r="C580" s="73" t="s">
        <v>3286</v>
      </c>
      <c r="D580" s="73" t="s">
        <v>2826</v>
      </c>
      <c r="E580" s="73" t="s">
        <v>3287</v>
      </c>
      <c r="F580" s="73">
        <v>18732</v>
      </c>
      <c r="G580" s="73" t="s">
        <v>897</v>
      </c>
      <c r="H580" s="73" t="s">
        <v>931</v>
      </c>
      <c r="I580" s="73" t="s">
        <v>981</v>
      </c>
      <c r="J580" s="73">
        <v>0</v>
      </c>
      <c r="K580" s="73">
        <v>4</v>
      </c>
      <c r="L580" s="73">
        <v>0</v>
      </c>
      <c r="M580" s="73">
        <v>0</v>
      </c>
      <c r="N580" s="73">
        <v>0</v>
      </c>
      <c r="O580" s="73" t="s">
        <v>994</v>
      </c>
      <c r="P580" s="73" t="s">
        <v>2829</v>
      </c>
      <c r="Q580" s="73" t="s">
        <v>2829</v>
      </c>
      <c r="R580" s="73">
        <v>8</v>
      </c>
      <c r="S580" s="73">
        <v>3</v>
      </c>
      <c r="T580" s="73">
        <v>0</v>
      </c>
      <c r="U580" s="73">
        <v>0</v>
      </c>
      <c r="V580" s="73">
        <v>1674</v>
      </c>
      <c r="W580" s="73">
        <v>20</v>
      </c>
      <c r="X580" s="73">
        <v>5</v>
      </c>
      <c r="Y580" s="73">
        <v>0</v>
      </c>
      <c r="Z580" s="73" t="s">
        <v>2819</v>
      </c>
      <c r="AA580" s="73" t="s">
        <v>693</v>
      </c>
      <c r="AB580" s="73" t="str">
        <f>IF(AA580&lt;&gt;"",INDEX(Lookup!$N$2:$N$5,MATCH(Players!AA580,Lookup!$P$2:$P$5,0)),INDEX(Lookup!$N$2:$N$5,MATCH(Players!O580,Lookup!$O$2:$O$5,0)))</f>
        <v>Striker</v>
      </c>
      <c r="AC580" s="73">
        <v>3500000</v>
      </c>
      <c r="AD580" s="73" t="s">
        <v>788</v>
      </c>
      <c r="AE580" s="73" t="str">
        <f>INDEX('Translate table'!$H$2:$H$622,MATCH(Players!P580,'Translate table'!$G$2:$G$622,0))</f>
        <v>Roland Sallai</v>
      </c>
      <c r="AF580" s="73">
        <f>IFERROR(INDEX('Euro Qual stats'!$A$1:$L$2071,MATCH(Players!$AE580,'Euro Qual stats'!$A$1:$A$2071,0),MATCH(Players!AF$2,'Euro Qual stats'!$A$1:$L$1,0)),0)</f>
        <v>6</v>
      </c>
      <c r="AG580" s="73">
        <f>IFERROR(INDEX('Euro Qual stats'!$A$1:$L$2071,MATCH(Players!$AE580,'Euro Qual stats'!$A$1:$A$2071,0),MATCH(Players!AG$2,'Euro Qual stats'!$A$1:$L$1,0)),0)</f>
        <v>0</v>
      </c>
      <c r="AH580" s="73">
        <f>IFERROR(INDEX('Euro Qual stats'!$A$1:$L$2071,MATCH(Players!$AE580,'Euro Qual stats'!$A$1:$A$2071,0),MATCH(Players!AH$2,'Euro Qual stats'!$A$1:$L$1,0)),0)</f>
        <v>0</v>
      </c>
      <c r="AI580" s="73">
        <f>IFERROR(INDEX('Euro Qual stats'!$A$1:$L$2071,MATCH(Players!$AE580,'Euro Qual stats'!$A$1:$A$2071,0),MATCH(Players!AI$2,'Euro Qual stats'!$A$1:$L$1,0)),0)</f>
        <v>0</v>
      </c>
      <c r="AJ580" s="93">
        <f>(12-AF580)/12*INDEX(BV$9:BV$12,MATCH($AB580,$BU$9:$BU$12,0))+AF580/12*AG580</f>
        <v>0.10245689655172416</v>
      </c>
      <c r="AK580" s="93">
        <f>(12-AG580)/12*INDEX(BW$9:BW$12,MATCH($AB580,$BU$9:$BU$12,0))+AG580/12*AH580</f>
        <v>0.53387931034482738</v>
      </c>
      <c r="AL580" s="93">
        <f>(12-AH580)/12*INDEX(BX$9:BX$12,MATCH($AB580,$BU$9:$BU$12,0))+AH580/12*AI580</f>
        <v>0.16482758620689658</v>
      </c>
      <c r="AM580" s="93">
        <f>IF($BC580=1,AJ580/SUMIFS(AJ$3:AJ$623,$BC$3:$BC$623,1,$G$3:$G$623,$G580),0)</f>
        <v>9.1887124598997061E-2</v>
      </c>
      <c r="AN580" s="93">
        <f>IF($BC580=1,AK580/SUMIFS(AK$3:AK$623,$BC$3:$BC$623,1,$G$3:$G$623,$G580),0)</f>
        <v>0.22692393075896394</v>
      </c>
      <c r="AO580" s="93">
        <f>IF($BC580=1,AL580/SUMIFS(AL$3:AL$623,$BC$3:$BC$623,1,$G$3:$G$623,$G580),0)</f>
        <v>8.0177881439241164E-2</v>
      </c>
      <c r="AP580" s="2">
        <f>IFERROR(R580/$V580*90,"")</f>
        <v>0.43010752688172038</v>
      </c>
      <c r="AQ580" s="2">
        <f>IFERROR(S580/$V580*90,"")</f>
        <v>0.16129032258064516</v>
      </c>
      <c r="AR580" s="2">
        <f>IFERROR(W580/$V580*90,"")</f>
        <v>1.0752688172043012</v>
      </c>
      <c r="AS580" s="2">
        <f>IFERROR(X580/$V580*90,"")</f>
        <v>0.26881720430107531</v>
      </c>
      <c r="AT580" s="2">
        <f>IFERROR(Y580/$V580*90,"")</f>
        <v>0</v>
      </c>
      <c r="AU580" s="2">
        <f>IF(AP580="",INDEX(BV$4:BV$7,MATCH(O580,$BU$4:$BU$7,0)),AP580)</f>
        <v>0.43010752688172038</v>
      </c>
      <c r="AV580" s="2">
        <f>IF(AQ580="",INDEX(BW$4:BW$7,MATCH($O580,$BU$4:$BU$7,0)),AQ580)</f>
        <v>0.16129032258064516</v>
      </c>
      <c r="AW580" s="2">
        <f t="shared" ref="AW580:AW623" si="108">IF(AR580="",INDEX(BX$4:BX$7,MATCH($O580,$BU$4:$BU$7,0)),AR580)</f>
        <v>1.0752688172043012</v>
      </c>
      <c r="AX580" s="2">
        <f t="shared" ref="AX580:AX623" si="109">IF(AS580="",INDEX(BY$4:BY$7,MATCH($O580,$BU$4:$BU$7,0)),AS580)</f>
        <v>0.26881720430107531</v>
      </c>
      <c r="AY580" s="2">
        <f t="shared" ref="AY580:AY623" si="110">IF(AT580="",INDEX(BZ$4:BZ$7,MATCH($O580,$BU$4:$BU$7,0)),AT580)</f>
        <v>0</v>
      </c>
      <c r="AZ580" s="2">
        <f>AU580*0.5+AK580*0.5</f>
        <v>0.48199341861327388</v>
      </c>
      <c r="BA580" s="2">
        <f>AV580*0.5+AJ580*0.5</f>
        <v>0.13187360956618466</v>
      </c>
      <c r="BB580" s="2">
        <f t="shared" ref="BB580:BB623" si="111">AX580*0.5+AI580*0.5</f>
        <v>0.13440860215053765</v>
      </c>
      <c r="BC580">
        <f>IF(I580="expected",1,0)</f>
        <v>1</v>
      </c>
      <c r="BD580" s="78">
        <f>IF(BC580=1,AZ580/SUMIFS(AZ$3:AZ$623,$BC$3:$BC$623,1,$G$3:$G$623,$G580),0)</f>
        <v>0.26131375884818508</v>
      </c>
      <c r="BE580" s="78">
        <f>IF(BC580=1,BA580/SUMIFS(BA$3:BA$623,$BC$3:$BC$623,1,$G$3:$G$623,$G580),0)</f>
        <v>0.16080531957674843</v>
      </c>
      <c r="BF580" s="78">
        <f t="shared" ref="BF580:BF623" si="112">IF(BC580=1,AW580/SUMIFS(AW$3:AW$623,$BC$3:$BC$623,1,$G$3:$G$623,$G580),0)</f>
        <v>0.26389014328901922</v>
      </c>
      <c r="BG580" s="2">
        <f t="shared" ref="BG580:BG623" si="113">BB580</f>
        <v>0.13440860215053765</v>
      </c>
      <c r="BH580" s="2">
        <f t="shared" ref="BH580:BH623" si="114">AY580</f>
        <v>0</v>
      </c>
      <c r="BI580" s="2">
        <f t="shared" ref="BI580:BI623" si="115">MIN(BI$1,BD580)</f>
        <v>0.26131375884818508</v>
      </c>
      <c r="BJ580" s="2">
        <f t="shared" ref="BJ580:BJ623" si="116">MIN(BJ$1,BE580)</f>
        <v>0.16080531957674843</v>
      </c>
      <c r="BK580" s="2">
        <f t="shared" ref="BK580:BK623" si="117">MIN(BK$1,BF580)</f>
        <v>0.26389014328901922</v>
      </c>
      <c r="BL580" s="2">
        <f t="shared" ref="BL580:BL623" si="118">BG580</f>
        <v>0.13440860215053765</v>
      </c>
      <c r="BM580" s="2">
        <f t="shared" ref="BM580:BM623" si="119">MIN($BM$1,BH580)</f>
        <v>0</v>
      </c>
      <c r="BN580" s="2">
        <f>BI580/SUMIFS(BI$3:BI$623,$BC$3:$BC$623,1,$G$3:$G$623,$G580)</f>
        <v>0.2613137588481852</v>
      </c>
      <c r="BO580" s="2">
        <f>BJ580/SUMIFS(BJ$3:BJ$623,$BC$3:$BC$623,1,$G$3:$G$623,$G580)</f>
        <v>0.1608053195767484</v>
      </c>
      <c r="BP580" s="2">
        <f>BK580/SUMIFS(BK$3:BK$623,$BC$3:$BC$623,1,$G$3:$G$623,$G580)</f>
        <v>0.26389014328901922</v>
      </c>
      <c r="BQ580" s="2">
        <f>BL580</f>
        <v>0.13440860215053765</v>
      </c>
      <c r="BR580" s="2">
        <f>BM580</f>
        <v>0</v>
      </c>
    </row>
    <row r="581" spans="1:70" hidden="1">
      <c r="A581" s="74">
        <v>0</v>
      </c>
      <c r="B581" s="73">
        <v>213466</v>
      </c>
      <c r="C581" s="73" t="s">
        <v>3288</v>
      </c>
      <c r="D581" s="73" t="s">
        <v>3289</v>
      </c>
      <c r="E581" s="73" t="s">
        <v>3290</v>
      </c>
      <c r="F581" s="73">
        <v>18732</v>
      </c>
      <c r="G581" s="73" t="s">
        <v>897</v>
      </c>
      <c r="H581" s="73" t="s">
        <v>931</v>
      </c>
      <c r="I581" s="73" t="s">
        <v>981</v>
      </c>
      <c r="J581" s="73">
        <v>0</v>
      </c>
      <c r="K581" s="73">
        <v>4</v>
      </c>
      <c r="L581" s="73">
        <v>0</v>
      </c>
      <c r="M581" s="73">
        <v>0</v>
      </c>
      <c r="N581" s="73">
        <v>0</v>
      </c>
      <c r="O581" s="73" t="s">
        <v>994</v>
      </c>
      <c r="P581" s="73" t="s">
        <v>3291</v>
      </c>
      <c r="Q581" s="73" t="s">
        <v>1164</v>
      </c>
      <c r="R581" s="73"/>
      <c r="S581" s="73"/>
      <c r="T581" s="73"/>
      <c r="U581" s="73"/>
      <c r="V581" s="73"/>
      <c r="W581" s="73"/>
      <c r="X581" s="73"/>
      <c r="Y581" s="73"/>
      <c r="Z581" s="73" t="s">
        <v>2819</v>
      </c>
      <c r="AA581" s="73" t="s">
        <v>691</v>
      </c>
      <c r="AB581" s="73" t="str">
        <f>IF(AA581&lt;&gt;"",INDEX(Lookup!$N$2:$N$5,MATCH(Players!AA581,Lookup!$P$2:$P$5,0)),INDEX(Lookup!$N$2:$N$5,MATCH(Players!O581,Lookup!$O$2:$O$5,0)))</f>
        <v>Midfield</v>
      </c>
      <c r="AC581" s="73">
        <v>2500000</v>
      </c>
      <c r="AD581" s="73" t="s">
        <v>788</v>
      </c>
      <c r="AE581" s="73" t="str">
        <f>INDEX('Translate table'!$H$2:$H$622,MATCH(Players!P581,'Translate table'!$G$2:$G$622,0))</f>
        <v>LÃ¡szlÃ³ Kleinheisler</v>
      </c>
      <c r="AF581" s="73">
        <f>IFERROR(INDEX('Euro Qual stats'!$A$1:$L$2071,MATCH(Players!$AE581,'Euro Qual stats'!$A$1:$A$2071,0),MATCH(Players!AF$2,'Euro Qual stats'!$A$1:$L$1,0)),0)</f>
        <v>5</v>
      </c>
      <c r="AG581" s="73">
        <f>IFERROR(INDEX('Euro Qual stats'!$A$1:$L$2071,MATCH(Players!$AE581,'Euro Qual stats'!$A$1:$A$2071,0),MATCH(Players!AG$2,'Euro Qual stats'!$A$1:$L$1,0)),0)</f>
        <v>0.31</v>
      </c>
      <c r="AH581" s="73">
        <f>IFERROR(INDEX('Euro Qual stats'!$A$1:$L$2071,MATCH(Players!$AE581,'Euro Qual stats'!$A$1:$A$2071,0),MATCH(Players!AH$2,'Euro Qual stats'!$A$1:$L$1,0)),0)</f>
        <v>0</v>
      </c>
      <c r="AI581" s="73">
        <f>IFERROR(INDEX('Euro Qual stats'!$A$1:$L$2071,MATCH(Players!$AE581,'Euro Qual stats'!$A$1:$A$2071,0),MATCH(Players!AI$2,'Euro Qual stats'!$A$1:$L$1,0)),0)</f>
        <v>0.94</v>
      </c>
      <c r="AJ581" s="93">
        <f>(12-AF581)/12*INDEX(BV$9:BV$12,MATCH($AB581,$BU$9:$BU$12,0))+AF581/12*AG581</f>
        <v>0.22756980802792323</v>
      </c>
      <c r="AK581" s="93">
        <f>(12-AG581)/12*INDEX(BW$9:BW$12,MATCH($AB581,$BU$9:$BU$12,0))+AG581/12*AH581</f>
        <v>0.21763189354275739</v>
      </c>
      <c r="AL581" s="93">
        <f>(12-AH581)/12*INDEX(BX$9:BX$12,MATCH($AB581,$BU$9:$BU$12,0))+AH581/12*AI581</f>
        <v>0.23942408376963353</v>
      </c>
      <c r="AM581" s="93">
        <f>IF($BC581=1,AJ581/SUMIFS(AJ$3:AJ$623,$BC$3:$BC$623,1,$G$3:$G$623,$G581),0)</f>
        <v>0.20409299919283699</v>
      </c>
      <c r="AN581" s="93">
        <f>IF($BC581=1,AK581/SUMIFS(AK$3:AK$623,$BC$3:$BC$623,1,$G$3:$G$623,$G581),0)</f>
        <v>9.2503837073852957E-2</v>
      </c>
      <c r="AO581" s="93">
        <f>IF($BC581=1,AL581/SUMIFS(AL$3:AL$623,$BC$3:$BC$623,1,$G$3:$G$623,$G581),0)</f>
        <v>0.11646421720988241</v>
      </c>
      <c r="AP581" s="2" t="str">
        <f>IFERROR(R581/$V581*90,"")</f>
        <v/>
      </c>
      <c r="AQ581" s="2" t="str">
        <f>IFERROR(S581/$V581*90,"")</f>
        <v/>
      </c>
      <c r="AR581" s="2" t="str">
        <f>IFERROR(W581/$V581*90,"")</f>
        <v/>
      </c>
      <c r="AS581" s="2" t="str">
        <f>IFERROR(X581/$V581*90,"")</f>
        <v/>
      </c>
      <c r="AT581" s="2" t="str">
        <f>IFERROR(Y581/$V581*90,"")</f>
        <v/>
      </c>
      <c r="AU581" s="2">
        <f>IF(AP581="",INDEX(BV$4:BV$7,MATCH(O581,$BU$4:$BU$7,0)),AP581)</f>
        <v>3.6526142445450806E-2</v>
      </c>
      <c r="AV581" s="2">
        <f>IF(AQ581="",INDEX(BW$4:BW$7,MATCH($O581,$BU$4:$BU$7,0)),AQ581)</f>
        <v>3.2427739661688867E-2</v>
      </c>
      <c r="AW581" s="2">
        <f t="shared" si="108"/>
        <v>0.20013349649571699</v>
      </c>
      <c r="AX581" s="2">
        <f t="shared" si="109"/>
        <v>0.16081000595592615</v>
      </c>
      <c r="AY581" s="2">
        <f t="shared" si="110"/>
        <v>0</v>
      </c>
      <c r="AZ581" s="2">
        <f>AU581*0.5+AK581*0.5</f>
        <v>0.12707901799410409</v>
      </c>
      <c r="BA581" s="2">
        <f>AV581*0.5+AJ581*0.5</f>
        <v>0.12999877384480604</v>
      </c>
      <c r="BB581" s="2">
        <f t="shared" si="111"/>
        <v>0.55040500297796302</v>
      </c>
      <c r="BC581">
        <f>IF(I581="expected",1,0)</f>
        <v>1</v>
      </c>
      <c r="BD581" s="78">
        <f>IF(BC581=1,AZ581/SUMIFS(AZ$3:AZ$623,$BC$3:$BC$623,1,$G$3:$G$623,$G581),0)</f>
        <v>6.8896160363175904E-2</v>
      </c>
      <c r="BE581" s="78">
        <f>IF(BC581=1,BA581/SUMIFS(BA$3:BA$623,$BC$3:$BC$623,1,$G$3:$G$623,$G581),0)</f>
        <v>0.15851916423208198</v>
      </c>
      <c r="BF581" s="78">
        <f t="shared" si="112"/>
        <v>4.9116329072484075E-2</v>
      </c>
      <c r="BG581" s="2">
        <f t="shared" si="113"/>
        <v>0.55040500297796302</v>
      </c>
      <c r="BH581" s="2">
        <f t="shared" si="114"/>
        <v>0</v>
      </c>
      <c r="BI581" s="2">
        <f t="shared" si="115"/>
        <v>6.8896160363175904E-2</v>
      </c>
      <c r="BJ581" s="2">
        <f t="shared" si="116"/>
        <v>0.15851916423208198</v>
      </c>
      <c r="BK581" s="2">
        <f t="shared" si="117"/>
        <v>4.9116329072484075E-2</v>
      </c>
      <c r="BL581" s="2">
        <f t="shared" si="118"/>
        <v>0.55040500297796302</v>
      </c>
      <c r="BM581" s="2">
        <f t="shared" si="119"/>
        <v>0</v>
      </c>
      <c r="BN581" s="2">
        <f>BI581/SUMIFS(BI$3:BI$623,$BC$3:$BC$623,1,$G$3:$G$623,$G581)</f>
        <v>6.8896160363175932E-2</v>
      </c>
      <c r="BO581" s="2">
        <f>BJ581/SUMIFS(BJ$3:BJ$623,$BC$3:$BC$623,1,$G$3:$G$623,$G581)</f>
        <v>0.15851916423208195</v>
      </c>
      <c r="BP581" s="2">
        <f>BK581/SUMIFS(BK$3:BK$623,$BC$3:$BC$623,1,$G$3:$G$623,$G581)</f>
        <v>4.9116329072484075E-2</v>
      </c>
      <c r="BQ581" s="2">
        <f>BL581</f>
        <v>0.55040500297796302</v>
      </c>
      <c r="BR581" s="2">
        <f>BM581</f>
        <v>0</v>
      </c>
    </row>
    <row r="582" spans="1:70" hidden="1">
      <c r="A582" s="74">
        <v>0</v>
      </c>
      <c r="B582" s="73">
        <v>204940</v>
      </c>
      <c r="C582" s="73" t="s">
        <v>3292</v>
      </c>
      <c r="D582" s="73" t="s">
        <v>3293</v>
      </c>
      <c r="E582" s="73" t="s">
        <v>3294</v>
      </c>
      <c r="F582" s="73">
        <v>18732</v>
      </c>
      <c r="G582" s="73" t="s">
        <v>897</v>
      </c>
      <c r="H582" s="73" t="s">
        <v>931</v>
      </c>
      <c r="I582" s="73" t="s">
        <v>1012</v>
      </c>
      <c r="J582" s="73">
        <v>0</v>
      </c>
      <c r="K582" s="73">
        <v>4</v>
      </c>
      <c r="L582" s="73">
        <v>0</v>
      </c>
      <c r="M582" s="73">
        <v>0</v>
      </c>
      <c r="N582" s="73">
        <v>0</v>
      </c>
      <c r="O582" s="73" t="s">
        <v>994</v>
      </c>
      <c r="P582" s="73" t="s">
        <v>3295</v>
      </c>
      <c r="Q582" s="73" t="s">
        <v>1164</v>
      </c>
      <c r="R582" s="73"/>
      <c r="S582" s="73"/>
      <c r="T582" s="73"/>
      <c r="U582" s="73"/>
      <c r="V582" s="73"/>
      <c r="W582" s="73"/>
      <c r="X582" s="73"/>
      <c r="Y582" s="73"/>
      <c r="Z582" s="73" t="s">
        <v>2819</v>
      </c>
      <c r="AA582" s="73" t="s">
        <v>691</v>
      </c>
      <c r="AB582" s="73" t="str">
        <f>IF(AA582&lt;&gt;"",INDEX(Lookup!$N$2:$N$5,MATCH(Players!AA582,Lookup!$P$2:$P$5,0)),INDEX(Lookup!$N$2:$N$5,MATCH(Players!O582,Lookup!$O$2:$O$5,0)))</f>
        <v>Midfield</v>
      </c>
      <c r="AC582" s="73">
        <v>2000000</v>
      </c>
      <c r="AD582" s="73" t="s">
        <v>788</v>
      </c>
      <c r="AE582" s="73" t="str">
        <f>INDEX('Translate table'!$H$2:$H$622,MATCH(Players!P582,'Translate table'!$G$2:$G$622,0))</f>
        <v>TamÃ¡s Cseri</v>
      </c>
      <c r="AF582" s="73">
        <f>IFERROR(INDEX('Euro Qual stats'!$A$1:$L$2071,MATCH(Players!$AE582,'Euro Qual stats'!$A$1:$A$2071,0),MATCH(Players!AF$2,'Euro Qual stats'!$A$1:$L$1,0)),0)</f>
        <v>0</v>
      </c>
      <c r="AG582" s="73">
        <f>IFERROR(INDEX('Euro Qual stats'!$A$1:$L$2071,MATCH(Players!$AE582,'Euro Qual stats'!$A$1:$A$2071,0),MATCH(Players!AG$2,'Euro Qual stats'!$A$1:$L$1,0)),0)</f>
        <v>0</v>
      </c>
      <c r="AH582" s="73">
        <f>IFERROR(INDEX('Euro Qual stats'!$A$1:$L$2071,MATCH(Players!$AE582,'Euro Qual stats'!$A$1:$A$2071,0),MATCH(Players!AH$2,'Euro Qual stats'!$A$1:$L$1,0)),0)</f>
        <v>0</v>
      </c>
      <c r="AI582" s="73">
        <f>IFERROR(INDEX('Euro Qual stats'!$A$1:$L$2071,MATCH(Players!$AE582,'Euro Qual stats'!$A$1:$A$2071,0),MATCH(Players!AI$2,'Euro Qual stats'!$A$1:$L$1,0)),0)</f>
        <v>0</v>
      </c>
      <c r="AJ582" s="93">
        <f>(12-AF582)/12*INDEX(BV$9:BV$12,MATCH($AB582,$BU$9:$BU$12,0))+AF582/12*AG582</f>
        <v>0.16869109947643979</v>
      </c>
      <c r="AK582" s="93">
        <f>(12-AG582)/12*INDEX(BW$9:BW$12,MATCH($AB582,$BU$9:$BU$12,0))+AG582/12*AH582</f>
        <v>0.22340314136125652</v>
      </c>
      <c r="AL582" s="93">
        <f>(12-AH582)/12*INDEX(BX$9:BX$12,MATCH($AB582,$BU$9:$BU$12,0))+AH582/12*AI582</f>
        <v>0.23942408376963353</v>
      </c>
      <c r="AM582" s="93">
        <f>IF($BC582=1,AJ582/SUMIFS(AJ$3:AJ$623,$BC$3:$BC$623,1,$G$3:$G$623,$G582),0)</f>
        <v>0</v>
      </c>
      <c r="AN582" s="93">
        <f>IF($BC582=1,AK582/SUMIFS(AK$3:AK$623,$BC$3:$BC$623,1,$G$3:$G$623,$G582),0)</f>
        <v>0</v>
      </c>
      <c r="AO582" s="93">
        <f>IF($BC582=1,AL582/SUMIFS(AL$3:AL$623,$BC$3:$BC$623,1,$G$3:$G$623,$G582),0)</f>
        <v>0</v>
      </c>
      <c r="AP582" s="2" t="str">
        <f>IFERROR(R582/$V582*90,"")</f>
        <v/>
      </c>
      <c r="AQ582" s="2" t="str">
        <f>IFERROR(S582/$V582*90,"")</f>
        <v/>
      </c>
      <c r="AR582" s="2" t="str">
        <f>IFERROR(W582/$V582*90,"")</f>
        <v/>
      </c>
      <c r="AS582" s="2" t="str">
        <f>IFERROR(X582/$V582*90,"")</f>
        <v/>
      </c>
      <c r="AT582" s="2" t="str">
        <f>IFERROR(Y582/$V582*90,"")</f>
        <v/>
      </c>
      <c r="AU582" s="2">
        <f>IF(AP582="",INDEX(BV$4:BV$7,MATCH(O582,$BU$4:$BU$7,0)),AP582)</f>
        <v>3.6526142445450806E-2</v>
      </c>
      <c r="AV582" s="2">
        <f>IF(AQ582="",INDEX(BW$4:BW$7,MATCH($O582,$BU$4:$BU$7,0)),AQ582)</f>
        <v>3.2427739661688867E-2</v>
      </c>
      <c r="AW582" s="2">
        <f t="shared" si="108"/>
        <v>0.20013349649571699</v>
      </c>
      <c r="AX582" s="2">
        <f t="shared" si="109"/>
        <v>0.16081000595592615</v>
      </c>
      <c r="AY582" s="2">
        <f t="shared" si="110"/>
        <v>0</v>
      </c>
      <c r="AZ582" s="2">
        <f>AU582*0.5+AK582*0.5</f>
        <v>0.12996464190335366</v>
      </c>
      <c r="BA582" s="2">
        <f>AV582*0.5+AJ582*0.5</f>
        <v>0.10055941956906433</v>
      </c>
      <c r="BB582" s="2">
        <f t="shared" si="111"/>
        <v>8.0405002977963075E-2</v>
      </c>
      <c r="BC582">
        <f>IF(I582="expected",1,0)</f>
        <v>0</v>
      </c>
      <c r="BD582" s="78">
        <f>IF(BC582=1,AZ582/SUMIFS(AZ$3:AZ$623,$BC$3:$BC$623,1,$G$3:$G$623,$G582),0)</f>
        <v>0</v>
      </c>
      <c r="BE582" s="78">
        <f>IF(BC582=1,BA582/SUMIFS(BA$3:BA$623,$BC$3:$BC$623,1,$G$3:$G$623,$G582),0)</f>
        <v>0</v>
      </c>
      <c r="BF582" s="78">
        <f t="shared" si="112"/>
        <v>0</v>
      </c>
      <c r="BG582" s="2">
        <f t="shared" si="113"/>
        <v>8.0405002977963075E-2</v>
      </c>
      <c r="BH582" s="2">
        <f t="shared" si="114"/>
        <v>0</v>
      </c>
      <c r="BI582" s="2">
        <f t="shared" si="115"/>
        <v>0</v>
      </c>
      <c r="BJ582" s="2">
        <f t="shared" si="116"/>
        <v>0</v>
      </c>
      <c r="BK582" s="2">
        <f t="shared" si="117"/>
        <v>0</v>
      </c>
      <c r="BL582" s="2">
        <f t="shared" si="118"/>
        <v>8.0405002977963075E-2</v>
      </c>
      <c r="BM582" s="2">
        <f t="shared" si="119"/>
        <v>0</v>
      </c>
      <c r="BN582" s="2">
        <f>BI582/SUMIFS(BI$3:BI$623,$BC$3:$BC$623,1,$G$3:$G$623,$G582)</f>
        <v>0</v>
      </c>
      <c r="BO582" s="2">
        <f>BJ582/SUMIFS(BJ$3:BJ$623,$BC$3:$BC$623,1,$G$3:$G$623,$G582)</f>
        <v>0</v>
      </c>
      <c r="BP582" s="2">
        <f>BK582/SUMIFS(BK$3:BK$623,$BC$3:$BC$623,1,$G$3:$G$623,$G582)</f>
        <v>0</v>
      </c>
      <c r="BQ582" s="2">
        <f>BL582</f>
        <v>8.0405002977963075E-2</v>
      </c>
      <c r="BR582" s="2">
        <f>BM582</f>
        <v>0</v>
      </c>
    </row>
    <row r="583" spans="1:70" hidden="1">
      <c r="A583" s="74">
        <v>0</v>
      </c>
      <c r="B583" s="73">
        <v>204937</v>
      </c>
      <c r="C583" s="73" t="s">
        <v>3296</v>
      </c>
      <c r="D583" s="73" t="s">
        <v>3297</v>
      </c>
      <c r="E583" s="73" t="s">
        <v>3298</v>
      </c>
      <c r="F583" s="73">
        <v>18732</v>
      </c>
      <c r="G583" s="73" t="s">
        <v>897</v>
      </c>
      <c r="H583" s="73" t="s">
        <v>931</v>
      </c>
      <c r="I583" s="73" t="s">
        <v>1012</v>
      </c>
      <c r="J583" s="73">
        <v>0</v>
      </c>
      <c r="K583" s="73">
        <v>4</v>
      </c>
      <c r="L583" s="73">
        <v>0</v>
      </c>
      <c r="M583" s="73">
        <v>0</v>
      </c>
      <c r="N583" s="73">
        <v>0</v>
      </c>
      <c r="O583" s="73" t="s">
        <v>994</v>
      </c>
      <c r="P583" s="73" t="s">
        <v>3299</v>
      </c>
      <c r="Q583" s="73" t="s">
        <v>3300</v>
      </c>
      <c r="R583" s="73">
        <v>0</v>
      </c>
      <c r="S583" s="73">
        <v>2</v>
      </c>
      <c r="T583" s="73">
        <v>0</v>
      </c>
      <c r="U583" s="73">
        <v>2</v>
      </c>
      <c r="V583" s="73">
        <v>1290</v>
      </c>
      <c r="W583" s="73">
        <v>3</v>
      </c>
      <c r="X583" s="73">
        <v>5</v>
      </c>
      <c r="Y583" s="73">
        <v>0</v>
      </c>
      <c r="Z583" s="73" t="s">
        <v>2819</v>
      </c>
      <c r="AA583" s="73" t="s">
        <v>691</v>
      </c>
      <c r="AB583" s="73" t="str">
        <f>IF(AA583&lt;&gt;"",INDEX(Lookup!$N$2:$N$5,MATCH(Players!AA583,Lookup!$P$2:$P$5,0)),INDEX(Lookup!$N$2:$N$5,MATCH(Players!O583,Lookup!$O$2:$O$5,0)))</f>
        <v>Midfield</v>
      </c>
      <c r="AC583" s="73">
        <v>2500000</v>
      </c>
      <c r="AD583" s="73" t="s">
        <v>753</v>
      </c>
      <c r="AE583" s="73" t="str">
        <f>INDEX('Translate table'!$H$2:$H$622,MATCH(Players!P583,'Translate table'!$G$2:$G$622,0))</f>
        <v>AndrÃ¡s Schafer</v>
      </c>
      <c r="AF583" s="73">
        <f>IFERROR(INDEX('Euro Qual stats'!$A$1:$L$2071,MATCH(Players!$AE583,'Euro Qual stats'!$A$1:$A$2071,0),MATCH(Players!AF$2,'Euro Qual stats'!$A$1:$L$1,0)),0)</f>
        <v>0</v>
      </c>
      <c r="AG583" s="73">
        <f>IFERROR(INDEX('Euro Qual stats'!$A$1:$L$2071,MATCH(Players!$AE583,'Euro Qual stats'!$A$1:$A$2071,0),MATCH(Players!AG$2,'Euro Qual stats'!$A$1:$L$1,0)),0)</f>
        <v>0</v>
      </c>
      <c r="AH583" s="73">
        <f>IFERROR(INDEX('Euro Qual stats'!$A$1:$L$2071,MATCH(Players!$AE583,'Euro Qual stats'!$A$1:$A$2071,0),MATCH(Players!AH$2,'Euro Qual stats'!$A$1:$L$1,0)),0)</f>
        <v>0</v>
      </c>
      <c r="AI583" s="73">
        <f>IFERROR(INDEX('Euro Qual stats'!$A$1:$L$2071,MATCH(Players!$AE583,'Euro Qual stats'!$A$1:$A$2071,0),MATCH(Players!AI$2,'Euro Qual stats'!$A$1:$L$1,0)),0)</f>
        <v>0</v>
      </c>
      <c r="AJ583" s="93">
        <f>(12-AF583)/12*INDEX(BV$9:BV$12,MATCH($AB583,$BU$9:$BU$12,0))+AF583/12*AG583</f>
        <v>0.16869109947643979</v>
      </c>
      <c r="AK583" s="93">
        <f>(12-AG583)/12*INDEX(BW$9:BW$12,MATCH($AB583,$BU$9:$BU$12,0))+AG583/12*AH583</f>
        <v>0.22340314136125652</v>
      </c>
      <c r="AL583" s="93">
        <f>(12-AH583)/12*INDEX(BX$9:BX$12,MATCH($AB583,$BU$9:$BU$12,0))+AH583/12*AI583</f>
        <v>0.23942408376963353</v>
      </c>
      <c r="AM583" s="93">
        <f>IF($BC583=1,AJ583/SUMIFS(AJ$3:AJ$623,$BC$3:$BC$623,1,$G$3:$G$623,$G583),0)</f>
        <v>0</v>
      </c>
      <c r="AN583" s="93">
        <f>IF($BC583=1,AK583/SUMIFS(AK$3:AK$623,$BC$3:$BC$623,1,$G$3:$G$623,$G583),0)</f>
        <v>0</v>
      </c>
      <c r="AO583" s="93">
        <f>IF($BC583=1,AL583/SUMIFS(AL$3:AL$623,$BC$3:$BC$623,1,$G$3:$G$623,$G583),0)</f>
        <v>0</v>
      </c>
      <c r="AP583" s="2">
        <f>IFERROR(R583/$V583*90,"")</f>
        <v>0</v>
      </c>
      <c r="AQ583" s="2">
        <f>IFERROR(S583/$V583*90,"")</f>
        <v>0.13953488372093023</v>
      </c>
      <c r="AR583" s="2">
        <f>IFERROR(W583/$V583*90,"")</f>
        <v>0.20930232558139533</v>
      </c>
      <c r="AS583" s="2">
        <f>IFERROR(X583/$V583*90,"")</f>
        <v>0.34883720930232559</v>
      </c>
      <c r="AT583" s="2">
        <f>IFERROR(Y583/$V583*90,"")</f>
        <v>0</v>
      </c>
      <c r="AU583" s="2">
        <f>IF(AP583="",INDEX(BV$4:BV$7,MATCH(O583,$BU$4:$BU$7,0)),AP583)</f>
        <v>0</v>
      </c>
      <c r="AV583" s="2">
        <f>IF(AQ583="",INDEX(BW$4:BW$7,MATCH($O583,$BU$4:$BU$7,0)),AQ583)</f>
        <v>0.13953488372093023</v>
      </c>
      <c r="AW583" s="2">
        <f t="shared" si="108"/>
        <v>0.20930232558139533</v>
      </c>
      <c r="AX583" s="2">
        <f t="shared" si="109"/>
        <v>0.34883720930232559</v>
      </c>
      <c r="AY583" s="2">
        <f t="shared" si="110"/>
        <v>0</v>
      </c>
      <c r="AZ583" s="2">
        <f>AU583*0.5+AK583*0.5</f>
        <v>0.11170157068062826</v>
      </c>
      <c r="BA583" s="2">
        <f>AV583*0.5+AJ583*0.5</f>
        <v>0.15411299159868502</v>
      </c>
      <c r="BB583" s="2">
        <f t="shared" si="111"/>
        <v>0.1744186046511628</v>
      </c>
      <c r="BC583">
        <f>IF(I583="expected",1,0)</f>
        <v>0</v>
      </c>
      <c r="BD583" s="78">
        <f>IF(BC583=1,AZ583/SUMIFS(AZ$3:AZ$623,$BC$3:$BC$623,1,$G$3:$G$623,$G583),0)</f>
        <v>0</v>
      </c>
      <c r="BE583" s="78">
        <f>IF(BC583=1,BA583/SUMIFS(BA$3:BA$623,$BC$3:$BC$623,1,$G$3:$G$623,$G583),0)</f>
        <v>0</v>
      </c>
      <c r="BF583" s="78">
        <f t="shared" si="112"/>
        <v>0</v>
      </c>
      <c r="BG583" s="2">
        <f t="shared" si="113"/>
        <v>0.1744186046511628</v>
      </c>
      <c r="BH583" s="2">
        <f t="shared" si="114"/>
        <v>0</v>
      </c>
      <c r="BI583" s="2">
        <f t="shared" si="115"/>
        <v>0</v>
      </c>
      <c r="BJ583" s="2">
        <f t="shared" si="116"/>
        <v>0</v>
      </c>
      <c r="BK583" s="2">
        <f t="shared" si="117"/>
        <v>0</v>
      </c>
      <c r="BL583" s="2">
        <f t="shared" si="118"/>
        <v>0.1744186046511628</v>
      </c>
      <c r="BM583" s="2">
        <f t="shared" si="119"/>
        <v>0</v>
      </c>
      <c r="BN583" s="2">
        <f>BI583/SUMIFS(BI$3:BI$623,$BC$3:$BC$623,1,$G$3:$G$623,$G583)</f>
        <v>0</v>
      </c>
      <c r="BO583" s="2">
        <f>BJ583/SUMIFS(BJ$3:BJ$623,$BC$3:$BC$623,1,$G$3:$G$623,$G583)</f>
        <v>0</v>
      </c>
      <c r="BP583" s="2">
        <f>BK583/SUMIFS(BK$3:BK$623,$BC$3:$BC$623,1,$G$3:$G$623,$G583)</f>
        <v>0</v>
      </c>
      <c r="BQ583" s="2">
        <f>BL583</f>
        <v>0.1744186046511628</v>
      </c>
      <c r="BR583" s="2">
        <f>BM583</f>
        <v>0</v>
      </c>
    </row>
    <row r="584" spans="1:70" hidden="1">
      <c r="A584" s="74">
        <v>0</v>
      </c>
      <c r="B584" s="73">
        <v>204936</v>
      </c>
      <c r="C584" s="73" t="s">
        <v>3301</v>
      </c>
      <c r="D584" s="73" t="s">
        <v>3302</v>
      </c>
      <c r="E584" s="73" t="s">
        <v>3303</v>
      </c>
      <c r="F584" s="73">
        <v>18732</v>
      </c>
      <c r="G584" s="73" t="s">
        <v>897</v>
      </c>
      <c r="H584" s="73" t="s">
        <v>931</v>
      </c>
      <c r="I584" s="73" t="s">
        <v>981</v>
      </c>
      <c r="J584" s="73">
        <v>0</v>
      </c>
      <c r="K584" s="73">
        <v>4</v>
      </c>
      <c r="L584" s="73">
        <v>0</v>
      </c>
      <c r="M584" s="73">
        <v>0</v>
      </c>
      <c r="N584" s="73">
        <v>0</v>
      </c>
      <c r="O584" s="73" t="s">
        <v>994</v>
      </c>
      <c r="P584" s="73" t="s">
        <v>3304</v>
      </c>
      <c r="Q584" s="73" t="s">
        <v>2395</v>
      </c>
      <c r="R584" s="73">
        <v>0</v>
      </c>
      <c r="S584" s="73">
        <v>0</v>
      </c>
      <c r="T584" s="73">
        <v>54</v>
      </c>
      <c r="U584" s="73">
        <v>10</v>
      </c>
      <c r="V584" s="73">
        <v>2520</v>
      </c>
      <c r="W584" s="73">
        <v>0</v>
      </c>
      <c r="X584" s="73">
        <v>2</v>
      </c>
      <c r="Y584" s="73">
        <v>0</v>
      </c>
      <c r="Z584" s="73" t="s">
        <v>2819</v>
      </c>
      <c r="AA584" s="73" t="s">
        <v>691</v>
      </c>
      <c r="AB584" s="73" t="str">
        <f>IF(AA584&lt;&gt;"",INDEX(Lookup!$N$2:$N$5,MATCH(Players!AA584,Lookup!$P$2:$P$5,0)),INDEX(Lookup!$N$2:$N$5,MATCH(Players!O584,Lookup!$O$2:$O$5,0)))</f>
        <v>Midfield</v>
      </c>
      <c r="AC584" s="73">
        <v>2500000</v>
      </c>
      <c r="AD584" s="73" t="s">
        <v>788</v>
      </c>
      <c r="AE584" s="73" t="str">
        <f>INDEX('Translate table'!$H$2:$H$622,MATCH(Players!P584,'Translate table'!$G$2:$G$622,0))</f>
        <v>David Siger</v>
      </c>
      <c r="AF584" s="73">
        <f>IFERROR(INDEX('Euro Qual stats'!$A$1:$L$2071,MATCH(Players!$AE584,'Euro Qual stats'!$A$1:$A$2071,0),MATCH(Players!AF$2,'Euro Qual stats'!$A$1:$L$1,0)),0)</f>
        <v>3</v>
      </c>
      <c r="AG584" s="73">
        <f>IFERROR(INDEX('Euro Qual stats'!$A$1:$L$2071,MATCH(Players!$AE584,'Euro Qual stats'!$A$1:$A$2071,0),MATCH(Players!AG$2,'Euro Qual stats'!$A$1:$L$1,0)),0)</f>
        <v>0.73</v>
      </c>
      <c r="AH584" s="73">
        <f>IFERROR(INDEX('Euro Qual stats'!$A$1:$L$2071,MATCH(Players!$AE584,'Euro Qual stats'!$A$1:$A$2071,0),MATCH(Players!AH$2,'Euro Qual stats'!$A$1:$L$1,0)),0)</f>
        <v>0</v>
      </c>
      <c r="AI584" s="73">
        <f>IFERROR(INDEX('Euro Qual stats'!$A$1:$L$2071,MATCH(Players!$AE584,'Euro Qual stats'!$A$1:$A$2071,0),MATCH(Players!AI$2,'Euro Qual stats'!$A$1:$L$1,0)),0)</f>
        <v>0</v>
      </c>
      <c r="AJ584" s="93">
        <f>(12-AF584)/12*INDEX(BV$9:BV$12,MATCH($AB584,$BU$9:$BU$12,0))+AF584/12*AG584</f>
        <v>0.30901832460732981</v>
      </c>
      <c r="AK584" s="93">
        <f>(12-AG584)/12*INDEX(BW$9:BW$12,MATCH($AB584,$BU$9:$BU$12,0))+AG584/12*AH584</f>
        <v>0.20981278359511341</v>
      </c>
      <c r="AL584" s="93">
        <f>(12-AH584)/12*INDEX(BX$9:BX$12,MATCH($AB584,$BU$9:$BU$12,0))+AH584/12*AI584</f>
        <v>0.23942408376963353</v>
      </c>
      <c r="AM584" s="93">
        <f>IF($BC584=1,AJ584/SUMIFS(AJ$3:AJ$623,$BC$3:$BC$623,1,$G$3:$G$623,$G584),0)</f>
        <v>0.27713903360553427</v>
      </c>
      <c r="AN584" s="93">
        <f>IF($BC584=1,AK584/SUMIFS(AK$3:AK$623,$BC$3:$BC$623,1,$G$3:$G$623,$G584),0)</f>
        <v>8.9180345921498955E-2</v>
      </c>
      <c r="AO584" s="93">
        <f>IF($BC584=1,AL584/SUMIFS(AL$3:AL$623,$BC$3:$BC$623,1,$G$3:$G$623,$G584),0)</f>
        <v>0.11646421720988241</v>
      </c>
      <c r="AP584" s="2">
        <f>IFERROR(R584/$V584*90,"")</f>
        <v>0</v>
      </c>
      <c r="AQ584" s="2">
        <f>IFERROR(S584/$V584*90,"")</f>
        <v>0</v>
      </c>
      <c r="AR584" s="2">
        <f>IFERROR(W584/$V584*90,"")</f>
        <v>0</v>
      </c>
      <c r="AS584" s="2">
        <f>IFERROR(X584/$V584*90,"")</f>
        <v>7.1428571428571425E-2</v>
      </c>
      <c r="AT584" s="2">
        <f>IFERROR(Y584/$V584*90,"")</f>
        <v>0</v>
      </c>
      <c r="AU584" s="2">
        <f>IF(AP584="",INDEX(BV$4:BV$7,MATCH(O584,$BU$4:$BU$7,0)),AP584)</f>
        <v>0</v>
      </c>
      <c r="AV584" s="2">
        <f>IF(AQ584="",INDEX(BW$4:BW$7,MATCH($O584,$BU$4:$BU$7,0)),AQ584)</f>
        <v>0</v>
      </c>
      <c r="AW584" s="2">
        <f t="shared" si="108"/>
        <v>0</v>
      </c>
      <c r="AX584" s="2">
        <f t="shared" si="109"/>
        <v>7.1428571428571425E-2</v>
      </c>
      <c r="AY584" s="2">
        <f t="shared" si="110"/>
        <v>0</v>
      </c>
      <c r="AZ584" s="2">
        <f>AU584*0.5+AK584*0.5</f>
        <v>0.1049063917975567</v>
      </c>
      <c r="BA584" s="2">
        <f>AV584*0.5+AJ584*0.5</f>
        <v>0.1545091623036649</v>
      </c>
      <c r="BB584" s="2">
        <f t="shared" si="111"/>
        <v>3.5714285714285712E-2</v>
      </c>
      <c r="BC584">
        <f>IF(I584="expected",1,0)</f>
        <v>1</v>
      </c>
      <c r="BD584" s="78">
        <f>IF(BC584=1,AZ584/SUMIFS(AZ$3:AZ$623,$BC$3:$BC$623,1,$G$3:$G$623,$G584),0)</f>
        <v>5.6875223829176577E-2</v>
      </c>
      <c r="BE584" s="78">
        <f>IF(BC584=1,BA584/SUMIFS(BA$3:BA$623,$BC$3:$BC$623,1,$G$3:$G$623,$G584),0)</f>
        <v>0.18840687915884249</v>
      </c>
      <c r="BF584" s="78">
        <f t="shared" si="112"/>
        <v>0</v>
      </c>
      <c r="BG584" s="2">
        <f t="shared" si="113"/>
        <v>3.5714285714285712E-2</v>
      </c>
      <c r="BH584" s="2">
        <f t="shared" si="114"/>
        <v>0</v>
      </c>
      <c r="BI584" s="2">
        <f t="shared" si="115"/>
        <v>5.6875223829176577E-2</v>
      </c>
      <c r="BJ584" s="2">
        <f t="shared" si="116"/>
        <v>0.18840687915884249</v>
      </c>
      <c r="BK584" s="2">
        <f t="shared" si="117"/>
        <v>0</v>
      </c>
      <c r="BL584" s="2">
        <f t="shared" si="118"/>
        <v>3.5714285714285712E-2</v>
      </c>
      <c r="BM584" s="2">
        <f t="shared" si="119"/>
        <v>0</v>
      </c>
      <c r="BN584" s="2">
        <f>BI584/SUMIFS(BI$3:BI$623,$BC$3:$BC$623,1,$G$3:$G$623,$G584)</f>
        <v>5.6875223829176598E-2</v>
      </c>
      <c r="BO584" s="2">
        <f>BJ584/SUMIFS(BJ$3:BJ$623,$BC$3:$BC$623,1,$G$3:$G$623,$G584)</f>
        <v>0.18840687915884244</v>
      </c>
      <c r="BP584" s="2">
        <f>BK584/SUMIFS(BK$3:BK$623,$BC$3:$BC$623,1,$G$3:$G$623,$G584)</f>
        <v>0</v>
      </c>
      <c r="BQ584" s="2">
        <f>BL584</f>
        <v>3.5714285714285712E-2</v>
      </c>
      <c r="BR584" s="2">
        <f>BM584</f>
        <v>0</v>
      </c>
    </row>
    <row r="585" spans="1:70" hidden="1">
      <c r="A585" s="74">
        <v>0</v>
      </c>
      <c r="B585" s="73">
        <v>204926</v>
      </c>
      <c r="C585" s="73" t="s">
        <v>3306</v>
      </c>
      <c r="D585" s="73" t="s">
        <v>2840</v>
      </c>
      <c r="E585" s="73" t="s">
        <v>3307</v>
      </c>
      <c r="F585" s="73">
        <v>18732</v>
      </c>
      <c r="G585" s="73" t="s">
        <v>897</v>
      </c>
      <c r="H585" s="73" t="s">
        <v>931</v>
      </c>
      <c r="I585" s="73" t="s">
        <v>981</v>
      </c>
      <c r="J585" s="73">
        <v>0</v>
      </c>
      <c r="K585" s="73">
        <v>4</v>
      </c>
      <c r="L585" s="73">
        <v>0</v>
      </c>
      <c r="M585" s="73">
        <v>0</v>
      </c>
      <c r="N585" s="73">
        <v>0</v>
      </c>
      <c r="O585" s="73" t="s">
        <v>994</v>
      </c>
      <c r="P585" s="73" t="s">
        <v>3308</v>
      </c>
      <c r="Q585" s="73" t="s">
        <v>1164</v>
      </c>
      <c r="R585" s="73"/>
      <c r="S585" s="73"/>
      <c r="T585" s="73"/>
      <c r="U585" s="73"/>
      <c r="V585" s="73"/>
      <c r="W585" s="73"/>
      <c r="X585" s="73"/>
      <c r="Y585" s="73"/>
      <c r="Z585" s="73" t="s">
        <v>2819</v>
      </c>
      <c r="AA585" s="73" t="s">
        <v>691</v>
      </c>
      <c r="AB585" s="73" t="str">
        <f>IF(AA585&lt;&gt;"",INDEX(Lookup!$N$2:$N$5,MATCH(Players!AA585,Lookup!$P$2:$P$5,0)),INDEX(Lookup!$N$2:$N$5,MATCH(Players!O585,Lookup!$O$2:$O$5,0)))</f>
        <v>Midfield</v>
      </c>
      <c r="AC585" s="73">
        <v>2500000</v>
      </c>
      <c r="AD585" s="73" t="s">
        <v>788</v>
      </c>
      <c r="AE585" s="73" t="str">
        <f>INDEX('Translate table'!$H$2:$H$622,MATCH(Players!P585,'Translate table'!$G$2:$G$622,0))</f>
        <v>ÃdÃ¡m Nagy</v>
      </c>
      <c r="AF585" s="73">
        <f>IFERROR(INDEX('Euro Qual stats'!$A$1:$L$2071,MATCH(Players!$AE585,'Euro Qual stats'!$A$1:$A$2071,0),MATCH(Players!AF$2,'Euro Qual stats'!$A$1:$L$1,0)),0)</f>
        <v>8</v>
      </c>
      <c r="AG585" s="73">
        <f>IFERROR(INDEX('Euro Qual stats'!$A$1:$L$2071,MATCH(Players!$AE585,'Euro Qual stats'!$A$1:$A$2071,0),MATCH(Players!AG$2,'Euro Qual stats'!$A$1:$L$1,0)),0)</f>
        <v>0</v>
      </c>
      <c r="AH585" s="73">
        <f>IFERROR(INDEX('Euro Qual stats'!$A$1:$L$2071,MATCH(Players!$AE585,'Euro Qual stats'!$A$1:$A$2071,0),MATCH(Players!AH$2,'Euro Qual stats'!$A$1:$L$1,0)),0)</f>
        <v>0</v>
      </c>
      <c r="AI585" s="73">
        <f>IFERROR(INDEX('Euro Qual stats'!$A$1:$L$2071,MATCH(Players!$AE585,'Euro Qual stats'!$A$1:$A$2071,0),MATCH(Players!AI$2,'Euro Qual stats'!$A$1:$L$1,0)),0)</f>
        <v>0.41</v>
      </c>
      <c r="AJ585" s="93">
        <f>(12-AF585)/12*INDEX(BV$9:BV$12,MATCH($AB585,$BU$9:$BU$12,0))+AF585/12*AG585</f>
        <v>5.6230366492146591E-2</v>
      </c>
      <c r="AK585" s="93">
        <f>(12-AG585)/12*INDEX(BW$9:BW$12,MATCH($AB585,$BU$9:$BU$12,0))+AG585/12*AH585</f>
        <v>0.22340314136125652</v>
      </c>
      <c r="AL585" s="93">
        <f>(12-AH585)/12*INDEX(BX$9:BX$12,MATCH($AB585,$BU$9:$BU$12,0))+AH585/12*AI585</f>
        <v>0.23942408376963353</v>
      </c>
      <c r="AM585" s="93">
        <f>IF($BC585=1,AJ585/SUMIFS(AJ$3:AJ$623,$BC$3:$BC$623,1,$G$3:$G$623,$G585),0)</f>
        <v>5.0429467083289228E-2</v>
      </c>
      <c r="AN585" s="93">
        <f>IF($BC585=1,AK585/SUMIFS(AK$3:AK$623,$BC$3:$BC$623,1,$G$3:$G$623,$G585),0)</f>
        <v>9.4956890067257105E-2</v>
      </c>
      <c r="AO585" s="93">
        <f>IF($BC585=1,AL585/SUMIFS(AL$3:AL$623,$BC$3:$BC$623,1,$G$3:$G$623,$G585),0)</f>
        <v>0.11646421720988241</v>
      </c>
      <c r="AP585" s="2" t="str">
        <f>IFERROR(R585/$V585*90,"")</f>
        <v/>
      </c>
      <c r="AQ585" s="2" t="str">
        <f>IFERROR(S585/$V585*90,"")</f>
        <v/>
      </c>
      <c r="AR585" s="2" t="str">
        <f>IFERROR(W585/$V585*90,"")</f>
        <v/>
      </c>
      <c r="AS585" s="2" t="str">
        <f>IFERROR(X585/$V585*90,"")</f>
        <v/>
      </c>
      <c r="AT585" s="2" t="str">
        <f>IFERROR(Y585/$V585*90,"")</f>
        <v/>
      </c>
      <c r="AU585" s="2">
        <f>IF(AP585="",INDEX(BV$4:BV$7,MATCH(O585,$BU$4:$BU$7,0)),AP585)</f>
        <v>3.6526142445450806E-2</v>
      </c>
      <c r="AV585" s="2">
        <f>IF(AQ585="",INDEX(BW$4:BW$7,MATCH($O585,$BU$4:$BU$7,0)),AQ585)</f>
        <v>3.2427739661688867E-2</v>
      </c>
      <c r="AW585" s="2">
        <f t="shared" si="108"/>
        <v>0.20013349649571699</v>
      </c>
      <c r="AX585" s="2">
        <f t="shared" si="109"/>
        <v>0.16081000595592615</v>
      </c>
      <c r="AY585" s="2">
        <f t="shared" si="110"/>
        <v>0</v>
      </c>
      <c r="AZ585" s="2">
        <f>AU585*0.5+AK585*0.5</f>
        <v>0.12996464190335366</v>
      </c>
      <c r="BA585" s="2">
        <f>AV585*0.5+AJ585*0.5</f>
        <v>4.4329053076917729E-2</v>
      </c>
      <c r="BB585" s="2">
        <f t="shared" si="111"/>
        <v>0.28540500297796306</v>
      </c>
      <c r="BC585">
        <f>IF(I585="expected",1,0)</f>
        <v>1</v>
      </c>
      <c r="BD585" s="78">
        <f>IF(BC585=1,AZ585/SUMIFS(AZ$3:AZ$623,$BC$3:$BC$623,1,$G$3:$G$623,$G585),0)</f>
        <v>7.0460607513756629E-2</v>
      </c>
      <c r="BE585" s="78">
        <f>IF(BC585=1,BA585/SUMIFS(BA$3:BA$623,$BC$3:$BC$623,1,$G$3:$G$623,$G585),0)</f>
        <v>5.4054390184799087E-2</v>
      </c>
      <c r="BF585" s="78">
        <f t="shared" si="112"/>
        <v>4.9116329072484075E-2</v>
      </c>
      <c r="BG585" s="2">
        <f t="shared" si="113"/>
        <v>0.28540500297796306</v>
      </c>
      <c r="BH585" s="2">
        <f t="shared" si="114"/>
        <v>0</v>
      </c>
      <c r="BI585" s="2">
        <f t="shared" si="115"/>
        <v>7.0460607513756629E-2</v>
      </c>
      <c r="BJ585" s="2">
        <f t="shared" si="116"/>
        <v>5.4054390184799087E-2</v>
      </c>
      <c r="BK585" s="2">
        <f t="shared" si="117"/>
        <v>4.9116329072484075E-2</v>
      </c>
      <c r="BL585" s="2">
        <f t="shared" si="118"/>
        <v>0.28540500297796306</v>
      </c>
      <c r="BM585" s="2">
        <f t="shared" si="119"/>
        <v>0</v>
      </c>
      <c r="BN585" s="2">
        <f>BI585/SUMIFS(BI$3:BI$623,$BC$3:$BC$623,1,$G$3:$G$623,$G585)</f>
        <v>7.0460607513756657E-2</v>
      </c>
      <c r="BO585" s="2">
        <f>BJ585/SUMIFS(BJ$3:BJ$623,$BC$3:$BC$623,1,$G$3:$G$623,$G585)</f>
        <v>5.4054390184799073E-2</v>
      </c>
      <c r="BP585" s="2">
        <f>BK585/SUMIFS(BK$3:BK$623,$BC$3:$BC$623,1,$G$3:$G$623,$G585)</f>
        <v>4.9116329072484075E-2</v>
      </c>
      <c r="BQ585" s="2">
        <f>BL585</f>
        <v>0.28540500297796306</v>
      </c>
      <c r="BR585" s="2">
        <f>BM585</f>
        <v>0</v>
      </c>
    </row>
    <row r="586" spans="1:70" hidden="1">
      <c r="A586" s="74">
        <v>0</v>
      </c>
      <c r="B586" s="73">
        <v>222102</v>
      </c>
      <c r="C586" s="73" t="s">
        <v>3309</v>
      </c>
      <c r="D586" s="73" t="s">
        <v>1736</v>
      </c>
      <c r="E586" s="73" t="s">
        <v>3310</v>
      </c>
      <c r="F586" s="73">
        <v>18643</v>
      </c>
      <c r="G586" s="73" t="s">
        <v>878</v>
      </c>
      <c r="H586" s="73" t="s">
        <v>911</v>
      </c>
      <c r="I586" s="73" t="s">
        <v>1012</v>
      </c>
      <c r="J586" s="73">
        <v>0</v>
      </c>
      <c r="K586" s="73">
        <v>4</v>
      </c>
      <c r="L586" s="73">
        <v>0</v>
      </c>
      <c r="M586" s="73">
        <v>0</v>
      </c>
      <c r="N586" s="73">
        <v>0</v>
      </c>
      <c r="O586" s="73" t="s">
        <v>1290</v>
      </c>
      <c r="P586" s="73" t="s">
        <v>3311</v>
      </c>
      <c r="Q586" s="73" t="s">
        <v>436</v>
      </c>
      <c r="R586" s="73">
        <v>3</v>
      </c>
      <c r="S586" s="73">
        <v>1</v>
      </c>
      <c r="T586" s="73">
        <v>0</v>
      </c>
      <c r="U586" s="73">
        <v>3</v>
      </c>
      <c r="V586" s="73">
        <v>911</v>
      </c>
      <c r="W586" s="73">
        <v>6</v>
      </c>
      <c r="X586" s="73">
        <v>3</v>
      </c>
      <c r="Y586" s="73">
        <v>0</v>
      </c>
      <c r="Z586" s="73" t="s">
        <v>1734</v>
      </c>
      <c r="AA586" s="73" t="s">
        <v>690</v>
      </c>
      <c r="AB586" s="73" t="str">
        <f>IF(AA586&lt;&gt;"",INDEX(Lookup!$N$2:$N$5,MATCH(Players!AA586,Lookup!$P$2:$P$5,0)),INDEX(Lookup!$N$2:$N$5,MATCH(Players!O586,Lookup!$O$2:$O$5,0)))</f>
        <v>Goalkeeper</v>
      </c>
      <c r="AC586" s="73">
        <v>3000000</v>
      </c>
      <c r="AD586" s="73" t="s">
        <v>790</v>
      </c>
      <c r="AE586" s="73" t="str">
        <f>INDEX('Translate table'!$H$2:$H$622,MATCH(Players!P586,'Translate table'!$G$2:$G$622,0))</f>
        <v>DÃ¡niel Gazdag</v>
      </c>
      <c r="AF586" s="73">
        <f>IFERROR(INDEX('Euro Qual stats'!$A$1:$L$2071,MATCH(Players!$AE586,'Euro Qual stats'!$A$1:$A$2071,0),MATCH(Players!AF$2,'Euro Qual stats'!$A$1:$L$1,0)),0)</f>
        <v>1</v>
      </c>
      <c r="AG586" s="73">
        <f>IFERROR(INDEX('Euro Qual stats'!$A$1:$L$2071,MATCH(Players!$AE586,'Euro Qual stats'!$A$1:$A$2071,0),MATCH(Players!AG$2,'Euro Qual stats'!$A$1:$L$1,0)),0)</f>
        <v>0</v>
      </c>
      <c r="AH586" s="73">
        <f>IFERROR(INDEX('Euro Qual stats'!$A$1:$L$2071,MATCH(Players!$AE586,'Euro Qual stats'!$A$1:$A$2071,0),MATCH(Players!AH$2,'Euro Qual stats'!$A$1:$L$1,0)),0)</f>
        <v>0</v>
      </c>
      <c r="AI586" s="73">
        <f>IFERROR(INDEX('Euro Qual stats'!$A$1:$L$2071,MATCH(Players!$AE586,'Euro Qual stats'!$A$1:$A$2071,0),MATCH(Players!AI$2,'Euro Qual stats'!$A$1:$L$1,0)),0)</f>
        <v>11.25</v>
      </c>
      <c r="AJ586" s="93">
        <f>(12-AF586)/12*INDEX(BV$9:BV$12,MATCH($AB586,$BU$9:$BU$12,0))+AF586/12*AG586</f>
        <v>0</v>
      </c>
      <c r="AK586" s="93">
        <f>(12-AG586)/12*INDEX(BW$9:BW$12,MATCH($AB586,$BU$9:$BU$12,0))+AG586/12*AH586</f>
        <v>0</v>
      </c>
      <c r="AL586" s="93">
        <f>(12-AH586)/12*INDEX(BX$9:BX$12,MATCH($AB586,$BU$9:$BU$12,0))+AH586/12*AI586</f>
        <v>0</v>
      </c>
      <c r="AM586" s="93">
        <f>IF($BC586=1,AJ586/SUMIFS(AJ$3:AJ$623,$BC$3:$BC$623,1,$G$3:$G$623,$G586),0)</f>
        <v>0</v>
      </c>
      <c r="AN586" s="93">
        <f>IF($BC586=1,AK586/SUMIFS(AK$3:AK$623,$BC$3:$BC$623,1,$G$3:$G$623,$G586),0)</f>
        <v>0</v>
      </c>
      <c r="AO586" s="93">
        <f>IF($BC586=1,AL586/SUMIFS(AL$3:AL$623,$BC$3:$BC$623,1,$G$3:$G$623,$G586),0)</f>
        <v>0</v>
      </c>
      <c r="AP586" s="2">
        <f>IFERROR(R586/$V586*90,"")</f>
        <v>0.29637760702524696</v>
      </c>
      <c r="AQ586" s="2">
        <f>IFERROR(S586/$V586*90,"")</f>
        <v>9.8792535675082324E-2</v>
      </c>
      <c r="AR586" s="2">
        <f>IFERROR(W586/$V586*90,"")</f>
        <v>0.59275521405049392</v>
      </c>
      <c r="AS586" s="2">
        <f>IFERROR(X586/$V586*90,"")</f>
        <v>0.29637760702524696</v>
      </c>
      <c r="AT586" s="2">
        <f>IFERROR(Y586/$V586*90,"")</f>
        <v>0</v>
      </c>
      <c r="AU586" s="2">
        <f>IF(AP586="",INDEX(BV$4:BV$7,MATCH(O586,$BU$4:$BU$7,0)),AP586)</f>
        <v>0.29637760702524696</v>
      </c>
      <c r="AV586" s="2">
        <f>IF(AQ586="",INDEX(BW$4:BW$7,MATCH($O586,$BU$4:$BU$7,0)),AQ586)</f>
        <v>9.8792535675082324E-2</v>
      </c>
      <c r="AW586" s="2">
        <f t="shared" si="108"/>
        <v>0.59275521405049392</v>
      </c>
      <c r="AX586" s="2">
        <f t="shared" si="109"/>
        <v>0.29637760702524696</v>
      </c>
      <c r="AY586" s="2">
        <f t="shared" si="110"/>
        <v>0</v>
      </c>
      <c r="AZ586" s="2">
        <f>AU586*0.5+AK586*0.5</f>
        <v>0.14818880351262348</v>
      </c>
      <c r="BA586" s="2">
        <f>AV586*0.5+AJ586*0.5</f>
        <v>4.9396267837541162E-2</v>
      </c>
      <c r="BB586" s="2">
        <f t="shared" si="111"/>
        <v>5.7731888035126238</v>
      </c>
      <c r="BC586">
        <f>IF(I586="expected",1,0)</f>
        <v>0</v>
      </c>
      <c r="BD586" s="78">
        <f>IF(BC586=1,AZ586/SUMIFS(AZ$3:AZ$623,$BC$3:$BC$623,1,$G$3:$G$623,$G586),0)</f>
        <v>0</v>
      </c>
      <c r="BE586" s="78">
        <f>IF(BC586=1,BA586/SUMIFS(BA$3:BA$623,$BC$3:$BC$623,1,$G$3:$G$623,$G586),0)</f>
        <v>0</v>
      </c>
      <c r="BF586" s="78">
        <f t="shared" si="112"/>
        <v>0</v>
      </c>
      <c r="BG586" s="2">
        <f t="shared" si="113"/>
        <v>5.7731888035126238</v>
      </c>
      <c r="BH586" s="2">
        <f t="shared" si="114"/>
        <v>0</v>
      </c>
      <c r="BI586" s="2">
        <f t="shared" si="115"/>
        <v>0</v>
      </c>
      <c r="BJ586" s="2">
        <f t="shared" si="116"/>
        <v>0</v>
      </c>
      <c r="BK586" s="2">
        <f t="shared" si="117"/>
        <v>0</v>
      </c>
      <c r="BL586" s="2">
        <f t="shared" si="118"/>
        <v>5.7731888035126238</v>
      </c>
      <c r="BM586" s="2">
        <f t="shared" si="119"/>
        <v>0</v>
      </c>
      <c r="BN586" s="2">
        <f>BI586/SUMIFS(BI$3:BI$623,$BC$3:$BC$623,1,$G$3:$G$623,$G586)</f>
        <v>0</v>
      </c>
      <c r="BO586" s="2">
        <f>BJ586/SUMIFS(BJ$3:BJ$623,$BC$3:$BC$623,1,$G$3:$G$623,$G586)</f>
        <v>0</v>
      </c>
      <c r="BP586" s="2">
        <f>BK586/SUMIFS(BK$3:BK$623,$BC$3:$BC$623,1,$G$3:$G$623,$G586)</f>
        <v>0</v>
      </c>
      <c r="BQ586" s="2">
        <f>BL586</f>
        <v>5.7731888035126238</v>
      </c>
      <c r="BR586" s="2">
        <f>BM586</f>
        <v>0</v>
      </c>
    </row>
    <row r="587" spans="1:70" hidden="1">
      <c r="A587" s="74">
        <v>0</v>
      </c>
      <c r="B587" s="73">
        <v>221506</v>
      </c>
      <c r="C587" s="73" t="s">
        <v>3312</v>
      </c>
      <c r="D587" s="73" t="s">
        <v>3313</v>
      </c>
      <c r="E587" s="73" t="s">
        <v>3314</v>
      </c>
      <c r="F587" s="73">
        <v>18648</v>
      </c>
      <c r="G587" s="73" t="s">
        <v>896</v>
      </c>
      <c r="H587" s="73" t="s">
        <v>929</v>
      </c>
      <c r="I587" s="73" t="s">
        <v>1012</v>
      </c>
      <c r="J587" s="73">
        <v>0</v>
      </c>
      <c r="K587" s="73">
        <v>4</v>
      </c>
      <c r="L587" s="73">
        <v>0</v>
      </c>
      <c r="M587" s="73">
        <v>0</v>
      </c>
      <c r="N587" s="73">
        <v>0</v>
      </c>
      <c r="O587" s="73" t="s">
        <v>1290</v>
      </c>
      <c r="P587" s="73" t="s">
        <v>3315</v>
      </c>
      <c r="Q587" s="73" t="s">
        <v>2946</v>
      </c>
      <c r="R587" s="73">
        <v>7</v>
      </c>
      <c r="S587" s="73">
        <v>2</v>
      </c>
      <c r="T587" s="73">
        <v>0</v>
      </c>
      <c r="U587" s="73">
        <v>3</v>
      </c>
      <c r="V587" s="73">
        <v>2343</v>
      </c>
      <c r="W587" s="73">
        <v>20</v>
      </c>
      <c r="X587" s="73">
        <v>8</v>
      </c>
      <c r="Y587" s="73">
        <v>0</v>
      </c>
      <c r="Z587" s="73" t="s">
        <v>2927</v>
      </c>
      <c r="AA587" s="73" t="s">
        <v>690</v>
      </c>
      <c r="AB587" s="73" t="str">
        <f>IF(AA587&lt;&gt;"",INDEX(Lookup!$N$2:$N$5,MATCH(Players!AA587,Lookup!$P$2:$P$5,0)),INDEX(Lookup!$N$2:$N$5,MATCH(Players!O587,Lookup!$O$2:$O$5,0)))</f>
        <v>Goalkeeper</v>
      </c>
      <c r="AC587" s="73">
        <v>3000000</v>
      </c>
      <c r="AD587" s="73" t="s">
        <v>788</v>
      </c>
      <c r="AE587" s="73" t="str">
        <f>INDEX('Translate table'!$H$2:$H$622,MATCH(Players!P587,'Translate table'!$G$2:$G$622,0))</f>
        <v>DuÅ¡an Kuciak</v>
      </c>
      <c r="AF587" s="73">
        <f>IFERROR(INDEX('Euro Qual stats'!$A$1:$L$2071,MATCH(Players!$AE587,'Euro Qual stats'!$A$1:$A$2071,0),MATCH(Players!AF$2,'Euro Qual stats'!$A$1:$L$1,0)),0)</f>
        <v>0</v>
      </c>
      <c r="AG587" s="73">
        <f>IFERROR(INDEX('Euro Qual stats'!$A$1:$L$2071,MATCH(Players!$AE587,'Euro Qual stats'!$A$1:$A$2071,0),MATCH(Players!AG$2,'Euro Qual stats'!$A$1:$L$1,0)),0)</f>
        <v>0</v>
      </c>
      <c r="AH587" s="73">
        <f>IFERROR(INDEX('Euro Qual stats'!$A$1:$L$2071,MATCH(Players!$AE587,'Euro Qual stats'!$A$1:$A$2071,0),MATCH(Players!AH$2,'Euro Qual stats'!$A$1:$L$1,0)),0)</f>
        <v>0</v>
      </c>
      <c r="AI587" s="73">
        <f>IFERROR(INDEX('Euro Qual stats'!$A$1:$L$2071,MATCH(Players!$AE587,'Euro Qual stats'!$A$1:$A$2071,0),MATCH(Players!AI$2,'Euro Qual stats'!$A$1:$L$1,0)),0)</f>
        <v>0</v>
      </c>
      <c r="AJ587" s="93">
        <f>(12-AF587)/12*INDEX(BV$9:BV$12,MATCH($AB587,$BU$9:$BU$12,0))+AF587/12*AG587</f>
        <v>0</v>
      </c>
      <c r="AK587" s="93">
        <f>(12-AG587)/12*INDEX(BW$9:BW$12,MATCH($AB587,$BU$9:$BU$12,0))+AG587/12*AH587</f>
        <v>0</v>
      </c>
      <c r="AL587" s="93">
        <f>(12-AH587)/12*INDEX(BX$9:BX$12,MATCH($AB587,$BU$9:$BU$12,0))+AH587/12*AI587</f>
        <v>0</v>
      </c>
      <c r="AM587" s="93">
        <f>IF($BC587=1,AJ587/SUMIFS(AJ$3:AJ$623,$BC$3:$BC$623,1,$G$3:$G$623,$G587),0)</f>
        <v>0</v>
      </c>
      <c r="AN587" s="93">
        <f>IF($BC587=1,AK587/SUMIFS(AK$3:AK$623,$BC$3:$BC$623,1,$G$3:$G$623,$G587),0)</f>
        <v>0</v>
      </c>
      <c r="AO587" s="93">
        <f>IF($BC587=1,AL587/SUMIFS(AL$3:AL$623,$BC$3:$BC$623,1,$G$3:$G$623,$G587),0)</f>
        <v>0</v>
      </c>
      <c r="AP587" s="2">
        <f>IFERROR(R587/$V587*90,"")</f>
        <v>0.26888604353393086</v>
      </c>
      <c r="AQ587" s="2">
        <f>IFERROR(S587/$V587*90,"")</f>
        <v>7.6824583866837395E-2</v>
      </c>
      <c r="AR587" s="2">
        <f>IFERROR(W587/$V587*90,"")</f>
        <v>0.76824583866837393</v>
      </c>
      <c r="AS587" s="2">
        <f>IFERROR(X587/$V587*90,"")</f>
        <v>0.30729833546734958</v>
      </c>
      <c r="AT587" s="2">
        <f>IFERROR(Y587/$V587*90,"")</f>
        <v>0</v>
      </c>
      <c r="AU587" s="2">
        <f>IF(AP587="",INDEX(BV$4:BV$7,MATCH(O587,$BU$4:$BU$7,0)),AP587)</f>
        <v>0.26888604353393086</v>
      </c>
      <c r="AV587" s="2">
        <f>IF(AQ587="",INDEX(BW$4:BW$7,MATCH($O587,$BU$4:$BU$7,0)),AQ587)</f>
        <v>7.6824583866837395E-2</v>
      </c>
      <c r="AW587" s="2">
        <f t="shared" si="108"/>
        <v>0.76824583866837393</v>
      </c>
      <c r="AX587" s="2">
        <f t="shared" si="109"/>
        <v>0.30729833546734958</v>
      </c>
      <c r="AY587" s="2">
        <f t="shared" si="110"/>
        <v>0</v>
      </c>
      <c r="AZ587" s="2">
        <f>AU587*0.5+AK587*0.5</f>
        <v>0.13444302176696543</v>
      </c>
      <c r="BA587" s="2">
        <f>AV587*0.5+AJ587*0.5</f>
        <v>3.8412291933418698E-2</v>
      </c>
      <c r="BB587" s="2">
        <f t="shared" si="111"/>
        <v>0.15364916773367479</v>
      </c>
      <c r="BC587">
        <f>IF(I587="expected",1,0)</f>
        <v>0</v>
      </c>
      <c r="BD587" s="78">
        <f>IF(BC587=1,AZ587/SUMIFS(AZ$3:AZ$623,$BC$3:$BC$623,1,$G$3:$G$623,$G587),0)</f>
        <v>0</v>
      </c>
      <c r="BE587" s="78">
        <f>IF(BC587=1,BA587/SUMIFS(BA$3:BA$623,$BC$3:$BC$623,1,$G$3:$G$623,$G587),0)</f>
        <v>0</v>
      </c>
      <c r="BF587" s="78">
        <f t="shared" si="112"/>
        <v>0</v>
      </c>
      <c r="BG587" s="2">
        <f t="shared" si="113"/>
        <v>0.15364916773367479</v>
      </c>
      <c r="BH587" s="2">
        <f t="shared" si="114"/>
        <v>0</v>
      </c>
      <c r="BI587" s="2">
        <f t="shared" si="115"/>
        <v>0</v>
      </c>
      <c r="BJ587" s="2">
        <f t="shared" si="116"/>
        <v>0</v>
      </c>
      <c r="BK587" s="2">
        <f t="shared" si="117"/>
        <v>0</v>
      </c>
      <c r="BL587" s="2">
        <f t="shared" si="118"/>
        <v>0.15364916773367479</v>
      </c>
      <c r="BM587" s="2">
        <f t="shared" si="119"/>
        <v>0</v>
      </c>
      <c r="BN587" s="2">
        <f>BI587/SUMIFS(BI$3:BI$623,$BC$3:$BC$623,1,$G$3:$G$623,$G587)</f>
        <v>0</v>
      </c>
      <c r="BO587" s="2">
        <f>BJ587/SUMIFS(BJ$3:BJ$623,$BC$3:$BC$623,1,$G$3:$G$623,$G587)</f>
        <v>0</v>
      </c>
      <c r="BP587" s="2">
        <f>BK587/SUMIFS(BK$3:BK$623,$BC$3:$BC$623,1,$G$3:$G$623,$G587)</f>
        <v>0</v>
      </c>
      <c r="BQ587" s="2">
        <f>BL587</f>
        <v>0.15364916773367479</v>
      </c>
      <c r="BR587" s="2">
        <f>BM587</f>
        <v>0</v>
      </c>
    </row>
    <row r="588" spans="1:70" hidden="1">
      <c r="A588" s="74">
        <v>0</v>
      </c>
      <c r="B588" s="73">
        <v>213459</v>
      </c>
      <c r="C588" s="73" t="s">
        <v>3316</v>
      </c>
      <c r="D588" s="73" t="s">
        <v>1264</v>
      </c>
      <c r="E588" s="73" t="s">
        <v>3317</v>
      </c>
      <c r="F588" s="73">
        <v>18648</v>
      </c>
      <c r="G588" s="73" t="s">
        <v>896</v>
      </c>
      <c r="H588" s="73" t="s">
        <v>929</v>
      </c>
      <c r="I588" s="73" t="s">
        <v>981</v>
      </c>
      <c r="J588" s="73">
        <v>0</v>
      </c>
      <c r="K588" s="73">
        <v>4</v>
      </c>
      <c r="L588" s="73">
        <v>0</v>
      </c>
      <c r="M588" s="73">
        <v>0</v>
      </c>
      <c r="N588" s="73">
        <v>0</v>
      </c>
      <c r="O588" s="73" t="s">
        <v>1290</v>
      </c>
      <c r="P588" s="73" t="s">
        <v>3318</v>
      </c>
      <c r="Q588" s="73" t="s">
        <v>42</v>
      </c>
      <c r="R588" s="73">
        <v>0</v>
      </c>
      <c r="S588" s="73">
        <v>0</v>
      </c>
      <c r="T588" s="73">
        <v>45</v>
      </c>
      <c r="U588" s="73">
        <v>3</v>
      </c>
      <c r="V588" s="73">
        <v>1170</v>
      </c>
      <c r="W588" s="73">
        <v>0</v>
      </c>
      <c r="X588" s="73">
        <v>0</v>
      </c>
      <c r="Y588" s="73">
        <v>0</v>
      </c>
      <c r="Z588" s="73" t="s">
        <v>2927</v>
      </c>
      <c r="AA588" s="73" t="s">
        <v>690</v>
      </c>
      <c r="AB588" s="73" t="str">
        <f>IF(AA588&lt;&gt;"",INDEX(Lookup!$N$2:$N$5,MATCH(Players!AA588,Lookup!$P$2:$P$5,0)),INDEX(Lookup!$N$2:$N$5,MATCH(Players!O588,Lookup!$O$2:$O$5,0)))</f>
        <v>Goalkeeper</v>
      </c>
      <c r="AC588" s="73">
        <v>3000000</v>
      </c>
      <c r="AD588" s="73" t="s">
        <v>789</v>
      </c>
      <c r="AE588" s="73" t="str">
        <f>INDEX('Translate table'!$H$2:$H$622,MATCH(Players!P588,'Translate table'!$G$2:$G$622,0))</f>
        <v>Martin DÃºbravka</v>
      </c>
      <c r="AF588" s="73">
        <f>IFERROR(INDEX('Euro Qual stats'!$A$1:$L$2071,MATCH(Players!$AE588,'Euro Qual stats'!$A$1:$A$2071,0),MATCH(Players!AF$2,'Euro Qual stats'!$A$1:$L$1,0)),0)</f>
        <v>8</v>
      </c>
      <c r="AG588" s="73">
        <f>IFERROR(INDEX('Euro Qual stats'!$A$1:$L$2071,MATCH(Players!$AE588,'Euro Qual stats'!$A$1:$A$2071,0),MATCH(Players!AG$2,'Euro Qual stats'!$A$1:$L$1,0)),0)</f>
        <v>0</v>
      </c>
      <c r="AH588" s="73">
        <f>IFERROR(INDEX('Euro Qual stats'!$A$1:$L$2071,MATCH(Players!$AE588,'Euro Qual stats'!$A$1:$A$2071,0),MATCH(Players!AH$2,'Euro Qual stats'!$A$1:$L$1,0)),0)</f>
        <v>0</v>
      </c>
      <c r="AI588" s="73">
        <f>IFERROR(INDEX('Euro Qual stats'!$A$1:$L$2071,MATCH(Players!$AE588,'Euro Qual stats'!$A$1:$A$2071,0),MATCH(Players!AI$2,'Euro Qual stats'!$A$1:$L$1,0)),0)</f>
        <v>0.13</v>
      </c>
      <c r="AJ588" s="93">
        <f>(12-AF588)/12*INDEX(BV$9:BV$12,MATCH($AB588,$BU$9:$BU$12,0))+AF588/12*AG588</f>
        <v>0</v>
      </c>
      <c r="AK588" s="93">
        <f>(12-AG588)/12*INDEX(BW$9:BW$12,MATCH($AB588,$BU$9:$BU$12,0))+AG588/12*AH588</f>
        <v>0</v>
      </c>
      <c r="AL588" s="93">
        <f>(12-AH588)/12*INDEX(BX$9:BX$12,MATCH($AB588,$BU$9:$BU$12,0))+AH588/12*AI588</f>
        <v>0</v>
      </c>
      <c r="AM588" s="93">
        <f>IF($BC588=1,AJ588/SUMIFS(AJ$3:AJ$623,$BC$3:$BC$623,1,$G$3:$G$623,$G588),0)</f>
        <v>0</v>
      </c>
      <c r="AN588" s="93">
        <f>IF($BC588=1,AK588/SUMIFS(AK$3:AK$623,$BC$3:$BC$623,1,$G$3:$G$623,$G588),0)</f>
        <v>0</v>
      </c>
      <c r="AO588" s="93">
        <f>IF($BC588=1,AL588/SUMIFS(AL$3:AL$623,$BC$3:$BC$623,1,$G$3:$G$623,$G588),0)</f>
        <v>0</v>
      </c>
      <c r="AP588" s="2">
        <f>IFERROR(R588/$V588*90,"")</f>
        <v>0</v>
      </c>
      <c r="AQ588" s="2">
        <f>IFERROR(S588/$V588*90,"")</f>
        <v>0</v>
      </c>
      <c r="AR588" s="2">
        <f>IFERROR(W588/$V588*90,"")</f>
        <v>0</v>
      </c>
      <c r="AS588" s="2">
        <f>IFERROR(X588/$V588*90,"")</f>
        <v>0</v>
      </c>
      <c r="AT588" s="2">
        <f>IFERROR(Y588/$V588*90,"")</f>
        <v>0</v>
      </c>
      <c r="AU588" s="2">
        <f>IF(AP588="",INDEX(BV$4:BV$7,MATCH(O588,$BU$4:$BU$7,0)),AP588)</f>
        <v>0</v>
      </c>
      <c r="AV588" s="2">
        <f>IF(AQ588="",INDEX(BW$4:BW$7,MATCH($O588,$BU$4:$BU$7,0)),AQ588)</f>
        <v>0</v>
      </c>
      <c r="AW588" s="2">
        <f t="shared" si="108"/>
        <v>0</v>
      </c>
      <c r="AX588" s="2">
        <f t="shared" si="109"/>
        <v>0</v>
      </c>
      <c r="AY588" s="2">
        <f t="shared" si="110"/>
        <v>0</v>
      </c>
      <c r="AZ588" s="2">
        <f>AU588*0.5+AK588*0.5</f>
        <v>0</v>
      </c>
      <c r="BA588" s="2">
        <f>AV588*0.5+AJ588*0.5</f>
        <v>0</v>
      </c>
      <c r="BB588" s="2">
        <f t="shared" si="111"/>
        <v>6.5000000000000002E-2</v>
      </c>
      <c r="BC588">
        <f>IF(I588="expected",1,0)</f>
        <v>1</v>
      </c>
      <c r="BD588" s="78">
        <f>IF(BC588=1,AZ588/SUMIFS(AZ$3:AZ$623,$BC$3:$BC$623,1,$G$3:$G$623,$G588),0)</f>
        <v>0</v>
      </c>
      <c r="BE588" s="78">
        <f>IF(BC588=1,BA588/SUMIFS(BA$3:BA$623,$BC$3:$BC$623,1,$G$3:$G$623,$G588),0)</f>
        <v>0</v>
      </c>
      <c r="BF588" s="78">
        <f t="shared" si="112"/>
        <v>0</v>
      </c>
      <c r="BG588" s="2">
        <f t="shared" si="113"/>
        <v>6.5000000000000002E-2</v>
      </c>
      <c r="BH588" s="2">
        <f t="shared" si="114"/>
        <v>0</v>
      </c>
      <c r="BI588" s="2">
        <f t="shared" si="115"/>
        <v>0</v>
      </c>
      <c r="BJ588" s="2">
        <f t="shared" si="116"/>
        <v>0</v>
      </c>
      <c r="BK588" s="2">
        <f t="shared" si="117"/>
        <v>0</v>
      </c>
      <c r="BL588" s="2">
        <f t="shared" si="118"/>
        <v>6.5000000000000002E-2</v>
      </c>
      <c r="BM588" s="2">
        <f t="shared" si="119"/>
        <v>0</v>
      </c>
      <c r="BN588" s="2">
        <f>BI588/SUMIFS(BI$3:BI$623,$BC$3:$BC$623,1,$G$3:$G$623,$G588)</f>
        <v>0</v>
      </c>
      <c r="BO588" s="2">
        <f>BJ588/SUMIFS(BJ$3:BJ$623,$BC$3:$BC$623,1,$G$3:$G$623,$G588)</f>
        <v>0</v>
      </c>
      <c r="BP588" s="2">
        <f>BK588/SUMIFS(BK$3:BK$623,$BC$3:$BC$623,1,$G$3:$G$623,$G588)</f>
        <v>0</v>
      </c>
      <c r="BQ588" s="2">
        <f>BL588</f>
        <v>6.5000000000000002E-2</v>
      </c>
      <c r="BR588" s="2">
        <f>BM588</f>
        <v>0</v>
      </c>
    </row>
    <row r="589" spans="1:70" hidden="1">
      <c r="A589" s="74">
        <v>0</v>
      </c>
      <c r="B589" s="73">
        <v>204906</v>
      </c>
      <c r="C589" s="73" t="s">
        <v>3319</v>
      </c>
      <c r="D589" s="73" t="s">
        <v>2933</v>
      </c>
      <c r="E589" s="73" t="s">
        <v>3320</v>
      </c>
      <c r="F589" s="73">
        <v>18648</v>
      </c>
      <c r="G589" s="73" t="s">
        <v>896</v>
      </c>
      <c r="H589" s="73" t="s">
        <v>929</v>
      </c>
      <c r="I589" s="73" t="s">
        <v>1012</v>
      </c>
      <c r="J589" s="73">
        <v>0</v>
      </c>
      <c r="K589" s="73">
        <v>4</v>
      </c>
      <c r="L589" s="73">
        <v>0</v>
      </c>
      <c r="M589" s="73">
        <v>0</v>
      </c>
      <c r="N589" s="73">
        <v>0</v>
      </c>
      <c r="O589" s="73" t="s">
        <v>1290</v>
      </c>
      <c r="P589" s="73" t="s">
        <v>3321</v>
      </c>
      <c r="Q589" s="73" t="s">
        <v>530</v>
      </c>
      <c r="R589" s="73">
        <v>0</v>
      </c>
      <c r="S589" s="73">
        <v>0</v>
      </c>
      <c r="T589" s="73">
        <v>4</v>
      </c>
      <c r="U589" s="73">
        <v>0</v>
      </c>
      <c r="V589" s="73">
        <v>180</v>
      </c>
      <c r="W589" s="73">
        <v>0</v>
      </c>
      <c r="X589" s="73">
        <v>0</v>
      </c>
      <c r="Y589" s="73">
        <v>0</v>
      </c>
      <c r="Z589" s="73" t="s">
        <v>2927</v>
      </c>
      <c r="AA589" s="73" t="s">
        <v>690</v>
      </c>
      <c r="AB589" s="73" t="str">
        <f>IF(AA589&lt;&gt;"",INDEX(Lookup!$N$2:$N$5,MATCH(Players!AA589,Lookup!$P$2:$P$5,0)),INDEX(Lookup!$N$2:$N$5,MATCH(Players!O589,Lookup!$O$2:$O$5,0)))</f>
        <v>Goalkeeper</v>
      </c>
      <c r="AC589" s="73">
        <v>3000000</v>
      </c>
      <c r="AD589" s="73" t="s">
        <v>788</v>
      </c>
      <c r="AE589" s="73" t="str">
        <f>INDEX('Translate table'!$H$2:$H$622,MATCH(Players!P589,'Translate table'!$G$2:$G$622,0))</f>
        <v>Marek RodÃ¡k</v>
      </c>
      <c r="AF589" s="73">
        <f>IFERROR(INDEX('Euro Qual stats'!$A$1:$L$2071,MATCH(Players!$AE589,'Euro Qual stats'!$A$1:$A$2071,0),MATCH(Players!AF$2,'Euro Qual stats'!$A$1:$L$1,0)),0)</f>
        <v>2</v>
      </c>
      <c r="AG589" s="73">
        <f>IFERROR(INDEX('Euro Qual stats'!$A$1:$L$2071,MATCH(Players!$AE589,'Euro Qual stats'!$A$1:$A$2071,0),MATCH(Players!AG$2,'Euro Qual stats'!$A$1:$L$1,0)),0)</f>
        <v>0</v>
      </c>
      <c r="AH589" s="73">
        <f>IFERROR(INDEX('Euro Qual stats'!$A$1:$L$2071,MATCH(Players!$AE589,'Euro Qual stats'!$A$1:$A$2071,0),MATCH(Players!AH$2,'Euro Qual stats'!$A$1:$L$1,0)),0)</f>
        <v>0</v>
      </c>
      <c r="AI589" s="73">
        <f>IFERROR(INDEX('Euro Qual stats'!$A$1:$L$2071,MATCH(Players!$AE589,'Euro Qual stats'!$A$1:$A$2071,0),MATCH(Players!AI$2,'Euro Qual stats'!$A$1:$L$1,0)),0)</f>
        <v>0.5</v>
      </c>
      <c r="AJ589" s="93">
        <f>(12-AF589)/12*INDEX(BV$9:BV$12,MATCH($AB589,$BU$9:$BU$12,0))+AF589/12*AG589</f>
        <v>0</v>
      </c>
      <c r="AK589" s="93">
        <f>(12-AG589)/12*INDEX(BW$9:BW$12,MATCH($AB589,$BU$9:$BU$12,0))+AG589/12*AH589</f>
        <v>0</v>
      </c>
      <c r="AL589" s="93">
        <f>(12-AH589)/12*INDEX(BX$9:BX$12,MATCH($AB589,$BU$9:$BU$12,0))+AH589/12*AI589</f>
        <v>0</v>
      </c>
      <c r="AM589" s="93">
        <f>IF($BC589=1,AJ589/SUMIFS(AJ$3:AJ$623,$BC$3:$BC$623,1,$G$3:$G$623,$G589),0)</f>
        <v>0</v>
      </c>
      <c r="AN589" s="93">
        <f>IF($BC589=1,AK589/SUMIFS(AK$3:AK$623,$BC$3:$BC$623,1,$G$3:$G$623,$G589),0)</f>
        <v>0</v>
      </c>
      <c r="AO589" s="93">
        <f>IF($BC589=1,AL589/SUMIFS(AL$3:AL$623,$BC$3:$BC$623,1,$G$3:$G$623,$G589),0)</f>
        <v>0</v>
      </c>
      <c r="AP589" s="2">
        <f>IFERROR(R589/$V589*90,"")</f>
        <v>0</v>
      </c>
      <c r="AQ589" s="2">
        <f>IFERROR(S589/$V589*90,"")</f>
        <v>0</v>
      </c>
      <c r="AR589" s="2">
        <f>IFERROR(W589/$V589*90,"")</f>
        <v>0</v>
      </c>
      <c r="AS589" s="2">
        <f>IFERROR(X589/$V589*90,"")</f>
        <v>0</v>
      </c>
      <c r="AT589" s="2">
        <f>IFERROR(Y589/$V589*90,"")</f>
        <v>0</v>
      </c>
      <c r="AU589" s="2">
        <f>IF(AP589="",INDEX(BV$4:BV$7,MATCH(O589,$BU$4:$BU$7,0)),AP589)</f>
        <v>0</v>
      </c>
      <c r="AV589" s="2">
        <f>IF(AQ589="",INDEX(BW$4:BW$7,MATCH($O589,$BU$4:$BU$7,0)),AQ589)</f>
        <v>0</v>
      </c>
      <c r="AW589" s="2">
        <f t="shared" si="108"/>
        <v>0</v>
      </c>
      <c r="AX589" s="2">
        <f t="shared" si="109"/>
        <v>0</v>
      </c>
      <c r="AY589" s="2">
        <f t="shared" si="110"/>
        <v>0</v>
      </c>
      <c r="AZ589" s="2">
        <f>AU589*0.5+AK589*0.5</f>
        <v>0</v>
      </c>
      <c r="BA589" s="2">
        <f>AV589*0.5+AJ589*0.5</f>
        <v>0</v>
      </c>
      <c r="BB589" s="2">
        <f t="shared" si="111"/>
        <v>0.25</v>
      </c>
      <c r="BC589">
        <f>IF(I589="expected",1,0)</f>
        <v>0</v>
      </c>
      <c r="BD589" s="78">
        <f>IF(BC589=1,AZ589/SUMIFS(AZ$3:AZ$623,$BC$3:$BC$623,1,$G$3:$G$623,$G589),0)</f>
        <v>0</v>
      </c>
      <c r="BE589" s="78">
        <f>IF(BC589=1,BA589/SUMIFS(BA$3:BA$623,$BC$3:$BC$623,1,$G$3:$G$623,$G589),0)</f>
        <v>0</v>
      </c>
      <c r="BF589" s="78">
        <f t="shared" si="112"/>
        <v>0</v>
      </c>
      <c r="BG589" s="2">
        <f t="shared" si="113"/>
        <v>0.25</v>
      </c>
      <c r="BH589" s="2">
        <f t="shared" si="114"/>
        <v>0</v>
      </c>
      <c r="BI589" s="2">
        <f t="shared" si="115"/>
        <v>0</v>
      </c>
      <c r="BJ589" s="2">
        <f t="shared" si="116"/>
        <v>0</v>
      </c>
      <c r="BK589" s="2">
        <f t="shared" si="117"/>
        <v>0</v>
      </c>
      <c r="BL589" s="2">
        <f t="shared" si="118"/>
        <v>0.25</v>
      </c>
      <c r="BM589" s="2">
        <f t="shared" si="119"/>
        <v>0</v>
      </c>
      <c r="BN589" s="2">
        <f>BI589/SUMIFS(BI$3:BI$623,$BC$3:$BC$623,1,$G$3:$G$623,$G589)</f>
        <v>0</v>
      </c>
      <c r="BO589" s="2">
        <f>BJ589/SUMIFS(BJ$3:BJ$623,$BC$3:$BC$623,1,$G$3:$G$623,$G589)</f>
        <v>0</v>
      </c>
      <c r="BP589" s="2">
        <f>BK589/SUMIFS(BK$3:BK$623,$BC$3:$BC$623,1,$G$3:$G$623,$G589)</f>
        <v>0</v>
      </c>
      <c r="BQ589" s="2">
        <f>BL589</f>
        <v>0.25</v>
      </c>
      <c r="BR589" s="2">
        <f>BM589</f>
        <v>0</v>
      </c>
    </row>
    <row r="590" spans="1:70" hidden="1">
      <c r="A590" s="74">
        <v>0</v>
      </c>
      <c r="B590" s="73">
        <v>223843</v>
      </c>
      <c r="C590" s="73" t="s">
        <v>3322</v>
      </c>
      <c r="D590" s="73" t="s">
        <v>1264</v>
      </c>
      <c r="E590" s="73" t="s">
        <v>3323</v>
      </c>
      <c r="F590" s="73">
        <v>18648</v>
      </c>
      <c r="G590" s="73" t="s">
        <v>896</v>
      </c>
      <c r="H590" s="73" t="s">
        <v>929</v>
      </c>
      <c r="I590" s="73" t="s">
        <v>1012</v>
      </c>
      <c r="J590" s="73">
        <v>0</v>
      </c>
      <c r="K590" s="73">
        <v>4</v>
      </c>
      <c r="L590" s="73">
        <v>0</v>
      </c>
      <c r="M590" s="73">
        <v>0</v>
      </c>
      <c r="N590" s="73">
        <v>0</v>
      </c>
      <c r="O590" s="73" t="s">
        <v>1318</v>
      </c>
      <c r="P590" s="73" t="s">
        <v>3324</v>
      </c>
      <c r="Q590" s="73" t="s">
        <v>118</v>
      </c>
      <c r="R590" s="73">
        <v>0</v>
      </c>
      <c r="S590" s="73">
        <v>0</v>
      </c>
      <c r="T590" s="73">
        <v>0</v>
      </c>
      <c r="U590" s="73">
        <v>0</v>
      </c>
      <c r="V590" s="73">
        <v>1</v>
      </c>
      <c r="W590" s="73">
        <v>0</v>
      </c>
      <c r="X590" s="73">
        <v>0</v>
      </c>
      <c r="Y590" s="73">
        <v>0</v>
      </c>
      <c r="Z590" s="73" t="s">
        <v>2927</v>
      </c>
      <c r="AA590" s="73" t="s">
        <v>692</v>
      </c>
      <c r="AB590" s="73" t="str">
        <f>IF(AA590&lt;&gt;"",INDEX(Lookup!$N$2:$N$5,MATCH(Players!AA590,Lookup!$P$2:$P$5,0)),INDEX(Lookup!$N$2:$N$5,MATCH(Players!O590,Lookup!$O$2:$O$5,0)))</f>
        <v>Defense</v>
      </c>
      <c r="AC590" s="73">
        <v>2000000</v>
      </c>
      <c r="AD590" s="73" t="s">
        <v>788</v>
      </c>
      <c r="AE590" s="73" t="str">
        <f>INDEX('Translate table'!$H$2:$H$622,MATCH(Players!P590,'Translate table'!$G$2:$G$622,0))</f>
        <v>Martin KoscelnÃ­k</v>
      </c>
      <c r="AF590" s="73">
        <f>IFERROR(INDEX('Euro Qual stats'!$A$1:$L$2071,MATCH(Players!$AE590,'Euro Qual stats'!$A$1:$A$2071,0),MATCH(Players!AF$2,'Euro Qual stats'!$A$1:$L$1,0)),0)</f>
        <v>0</v>
      </c>
      <c r="AG590" s="73">
        <f>IFERROR(INDEX('Euro Qual stats'!$A$1:$L$2071,MATCH(Players!$AE590,'Euro Qual stats'!$A$1:$A$2071,0),MATCH(Players!AG$2,'Euro Qual stats'!$A$1:$L$1,0)),0)</f>
        <v>0</v>
      </c>
      <c r="AH590" s="73">
        <f>IFERROR(INDEX('Euro Qual stats'!$A$1:$L$2071,MATCH(Players!$AE590,'Euro Qual stats'!$A$1:$A$2071,0),MATCH(Players!AH$2,'Euro Qual stats'!$A$1:$L$1,0)),0)</f>
        <v>0</v>
      </c>
      <c r="AI590" s="73">
        <f>IFERROR(INDEX('Euro Qual stats'!$A$1:$L$2071,MATCH(Players!$AE590,'Euro Qual stats'!$A$1:$A$2071,0),MATCH(Players!AI$2,'Euro Qual stats'!$A$1:$L$1,0)),0)</f>
        <v>0</v>
      </c>
      <c r="AJ590" s="93">
        <f>(12-AF590)/12*INDEX(BV$9:BV$12,MATCH($AB590,$BU$9:$BU$12,0))+AF590/12*AG590</f>
        <v>8.9175824175824203E-2</v>
      </c>
      <c r="AK590" s="93">
        <f>(12-AG590)/12*INDEX(BW$9:BW$12,MATCH($AB590,$BU$9:$BU$12,0))+AG590/12*AH590</f>
        <v>0.10357142857142858</v>
      </c>
      <c r="AL590" s="93">
        <f>(12-AH590)/12*INDEX(BX$9:BX$12,MATCH($AB590,$BU$9:$BU$12,0))+AH590/12*AI590</f>
        <v>0.19357142857142848</v>
      </c>
      <c r="AM590" s="93">
        <f>IF($BC590=1,AJ590/SUMIFS(AJ$3:AJ$623,$BC$3:$BC$623,1,$G$3:$G$623,$G590),0)</f>
        <v>0</v>
      </c>
      <c r="AN590" s="93">
        <f>IF($BC590=1,AK590/SUMIFS(AK$3:AK$623,$BC$3:$BC$623,1,$G$3:$G$623,$G590),0)</f>
        <v>0</v>
      </c>
      <c r="AO590" s="93">
        <f>IF($BC590=1,AL590/SUMIFS(AL$3:AL$623,$BC$3:$BC$623,1,$G$3:$G$623,$G590),0)</f>
        <v>0</v>
      </c>
      <c r="AP590" s="2">
        <f>IFERROR(R590/$V590*90,"")</f>
        <v>0</v>
      </c>
      <c r="AQ590" s="2">
        <f>IFERROR(S590/$V590*90,"")</f>
        <v>0</v>
      </c>
      <c r="AR590" s="2">
        <f>IFERROR(W590/$V590*90,"")</f>
        <v>0</v>
      </c>
      <c r="AS590" s="2">
        <f>IFERROR(X590/$V590*90,"")</f>
        <v>0</v>
      </c>
      <c r="AT590" s="2">
        <f>IFERROR(Y590/$V590*90,"")</f>
        <v>0</v>
      </c>
      <c r="AU590" s="2">
        <f>IF(AP590="",INDEX(BV$4:BV$7,MATCH(O590,$BU$4:$BU$7,0)),AP590)</f>
        <v>0</v>
      </c>
      <c r="AV590" s="2">
        <f>IF(AQ590="",INDEX(BW$4:BW$7,MATCH($O590,$BU$4:$BU$7,0)),AQ590)</f>
        <v>0</v>
      </c>
      <c r="AW590" s="2">
        <f t="shared" si="108"/>
        <v>0</v>
      </c>
      <c r="AX590" s="2">
        <f t="shared" si="109"/>
        <v>0</v>
      </c>
      <c r="AY590" s="2">
        <f t="shared" si="110"/>
        <v>0</v>
      </c>
      <c r="AZ590" s="2">
        <f>AU590*0.5+AK590*0.5</f>
        <v>5.1785714285714289E-2</v>
      </c>
      <c r="BA590" s="2">
        <f>AV590*0.5+AJ590*0.5</f>
        <v>4.4587912087912102E-2</v>
      </c>
      <c r="BB590" s="2">
        <f t="shared" si="111"/>
        <v>0</v>
      </c>
      <c r="BC590">
        <f>IF(I590="expected",1,0)</f>
        <v>0</v>
      </c>
      <c r="BD590" s="78">
        <f>IF(BC590=1,AZ590/SUMIFS(AZ$3:AZ$623,$BC$3:$BC$623,1,$G$3:$G$623,$G590),0)</f>
        <v>0</v>
      </c>
      <c r="BE590" s="78">
        <f>IF(BC590=1,BA590/SUMIFS(BA$3:BA$623,$BC$3:$BC$623,1,$G$3:$G$623,$G590),0)</f>
        <v>0</v>
      </c>
      <c r="BF590" s="78">
        <f t="shared" si="112"/>
        <v>0</v>
      </c>
      <c r="BG590" s="2">
        <f t="shared" si="113"/>
        <v>0</v>
      </c>
      <c r="BH590" s="2">
        <f t="shared" si="114"/>
        <v>0</v>
      </c>
      <c r="BI590" s="2">
        <f t="shared" si="115"/>
        <v>0</v>
      </c>
      <c r="BJ590" s="2">
        <f t="shared" si="116"/>
        <v>0</v>
      </c>
      <c r="BK590" s="2">
        <f t="shared" si="117"/>
        <v>0</v>
      </c>
      <c r="BL590" s="2">
        <f t="shared" si="118"/>
        <v>0</v>
      </c>
      <c r="BM590" s="2">
        <f t="shared" si="119"/>
        <v>0</v>
      </c>
      <c r="BN590" s="2">
        <f>BI590/SUMIFS(BI$3:BI$623,$BC$3:$BC$623,1,$G$3:$G$623,$G590)</f>
        <v>0</v>
      </c>
      <c r="BO590" s="2">
        <f>BJ590/SUMIFS(BJ$3:BJ$623,$BC$3:$BC$623,1,$G$3:$G$623,$G590)</f>
        <v>0</v>
      </c>
      <c r="BP590" s="2">
        <f>BK590/SUMIFS(BK$3:BK$623,$BC$3:$BC$623,1,$G$3:$G$623,$G590)</f>
        <v>0</v>
      </c>
      <c r="BQ590" s="2">
        <f>BL590</f>
        <v>0</v>
      </c>
      <c r="BR590" s="2">
        <f>BM590</f>
        <v>0</v>
      </c>
    </row>
    <row r="591" spans="1:70" hidden="1">
      <c r="A591" s="74">
        <v>0</v>
      </c>
      <c r="B591" s="73">
        <v>223571</v>
      </c>
      <c r="C591" s="73" t="s">
        <v>3325</v>
      </c>
      <c r="D591" s="73" t="s">
        <v>2136</v>
      </c>
      <c r="E591" s="73" t="s">
        <v>3326</v>
      </c>
      <c r="F591" s="73">
        <v>18648</v>
      </c>
      <c r="G591" s="73" t="s">
        <v>896</v>
      </c>
      <c r="H591" s="73" t="s">
        <v>929</v>
      </c>
      <c r="I591" s="73" t="s">
        <v>1012</v>
      </c>
      <c r="J591" s="73">
        <v>0</v>
      </c>
      <c r="K591" s="73">
        <v>4</v>
      </c>
      <c r="L591" s="73">
        <v>0</v>
      </c>
      <c r="M591" s="73">
        <v>0</v>
      </c>
      <c r="N591" s="73">
        <v>0</v>
      </c>
      <c r="O591" s="73" t="s">
        <v>1318</v>
      </c>
      <c r="P591" s="73" t="s">
        <v>3327</v>
      </c>
      <c r="Q591" s="73" t="s">
        <v>3327</v>
      </c>
      <c r="R591" s="73">
        <v>0</v>
      </c>
      <c r="S591" s="73">
        <v>0</v>
      </c>
      <c r="T591" s="73">
        <v>0</v>
      </c>
      <c r="U591" s="73">
        <v>2</v>
      </c>
      <c r="V591" s="73">
        <v>645</v>
      </c>
      <c r="W591" s="73">
        <v>2</v>
      </c>
      <c r="X591" s="73">
        <v>1</v>
      </c>
      <c r="Y591" s="73">
        <v>0</v>
      </c>
      <c r="Z591" s="73" t="s">
        <v>2927</v>
      </c>
      <c r="AA591" s="73" t="s">
        <v>692</v>
      </c>
      <c r="AB591" s="73" t="str">
        <f>IF(AA591&lt;&gt;"",INDEX(Lookup!$N$2:$N$5,MATCH(Players!AA591,Lookup!$P$2:$P$5,0)),INDEX(Lookup!$N$2:$N$5,MATCH(Players!O591,Lookup!$O$2:$O$5,0)))</f>
        <v>Defense</v>
      </c>
      <c r="AC591" s="73">
        <v>2000000</v>
      </c>
      <c r="AD591" s="73" t="s">
        <v>789</v>
      </c>
      <c r="AE591" s="73" t="str">
        <f>INDEX('Translate table'!$H$2:$H$622,MATCH(Players!P591,'Translate table'!$G$2:$G$622,0))</f>
        <v>Denis Vavro</v>
      </c>
      <c r="AF591" s="73">
        <f>IFERROR(INDEX('Euro Qual stats'!$A$1:$L$2071,MATCH(Players!$AE591,'Euro Qual stats'!$A$1:$A$2071,0),MATCH(Players!AF$2,'Euro Qual stats'!$A$1:$L$1,0)),0)</f>
        <v>7</v>
      </c>
      <c r="AG591" s="73">
        <f>IFERROR(INDEX('Euro Qual stats'!$A$1:$L$2071,MATCH(Players!$AE591,'Euro Qual stats'!$A$1:$A$2071,0),MATCH(Players!AG$2,'Euro Qual stats'!$A$1:$L$1,0)),0)</f>
        <v>0.14000000000000001</v>
      </c>
      <c r="AH591" s="73">
        <f>IFERROR(INDEX('Euro Qual stats'!$A$1:$L$2071,MATCH(Players!$AE591,'Euro Qual stats'!$A$1:$A$2071,0),MATCH(Players!AH$2,'Euro Qual stats'!$A$1:$L$1,0)),0)</f>
        <v>0</v>
      </c>
      <c r="AI591" s="73">
        <f>IFERROR(INDEX('Euro Qual stats'!$A$1:$L$2071,MATCH(Players!$AE591,'Euro Qual stats'!$A$1:$A$2071,0),MATCH(Players!AI$2,'Euro Qual stats'!$A$1:$L$1,0)),0)</f>
        <v>0.41</v>
      </c>
      <c r="AJ591" s="93">
        <f>(12-AF591)/12*INDEX(BV$9:BV$12,MATCH($AB591,$BU$9:$BU$12,0))+AF591/12*AG591</f>
        <v>0.11882326007326011</v>
      </c>
      <c r="AK591" s="93">
        <f>(12-AG591)/12*INDEX(BW$9:BW$12,MATCH($AB591,$BU$9:$BU$12,0))+AG591/12*AH591</f>
        <v>0.10236309523809524</v>
      </c>
      <c r="AL591" s="93">
        <f>(12-AH591)/12*INDEX(BX$9:BX$12,MATCH($AB591,$BU$9:$BU$12,0))+AH591/12*AI591</f>
        <v>0.19357142857142848</v>
      </c>
      <c r="AM591" s="93">
        <f>IF($BC591=1,AJ591/SUMIFS(AJ$3:AJ$623,$BC$3:$BC$623,1,$G$3:$G$623,$G591),0)</f>
        <v>0</v>
      </c>
      <c r="AN591" s="93">
        <f>IF($BC591=1,AK591/SUMIFS(AK$3:AK$623,$BC$3:$BC$623,1,$G$3:$G$623,$G591),0)</f>
        <v>0</v>
      </c>
      <c r="AO591" s="93">
        <f>IF($BC591=1,AL591/SUMIFS(AL$3:AL$623,$BC$3:$BC$623,1,$G$3:$G$623,$G591),0)</f>
        <v>0</v>
      </c>
      <c r="AP591" s="2">
        <f>IFERROR(R591/$V591*90,"")</f>
        <v>0</v>
      </c>
      <c r="AQ591" s="2">
        <f>IFERROR(S591/$V591*90,"")</f>
        <v>0</v>
      </c>
      <c r="AR591" s="2">
        <f>IFERROR(W591/$V591*90,"")</f>
        <v>0.27906976744186046</v>
      </c>
      <c r="AS591" s="2">
        <f>IFERROR(X591/$V591*90,"")</f>
        <v>0.13953488372093023</v>
      </c>
      <c r="AT591" s="2">
        <f>IFERROR(Y591/$V591*90,"")</f>
        <v>0</v>
      </c>
      <c r="AU591" s="2">
        <f>IF(AP591="",INDEX(BV$4:BV$7,MATCH(O591,$BU$4:$BU$7,0)),AP591)</f>
        <v>0</v>
      </c>
      <c r="AV591" s="2">
        <f>IF(AQ591="",INDEX(BW$4:BW$7,MATCH($O591,$BU$4:$BU$7,0)),AQ591)</f>
        <v>0</v>
      </c>
      <c r="AW591" s="2">
        <f t="shared" si="108"/>
        <v>0.27906976744186046</v>
      </c>
      <c r="AX591" s="2">
        <f t="shared" si="109"/>
        <v>0.13953488372093023</v>
      </c>
      <c r="AY591" s="2">
        <f t="shared" si="110"/>
        <v>0</v>
      </c>
      <c r="AZ591" s="2">
        <f>AU591*0.5+AK591*0.5</f>
        <v>5.118154761904762E-2</v>
      </c>
      <c r="BA591" s="2">
        <f>AV591*0.5+AJ591*0.5</f>
        <v>5.9411630036630053E-2</v>
      </c>
      <c r="BB591" s="2">
        <f t="shared" si="111"/>
        <v>0.27476744186046509</v>
      </c>
      <c r="BC591">
        <f>IF(I591="expected",1,0)</f>
        <v>0</v>
      </c>
      <c r="BD591" s="78">
        <f>IF(BC591=1,AZ591/SUMIFS(AZ$3:AZ$623,$BC$3:$BC$623,1,$G$3:$G$623,$G591),0)</f>
        <v>0</v>
      </c>
      <c r="BE591" s="78">
        <f>IF(BC591=1,BA591/SUMIFS(BA$3:BA$623,$BC$3:$BC$623,1,$G$3:$G$623,$G591),0)</f>
        <v>0</v>
      </c>
      <c r="BF591" s="78">
        <f t="shared" si="112"/>
        <v>0</v>
      </c>
      <c r="BG591" s="2">
        <f t="shared" si="113"/>
        <v>0.27476744186046509</v>
      </c>
      <c r="BH591" s="2">
        <f t="shared" si="114"/>
        <v>0</v>
      </c>
      <c r="BI591" s="2">
        <f t="shared" si="115"/>
        <v>0</v>
      </c>
      <c r="BJ591" s="2">
        <f t="shared" si="116"/>
        <v>0</v>
      </c>
      <c r="BK591" s="2">
        <f t="shared" si="117"/>
        <v>0</v>
      </c>
      <c r="BL591" s="2">
        <f t="shared" si="118"/>
        <v>0.27476744186046509</v>
      </c>
      <c r="BM591" s="2">
        <f t="shared" si="119"/>
        <v>0</v>
      </c>
      <c r="BN591" s="2">
        <f>BI591/SUMIFS(BI$3:BI$623,$BC$3:$BC$623,1,$G$3:$G$623,$G591)</f>
        <v>0</v>
      </c>
      <c r="BO591" s="2">
        <f>BJ591/SUMIFS(BJ$3:BJ$623,$BC$3:$BC$623,1,$G$3:$G$623,$G591)</f>
        <v>0</v>
      </c>
      <c r="BP591" s="2">
        <f>BK591/SUMIFS(BK$3:BK$623,$BC$3:$BC$623,1,$G$3:$G$623,$G591)</f>
        <v>0</v>
      </c>
      <c r="BQ591" s="2">
        <f>BL591</f>
        <v>0.27476744186046509</v>
      </c>
      <c r="BR591" s="2">
        <f>BM591</f>
        <v>0</v>
      </c>
    </row>
    <row r="592" spans="1:70" hidden="1">
      <c r="A592" s="74">
        <v>0</v>
      </c>
      <c r="B592" s="73">
        <v>213460</v>
      </c>
      <c r="C592" s="73" t="s">
        <v>3328</v>
      </c>
      <c r="D592" s="73" t="s">
        <v>3302</v>
      </c>
      <c r="E592" s="73" t="s">
        <v>3329</v>
      </c>
      <c r="F592" s="73">
        <v>18648</v>
      </c>
      <c r="G592" s="73" t="s">
        <v>896</v>
      </c>
      <c r="H592" s="73" t="s">
        <v>929</v>
      </c>
      <c r="I592" s="73" t="s">
        <v>1012</v>
      </c>
      <c r="J592" s="73">
        <v>0</v>
      </c>
      <c r="K592" s="73">
        <v>4</v>
      </c>
      <c r="L592" s="73">
        <v>0</v>
      </c>
      <c r="M592" s="73">
        <v>0</v>
      </c>
      <c r="N592" s="73">
        <v>0</v>
      </c>
      <c r="O592" s="73" t="s">
        <v>1318</v>
      </c>
      <c r="P592" s="73" t="s">
        <v>3330</v>
      </c>
      <c r="Q592" s="73" t="s">
        <v>3331</v>
      </c>
      <c r="R592" s="73">
        <v>0</v>
      </c>
      <c r="S592" s="73">
        <v>1</v>
      </c>
      <c r="T592" s="73">
        <v>0</v>
      </c>
      <c r="U592" s="73">
        <v>1</v>
      </c>
      <c r="V592" s="73">
        <v>587</v>
      </c>
      <c r="W592" s="73">
        <v>0</v>
      </c>
      <c r="X592" s="73">
        <v>3</v>
      </c>
      <c r="Y592" s="73">
        <v>0</v>
      </c>
      <c r="Z592" s="73" t="s">
        <v>2927</v>
      </c>
      <c r="AA592" s="73" t="s">
        <v>692</v>
      </c>
      <c r="AB592" s="73" t="str">
        <f>IF(AA592&lt;&gt;"",INDEX(Lookup!$N$2:$N$5,MATCH(Players!AA592,Lookup!$P$2:$P$5,0)),INDEX(Lookup!$N$2:$N$5,MATCH(Players!O592,Lookup!$O$2:$O$5,0)))</f>
        <v>Defense</v>
      </c>
      <c r="AC592" s="73">
        <v>2500000</v>
      </c>
      <c r="AD592" s="73" t="s">
        <v>788</v>
      </c>
      <c r="AE592" s="73" t="str">
        <f>INDEX('Translate table'!$H$2:$H$622,MATCH(Players!P592,'Translate table'!$G$2:$G$622,0))</f>
        <v>DÃ¡vid Hancko</v>
      </c>
      <c r="AF592" s="73">
        <f>IFERROR(INDEX('Euro Qual stats'!$A$1:$L$2071,MATCH(Players!$AE592,'Euro Qual stats'!$A$1:$A$2071,0),MATCH(Players!AF$2,'Euro Qual stats'!$A$1:$L$1,0)),0)</f>
        <v>8</v>
      </c>
      <c r="AG592" s="73">
        <f>IFERROR(INDEX('Euro Qual stats'!$A$1:$L$2071,MATCH(Players!$AE592,'Euro Qual stats'!$A$1:$A$2071,0),MATCH(Players!AG$2,'Euro Qual stats'!$A$1:$L$1,0)),0)</f>
        <v>0</v>
      </c>
      <c r="AH592" s="73">
        <f>IFERROR(INDEX('Euro Qual stats'!$A$1:$L$2071,MATCH(Players!$AE592,'Euro Qual stats'!$A$1:$A$2071,0),MATCH(Players!AH$2,'Euro Qual stats'!$A$1:$L$1,0)),0)</f>
        <v>0.13</v>
      </c>
      <c r="AI592" s="73">
        <f>IFERROR(INDEX('Euro Qual stats'!$A$1:$L$2071,MATCH(Players!$AE592,'Euro Qual stats'!$A$1:$A$2071,0),MATCH(Players!AI$2,'Euro Qual stats'!$A$1:$L$1,0)),0)</f>
        <v>0</v>
      </c>
      <c r="AJ592" s="93">
        <f>(12-AF592)/12*INDEX(BV$9:BV$12,MATCH($AB592,$BU$9:$BU$12,0))+AF592/12*AG592</f>
        <v>2.9725274725274732E-2</v>
      </c>
      <c r="AK592" s="93">
        <f>(12-AG592)/12*INDEX(BW$9:BW$12,MATCH($AB592,$BU$9:$BU$12,0))+AG592/12*AH592</f>
        <v>0.10357142857142858</v>
      </c>
      <c r="AL592" s="93">
        <f>(12-AH592)/12*INDEX(BX$9:BX$12,MATCH($AB592,$BU$9:$BU$12,0))+AH592/12*AI592</f>
        <v>0.19147440476190467</v>
      </c>
      <c r="AM592" s="93">
        <f>IF($BC592=1,AJ592/SUMIFS(AJ$3:AJ$623,$BC$3:$BC$623,1,$G$3:$G$623,$G592),0)</f>
        <v>0</v>
      </c>
      <c r="AN592" s="93">
        <f>IF($BC592=1,AK592/SUMIFS(AK$3:AK$623,$BC$3:$BC$623,1,$G$3:$G$623,$G592),0)</f>
        <v>0</v>
      </c>
      <c r="AO592" s="93">
        <f>IF($BC592=1,AL592/SUMIFS(AL$3:AL$623,$BC$3:$BC$623,1,$G$3:$G$623,$G592),0)</f>
        <v>0</v>
      </c>
      <c r="AP592" s="2">
        <f>IFERROR(R592/$V592*90,"")</f>
        <v>0</v>
      </c>
      <c r="AQ592" s="2">
        <f>IFERROR(S592/$V592*90,"")</f>
        <v>0.15332197614991483</v>
      </c>
      <c r="AR592" s="2">
        <f>IFERROR(W592/$V592*90,"")</f>
        <v>0</v>
      </c>
      <c r="AS592" s="2">
        <f>IFERROR(X592/$V592*90,"")</f>
        <v>0.45996592844974443</v>
      </c>
      <c r="AT592" s="2">
        <f>IFERROR(Y592/$V592*90,"")</f>
        <v>0</v>
      </c>
      <c r="AU592" s="2">
        <f>IF(AP592="",INDEX(BV$4:BV$7,MATCH(O592,$BU$4:$BU$7,0)),AP592)</f>
        <v>0</v>
      </c>
      <c r="AV592" s="2">
        <f>IF(AQ592="",INDEX(BW$4:BW$7,MATCH($O592,$BU$4:$BU$7,0)),AQ592)</f>
        <v>0.15332197614991483</v>
      </c>
      <c r="AW592" s="2">
        <f t="shared" si="108"/>
        <v>0</v>
      </c>
      <c r="AX592" s="2">
        <f t="shared" si="109"/>
        <v>0.45996592844974443</v>
      </c>
      <c r="AY592" s="2">
        <f t="shared" si="110"/>
        <v>0</v>
      </c>
      <c r="AZ592" s="2">
        <f>AU592*0.5+AK592*0.5</f>
        <v>5.1785714285714289E-2</v>
      </c>
      <c r="BA592" s="2">
        <f>AV592*0.5+AJ592*0.5</f>
        <v>9.1523625437594777E-2</v>
      </c>
      <c r="BB592" s="2">
        <f t="shared" si="111"/>
        <v>0.22998296422487222</v>
      </c>
      <c r="BC592">
        <f>IF(I592="expected",1,0)</f>
        <v>0</v>
      </c>
      <c r="BD592" s="78">
        <f>IF(BC592=1,AZ592/SUMIFS(AZ$3:AZ$623,$BC$3:$BC$623,1,$G$3:$G$623,$G592),0)</f>
        <v>0</v>
      </c>
      <c r="BE592" s="78">
        <f>IF(BC592=1,BA592/SUMIFS(BA$3:BA$623,$BC$3:$BC$623,1,$G$3:$G$623,$G592),0)</f>
        <v>0</v>
      </c>
      <c r="BF592" s="78">
        <f t="shared" si="112"/>
        <v>0</v>
      </c>
      <c r="BG592" s="2">
        <f t="shared" si="113"/>
        <v>0.22998296422487222</v>
      </c>
      <c r="BH592" s="2">
        <f t="shared" si="114"/>
        <v>0</v>
      </c>
      <c r="BI592" s="2">
        <f t="shared" si="115"/>
        <v>0</v>
      </c>
      <c r="BJ592" s="2">
        <f t="shared" si="116"/>
        <v>0</v>
      </c>
      <c r="BK592" s="2">
        <f t="shared" si="117"/>
        <v>0</v>
      </c>
      <c r="BL592" s="2">
        <f t="shared" si="118"/>
        <v>0.22998296422487222</v>
      </c>
      <c r="BM592" s="2">
        <f t="shared" si="119"/>
        <v>0</v>
      </c>
      <c r="BN592" s="2">
        <f>BI592/SUMIFS(BI$3:BI$623,$BC$3:$BC$623,1,$G$3:$G$623,$G592)</f>
        <v>0</v>
      </c>
      <c r="BO592" s="2">
        <f>BJ592/SUMIFS(BJ$3:BJ$623,$BC$3:$BC$623,1,$G$3:$G$623,$G592)</f>
        <v>0</v>
      </c>
      <c r="BP592" s="2">
        <f>BK592/SUMIFS(BK$3:BK$623,$BC$3:$BC$623,1,$G$3:$G$623,$G592)</f>
        <v>0</v>
      </c>
      <c r="BQ592" s="2">
        <f>BL592</f>
        <v>0.22998296422487222</v>
      </c>
      <c r="BR592" s="2">
        <f>BM592</f>
        <v>0</v>
      </c>
    </row>
    <row r="593" spans="1:70" hidden="1">
      <c r="A593" s="74">
        <v>0</v>
      </c>
      <c r="B593" s="73">
        <v>204910</v>
      </c>
      <c r="C593" s="73" t="s">
        <v>3332</v>
      </c>
      <c r="D593" s="73" t="s">
        <v>3333</v>
      </c>
      <c r="E593" s="73" t="s">
        <v>3334</v>
      </c>
      <c r="F593" s="73">
        <v>18648</v>
      </c>
      <c r="G593" s="73" t="s">
        <v>896</v>
      </c>
      <c r="H593" s="73" t="s">
        <v>929</v>
      </c>
      <c r="I593" s="73" t="s">
        <v>981</v>
      </c>
      <c r="J593" s="73">
        <v>0</v>
      </c>
      <c r="K593" s="73">
        <v>4</v>
      </c>
      <c r="L593" s="73">
        <v>0</v>
      </c>
      <c r="M593" s="73">
        <v>0</v>
      </c>
      <c r="N593" s="73">
        <v>0</v>
      </c>
      <c r="O593" s="73" t="s">
        <v>1318</v>
      </c>
      <c r="P593" s="73" t="s">
        <v>3335</v>
      </c>
      <c r="Q593" s="73" t="s">
        <v>3336</v>
      </c>
      <c r="R593" s="73">
        <v>0</v>
      </c>
      <c r="S593" s="73">
        <v>0</v>
      </c>
      <c r="T593" s="73">
        <v>0</v>
      </c>
      <c r="U593" s="73">
        <v>0</v>
      </c>
      <c r="V593" s="73">
        <v>49</v>
      </c>
      <c r="W593" s="73">
        <v>1</v>
      </c>
      <c r="X593" s="73">
        <v>0</v>
      </c>
      <c r="Y593" s="73">
        <v>0</v>
      </c>
      <c r="Z593" s="73" t="s">
        <v>2927</v>
      </c>
      <c r="AA593" s="73" t="s">
        <v>692</v>
      </c>
      <c r="AB593" s="73" t="str">
        <f>IF(AA593&lt;&gt;"",INDEX(Lookup!$N$2:$N$5,MATCH(Players!AA593,Lookup!$P$2:$P$5,0)),INDEX(Lookup!$N$2:$N$5,MATCH(Players!O593,Lookup!$O$2:$O$5,0)))</f>
        <v>Defense</v>
      </c>
      <c r="AC593" s="73">
        <v>2000000</v>
      </c>
      <c r="AD593" s="73" t="s">
        <v>788</v>
      </c>
      <c r="AE593" s="73" t="str">
        <f>INDEX('Translate table'!$H$2:$H$622,MATCH(Players!P593,'Translate table'!$G$2:$G$622,0))</f>
        <v>Ljubomir Fejsa</v>
      </c>
      <c r="AF593" s="73">
        <f>IFERROR(INDEX('Euro Qual stats'!$A$1:$L$2071,MATCH(Players!$AE593,'Euro Qual stats'!$A$1:$A$2071,0),MATCH(Players!AF$2,'Euro Qual stats'!$A$1:$L$1,0)),0)</f>
        <v>1</v>
      </c>
      <c r="AG593" s="73">
        <f>IFERROR(INDEX('Euro Qual stats'!$A$1:$L$2071,MATCH(Players!$AE593,'Euro Qual stats'!$A$1:$A$2071,0),MATCH(Players!AG$2,'Euro Qual stats'!$A$1:$L$1,0)),0)</f>
        <v>0</v>
      </c>
      <c r="AH593" s="73">
        <f>IFERROR(INDEX('Euro Qual stats'!$A$1:$L$2071,MATCH(Players!$AE593,'Euro Qual stats'!$A$1:$A$2071,0),MATCH(Players!AH$2,'Euro Qual stats'!$A$1:$L$1,0)),0)</f>
        <v>0</v>
      </c>
      <c r="AI593" s="73">
        <f>IFERROR(INDEX('Euro Qual stats'!$A$1:$L$2071,MATCH(Players!$AE593,'Euro Qual stats'!$A$1:$A$2071,0),MATCH(Players!AI$2,'Euro Qual stats'!$A$1:$L$1,0)),0)</f>
        <v>0</v>
      </c>
      <c r="AJ593" s="93">
        <f>(12-AF593)/12*INDEX(BV$9:BV$12,MATCH($AB593,$BU$9:$BU$12,0))+AF593/12*AG593</f>
        <v>8.1744505494505515E-2</v>
      </c>
      <c r="AK593" s="93">
        <f>(12-AG593)/12*INDEX(BW$9:BW$12,MATCH($AB593,$BU$9:$BU$12,0))+AG593/12*AH593</f>
        <v>0.10357142857142858</v>
      </c>
      <c r="AL593" s="93">
        <f>(12-AH593)/12*INDEX(BX$9:BX$12,MATCH($AB593,$BU$9:$BU$12,0))+AH593/12*AI593</f>
        <v>0.19357142857142848</v>
      </c>
      <c r="AM593" s="93">
        <f>IF($BC593=1,AJ593/SUMIFS(AJ$3:AJ$623,$BC$3:$BC$623,1,$G$3:$G$623,$G593),0)</f>
        <v>5.9388689318674866E-2</v>
      </c>
      <c r="AN593" s="93">
        <f>IF($BC593=1,AK593/SUMIFS(AK$3:AK$623,$BC$3:$BC$623,1,$G$3:$G$623,$G593),0)</f>
        <v>4.368327798382491E-2</v>
      </c>
      <c r="AO593" s="93">
        <f>IF($BC593=1,AL593/SUMIFS(AL$3:AL$623,$BC$3:$BC$623,1,$G$3:$G$623,$G593),0)</f>
        <v>9.375393986763822E-2</v>
      </c>
      <c r="AP593" s="2">
        <f>IFERROR(R593/$V593*90,"")</f>
        <v>0</v>
      </c>
      <c r="AQ593" s="2">
        <f>IFERROR(S593/$V593*90,"")</f>
        <v>0</v>
      </c>
      <c r="AR593" s="2">
        <f>IFERROR(W593/$V593*90,"")</f>
        <v>1.8367346938775508</v>
      </c>
      <c r="AS593" s="2">
        <f>IFERROR(X593/$V593*90,"")</f>
        <v>0</v>
      </c>
      <c r="AT593" s="2">
        <f>IFERROR(Y593/$V593*90,"")</f>
        <v>0</v>
      </c>
      <c r="AU593" s="2">
        <f>IF(AP593="",INDEX(BV$4:BV$7,MATCH(O593,$BU$4:$BU$7,0)),AP593)</f>
        <v>0</v>
      </c>
      <c r="AV593" s="2">
        <f>IF(AQ593="",INDEX(BW$4:BW$7,MATCH($O593,$BU$4:$BU$7,0)),AQ593)</f>
        <v>0</v>
      </c>
      <c r="AW593" s="2">
        <f t="shared" si="108"/>
        <v>1.8367346938775508</v>
      </c>
      <c r="AX593" s="2">
        <f t="shared" si="109"/>
        <v>0</v>
      </c>
      <c r="AY593" s="2">
        <f t="shared" si="110"/>
        <v>0</v>
      </c>
      <c r="AZ593" s="2">
        <f>AU593*0.5+AK593*0.5</f>
        <v>5.1785714285714289E-2</v>
      </c>
      <c r="BA593" s="2">
        <f>AV593*0.5+AJ593*0.5</f>
        <v>4.0872252747252757E-2</v>
      </c>
      <c r="BB593" s="2">
        <f t="shared" si="111"/>
        <v>0</v>
      </c>
      <c r="BC593">
        <f>IF(I593="expected",1,0)</f>
        <v>1</v>
      </c>
      <c r="BD593" s="78">
        <f>IF(BC593=1,AZ593/SUMIFS(AZ$3:AZ$623,$BC$3:$BC$623,1,$G$3:$G$623,$G593),0)</f>
        <v>2.6108470526062535E-2</v>
      </c>
      <c r="BE593" s="78">
        <f>IF(BC593=1,BA593/SUMIFS(BA$3:BA$623,$BC$3:$BC$623,1,$G$3:$G$623,$G593),0)</f>
        <v>4.69213450624884E-2</v>
      </c>
      <c r="BF593" s="78">
        <f t="shared" si="112"/>
        <v>0.29126256875133127</v>
      </c>
      <c r="BG593" s="2">
        <f t="shared" si="113"/>
        <v>0</v>
      </c>
      <c r="BH593" s="2">
        <f t="shared" si="114"/>
        <v>0</v>
      </c>
      <c r="BI593" s="2">
        <f t="shared" si="115"/>
        <v>2.6108470526062535E-2</v>
      </c>
      <c r="BJ593" s="2">
        <f t="shared" si="116"/>
        <v>4.69213450624884E-2</v>
      </c>
      <c r="BK593" s="2">
        <f t="shared" si="117"/>
        <v>0.29126256875133127</v>
      </c>
      <c r="BL593" s="2">
        <f t="shared" si="118"/>
        <v>0</v>
      </c>
      <c r="BM593" s="2">
        <f t="shared" si="119"/>
        <v>0</v>
      </c>
      <c r="BN593" s="2">
        <f>BI593/SUMIFS(BI$3:BI$623,$BC$3:$BC$623,1,$G$3:$G$623,$G593)</f>
        <v>2.6108470526062529E-2</v>
      </c>
      <c r="BO593" s="2">
        <f>BJ593/SUMIFS(BJ$3:BJ$623,$BC$3:$BC$623,1,$G$3:$G$623,$G593)</f>
        <v>4.69213450624884E-2</v>
      </c>
      <c r="BP593" s="2">
        <f>BK593/SUMIFS(BK$3:BK$623,$BC$3:$BC$623,1,$G$3:$G$623,$G593)</f>
        <v>0.29126256875133127</v>
      </c>
      <c r="BQ593" s="2">
        <f>BL593</f>
        <v>0</v>
      </c>
      <c r="BR593" s="2">
        <f>BM593</f>
        <v>0</v>
      </c>
    </row>
    <row r="594" spans="1:70" hidden="1">
      <c r="A594" s="74">
        <v>0</v>
      </c>
      <c r="B594" s="73">
        <v>204904</v>
      </c>
      <c r="C594" s="73" t="s">
        <v>3337</v>
      </c>
      <c r="D594" s="73" t="s">
        <v>2423</v>
      </c>
      <c r="E594" s="73" t="s">
        <v>3338</v>
      </c>
      <c r="F594" s="73">
        <v>18648</v>
      </c>
      <c r="G594" s="73" t="s">
        <v>896</v>
      </c>
      <c r="H594" s="73" t="s">
        <v>929</v>
      </c>
      <c r="I594" s="73" t="s">
        <v>981</v>
      </c>
      <c r="J594" s="73">
        <v>0</v>
      </c>
      <c r="K594" s="73">
        <v>4</v>
      </c>
      <c r="L594" s="73">
        <v>0</v>
      </c>
      <c r="M594" s="73">
        <v>0</v>
      </c>
      <c r="N594" s="73">
        <v>0</v>
      </c>
      <c r="O594" s="73" t="s">
        <v>1318</v>
      </c>
      <c r="P594" s="73" t="s">
        <v>3339</v>
      </c>
      <c r="Q594" s="73" t="s">
        <v>82</v>
      </c>
      <c r="R594" s="73">
        <v>0</v>
      </c>
      <c r="S594" s="73">
        <v>0</v>
      </c>
      <c r="T594" s="73">
        <v>0</v>
      </c>
      <c r="U594" s="73">
        <v>0</v>
      </c>
      <c r="V594" s="73">
        <v>0</v>
      </c>
      <c r="W594" s="73">
        <v>0</v>
      </c>
      <c r="X594" s="73">
        <v>0</v>
      </c>
      <c r="Y594" s="73">
        <v>0</v>
      </c>
      <c r="Z594" s="73" t="s">
        <v>2927</v>
      </c>
      <c r="AA594" s="73" t="s">
        <v>692</v>
      </c>
      <c r="AB594" s="73" t="str">
        <f>IF(AA594&lt;&gt;"",INDEX(Lookup!$N$2:$N$5,MATCH(Players!AA594,Lookup!$P$2:$P$5,0)),INDEX(Lookup!$N$2:$N$5,MATCH(Players!O594,Lookup!$O$2:$O$5,0)))</f>
        <v>Defense</v>
      </c>
      <c r="AC594" s="73">
        <v>2000000</v>
      </c>
      <c r="AD594" s="73" t="s">
        <v>788</v>
      </c>
      <c r="AE594" s="73" t="str">
        <f>INDEX('Translate table'!$H$2:$H$622,MATCH(Players!P594,'Translate table'!$G$2:$G$622,0))</f>
        <v>TomÃ¡Å¡ HuboÄan</v>
      </c>
      <c r="AF594" s="73">
        <f>IFERROR(INDEX('Euro Qual stats'!$A$1:$L$2071,MATCH(Players!$AE594,'Euro Qual stats'!$A$1:$A$2071,0),MATCH(Players!AF$2,'Euro Qual stats'!$A$1:$L$1,0)),0)</f>
        <v>1</v>
      </c>
      <c r="AG594" s="73">
        <f>IFERROR(INDEX('Euro Qual stats'!$A$1:$L$2071,MATCH(Players!$AE594,'Euro Qual stats'!$A$1:$A$2071,0),MATCH(Players!AG$2,'Euro Qual stats'!$A$1:$L$1,0)),0)</f>
        <v>0</v>
      </c>
      <c r="AH594" s="73">
        <f>IFERROR(INDEX('Euro Qual stats'!$A$1:$L$2071,MATCH(Players!$AE594,'Euro Qual stats'!$A$1:$A$2071,0),MATCH(Players!AH$2,'Euro Qual stats'!$A$1:$L$1,0)),0)</f>
        <v>0</v>
      </c>
      <c r="AI594" s="73">
        <f>IFERROR(INDEX('Euro Qual stats'!$A$1:$L$2071,MATCH(Players!$AE594,'Euro Qual stats'!$A$1:$A$2071,0),MATCH(Players!AI$2,'Euro Qual stats'!$A$1:$L$1,0)),0)</f>
        <v>0</v>
      </c>
      <c r="AJ594" s="93">
        <f>(12-AF594)/12*INDEX(BV$9:BV$12,MATCH($AB594,$BU$9:$BU$12,0))+AF594/12*AG594</f>
        <v>8.1744505494505515E-2</v>
      </c>
      <c r="AK594" s="93">
        <f>(12-AG594)/12*INDEX(BW$9:BW$12,MATCH($AB594,$BU$9:$BU$12,0))+AG594/12*AH594</f>
        <v>0.10357142857142858</v>
      </c>
      <c r="AL594" s="93">
        <f>(12-AH594)/12*INDEX(BX$9:BX$12,MATCH($AB594,$BU$9:$BU$12,0))+AH594/12*AI594</f>
        <v>0.19357142857142848</v>
      </c>
      <c r="AM594" s="93">
        <f>IF($BC594=1,AJ594/SUMIFS(AJ$3:AJ$623,$BC$3:$BC$623,1,$G$3:$G$623,$G594),0)</f>
        <v>5.9388689318674866E-2</v>
      </c>
      <c r="AN594" s="93">
        <f>IF($BC594=1,AK594/SUMIFS(AK$3:AK$623,$BC$3:$BC$623,1,$G$3:$G$623,$G594),0)</f>
        <v>4.368327798382491E-2</v>
      </c>
      <c r="AO594" s="93">
        <f>IF($BC594=1,AL594/SUMIFS(AL$3:AL$623,$BC$3:$BC$623,1,$G$3:$G$623,$G594),0)</f>
        <v>9.375393986763822E-2</v>
      </c>
      <c r="AP594" s="2" t="str">
        <f>IFERROR(R594/$V594*90,"")</f>
        <v/>
      </c>
      <c r="AQ594" s="2" t="str">
        <f>IFERROR(S594/$V594*90,"")</f>
        <v/>
      </c>
      <c r="AR594" s="2" t="str">
        <f>IFERROR(W594/$V594*90,"")</f>
        <v/>
      </c>
      <c r="AS594" s="2" t="str">
        <f>IFERROR(X594/$V594*90,"")</f>
        <v/>
      </c>
      <c r="AT594" s="2" t="str">
        <f>IFERROR(Y594/$V594*90,"")</f>
        <v/>
      </c>
      <c r="AU594" s="2">
        <f>IF(AP594="",INDEX(BV$4:BV$7,MATCH(O594,$BU$4:$BU$7,0)),AP594)</f>
        <v>0</v>
      </c>
      <c r="AV594" s="2">
        <f>IF(AQ594="",INDEX(BW$4:BW$7,MATCH($O594,$BU$4:$BU$7,0)),AQ594)</f>
        <v>0</v>
      </c>
      <c r="AW594" s="2">
        <f t="shared" si="108"/>
        <v>8.0624805297505417E-2</v>
      </c>
      <c r="AX594" s="2">
        <f t="shared" si="109"/>
        <v>0.1265377855887522</v>
      </c>
      <c r="AY594" s="2">
        <f t="shared" si="110"/>
        <v>0</v>
      </c>
      <c r="AZ594" s="2">
        <f>AU594*0.5+AK594*0.5</f>
        <v>5.1785714285714289E-2</v>
      </c>
      <c r="BA594" s="2">
        <f>AV594*0.5+AJ594*0.5</f>
        <v>4.0872252747252757E-2</v>
      </c>
      <c r="BB594" s="2">
        <f t="shared" si="111"/>
        <v>6.32688927943761E-2</v>
      </c>
      <c r="BC594">
        <f>IF(I594="expected",1,0)</f>
        <v>1</v>
      </c>
      <c r="BD594" s="78">
        <f>IF(BC594=1,AZ594/SUMIFS(AZ$3:AZ$623,$BC$3:$BC$623,1,$G$3:$G$623,$G594),0)</f>
        <v>2.6108470526062535E-2</v>
      </c>
      <c r="BE594" s="78">
        <f>IF(BC594=1,BA594/SUMIFS(BA$3:BA$623,$BC$3:$BC$623,1,$G$3:$G$623,$G594),0)</f>
        <v>4.69213450624884E-2</v>
      </c>
      <c r="BF594" s="78">
        <f t="shared" si="112"/>
        <v>1.2785182298948235E-2</v>
      </c>
      <c r="BG594" s="2">
        <f t="shared" si="113"/>
        <v>6.32688927943761E-2</v>
      </c>
      <c r="BH594" s="2">
        <f t="shared" si="114"/>
        <v>0</v>
      </c>
      <c r="BI594" s="2">
        <f t="shared" si="115"/>
        <v>2.6108470526062535E-2</v>
      </c>
      <c r="BJ594" s="2">
        <f t="shared" si="116"/>
        <v>4.69213450624884E-2</v>
      </c>
      <c r="BK594" s="2">
        <f t="shared" si="117"/>
        <v>1.2785182298948235E-2</v>
      </c>
      <c r="BL594" s="2">
        <f t="shared" si="118"/>
        <v>6.32688927943761E-2</v>
      </c>
      <c r="BM594" s="2">
        <f t="shared" si="119"/>
        <v>0</v>
      </c>
      <c r="BN594" s="2">
        <f>BI594/SUMIFS(BI$3:BI$623,$BC$3:$BC$623,1,$G$3:$G$623,$G594)</f>
        <v>2.6108470526062529E-2</v>
      </c>
      <c r="BO594" s="2">
        <f>BJ594/SUMIFS(BJ$3:BJ$623,$BC$3:$BC$623,1,$G$3:$G$623,$G594)</f>
        <v>4.69213450624884E-2</v>
      </c>
      <c r="BP594" s="2">
        <f>BK594/SUMIFS(BK$3:BK$623,$BC$3:$BC$623,1,$G$3:$G$623,$G594)</f>
        <v>1.2785182298948235E-2</v>
      </c>
      <c r="BQ594" s="2">
        <f>BL594</f>
        <v>6.32688927943761E-2</v>
      </c>
      <c r="BR594" s="2">
        <f>BM594</f>
        <v>0</v>
      </c>
    </row>
    <row r="595" spans="1:70" hidden="1">
      <c r="A595" s="74">
        <v>0</v>
      </c>
      <c r="B595" s="73">
        <v>204903</v>
      </c>
      <c r="C595" s="73" t="s">
        <v>3340</v>
      </c>
      <c r="D595" s="73" t="s">
        <v>1264</v>
      </c>
      <c r="E595" s="73" t="s">
        <v>3341</v>
      </c>
      <c r="F595" s="73">
        <v>18648</v>
      </c>
      <c r="G595" s="73" t="s">
        <v>896</v>
      </c>
      <c r="H595" s="73" t="s">
        <v>929</v>
      </c>
      <c r="I595" s="73" t="s">
        <v>1012</v>
      </c>
      <c r="J595" s="73">
        <v>0</v>
      </c>
      <c r="K595" s="73">
        <v>4</v>
      </c>
      <c r="L595" s="73">
        <v>0</v>
      </c>
      <c r="M595" s="73">
        <v>0</v>
      </c>
      <c r="N595" s="73">
        <v>0</v>
      </c>
      <c r="O595" s="73" t="s">
        <v>1318</v>
      </c>
      <c r="P595" s="73" t="s">
        <v>3342</v>
      </c>
      <c r="Q595" s="73" t="s">
        <v>3343</v>
      </c>
      <c r="R595" s="73">
        <v>0</v>
      </c>
      <c r="S595" s="73">
        <v>2</v>
      </c>
      <c r="T595" s="73">
        <v>0</v>
      </c>
      <c r="U595" s="73">
        <v>2</v>
      </c>
      <c r="V595" s="73">
        <v>1621</v>
      </c>
      <c r="W595" s="73">
        <v>0</v>
      </c>
      <c r="X595" s="73">
        <v>0</v>
      </c>
      <c r="Y595" s="73">
        <v>0</v>
      </c>
      <c r="Z595" s="73" t="s">
        <v>2927</v>
      </c>
      <c r="AA595" s="73" t="s">
        <v>692</v>
      </c>
      <c r="AB595" s="73" t="str">
        <f>IF(AA595&lt;&gt;"",INDEX(Lookup!$N$2:$N$5,MATCH(Players!AA595,Lookup!$P$2:$P$5,0)),INDEX(Lookup!$N$2:$N$5,MATCH(Players!O595,Lookup!$O$2:$O$5,0)))</f>
        <v>Defense</v>
      </c>
      <c r="AC595" s="73">
        <v>2000000</v>
      </c>
      <c r="AD595" s="73" t="s">
        <v>788</v>
      </c>
      <c r="AE595" s="73" t="str">
        <f>INDEX('Translate table'!$H$2:$H$622,MATCH(Players!P595,'Translate table'!$G$2:$G$622,0))</f>
        <v>Martin Valijent</v>
      </c>
      <c r="AF595" s="73">
        <f>IFERROR(INDEX('Euro Qual stats'!$A$1:$L$2071,MATCH(Players!$AE595,'Euro Qual stats'!$A$1:$A$2071,0),MATCH(Players!AF$2,'Euro Qual stats'!$A$1:$L$1,0)),0)</f>
        <v>2</v>
      </c>
      <c r="AG595" s="73">
        <f>IFERROR(INDEX('Euro Qual stats'!$A$1:$L$2071,MATCH(Players!$AE595,'Euro Qual stats'!$A$1:$A$2071,0),MATCH(Players!AG$2,'Euro Qual stats'!$A$1:$L$1,0)),0)</f>
        <v>0</v>
      </c>
      <c r="AH595" s="73">
        <f>IFERROR(INDEX('Euro Qual stats'!$A$1:$L$2071,MATCH(Players!$AE595,'Euro Qual stats'!$A$1:$A$2071,0),MATCH(Players!AH$2,'Euro Qual stats'!$A$1:$L$1,0)),0)</f>
        <v>0</v>
      </c>
      <c r="AI595" s="73">
        <f>IFERROR(INDEX('Euro Qual stats'!$A$1:$L$2071,MATCH(Players!$AE595,'Euro Qual stats'!$A$1:$A$2071,0),MATCH(Players!AI$2,'Euro Qual stats'!$A$1:$L$1,0)),0)</f>
        <v>0</v>
      </c>
      <c r="AJ595" s="93">
        <f>(12-AF595)/12*INDEX(BV$9:BV$12,MATCH($AB595,$BU$9:$BU$12,0))+AF595/12*AG595</f>
        <v>7.4313186813186841E-2</v>
      </c>
      <c r="AK595" s="93">
        <f>(12-AG595)/12*INDEX(BW$9:BW$12,MATCH($AB595,$BU$9:$BU$12,0))+AG595/12*AH595</f>
        <v>0.10357142857142858</v>
      </c>
      <c r="AL595" s="93">
        <f>(12-AH595)/12*INDEX(BX$9:BX$12,MATCH($AB595,$BU$9:$BU$12,0))+AH595/12*AI595</f>
        <v>0.19357142857142848</v>
      </c>
      <c r="AM595" s="93">
        <f>IF($BC595=1,AJ595/SUMIFS(AJ$3:AJ$623,$BC$3:$BC$623,1,$G$3:$G$623,$G595),0)</f>
        <v>0</v>
      </c>
      <c r="AN595" s="93">
        <f>IF($BC595=1,AK595/SUMIFS(AK$3:AK$623,$BC$3:$BC$623,1,$G$3:$G$623,$G595),0)</f>
        <v>0</v>
      </c>
      <c r="AO595" s="93">
        <f>IF($BC595=1,AL595/SUMIFS(AL$3:AL$623,$BC$3:$BC$623,1,$G$3:$G$623,$G595),0)</f>
        <v>0</v>
      </c>
      <c r="AP595" s="2">
        <f>IFERROR(R595/$V595*90,"")</f>
        <v>0</v>
      </c>
      <c r="AQ595" s="2">
        <f>IFERROR(S595/$V595*90,"")</f>
        <v>0.11104256631708823</v>
      </c>
      <c r="AR595" s="2">
        <f>IFERROR(W595/$V595*90,"")</f>
        <v>0</v>
      </c>
      <c r="AS595" s="2">
        <f>IFERROR(X595/$V595*90,"")</f>
        <v>0</v>
      </c>
      <c r="AT595" s="2">
        <f>IFERROR(Y595/$V595*90,"")</f>
        <v>0</v>
      </c>
      <c r="AU595" s="2">
        <f>IF(AP595="",INDEX(BV$4:BV$7,MATCH(O595,$BU$4:$BU$7,0)),AP595)</f>
        <v>0</v>
      </c>
      <c r="AV595" s="2">
        <f>IF(AQ595="",INDEX(BW$4:BW$7,MATCH($O595,$BU$4:$BU$7,0)),AQ595)</f>
        <v>0.11104256631708823</v>
      </c>
      <c r="AW595" s="2">
        <f t="shared" si="108"/>
        <v>0</v>
      </c>
      <c r="AX595" s="2">
        <f t="shared" si="109"/>
        <v>0</v>
      </c>
      <c r="AY595" s="2">
        <f t="shared" si="110"/>
        <v>0</v>
      </c>
      <c r="AZ595" s="2">
        <f>AU595*0.5+AK595*0.5</f>
        <v>5.1785714285714289E-2</v>
      </c>
      <c r="BA595" s="2">
        <f>AV595*0.5+AJ595*0.5</f>
        <v>9.267787656513754E-2</v>
      </c>
      <c r="BB595" s="2">
        <f t="shared" si="111"/>
        <v>0</v>
      </c>
      <c r="BC595">
        <f>IF(I595="expected",1,0)</f>
        <v>0</v>
      </c>
      <c r="BD595" s="78">
        <f>IF(BC595=1,AZ595/SUMIFS(AZ$3:AZ$623,$BC$3:$BC$623,1,$G$3:$G$623,$G595),0)</f>
        <v>0</v>
      </c>
      <c r="BE595" s="78">
        <f>IF(BC595=1,BA595/SUMIFS(BA$3:BA$623,$BC$3:$BC$623,1,$G$3:$G$623,$G595),0)</f>
        <v>0</v>
      </c>
      <c r="BF595" s="78">
        <f t="shared" si="112"/>
        <v>0</v>
      </c>
      <c r="BG595" s="2">
        <f t="shared" si="113"/>
        <v>0</v>
      </c>
      <c r="BH595" s="2">
        <f t="shared" si="114"/>
        <v>0</v>
      </c>
      <c r="BI595" s="2">
        <f t="shared" si="115"/>
        <v>0</v>
      </c>
      <c r="BJ595" s="2">
        <f t="shared" si="116"/>
        <v>0</v>
      </c>
      <c r="BK595" s="2">
        <f t="shared" si="117"/>
        <v>0</v>
      </c>
      <c r="BL595" s="2">
        <f t="shared" si="118"/>
        <v>0</v>
      </c>
      <c r="BM595" s="2">
        <f t="shared" si="119"/>
        <v>0</v>
      </c>
      <c r="BN595" s="2">
        <f>BI595/SUMIFS(BI$3:BI$623,$BC$3:$BC$623,1,$G$3:$G$623,$G595)</f>
        <v>0</v>
      </c>
      <c r="BO595" s="2">
        <f>BJ595/SUMIFS(BJ$3:BJ$623,$BC$3:$BC$623,1,$G$3:$G$623,$G595)</f>
        <v>0</v>
      </c>
      <c r="BP595" s="2">
        <f>BK595/SUMIFS(BK$3:BK$623,$BC$3:$BC$623,1,$G$3:$G$623,$G595)</f>
        <v>0</v>
      </c>
      <c r="BQ595" s="2">
        <f>BL595</f>
        <v>0</v>
      </c>
      <c r="BR595" s="2">
        <f>BM595</f>
        <v>0</v>
      </c>
    </row>
    <row r="596" spans="1:70" hidden="1">
      <c r="A596" s="74">
        <v>0</v>
      </c>
      <c r="B596" s="73">
        <v>223844</v>
      </c>
      <c r="C596" s="73" t="s">
        <v>3344</v>
      </c>
      <c r="D596" s="73" t="s">
        <v>2411</v>
      </c>
      <c r="E596" s="73" t="s">
        <v>3345</v>
      </c>
      <c r="F596" s="73">
        <v>18648</v>
      </c>
      <c r="G596" s="73" t="s">
        <v>896</v>
      </c>
      <c r="H596" s="73" t="s">
        <v>929</v>
      </c>
      <c r="I596" s="73" t="s">
        <v>1012</v>
      </c>
      <c r="J596" s="73">
        <v>0</v>
      </c>
      <c r="K596" s="73">
        <v>4</v>
      </c>
      <c r="L596" s="73">
        <v>0</v>
      </c>
      <c r="M596" s="73">
        <v>0</v>
      </c>
      <c r="N596" s="73">
        <v>0</v>
      </c>
      <c r="O596" s="73" t="s">
        <v>994</v>
      </c>
      <c r="P596" s="73" t="s">
        <v>3346</v>
      </c>
      <c r="Q596" s="73" t="s">
        <v>808</v>
      </c>
      <c r="R596" s="73">
        <v>0</v>
      </c>
      <c r="S596" s="73">
        <v>0</v>
      </c>
      <c r="T596" s="73">
        <v>0</v>
      </c>
      <c r="U596" s="73">
        <v>0</v>
      </c>
      <c r="V596" s="73">
        <v>648</v>
      </c>
      <c r="W596" s="73">
        <v>3</v>
      </c>
      <c r="X596" s="73">
        <v>0</v>
      </c>
      <c r="Y596" s="73">
        <v>0</v>
      </c>
      <c r="Z596" s="73" t="s">
        <v>2927</v>
      </c>
      <c r="AA596" s="73" t="s">
        <v>691</v>
      </c>
      <c r="AB596" s="73" t="str">
        <f>IF(AA596&lt;&gt;"",INDEX(Lookup!$N$2:$N$5,MATCH(Players!AA596,Lookup!$P$2:$P$5,0)),INDEX(Lookup!$N$2:$N$5,MATCH(Players!O596,Lookup!$O$2:$O$5,0)))</f>
        <v>Midfield</v>
      </c>
      <c r="AC596" s="73">
        <v>2000000</v>
      </c>
      <c r="AD596" s="73" t="s">
        <v>788</v>
      </c>
      <c r="AE596" s="73" t="str">
        <f>INDEX('Translate table'!$H$2:$H$622,MATCH(Players!P596,'Translate table'!$G$2:$G$622,0))</f>
        <v>Jakub Brabec</v>
      </c>
      <c r="AF596" s="73">
        <f>IFERROR(INDEX('Euro Qual stats'!$A$1:$L$2071,MATCH(Players!$AE596,'Euro Qual stats'!$A$1:$A$2071,0),MATCH(Players!AF$2,'Euro Qual stats'!$A$1:$L$1,0)),0)</f>
        <v>3</v>
      </c>
      <c r="AG596" s="73">
        <f>IFERROR(INDEX('Euro Qual stats'!$A$1:$L$2071,MATCH(Players!$AE596,'Euro Qual stats'!$A$1:$A$2071,0),MATCH(Players!AG$2,'Euro Qual stats'!$A$1:$L$1,0)),0)</f>
        <v>0</v>
      </c>
      <c r="AH596" s="73">
        <f>IFERROR(INDEX('Euro Qual stats'!$A$1:$L$2071,MATCH(Players!$AE596,'Euro Qual stats'!$A$1:$A$2071,0),MATCH(Players!AH$2,'Euro Qual stats'!$A$1:$L$1,0)),0)</f>
        <v>0.4</v>
      </c>
      <c r="AI596" s="73">
        <f>IFERROR(INDEX('Euro Qual stats'!$A$1:$L$2071,MATCH(Players!$AE596,'Euro Qual stats'!$A$1:$A$2071,0),MATCH(Players!AI$2,'Euro Qual stats'!$A$1:$L$1,0)),0)</f>
        <v>0</v>
      </c>
      <c r="AJ596" s="93">
        <f>(12-AF596)/12*INDEX(BV$9:BV$12,MATCH($AB596,$BU$9:$BU$12,0))+AF596/12*AG596</f>
        <v>0.12651832460732984</v>
      </c>
      <c r="AK596" s="93">
        <f>(12-AG596)/12*INDEX(BW$9:BW$12,MATCH($AB596,$BU$9:$BU$12,0))+AG596/12*AH596</f>
        <v>0.22340314136125652</v>
      </c>
      <c r="AL596" s="93">
        <f>(12-AH596)/12*INDEX(BX$9:BX$12,MATCH($AB596,$BU$9:$BU$12,0))+AH596/12*AI596</f>
        <v>0.23144328097731243</v>
      </c>
      <c r="AM596" s="93">
        <f>IF($BC596=1,AJ596/SUMIFS(AJ$3:AJ$623,$BC$3:$BC$623,1,$G$3:$G$623,$G596),0)</f>
        <v>0</v>
      </c>
      <c r="AN596" s="93">
        <f>IF($BC596=1,AK596/SUMIFS(AK$3:AK$623,$BC$3:$BC$623,1,$G$3:$G$623,$G596),0)</f>
        <v>0</v>
      </c>
      <c r="AO596" s="93">
        <f>IF($BC596=1,AL596/SUMIFS(AL$3:AL$623,$BC$3:$BC$623,1,$G$3:$G$623,$G596),0)</f>
        <v>0</v>
      </c>
      <c r="AP596" s="2">
        <f>IFERROR(R596/$V596*90,"")</f>
        <v>0</v>
      </c>
      <c r="AQ596" s="2">
        <f>IFERROR(S596/$V596*90,"")</f>
        <v>0</v>
      </c>
      <c r="AR596" s="2">
        <f>IFERROR(W596/$V596*90,"")</f>
        <v>0.41666666666666663</v>
      </c>
      <c r="AS596" s="2">
        <f>IFERROR(X596/$V596*90,"")</f>
        <v>0</v>
      </c>
      <c r="AT596" s="2">
        <f>IFERROR(Y596/$V596*90,"")</f>
        <v>0</v>
      </c>
      <c r="AU596" s="2">
        <f>IF(AP596="",INDEX(BV$4:BV$7,MATCH(O596,$BU$4:$BU$7,0)),AP596)</f>
        <v>0</v>
      </c>
      <c r="AV596" s="2">
        <f>IF(AQ596="",INDEX(BW$4:BW$7,MATCH($O596,$BU$4:$BU$7,0)),AQ596)</f>
        <v>0</v>
      </c>
      <c r="AW596" s="2">
        <f t="shared" si="108"/>
        <v>0.41666666666666663</v>
      </c>
      <c r="AX596" s="2">
        <f t="shared" si="109"/>
        <v>0</v>
      </c>
      <c r="AY596" s="2">
        <f t="shared" si="110"/>
        <v>0</v>
      </c>
      <c r="AZ596" s="2">
        <f>AU596*0.5+AK596*0.5</f>
        <v>0.11170157068062826</v>
      </c>
      <c r="BA596" s="2">
        <f>AV596*0.5+AJ596*0.5</f>
        <v>6.325916230366492E-2</v>
      </c>
      <c r="BB596" s="2">
        <f t="shared" si="111"/>
        <v>0</v>
      </c>
      <c r="BC596">
        <f>IF(I596="expected",1,0)</f>
        <v>0</v>
      </c>
      <c r="BD596" s="78">
        <f>IF(BC596=1,AZ596/SUMIFS(AZ$3:AZ$623,$BC$3:$BC$623,1,$G$3:$G$623,$G596),0)</f>
        <v>0</v>
      </c>
      <c r="BE596" s="78">
        <f>IF(BC596=1,BA596/SUMIFS(BA$3:BA$623,$BC$3:$BC$623,1,$G$3:$G$623,$G596),0)</f>
        <v>0</v>
      </c>
      <c r="BF596" s="78">
        <f t="shared" si="112"/>
        <v>0</v>
      </c>
      <c r="BG596" s="2">
        <f t="shared" si="113"/>
        <v>0</v>
      </c>
      <c r="BH596" s="2">
        <f t="shared" si="114"/>
        <v>0</v>
      </c>
      <c r="BI596" s="2">
        <f t="shared" si="115"/>
        <v>0</v>
      </c>
      <c r="BJ596" s="2">
        <f t="shared" si="116"/>
        <v>0</v>
      </c>
      <c r="BK596" s="2">
        <f t="shared" si="117"/>
        <v>0</v>
      </c>
      <c r="BL596" s="2">
        <f t="shared" si="118"/>
        <v>0</v>
      </c>
      <c r="BM596" s="2">
        <f t="shared" si="119"/>
        <v>0</v>
      </c>
      <c r="BN596" s="2">
        <f>BI596/SUMIFS(BI$3:BI$623,$BC$3:$BC$623,1,$G$3:$G$623,$G596)</f>
        <v>0</v>
      </c>
      <c r="BO596" s="2">
        <f>BJ596/SUMIFS(BJ$3:BJ$623,$BC$3:$BC$623,1,$G$3:$G$623,$G596)</f>
        <v>0</v>
      </c>
      <c r="BP596" s="2">
        <f>BK596/SUMIFS(BK$3:BK$623,$BC$3:$BC$623,1,$G$3:$G$623,$G596)</f>
        <v>0</v>
      </c>
      <c r="BQ596" s="2">
        <f>BL596</f>
        <v>0</v>
      </c>
      <c r="BR596" s="2">
        <f>BM596</f>
        <v>0</v>
      </c>
    </row>
    <row r="597" spans="1:70" hidden="1">
      <c r="A597" s="74">
        <v>0</v>
      </c>
      <c r="B597" s="73">
        <v>223569</v>
      </c>
      <c r="C597" s="73" t="s">
        <v>3347</v>
      </c>
      <c r="D597" s="73" t="s">
        <v>3289</v>
      </c>
      <c r="E597" s="73" t="s">
        <v>3348</v>
      </c>
      <c r="F597" s="73">
        <v>18648</v>
      </c>
      <c r="G597" s="73" t="s">
        <v>896</v>
      </c>
      <c r="H597" s="73" t="s">
        <v>929</v>
      </c>
      <c r="I597" s="73" t="s">
        <v>1012</v>
      </c>
      <c r="J597" s="73">
        <v>0</v>
      </c>
      <c r="K597" s="73">
        <v>4</v>
      </c>
      <c r="L597" s="73">
        <v>0</v>
      </c>
      <c r="M597" s="73">
        <v>0</v>
      </c>
      <c r="N597" s="73">
        <v>0</v>
      </c>
      <c r="O597" s="73" t="s">
        <v>994</v>
      </c>
      <c r="P597" s="73" t="s">
        <v>3349</v>
      </c>
      <c r="Q597" s="73" t="s">
        <v>3350</v>
      </c>
      <c r="R597" s="73">
        <v>1</v>
      </c>
      <c r="S597" s="73">
        <v>2</v>
      </c>
      <c r="T597" s="73">
        <v>0</v>
      </c>
      <c r="U597" s="73">
        <v>0</v>
      </c>
      <c r="V597" s="73">
        <v>808</v>
      </c>
      <c r="W597" s="73">
        <v>3</v>
      </c>
      <c r="X597" s="73">
        <v>3</v>
      </c>
      <c r="Y597" s="73">
        <v>0</v>
      </c>
      <c r="Z597" s="73"/>
      <c r="AA597" s="73"/>
      <c r="AB597" s="73" t="str">
        <f>IF(AA597&lt;&gt;"",INDEX(Lookup!$N$2:$N$5,MATCH(Players!AA597,Lookup!$P$2:$P$5,0)),INDEX(Lookup!$N$2:$N$5,MATCH(Players!O597,Lookup!$O$2:$O$5,0)))</f>
        <v>Midfield</v>
      </c>
      <c r="AC597" s="73"/>
      <c r="AD597" s="73"/>
      <c r="AE597" s="73" t="str">
        <f>INDEX('Translate table'!$H$2:$H$622,MATCH(Players!P597,'Translate table'!$G$2:$G$622,0))</f>
        <v>LÃ¡szlÃ³ BÃ©nes</v>
      </c>
      <c r="AF597" s="73">
        <f>IFERROR(INDEX('Euro Qual stats'!$A$1:$L$2071,MATCH(Players!$AE597,'Euro Qual stats'!$A$1:$A$2071,0),MATCH(Players!AF$2,'Euro Qual stats'!$A$1:$L$1,0)),0)</f>
        <v>0</v>
      </c>
      <c r="AG597" s="73">
        <f>IFERROR(INDEX('Euro Qual stats'!$A$1:$L$2071,MATCH(Players!$AE597,'Euro Qual stats'!$A$1:$A$2071,0),MATCH(Players!AG$2,'Euro Qual stats'!$A$1:$L$1,0)),0)</f>
        <v>0</v>
      </c>
      <c r="AH597" s="73">
        <f>IFERROR(INDEX('Euro Qual stats'!$A$1:$L$2071,MATCH(Players!$AE597,'Euro Qual stats'!$A$1:$A$2071,0),MATCH(Players!AH$2,'Euro Qual stats'!$A$1:$L$1,0)),0)</f>
        <v>0</v>
      </c>
      <c r="AI597" s="73">
        <f>IFERROR(INDEX('Euro Qual stats'!$A$1:$L$2071,MATCH(Players!$AE597,'Euro Qual stats'!$A$1:$A$2071,0),MATCH(Players!AI$2,'Euro Qual stats'!$A$1:$L$1,0)),0)</f>
        <v>0</v>
      </c>
      <c r="AJ597" s="93">
        <f>(12-AF597)/12*INDEX(BV$9:BV$12,MATCH($AB597,$BU$9:$BU$12,0))+AF597/12*AG597</f>
        <v>0.16869109947643979</v>
      </c>
      <c r="AK597" s="93">
        <f>(12-AG597)/12*INDEX(BW$9:BW$12,MATCH($AB597,$BU$9:$BU$12,0))+AG597/12*AH597</f>
        <v>0.22340314136125652</v>
      </c>
      <c r="AL597" s="93">
        <f>(12-AH597)/12*INDEX(BX$9:BX$12,MATCH($AB597,$BU$9:$BU$12,0))+AH597/12*AI597</f>
        <v>0.23942408376963353</v>
      </c>
      <c r="AM597" s="93">
        <f>IF($BC597=1,AJ597/SUMIFS(AJ$3:AJ$623,$BC$3:$BC$623,1,$G$3:$G$623,$G597),0)</f>
        <v>0</v>
      </c>
      <c r="AN597" s="93">
        <f>IF($BC597=1,AK597/SUMIFS(AK$3:AK$623,$BC$3:$BC$623,1,$G$3:$G$623,$G597),0)</f>
        <v>0</v>
      </c>
      <c r="AO597" s="93">
        <f>IF($BC597=1,AL597/SUMIFS(AL$3:AL$623,$BC$3:$BC$623,1,$G$3:$G$623,$G597),0)</f>
        <v>0</v>
      </c>
      <c r="AP597" s="2">
        <f>IFERROR(R597/$V597*90,"")</f>
        <v>0.11138613861386139</v>
      </c>
      <c r="AQ597" s="2">
        <f>IFERROR(S597/$V597*90,"")</f>
        <v>0.22277227722772278</v>
      </c>
      <c r="AR597" s="2">
        <f>IFERROR(W597/$V597*90,"")</f>
        <v>0.33415841584158412</v>
      </c>
      <c r="AS597" s="2">
        <f>IFERROR(X597/$V597*90,"")</f>
        <v>0.33415841584158412</v>
      </c>
      <c r="AT597" s="2">
        <f>IFERROR(Y597/$V597*90,"")</f>
        <v>0</v>
      </c>
      <c r="AU597" s="2">
        <f>IF(AP597="",INDEX(BV$4:BV$7,MATCH(O597,$BU$4:$BU$7,0)),AP597)</f>
        <v>0.11138613861386139</v>
      </c>
      <c r="AV597" s="2">
        <f>IF(AQ597="",INDEX(BW$4:BW$7,MATCH($O597,$BU$4:$BU$7,0)),AQ597)</f>
        <v>0.22277227722772278</v>
      </c>
      <c r="AW597" s="2">
        <f t="shared" si="108"/>
        <v>0.33415841584158412</v>
      </c>
      <c r="AX597" s="2">
        <f t="shared" si="109"/>
        <v>0.33415841584158412</v>
      </c>
      <c r="AY597" s="2">
        <f t="shared" si="110"/>
        <v>0</v>
      </c>
      <c r="AZ597" s="2">
        <f>AU597*0.5+AK597*0.5</f>
        <v>0.16739463998755896</v>
      </c>
      <c r="BA597" s="2">
        <f>AV597*0.5+AJ597*0.5</f>
        <v>0.19573168835208127</v>
      </c>
      <c r="BB597" s="2">
        <f t="shared" si="111"/>
        <v>0.16707920792079206</v>
      </c>
      <c r="BC597">
        <f>IF(I597="expected",1,0)</f>
        <v>0</v>
      </c>
      <c r="BD597" s="78">
        <f>IF(BC597=1,AZ597/SUMIFS(AZ$3:AZ$623,$BC$3:$BC$623,1,$G$3:$G$623,$G597),0)</f>
        <v>0</v>
      </c>
      <c r="BE597" s="78">
        <f>IF(BC597=1,BA597/SUMIFS(BA$3:BA$623,$BC$3:$BC$623,1,$G$3:$G$623,$G597),0)</f>
        <v>0</v>
      </c>
      <c r="BF597" s="78">
        <f t="shared" si="112"/>
        <v>0</v>
      </c>
      <c r="BG597" s="2">
        <f t="shared" si="113"/>
        <v>0.16707920792079206</v>
      </c>
      <c r="BH597" s="2">
        <f t="shared" si="114"/>
        <v>0</v>
      </c>
      <c r="BI597" s="2">
        <f t="shared" si="115"/>
        <v>0</v>
      </c>
      <c r="BJ597" s="2">
        <f t="shared" si="116"/>
        <v>0</v>
      </c>
      <c r="BK597" s="2">
        <f t="shared" si="117"/>
        <v>0</v>
      </c>
      <c r="BL597" s="2">
        <f t="shared" si="118"/>
        <v>0.16707920792079206</v>
      </c>
      <c r="BM597" s="2">
        <f t="shared" si="119"/>
        <v>0</v>
      </c>
      <c r="BN597" s="2">
        <f>BI597/SUMIFS(BI$3:BI$623,$BC$3:$BC$623,1,$G$3:$G$623,$G597)</f>
        <v>0</v>
      </c>
      <c r="BO597" s="2">
        <f>BJ597/SUMIFS(BJ$3:BJ$623,$BC$3:$BC$623,1,$G$3:$G$623,$G597)</f>
        <v>0</v>
      </c>
      <c r="BP597" s="2">
        <f>BK597/SUMIFS(BK$3:BK$623,$BC$3:$BC$623,1,$G$3:$G$623,$G597)</f>
        <v>0</v>
      </c>
      <c r="BQ597" s="2">
        <f>BL597</f>
        <v>0.16707920792079206</v>
      </c>
      <c r="BR597" s="2">
        <f>BM597</f>
        <v>0</v>
      </c>
    </row>
    <row r="598" spans="1:70" hidden="1">
      <c r="A598" s="74">
        <v>0</v>
      </c>
      <c r="B598" s="73">
        <v>223568</v>
      </c>
      <c r="C598" s="73" t="s">
        <v>3351</v>
      </c>
      <c r="D598" s="73" t="s">
        <v>3352</v>
      </c>
      <c r="E598" s="73" t="s">
        <v>3353</v>
      </c>
      <c r="F598" s="73">
        <v>18648</v>
      </c>
      <c r="G598" s="73" t="s">
        <v>896</v>
      </c>
      <c r="H598" s="73" t="s">
        <v>929</v>
      </c>
      <c r="I598" s="73" t="s">
        <v>1012</v>
      </c>
      <c r="J598" s="73">
        <v>0</v>
      </c>
      <c r="K598" s="73">
        <v>4</v>
      </c>
      <c r="L598" s="73">
        <v>0</v>
      </c>
      <c r="M598" s="73">
        <v>0</v>
      </c>
      <c r="N598" s="73">
        <v>0</v>
      </c>
      <c r="O598" s="73" t="s">
        <v>994</v>
      </c>
      <c r="P598" s="73" t="s">
        <v>3354</v>
      </c>
      <c r="Q598" s="73" t="s">
        <v>3355</v>
      </c>
      <c r="R598" s="73">
        <v>2</v>
      </c>
      <c r="S598" s="73">
        <v>0</v>
      </c>
      <c r="T598" s="73">
        <v>0</v>
      </c>
      <c r="U598" s="73">
        <v>1</v>
      </c>
      <c r="V598" s="73">
        <v>2338</v>
      </c>
      <c r="W598" s="73">
        <v>3</v>
      </c>
      <c r="X598" s="73">
        <v>4</v>
      </c>
      <c r="Y598" s="73">
        <v>1</v>
      </c>
      <c r="Z598" s="73" t="s">
        <v>2927</v>
      </c>
      <c r="AA598" s="73" t="s">
        <v>691</v>
      </c>
      <c r="AB598" s="73" t="str">
        <f>IF(AA598&lt;&gt;"",INDEX(Lookup!$N$2:$N$5,MATCH(Players!AA598,Lookup!$P$2:$P$5,0)),INDEX(Lookup!$N$2:$N$5,MATCH(Players!O598,Lookup!$O$2:$O$5,0)))</f>
        <v>Midfield</v>
      </c>
      <c r="AC598" s="73">
        <v>2500000</v>
      </c>
      <c r="AD598" s="73" t="s">
        <v>788</v>
      </c>
      <c r="AE598" s="73" t="str">
        <f>INDEX('Translate table'!$H$2:$H$622,MATCH(Players!P598,'Translate table'!$G$2:$G$622,0))</f>
        <v>Vladimirs KameÅ¡s</v>
      </c>
      <c r="AF598" s="73">
        <f>IFERROR(INDEX('Euro Qual stats'!$A$1:$L$2071,MATCH(Players!$AE598,'Euro Qual stats'!$A$1:$A$2071,0),MATCH(Players!AF$2,'Euro Qual stats'!$A$1:$L$1,0)),0)</f>
        <v>7</v>
      </c>
      <c r="AG598" s="73">
        <f>IFERROR(INDEX('Euro Qual stats'!$A$1:$L$2071,MATCH(Players!$AE598,'Euro Qual stats'!$A$1:$A$2071,0),MATCH(Players!AG$2,'Euro Qual stats'!$A$1:$L$1,0)),0)</f>
        <v>0</v>
      </c>
      <c r="AH598" s="73">
        <f>IFERROR(INDEX('Euro Qual stats'!$A$1:$L$2071,MATCH(Players!$AE598,'Euro Qual stats'!$A$1:$A$2071,0),MATCH(Players!AH$2,'Euro Qual stats'!$A$1:$L$1,0)),0)</f>
        <v>0.17</v>
      </c>
      <c r="AI598" s="73">
        <f>IFERROR(INDEX('Euro Qual stats'!$A$1:$L$2071,MATCH(Players!$AE598,'Euro Qual stats'!$A$1:$A$2071,0),MATCH(Players!AI$2,'Euro Qual stats'!$A$1:$L$1,0)),0)</f>
        <v>0.33</v>
      </c>
      <c r="AJ598" s="93">
        <f>(12-AF598)/12*INDEX(BV$9:BV$12,MATCH($AB598,$BU$9:$BU$12,0))+AF598/12*AG598</f>
        <v>7.0287958115183249E-2</v>
      </c>
      <c r="AK598" s="93">
        <f>(12-AG598)/12*INDEX(BW$9:BW$12,MATCH($AB598,$BU$9:$BU$12,0))+AG598/12*AH598</f>
        <v>0.22340314136125652</v>
      </c>
      <c r="AL598" s="93">
        <f>(12-AH598)/12*INDEX(BX$9:BX$12,MATCH($AB598,$BU$9:$BU$12,0))+AH598/12*AI598</f>
        <v>0.24070724258289708</v>
      </c>
      <c r="AM598" s="93">
        <f>IF($BC598=1,AJ598/SUMIFS(AJ$3:AJ$623,$BC$3:$BC$623,1,$G$3:$G$623,$G598),0)</f>
        <v>0</v>
      </c>
      <c r="AN598" s="93">
        <f>IF($BC598=1,AK598/SUMIFS(AK$3:AK$623,$BC$3:$BC$623,1,$G$3:$G$623,$G598),0)</f>
        <v>0</v>
      </c>
      <c r="AO598" s="93">
        <f>IF($BC598=1,AL598/SUMIFS(AL$3:AL$623,$BC$3:$BC$623,1,$G$3:$G$623,$G598),0)</f>
        <v>0</v>
      </c>
      <c r="AP598" s="2">
        <f>IFERROR(R598/$V598*90,"")</f>
        <v>7.6988879384088965E-2</v>
      </c>
      <c r="AQ598" s="2">
        <f>IFERROR(S598/$V598*90,"")</f>
        <v>0</v>
      </c>
      <c r="AR598" s="2">
        <f>IFERROR(W598/$V598*90,"")</f>
        <v>0.11548331907613345</v>
      </c>
      <c r="AS598" s="2">
        <f>IFERROR(X598/$V598*90,"")</f>
        <v>0.15397775876817793</v>
      </c>
      <c r="AT598" s="2">
        <f>IFERROR(Y598/$V598*90,"")</f>
        <v>3.8494439692044483E-2</v>
      </c>
      <c r="AU598" s="2">
        <f>IF(AP598="",INDEX(BV$4:BV$7,MATCH(O598,$BU$4:$BU$7,0)),AP598)</f>
        <v>7.6988879384088965E-2</v>
      </c>
      <c r="AV598" s="2">
        <f>IF(AQ598="",INDEX(BW$4:BW$7,MATCH($O598,$BU$4:$BU$7,0)),AQ598)</f>
        <v>0</v>
      </c>
      <c r="AW598" s="2">
        <f t="shared" si="108"/>
        <v>0.11548331907613345</v>
      </c>
      <c r="AX598" s="2">
        <f t="shared" si="109"/>
        <v>0.15397775876817793</v>
      </c>
      <c r="AY598" s="2">
        <f t="shared" si="110"/>
        <v>3.8494439692044483E-2</v>
      </c>
      <c r="AZ598" s="2">
        <f>AU598*0.5+AK598*0.5</f>
        <v>0.15019601037267274</v>
      </c>
      <c r="BA598" s="2">
        <f>AV598*0.5+AJ598*0.5</f>
        <v>3.5143979057591625E-2</v>
      </c>
      <c r="BB598" s="2">
        <f t="shared" si="111"/>
        <v>0.24198887938408897</v>
      </c>
      <c r="BC598">
        <f>IF(I598="expected",1,0)</f>
        <v>0</v>
      </c>
      <c r="BD598" s="78">
        <f>IF(BC598=1,AZ598/SUMIFS(AZ$3:AZ$623,$BC$3:$BC$623,1,$G$3:$G$623,$G598),0)</f>
        <v>0</v>
      </c>
      <c r="BE598" s="78">
        <f>IF(BC598=1,BA598/SUMIFS(BA$3:BA$623,$BC$3:$BC$623,1,$G$3:$G$623,$G598),0)</f>
        <v>0</v>
      </c>
      <c r="BF598" s="78">
        <f t="shared" si="112"/>
        <v>0</v>
      </c>
      <c r="BG598" s="2">
        <f t="shared" si="113"/>
        <v>0.24198887938408897</v>
      </c>
      <c r="BH598" s="2">
        <f t="shared" si="114"/>
        <v>3.8494439692044483E-2</v>
      </c>
      <c r="BI598" s="2">
        <f t="shared" si="115"/>
        <v>0</v>
      </c>
      <c r="BJ598" s="2">
        <f t="shared" si="116"/>
        <v>0</v>
      </c>
      <c r="BK598" s="2">
        <f t="shared" si="117"/>
        <v>0</v>
      </c>
      <c r="BL598" s="2">
        <f t="shared" si="118"/>
        <v>0.24198887938408897</v>
      </c>
      <c r="BM598" s="2">
        <f t="shared" si="119"/>
        <v>3.8494439692044483E-2</v>
      </c>
      <c r="BN598" s="2">
        <f>BI598/SUMIFS(BI$3:BI$623,$BC$3:$BC$623,1,$G$3:$G$623,$G598)</f>
        <v>0</v>
      </c>
      <c r="BO598" s="2">
        <f>BJ598/SUMIFS(BJ$3:BJ$623,$BC$3:$BC$623,1,$G$3:$G$623,$G598)</f>
        <v>0</v>
      </c>
      <c r="BP598" s="2">
        <f>BK598/SUMIFS(BK$3:BK$623,$BC$3:$BC$623,1,$G$3:$G$623,$G598)</f>
        <v>0</v>
      </c>
      <c r="BQ598" s="2">
        <f>BL598</f>
        <v>0.24198887938408897</v>
      </c>
      <c r="BR598" s="2">
        <f>BM598</f>
        <v>3.8494439692044483E-2</v>
      </c>
    </row>
    <row r="599" spans="1:70" hidden="1">
      <c r="A599" s="74">
        <v>0</v>
      </c>
      <c r="B599" s="73">
        <v>213462</v>
      </c>
      <c r="C599" s="73" t="s">
        <v>3356</v>
      </c>
      <c r="D599" s="73" t="s">
        <v>3357</v>
      </c>
      <c r="E599" s="73" t="s">
        <v>3358</v>
      </c>
      <c r="F599" s="73">
        <v>18648</v>
      </c>
      <c r="G599" s="73" t="s">
        <v>896</v>
      </c>
      <c r="H599" s="73" t="s">
        <v>929</v>
      </c>
      <c r="I599" s="73" t="s">
        <v>1012</v>
      </c>
      <c r="J599" s="73">
        <v>0</v>
      </c>
      <c r="K599" s="73">
        <v>4</v>
      </c>
      <c r="L599" s="73">
        <v>0</v>
      </c>
      <c r="M599" s="73">
        <v>0</v>
      </c>
      <c r="N599" s="73">
        <v>0</v>
      </c>
      <c r="O599" s="73" t="s">
        <v>994</v>
      </c>
      <c r="P599" s="73" t="s">
        <v>3359</v>
      </c>
      <c r="Q599" s="73" t="s">
        <v>3360</v>
      </c>
      <c r="R599" s="73">
        <v>0</v>
      </c>
      <c r="S599" s="73">
        <v>0</v>
      </c>
      <c r="T599" s="73">
        <v>0</v>
      </c>
      <c r="U599" s="73">
        <v>0</v>
      </c>
      <c r="V599" s="73">
        <v>325</v>
      </c>
      <c r="W599" s="73">
        <v>5</v>
      </c>
      <c r="X599" s="73">
        <v>1</v>
      </c>
      <c r="Y599" s="73">
        <v>1</v>
      </c>
      <c r="Z599" s="73" t="s">
        <v>2927</v>
      </c>
      <c r="AA599" s="73" t="s">
        <v>691</v>
      </c>
      <c r="AB599" s="73" t="str">
        <f>IF(AA599&lt;&gt;"",INDEX(Lookup!$N$2:$N$5,MATCH(Players!AA599,Lookup!$P$2:$P$5,0)),INDEX(Lookup!$N$2:$N$5,MATCH(Players!O599,Lookup!$O$2:$O$5,0)))</f>
        <v>Midfield</v>
      </c>
      <c r="AC599" s="73">
        <v>2000000</v>
      </c>
      <c r="AD599" s="73" t="s">
        <v>788</v>
      </c>
      <c r="AE599" s="73" t="str">
        <f>INDEX('Translate table'!$H$2:$H$622,MATCH(Players!P599,'Translate table'!$G$2:$G$622,0))</f>
        <v>LukÃ¡Å¡ HaraslÃ­n</v>
      </c>
      <c r="AF599" s="73">
        <f>IFERROR(INDEX('Euro Qual stats'!$A$1:$L$2071,MATCH(Players!$AE599,'Euro Qual stats'!$A$1:$A$2071,0),MATCH(Players!AF$2,'Euro Qual stats'!$A$1:$L$1,0)),0)</f>
        <v>7</v>
      </c>
      <c r="AG599" s="73">
        <f>IFERROR(INDEX('Euro Qual stats'!$A$1:$L$2071,MATCH(Players!$AE599,'Euro Qual stats'!$A$1:$A$2071,0),MATCH(Players!AG$2,'Euro Qual stats'!$A$1:$L$1,0)),0)</f>
        <v>0</v>
      </c>
      <c r="AH599" s="73">
        <f>IFERROR(INDEX('Euro Qual stats'!$A$1:$L$2071,MATCH(Players!$AE599,'Euro Qual stats'!$A$1:$A$2071,0),MATCH(Players!AH$2,'Euro Qual stats'!$A$1:$L$1,0)),0)</f>
        <v>0</v>
      </c>
      <c r="AI599" s="73">
        <f>IFERROR(INDEX('Euro Qual stats'!$A$1:$L$2071,MATCH(Players!$AE599,'Euro Qual stats'!$A$1:$A$2071,0),MATCH(Players!AI$2,'Euro Qual stats'!$A$1:$L$1,0)),0)</f>
        <v>0.56000000000000005</v>
      </c>
      <c r="AJ599" s="93">
        <f>(12-AF599)/12*INDEX(BV$9:BV$12,MATCH($AB599,$BU$9:$BU$12,0))+AF599/12*AG599</f>
        <v>7.0287958115183249E-2</v>
      </c>
      <c r="AK599" s="93">
        <f>(12-AG599)/12*INDEX(BW$9:BW$12,MATCH($AB599,$BU$9:$BU$12,0))+AG599/12*AH599</f>
        <v>0.22340314136125652</v>
      </c>
      <c r="AL599" s="93">
        <f>(12-AH599)/12*INDEX(BX$9:BX$12,MATCH($AB599,$BU$9:$BU$12,0))+AH599/12*AI599</f>
        <v>0.23942408376963353</v>
      </c>
      <c r="AM599" s="93">
        <f>IF($BC599=1,AJ599/SUMIFS(AJ$3:AJ$623,$BC$3:$BC$623,1,$G$3:$G$623,$G599),0)</f>
        <v>0</v>
      </c>
      <c r="AN599" s="93">
        <f>IF($BC599=1,AK599/SUMIFS(AK$3:AK$623,$BC$3:$BC$623,1,$G$3:$G$623,$G599),0)</f>
        <v>0</v>
      </c>
      <c r="AO599" s="93">
        <f>IF($BC599=1,AL599/SUMIFS(AL$3:AL$623,$BC$3:$BC$623,1,$G$3:$G$623,$G599),0)</f>
        <v>0</v>
      </c>
      <c r="AP599" s="2">
        <f>IFERROR(R599/$V599*90,"")</f>
        <v>0</v>
      </c>
      <c r="AQ599" s="2">
        <f>IFERROR(S599/$V599*90,"")</f>
        <v>0</v>
      </c>
      <c r="AR599" s="2">
        <f>IFERROR(W599/$V599*90,"")</f>
        <v>1.3846153846153846</v>
      </c>
      <c r="AS599" s="2">
        <f>IFERROR(X599/$V599*90,"")</f>
        <v>0.27692307692307694</v>
      </c>
      <c r="AT599" s="2">
        <f>IFERROR(Y599/$V599*90,"")</f>
        <v>0.27692307692307694</v>
      </c>
      <c r="AU599" s="2">
        <f>IF(AP599="",INDEX(BV$4:BV$7,MATCH(O599,$BU$4:$BU$7,0)),AP599)</f>
        <v>0</v>
      </c>
      <c r="AV599" s="2">
        <f>IF(AQ599="",INDEX(BW$4:BW$7,MATCH($O599,$BU$4:$BU$7,0)),AQ599)</f>
        <v>0</v>
      </c>
      <c r="AW599" s="2">
        <f t="shared" si="108"/>
        <v>1.3846153846153846</v>
      </c>
      <c r="AX599" s="2">
        <f t="shared" si="109"/>
        <v>0.27692307692307694</v>
      </c>
      <c r="AY599" s="2">
        <f t="shared" si="110"/>
        <v>0.27692307692307694</v>
      </c>
      <c r="AZ599" s="2">
        <f>AU599*0.5+AK599*0.5</f>
        <v>0.11170157068062826</v>
      </c>
      <c r="BA599" s="2">
        <f>AV599*0.5+AJ599*0.5</f>
        <v>3.5143979057591625E-2</v>
      </c>
      <c r="BB599" s="2">
        <f t="shared" si="111"/>
        <v>0.4184615384615385</v>
      </c>
      <c r="BC599">
        <f>IF(I599="expected",1,0)</f>
        <v>0</v>
      </c>
      <c r="BD599" s="78">
        <f>IF(BC599=1,AZ599/SUMIFS(AZ$3:AZ$623,$BC$3:$BC$623,1,$G$3:$G$623,$G599),0)</f>
        <v>0</v>
      </c>
      <c r="BE599" s="78">
        <f>IF(BC599=1,BA599/SUMIFS(BA$3:BA$623,$BC$3:$BC$623,1,$G$3:$G$623,$G599),0)</f>
        <v>0</v>
      </c>
      <c r="BF599" s="78">
        <f t="shared" si="112"/>
        <v>0</v>
      </c>
      <c r="BG599" s="2">
        <f t="shared" si="113"/>
        <v>0.4184615384615385</v>
      </c>
      <c r="BH599" s="2">
        <f t="shared" si="114"/>
        <v>0.27692307692307694</v>
      </c>
      <c r="BI599" s="2">
        <f t="shared" si="115"/>
        <v>0</v>
      </c>
      <c r="BJ599" s="2">
        <f t="shared" si="116"/>
        <v>0</v>
      </c>
      <c r="BK599" s="2">
        <f t="shared" si="117"/>
        <v>0</v>
      </c>
      <c r="BL599" s="2">
        <f t="shared" si="118"/>
        <v>0.4184615384615385</v>
      </c>
      <c r="BM599" s="2">
        <f t="shared" si="119"/>
        <v>0.06</v>
      </c>
      <c r="BN599" s="2">
        <f>BI599/SUMIFS(BI$3:BI$623,$BC$3:$BC$623,1,$G$3:$G$623,$G599)</f>
        <v>0</v>
      </c>
      <c r="BO599" s="2">
        <f>BJ599/SUMIFS(BJ$3:BJ$623,$BC$3:$BC$623,1,$G$3:$G$623,$G599)</f>
        <v>0</v>
      </c>
      <c r="BP599" s="2">
        <f>BK599/SUMIFS(BK$3:BK$623,$BC$3:$BC$623,1,$G$3:$G$623,$G599)</f>
        <v>0</v>
      </c>
      <c r="BQ599" s="2">
        <f>BL599</f>
        <v>0.4184615384615385</v>
      </c>
      <c r="BR599" s="2">
        <f>BM599</f>
        <v>0.06</v>
      </c>
    </row>
    <row r="600" spans="1:70" hidden="1">
      <c r="A600" s="74">
        <v>0</v>
      </c>
      <c r="B600" s="73">
        <v>204925</v>
      </c>
      <c r="C600" s="73" t="s">
        <v>3361</v>
      </c>
      <c r="D600" s="73" t="s">
        <v>2095</v>
      </c>
      <c r="E600" s="73" t="s">
        <v>3362</v>
      </c>
      <c r="F600" s="73">
        <v>18648</v>
      </c>
      <c r="G600" s="73" t="s">
        <v>896</v>
      </c>
      <c r="H600" s="73" t="s">
        <v>929</v>
      </c>
      <c r="I600" s="73" t="s">
        <v>1012</v>
      </c>
      <c r="J600" s="73">
        <v>0</v>
      </c>
      <c r="K600" s="73">
        <v>4</v>
      </c>
      <c r="L600" s="73">
        <v>0</v>
      </c>
      <c r="M600" s="73">
        <v>0</v>
      </c>
      <c r="N600" s="73">
        <v>0</v>
      </c>
      <c r="O600" s="73" t="s">
        <v>994</v>
      </c>
      <c r="P600" s="73" t="s">
        <v>3363</v>
      </c>
      <c r="Q600" s="73" t="s">
        <v>3364</v>
      </c>
      <c r="R600" s="73">
        <v>0</v>
      </c>
      <c r="S600" s="73">
        <v>0</v>
      </c>
      <c r="T600" s="73">
        <v>0</v>
      </c>
      <c r="U600" s="73">
        <v>0</v>
      </c>
      <c r="V600" s="73">
        <v>24</v>
      </c>
      <c r="W600" s="73">
        <v>0</v>
      </c>
      <c r="X600" s="73">
        <v>0</v>
      </c>
      <c r="Y600" s="73">
        <v>0</v>
      </c>
      <c r="Z600" s="73" t="s">
        <v>2927</v>
      </c>
      <c r="AA600" s="73" t="s">
        <v>691</v>
      </c>
      <c r="AB600" s="73" t="str">
        <f>IF(AA600&lt;&gt;"",INDEX(Lookup!$N$2:$N$5,MATCH(Players!AA600,Lookup!$P$2:$P$5,0)),INDEX(Lookup!$N$2:$N$5,MATCH(Players!O600,Lookup!$O$2:$O$5,0)))</f>
        <v>Midfield</v>
      </c>
      <c r="AC600" s="73">
        <v>2500000</v>
      </c>
      <c r="AD600" s="73" t="s">
        <v>788</v>
      </c>
      <c r="AE600" s="73" t="str">
        <f>INDEX('Translate table'!$H$2:$H$622,MATCH(Players!P600,'Translate table'!$G$2:$G$622,0))</f>
        <v>Patrik Johannesen</v>
      </c>
      <c r="AF600" s="73">
        <f>IFERROR(INDEX('Euro Qual stats'!$A$1:$L$2071,MATCH(Players!$AE600,'Euro Qual stats'!$A$1:$A$2071,0),MATCH(Players!AF$2,'Euro Qual stats'!$A$1:$L$1,0)),0)</f>
        <v>3</v>
      </c>
      <c r="AG600" s="73">
        <f>IFERROR(INDEX('Euro Qual stats'!$A$1:$L$2071,MATCH(Players!$AE600,'Euro Qual stats'!$A$1:$A$2071,0),MATCH(Players!AG$2,'Euro Qual stats'!$A$1:$L$1,0)),0)</f>
        <v>0</v>
      </c>
      <c r="AH600" s="73">
        <f>IFERROR(INDEX('Euro Qual stats'!$A$1:$L$2071,MATCH(Players!$AE600,'Euro Qual stats'!$A$1:$A$2071,0),MATCH(Players!AH$2,'Euro Qual stats'!$A$1:$L$1,0)),0)</f>
        <v>0</v>
      </c>
      <c r="AI600" s="73">
        <f>IFERROR(INDEX('Euro Qual stats'!$A$1:$L$2071,MATCH(Players!$AE600,'Euro Qual stats'!$A$1:$A$2071,0),MATCH(Players!AI$2,'Euro Qual stats'!$A$1:$L$1,0)),0)</f>
        <v>0</v>
      </c>
      <c r="AJ600" s="93">
        <f>(12-AF600)/12*INDEX(BV$9:BV$12,MATCH($AB600,$BU$9:$BU$12,0))+AF600/12*AG600</f>
        <v>0.12651832460732984</v>
      </c>
      <c r="AK600" s="93">
        <f>(12-AG600)/12*INDEX(BW$9:BW$12,MATCH($AB600,$BU$9:$BU$12,0))+AG600/12*AH600</f>
        <v>0.22340314136125652</v>
      </c>
      <c r="AL600" s="93">
        <f>(12-AH600)/12*INDEX(BX$9:BX$12,MATCH($AB600,$BU$9:$BU$12,0))+AH600/12*AI600</f>
        <v>0.23942408376963353</v>
      </c>
      <c r="AM600" s="93">
        <f>IF($BC600=1,AJ600/SUMIFS(AJ$3:AJ$623,$BC$3:$BC$623,1,$G$3:$G$623,$G600),0)</f>
        <v>0</v>
      </c>
      <c r="AN600" s="93">
        <f>IF($BC600=1,AK600/SUMIFS(AK$3:AK$623,$BC$3:$BC$623,1,$G$3:$G$623,$G600),0)</f>
        <v>0</v>
      </c>
      <c r="AO600" s="93">
        <f>IF($BC600=1,AL600/SUMIFS(AL$3:AL$623,$BC$3:$BC$623,1,$G$3:$G$623,$G600),0)</f>
        <v>0</v>
      </c>
      <c r="AP600" s="2">
        <f>IFERROR(R600/$V600*90,"")</f>
        <v>0</v>
      </c>
      <c r="AQ600" s="2">
        <f>IFERROR(S600/$V600*90,"")</f>
        <v>0</v>
      </c>
      <c r="AR600" s="2">
        <f>IFERROR(W600/$V600*90,"")</f>
        <v>0</v>
      </c>
      <c r="AS600" s="2">
        <f>IFERROR(X600/$V600*90,"")</f>
        <v>0</v>
      </c>
      <c r="AT600" s="2">
        <f>IFERROR(Y600/$V600*90,"")</f>
        <v>0</v>
      </c>
      <c r="AU600" s="2">
        <f>IF(AP600="",INDEX(BV$4:BV$7,MATCH(O600,$BU$4:$BU$7,0)),AP600)</f>
        <v>0</v>
      </c>
      <c r="AV600" s="2">
        <f>IF(AQ600="",INDEX(BW$4:BW$7,MATCH($O600,$BU$4:$BU$7,0)),AQ600)</f>
        <v>0</v>
      </c>
      <c r="AW600" s="2">
        <f t="shared" si="108"/>
        <v>0</v>
      </c>
      <c r="AX600" s="2">
        <f t="shared" si="109"/>
        <v>0</v>
      </c>
      <c r="AY600" s="2">
        <f t="shared" si="110"/>
        <v>0</v>
      </c>
      <c r="AZ600" s="2">
        <f>AU600*0.5+AK600*0.5</f>
        <v>0.11170157068062826</v>
      </c>
      <c r="BA600" s="2">
        <f>AV600*0.5+AJ600*0.5</f>
        <v>6.325916230366492E-2</v>
      </c>
      <c r="BB600" s="2">
        <f t="shared" si="111"/>
        <v>0</v>
      </c>
      <c r="BC600">
        <f>IF(I600="expected",1,0)</f>
        <v>0</v>
      </c>
      <c r="BD600" s="78">
        <f>IF(BC600=1,AZ600/SUMIFS(AZ$3:AZ$623,$BC$3:$BC$623,1,$G$3:$G$623,$G600),0)</f>
        <v>0</v>
      </c>
      <c r="BE600" s="78">
        <f>IF(BC600=1,BA600/SUMIFS(BA$3:BA$623,$BC$3:$BC$623,1,$G$3:$G$623,$G600),0)</f>
        <v>0</v>
      </c>
      <c r="BF600" s="78">
        <f t="shared" si="112"/>
        <v>0</v>
      </c>
      <c r="BG600" s="2">
        <f t="shared" si="113"/>
        <v>0</v>
      </c>
      <c r="BH600" s="2">
        <f t="shared" si="114"/>
        <v>0</v>
      </c>
      <c r="BI600" s="2">
        <f t="shared" si="115"/>
        <v>0</v>
      </c>
      <c r="BJ600" s="2">
        <f t="shared" si="116"/>
        <v>0</v>
      </c>
      <c r="BK600" s="2">
        <f t="shared" si="117"/>
        <v>0</v>
      </c>
      <c r="BL600" s="2">
        <f t="shared" si="118"/>
        <v>0</v>
      </c>
      <c r="BM600" s="2">
        <f t="shared" si="119"/>
        <v>0</v>
      </c>
      <c r="BN600" s="2">
        <f>BI600/SUMIFS(BI$3:BI$623,$BC$3:$BC$623,1,$G$3:$G$623,$G600)</f>
        <v>0</v>
      </c>
      <c r="BO600" s="2">
        <f>BJ600/SUMIFS(BJ$3:BJ$623,$BC$3:$BC$623,1,$G$3:$G$623,$G600)</f>
        <v>0</v>
      </c>
      <c r="BP600" s="2">
        <f>BK600/SUMIFS(BK$3:BK$623,$BC$3:$BC$623,1,$G$3:$G$623,$G600)</f>
        <v>0</v>
      </c>
      <c r="BQ600" s="2">
        <f>BL600</f>
        <v>0</v>
      </c>
      <c r="BR600" s="2">
        <f>BM600</f>
        <v>0</v>
      </c>
    </row>
    <row r="601" spans="1:70" hidden="1">
      <c r="A601" s="74">
        <v>0</v>
      </c>
      <c r="B601" s="73">
        <v>204923</v>
      </c>
      <c r="C601" s="73" t="s">
        <v>3365</v>
      </c>
      <c r="D601" s="73" t="s">
        <v>3366</v>
      </c>
      <c r="E601" s="73" t="s">
        <v>3367</v>
      </c>
      <c r="F601" s="73">
        <v>18648</v>
      </c>
      <c r="G601" s="73" t="s">
        <v>896</v>
      </c>
      <c r="H601" s="73" t="s">
        <v>929</v>
      </c>
      <c r="I601" s="73" t="s">
        <v>1012</v>
      </c>
      <c r="J601" s="73">
        <v>0</v>
      </c>
      <c r="K601" s="73">
        <v>4</v>
      </c>
      <c r="L601" s="73">
        <v>0</v>
      </c>
      <c r="M601" s="73">
        <v>0</v>
      </c>
      <c r="N601" s="73">
        <v>0</v>
      </c>
      <c r="O601" s="73" t="s">
        <v>994</v>
      </c>
      <c r="P601" s="73" t="s">
        <v>3368</v>
      </c>
      <c r="Q601" s="73" t="s">
        <v>3369</v>
      </c>
      <c r="R601" s="73">
        <v>1</v>
      </c>
      <c r="S601" s="73">
        <v>6</v>
      </c>
      <c r="T601" s="73">
        <v>0</v>
      </c>
      <c r="U601" s="73">
        <v>8</v>
      </c>
      <c r="V601" s="73">
        <v>2139</v>
      </c>
      <c r="W601" s="73">
        <v>13</v>
      </c>
      <c r="X601" s="73">
        <v>2</v>
      </c>
      <c r="Y601" s="73">
        <v>1</v>
      </c>
      <c r="Z601" s="73" t="s">
        <v>2927</v>
      </c>
      <c r="AA601" s="73" t="s">
        <v>691</v>
      </c>
      <c r="AB601" s="73" t="str">
        <f>IF(AA601&lt;&gt;"",INDEX(Lookup!$N$2:$N$5,MATCH(Players!AA601,Lookup!$P$2:$P$5,0)),INDEX(Lookup!$N$2:$N$5,MATCH(Players!O601,Lookup!$O$2:$O$5,0)))</f>
        <v>Midfield</v>
      </c>
      <c r="AC601" s="73">
        <v>2500000</v>
      </c>
      <c r="AD601" s="73" t="s">
        <v>788</v>
      </c>
      <c r="AE601" s="73" t="str">
        <f>INDEX('Translate table'!$H$2:$H$622,MATCH(Players!P601,'Translate table'!$G$2:$G$622,0))</f>
        <v>JÃ¡n GreguÅ¡</v>
      </c>
      <c r="AF601" s="73">
        <f>IFERROR(INDEX('Euro Qual stats'!$A$1:$L$2071,MATCH(Players!$AE601,'Euro Qual stats'!$A$1:$A$2071,0),MATCH(Players!AF$2,'Euro Qual stats'!$A$1:$L$1,0)),0)</f>
        <v>4</v>
      </c>
      <c r="AG601" s="73">
        <f>IFERROR(INDEX('Euro Qual stats'!$A$1:$L$2071,MATCH(Players!$AE601,'Euro Qual stats'!$A$1:$A$2071,0),MATCH(Players!AG$2,'Euro Qual stats'!$A$1:$L$1,0)),0)</f>
        <v>0</v>
      </c>
      <c r="AH601" s="73">
        <f>IFERROR(INDEX('Euro Qual stats'!$A$1:$L$2071,MATCH(Players!$AE601,'Euro Qual stats'!$A$1:$A$2071,0),MATCH(Players!AH$2,'Euro Qual stats'!$A$1:$L$1,0)),0)</f>
        <v>0</v>
      </c>
      <c r="AI601" s="73">
        <f>IFERROR(INDEX('Euro Qual stats'!$A$1:$L$2071,MATCH(Players!$AE601,'Euro Qual stats'!$A$1:$A$2071,0),MATCH(Players!AI$2,'Euro Qual stats'!$A$1:$L$1,0)),0)</f>
        <v>0</v>
      </c>
      <c r="AJ601" s="93">
        <f>(12-AF601)/12*INDEX(BV$9:BV$12,MATCH($AB601,$BU$9:$BU$12,0))+AF601/12*AG601</f>
        <v>0.11246073298429318</v>
      </c>
      <c r="AK601" s="93">
        <f>(12-AG601)/12*INDEX(BW$9:BW$12,MATCH($AB601,$BU$9:$BU$12,0))+AG601/12*AH601</f>
        <v>0.22340314136125652</v>
      </c>
      <c r="AL601" s="93">
        <f>(12-AH601)/12*INDEX(BX$9:BX$12,MATCH($AB601,$BU$9:$BU$12,0))+AH601/12*AI601</f>
        <v>0.23942408376963353</v>
      </c>
      <c r="AM601" s="93">
        <f>IF($BC601=1,AJ601/SUMIFS(AJ$3:AJ$623,$BC$3:$BC$623,1,$G$3:$G$623,$G601),0)</f>
        <v>0</v>
      </c>
      <c r="AN601" s="93">
        <f>IF($BC601=1,AK601/SUMIFS(AK$3:AK$623,$BC$3:$BC$623,1,$G$3:$G$623,$G601),0)</f>
        <v>0</v>
      </c>
      <c r="AO601" s="93">
        <f>IF($BC601=1,AL601/SUMIFS(AL$3:AL$623,$BC$3:$BC$623,1,$G$3:$G$623,$G601),0)</f>
        <v>0</v>
      </c>
      <c r="AP601" s="2">
        <f>IFERROR(R601/$V601*90,"")</f>
        <v>4.2075736325385693E-2</v>
      </c>
      <c r="AQ601" s="2">
        <f>IFERROR(S601/$V601*90,"")</f>
        <v>0.25245441795231416</v>
      </c>
      <c r="AR601" s="2">
        <f>IFERROR(W601/$V601*90,"")</f>
        <v>0.54698457223001407</v>
      </c>
      <c r="AS601" s="2">
        <f>IFERROR(X601/$V601*90,"")</f>
        <v>8.4151472650771386E-2</v>
      </c>
      <c r="AT601" s="2">
        <f>IFERROR(Y601/$V601*90,"")</f>
        <v>4.2075736325385693E-2</v>
      </c>
      <c r="AU601" s="2">
        <f>IF(AP601="",INDEX(BV$4:BV$7,MATCH(O601,$BU$4:$BU$7,0)),AP601)</f>
        <v>4.2075736325385693E-2</v>
      </c>
      <c r="AV601" s="2">
        <f>IF(AQ601="",INDEX(BW$4:BW$7,MATCH($O601,$BU$4:$BU$7,0)),AQ601)</f>
        <v>0.25245441795231416</v>
      </c>
      <c r="AW601" s="2">
        <f t="shared" si="108"/>
        <v>0.54698457223001407</v>
      </c>
      <c r="AX601" s="2">
        <f t="shared" si="109"/>
        <v>8.4151472650771386E-2</v>
      </c>
      <c r="AY601" s="2">
        <f t="shared" si="110"/>
        <v>4.2075736325385693E-2</v>
      </c>
      <c r="AZ601" s="2">
        <f>AU601*0.5+AK601*0.5</f>
        <v>0.13273943884332112</v>
      </c>
      <c r="BA601" s="2">
        <f>AV601*0.5+AJ601*0.5</f>
        <v>0.18245757546830366</v>
      </c>
      <c r="BB601" s="2">
        <f t="shared" si="111"/>
        <v>4.2075736325385693E-2</v>
      </c>
      <c r="BC601">
        <f>IF(I601="expected",1,0)</f>
        <v>0</v>
      </c>
      <c r="BD601" s="78">
        <f>IF(BC601=1,AZ601/SUMIFS(AZ$3:AZ$623,$BC$3:$BC$623,1,$G$3:$G$623,$G601),0)</f>
        <v>0</v>
      </c>
      <c r="BE601" s="78">
        <f>IF(BC601=1,BA601/SUMIFS(BA$3:BA$623,$BC$3:$BC$623,1,$G$3:$G$623,$G601),0)</f>
        <v>0</v>
      </c>
      <c r="BF601" s="78">
        <f t="shared" si="112"/>
        <v>0</v>
      </c>
      <c r="BG601" s="2">
        <f t="shared" si="113"/>
        <v>4.2075736325385693E-2</v>
      </c>
      <c r="BH601" s="2">
        <f t="shared" si="114"/>
        <v>4.2075736325385693E-2</v>
      </c>
      <c r="BI601" s="2">
        <f t="shared" si="115"/>
        <v>0</v>
      </c>
      <c r="BJ601" s="2">
        <f t="shared" si="116"/>
        <v>0</v>
      </c>
      <c r="BK601" s="2">
        <f t="shared" si="117"/>
        <v>0</v>
      </c>
      <c r="BL601" s="2">
        <f t="shared" si="118"/>
        <v>4.2075736325385693E-2</v>
      </c>
      <c r="BM601" s="2">
        <f t="shared" si="119"/>
        <v>4.2075736325385693E-2</v>
      </c>
      <c r="BN601" s="2">
        <f>BI601/SUMIFS(BI$3:BI$623,$BC$3:$BC$623,1,$G$3:$G$623,$G601)</f>
        <v>0</v>
      </c>
      <c r="BO601" s="2">
        <f>BJ601/SUMIFS(BJ$3:BJ$623,$BC$3:$BC$623,1,$G$3:$G$623,$G601)</f>
        <v>0</v>
      </c>
      <c r="BP601" s="2">
        <f>BK601/SUMIFS(BK$3:BK$623,$BC$3:$BC$623,1,$G$3:$G$623,$G601)</f>
        <v>0</v>
      </c>
      <c r="BQ601" s="2">
        <f>BL601</f>
        <v>4.2075736325385693E-2</v>
      </c>
      <c r="BR601" s="2">
        <f>BM601</f>
        <v>4.2075736325385693E-2</v>
      </c>
    </row>
    <row r="602" spans="1:70" hidden="1">
      <c r="A602" s="74">
        <v>0</v>
      </c>
      <c r="B602" s="73">
        <v>204920</v>
      </c>
      <c r="C602" s="73" t="s">
        <v>3370</v>
      </c>
      <c r="D602" s="73" t="s">
        <v>3371</v>
      </c>
      <c r="E602" s="73" t="s">
        <v>3372</v>
      </c>
      <c r="F602" s="73">
        <v>18648</v>
      </c>
      <c r="G602" s="73" t="s">
        <v>896</v>
      </c>
      <c r="H602" s="73" t="s">
        <v>929</v>
      </c>
      <c r="I602" s="73" t="s">
        <v>981</v>
      </c>
      <c r="J602" s="73">
        <v>0</v>
      </c>
      <c r="K602" s="73">
        <v>4</v>
      </c>
      <c r="L602" s="73">
        <v>0</v>
      </c>
      <c r="M602" s="73">
        <v>0</v>
      </c>
      <c r="N602" s="73">
        <v>0</v>
      </c>
      <c r="O602" s="73" t="s">
        <v>994</v>
      </c>
      <c r="P602" s="73" t="s">
        <v>3373</v>
      </c>
      <c r="Q602" s="73" t="s">
        <v>3373</v>
      </c>
      <c r="R602" s="73">
        <v>0</v>
      </c>
      <c r="S602" s="73">
        <v>0</v>
      </c>
      <c r="T602" s="73">
        <v>0</v>
      </c>
      <c r="U602" s="73">
        <v>0</v>
      </c>
      <c r="V602" s="73">
        <v>140</v>
      </c>
      <c r="W602" s="73">
        <v>0</v>
      </c>
      <c r="X602" s="73">
        <v>2</v>
      </c>
      <c r="Y602" s="73">
        <v>0</v>
      </c>
      <c r="Z602" s="73" t="s">
        <v>2927</v>
      </c>
      <c r="AA602" s="73" t="s">
        <v>691</v>
      </c>
      <c r="AB602" s="73" t="str">
        <f>IF(AA602&lt;&gt;"",INDEX(Lookup!$N$2:$N$5,MATCH(Players!AA602,Lookup!$P$2:$P$5,0)),INDEX(Lookup!$N$2:$N$5,MATCH(Players!O602,Lookup!$O$2:$O$5,0)))</f>
        <v>Midfield</v>
      </c>
      <c r="AC602" s="73">
        <v>2000000</v>
      </c>
      <c r="AD602" s="73" t="s">
        <v>789</v>
      </c>
      <c r="AE602" s="73" t="str">
        <f>INDEX('Translate table'!$H$2:$H$622,MATCH(Players!P602,'Translate table'!$G$2:$G$622,0))</f>
        <v>Stanislav Lobotka</v>
      </c>
      <c r="AF602" s="73">
        <f>IFERROR(INDEX('Euro Qual stats'!$A$1:$L$2071,MATCH(Players!$AE602,'Euro Qual stats'!$A$1:$A$2071,0),MATCH(Players!AF$2,'Euro Qual stats'!$A$1:$L$1,0)),0)</f>
        <v>9</v>
      </c>
      <c r="AG602" s="73">
        <f>IFERROR(INDEX('Euro Qual stats'!$A$1:$L$2071,MATCH(Players!$AE602,'Euro Qual stats'!$A$1:$A$2071,0),MATCH(Players!AG$2,'Euro Qual stats'!$A$1:$L$1,0)),0)</f>
        <v>0.35</v>
      </c>
      <c r="AH602" s="73">
        <f>IFERROR(INDEX('Euro Qual stats'!$A$1:$L$2071,MATCH(Players!$AE602,'Euro Qual stats'!$A$1:$A$2071,0),MATCH(Players!AH$2,'Euro Qual stats'!$A$1:$L$1,0)),0)</f>
        <v>0.12</v>
      </c>
      <c r="AI602" s="73">
        <f>IFERROR(INDEX('Euro Qual stats'!$A$1:$L$2071,MATCH(Players!$AE602,'Euro Qual stats'!$A$1:$A$2071,0),MATCH(Players!AI$2,'Euro Qual stats'!$A$1:$L$1,0)),0)</f>
        <v>0.12</v>
      </c>
      <c r="AJ602" s="93">
        <f>(12-AF602)/12*INDEX(BV$9:BV$12,MATCH($AB602,$BU$9:$BU$12,0))+AF602/12*AG602</f>
        <v>0.30467277486910993</v>
      </c>
      <c r="AK602" s="93">
        <f>(12-AG602)/12*INDEX(BW$9:BW$12,MATCH($AB602,$BU$9:$BU$12,0))+AG602/12*AH602</f>
        <v>0.22038721640488654</v>
      </c>
      <c r="AL602" s="93">
        <f>(12-AH602)/12*INDEX(BX$9:BX$12,MATCH($AB602,$BU$9:$BU$12,0))+AH602/12*AI602</f>
        <v>0.23822984293193722</v>
      </c>
      <c r="AM602" s="93">
        <f>IF($BC602=1,AJ602/SUMIFS(AJ$3:AJ$623,$BC$3:$BC$623,1,$G$3:$G$623,$G602),0)</f>
        <v>0.22134963886687581</v>
      </c>
      <c r="AN602" s="93">
        <f>IF($BC602=1,AK602/SUMIFS(AK$3:AK$623,$BC$3:$BC$623,1,$G$3:$G$623,$G602),0)</f>
        <v>9.2952623818030683E-2</v>
      </c>
      <c r="AO602" s="93">
        <f>IF($BC602=1,AL602/SUMIFS(AL$3:AL$623,$BC$3:$BC$623,1,$G$3:$G$623,$G602),0)</f>
        <v>0.11538369341876328</v>
      </c>
      <c r="AP602" s="2">
        <f>IFERROR(R602/$V602*90,"")</f>
        <v>0</v>
      </c>
      <c r="AQ602" s="2">
        <f>IFERROR(S602/$V602*90,"")</f>
        <v>0</v>
      </c>
      <c r="AR602" s="2">
        <f>IFERROR(W602/$V602*90,"")</f>
        <v>0</v>
      </c>
      <c r="AS602" s="2">
        <f>IFERROR(X602/$V602*90,"")</f>
        <v>1.2857142857142856</v>
      </c>
      <c r="AT602" s="2">
        <f>IFERROR(Y602/$V602*90,"")</f>
        <v>0</v>
      </c>
      <c r="AU602" s="2">
        <f>IF(AP602="",INDEX(BV$4:BV$7,MATCH(O602,$BU$4:$BU$7,0)),AP602)</f>
        <v>0</v>
      </c>
      <c r="AV602" s="2">
        <f>IF(AQ602="",INDEX(BW$4:BW$7,MATCH($O602,$BU$4:$BU$7,0)),AQ602)</f>
        <v>0</v>
      </c>
      <c r="AW602" s="2">
        <f t="shared" si="108"/>
        <v>0</v>
      </c>
      <c r="AX602" s="2">
        <f t="shared" si="109"/>
        <v>1.2857142857142856</v>
      </c>
      <c r="AY602" s="2">
        <f t="shared" si="110"/>
        <v>0</v>
      </c>
      <c r="AZ602" s="2">
        <f>AU602*0.5+AK602*0.5</f>
        <v>0.11019360820244327</v>
      </c>
      <c r="BA602" s="2">
        <f>AV602*0.5+AJ602*0.5</f>
        <v>0.15233638743455497</v>
      </c>
      <c r="BB602" s="2">
        <f t="shared" si="111"/>
        <v>0.70285714285714285</v>
      </c>
      <c r="BC602">
        <f>IF(I602="expected",1,0)</f>
        <v>1</v>
      </c>
      <c r="BD602" s="78">
        <f>IF(BC602=1,AZ602/SUMIFS(AZ$3:AZ$623,$BC$3:$BC$623,1,$G$3:$G$623,$G602),0)</f>
        <v>5.5555602767993956E-2</v>
      </c>
      <c r="BE602" s="78">
        <f>IF(BC602=1,BA602/SUMIFS(BA$3:BA$623,$BC$3:$BC$623,1,$G$3:$G$623,$G602),0)</f>
        <v>0.17488216870723181</v>
      </c>
      <c r="BF602" s="78">
        <f t="shared" si="112"/>
        <v>0</v>
      </c>
      <c r="BG602" s="2">
        <f t="shared" si="113"/>
        <v>0.70285714285714285</v>
      </c>
      <c r="BH602" s="2">
        <f t="shared" si="114"/>
        <v>0</v>
      </c>
      <c r="BI602" s="2">
        <f t="shared" si="115"/>
        <v>5.5555602767993956E-2</v>
      </c>
      <c r="BJ602" s="2">
        <f t="shared" si="116"/>
        <v>0.17488216870723181</v>
      </c>
      <c r="BK602" s="2">
        <f t="shared" si="117"/>
        <v>0</v>
      </c>
      <c r="BL602" s="2">
        <f t="shared" si="118"/>
        <v>0.70285714285714285</v>
      </c>
      <c r="BM602" s="2">
        <f t="shared" si="119"/>
        <v>0</v>
      </c>
      <c r="BN602" s="2">
        <f>BI602/SUMIFS(BI$3:BI$623,$BC$3:$BC$623,1,$G$3:$G$623,$G602)</f>
        <v>5.5555602767993942E-2</v>
      </c>
      <c r="BO602" s="2">
        <f>BJ602/SUMIFS(BJ$3:BJ$623,$BC$3:$BC$623,1,$G$3:$G$623,$G602)</f>
        <v>0.17488216870723181</v>
      </c>
      <c r="BP602" s="2">
        <f>BK602/SUMIFS(BK$3:BK$623,$BC$3:$BC$623,1,$G$3:$G$623,$G602)</f>
        <v>0</v>
      </c>
      <c r="BQ602" s="2">
        <f>BL602</f>
        <v>0.70285714285714285</v>
      </c>
      <c r="BR602" s="2">
        <f>BM602</f>
        <v>0</v>
      </c>
    </row>
    <row r="603" spans="1:70" hidden="1">
      <c r="A603" s="74">
        <v>0</v>
      </c>
      <c r="B603" s="73">
        <v>204917</v>
      </c>
      <c r="C603" s="73" t="s">
        <v>3374</v>
      </c>
      <c r="D603" s="73" t="s">
        <v>2423</v>
      </c>
      <c r="E603" s="73" t="s">
        <v>3375</v>
      </c>
      <c r="F603" s="73">
        <v>18648</v>
      </c>
      <c r="G603" s="73" t="s">
        <v>896</v>
      </c>
      <c r="H603" s="73" t="s">
        <v>929</v>
      </c>
      <c r="I603" s="73" t="s">
        <v>1012</v>
      </c>
      <c r="J603" s="73">
        <v>0</v>
      </c>
      <c r="K603" s="73">
        <v>4</v>
      </c>
      <c r="L603" s="73">
        <v>0</v>
      </c>
      <c r="M603" s="73">
        <v>0</v>
      </c>
      <c r="N603" s="73">
        <v>0</v>
      </c>
      <c r="O603" s="73" t="s">
        <v>994</v>
      </c>
      <c r="P603" s="73" t="s">
        <v>3376</v>
      </c>
      <c r="Q603" s="73" t="s">
        <v>1164</v>
      </c>
      <c r="R603" s="73"/>
      <c r="S603" s="73"/>
      <c r="T603" s="73"/>
      <c r="U603" s="73"/>
      <c r="V603" s="73"/>
      <c r="W603" s="73"/>
      <c r="X603" s="73"/>
      <c r="Y603" s="73"/>
      <c r="Z603" s="73" t="s">
        <v>2927</v>
      </c>
      <c r="AA603" s="73" t="s">
        <v>691</v>
      </c>
      <c r="AB603" s="73" t="str">
        <f>IF(AA603&lt;&gt;"",INDEX(Lookup!$N$2:$N$5,MATCH(Players!AA603,Lookup!$P$2:$P$5,0)),INDEX(Lookup!$N$2:$N$5,MATCH(Players!O603,Lookup!$O$2:$O$5,0)))</f>
        <v>Midfield</v>
      </c>
      <c r="AC603" s="73">
        <v>2000000</v>
      </c>
      <c r="AD603" s="73" t="s">
        <v>788</v>
      </c>
      <c r="AE603" s="73" t="str">
        <f>INDEX('Translate table'!$H$2:$H$622,MATCH(Players!P603,'Translate table'!$G$2:$G$622,0))</f>
        <v>TomÃ¡Å¡ Suslov</v>
      </c>
      <c r="AF603" s="73">
        <f>IFERROR(INDEX('Euro Qual stats'!$A$1:$L$2071,MATCH(Players!$AE603,'Euro Qual stats'!$A$1:$A$2071,0),MATCH(Players!AF$2,'Euro Qual stats'!$A$1:$L$1,0)),0)</f>
        <v>0</v>
      </c>
      <c r="AG603" s="73">
        <f>IFERROR(INDEX('Euro Qual stats'!$A$1:$L$2071,MATCH(Players!$AE603,'Euro Qual stats'!$A$1:$A$2071,0),MATCH(Players!AG$2,'Euro Qual stats'!$A$1:$L$1,0)),0)</f>
        <v>0</v>
      </c>
      <c r="AH603" s="73">
        <f>IFERROR(INDEX('Euro Qual stats'!$A$1:$L$2071,MATCH(Players!$AE603,'Euro Qual stats'!$A$1:$A$2071,0),MATCH(Players!AH$2,'Euro Qual stats'!$A$1:$L$1,0)),0)</f>
        <v>0</v>
      </c>
      <c r="AI603" s="73">
        <f>IFERROR(INDEX('Euro Qual stats'!$A$1:$L$2071,MATCH(Players!$AE603,'Euro Qual stats'!$A$1:$A$2071,0),MATCH(Players!AI$2,'Euro Qual stats'!$A$1:$L$1,0)),0)</f>
        <v>0</v>
      </c>
      <c r="AJ603" s="93">
        <f>(12-AF603)/12*INDEX(BV$9:BV$12,MATCH($AB603,$BU$9:$BU$12,0))+AF603/12*AG603</f>
        <v>0.16869109947643979</v>
      </c>
      <c r="AK603" s="93">
        <f>(12-AG603)/12*INDEX(BW$9:BW$12,MATCH($AB603,$BU$9:$BU$12,0))+AG603/12*AH603</f>
        <v>0.22340314136125652</v>
      </c>
      <c r="AL603" s="93">
        <f>(12-AH603)/12*INDEX(BX$9:BX$12,MATCH($AB603,$BU$9:$BU$12,0))+AH603/12*AI603</f>
        <v>0.23942408376963353</v>
      </c>
      <c r="AM603" s="93">
        <f>IF($BC603=1,AJ603/SUMIFS(AJ$3:AJ$623,$BC$3:$BC$623,1,$G$3:$G$623,$G603),0)</f>
        <v>0</v>
      </c>
      <c r="AN603" s="93">
        <f>IF($BC603=1,AK603/SUMIFS(AK$3:AK$623,$BC$3:$BC$623,1,$G$3:$G$623,$G603),0)</f>
        <v>0</v>
      </c>
      <c r="AO603" s="93">
        <f>IF($BC603=1,AL603/SUMIFS(AL$3:AL$623,$BC$3:$BC$623,1,$G$3:$G$623,$G603),0)</f>
        <v>0</v>
      </c>
      <c r="AP603" s="2" t="str">
        <f>IFERROR(R603/$V603*90,"")</f>
        <v/>
      </c>
      <c r="AQ603" s="2" t="str">
        <f>IFERROR(S603/$V603*90,"")</f>
        <v/>
      </c>
      <c r="AR603" s="2" t="str">
        <f>IFERROR(W603/$V603*90,"")</f>
        <v/>
      </c>
      <c r="AS603" s="2" t="str">
        <f>IFERROR(X603/$V603*90,"")</f>
        <v/>
      </c>
      <c r="AT603" s="2" t="str">
        <f>IFERROR(Y603/$V603*90,"")</f>
        <v/>
      </c>
      <c r="AU603" s="2">
        <f>IF(AP603="",INDEX(BV$4:BV$7,MATCH(O603,$BU$4:$BU$7,0)),AP603)</f>
        <v>3.6526142445450806E-2</v>
      </c>
      <c r="AV603" s="2">
        <f>IF(AQ603="",INDEX(BW$4:BW$7,MATCH($O603,$BU$4:$BU$7,0)),AQ603)</f>
        <v>3.2427739661688867E-2</v>
      </c>
      <c r="AW603" s="2">
        <f t="shared" si="108"/>
        <v>0.20013349649571699</v>
      </c>
      <c r="AX603" s="2">
        <f t="shared" si="109"/>
        <v>0.16081000595592615</v>
      </c>
      <c r="AY603" s="2">
        <f t="shared" si="110"/>
        <v>0</v>
      </c>
      <c r="AZ603" s="2">
        <f>AU603*0.5+AK603*0.5</f>
        <v>0.12996464190335366</v>
      </c>
      <c r="BA603" s="2">
        <f>AV603*0.5+AJ603*0.5</f>
        <v>0.10055941956906433</v>
      </c>
      <c r="BB603" s="2">
        <f t="shared" si="111"/>
        <v>8.0405002977963075E-2</v>
      </c>
      <c r="BC603">
        <f>IF(I603="expected",1,0)</f>
        <v>0</v>
      </c>
      <c r="BD603" s="78">
        <f>IF(BC603=1,AZ603/SUMIFS(AZ$3:AZ$623,$BC$3:$BC$623,1,$G$3:$G$623,$G603),0)</f>
        <v>0</v>
      </c>
      <c r="BE603" s="78">
        <f>IF(BC603=1,BA603/SUMIFS(BA$3:BA$623,$BC$3:$BC$623,1,$G$3:$G$623,$G603),0)</f>
        <v>0</v>
      </c>
      <c r="BF603" s="78">
        <f t="shared" si="112"/>
        <v>0</v>
      </c>
      <c r="BG603" s="2">
        <f t="shared" si="113"/>
        <v>8.0405002977963075E-2</v>
      </c>
      <c r="BH603" s="2">
        <f t="shared" si="114"/>
        <v>0</v>
      </c>
      <c r="BI603" s="2">
        <f t="shared" si="115"/>
        <v>0</v>
      </c>
      <c r="BJ603" s="2">
        <f t="shared" si="116"/>
        <v>0</v>
      </c>
      <c r="BK603" s="2">
        <f t="shared" si="117"/>
        <v>0</v>
      </c>
      <c r="BL603" s="2">
        <f t="shared" si="118"/>
        <v>8.0405002977963075E-2</v>
      </c>
      <c r="BM603" s="2">
        <f t="shared" si="119"/>
        <v>0</v>
      </c>
      <c r="BN603" s="2">
        <f>BI603/SUMIFS(BI$3:BI$623,$BC$3:$BC$623,1,$G$3:$G$623,$G603)</f>
        <v>0</v>
      </c>
      <c r="BO603" s="2">
        <f>BJ603/SUMIFS(BJ$3:BJ$623,$BC$3:$BC$623,1,$G$3:$G$623,$G603)</f>
        <v>0</v>
      </c>
      <c r="BP603" s="2">
        <f>BK603/SUMIFS(BK$3:BK$623,$BC$3:$BC$623,1,$G$3:$G$623,$G603)</f>
        <v>0</v>
      </c>
      <c r="BQ603" s="2">
        <f>BL603</f>
        <v>8.0405002977963075E-2</v>
      </c>
      <c r="BR603" s="2">
        <f>BM603</f>
        <v>0</v>
      </c>
    </row>
    <row r="604" spans="1:70" hidden="1">
      <c r="A604" s="74">
        <v>0</v>
      </c>
      <c r="B604" s="73">
        <v>213463</v>
      </c>
      <c r="C604" s="73" t="s">
        <v>3377</v>
      </c>
      <c r="D604" s="73" t="s">
        <v>2937</v>
      </c>
      <c r="E604" s="73" t="s">
        <v>3378</v>
      </c>
      <c r="F604" s="73">
        <v>18648</v>
      </c>
      <c r="G604" s="73" t="s">
        <v>896</v>
      </c>
      <c r="H604" s="73" t="s">
        <v>929</v>
      </c>
      <c r="I604" s="73" t="s">
        <v>981</v>
      </c>
      <c r="J604" s="73">
        <v>0</v>
      </c>
      <c r="K604" s="73">
        <v>4</v>
      </c>
      <c r="L604" s="73">
        <v>0</v>
      </c>
      <c r="M604" s="73">
        <v>0</v>
      </c>
      <c r="N604" s="73">
        <v>0</v>
      </c>
      <c r="O604" s="73" t="s">
        <v>982</v>
      </c>
      <c r="P604" s="73" t="s">
        <v>3379</v>
      </c>
      <c r="Q604" s="73" t="s">
        <v>3380</v>
      </c>
      <c r="R604" s="73">
        <v>12</v>
      </c>
      <c r="S604" s="73">
        <v>1</v>
      </c>
      <c r="T604" s="73">
        <v>0</v>
      </c>
      <c r="U604" s="73">
        <v>1</v>
      </c>
      <c r="V604" s="73">
        <v>1931</v>
      </c>
      <c r="W604" s="73">
        <v>29</v>
      </c>
      <c r="X604" s="73">
        <v>1</v>
      </c>
      <c r="Y604" s="73">
        <v>0</v>
      </c>
      <c r="Z604" s="73" t="s">
        <v>2927</v>
      </c>
      <c r="AA604" s="73" t="s">
        <v>693</v>
      </c>
      <c r="AB604" s="73" t="str">
        <f>IF(AA604&lt;&gt;"",INDEX(Lookup!$N$2:$N$5,MATCH(Players!AA604,Lookup!$P$2:$P$5,0)),INDEX(Lookup!$N$2:$N$5,MATCH(Players!O604,Lookup!$O$2:$O$5,0)))</f>
        <v>Striker</v>
      </c>
      <c r="AC604" s="73">
        <v>3000000</v>
      </c>
      <c r="AD604" s="73" t="s">
        <v>788</v>
      </c>
      <c r="AE604" s="73" t="str">
        <f>INDEX('Translate table'!$H$2:$H$622,MATCH(Players!P604,'Translate table'!$G$2:$G$622,0))</f>
        <v>Sergi Roberto</v>
      </c>
      <c r="AF604" s="73">
        <f>IFERROR(INDEX('Euro Qual stats'!$A$1:$L$2071,MATCH(Players!$AE604,'Euro Qual stats'!$A$1:$A$2071,0),MATCH(Players!AF$2,'Euro Qual stats'!$A$1:$L$1,0)),0)</f>
        <v>2</v>
      </c>
      <c r="AG604" s="73">
        <f>IFERROR(INDEX('Euro Qual stats'!$A$1:$L$2071,MATCH(Players!$AE604,'Euro Qual stats'!$A$1:$A$2071,0),MATCH(Players!AG$2,'Euro Qual stats'!$A$1:$L$1,0)),0)</f>
        <v>0</v>
      </c>
      <c r="AH604" s="73">
        <f>IFERROR(INDEX('Euro Qual stats'!$A$1:$L$2071,MATCH(Players!$AE604,'Euro Qual stats'!$A$1:$A$2071,0),MATCH(Players!AH$2,'Euro Qual stats'!$A$1:$L$1,0)),0)</f>
        <v>0</v>
      </c>
      <c r="AI604" s="73">
        <f>IFERROR(INDEX('Euro Qual stats'!$A$1:$L$2071,MATCH(Players!$AE604,'Euro Qual stats'!$A$1:$A$2071,0),MATCH(Players!AI$2,'Euro Qual stats'!$A$1:$L$1,0)),0)</f>
        <v>0</v>
      </c>
      <c r="AJ604" s="93">
        <f>(12-AF604)/12*INDEX(BV$9:BV$12,MATCH($AB604,$BU$9:$BU$12,0))+AF604/12*AG604</f>
        <v>0.1707614942528736</v>
      </c>
      <c r="AK604" s="93">
        <f>(12-AG604)/12*INDEX(BW$9:BW$12,MATCH($AB604,$BU$9:$BU$12,0))+AG604/12*AH604</f>
        <v>0.53387931034482738</v>
      </c>
      <c r="AL604" s="93">
        <f>(12-AH604)/12*INDEX(BX$9:BX$12,MATCH($AB604,$BU$9:$BU$12,0))+AH604/12*AI604</f>
        <v>0.16482758620689658</v>
      </c>
      <c r="AM604" s="93">
        <f>IF($BC604=1,AJ604/SUMIFS(AJ$3:AJ$623,$BC$3:$BC$623,1,$G$3:$G$623,$G604),0)</f>
        <v>0.12406095392501022</v>
      </c>
      <c r="AN604" s="93">
        <f>IF($BC604=1,AK604/SUMIFS(AK$3:AK$623,$BC$3:$BC$623,1,$G$3:$G$623,$G604),0)</f>
        <v>0.22517405277964242</v>
      </c>
      <c r="AO604" s="93">
        <f>IF($BC604=1,AL604/SUMIFS(AL$3:AL$623,$BC$3:$BC$623,1,$G$3:$G$623,$G604),0)</f>
        <v>7.9832213461539056E-2</v>
      </c>
      <c r="AP604" s="2">
        <f>IFERROR(R604/$V604*90,"")</f>
        <v>0.55929570170895904</v>
      </c>
      <c r="AQ604" s="2">
        <f>IFERROR(S604/$V604*90,"")</f>
        <v>4.6607975142413251E-2</v>
      </c>
      <c r="AR604" s="2">
        <f>IFERROR(W604/$V604*90,"")</f>
        <v>1.3516312791299845</v>
      </c>
      <c r="AS604" s="2">
        <f>IFERROR(X604/$V604*90,"")</f>
        <v>4.6607975142413251E-2</v>
      </c>
      <c r="AT604" s="2">
        <f>IFERROR(Y604/$V604*90,"")</f>
        <v>0</v>
      </c>
      <c r="AU604" s="2">
        <f>IF(AP604="",INDEX(BV$4:BV$7,MATCH(O604,$BU$4:$BU$7,0)),AP604)</f>
        <v>0.55929570170895904</v>
      </c>
      <c r="AV604" s="2">
        <f>IF(AQ604="",INDEX(BW$4:BW$7,MATCH($O604,$BU$4:$BU$7,0)),AQ604)</f>
        <v>4.6607975142413251E-2</v>
      </c>
      <c r="AW604" s="2">
        <f t="shared" si="108"/>
        <v>1.3516312791299845</v>
      </c>
      <c r="AX604" s="2">
        <f t="shared" si="109"/>
        <v>4.6607975142413251E-2</v>
      </c>
      <c r="AY604" s="2">
        <f t="shared" si="110"/>
        <v>0</v>
      </c>
      <c r="AZ604" s="2">
        <f>AU604*0.5+AK604*0.5</f>
        <v>0.54658750602689321</v>
      </c>
      <c r="BA604" s="2">
        <f>AV604*0.5+AJ604*0.5</f>
        <v>0.10868473469764342</v>
      </c>
      <c r="BB604" s="2">
        <f t="shared" si="111"/>
        <v>2.3303987571206625E-2</v>
      </c>
      <c r="BC604">
        <f>IF(I604="expected",1,0)</f>
        <v>1</v>
      </c>
      <c r="BD604" s="78">
        <f>IF(BC604=1,AZ604/SUMIFS(AZ$3:AZ$623,$BC$3:$BC$623,1,$G$3:$G$623,$G604),0)</f>
        <v>0.27556950768860738</v>
      </c>
      <c r="BE604" s="78">
        <f>IF(BC604=1,BA604/SUMIFS(BA$3:BA$623,$BC$3:$BC$623,1,$G$3:$G$623,$G604),0)</f>
        <v>0.12477007253082976</v>
      </c>
      <c r="BF604" s="78">
        <f t="shared" si="112"/>
        <v>0.21433667022042555</v>
      </c>
      <c r="BG604" s="2">
        <f t="shared" si="113"/>
        <v>2.3303987571206625E-2</v>
      </c>
      <c r="BH604" s="2">
        <f t="shared" si="114"/>
        <v>0</v>
      </c>
      <c r="BI604" s="2">
        <f t="shared" si="115"/>
        <v>0.27556950768860738</v>
      </c>
      <c r="BJ604" s="2">
        <f t="shared" si="116"/>
        <v>0.12477007253082976</v>
      </c>
      <c r="BK604" s="2">
        <f t="shared" si="117"/>
        <v>0.21433667022042555</v>
      </c>
      <c r="BL604" s="2">
        <f t="shared" si="118"/>
        <v>2.3303987571206625E-2</v>
      </c>
      <c r="BM604" s="2">
        <f t="shared" si="119"/>
        <v>0</v>
      </c>
      <c r="BN604" s="2">
        <f>BI604/SUMIFS(BI$3:BI$623,$BC$3:$BC$623,1,$G$3:$G$623,$G604)</f>
        <v>0.27556950768860733</v>
      </c>
      <c r="BO604" s="2">
        <f>BJ604/SUMIFS(BJ$3:BJ$623,$BC$3:$BC$623,1,$G$3:$G$623,$G604)</f>
        <v>0.12477007253082976</v>
      </c>
      <c r="BP604" s="2">
        <f>BK604/SUMIFS(BK$3:BK$623,$BC$3:$BC$623,1,$G$3:$G$623,$G604)</f>
        <v>0.21433667022042555</v>
      </c>
      <c r="BQ604" s="2">
        <f>BL604</f>
        <v>2.3303987571206625E-2</v>
      </c>
      <c r="BR604" s="2">
        <f>BM604</f>
        <v>0</v>
      </c>
    </row>
    <row r="605" spans="1:70" hidden="1">
      <c r="A605" s="74">
        <v>0</v>
      </c>
      <c r="B605" s="73">
        <v>204959</v>
      </c>
      <c r="C605" s="73" t="s">
        <v>3381</v>
      </c>
      <c r="D605" s="73" t="s">
        <v>3382</v>
      </c>
      <c r="E605" s="73" t="s">
        <v>3383</v>
      </c>
      <c r="F605" s="73">
        <v>18583</v>
      </c>
      <c r="G605" s="73" t="s">
        <v>869</v>
      </c>
      <c r="H605" s="73" t="s">
        <v>905</v>
      </c>
      <c r="I605" s="73" t="s">
        <v>1012</v>
      </c>
      <c r="J605" s="73">
        <v>0</v>
      </c>
      <c r="K605" s="73">
        <v>4</v>
      </c>
      <c r="L605" s="73">
        <v>0</v>
      </c>
      <c r="M605" s="73">
        <v>0</v>
      </c>
      <c r="N605" s="73">
        <v>0</v>
      </c>
      <c r="O605" s="73" t="s">
        <v>1290</v>
      </c>
      <c r="P605" s="73" t="s">
        <v>3384</v>
      </c>
      <c r="Q605" s="73" t="s">
        <v>3385</v>
      </c>
      <c r="R605" s="73">
        <v>0</v>
      </c>
      <c r="S605" s="73">
        <v>0</v>
      </c>
      <c r="T605" s="73">
        <v>45</v>
      </c>
      <c r="U605" s="73">
        <v>1</v>
      </c>
      <c r="V605" s="73">
        <v>945</v>
      </c>
      <c r="W605" s="73">
        <v>0</v>
      </c>
      <c r="X605" s="73">
        <v>0</v>
      </c>
      <c r="Y605" s="73">
        <v>0</v>
      </c>
      <c r="Z605" s="73" t="s">
        <v>1267</v>
      </c>
      <c r="AA605" s="73" t="s">
        <v>690</v>
      </c>
      <c r="AB605" s="73" t="str">
        <f>IF(AA605&lt;&gt;"",INDEX(Lookup!$N$2:$N$5,MATCH(Players!AA605,Lookup!$P$2:$P$5,0)),INDEX(Lookup!$N$2:$N$5,MATCH(Players!O605,Lookup!$O$2:$O$5,0)))</f>
        <v>Goalkeeper</v>
      </c>
      <c r="AC605" s="73">
        <v>4000000</v>
      </c>
      <c r="AD605" s="73" t="s">
        <v>788</v>
      </c>
      <c r="AE605" s="73" t="str">
        <f>INDEX('Translate table'!$H$2:$H$622,MATCH(Players!P605,'Translate table'!$G$2:$G$622,0))</f>
        <v>Frederik RÃ¸nnow</v>
      </c>
      <c r="AF605" s="73">
        <f>IFERROR(INDEX('Euro Qual stats'!$A$1:$L$2071,MATCH(Players!$AE605,'Euro Qual stats'!$A$1:$A$2071,0),MATCH(Players!AF$2,'Euro Qual stats'!$A$1:$L$1,0)),0)</f>
        <v>0</v>
      </c>
      <c r="AG605" s="73">
        <f>IFERROR(INDEX('Euro Qual stats'!$A$1:$L$2071,MATCH(Players!$AE605,'Euro Qual stats'!$A$1:$A$2071,0),MATCH(Players!AG$2,'Euro Qual stats'!$A$1:$L$1,0)),0)</f>
        <v>0</v>
      </c>
      <c r="AH605" s="73">
        <f>IFERROR(INDEX('Euro Qual stats'!$A$1:$L$2071,MATCH(Players!$AE605,'Euro Qual stats'!$A$1:$A$2071,0),MATCH(Players!AH$2,'Euro Qual stats'!$A$1:$L$1,0)),0)</f>
        <v>0</v>
      </c>
      <c r="AI605" s="73">
        <f>IFERROR(INDEX('Euro Qual stats'!$A$1:$L$2071,MATCH(Players!$AE605,'Euro Qual stats'!$A$1:$A$2071,0),MATCH(Players!AI$2,'Euro Qual stats'!$A$1:$L$1,0)),0)</f>
        <v>0</v>
      </c>
      <c r="AJ605" s="93">
        <f>(12-AF605)/12*INDEX(BV$9:BV$12,MATCH($AB605,$BU$9:$BU$12,0))+AF605/12*AG605</f>
        <v>0</v>
      </c>
      <c r="AK605" s="93">
        <f>(12-AG605)/12*INDEX(BW$9:BW$12,MATCH($AB605,$BU$9:$BU$12,0))+AG605/12*AH605</f>
        <v>0</v>
      </c>
      <c r="AL605" s="93">
        <f>(12-AH605)/12*INDEX(BX$9:BX$12,MATCH($AB605,$BU$9:$BU$12,0))+AH605/12*AI605</f>
        <v>0</v>
      </c>
      <c r="AM605" s="93">
        <f>IF($BC605=1,AJ605/SUMIFS(AJ$3:AJ$623,$BC$3:$BC$623,1,$G$3:$G$623,$G605),0)</f>
        <v>0</v>
      </c>
      <c r="AN605" s="93">
        <f>IF($BC605=1,AK605/SUMIFS(AK$3:AK$623,$BC$3:$BC$623,1,$G$3:$G$623,$G605),0)</f>
        <v>0</v>
      </c>
      <c r="AO605" s="93">
        <f>IF($BC605=1,AL605/SUMIFS(AL$3:AL$623,$BC$3:$BC$623,1,$G$3:$G$623,$G605),0)</f>
        <v>0</v>
      </c>
      <c r="AP605" s="2">
        <f>IFERROR(R605/$V605*90,"")</f>
        <v>0</v>
      </c>
      <c r="AQ605" s="2">
        <f>IFERROR(S605/$V605*90,"")</f>
        <v>0</v>
      </c>
      <c r="AR605" s="2">
        <f>IFERROR(W605/$V605*90,"")</f>
        <v>0</v>
      </c>
      <c r="AS605" s="2">
        <f>IFERROR(X605/$V605*90,"")</f>
        <v>0</v>
      </c>
      <c r="AT605" s="2">
        <f>IFERROR(Y605/$V605*90,"")</f>
        <v>0</v>
      </c>
      <c r="AU605" s="2">
        <f>IF(AP605="",INDEX(BV$4:BV$7,MATCH(O605,$BU$4:$BU$7,0)),AP605)</f>
        <v>0</v>
      </c>
      <c r="AV605" s="2">
        <f>IF(AQ605="",INDEX(BW$4:BW$7,MATCH($O605,$BU$4:$BU$7,0)),AQ605)</f>
        <v>0</v>
      </c>
      <c r="AW605" s="2">
        <f t="shared" si="108"/>
        <v>0</v>
      </c>
      <c r="AX605" s="2">
        <f t="shared" si="109"/>
        <v>0</v>
      </c>
      <c r="AY605" s="2">
        <f t="shared" si="110"/>
        <v>0</v>
      </c>
      <c r="AZ605" s="2">
        <f>AU605*0.5+AK605*0.5</f>
        <v>0</v>
      </c>
      <c r="BA605" s="2">
        <f>AV605*0.5+AJ605*0.5</f>
        <v>0</v>
      </c>
      <c r="BB605" s="2">
        <f t="shared" si="111"/>
        <v>0</v>
      </c>
      <c r="BC605">
        <f>IF(I605="expected",1,0)</f>
        <v>0</v>
      </c>
      <c r="BD605" s="78">
        <f>IF(BC605=1,AZ605/SUMIFS(AZ$3:AZ$623,$BC$3:$BC$623,1,$G$3:$G$623,$G605),0)</f>
        <v>0</v>
      </c>
      <c r="BE605" s="78">
        <f>IF(BC605=1,BA605/SUMIFS(BA$3:BA$623,$BC$3:$BC$623,1,$G$3:$G$623,$G605),0)</f>
        <v>0</v>
      </c>
      <c r="BF605" s="78">
        <f t="shared" si="112"/>
        <v>0</v>
      </c>
      <c r="BG605" s="2">
        <f t="shared" si="113"/>
        <v>0</v>
      </c>
      <c r="BH605" s="2">
        <f t="shared" si="114"/>
        <v>0</v>
      </c>
      <c r="BI605" s="2">
        <f t="shared" si="115"/>
        <v>0</v>
      </c>
      <c r="BJ605" s="2">
        <f t="shared" si="116"/>
        <v>0</v>
      </c>
      <c r="BK605" s="2">
        <f t="shared" si="117"/>
        <v>0</v>
      </c>
      <c r="BL605" s="2">
        <f t="shared" si="118"/>
        <v>0</v>
      </c>
      <c r="BM605" s="2">
        <f t="shared" si="119"/>
        <v>0</v>
      </c>
      <c r="BN605" s="2">
        <f>BI605/SUMIFS(BI$3:BI$623,$BC$3:$BC$623,1,$G$3:$G$623,$G605)</f>
        <v>0</v>
      </c>
      <c r="BO605" s="2">
        <f>BJ605/SUMIFS(BJ$3:BJ$623,$BC$3:$BC$623,1,$G$3:$G$623,$G605)</f>
        <v>0</v>
      </c>
      <c r="BP605" s="2">
        <f>BK605/SUMIFS(BK$3:BK$623,$BC$3:$BC$623,1,$G$3:$G$623,$G605)</f>
        <v>0</v>
      </c>
      <c r="BQ605" s="2">
        <f>BL605</f>
        <v>0</v>
      </c>
      <c r="BR605" s="2">
        <f>BM605</f>
        <v>0</v>
      </c>
    </row>
    <row r="606" spans="1:70" hidden="1">
      <c r="A606" s="74">
        <v>0</v>
      </c>
      <c r="B606" s="73">
        <v>223251</v>
      </c>
      <c r="C606" s="73" t="s">
        <v>3386</v>
      </c>
      <c r="D606" s="73" t="s">
        <v>3387</v>
      </c>
      <c r="E606" s="73" t="s">
        <v>3388</v>
      </c>
      <c r="F606" s="73">
        <v>18570</v>
      </c>
      <c r="G606" s="73" t="s">
        <v>870</v>
      </c>
      <c r="H606" s="73" t="s">
        <v>917</v>
      </c>
      <c r="I606" s="73" t="s">
        <v>1012</v>
      </c>
      <c r="J606" s="73">
        <v>0</v>
      </c>
      <c r="K606" s="73">
        <v>4</v>
      </c>
      <c r="L606" s="73">
        <v>0</v>
      </c>
      <c r="M606" s="73">
        <v>0</v>
      </c>
      <c r="N606" s="73">
        <v>0</v>
      </c>
      <c r="O606" s="73" t="s">
        <v>1290</v>
      </c>
      <c r="P606" s="73" t="s">
        <v>3389</v>
      </c>
      <c r="Q606" s="73" t="s">
        <v>1164</v>
      </c>
      <c r="R606" s="73"/>
      <c r="S606" s="73"/>
      <c r="T606" s="73"/>
      <c r="U606" s="73"/>
      <c r="V606" s="73"/>
      <c r="W606" s="73"/>
      <c r="X606" s="73"/>
      <c r="Y606" s="73"/>
      <c r="Z606" s="73" t="s">
        <v>870</v>
      </c>
      <c r="AA606" s="73" t="s">
        <v>690</v>
      </c>
      <c r="AB606" s="73" t="str">
        <f>IF(AA606&lt;&gt;"",INDEX(Lookup!$N$2:$N$5,MATCH(Players!AA606,Lookup!$P$2:$P$5,0)),INDEX(Lookup!$N$2:$N$5,MATCH(Players!O606,Lookup!$O$2:$O$5,0)))</f>
        <v>Goalkeeper</v>
      </c>
      <c r="AC606" s="73">
        <v>2500000</v>
      </c>
      <c r="AD606" s="73" t="s">
        <v>801</v>
      </c>
      <c r="AE606" s="73" t="str">
        <f>INDEX('Translate table'!$H$2:$H$622,MATCH(Players!P606,'Translate table'!$G$2:$G$622,0))</f>
        <v>Anssi Jaakkola</v>
      </c>
      <c r="AF606" s="73">
        <f>IFERROR(INDEX('Euro Qual stats'!$A$1:$L$2071,MATCH(Players!$AE606,'Euro Qual stats'!$A$1:$A$2071,0),MATCH(Players!AF$2,'Euro Qual stats'!$A$1:$L$1,0)),0)</f>
        <v>0</v>
      </c>
      <c r="AG606" s="73">
        <f>IFERROR(INDEX('Euro Qual stats'!$A$1:$L$2071,MATCH(Players!$AE606,'Euro Qual stats'!$A$1:$A$2071,0),MATCH(Players!AG$2,'Euro Qual stats'!$A$1:$L$1,0)),0)</f>
        <v>0</v>
      </c>
      <c r="AH606" s="73">
        <f>IFERROR(INDEX('Euro Qual stats'!$A$1:$L$2071,MATCH(Players!$AE606,'Euro Qual stats'!$A$1:$A$2071,0),MATCH(Players!AH$2,'Euro Qual stats'!$A$1:$L$1,0)),0)</f>
        <v>0</v>
      </c>
      <c r="AI606" s="73">
        <f>IFERROR(INDEX('Euro Qual stats'!$A$1:$L$2071,MATCH(Players!$AE606,'Euro Qual stats'!$A$1:$A$2071,0),MATCH(Players!AI$2,'Euro Qual stats'!$A$1:$L$1,0)),0)</f>
        <v>0</v>
      </c>
      <c r="AJ606" s="93">
        <f>(12-AF606)/12*INDEX(BV$9:BV$12,MATCH($AB606,$BU$9:$BU$12,0))+AF606/12*AG606</f>
        <v>0</v>
      </c>
      <c r="AK606" s="93">
        <f>(12-AG606)/12*INDEX(BW$9:BW$12,MATCH($AB606,$BU$9:$BU$12,0))+AG606/12*AH606</f>
        <v>0</v>
      </c>
      <c r="AL606" s="93">
        <f>(12-AH606)/12*INDEX(BX$9:BX$12,MATCH($AB606,$BU$9:$BU$12,0))+AH606/12*AI606</f>
        <v>0</v>
      </c>
      <c r="AM606" s="93">
        <f>IF($BC606=1,AJ606/SUMIFS(AJ$3:AJ$623,$BC$3:$BC$623,1,$G$3:$G$623,$G606),0)</f>
        <v>0</v>
      </c>
      <c r="AN606" s="93">
        <f>IF($BC606=1,AK606/SUMIFS(AK$3:AK$623,$BC$3:$BC$623,1,$G$3:$G$623,$G606),0)</f>
        <v>0</v>
      </c>
      <c r="AO606" s="93">
        <f>IF($BC606=1,AL606/SUMIFS(AL$3:AL$623,$BC$3:$BC$623,1,$G$3:$G$623,$G606),0)</f>
        <v>0</v>
      </c>
      <c r="AP606" s="2" t="str">
        <f>IFERROR(R606/$V606*90,"")</f>
        <v/>
      </c>
      <c r="AQ606" s="2" t="str">
        <f>IFERROR(S606/$V606*90,"")</f>
        <v/>
      </c>
      <c r="AR606" s="2" t="str">
        <f>IFERROR(W606/$V606*90,"")</f>
        <v/>
      </c>
      <c r="AS606" s="2" t="str">
        <f>IFERROR(X606/$V606*90,"")</f>
        <v/>
      </c>
      <c r="AT606" s="2" t="str">
        <f>IFERROR(Y606/$V606*90,"")</f>
        <v/>
      </c>
      <c r="AU606" s="2">
        <f>IF(AP606="",INDEX(BV$4:BV$7,MATCH(O606,$BU$4:$BU$7,0)),AP606)</f>
        <v>0</v>
      </c>
      <c r="AV606" s="2">
        <f>IF(AQ606="",INDEX(BW$4:BW$7,MATCH($O606,$BU$4:$BU$7,0)),AQ606)</f>
        <v>0</v>
      </c>
      <c r="AW606" s="2">
        <f t="shared" si="108"/>
        <v>0</v>
      </c>
      <c r="AX606" s="2">
        <f t="shared" si="109"/>
        <v>0</v>
      </c>
      <c r="AY606" s="2">
        <f t="shared" si="110"/>
        <v>0</v>
      </c>
      <c r="AZ606" s="2">
        <f>AU606*0.5+AK606*0.5</f>
        <v>0</v>
      </c>
      <c r="BA606" s="2">
        <f>AV606*0.5+AJ606*0.5</f>
        <v>0</v>
      </c>
      <c r="BB606" s="2">
        <f t="shared" si="111"/>
        <v>0</v>
      </c>
      <c r="BC606">
        <f>IF(I606="expected",1,0)</f>
        <v>0</v>
      </c>
      <c r="BD606" s="78">
        <f>IF(BC606=1,AZ606/SUMIFS(AZ$3:AZ$623,$BC$3:$BC$623,1,$G$3:$G$623,$G606),0)</f>
        <v>0</v>
      </c>
      <c r="BE606" s="78">
        <f>IF(BC606=1,BA606/SUMIFS(BA$3:BA$623,$BC$3:$BC$623,1,$G$3:$G$623,$G606),0)</f>
        <v>0</v>
      </c>
      <c r="BF606" s="78">
        <f t="shared" si="112"/>
        <v>0</v>
      </c>
      <c r="BG606" s="2">
        <f t="shared" si="113"/>
        <v>0</v>
      </c>
      <c r="BH606" s="2">
        <f t="shared" si="114"/>
        <v>0</v>
      </c>
      <c r="BI606" s="2">
        <f t="shared" si="115"/>
        <v>0</v>
      </c>
      <c r="BJ606" s="2">
        <f t="shared" si="116"/>
        <v>0</v>
      </c>
      <c r="BK606" s="2">
        <f t="shared" si="117"/>
        <v>0</v>
      </c>
      <c r="BL606" s="2">
        <f t="shared" si="118"/>
        <v>0</v>
      </c>
      <c r="BM606" s="2">
        <f t="shared" si="119"/>
        <v>0</v>
      </c>
      <c r="BN606" s="2">
        <f>BI606/SUMIFS(BI$3:BI$623,$BC$3:$BC$623,1,$G$3:$G$623,$G606)</f>
        <v>0</v>
      </c>
      <c r="BO606" s="2">
        <f>BJ606/SUMIFS(BJ$3:BJ$623,$BC$3:$BC$623,1,$G$3:$G$623,$G606)</f>
        <v>0</v>
      </c>
      <c r="BP606" s="2">
        <f>BK606/SUMIFS(BK$3:BK$623,$BC$3:$BC$623,1,$G$3:$G$623,$G606)</f>
        <v>0</v>
      </c>
      <c r="BQ606" s="2">
        <f>BL606</f>
        <v>0</v>
      </c>
      <c r="BR606" s="2">
        <f>BM606</f>
        <v>0</v>
      </c>
    </row>
    <row r="607" spans="1:70" hidden="1">
      <c r="A607" s="74">
        <v>0</v>
      </c>
      <c r="B607" s="73">
        <v>204865</v>
      </c>
      <c r="C607" s="73" t="s">
        <v>3390</v>
      </c>
      <c r="D607" s="73" t="s">
        <v>1867</v>
      </c>
      <c r="E607" s="73" t="s">
        <v>3391</v>
      </c>
      <c r="F607" s="73">
        <v>18570</v>
      </c>
      <c r="G607" s="73" t="s">
        <v>870</v>
      </c>
      <c r="H607" s="73" t="s">
        <v>917</v>
      </c>
      <c r="I607" s="73" t="s">
        <v>1012</v>
      </c>
      <c r="J607" s="73">
        <v>0</v>
      </c>
      <c r="K607" s="73">
        <v>4</v>
      </c>
      <c r="L607" s="73">
        <v>0</v>
      </c>
      <c r="M607" s="73">
        <v>0</v>
      </c>
      <c r="N607" s="73">
        <v>0</v>
      </c>
      <c r="O607" s="73" t="s">
        <v>1290</v>
      </c>
      <c r="P607" s="73" t="s">
        <v>3392</v>
      </c>
      <c r="Q607" s="73" t="s">
        <v>3392</v>
      </c>
      <c r="R607" s="73">
        <v>0</v>
      </c>
      <c r="S607" s="73">
        <v>0</v>
      </c>
      <c r="T607" s="73">
        <v>56</v>
      </c>
      <c r="U607" s="73">
        <v>8</v>
      </c>
      <c r="V607" s="73">
        <v>2565</v>
      </c>
      <c r="W607" s="73">
        <v>0</v>
      </c>
      <c r="X607" s="73">
        <v>1</v>
      </c>
      <c r="Y607" s="73">
        <v>0</v>
      </c>
      <c r="Z607" s="73" t="s">
        <v>870</v>
      </c>
      <c r="AA607" s="73" t="s">
        <v>690</v>
      </c>
      <c r="AB607" s="73" t="str">
        <f>IF(AA607&lt;&gt;"",INDEX(Lookup!$N$2:$N$5,MATCH(Players!AA607,Lookup!$P$2:$P$5,0)),INDEX(Lookup!$N$2:$N$5,MATCH(Players!O607,Lookup!$O$2:$O$5,0)))</f>
        <v>Goalkeeper</v>
      </c>
      <c r="AC607" s="73">
        <v>3000000</v>
      </c>
      <c r="AD607" s="73" t="s">
        <v>789</v>
      </c>
      <c r="AE607" s="73" t="str">
        <f>INDEX('Translate table'!$H$2:$H$622,MATCH(Players!P607,'Translate table'!$G$2:$G$622,0))</f>
        <v>LukÃ¡s Å tetina</v>
      </c>
      <c r="AF607" s="73">
        <f>IFERROR(INDEX('Euro Qual stats'!$A$1:$L$2071,MATCH(Players!$AE607,'Euro Qual stats'!$A$1:$A$2071,0),MATCH(Players!AF$2,'Euro Qual stats'!$A$1:$L$1,0)),0)</f>
        <v>0</v>
      </c>
      <c r="AG607" s="73">
        <f>IFERROR(INDEX('Euro Qual stats'!$A$1:$L$2071,MATCH(Players!$AE607,'Euro Qual stats'!$A$1:$A$2071,0),MATCH(Players!AG$2,'Euro Qual stats'!$A$1:$L$1,0)),0)</f>
        <v>0</v>
      </c>
      <c r="AH607" s="73">
        <f>IFERROR(INDEX('Euro Qual stats'!$A$1:$L$2071,MATCH(Players!$AE607,'Euro Qual stats'!$A$1:$A$2071,0),MATCH(Players!AH$2,'Euro Qual stats'!$A$1:$L$1,0)),0)</f>
        <v>0</v>
      </c>
      <c r="AI607" s="73">
        <f>IFERROR(INDEX('Euro Qual stats'!$A$1:$L$2071,MATCH(Players!$AE607,'Euro Qual stats'!$A$1:$A$2071,0),MATCH(Players!AI$2,'Euro Qual stats'!$A$1:$L$1,0)),0)</f>
        <v>0</v>
      </c>
      <c r="AJ607" s="93">
        <f>(12-AF607)/12*INDEX(BV$9:BV$12,MATCH($AB607,$BU$9:$BU$12,0))+AF607/12*AG607</f>
        <v>0</v>
      </c>
      <c r="AK607" s="93">
        <f>(12-AG607)/12*INDEX(BW$9:BW$12,MATCH($AB607,$BU$9:$BU$12,0))+AG607/12*AH607</f>
        <v>0</v>
      </c>
      <c r="AL607" s="93">
        <f>(12-AH607)/12*INDEX(BX$9:BX$12,MATCH($AB607,$BU$9:$BU$12,0))+AH607/12*AI607</f>
        <v>0</v>
      </c>
      <c r="AM607" s="93">
        <f>IF($BC607=1,AJ607/SUMIFS(AJ$3:AJ$623,$BC$3:$BC$623,1,$G$3:$G$623,$G607),0)</f>
        <v>0</v>
      </c>
      <c r="AN607" s="93">
        <f>IF($BC607=1,AK607/SUMIFS(AK$3:AK$623,$BC$3:$BC$623,1,$G$3:$G$623,$G607),0)</f>
        <v>0</v>
      </c>
      <c r="AO607" s="93">
        <f>IF($BC607=1,AL607/SUMIFS(AL$3:AL$623,$BC$3:$BC$623,1,$G$3:$G$623,$G607),0)</f>
        <v>0</v>
      </c>
      <c r="AP607" s="2">
        <f>IFERROR(R607/$V607*90,"")</f>
        <v>0</v>
      </c>
      <c r="AQ607" s="2">
        <f>IFERROR(S607/$V607*90,"")</f>
        <v>0</v>
      </c>
      <c r="AR607" s="2">
        <f>IFERROR(W607/$V607*90,"")</f>
        <v>0</v>
      </c>
      <c r="AS607" s="2">
        <f>IFERROR(X607/$V607*90,"")</f>
        <v>3.5087719298245612E-2</v>
      </c>
      <c r="AT607" s="2">
        <f>IFERROR(Y607/$V607*90,"")</f>
        <v>0</v>
      </c>
      <c r="AU607" s="2">
        <f>IF(AP607="",INDEX(BV$4:BV$7,MATCH(O607,$BU$4:$BU$7,0)),AP607)</f>
        <v>0</v>
      </c>
      <c r="AV607" s="2">
        <f>IF(AQ607="",INDEX(BW$4:BW$7,MATCH($O607,$BU$4:$BU$7,0)),AQ607)</f>
        <v>0</v>
      </c>
      <c r="AW607" s="2">
        <f t="shared" si="108"/>
        <v>0</v>
      </c>
      <c r="AX607" s="2">
        <f t="shared" si="109"/>
        <v>3.5087719298245612E-2</v>
      </c>
      <c r="AY607" s="2">
        <f t="shared" si="110"/>
        <v>0</v>
      </c>
      <c r="AZ607" s="2">
        <f>AU607*0.5+AK607*0.5</f>
        <v>0</v>
      </c>
      <c r="BA607" s="2">
        <f>AV607*0.5+AJ607*0.5</f>
        <v>0</v>
      </c>
      <c r="BB607" s="2">
        <f t="shared" si="111"/>
        <v>1.7543859649122806E-2</v>
      </c>
      <c r="BC607">
        <f>IF(I607="expected",1,0)</f>
        <v>0</v>
      </c>
      <c r="BD607" s="78">
        <f>IF(BC607=1,AZ607/SUMIFS(AZ$3:AZ$623,$BC$3:$BC$623,1,$G$3:$G$623,$G607),0)</f>
        <v>0</v>
      </c>
      <c r="BE607" s="78">
        <f>IF(BC607=1,BA607/SUMIFS(BA$3:BA$623,$BC$3:$BC$623,1,$G$3:$G$623,$G607),0)</f>
        <v>0</v>
      </c>
      <c r="BF607" s="78">
        <f t="shared" si="112"/>
        <v>0</v>
      </c>
      <c r="BG607" s="2">
        <f t="shared" si="113"/>
        <v>1.7543859649122806E-2</v>
      </c>
      <c r="BH607" s="2">
        <f t="shared" si="114"/>
        <v>0</v>
      </c>
      <c r="BI607" s="2">
        <f t="shared" si="115"/>
        <v>0</v>
      </c>
      <c r="BJ607" s="2">
        <f t="shared" si="116"/>
        <v>0</v>
      </c>
      <c r="BK607" s="2">
        <f t="shared" si="117"/>
        <v>0</v>
      </c>
      <c r="BL607" s="2">
        <f t="shared" si="118"/>
        <v>1.7543859649122806E-2</v>
      </c>
      <c r="BM607" s="2">
        <f t="shared" si="119"/>
        <v>0</v>
      </c>
      <c r="BN607" s="2">
        <f>BI607/SUMIFS(BI$3:BI$623,$BC$3:$BC$623,1,$G$3:$G$623,$G607)</f>
        <v>0</v>
      </c>
      <c r="BO607" s="2">
        <f>BJ607/SUMIFS(BJ$3:BJ$623,$BC$3:$BC$623,1,$G$3:$G$623,$G607)</f>
        <v>0</v>
      </c>
      <c r="BP607" s="2">
        <f>BK607/SUMIFS(BK$3:BK$623,$BC$3:$BC$623,1,$G$3:$G$623,$G607)</f>
        <v>0</v>
      </c>
      <c r="BQ607" s="2">
        <f>BL607</f>
        <v>1.7543859649122806E-2</v>
      </c>
      <c r="BR607" s="2">
        <f>BM607</f>
        <v>0</v>
      </c>
    </row>
    <row r="608" spans="1:70" hidden="1">
      <c r="A608" s="74">
        <v>0</v>
      </c>
      <c r="B608" s="73">
        <v>204863</v>
      </c>
      <c r="C608" s="73" t="s">
        <v>3393</v>
      </c>
      <c r="D608" s="73" t="s">
        <v>3394</v>
      </c>
      <c r="E608" s="73" t="s">
        <v>3395</v>
      </c>
      <c r="F608" s="73">
        <v>18570</v>
      </c>
      <c r="G608" s="73" t="s">
        <v>870</v>
      </c>
      <c r="H608" s="73" t="s">
        <v>917</v>
      </c>
      <c r="I608" s="73" t="s">
        <v>981</v>
      </c>
      <c r="J608" s="73">
        <v>0</v>
      </c>
      <c r="K608" s="73">
        <v>4</v>
      </c>
      <c r="L608" s="73">
        <v>0</v>
      </c>
      <c r="M608" s="73">
        <v>0</v>
      </c>
      <c r="N608" s="73">
        <v>0</v>
      </c>
      <c r="O608" s="73" t="s">
        <v>1290</v>
      </c>
      <c r="P608" s="73" t="s">
        <v>3396</v>
      </c>
      <c r="Q608" s="73" t="s">
        <v>3397</v>
      </c>
      <c r="R608" s="73">
        <v>0</v>
      </c>
      <c r="S608" s="73">
        <v>0</v>
      </c>
      <c r="T608" s="73">
        <v>3</v>
      </c>
      <c r="U608" s="73">
        <v>1</v>
      </c>
      <c r="V608" s="73">
        <v>180</v>
      </c>
      <c r="W608" s="73">
        <v>0</v>
      </c>
      <c r="X608" s="73">
        <v>0</v>
      </c>
      <c r="Y608" s="73">
        <v>0</v>
      </c>
      <c r="Z608" s="73" t="s">
        <v>870</v>
      </c>
      <c r="AA608" s="73" t="s">
        <v>690</v>
      </c>
      <c r="AB608" s="73" t="str">
        <f>IF(AA608&lt;&gt;"",INDEX(Lookup!$N$2:$N$5,MATCH(Players!AA608,Lookup!$P$2:$P$5,0)),INDEX(Lookup!$N$2:$N$5,MATCH(Players!O608,Lookup!$O$2:$O$5,0)))</f>
        <v>Goalkeeper</v>
      </c>
      <c r="AC608" s="73">
        <v>3000000</v>
      </c>
      <c r="AD608" s="73" t="s">
        <v>788</v>
      </c>
      <c r="AE608" s="73" t="str">
        <f>INDEX('Translate table'!$H$2:$H$622,MATCH(Players!P608,'Translate table'!$G$2:$G$622,0))</f>
        <v>Jesse Joronen</v>
      </c>
      <c r="AF608" s="73">
        <f>IFERROR(INDEX('Euro Qual stats'!$A$1:$L$2071,MATCH(Players!$AE608,'Euro Qual stats'!$A$1:$A$2071,0),MATCH(Players!AF$2,'Euro Qual stats'!$A$1:$L$1,0)),0)</f>
        <v>1</v>
      </c>
      <c r="AG608" s="73">
        <f>IFERROR(INDEX('Euro Qual stats'!$A$1:$L$2071,MATCH(Players!$AE608,'Euro Qual stats'!$A$1:$A$2071,0),MATCH(Players!AG$2,'Euro Qual stats'!$A$1:$L$1,0)),0)</f>
        <v>0</v>
      </c>
      <c r="AH608" s="73">
        <f>IFERROR(INDEX('Euro Qual stats'!$A$1:$L$2071,MATCH(Players!$AE608,'Euro Qual stats'!$A$1:$A$2071,0),MATCH(Players!AH$2,'Euro Qual stats'!$A$1:$L$1,0)),0)</f>
        <v>0</v>
      </c>
      <c r="AI608" s="73">
        <f>IFERROR(INDEX('Euro Qual stats'!$A$1:$L$2071,MATCH(Players!$AE608,'Euro Qual stats'!$A$1:$A$2071,0),MATCH(Players!AI$2,'Euro Qual stats'!$A$1:$L$1,0)),0)</f>
        <v>0</v>
      </c>
      <c r="AJ608" s="93">
        <f>(12-AF608)/12*INDEX(BV$9:BV$12,MATCH($AB608,$BU$9:$BU$12,0))+AF608/12*AG608</f>
        <v>0</v>
      </c>
      <c r="AK608" s="93">
        <f>(12-AG608)/12*INDEX(BW$9:BW$12,MATCH($AB608,$BU$9:$BU$12,0))+AG608/12*AH608</f>
        <v>0</v>
      </c>
      <c r="AL608" s="93">
        <f>(12-AH608)/12*INDEX(BX$9:BX$12,MATCH($AB608,$BU$9:$BU$12,0))+AH608/12*AI608</f>
        <v>0</v>
      </c>
      <c r="AM608" s="93">
        <f>IF($BC608=1,AJ608/SUMIFS(AJ$3:AJ$623,$BC$3:$BC$623,1,$G$3:$G$623,$G608),0)</f>
        <v>0</v>
      </c>
      <c r="AN608" s="93">
        <f>IF($BC608=1,AK608/SUMIFS(AK$3:AK$623,$BC$3:$BC$623,1,$G$3:$G$623,$G608),0)</f>
        <v>0</v>
      </c>
      <c r="AO608" s="93">
        <f>IF($BC608=1,AL608/SUMIFS(AL$3:AL$623,$BC$3:$BC$623,1,$G$3:$G$623,$G608),0)</f>
        <v>0</v>
      </c>
      <c r="AP608" s="2">
        <f>IFERROR(R608/$V608*90,"")</f>
        <v>0</v>
      </c>
      <c r="AQ608" s="2">
        <f>IFERROR(S608/$V608*90,"")</f>
        <v>0</v>
      </c>
      <c r="AR608" s="2">
        <f>IFERROR(W608/$V608*90,"")</f>
        <v>0</v>
      </c>
      <c r="AS608" s="2">
        <f>IFERROR(X608/$V608*90,"")</f>
        <v>0</v>
      </c>
      <c r="AT608" s="2">
        <f>IFERROR(Y608/$V608*90,"")</f>
        <v>0</v>
      </c>
      <c r="AU608" s="2">
        <f>IF(AP608="",INDEX(BV$4:BV$7,MATCH(O608,$BU$4:$BU$7,0)),AP608)</f>
        <v>0</v>
      </c>
      <c r="AV608" s="2">
        <f>IF(AQ608="",INDEX(BW$4:BW$7,MATCH($O608,$BU$4:$BU$7,0)),AQ608)</f>
        <v>0</v>
      </c>
      <c r="AW608" s="2">
        <f t="shared" si="108"/>
        <v>0</v>
      </c>
      <c r="AX608" s="2">
        <f t="shared" si="109"/>
        <v>0</v>
      </c>
      <c r="AY608" s="2">
        <f t="shared" si="110"/>
        <v>0</v>
      </c>
      <c r="AZ608" s="2">
        <f>AU608*0.5+AK608*0.5</f>
        <v>0</v>
      </c>
      <c r="BA608" s="2">
        <f>AV608*0.5+AJ608*0.5</f>
        <v>0</v>
      </c>
      <c r="BB608" s="2">
        <f t="shared" si="111"/>
        <v>0</v>
      </c>
      <c r="BC608">
        <f>IF(I608="expected",1,0)</f>
        <v>1</v>
      </c>
      <c r="BD608" s="78">
        <f>IF(BC608=1,AZ608/SUMIFS(AZ$3:AZ$623,$BC$3:$BC$623,1,$G$3:$G$623,$G608),0)</f>
        <v>0</v>
      </c>
      <c r="BE608" s="78">
        <f>IF(BC608=1,BA608/SUMIFS(BA$3:BA$623,$BC$3:$BC$623,1,$G$3:$G$623,$G608),0)</f>
        <v>0</v>
      </c>
      <c r="BF608" s="78">
        <f t="shared" si="112"/>
        <v>0</v>
      </c>
      <c r="BG608" s="2">
        <f t="shared" si="113"/>
        <v>0</v>
      </c>
      <c r="BH608" s="2">
        <f t="shared" si="114"/>
        <v>0</v>
      </c>
      <c r="BI608" s="2">
        <f t="shared" si="115"/>
        <v>0</v>
      </c>
      <c r="BJ608" s="2">
        <f t="shared" si="116"/>
        <v>0</v>
      </c>
      <c r="BK608" s="2">
        <f t="shared" si="117"/>
        <v>0</v>
      </c>
      <c r="BL608" s="2">
        <f t="shared" si="118"/>
        <v>0</v>
      </c>
      <c r="BM608" s="2">
        <f t="shared" si="119"/>
        <v>0</v>
      </c>
      <c r="BN608" s="2">
        <f>BI608/SUMIFS(BI$3:BI$623,$BC$3:$BC$623,1,$G$3:$G$623,$G608)</f>
        <v>0</v>
      </c>
      <c r="BO608" s="2">
        <f>BJ608/SUMIFS(BJ$3:BJ$623,$BC$3:$BC$623,1,$G$3:$G$623,$G608)</f>
        <v>0</v>
      </c>
      <c r="BP608" s="2">
        <f>BK608/SUMIFS(BK$3:BK$623,$BC$3:$BC$623,1,$G$3:$G$623,$G608)</f>
        <v>0</v>
      </c>
      <c r="BQ608" s="2">
        <f>BL608</f>
        <v>0</v>
      </c>
      <c r="BR608" s="2">
        <f>BM608</f>
        <v>0</v>
      </c>
    </row>
    <row r="609" spans="1:70" hidden="1">
      <c r="A609" s="74">
        <v>0</v>
      </c>
      <c r="B609" s="73">
        <v>223263</v>
      </c>
      <c r="C609" s="73" t="s">
        <v>3398</v>
      </c>
      <c r="D609" s="73" t="s">
        <v>1518</v>
      </c>
      <c r="E609" s="73" t="s">
        <v>3399</v>
      </c>
      <c r="F609" s="73">
        <v>18570</v>
      </c>
      <c r="G609" s="73" t="s">
        <v>870</v>
      </c>
      <c r="H609" s="73" t="s">
        <v>917</v>
      </c>
      <c r="I609" s="73" t="s">
        <v>1012</v>
      </c>
      <c r="J609" s="73">
        <v>0</v>
      </c>
      <c r="K609" s="73">
        <v>4</v>
      </c>
      <c r="L609" s="73">
        <v>0</v>
      </c>
      <c r="M609" s="73">
        <v>0</v>
      </c>
      <c r="N609" s="73">
        <v>0</v>
      </c>
      <c r="O609" s="73" t="s">
        <v>1318</v>
      </c>
      <c r="P609" s="73" t="s">
        <v>3400</v>
      </c>
      <c r="Q609" s="73" t="s">
        <v>1520</v>
      </c>
      <c r="R609" s="73">
        <v>1</v>
      </c>
      <c r="S609" s="73">
        <v>3</v>
      </c>
      <c r="T609" s="73">
        <v>0</v>
      </c>
      <c r="U609" s="73">
        <v>0</v>
      </c>
      <c r="V609" s="73">
        <v>1373</v>
      </c>
      <c r="W609" s="73">
        <v>11</v>
      </c>
      <c r="X609" s="73">
        <v>4</v>
      </c>
      <c r="Y609" s="73">
        <v>0</v>
      </c>
      <c r="Z609" s="73" t="s">
        <v>870</v>
      </c>
      <c r="AA609" s="73" t="s">
        <v>691</v>
      </c>
      <c r="AB609" s="73" t="str">
        <f>IF(AA609&lt;&gt;"",INDEX(Lookup!$N$2:$N$5,MATCH(Players!AA609,Lookup!$P$2:$P$5,0)),INDEX(Lookup!$N$2:$N$5,MATCH(Players!O609,Lookup!$O$2:$O$5,0)))</f>
        <v>Midfield</v>
      </c>
      <c r="AC609" s="73">
        <v>2000000</v>
      </c>
      <c r="AD609" s="73" t="s">
        <v>753</v>
      </c>
      <c r="AE609" s="73" t="str">
        <f>INDEX('Translate table'!$H$2:$H$622,MATCH(Players!P609,'Translate table'!$G$2:$G$622,0))</f>
        <v>Thomas Lam</v>
      </c>
      <c r="AF609" s="73">
        <f>IFERROR(INDEX('Euro Qual stats'!$A$1:$L$2071,MATCH(Players!$AE609,'Euro Qual stats'!$A$1:$A$2071,0),MATCH(Players!AF$2,'Euro Qual stats'!$A$1:$L$1,0)),0)</f>
        <v>1</v>
      </c>
      <c r="AG609" s="73">
        <f>IFERROR(INDEX('Euro Qual stats'!$A$1:$L$2071,MATCH(Players!$AE609,'Euro Qual stats'!$A$1:$A$2071,0),MATCH(Players!AG$2,'Euro Qual stats'!$A$1:$L$1,0)),0)</f>
        <v>0</v>
      </c>
      <c r="AH609" s="73">
        <f>IFERROR(INDEX('Euro Qual stats'!$A$1:$L$2071,MATCH(Players!$AE609,'Euro Qual stats'!$A$1:$A$2071,0),MATCH(Players!AH$2,'Euro Qual stats'!$A$1:$L$1,0)),0)</f>
        <v>0</v>
      </c>
      <c r="AI609" s="73">
        <f>IFERROR(INDEX('Euro Qual stats'!$A$1:$L$2071,MATCH(Players!$AE609,'Euro Qual stats'!$A$1:$A$2071,0),MATCH(Players!AI$2,'Euro Qual stats'!$A$1:$L$1,0)),0)</f>
        <v>0</v>
      </c>
      <c r="AJ609" s="93">
        <f>(12-AF609)/12*INDEX(BV$9:BV$12,MATCH($AB609,$BU$9:$BU$12,0))+AF609/12*AG609</f>
        <v>0.15463350785340313</v>
      </c>
      <c r="AK609" s="93">
        <f>(12-AG609)/12*INDEX(BW$9:BW$12,MATCH($AB609,$BU$9:$BU$12,0))+AG609/12*AH609</f>
        <v>0.22340314136125652</v>
      </c>
      <c r="AL609" s="93">
        <f>(12-AH609)/12*INDEX(BX$9:BX$12,MATCH($AB609,$BU$9:$BU$12,0))+AH609/12*AI609</f>
        <v>0.23942408376963353</v>
      </c>
      <c r="AM609" s="93">
        <f>IF($BC609=1,AJ609/SUMIFS(AJ$3:AJ$623,$BC$3:$BC$623,1,$G$3:$G$623,$G609),0)</f>
        <v>0</v>
      </c>
      <c r="AN609" s="93">
        <f>IF($BC609=1,AK609/SUMIFS(AK$3:AK$623,$BC$3:$BC$623,1,$G$3:$G$623,$G609),0)</f>
        <v>0</v>
      </c>
      <c r="AO609" s="93">
        <f>IF($BC609=1,AL609/SUMIFS(AL$3:AL$623,$BC$3:$BC$623,1,$G$3:$G$623,$G609),0)</f>
        <v>0</v>
      </c>
      <c r="AP609" s="2">
        <f>IFERROR(R609/$V609*90,"")</f>
        <v>6.5549890750182083E-2</v>
      </c>
      <c r="AQ609" s="2">
        <f>IFERROR(S609/$V609*90,"")</f>
        <v>0.19664967225054625</v>
      </c>
      <c r="AR609" s="2">
        <f>IFERROR(W609/$V609*90,"")</f>
        <v>0.72104879825200296</v>
      </c>
      <c r="AS609" s="2">
        <f>IFERROR(X609/$V609*90,"")</f>
        <v>0.26219956300072833</v>
      </c>
      <c r="AT609" s="2">
        <f>IFERROR(Y609/$V609*90,"")</f>
        <v>0</v>
      </c>
      <c r="AU609" s="2">
        <f>IF(AP609="",INDEX(BV$4:BV$7,MATCH(O609,$BU$4:$BU$7,0)),AP609)</f>
        <v>6.5549890750182083E-2</v>
      </c>
      <c r="AV609" s="2">
        <f>IF(AQ609="",INDEX(BW$4:BW$7,MATCH($O609,$BU$4:$BU$7,0)),AQ609)</f>
        <v>0.19664967225054625</v>
      </c>
      <c r="AW609" s="2">
        <f t="shared" si="108"/>
        <v>0.72104879825200296</v>
      </c>
      <c r="AX609" s="2">
        <f t="shared" si="109"/>
        <v>0.26219956300072833</v>
      </c>
      <c r="AY609" s="2">
        <f t="shared" si="110"/>
        <v>0</v>
      </c>
      <c r="AZ609" s="2">
        <f>AU609*0.5+AK609*0.5</f>
        <v>0.14447651605571932</v>
      </c>
      <c r="BA609" s="2">
        <f>AV609*0.5+AJ609*0.5</f>
        <v>0.17564159005197469</v>
      </c>
      <c r="BB609" s="2">
        <f t="shared" si="111"/>
        <v>0.13109978150036417</v>
      </c>
      <c r="BC609">
        <f>IF(I609="expected",1,0)</f>
        <v>0</v>
      </c>
      <c r="BD609" s="78">
        <f>IF(BC609=1,AZ609/SUMIFS(AZ$3:AZ$623,$BC$3:$BC$623,1,$G$3:$G$623,$G609),0)</f>
        <v>0</v>
      </c>
      <c r="BE609" s="78">
        <f>IF(BC609=1,BA609/SUMIFS(BA$3:BA$623,$BC$3:$BC$623,1,$G$3:$G$623,$G609),0)</f>
        <v>0</v>
      </c>
      <c r="BF609" s="78">
        <f t="shared" si="112"/>
        <v>0</v>
      </c>
      <c r="BG609" s="2">
        <f t="shared" si="113"/>
        <v>0.13109978150036417</v>
      </c>
      <c r="BH609" s="2">
        <f t="shared" si="114"/>
        <v>0</v>
      </c>
      <c r="BI609" s="2">
        <f t="shared" si="115"/>
        <v>0</v>
      </c>
      <c r="BJ609" s="2">
        <f t="shared" si="116"/>
        <v>0</v>
      </c>
      <c r="BK609" s="2">
        <f t="shared" si="117"/>
        <v>0</v>
      </c>
      <c r="BL609" s="2">
        <f t="shared" si="118"/>
        <v>0.13109978150036417</v>
      </c>
      <c r="BM609" s="2">
        <f t="shared" si="119"/>
        <v>0</v>
      </c>
      <c r="BN609" s="2">
        <f>BI609/SUMIFS(BI$3:BI$623,$BC$3:$BC$623,1,$G$3:$G$623,$G609)</f>
        <v>0</v>
      </c>
      <c r="BO609" s="2">
        <f>BJ609/SUMIFS(BJ$3:BJ$623,$BC$3:$BC$623,1,$G$3:$G$623,$G609)</f>
        <v>0</v>
      </c>
      <c r="BP609" s="2">
        <f>BK609/SUMIFS(BK$3:BK$623,$BC$3:$BC$623,1,$G$3:$G$623,$G609)</f>
        <v>0</v>
      </c>
      <c r="BQ609" s="2">
        <f>BL609</f>
        <v>0.13109978150036417</v>
      </c>
      <c r="BR609" s="2">
        <f>BM609</f>
        <v>0</v>
      </c>
    </row>
    <row r="610" spans="1:70" hidden="1">
      <c r="A610" s="74">
        <v>0</v>
      </c>
      <c r="B610" s="73">
        <v>223258</v>
      </c>
      <c r="C610" s="73" t="s">
        <v>3401</v>
      </c>
      <c r="D610" s="73" t="s">
        <v>3402</v>
      </c>
      <c r="E610" s="73" t="s">
        <v>3403</v>
      </c>
      <c r="F610" s="73">
        <v>18570</v>
      </c>
      <c r="G610" s="73" t="s">
        <v>870</v>
      </c>
      <c r="H610" s="73" t="s">
        <v>917</v>
      </c>
      <c r="I610" s="73" t="s">
        <v>981</v>
      </c>
      <c r="J610" s="73">
        <v>0</v>
      </c>
      <c r="K610" s="73">
        <v>4</v>
      </c>
      <c r="L610" s="73">
        <v>0</v>
      </c>
      <c r="M610" s="73">
        <v>0</v>
      </c>
      <c r="N610" s="73">
        <v>0</v>
      </c>
      <c r="O610" s="73" t="s">
        <v>1318</v>
      </c>
      <c r="P610" s="73" t="s">
        <v>3404</v>
      </c>
      <c r="Q610" s="73" t="s">
        <v>2959</v>
      </c>
      <c r="R610" s="73">
        <v>0</v>
      </c>
      <c r="S610" s="73">
        <v>0</v>
      </c>
      <c r="T610" s="73">
        <v>0</v>
      </c>
      <c r="U610" s="73">
        <v>0</v>
      </c>
      <c r="V610" s="73">
        <v>0</v>
      </c>
      <c r="W610" s="73">
        <v>0</v>
      </c>
      <c r="X610" s="73">
        <v>0</v>
      </c>
      <c r="Y610" s="73">
        <v>0</v>
      </c>
      <c r="Z610" s="73" t="s">
        <v>870</v>
      </c>
      <c r="AA610" s="73" t="s">
        <v>691</v>
      </c>
      <c r="AB610" s="73" t="str">
        <f>IF(AA610&lt;&gt;"",INDEX(Lookup!$N$2:$N$5,MATCH(Players!AA610,Lookup!$P$2:$P$5,0)),INDEX(Lookup!$N$2:$N$5,MATCH(Players!O610,Lookup!$O$2:$O$5,0)))</f>
        <v>Midfield</v>
      </c>
      <c r="AC610" s="73">
        <v>2500000</v>
      </c>
      <c r="AD610" s="73" t="s">
        <v>788</v>
      </c>
      <c r="AE610" s="73" t="str">
        <f>INDEX('Translate table'!$H$2:$H$622,MATCH(Players!P610,'Translate table'!$G$2:$G$622,0))</f>
        <v>Nikolai Muscat</v>
      </c>
      <c r="AF610" s="73">
        <f>IFERROR(INDEX('Euro Qual stats'!$A$1:$L$2071,MATCH(Players!$AE610,'Euro Qual stats'!$A$1:$A$2071,0),MATCH(Players!AF$2,'Euro Qual stats'!$A$1:$L$1,0)),0)</f>
        <v>1</v>
      </c>
      <c r="AG610" s="73">
        <f>IFERROR(INDEX('Euro Qual stats'!$A$1:$L$2071,MATCH(Players!$AE610,'Euro Qual stats'!$A$1:$A$2071,0),MATCH(Players!AG$2,'Euro Qual stats'!$A$1:$L$1,0)),0)</f>
        <v>0</v>
      </c>
      <c r="AH610" s="73">
        <f>IFERROR(INDEX('Euro Qual stats'!$A$1:$L$2071,MATCH(Players!$AE610,'Euro Qual stats'!$A$1:$A$2071,0),MATCH(Players!AH$2,'Euro Qual stats'!$A$1:$L$1,0)),0)</f>
        <v>0</v>
      </c>
      <c r="AI610" s="73">
        <f>IFERROR(INDEX('Euro Qual stats'!$A$1:$L$2071,MATCH(Players!$AE610,'Euro Qual stats'!$A$1:$A$2071,0),MATCH(Players!AI$2,'Euro Qual stats'!$A$1:$L$1,0)),0)</f>
        <v>0</v>
      </c>
      <c r="AJ610" s="93">
        <f>(12-AF610)/12*INDEX(BV$9:BV$12,MATCH($AB610,$BU$9:$BU$12,0))+AF610/12*AG610</f>
        <v>0.15463350785340313</v>
      </c>
      <c r="AK610" s="93">
        <f>(12-AG610)/12*INDEX(BW$9:BW$12,MATCH($AB610,$BU$9:$BU$12,0))+AG610/12*AH610</f>
        <v>0.22340314136125652</v>
      </c>
      <c r="AL610" s="93">
        <f>(12-AH610)/12*INDEX(BX$9:BX$12,MATCH($AB610,$BU$9:$BU$12,0))+AH610/12*AI610</f>
        <v>0.23942408376963353</v>
      </c>
      <c r="AM610" s="93">
        <f>IF($BC610=1,AJ610/SUMIFS(AJ$3:AJ$623,$BC$3:$BC$623,1,$G$3:$G$623,$G610),0)</f>
        <v>0.12323019488456871</v>
      </c>
      <c r="AN610" s="93">
        <f>IF($BC610=1,AK610/SUMIFS(AK$3:AK$623,$BC$3:$BC$623,1,$G$3:$G$623,$G610),0)</f>
        <v>8.7907858146417023E-2</v>
      </c>
      <c r="AO610" s="93">
        <f>IF($BC610=1,AL610/SUMIFS(AL$3:AL$623,$BC$3:$BC$623,1,$G$3:$G$623,$G610),0)</f>
        <v>0.11473632995483947</v>
      </c>
      <c r="AP610" s="2" t="str">
        <f>IFERROR(R610/$V610*90,"")</f>
        <v/>
      </c>
      <c r="AQ610" s="2" t="str">
        <f>IFERROR(S610/$V610*90,"")</f>
        <v/>
      </c>
      <c r="AR610" s="2" t="str">
        <f>IFERROR(W610/$V610*90,"")</f>
        <v/>
      </c>
      <c r="AS610" s="2" t="str">
        <f>IFERROR(X610/$V610*90,"")</f>
        <v/>
      </c>
      <c r="AT610" s="2" t="str">
        <f>IFERROR(Y610/$V610*90,"")</f>
        <v/>
      </c>
      <c r="AU610" s="2">
        <f>IF(AP610="",INDEX(BV$4:BV$7,MATCH(O610,$BU$4:$BU$7,0)),AP610)</f>
        <v>0</v>
      </c>
      <c r="AV610" s="2">
        <f>IF(AQ610="",INDEX(BW$4:BW$7,MATCH($O610,$BU$4:$BU$7,0)),AQ610)</f>
        <v>0</v>
      </c>
      <c r="AW610" s="2">
        <f t="shared" si="108"/>
        <v>8.0624805297505417E-2</v>
      </c>
      <c r="AX610" s="2">
        <f t="shared" si="109"/>
        <v>0.1265377855887522</v>
      </c>
      <c r="AY610" s="2">
        <f t="shared" si="110"/>
        <v>0</v>
      </c>
      <c r="AZ610" s="2">
        <f>AU610*0.5+AK610*0.5</f>
        <v>0.11170157068062826</v>
      </c>
      <c r="BA610" s="2">
        <f>AV610*0.5+AJ610*0.5</f>
        <v>7.7316753926701565E-2</v>
      </c>
      <c r="BB610" s="2">
        <f t="shared" si="111"/>
        <v>6.32688927943761E-2</v>
      </c>
      <c r="BC610">
        <f>IF(I610="expected",1,0)</f>
        <v>1</v>
      </c>
      <c r="BD610" s="78">
        <f>IF(BC610=1,AZ610/SUMIFS(AZ$3:AZ$623,$BC$3:$BC$623,1,$G$3:$G$623,$G610),0)</f>
        <v>5.4092811505790331E-2</v>
      </c>
      <c r="BE610" s="78">
        <f>IF(BC610=1,BA610/SUMIFS(BA$3:BA$623,$BC$3:$BC$623,1,$G$3:$G$623,$G610),0)</f>
        <v>9.7051501233853116E-2</v>
      </c>
      <c r="BF610" s="78">
        <f t="shared" si="112"/>
        <v>1.8132526530267493E-2</v>
      </c>
      <c r="BG610" s="2">
        <f t="shared" si="113"/>
        <v>6.32688927943761E-2</v>
      </c>
      <c r="BH610" s="2">
        <f t="shared" si="114"/>
        <v>0</v>
      </c>
      <c r="BI610" s="2">
        <f t="shared" si="115"/>
        <v>5.4092811505790331E-2</v>
      </c>
      <c r="BJ610" s="2">
        <f t="shared" si="116"/>
        <v>9.7051501233853116E-2</v>
      </c>
      <c r="BK610" s="2">
        <f t="shared" si="117"/>
        <v>1.8132526530267493E-2</v>
      </c>
      <c r="BL610" s="2">
        <f t="shared" si="118"/>
        <v>6.32688927943761E-2</v>
      </c>
      <c r="BM610" s="2">
        <f t="shared" si="119"/>
        <v>0</v>
      </c>
      <c r="BN610" s="2">
        <f>BI610/SUMIFS(BI$3:BI$623,$BC$3:$BC$623,1,$G$3:$G$623,$G610)</f>
        <v>5.4092811505790331E-2</v>
      </c>
      <c r="BO610" s="2">
        <f>BJ610/SUMIFS(BJ$3:BJ$623,$BC$3:$BC$623,1,$G$3:$G$623,$G610)</f>
        <v>9.7051501233853116E-2</v>
      </c>
      <c r="BP610" s="2">
        <f>BK610/SUMIFS(BK$3:BK$623,$BC$3:$BC$623,1,$G$3:$G$623,$G610)</f>
        <v>1.9673697318589083E-2</v>
      </c>
      <c r="BQ610" s="2">
        <f>BL610</f>
        <v>6.32688927943761E-2</v>
      </c>
      <c r="BR610" s="2">
        <f>BM610</f>
        <v>0</v>
      </c>
    </row>
    <row r="611" spans="1:70" hidden="1">
      <c r="A611" s="74">
        <v>0</v>
      </c>
      <c r="B611" s="73">
        <v>223256</v>
      </c>
      <c r="C611" s="73" t="s">
        <v>3405</v>
      </c>
      <c r="D611" s="73" t="s">
        <v>1080</v>
      </c>
      <c r="E611" s="73" t="s">
        <v>3406</v>
      </c>
      <c r="F611" s="73">
        <v>18570</v>
      </c>
      <c r="G611" s="73" t="s">
        <v>870</v>
      </c>
      <c r="H611" s="73" t="s">
        <v>917</v>
      </c>
      <c r="I611" s="73" t="s">
        <v>1012</v>
      </c>
      <c r="J611" s="73">
        <v>0</v>
      </c>
      <c r="K611" s="73">
        <v>4</v>
      </c>
      <c r="L611" s="73">
        <v>0</v>
      </c>
      <c r="M611" s="73">
        <v>0</v>
      </c>
      <c r="N611" s="73">
        <v>0</v>
      </c>
      <c r="O611" s="73" t="s">
        <v>1318</v>
      </c>
      <c r="P611" s="73" t="s">
        <v>3407</v>
      </c>
      <c r="Q611" s="73" t="s">
        <v>2940</v>
      </c>
      <c r="R611" s="73">
        <v>1</v>
      </c>
      <c r="S611" s="73">
        <v>0</v>
      </c>
      <c r="T611" s="73">
        <v>0</v>
      </c>
      <c r="U611" s="73">
        <v>0</v>
      </c>
      <c r="V611" s="73">
        <v>1166</v>
      </c>
      <c r="W611" s="73">
        <v>7</v>
      </c>
      <c r="X611" s="73">
        <v>0</v>
      </c>
      <c r="Y611" s="73">
        <v>1</v>
      </c>
      <c r="Z611" s="73" t="s">
        <v>870</v>
      </c>
      <c r="AA611" s="73" t="s">
        <v>692</v>
      </c>
      <c r="AB611" s="73" t="str">
        <f>IF(AA611&lt;&gt;"",INDEX(Lookup!$N$2:$N$5,MATCH(Players!AA611,Lookup!$P$2:$P$5,0)),INDEX(Lookup!$N$2:$N$5,MATCH(Players!O611,Lookup!$O$2:$O$5,0)))</f>
        <v>Defense</v>
      </c>
      <c r="AC611" s="73">
        <v>2000000</v>
      </c>
      <c r="AD611" s="73" t="s">
        <v>753</v>
      </c>
      <c r="AE611" s="73" t="str">
        <f>INDEX('Translate table'!$H$2:$H$622,MATCH(Players!P611,'Translate table'!$G$2:$G$622,0))</f>
        <v>Sergi Roberto</v>
      </c>
      <c r="AF611" s="73">
        <f>IFERROR(INDEX('Euro Qual stats'!$A$1:$L$2071,MATCH(Players!$AE611,'Euro Qual stats'!$A$1:$A$2071,0),MATCH(Players!AF$2,'Euro Qual stats'!$A$1:$L$1,0)),0)</f>
        <v>2</v>
      </c>
      <c r="AG611" s="73">
        <f>IFERROR(INDEX('Euro Qual stats'!$A$1:$L$2071,MATCH(Players!$AE611,'Euro Qual stats'!$A$1:$A$2071,0),MATCH(Players!AG$2,'Euro Qual stats'!$A$1:$L$1,0)),0)</f>
        <v>0</v>
      </c>
      <c r="AH611" s="73">
        <f>IFERROR(INDEX('Euro Qual stats'!$A$1:$L$2071,MATCH(Players!$AE611,'Euro Qual stats'!$A$1:$A$2071,0),MATCH(Players!AH$2,'Euro Qual stats'!$A$1:$L$1,0)),0)</f>
        <v>0</v>
      </c>
      <c r="AI611" s="73">
        <f>IFERROR(INDEX('Euro Qual stats'!$A$1:$L$2071,MATCH(Players!$AE611,'Euro Qual stats'!$A$1:$A$2071,0),MATCH(Players!AI$2,'Euro Qual stats'!$A$1:$L$1,0)),0)</f>
        <v>0</v>
      </c>
      <c r="AJ611" s="93">
        <f>(12-AF611)/12*INDEX(BV$9:BV$12,MATCH($AB611,$BU$9:$BU$12,0))+AF611/12*AG611</f>
        <v>7.4313186813186841E-2</v>
      </c>
      <c r="AK611" s="93">
        <f>(12-AG611)/12*INDEX(BW$9:BW$12,MATCH($AB611,$BU$9:$BU$12,0))+AG611/12*AH611</f>
        <v>0.10357142857142858</v>
      </c>
      <c r="AL611" s="93">
        <f>(12-AH611)/12*INDEX(BX$9:BX$12,MATCH($AB611,$BU$9:$BU$12,0))+AH611/12*AI611</f>
        <v>0.19357142857142848</v>
      </c>
      <c r="AM611" s="93">
        <f>IF($BC611=1,AJ611/SUMIFS(AJ$3:AJ$623,$BC$3:$BC$623,1,$G$3:$G$623,$G611),0)</f>
        <v>0</v>
      </c>
      <c r="AN611" s="93">
        <f>IF($BC611=1,AK611/SUMIFS(AK$3:AK$623,$BC$3:$BC$623,1,$G$3:$G$623,$G611),0)</f>
        <v>0</v>
      </c>
      <c r="AO611" s="93">
        <f>IF($BC611=1,AL611/SUMIFS(AL$3:AL$623,$BC$3:$BC$623,1,$G$3:$G$623,$G611),0)</f>
        <v>0</v>
      </c>
      <c r="AP611" s="2">
        <f>IFERROR(R611/$V611*90,"")</f>
        <v>7.7186963979416809E-2</v>
      </c>
      <c r="AQ611" s="2">
        <f>IFERROR(S611/$V611*90,"")</f>
        <v>0</v>
      </c>
      <c r="AR611" s="2">
        <f>IFERROR(W611/$V611*90,"")</f>
        <v>0.54030874785591765</v>
      </c>
      <c r="AS611" s="2">
        <f>IFERROR(X611/$V611*90,"")</f>
        <v>0</v>
      </c>
      <c r="AT611" s="2">
        <f>IFERROR(Y611/$V611*90,"")</f>
        <v>7.7186963979416809E-2</v>
      </c>
      <c r="AU611" s="2">
        <f>IF(AP611="",INDEX(BV$4:BV$7,MATCH(O611,$BU$4:$BU$7,0)),AP611)</f>
        <v>7.7186963979416809E-2</v>
      </c>
      <c r="AV611" s="2">
        <f>IF(AQ611="",INDEX(BW$4:BW$7,MATCH($O611,$BU$4:$BU$7,0)),AQ611)</f>
        <v>0</v>
      </c>
      <c r="AW611" s="2">
        <f t="shared" si="108"/>
        <v>0.54030874785591765</v>
      </c>
      <c r="AX611" s="2">
        <f t="shared" si="109"/>
        <v>0</v>
      </c>
      <c r="AY611" s="2">
        <f t="shared" si="110"/>
        <v>7.7186963979416809E-2</v>
      </c>
      <c r="AZ611" s="2">
        <f>AU611*0.5+AK611*0.5</f>
        <v>9.0379196275422694E-2</v>
      </c>
      <c r="BA611" s="2">
        <f>AV611*0.5+AJ611*0.5</f>
        <v>3.715659340659342E-2</v>
      </c>
      <c r="BB611" s="2">
        <f t="shared" si="111"/>
        <v>0</v>
      </c>
      <c r="BC611">
        <f>IF(I611="expected",1,0)</f>
        <v>0</v>
      </c>
      <c r="BD611" s="78">
        <f>IF(BC611=1,AZ611/SUMIFS(AZ$3:AZ$623,$BC$3:$BC$623,1,$G$3:$G$623,$G611),0)</f>
        <v>0</v>
      </c>
      <c r="BE611" s="78">
        <f>IF(BC611=1,BA611/SUMIFS(BA$3:BA$623,$BC$3:$BC$623,1,$G$3:$G$623,$G611),0)</f>
        <v>0</v>
      </c>
      <c r="BF611" s="78">
        <f t="shared" si="112"/>
        <v>0</v>
      </c>
      <c r="BG611" s="2">
        <f t="shared" si="113"/>
        <v>0</v>
      </c>
      <c r="BH611" s="2">
        <f t="shared" si="114"/>
        <v>7.7186963979416809E-2</v>
      </c>
      <c r="BI611" s="2">
        <f t="shared" si="115"/>
        <v>0</v>
      </c>
      <c r="BJ611" s="2">
        <f t="shared" si="116"/>
        <v>0</v>
      </c>
      <c r="BK611" s="2">
        <f t="shared" si="117"/>
        <v>0</v>
      </c>
      <c r="BL611" s="2">
        <f t="shared" si="118"/>
        <v>0</v>
      </c>
      <c r="BM611" s="2">
        <f t="shared" si="119"/>
        <v>0.06</v>
      </c>
      <c r="BN611" s="2">
        <f>BI611/SUMIFS(BI$3:BI$623,$BC$3:$BC$623,1,$G$3:$G$623,$G611)</f>
        <v>0</v>
      </c>
      <c r="BO611" s="2">
        <f>BJ611/SUMIFS(BJ$3:BJ$623,$BC$3:$BC$623,1,$G$3:$G$623,$G611)</f>
        <v>0</v>
      </c>
      <c r="BP611" s="2">
        <f>BK611/SUMIFS(BK$3:BK$623,$BC$3:$BC$623,1,$G$3:$G$623,$G611)</f>
        <v>0</v>
      </c>
      <c r="BQ611" s="2">
        <f>BL611</f>
        <v>0</v>
      </c>
      <c r="BR611" s="2">
        <f>BM611</f>
        <v>0.06</v>
      </c>
    </row>
    <row r="612" spans="1:70" hidden="1">
      <c r="A612" s="74">
        <v>0</v>
      </c>
      <c r="B612" s="73">
        <v>223255</v>
      </c>
      <c r="C612" s="73" t="s">
        <v>3408</v>
      </c>
      <c r="D612" s="73" t="s">
        <v>1736</v>
      </c>
      <c r="E612" s="73" t="s">
        <v>3409</v>
      </c>
      <c r="F612" s="73">
        <v>18570</v>
      </c>
      <c r="G612" s="73" t="s">
        <v>870</v>
      </c>
      <c r="H612" s="73" t="s">
        <v>917</v>
      </c>
      <c r="I612" s="73" t="s">
        <v>1012</v>
      </c>
      <c r="J612" s="73">
        <v>0</v>
      </c>
      <c r="K612" s="73">
        <v>4</v>
      </c>
      <c r="L612" s="73">
        <v>0</v>
      </c>
      <c r="M612" s="73">
        <v>0</v>
      </c>
      <c r="N612" s="73">
        <v>0</v>
      </c>
      <c r="O612" s="73" t="s">
        <v>1318</v>
      </c>
      <c r="P612" s="73" t="s">
        <v>3410</v>
      </c>
      <c r="Q612" s="73" t="s">
        <v>1738</v>
      </c>
      <c r="R612" s="73">
        <v>4</v>
      </c>
      <c r="S612" s="73">
        <v>1</v>
      </c>
      <c r="T612" s="73">
        <v>0</v>
      </c>
      <c r="U612" s="73">
        <v>4</v>
      </c>
      <c r="V612" s="73">
        <v>2990</v>
      </c>
      <c r="W612" s="73">
        <v>12</v>
      </c>
      <c r="X612" s="73">
        <v>8</v>
      </c>
      <c r="Y612" s="73">
        <v>0</v>
      </c>
      <c r="Z612" s="73" t="s">
        <v>870</v>
      </c>
      <c r="AA612" s="73" t="s">
        <v>692</v>
      </c>
      <c r="AB612" s="73" t="str">
        <f>IF(AA612&lt;&gt;"",INDEX(Lookup!$N$2:$N$5,MATCH(Players!AA612,Lookup!$P$2:$P$5,0)),INDEX(Lookup!$N$2:$N$5,MATCH(Players!O612,Lookup!$O$2:$O$5,0)))</f>
        <v>Defense</v>
      </c>
      <c r="AC612" s="73">
        <v>2000000</v>
      </c>
      <c r="AD612" s="73" t="s">
        <v>789</v>
      </c>
      <c r="AE612" s="73" t="str">
        <f>INDEX('Translate table'!$H$2:$H$622,MATCH(Players!P612,'Translate table'!$G$2:$G$622,0))</f>
        <v>Daniel O'Shaughnessy</v>
      </c>
      <c r="AF612" s="73">
        <f>IFERROR(INDEX('Euro Qual stats'!$A$1:$L$2071,MATCH(Players!$AE612,'Euro Qual stats'!$A$1:$A$2071,0),MATCH(Players!AF$2,'Euro Qual stats'!$A$1:$L$1,0)),0)</f>
        <v>0</v>
      </c>
      <c r="AG612" s="73">
        <f>IFERROR(INDEX('Euro Qual stats'!$A$1:$L$2071,MATCH(Players!$AE612,'Euro Qual stats'!$A$1:$A$2071,0),MATCH(Players!AG$2,'Euro Qual stats'!$A$1:$L$1,0)),0)</f>
        <v>0</v>
      </c>
      <c r="AH612" s="73">
        <f>IFERROR(INDEX('Euro Qual stats'!$A$1:$L$2071,MATCH(Players!$AE612,'Euro Qual stats'!$A$1:$A$2071,0),MATCH(Players!AH$2,'Euro Qual stats'!$A$1:$L$1,0)),0)</f>
        <v>0</v>
      </c>
      <c r="AI612" s="73">
        <f>IFERROR(INDEX('Euro Qual stats'!$A$1:$L$2071,MATCH(Players!$AE612,'Euro Qual stats'!$A$1:$A$2071,0),MATCH(Players!AI$2,'Euro Qual stats'!$A$1:$L$1,0)),0)</f>
        <v>0</v>
      </c>
      <c r="AJ612" s="93">
        <f>(12-AF612)/12*INDEX(BV$9:BV$12,MATCH($AB612,$BU$9:$BU$12,0))+AF612/12*AG612</f>
        <v>8.9175824175824203E-2</v>
      </c>
      <c r="AK612" s="93">
        <f>(12-AG612)/12*INDEX(BW$9:BW$12,MATCH($AB612,$BU$9:$BU$12,0))+AG612/12*AH612</f>
        <v>0.10357142857142858</v>
      </c>
      <c r="AL612" s="93">
        <f>(12-AH612)/12*INDEX(BX$9:BX$12,MATCH($AB612,$BU$9:$BU$12,0))+AH612/12*AI612</f>
        <v>0.19357142857142848</v>
      </c>
      <c r="AM612" s="93">
        <f>IF($BC612=1,AJ612/SUMIFS(AJ$3:AJ$623,$BC$3:$BC$623,1,$G$3:$G$623,$G612),0)</f>
        <v>0</v>
      </c>
      <c r="AN612" s="93">
        <f>IF($BC612=1,AK612/SUMIFS(AK$3:AK$623,$BC$3:$BC$623,1,$G$3:$G$623,$G612),0)</f>
        <v>0</v>
      </c>
      <c r="AO612" s="93">
        <f>IF($BC612=1,AL612/SUMIFS(AL$3:AL$623,$BC$3:$BC$623,1,$G$3:$G$623,$G612),0)</f>
        <v>0</v>
      </c>
      <c r="AP612" s="2">
        <f>IFERROR(R612/$V612*90,"")</f>
        <v>0.12040133779264213</v>
      </c>
      <c r="AQ612" s="2">
        <f>IFERROR(S612/$V612*90,"")</f>
        <v>3.0100334448160532E-2</v>
      </c>
      <c r="AR612" s="2">
        <f>IFERROR(W612/$V612*90,"")</f>
        <v>0.3612040133779264</v>
      </c>
      <c r="AS612" s="2">
        <f>IFERROR(X612/$V612*90,"")</f>
        <v>0.24080267558528426</v>
      </c>
      <c r="AT612" s="2">
        <f>IFERROR(Y612/$V612*90,"")</f>
        <v>0</v>
      </c>
      <c r="AU612" s="2">
        <f>IF(AP612="",INDEX(BV$4:BV$7,MATCH(O612,$BU$4:$BU$7,0)),AP612)</f>
        <v>0.12040133779264213</v>
      </c>
      <c r="AV612" s="2">
        <f>IF(AQ612="",INDEX(BW$4:BW$7,MATCH($O612,$BU$4:$BU$7,0)),AQ612)</f>
        <v>3.0100334448160532E-2</v>
      </c>
      <c r="AW612" s="2">
        <f t="shared" si="108"/>
        <v>0.3612040133779264</v>
      </c>
      <c r="AX612" s="2">
        <f t="shared" si="109"/>
        <v>0.24080267558528426</v>
      </c>
      <c r="AY612" s="2">
        <f t="shared" si="110"/>
        <v>0</v>
      </c>
      <c r="AZ612" s="2">
        <f>AU612*0.5+AK612*0.5</f>
        <v>0.11198638318203535</v>
      </c>
      <c r="BA612" s="2">
        <f>AV612*0.5+AJ612*0.5</f>
        <v>5.9638079311992366E-2</v>
      </c>
      <c r="BB612" s="2">
        <f t="shared" si="111"/>
        <v>0.12040133779264213</v>
      </c>
      <c r="BC612">
        <f>IF(I612="expected",1,0)</f>
        <v>0</v>
      </c>
      <c r="BD612" s="78">
        <f>IF(BC612=1,AZ612/SUMIFS(AZ$3:AZ$623,$BC$3:$BC$623,1,$G$3:$G$623,$G612),0)</f>
        <v>0</v>
      </c>
      <c r="BE612" s="78">
        <f>IF(BC612=1,BA612/SUMIFS(BA$3:BA$623,$BC$3:$BC$623,1,$G$3:$G$623,$G612),0)</f>
        <v>0</v>
      </c>
      <c r="BF612" s="78">
        <f t="shared" si="112"/>
        <v>0</v>
      </c>
      <c r="BG612" s="2">
        <f t="shared" si="113"/>
        <v>0.12040133779264213</v>
      </c>
      <c r="BH612" s="2">
        <f t="shared" si="114"/>
        <v>0</v>
      </c>
      <c r="BI612" s="2">
        <f t="shared" si="115"/>
        <v>0</v>
      </c>
      <c r="BJ612" s="2">
        <f t="shared" si="116"/>
        <v>0</v>
      </c>
      <c r="BK612" s="2">
        <f t="shared" si="117"/>
        <v>0</v>
      </c>
      <c r="BL612" s="2">
        <f t="shared" si="118"/>
        <v>0.12040133779264213</v>
      </c>
      <c r="BM612" s="2">
        <f t="shared" si="119"/>
        <v>0</v>
      </c>
      <c r="BN612" s="2">
        <f>BI612/SUMIFS(BI$3:BI$623,$BC$3:$BC$623,1,$G$3:$G$623,$G612)</f>
        <v>0</v>
      </c>
      <c r="BO612" s="2">
        <f>BJ612/SUMIFS(BJ$3:BJ$623,$BC$3:$BC$623,1,$G$3:$G$623,$G612)</f>
        <v>0</v>
      </c>
      <c r="BP612" s="2">
        <f>BK612/SUMIFS(BK$3:BK$623,$BC$3:$BC$623,1,$G$3:$G$623,$G612)</f>
        <v>0</v>
      </c>
      <c r="BQ612" s="2">
        <f>BL612</f>
        <v>0.12040133779264213</v>
      </c>
      <c r="BR612" s="2">
        <f>BM612</f>
        <v>0</v>
      </c>
    </row>
    <row r="613" spans="1:70" hidden="1">
      <c r="A613" s="74">
        <v>0</v>
      </c>
      <c r="B613" s="73">
        <v>223254</v>
      </c>
      <c r="C613" s="73" t="s">
        <v>3412</v>
      </c>
      <c r="D613" s="73" t="s">
        <v>3413</v>
      </c>
      <c r="E613" s="73" t="s">
        <v>3414</v>
      </c>
      <c r="F613" s="73">
        <v>18570</v>
      </c>
      <c r="G613" s="73" t="s">
        <v>870</v>
      </c>
      <c r="H613" s="73" t="s">
        <v>917</v>
      </c>
      <c r="I613" s="73" t="s">
        <v>1012</v>
      </c>
      <c r="J613" s="73">
        <v>0</v>
      </c>
      <c r="K613" s="73">
        <v>4</v>
      </c>
      <c r="L613" s="73">
        <v>0</v>
      </c>
      <c r="M613" s="73">
        <v>0</v>
      </c>
      <c r="N613" s="73">
        <v>0</v>
      </c>
      <c r="O613" s="73" t="s">
        <v>1318</v>
      </c>
      <c r="P613" s="73" t="s">
        <v>3415</v>
      </c>
      <c r="Q613" s="73" t="s">
        <v>1164</v>
      </c>
      <c r="R613" s="73"/>
      <c r="S613" s="73"/>
      <c r="T613" s="73"/>
      <c r="U613" s="73"/>
      <c r="V613" s="73"/>
      <c r="W613" s="73"/>
      <c r="X613" s="73"/>
      <c r="Y613" s="73"/>
      <c r="Z613" s="73" t="s">
        <v>870</v>
      </c>
      <c r="AA613" s="73" t="s">
        <v>692</v>
      </c>
      <c r="AB613" s="73" t="str">
        <f>IF(AA613&lt;&gt;"",INDEX(Lookup!$N$2:$N$5,MATCH(Players!AA613,Lookup!$P$2:$P$5,0)),INDEX(Lookup!$N$2:$N$5,MATCH(Players!O613,Lookup!$O$2:$O$5,0)))</f>
        <v>Defense</v>
      </c>
      <c r="AC613" s="73">
        <v>2000000</v>
      </c>
      <c r="AD613" s="73" t="s">
        <v>753</v>
      </c>
      <c r="AE613" s="73" t="str">
        <f>INDEX('Translate table'!$H$2:$H$622,MATCH(Players!P613,'Translate table'!$G$2:$G$622,0))</f>
        <v>Sauli VÃ¤isÃ¤nen</v>
      </c>
      <c r="AF613" s="73">
        <f>IFERROR(INDEX('Euro Qual stats'!$A$1:$L$2071,MATCH(Players!$AE613,'Euro Qual stats'!$A$1:$A$2071,0),MATCH(Players!AF$2,'Euro Qual stats'!$A$1:$L$1,0)),0)</f>
        <v>5</v>
      </c>
      <c r="AG613" s="73">
        <f>IFERROR(INDEX('Euro Qual stats'!$A$1:$L$2071,MATCH(Players!$AE613,'Euro Qual stats'!$A$1:$A$2071,0),MATCH(Players!AG$2,'Euro Qual stats'!$A$1:$L$1,0)),0)</f>
        <v>0</v>
      </c>
      <c r="AH613" s="73">
        <f>IFERROR(INDEX('Euro Qual stats'!$A$1:$L$2071,MATCH(Players!$AE613,'Euro Qual stats'!$A$1:$A$2071,0),MATCH(Players!AH$2,'Euro Qual stats'!$A$1:$L$1,0)),0)</f>
        <v>0</v>
      </c>
      <c r="AI613" s="73">
        <f>IFERROR(INDEX('Euro Qual stats'!$A$1:$L$2071,MATCH(Players!$AE613,'Euro Qual stats'!$A$1:$A$2071,0),MATCH(Players!AI$2,'Euro Qual stats'!$A$1:$L$1,0)),0)</f>
        <v>0.21</v>
      </c>
      <c r="AJ613" s="93">
        <f>(12-AF613)/12*INDEX(BV$9:BV$12,MATCH($AB613,$BU$9:$BU$12,0))+AF613/12*AG613</f>
        <v>5.201923076923079E-2</v>
      </c>
      <c r="AK613" s="93">
        <f>(12-AG613)/12*INDEX(BW$9:BW$12,MATCH($AB613,$BU$9:$BU$12,0))+AG613/12*AH613</f>
        <v>0.10357142857142858</v>
      </c>
      <c r="AL613" s="93">
        <f>(12-AH613)/12*INDEX(BX$9:BX$12,MATCH($AB613,$BU$9:$BU$12,0))+AH613/12*AI613</f>
        <v>0.19357142857142848</v>
      </c>
      <c r="AM613" s="93">
        <f>IF($BC613=1,AJ613/SUMIFS(AJ$3:AJ$623,$BC$3:$BC$623,1,$G$3:$G$623,$G613),0)</f>
        <v>0</v>
      </c>
      <c r="AN613" s="93">
        <f>IF($BC613=1,AK613/SUMIFS(AK$3:AK$623,$BC$3:$BC$623,1,$G$3:$G$623,$G613),0)</f>
        <v>0</v>
      </c>
      <c r="AO613" s="93">
        <f>IF($BC613=1,AL613/SUMIFS(AL$3:AL$623,$BC$3:$BC$623,1,$G$3:$G$623,$G613),0)</f>
        <v>0</v>
      </c>
      <c r="AP613" s="2" t="str">
        <f>IFERROR(R613/$V613*90,"")</f>
        <v/>
      </c>
      <c r="AQ613" s="2" t="str">
        <f>IFERROR(S613/$V613*90,"")</f>
        <v/>
      </c>
      <c r="AR613" s="2" t="str">
        <f>IFERROR(W613/$V613*90,"")</f>
        <v/>
      </c>
      <c r="AS613" s="2" t="str">
        <f>IFERROR(X613/$V613*90,"")</f>
        <v/>
      </c>
      <c r="AT613" s="2" t="str">
        <f>IFERROR(Y613/$V613*90,"")</f>
        <v/>
      </c>
      <c r="AU613" s="2">
        <f>IF(AP613="",INDEX(BV$4:BV$7,MATCH(O613,$BU$4:$BU$7,0)),AP613)</f>
        <v>0</v>
      </c>
      <c r="AV613" s="2">
        <f>IF(AQ613="",INDEX(BW$4:BW$7,MATCH($O613,$BU$4:$BU$7,0)),AQ613)</f>
        <v>0</v>
      </c>
      <c r="AW613" s="2">
        <f t="shared" si="108"/>
        <v>8.0624805297505417E-2</v>
      </c>
      <c r="AX613" s="2">
        <f t="shared" si="109"/>
        <v>0.1265377855887522</v>
      </c>
      <c r="AY613" s="2">
        <f t="shared" si="110"/>
        <v>0</v>
      </c>
      <c r="AZ613" s="2">
        <f>AU613*0.5+AK613*0.5</f>
        <v>5.1785714285714289E-2</v>
      </c>
      <c r="BA613" s="2">
        <f>AV613*0.5+AJ613*0.5</f>
        <v>2.6009615384615395E-2</v>
      </c>
      <c r="BB613" s="2">
        <f t="shared" si="111"/>
        <v>0.1682688927943761</v>
      </c>
      <c r="BC613">
        <f>IF(I613="expected",1,0)</f>
        <v>0</v>
      </c>
      <c r="BD613" s="78">
        <f>IF(BC613=1,AZ613/SUMIFS(AZ$3:AZ$623,$BC$3:$BC$623,1,$G$3:$G$623,$G613),0)</f>
        <v>0</v>
      </c>
      <c r="BE613" s="78">
        <f>IF(BC613=1,BA613/SUMIFS(BA$3:BA$623,$BC$3:$BC$623,1,$G$3:$G$623,$G613),0)</f>
        <v>0</v>
      </c>
      <c r="BF613" s="78">
        <f t="shared" si="112"/>
        <v>0</v>
      </c>
      <c r="BG613" s="2">
        <f t="shared" si="113"/>
        <v>0.1682688927943761</v>
      </c>
      <c r="BH613" s="2">
        <f t="shared" si="114"/>
        <v>0</v>
      </c>
      <c r="BI613" s="2">
        <f t="shared" si="115"/>
        <v>0</v>
      </c>
      <c r="BJ613" s="2">
        <f t="shared" si="116"/>
        <v>0</v>
      </c>
      <c r="BK613" s="2">
        <f t="shared" si="117"/>
        <v>0</v>
      </c>
      <c r="BL613" s="2">
        <f t="shared" si="118"/>
        <v>0.1682688927943761</v>
      </c>
      <c r="BM613" s="2">
        <f t="shared" si="119"/>
        <v>0</v>
      </c>
      <c r="BN613" s="2">
        <f>BI613/SUMIFS(BI$3:BI$623,$BC$3:$BC$623,1,$G$3:$G$623,$G613)</f>
        <v>0</v>
      </c>
      <c r="BO613" s="2">
        <f>BJ613/SUMIFS(BJ$3:BJ$623,$BC$3:$BC$623,1,$G$3:$G$623,$G613)</f>
        <v>0</v>
      </c>
      <c r="BP613" s="2">
        <f>BK613/SUMIFS(BK$3:BK$623,$BC$3:$BC$623,1,$G$3:$G$623,$G613)</f>
        <v>0</v>
      </c>
      <c r="BQ613" s="2">
        <f>BL613</f>
        <v>0.1682688927943761</v>
      </c>
      <c r="BR613" s="2">
        <f>BM613</f>
        <v>0</v>
      </c>
    </row>
    <row r="614" spans="1:70" hidden="1">
      <c r="A614" s="74">
        <v>0</v>
      </c>
      <c r="B614" s="73">
        <v>213409</v>
      </c>
      <c r="C614" s="73" t="s">
        <v>3416</v>
      </c>
      <c r="D614" s="73" t="s">
        <v>3417</v>
      </c>
      <c r="E614" s="73" t="s">
        <v>3418</v>
      </c>
      <c r="F614" s="73">
        <v>18570</v>
      </c>
      <c r="G614" s="73" t="s">
        <v>870</v>
      </c>
      <c r="H614" s="73" t="s">
        <v>917</v>
      </c>
      <c r="I614" s="73" t="s">
        <v>981</v>
      </c>
      <c r="J614" s="73">
        <v>0</v>
      </c>
      <c r="K614" s="73">
        <v>4</v>
      </c>
      <c r="L614" s="73">
        <v>0</v>
      </c>
      <c r="M614" s="73">
        <v>0</v>
      </c>
      <c r="N614" s="73">
        <v>0</v>
      </c>
      <c r="O614" s="73" t="s">
        <v>1318</v>
      </c>
      <c r="P614" s="73" t="s">
        <v>3419</v>
      </c>
      <c r="Q614" s="73" t="s">
        <v>3419</v>
      </c>
      <c r="R614" s="73">
        <v>0</v>
      </c>
      <c r="S614" s="73">
        <v>0</v>
      </c>
      <c r="T614" s="73">
        <v>0</v>
      </c>
      <c r="U614" s="73">
        <v>2</v>
      </c>
      <c r="V614" s="73">
        <v>1395</v>
      </c>
      <c r="W614" s="73">
        <v>3</v>
      </c>
      <c r="X614" s="73">
        <v>2</v>
      </c>
      <c r="Y614" s="73">
        <v>0</v>
      </c>
      <c r="Z614" s="73" t="s">
        <v>870</v>
      </c>
      <c r="AA614" s="73" t="s">
        <v>692</v>
      </c>
      <c r="AB614" s="73" t="str">
        <f>IF(AA614&lt;&gt;"",INDEX(Lookup!$N$2:$N$5,MATCH(Players!AA614,Lookup!$P$2:$P$5,0)),INDEX(Lookup!$N$2:$N$5,MATCH(Players!O614,Lookup!$O$2:$O$5,0)))</f>
        <v>Defense</v>
      </c>
      <c r="AC614" s="73">
        <v>2500000</v>
      </c>
      <c r="AD614" s="73" t="s">
        <v>788</v>
      </c>
      <c r="AE614" s="73" t="str">
        <f>INDEX('Translate table'!$H$2:$H$622,MATCH(Players!P614,'Translate table'!$G$2:$G$622,0))</f>
        <v>Jukka Raitala</v>
      </c>
      <c r="AF614" s="73">
        <f>IFERROR(INDEX('Euro Qual stats'!$A$1:$L$2071,MATCH(Players!$AE614,'Euro Qual stats'!$A$1:$A$2071,0),MATCH(Players!AF$2,'Euro Qual stats'!$A$1:$L$1,0)),0)</f>
        <v>7</v>
      </c>
      <c r="AG614" s="73">
        <f>IFERROR(INDEX('Euro Qual stats'!$A$1:$L$2071,MATCH(Players!$AE614,'Euro Qual stats'!$A$1:$A$2071,0),MATCH(Players!AG$2,'Euro Qual stats'!$A$1:$L$1,0)),0)</f>
        <v>0</v>
      </c>
      <c r="AH614" s="73">
        <f>IFERROR(INDEX('Euro Qual stats'!$A$1:$L$2071,MATCH(Players!$AE614,'Euro Qual stats'!$A$1:$A$2071,0),MATCH(Players!AH$2,'Euro Qual stats'!$A$1:$L$1,0)),0)</f>
        <v>0</v>
      </c>
      <c r="AI614" s="73">
        <f>IFERROR(INDEX('Euro Qual stats'!$A$1:$L$2071,MATCH(Players!$AE614,'Euro Qual stats'!$A$1:$A$2071,0),MATCH(Players!AI$2,'Euro Qual stats'!$A$1:$L$1,0)),0)</f>
        <v>0.15</v>
      </c>
      <c r="AJ614" s="93">
        <f>(12-AF614)/12*INDEX(BV$9:BV$12,MATCH($AB614,$BU$9:$BU$12,0))+AF614/12*AG614</f>
        <v>3.715659340659342E-2</v>
      </c>
      <c r="AK614" s="93">
        <f>(12-AG614)/12*INDEX(BW$9:BW$12,MATCH($AB614,$BU$9:$BU$12,0))+AG614/12*AH614</f>
        <v>0.10357142857142858</v>
      </c>
      <c r="AL614" s="93">
        <f>(12-AH614)/12*INDEX(BX$9:BX$12,MATCH($AB614,$BU$9:$BU$12,0))+AH614/12*AI614</f>
        <v>0.19357142857142848</v>
      </c>
      <c r="AM614" s="93">
        <f>IF($BC614=1,AJ614/SUMIFS(AJ$3:AJ$623,$BC$3:$BC$623,1,$G$3:$G$623,$G614),0)</f>
        <v>2.9610750673017334E-2</v>
      </c>
      <c r="AN614" s="93">
        <f>IF($BC614=1,AK614/SUMIFS(AK$3:AK$623,$BC$3:$BC$623,1,$G$3:$G$623,$G614),0)</f>
        <v>4.0754764661773406E-2</v>
      </c>
      <c r="AO614" s="93">
        <f>IF($BC614=1,AL614/SUMIFS(AL$3:AL$623,$BC$3:$BC$623,1,$G$3:$G$623,$G614),0)</f>
        <v>9.2762912355009872E-2</v>
      </c>
      <c r="AP614" s="2">
        <f>IFERROR(R614/$V614*90,"")</f>
        <v>0</v>
      </c>
      <c r="AQ614" s="2">
        <f>IFERROR(S614/$V614*90,"")</f>
        <v>0</v>
      </c>
      <c r="AR614" s="2">
        <f>IFERROR(W614/$V614*90,"")</f>
        <v>0.19354838709677419</v>
      </c>
      <c r="AS614" s="2">
        <f>IFERROR(X614/$V614*90,"")</f>
        <v>0.12903225806451613</v>
      </c>
      <c r="AT614" s="2">
        <f>IFERROR(Y614/$V614*90,"")</f>
        <v>0</v>
      </c>
      <c r="AU614" s="2">
        <f>IF(AP614="",INDEX(BV$4:BV$7,MATCH(O614,$BU$4:$BU$7,0)),AP614)</f>
        <v>0</v>
      </c>
      <c r="AV614" s="2">
        <f>IF(AQ614="",INDEX(BW$4:BW$7,MATCH($O614,$BU$4:$BU$7,0)),AQ614)</f>
        <v>0</v>
      </c>
      <c r="AW614" s="2">
        <f t="shared" si="108"/>
        <v>0.19354838709677419</v>
      </c>
      <c r="AX614" s="2">
        <f t="shared" si="109"/>
        <v>0.12903225806451613</v>
      </c>
      <c r="AY614" s="2">
        <f t="shared" si="110"/>
        <v>0</v>
      </c>
      <c r="AZ614" s="2">
        <f>AU614*0.5+AK614*0.5</f>
        <v>5.1785714285714289E-2</v>
      </c>
      <c r="BA614" s="2">
        <f>AV614*0.5+AJ614*0.5</f>
        <v>1.857829670329671E-2</v>
      </c>
      <c r="BB614" s="2">
        <f t="shared" si="111"/>
        <v>0.13951612903225807</v>
      </c>
      <c r="BC614">
        <f>IF(I614="expected",1,0)</f>
        <v>1</v>
      </c>
      <c r="BD614" s="78">
        <f>IF(BC614=1,AZ614/SUMIFS(AZ$3:AZ$623,$BC$3:$BC$623,1,$G$3:$G$623,$G614),0)</f>
        <v>2.5077846842091522E-2</v>
      </c>
      <c r="BE614" s="78">
        <f>IF(BC614=1,BA614/SUMIFS(BA$3:BA$623,$BC$3:$BC$623,1,$G$3:$G$623,$G614),0)</f>
        <v>2.3320321842950534E-2</v>
      </c>
      <c r="BF614" s="78">
        <f t="shared" si="112"/>
        <v>4.3529051028062787E-2</v>
      </c>
      <c r="BG614" s="2">
        <f t="shared" si="113"/>
        <v>0.13951612903225807</v>
      </c>
      <c r="BH614" s="2">
        <f t="shared" si="114"/>
        <v>0</v>
      </c>
      <c r="BI614" s="2">
        <f t="shared" si="115"/>
        <v>2.5077846842091522E-2</v>
      </c>
      <c r="BJ614" s="2">
        <f t="shared" si="116"/>
        <v>2.3320321842950534E-2</v>
      </c>
      <c r="BK614" s="2">
        <f t="shared" si="117"/>
        <v>4.3529051028062787E-2</v>
      </c>
      <c r="BL614" s="2">
        <f t="shared" si="118"/>
        <v>0.13951612903225807</v>
      </c>
      <c r="BM614" s="2">
        <f t="shared" si="119"/>
        <v>0</v>
      </c>
      <c r="BN614" s="2">
        <f>BI614/SUMIFS(BI$3:BI$623,$BC$3:$BC$623,1,$G$3:$G$623,$G614)</f>
        <v>2.5077846842091522E-2</v>
      </c>
      <c r="BO614" s="2">
        <f>BJ614/SUMIFS(BJ$3:BJ$623,$BC$3:$BC$623,1,$G$3:$G$623,$G614)</f>
        <v>2.3320321842950534E-2</v>
      </c>
      <c r="BP614" s="2">
        <f>BK614/SUMIFS(BK$3:BK$623,$BC$3:$BC$623,1,$G$3:$G$623,$G614)</f>
        <v>4.7228794788306473E-2</v>
      </c>
      <c r="BQ614" s="2">
        <f>BL614</f>
        <v>0.13951612903225807</v>
      </c>
      <c r="BR614" s="2">
        <f>BM614</f>
        <v>0</v>
      </c>
    </row>
    <row r="615" spans="1:70" hidden="1">
      <c r="A615" s="74">
        <v>0</v>
      </c>
      <c r="B615" s="73">
        <v>204869</v>
      </c>
      <c r="C615" s="73" t="s">
        <v>3420</v>
      </c>
      <c r="D615" s="73" t="s">
        <v>3421</v>
      </c>
      <c r="E615" s="73" t="s">
        <v>3422</v>
      </c>
      <c r="F615" s="73">
        <v>18570</v>
      </c>
      <c r="G615" s="73" t="s">
        <v>870</v>
      </c>
      <c r="H615" s="73" t="s">
        <v>917</v>
      </c>
      <c r="I615" s="73" t="s">
        <v>981</v>
      </c>
      <c r="J615" s="73">
        <v>0</v>
      </c>
      <c r="K615" s="73">
        <v>4</v>
      </c>
      <c r="L615" s="73">
        <v>0</v>
      </c>
      <c r="M615" s="73">
        <v>0</v>
      </c>
      <c r="N615" s="73">
        <v>0</v>
      </c>
      <c r="O615" s="73" t="s">
        <v>1318</v>
      </c>
      <c r="P615" s="73" t="s">
        <v>3423</v>
      </c>
      <c r="Q615" s="73" t="s">
        <v>3424</v>
      </c>
      <c r="R615" s="73">
        <v>0</v>
      </c>
      <c r="S615" s="73">
        <v>0</v>
      </c>
      <c r="T615" s="73">
        <v>0</v>
      </c>
      <c r="U615" s="73">
        <v>0</v>
      </c>
      <c r="V615" s="73">
        <v>21</v>
      </c>
      <c r="W615" s="73">
        <v>0</v>
      </c>
      <c r="X615" s="73">
        <v>0</v>
      </c>
      <c r="Y615" s="73">
        <v>0</v>
      </c>
      <c r="Z615" s="73" t="s">
        <v>870</v>
      </c>
      <c r="AA615" s="73" t="s">
        <v>692</v>
      </c>
      <c r="AB615" s="73" t="str">
        <f>IF(AA615&lt;&gt;"",INDEX(Lookup!$N$2:$N$5,MATCH(Players!AA615,Lookup!$P$2:$P$5,0)),INDEX(Lookup!$N$2:$N$5,MATCH(Players!O615,Lookup!$O$2:$O$5,0)))</f>
        <v>Defense</v>
      </c>
      <c r="AC615" s="73">
        <v>2500000</v>
      </c>
      <c r="AD615" s="73" t="s">
        <v>788</v>
      </c>
      <c r="AE615" s="73" t="str">
        <f>INDEX('Translate table'!$H$2:$H$622,MATCH(Players!P615,'Translate table'!$G$2:$G$622,0))</f>
        <v>Paulus Arajuuri</v>
      </c>
      <c r="AF615" s="73">
        <f>IFERROR(INDEX('Euro Qual stats'!$A$1:$L$2071,MATCH(Players!$AE615,'Euro Qual stats'!$A$1:$A$2071,0),MATCH(Players!AF$2,'Euro Qual stats'!$A$1:$L$1,0)),0)</f>
        <v>8</v>
      </c>
      <c r="AG615" s="73">
        <f>IFERROR(INDEX('Euro Qual stats'!$A$1:$L$2071,MATCH(Players!$AE615,'Euro Qual stats'!$A$1:$A$2071,0),MATCH(Players!AG$2,'Euro Qual stats'!$A$1:$L$1,0)),0)</f>
        <v>0</v>
      </c>
      <c r="AH615" s="73">
        <f>IFERROR(INDEX('Euro Qual stats'!$A$1:$L$2071,MATCH(Players!$AE615,'Euro Qual stats'!$A$1:$A$2071,0),MATCH(Players!AH$2,'Euro Qual stats'!$A$1:$L$1,0)),0)</f>
        <v>0</v>
      </c>
      <c r="AI615" s="73">
        <f>IFERROR(INDEX('Euro Qual stats'!$A$1:$L$2071,MATCH(Players!$AE615,'Euro Qual stats'!$A$1:$A$2071,0),MATCH(Players!AI$2,'Euro Qual stats'!$A$1:$L$1,0)),0)</f>
        <v>0.14000000000000001</v>
      </c>
      <c r="AJ615" s="93">
        <f>(12-AF615)/12*INDEX(BV$9:BV$12,MATCH($AB615,$BU$9:$BU$12,0))+AF615/12*AG615</f>
        <v>2.9725274725274732E-2</v>
      </c>
      <c r="AK615" s="93">
        <f>(12-AG615)/12*INDEX(BW$9:BW$12,MATCH($AB615,$BU$9:$BU$12,0))+AG615/12*AH615</f>
        <v>0.10357142857142858</v>
      </c>
      <c r="AL615" s="93">
        <f>(12-AH615)/12*INDEX(BX$9:BX$12,MATCH($AB615,$BU$9:$BU$12,0))+AH615/12*AI615</f>
        <v>0.19357142857142848</v>
      </c>
      <c r="AM615" s="93">
        <f>IF($BC615=1,AJ615/SUMIFS(AJ$3:AJ$623,$BC$3:$BC$623,1,$G$3:$G$623,$G615),0)</f>
        <v>2.3688600538413866E-2</v>
      </c>
      <c r="AN615" s="93">
        <f>IF($BC615=1,AK615/SUMIFS(AK$3:AK$623,$BC$3:$BC$623,1,$G$3:$G$623,$G615),0)</f>
        <v>4.0754764661773406E-2</v>
      </c>
      <c r="AO615" s="93">
        <f>IF($BC615=1,AL615/SUMIFS(AL$3:AL$623,$BC$3:$BC$623,1,$G$3:$G$623,$G615),0)</f>
        <v>9.2762912355009872E-2</v>
      </c>
      <c r="AP615" s="2">
        <f>IFERROR(R615/$V615*90,"")</f>
        <v>0</v>
      </c>
      <c r="AQ615" s="2">
        <f>IFERROR(S615/$V615*90,"")</f>
        <v>0</v>
      </c>
      <c r="AR615" s="2">
        <f>IFERROR(W615/$V615*90,"")</f>
        <v>0</v>
      </c>
      <c r="AS615" s="2">
        <f>IFERROR(X615/$V615*90,"")</f>
        <v>0</v>
      </c>
      <c r="AT615" s="2">
        <f>IFERROR(Y615/$V615*90,"")</f>
        <v>0</v>
      </c>
      <c r="AU615" s="2">
        <f>IF(AP615="",INDEX(BV$4:BV$7,MATCH(O615,$BU$4:$BU$7,0)),AP615)</f>
        <v>0</v>
      </c>
      <c r="AV615" s="2">
        <f>IF(AQ615="",INDEX(BW$4:BW$7,MATCH($O615,$BU$4:$BU$7,0)),AQ615)</f>
        <v>0</v>
      </c>
      <c r="AW615" s="2">
        <f t="shared" si="108"/>
        <v>0</v>
      </c>
      <c r="AX615" s="2">
        <f t="shared" si="109"/>
        <v>0</v>
      </c>
      <c r="AY615" s="2">
        <f t="shared" si="110"/>
        <v>0</v>
      </c>
      <c r="AZ615" s="2">
        <f>AU615*0.5+AK615*0.5</f>
        <v>5.1785714285714289E-2</v>
      </c>
      <c r="BA615" s="2">
        <f>AV615*0.5+AJ615*0.5</f>
        <v>1.4862637362637366E-2</v>
      </c>
      <c r="BB615" s="2">
        <f t="shared" si="111"/>
        <v>7.0000000000000007E-2</v>
      </c>
      <c r="BC615">
        <f>IF(I615="expected",1,0)</f>
        <v>1</v>
      </c>
      <c r="BD615" s="78">
        <f>IF(BC615=1,AZ615/SUMIFS(AZ$3:AZ$623,$BC$3:$BC$623,1,$G$3:$G$623,$G615),0)</f>
        <v>2.5077846842091522E-2</v>
      </c>
      <c r="BE615" s="78">
        <f>IF(BC615=1,BA615/SUMIFS(BA$3:BA$623,$BC$3:$BC$623,1,$G$3:$G$623,$G615),0)</f>
        <v>1.8656257474360421E-2</v>
      </c>
      <c r="BF615" s="78">
        <f t="shared" si="112"/>
        <v>0</v>
      </c>
      <c r="BG615" s="2">
        <f t="shared" si="113"/>
        <v>7.0000000000000007E-2</v>
      </c>
      <c r="BH615" s="2">
        <f t="shared" si="114"/>
        <v>0</v>
      </c>
      <c r="BI615" s="2">
        <f t="shared" si="115"/>
        <v>2.5077846842091522E-2</v>
      </c>
      <c r="BJ615" s="2">
        <f t="shared" si="116"/>
        <v>1.8656257474360421E-2</v>
      </c>
      <c r="BK615" s="2">
        <f t="shared" si="117"/>
        <v>0</v>
      </c>
      <c r="BL615" s="2">
        <f t="shared" si="118"/>
        <v>7.0000000000000007E-2</v>
      </c>
      <c r="BM615" s="2">
        <f t="shared" si="119"/>
        <v>0</v>
      </c>
      <c r="BN615" s="2">
        <f>BI615/SUMIFS(BI$3:BI$623,$BC$3:$BC$623,1,$G$3:$G$623,$G615)</f>
        <v>2.5077846842091522E-2</v>
      </c>
      <c r="BO615" s="2">
        <f>BJ615/SUMIFS(BJ$3:BJ$623,$BC$3:$BC$623,1,$G$3:$G$623,$G615)</f>
        <v>1.8656257474360421E-2</v>
      </c>
      <c r="BP615" s="2">
        <f>BK615/SUMIFS(BK$3:BK$623,$BC$3:$BC$623,1,$G$3:$G$623,$G615)</f>
        <v>0</v>
      </c>
      <c r="BQ615" s="2">
        <f>BL615</f>
        <v>7.0000000000000007E-2</v>
      </c>
      <c r="BR615" s="2">
        <f>BM615</f>
        <v>0</v>
      </c>
    </row>
    <row r="616" spans="1:70" hidden="1">
      <c r="A616" s="74">
        <v>0</v>
      </c>
      <c r="B616" s="73">
        <v>204867</v>
      </c>
      <c r="C616" s="73" t="s">
        <v>3425</v>
      </c>
      <c r="D616" s="73" t="s">
        <v>3426</v>
      </c>
      <c r="E616" s="73" t="s">
        <v>3427</v>
      </c>
      <c r="F616" s="73">
        <v>18570</v>
      </c>
      <c r="G616" s="73" t="s">
        <v>870</v>
      </c>
      <c r="H616" s="73" t="s">
        <v>917</v>
      </c>
      <c r="I616" s="73" t="s">
        <v>1012</v>
      </c>
      <c r="J616" s="73">
        <v>0</v>
      </c>
      <c r="K616" s="73">
        <v>4</v>
      </c>
      <c r="L616" s="73">
        <v>0</v>
      </c>
      <c r="M616" s="73">
        <v>0</v>
      </c>
      <c r="N616" s="73">
        <v>0</v>
      </c>
      <c r="O616" s="73" t="s">
        <v>1318</v>
      </c>
      <c r="P616" s="73" t="s">
        <v>3428</v>
      </c>
      <c r="Q616" s="73" t="s">
        <v>1164</v>
      </c>
      <c r="R616" s="73"/>
      <c r="S616" s="73"/>
      <c r="T616" s="73"/>
      <c r="U616" s="73"/>
      <c r="V616" s="73"/>
      <c r="W616" s="73"/>
      <c r="X616" s="73"/>
      <c r="Y616" s="73"/>
      <c r="Z616" s="73" t="s">
        <v>870</v>
      </c>
      <c r="AA616" s="73" t="s">
        <v>692</v>
      </c>
      <c r="AB616" s="73" t="str">
        <f>IF(AA616&lt;&gt;"",INDEX(Lookup!$N$2:$N$5,MATCH(Players!AA616,Lookup!$P$2:$P$5,0)),INDEX(Lookup!$N$2:$N$5,MATCH(Players!O616,Lookup!$O$2:$O$5,0)))</f>
        <v>Defense</v>
      </c>
      <c r="AC616" s="73">
        <v>2000000</v>
      </c>
      <c r="AD616" s="73" t="s">
        <v>753</v>
      </c>
      <c r="AE616" s="73" t="str">
        <f>INDEX('Translate table'!$H$2:$H$622,MATCH(Players!P616,'Translate table'!$G$2:$G$622,0))</f>
        <v>Leo VÃ¤isÃ¤nen</v>
      </c>
      <c r="AF616" s="73">
        <f>IFERROR(INDEX('Euro Qual stats'!$A$1:$L$2071,MATCH(Players!$AE616,'Euro Qual stats'!$A$1:$A$2071,0),MATCH(Players!AF$2,'Euro Qual stats'!$A$1:$L$1,0)),0)</f>
        <v>2</v>
      </c>
      <c r="AG616" s="73">
        <f>IFERROR(INDEX('Euro Qual stats'!$A$1:$L$2071,MATCH(Players!$AE616,'Euro Qual stats'!$A$1:$A$2071,0),MATCH(Players!AG$2,'Euro Qual stats'!$A$1:$L$1,0)),0)</f>
        <v>0</v>
      </c>
      <c r="AH616" s="73">
        <f>IFERROR(INDEX('Euro Qual stats'!$A$1:$L$2071,MATCH(Players!$AE616,'Euro Qual stats'!$A$1:$A$2071,0),MATCH(Players!AH$2,'Euro Qual stats'!$A$1:$L$1,0)),0)</f>
        <v>0</v>
      </c>
      <c r="AI616" s="73">
        <f>IFERROR(INDEX('Euro Qual stats'!$A$1:$L$2071,MATCH(Players!$AE616,'Euro Qual stats'!$A$1:$A$2071,0),MATCH(Players!AI$2,'Euro Qual stats'!$A$1:$L$1,0)),0)</f>
        <v>0</v>
      </c>
      <c r="AJ616" s="93">
        <f>(12-AF616)/12*INDEX(BV$9:BV$12,MATCH($AB616,$BU$9:$BU$12,0))+AF616/12*AG616</f>
        <v>7.4313186813186841E-2</v>
      </c>
      <c r="AK616" s="93">
        <f>(12-AG616)/12*INDEX(BW$9:BW$12,MATCH($AB616,$BU$9:$BU$12,0))+AG616/12*AH616</f>
        <v>0.10357142857142858</v>
      </c>
      <c r="AL616" s="93">
        <f>(12-AH616)/12*INDEX(BX$9:BX$12,MATCH($AB616,$BU$9:$BU$12,0))+AH616/12*AI616</f>
        <v>0.19357142857142848</v>
      </c>
      <c r="AM616" s="93">
        <f>IF($BC616=1,AJ616/SUMIFS(AJ$3:AJ$623,$BC$3:$BC$623,1,$G$3:$G$623,$G616),0)</f>
        <v>0</v>
      </c>
      <c r="AN616" s="93">
        <f>IF($BC616=1,AK616/SUMIFS(AK$3:AK$623,$BC$3:$BC$623,1,$G$3:$G$623,$G616),0)</f>
        <v>0</v>
      </c>
      <c r="AO616" s="93">
        <f>IF($BC616=1,AL616/SUMIFS(AL$3:AL$623,$BC$3:$BC$623,1,$G$3:$G$623,$G616),0)</f>
        <v>0</v>
      </c>
      <c r="AP616" s="2" t="str">
        <f>IFERROR(R616/$V616*90,"")</f>
        <v/>
      </c>
      <c r="AQ616" s="2" t="str">
        <f>IFERROR(S616/$V616*90,"")</f>
        <v/>
      </c>
      <c r="AR616" s="2" t="str">
        <f>IFERROR(W616/$V616*90,"")</f>
        <v/>
      </c>
      <c r="AS616" s="2" t="str">
        <f>IFERROR(X616/$V616*90,"")</f>
        <v/>
      </c>
      <c r="AT616" s="2" t="str">
        <f>IFERROR(Y616/$V616*90,"")</f>
        <v/>
      </c>
      <c r="AU616" s="2">
        <f>IF(AP616="",INDEX(BV$4:BV$7,MATCH(O616,$BU$4:$BU$7,0)),AP616)</f>
        <v>0</v>
      </c>
      <c r="AV616" s="2">
        <f>IF(AQ616="",INDEX(BW$4:BW$7,MATCH($O616,$BU$4:$BU$7,0)),AQ616)</f>
        <v>0</v>
      </c>
      <c r="AW616" s="2">
        <f t="shared" si="108"/>
        <v>8.0624805297505417E-2</v>
      </c>
      <c r="AX616" s="2">
        <f t="shared" si="109"/>
        <v>0.1265377855887522</v>
      </c>
      <c r="AY616" s="2">
        <f t="shared" si="110"/>
        <v>0</v>
      </c>
      <c r="AZ616" s="2">
        <f>AU616*0.5+AK616*0.5</f>
        <v>5.1785714285714289E-2</v>
      </c>
      <c r="BA616" s="2">
        <f>AV616*0.5+AJ616*0.5</f>
        <v>3.715659340659342E-2</v>
      </c>
      <c r="BB616" s="2">
        <f t="shared" si="111"/>
        <v>6.32688927943761E-2</v>
      </c>
      <c r="BC616">
        <f>IF(I616="expected",1,0)</f>
        <v>0</v>
      </c>
      <c r="BD616" s="78">
        <f>IF(BC616=1,AZ616/SUMIFS(AZ$3:AZ$623,$BC$3:$BC$623,1,$G$3:$G$623,$G616),0)</f>
        <v>0</v>
      </c>
      <c r="BE616" s="78">
        <f>IF(BC616=1,BA616/SUMIFS(BA$3:BA$623,$BC$3:$BC$623,1,$G$3:$G$623,$G616),0)</f>
        <v>0</v>
      </c>
      <c r="BF616" s="78">
        <f t="shared" si="112"/>
        <v>0</v>
      </c>
      <c r="BG616" s="2">
        <f t="shared" si="113"/>
        <v>6.32688927943761E-2</v>
      </c>
      <c r="BH616" s="2">
        <f t="shared" si="114"/>
        <v>0</v>
      </c>
      <c r="BI616" s="2">
        <f t="shared" si="115"/>
        <v>0</v>
      </c>
      <c r="BJ616" s="2">
        <f t="shared" si="116"/>
        <v>0</v>
      </c>
      <c r="BK616" s="2">
        <f t="shared" si="117"/>
        <v>0</v>
      </c>
      <c r="BL616" s="2">
        <f t="shared" si="118"/>
        <v>6.32688927943761E-2</v>
      </c>
      <c r="BM616" s="2">
        <f t="shared" si="119"/>
        <v>0</v>
      </c>
      <c r="BN616" s="2">
        <f>BI616/SUMIFS(BI$3:BI$623,$BC$3:$BC$623,1,$G$3:$G$623,$G616)</f>
        <v>0</v>
      </c>
      <c r="BO616" s="2">
        <f>BJ616/SUMIFS(BJ$3:BJ$623,$BC$3:$BC$623,1,$G$3:$G$623,$G616)</f>
        <v>0</v>
      </c>
      <c r="BP616" s="2">
        <f>BK616/SUMIFS(BK$3:BK$623,$BC$3:$BC$623,1,$G$3:$G$623,$G616)</f>
        <v>0</v>
      </c>
      <c r="BQ616" s="2">
        <f>BL616</f>
        <v>6.32688927943761E-2</v>
      </c>
      <c r="BR616" s="2">
        <f>BM616</f>
        <v>0</v>
      </c>
    </row>
    <row r="617" spans="1:70" hidden="1">
      <c r="A617" s="74">
        <v>0</v>
      </c>
      <c r="B617" s="73">
        <v>204862</v>
      </c>
      <c r="C617" s="73" t="s">
        <v>3429</v>
      </c>
      <c r="D617" s="73" t="s">
        <v>3430</v>
      </c>
      <c r="E617" s="73" t="s">
        <v>3431</v>
      </c>
      <c r="F617" s="73">
        <v>18570</v>
      </c>
      <c r="G617" s="73" t="s">
        <v>870</v>
      </c>
      <c r="H617" s="73" t="s">
        <v>917</v>
      </c>
      <c r="I617" s="73" t="s">
        <v>981</v>
      </c>
      <c r="J617" s="73">
        <v>0</v>
      </c>
      <c r="K617" s="73">
        <v>4</v>
      </c>
      <c r="L617" s="73">
        <v>0</v>
      </c>
      <c r="M617" s="73">
        <v>0</v>
      </c>
      <c r="N617" s="73">
        <v>0</v>
      </c>
      <c r="O617" s="73" t="s">
        <v>1318</v>
      </c>
      <c r="P617" s="73" t="s">
        <v>3432</v>
      </c>
      <c r="Q617" s="73" t="s">
        <v>3433</v>
      </c>
      <c r="R617" s="73">
        <v>0</v>
      </c>
      <c r="S617" s="73">
        <v>0</v>
      </c>
      <c r="T617" s="73">
        <v>0</v>
      </c>
      <c r="U617" s="73">
        <v>0</v>
      </c>
      <c r="V617" s="73">
        <v>0</v>
      </c>
      <c r="W617" s="73">
        <v>0</v>
      </c>
      <c r="X617" s="73">
        <v>0</v>
      </c>
      <c r="Y617" s="73">
        <v>0</v>
      </c>
      <c r="Z617" s="73" t="s">
        <v>870</v>
      </c>
      <c r="AA617" s="73" t="s">
        <v>692</v>
      </c>
      <c r="AB617" s="73" t="str">
        <f>IF(AA617&lt;&gt;"",INDEX(Lookup!$N$2:$N$5,MATCH(Players!AA617,Lookup!$P$2:$P$5,0)),INDEX(Lookup!$N$2:$N$5,MATCH(Players!O617,Lookup!$O$2:$O$5,0)))</f>
        <v>Defense</v>
      </c>
      <c r="AC617" s="73">
        <v>2500000</v>
      </c>
      <c r="AD617" s="73" t="s">
        <v>788</v>
      </c>
      <c r="AE617" s="73" t="str">
        <f>INDEX('Translate table'!$H$2:$H$622,MATCH(Players!P617,'Translate table'!$G$2:$G$622,0))</f>
        <v>Joona Toivio</v>
      </c>
      <c r="AF617" s="73">
        <f>IFERROR(INDEX('Euro Qual stats'!$A$1:$L$2071,MATCH(Players!$AE617,'Euro Qual stats'!$A$1:$A$2071,0),MATCH(Players!AF$2,'Euro Qual stats'!$A$1:$L$1,0)),0)</f>
        <v>10</v>
      </c>
      <c r="AG617" s="73">
        <f>IFERROR(INDEX('Euro Qual stats'!$A$1:$L$2071,MATCH(Players!$AE617,'Euro Qual stats'!$A$1:$A$2071,0),MATCH(Players!AG$2,'Euro Qual stats'!$A$1:$L$1,0)),0)</f>
        <v>0</v>
      </c>
      <c r="AH617" s="73">
        <f>IFERROR(INDEX('Euro Qual stats'!$A$1:$L$2071,MATCH(Players!$AE617,'Euro Qual stats'!$A$1:$A$2071,0),MATCH(Players!AH$2,'Euro Qual stats'!$A$1:$L$1,0)),0)</f>
        <v>0</v>
      </c>
      <c r="AI617" s="73">
        <f>IFERROR(INDEX('Euro Qual stats'!$A$1:$L$2071,MATCH(Players!$AE617,'Euro Qual stats'!$A$1:$A$2071,0),MATCH(Players!AI$2,'Euro Qual stats'!$A$1:$L$1,0)),0)</f>
        <v>0.1</v>
      </c>
      <c r="AJ617" s="93">
        <f>(12-AF617)/12*INDEX(BV$9:BV$12,MATCH($AB617,$BU$9:$BU$12,0))+AF617/12*AG617</f>
        <v>1.4862637362637366E-2</v>
      </c>
      <c r="AK617" s="93">
        <f>(12-AG617)/12*INDEX(BW$9:BW$12,MATCH($AB617,$BU$9:$BU$12,0))+AG617/12*AH617</f>
        <v>0.10357142857142858</v>
      </c>
      <c r="AL617" s="93">
        <f>(12-AH617)/12*INDEX(BX$9:BX$12,MATCH($AB617,$BU$9:$BU$12,0))+AH617/12*AI617</f>
        <v>0.19357142857142848</v>
      </c>
      <c r="AM617" s="93">
        <f>IF($BC617=1,AJ617/SUMIFS(AJ$3:AJ$623,$BC$3:$BC$623,1,$G$3:$G$623,$G617),0)</f>
        <v>1.1844300269206933E-2</v>
      </c>
      <c r="AN617" s="93">
        <f>IF($BC617=1,AK617/SUMIFS(AK$3:AK$623,$BC$3:$BC$623,1,$G$3:$G$623,$G617),0)</f>
        <v>4.0754764661773406E-2</v>
      </c>
      <c r="AO617" s="93">
        <f>IF($BC617=1,AL617/SUMIFS(AL$3:AL$623,$BC$3:$BC$623,1,$G$3:$G$623,$G617),0)</f>
        <v>9.2762912355009872E-2</v>
      </c>
      <c r="AP617" s="2" t="str">
        <f>IFERROR(R617/$V617*90,"")</f>
        <v/>
      </c>
      <c r="AQ617" s="2" t="str">
        <f>IFERROR(S617/$V617*90,"")</f>
        <v/>
      </c>
      <c r="AR617" s="2" t="str">
        <f>IFERROR(W617/$V617*90,"")</f>
        <v/>
      </c>
      <c r="AS617" s="2" t="str">
        <f>IFERROR(X617/$V617*90,"")</f>
        <v/>
      </c>
      <c r="AT617" s="2" t="str">
        <f>IFERROR(Y617/$V617*90,"")</f>
        <v/>
      </c>
      <c r="AU617" s="2">
        <f>IF(AP617="",INDEX(BV$4:BV$7,MATCH(O617,$BU$4:$BU$7,0)),AP617)</f>
        <v>0</v>
      </c>
      <c r="AV617" s="2">
        <f>IF(AQ617="",INDEX(BW$4:BW$7,MATCH($O617,$BU$4:$BU$7,0)),AQ617)</f>
        <v>0</v>
      </c>
      <c r="AW617" s="2">
        <f t="shared" si="108"/>
        <v>8.0624805297505417E-2</v>
      </c>
      <c r="AX617" s="2">
        <f t="shared" si="109"/>
        <v>0.1265377855887522</v>
      </c>
      <c r="AY617" s="2">
        <f t="shared" si="110"/>
        <v>0</v>
      </c>
      <c r="AZ617" s="2">
        <f>AU617*0.5+AK617*0.5</f>
        <v>5.1785714285714289E-2</v>
      </c>
      <c r="BA617" s="2">
        <f>AV617*0.5+AJ617*0.5</f>
        <v>7.431318681318683E-3</v>
      </c>
      <c r="BB617" s="2">
        <f t="shared" si="111"/>
        <v>0.1132688927943761</v>
      </c>
      <c r="BC617">
        <f>IF(I617="expected",1,0)</f>
        <v>1</v>
      </c>
      <c r="BD617" s="78">
        <f>IF(BC617=1,AZ617/SUMIFS(AZ$3:AZ$623,$BC$3:$BC$623,1,$G$3:$G$623,$G617),0)</f>
        <v>2.5077846842091522E-2</v>
      </c>
      <c r="BE617" s="78">
        <f>IF(BC617=1,BA617/SUMIFS(BA$3:BA$623,$BC$3:$BC$623,1,$G$3:$G$623,$G617),0)</f>
        <v>9.3281287371802107E-3</v>
      </c>
      <c r="BF617" s="78">
        <f t="shared" si="112"/>
        <v>1.8132526530267493E-2</v>
      </c>
      <c r="BG617" s="2">
        <f t="shared" si="113"/>
        <v>0.1132688927943761</v>
      </c>
      <c r="BH617" s="2">
        <f t="shared" si="114"/>
        <v>0</v>
      </c>
      <c r="BI617" s="2">
        <f t="shared" si="115"/>
        <v>2.5077846842091522E-2</v>
      </c>
      <c r="BJ617" s="2">
        <f t="shared" si="116"/>
        <v>9.3281287371802107E-3</v>
      </c>
      <c r="BK617" s="2">
        <f t="shared" si="117"/>
        <v>1.8132526530267493E-2</v>
      </c>
      <c r="BL617" s="2">
        <f t="shared" si="118"/>
        <v>0.1132688927943761</v>
      </c>
      <c r="BM617" s="2">
        <f t="shared" si="119"/>
        <v>0</v>
      </c>
      <c r="BN617" s="2">
        <f>BI617/SUMIFS(BI$3:BI$623,$BC$3:$BC$623,1,$G$3:$G$623,$G617)</f>
        <v>2.5077846842091522E-2</v>
      </c>
      <c r="BO617" s="2">
        <f>BJ617/SUMIFS(BJ$3:BJ$623,$BC$3:$BC$623,1,$G$3:$G$623,$G617)</f>
        <v>9.3281287371802107E-3</v>
      </c>
      <c r="BP617" s="2">
        <f>BK617/SUMIFS(BK$3:BK$623,$BC$3:$BC$623,1,$G$3:$G$623,$G617)</f>
        <v>1.9673697318589083E-2</v>
      </c>
      <c r="BQ617" s="2">
        <f>BL617</f>
        <v>0.1132688927943761</v>
      </c>
      <c r="BR617" s="2">
        <f>BM617</f>
        <v>0</v>
      </c>
    </row>
    <row r="618" spans="1:70" hidden="1">
      <c r="A618" s="74">
        <v>0</v>
      </c>
      <c r="B618" s="73">
        <v>223262</v>
      </c>
      <c r="C618" s="73" t="s">
        <v>3434</v>
      </c>
      <c r="D618" s="73" t="s">
        <v>3435</v>
      </c>
      <c r="E618" s="73" t="s">
        <v>3436</v>
      </c>
      <c r="F618" s="73">
        <v>18570</v>
      </c>
      <c r="G618" s="73" t="s">
        <v>870</v>
      </c>
      <c r="H618" s="73" t="s">
        <v>917</v>
      </c>
      <c r="I618" s="73" t="s">
        <v>1012</v>
      </c>
      <c r="J618" s="73">
        <v>0</v>
      </c>
      <c r="K618" s="73">
        <v>4</v>
      </c>
      <c r="L618" s="73">
        <v>0</v>
      </c>
      <c r="M618" s="73">
        <v>0</v>
      </c>
      <c r="N618" s="73">
        <v>0</v>
      </c>
      <c r="O618" s="73" t="s">
        <v>994</v>
      </c>
      <c r="P618" s="73" t="s">
        <v>3437</v>
      </c>
      <c r="Q618" s="73" t="s">
        <v>3438</v>
      </c>
      <c r="R618" s="73">
        <v>0</v>
      </c>
      <c r="S618" s="73">
        <v>0</v>
      </c>
      <c r="T618" s="73">
        <v>0</v>
      </c>
      <c r="U618" s="73">
        <v>0</v>
      </c>
      <c r="V618" s="73">
        <v>0</v>
      </c>
      <c r="W618" s="73">
        <v>0</v>
      </c>
      <c r="X618" s="73">
        <v>0</v>
      </c>
      <c r="Y618" s="73">
        <v>0</v>
      </c>
      <c r="Z618" s="73" t="s">
        <v>870</v>
      </c>
      <c r="AA618" s="73" t="s">
        <v>691</v>
      </c>
      <c r="AB618" s="73" t="str">
        <f>IF(AA618&lt;&gt;"",INDEX(Lookup!$N$2:$N$5,MATCH(Players!AA618,Lookup!$P$2:$P$5,0)),INDEX(Lookup!$N$2:$N$5,MATCH(Players!O618,Lookup!$O$2:$O$5,0)))</f>
        <v>Midfield</v>
      </c>
      <c r="AC618" s="73">
        <v>2000000</v>
      </c>
      <c r="AD618" s="73" t="s">
        <v>789</v>
      </c>
      <c r="AE618" s="73" t="str">
        <f>INDEX('Translate table'!$H$2:$H$622,MATCH(Players!P618,'Translate table'!$G$2:$G$622,0))</f>
        <v>Rasmus Karjalainen</v>
      </c>
      <c r="AF618" s="73">
        <f>IFERROR(INDEX('Euro Qual stats'!$A$1:$L$2071,MATCH(Players!$AE618,'Euro Qual stats'!$A$1:$A$2071,0),MATCH(Players!AF$2,'Euro Qual stats'!$A$1:$L$1,0)),0)</f>
        <v>3</v>
      </c>
      <c r="AG618" s="73">
        <f>IFERROR(INDEX('Euro Qual stats'!$A$1:$L$2071,MATCH(Players!$AE618,'Euro Qual stats'!$A$1:$A$2071,0),MATCH(Players!AG$2,'Euro Qual stats'!$A$1:$L$1,0)),0)</f>
        <v>0</v>
      </c>
      <c r="AH618" s="73">
        <f>IFERROR(INDEX('Euro Qual stats'!$A$1:$L$2071,MATCH(Players!$AE618,'Euro Qual stats'!$A$1:$A$2071,0),MATCH(Players!AH$2,'Euro Qual stats'!$A$1:$L$1,0)),0)</f>
        <v>0</v>
      </c>
      <c r="AI618" s="73">
        <f>IFERROR(INDEX('Euro Qual stats'!$A$1:$L$2071,MATCH(Players!$AE618,'Euro Qual stats'!$A$1:$A$2071,0),MATCH(Players!AI$2,'Euro Qual stats'!$A$1:$L$1,0)),0)</f>
        <v>0</v>
      </c>
      <c r="AJ618" s="93">
        <f>(12-AF618)/12*INDEX(BV$9:BV$12,MATCH($AB618,$BU$9:$BU$12,0))+AF618/12*AG618</f>
        <v>0.12651832460732984</v>
      </c>
      <c r="AK618" s="93">
        <f>(12-AG618)/12*INDEX(BW$9:BW$12,MATCH($AB618,$BU$9:$BU$12,0))+AG618/12*AH618</f>
        <v>0.22340314136125652</v>
      </c>
      <c r="AL618" s="93">
        <f>(12-AH618)/12*INDEX(BX$9:BX$12,MATCH($AB618,$BU$9:$BU$12,0))+AH618/12*AI618</f>
        <v>0.23942408376963353</v>
      </c>
      <c r="AM618" s="93">
        <f>IF($BC618=1,AJ618/SUMIFS(AJ$3:AJ$623,$BC$3:$BC$623,1,$G$3:$G$623,$G618),0)</f>
        <v>0</v>
      </c>
      <c r="AN618" s="93">
        <f>IF($BC618=1,AK618/SUMIFS(AK$3:AK$623,$BC$3:$BC$623,1,$G$3:$G$623,$G618),0)</f>
        <v>0</v>
      </c>
      <c r="AO618" s="93">
        <f>IF($BC618=1,AL618/SUMIFS(AL$3:AL$623,$BC$3:$BC$623,1,$G$3:$G$623,$G618),0)</f>
        <v>0</v>
      </c>
      <c r="AP618" s="2" t="str">
        <f>IFERROR(R618/$V618*90,"")</f>
        <v/>
      </c>
      <c r="AQ618" s="2" t="str">
        <f>IFERROR(S618/$V618*90,"")</f>
        <v/>
      </c>
      <c r="AR618" s="2" t="str">
        <f>IFERROR(W618/$V618*90,"")</f>
        <v/>
      </c>
      <c r="AS618" s="2" t="str">
        <f>IFERROR(X618/$V618*90,"")</f>
        <v/>
      </c>
      <c r="AT618" s="2" t="str">
        <f>IFERROR(Y618/$V618*90,"")</f>
        <v/>
      </c>
      <c r="AU618" s="2">
        <f>IF(AP618="",INDEX(BV$4:BV$7,MATCH(O618,$BU$4:$BU$7,0)),AP618)</f>
        <v>3.6526142445450806E-2</v>
      </c>
      <c r="AV618" s="2">
        <f>IF(AQ618="",INDEX(BW$4:BW$7,MATCH($O618,$BU$4:$BU$7,0)),AQ618)</f>
        <v>3.2427739661688867E-2</v>
      </c>
      <c r="AW618" s="2">
        <f t="shared" si="108"/>
        <v>0.20013349649571699</v>
      </c>
      <c r="AX618" s="2">
        <f t="shared" si="109"/>
        <v>0.16081000595592615</v>
      </c>
      <c r="AY618" s="2">
        <f t="shared" si="110"/>
        <v>0</v>
      </c>
      <c r="AZ618" s="2">
        <f>AU618*0.5+AK618*0.5</f>
        <v>0.12996464190335366</v>
      </c>
      <c r="BA618" s="2">
        <f>AV618*0.5+AJ618*0.5</f>
        <v>7.9473032134509347E-2</v>
      </c>
      <c r="BB618" s="2">
        <f t="shared" si="111"/>
        <v>8.0405002977963075E-2</v>
      </c>
      <c r="BC618">
        <f>IF(I618="expected",1,0)</f>
        <v>0</v>
      </c>
      <c r="BD618" s="78">
        <f>IF(BC618=1,AZ618/SUMIFS(AZ$3:AZ$623,$BC$3:$BC$623,1,$G$3:$G$623,$G618),0)</f>
        <v>0</v>
      </c>
      <c r="BE618" s="78">
        <f>IF(BC618=1,BA618/SUMIFS(BA$3:BA$623,$BC$3:$BC$623,1,$G$3:$G$623,$G618),0)</f>
        <v>0</v>
      </c>
      <c r="BF618" s="78">
        <f t="shared" si="112"/>
        <v>0</v>
      </c>
      <c r="BG618" s="2">
        <f t="shared" si="113"/>
        <v>8.0405002977963075E-2</v>
      </c>
      <c r="BH618" s="2">
        <f t="shared" si="114"/>
        <v>0</v>
      </c>
      <c r="BI618" s="2">
        <f t="shared" si="115"/>
        <v>0</v>
      </c>
      <c r="BJ618" s="2">
        <f t="shared" si="116"/>
        <v>0</v>
      </c>
      <c r="BK618" s="2">
        <f t="shared" si="117"/>
        <v>0</v>
      </c>
      <c r="BL618" s="2">
        <f t="shared" si="118"/>
        <v>8.0405002977963075E-2</v>
      </c>
      <c r="BM618" s="2">
        <f t="shared" si="119"/>
        <v>0</v>
      </c>
      <c r="BN618" s="2">
        <f>BI618/SUMIFS(BI$3:BI$623,$BC$3:$BC$623,1,$G$3:$G$623,$G618)</f>
        <v>0</v>
      </c>
      <c r="BO618" s="2">
        <f>BJ618/SUMIFS(BJ$3:BJ$623,$BC$3:$BC$623,1,$G$3:$G$623,$G618)</f>
        <v>0</v>
      </c>
      <c r="BP618" s="2">
        <f>BK618/SUMIFS(BK$3:BK$623,$BC$3:$BC$623,1,$G$3:$G$623,$G618)</f>
        <v>0</v>
      </c>
      <c r="BQ618" s="2">
        <f>BL618</f>
        <v>8.0405002977963075E-2</v>
      </c>
      <c r="BR618" s="2">
        <f>BM618</f>
        <v>0</v>
      </c>
    </row>
    <row r="619" spans="1:70" hidden="1">
      <c r="A619" s="74">
        <v>0</v>
      </c>
      <c r="B619" s="73">
        <v>223261</v>
      </c>
      <c r="C619" s="73" t="s">
        <v>3439</v>
      </c>
      <c r="D619" s="73" t="s">
        <v>3440</v>
      </c>
      <c r="E619" s="73" t="s">
        <v>3441</v>
      </c>
      <c r="F619" s="73">
        <v>18570</v>
      </c>
      <c r="G619" s="73" t="s">
        <v>870</v>
      </c>
      <c r="H619" s="73" t="s">
        <v>917</v>
      </c>
      <c r="I619" s="73" t="s">
        <v>1012</v>
      </c>
      <c r="J619" s="73">
        <v>0</v>
      </c>
      <c r="K619" s="73">
        <v>4</v>
      </c>
      <c r="L619" s="73">
        <v>0</v>
      </c>
      <c r="M619" s="73">
        <v>0</v>
      </c>
      <c r="N619" s="73">
        <v>0</v>
      </c>
      <c r="O619" s="73" t="s">
        <v>994</v>
      </c>
      <c r="P619" s="73" t="s">
        <v>3442</v>
      </c>
      <c r="Q619" s="73" t="s">
        <v>3443</v>
      </c>
      <c r="R619" s="73">
        <v>1</v>
      </c>
      <c r="S619" s="73">
        <v>0</v>
      </c>
      <c r="T619" s="73">
        <v>0</v>
      </c>
      <c r="U619" s="73">
        <v>1</v>
      </c>
      <c r="V619" s="73">
        <v>727</v>
      </c>
      <c r="W619" s="73">
        <v>2</v>
      </c>
      <c r="X619" s="73">
        <v>3</v>
      </c>
      <c r="Y619" s="73">
        <v>0</v>
      </c>
      <c r="Z619" s="73" t="s">
        <v>870</v>
      </c>
      <c r="AA619" s="73" t="s">
        <v>691</v>
      </c>
      <c r="AB619" s="73" t="str">
        <f>IF(AA619&lt;&gt;"",INDEX(Lookup!$N$2:$N$5,MATCH(Players!AA619,Lookup!$P$2:$P$5,0)),INDEX(Lookup!$N$2:$N$5,MATCH(Players!O619,Lookup!$O$2:$O$5,0)))</f>
        <v>Midfield</v>
      </c>
      <c r="AC619" s="73">
        <v>2500000</v>
      </c>
      <c r="AD619" s="73" t="s">
        <v>788</v>
      </c>
      <c r="AE619" s="73" t="str">
        <f>INDEX('Translate table'!$H$2:$H$622,MATCH(Players!P619,'Translate table'!$G$2:$G$622,0))</f>
        <v>Joni Kauko</v>
      </c>
      <c r="AF619" s="73">
        <f>IFERROR(INDEX('Euro Qual stats'!$A$1:$L$2071,MATCH(Players!$AE619,'Euro Qual stats'!$A$1:$A$2071,0),MATCH(Players!AF$2,'Euro Qual stats'!$A$1:$L$1,0)),0)</f>
        <v>5</v>
      </c>
      <c r="AG619" s="73">
        <f>IFERROR(INDEX('Euro Qual stats'!$A$1:$L$2071,MATCH(Players!$AE619,'Euro Qual stats'!$A$1:$A$2071,0),MATCH(Players!AG$2,'Euro Qual stats'!$A$1:$L$1,0)),0)</f>
        <v>0</v>
      </c>
      <c r="AH619" s="73">
        <f>IFERROR(INDEX('Euro Qual stats'!$A$1:$L$2071,MATCH(Players!$AE619,'Euro Qual stats'!$A$1:$A$2071,0),MATCH(Players!AH$2,'Euro Qual stats'!$A$1:$L$1,0)),0)</f>
        <v>0</v>
      </c>
      <c r="AI619" s="73">
        <f>IFERROR(INDEX('Euro Qual stats'!$A$1:$L$2071,MATCH(Players!$AE619,'Euro Qual stats'!$A$1:$A$2071,0),MATCH(Players!AI$2,'Euro Qual stats'!$A$1:$L$1,0)),0)</f>
        <v>0.81</v>
      </c>
      <c r="AJ619" s="93">
        <f>(12-AF619)/12*INDEX(BV$9:BV$12,MATCH($AB619,$BU$9:$BU$12,0))+AF619/12*AG619</f>
        <v>9.8403141361256552E-2</v>
      </c>
      <c r="AK619" s="93">
        <f>(12-AG619)/12*INDEX(BW$9:BW$12,MATCH($AB619,$BU$9:$BU$12,0))+AG619/12*AH619</f>
        <v>0.22340314136125652</v>
      </c>
      <c r="AL619" s="93">
        <f>(12-AH619)/12*INDEX(BX$9:BX$12,MATCH($AB619,$BU$9:$BU$12,0))+AH619/12*AI619</f>
        <v>0.23942408376963353</v>
      </c>
      <c r="AM619" s="93">
        <f>IF($BC619=1,AJ619/SUMIFS(AJ$3:AJ$623,$BC$3:$BC$623,1,$G$3:$G$623,$G619),0)</f>
        <v>0</v>
      </c>
      <c r="AN619" s="93">
        <f>IF($BC619=1,AK619/SUMIFS(AK$3:AK$623,$BC$3:$BC$623,1,$G$3:$G$623,$G619),0)</f>
        <v>0</v>
      </c>
      <c r="AO619" s="93">
        <f>IF($BC619=1,AL619/SUMIFS(AL$3:AL$623,$BC$3:$BC$623,1,$G$3:$G$623,$G619),0)</f>
        <v>0</v>
      </c>
      <c r="AP619" s="2">
        <f>IFERROR(R619/$V619*90,"")</f>
        <v>0.12379642365887208</v>
      </c>
      <c r="AQ619" s="2">
        <f>IFERROR(S619/$V619*90,"")</f>
        <v>0</v>
      </c>
      <c r="AR619" s="2">
        <f>IFERROR(W619/$V619*90,"")</f>
        <v>0.24759284731774417</v>
      </c>
      <c r="AS619" s="2">
        <f>IFERROR(X619/$V619*90,"")</f>
        <v>0.37138927097661617</v>
      </c>
      <c r="AT619" s="2">
        <f>IFERROR(Y619/$V619*90,"")</f>
        <v>0</v>
      </c>
      <c r="AU619" s="2">
        <f>IF(AP619="",INDEX(BV$4:BV$7,MATCH(O619,$BU$4:$BU$7,0)),AP619)</f>
        <v>0.12379642365887208</v>
      </c>
      <c r="AV619" s="2">
        <f>IF(AQ619="",INDEX(BW$4:BW$7,MATCH($O619,$BU$4:$BU$7,0)),AQ619)</f>
        <v>0</v>
      </c>
      <c r="AW619" s="2">
        <f t="shared" si="108"/>
        <v>0.24759284731774417</v>
      </c>
      <c r="AX619" s="2">
        <f t="shared" si="109"/>
        <v>0.37138927097661617</v>
      </c>
      <c r="AY619" s="2">
        <f t="shared" si="110"/>
        <v>0</v>
      </c>
      <c r="AZ619" s="2">
        <f>AU619*0.5+AK619*0.5</f>
        <v>0.1735997825100643</v>
      </c>
      <c r="BA619" s="2">
        <f>AV619*0.5+AJ619*0.5</f>
        <v>4.9201570680628276E-2</v>
      </c>
      <c r="BB619" s="2">
        <f t="shared" si="111"/>
        <v>0.59069463548830814</v>
      </c>
      <c r="BC619">
        <f>IF(I619="expected",1,0)</f>
        <v>0</v>
      </c>
      <c r="BD619" s="78">
        <f>IF(BC619=1,AZ619/SUMIFS(AZ$3:AZ$623,$BC$3:$BC$623,1,$G$3:$G$623,$G619),0)</f>
        <v>0</v>
      </c>
      <c r="BE619" s="78">
        <f>IF(BC619=1,BA619/SUMIFS(BA$3:BA$623,$BC$3:$BC$623,1,$G$3:$G$623,$G619),0)</f>
        <v>0</v>
      </c>
      <c r="BF619" s="78">
        <f t="shared" si="112"/>
        <v>0</v>
      </c>
      <c r="BG619" s="2">
        <f t="shared" si="113"/>
        <v>0.59069463548830814</v>
      </c>
      <c r="BH619" s="2">
        <f t="shared" si="114"/>
        <v>0</v>
      </c>
      <c r="BI619" s="2">
        <f t="shared" si="115"/>
        <v>0</v>
      </c>
      <c r="BJ619" s="2">
        <f t="shared" si="116"/>
        <v>0</v>
      </c>
      <c r="BK619" s="2">
        <f t="shared" si="117"/>
        <v>0</v>
      </c>
      <c r="BL619" s="2">
        <f t="shared" si="118"/>
        <v>0.59069463548830814</v>
      </c>
      <c r="BM619" s="2">
        <f t="shared" si="119"/>
        <v>0</v>
      </c>
      <c r="BN619" s="2">
        <f>BI619/SUMIFS(BI$3:BI$623,$BC$3:$BC$623,1,$G$3:$G$623,$G619)</f>
        <v>0</v>
      </c>
      <c r="BO619" s="2">
        <f>BJ619/SUMIFS(BJ$3:BJ$623,$BC$3:$BC$623,1,$G$3:$G$623,$G619)</f>
        <v>0</v>
      </c>
      <c r="BP619" s="2">
        <f>BK619/SUMIFS(BK$3:BK$623,$BC$3:$BC$623,1,$G$3:$G$623,$G619)</f>
        <v>0</v>
      </c>
      <c r="BQ619" s="2">
        <f>BL619</f>
        <v>0.59069463548830814</v>
      </c>
      <c r="BR619" s="2">
        <f>BM619</f>
        <v>0</v>
      </c>
    </row>
    <row r="620" spans="1:70" hidden="1">
      <c r="A620" s="74">
        <v>0</v>
      </c>
      <c r="B620" s="73">
        <v>204879</v>
      </c>
      <c r="C620" s="73" t="s">
        <v>3444</v>
      </c>
      <c r="D620" s="73" t="s">
        <v>3445</v>
      </c>
      <c r="E620" s="73" t="s">
        <v>3446</v>
      </c>
      <c r="F620" s="73">
        <v>18570</v>
      </c>
      <c r="G620" s="73" t="s">
        <v>870</v>
      </c>
      <c r="H620" s="73" t="s">
        <v>917</v>
      </c>
      <c r="I620" s="73" t="s">
        <v>981</v>
      </c>
      <c r="J620" s="73">
        <v>0</v>
      </c>
      <c r="K620" s="73">
        <v>4</v>
      </c>
      <c r="L620" s="73">
        <v>0</v>
      </c>
      <c r="M620" s="73">
        <v>0</v>
      </c>
      <c r="N620" s="73">
        <v>0</v>
      </c>
      <c r="O620" s="73" t="s">
        <v>994</v>
      </c>
      <c r="P620" s="73" t="s">
        <v>3447</v>
      </c>
      <c r="Q620" s="73" t="s">
        <v>2527</v>
      </c>
      <c r="R620" s="73">
        <v>1</v>
      </c>
      <c r="S620" s="73">
        <v>1</v>
      </c>
      <c r="T620" s="73">
        <v>0</v>
      </c>
      <c r="U620" s="73">
        <v>1</v>
      </c>
      <c r="V620" s="73">
        <v>1419</v>
      </c>
      <c r="W620" s="73">
        <v>2</v>
      </c>
      <c r="X620" s="73">
        <v>5</v>
      </c>
      <c r="Y620" s="73">
        <v>0</v>
      </c>
      <c r="Z620" s="73" t="s">
        <v>870</v>
      </c>
      <c r="AA620" s="73" t="s">
        <v>691</v>
      </c>
      <c r="AB620" s="73" t="str">
        <f>IF(AA620&lt;&gt;"",INDEX(Lookup!$N$2:$N$5,MATCH(Players!AA620,Lookup!$P$2:$P$5,0)),INDEX(Lookup!$N$2:$N$5,MATCH(Players!O620,Lookup!$O$2:$O$5,0)))</f>
        <v>Midfield</v>
      </c>
      <c r="AC620" s="73">
        <v>2000000</v>
      </c>
      <c r="AD620" s="73" t="s">
        <v>788</v>
      </c>
      <c r="AE620" s="73">
        <f>INDEX('Translate table'!$H$2:$H$622,MATCH(Players!P620,'Translate table'!$G$2:$G$622,0))</f>
        <v>0</v>
      </c>
      <c r="AF620" s="73">
        <f>IFERROR(INDEX('Euro Qual stats'!$A$1:$L$2071,MATCH(Players!$AE620,'Euro Qual stats'!$A$1:$A$2071,0),MATCH(Players!AF$2,'Euro Qual stats'!$A$1:$L$1,0)),0)</f>
        <v>0</v>
      </c>
      <c r="AG620" s="73">
        <f>IFERROR(INDEX('Euro Qual stats'!$A$1:$L$2071,MATCH(Players!$AE620,'Euro Qual stats'!$A$1:$A$2071,0),MATCH(Players!AG$2,'Euro Qual stats'!$A$1:$L$1,0)),0)</f>
        <v>0</v>
      </c>
      <c r="AH620" s="73">
        <f>IFERROR(INDEX('Euro Qual stats'!$A$1:$L$2071,MATCH(Players!$AE620,'Euro Qual stats'!$A$1:$A$2071,0),MATCH(Players!AH$2,'Euro Qual stats'!$A$1:$L$1,0)),0)</f>
        <v>0</v>
      </c>
      <c r="AI620" s="73">
        <f>IFERROR(INDEX('Euro Qual stats'!$A$1:$L$2071,MATCH(Players!$AE620,'Euro Qual stats'!$A$1:$A$2071,0),MATCH(Players!AI$2,'Euro Qual stats'!$A$1:$L$1,0)),0)</f>
        <v>0</v>
      </c>
      <c r="AJ620" s="93">
        <f>(12-AF620)/12*INDEX(BV$9:BV$12,MATCH($AB620,$BU$9:$BU$12,0))+AF620/12*AG620</f>
        <v>0.16869109947643979</v>
      </c>
      <c r="AK620" s="93">
        <f>(12-AG620)/12*INDEX(BW$9:BW$12,MATCH($AB620,$BU$9:$BU$12,0))+AG620/12*AH620</f>
        <v>0.22340314136125652</v>
      </c>
      <c r="AL620" s="93">
        <f>(12-AH620)/12*INDEX(BX$9:BX$12,MATCH($AB620,$BU$9:$BU$12,0))+AH620/12*AI620</f>
        <v>0.23942408376963353</v>
      </c>
      <c r="AM620" s="93">
        <f>IF($BC620=1,AJ620/SUMIFS(AJ$3:AJ$623,$BC$3:$BC$623,1,$G$3:$G$623,$G620),0)</f>
        <v>0.13443293987407498</v>
      </c>
      <c r="AN620" s="93">
        <f>IF($BC620=1,AK620/SUMIFS(AK$3:AK$623,$BC$3:$BC$623,1,$G$3:$G$623,$G620),0)</f>
        <v>8.7907858146417023E-2</v>
      </c>
      <c r="AO620" s="93">
        <f>IF($BC620=1,AL620/SUMIFS(AL$3:AL$623,$BC$3:$BC$623,1,$G$3:$G$623,$G620),0)</f>
        <v>0.11473632995483947</v>
      </c>
      <c r="AP620" s="2">
        <f>IFERROR(R620/$V620*90,"")</f>
        <v>6.3424947145877375E-2</v>
      </c>
      <c r="AQ620" s="2">
        <f>IFERROR(S620/$V620*90,"")</f>
        <v>6.3424947145877375E-2</v>
      </c>
      <c r="AR620" s="2">
        <f>IFERROR(W620/$V620*90,"")</f>
        <v>0.12684989429175475</v>
      </c>
      <c r="AS620" s="2">
        <f>IFERROR(X620/$V620*90,"")</f>
        <v>0.31712473572938693</v>
      </c>
      <c r="AT620" s="2">
        <f>IFERROR(Y620/$V620*90,"")</f>
        <v>0</v>
      </c>
      <c r="AU620" s="2">
        <f>IF(AP620="",INDEX(BV$4:BV$7,MATCH(O620,$BU$4:$BU$7,0)),AP620)</f>
        <v>6.3424947145877375E-2</v>
      </c>
      <c r="AV620" s="2">
        <f>IF(AQ620="",INDEX(BW$4:BW$7,MATCH($O620,$BU$4:$BU$7,0)),AQ620)</f>
        <v>6.3424947145877375E-2</v>
      </c>
      <c r="AW620" s="2">
        <f t="shared" si="108"/>
        <v>0.12684989429175475</v>
      </c>
      <c r="AX620" s="2">
        <f t="shared" si="109"/>
        <v>0.31712473572938693</v>
      </c>
      <c r="AY620" s="2">
        <f t="shared" si="110"/>
        <v>0</v>
      </c>
      <c r="AZ620" s="2">
        <f>AU620*0.5+AK620*0.5</f>
        <v>0.14341404425356696</v>
      </c>
      <c r="BA620" s="2">
        <f>AV620*0.5+AJ620*0.5</f>
        <v>0.11605802331115858</v>
      </c>
      <c r="BB620" s="2">
        <f t="shared" si="111"/>
        <v>0.15856236786469347</v>
      </c>
      <c r="BC620">
        <f>IF(I620="expected",1,0)</f>
        <v>1</v>
      </c>
      <c r="BD620" s="78">
        <f>IF(BC620=1,AZ620/SUMIFS(AZ$3:AZ$623,$BC$3:$BC$623,1,$G$3:$G$623,$G620),0)</f>
        <v>6.9449953262265426E-2</v>
      </c>
      <c r="BE620" s="78">
        <f>IF(BC620=1,BA620/SUMIFS(BA$3:BA$623,$BC$3:$BC$623,1,$G$3:$G$623,$G620),0)</f>
        <v>0.1456813021827025</v>
      </c>
      <c r="BF620" s="78">
        <f t="shared" si="112"/>
        <v>2.8528553527905842E-2</v>
      </c>
      <c r="BG620" s="2">
        <f t="shared" si="113"/>
        <v>0.15856236786469347</v>
      </c>
      <c r="BH620" s="2">
        <f t="shared" si="114"/>
        <v>0</v>
      </c>
      <c r="BI620" s="2">
        <f t="shared" si="115"/>
        <v>6.9449953262265426E-2</v>
      </c>
      <c r="BJ620" s="2">
        <f t="shared" si="116"/>
        <v>0.1456813021827025</v>
      </c>
      <c r="BK620" s="2">
        <f t="shared" si="117"/>
        <v>2.8528553527905842E-2</v>
      </c>
      <c r="BL620" s="2">
        <f t="shared" si="118"/>
        <v>0.15856236786469347</v>
      </c>
      <c r="BM620" s="2">
        <f t="shared" si="119"/>
        <v>0</v>
      </c>
      <c r="BN620" s="2">
        <f>BI620/SUMIFS(BI$3:BI$623,$BC$3:$BC$623,1,$G$3:$G$623,$G620)</f>
        <v>6.9449953262265426E-2</v>
      </c>
      <c r="BO620" s="2">
        <f>BJ620/SUMIFS(BJ$3:BJ$623,$BC$3:$BC$623,1,$G$3:$G$623,$G620)</f>
        <v>0.1456813021827025</v>
      </c>
      <c r="BP620" s="2">
        <f>BK620/SUMIFS(BK$3:BK$623,$BC$3:$BC$623,1,$G$3:$G$623,$G620)</f>
        <v>3.0953332736522211E-2</v>
      </c>
      <c r="BQ620" s="2">
        <f>BL620</f>
        <v>0.15856236786469347</v>
      </c>
      <c r="BR620" s="2">
        <f>BM620</f>
        <v>0</v>
      </c>
    </row>
    <row r="621" spans="1:70" hidden="1">
      <c r="A621" s="74">
        <v>0</v>
      </c>
      <c r="B621" s="73">
        <v>204868</v>
      </c>
      <c r="C621" s="73" t="s">
        <v>3448</v>
      </c>
      <c r="D621" s="73" t="s">
        <v>1571</v>
      </c>
      <c r="E621" s="73" t="s">
        <v>3449</v>
      </c>
      <c r="F621" s="73">
        <v>18570</v>
      </c>
      <c r="G621" s="73" t="s">
        <v>870</v>
      </c>
      <c r="H621" s="73" t="s">
        <v>917</v>
      </c>
      <c r="I621" s="73" t="s">
        <v>981</v>
      </c>
      <c r="J621" s="73">
        <v>0</v>
      </c>
      <c r="K621" s="73">
        <v>4</v>
      </c>
      <c r="L621" s="73">
        <v>0</v>
      </c>
      <c r="M621" s="73">
        <v>0</v>
      </c>
      <c r="N621" s="73">
        <v>0</v>
      </c>
      <c r="O621" s="73" t="s">
        <v>994</v>
      </c>
      <c r="P621" s="73" t="s">
        <v>3450</v>
      </c>
      <c r="Q621" s="73" t="s">
        <v>3451</v>
      </c>
      <c r="R621" s="73">
        <v>0</v>
      </c>
      <c r="S621" s="73">
        <v>1</v>
      </c>
      <c r="T621" s="73">
        <v>0</v>
      </c>
      <c r="U621" s="73">
        <v>4</v>
      </c>
      <c r="V621" s="73">
        <v>1710</v>
      </c>
      <c r="W621" s="73">
        <v>1</v>
      </c>
      <c r="X621" s="73">
        <v>2</v>
      </c>
      <c r="Y621" s="73">
        <v>1</v>
      </c>
      <c r="Z621" s="73" t="s">
        <v>870</v>
      </c>
      <c r="AA621" s="73" t="s">
        <v>691</v>
      </c>
      <c r="AB621" s="73" t="str">
        <f>IF(AA621&lt;&gt;"",INDEX(Lookup!$N$2:$N$5,MATCH(Players!AA621,Lookup!$P$2:$P$5,0)),INDEX(Lookup!$N$2:$N$5,MATCH(Players!O621,Lookup!$O$2:$O$5,0)))</f>
        <v>Midfield</v>
      </c>
      <c r="AC621" s="73">
        <v>2000000</v>
      </c>
      <c r="AD621" s="73" t="s">
        <v>790</v>
      </c>
      <c r="AE621" s="73" t="str">
        <f>INDEX('Translate table'!$H$2:$H$622,MATCH(Players!P621,'Translate table'!$G$2:$G$622,0))</f>
        <v>Tim Sparv</v>
      </c>
      <c r="AF621" s="73">
        <f>IFERROR(INDEX('Euro Qual stats'!$A$1:$L$2071,MATCH(Players!$AE621,'Euro Qual stats'!$A$1:$A$2071,0),MATCH(Players!AF$2,'Euro Qual stats'!$A$1:$L$1,0)),0)</f>
        <v>7</v>
      </c>
      <c r="AG621" s="73">
        <f>IFERROR(INDEX('Euro Qual stats'!$A$1:$L$2071,MATCH(Players!$AE621,'Euro Qual stats'!$A$1:$A$2071,0),MATCH(Players!AG$2,'Euro Qual stats'!$A$1:$L$1,0)),0)</f>
        <v>0</v>
      </c>
      <c r="AH621" s="73">
        <f>IFERROR(INDEX('Euro Qual stats'!$A$1:$L$2071,MATCH(Players!$AE621,'Euro Qual stats'!$A$1:$A$2071,0),MATCH(Players!AH$2,'Euro Qual stats'!$A$1:$L$1,0)),0)</f>
        <v>0</v>
      </c>
      <c r="AI621" s="73">
        <f>IFERROR(INDEX('Euro Qual stats'!$A$1:$L$2071,MATCH(Players!$AE621,'Euro Qual stats'!$A$1:$A$2071,0),MATCH(Players!AI$2,'Euro Qual stats'!$A$1:$L$1,0)),0)</f>
        <v>0.48</v>
      </c>
      <c r="AJ621" s="93">
        <f>(12-AF621)/12*INDEX(BV$9:BV$12,MATCH($AB621,$BU$9:$BU$12,0))+AF621/12*AG621</f>
        <v>7.0287958115183249E-2</v>
      </c>
      <c r="AK621" s="93">
        <f>(12-AG621)/12*INDEX(BW$9:BW$12,MATCH($AB621,$BU$9:$BU$12,0))+AG621/12*AH621</f>
        <v>0.22340314136125652</v>
      </c>
      <c r="AL621" s="93">
        <f>(12-AH621)/12*INDEX(BX$9:BX$12,MATCH($AB621,$BU$9:$BU$12,0))+AH621/12*AI621</f>
        <v>0.23942408376963353</v>
      </c>
      <c r="AM621" s="93">
        <f>IF($BC621=1,AJ621/SUMIFS(AJ$3:AJ$623,$BC$3:$BC$623,1,$G$3:$G$623,$G621),0)</f>
        <v>5.6013724947531242E-2</v>
      </c>
      <c r="AN621" s="93">
        <f>IF($BC621=1,AK621/SUMIFS(AK$3:AK$623,$BC$3:$BC$623,1,$G$3:$G$623,$G621),0)</f>
        <v>8.7907858146417023E-2</v>
      </c>
      <c r="AO621" s="93">
        <f>IF($BC621=1,AL621/SUMIFS(AL$3:AL$623,$BC$3:$BC$623,1,$G$3:$G$623,$G621),0)</f>
        <v>0.11473632995483947</v>
      </c>
      <c r="AP621" s="2">
        <f>IFERROR(R621/$V621*90,"")</f>
        <v>0</v>
      </c>
      <c r="AQ621" s="2">
        <f>IFERROR(S621/$V621*90,"")</f>
        <v>5.2631578947368425E-2</v>
      </c>
      <c r="AR621" s="2">
        <f>IFERROR(W621/$V621*90,"")</f>
        <v>5.2631578947368425E-2</v>
      </c>
      <c r="AS621" s="2">
        <f>IFERROR(X621/$V621*90,"")</f>
        <v>0.10526315789473685</v>
      </c>
      <c r="AT621" s="2">
        <f>IFERROR(Y621/$V621*90,"")</f>
        <v>5.2631578947368425E-2</v>
      </c>
      <c r="AU621" s="2">
        <f>IF(AP621="",INDEX(BV$4:BV$7,MATCH(O621,$BU$4:$BU$7,0)),AP621)</f>
        <v>0</v>
      </c>
      <c r="AV621" s="2">
        <f>IF(AQ621="",INDEX(BW$4:BW$7,MATCH($O621,$BU$4:$BU$7,0)),AQ621)</f>
        <v>5.2631578947368425E-2</v>
      </c>
      <c r="AW621" s="2">
        <f t="shared" si="108"/>
        <v>5.2631578947368425E-2</v>
      </c>
      <c r="AX621" s="2">
        <f t="shared" si="109"/>
        <v>0.10526315789473685</v>
      </c>
      <c r="AY621" s="2">
        <f t="shared" si="110"/>
        <v>5.2631578947368425E-2</v>
      </c>
      <c r="AZ621" s="2">
        <f>AU621*0.5+AK621*0.5</f>
        <v>0.11170157068062826</v>
      </c>
      <c r="BA621" s="2">
        <f>AV621*0.5+AJ621*0.5</f>
        <v>6.1459768531275841E-2</v>
      </c>
      <c r="BB621" s="2">
        <f t="shared" si="111"/>
        <v>0.29263157894736841</v>
      </c>
      <c r="BC621">
        <f>IF(I621="expected",1,0)</f>
        <v>1</v>
      </c>
      <c r="BD621" s="78">
        <f>IF(BC621=1,AZ621/SUMIFS(AZ$3:AZ$623,$BC$3:$BC$623,1,$G$3:$G$623,$G621),0)</f>
        <v>5.4092811505790331E-2</v>
      </c>
      <c r="BE621" s="78">
        <f>IF(BC621=1,BA621/SUMIFS(BA$3:BA$623,$BC$3:$BC$623,1,$G$3:$G$623,$G621),0)</f>
        <v>7.7147092945730814E-2</v>
      </c>
      <c r="BF621" s="78">
        <f t="shared" si="112"/>
        <v>1.1836847209385496E-2</v>
      </c>
      <c r="BG621" s="2">
        <f t="shared" si="113"/>
        <v>0.29263157894736841</v>
      </c>
      <c r="BH621" s="2">
        <f t="shared" si="114"/>
        <v>5.2631578947368425E-2</v>
      </c>
      <c r="BI621" s="2">
        <f t="shared" si="115"/>
        <v>5.4092811505790331E-2</v>
      </c>
      <c r="BJ621" s="2">
        <f t="shared" si="116"/>
        <v>7.7147092945730814E-2</v>
      </c>
      <c r="BK621" s="2">
        <f t="shared" si="117"/>
        <v>1.1836847209385496E-2</v>
      </c>
      <c r="BL621" s="2">
        <f t="shared" si="118"/>
        <v>0.29263157894736841</v>
      </c>
      <c r="BM621" s="2">
        <f t="shared" si="119"/>
        <v>5.2631578947368425E-2</v>
      </c>
      <c r="BN621" s="2">
        <f>BI621/SUMIFS(BI$3:BI$623,$BC$3:$BC$623,1,$G$3:$G$623,$G621)</f>
        <v>5.4092811505790331E-2</v>
      </c>
      <c r="BO621" s="2">
        <f>BJ621/SUMIFS(BJ$3:BJ$623,$BC$3:$BC$623,1,$G$3:$G$623,$G621)</f>
        <v>7.7147092945730814E-2</v>
      </c>
      <c r="BP621" s="2">
        <f>BK621/SUMIFS(BK$3:BK$623,$BC$3:$BC$623,1,$G$3:$G$623,$G621)</f>
        <v>1.2842917881030709E-2</v>
      </c>
      <c r="BQ621" s="2">
        <f>BL621</f>
        <v>0.29263157894736841</v>
      </c>
      <c r="BR621" s="2">
        <f>BM621</f>
        <v>5.2631578947368425E-2</v>
      </c>
    </row>
    <row r="622" spans="1:70" hidden="1">
      <c r="A622" s="74">
        <v>0</v>
      </c>
      <c r="B622" s="73">
        <v>204864</v>
      </c>
      <c r="C622" s="73" t="s">
        <v>3452</v>
      </c>
      <c r="D622" s="73" t="s">
        <v>3453</v>
      </c>
      <c r="E622" s="73" t="s">
        <v>3454</v>
      </c>
      <c r="F622" s="73">
        <v>18570</v>
      </c>
      <c r="G622" s="73" t="s">
        <v>870</v>
      </c>
      <c r="H622" s="73" t="s">
        <v>917</v>
      </c>
      <c r="I622" s="73" t="s">
        <v>981</v>
      </c>
      <c r="J622" s="73">
        <v>0</v>
      </c>
      <c r="K622" s="73">
        <v>4</v>
      </c>
      <c r="L622" s="73">
        <v>0</v>
      </c>
      <c r="M622" s="73">
        <v>0</v>
      </c>
      <c r="N622" s="73">
        <v>0</v>
      </c>
      <c r="O622" s="73" t="s">
        <v>994</v>
      </c>
      <c r="P622" s="73" t="s">
        <v>3455</v>
      </c>
      <c r="Q622" s="73" t="s">
        <v>3456</v>
      </c>
      <c r="R622" s="73">
        <v>4</v>
      </c>
      <c r="S622" s="73">
        <v>0</v>
      </c>
      <c r="T622" s="73">
        <v>0</v>
      </c>
      <c r="U622" s="73">
        <v>0</v>
      </c>
      <c r="V622" s="73">
        <v>1327</v>
      </c>
      <c r="W622" s="73">
        <v>9</v>
      </c>
      <c r="X622" s="73">
        <v>0</v>
      </c>
      <c r="Y622" s="73">
        <v>0</v>
      </c>
      <c r="Z622" s="73" t="s">
        <v>870</v>
      </c>
      <c r="AA622" s="73" t="s">
        <v>691</v>
      </c>
      <c r="AB622" s="73" t="str">
        <f>IF(AA622&lt;&gt;"",INDEX(Lookup!$N$2:$N$5,MATCH(Players!AA622,Lookup!$P$2:$P$5,0)),INDEX(Lookup!$N$2:$N$5,MATCH(Players!O622,Lookup!$O$2:$O$5,0)))</f>
        <v>Midfield</v>
      </c>
      <c r="AC622" s="73">
        <v>3000000</v>
      </c>
      <c r="AD622" s="73" t="s">
        <v>788</v>
      </c>
      <c r="AE622" s="73" t="str">
        <f>INDEX('Translate table'!$H$2:$H$622,MATCH(Players!P622,'Translate table'!$G$2:$G$622,0))</f>
        <v>Glen Kamara</v>
      </c>
      <c r="AF622" s="73">
        <f>IFERROR(INDEX('Euro Qual stats'!$A$1:$L$2071,MATCH(Players!$AE622,'Euro Qual stats'!$A$1:$A$2071,0),MATCH(Players!AF$2,'Euro Qual stats'!$A$1:$L$1,0)),0)</f>
        <v>10</v>
      </c>
      <c r="AG622" s="73">
        <f>IFERROR(INDEX('Euro Qual stats'!$A$1:$L$2071,MATCH(Players!$AE622,'Euro Qual stats'!$A$1:$A$2071,0),MATCH(Players!AG$2,'Euro Qual stats'!$A$1:$L$1,0)),0)</f>
        <v>0.1</v>
      </c>
      <c r="AH622" s="73">
        <f>IFERROR(INDEX('Euro Qual stats'!$A$1:$L$2071,MATCH(Players!$AE622,'Euro Qual stats'!$A$1:$A$2071,0),MATCH(Players!AH$2,'Euro Qual stats'!$A$1:$L$1,0)),0)</f>
        <v>0</v>
      </c>
      <c r="AI622" s="73">
        <f>IFERROR(INDEX('Euro Qual stats'!$A$1:$L$2071,MATCH(Players!$AE622,'Euro Qual stats'!$A$1:$A$2071,0),MATCH(Players!AI$2,'Euro Qual stats'!$A$1:$L$1,0)),0)</f>
        <v>0.2</v>
      </c>
      <c r="AJ622" s="93">
        <f>(12-AF622)/12*INDEX(BV$9:BV$12,MATCH($AB622,$BU$9:$BU$12,0))+AF622/12*AG622</f>
        <v>0.11144851657940663</v>
      </c>
      <c r="AK622" s="93">
        <f>(12-AG622)/12*INDEX(BW$9:BW$12,MATCH($AB622,$BU$9:$BU$12,0))+AG622/12*AH622</f>
        <v>0.22154144851657939</v>
      </c>
      <c r="AL622" s="93">
        <f>(12-AH622)/12*INDEX(BX$9:BX$12,MATCH($AB622,$BU$9:$BU$12,0))+AH622/12*AI622</f>
        <v>0.23942408376963353</v>
      </c>
      <c r="AM622" s="93">
        <f>IF($BC622=1,AJ622/SUMIFS(AJ$3:AJ$623,$BC$3:$BC$623,1,$G$3:$G$623,$G622),0)</f>
        <v>8.8815306645545489E-2</v>
      </c>
      <c r="AN622" s="93">
        <f>IF($BC622=1,AK622/SUMIFS(AK$3:AK$623,$BC$3:$BC$623,1,$G$3:$G$623,$G622),0)</f>
        <v>8.7175292661863552E-2</v>
      </c>
      <c r="AO622" s="93">
        <f>IF($BC622=1,AL622/SUMIFS(AL$3:AL$623,$BC$3:$BC$623,1,$G$3:$G$623,$G622),0)</f>
        <v>0.11473632995483947</v>
      </c>
      <c r="AP622" s="2">
        <f>IFERROR(R622/$V622*90,"")</f>
        <v>0.27128862094951017</v>
      </c>
      <c r="AQ622" s="2">
        <f>IFERROR(S622/$V622*90,"")</f>
        <v>0</v>
      </c>
      <c r="AR622" s="2">
        <f>IFERROR(W622/$V622*90,"")</f>
        <v>0.6103993971363979</v>
      </c>
      <c r="AS622" s="2">
        <f>IFERROR(X622/$V622*90,"")</f>
        <v>0</v>
      </c>
      <c r="AT622" s="2">
        <f>IFERROR(Y622/$V622*90,"")</f>
        <v>0</v>
      </c>
      <c r="AU622" s="2">
        <f>IF(AP622="",INDEX(BV$4:BV$7,MATCH(O622,$BU$4:$BU$7,0)),AP622)</f>
        <v>0.27128862094951017</v>
      </c>
      <c r="AV622" s="2">
        <f>IF(AQ622="",INDEX(BW$4:BW$7,MATCH($O622,$BU$4:$BU$7,0)),AQ622)</f>
        <v>0</v>
      </c>
      <c r="AW622" s="2">
        <f t="shared" si="108"/>
        <v>0.6103993971363979</v>
      </c>
      <c r="AX622" s="2">
        <f t="shared" si="109"/>
        <v>0</v>
      </c>
      <c r="AY622" s="2">
        <f t="shared" si="110"/>
        <v>0</v>
      </c>
      <c r="AZ622" s="2">
        <f>AU622*0.5+AK622*0.5</f>
        <v>0.24641503473304477</v>
      </c>
      <c r="BA622" s="2">
        <f>AV622*0.5+AJ622*0.5</f>
        <v>5.5724258289703316E-2</v>
      </c>
      <c r="BB622" s="2">
        <f t="shared" si="111"/>
        <v>0.1</v>
      </c>
      <c r="BC622">
        <f>IF(I622="expected",1,0)</f>
        <v>1</v>
      </c>
      <c r="BD622" s="78">
        <f>IF(BC622=1,AZ622/SUMIFS(AZ$3:AZ$623,$BC$3:$BC$623,1,$G$3:$G$623,$G622),0)</f>
        <v>0.11932940552929025</v>
      </c>
      <c r="BE622" s="78">
        <f>IF(BC622=1,BA622/SUMIFS(BA$3:BA$623,$BC$3:$BC$623,1,$G$3:$G$623,$G622),0)</f>
        <v>6.9947619985258849E-2</v>
      </c>
      <c r="BF622" s="78">
        <f t="shared" si="112"/>
        <v>0.13727888361148663</v>
      </c>
      <c r="BG622" s="2">
        <f t="shared" si="113"/>
        <v>0.1</v>
      </c>
      <c r="BH622" s="2">
        <f t="shared" si="114"/>
        <v>0</v>
      </c>
      <c r="BI622" s="2">
        <f t="shared" si="115"/>
        <v>0.11932940552929025</v>
      </c>
      <c r="BJ622" s="2">
        <f t="shared" si="116"/>
        <v>6.9947619985258849E-2</v>
      </c>
      <c r="BK622" s="2">
        <f t="shared" si="117"/>
        <v>0.13727888361148663</v>
      </c>
      <c r="BL622" s="2">
        <f t="shared" si="118"/>
        <v>0.1</v>
      </c>
      <c r="BM622" s="2">
        <f t="shared" si="119"/>
        <v>0</v>
      </c>
      <c r="BN622" s="2">
        <f>BI622/SUMIFS(BI$3:BI$623,$BC$3:$BC$623,1,$G$3:$G$623,$G622)</f>
        <v>0.11932940552929025</v>
      </c>
      <c r="BO622" s="2">
        <f>BJ622/SUMIFS(BJ$3:BJ$623,$BC$3:$BC$623,1,$G$3:$G$623,$G622)</f>
        <v>6.9947619985258849E-2</v>
      </c>
      <c r="BP622" s="2">
        <f>BK622/SUMIFS(BK$3:BK$623,$BC$3:$BC$623,1,$G$3:$G$623,$G622)</f>
        <v>0.14894687730901476</v>
      </c>
      <c r="BQ622" s="2">
        <f>BL622</f>
        <v>0.1</v>
      </c>
      <c r="BR622" s="2">
        <f>BM622</f>
        <v>0</v>
      </c>
    </row>
    <row r="623" spans="1:70" hidden="1">
      <c r="A623" s="74">
        <v>0</v>
      </c>
      <c r="B623" s="73">
        <v>204872</v>
      </c>
      <c r="C623" s="73" t="s">
        <v>3457</v>
      </c>
      <c r="D623" s="73" t="s">
        <v>3458</v>
      </c>
      <c r="E623" s="73" t="s">
        <v>3459</v>
      </c>
      <c r="F623" s="73">
        <v>18570</v>
      </c>
      <c r="G623" s="73" t="s">
        <v>870</v>
      </c>
      <c r="H623" s="73" t="s">
        <v>917</v>
      </c>
      <c r="I623" s="73" t="s">
        <v>981</v>
      </c>
      <c r="J623" s="73">
        <v>0</v>
      </c>
      <c r="K623" s="73">
        <v>4</v>
      </c>
      <c r="L623" s="73">
        <v>0</v>
      </c>
      <c r="M623" s="73">
        <v>0</v>
      </c>
      <c r="N623" s="73">
        <v>0</v>
      </c>
      <c r="O623" s="73" t="s">
        <v>982</v>
      </c>
      <c r="P623" s="73" t="s">
        <v>3460</v>
      </c>
      <c r="Q623" s="73" t="s">
        <v>3460</v>
      </c>
      <c r="R623" s="73">
        <v>6</v>
      </c>
      <c r="S623" s="73">
        <v>0</v>
      </c>
      <c r="T623" s="73">
        <v>0</v>
      </c>
      <c r="U623" s="73">
        <v>0</v>
      </c>
      <c r="V623" s="73">
        <v>856</v>
      </c>
      <c r="W623" s="73">
        <v>16</v>
      </c>
      <c r="X623" s="73">
        <v>0</v>
      </c>
      <c r="Y623" s="73">
        <v>0</v>
      </c>
      <c r="Z623" s="73" t="s">
        <v>870</v>
      </c>
      <c r="AA623" s="73" t="s">
        <v>693</v>
      </c>
      <c r="AB623" s="73" t="str">
        <f>IF(AA623&lt;&gt;"",INDEX(Lookup!$N$2:$N$5,MATCH(Players!AA623,Lookup!$P$2:$P$5,0)),INDEX(Lookup!$N$2:$N$5,MATCH(Players!O623,Lookup!$O$2:$O$5,0)))</f>
        <v>Striker</v>
      </c>
      <c r="AC623" s="73">
        <v>3000000</v>
      </c>
      <c r="AD623" s="73" t="s">
        <v>788</v>
      </c>
      <c r="AE623" s="73" t="str">
        <f>INDEX('Translate table'!$H$2:$H$622,MATCH(Players!P623,'Translate table'!$G$2:$G$622,0))</f>
        <v>Joel Pohjanpalo</v>
      </c>
      <c r="AF623" s="73">
        <f>IFERROR(INDEX('Euro Qual stats'!$A$1:$L$2071,MATCH(Players!$AE623,'Euro Qual stats'!$A$1:$A$2071,0),MATCH(Players!AF$2,'Euro Qual stats'!$A$1:$L$1,0)),0)</f>
        <v>2</v>
      </c>
      <c r="AG623" s="73">
        <f>IFERROR(INDEX('Euro Qual stats'!$A$1:$L$2071,MATCH(Players!$AE623,'Euro Qual stats'!$A$1:$A$2071,0),MATCH(Players!AG$2,'Euro Qual stats'!$A$1:$L$1,0)),0)</f>
        <v>1.1100000000000001</v>
      </c>
      <c r="AH623" s="73">
        <f>IFERROR(INDEX('Euro Qual stats'!$A$1:$L$2071,MATCH(Players!$AE623,'Euro Qual stats'!$A$1:$A$2071,0),MATCH(Players!AH$2,'Euro Qual stats'!$A$1:$L$1,0)),0)</f>
        <v>1.1100000000000001</v>
      </c>
      <c r="AI623" s="73">
        <f>IFERROR(INDEX('Euro Qual stats'!$A$1:$L$2071,MATCH(Players!$AE623,'Euro Qual stats'!$A$1:$A$2071,0),MATCH(Players!AI$2,'Euro Qual stats'!$A$1:$L$1,0)),0)</f>
        <v>0</v>
      </c>
      <c r="AJ623" s="93">
        <f>(12-AF623)/12*INDEX(BV$9:BV$12,MATCH($AB623,$BU$9:$BU$12,0))+AF623/12*AG623</f>
        <v>0.35576149425287362</v>
      </c>
      <c r="AK623" s="93">
        <f>(12-AG623)/12*INDEX(BW$9:BW$12,MATCH($AB623,$BU$9:$BU$12,0))+AG623/12*AH623</f>
        <v>0.58717047413793089</v>
      </c>
      <c r="AL623" s="93">
        <f>(12-AH623)/12*INDEX(BX$9:BX$12,MATCH($AB623,$BU$9:$BU$12,0))+AH623/12*AI623</f>
        <v>0.14958103448275867</v>
      </c>
      <c r="AM623" s="93">
        <f>IF($BC623=1,AJ623/SUMIFS(AJ$3:AJ$623,$BC$3:$BC$623,1,$G$3:$G$623,$G623),0)</f>
        <v>0.28351266732414204</v>
      </c>
      <c r="AN623" s="93">
        <f>IF($BC623=1,AK623/SUMIFS(AK$3:AK$623,$BC$3:$BC$623,1,$G$3:$G$623,$G623),0)</f>
        <v>0.23104822266045927</v>
      </c>
      <c r="AO623" s="93">
        <f>IF($BC623=1,AL623/SUMIFS(AL$3:AL$623,$BC$3:$BC$623,1,$G$3:$G$623,$G623),0)</f>
        <v>7.1681923794738756E-2</v>
      </c>
      <c r="AP623" s="2">
        <f>IFERROR(R623/$V623*90,"")</f>
        <v>0.63084112149532712</v>
      </c>
      <c r="AQ623" s="2">
        <f>IFERROR(S623/$V623*90,"")</f>
        <v>0</v>
      </c>
      <c r="AR623" s="2">
        <f>IFERROR(W623/$V623*90,"")</f>
        <v>1.6822429906542056</v>
      </c>
      <c r="AS623" s="2">
        <f>IFERROR(X623/$V623*90,"")</f>
        <v>0</v>
      </c>
      <c r="AT623" s="2">
        <f>IFERROR(Y623/$V623*90,"")</f>
        <v>0</v>
      </c>
      <c r="AU623" s="2">
        <f>IF(AP623="",INDEX(BV$4:BV$7,MATCH(O623,$BU$4:$BU$7,0)),AP623)</f>
        <v>0.63084112149532712</v>
      </c>
      <c r="AV623" s="2">
        <f>IF(AQ623="",INDEX(BW$4:BW$7,MATCH($O623,$BU$4:$BU$7,0)),AQ623)</f>
        <v>0</v>
      </c>
      <c r="AW623" s="2">
        <f t="shared" si="108"/>
        <v>1.6822429906542056</v>
      </c>
      <c r="AX623" s="2">
        <f t="shared" si="109"/>
        <v>0</v>
      </c>
      <c r="AY623" s="2">
        <f t="shared" si="110"/>
        <v>0</v>
      </c>
      <c r="AZ623" s="2">
        <f>AU623*0.5+AK623*0.5</f>
        <v>0.609005797816629</v>
      </c>
      <c r="BA623" s="2">
        <f>AV623*0.5+AJ623*0.5</f>
        <v>0.17788074712643681</v>
      </c>
      <c r="BB623" s="2">
        <f t="shared" si="111"/>
        <v>0</v>
      </c>
      <c r="BC623">
        <f>IF(I623="expected",1,0)</f>
        <v>1</v>
      </c>
      <c r="BD623" s="78">
        <f>IF(BC623=1,AZ623/SUMIFS(AZ$3:AZ$623,$BC$3:$BC$623,1,$G$3:$G$623,$G623),0)</f>
        <v>0.29491828652451929</v>
      </c>
      <c r="BE623" s="78">
        <f>IF(BC623=1,BA623/SUMIFS(BA$3:BA$623,$BC$3:$BC$623,1,$G$3:$G$623,$G623),0)</f>
        <v>0.22328399308623928</v>
      </c>
      <c r="BF623" s="78">
        <f t="shared" si="112"/>
        <v>0.37833661173923733</v>
      </c>
      <c r="BG623" s="2">
        <f t="shared" si="113"/>
        <v>0</v>
      </c>
      <c r="BH623" s="2">
        <f t="shared" si="114"/>
        <v>0</v>
      </c>
      <c r="BI623" s="2">
        <f t="shared" si="115"/>
        <v>0.29491828652451929</v>
      </c>
      <c r="BJ623" s="2">
        <f t="shared" si="116"/>
        <v>0.22328399308623928</v>
      </c>
      <c r="BK623" s="2">
        <f t="shared" si="117"/>
        <v>0.3</v>
      </c>
      <c r="BL623" s="2">
        <f t="shared" si="118"/>
        <v>0</v>
      </c>
      <c r="BM623" s="2">
        <f t="shared" si="119"/>
        <v>0</v>
      </c>
      <c r="BN623" s="2">
        <f>BI623/SUMIFS(BI$3:BI$623,$BC$3:$BC$623,1,$G$3:$G$623,$G623)</f>
        <v>0.29491828652451929</v>
      </c>
      <c r="BO623" s="2">
        <f>BJ623/SUMIFS(BJ$3:BJ$623,$BC$3:$BC$623,1,$G$3:$G$623,$G623)</f>
        <v>0.22328399308623928</v>
      </c>
      <c r="BP623" s="2">
        <f>BK623/SUMIFS(BK$3:BK$623,$BC$3:$BC$623,1,$G$3:$G$623,$G623)</f>
        <v>0.32549844533384265</v>
      </c>
      <c r="BQ623" s="2">
        <f>BL623</f>
        <v>0</v>
      </c>
      <c r="BR623" s="2">
        <f>BM623</f>
        <v>0</v>
      </c>
    </row>
  </sheetData>
  <autoFilter ref="A2:BR623" xr:uid="{D4E8D983-8E27-416B-A571-1A28094AC64A}">
    <filterColumn colId="4">
      <filters>
        <filter val="Koke"/>
      </filters>
    </filterColumn>
  </autoFilter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T391"/>
  <sheetViews>
    <sheetView showGridLines="0" topLeftCell="B1" workbookViewId="0">
      <pane ySplit="1" topLeftCell="A13" activePane="bottomLeft" state="frozen"/>
      <selection pane="bottomLeft" activeCell="K13" sqref="K13"/>
    </sheetView>
  </sheetViews>
  <sheetFormatPr defaultColWidth="11" defaultRowHeight="15.75"/>
  <cols>
    <col min="4" max="4" width="22.125" bestFit="1" customWidth="1"/>
    <col min="5" max="5" width="12.5" bestFit="1" customWidth="1"/>
    <col min="6" max="6" width="12.125" bestFit="1" customWidth="1"/>
    <col min="7" max="7" width="4.75" bestFit="1" customWidth="1"/>
    <col min="8" max="8" width="18.25" bestFit="1" customWidth="1"/>
    <col min="9" max="9" width="17.75" bestFit="1" customWidth="1"/>
    <col min="10" max="11" width="12.25" bestFit="1" customWidth="1"/>
  </cols>
  <sheetData>
    <row r="1" spans="1:20">
      <c r="A1" s="69"/>
      <c r="B1" s="70" t="s">
        <v>853</v>
      </c>
      <c r="C1" s="70" t="s">
        <v>854</v>
      </c>
      <c r="D1" s="70" t="s">
        <v>855</v>
      </c>
      <c r="E1" s="70" t="s">
        <v>856</v>
      </c>
      <c r="F1" s="70" t="s">
        <v>857</v>
      </c>
      <c r="G1" s="70" t="s">
        <v>858</v>
      </c>
      <c r="H1" s="70" t="s">
        <v>859</v>
      </c>
      <c r="I1" s="70" t="s">
        <v>860</v>
      </c>
      <c r="J1" s="66" t="s">
        <v>3461</v>
      </c>
      <c r="K1" s="66" t="s">
        <v>3462</v>
      </c>
      <c r="L1" s="66" t="s">
        <v>3463</v>
      </c>
      <c r="M1" s="66" t="s">
        <v>3464</v>
      </c>
      <c r="N1" s="66"/>
      <c r="O1" s="76" t="s">
        <v>733</v>
      </c>
      <c r="P1" s="76" t="s">
        <v>3478</v>
      </c>
      <c r="Q1" s="76" t="s">
        <v>3479</v>
      </c>
    </row>
    <row r="2" spans="1:20">
      <c r="A2" s="70">
        <v>0</v>
      </c>
      <c r="B2" s="69" t="s">
        <v>861</v>
      </c>
      <c r="C2" s="69" t="s">
        <v>862</v>
      </c>
      <c r="D2" s="69" t="s">
        <v>863</v>
      </c>
      <c r="E2" s="69">
        <v>0.13590216889709281</v>
      </c>
      <c r="F2" s="69">
        <v>0.61375173050299947</v>
      </c>
      <c r="G2" s="69">
        <v>0.25034610059990769</v>
      </c>
      <c r="H2" s="92">
        <v>0.19026303645592979</v>
      </c>
      <c r="I2" s="93">
        <v>0.51984436190144767</v>
      </c>
      <c r="J2" s="2">
        <f>-LN(I2)</f>
        <v>0.65422581624273402</v>
      </c>
      <c r="K2">
        <f>-LN(H2)</f>
        <v>1.6593477618235051</v>
      </c>
      <c r="L2">
        <f>H2</f>
        <v>0.19026303645592979</v>
      </c>
      <c r="M2">
        <f>I2</f>
        <v>0.51984436190144767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1.7429374799138486</v>
      </c>
      <c r="Q2" s="2">
        <f>INDEX(SOG!$F$2:$F$25,MATCH(S2,SOG!$G$2:$G$25,0))*K2</f>
        <v>4.5343674133251923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  <c r="T2">
        <f>COUNTIFS(O2:O37,1)</f>
        <v>12</v>
      </c>
    </row>
    <row r="3" spans="1:20">
      <c r="A3" s="70">
        <v>1</v>
      </c>
      <c r="B3" s="69" t="s">
        <v>864</v>
      </c>
      <c r="C3" s="69" t="s">
        <v>865</v>
      </c>
      <c r="D3" s="69" t="s">
        <v>866</v>
      </c>
      <c r="E3" s="69">
        <v>0.2607079992176804</v>
      </c>
      <c r="F3" s="69">
        <v>0.43653432427146488</v>
      </c>
      <c r="G3" s="69">
        <v>0.30275767651085472</v>
      </c>
      <c r="H3" s="92">
        <v>0.31284959906121651</v>
      </c>
      <c r="I3" s="93">
        <v>0.41713279874828868</v>
      </c>
      <c r="J3" s="2">
        <f t="shared" ref="J3:J37" si="0">-LN(I3)</f>
        <v>0.87435064565555498</v>
      </c>
      <c r="K3">
        <f t="shared" ref="K3:K37" si="1">-LN(H3)</f>
        <v>1.162032718107336</v>
      </c>
      <c r="L3">
        <f t="shared" ref="L3:L37" si="2">H3</f>
        <v>0.31284959906121651</v>
      </c>
      <c r="M3">
        <f t="shared" ref="M3:M37" si="3">I3</f>
        <v>0.41713279874828868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2.6542787457400774</v>
      </c>
      <c r="Q3" s="2">
        <f>INDEX(SOG!$F$2:$F$25,MATCH(S3,SOG!$G$2:$G$25,0))*K3</f>
        <v>3.2487816133000873</v>
      </c>
      <c r="R3">
        <f>INDEX('Team forecast'!$AU$3:$AU$26,MATCH(Games!C3,'Team forecast'!$B$3:$B$26,0))</f>
        <v>19</v>
      </c>
      <c r="S3">
        <f>INDEX('Team forecast'!$AU$3:$AU$26,MATCH(Games!D3,'Team forecast'!$B$3:$B$26,0))</f>
        <v>15</v>
      </c>
      <c r="T3">
        <f>COUNTIFS(O2:O37,2)</f>
        <v>12</v>
      </c>
    </row>
    <row r="4" spans="1:20">
      <c r="A4" s="70">
        <v>2</v>
      </c>
      <c r="B4" s="69" t="s">
        <v>867</v>
      </c>
      <c r="C4" s="69" t="s">
        <v>862</v>
      </c>
      <c r="D4" s="69" t="s">
        <v>865</v>
      </c>
      <c r="E4" s="69">
        <v>0.42767047694126931</v>
      </c>
      <c r="F4" s="69">
        <v>0.26882144264879793</v>
      </c>
      <c r="G4" s="69">
        <v>0.30350808040993299</v>
      </c>
      <c r="H4" s="92">
        <v>0.35774716702311499</v>
      </c>
      <c r="I4" s="93">
        <v>0.27672795566788022</v>
      </c>
      <c r="J4" s="2">
        <f t="shared" si="0"/>
        <v>1.2847203648825669</v>
      </c>
      <c r="K4">
        <f t="shared" si="1"/>
        <v>1.0279287794501248</v>
      </c>
      <c r="L4">
        <f t="shared" si="2"/>
        <v>0.35774716702311499</v>
      </c>
      <c r="M4">
        <f t="shared" si="3"/>
        <v>0.27672795566788022</v>
      </c>
      <c r="N4">
        <f t="shared" si="4"/>
        <v>16</v>
      </c>
      <c r="O4">
        <f t="shared" si="5"/>
        <v>2</v>
      </c>
      <c r="P4" s="2">
        <f>INDEX(SOG!$F$2:$F$25,MATCH(R4,SOG!$G$2:$G$25,0))*J4</f>
        <v>3.4226519644581361</v>
      </c>
      <c r="Q4" s="2">
        <f>INDEX(SOG!$F$2:$F$25,MATCH(S4,SOG!$G$2:$G$25,0))*K4</f>
        <v>3.1204980804735931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19</v>
      </c>
      <c r="T4">
        <f>COUNTIFS(O2:O37,3)</f>
        <v>12</v>
      </c>
    </row>
    <row r="5" spans="1:20">
      <c r="A5" s="70">
        <v>3</v>
      </c>
      <c r="B5" s="69" t="s">
        <v>867</v>
      </c>
      <c r="C5" s="69" t="s">
        <v>863</v>
      </c>
      <c r="D5" s="69" t="s">
        <v>866</v>
      </c>
      <c r="E5" s="69">
        <v>0.55716353111432715</v>
      </c>
      <c r="F5" s="69">
        <v>0.1722141823444284</v>
      </c>
      <c r="G5" s="69">
        <v>0.27062228654124459</v>
      </c>
      <c r="H5" s="92">
        <v>0.45103714423540769</v>
      </c>
      <c r="I5" s="93">
        <v>0.21874780667306151</v>
      </c>
      <c r="J5" s="2">
        <f t="shared" si="0"/>
        <v>1.5198357804321134</v>
      </c>
      <c r="K5">
        <f t="shared" si="1"/>
        <v>0.79620558314709244</v>
      </c>
      <c r="L5">
        <f t="shared" si="2"/>
        <v>0.45103714423540769</v>
      </c>
      <c r="M5">
        <f t="shared" si="3"/>
        <v>0.21874780667306151</v>
      </c>
      <c r="N5">
        <f t="shared" si="4"/>
        <v>16</v>
      </c>
      <c r="O5">
        <f t="shared" si="5"/>
        <v>2</v>
      </c>
      <c r="P5" s="2">
        <f>INDEX(SOG!$F$2:$F$25,MATCH(R5,SOG!$G$2:$G$25,0))*J5</f>
        <v>4.1531341379722457</v>
      </c>
      <c r="Q5" s="2">
        <f>INDEX(SOG!$F$2:$F$25,MATCH(S5,SOG!$G$2:$G$25,0))*K5</f>
        <v>2.2260113838689839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15</v>
      </c>
    </row>
    <row r="6" spans="1:20">
      <c r="A6" s="70">
        <v>4</v>
      </c>
      <c r="B6" s="69" t="s">
        <v>868</v>
      </c>
      <c r="C6" s="69" t="s">
        <v>866</v>
      </c>
      <c r="D6" s="69" t="s">
        <v>862</v>
      </c>
      <c r="E6" s="69">
        <v>0.38980035580154171</v>
      </c>
      <c r="F6" s="69">
        <v>0.32931409369440601</v>
      </c>
      <c r="G6" s="69">
        <v>0.28088555050405217</v>
      </c>
      <c r="H6" s="92">
        <v>0.29384949898885449</v>
      </c>
      <c r="I6" s="93">
        <v>0.25466956579034061</v>
      </c>
      <c r="J6" s="2">
        <f t="shared" si="0"/>
        <v>1.3677883945550393</v>
      </c>
      <c r="K6">
        <f t="shared" si="1"/>
        <v>1.2246875509143662</v>
      </c>
      <c r="L6">
        <f t="shared" si="2"/>
        <v>0.29384949898885449</v>
      </c>
      <c r="M6">
        <f t="shared" si="3"/>
        <v>0.25466956579034061</v>
      </c>
      <c r="N6">
        <f t="shared" si="4"/>
        <v>20</v>
      </c>
      <c r="O6">
        <f t="shared" si="5"/>
        <v>3</v>
      </c>
      <c r="P6" s="2">
        <f>INDEX(SOG!$F$2:$F$25,MATCH(R6,SOG!$G$2:$G$25,0))*J6</f>
        <v>3.8240281171714834</v>
      </c>
      <c r="Q6" s="2">
        <f>INDEX(SOG!$F$2:$F$25,MATCH(S6,SOG!$G$2:$G$25,0))*K6</f>
        <v>3.2627172157947619</v>
      </c>
      <c r="R6">
        <f>INDEX('Team forecast'!$AU$3:$AU$26,MATCH(Games!C6,'Team forecast'!$B$3:$B$26,0))</f>
        <v>15</v>
      </c>
      <c r="S6">
        <f>INDEX('Team forecast'!$AU$3:$AU$26,MATCH(Games!D6,'Team forecast'!$B$3:$B$26,0))</f>
        <v>17</v>
      </c>
    </row>
    <row r="7" spans="1:20">
      <c r="A7" s="70">
        <v>5</v>
      </c>
      <c r="B7" s="69" t="s">
        <v>868</v>
      </c>
      <c r="C7" s="69" t="s">
        <v>863</v>
      </c>
      <c r="D7" s="69" t="s">
        <v>865</v>
      </c>
      <c r="E7" s="69">
        <v>0.66156845240806372</v>
      </c>
      <c r="F7" s="69">
        <v>0.1088752653105842</v>
      </c>
      <c r="G7" s="69">
        <v>0.22955628228135219</v>
      </c>
      <c r="H7" s="92">
        <v>0.52057845435388617</v>
      </c>
      <c r="I7" s="93">
        <v>0.15877642857793531</v>
      </c>
      <c r="J7" s="2">
        <f t="shared" si="0"/>
        <v>1.8402581758343768</v>
      </c>
      <c r="K7">
        <f t="shared" si="1"/>
        <v>0.65281467345965161</v>
      </c>
      <c r="L7">
        <f t="shared" si="2"/>
        <v>0.52057845435388617</v>
      </c>
      <c r="M7">
        <f t="shared" si="3"/>
        <v>0.15877642857793531</v>
      </c>
      <c r="N7">
        <f t="shared" si="4"/>
        <v>20</v>
      </c>
      <c r="O7">
        <f t="shared" si="5"/>
        <v>3</v>
      </c>
      <c r="P7" s="2">
        <f>INDEX(SOG!$F$2:$F$25,MATCH(R7,SOG!$G$2:$G$25,0))*J7</f>
        <v>5.0287268869057034</v>
      </c>
      <c r="Q7" s="2">
        <f>INDEX(SOG!$F$2:$F$25,MATCH(S7,SOG!$G$2:$G$25,0))*K7</f>
        <v>1.9817588301453708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19</v>
      </c>
    </row>
    <row r="8" spans="1:20">
      <c r="A8" s="70">
        <v>6</v>
      </c>
      <c r="B8" s="69" t="s">
        <v>864</v>
      </c>
      <c r="C8" s="69" t="s">
        <v>869</v>
      </c>
      <c r="D8" s="69" t="s">
        <v>870</v>
      </c>
      <c r="E8" s="69">
        <v>0.65509845973874048</v>
      </c>
      <c r="F8" s="69">
        <v>0.1187365958276467</v>
      </c>
      <c r="G8" s="69">
        <v>0.22616494443361279</v>
      </c>
      <c r="H8" s="92">
        <v>0.54907096336484029</v>
      </c>
      <c r="I8" s="93">
        <v>0.18997855332423469</v>
      </c>
      <c r="J8" s="2">
        <f t="shared" si="0"/>
        <v>1.6608440904336361</v>
      </c>
      <c r="K8">
        <f t="shared" si="1"/>
        <v>0.59952758650922311</v>
      </c>
      <c r="L8">
        <f t="shared" si="2"/>
        <v>0.54907096336484029</v>
      </c>
      <c r="M8">
        <f t="shared" si="3"/>
        <v>0.18997855332423469</v>
      </c>
      <c r="N8">
        <f t="shared" si="4"/>
        <v>12</v>
      </c>
      <c r="O8">
        <f t="shared" si="5"/>
        <v>1</v>
      </c>
      <c r="P8" s="2">
        <f>INDEX(SOG!$F$2:$F$25,MATCH(R8,SOG!$G$2:$G$25,0))*J8</f>
        <v>4.1898566826848551</v>
      </c>
      <c r="Q8" s="2">
        <f>INDEX(SOG!$F$2:$F$25,MATCH(S8,SOG!$G$2:$G$25,0))*K8</f>
        <v>1.9681461173282577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20">
      <c r="A9" s="70">
        <v>7</v>
      </c>
      <c r="B9" s="69" t="s">
        <v>864</v>
      </c>
      <c r="C9" s="69" t="s">
        <v>871</v>
      </c>
      <c r="D9" s="69" t="s">
        <v>872</v>
      </c>
      <c r="E9" s="69">
        <v>0.58357649020425184</v>
      </c>
      <c r="F9" s="69">
        <v>0.18007503126302629</v>
      </c>
      <c r="G9" s="69">
        <v>0.23634847853272201</v>
      </c>
      <c r="H9" s="92">
        <v>0.42972450642313093</v>
      </c>
      <c r="I9" s="93">
        <v>0.21008753647353071</v>
      </c>
      <c r="J9" s="2">
        <f t="shared" si="0"/>
        <v>1.5602309947683257</v>
      </c>
      <c r="K9">
        <f t="shared" si="1"/>
        <v>0.84461095835632183</v>
      </c>
      <c r="L9">
        <f t="shared" si="2"/>
        <v>0.42972450642313093</v>
      </c>
      <c r="M9">
        <f t="shared" si="3"/>
        <v>0.21008753647353071</v>
      </c>
      <c r="N9">
        <f t="shared" si="4"/>
        <v>12</v>
      </c>
      <c r="O9">
        <f t="shared" si="5"/>
        <v>1</v>
      </c>
      <c r="P9" s="2">
        <f>INDEX(SOG!$F$2:$F$25,MATCH(R9,SOG!$G$2:$G$25,0))*J9</f>
        <v>4.1655927994293096</v>
      </c>
      <c r="Q9" s="2">
        <f>INDEX(SOG!$F$2:$F$25,MATCH(S9,SOG!$G$2:$G$25,0))*K9</f>
        <v>2.876402354682019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20">
      <c r="A10" s="70">
        <v>8</v>
      </c>
      <c r="B10" s="69" t="s">
        <v>867</v>
      </c>
      <c r="C10" s="69" t="s">
        <v>870</v>
      </c>
      <c r="D10" s="69" t="s">
        <v>872</v>
      </c>
      <c r="E10" s="69">
        <v>0.17854792717701251</v>
      </c>
      <c r="F10" s="69">
        <v>0.56810704101776699</v>
      </c>
      <c r="G10" s="69">
        <v>0.25334503180522039</v>
      </c>
      <c r="H10" s="92">
        <v>0.20830591503984791</v>
      </c>
      <c r="I10" s="93">
        <v>0.46868830883965779</v>
      </c>
      <c r="J10" s="2">
        <f t="shared" si="0"/>
        <v>0.75781731816731412</v>
      </c>
      <c r="K10">
        <f t="shared" si="1"/>
        <v>1.5687475343836428</v>
      </c>
      <c r="L10">
        <f t="shared" si="2"/>
        <v>0.20830591503984791</v>
      </c>
      <c r="M10">
        <f t="shared" si="3"/>
        <v>0.46868830883965779</v>
      </c>
      <c r="N10">
        <f t="shared" si="4"/>
        <v>16</v>
      </c>
      <c r="O10">
        <f t="shared" si="5"/>
        <v>2</v>
      </c>
      <c r="P10" s="2">
        <f>INDEX(SOG!$F$2:$F$25,MATCH(R10,SOG!$G$2:$G$25,0))*J10</f>
        <v>2.4877841252967383</v>
      </c>
      <c r="Q10" s="2">
        <f>INDEX(SOG!$F$2:$F$25,MATCH(S10,SOG!$G$2:$G$25,0))*K10</f>
        <v>5.3425178268869509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20">
      <c r="A11" s="70">
        <v>9</v>
      </c>
      <c r="B11" s="69" t="s">
        <v>873</v>
      </c>
      <c r="C11" s="69" t="s">
        <v>869</v>
      </c>
      <c r="D11" s="69" t="s">
        <v>871</v>
      </c>
      <c r="E11" s="69">
        <v>0.25392083644510832</v>
      </c>
      <c r="F11" s="69">
        <v>0.46975354742345032</v>
      </c>
      <c r="G11" s="69">
        <v>0.27632561613144141</v>
      </c>
      <c r="H11" s="92">
        <v>0.21697623437572761</v>
      </c>
      <c r="I11" s="93">
        <v>0.31316903161563348</v>
      </c>
      <c r="J11" s="2">
        <f t="shared" si="0"/>
        <v>1.1610121970988967</v>
      </c>
      <c r="K11">
        <f t="shared" si="1"/>
        <v>1.5279674504451852</v>
      </c>
      <c r="L11">
        <f t="shared" si="2"/>
        <v>0.21697623437572761</v>
      </c>
      <c r="M11">
        <f t="shared" si="3"/>
        <v>0.31316903161563348</v>
      </c>
      <c r="N11">
        <f t="shared" si="4"/>
        <v>17</v>
      </c>
      <c r="O11">
        <f t="shared" si="5"/>
        <v>2</v>
      </c>
      <c r="P11" s="2">
        <f>INDEX(SOG!$F$2:$F$25,MATCH(R11,SOG!$G$2:$G$25,0))*J11</f>
        <v>2.9289171335903985</v>
      </c>
      <c r="Q11" s="2">
        <f>INDEX(SOG!$F$2:$F$25,MATCH(S11,SOG!$G$2:$G$25,0))*K11</f>
        <v>4.0794537672172888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20">
      <c r="A12" s="70">
        <v>10</v>
      </c>
      <c r="B12" s="69" t="s">
        <v>874</v>
      </c>
      <c r="C12" s="69" t="s">
        <v>872</v>
      </c>
      <c r="D12" s="69" t="s">
        <v>869</v>
      </c>
      <c r="E12" s="69">
        <v>0.23440152433743289</v>
      </c>
      <c r="F12" s="69">
        <v>0.48293781396154511</v>
      </c>
      <c r="G12" s="69">
        <v>0.282660661701022</v>
      </c>
      <c r="H12" s="92">
        <v>0.22195063505392029</v>
      </c>
      <c r="I12" s="93">
        <v>0.38441849991338989</v>
      </c>
      <c r="J12" s="2">
        <f t="shared" si="0"/>
        <v>0.95602347631827322</v>
      </c>
      <c r="K12">
        <f t="shared" si="1"/>
        <v>1.5053002864585165</v>
      </c>
      <c r="L12">
        <f t="shared" si="2"/>
        <v>0.22195063505392029</v>
      </c>
      <c r="M12">
        <f t="shared" si="3"/>
        <v>0.38441849991338989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3.2558282025664269</v>
      </c>
      <c r="Q12" s="2">
        <f>INDEX(SOG!$F$2:$F$25,MATCH(S12,SOG!$G$2:$G$25,0))*K12</f>
        <v>3.7974620862930761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20">
      <c r="A13" s="70">
        <v>11</v>
      </c>
      <c r="B13" s="69" t="s">
        <v>874</v>
      </c>
      <c r="C13" s="69" t="s">
        <v>870</v>
      </c>
      <c r="D13" s="69" t="s">
        <v>871</v>
      </c>
      <c r="E13" s="69">
        <v>6.2182766779236023E-2</v>
      </c>
      <c r="F13" s="69">
        <v>0.78360397160825879</v>
      </c>
      <c r="G13" s="69">
        <v>0.15421326161250529</v>
      </c>
      <c r="H13" s="92">
        <v>9.6383288507815829E-2</v>
      </c>
      <c r="I13" s="93">
        <v>0.53546271393231015</v>
      </c>
      <c r="J13" s="2">
        <f t="shared" si="0"/>
        <v>0.62462402002960304</v>
      </c>
      <c r="K13">
        <f t="shared" si="1"/>
        <v>2.3394224481215296</v>
      </c>
      <c r="L13">
        <f t="shared" si="2"/>
        <v>9.6383288507815829E-2</v>
      </c>
      <c r="M13">
        <f t="shared" si="3"/>
        <v>0.53546271393231015</v>
      </c>
      <c r="N13">
        <f t="shared" si="4"/>
        <v>21</v>
      </c>
      <c r="O13">
        <f t="shared" si="5"/>
        <v>3</v>
      </c>
      <c r="P13" s="2">
        <f>INDEX(SOG!$F$2:$F$25,MATCH(R13,SOG!$G$2:$G$25,0))*J13</f>
        <v>2.0505333990870809</v>
      </c>
      <c r="Q13" s="2">
        <f>INDEX(SOG!$F$2:$F$25,MATCH(S13,SOG!$G$2:$G$25,0))*K13</f>
        <v>6.2459221342192031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20">
      <c r="A14" s="70">
        <v>12</v>
      </c>
      <c r="B14" s="69" t="s">
        <v>875</v>
      </c>
      <c r="C14" s="69" t="s">
        <v>876</v>
      </c>
      <c r="D14" s="69" t="s">
        <v>877</v>
      </c>
      <c r="E14" s="69">
        <v>0.58441558441558439</v>
      </c>
      <c r="F14" s="69">
        <v>0.15584415584415581</v>
      </c>
      <c r="G14" s="69">
        <v>0.25974025974025972</v>
      </c>
      <c r="H14" s="92">
        <v>0.46753246753246752</v>
      </c>
      <c r="I14" s="93">
        <v>0.20779220779220781</v>
      </c>
      <c r="J14" s="2">
        <f t="shared" si="0"/>
        <v>1.5712166996139025</v>
      </c>
      <c r="K14">
        <f t="shared" si="1"/>
        <v>0.76028648339757388</v>
      </c>
      <c r="L14">
        <f t="shared" si="2"/>
        <v>0.46753246753246752</v>
      </c>
      <c r="M14">
        <f t="shared" si="3"/>
        <v>0.20779220779220781</v>
      </c>
      <c r="N14">
        <f t="shared" si="4"/>
        <v>13</v>
      </c>
      <c r="O14">
        <f t="shared" si="5"/>
        <v>1</v>
      </c>
      <c r="P14" s="2">
        <f>INDEX(SOG!$F$2:$F$25,MATCH(R14,SOG!$G$2:$G$25,0))*J14</f>
        <v>4.4640175390899657</v>
      </c>
      <c r="Q14" s="2">
        <f>INDEX(SOG!$F$2:$F$25,MATCH(S14,SOG!$G$2:$G$25,0))*K14</f>
        <v>2.0548283335069564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13</v>
      </c>
    </row>
    <row r="15" spans="1:20">
      <c r="A15" s="70">
        <v>13</v>
      </c>
      <c r="B15" s="69" t="s">
        <v>873</v>
      </c>
      <c r="C15" s="69" t="s">
        <v>876</v>
      </c>
      <c r="D15" s="69" t="s">
        <v>878</v>
      </c>
      <c r="E15" s="69">
        <v>0.61809104956614758</v>
      </c>
      <c r="F15" s="69">
        <v>0.1454891239748009</v>
      </c>
      <c r="G15" s="69">
        <v>0.23641982645905149</v>
      </c>
      <c r="H15" s="92">
        <v>0.45032347896962183</v>
      </c>
      <c r="I15" s="93">
        <v>0.15761321763936759</v>
      </c>
      <c r="J15" s="2">
        <f t="shared" si="0"/>
        <v>1.8476112368050062</v>
      </c>
      <c r="K15">
        <f t="shared" si="1"/>
        <v>0.7977891123063281</v>
      </c>
      <c r="L15">
        <f t="shared" si="2"/>
        <v>0.45032347896962183</v>
      </c>
      <c r="M15">
        <f t="shared" si="3"/>
        <v>0.15761321763936759</v>
      </c>
      <c r="N15">
        <f t="shared" si="4"/>
        <v>17</v>
      </c>
      <c r="O15">
        <f t="shared" si="5"/>
        <v>2</v>
      </c>
      <c r="P15" s="2">
        <f>INDEX(SOG!$F$2:$F$25,MATCH(R15,SOG!$G$2:$G$25,0))*J15</f>
        <v>5.2492879998945963</v>
      </c>
      <c r="Q15" s="2">
        <f>INDEX(SOG!$F$2:$F$25,MATCH(S15,SOG!$G$2:$G$25,0))*K15</f>
        <v>2.4091131746618726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12</v>
      </c>
    </row>
    <row r="16" spans="1:20">
      <c r="A16" s="70">
        <v>14</v>
      </c>
      <c r="B16" s="69" t="s">
        <v>874</v>
      </c>
      <c r="C16" s="69" t="s">
        <v>877</v>
      </c>
      <c r="D16" s="69" t="s">
        <v>878</v>
      </c>
      <c r="E16" s="69">
        <v>0.34675390035228992</v>
      </c>
      <c r="F16" s="69">
        <v>0.35983895319577253</v>
      </c>
      <c r="G16" s="69">
        <v>0.29340714645193761</v>
      </c>
      <c r="H16" s="92">
        <v>0.31785774198959899</v>
      </c>
      <c r="I16" s="93">
        <v>0.31785774198959899</v>
      </c>
      <c r="J16" s="2">
        <f t="shared" si="0"/>
        <v>1.1461513485277883</v>
      </c>
      <c r="K16">
        <f t="shared" si="1"/>
        <v>1.1461513485277883</v>
      </c>
      <c r="L16">
        <f t="shared" si="2"/>
        <v>0.31785774198959899</v>
      </c>
      <c r="M16">
        <f t="shared" si="3"/>
        <v>0.31785774198959899</v>
      </c>
      <c r="N16">
        <f t="shared" si="4"/>
        <v>21</v>
      </c>
      <c r="O16">
        <f t="shared" si="5"/>
        <v>3</v>
      </c>
      <c r="P16" s="2">
        <f>INDEX(SOG!$F$2:$F$25,MATCH(R16,SOG!$G$2:$G$25,0))*J16</f>
        <v>3.0977063473724007</v>
      </c>
      <c r="Q16" s="2">
        <f>INDEX(SOG!$F$2:$F$25,MATCH(S16,SOG!$G$2:$G$25,0))*K16</f>
        <v>3.4610754537779926</v>
      </c>
      <c r="R16">
        <f>INDEX('Team forecast'!$AU$3:$AU$26,MATCH(Games!C16,'Team forecast'!$B$3:$B$26,0))</f>
        <v>13</v>
      </c>
      <c r="S16">
        <f>INDEX('Team forecast'!$AU$3:$AU$26,MATCH(Games!D16,'Team forecast'!$B$3:$B$26,0))</f>
        <v>12</v>
      </c>
    </row>
    <row r="17" spans="1:19">
      <c r="A17" s="70">
        <v>15</v>
      </c>
      <c r="B17" s="69" t="s">
        <v>875</v>
      </c>
      <c r="C17" s="69" t="s">
        <v>879</v>
      </c>
      <c r="D17" s="69" t="s">
        <v>880</v>
      </c>
      <c r="E17" s="69">
        <v>0.56576277966682864</v>
      </c>
      <c r="F17" s="69">
        <v>0.17178615309883699</v>
      </c>
      <c r="G17" s="69">
        <v>0.26245106723433442</v>
      </c>
      <c r="H17" s="92">
        <v>0.47241192102180191</v>
      </c>
      <c r="I17" s="93">
        <v>0.21820412056434271</v>
      </c>
      <c r="J17" s="2">
        <f t="shared" si="0"/>
        <v>1.5223243214152651</v>
      </c>
      <c r="K17">
        <f t="shared" si="1"/>
        <v>0.74990395996081205</v>
      </c>
      <c r="L17">
        <f t="shared" si="2"/>
        <v>0.47241192102180191</v>
      </c>
      <c r="M17">
        <f t="shared" si="3"/>
        <v>0.21820412056434271</v>
      </c>
      <c r="N17">
        <f t="shared" si="4"/>
        <v>13</v>
      </c>
      <c r="O17">
        <f t="shared" si="5"/>
        <v>1</v>
      </c>
      <c r="P17" s="2">
        <f>INDEX(SOG!$F$2:$F$25,MATCH(R17,SOG!$G$2:$G$25,0))*J17</f>
        <v>3.7411838276290243</v>
      </c>
      <c r="Q17" s="2">
        <f>INDEX(SOG!$F$2:$F$25,MATCH(S17,SOG!$G$2:$G$25,0))*K17</f>
        <v>2.1270003227979397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>
      <c r="A18" s="70">
        <v>16</v>
      </c>
      <c r="B18" s="69" t="s">
        <v>881</v>
      </c>
      <c r="C18" s="69" t="s">
        <v>880</v>
      </c>
      <c r="D18" s="69" t="s">
        <v>882</v>
      </c>
      <c r="E18" s="69">
        <v>0.44715447154471538</v>
      </c>
      <c r="F18" s="69">
        <v>0.26829268292682928</v>
      </c>
      <c r="G18" s="69">
        <v>0.28455284552845528</v>
      </c>
      <c r="H18" s="92">
        <v>0.37560975609756098</v>
      </c>
      <c r="I18" s="93">
        <v>0.25040650406504072</v>
      </c>
      <c r="J18" s="2">
        <f t="shared" si="0"/>
        <v>1.3846696653928885</v>
      </c>
      <c r="K18">
        <f t="shared" si="1"/>
        <v>0.97920455728472433</v>
      </c>
      <c r="L18">
        <f t="shared" si="2"/>
        <v>0.37560975609756098</v>
      </c>
      <c r="M18">
        <f t="shared" si="3"/>
        <v>0.25040650406504072</v>
      </c>
      <c r="N18">
        <f t="shared" si="4"/>
        <v>18</v>
      </c>
      <c r="O18">
        <f t="shared" si="5"/>
        <v>2</v>
      </c>
      <c r="P18" s="2">
        <f>INDEX(SOG!$F$2:$F$25,MATCH(R18,SOG!$G$2:$G$25,0))*J18</f>
        <v>3.9274266872961929</v>
      </c>
      <c r="Q18" s="2">
        <f>INDEX(SOG!$F$2:$F$25,MATCH(S18,SOG!$G$2:$G$25,0))*K18</f>
        <v>2.8924196153641089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>
      <c r="A19" s="70">
        <v>17</v>
      </c>
      <c r="B19" s="69" t="s">
        <v>883</v>
      </c>
      <c r="C19" s="69" t="s">
        <v>882</v>
      </c>
      <c r="D19" s="69" t="s">
        <v>879</v>
      </c>
      <c r="E19" s="69">
        <v>0.13286713286713289</v>
      </c>
      <c r="F19" s="69">
        <v>0.66433566433566427</v>
      </c>
      <c r="G19" s="69">
        <v>0.20279720279720281</v>
      </c>
      <c r="H19" s="92">
        <v>0.107031857031857</v>
      </c>
      <c r="I19" s="93">
        <v>0.43785759694850601</v>
      </c>
      <c r="J19" s="2">
        <f t="shared" si="0"/>
        <v>0.82586154259115363</v>
      </c>
      <c r="K19">
        <f t="shared" si="1"/>
        <v>2.2346287595631029</v>
      </c>
      <c r="L19">
        <f t="shared" si="2"/>
        <v>0.107031857031857</v>
      </c>
      <c r="M19">
        <f t="shared" si="3"/>
        <v>0.43785759694850601</v>
      </c>
      <c r="N19">
        <f t="shared" si="4"/>
        <v>22</v>
      </c>
      <c r="O19">
        <f t="shared" si="5"/>
        <v>3</v>
      </c>
      <c r="P19" s="2">
        <f>INDEX(SOG!$F$2:$F$25,MATCH(R19,SOG!$G$2:$G$25,0))*J19</f>
        <v>2.4394679411923308</v>
      </c>
      <c r="Q19" s="2">
        <f>INDEX(SOG!$F$2:$F$25,MATCH(S19,SOG!$G$2:$G$25,0))*K19</f>
        <v>5.4917055836432862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>
      <c r="A20" s="70">
        <v>18</v>
      </c>
      <c r="B20" s="69" t="s">
        <v>884</v>
      </c>
      <c r="C20" s="69" t="s">
        <v>885</v>
      </c>
      <c r="D20" s="69" t="s">
        <v>886</v>
      </c>
      <c r="E20" s="69">
        <v>0.68039391226499568</v>
      </c>
      <c r="F20" s="69">
        <v>0.11906893464637421</v>
      </c>
      <c r="G20" s="69">
        <v>0.20053715308863029</v>
      </c>
      <c r="H20" s="92">
        <v>0.52919526509499659</v>
      </c>
      <c r="I20" s="93">
        <v>0.1731911776674534</v>
      </c>
      <c r="J20" s="2">
        <f t="shared" si="0"/>
        <v>1.7533592214060363</v>
      </c>
      <c r="K20">
        <f t="shared" si="1"/>
        <v>0.63639779406972985</v>
      </c>
      <c r="L20">
        <f t="shared" si="2"/>
        <v>0.52919526509499659</v>
      </c>
      <c r="M20">
        <f t="shared" si="3"/>
        <v>0.1731911776674534</v>
      </c>
      <c r="N20">
        <f t="shared" si="4"/>
        <v>14</v>
      </c>
      <c r="O20">
        <f t="shared" si="5"/>
        <v>1</v>
      </c>
      <c r="P20" s="2">
        <f>INDEX(SOG!$F$2:$F$25,MATCH(R20,SOG!$G$2:$G$25,0))*J20</f>
        <v>4.835748720224867</v>
      </c>
      <c r="Q20" s="2">
        <f>INDEX(SOG!$F$2:$F$25,MATCH(S20,SOG!$G$2:$G$25,0))*K20</f>
        <v>2.0682928307266222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16</v>
      </c>
    </row>
    <row r="21" spans="1:19">
      <c r="A21" s="70">
        <v>19</v>
      </c>
      <c r="B21" s="69" t="s">
        <v>887</v>
      </c>
      <c r="C21" s="69" t="s">
        <v>885</v>
      </c>
      <c r="D21" s="69" t="s">
        <v>888</v>
      </c>
      <c r="E21" s="69">
        <v>0.64725305533346478</v>
      </c>
      <c r="F21" s="69">
        <v>0.14078935072216969</v>
      </c>
      <c r="G21" s="69">
        <v>0.21195759394436539</v>
      </c>
      <c r="H21" s="92">
        <v>0.459241453546125</v>
      </c>
      <c r="I21" s="93">
        <v>0.1483703157610558</v>
      </c>
      <c r="J21" s="2">
        <f t="shared" si="0"/>
        <v>1.9080439968215523</v>
      </c>
      <c r="K21">
        <f t="shared" si="1"/>
        <v>0.77817916464933856</v>
      </c>
      <c r="L21">
        <f t="shared" si="2"/>
        <v>0.459241453546125</v>
      </c>
      <c r="M21">
        <f t="shared" si="3"/>
        <v>0.1483703157610558</v>
      </c>
      <c r="N21">
        <f t="shared" si="4"/>
        <v>19</v>
      </c>
      <c r="O21">
        <f t="shared" si="5"/>
        <v>2</v>
      </c>
      <c r="P21" s="2">
        <f>INDEX(SOG!$F$2:$F$25,MATCH(R21,SOG!$G$2:$G$25,0))*J21</f>
        <v>5.26236791817451</v>
      </c>
      <c r="Q21" s="2">
        <f>INDEX(SOG!$F$2:$F$25,MATCH(S21,SOG!$G$2:$G$25,0))*K21</f>
        <v>2.3345374939480159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11</v>
      </c>
    </row>
    <row r="22" spans="1:19">
      <c r="A22" s="70">
        <v>20</v>
      </c>
      <c r="B22" s="69" t="s">
        <v>889</v>
      </c>
      <c r="C22" s="69" t="s">
        <v>886</v>
      </c>
      <c r="D22" s="69" t="s">
        <v>888</v>
      </c>
      <c r="E22" s="69">
        <v>0.37488789237668158</v>
      </c>
      <c r="F22" s="69">
        <v>0.3354260089686098</v>
      </c>
      <c r="G22" s="69">
        <v>0.28968609865470851</v>
      </c>
      <c r="H22" s="92">
        <v>0.29414280786478092</v>
      </c>
      <c r="I22" s="93">
        <v>0.28116591928251122</v>
      </c>
      <c r="J22" s="2">
        <f t="shared" si="0"/>
        <v>1.2688103238212438</v>
      </c>
      <c r="K22">
        <f t="shared" si="1"/>
        <v>1.2236898885407743</v>
      </c>
      <c r="L22">
        <f t="shared" si="2"/>
        <v>0.29414280786478092</v>
      </c>
      <c r="M22">
        <f t="shared" si="3"/>
        <v>0.28116591928251122</v>
      </c>
      <c r="N22">
        <f t="shared" si="4"/>
        <v>23</v>
      </c>
      <c r="O22">
        <f t="shared" si="5"/>
        <v>3</v>
      </c>
      <c r="P22" s="2">
        <f>INDEX(SOG!$F$2:$F$25,MATCH(R22,SOG!$G$2:$G$25,0))*J22</f>
        <v>4.1236335524190419</v>
      </c>
      <c r="Q22" s="2">
        <f>INDEX(SOG!$F$2:$F$25,MATCH(S22,SOG!$G$2:$G$25,0))*K22</f>
        <v>3.6710696656223227</v>
      </c>
      <c r="R22">
        <f>INDEX('Team forecast'!$AU$3:$AU$26,MATCH(Games!C22,'Team forecast'!$B$3:$B$26,0))</f>
        <v>16</v>
      </c>
      <c r="S22">
        <f>INDEX('Team forecast'!$AU$3:$AU$26,MATCH(Games!D22,'Team forecast'!$B$3:$B$26,0))</f>
        <v>11</v>
      </c>
    </row>
    <row r="23" spans="1:19">
      <c r="A23" s="70">
        <v>21</v>
      </c>
      <c r="B23" s="69" t="s">
        <v>890</v>
      </c>
      <c r="C23" s="69" t="s">
        <v>891</v>
      </c>
      <c r="D23" s="69" t="s">
        <v>892</v>
      </c>
      <c r="E23" s="69">
        <v>0.36933223413025562</v>
      </c>
      <c r="F23" s="69">
        <v>0.33635614179719708</v>
      </c>
      <c r="G23" s="69">
        <v>0.29431162407254741</v>
      </c>
      <c r="H23" s="92">
        <v>0.28978375293296982</v>
      </c>
      <c r="I23" s="93">
        <v>0.28978375293296982</v>
      </c>
      <c r="J23" s="2">
        <f t="shared" si="0"/>
        <v>1.2386203137003762</v>
      </c>
      <c r="K23">
        <f t="shared" si="1"/>
        <v>1.2386203137003762</v>
      </c>
      <c r="L23">
        <f t="shared" si="2"/>
        <v>0.28978375293296982</v>
      </c>
      <c r="M23">
        <f t="shared" si="3"/>
        <v>0.28978375293296982</v>
      </c>
      <c r="N23">
        <f t="shared" si="4"/>
        <v>15</v>
      </c>
      <c r="O23">
        <f t="shared" si="5"/>
        <v>1</v>
      </c>
      <c r="P23" s="2">
        <f>INDEX(SOG!$F$2:$F$25,MATCH(R23,SOG!$G$2:$G$25,0))*J23</f>
        <v>3.2404985504377408</v>
      </c>
      <c r="Q23" s="2">
        <f>INDEX(SOG!$F$2:$F$25,MATCH(S23,SOG!$G$2:$G$25,0))*K23</f>
        <v>3.2490442399577706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>
      <c r="A24" s="70">
        <v>22</v>
      </c>
      <c r="B24" s="69" t="s">
        <v>887</v>
      </c>
      <c r="C24" s="69" t="s">
        <v>893</v>
      </c>
      <c r="D24" s="69" t="s">
        <v>892</v>
      </c>
      <c r="E24" s="69">
        <v>0.28901154039136978</v>
      </c>
      <c r="F24" s="69">
        <v>0.41746111389864532</v>
      </c>
      <c r="G24" s="69">
        <v>0.2935273457099849</v>
      </c>
      <c r="H24" s="92">
        <v>0.25047666833918708</v>
      </c>
      <c r="I24" s="93">
        <v>0.31309583542398389</v>
      </c>
      <c r="J24" s="2">
        <f t="shared" si="0"/>
        <v>1.1612459518433673</v>
      </c>
      <c r="K24">
        <f t="shared" si="1"/>
        <v>1.384389503157577</v>
      </c>
      <c r="L24">
        <f t="shared" si="2"/>
        <v>0.25047666833918708</v>
      </c>
      <c r="M24">
        <f t="shared" si="3"/>
        <v>0.31309583542398389</v>
      </c>
      <c r="N24">
        <f t="shared" si="4"/>
        <v>19</v>
      </c>
      <c r="O24">
        <f t="shared" si="5"/>
        <v>2</v>
      </c>
      <c r="P24" s="2">
        <f>INDEX(SOG!$F$2:$F$25,MATCH(R24,SOG!$G$2:$G$25,0))*J24</f>
        <v>2.9590785399382193</v>
      </c>
      <c r="Q24" s="2">
        <f>INDEX(SOG!$F$2:$F$25,MATCH(S24,SOG!$G$2:$G$25,0))*K24</f>
        <v>3.6314136715992724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>
      <c r="A25" s="70">
        <v>23</v>
      </c>
      <c r="B25" s="69" t="s">
        <v>889</v>
      </c>
      <c r="C25" s="69" t="s">
        <v>893</v>
      </c>
      <c r="D25" s="69" t="s">
        <v>891</v>
      </c>
      <c r="E25" s="69">
        <v>0.29006029955261631</v>
      </c>
      <c r="F25" s="69">
        <v>0.4108150165337483</v>
      </c>
      <c r="G25" s="69">
        <v>0.2991246839136355</v>
      </c>
      <c r="H25" s="92">
        <v>0.27348542529246672</v>
      </c>
      <c r="I25" s="93">
        <v>0.36395398803179979</v>
      </c>
      <c r="J25" s="2">
        <f t="shared" si="0"/>
        <v>1.0107278258414167</v>
      </c>
      <c r="K25">
        <f t="shared" si="1"/>
        <v>1.2965069481471114</v>
      </c>
      <c r="L25">
        <f t="shared" si="2"/>
        <v>0.27348542529246672</v>
      </c>
      <c r="M25">
        <f t="shared" si="3"/>
        <v>0.36395398803179979</v>
      </c>
      <c r="N25">
        <f t="shared" si="4"/>
        <v>23</v>
      </c>
      <c r="O25">
        <f t="shared" si="5"/>
        <v>3</v>
      </c>
      <c r="P25" s="2">
        <f>INDEX(SOG!$F$2:$F$25,MATCH(R25,SOG!$G$2:$G$25,0))*J25</f>
        <v>2.5755293393428875</v>
      </c>
      <c r="Q25" s="2">
        <f>INDEX(SOG!$F$2:$F$25,MATCH(S25,SOG!$G$2:$G$25,0))*K25</f>
        <v>3.3919425021794698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>
      <c r="A26" s="70">
        <v>24</v>
      </c>
      <c r="B26" s="69" t="s">
        <v>875</v>
      </c>
      <c r="C26" s="69" t="s">
        <v>878</v>
      </c>
      <c r="D26" s="69" t="s">
        <v>894</v>
      </c>
      <c r="E26" s="69">
        <v>0.60453400503778332</v>
      </c>
      <c r="F26" s="69">
        <v>0.15818639798488671</v>
      </c>
      <c r="G26" s="69">
        <v>0.23727959697733</v>
      </c>
      <c r="H26" s="92">
        <v>0.51864392781930047</v>
      </c>
      <c r="I26" s="93">
        <v>0.2109151973131822</v>
      </c>
      <c r="J26" s="2">
        <f t="shared" si="0"/>
        <v>1.5562991347612565</v>
      </c>
      <c r="K26">
        <f t="shared" si="1"/>
        <v>0.65653770483831209</v>
      </c>
      <c r="L26">
        <f t="shared" si="2"/>
        <v>0.51864392781930047</v>
      </c>
      <c r="M26">
        <f t="shared" si="3"/>
        <v>0.2109151973131822</v>
      </c>
      <c r="N26">
        <f t="shared" si="4"/>
        <v>13</v>
      </c>
      <c r="O26">
        <f t="shared" si="5"/>
        <v>1</v>
      </c>
      <c r="P26" s="2">
        <f>INDEX(SOG!$F$2:$F$25,MATCH(R26,SOG!$G$2:$G$25,0))*J26</f>
        <v>4.6996138345751106</v>
      </c>
      <c r="Q26" s="2">
        <f>INDEX(SOG!$F$2:$F$25,MATCH(S26,SOG!$G$2:$G$25,0))*K26</f>
        <v>2.1553005461863779</v>
      </c>
      <c r="R26">
        <f>INDEX('Team forecast'!$AU$3:$AU$26,MATCH(Games!C26,'Team forecast'!$B$3:$B$26,0))</f>
        <v>12</v>
      </c>
      <c r="S26">
        <f>INDEX('Team forecast'!$AU$3:$AU$26,MATCH(Games!D26,'Team forecast'!$B$3:$B$26,0))</f>
        <v>24</v>
      </c>
    </row>
    <row r="27" spans="1:19">
      <c r="A27" s="70">
        <v>25</v>
      </c>
      <c r="B27" s="69" t="s">
        <v>873</v>
      </c>
      <c r="C27" s="69" t="s">
        <v>877</v>
      </c>
      <c r="D27" s="69" t="s">
        <v>894</v>
      </c>
      <c r="E27" s="69">
        <v>0.58441558441558439</v>
      </c>
      <c r="F27" s="69">
        <v>0.15584415584415581</v>
      </c>
      <c r="G27" s="69">
        <v>0.25974025974025972</v>
      </c>
      <c r="H27" s="92">
        <v>0.46753246753246752</v>
      </c>
      <c r="I27" s="93">
        <v>0.20779220779220781</v>
      </c>
      <c r="J27" s="2">
        <f t="shared" si="0"/>
        <v>1.5712166996139025</v>
      </c>
      <c r="K27">
        <f t="shared" si="1"/>
        <v>0.76028648339757388</v>
      </c>
      <c r="L27">
        <f t="shared" si="2"/>
        <v>0.46753246753246752</v>
      </c>
      <c r="M27">
        <f t="shared" si="3"/>
        <v>0.20779220779220781</v>
      </c>
      <c r="N27">
        <f t="shared" si="4"/>
        <v>17</v>
      </c>
      <c r="O27">
        <f t="shared" si="5"/>
        <v>2</v>
      </c>
      <c r="P27" s="2">
        <f>INDEX(SOG!$F$2:$F$25,MATCH(R27,SOG!$G$2:$G$25,0))*J27</f>
        <v>4.2465316205781152</v>
      </c>
      <c r="Q27" s="2">
        <f>INDEX(SOG!$F$2:$F$25,MATCH(S27,SOG!$G$2:$G$25,0))*K27</f>
        <v>2.4958899707496114</v>
      </c>
      <c r="R27">
        <f>INDEX('Team forecast'!$AU$3:$AU$26,MATCH(Games!C27,'Team forecast'!$B$3:$B$26,0))</f>
        <v>13</v>
      </c>
      <c r="S27">
        <f>INDEX('Team forecast'!$AU$3:$AU$26,MATCH(Games!D27,'Team forecast'!$B$3:$B$26,0))</f>
        <v>24</v>
      </c>
    </row>
    <row r="28" spans="1:19">
      <c r="A28" s="70">
        <v>26</v>
      </c>
      <c r="B28" s="69" t="s">
        <v>874</v>
      </c>
      <c r="C28" s="69" t="s">
        <v>894</v>
      </c>
      <c r="D28" s="69" t="s">
        <v>876</v>
      </c>
      <c r="E28" s="69">
        <v>6.2423699845365013E-2</v>
      </c>
      <c r="F28" s="69">
        <v>0.79352160820379258</v>
      </c>
      <c r="G28" s="69">
        <v>0.14405469195084231</v>
      </c>
      <c r="H28" s="92">
        <v>9.3635549768047527E-2</v>
      </c>
      <c r="I28" s="93">
        <v>0.61199705730750009</v>
      </c>
      <c r="J28" s="2">
        <f t="shared" si="0"/>
        <v>0.49102780480244929</v>
      </c>
      <c r="K28">
        <f t="shared" si="1"/>
        <v>2.3683451623921505</v>
      </c>
      <c r="L28">
        <f t="shared" si="2"/>
        <v>9.3635549768047527E-2</v>
      </c>
      <c r="M28">
        <f t="shared" si="3"/>
        <v>0.61199705730750009</v>
      </c>
      <c r="N28">
        <f t="shared" si="4"/>
        <v>21</v>
      </c>
      <c r="O28">
        <f t="shared" si="5"/>
        <v>3</v>
      </c>
      <c r="P28" s="2">
        <f>INDEX(SOG!$F$2:$F$25,MATCH(R28,SOG!$G$2:$G$25,0))*J28</f>
        <v>1.6119599652605658</v>
      </c>
      <c r="Q28" s="2">
        <f>INDEX(SOG!$F$2:$F$25,MATCH(S28,SOG!$G$2:$G$25,0))*K28</f>
        <v>6.7287563492262965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>
      <c r="A29" s="70">
        <v>27</v>
      </c>
      <c r="B29" s="69" t="s">
        <v>884</v>
      </c>
      <c r="C29" s="69" t="s">
        <v>895</v>
      </c>
      <c r="D29" s="69" t="s">
        <v>882</v>
      </c>
      <c r="E29" s="69">
        <v>0.32580418714126441</v>
      </c>
      <c r="F29" s="69">
        <v>0.35925176528884672</v>
      </c>
      <c r="G29" s="69">
        <v>0.31494404756988892</v>
      </c>
      <c r="H29" s="92">
        <v>0.34357532462169699</v>
      </c>
      <c r="I29" s="93">
        <v>0.35925176528884672</v>
      </c>
      <c r="J29" s="2">
        <f t="shared" si="0"/>
        <v>1.0237318402178264</v>
      </c>
      <c r="K29">
        <f t="shared" si="1"/>
        <v>1.0683489057066333</v>
      </c>
      <c r="L29">
        <f t="shared" si="2"/>
        <v>0.34357532462169699</v>
      </c>
      <c r="M29">
        <f t="shared" si="3"/>
        <v>0.35925176528884672</v>
      </c>
      <c r="N29">
        <f t="shared" si="4"/>
        <v>14</v>
      </c>
      <c r="O29">
        <f t="shared" si="5"/>
        <v>1</v>
      </c>
      <c r="P29" s="2">
        <f>INDEX(SOG!$F$2:$F$25,MATCH(R29,SOG!$G$2:$G$25,0))*J29</f>
        <v>3.360735839098925</v>
      </c>
      <c r="Q29" s="2">
        <f>INDEX(SOG!$F$2:$F$25,MATCH(S29,SOG!$G$2:$G$25,0))*K29</f>
        <v>3.1557383060872861</v>
      </c>
      <c r="R29">
        <f>INDEX('Team forecast'!$AU$3:$AU$26,MATCH(Games!C29,'Team forecast'!$B$3:$B$26,0))</f>
        <v>20</v>
      </c>
      <c r="S29">
        <f>INDEX('Team forecast'!$AU$3:$AU$26,MATCH(Games!D29,'Team forecast'!$B$3:$B$26,0))</f>
        <v>18</v>
      </c>
    </row>
    <row r="30" spans="1:19">
      <c r="A30" s="70">
        <v>28</v>
      </c>
      <c r="B30" s="69" t="s">
        <v>881</v>
      </c>
      <c r="C30" s="69" t="s">
        <v>879</v>
      </c>
      <c r="D30" s="69" t="s">
        <v>895</v>
      </c>
      <c r="E30" s="69">
        <v>0.69185952419485341</v>
      </c>
      <c r="F30" s="69">
        <v>9.90451529373685E-2</v>
      </c>
      <c r="G30" s="69">
        <v>0.20909532286777799</v>
      </c>
      <c r="H30" s="92">
        <v>0.51416882672404407</v>
      </c>
      <c r="I30" s="93">
        <v>0.1344184218435715</v>
      </c>
      <c r="J30" s="2">
        <f t="shared" si="0"/>
        <v>2.0067977929974719</v>
      </c>
      <c r="K30">
        <f t="shared" si="1"/>
        <v>0.66520361079548807</v>
      </c>
      <c r="L30">
        <f t="shared" si="2"/>
        <v>0.51416882672404407</v>
      </c>
      <c r="M30">
        <f t="shared" si="3"/>
        <v>0.1344184218435715</v>
      </c>
      <c r="N30">
        <f t="shared" si="4"/>
        <v>18</v>
      </c>
      <c r="O30">
        <f t="shared" si="5"/>
        <v>2</v>
      </c>
      <c r="P30" s="2">
        <f>INDEX(SOG!$F$2:$F$25,MATCH(R30,SOG!$G$2:$G$25,0))*J30</f>
        <v>4.9318002365645421</v>
      </c>
      <c r="Q30" s="2">
        <f>INDEX(SOG!$F$2:$F$25,MATCH(S30,SOG!$G$2:$G$25,0))*K30</f>
        <v>2.1837492273589256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20</v>
      </c>
    </row>
    <row r="31" spans="1:19">
      <c r="A31" s="70">
        <v>29</v>
      </c>
      <c r="B31" s="69" t="s">
        <v>883</v>
      </c>
      <c r="C31" s="69" t="s">
        <v>880</v>
      </c>
      <c r="D31" s="69" t="s">
        <v>895</v>
      </c>
      <c r="E31" s="69">
        <v>0.51740154075307909</v>
      </c>
      <c r="F31" s="69">
        <v>0.21150920127488509</v>
      </c>
      <c r="G31" s="69">
        <v>0.27108925797203581</v>
      </c>
      <c r="H31" s="92">
        <v>0.43743948445487602</v>
      </c>
      <c r="I31" s="93">
        <v>0.22225562720571071</v>
      </c>
      <c r="J31" s="2">
        <f t="shared" si="0"/>
        <v>1.5039270856478595</v>
      </c>
      <c r="K31">
        <f t="shared" si="1"/>
        <v>0.82681690399773144</v>
      </c>
      <c r="L31">
        <f t="shared" si="2"/>
        <v>0.43743948445487602</v>
      </c>
      <c r="M31">
        <f t="shared" si="3"/>
        <v>0.22225562720571071</v>
      </c>
      <c r="N31">
        <f t="shared" si="4"/>
        <v>22</v>
      </c>
      <c r="O31">
        <f t="shared" si="5"/>
        <v>3</v>
      </c>
      <c r="P31" s="2">
        <f>INDEX(SOG!$F$2:$F$25,MATCH(R31,SOG!$G$2:$G$25,0))*J31</f>
        <v>4.2656840974739287</v>
      </c>
      <c r="Q31" s="2">
        <f>INDEX(SOG!$F$2:$F$25,MATCH(S31,SOG!$G$2:$G$25,0))*K31</f>
        <v>2.71429791716427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20</v>
      </c>
    </row>
    <row r="32" spans="1:19">
      <c r="A32" s="70">
        <v>30</v>
      </c>
      <c r="B32" s="69" t="s">
        <v>884</v>
      </c>
      <c r="C32" s="69" t="s">
        <v>888</v>
      </c>
      <c r="D32" s="69" t="s">
        <v>896</v>
      </c>
      <c r="E32" s="69">
        <v>0.54773082942097018</v>
      </c>
      <c r="F32" s="69">
        <v>0.18622848200312991</v>
      </c>
      <c r="G32" s="69">
        <v>0.2660406885758998</v>
      </c>
      <c r="H32" s="92">
        <v>0.44340114762649968</v>
      </c>
      <c r="I32" s="93">
        <v>0.21504443649322161</v>
      </c>
      <c r="J32" s="2">
        <f t="shared" si="0"/>
        <v>1.5369105908463034</v>
      </c>
      <c r="K32">
        <f t="shared" si="1"/>
        <v>0.81328039356128246</v>
      </c>
      <c r="L32">
        <f t="shared" si="2"/>
        <v>0.44340114762649968</v>
      </c>
      <c r="M32">
        <f t="shared" si="3"/>
        <v>0.21504443649322161</v>
      </c>
      <c r="N32">
        <f t="shared" si="4"/>
        <v>14</v>
      </c>
      <c r="O32">
        <f t="shared" si="5"/>
        <v>1</v>
      </c>
      <c r="P32" s="2">
        <f>INDEX(SOG!$F$2:$F$25,MATCH(R32,SOG!$G$2:$G$25,0))*J32</f>
        <v>4.6107317725389105</v>
      </c>
      <c r="Q32" s="2">
        <f>INDEX(SOG!$F$2:$F$25,MATCH(S32,SOG!$G$2:$G$25,0))*K32</f>
        <v>2.6698598778526952</v>
      </c>
      <c r="R32">
        <f>INDEX('Team forecast'!$AU$3:$AU$26,MATCH(Games!C32,'Team forecast'!$B$3:$B$26,0))</f>
        <v>11</v>
      </c>
      <c r="S32">
        <f>INDEX('Team forecast'!$AU$3:$AU$26,MATCH(Games!D32,'Team forecast'!$B$3:$B$26,0))</f>
        <v>22</v>
      </c>
    </row>
    <row r="33" spans="1:19">
      <c r="A33" s="70">
        <v>31</v>
      </c>
      <c r="B33" s="69" t="s">
        <v>881</v>
      </c>
      <c r="C33" s="69" t="s">
        <v>886</v>
      </c>
      <c r="D33" s="69" t="s">
        <v>896</v>
      </c>
      <c r="E33" s="69">
        <v>0.5072616073735895</v>
      </c>
      <c r="F33" s="69">
        <v>0.21672840037901631</v>
      </c>
      <c r="G33" s="69">
        <v>0.27600999224739431</v>
      </c>
      <c r="H33" s="92">
        <v>0.4468733207814955</v>
      </c>
      <c r="I33" s="93">
        <v>0.25024905963763749</v>
      </c>
      <c r="J33" s="2">
        <f t="shared" si="0"/>
        <v>1.3852986184856255</v>
      </c>
      <c r="K33">
        <f t="shared" si="1"/>
        <v>0.80548012323268336</v>
      </c>
      <c r="L33">
        <f t="shared" si="2"/>
        <v>0.4468733207814955</v>
      </c>
      <c r="M33">
        <f t="shared" si="3"/>
        <v>0.25024905963763749</v>
      </c>
      <c r="N33">
        <f t="shared" si="4"/>
        <v>18</v>
      </c>
      <c r="O33">
        <f t="shared" si="5"/>
        <v>2</v>
      </c>
      <c r="P33" s="2">
        <f>INDEX(SOG!$F$2:$F$25,MATCH(R33,SOG!$G$2:$G$25,0))*J33</f>
        <v>4.5022205100782831</v>
      </c>
      <c r="Q33" s="2">
        <f>INDEX(SOG!$F$2:$F$25,MATCH(S33,SOG!$G$2:$G$25,0))*K33</f>
        <v>2.6442529298042636</v>
      </c>
      <c r="R33">
        <f>INDEX('Team forecast'!$AU$3:$AU$26,MATCH(Games!C33,'Team forecast'!$B$3:$B$26,0))</f>
        <v>16</v>
      </c>
      <c r="S33">
        <f>INDEX('Team forecast'!$AU$3:$AU$26,MATCH(Games!D33,'Team forecast'!$B$3:$B$26,0))</f>
        <v>22</v>
      </c>
    </row>
    <row r="34" spans="1:19">
      <c r="A34" s="70">
        <v>32</v>
      </c>
      <c r="B34" s="69" t="s">
        <v>889</v>
      </c>
      <c r="C34" s="69" t="s">
        <v>896</v>
      </c>
      <c r="D34" s="69" t="s">
        <v>885</v>
      </c>
      <c r="E34" s="69">
        <v>6.8027210884353734E-2</v>
      </c>
      <c r="F34" s="69">
        <v>0.76190476190476186</v>
      </c>
      <c r="G34" s="69">
        <v>0.17006802721088429</v>
      </c>
      <c r="H34" s="92">
        <v>9.5238095238095233E-2</v>
      </c>
      <c r="I34" s="93">
        <v>0.57028799543769604</v>
      </c>
      <c r="J34" s="2">
        <f t="shared" si="0"/>
        <v>0.56161379059809569</v>
      </c>
      <c r="K34">
        <f t="shared" si="1"/>
        <v>2.3513752571634776</v>
      </c>
      <c r="L34">
        <f t="shared" si="2"/>
        <v>9.5238095238095233E-2</v>
      </c>
      <c r="M34">
        <f t="shared" si="3"/>
        <v>0.57028799543769604</v>
      </c>
      <c r="N34">
        <f t="shared" si="4"/>
        <v>23</v>
      </c>
      <c r="O34">
        <f t="shared" si="5"/>
        <v>3</v>
      </c>
      <c r="P34" s="2">
        <f>INDEX(SOG!$F$2:$F$25,MATCH(R34,SOG!$G$2:$G$25,0))*J34</f>
        <v>1.8436816358018293</v>
      </c>
      <c r="Q34" s="2">
        <f>INDEX(SOG!$F$2:$F$25,MATCH(S34,SOG!$G$2:$G$25,0))*K34</f>
        <v>6.4850714855102307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>
      <c r="A35" s="70">
        <v>33</v>
      </c>
      <c r="B35" s="69" t="s">
        <v>890</v>
      </c>
      <c r="C35" s="69" t="s">
        <v>897</v>
      </c>
      <c r="D35" s="69" t="s">
        <v>893</v>
      </c>
      <c r="E35" s="69">
        <v>0.1348314606741573</v>
      </c>
      <c r="F35" s="69">
        <v>0.6292134831460674</v>
      </c>
      <c r="G35" s="69">
        <v>0.2359550561797753</v>
      </c>
      <c r="H35" s="92">
        <v>0.1716036772216547</v>
      </c>
      <c r="I35" s="93">
        <v>0.47191011235955049</v>
      </c>
      <c r="J35" s="2">
        <f t="shared" si="0"/>
        <v>0.75096675144877167</v>
      </c>
      <c r="K35">
        <f t="shared" si="1"/>
        <v>1.7625676631272518</v>
      </c>
      <c r="L35">
        <f t="shared" si="2"/>
        <v>0.1716036772216547</v>
      </c>
      <c r="M35">
        <f t="shared" si="3"/>
        <v>0.47191011235955049</v>
      </c>
      <c r="N35">
        <f t="shared" si="4"/>
        <v>15</v>
      </c>
      <c r="O35">
        <f t="shared" si="5"/>
        <v>1</v>
      </c>
      <c r="P35" s="2">
        <f>INDEX(SOG!$F$2:$F$25,MATCH(R35,SOG!$G$2:$G$25,0))*J35</f>
        <v>2.4652948911197052</v>
      </c>
      <c r="Q35" s="2">
        <f>INDEX(SOG!$F$2:$F$25,MATCH(S35,SOG!$G$2:$G$25,0))*K35</f>
        <v>4.4913621777278765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>
      <c r="A36" s="70">
        <v>34</v>
      </c>
      <c r="B36" s="69" t="s">
        <v>887</v>
      </c>
      <c r="C36" s="69" t="s">
        <v>897</v>
      </c>
      <c r="D36" s="69" t="s">
        <v>891</v>
      </c>
      <c r="E36" s="69">
        <v>0.1106870925922545</v>
      </c>
      <c r="F36" s="69">
        <v>0.67202877645297354</v>
      </c>
      <c r="G36" s="69">
        <v>0.217284130954772</v>
      </c>
      <c r="H36" s="92">
        <v>0.1176050358792704</v>
      </c>
      <c r="I36" s="93">
        <v>0.44801918430198229</v>
      </c>
      <c r="J36" s="2">
        <f t="shared" si="0"/>
        <v>0.80291922538135296</v>
      </c>
      <c r="K36">
        <f t="shared" si="1"/>
        <v>2.140423422331811</v>
      </c>
      <c r="L36">
        <f t="shared" si="2"/>
        <v>0.1176050358792704</v>
      </c>
      <c r="M36">
        <f t="shared" si="3"/>
        <v>0.44801918430198229</v>
      </c>
      <c r="N36">
        <f t="shared" si="4"/>
        <v>19</v>
      </c>
      <c r="O36">
        <f t="shared" si="5"/>
        <v>2</v>
      </c>
      <c r="P36" s="2">
        <f>INDEX(SOG!$F$2:$F$25,MATCH(R36,SOG!$G$2:$G$25,0))*J36</f>
        <v>2.6358459419084821</v>
      </c>
      <c r="Q36" s="2">
        <f>INDEX(SOG!$F$2:$F$25,MATCH(S36,SOG!$G$2:$G$25,0))*K36</f>
        <v>5.5998104670734943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>
      <c r="A37" s="70">
        <v>35</v>
      </c>
      <c r="B37" s="69" t="s">
        <v>889</v>
      </c>
      <c r="C37" s="69" t="s">
        <v>892</v>
      </c>
      <c r="D37" s="69" t="s">
        <v>897</v>
      </c>
      <c r="E37" s="69">
        <v>0.77521228890373051</v>
      </c>
      <c r="F37" s="69">
        <v>7.6901059059250057E-2</v>
      </c>
      <c r="G37" s="69">
        <v>0.14788665203701931</v>
      </c>
      <c r="H37" s="92">
        <v>0.50327918232493496</v>
      </c>
      <c r="I37" s="93">
        <v>8.7387567112784156E-2</v>
      </c>
      <c r="J37" s="2">
        <f t="shared" si="0"/>
        <v>2.4374022591536644</v>
      </c>
      <c r="K37">
        <f t="shared" si="1"/>
        <v>0.68661022841383224</v>
      </c>
      <c r="L37">
        <f t="shared" si="2"/>
        <v>0.50327918232493496</v>
      </c>
      <c r="M37">
        <f t="shared" si="3"/>
        <v>8.7387567112784156E-2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6.3935878355689084</v>
      </c>
      <c r="Q37" s="2">
        <f>INDEX(SOG!$F$2:$F$25,MATCH(S37,SOG!$G$2:$G$25,0))*K37</f>
        <v>2.2540234771161161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38" spans="1:19">
      <c r="A38" s="30"/>
    </row>
    <row r="39" spans="1:19">
      <c r="A39" s="30"/>
    </row>
    <row r="40" spans="1:19">
      <c r="A40" s="30"/>
    </row>
    <row r="41" spans="1:19">
      <c r="A41" s="30"/>
    </row>
    <row r="42" spans="1:19">
      <c r="A42" s="30"/>
    </row>
    <row r="43" spans="1:19">
      <c r="A43" s="30"/>
    </row>
    <row r="44" spans="1:19">
      <c r="A44" s="30"/>
    </row>
    <row r="45" spans="1:19">
      <c r="A45" s="30"/>
    </row>
    <row r="46" spans="1:19">
      <c r="A46" s="30"/>
    </row>
    <row r="47" spans="1:19">
      <c r="A47" s="30"/>
    </row>
    <row r="48" spans="1:19">
      <c r="A48" s="30"/>
    </row>
    <row r="49" spans="1:1">
      <c r="A49" s="30"/>
    </row>
    <row r="50" spans="1:1">
      <c r="A50" s="30"/>
    </row>
    <row r="51" spans="1:1">
      <c r="A51" s="30"/>
    </row>
    <row r="52" spans="1:1">
      <c r="A52" s="30"/>
    </row>
    <row r="53" spans="1:1">
      <c r="A53" s="30"/>
    </row>
    <row r="54" spans="1:1">
      <c r="A54" s="30"/>
    </row>
    <row r="55" spans="1:1">
      <c r="A55" s="30"/>
    </row>
    <row r="56" spans="1:1">
      <c r="A56" s="30"/>
    </row>
    <row r="57" spans="1:1">
      <c r="A57" s="30"/>
    </row>
    <row r="58" spans="1:1">
      <c r="A58" s="30"/>
    </row>
    <row r="59" spans="1:1">
      <c r="A59" s="30"/>
    </row>
    <row r="60" spans="1:1">
      <c r="A60" s="30"/>
    </row>
    <row r="61" spans="1:1">
      <c r="A61" s="30"/>
    </row>
    <row r="62" spans="1:1">
      <c r="A62" s="30"/>
    </row>
    <row r="63" spans="1:1">
      <c r="A63" s="30"/>
    </row>
    <row r="64" spans="1:1">
      <c r="A64" s="30"/>
    </row>
    <row r="65" spans="1:1">
      <c r="A65" s="30"/>
    </row>
    <row r="66" spans="1:1">
      <c r="A66" s="30"/>
    </row>
    <row r="67" spans="1:1">
      <c r="A67" s="30"/>
    </row>
    <row r="68" spans="1:1">
      <c r="A68" s="30"/>
    </row>
    <row r="69" spans="1:1">
      <c r="A69" s="30"/>
    </row>
    <row r="70" spans="1:1">
      <c r="A70" s="30"/>
    </row>
    <row r="71" spans="1:1">
      <c r="A71" s="30"/>
    </row>
    <row r="72" spans="1:1">
      <c r="A72" s="30"/>
    </row>
    <row r="73" spans="1:1">
      <c r="A73" s="30"/>
    </row>
    <row r="74" spans="1:1">
      <c r="A74" s="30"/>
    </row>
    <row r="75" spans="1:1">
      <c r="A75" s="30"/>
    </row>
    <row r="76" spans="1:1">
      <c r="A76" s="30"/>
    </row>
    <row r="77" spans="1:1">
      <c r="A77" s="30"/>
    </row>
    <row r="78" spans="1:1">
      <c r="A78" s="30"/>
    </row>
    <row r="79" spans="1:1">
      <c r="A79" s="30"/>
    </row>
    <row r="80" spans="1:1">
      <c r="A80" s="30"/>
    </row>
    <row r="81" spans="1:1">
      <c r="A81" s="30"/>
    </row>
    <row r="82" spans="1:1">
      <c r="A82" s="30"/>
    </row>
    <row r="83" spans="1:1">
      <c r="A83" s="30"/>
    </row>
    <row r="84" spans="1:1">
      <c r="A84" s="30"/>
    </row>
    <row r="85" spans="1:1">
      <c r="A85" s="30"/>
    </row>
    <row r="86" spans="1:1">
      <c r="A86" s="30"/>
    </row>
    <row r="87" spans="1:1">
      <c r="A87" s="30"/>
    </row>
    <row r="88" spans="1:1">
      <c r="A88" s="30"/>
    </row>
    <row r="89" spans="1:1">
      <c r="A89" s="30"/>
    </row>
    <row r="90" spans="1:1">
      <c r="A90" s="30"/>
    </row>
    <row r="91" spans="1:1">
      <c r="A91" s="30"/>
    </row>
    <row r="92" spans="1:1">
      <c r="A92" s="30"/>
    </row>
    <row r="93" spans="1:1">
      <c r="A93" s="30"/>
    </row>
    <row r="94" spans="1:1">
      <c r="A94" s="30"/>
    </row>
    <row r="95" spans="1:1">
      <c r="A95" s="30"/>
    </row>
    <row r="96" spans="1:1">
      <c r="A96" s="30"/>
    </row>
    <row r="97" spans="1:1">
      <c r="A97" s="30"/>
    </row>
    <row r="98" spans="1:1">
      <c r="A98" s="30"/>
    </row>
    <row r="99" spans="1:1">
      <c r="A99" s="30"/>
    </row>
    <row r="100" spans="1:1">
      <c r="A100" s="30"/>
    </row>
    <row r="101" spans="1:1">
      <c r="A101" s="30"/>
    </row>
    <row r="102" spans="1:1">
      <c r="A102" s="30"/>
    </row>
    <row r="103" spans="1:1">
      <c r="A103" s="30"/>
    </row>
    <row r="104" spans="1:1">
      <c r="A104" s="30"/>
    </row>
    <row r="105" spans="1:1">
      <c r="A105" s="30"/>
    </row>
    <row r="106" spans="1:1">
      <c r="A106" s="30"/>
    </row>
    <row r="107" spans="1:1">
      <c r="A107" s="30"/>
    </row>
    <row r="108" spans="1:1">
      <c r="A108" s="30"/>
    </row>
    <row r="109" spans="1:1">
      <c r="A109" s="30"/>
    </row>
    <row r="110" spans="1:1">
      <c r="A110" s="30"/>
    </row>
    <row r="111" spans="1:1">
      <c r="A111" s="30"/>
    </row>
    <row r="112" spans="1:1">
      <c r="A112" s="30"/>
    </row>
    <row r="113" spans="1:1">
      <c r="A113" s="30"/>
    </row>
    <row r="114" spans="1:1">
      <c r="A114" s="30"/>
    </row>
    <row r="115" spans="1:1">
      <c r="A115" s="30"/>
    </row>
    <row r="116" spans="1:1">
      <c r="A116" s="30"/>
    </row>
    <row r="117" spans="1:1">
      <c r="A117" s="30"/>
    </row>
    <row r="118" spans="1:1">
      <c r="A118" s="30"/>
    </row>
    <row r="119" spans="1:1">
      <c r="A119" s="30"/>
    </row>
    <row r="120" spans="1:1">
      <c r="A120" s="30"/>
    </row>
    <row r="121" spans="1:1">
      <c r="A121" s="30"/>
    </row>
    <row r="122" spans="1:1">
      <c r="A122" s="30"/>
    </row>
    <row r="123" spans="1:1">
      <c r="A123" s="30"/>
    </row>
    <row r="124" spans="1:1">
      <c r="A124" s="30"/>
    </row>
    <row r="125" spans="1:1">
      <c r="A125" s="30"/>
    </row>
    <row r="126" spans="1:1">
      <c r="A126" s="30"/>
    </row>
    <row r="127" spans="1:1">
      <c r="A127" s="30"/>
    </row>
    <row r="128" spans="1:1">
      <c r="A128" s="30"/>
    </row>
    <row r="129" spans="1:1">
      <c r="A129" s="30"/>
    </row>
    <row r="130" spans="1:1">
      <c r="A130" s="30"/>
    </row>
    <row r="131" spans="1:1">
      <c r="A131" s="30"/>
    </row>
    <row r="132" spans="1:1">
      <c r="A132" s="30"/>
    </row>
    <row r="133" spans="1:1">
      <c r="A133" s="30"/>
    </row>
    <row r="134" spans="1:1">
      <c r="A134" s="30"/>
    </row>
    <row r="135" spans="1:1">
      <c r="A135" s="30"/>
    </row>
    <row r="136" spans="1:1">
      <c r="A136" s="30"/>
    </row>
    <row r="137" spans="1:1">
      <c r="A137" s="30"/>
    </row>
    <row r="138" spans="1:1">
      <c r="A138" s="30"/>
    </row>
    <row r="139" spans="1:1">
      <c r="A139" s="30"/>
    </row>
    <row r="140" spans="1:1">
      <c r="A140" s="30"/>
    </row>
    <row r="141" spans="1:1">
      <c r="A141" s="30"/>
    </row>
    <row r="142" spans="1:1">
      <c r="A142" s="30"/>
    </row>
    <row r="143" spans="1:1">
      <c r="A143" s="30"/>
    </row>
    <row r="144" spans="1:1">
      <c r="A144" s="30"/>
    </row>
    <row r="145" spans="1:1">
      <c r="A145" s="30"/>
    </row>
    <row r="146" spans="1:1">
      <c r="A146" s="30"/>
    </row>
    <row r="147" spans="1:1">
      <c r="A147" s="30"/>
    </row>
    <row r="148" spans="1:1">
      <c r="A148" s="30"/>
    </row>
    <row r="149" spans="1:1">
      <c r="A149" s="30"/>
    </row>
    <row r="150" spans="1:1">
      <c r="A150" s="30"/>
    </row>
    <row r="151" spans="1:1">
      <c r="A151" s="30"/>
    </row>
    <row r="152" spans="1:1">
      <c r="A152" s="30"/>
    </row>
    <row r="153" spans="1:1">
      <c r="A153" s="30"/>
    </row>
    <row r="154" spans="1:1">
      <c r="A154" s="30"/>
    </row>
    <row r="155" spans="1:1">
      <c r="A155" s="30"/>
    </row>
    <row r="156" spans="1:1">
      <c r="A156" s="30"/>
    </row>
    <row r="157" spans="1:1">
      <c r="A157" s="30"/>
    </row>
    <row r="158" spans="1:1">
      <c r="A158" s="30"/>
    </row>
    <row r="159" spans="1:1">
      <c r="A159" s="30"/>
    </row>
    <row r="160" spans="1:1">
      <c r="A160" s="30"/>
    </row>
    <row r="161" spans="1:12">
      <c r="A161" s="30"/>
    </row>
    <row r="162" spans="1:12">
      <c r="A162" s="30"/>
    </row>
    <row r="163" spans="1:12">
      <c r="A163" s="30"/>
    </row>
    <row r="164" spans="1:12">
      <c r="A164" s="30"/>
    </row>
    <row r="165" spans="1:12">
      <c r="A165" s="30"/>
    </row>
    <row r="166" spans="1:12">
      <c r="A166" s="30"/>
    </row>
    <row r="167" spans="1:12">
      <c r="A167" s="30"/>
    </row>
    <row r="168" spans="1:12">
      <c r="A168" s="30"/>
      <c r="L168" s="30"/>
    </row>
    <row r="169" spans="1:12">
      <c r="A169" s="30"/>
      <c r="L169" s="30"/>
    </row>
    <row r="170" spans="1:12">
      <c r="A170" s="30"/>
      <c r="L170" s="30"/>
    </row>
    <row r="171" spans="1:12">
      <c r="A171" s="30"/>
      <c r="L171" s="30"/>
    </row>
    <row r="172" spans="1:12">
      <c r="A172" s="30"/>
      <c r="L172" s="30"/>
    </row>
    <row r="173" spans="1:12">
      <c r="A173" s="30"/>
      <c r="L173" s="30"/>
    </row>
    <row r="174" spans="1:12">
      <c r="A174" s="30"/>
      <c r="L174" s="30"/>
    </row>
    <row r="175" spans="1:12">
      <c r="A175" s="30"/>
      <c r="L175" s="30"/>
    </row>
    <row r="176" spans="1:12">
      <c r="A176" s="30"/>
      <c r="L176" s="30"/>
    </row>
    <row r="177" spans="1:12">
      <c r="A177" s="30"/>
      <c r="L177" s="30"/>
    </row>
    <row r="178" spans="1:12">
      <c r="A178" s="30"/>
      <c r="L178" s="30"/>
    </row>
    <row r="179" spans="1:12">
      <c r="A179" s="30"/>
      <c r="L179" s="30"/>
    </row>
    <row r="180" spans="1:12">
      <c r="A180" s="30"/>
      <c r="L180" s="30"/>
    </row>
    <row r="181" spans="1:12">
      <c r="A181" s="30"/>
      <c r="L181" s="30"/>
    </row>
    <row r="182" spans="1:12">
      <c r="A182" s="30"/>
      <c r="L182" s="30"/>
    </row>
    <row r="183" spans="1:12">
      <c r="A183" s="30"/>
      <c r="L183" s="30"/>
    </row>
    <row r="184" spans="1:12">
      <c r="A184" s="30"/>
      <c r="L184" s="30"/>
    </row>
    <row r="185" spans="1:12">
      <c r="A185" s="30"/>
      <c r="L185" s="30"/>
    </row>
    <row r="186" spans="1:12">
      <c r="A186" s="30"/>
      <c r="L186" s="30"/>
    </row>
    <row r="187" spans="1:12">
      <c r="A187" s="30"/>
      <c r="L187" s="30"/>
    </row>
    <row r="188" spans="1:12">
      <c r="A188" s="30"/>
      <c r="L188" s="30"/>
    </row>
    <row r="189" spans="1:12">
      <c r="A189" s="30"/>
      <c r="L189" s="30"/>
    </row>
    <row r="190" spans="1:12">
      <c r="A190" s="30"/>
      <c r="L190" s="30"/>
    </row>
    <row r="191" spans="1:12">
      <c r="A191" s="30"/>
      <c r="L191" s="30"/>
    </row>
    <row r="192" spans="1:12">
      <c r="A192" s="30"/>
      <c r="L192" s="30"/>
    </row>
    <row r="193" spans="1:12">
      <c r="A193" s="30"/>
      <c r="L193" s="30"/>
    </row>
    <row r="194" spans="1:12">
      <c r="A194" s="30"/>
      <c r="L194" s="30"/>
    </row>
    <row r="195" spans="1:12">
      <c r="A195" s="30"/>
      <c r="L195" s="30"/>
    </row>
    <row r="196" spans="1:12">
      <c r="A196" s="30"/>
      <c r="L196" s="30"/>
    </row>
    <row r="197" spans="1:12">
      <c r="A197" s="30"/>
      <c r="L197" s="30"/>
    </row>
    <row r="198" spans="1:12">
      <c r="A198" s="30"/>
      <c r="L198" s="30"/>
    </row>
    <row r="199" spans="1:12">
      <c r="A199" s="30"/>
      <c r="L199" s="30"/>
    </row>
    <row r="200" spans="1:12">
      <c r="A200" s="30"/>
      <c r="L200" s="30"/>
    </row>
    <row r="201" spans="1:12">
      <c r="A201" s="30"/>
      <c r="L201" s="30"/>
    </row>
    <row r="202" spans="1:12">
      <c r="A202" s="30"/>
      <c r="L202" s="30"/>
    </row>
    <row r="203" spans="1:12">
      <c r="A203" s="30"/>
      <c r="L203" s="30"/>
    </row>
    <row r="204" spans="1:12">
      <c r="A204" s="30"/>
      <c r="L204" s="30"/>
    </row>
    <row r="205" spans="1:12">
      <c r="A205" s="30"/>
      <c r="L205" s="30"/>
    </row>
    <row r="206" spans="1:12">
      <c r="A206" s="30"/>
      <c r="L206" s="30"/>
    </row>
    <row r="207" spans="1:12">
      <c r="A207" s="30"/>
      <c r="L207" s="30"/>
    </row>
    <row r="208" spans="1:12">
      <c r="A208" s="30"/>
      <c r="L208" s="30"/>
    </row>
    <row r="209" spans="1:12">
      <c r="A209" s="30"/>
      <c r="L209" s="30"/>
    </row>
    <row r="210" spans="1:12">
      <c r="A210" s="30"/>
      <c r="L210" s="30"/>
    </row>
    <row r="211" spans="1:12">
      <c r="A211" s="30"/>
      <c r="L211" s="30"/>
    </row>
    <row r="212" spans="1:12">
      <c r="A212" s="30"/>
      <c r="L212" s="30"/>
    </row>
    <row r="213" spans="1:12">
      <c r="A213" s="30"/>
      <c r="L213" s="30"/>
    </row>
    <row r="214" spans="1:12">
      <c r="A214" s="30"/>
      <c r="L214" s="30"/>
    </row>
    <row r="215" spans="1:12">
      <c r="A215" s="30"/>
      <c r="L215" s="30"/>
    </row>
    <row r="216" spans="1:12">
      <c r="A216" s="30"/>
      <c r="L216" s="30"/>
    </row>
    <row r="217" spans="1:12">
      <c r="A217" s="30"/>
      <c r="L217" s="30"/>
    </row>
    <row r="218" spans="1:12">
      <c r="A218" s="30"/>
      <c r="L218" s="30"/>
    </row>
    <row r="219" spans="1:12">
      <c r="A219" s="30"/>
      <c r="L219" s="30"/>
    </row>
    <row r="220" spans="1:12">
      <c r="A220" s="30"/>
      <c r="L220" s="30"/>
    </row>
    <row r="221" spans="1:12">
      <c r="A221" s="30"/>
      <c r="L221" s="30"/>
    </row>
    <row r="222" spans="1:12">
      <c r="A222" s="30"/>
      <c r="L222" s="30"/>
    </row>
    <row r="223" spans="1:12">
      <c r="A223" s="30"/>
      <c r="L223" s="30"/>
    </row>
    <row r="224" spans="1:12">
      <c r="A224" s="30"/>
      <c r="L224" s="30"/>
    </row>
    <row r="225" spans="1:12">
      <c r="A225" s="30"/>
      <c r="L225" s="30"/>
    </row>
    <row r="226" spans="1:12">
      <c r="A226" s="30"/>
      <c r="L226" s="30"/>
    </row>
    <row r="227" spans="1:12">
      <c r="A227" s="30"/>
      <c r="L227" s="30"/>
    </row>
    <row r="228" spans="1:12">
      <c r="A228" s="30"/>
      <c r="L228" s="30"/>
    </row>
    <row r="229" spans="1:12">
      <c r="A229" s="30"/>
      <c r="L229" s="30"/>
    </row>
    <row r="230" spans="1:12">
      <c r="A230" s="30"/>
      <c r="L230" s="30"/>
    </row>
    <row r="231" spans="1:12">
      <c r="A231" s="30"/>
      <c r="L231" s="30"/>
    </row>
    <row r="232" spans="1:12">
      <c r="A232" s="30"/>
      <c r="L232" s="30"/>
    </row>
    <row r="233" spans="1:12">
      <c r="A233" s="30"/>
      <c r="L233" s="30"/>
    </row>
    <row r="234" spans="1:12">
      <c r="A234" s="30"/>
      <c r="L234" s="30"/>
    </row>
    <row r="235" spans="1:12">
      <c r="A235" s="30"/>
      <c r="L235" s="30"/>
    </row>
    <row r="236" spans="1:12">
      <c r="A236" s="30"/>
      <c r="L236" s="30"/>
    </row>
    <row r="237" spans="1:12">
      <c r="A237" s="30"/>
      <c r="L237" s="30"/>
    </row>
    <row r="238" spans="1:12">
      <c r="A238" s="30"/>
      <c r="L238" s="30"/>
    </row>
    <row r="239" spans="1:12">
      <c r="A239" s="30"/>
      <c r="L239" s="30"/>
    </row>
    <row r="240" spans="1:12">
      <c r="A240" s="30"/>
      <c r="L240" s="30"/>
    </row>
    <row r="241" spans="1:12">
      <c r="A241" s="30"/>
      <c r="L241" s="30"/>
    </row>
    <row r="242" spans="1:12">
      <c r="A242" s="30"/>
      <c r="L242" s="30"/>
    </row>
    <row r="243" spans="1:12">
      <c r="A243" s="30"/>
      <c r="L243" s="30"/>
    </row>
    <row r="244" spans="1:12">
      <c r="A244" s="30"/>
      <c r="L244" s="30"/>
    </row>
    <row r="245" spans="1:12">
      <c r="A245" s="30"/>
      <c r="L245" s="30"/>
    </row>
    <row r="246" spans="1:12">
      <c r="A246" s="30"/>
      <c r="L246" s="30"/>
    </row>
    <row r="247" spans="1:12">
      <c r="A247" s="30"/>
      <c r="L247" s="30"/>
    </row>
    <row r="248" spans="1:12">
      <c r="A248" s="30"/>
      <c r="L248" s="30"/>
    </row>
    <row r="249" spans="1:12">
      <c r="A249" s="30"/>
      <c r="L249" s="30"/>
    </row>
    <row r="250" spans="1:12">
      <c r="A250" s="30"/>
      <c r="L250" s="30"/>
    </row>
    <row r="251" spans="1:12">
      <c r="A251" s="30"/>
      <c r="L251" s="30"/>
    </row>
    <row r="252" spans="1:12">
      <c r="A252" s="30"/>
      <c r="L252" s="30"/>
    </row>
    <row r="253" spans="1:12">
      <c r="A253" s="30"/>
      <c r="L253" s="30"/>
    </row>
    <row r="254" spans="1:12">
      <c r="A254" s="30"/>
      <c r="L254" s="30"/>
    </row>
    <row r="255" spans="1:12">
      <c r="A255" s="30"/>
      <c r="L255" s="30"/>
    </row>
    <row r="256" spans="1:12">
      <c r="A256" s="30"/>
      <c r="L256" s="30"/>
    </row>
    <row r="257" spans="1:12">
      <c r="A257" s="30"/>
      <c r="L257" s="30"/>
    </row>
    <row r="258" spans="1:12">
      <c r="A258" s="30"/>
      <c r="L258" s="30"/>
    </row>
    <row r="259" spans="1:12">
      <c r="A259" s="30"/>
      <c r="L259" s="30"/>
    </row>
    <row r="260" spans="1:12">
      <c r="A260" s="30"/>
      <c r="L260" s="30"/>
    </row>
    <row r="261" spans="1:12">
      <c r="A261" s="30"/>
      <c r="L261" s="30"/>
    </row>
    <row r="262" spans="1:12">
      <c r="A262" s="30"/>
      <c r="L262" s="30"/>
    </row>
    <row r="263" spans="1:12">
      <c r="A263" s="30"/>
      <c r="L263" s="30"/>
    </row>
    <row r="264" spans="1:12">
      <c r="A264" s="30"/>
      <c r="L264" s="30"/>
    </row>
    <row r="265" spans="1:12">
      <c r="A265" s="30"/>
      <c r="L265" s="30"/>
    </row>
    <row r="266" spans="1:12">
      <c r="A266" s="30"/>
      <c r="L266" s="30"/>
    </row>
    <row r="267" spans="1:12">
      <c r="A267" s="30"/>
      <c r="L267" s="30"/>
    </row>
    <row r="268" spans="1:12">
      <c r="A268" s="30"/>
      <c r="L268" s="30"/>
    </row>
    <row r="269" spans="1:12">
      <c r="A269" s="30"/>
      <c r="L269" s="30"/>
    </row>
    <row r="270" spans="1:12">
      <c r="A270" s="30"/>
      <c r="L270" s="30"/>
    </row>
    <row r="271" spans="1:12">
      <c r="A271" s="30"/>
      <c r="L271" s="30"/>
    </row>
    <row r="272" spans="1:12">
      <c r="A272" s="30"/>
      <c r="L272" s="30"/>
    </row>
    <row r="273" spans="1:12">
      <c r="A273" s="30"/>
      <c r="L273" s="30"/>
    </row>
    <row r="274" spans="1:12">
      <c r="A274" s="30"/>
      <c r="L274" s="30"/>
    </row>
    <row r="275" spans="1:12">
      <c r="A275" s="30"/>
      <c r="L275" s="30"/>
    </row>
    <row r="276" spans="1:12">
      <c r="A276" s="30"/>
      <c r="L276" s="30"/>
    </row>
    <row r="277" spans="1:12">
      <c r="A277" s="30"/>
      <c r="L277" s="30"/>
    </row>
    <row r="278" spans="1:12">
      <c r="A278" s="30"/>
      <c r="L278" s="30"/>
    </row>
    <row r="279" spans="1:12">
      <c r="A279" s="30"/>
      <c r="L279" s="30"/>
    </row>
    <row r="280" spans="1:12">
      <c r="A280" s="30"/>
      <c r="L280" s="30"/>
    </row>
    <row r="281" spans="1:12">
      <c r="A281" s="30"/>
      <c r="L281" s="30"/>
    </row>
    <row r="282" spans="1:12">
      <c r="A282" s="30"/>
      <c r="L282" s="30"/>
    </row>
    <row r="283" spans="1:12">
      <c r="A283" s="30"/>
      <c r="L283" s="30"/>
    </row>
    <row r="284" spans="1:12">
      <c r="A284" s="30"/>
      <c r="L284" s="30"/>
    </row>
    <row r="285" spans="1:12">
      <c r="A285" s="30"/>
      <c r="L285" s="30"/>
    </row>
    <row r="286" spans="1:12">
      <c r="A286" s="30"/>
      <c r="L286" s="30"/>
    </row>
    <row r="287" spans="1:12">
      <c r="A287" s="30"/>
      <c r="L287" s="30"/>
    </row>
    <row r="288" spans="1:12">
      <c r="A288" s="30"/>
      <c r="L288" s="30"/>
    </row>
    <row r="289" spans="1:12">
      <c r="A289" s="30"/>
      <c r="L289" s="30"/>
    </row>
    <row r="290" spans="1:12">
      <c r="A290" s="30"/>
      <c r="L290" s="30"/>
    </row>
    <row r="291" spans="1:12">
      <c r="A291" s="30"/>
      <c r="L291" s="30"/>
    </row>
    <row r="292" spans="1:12">
      <c r="A292" s="30"/>
      <c r="L292" s="30"/>
    </row>
    <row r="293" spans="1:12">
      <c r="A293" s="30"/>
      <c r="L293" s="30"/>
    </row>
    <row r="294" spans="1:12">
      <c r="A294" s="30"/>
      <c r="L294" s="30"/>
    </row>
    <row r="295" spans="1:12">
      <c r="A295" s="30"/>
      <c r="L295" s="30"/>
    </row>
    <row r="296" spans="1:12">
      <c r="A296" s="30"/>
      <c r="L296" s="30"/>
    </row>
    <row r="297" spans="1:12">
      <c r="A297" s="30"/>
      <c r="L297" s="30"/>
    </row>
    <row r="298" spans="1:12">
      <c r="A298" s="30"/>
      <c r="L298" s="30"/>
    </row>
    <row r="299" spans="1:12">
      <c r="A299" s="30"/>
      <c r="L299" s="30"/>
    </row>
    <row r="300" spans="1:12">
      <c r="A300" s="30"/>
      <c r="L300" s="30"/>
    </row>
    <row r="301" spans="1:12">
      <c r="A301" s="30"/>
      <c r="L301" s="30"/>
    </row>
    <row r="302" spans="1:12">
      <c r="A302" s="30"/>
      <c r="L302" s="30"/>
    </row>
    <row r="303" spans="1:12">
      <c r="A303" s="30"/>
      <c r="L303" s="30"/>
    </row>
    <row r="304" spans="1:12">
      <c r="A304" s="30"/>
      <c r="L304" s="30"/>
    </row>
    <row r="305" spans="1:12">
      <c r="A305" s="30"/>
      <c r="L305" s="30"/>
    </row>
    <row r="306" spans="1:12">
      <c r="A306" s="30"/>
      <c r="L306" s="30"/>
    </row>
    <row r="307" spans="1:12">
      <c r="A307" s="30"/>
      <c r="L307" s="30"/>
    </row>
    <row r="308" spans="1:12">
      <c r="A308" s="30"/>
      <c r="L308" s="30"/>
    </row>
    <row r="309" spans="1:12">
      <c r="A309" s="30"/>
      <c r="L309" s="30"/>
    </row>
    <row r="310" spans="1:12">
      <c r="A310" s="30"/>
      <c r="L310" s="30"/>
    </row>
    <row r="311" spans="1:12">
      <c r="A311" s="30"/>
      <c r="L311" s="30"/>
    </row>
    <row r="312" spans="1:12">
      <c r="A312" s="30"/>
      <c r="L312" s="30"/>
    </row>
    <row r="313" spans="1:12">
      <c r="A313" s="30"/>
      <c r="L313" s="30"/>
    </row>
    <row r="314" spans="1:12">
      <c r="A314" s="30"/>
      <c r="L314" s="30"/>
    </row>
    <row r="315" spans="1:12">
      <c r="A315" s="30"/>
      <c r="L315" s="30"/>
    </row>
    <row r="316" spans="1:12">
      <c r="A316" s="30"/>
      <c r="L316" s="30"/>
    </row>
    <row r="317" spans="1:12">
      <c r="A317" s="30"/>
      <c r="L317" s="30"/>
    </row>
    <row r="318" spans="1:12">
      <c r="A318" s="30"/>
      <c r="L318" s="30"/>
    </row>
    <row r="319" spans="1:12">
      <c r="A319" s="30"/>
      <c r="L319" s="30"/>
    </row>
    <row r="320" spans="1:12">
      <c r="A320" s="30"/>
      <c r="L320" s="30"/>
    </row>
    <row r="321" spans="1:12">
      <c r="A321" s="30"/>
      <c r="L321" s="30"/>
    </row>
    <row r="322" spans="1:12">
      <c r="A322" s="30"/>
      <c r="L322" s="30"/>
    </row>
    <row r="323" spans="1:12">
      <c r="A323" s="30"/>
      <c r="L323" s="30"/>
    </row>
    <row r="324" spans="1:12">
      <c r="A324" s="30"/>
      <c r="L324" s="30"/>
    </row>
    <row r="325" spans="1:12">
      <c r="A325" s="30"/>
      <c r="L325" s="30"/>
    </row>
    <row r="326" spans="1:12">
      <c r="A326" s="30"/>
      <c r="L326" s="30"/>
    </row>
    <row r="327" spans="1:12">
      <c r="A327" s="30"/>
      <c r="L327" s="30"/>
    </row>
    <row r="328" spans="1:12">
      <c r="A328" s="30"/>
      <c r="L328" s="30"/>
    </row>
    <row r="329" spans="1:12">
      <c r="A329" s="30"/>
      <c r="L329" s="30"/>
    </row>
    <row r="330" spans="1:12">
      <c r="A330" s="30"/>
      <c r="L330" s="30"/>
    </row>
    <row r="331" spans="1:12">
      <c r="A331" s="30"/>
      <c r="L331" s="30"/>
    </row>
    <row r="332" spans="1:12">
      <c r="A332" s="30"/>
      <c r="L332" s="30"/>
    </row>
    <row r="333" spans="1:12">
      <c r="A333" s="30"/>
      <c r="L333" s="30"/>
    </row>
    <row r="334" spans="1:12">
      <c r="A334" s="30"/>
      <c r="L334" s="30"/>
    </row>
    <row r="335" spans="1:12">
      <c r="A335" s="30"/>
      <c r="L335" s="30"/>
    </row>
    <row r="336" spans="1:12">
      <c r="A336" s="30"/>
      <c r="L336" s="30"/>
    </row>
    <row r="337" spans="1:12">
      <c r="A337" s="30"/>
      <c r="L337" s="30"/>
    </row>
    <row r="338" spans="1:12">
      <c r="A338" s="30"/>
      <c r="L338" s="30"/>
    </row>
    <row r="339" spans="1:12">
      <c r="A339" s="30"/>
      <c r="L339" s="30"/>
    </row>
    <row r="340" spans="1:12">
      <c r="A340" s="30"/>
      <c r="L340" s="30"/>
    </row>
    <row r="341" spans="1:12">
      <c r="A341" s="30"/>
      <c r="L341" s="30"/>
    </row>
    <row r="342" spans="1:12">
      <c r="A342" s="30"/>
      <c r="L342" s="30"/>
    </row>
    <row r="343" spans="1:12">
      <c r="A343" s="30"/>
      <c r="L343" s="30"/>
    </row>
    <row r="344" spans="1:12">
      <c r="A344" s="30"/>
      <c r="L344" s="30"/>
    </row>
    <row r="345" spans="1:12">
      <c r="A345" s="30"/>
      <c r="L345" s="30"/>
    </row>
    <row r="346" spans="1:12">
      <c r="A346" s="30"/>
      <c r="L346" s="30"/>
    </row>
    <row r="347" spans="1:12">
      <c r="A347" s="30"/>
      <c r="L347" s="30"/>
    </row>
    <row r="348" spans="1:12">
      <c r="A348" s="30"/>
      <c r="L348" s="30"/>
    </row>
    <row r="349" spans="1:12">
      <c r="A349" s="30"/>
      <c r="L349" s="30"/>
    </row>
    <row r="350" spans="1:12">
      <c r="A350" s="30"/>
      <c r="L350" s="30"/>
    </row>
    <row r="351" spans="1:12">
      <c r="A351" s="30"/>
      <c r="L351" s="30"/>
    </row>
    <row r="352" spans="1:12">
      <c r="A352" s="30"/>
      <c r="L352" s="30"/>
    </row>
    <row r="353" spans="1:12">
      <c r="A353" s="30"/>
      <c r="L353" s="30"/>
    </row>
    <row r="354" spans="1:12">
      <c r="A354" s="30"/>
      <c r="L354" s="30"/>
    </row>
    <row r="355" spans="1:12">
      <c r="A355" s="30"/>
      <c r="L355" s="30"/>
    </row>
    <row r="356" spans="1:12">
      <c r="A356" s="30"/>
      <c r="L356" s="30"/>
    </row>
    <row r="357" spans="1:12">
      <c r="A357" s="30"/>
      <c r="L357" s="30"/>
    </row>
    <row r="358" spans="1:12">
      <c r="A358" s="30"/>
      <c r="L358" s="30"/>
    </row>
    <row r="359" spans="1:12">
      <c r="A359" s="30"/>
      <c r="L359" s="30"/>
    </row>
    <row r="360" spans="1:12">
      <c r="A360" s="30"/>
      <c r="L360" s="30"/>
    </row>
    <row r="361" spans="1:12">
      <c r="A361" s="30"/>
      <c r="L361" s="30"/>
    </row>
    <row r="362" spans="1:12">
      <c r="A362" s="30"/>
      <c r="L362" s="30"/>
    </row>
    <row r="363" spans="1:12">
      <c r="A363" s="30"/>
      <c r="L363" s="30"/>
    </row>
    <row r="364" spans="1:12">
      <c r="A364" s="30"/>
      <c r="L364" s="30"/>
    </row>
    <row r="365" spans="1:12">
      <c r="A365" s="30"/>
      <c r="L365" s="30"/>
    </row>
    <row r="366" spans="1:12">
      <c r="A366" s="30"/>
      <c r="L366" s="30"/>
    </row>
    <row r="367" spans="1:12">
      <c r="A367" s="30"/>
      <c r="L367" s="30"/>
    </row>
    <row r="368" spans="1:12">
      <c r="A368" s="30"/>
      <c r="L368" s="30"/>
    </row>
    <row r="369" spans="1:12">
      <c r="A369" s="30"/>
      <c r="L369" s="30"/>
    </row>
    <row r="370" spans="1:12">
      <c r="A370" s="30"/>
      <c r="L370" s="30"/>
    </row>
    <row r="371" spans="1:12">
      <c r="A371" s="30"/>
      <c r="L371" s="30"/>
    </row>
    <row r="372" spans="1:12">
      <c r="A372" s="30"/>
      <c r="L372" s="30"/>
    </row>
    <row r="373" spans="1:12">
      <c r="A373" s="30"/>
      <c r="L373" s="30"/>
    </row>
    <row r="374" spans="1:12">
      <c r="A374" s="30"/>
      <c r="L374" s="30"/>
    </row>
    <row r="375" spans="1:12">
      <c r="A375" s="30"/>
      <c r="L375" s="30"/>
    </row>
    <row r="376" spans="1:12">
      <c r="A376" s="30"/>
      <c r="L376" s="30"/>
    </row>
    <row r="377" spans="1:12">
      <c r="A377" s="30"/>
      <c r="L377" s="30"/>
    </row>
    <row r="378" spans="1:12">
      <c r="A378" s="30"/>
      <c r="L378" s="30"/>
    </row>
    <row r="379" spans="1:12">
      <c r="A379" s="30"/>
      <c r="L379" s="30"/>
    </row>
    <row r="380" spans="1:12">
      <c r="A380" s="30"/>
      <c r="L380" s="30"/>
    </row>
    <row r="381" spans="1:12">
      <c r="A381" s="30"/>
      <c r="L381" s="30"/>
    </row>
    <row r="382" spans="1:12">
      <c r="L382" s="30"/>
    </row>
    <row r="383" spans="1:12">
      <c r="L383" s="30"/>
    </row>
    <row r="384" spans="1:12">
      <c r="L384" s="30"/>
    </row>
    <row r="385" spans="12:12">
      <c r="L385" s="30"/>
    </row>
    <row r="386" spans="12:12">
      <c r="L386" s="30"/>
    </row>
    <row r="387" spans="12:12">
      <c r="L387" s="30"/>
    </row>
    <row r="388" spans="12:12">
      <c r="L388" s="30"/>
    </row>
    <row r="389" spans="12:12">
      <c r="L389" s="30"/>
    </row>
    <row r="390" spans="12:12">
      <c r="L390" s="30"/>
    </row>
    <row r="391" spans="12:12">
      <c r="L391" s="30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F1" sqref="F1"/>
    </sheetView>
  </sheetViews>
  <sheetFormatPr defaultRowHeight="15.75"/>
  <cols>
    <col min="9" max="9" width="9.625" bestFit="1" customWidth="1"/>
    <col min="10" max="10" width="11" bestFit="1" customWidth="1"/>
    <col min="11" max="11" width="11.25" bestFit="1" customWidth="1"/>
    <col min="12" max="12" width="13.625" bestFit="1" customWidth="1"/>
    <col min="13" max="13" width="10" bestFit="1" customWidth="1"/>
  </cols>
  <sheetData>
    <row r="1" spans="1:24" ht="31.5">
      <c r="A1" s="71"/>
      <c r="B1" s="72" t="s">
        <v>898</v>
      </c>
      <c r="C1" s="72" t="s">
        <v>899</v>
      </c>
      <c r="D1" s="72" t="s">
        <v>900</v>
      </c>
      <c r="E1" s="72" t="s">
        <v>901</v>
      </c>
      <c r="F1" s="72" t="s">
        <v>902</v>
      </c>
      <c r="G1" s="72" t="s">
        <v>903</v>
      </c>
      <c r="H1" s="72" t="s">
        <v>904</v>
      </c>
      <c r="I1" s="97" t="s">
        <v>5215</v>
      </c>
      <c r="J1" s="59" t="s">
        <v>5223</v>
      </c>
      <c r="K1" s="59" t="s">
        <v>5222</v>
      </c>
      <c r="L1" s="59" t="s">
        <v>5221</v>
      </c>
      <c r="M1" s="59" t="s">
        <v>5220</v>
      </c>
      <c r="P1" s="97" t="s">
        <v>5216</v>
      </c>
      <c r="Q1" s="97" t="s">
        <v>5217</v>
      </c>
      <c r="R1" s="97" t="s">
        <v>5218</v>
      </c>
      <c r="S1" s="97" t="s">
        <v>5219</v>
      </c>
      <c r="U1" s="59" t="s">
        <v>5220</v>
      </c>
      <c r="V1" s="59" t="s">
        <v>5221</v>
      </c>
      <c r="W1" s="59" t="s">
        <v>5222</v>
      </c>
      <c r="X1" s="59" t="s">
        <v>5223</v>
      </c>
    </row>
    <row r="2" spans="1:24">
      <c r="A2" s="72">
        <v>0</v>
      </c>
      <c r="B2" s="71">
        <v>18583</v>
      </c>
      <c r="C2" s="71" t="s">
        <v>869</v>
      </c>
      <c r="D2" s="71" t="s">
        <v>905</v>
      </c>
      <c r="E2" s="71" t="s">
        <v>906</v>
      </c>
      <c r="F2" s="71">
        <v>3.0645161290322579E-2</v>
      </c>
      <c r="G2" s="98">
        <v>0.76</v>
      </c>
      <c r="H2" s="98">
        <v>0.2533333333333333</v>
      </c>
      <c r="I2" s="78">
        <f>F2/SUM($F$2:$F$25)</f>
        <v>3.2376358281794387E-2</v>
      </c>
      <c r="J2" s="78">
        <f>P2*P$26</f>
        <v>9.5707773774653893E-2</v>
      </c>
      <c r="K2" s="78">
        <f>Q2*Q$26</f>
        <v>0.19869909042249959</v>
      </c>
      <c r="L2" s="78">
        <f>R2*R$26</f>
        <v>0.40304664266502532</v>
      </c>
      <c r="M2" s="78">
        <f>S2</f>
        <v>0.81209477601382885</v>
      </c>
      <c r="P2" s="78">
        <f>(I2+($S2-$I2)*1/4)</f>
        <v>0.22730596271480299</v>
      </c>
      <c r="Q2" s="78">
        <f>(P2+($S2-$I2)*1/4)</f>
        <v>0.42223556714781163</v>
      </c>
      <c r="R2" s="78">
        <f>(Q2+($S2-$I2)*1/4)</f>
        <v>0.61716517158082018</v>
      </c>
      <c r="S2" s="78">
        <f>G2/$G$26</f>
        <v>0.81209477601382885</v>
      </c>
    </row>
    <row r="3" spans="1:24">
      <c r="A3" s="72">
        <v>0</v>
      </c>
      <c r="B3" s="71">
        <v>18706</v>
      </c>
      <c r="C3" s="71" t="s">
        <v>895</v>
      </c>
      <c r="D3" s="71" t="s">
        <v>907</v>
      </c>
      <c r="E3" s="71" t="s">
        <v>908</v>
      </c>
      <c r="F3" s="71">
        <v>3.3807829181494659E-3</v>
      </c>
      <c r="G3" s="98">
        <v>0.38617886178861788</v>
      </c>
      <c r="H3" s="98">
        <v>5.2777777777777778E-2</v>
      </c>
      <c r="I3" s="78">
        <f t="shared" ref="I3:I25" si="0">F3/SUM($F$2:$F$25)</f>
        <v>3.5717690631161063E-3</v>
      </c>
      <c r="J3" s="78">
        <f t="shared" ref="J3:L25" si="1">P3*P$26</f>
        <v>4.4564746499917963E-2</v>
      </c>
      <c r="K3" s="78">
        <f t="shared" si="1"/>
        <v>9.793448320540904E-2</v>
      </c>
      <c r="L3" s="78">
        <f t="shared" si="1"/>
        <v>0.20269732616207881</v>
      </c>
      <c r="M3" s="78">
        <f t="shared" ref="M3:M25" si="2">S3</f>
        <v>0.41264978455987233</v>
      </c>
      <c r="P3" s="78">
        <f>(I3+($S3-$I3)*1/4)</f>
        <v>0.10584127293730516</v>
      </c>
      <c r="Q3" s="78">
        <f>(P3+($S3-$I3)*1/4)</f>
        <v>0.2081107768114942</v>
      </c>
      <c r="R3" s="78">
        <f>(Q3+($S3-$I3)*1/4)</f>
        <v>0.31038028068568324</v>
      </c>
      <c r="S3" s="78">
        <f>G3/$G$26</f>
        <v>0.41264978455987233</v>
      </c>
    </row>
    <row r="4" spans="1:24">
      <c r="A4" s="72">
        <v>0</v>
      </c>
      <c r="B4" s="71">
        <v>18694</v>
      </c>
      <c r="C4" s="71" t="s">
        <v>876</v>
      </c>
      <c r="D4" s="71" t="s">
        <v>909</v>
      </c>
      <c r="E4" s="71" t="s">
        <v>910</v>
      </c>
      <c r="F4" s="71">
        <v>5.5882352941176473E-2</v>
      </c>
      <c r="G4" s="98">
        <v>0.90476190476190466</v>
      </c>
      <c r="H4" s="98">
        <v>0.62913907284768211</v>
      </c>
      <c r="I4" s="78">
        <f t="shared" si="0"/>
        <v>5.9039241572683886E-2</v>
      </c>
      <c r="J4" s="78">
        <f t="shared" si="1"/>
        <v>0.12041023368132732</v>
      </c>
      <c r="K4" s="78">
        <f t="shared" si="1"/>
        <v>0.24136911454758631</v>
      </c>
      <c r="L4" s="78">
        <f t="shared" si="1"/>
        <v>0.48316371058552765</v>
      </c>
      <c r="M4" s="78">
        <f t="shared" si="2"/>
        <v>0.96677949525455797</v>
      </c>
      <c r="P4" s="78">
        <f>(I4+($S4-$I4)*1/4)</f>
        <v>0.28597430499315241</v>
      </c>
      <c r="Q4" s="78">
        <f>(P4+($S4-$I4)*1/4)</f>
        <v>0.51290936841362089</v>
      </c>
      <c r="R4" s="78">
        <f>(Q4+($S4-$I4)*1/4)</f>
        <v>0.73984443183408943</v>
      </c>
      <c r="S4" s="78">
        <f>G4/$G$26</f>
        <v>0.96677949525455797</v>
      </c>
    </row>
    <row r="5" spans="1:24">
      <c r="A5" s="72">
        <v>0</v>
      </c>
      <c r="B5" s="71">
        <v>18643</v>
      </c>
      <c r="C5" s="71" t="s">
        <v>878</v>
      </c>
      <c r="D5" s="71" t="s">
        <v>911</v>
      </c>
      <c r="E5" s="71" t="s">
        <v>912</v>
      </c>
      <c r="F5" s="71">
        <v>4.5238095238095237E-3</v>
      </c>
      <c r="G5" s="98">
        <v>0.66901408450704225</v>
      </c>
      <c r="H5" s="98">
        <v>0.1357142857142857</v>
      </c>
      <c r="I5" s="78">
        <f t="shared" si="0"/>
        <v>4.7793671749315524E-3</v>
      </c>
      <c r="J5" s="78">
        <f t="shared" si="1"/>
        <v>7.6758975106189356E-2</v>
      </c>
      <c r="K5" s="78">
        <f t="shared" si="1"/>
        <v>0.16932977156680842</v>
      </c>
      <c r="L5" s="78">
        <f t="shared" si="1"/>
        <v>0.35092177193909285</v>
      </c>
      <c r="M5" s="78">
        <f t="shared" si="2"/>
        <v>0.71487216198400427</v>
      </c>
      <c r="P5" s="78">
        <f>(I5+($S5-$I5)*1/4)</f>
        <v>0.18230256587719973</v>
      </c>
      <c r="Q5" s="78">
        <f>(P5+($S5-$I5)*1/4)</f>
        <v>0.35982576457946791</v>
      </c>
      <c r="R5" s="78">
        <f>(Q5+($S5-$I5)*1/4)</f>
        <v>0.53734896328173609</v>
      </c>
      <c r="S5" s="78">
        <f>G5/$G$26</f>
        <v>0.71487216198400427</v>
      </c>
    </row>
    <row r="6" spans="1:24">
      <c r="A6" s="72">
        <v>0</v>
      </c>
      <c r="B6" s="71">
        <v>18702</v>
      </c>
      <c r="C6" s="71" t="s">
        <v>872</v>
      </c>
      <c r="D6" s="71" t="s">
        <v>913</v>
      </c>
      <c r="E6" s="71" t="s">
        <v>914</v>
      </c>
      <c r="F6" s="71">
        <v>3.9583333333333328E-3</v>
      </c>
      <c r="G6" s="98">
        <v>0.60126582278481011</v>
      </c>
      <c r="H6" s="98">
        <v>0.14393939393939401</v>
      </c>
      <c r="I6" s="78">
        <f t="shared" si="0"/>
        <v>4.181946278065108E-3</v>
      </c>
      <c r="J6" s="78">
        <f t="shared" si="1"/>
        <v>6.8950092963045606E-2</v>
      </c>
      <c r="K6" s="78">
        <f t="shared" si="1"/>
        <v>0.15215576249242424</v>
      </c>
      <c r="L6" s="78">
        <f t="shared" si="1"/>
        <v>0.31536687007710668</v>
      </c>
      <c r="M6" s="78">
        <f t="shared" si="2"/>
        <v>0.64248004431473793</v>
      </c>
      <c r="P6" s="78">
        <f>(I6+($S6-$I6)*1/4)</f>
        <v>0.16375647078723332</v>
      </c>
      <c r="Q6" s="78">
        <f>(P6+($S6-$I6)*1/4)</f>
        <v>0.32333099529640152</v>
      </c>
      <c r="R6" s="78">
        <f>(Q6+($S6-$I6)*1/4)</f>
        <v>0.48290551980556973</v>
      </c>
      <c r="S6" s="78">
        <f>G6/$G$26</f>
        <v>0.64248004431473793</v>
      </c>
    </row>
    <row r="7" spans="1:24">
      <c r="A7" s="72">
        <v>0</v>
      </c>
      <c r="B7" s="71">
        <v>18660</v>
      </c>
      <c r="C7" s="71" t="s">
        <v>892</v>
      </c>
      <c r="D7" s="71" t="s">
        <v>915</v>
      </c>
      <c r="E7" s="71" t="s">
        <v>916</v>
      </c>
      <c r="F7" s="71">
        <v>9.5000000000000001E-2</v>
      </c>
      <c r="G7" s="98">
        <v>0.83333333333333337</v>
      </c>
      <c r="H7" s="98">
        <v>0.35849056603773582</v>
      </c>
      <c r="I7" s="78">
        <f t="shared" si="0"/>
        <v>0.10036671067356259</v>
      </c>
      <c r="J7" s="78">
        <f t="shared" si="1"/>
        <v>0.12542683476646999</v>
      </c>
      <c r="K7" s="78">
        <f t="shared" si="1"/>
        <v>0.23313447269043289</v>
      </c>
      <c r="L7" s="78">
        <f t="shared" si="1"/>
        <v>0.45252752742137037</v>
      </c>
      <c r="M7" s="78">
        <f t="shared" si="2"/>
        <v>0.89045479826077722</v>
      </c>
      <c r="P7" s="78">
        <f>(I7+($S7-$I7)*1/4)</f>
        <v>0.29788873257036624</v>
      </c>
      <c r="Q7" s="78">
        <f>(P7+($S7-$I7)*1/4)</f>
        <v>0.49541075446716987</v>
      </c>
      <c r="R7" s="78">
        <f>(Q7+($S7-$I7)*1/4)</f>
        <v>0.69293277636397355</v>
      </c>
      <c r="S7" s="78">
        <f>G7/$G$26</f>
        <v>0.89045479826077722</v>
      </c>
    </row>
    <row r="8" spans="1:24">
      <c r="A8" s="72">
        <v>0</v>
      </c>
      <c r="B8" s="71">
        <v>18570</v>
      </c>
      <c r="C8" s="71" t="s">
        <v>870</v>
      </c>
      <c r="D8" s="71" t="s">
        <v>917</v>
      </c>
      <c r="E8" s="71" t="s">
        <v>918</v>
      </c>
      <c r="F8" s="71">
        <v>1.2337662337662341E-3</v>
      </c>
      <c r="G8" s="98">
        <v>0.2533333333333333</v>
      </c>
      <c r="H8" s="98">
        <v>2.6388888888888889E-2</v>
      </c>
      <c r="I8" s="78">
        <f t="shared" si="0"/>
        <v>1.3034637749813327E-3</v>
      </c>
      <c r="J8" s="78">
        <f t="shared" si="1"/>
        <v>2.8906173683812656E-2</v>
      </c>
      <c r="K8" s="78">
        <f t="shared" si="1"/>
        <v>6.400040528147237E-2</v>
      </c>
      <c r="L8" s="78">
        <f t="shared" si="1"/>
        <v>0.1327997126185812</v>
      </c>
      <c r="M8" s="78">
        <f t="shared" si="2"/>
        <v>0.27069825867127623</v>
      </c>
      <c r="P8" s="78">
        <f>(I8+($S8-$I8)*1/4)</f>
        <v>6.8652162499055064E-2</v>
      </c>
      <c r="Q8" s="78">
        <f>(P8+($S8-$I8)*1/4)</f>
        <v>0.13600086122312879</v>
      </c>
      <c r="R8" s="78">
        <f>(Q8+($S8-$I8)*1/4)</f>
        <v>0.20334955994720252</v>
      </c>
      <c r="S8" s="78">
        <f>G8/$G$26</f>
        <v>0.27069825867127623</v>
      </c>
    </row>
    <row r="9" spans="1:24">
      <c r="A9" s="72">
        <v>0</v>
      </c>
      <c r="B9" s="71">
        <v>18564</v>
      </c>
      <c r="C9" s="71" t="s">
        <v>886</v>
      </c>
      <c r="D9" s="71" t="s">
        <v>919</v>
      </c>
      <c r="E9" s="71" t="s">
        <v>920</v>
      </c>
      <c r="F9" s="71">
        <v>7.9166666666666656E-3</v>
      </c>
      <c r="G9" s="98">
        <v>0.61290322580645151</v>
      </c>
      <c r="H9" s="98">
        <v>0.12666666666666659</v>
      </c>
      <c r="I9" s="78">
        <f t="shared" si="0"/>
        <v>8.363892556130216E-3</v>
      </c>
      <c r="J9" s="78">
        <f t="shared" si="1"/>
        <v>7.1579665222634384E-2</v>
      </c>
      <c r="K9" s="78">
        <f t="shared" si="1"/>
        <v>0.15606565517712145</v>
      </c>
      <c r="L9" s="78">
        <f t="shared" si="1"/>
        <v>0.32214029688098572</v>
      </c>
      <c r="M9" s="78">
        <f t="shared" si="2"/>
        <v>0.65491514194663603</v>
      </c>
      <c r="P9" s="78">
        <f>(I9+($S9-$I9)*1/4)</f>
        <v>0.17000170490375666</v>
      </c>
      <c r="Q9" s="78">
        <f>(P9+($S9-$I9)*1/4)</f>
        <v>0.33163951725138308</v>
      </c>
      <c r="R9" s="78">
        <f>(Q9+($S9-$I9)*1/4)</f>
        <v>0.4932773295990095</v>
      </c>
      <c r="S9" s="78">
        <f>G9/$G$26</f>
        <v>0.65491514194663603</v>
      </c>
    </row>
    <row r="10" spans="1:24">
      <c r="A10" s="72">
        <v>0</v>
      </c>
      <c r="B10" s="71">
        <v>18721</v>
      </c>
      <c r="C10" s="71" t="s">
        <v>865</v>
      </c>
      <c r="D10" s="71" t="s">
        <v>921</v>
      </c>
      <c r="E10" s="71" t="s">
        <v>922</v>
      </c>
      <c r="F10" s="71">
        <v>3.9419087136929459E-3</v>
      </c>
      <c r="G10" s="98">
        <v>0.46116504854368928</v>
      </c>
      <c r="H10" s="98">
        <v>7.3076923076923067E-2</v>
      </c>
      <c r="I10" s="78">
        <f t="shared" si="0"/>
        <v>4.1645938038822657E-3</v>
      </c>
      <c r="J10" s="78">
        <f t="shared" si="1"/>
        <v>5.3186288182180796E-2</v>
      </c>
      <c r="K10" s="78">
        <f t="shared" si="1"/>
        <v>0.11692718826422425</v>
      </c>
      <c r="L10" s="78">
        <f t="shared" si="1"/>
        <v>0.24203958575691337</v>
      </c>
      <c r="M10" s="78">
        <f t="shared" si="2"/>
        <v>0.49277595631907084</v>
      </c>
      <c r="P10" s="78">
        <f>(I10+($S10-$I10)*1/4)</f>
        <v>0.1263174344326794</v>
      </c>
      <c r="Q10" s="78">
        <f>(P10+($S10-$I10)*1/4)</f>
        <v>0.24847027506147654</v>
      </c>
      <c r="R10" s="78">
        <f>(Q10+($S10-$I10)*1/4)</f>
        <v>0.37062311569027367</v>
      </c>
      <c r="S10" s="78">
        <f>G10/$G$26</f>
        <v>0.49277595631907084</v>
      </c>
    </row>
    <row r="11" spans="1:24">
      <c r="A11" s="72">
        <v>0</v>
      </c>
      <c r="B11" s="71">
        <v>18708</v>
      </c>
      <c r="C11" s="71" t="s">
        <v>866</v>
      </c>
      <c r="D11" s="71" t="s">
        <v>923</v>
      </c>
      <c r="E11" s="71" t="s">
        <v>924</v>
      </c>
      <c r="F11" s="71">
        <v>1.1728395061728391E-2</v>
      </c>
      <c r="G11" s="98">
        <v>0.59748427672955973</v>
      </c>
      <c r="H11" s="98">
        <v>0.14615384615384611</v>
      </c>
      <c r="I11" s="78">
        <f t="shared" si="0"/>
        <v>1.2390951935007723E-2</v>
      </c>
      <c r="J11" s="78">
        <f t="shared" si="1"/>
        <v>7.1117067907796941E-2</v>
      </c>
      <c r="K11" s="78">
        <f t="shared" si="1"/>
        <v>0.15313652735389541</v>
      </c>
      <c r="L11" s="78">
        <f t="shared" si="1"/>
        <v>0.31472797059463681</v>
      </c>
      <c r="M11" s="78">
        <f t="shared" si="2"/>
        <v>0.63843928931904781</v>
      </c>
      <c r="P11" s="78">
        <f>(I11+($S11-$I11)*1/4)</f>
        <v>0.16890303628101774</v>
      </c>
      <c r="Q11" s="78">
        <f>(P11+($S11-$I11)*1/4)</f>
        <v>0.32541512062702777</v>
      </c>
      <c r="R11" s="78">
        <f>(Q11+($S11-$I11)*1/4)</f>
        <v>0.48192720497303776</v>
      </c>
      <c r="S11" s="78">
        <f>G11/$G$26</f>
        <v>0.63843928931904781</v>
      </c>
    </row>
    <row r="12" spans="1:24">
      <c r="A12" s="72">
        <v>0</v>
      </c>
      <c r="B12" s="71">
        <v>18689</v>
      </c>
      <c r="C12" s="71" t="s">
        <v>894</v>
      </c>
      <c r="D12" s="71" t="s">
        <v>925</v>
      </c>
      <c r="E12" s="71" t="s">
        <v>926</v>
      </c>
      <c r="F12" s="71">
        <v>1.3552068473609131E-3</v>
      </c>
      <c r="G12" s="98">
        <v>0.23749999999999999</v>
      </c>
      <c r="H12" s="98">
        <v>2.065217391304348E-2</v>
      </c>
      <c r="I12" s="78">
        <f t="shared" si="0"/>
        <v>1.4317647742305649E-3</v>
      </c>
      <c r="J12" s="78">
        <f t="shared" si="1"/>
        <v>2.7165780192317177E-2</v>
      </c>
      <c r="K12" s="78">
        <f t="shared" si="1"/>
        <v>6.0049737006718132E-2</v>
      </c>
      <c r="L12" s="78">
        <f t="shared" si="1"/>
        <v>0.12453397833260325</v>
      </c>
      <c r="M12" s="78">
        <f t="shared" si="2"/>
        <v>0.25377961750432149</v>
      </c>
      <c r="P12" s="78">
        <f>(I12+($S12-$I12)*1/4)</f>
        <v>6.45187279567533E-2</v>
      </c>
      <c r="Q12" s="78">
        <f>(P12+($S12-$I12)*1/4)</f>
        <v>0.12760569113927603</v>
      </c>
      <c r="R12" s="78">
        <f>(Q12+($S12-$I12)*1/4)</f>
        <v>0.19069265432179877</v>
      </c>
      <c r="S12" s="78">
        <f>G12/$G$26</f>
        <v>0.25377961750432149</v>
      </c>
    </row>
    <row r="13" spans="1:24">
      <c r="A13" s="72">
        <v>0</v>
      </c>
      <c r="B13" s="71">
        <v>18647</v>
      </c>
      <c r="C13" s="71" t="s">
        <v>891</v>
      </c>
      <c r="D13" s="71" t="s">
        <v>927</v>
      </c>
      <c r="E13" s="71" t="s">
        <v>928</v>
      </c>
      <c r="F13" s="71">
        <v>0.15322580645161291</v>
      </c>
      <c r="G13" s="98">
        <v>0.82608695652173914</v>
      </c>
      <c r="H13" s="98">
        <v>0.3518518518518518</v>
      </c>
      <c r="I13" s="78">
        <f t="shared" si="0"/>
        <v>0.16188179140897194</v>
      </c>
      <c r="J13" s="78">
        <f t="shared" si="1"/>
        <v>0.14403758813530793</v>
      </c>
      <c r="K13" s="78">
        <f t="shared" si="1"/>
        <v>0.24578670693352506</v>
      </c>
      <c r="L13" s="78">
        <f t="shared" si="1"/>
        <v>0.45877827438114283</v>
      </c>
      <c r="M13" s="78">
        <f t="shared" si="2"/>
        <v>0.88271171305850959</v>
      </c>
      <c r="P13" s="78">
        <f>(I13+($S13-$I13)*1/4)</f>
        <v>0.34208927182135634</v>
      </c>
      <c r="Q13" s="78">
        <f>(P13+($S13-$I13)*1/4)</f>
        <v>0.52229675223374072</v>
      </c>
      <c r="R13" s="78">
        <f>(Q13+($S13-$I13)*1/4)</f>
        <v>0.70250423264612516</v>
      </c>
      <c r="S13" s="78">
        <f>G13/$G$26</f>
        <v>0.88271171305850959</v>
      </c>
    </row>
    <row r="14" spans="1:24">
      <c r="A14" s="72">
        <v>0</v>
      </c>
      <c r="B14" s="71">
        <v>18648</v>
      </c>
      <c r="C14" s="71" t="s">
        <v>896</v>
      </c>
      <c r="D14" s="71" t="s">
        <v>929</v>
      </c>
      <c r="E14" s="71" t="s">
        <v>930</v>
      </c>
      <c r="F14" s="71">
        <v>1.079545454545455E-3</v>
      </c>
      <c r="G14" s="98">
        <v>0.31666666666666671</v>
      </c>
      <c r="H14" s="98">
        <v>3.6538461538461527E-2</v>
      </c>
      <c r="I14" s="78">
        <f t="shared" si="0"/>
        <v>1.1405308031086664E-3</v>
      </c>
      <c r="J14" s="78">
        <f t="shared" si="1"/>
        <v>3.5978359552465401E-2</v>
      </c>
      <c r="K14" s="78">
        <f t="shared" si="1"/>
        <v>7.9885495092283293E-2</v>
      </c>
      <c r="L14" s="78">
        <f t="shared" si="1"/>
        <v>0.16591983686863582</v>
      </c>
      <c r="M14" s="78">
        <f t="shared" si="2"/>
        <v>0.33837282333909535</v>
      </c>
      <c r="P14" s="78">
        <f>(I14+($S14-$I14)*1/4)</f>
        <v>8.5448603937105336E-2</v>
      </c>
      <c r="Q14" s="78">
        <f>(P14+($S14-$I14)*1/4)</f>
        <v>0.16975667707110201</v>
      </c>
      <c r="R14" s="78">
        <f>(Q14+($S14-$I14)*1/4)</f>
        <v>0.25406475020509867</v>
      </c>
      <c r="S14" s="78">
        <f>G14/$G$26</f>
        <v>0.33837282333909535</v>
      </c>
    </row>
    <row r="15" spans="1:24">
      <c r="A15" s="72">
        <v>0</v>
      </c>
      <c r="B15" s="71">
        <v>18732</v>
      </c>
      <c r="C15" s="71" t="s">
        <v>897</v>
      </c>
      <c r="D15" s="71" t="s">
        <v>931</v>
      </c>
      <c r="E15" s="71" t="s">
        <v>932</v>
      </c>
      <c r="F15" s="71">
        <v>1.18601747815231E-3</v>
      </c>
      <c r="G15" s="98">
        <v>0.1583333333333333</v>
      </c>
      <c r="H15" s="98">
        <v>2.065217391304348E-2</v>
      </c>
      <c r="I15" s="78">
        <f t="shared" si="0"/>
        <v>1.2530176114052764E-3</v>
      </c>
      <c r="J15" s="78">
        <f t="shared" si="1"/>
        <v>1.8204785737238254E-2</v>
      </c>
      <c r="K15" s="78">
        <f t="shared" si="1"/>
        <v>4.0103395124930094E-2</v>
      </c>
      <c r="L15" s="78">
        <f t="shared" si="1"/>
        <v>8.3071388182864983E-2</v>
      </c>
      <c r="M15" s="78">
        <f t="shared" si="2"/>
        <v>0.16918641166954762</v>
      </c>
      <c r="P15" s="78">
        <f>(I15+($S15-$I15)*1/4)</f>
        <v>4.323636612594086E-2</v>
      </c>
      <c r="Q15" s="78">
        <f>(P15+($S15-$I15)*1/4)</f>
        <v>8.5219714640476452E-2</v>
      </c>
      <c r="R15" s="78">
        <f>(Q15+($S15-$I15)*1/4)</f>
        <v>0.12720306315501204</v>
      </c>
      <c r="S15" s="78">
        <f>G15/$G$26</f>
        <v>0.16918641166954762</v>
      </c>
    </row>
    <row r="16" spans="1:24">
      <c r="A16" s="72">
        <v>0</v>
      </c>
      <c r="B16" s="71">
        <v>18645</v>
      </c>
      <c r="C16" s="71" t="s">
        <v>879</v>
      </c>
      <c r="D16" s="71" t="s">
        <v>933</v>
      </c>
      <c r="E16" s="71" t="s">
        <v>934</v>
      </c>
      <c r="F16" s="71">
        <v>0.14615384615384611</v>
      </c>
      <c r="G16" s="98">
        <v>0.89622641509433953</v>
      </c>
      <c r="H16" s="98">
        <v>0.6333333333333333</v>
      </c>
      <c r="I16" s="78">
        <f t="shared" si="0"/>
        <v>0.15441032411317318</v>
      </c>
      <c r="J16" s="78">
        <f t="shared" si="1"/>
        <v>0.14956735855979905</v>
      </c>
      <c r="K16" s="78">
        <f t="shared" si="1"/>
        <v>0.26166335484511644</v>
      </c>
      <c r="L16" s="78">
        <f t="shared" si="1"/>
        <v>0.49426728588553259</v>
      </c>
      <c r="M16" s="78">
        <f t="shared" si="2"/>
        <v>0.9576589339785716</v>
      </c>
      <c r="P16" s="78">
        <f>(I16+($S16-$I16)*1/4)</f>
        <v>0.35522247657952277</v>
      </c>
      <c r="Q16" s="78">
        <f>(P16+($S16-$I16)*1/4)</f>
        <v>0.55603462904587242</v>
      </c>
      <c r="R16" s="78">
        <f>(Q16+($S16-$I16)*1/4)</f>
        <v>0.75684678151222196</v>
      </c>
      <c r="S16" s="78">
        <f>G16/$G$26</f>
        <v>0.9576589339785716</v>
      </c>
    </row>
    <row r="17" spans="1:19">
      <c r="A17" s="72">
        <v>0</v>
      </c>
      <c r="B17" s="71">
        <v>18716</v>
      </c>
      <c r="C17" s="71" t="s">
        <v>862</v>
      </c>
      <c r="D17" s="71" t="s">
        <v>935</v>
      </c>
      <c r="E17" s="71" t="s">
        <v>936</v>
      </c>
      <c r="F17" s="71">
        <v>1.1176470588235289E-2</v>
      </c>
      <c r="G17" s="98">
        <v>0.56547619047619047</v>
      </c>
      <c r="H17" s="98">
        <v>0.12666666666666659</v>
      </c>
      <c r="I17" s="78">
        <f t="shared" si="0"/>
        <v>1.1807848314536771E-2</v>
      </c>
      <c r="J17" s="78">
        <f t="shared" si="1"/>
        <v>6.7332708366074648E-2</v>
      </c>
      <c r="K17" s="78">
        <f t="shared" si="1"/>
        <v>0.14495177243497306</v>
      </c>
      <c r="L17" s="78">
        <f t="shared" si="1"/>
        <v>0.29788071868029919</v>
      </c>
      <c r="M17" s="78">
        <f t="shared" si="2"/>
        <v>0.6042371845340988</v>
      </c>
      <c r="P17" s="78">
        <f>(I17+($S17-$I17)*1/4)</f>
        <v>0.15991518236942728</v>
      </c>
      <c r="Q17" s="78">
        <f>(P17+($S17-$I17)*1/4)</f>
        <v>0.30802251642431777</v>
      </c>
      <c r="R17" s="78">
        <f>(Q17+($S17-$I17)*1/4)</f>
        <v>0.45612985047920829</v>
      </c>
      <c r="S17" s="78">
        <f>G17/$G$26</f>
        <v>0.6042371845340988</v>
      </c>
    </row>
    <row r="18" spans="1:19">
      <c r="A18" s="72">
        <v>0</v>
      </c>
      <c r="B18" s="71">
        <v>18718</v>
      </c>
      <c r="C18" s="71" t="s">
        <v>882</v>
      </c>
      <c r="D18" s="71" t="s">
        <v>937</v>
      </c>
      <c r="E18" s="71" t="s">
        <v>938</v>
      </c>
      <c r="F18" s="71">
        <v>5.2777777777777779E-3</v>
      </c>
      <c r="G18" s="98">
        <v>0.47499999999999998</v>
      </c>
      <c r="H18" s="98">
        <v>7.0370370370370361E-2</v>
      </c>
      <c r="I18" s="78">
        <f t="shared" si="0"/>
        <v>5.5759283707534782E-3</v>
      </c>
      <c r="J18" s="78">
        <f t="shared" si="1"/>
        <v>5.5188107381147732E-2</v>
      </c>
      <c r="K18" s="78">
        <f t="shared" si="1"/>
        <v>0.12073768550103446</v>
      </c>
      <c r="L18" s="78">
        <f t="shared" si="1"/>
        <v>0.24951079728925424</v>
      </c>
      <c r="M18" s="78">
        <f t="shared" si="2"/>
        <v>0.50755923500864297</v>
      </c>
      <c r="P18" s="78">
        <f>(I18+($S18-$I18)*1/4)</f>
        <v>0.13107175503022586</v>
      </c>
      <c r="Q18" s="78">
        <f>(P18+($S18-$I18)*1/4)</f>
        <v>0.25656758168969823</v>
      </c>
      <c r="R18" s="78">
        <f>(Q18+($S18-$I18)*1/4)</f>
        <v>0.38206340834917063</v>
      </c>
      <c r="S18" s="78">
        <f>G18/$G$26</f>
        <v>0.50755923500864297</v>
      </c>
    </row>
    <row r="19" spans="1:19">
      <c r="A19" s="72">
        <v>0</v>
      </c>
      <c r="B19" s="71">
        <v>18658</v>
      </c>
      <c r="C19" s="71" t="s">
        <v>863</v>
      </c>
      <c r="D19" s="71" t="s">
        <v>939</v>
      </c>
      <c r="E19" s="71" t="s">
        <v>940</v>
      </c>
      <c r="F19" s="71">
        <v>7.9166666666666663E-2</v>
      </c>
      <c r="G19" s="98">
        <v>0.89622641509433953</v>
      </c>
      <c r="H19" s="98">
        <v>0.58641975308641969</v>
      </c>
      <c r="I19" s="78">
        <f t="shared" si="0"/>
        <v>8.363892556130216E-2</v>
      </c>
      <c r="J19" s="78">
        <f t="shared" si="1"/>
        <v>0.12721849585920822</v>
      </c>
      <c r="K19" s="78">
        <f t="shared" si="1"/>
        <v>0.24501126106820562</v>
      </c>
      <c r="L19" s="78">
        <f t="shared" si="1"/>
        <v>0.48271277183624756</v>
      </c>
      <c r="M19" s="78">
        <f t="shared" si="2"/>
        <v>0.9576589339785716</v>
      </c>
      <c r="P19" s="78">
        <f>(I19+($S19-$I19)*1/4)</f>
        <v>0.30214392766561954</v>
      </c>
      <c r="Q19" s="78">
        <f>(P19+($S19-$I19)*1/4)</f>
        <v>0.52064892976993693</v>
      </c>
      <c r="R19" s="78">
        <f>(Q19+($S19-$I19)*1/4)</f>
        <v>0.73915393187425427</v>
      </c>
      <c r="S19" s="78">
        <f>G19/$G$26</f>
        <v>0.9576589339785716</v>
      </c>
    </row>
    <row r="20" spans="1:19">
      <c r="A20" s="72">
        <v>0</v>
      </c>
      <c r="B20" s="71">
        <v>18699</v>
      </c>
      <c r="C20" s="71" t="s">
        <v>888</v>
      </c>
      <c r="D20" s="71" t="s">
        <v>941</v>
      </c>
      <c r="E20" s="71" t="s">
        <v>942</v>
      </c>
      <c r="F20" s="71">
        <v>9.4999999999999998E-3</v>
      </c>
      <c r="G20" s="98">
        <v>0.62091503267973858</v>
      </c>
      <c r="H20" s="98">
        <v>0.11874999999999999</v>
      </c>
      <c r="I20" s="78">
        <f t="shared" si="0"/>
        <v>1.003667106735626E-2</v>
      </c>
      <c r="J20" s="78">
        <f t="shared" si="1"/>
        <v>7.3009067094355076E-2</v>
      </c>
      <c r="K20" s="78">
        <f t="shared" si="1"/>
        <v>0.15847359888509668</v>
      </c>
      <c r="L20" s="78">
        <f t="shared" si="1"/>
        <v>0.32660653773881954</v>
      </c>
      <c r="M20" s="78">
        <f t="shared" si="2"/>
        <v>0.66347612419430457</v>
      </c>
      <c r="P20" s="78">
        <f>(I20+($S20-$I20)*1/4)</f>
        <v>0.17339653434909333</v>
      </c>
      <c r="Q20" s="78">
        <f>(P20+($S20-$I20)*1/4)</f>
        <v>0.33675639763083043</v>
      </c>
      <c r="R20" s="78">
        <f>(Q20+($S20-$I20)*1/4)</f>
        <v>0.50011626091256756</v>
      </c>
      <c r="S20" s="78">
        <f>G20/$G$26</f>
        <v>0.66347612419430457</v>
      </c>
    </row>
    <row r="21" spans="1:19">
      <c r="A21" s="72">
        <v>0</v>
      </c>
      <c r="B21" s="71">
        <v>18710</v>
      </c>
      <c r="C21" s="71" t="s">
        <v>885</v>
      </c>
      <c r="D21" s="71" t="s">
        <v>943</v>
      </c>
      <c r="E21" s="71" t="s">
        <v>944</v>
      </c>
      <c r="F21" s="71">
        <v>9.5000000000000001E-2</v>
      </c>
      <c r="G21" s="98">
        <v>0.90476190476190466</v>
      </c>
      <c r="H21" s="98">
        <v>0.66433566433566438</v>
      </c>
      <c r="I21" s="78">
        <f t="shared" si="0"/>
        <v>0.10036671067356259</v>
      </c>
      <c r="J21" s="78">
        <f t="shared" si="1"/>
        <v>0.13346101339739427</v>
      </c>
      <c r="K21" s="78">
        <f t="shared" si="1"/>
        <v>0.25109322492426361</v>
      </c>
      <c r="L21" s="78">
        <f t="shared" si="1"/>
        <v>0.48991105247954864</v>
      </c>
      <c r="M21" s="78">
        <f t="shared" si="2"/>
        <v>0.96677949525455797</v>
      </c>
      <c r="P21" s="78">
        <f>(I21+($S21-$I21)*1/4)</f>
        <v>0.31696990681881143</v>
      </c>
      <c r="Q21" s="78">
        <f>(P21+($S21-$I21)*1/4)</f>
        <v>0.53357310296406024</v>
      </c>
      <c r="R21" s="78">
        <f>(Q21+($S21-$I21)*1/4)</f>
        <v>0.75017629910930905</v>
      </c>
      <c r="S21" s="78">
        <f>G21/$G$26</f>
        <v>0.96677949525455797</v>
      </c>
    </row>
    <row r="22" spans="1:19">
      <c r="A22" s="72">
        <v>0</v>
      </c>
      <c r="B22" s="71">
        <v>18743</v>
      </c>
      <c r="C22" s="71" t="s">
        <v>871</v>
      </c>
      <c r="D22" s="71" t="s">
        <v>945</v>
      </c>
      <c r="E22" s="71" t="s">
        <v>946</v>
      </c>
      <c r="F22" s="71">
        <v>0.1130952380952381</v>
      </c>
      <c r="G22" s="98">
        <v>0.89622641509433953</v>
      </c>
      <c r="H22" s="98">
        <v>0.52777777777777779</v>
      </c>
      <c r="I22" s="78">
        <f t="shared" si="0"/>
        <v>0.11948417937328881</v>
      </c>
      <c r="J22" s="78">
        <f t="shared" si="1"/>
        <v>0.1385380496945724</v>
      </c>
      <c r="K22" s="78">
        <f t="shared" si="1"/>
        <v>0.25344543843573181</v>
      </c>
      <c r="L22" s="78">
        <f t="shared" si="1"/>
        <v>0.48856505817289836</v>
      </c>
      <c r="M22" s="78">
        <f t="shared" si="2"/>
        <v>0.9576589339785716</v>
      </c>
      <c r="P22" s="78">
        <f>(I22+($S22-$I22)*1/4)</f>
        <v>0.32902786802460948</v>
      </c>
      <c r="Q22" s="78">
        <f>(P22+($S22-$I22)*1/4)</f>
        <v>0.53857155667593015</v>
      </c>
      <c r="R22" s="78">
        <f>(Q22+($S22-$I22)*1/4)</f>
        <v>0.74811524532725082</v>
      </c>
      <c r="S22" s="78">
        <f>G22/$G$26</f>
        <v>0.9576589339785716</v>
      </c>
    </row>
    <row r="23" spans="1:19">
      <c r="A23" s="72">
        <v>0</v>
      </c>
      <c r="B23" s="71">
        <v>18701</v>
      </c>
      <c r="C23" s="71" t="s">
        <v>893</v>
      </c>
      <c r="D23" s="71" t="s">
        <v>947</v>
      </c>
      <c r="E23" s="71" t="s">
        <v>948</v>
      </c>
      <c r="F23" s="71">
        <v>8.6363636363636365E-2</v>
      </c>
      <c r="G23" s="98">
        <v>0.70370370370370361</v>
      </c>
      <c r="H23" s="98">
        <v>0.1727272727272727</v>
      </c>
      <c r="I23" s="78">
        <f t="shared" si="0"/>
        <v>9.124246424869327E-2</v>
      </c>
      <c r="J23" s="78">
        <f t="shared" si="1"/>
        <v>0.10796494738592542</v>
      </c>
      <c r="K23" s="78">
        <f t="shared" si="1"/>
        <v>0.19839578156915411</v>
      </c>
      <c r="L23" s="78">
        <f t="shared" si="1"/>
        <v>0.3831936794300943</v>
      </c>
      <c r="M23" s="78">
        <f t="shared" si="2"/>
        <v>0.75193960742021171</v>
      </c>
      <c r="P23" s="78">
        <f>(I23+($S23-$I23)*1/4)</f>
        <v>0.25641675004157288</v>
      </c>
      <c r="Q23" s="78">
        <f>(P23+($S23-$I23)*1/4)</f>
        <v>0.42159103583445245</v>
      </c>
      <c r="R23" s="78">
        <f>(Q23+($S23-$I23)*1/4)</f>
        <v>0.58676532162733208</v>
      </c>
      <c r="S23" s="78">
        <f>G23/$G$26</f>
        <v>0.75193960742021171</v>
      </c>
    </row>
    <row r="24" spans="1:19">
      <c r="A24" s="72">
        <v>0</v>
      </c>
      <c r="B24" s="71">
        <v>18588</v>
      </c>
      <c r="C24" s="71" t="s">
        <v>880</v>
      </c>
      <c r="D24" s="71" t="s">
        <v>949</v>
      </c>
      <c r="E24" s="71" t="s">
        <v>950</v>
      </c>
      <c r="F24" s="71">
        <v>1.9E-2</v>
      </c>
      <c r="G24" s="98">
        <v>0.69852941176470584</v>
      </c>
      <c r="H24" s="98">
        <v>0.1938775510204081</v>
      </c>
      <c r="I24" s="78">
        <f t="shared" si="0"/>
        <v>2.007334213471252E-2</v>
      </c>
      <c r="J24" s="78">
        <f t="shared" si="1"/>
        <v>8.4908491170813685E-2</v>
      </c>
      <c r="K24" s="78">
        <f t="shared" si="1"/>
        <v>0.18034917220077765</v>
      </c>
      <c r="L24" s="78">
        <f t="shared" si="1"/>
        <v>0.36886616510865133</v>
      </c>
      <c r="M24" s="78">
        <f t="shared" si="2"/>
        <v>0.74641063971859256</v>
      </c>
      <c r="P24" s="78">
        <f>(I24+($S24-$I24)*1/4)</f>
        <v>0.20165766653068251</v>
      </c>
      <c r="Q24" s="78">
        <f>(P24+($S24-$I24)*1/4)</f>
        <v>0.38324199092665251</v>
      </c>
      <c r="R24" s="78">
        <f>(Q24+($S24-$I24)*1/4)</f>
        <v>0.56482631532262251</v>
      </c>
      <c r="S24" s="78">
        <f>G24/$G$26</f>
        <v>0.74641063971859256</v>
      </c>
    </row>
    <row r="25" spans="1:19">
      <c r="A25" s="72">
        <v>0</v>
      </c>
      <c r="B25" s="71">
        <v>18624</v>
      </c>
      <c r="C25" s="71" t="s">
        <v>877</v>
      </c>
      <c r="D25" s="71" t="s">
        <v>951</v>
      </c>
      <c r="E25" s="71" t="s">
        <v>952</v>
      </c>
      <c r="F25" s="71">
        <v>6.7375886524822688E-3</v>
      </c>
      <c r="G25" s="98">
        <v>0.69852941176470584</v>
      </c>
      <c r="H25" s="98">
        <v>0.152</v>
      </c>
      <c r="I25" s="78">
        <f t="shared" si="0"/>
        <v>7.1182064307491197E-3</v>
      </c>
      <c r="J25" s="78">
        <f t="shared" si="1"/>
        <v>8.0817395685351567E-2</v>
      </c>
      <c r="K25" s="78">
        <f t="shared" si="1"/>
        <v>0.17730090497631568</v>
      </c>
      <c r="L25" s="78">
        <f t="shared" si="1"/>
        <v>0.36675104091208588</v>
      </c>
      <c r="M25" s="78">
        <f t="shared" si="2"/>
        <v>0.74641063971859256</v>
      </c>
      <c r="P25" s="78">
        <f>(I25+($S25-$I25)*1/4)</f>
        <v>0.19194131475270998</v>
      </c>
      <c r="Q25" s="78">
        <f>(P25+($S25-$I25)*1/4)</f>
        <v>0.37676442307467084</v>
      </c>
      <c r="R25" s="78">
        <f>(Q25+($S25-$I25)*1/4)</f>
        <v>0.56158753139663165</v>
      </c>
      <c r="S25" s="78">
        <f>G25/$G$26</f>
        <v>0.74641063971859256</v>
      </c>
    </row>
    <row r="26" spans="1:19">
      <c r="F26" s="75">
        <f>SUM(F2:F25)</f>
        <v>0.94652897721219997</v>
      </c>
      <c r="G26" s="75">
        <f>SUM(G2:G25)/16</f>
        <v>0.93585135928402807</v>
      </c>
      <c r="I26" s="75">
        <f>SUM(I2:I25)</f>
        <v>0.99999999999999989</v>
      </c>
      <c r="P26" s="2">
        <f>+P27/SUM(P2:P25)</f>
        <v>0.42105263157894735</v>
      </c>
      <c r="Q26" s="2">
        <f>+Q27/SUM(Q2:Q25)</f>
        <v>0.47058823529411764</v>
      </c>
      <c r="R26" s="2">
        <f>+R27/SUM(R2:R25)</f>
        <v>0.65306122448979576</v>
      </c>
      <c r="S26" s="96">
        <f>SUM(S2:S25)/16</f>
        <v>0.99999999999999978</v>
      </c>
    </row>
    <row r="27" spans="1:19">
      <c r="I27" s="77"/>
      <c r="P27" s="77">
        <f>2*$S$26</f>
        <v>1.9999999999999996</v>
      </c>
      <c r="Q27" s="77">
        <f>4*$S$26</f>
        <v>3.9999999999999991</v>
      </c>
      <c r="R27" s="77">
        <f>8*S26</f>
        <v>7.9999999999999982</v>
      </c>
    </row>
    <row r="28" spans="1:19">
      <c r="L28" s="26">
        <f>+R27/SUM(R2:R25)</f>
        <v>0.65306122448979576</v>
      </c>
    </row>
    <row r="29" spans="1:19">
      <c r="J29" s="78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75"/>
  <sheetData>
    <row r="1" spans="1:21">
      <c r="A1" s="73" t="s">
        <v>5210</v>
      </c>
      <c r="B1" s="73"/>
      <c r="C1" t="s">
        <v>5210</v>
      </c>
      <c r="G1" s="90"/>
      <c r="H1" s="90"/>
      <c r="I1" s="90"/>
    </row>
    <row r="2" spans="1:21">
      <c r="A2" s="73" t="s">
        <v>61</v>
      </c>
      <c r="B2" s="73"/>
      <c r="C2" t="s">
        <v>3497</v>
      </c>
      <c r="I2" s="91"/>
    </row>
    <row r="3" spans="1:21">
      <c r="A3" s="73" t="s">
        <v>987</v>
      </c>
      <c r="B3" s="73"/>
      <c r="C3" t="s">
        <v>3501</v>
      </c>
      <c r="I3" s="91"/>
    </row>
    <row r="4" spans="1:21">
      <c r="A4" s="73" t="s">
        <v>378</v>
      </c>
      <c r="B4" s="73"/>
      <c r="C4" t="s">
        <v>2154</v>
      </c>
      <c r="I4" s="91"/>
    </row>
    <row r="5" spans="1:21">
      <c r="A5" s="73" t="s">
        <v>248</v>
      </c>
      <c r="B5" s="73"/>
      <c r="C5" t="s">
        <v>3505</v>
      </c>
      <c r="I5" s="91"/>
    </row>
    <row r="6" spans="1:21">
      <c r="A6" s="73" t="s">
        <v>1002</v>
      </c>
      <c r="B6" s="73"/>
      <c r="C6" t="s">
        <v>3507</v>
      </c>
      <c r="I6" s="91"/>
    </row>
    <row r="7" spans="1:21">
      <c r="A7" s="73" t="s">
        <v>1007</v>
      </c>
      <c r="B7" s="73"/>
      <c r="C7" t="s">
        <v>3509</v>
      </c>
      <c r="I7" s="91"/>
    </row>
    <row r="8" spans="1:21">
      <c r="A8" s="73" t="s">
        <v>35</v>
      </c>
      <c r="B8" s="73"/>
      <c r="C8" t="s">
        <v>3511</v>
      </c>
      <c r="I8" s="91"/>
    </row>
    <row r="9" spans="1:21">
      <c r="A9" s="73" t="s">
        <v>1017</v>
      </c>
      <c r="B9" s="73"/>
      <c r="C9" t="s">
        <v>3512</v>
      </c>
      <c r="I9" s="91"/>
    </row>
    <row r="10" spans="1:21">
      <c r="A10" s="73" t="s">
        <v>1022</v>
      </c>
      <c r="B10" s="73"/>
      <c r="C10" t="s">
        <v>3513</v>
      </c>
      <c r="I10" s="91"/>
      <c r="S10" s="90"/>
      <c r="T10" s="90"/>
      <c r="U10" s="90"/>
    </row>
    <row r="11" spans="1:21">
      <c r="A11" s="73" t="s">
        <v>1026</v>
      </c>
      <c r="B11" s="73"/>
      <c r="C11" t="s">
        <v>3112</v>
      </c>
      <c r="I11" s="91"/>
      <c r="U11" s="91"/>
    </row>
    <row r="12" spans="1:21">
      <c r="A12" s="73" t="s">
        <v>1030</v>
      </c>
      <c r="B12" s="73"/>
      <c r="C12" t="s">
        <v>3514</v>
      </c>
      <c r="I12" s="91"/>
      <c r="U12" s="91"/>
    </row>
    <row r="13" spans="1:21">
      <c r="A13" s="73" t="s">
        <v>1035</v>
      </c>
      <c r="B13" s="73"/>
      <c r="C13" t="s">
        <v>3516</v>
      </c>
      <c r="I13" s="91"/>
      <c r="U13" s="91"/>
    </row>
    <row r="14" spans="1:21">
      <c r="A14" s="73" t="s">
        <v>1041</v>
      </c>
      <c r="B14" s="73"/>
      <c r="C14" t="s">
        <v>3517</v>
      </c>
      <c r="I14" s="91"/>
      <c r="U14" s="91"/>
    </row>
    <row r="15" spans="1:21">
      <c r="A15" s="73" t="s">
        <v>502</v>
      </c>
      <c r="B15" s="73"/>
      <c r="C15" t="s">
        <v>3518</v>
      </c>
      <c r="I15" s="91"/>
      <c r="U15" s="91"/>
    </row>
    <row r="16" spans="1:21">
      <c r="A16" s="73" t="s">
        <v>71</v>
      </c>
      <c r="B16" s="73"/>
      <c r="C16" t="s">
        <v>3519</v>
      </c>
      <c r="I16" s="91"/>
      <c r="U16" s="91"/>
    </row>
    <row r="17" spans="1:21">
      <c r="A17" s="73" t="s">
        <v>1053</v>
      </c>
      <c r="B17" s="73"/>
      <c r="C17" t="s">
        <v>3521</v>
      </c>
      <c r="I17" s="91"/>
      <c r="U17" s="91"/>
    </row>
    <row r="18" spans="1:21">
      <c r="A18" s="73" t="s">
        <v>1059</v>
      </c>
      <c r="B18" s="73"/>
      <c r="C18" t="s">
        <v>3522</v>
      </c>
      <c r="I18" s="91"/>
      <c r="U18" s="91"/>
    </row>
    <row r="19" spans="1:21">
      <c r="A19" s="73" t="s">
        <v>1063</v>
      </c>
      <c r="B19" s="73"/>
      <c r="C19" t="s">
        <v>3524</v>
      </c>
      <c r="I19" s="91"/>
      <c r="U19" s="91"/>
    </row>
    <row r="20" spans="1:21">
      <c r="A20" s="73" t="s">
        <v>52</v>
      </c>
      <c r="B20" s="73"/>
      <c r="C20" t="s">
        <v>3525</v>
      </c>
      <c r="I20" s="91"/>
      <c r="U20" s="91"/>
    </row>
    <row r="21" spans="1:21">
      <c r="A21" s="73" t="s">
        <v>322</v>
      </c>
      <c r="B21" s="73"/>
      <c r="C21" t="s">
        <v>2215</v>
      </c>
      <c r="I21" s="91"/>
      <c r="U21" s="91"/>
    </row>
    <row r="22" spans="1:21">
      <c r="A22" s="73" t="s">
        <v>521</v>
      </c>
      <c r="B22" s="73"/>
      <c r="C22" t="s">
        <v>3527</v>
      </c>
      <c r="I22" s="91"/>
      <c r="U22" s="91"/>
    </row>
    <row r="23" spans="1:21">
      <c r="A23" s="73" t="s">
        <v>1078</v>
      </c>
      <c r="B23" s="73"/>
      <c r="C23" t="s">
        <v>3528</v>
      </c>
      <c r="I23" s="91"/>
      <c r="U23" s="91"/>
    </row>
    <row r="24" spans="1:21">
      <c r="A24" s="73" t="s">
        <v>1082</v>
      </c>
      <c r="B24" s="73"/>
      <c r="C24" t="s">
        <v>3531</v>
      </c>
      <c r="I24" s="91"/>
      <c r="U24" s="91"/>
    </row>
    <row r="25" spans="1:21">
      <c r="A25" s="73" t="s">
        <v>1087</v>
      </c>
      <c r="B25" s="73"/>
      <c r="C25" t="s">
        <v>3533</v>
      </c>
      <c r="I25" s="91"/>
      <c r="U25" s="91"/>
    </row>
    <row r="26" spans="1:21">
      <c r="A26" s="73" t="s">
        <v>75</v>
      </c>
      <c r="B26" s="73"/>
      <c r="C26" t="s">
        <v>3534</v>
      </c>
      <c r="I26" s="91"/>
      <c r="U26" s="91"/>
    </row>
    <row r="27" spans="1:21">
      <c r="A27" s="73" t="s">
        <v>1094</v>
      </c>
      <c r="B27" s="73"/>
      <c r="C27" t="s">
        <v>3536</v>
      </c>
      <c r="I27" s="91"/>
      <c r="U27" s="91"/>
    </row>
    <row r="28" spans="1:21">
      <c r="A28" s="73" t="s">
        <v>1100</v>
      </c>
      <c r="B28" s="73"/>
      <c r="C28" t="s">
        <v>3538</v>
      </c>
      <c r="I28" s="91"/>
      <c r="U28" s="91"/>
    </row>
    <row r="29" spans="1:21">
      <c r="A29" s="73" t="s">
        <v>1105</v>
      </c>
      <c r="B29" s="73"/>
      <c r="C29" t="s">
        <v>3539</v>
      </c>
      <c r="I29" s="91"/>
      <c r="U29" s="91"/>
    </row>
    <row r="30" spans="1:21">
      <c r="A30" s="73" t="s">
        <v>180</v>
      </c>
      <c r="B30" s="73"/>
      <c r="C30" t="s">
        <v>3540</v>
      </c>
      <c r="I30" s="91"/>
      <c r="U30" s="91"/>
    </row>
    <row r="31" spans="1:21">
      <c r="A31" s="73" t="s">
        <v>1114</v>
      </c>
      <c r="B31" s="73"/>
      <c r="C31" t="s">
        <v>3541</v>
      </c>
      <c r="I31" s="91"/>
      <c r="U31" s="91"/>
    </row>
    <row r="32" spans="1:21">
      <c r="A32" s="73" t="s">
        <v>1119</v>
      </c>
      <c r="B32" s="73"/>
      <c r="C32" t="s">
        <v>3542</v>
      </c>
      <c r="I32" s="91"/>
      <c r="U32" s="91"/>
    </row>
    <row r="33" spans="1:21">
      <c r="A33" s="73" t="s">
        <v>134</v>
      </c>
      <c r="B33" s="73"/>
      <c r="C33" t="s">
        <v>3543</v>
      </c>
      <c r="I33" s="91"/>
      <c r="U33" s="91"/>
    </row>
    <row r="34" spans="1:21">
      <c r="A34" s="73" t="s">
        <v>1126</v>
      </c>
      <c r="B34" s="73"/>
      <c r="C34" t="s">
        <v>3544</v>
      </c>
      <c r="I34" s="91"/>
      <c r="U34" s="91"/>
    </row>
    <row r="35" spans="1:21">
      <c r="A35" s="73" t="s">
        <v>1131</v>
      </c>
      <c r="B35" s="73"/>
      <c r="C35" t="s">
        <v>3545</v>
      </c>
      <c r="I35" s="91"/>
      <c r="U35" s="91"/>
    </row>
    <row r="36" spans="1:21">
      <c r="A36" s="73" t="s">
        <v>1137</v>
      </c>
      <c r="B36" s="73"/>
      <c r="C36" t="s">
        <v>3547</v>
      </c>
      <c r="I36" s="91"/>
      <c r="U36" s="91"/>
    </row>
    <row r="37" spans="1:21">
      <c r="A37" s="73" t="s">
        <v>1143</v>
      </c>
      <c r="B37" s="73"/>
      <c r="C37" t="s">
        <v>3548</v>
      </c>
      <c r="I37" s="91"/>
      <c r="U37" s="91"/>
    </row>
    <row r="38" spans="1:21">
      <c r="A38" s="73" t="s">
        <v>1147</v>
      </c>
      <c r="B38" s="73"/>
      <c r="C38" t="s">
        <v>3550</v>
      </c>
      <c r="I38" s="91"/>
      <c r="U38" s="91"/>
    </row>
    <row r="39" spans="1:21">
      <c r="A39" s="73" t="s">
        <v>250</v>
      </c>
      <c r="B39" s="73"/>
      <c r="C39" t="s">
        <v>3551</v>
      </c>
      <c r="I39" s="91"/>
      <c r="U39" s="91"/>
    </row>
    <row r="40" spans="1:21">
      <c r="A40" s="73" t="s">
        <v>1155</v>
      </c>
      <c r="B40" s="73"/>
      <c r="C40" t="s">
        <v>3552</v>
      </c>
      <c r="I40" s="91"/>
      <c r="U40" s="91"/>
    </row>
    <row r="41" spans="1:21">
      <c r="A41" s="73" t="s">
        <v>1159</v>
      </c>
      <c r="B41" s="73"/>
      <c r="C41" t="s">
        <v>3156</v>
      </c>
      <c r="I41" s="91"/>
      <c r="U41" s="91"/>
    </row>
    <row r="42" spans="1:21">
      <c r="A42" s="73" t="s">
        <v>1163</v>
      </c>
      <c r="B42" s="73"/>
      <c r="C42" t="s">
        <v>3553</v>
      </c>
      <c r="I42" s="91"/>
      <c r="U42" s="91"/>
    </row>
    <row r="43" spans="1:21">
      <c r="A43" s="73" t="s">
        <v>629</v>
      </c>
      <c r="B43" s="73"/>
      <c r="C43" t="s">
        <v>3554</v>
      </c>
      <c r="I43" s="91"/>
      <c r="U43" s="91"/>
    </row>
    <row r="44" spans="1:21">
      <c r="A44" s="73" t="s">
        <v>1171</v>
      </c>
      <c r="B44" s="73"/>
      <c r="C44" t="s">
        <v>3556</v>
      </c>
      <c r="I44" s="91"/>
      <c r="U44" s="91"/>
    </row>
    <row r="45" spans="1:21">
      <c r="A45" s="73" t="s">
        <v>1175</v>
      </c>
      <c r="B45" s="73"/>
      <c r="C45" t="s">
        <v>3557</v>
      </c>
      <c r="I45" s="91"/>
      <c r="U45" s="91"/>
    </row>
    <row r="46" spans="1:21">
      <c r="A46" s="73" t="s">
        <v>152</v>
      </c>
      <c r="B46" s="73"/>
      <c r="C46" t="s">
        <v>3558</v>
      </c>
      <c r="I46" s="91"/>
      <c r="U46" s="91"/>
    </row>
    <row r="47" spans="1:21">
      <c r="A47" s="73" t="s">
        <v>1182</v>
      </c>
      <c r="B47" s="73"/>
      <c r="C47" t="s">
        <v>3559</v>
      </c>
      <c r="I47" s="91"/>
      <c r="U47" s="91"/>
    </row>
    <row r="48" spans="1:21">
      <c r="A48" s="73" t="s">
        <v>255</v>
      </c>
      <c r="B48" s="73"/>
      <c r="C48" t="s">
        <v>2315</v>
      </c>
      <c r="I48" s="91"/>
      <c r="U48" s="91"/>
    </row>
    <row r="49" spans="1:21">
      <c r="A49" s="73" t="s">
        <v>1189</v>
      </c>
      <c r="B49" s="73"/>
      <c r="C49" t="s">
        <v>3560</v>
      </c>
      <c r="I49" s="91"/>
      <c r="U49" s="91"/>
    </row>
    <row r="50" spans="1:21">
      <c r="A50" s="73" t="s">
        <v>1193</v>
      </c>
      <c r="B50" s="73"/>
      <c r="C50" t="s">
        <v>3561</v>
      </c>
      <c r="I50" s="91"/>
      <c r="U50" s="91"/>
    </row>
    <row r="51" spans="1:21">
      <c r="A51" s="73" t="s">
        <v>1197</v>
      </c>
      <c r="B51" s="73"/>
      <c r="C51" t="s">
        <v>3562</v>
      </c>
      <c r="I51" s="91"/>
      <c r="U51" s="91"/>
    </row>
    <row r="52" spans="1:21">
      <c r="A52" s="73" t="s">
        <v>1200</v>
      </c>
      <c r="B52" s="73"/>
      <c r="C52" t="s">
        <v>3563</v>
      </c>
      <c r="I52" s="91"/>
      <c r="U52" s="91"/>
    </row>
    <row r="53" spans="1:21">
      <c r="A53" s="73" t="s">
        <v>115</v>
      </c>
      <c r="B53" s="73"/>
      <c r="C53" t="s">
        <v>2762</v>
      </c>
      <c r="I53" s="91"/>
      <c r="U53" s="91"/>
    </row>
    <row r="54" spans="1:21">
      <c r="A54" s="73" t="s">
        <v>1207</v>
      </c>
      <c r="B54" s="73"/>
      <c r="C54" t="s">
        <v>3565</v>
      </c>
      <c r="I54" s="91"/>
      <c r="U54" s="91"/>
    </row>
    <row r="55" spans="1:21">
      <c r="A55" s="73" t="s">
        <v>1212</v>
      </c>
      <c r="B55" s="73"/>
      <c r="C55" t="s">
        <v>3567</v>
      </c>
      <c r="I55" s="91"/>
      <c r="U55" s="91"/>
    </row>
    <row r="56" spans="1:21">
      <c r="A56" s="73" t="s">
        <v>1217</v>
      </c>
      <c r="B56" s="73"/>
      <c r="C56" t="s">
        <v>1688</v>
      </c>
      <c r="I56" s="91"/>
      <c r="U56" s="91"/>
    </row>
    <row r="57" spans="1:21">
      <c r="A57" s="73" t="s">
        <v>1221</v>
      </c>
      <c r="B57" s="73"/>
      <c r="C57" t="s">
        <v>3568</v>
      </c>
      <c r="I57" s="91"/>
      <c r="U57" s="91"/>
    </row>
    <row r="58" spans="1:21">
      <c r="A58" s="73" t="s">
        <v>1225</v>
      </c>
      <c r="B58" s="73"/>
      <c r="C58" t="s">
        <v>3570</v>
      </c>
      <c r="I58" s="91"/>
      <c r="U58" s="91"/>
    </row>
    <row r="59" spans="1:21">
      <c r="A59" s="73" t="s">
        <v>617</v>
      </c>
      <c r="B59" s="73"/>
      <c r="C59" t="s">
        <v>3572</v>
      </c>
      <c r="I59" s="91"/>
      <c r="U59" s="91"/>
    </row>
    <row r="60" spans="1:21">
      <c r="A60" s="73" t="s">
        <v>1232</v>
      </c>
      <c r="B60" s="73"/>
      <c r="C60" t="s">
        <v>3573</v>
      </c>
      <c r="I60" s="91"/>
      <c r="U60" s="91"/>
    </row>
    <row r="61" spans="1:21">
      <c r="A61" s="73" t="s">
        <v>1237</v>
      </c>
      <c r="B61" s="73"/>
      <c r="C61" t="s">
        <v>3574</v>
      </c>
      <c r="I61" s="91"/>
      <c r="U61" s="91"/>
    </row>
    <row r="62" spans="1:21">
      <c r="A62" s="73" t="s">
        <v>1241</v>
      </c>
      <c r="B62" s="73"/>
      <c r="C62" t="s">
        <v>3575</v>
      </c>
      <c r="I62" s="91"/>
      <c r="U62" s="91"/>
    </row>
    <row r="63" spans="1:21">
      <c r="A63" s="73" t="s">
        <v>208</v>
      </c>
      <c r="B63" s="73"/>
      <c r="C63" t="s">
        <v>3576</v>
      </c>
      <c r="I63" s="91"/>
      <c r="U63" s="91"/>
    </row>
    <row r="64" spans="1:21">
      <c r="A64" s="73" t="s">
        <v>1248</v>
      </c>
      <c r="B64" s="73"/>
      <c r="C64" t="s">
        <v>3578</v>
      </c>
      <c r="I64" s="91"/>
      <c r="U64" s="91"/>
    </row>
    <row r="65" spans="1:21">
      <c r="A65" s="73" t="s">
        <v>1252</v>
      </c>
      <c r="B65" s="73"/>
      <c r="C65" t="s">
        <v>2539</v>
      </c>
      <c r="I65" s="91"/>
      <c r="U65" s="91"/>
    </row>
    <row r="66" spans="1:21">
      <c r="A66" s="73" t="s">
        <v>1254</v>
      </c>
      <c r="B66" s="73"/>
      <c r="C66" t="s">
        <v>3579</v>
      </c>
      <c r="I66" s="91"/>
      <c r="U66" s="91"/>
    </row>
    <row r="67" spans="1:21">
      <c r="A67" s="73" t="s">
        <v>1258</v>
      </c>
      <c r="B67" s="73"/>
      <c r="C67" t="s">
        <v>1926</v>
      </c>
      <c r="I67" s="91"/>
      <c r="U67" s="91"/>
    </row>
    <row r="68" spans="1:21">
      <c r="A68" s="73" t="s">
        <v>1262</v>
      </c>
      <c r="B68" s="73"/>
      <c r="C68" t="s">
        <v>3580</v>
      </c>
      <c r="I68" s="91"/>
      <c r="U68" s="91"/>
    </row>
    <row r="69" spans="1:21">
      <c r="A69" s="73" t="s">
        <v>1266</v>
      </c>
      <c r="B69" s="73"/>
      <c r="C69" t="s">
        <v>3581</v>
      </c>
      <c r="I69" s="91"/>
      <c r="U69" s="91"/>
    </row>
    <row r="70" spans="1:21">
      <c r="A70" s="73" t="s">
        <v>1271</v>
      </c>
      <c r="B70" s="73"/>
      <c r="C70" t="s">
        <v>3582</v>
      </c>
      <c r="I70" s="91"/>
      <c r="U70" s="91"/>
    </row>
    <row r="71" spans="1:21">
      <c r="A71" s="73" t="s">
        <v>1276</v>
      </c>
      <c r="B71" s="73"/>
      <c r="C71" t="s">
        <v>1358</v>
      </c>
      <c r="I71" s="91"/>
      <c r="U71" s="91"/>
    </row>
    <row r="72" spans="1:21">
      <c r="A72" s="73" t="s">
        <v>1279</v>
      </c>
      <c r="B72" s="73"/>
      <c r="C72" t="s">
        <v>3583</v>
      </c>
      <c r="I72" s="91"/>
      <c r="U72" s="91"/>
    </row>
    <row r="73" spans="1:21">
      <c r="A73" s="73" t="s">
        <v>286</v>
      </c>
      <c r="B73" s="73"/>
      <c r="C73" t="s">
        <v>3584</v>
      </c>
      <c r="I73" s="91"/>
      <c r="U73" s="91"/>
    </row>
    <row r="74" spans="1:21">
      <c r="A74" s="73" t="s">
        <v>1284</v>
      </c>
      <c r="B74" s="73"/>
      <c r="C74" t="s">
        <v>3585</v>
      </c>
      <c r="I74" s="91"/>
      <c r="U74" s="91"/>
    </row>
    <row r="75" spans="1:21">
      <c r="A75" s="73" t="s">
        <v>1291</v>
      </c>
      <c r="B75" s="73"/>
      <c r="C75" t="s">
        <v>3586</v>
      </c>
      <c r="I75" s="91"/>
      <c r="U75" s="91"/>
    </row>
    <row r="76" spans="1:21">
      <c r="A76" s="73" t="s">
        <v>1295</v>
      </c>
      <c r="B76" s="73"/>
      <c r="C76" t="s">
        <v>3587</v>
      </c>
      <c r="I76" s="91"/>
      <c r="U76" s="91"/>
    </row>
    <row r="77" spans="1:21">
      <c r="A77" s="73" t="s">
        <v>210</v>
      </c>
      <c r="B77" s="73"/>
      <c r="C77" t="s">
        <v>3588</v>
      </c>
      <c r="I77" s="91"/>
      <c r="U77" s="91"/>
    </row>
    <row r="78" spans="1:21">
      <c r="A78" s="73" t="s">
        <v>240</v>
      </c>
      <c r="B78" s="73"/>
      <c r="C78" t="s">
        <v>3589</v>
      </c>
      <c r="I78" s="91"/>
      <c r="U78" s="91"/>
    </row>
    <row r="79" spans="1:21">
      <c r="A79" s="73" t="s">
        <v>1306</v>
      </c>
      <c r="B79" s="73"/>
      <c r="C79" t="s">
        <v>1782</v>
      </c>
      <c r="I79" s="91"/>
      <c r="U79" s="91"/>
    </row>
    <row r="80" spans="1:21">
      <c r="A80" s="73" t="s">
        <v>1310</v>
      </c>
      <c r="B80" s="73"/>
      <c r="C80" t="s">
        <v>74</v>
      </c>
      <c r="I80" s="91"/>
      <c r="U80" s="91"/>
    </row>
    <row r="81" spans="1:21">
      <c r="A81" s="73" t="s">
        <v>344</v>
      </c>
      <c r="B81" s="73"/>
      <c r="C81" t="s">
        <v>3590</v>
      </c>
      <c r="I81" s="91"/>
      <c r="U81" s="91"/>
    </row>
    <row r="82" spans="1:21">
      <c r="A82" s="73" t="s">
        <v>155</v>
      </c>
      <c r="B82" s="73"/>
      <c r="C82" t="s">
        <v>1945</v>
      </c>
      <c r="I82" s="91"/>
      <c r="U82" s="91"/>
    </row>
    <row r="83" spans="1:21">
      <c r="A83" s="73" t="s">
        <v>379</v>
      </c>
      <c r="B83" s="73"/>
      <c r="C83" t="s">
        <v>3591</v>
      </c>
      <c r="I83" s="91"/>
      <c r="U83" s="91"/>
    </row>
    <row r="84" spans="1:21">
      <c r="A84" s="73" t="s">
        <v>1323</v>
      </c>
      <c r="B84" s="73"/>
      <c r="C84" t="s">
        <v>3593</v>
      </c>
      <c r="I84" s="91"/>
      <c r="U84" s="91"/>
    </row>
    <row r="85" spans="1:21">
      <c r="A85" s="73" t="s">
        <v>657</v>
      </c>
      <c r="B85" s="73"/>
      <c r="C85" t="s">
        <v>3594</v>
      </c>
      <c r="I85" s="91"/>
      <c r="U85" s="91"/>
    </row>
    <row r="86" spans="1:21">
      <c r="A86" s="73" t="s">
        <v>687</v>
      </c>
      <c r="B86" s="73"/>
      <c r="C86" t="s">
        <v>2855</v>
      </c>
      <c r="I86" s="91"/>
      <c r="U86" s="91"/>
    </row>
    <row r="87" spans="1:21">
      <c r="A87" s="73" t="s">
        <v>359</v>
      </c>
      <c r="B87" s="73"/>
      <c r="C87" t="s">
        <v>3595</v>
      </c>
      <c r="I87" s="91"/>
      <c r="U87" s="91"/>
    </row>
    <row r="88" spans="1:21">
      <c r="A88" s="73" t="s">
        <v>1333</v>
      </c>
      <c r="B88" s="73"/>
      <c r="C88" t="s">
        <v>3596</v>
      </c>
      <c r="I88" s="91"/>
      <c r="U88" s="91"/>
    </row>
    <row r="89" spans="1:21">
      <c r="A89" s="73" t="s">
        <v>1337</v>
      </c>
      <c r="B89" s="73"/>
      <c r="C89" t="s">
        <v>3598</v>
      </c>
      <c r="I89" s="91"/>
      <c r="U89" s="91"/>
    </row>
    <row r="90" spans="1:21">
      <c r="A90" s="73" t="s">
        <v>38</v>
      </c>
      <c r="B90" s="73"/>
      <c r="C90" t="s">
        <v>3600</v>
      </c>
      <c r="I90" s="91"/>
      <c r="U90" s="91"/>
    </row>
    <row r="91" spans="1:21">
      <c r="A91" s="73" t="s">
        <v>1345</v>
      </c>
      <c r="B91" s="73"/>
      <c r="C91" t="s">
        <v>3601</v>
      </c>
      <c r="I91" s="91"/>
      <c r="U91" s="91"/>
    </row>
    <row r="92" spans="1:21">
      <c r="A92" s="73" t="s">
        <v>1349</v>
      </c>
      <c r="B92" s="73"/>
      <c r="C92" t="s">
        <v>3603</v>
      </c>
      <c r="I92" s="91"/>
      <c r="U92" s="91"/>
    </row>
    <row r="93" spans="1:21">
      <c r="A93" s="73" t="s">
        <v>1354</v>
      </c>
      <c r="B93" s="73"/>
      <c r="C93" t="s">
        <v>3604</v>
      </c>
      <c r="I93" s="91"/>
      <c r="U93" s="91"/>
    </row>
    <row r="94" spans="1:21">
      <c r="A94" s="73" t="s">
        <v>1358</v>
      </c>
      <c r="B94" s="73"/>
      <c r="C94" t="s">
        <v>3605</v>
      </c>
      <c r="I94" s="91"/>
      <c r="U94" s="91"/>
    </row>
    <row r="95" spans="1:21">
      <c r="A95" s="73" t="s">
        <v>1361</v>
      </c>
      <c r="B95" s="73"/>
      <c r="C95" t="s">
        <v>3606</v>
      </c>
      <c r="I95" s="91"/>
      <c r="U95" s="91"/>
    </row>
    <row r="96" spans="1:21">
      <c r="A96" s="73" t="s">
        <v>1365</v>
      </c>
      <c r="B96" s="73"/>
      <c r="C96" t="s">
        <v>3607</v>
      </c>
      <c r="I96" s="91"/>
      <c r="U96" s="91"/>
    </row>
    <row r="97" spans="1:21">
      <c r="A97" s="73" t="s">
        <v>138</v>
      </c>
      <c r="B97" s="73"/>
      <c r="C97" t="s">
        <v>3608</v>
      </c>
      <c r="I97" s="91"/>
      <c r="U97" s="91"/>
    </row>
    <row r="98" spans="1:21">
      <c r="A98" s="73" t="s">
        <v>1372</v>
      </c>
      <c r="B98" s="73"/>
      <c r="C98" t="s">
        <v>3609</v>
      </c>
      <c r="I98" s="91"/>
      <c r="U98" s="91"/>
    </row>
    <row r="99" spans="1:21">
      <c r="A99" s="73" t="s">
        <v>1376</v>
      </c>
      <c r="B99" s="73"/>
      <c r="C99" t="s">
        <v>3610</v>
      </c>
      <c r="I99" s="91"/>
      <c r="U99" s="91"/>
    </row>
    <row r="100" spans="1:21">
      <c r="A100" s="73" t="s">
        <v>297</v>
      </c>
      <c r="B100" s="73"/>
      <c r="C100" t="s">
        <v>3611</v>
      </c>
      <c r="I100" s="91"/>
      <c r="U100" s="91"/>
    </row>
    <row r="101" spans="1:21">
      <c r="A101" s="73" t="s">
        <v>45</v>
      </c>
      <c r="B101" s="73"/>
      <c r="C101" t="s">
        <v>3612</v>
      </c>
      <c r="I101" s="91"/>
      <c r="U101" s="91"/>
    </row>
    <row r="102" spans="1:21">
      <c r="A102" s="73" t="s">
        <v>150</v>
      </c>
      <c r="B102" s="73"/>
      <c r="C102" t="s">
        <v>3613</v>
      </c>
      <c r="I102" s="91"/>
      <c r="U102" s="91"/>
    </row>
    <row r="103" spans="1:21">
      <c r="A103" s="73" t="s">
        <v>407</v>
      </c>
      <c r="B103" s="73"/>
      <c r="C103" t="s">
        <v>3614</v>
      </c>
      <c r="I103" s="91"/>
      <c r="U103" s="91"/>
    </row>
    <row r="104" spans="1:21">
      <c r="A104" s="73" t="s">
        <v>1394</v>
      </c>
      <c r="B104" s="73"/>
      <c r="C104" t="s">
        <v>3616</v>
      </c>
      <c r="I104" s="91"/>
      <c r="U104" s="91"/>
    </row>
    <row r="105" spans="1:21">
      <c r="A105" s="73" t="s">
        <v>1399</v>
      </c>
      <c r="B105" s="73"/>
      <c r="C105" t="s">
        <v>3617</v>
      </c>
      <c r="I105" s="91"/>
      <c r="U105" s="91"/>
    </row>
    <row r="106" spans="1:21">
      <c r="A106" s="73" t="s">
        <v>1403</v>
      </c>
      <c r="B106" s="73"/>
      <c r="C106" t="s">
        <v>3619</v>
      </c>
      <c r="I106" s="91"/>
      <c r="U106" s="91"/>
    </row>
    <row r="107" spans="1:21">
      <c r="A107" s="73" t="s">
        <v>1406</v>
      </c>
      <c r="B107" s="73"/>
      <c r="C107" t="s">
        <v>3620</v>
      </c>
      <c r="I107" s="91"/>
      <c r="U107" s="91"/>
    </row>
    <row r="108" spans="1:21">
      <c r="A108" s="73" t="s">
        <v>1410</v>
      </c>
      <c r="B108" s="73"/>
      <c r="C108" t="s">
        <v>3621</v>
      </c>
      <c r="I108" s="91"/>
      <c r="U108" s="91"/>
    </row>
    <row r="109" spans="1:21">
      <c r="A109" s="73" t="s">
        <v>1414</v>
      </c>
      <c r="B109" s="73"/>
      <c r="C109" t="s">
        <v>3622</v>
      </c>
      <c r="I109" s="91"/>
      <c r="U109" s="91"/>
    </row>
    <row r="110" spans="1:21">
      <c r="A110" s="73" t="s">
        <v>103</v>
      </c>
      <c r="B110" s="73"/>
      <c r="C110" t="s">
        <v>3623</v>
      </c>
      <c r="I110" s="91"/>
      <c r="U110" s="91"/>
    </row>
    <row r="111" spans="1:21">
      <c r="A111" s="73" t="s">
        <v>100</v>
      </c>
      <c r="B111" s="73"/>
      <c r="C111" t="s">
        <v>633</v>
      </c>
      <c r="I111" s="91"/>
      <c r="U111" s="91"/>
    </row>
    <row r="112" spans="1:21">
      <c r="A112" s="73" t="s">
        <v>301</v>
      </c>
      <c r="B112" s="73"/>
      <c r="C112" t="s">
        <v>3625</v>
      </c>
      <c r="I112" s="91"/>
      <c r="U112" s="91"/>
    </row>
    <row r="113" spans="1:21">
      <c r="A113" s="73" t="s">
        <v>67</v>
      </c>
      <c r="B113" s="73"/>
      <c r="C113" t="s">
        <v>3626</v>
      </c>
      <c r="I113" s="91"/>
      <c r="U113" s="91"/>
    </row>
    <row r="114" spans="1:21">
      <c r="A114" s="73" t="s">
        <v>1429</v>
      </c>
      <c r="B114" s="73"/>
      <c r="C114" t="s">
        <v>1036</v>
      </c>
      <c r="I114" s="91"/>
      <c r="U114" s="91"/>
    </row>
    <row r="115" spans="1:21">
      <c r="A115" s="73" t="s">
        <v>1433</v>
      </c>
      <c r="B115" s="73"/>
      <c r="C115" t="s">
        <v>3628</v>
      </c>
      <c r="I115" s="91"/>
      <c r="U115" s="91"/>
    </row>
    <row r="116" spans="1:21">
      <c r="A116" s="73" t="s">
        <v>49</v>
      </c>
      <c r="B116" s="73"/>
      <c r="C116" t="s">
        <v>3629</v>
      </c>
      <c r="I116" s="91"/>
      <c r="U116" s="91"/>
    </row>
    <row r="117" spans="1:21">
      <c r="A117" s="73" t="s">
        <v>1441</v>
      </c>
      <c r="B117" s="73"/>
      <c r="C117" t="s">
        <v>3630</v>
      </c>
      <c r="I117" s="91"/>
      <c r="U117" s="91"/>
    </row>
    <row r="118" spans="1:21">
      <c r="A118" s="73" t="s">
        <v>1445</v>
      </c>
      <c r="B118" s="73"/>
      <c r="C118" t="s">
        <v>3631</v>
      </c>
      <c r="I118" s="91"/>
      <c r="U118" s="91"/>
    </row>
    <row r="119" spans="1:21">
      <c r="A119" s="73" t="s">
        <v>1449</v>
      </c>
      <c r="B119" s="73"/>
      <c r="C119" t="s">
        <v>3633</v>
      </c>
      <c r="I119" s="91"/>
      <c r="U119" s="91"/>
    </row>
    <row r="120" spans="1:21">
      <c r="A120" s="73" t="s">
        <v>1454</v>
      </c>
      <c r="B120" s="73"/>
      <c r="C120" t="s">
        <v>3634</v>
      </c>
      <c r="I120" s="91"/>
      <c r="U120" s="91"/>
    </row>
    <row r="121" spans="1:21">
      <c r="A121" s="73" t="s">
        <v>1459</v>
      </c>
      <c r="B121" s="73"/>
      <c r="C121" t="s">
        <v>3635</v>
      </c>
      <c r="I121" s="91"/>
      <c r="U121" s="91"/>
    </row>
    <row r="122" spans="1:21">
      <c r="A122" s="73" t="s">
        <v>1464</v>
      </c>
      <c r="B122" s="73"/>
      <c r="C122" t="s">
        <v>3636</v>
      </c>
      <c r="I122" s="91"/>
      <c r="U122" s="91"/>
    </row>
    <row r="123" spans="1:21">
      <c r="A123" s="73" t="s">
        <v>1469</v>
      </c>
      <c r="B123" s="73"/>
      <c r="C123" t="s">
        <v>3637</v>
      </c>
      <c r="I123" s="91"/>
      <c r="U123" s="91"/>
    </row>
    <row r="124" spans="1:21">
      <c r="A124" s="73" t="s">
        <v>266</v>
      </c>
      <c r="B124" s="73"/>
      <c r="C124" t="s">
        <v>3638</v>
      </c>
      <c r="I124" s="91"/>
      <c r="U124" s="91"/>
    </row>
    <row r="125" spans="1:21">
      <c r="A125" s="73" t="s">
        <v>1477</v>
      </c>
      <c r="B125" s="73"/>
      <c r="C125" t="s">
        <v>3639</v>
      </c>
      <c r="I125" s="91"/>
      <c r="U125" s="91"/>
    </row>
    <row r="126" spans="1:21">
      <c r="A126" s="73" t="s">
        <v>1481</v>
      </c>
      <c r="B126" s="73"/>
      <c r="C126" t="s">
        <v>3640</v>
      </c>
      <c r="I126" s="91"/>
      <c r="U126" s="91"/>
    </row>
    <row r="127" spans="1:21">
      <c r="A127" s="73" t="s">
        <v>1485</v>
      </c>
      <c r="B127" s="73"/>
      <c r="C127" t="s">
        <v>3641</v>
      </c>
      <c r="I127" s="91"/>
      <c r="U127" s="91"/>
    </row>
    <row r="128" spans="1:21">
      <c r="A128" s="73" t="s">
        <v>1490</v>
      </c>
      <c r="B128" s="73"/>
      <c r="C128" t="s">
        <v>3642</v>
      </c>
      <c r="I128" s="91"/>
      <c r="U128" s="91"/>
    </row>
    <row r="129" spans="1:21">
      <c r="A129" s="73" t="s">
        <v>1495</v>
      </c>
      <c r="B129" s="73"/>
      <c r="C129" t="s">
        <v>3643</v>
      </c>
      <c r="I129" s="91"/>
      <c r="U129" s="91"/>
    </row>
    <row r="130" spans="1:21">
      <c r="A130" s="73" t="s">
        <v>1499</v>
      </c>
      <c r="B130" s="73"/>
      <c r="C130" t="s">
        <v>3644</v>
      </c>
      <c r="I130" s="91"/>
      <c r="U130" s="91"/>
    </row>
    <row r="131" spans="1:21">
      <c r="A131" s="73" t="s">
        <v>1504</v>
      </c>
      <c r="B131" s="73"/>
      <c r="C131" t="s">
        <v>3645</v>
      </c>
      <c r="I131" s="91"/>
      <c r="U131" s="91"/>
    </row>
    <row r="132" spans="1:21">
      <c r="A132" s="73" t="s">
        <v>239</v>
      </c>
      <c r="B132" s="73"/>
      <c r="C132" t="s">
        <v>1087</v>
      </c>
      <c r="I132" s="91"/>
      <c r="U132" s="91"/>
    </row>
    <row r="133" spans="1:21">
      <c r="A133" s="73" t="s">
        <v>1511</v>
      </c>
      <c r="B133" s="73"/>
      <c r="C133" t="s">
        <v>3646</v>
      </c>
      <c r="I133" s="91"/>
      <c r="U133" s="91"/>
    </row>
    <row r="134" spans="1:21">
      <c r="A134" s="73" t="s">
        <v>1515</v>
      </c>
      <c r="B134" s="73"/>
      <c r="C134" t="s">
        <v>3647</v>
      </c>
      <c r="I134" s="91"/>
      <c r="U134" s="91"/>
    </row>
    <row r="135" spans="1:21">
      <c r="A135" s="73" t="s">
        <v>1520</v>
      </c>
      <c r="B135" s="73"/>
      <c r="C135" t="s">
        <v>3649</v>
      </c>
      <c r="I135" s="91"/>
      <c r="U135" s="91"/>
    </row>
    <row r="136" spans="1:21">
      <c r="A136" s="73" t="s">
        <v>43</v>
      </c>
      <c r="B136" s="73"/>
      <c r="C136" t="s">
        <v>185</v>
      </c>
      <c r="I136" s="91"/>
      <c r="U136" s="91"/>
    </row>
    <row r="137" spans="1:21">
      <c r="A137" s="73" t="s">
        <v>1527</v>
      </c>
      <c r="B137" s="73"/>
      <c r="C137" t="s">
        <v>1752</v>
      </c>
      <c r="I137" s="91"/>
      <c r="U137" s="91"/>
    </row>
    <row r="138" spans="1:21">
      <c r="A138" s="73" t="s">
        <v>1532</v>
      </c>
      <c r="B138" s="73"/>
      <c r="C138" t="s">
        <v>2603</v>
      </c>
      <c r="I138" s="91"/>
      <c r="U138" s="91"/>
    </row>
    <row r="139" spans="1:21">
      <c r="A139" s="73" t="s">
        <v>1535</v>
      </c>
      <c r="B139" s="73"/>
      <c r="C139" t="s">
        <v>3650</v>
      </c>
      <c r="I139" s="91"/>
      <c r="U139" s="91"/>
    </row>
    <row r="140" spans="1:21">
      <c r="A140" s="73" t="s">
        <v>1540</v>
      </c>
      <c r="B140" s="73"/>
      <c r="C140" t="s">
        <v>3651</v>
      </c>
      <c r="I140" s="91"/>
      <c r="U140" s="91"/>
    </row>
    <row r="141" spans="1:21">
      <c r="A141" s="73" t="s">
        <v>1546</v>
      </c>
      <c r="B141" s="73"/>
      <c r="C141" t="s">
        <v>3652</v>
      </c>
      <c r="I141" s="91"/>
      <c r="U141" s="91"/>
    </row>
    <row r="142" spans="1:21">
      <c r="A142" s="73" t="s">
        <v>1550</v>
      </c>
      <c r="B142" s="73"/>
      <c r="C142" t="s">
        <v>3653</v>
      </c>
      <c r="I142" s="91"/>
      <c r="U142" s="91"/>
    </row>
    <row r="143" spans="1:21">
      <c r="A143" s="73" t="s">
        <v>1554</v>
      </c>
      <c r="B143" s="73"/>
      <c r="C143" t="s">
        <v>2876</v>
      </c>
      <c r="I143" s="91"/>
      <c r="U143" s="91"/>
    </row>
    <row r="144" spans="1:21">
      <c r="A144" s="73" t="s">
        <v>1558</v>
      </c>
      <c r="B144" s="73"/>
      <c r="C144" t="s">
        <v>3654</v>
      </c>
      <c r="I144" s="91"/>
      <c r="U144" s="91"/>
    </row>
    <row r="145" spans="1:21">
      <c r="A145" s="73" t="s">
        <v>1561</v>
      </c>
      <c r="B145" s="73"/>
      <c r="C145" t="s">
        <v>3655</v>
      </c>
      <c r="I145" s="91"/>
      <c r="U145" s="91"/>
    </row>
    <row r="146" spans="1:21">
      <c r="A146" s="73" t="s">
        <v>1565</v>
      </c>
      <c r="B146" s="73"/>
      <c r="C146" t="s">
        <v>3656</v>
      </c>
      <c r="I146" s="91"/>
      <c r="U146" s="91"/>
    </row>
    <row r="147" spans="1:21">
      <c r="A147" s="73" t="s">
        <v>1569</v>
      </c>
      <c r="B147" s="73"/>
      <c r="C147" t="s">
        <v>3657</v>
      </c>
      <c r="I147" s="91"/>
      <c r="U147" s="91"/>
    </row>
    <row r="148" spans="1:21">
      <c r="A148" s="73" t="s">
        <v>1573</v>
      </c>
      <c r="B148" s="73"/>
      <c r="C148" t="s">
        <v>3658</v>
      </c>
      <c r="I148" s="91"/>
      <c r="U148" s="91"/>
    </row>
    <row r="149" spans="1:21">
      <c r="A149" s="73" t="s">
        <v>1578</v>
      </c>
      <c r="B149" s="73"/>
      <c r="C149" t="s">
        <v>3659</v>
      </c>
      <c r="I149" s="91"/>
      <c r="U149" s="91"/>
    </row>
    <row r="150" spans="1:21">
      <c r="A150" s="73" t="s">
        <v>1582</v>
      </c>
      <c r="B150" s="73"/>
      <c r="C150" t="s">
        <v>3660</v>
      </c>
      <c r="I150" s="91"/>
      <c r="U150" s="91"/>
    </row>
    <row r="151" spans="1:21">
      <c r="A151" s="73" t="s">
        <v>1587</v>
      </c>
      <c r="B151" s="73"/>
      <c r="C151" t="s">
        <v>3661</v>
      </c>
      <c r="I151" s="91"/>
      <c r="U151" s="91"/>
    </row>
    <row r="152" spans="1:21">
      <c r="A152" s="73" t="s">
        <v>552</v>
      </c>
      <c r="B152" s="73"/>
      <c r="C152" t="s">
        <v>3662</v>
      </c>
      <c r="I152" s="91"/>
      <c r="U152" s="91"/>
    </row>
    <row r="153" spans="1:21">
      <c r="A153" s="73" t="s">
        <v>1594</v>
      </c>
      <c r="B153" s="73"/>
      <c r="C153" t="s">
        <v>408</v>
      </c>
      <c r="I153" s="91"/>
      <c r="U153" s="91"/>
    </row>
    <row r="154" spans="1:21">
      <c r="A154" s="73" t="s">
        <v>247</v>
      </c>
      <c r="B154" s="73"/>
      <c r="C154" t="s">
        <v>3663</v>
      </c>
      <c r="I154" s="91"/>
      <c r="U154" s="91"/>
    </row>
    <row r="155" spans="1:21">
      <c r="A155" s="73" t="s">
        <v>1602</v>
      </c>
      <c r="B155" s="73"/>
      <c r="C155" t="s">
        <v>3664</v>
      </c>
      <c r="I155" s="91"/>
      <c r="U155" s="91"/>
    </row>
    <row r="156" spans="1:21">
      <c r="A156" s="73" t="s">
        <v>124</v>
      </c>
      <c r="B156" s="73"/>
      <c r="C156" t="s">
        <v>3665</v>
      </c>
      <c r="I156" s="91"/>
      <c r="U156" s="91"/>
    </row>
    <row r="157" spans="1:21">
      <c r="A157" s="73" t="s">
        <v>1610</v>
      </c>
      <c r="B157" s="73"/>
      <c r="C157" t="s">
        <v>3666</v>
      </c>
      <c r="I157" s="91"/>
      <c r="U157" s="91"/>
    </row>
    <row r="158" spans="1:21">
      <c r="A158" s="73" t="s">
        <v>1615</v>
      </c>
      <c r="B158" s="73"/>
      <c r="C158" t="s">
        <v>3667</v>
      </c>
      <c r="I158" s="91"/>
      <c r="U158" s="91"/>
    </row>
    <row r="159" spans="1:21">
      <c r="A159" s="73" t="s">
        <v>1620</v>
      </c>
      <c r="B159" s="73"/>
      <c r="C159" t="s">
        <v>3668</v>
      </c>
      <c r="I159" s="91"/>
      <c r="U159" s="91"/>
    </row>
    <row r="160" spans="1:21">
      <c r="A160" s="73" t="s">
        <v>8</v>
      </c>
      <c r="B160" s="73"/>
      <c r="C160" t="s">
        <v>3669</v>
      </c>
      <c r="I160" s="91"/>
      <c r="U160" s="91"/>
    </row>
    <row r="161" spans="1:21">
      <c r="A161" s="73" t="s">
        <v>1627</v>
      </c>
      <c r="B161" s="73"/>
      <c r="C161" t="s">
        <v>3670</v>
      </c>
      <c r="I161" s="91"/>
      <c r="U161" s="91"/>
    </row>
    <row r="162" spans="1:21">
      <c r="A162" s="73" t="s">
        <v>217</v>
      </c>
      <c r="B162" s="73"/>
      <c r="C162" t="s">
        <v>3671</v>
      </c>
      <c r="I162" s="91"/>
      <c r="U162" s="91"/>
    </row>
    <row r="163" spans="1:21">
      <c r="A163" s="73" t="s">
        <v>300</v>
      </c>
      <c r="B163" s="73"/>
      <c r="C163" t="s">
        <v>3672</v>
      </c>
      <c r="I163" s="91"/>
      <c r="U163" s="91"/>
    </row>
    <row r="164" spans="1:21">
      <c r="A164" s="73" t="s">
        <v>572</v>
      </c>
      <c r="B164" s="73"/>
      <c r="C164" t="s">
        <v>3673</v>
      </c>
      <c r="I164" s="91"/>
      <c r="U164" s="91"/>
    </row>
    <row r="165" spans="1:21">
      <c r="A165" s="73" t="s">
        <v>1641</v>
      </c>
      <c r="B165" s="73"/>
      <c r="C165" t="s">
        <v>2043</v>
      </c>
      <c r="I165" s="91"/>
      <c r="U165" s="91"/>
    </row>
    <row r="166" spans="1:21">
      <c r="A166" s="73" t="s">
        <v>1644</v>
      </c>
      <c r="B166" s="73"/>
      <c r="C166" t="s">
        <v>280</v>
      </c>
      <c r="I166" s="91"/>
      <c r="U166" s="91"/>
    </row>
    <row r="167" spans="1:21">
      <c r="A167" s="73" t="s">
        <v>1648</v>
      </c>
      <c r="B167" s="73"/>
      <c r="C167" t="s">
        <v>3674</v>
      </c>
      <c r="I167" s="91"/>
      <c r="U167" s="91"/>
    </row>
    <row r="168" spans="1:21">
      <c r="A168" s="73" t="s">
        <v>1652</v>
      </c>
      <c r="B168" s="73"/>
      <c r="C168" t="s">
        <v>3675</v>
      </c>
      <c r="I168" s="91"/>
      <c r="U168" s="91"/>
    </row>
    <row r="169" spans="1:21">
      <c r="A169" s="73" t="s">
        <v>1657</v>
      </c>
      <c r="B169" s="73"/>
      <c r="C169" t="s">
        <v>3389</v>
      </c>
      <c r="I169" s="91"/>
      <c r="U169" s="91"/>
    </row>
    <row r="170" spans="1:21">
      <c r="A170" s="73" t="s">
        <v>15</v>
      </c>
      <c r="B170" s="73"/>
      <c r="C170" t="s">
        <v>3676</v>
      </c>
      <c r="I170" s="91"/>
      <c r="U170" s="91"/>
    </row>
    <row r="171" spans="1:21">
      <c r="A171" s="73" t="s">
        <v>680</v>
      </c>
      <c r="B171" s="73"/>
      <c r="C171" t="s">
        <v>3677</v>
      </c>
      <c r="I171" s="91"/>
      <c r="U171" s="91"/>
    </row>
    <row r="172" spans="1:21">
      <c r="A172" s="73" t="s">
        <v>1668</v>
      </c>
      <c r="B172" s="73"/>
      <c r="C172" t="s">
        <v>3678</v>
      </c>
      <c r="I172" s="91"/>
      <c r="U172" s="91"/>
    </row>
    <row r="173" spans="1:21">
      <c r="A173" s="73" t="s">
        <v>1671</v>
      </c>
      <c r="B173" s="73"/>
      <c r="C173" t="s">
        <v>3679</v>
      </c>
      <c r="I173" s="91"/>
      <c r="U173" s="91"/>
    </row>
    <row r="174" spans="1:21">
      <c r="A174" s="73" t="s">
        <v>1674</v>
      </c>
      <c r="B174" s="73"/>
      <c r="C174" t="s">
        <v>3680</v>
      </c>
      <c r="I174" s="91"/>
      <c r="U174" s="91"/>
    </row>
    <row r="175" spans="1:21">
      <c r="A175" s="73" t="s">
        <v>1678</v>
      </c>
      <c r="B175" s="73"/>
      <c r="C175" t="s">
        <v>1022</v>
      </c>
      <c r="I175" s="91"/>
      <c r="U175" s="91"/>
    </row>
    <row r="176" spans="1:21">
      <c r="A176" s="73" t="s">
        <v>449</v>
      </c>
      <c r="B176" s="73"/>
      <c r="C176" t="s">
        <v>3681</v>
      </c>
      <c r="I176" s="91"/>
      <c r="U176" s="91"/>
    </row>
    <row r="177" spans="1:21">
      <c r="A177" s="73" t="s">
        <v>280</v>
      </c>
      <c r="B177" s="73"/>
      <c r="C177" t="s">
        <v>3682</v>
      </c>
      <c r="I177" s="91"/>
      <c r="U177" s="91"/>
    </row>
    <row r="178" spans="1:21">
      <c r="A178" s="73" t="s">
        <v>1688</v>
      </c>
      <c r="B178" s="73"/>
      <c r="C178" t="s">
        <v>3683</v>
      </c>
      <c r="I178" s="91"/>
      <c r="U178" s="91"/>
    </row>
    <row r="179" spans="1:21">
      <c r="A179" s="73" t="s">
        <v>1693</v>
      </c>
      <c r="B179" s="73"/>
      <c r="C179" t="s">
        <v>3684</v>
      </c>
      <c r="I179" s="91"/>
      <c r="U179" s="91"/>
    </row>
    <row r="180" spans="1:21">
      <c r="A180" s="73" t="s">
        <v>340</v>
      </c>
      <c r="B180" s="73"/>
      <c r="C180" t="s">
        <v>3685</v>
      </c>
      <c r="I180" s="91"/>
      <c r="U180" s="91"/>
    </row>
    <row r="181" spans="1:21">
      <c r="A181" s="73" t="s">
        <v>1700</v>
      </c>
      <c r="B181" s="73"/>
      <c r="C181" t="s">
        <v>3686</v>
      </c>
      <c r="I181" s="91"/>
      <c r="U181" s="91"/>
    </row>
    <row r="182" spans="1:21">
      <c r="A182" s="73" t="s">
        <v>1705</v>
      </c>
      <c r="B182" s="73"/>
      <c r="C182" t="s">
        <v>3096</v>
      </c>
      <c r="I182" s="91"/>
      <c r="U182" s="91"/>
    </row>
    <row r="183" spans="1:21">
      <c r="A183" s="73" t="s">
        <v>1709</v>
      </c>
      <c r="B183" s="73"/>
      <c r="C183" t="s">
        <v>3687</v>
      </c>
      <c r="I183" s="91"/>
      <c r="U183" s="91"/>
    </row>
    <row r="184" spans="1:21">
      <c r="A184" s="73" t="s">
        <v>662</v>
      </c>
      <c r="B184" s="73"/>
      <c r="C184" t="s">
        <v>3688</v>
      </c>
      <c r="I184" s="91"/>
      <c r="U184" s="91"/>
    </row>
    <row r="185" spans="1:21">
      <c r="A185" s="73" t="s">
        <v>1716</v>
      </c>
      <c r="B185" s="73"/>
      <c r="C185" t="s">
        <v>3689</v>
      </c>
      <c r="I185" s="91"/>
      <c r="U185" s="91"/>
    </row>
    <row r="186" spans="1:21">
      <c r="A186" s="73" t="s">
        <v>1721</v>
      </c>
      <c r="B186" s="73"/>
      <c r="C186" t="s">
        <v>3690</v>
      </c>
      <c r="I186" s="91"/>
      <c r="U186" s="91"/>
    </row>
    <row r="187" spans="1:21">
      <c r="A187" s="73" t="s">
        <v>92</v>
      </c>
      <c r="B187" s="73"/>
      <c r="C187" t="s">
        <v>3691</v>
      </c>
      <c r="I187" s="91"/>
      <c r="U187" s="91"/>
    </row>
    <row r="188" spans="1:21">
      <c r="A188" s="73" t="s">
        <v>1728</v>
      </c>
      <c r="B188" s="73"/>
      <c r="C188" t="s">
        <v>3692</v>
      </c>
      <c r="I188" s="91"/>
      <c r="U188" s="91"/>
    </row>
    <row r="189" spans="1:21">
      <c r="A189" s="73" t="s">
        <v>1732</v>
      </c>
      <c r="B189" s="73"/>
      <c r="C189" t="s">
        <v>3693</v>
      </c>
      <c r="I189" s="91"/>
      <c r="U189" s="91"/>
    </row>
    <row r="190" spans="1:21">
      <c r="A190" s="73" t="s">
        <v>1738</v>
      </c>
      <c r="B190" s="73"/>
      <c r="C190" t="s">
        <v>3694</v>
      </c>
      <c r="I190" s="91"/>
      <c r="U190" s="91"/>
    </row>
    <row r="191" spans="1:21">
      <c r="A191" s="73" t="s">
        <v>1742</v>
      </c>
      <c r="B191" s="73"/>
      <c r="C191" t="s">
        <v>3695</v>
      </c>
      <c r="I191" s="91"/>
      <c r="U191" s="91"/>
    </row>
    <row r="192" spans="1:21">
      <c r="A192" s="73" t="s">
        <v>1747</v>
      </c>
      <c r="B192" s="73"/>
      <c r="C192" t="s">
        <v>3696</v>
      </c>
      <c r="I192" s="91"/>
      <c r="U192" s="91"/>
    </row>
    <row r="193" spans="1:21">
      <c r="A193" s="73" t="s">
        <v>1751</v>
      </c>
      <c r="B193" s="73"/>
      <c r="C193" t="s">
        <v>3697</v>
      </c>
      <c r="I193" s="91"/>
      <c r="U193" s="91"/>
    </row>
    <row r="194" spans="1:21">
      <c r="A194" s="73" t="s">
        <v>1756</v>
      </c>
      <c r="B194" s="73"/>
      <c r="C194" t="s">
        <v>3698</v>
      </c>
      <c r="I194" s="91"/>
      <c r="U194" s="91"/>
    </row>
    <row r="195" spans="1:21">
      <c r="A195" s="73" t="s">
        <v>1760</v>
      </c>
      <c r="B195" s="73"/>
      <c r="C195" t="s">
        <v>3699</v>
      </c>
      <c r="I195" s="91"/>
      <c r="U195" s="91"/>
    </row>
    <row r="196" spans="1:21">
      <c r="A196" s="73" t="s">
        <v>1765</v>
      </c>
      <c r="B196" s="73"/>
      <c r="C196" t="s">
        <v>3700</v>
      </c>
      <c r="I196" s="91"/>
      <c r="U196" s="91"/>
    </row>
    <row r="197" spans="1:21">
      <c r="A197" s="73" t="s">
        <v>1770</v>
      </c>
      <c r="B197" s="73"/>
      <c r="C197" t="s">
        <v>3701</v>
      </c>
      <c r="I197" s="91"/>
      <c r="U197" s="91"/>
    </row>
    <row r="198" spans="1:21">
      <c r="A198" s="73" t="s">
        <v>1774</v>
      </c>
      <c r="B198" s="73"/>
      <c r="C198" t="s">
        <v>3702</v>
      </c>
      <c r="I198" s="91"/>
      <c r="U198" s="91"/>
    </row>
    <row r="199" spans="1:21">
      <c r="A199" s="73" t="s">
        <v>1778</v>
      </c>
      <c r="B199" s="73"/>
      <c r="C199" t="s">
        <v>3703</v>
      </c>
      <c r="I199" s="91"/>
      <c r="U199" s="91"/>
    </row>
    <row r="200" spans="1:21">
      <c r="A200" s="73" t="s">
        <v>1782</v>
      </c>
      <c r="B200" s="73"/>
      <c r="C200" t="s">
        <v>3704</v>
      </c>
      <c r="I200" s="91"/>
      <c r="U200" s="91"/>
    </row>
    <row r="201" spans="1:21">
      <c r="A201" s="73" t="s">
        <v>1786</v>
      </c>
      <c r="B201" s="73"/>
      <c r="C201" t="s">
        <v>3219</v>
      </c>
      <c r="I201" s="91"/>
      <c r="U201" s="91"/>
    </row>
    <row r="202" spans="1:21">
      <c r="A202" s="73" t="s">
        <v>1790</v>
      </c>
      <c r="B202" s="73"/>
      <c r="C202" t="s">
        <v>3705</v>
      </c>
      <c r="I202" s="91"/>
      <c r="U202" s="91"/>
    </row>
    <row r="203" spans="1:21">
      <c r="A203" s="73" t="s">
        <v>1793</v>
      </c>
      <c r="B203" s="73"/>
      <c r="C203" t="s">
        <v>1721</v>
      </c>
      <c r="I203" s="91"/>
      <c r="U203" s="91"/>
    </row>
    <row r="204" spans="1:21">
      <c r="A204" s="73" t="s">
        <v>1797</v>
      </c>
      <c r="B204" s="73"/>
      <c r="C204" t="s">
        <v>3706</v>
      </c>
      <c r="I204" s="91"/>
      <c r="U204" s="91"/>
    </row>
    <row r="205" spans="1:21">
      <c r="A205" s="73" t="s">
        <v>1801</v>
      </c>
      <c r="B205" s="73"/>
      <c r="C205" t="s">
        <v>3707</v>
      </c>
      <c r="I205" s="91"/>
      <c r="U205" s="91"/>
    </row>
    <row r="206" spans="1:21">
      <c r="A206" s="73" t="s">
        <v>1804</v>
      </c>
      <c r="B206" s="73"/>
      <c r="C206" t="s">
        <v>3708</v>
      </c>
      <c r="I206" s="91"/>
      <c r="U206" s="91"/>
    </row>
    <row r="207" spans="1:21">
      <c r="A207" s="73" t="s">
        <v>1808</v>
      </c>
      <c r="B207" s="73"/>
      <c r="C207" t="s">
        <v>3709</v>
      </c>
      <c r="I207" s="91"/>
      <c r="U207" s="91"/>
    </row>
    <row r="208" spans="1:21">
      <c r="A208" s="73" t="s">
        <v>1813</v>
      </c>
      <c r="B208" s="73"/>
      <c r="C208" t="s">
        <v>3710</v>
      </c>
      <c r="I208" s="91"/>
      <c r="U208" s="91"/>
    </row>
    <row r="209" spans="1:21">
      <c r="A209" s="73" t="s">
        <v>1817</v>
      </c>
      <c r="B209" s="73"/>
      <c r="C209" t="s">
        <v>3711</v>
      </c>
      <c r="I209" s="91"/>
      <c r="U209" s="91"/>
    </row>
    <row r="210" spans="1:21">
      <c r="A210" s="73" t="s">
        <v>1821</v>
      </c>
      <c r="B210" s="73"/>
      <c r="C210" t="s">
        <v>3712</v>
      </c>
      <c r="I210" s="91"/>
      <c r="U210" s="91"/>
    </row>
    <row r="211" spans="1:21">
      <c r="A211" s="73" t="s">
        <v>613</v>
      </c>
      <c r="B211" s="73"/>
      <c r="C211" t="s">
        <v>3713</v>
      </c>
      <c r="I211" s="91"/>
      <c r="U211" s="91"/>
    </row>
    <row r="212" spans="1:21">
      <c r="A212" s="73" t="s">
        <v>1828</v>
      </c>
      <c r="B212" s="73"/>
      <c r="C212" t="s">
        <v>3714</v>
      </c>
      <c r="I212" s="91"/>
      <c r="U212" s="91"/>
    </row>
    <row r="213" spans="1:21">
      <c r="A213" s="73" t="s">
        <v>1832</v>
      </c>
      <c r="B213" s="73"/>
      <c r="C213" t="s">
        <v>3715</v>
      </c>
      <c r="I213" s="91"/>
      <c r="U213" s="91"/>
    </row>
    <row r="214" spans="1:21">
      <c r="A214" s="73" t="s">
        <v>1838</v>
      </c>
      <c r="B214" s="73"/>
      <c r="C214" t="s">
        <v>3716</v>
      </c>
      <c r="I214" s="91"/>
      <c r="U214" s="91"/>
    </row>
    <row r="215" spans="1:21">
      <c r="A215" s="73" t="s">
        <v>1843</v>
      </c>
      <c r="B215" s="73"/>
      <c r="C215" t="s">
        <v>3717</v>
      </c>
      <c r="I215" s="91"/>
      <c r="U215" s="91"/>
    </row>
    <row r="216" spans="1:21">
      <c r="A216" s="73" t="s">
        <v>1848</v>
      </c>
      <c r="B216" s="73"/>
      <c r="C216" t="s">
        <v>3718</v>
      </c>
      <c r="I216" s="91"/>
      <c r="U216" s="91"/>
    </row>
    <row r="217" spans="1:21">
      <c r="A217" s="73" t="s">
        <v>1853</v>
      </c>
      <c r="B217" s="73"/>
      <c r="C217" t="s">
        <v>3719</v>
      </c>
      <c r="I217" s="91"/>
      <c r="U217" s="91"/>
    </row>
    <row r="218" spans="1:21">
      <c r="A218" s="73" t="s">
        <v>1857</v>
      </c>
      <c r="B218" s="73"/>
      <c r="C218" t="s">
        <v>3720</v>
      </c>
      <c r="I218" s="91"/>
      <c r="U218" s="91"/>
    </row>
    <row r="219" spans="1:21">
      <c r="A219" s="73" t="s">
        <v>1861</v>
      </c>
      <c r="B219" s="73"/>
      <c r="C219" t="s">
        <v>3721</v>
      </c>
      <c r="I219" s="91"/>
      <c r="U219" s="91"/>
    </row>
    <row r="220" spans="1:21">
      <c r="A220" s="73" t="s">
        <v>1865</v>
      </c>
      <c r="B220" s="73"/>
      <c r="C220" t="s">
        <v>3722</v>
      </c>
      <c r="I220" s="91"/>
      <c r="U220" s="91"/>
    </row>
    <row r="221" spans="1:21">
      <c r="A221" s="73" t="s">
        <v>1869</v>
      </c>
      <c r="B221" s="73"/>
      <c r="C221" t="s">
        <v>3723</v>
      </c>
      <c r="I221" s="91"/>
      <c r="U221" s="91"/>
    </row>
    <row r="222" spans="1:21">
      <c r="A222" s="73" t="s">
        <v>1873</v>
      </c>
      <c r="B222" s="73"/>
      <c r="C222" t="s">
        <v>3724</v>
      </c>
      <c r="I222" s="91"/>
      <c r="U222" s="91"/>
    </row>
    <row r="223" spans="1:21">
      <c r="A223" s="73" t="s">
        <v>1877</v>
      </c>
      <c r="B223" s="73"/>
      <c r="C223" t="s">
        <v>2063</v>
      </c>
      <c r="I223" s="91"/>
      <c r="U223" s="91"/>
    </row>
    <row r="224" spans="1:21">
      <c r="A224" s="73" t="s">
        <v>1881</v>
      </c>
      <c r="B224" s="73"/>
      <c r="C224" t="s">
        <v>1930</v>
      </c>
      <c r="I224" s="91"/>
      <c r="U224" s="91"/>
    </row>
    <row r="225" spans="1:21">
      <c r="A225" s="73" t="s">
        <v>1884</v>
      </c>
      <c r="B225" s="73"/>
      <c r="C225" t="s">
        <v>3725</v>
      </c>
      <c r="I225" s="91"/>
      <c r="U225" s="91"/>
    </row>
    <row r="226" spans="1:21">
      <c r="A226" s="73" t="s">
        <v>1887</v>
      </c>
      <c r="B226" s="73"/>
      <c r="C226" t="s">
        <v>3726</v>
      </c>
      <c r="I226" s="91"/>
      <c r="U226" s="91"/>
    </row>
    <row r="227" spans="1:21">
      <c r="A227" s="73" t="s">
        <v>1892</v>
      </c>
      <c r="B227" s="73"/>
      <c r="C227" t="s">
        <v>3727</v>
      </c>
      <c r="I227" s="91"/>
      <c r="U227" s="91"/>
    </row>
    <row r="228" spans="1:21">
      <c r="A228" s="73" t="s">
        <v>1896</v>
      </c>
      <c r="B228" s="73"/>
      <c r="C228" t="s">
        <v>3728</v>
      </c>
      <c r="I228" s="91"/>
      <c r="U228" s="91"/>
    </row>
    <row r="229" spans="1:21">
      <c r="A229" s="73" t="s">
        <v>1900</v>
      </c>
      <c r="B229" s="73"/>
      <c r="C229" t="s">
        <v>3729</v>
      </c>
      <c r="I229" s="91"/>
      <c r="U229" s="91"/>
    </row>
    <row r="230" spans="1:21">
      <c r="A230" s="73" t="s">
        <v>1905</v>
      </c>
      <c r="B230" s="73"/>
      <c r="C230" t="s">
        <v>3731</v>
      </c>
      <c r="I230" s="91"/>
      <c r="U230" s="91"/>
    </row>
    <row r="231" spans="1:21">
      <c r="A231" s="73" t="s">
        <v>1907</v>
      </c>
      <c r="B231" s="73"/>
      <c r="C231" t="s">
        <v>3732</v>
      </c>
      <c r="I231" s="91"/>
      <c r="U231" s="91"/>
    </row>
    <row r="232" spans="1:21">
      <c r="A232" s="73" t="s">
        <v>1912</v>
      </c>
      <c r="B232" s="73"/>
      <c r="C232" t="s">
        <v>3733</v>
      </c>
      <c r="I232" s="91"/>
      <c r="U232" s="91"/>
    </row>
    <row r="233" spans="1:21">
      <c r="A233" s="73" t="s">
        <v>1916</v>
      </c>
      <c r="B233" s="73"/>
      <c r="C233" t="s">
        <v>3734</v>
      </c>
      <c r="I233" s="91"/>
      <c r="U233" s="91"/>
    </row>
    <row r="234" spans="1:21">
      <c r="A234" s="73" t="s">
        <v>1921</v>
      </c>
      <c r="B234" s="73"/>
      <c r="C234" t="s">
        <v>3735</v>
      </c>
      <c r="I234" s="91"/>
      <c r="U234" s="91"/>
    </row>
    <row r="235" spans="1:21">
      <c r="A235" s="73" t="s">
        <v>1926</v>
      </c>
      <c r="B235" s="73"/>
      <c r="C235" t="s">
        <v>3736</v>
      </c>
      <c r="I235" s="91"/>
      <c r="U235" s="91"/>
    </row>
    <row r="236" spans="1:21">
      <c r="A236" s="73" t="s">
        <v>1930</v>
      </c>
      <c r="B236" s="73"/>
      <c r="C236" t="s">
        <v>3737</v>
      </c>
      <c r="I236" s="91"/>
      <c r="U236" s="91"/>
    </row>
    <row r="237" spans="1:21">
      <c r="A237" s="73" t="s">
        <v>1934</v>
      </c>
      <c r="B237" s="73"/>
      <c r="C237" t="s">
        <v>3738</v>
      </c>
      <c r="I237" s="91"/>
      <c r="U237" s="91"/>
    </row>
    <row r="238" spans="1:21">
      <c r="A238" s="73" t="s">
        <v>263</v>
      </c>
      <c r="B238" s="73"/>
      <c r="C238" t="s">
        <v>3739</v>
      </c>
      <c r="I238" s="91"/>
      <c r="U238" s="91"/>
    </row>
    <row r="239" spans="1:21">
      <c r="A239" s="73" t="s">
        <v>1941</v>
      </c>
      <c r="B239" s="73"/>
      <c r="C239" t="s">
        <v>3740</v>
      </c>
      <c r="I239" s="91"/>
      <c r="U239" s="91"/>
    </row>
    <row r="240" spans="1:21">
      <c r="A240" s="73" t="s">
        <v>1945</v>
      </c>
      <c r="B240" s="73"/>
      <c r="C240" t="s">
        <v>3741</v>
      </c>
      <c r="I240" s="91"/>
      <c r="U240" s="91"/>
    </row>
    <row r="241" spans="1:21">
      <c r="A241" s="73" t="s">
        <v>1949</v>
      </c>
      <c r="B241" s="73"/>
      <c r="C241" t="s">
        <v>3742</v>
      </c>
      <c r="I241" s="91"/>
      <c r="U241" s="91"/>
    </row>
    <row r="242" spans="1:21">
      <c r="A242" s="73" t="s">
        <v>1953</v>
      </c>
      <c r="B242" s="73"/>
      <c r="C242" t="s">
        <v>3743</v>
      </c>
      <c r="I242" s="91"/>
      <c r="U242" s="91"/>
    </row>
    <row r="243" spans="1:21">
      <c r="A243" s="73" t="s">
        <v>1957</v>
      </c>
      <c r="B243" s="73"/>
      <c r="C243" t="s">
        <v>3744</v>
      </c>
      <c r="I243" s="91"/>
      <c r="U243" s="91"/>
    </row>
    <row r="244" spans="1:21">
      <c r="A244" s="73" t="s">
        <v>231</v>
      </c>
      <c r="B244" s="73"/>
      <c r="C244" t="s">
        <v>3745</v>
      </c>
      <c r="I244" s="91"/>
      <c r="U244" s="91"/>
    </row>
    <row r="245" spans="1:21">
      <c r="A245" s="73" t="s">
        <v>707</v>
      </c>
      <c r="B245" s="73"/>
      <c r="C245" t="s">
        <v>3746</v>
      </c>
      <c r="I245" s="91"/>
      <c r="U245" s="91"/>
    </row>
    <row r="246" spans="1:21">
      <c r="A246" s="73" t="s">
        <v>185</v>
      </c>
      <c r="B246" s="73"/>
      <c r="C246" t="s">
        <v>3747</v>
      </c>
      <c r="I246" s="91"/>
      <c r="U246" s="91"/>
    </row>
    <row r="247" spans="1:21">
      <c r="A247" s="73" t="s">
        <v>6</v>
      </c>
      <c r="B247" s="73"/>
      <c r="C247" t="s">
        <v>3748</v>
      </c>
      <c r="I247" s="91"/>
      <c r="U247" s="91"/>
    </row>
    <row r="248" spans="1:21">
      <c r="A248" s="73" t="s">
        <v>1975</v>
      </c>
      <c r="B248" s="73"/>
      <c r="C248" t="s">
        <v>3280</v>
      </c>
      <c r="I248" s="91"/>
      <c r="U248" s="91"/>
    </row>
    <row r="249" spans="1:21">
      <c r="A249" s="73" t="s">
        <v>1978</v>
      </c>
      <c r="B249" s="73"/>
      <c r="C249" t="s">
        <v>3265</v>
      </c>
      <c r="I249" s="91"/>
      <c r="U249" s="91"/>
    </row>
    <row r="250" spans="1:21">
      <c r="A250" s="73" t="s">
        <v>1982</v>
      </c>
      <c r="B250" s="73"/>
      <c r="C250" t="s">
        <v>3749</v>
      </c>
      <c r="I250" s="91"/>
      <c r="U250" s="91"/>
    </row>
    <row r="251" spans="1:21">
      <c r="A251" s="73" t="s">
        <v>1987</v>
      </c>
      <c r="B251" s="73"/>
      <c r="C251" t="s">
        <v>1295</v>
      </c>
      <c r="I251" s="91"/>
      <c r="U251" s="91"/>
    </row>
    <row r="252" spans="1:21">
      <c r="A252" s="73" t="s">
        <v>1991</v>
      </c>
      <c r="B252" s="73"/>
      <c r="C252" t="s">
        <v>3750</v>
      </c>
      <c r="I252" s="91"/>
      <c r="U252" s="91"/>
    </row>
    <row r="253" spans="1:21">
      <c r="A253" s="73" t="s">
        <v>1996</v>
      </c>
      <c r="B253" s="73"/>
      <c r="C253" t="s">
        <v>3751</v>
      </c>
      <c r="I253" s="91"/>
      <c r="U253" s="91"/>
    </row>
    <row r="254" spans="1:21">
      <c r="A254" s="73" t="s">
        <v>1999</v>
      </c>
      <c r="B254" s="73"/>
      <c r="C254" t="s">
        <v>3752</v>
      </c>
      <c r="I254" s="91"/>
      <c r="U254" s="91"/>
    </row>
    <row r="255" spans="1:21">
      <c r="A255" s="73" t="s">
        <v>2003</v>
      </c>
      <c r="B255" s="73"/>
      <c r="C255" t="s">
        <v>3753</v>
      </c>
      <c r="I255" s="91"/>
      <c r="U255" s="91"/>
    </row>
    <row r="256" spans="1:21">
      <c r="A256" s="73" t="s">
        <v>2007</v>
      </c>
      <c r="B256" s="73"/>
      <c r="C256" t="s">
        <v>3755</v>
      </c>
      <c r="I256" s="91"/>
      <c r="U256" s="91"/>
    </row>
    <row r="257" spans="1:21">
      <c r="A257" s="73" t="s">
        <v>2010</v>
      </c>
      <c r="B257" s="73"/>
      <c r="C257" t="s">
        <v>224</v>
      </c>
      <c r="I257" s="91"/>
      <c r="U257" s="91"/>
    </row>
    <row r="258" spans="1:21">
      <c r="A258" s="73" t="s">
        <v>2013</v>
      </c>
      <c r="B258" s="73"/>
      <c r="C258" t="s">
        <v>3756</v>
      </c>
      <c r="I258" s="91"/>
      <c r="U258" s="91"/>
    </row>
    <row r="259" spans="1:21">
      <c r="A259" s="73" t="s">
        <v>2018</v>
      </c>
      <c r="B259" s="73"/>
      <c r="C259" t="s">
        <v>3757</v>
      </c>
      <c r="I259" s="91"/>
      <c r="U259" s="91"/>
    </row>
    <row r="260" spans="1:21">
      <c r="A260" s="73" t="s">
        <v>2022</v>
      </c>
      <c r="B260" s="73"/>
      <c r="C260" t="s">
        <v>3758</v>
      </c>
      <c r="I260" s="91"/>
      <c r="U260" s="91"/>
    </row>
    <row r="261" spans="1:21">
      <c r="A261" s="73" t="s">
        <v>2025</v>
      </c>
      <c r="B261" s="73"/>
      <c r="C261" t="s">
        <v>3759</v>
      </c>
      <c r="I261" s="91"/>
      <c r="U261" s="91"/>
    </row>
    <row r="262" spans="1:21">
      <c r="A262" s="73" t="s">
        <v>2029</v>
      </c>
      <c r="B262" s="73"/>
      <c r="C262" t="s">
        <v>3760</v>
      </c>
      <c r="I262" s="91"/>
      <c r="U262" s="91"/>
    </row>
    <row r="263" spans="1:21">
      <c r="A263" s="73" t="s">
        <v>2032</v>
      </c>
      <c r="B263" s="73"/>
      <c r="C263" t="s">
        <v>3761</v>
      </c>
      <c r="I263" s="91"/>
      <c r="U263" s="91"/>
    </row>
    <row r="264" spans="1:21">
      <c r="A264" s="73" t="s">
        <v>2036</v>
      </c>
      <c r="B264" s="73"/>
      <c r="C264" t="s">
        <v>3762</v>
      </c>
      <c r="I264" s="91"/>
      <c r="U264" s="91"/>
    </row>
    <row r="265" spans="1:21">
      <c r="A265" s="73" t="s">
        <v>2040</v>
      </c>
      <c r="B265" s="73"/>
      <c r="C265" t="s">
        <v>3763</v>
      </c>
      <c r="I265" s="91"/>
      <c r="U265" s="91"/>
    </row>
    <row r="266" spans="1:21">
      <c r="A266" s="73" t="s">
        <v>2043</v>
      </c>
      <c r="B266" s="73"/>
      <c r="C266" t="s">
        <v>3764</v>
      </c>
      <c r="I266" s="91"/>
      <c r="U266" s="91"/>
    </row>
    <row r="267" spans="1:21">
      <c r="A267" s="73" t="s">
        <v>2047</v>
      </c>
      <c r="B267" s="73"/>
      <c r="C267" t="s">
        <v>67</v>
      </c>
      <c r="I267" s="91"/>
      <c r="U267" s="91"/>
    </row>
    <row r="268" spans="1:21">
      <c r="A268" s="73" t="s">
        <v>2052</v>
      </c>
      <c r="B268" s="73"/>
      <c r="C268" t="s">
        <v>368</v>
      </c>
      <c r="I268" s="91"/>
      <c r="U268" s="91"/>
    </row>
    <row r="269" spans="1:21">
      <c r="A269" s="73" t="s">
        <v>2056</v>
      </c>
      <c r="B269" s="73"/>
      <c r="C269" t="s">
        <v>3765</v>
      </c>
      <c r="I269" s="91"/>
      <c r="U269" s="91"/>
    </row>
    <row r="270" spans="1:21">
      <c r="A270" s="73" t="s">
        <v>2060</v>
      </c>
      <c r="B270" s="73"/>
      <c r="C270" t="s">
        <v>3766</v>
      </c>
      <c r="I270" s="91"/>
      <c r="U270" s="91"/>
    </row>
    <row r="271" spans="1:21">
      <c r="A271" s="73" t="s">
        <v>2063</v>
      </c>
      <c r="B271" s="73"/>
      <c r="C271" t="s">
        <v>3767</v>
      </c>
      <c r="I271" s="91"/>
      <c r="U271" s="91"/>
    </row>
    <row r="272" spans="1:21">
      <c r="A272" s="73" t="s">
        <v>292</v>
      </c>
      <c r="B272" s="73"/>
      <c r="C272" t="s">
        <v>3768</v>
      </c>
      <c r="I272" s="91"/>
      <c r="U272" s="91"/>
    </row>
    <row r="273" spans="1:21">
      <c r="A273" s="73" t="s">
        <v>408</v>
      </c>
      <c r="B273" s="73"/>
      <c r="C273" t="s">
        <v>3769</v>
      </c>
      <c r="I273" s="91"/>
      <c r="U273" s="91"/>
    </row>
    <row r="274" spans="1:21">
      <c r="A274" s="73" t="s">
        <v>2073</v>
      </c>
      <c r="B274" s="73"/>
      <c r="C274" t="s">
        <v>3770</v>
      </c>
      <c r="I274" s="91"/>
      <c r="U274" s="91"/>
    </row>
    <row r="275" spans="1:21">
      <c r="A275" s="73" t="s">
        <v>2077</v>
      </c>
      <c r="B275" s="73"/>
      <c r="C275" t="s">
        <v>360</v>
      </c>
      <c r="I275" s="91"/>
      <c r="U275" s="91"/>
    </row>
    <row r="276" spans="1:21">
      <c r="A276" s="73" t="s">
        <v>686</v>
      </c>
      <c r="B276" s="73"/>
      <c r="C276" t="s">
        <v>1499</v>
      </c>
      <c r="I276" s="91"/>
      <c r="U276" s="91"/>
    </row>
    <row r="277" spans="1:21">
      <c r="A277" s="73" t="s">
        <v>2086</v>
      </c>
      <c r="B277" s="73"/>
      <c r="C277" t="s">
        <v>3771</v>
      </c>
      <c r="I277" s="91"/>
      <c r="U277" s="91"/>
    </row>
    <row r="278" spans="1:21">
      <c r="A278" s="73" t="s">
        <v>227</v>
      </c>
      <c r="B278" s="73"/>
      <c r="C278" t="s">
        <v>3772</v>
      </c>
      <c r="I278" s="91"/>
      <c r="U278" s="91"/>
    </row>
    <row r="279" spans="1:21">
      <c r="A279" s="73" t="s">
        <v>2093</v>
      </c>
      <c r="B279" s="73"/>
      <c r="C279" t="s">
        <v>3773</v>
      </c>
      <c r="I279" s="91"/>
      <c r="U279" s="91"/>
    </row>
    <row r="280" spans="1:21">
      <c r="A280" s="73" t="s">
        <v>2097</v>
      </c>
      <c r="B280" s="73"/>
      <c r="C280" t="s">
        <v>3774</v>
      </c>
      <c r="I280" s="91"/>
      <c r="U280" s="91"/>
    </row>
    <row r="281" spans="1:21">
      <c r="A281" s="73" t="s">
        <v>2101</v>
      </c>
      <c r="B281" s="73"/>
      <c r="C281" t="s">
        <v>3775</v>
      </c>
      <c r="I281" s="91"/>
      <c r="U281" s="91"/>
    </row>
    <row r="282" spans="1:21">
      <c r="A282" s="73" t="s">
        <v>2105</v>
      </c>
      <c r="B282" s="73"/>
      <c r="C282" t="s">
        <v>3776</v>
      </c>
      <c r="I282" s="91"/>
      <c r="U282" s="91"/>
    </row>
    <row r="283" spans="1:21">
      <c r="A283" s="73" t="s">
        <v>823</v>
      </c>
      <c r="B283" s="73"/>
      <c r="C283" t="s">
        <v>209</v>
      </c>
      <c r="I283" s="91"/>
      <c r="U283" s="91"/>
    </row>
    <row r="284" spans="1:21">
      <c r="A284" s="73" t="s">
        <v>2112</v>
      </c>
      <c r="B284" s="73"/>
      <c r="C284" t="s">
        <v>247</v>
      </c>
      <c r="I284" s="91"/>
      <c r="U284" s="91"/>
    </row>
    <row r="285" spans="1:21">
      <c r="A285" s="73" t="s">
        <v>661</v>
      </c>
      <c r="B285" s="73"/>
      <c r="C285" t="s">
        <v>3777</v>
      </c>
      <c r="I285" s="91"/>
      <c r="U285" s="91"/>
    </row>
    <row r="286" spans="1:21">
      <c r="A286" s="73" t="s">
        <v>2119</v>
      </c>
      <c r="B286" s="73"/>
      <c r="C286" t="s">
        <v>3778</v>
      </c>
      <c r="I286" s="91"/>
      <c r="U286" s="91"/>
    </row>
    <row r="287" spans="1:21">
      <c r="A287" s="73" t="s">
        <v>2124</v>
      </c>
      <c r="B287" s="73"/>
      <c r="C287" t="s">
        <v>3779</v>
      </c>
      <c r="I287" s="91"/>
      <c r="U287" s="91"/>
    </row>
    <row r="288" spans="1:21">
      <c r="A288" s="73" t="s">
        <v>2129</v>
      </c>
      <c r="B288" s="73"/>
      <c r="C288" t="s">
        <v>3780</v>
      </c>
      <c r="I288" s="91"/>
      <c r="U288" s="91"/>
    </row>
    <row r="289" spans="1:21">
      <c r="A289" s="73" t="s">
        <v>2133</v>
      </c>
      <c r="B289" s="73"/>
      <c r="C289" t="s">
        <v>3781</v>
      </c>
      <c r="I289" s="91"/>
      <c r="U289" s="91"/>
    </row>
    <row r="290" spans="1:21">
      <c r="A290" s="73" t="s">
        <v>2138</v>
      </c>
      <c r="B290" s="73"/>
      <c r="C290" t="s">
        <v>3782</v>
      </c>
      <c r="I290" s="91"/>
      <c r="U290" s="91"/>
    </row>
    <row r="291" spans="1:21">
      <c r="A291" s="73" t="s">
        <v>2142</v>
      </c>
      <c r="B291" s="73"/>
      <c r="C291" t="s">
        <v>3783</v>
      </c>
      <c r="I291" s="91"/>
      <c r="U291" s="91"/>
    </row>
    <row r="292" spans="1:21">
      <c r="A292" s="73" t="s">
        <v>2147</v>
      </c>
      <c r="B292" s="73"/>
      <c r="C292" t="s">
        <v>3784</v>
      </c>
      <c r="I292" s="91"/>
      <c r="U292" s="91"/>
    </row>
    <row r="293" spans="1:21">
      <c r="A293" s="73" t="s">
        <v>2150</v>
      </c>
      <c r="B293" s="73"/>
      <c r="C293" t="s">
        <v>3785</v>
      </c>
      <c r="I293" s="91"/>
      <c r="U293" s="91"/>
    </row>
    <row r="294" spans="1:21">
      <c r="A294" s="73" t="s">
        <v>2154</v>
      </c>
      <c r="B294" s="73"/>
      <c r="C294" t="s">
        <v>3786</v>
      </c>
      <c r="I294" s="91"/>
      <c r="U294" s="91"/>
    </row>
    <row r="295" spans="1:21">
      <c r="A295" s="73" t="s">
        <v>2158</v>
      </c>
      <c r="B295" s="73"/>
      <c r="C295" t="s">
        <v>3787</v>
      </c>
      <c r="I295" s="91"/>
      <c r="U295" s="91"/>
    </row>
    <row r="296" spans="1:21">
      <c r="A296" s="73" t="s">
        <v>436</v>
      </c>
      <c r="B296" s="73"/>
      <c r="C296" t="s">
        <v>3215</v>
      </c>
      <c r="I296" s="91"/>
      <c r="U296" s="91"/>
    </row>
    <row r="297" spans="1:21">
      <c r="A297" s="73" t="s">
        <v>2163</v>
      </c>
      <c r="B297" s="73"/>
      <c r="C297" t="s">
        <v>3788</v>
      </c>
      <c r="I297" s="91"/>
      <c r="U297" s="91"/>
    </row>
    <row r="298" spans="1:21">
      <c r="A298" s="73" t="s">
        <v>2167</v>
      </c>
      <c r="B298" s="73"/>
      <c r="C298" t="s">
        <v>3789</v>
      </c>
      <c r="I298" s="91"/>
      <c r="U298" s="91"/>
    </row>
    <row r="299" spans="1:21">
      <c r="A299" s="73" t="s">
        <v>2170</v>
      </c>
      <c r="B299" s="73"/>
      <c r="C299" t="s">
        <v>3790</v>
      </c>
      <c r="I299" s="91"/>
      <c r="U299" s="91"/>
    </row>
    <row r="300" spans="1:21">
      <c r="A300" s="73" t="s">
        <v>2175</v>
      </c>
      <c r="B300" s="73"/>
      <c r="C300" t="s">
        <v>3791</v>
      </c>
      <c r="I300" s="91"/>
      <c r="U300" s="91"/>
    </row>
    <row r="301" spans="1:21">
      <c r="A301" s="73" t="s">
        <v>2179</v>
      </c>
      <c r="B301" s="73"/>
      <c r="C301" t="s">
        <v>3792</v>
      </c>
      <c r="I301" s="91"/>
      <c r="U301" s="91"/>
    </row>
    <row r="302" spans="1:21">
      <c r="A302" s="73" t="s">
        <v>2183</v>
      </c>
      <c r="B302" s="73"/>
      <c r="C302" t="s">
        <v>3793</v>
      </c>
      <c r="I302" s="91"/>
      <c r="U302" s="91"/>
    </row>
    <row r="303" spans="1:21">
      <c r="A303" s="73" t="s">
        <v>2188</v>
      </c>
      <c r="B303" s="73"/>
      <c r="C303" t="s">
        <v>3794</v>
      </c>
      <c r="I303" s="91"/>
      <c r="U303" s="91"/>
    </row>
    <row r="304" spans="1:21">
      <c r="A304" s="73" t="s">
        <v>2192</v>
      </c>
      <c r="B304" s="73"/>
      <c r="C304" t="s">
        <v>3795</v>
      </c>
      <c r="I304" s="91"/>
      <c r="U304" s="91"/>
    </row>
    <row r="305" spans="1:21">
      <c r="A305" s="73" t="s">
        <v>2196</v>
      </c>
      <c r="B305" s="73"/>
      <c r="C305" t="s">
        <v>3796</v>
      </c>
      <c r="I305" s="91"/>
      <c r="U305" s="91"/>
    </row>
    <row r="306" spans="1:21">
      <c r="A306" s="73" t="s">
        <v>2200</v>
      </c>
      <c r="B306" s="73"/>
      <c r="C306" t="s">
        <v>3797</v>
      </c>
      <c r="I306" s="91"/>
      <c r="U306" s="91"/>
    </row>
    <row r="307" spans="1:21">
      <c r="A307" s="73" t="s">
        <v>382</v>
      </c>
      <c r="B307" s="73"/>
      <c r="C307" t="s">
        <v>3798</v>
      </c>
      <c r="I307" s="91"/>
      <c r="U307" s="91"/>
    </row>
    <row r="308" spans="1:21">
      <c r="A308" s="73" t="s">
        <v>2207</v>
      </c>
      <c r="B308" s="73"/>
      <c r="C308" t="s">
        <v>3799</v>
      </c>
      <c r="I308" s="91"/>
      <c r="U308" s="91"/>
    </row>
    <row r="309" spans="1:21">
      <c r="A309" s="73" t="s">
        <v>2211</v>
      </c>
      <c r="B309" s="73"/>
      <c r="C309" t="s">
        <v>3800</v>
      </c>
      <c r="I309" s="91"/>
      <c r="U309" s="91"/>
    </row>
    <row r="310" spans="1:21">
      <c r="A310" s="73" t="s">
        <v>2215</v>
      </c>
      <c r="B310" s="73"/>
      <c r="C310" t="s">
        <v>3801</v>
      </c>
      <c r="I310" s="91"/>
      <c r="U310" s="91"/>
    </row>
    <row r="311" spans="1:21">
      <c r="A311" s="73" t="s">
        <v>2219</v>
      </c>
      <c r="B311" s="73"/>
      <c r="C311" t="s">
        <v>3803</v>
      </c>
      <c r="I311" s="91"/>
      <c r="U311" s="91"/>
    </row>
    <row r="312" spans="1:21">
      <c r="A312" s="73" t="s">
        <v>2222</v>
      </c>
      <c r="B312" s="73"/>
      <c r="C312" t="s">
        <v>3804</v>
      </c>
      <c r="I312" s="91"/>
      <c r="U312" s="91"/>
    </row>
    <row r="313" spans="1:21">
      <c r="A313" s="73" t="s">
        <v>2225</v>
      </c>
      <c r="B313" s="73"/>
      <c r="C313" t="s">
        <v>3805</v>
      </c>
      <c r="I313" s="91"/>
      <c r="U313" s="91"/>
    </row>
    <row r="314" spans="1:21">
      <c r="A314" s="73" t="s">
        <v>2229</v>
      </c>
      <c r="B314" s="73"/>
      <c r="C314" t="s">
        <v>3806</v>
      </c>
      <c r="I314" s="91"/>
      <c r="U314" s="91"/>
    </row>
    <row r="315" spans="1:21">
      <c r="A315" s="73" t="s">
        <v>507</v>
      </c>
      <c r="B315" s="73"/>
      <c r="C315" t="s">
        <v>3807</v>
      </c>
      <c r="I315" s="91"/>
      <c r="U315" s="91"/>
    </row>
    <row r="316" spans="1:21">
      <c r="A316" s="73" t="s">
        <v>2235</v>
      </c>
      <c r="B316" s="73"/>
      <c r="C316" t="s">
        <v>3808</v>
      </c>
      <c r="I316" s="91"/>
      <c r="U316" s="91"/>
    </row>
    <row r="317" spans="1:21">
      <c r="A317" s="73" t="s">
        <v>2240</v>
      </c>
      <c r="B317" s="73"/>
      <c r="C317" t="s">
        <v>1728</v>
      </c>
      <c r="I317" s="91"/>
      <c r="U317" s="91"/>
    </row>
    <row r="318" spans="1:21">
      <c r="A318" s="73" t="s">
        <v>2243</v>
      </c>
      <c r="B318" s="73"/>
      <c r="C318" t="s">
        <v>3809</v>
      </c>
      <c r="I318" s="91"/>
      <c r="U318" s="91"/>
    </row>
    <row r="319" spans="1:21">
      <c r="A319" s="73" t="s">
        <v>2248</v>
      </c>
      <c r="B319" s="73"/>
      <c r="C319" t="s">
        <v>3810</v>
      </c>
      <c r="I319" s="91"/>
      <c r="U319" s="91"/>
    </row>
    <row r="320" spans="1:21">
      <c r="A320" s="73" t="s">
        <v>2252</v>
      </c>
      <c r="B320" s="73"/>
      <c r="C320" t="s">
        <v>3811</v>
      </c>
      <c r="I320" s="91"/>
      <c r="U320" s="91"/>
    </row>
    <row r="321" spans="1:21">
      <c r="A321" s="73" t="s">
        <v>2256</v>
      </c>
      <c r="B321" s="73"/>
      <c r="C321" t="s">
        <v>3812</v>
      </c>
      <c r="I321" s="91"/>
      <c r="U321" s="91"/>
    </row>
    <row r="322" spans="1:21">
      <c r="A322" s="73" t="s">
        <v>2260</v>
      </c>
      <c r="B322" s="73"/>
      <c r="C322" t="s">
        <v>1808</v>
      </c>
      <c r="I322" s="91"/>
      <c r="U322" s="91"/>
    </row>
    <row r="323" spans="1:21">
      <c r="A323" s="73" t="s">
        <v>2263</v>
      </c>
      <c r="B323" s="73"/>
      <c r="C323" t="s">
        <v>3813</v>
      </c>
      <c r="I323" s="91"/>
      <c r="U323" s="91"/>
    </row>
    <row r="324" spans="1:21">
      <c r="A324" s="73" t="s">
        <v>2268</v>
      </c>
      <c r="B324" s="73"/>
      <c r="C324" t="s">
        <v>3814</v>
      </c>
      <c r="I324" s="91"/>
      <c r="U324" s="91"/>
    </row>
    <row r="325" spans="1:21">
      <c r="A325" s="73" t="s">
        <v>2272</v>
      </c>
      <c r="B325" s="73"/>
      <c r="C325" t="s">
        <v>3815</v>
      </c>
      <c r="I325" s="91"/>
      <c r="U325" s="91"/>
    </row>
    <row r="326" spans="1:21">
      <c r="A326" s="73" t="s">
        <v>2277</v>
      </c>
      <c r="B326" s="73"/>
      <c r="C326" t="s">
        <v>63</v>
      </c>
      <c r="I326" s="91"/>
      <c r="U326" s="91"/>
    </row>
    <row r="327" spans="1:21">
      <c r="A327" s="73" t="s">
        <v>2281</v>
      </c>
      <c r="B327" s="73"/>
      <c r="C327" t="s">
        <v>2368</v>
      </c>
      <c r="I327" s="91"/>
      <c r="U327" s="91"/>
    </row>
    <row r="328" spans="1:21">
      <c r="A328" s="73" t="s">
        <v>2286</v>
      </c>
      <c r="B328" s="73"/>
      <c r="C328" t="s">
        <v>3816</v>
      </c>
      <c r="I328" s="91"/>
      <c r="U328" s="91"/>
    </row>
    <row r="329" spans="1:21">
      <c r="A329" s="73" t="s">
        <v>2290</v>
      </c>
      <c r="B329" s="73"/>
      <c r="C329" t="s">
        <v>3817</v>
      </c>
      <c r="I329" s="91"/>
      <c r="U329" s="91"/>
    </row>
    <row r="330" spans="1:21">
      <c r="A330" s="73" t="s">
        <v>2294</v>
      </c>
      <c r="B330" s="73"/>
      <c r="C330" t="s">
        <v>574</v>
      </c>
      <c r="I330" s="91"/>
      <c r="U330" s="91"/>
    </row>
    <row r="331" spans="1:21">
      <c r="A331" s="73" t="s">
        <v>2299</v>
      </c>
      <c r="B331" s="73"/>
      <c r="C331" t="s">
        <v>621</v>
      </c>
      <c r="I331" s="91"/>
      <c r="U331" s="91"/>
    </row>
    <row r="332" spans="1:21">
      <c r="A332" s="73" t="s">
        <v>2303</v>
      </c>
      <c r="B332" s="73"/>
      <c r="C332" t="s">
        <v>3818</v>
      </c>
      <c r="I332" s="91"/>
      <c r="U332" s="91"/>
    </row>
    <row r="333" spans="1:21">
      <c r="A333" s="73" t="s">
        <v>2307</v>
      </c>
      <c r="B333" s="73"/>
      <c r="C333" t="s">
        <v>133</v>
      </c>
      <c r="I333" s="91"/>
      <c r="U333" s="91"/>
    </row>
    <row r="334" spans="1:21">
      <c r="A334" s="73" t="s">
        <v>2311</v>
      </c>
      <c r="B334" s="73"/>
      <c r="C334" t="s">
        <v>3819</v>
      </c>
      <c r="I334" s="91"/>
      <c r="U334" s="91"/>
    </row>
    <row r="335" spans="1:21">
      <c r="A335" s="73" t="s">
        <v>2314</v>
      </c>
      <c r="B335" s="73"/>
      <c r="C335" t="s">
        <v>3820</v>
      </c>
      <c r="I335" s="91"/>
      <c r="U335" s="91"/>
    </row>
    <row r="336" spans="1:21">
      <c r="A336" s="73" t="s">
        <v>2319</v>
      </c>
      <c r="B336" s="73"/>
      <c r="C336" t="s">
        <v>3821</v>
      </c>
      <c r="I336" s="91"/>
      <c r="U336" s="91"/>
    </row>
    <row r="337" spans="1:21">
      <c r="A337" s="73" t="s">
        <v>2324</v>
      </c>
      <c r="B337" s="73"/>
      <c r="C337" t="s">
        <v>3822</v>
      </c>
      <c r="I337" s="91"/>
      <c r="U337" s="91"/>
    </row>
    <row r="338" spans="1:21">
      <c r="A338" s="73" t="s">
        <v>2327</v>
      </c>
      <c r="B338" s="73"/>
      <c r="C338" t="s">
        <v>3823</v>
      </c>
      <c r="I338" s="91"/>
      <c r="U338" s="91"/>
    </row>
    <row r="339" spans="1:21">
      <c r="A339" s="73" t="s">
        <v>2332</v>
      </c>
      <c r="B339" s="73"/>
      <c r="C339" t="s">
        <v>252</v>
      </c>
      <c r="I339" s="91"/>
      <c r="U339" s="91"/>
    </row>
    <row r="340" spans="1:21">
      <c r="A340" s="73" t="s">
        <v>2336</v>
      </c>
      <c r="B340" s="73"/>
      <c r="C340" t="s">
        <v>3824</v>
      </c>
      <c r="I340" s="91"/>
      <c r="U340" s="91"/>
    </row>
    <row r="341" spans="1:21">
      <c r="A341" s="73" t="s">
        <v>2339</v>
      </c>
      <c r="B341" s="73"/>
      <c r="C341" t="s">
        <v>3825</v>
      </c>
      <c r="I341" s="91"/>
      <c r="U341" s="91"/>
    </row>
    <row r="342" spans="1:21">
      <c r="A342" s="73" t="s">
        <v>2343</v>
      </c>
      <c r="B342" s="73"/>
      <c r="C342" t="s">
        <v>3826</v>
      </c>
      <c r="I342" s="91"/>
      <c r="U342" s="91"/>
    </row>
    <row r="343" spans="1:21">
      <c r="A343" s="73" t="s">
        <v>2347</v>
      </c>
      <c r="B343" s="73"/>
      <c r="C343" t="s">
        <v>3122</v>
      </c>
      <c r="I343" s="91"/>
      <c r="U343" s="91"/>
    </row>
    <row r="344" spans="1:21">
      <c r="A344" s="73" t="s">
        <v>2352</v>
      </c>
      <c r="B344" s="73"/>
      <c r="C344" t="s">
        <v>2580</v>
      </c>
      <c r="I344" s="91"/>
      <c r="U344" s="91"/>
    </row>
    <row r="345" spans="1:21">
      <c r="A345" s="73" t="s">
        <v>79</v>
      </c>
      <c r="B345" s="73"/>
      <c r="C345" t="s">
        <v>3827</v>
      </c>
      <c r="I345" s="91"/>
      <c r="U345" s="91"/>
    </row>
    <row r="346" spans="1:21">
      <c r="A346" s="73" t="s">
        <v>630</v>
      </c>
      <c r="B346" s="73"/>
      <c r="C346" t="s">
        <v>250</v>
      </c>
      <c r="I346" s="91"/>
      <c r="U346" s="91"/>
    </row>
    <row r="347" spans="1:21">
      <c r="A347" s="73" t="s">
        <v>78</v>
      </c>
      <c r="B347" s="73"/>
      <c r="C347" t="s">
        <v>1345</v>
      </c>
      <c r="I347" s="91"/>
      <c r="U347" s="91"/>
    </row>
    <row r="348" spans="1:21">
      <c r="A348" s="73" t="s">
        <v>2363</v>
      </c>
      <c r="B348" s="73"/>
      <c r="C348" t="s">
        <v>2798</v>
      </c>
      <c r="I348" s="91"/>
      <c r="U348" s="91"/>
    </row>
    <row r="349" spans="1:21">
      <c r="A349" s="73" t="s">
        <v>2368</v>
      </c>
      <c r="B349" s="73"/>
      <c r="C349" t="s">
        <v>3828</v>
      </c>
      <c r="I349" s="91"/>
      <c r="U349" s="91"/>
    </row>
    <row r="350" spans="1:21">
      <c r="A350" s="73" t="s">
        <v>321</v>
      </c>
      <c r="B350" s="73"/>
      <c r="C350" t="s">
        <v>3829</v>
      </c>
      <c r="I350" s="91"/>
      <c r="U350" s="91"/>
    </row>
    <row r="351" spans="1:21">
      <c r="A351" s="73" t="s">
        <v>171</v>
      </c>
      <c r="B351" s="73"/>
      <c r="C351" t="s">
        <v>3830</v>
      </c>
      <c r="I351" s="91"/>
      <c r="U351" s="91"/>
    </row>
    <row r="352" spans="1:21">
      <c r="A352" s="73" t="s">
        <v>2377</v>
      </c>
      <c r="B352" s="73"/>
      <c r="C352" t="s">
        <v>2865</v>
      </c>
      <c r="I352" s="91"/>
      <c r="U352" s="91"/>
    </row>
    <row r="353" spans="1:21">
      <c r="A353" s="73" t="s">
        <v>2381</v>
      </c>
      <c r="B353" s="73"/>
      <c r="C353" t="s">
        <v>3831</v>
      </c>
      <c r="I353" s="91"/>
      <c r="U353" s="91"/>
    </row>
    <row r="354" spans="1:21">
      <c r="A354" s="73" t="s">
        <v>2386</v>
      </c>
      <c r="B354" s="73"/>
      <c r="C354" t="s">
        <v>230</v>
      </c>
      <c r="I354" s="91"/>
      <c r="U354" s="91"/>
    </row>
    <row r="355" spans="1:21">
      <c r="A355" s="73" t="s">
        <v>2390</v>
      </c>
      <c r="B355" s="73"/>
      <c r="C355" t="s">
        <v>3832</v>
      </c>
      <c r="I355" s="91"/>
      <c r="U355" s="91"/>
    </row>
    <row r="356" spans="1:21">
      <c r="A356" s="73" t="s">
        <v>2394</v>
      </c>
      <c r="B356" s="73"/>
      <c r="C356" t="s">
        <v>3833</v>
      </c>
      <c r="I356" s="91"/>
      <c r="U356" s="91"/>
    </row>
    <row r="357" spans="1:21">
      <c r="A357" s="73" t="s">
        <v>2399</v>
      </c>
      <c r="B357" s="73"/>
      <c r="C357" t="s">
        <v>3834</v>
      </c>
      <c r="I357" s="91"/>
      <c r="U357" s="91"/>
    </row>
    <row r="358" spans="1:21">
      <c r="A358" s="73" t="s">
        <v>2404</v>
      </c>
      <c r="B358" s="73"/>
      <c r="C358" t="s">
        <v>3835</v>
      </c>
      <c r="I358" s="91"/>
      <c r="U358" s="91"/>
    </row>
    <row r="359" spans="1:21">
      <c r="A359" s="73" t="s">
        <v>2409</v>
      </c>
      <c r="B359" s="73"/>
      <c r="C359" t="s">
        <v>1053</v>
      </c>
      <c r="I359" s="91"/>
      <c r="U359" s="91"/>
    </row>
    <row r="360" spans="1:21">
      <c r="A360" s="73" t="s">
        <v>2413</v>
      </c>
      <c r="B360" s="73"/>
      <c r="C360" t="s">
        <v>3836</v>
      </c>
      <c r="I360" s="91"/>
      <c r="U360" s="91"/>
    </row>
    <row r="361" spans="1:21">
      <c r="A361" s="73" t="s">
        <v>2417</v>
      </c>
      <c r="B361" s="73"/>
      <c r="C361" t="s">
        <v>3837</v>
      </c>
      <c r="I361" s="91"/>
      <c r="U361" s="91"/>
    </row>
    <row r="362" spans="1:21">
      <c r="A362" s="73" t="s">
        <v>2421</v>
      </c>
      <c r="B362" s="73"/>
      <c r="C362" t="s">
        <v>3838</v>
      </c>
      <c r="I362" s="91"/>
      <c r="U362" s="91"/>
    </row>
    <row r="363" spans="1:21">
      <c r="A363" s="73" t="s">
        <v>2425</v>
      </c>
      <c r="B363" s="73"/>
      <c r="C363" t="s">
        <v>2567</v>
      </c>
      <c r="I363" s="91"/>
      <c r="U363" s="91"/>
    </row>
    <row r="364" spans="1:21">
      <c r="A364" s="73" t="s">
        <v>2429</v>
      </c>
      <c r="B364" s="73"/>
      <c r="C364" t="s">
        <v>3839</v>
      </c>
      <c r="I364" s="91"/>
      <c r="U364" s="91"/>
    </row>
    <row r="365" spans="1:21">
      <c r="A365" s="73" t="s">
        <v>2434</v>
      </c>
      <c r="B365" s="73"/>
      <c r="C365" t="s">
        <v>44</v>
      </c>
      <c r="I365" s="91"/>
      <c r="U365" s="91"/>
    </row>
    <row r="366" spans="1:21">
      <c r="A366" s="73" t="s">
        <v>2439</v>
      </c>
      <c r="B366" s="73"/>
      <c r="C366" t="s">
        <v>3840</v>
      </c>
      <c r="I366" s="91"/>
      <c r="U366" s="91"/>
    </row>
    <row r="367" spans="1:21">
      <c r="A367" s="73" t="s">
        <v>2443</v>
      </c>
      <c r="B367" s="73"/>
      <c r="C367" t="s">
        <v>3841</v>
      </c>
      <c r="I367" s="91"/>
      <c r="U367" s="91"/>
    </row>
    <row r="368" spans="1:21">
      <c r="A368" s="73" t="s">
        <v>2447</v>
      </c>
      <c r="B368" s="73"/>
      <c r="C368" t="s">
        <v>3842</v>
      </c>
      <c r="I368" s="91"/>
      <c r="U368" s="91"/>
    </row>
    <row r="369" spans="1:21">
      <c r="A369" s="73" t="s">
        <v>2451</v>
      </c>
      <c r="B369" s="73"/>
      <c r="C369" t="s">
        <v>3843</v>
      </c>
      <c r="I369" s="91"/>
      <c r="U369" s="91"/>
    </row>
    <row r="370" spans="1:21">
      <c r="A370" s="73" t="s">
        <v>2455</v>
      </c>
      <c r="B370" s="73"/>
      <c r="C370" t="s">
        <v>3844</v>
      </c>
      <c r="I370" s="91"/>
      <c r="U370" s="91"/>
    </row>
    <row r="371" spans="1:21">
      <c r="A371" s="73" t="s">
        <v>2460</v>
      </c>
      <c r="B371" s="73"/>
      <c r="C371" t="s">
        <v>3845</v>
      </c>
      <c r="I371" s="91"/>
      <c r="U371" s="91"/>
    </row>
    <row r="372" spans="1:21">
      <c r="A372" s="73" t="s">
        <v>2465</v>
      </c>
      <c r="B372" s="73"/>
      <c r="C372" t="s">
        <v>3846</v>
      </c>
      <c r="I372" s="91"/>
      <c r="U372" s="91"/>
    </row>
    <row r="373" spans="1:21">
      <c r="A373" s="73" t="s">
        <v>2469</v>
      </c>
      <c r="B373" s="73"/>
      <c r="C373" t="s">
        <v>1333</v>
      </c>
      <c r="I373" s="91"/>
      <c r="U373" s="91"/>
    </row>
    <row r="374" spans="1:21">
      <c r="A374" s="73" t="s">
        <v>2473</v>
      </c>
      <c r="B374" s="73"/>
      <c r="C374" t="s">
        <v>3847</v>
      </c>
      <c r="I374" s="91"/>
      <c r="U374" s="91"/>
    </row>
    <row r="375" spans="1:21">
      <c r="A375" s="73" t="s">
        <v>2477</v>
      </c>
      <c r="B375" s="73"/>
      <c r="C375" t="s">
        <v>3848</v>
      </c>
      <c r="I375" s="91"/>
      <c r="U375" s="91"/>
    </row>
    <row r="376" spans="1:21">
      <c r="A376" s="73" t="s">
        <v>2480</v>
      </c>
      <c r="B376" s="73"/>
      <c r="C376" t="s">
        <v>3849</v>
      </c>
      <c r="I376" s="91"/>
      <c r="U376" s="91"/>
    </row>
    <row r="377" spans="1:21">
      <c r="A377" s="73" t="s">
        <v>2485</v>
      </c>
      <c r="B377" s="73"/>
      <c r="C377" t="s">
        <v>3850</v>
      </c>
      <c r="I377" s="91"/>
      <c r="U377" s="91"/>
    </row>
    <row r="378" spans="1:21">
      <c r="A378" s="73" t="s">
        <v>2489</v>
      </c>
      <c r="B378" s="73"/>
      <c r="C378" t="s">
        <v>3002</v>
      </c>
      <c r="I378" s="91"/>
      <c r="U378" s="91"/>
    </row>
    <row r="379" spans="1:21">
      <c r="A379" s="73" t="s">
        <v>2493</v>
      </c>
      <c r="B379" s="73"/>
      <c r="C379" t="s">
        <v>3851</v>
      </c>
      <c r="I379" s="91"/>
      <c r="U379" s="91"/>
    </row>
    <row r="380" spans="1:21">
      <c r="A380" s="73" t="s">
        <v>2497</v>
      </c>
      <c r="B380" s="73"/>
      <c r="C380" t="s">
        <v>3852</v>
      </c>
      <c r="I380" s="91"/>
      <c r="U380" s="91"/>
    </row>
    <row r="381" spans="1:21">
      <c r="A381" s="73" t="s">
        <v>2502</v>
      </c>
      <c r="B381" s="73"/>
      <c r="C381" t="s">
        <v>3853</v>
      </c>
      <c r="I381" s="91"/>
      <c r="U381" s="91"/>
    </row>
    <row r="382" spans="1:21">
      <c r="A382" s="73" t="s">
        <v>2507</v>
      </c>
      <c r="B382" s="73"/>
      <c r="C382" t="s">
        <v>3854</v>
      </c>
      <c r="I382" s="91"/>
      <c r="U382" s="91"/>
    </row>
    <row r="383" spans="1:21">
      <c r="A383" s="73" t="s">
        <v>2510</v>
      </c>
      <c r="B383" s="73"/>
      <c r="C383" t="s">
        <v>3855</v>
      </c>
      <c r="I383" s="91"/>
      <c r="U383" s="91"/>
    </row>
    <row r="384" spans="1:21">
      <c r="A384" s="73" t="s">
        <v>2515</v>
      </c>
      <c r="B384" s="73"/>
      <c r="C384" t="s">
        <v>3856</v>
      </c>
      <c r="I384" s="91"/>
      <c r="U384" s="91"/>
    </row>
    <row r="385" spans="1:21">
      <c r="A385" s="73" t="s">
        <v>2519</v>
      </c>
      <c r="B385" s="73"/>
      <c r="C385" t="s">
        <v>1030</v>
      </c>
      <c r="I385" s="91"/>
      <c r="U385" s="91"/>
    </row>
    <row r="386" spans="1:21">
      <c r="A386" s="73" t="s">
        <v>2523</v>
      </c>
      <c r="B386" s="73"/>
      <c r="C386" t="s">
        <v>2364</v>
      </c>
      <c r="I386" s="91"/>
      <c r="U386" s="91"/>
    </row>
    <row r="387" spans="1:21">
      <c r="A387" s="73" t="s">
        <v>2526</v>
      </c>
      <c r="B387" s="73"/>
      <c r="C387" t="s">
        <v>2548</v>
      </c>
      <c r="I387" s="91"/>
      <c r="U387" s="91"/>
    </row>
    <row r="388" spans="1:21">
      <c r="A388" s="73" t="s">
        <v>2531</v>
      </c>
      <c r="B388" s="73"/>
      <c r="C388" t="s">
        <v>1594</v>
      </c>
      <c r="I388" s="91"/>
      <c r="U388" s="91"/>
    </row>
    <row r="389" spans="1:21">
      <c r="A389" s="73" t="s">
        <v>2535</v>
      </c>
      <c r="B389" s="73"/>
      <c r="C389" t="s">
        <v>3857</v>
      </c>
      <c r="I389" s="91"/>
      <c r="U389" s="91"/>
    </row>
    <row r="390" spans="1:21">
      <c r="A390" s="73" t="s">
        <v>2539</v>
      </c>
      <c r="B390" s="73"/>
      <c r="C390" t="s">
        <v>3858</v>
      </c>
      <c r="I390" s="91"/>
      <c r="U390" s="91"/>
    </row>
    <row r="391" spans="1:21">
      <c r="A391" s="73" t="s">
        <v>2543</v>
      </c>
      <c r="B391" s="73"/>
      <c r="C391" t="s">
        <v>3859</v>
      </c>
      <c r="I391" s="91"/>
      <c r="U391" s="91"/>
    </row>
    <row r="392" spans="1:21">
      <c r="A392" s="73" t="s">
        <v>2547</v>
      </c>
      <c r="B392" s="73"/>
      <c r="C392" t="s">
        <v>3860</v>
      </c>
      <c r="I392" s="91"/>
      <c r="U392" s="91"/>
    </row>
    <row r="393" spans="1:21">
      <c r="A393" s="73" t="s">
        <v>2551</v>
      </c>
      <c r="B393" s="73"/>
      <c r="C393" t="s">
        <v>3861</v>
      </c>
      <c r="I393" s="91"/>
      <c r="U393" s="91"/>
    </row>
    <row r="394" spans="1:21">
      <c r="A394" s="73" t="s">
        <v>125</v>
      </c>
      <c r="B394" s="73"/>
      <c r="C394" t="s">
        <v>3172</v>
      </c>
      <c r="I394" s="91"/>
      <c r="U394" s="91"/>
    </row>
    <row r="395" spans="1:21">
      <c r="A395" s="73" t="s">
        <v>2557</v>
      </c>
      <c r="B395" s="73"/>
      <c r="C395" t="s">
        <v>3862</v>
      </c>
      <c r="I395" s="91"/>
      <c r="U395" s="91"/>
    </row>
    <row r="396" spans="1:21">
      <c r="A396" s="73" t="s">
        <v>2562</v>
      </c>
      <c r="B396" s="73"/>
      <c r="C396" t="s">
        <v>3863</v>
      </c>
      <c r="I396" s="91"/>
      <c r="U396" s="91"/>
    </row>
    <row r="397" spans="1:21">
      <c r="A397" s="73" t="s">
        <v>2566</v>
      </c>
      <c r="B397" s="73"/>
      <c r="C397" t="s">
        <v>3864</v>
      </c>
      <c r="I397" s="91"/>
      <c r="U397" s="91"/>
    </row>
    <row r="398" spans="1:21">
      <c r="A398" s="73" t="s">
        <v>726</v>
      </c>
      <c r="B398" s="73"/>
      <c r="C398" t="s">
        <v>406</v>
      </c>
      <c r="I398" s="91"/>
      <c r="U398" s="91"/>
    </row>
    <row r="399" spans="1:21">
      <c r="A399" s="73" t="s">
        <v>2573</v>
      </c>
      <c r="B399" s="73"/>
      <c r="C399" t="s">
        <v>1189</v>
      </c>
      <c r="I399" s="91"/>
      <c r="U399" s="91"/>
    </row>
    <row r="400" spans="1:21">
      <c r="A400" s="73" t="s">
        <v>581</v>
      </c>
      <c r="B400" s="73"/>
      <c r="C400" t="s">
        <v>3865</v>
      </c>
      <c r="I400" s="91"/>
      <c r="U400" s="91"/>
    </row>
    <row r="401" spans="1:21">
      <c r="A401" s="73" t="s">
        <v>2580</v>
      </c>
      <c r="B401" s="73"/>
      <c r="C401" t="s">
        <v>3205</v>
      </c>
      <c r="I401" s="91"/>
      <c r="U401" s="91"/>
    </row>
    <row r="402" spans="1:21">
      <c r="A402" s="73" t="s">
        <v>2583</v>
      </c>
      <c r="B402" s="73"/>
      <c r="C402" t="s">
        <v>3866</v>
      </c>
      <c r="I402" s="91"/>
      <c r="U402" s="91"/>
    </row>
    <row r="403" spans="1:21">
      <c r="A403" s="73" t="s">
        <v>2589</v>
      </c>
      <c r="B403" s="73"/>
      <c r="C403" t="s">
        <v>3867</v>
      </c>
      <c r="I403" s="91"/>
      <c r="U403" s="91"/>
    </row>
    <row r="404" spans="1:21">
      <c r="A404" s="73" t="s">
        <v>2593</v>
      </c>
      <c r="B404" s="73"/>
      <c r="C404" t="s">
        <v>3868</v>
      </c>
      <c r="I404" s="91"/>
      <c r="U404" s="91"/>
    </row>
    <row r="405" spans="1:21">
      <c r="A405" s="73" t="s">
        <v>709</v>
      </c>
      <c r="B405" s="73"/>
      <c r="C405" t="s">
        <v>3869</v>
      </c>
      <c r="I405" s="91"/>
      <c r="U405" s="91"/>
    </row>
    <row r="406" spans="1:21">
      <c r="A406" s="73" t="s">
        <v>2599</v>
      </c>
      <c r="B406" s="73"/>
      <c r="C406" t="s">
        <v>3870</v>
      </c>
      <c r="I406" s="91"/>
      <c r="U406" s="91"/>
    </row>
    <row r="407" spans="1:21">
      <c r="A407" s="73" t="s">
        <v>2603</v>
      </c>
      <c r="B407" s="73"/>
      <c r="C407" t="s">
        <v>3871</v>
      </c>
      <c r="I407" s="91"/>
      <c r="U407" s="91"/>
    </row>
    <row r="408" spans="1:21">
      <c r="A408" s="73" t="s">
        <v>2608</v>
      </c>
      <c r="B408" s="73"/>
      <c r="C408" t="s">
        <v>3872</v>
      </c>
      <c r="I408" s="91"/>
      <c r="U408" s="91"/>
    </row>
    <row r="409" spans="1:21">
      <c r="A409" s="73" t="s">
        <v>169</v>
      </c>
      <c r="B409" s="73"/>
      <c r="C409" t="s">
        <v>3873</v>
      </c>
      <c r="I409" s="91"/>
      <c r="U409" s="91"/>
    </row>
    <row r="410" spans="1:21">
      <c r="A410" s="73" t="s">
        <v>306</v>
      </c>
      <c r="B410" s="73"/>
      <c r="C410" t="s">
        <v>436</v>
      </c>
      <c r="I410" s="91"/>
      <c r="U410" s="91"/>
    </row>
    <row r="411" spans="1:21">
      <c r="A411" s="73" t="s">
        <v>2617</v>
      </c>
      <c r="B411" s="73"/>
      <c r="C411" t="s">
        <v>3874</v>
      </c>
      <c r="I411" s="91"/>
      <c r="U411" s="91"/>
    </row>
    <row r="412" spans="1:21">
      <c r="A412" s="73" t="s">
        <v>2621</v>
      </c>
      <c r="B412" s="73"/>
      <c r="C412" t="s">
        <v>3875</v>
      </c>
      <c r="I412" s="91"/>
      <c r="U412" s="91"/>
    </row>
    <row r="413" spans="1:21">
      <c r="A413" s="73" t="s">
        <v>2625</v>
      </c>
      <c r="B413" s="73"/>
      <c r="C413" t="s">
        <v>3876</v>
      </c>
      <c r="I413" s="91"/>
      <c r="U413" s="91"/>
    </row>
    <row r="414" spans="1:21">
      <c r="A414" s="73" t="s">
        <v>2630</v>
      </c>
      <c r="B414" s="73"/>
      <c r="C414" t="s">
        <v>3411</v>
      </c>
      <c r="I414" s="91"/>
      <c r="U414" s="91"/>
    </row>
    <row r="415" spans="1:21">
      <c r="A415" s="73" t="s">
        <v>2635</v>
      </c>
      <c r="B415" s="73"/>
      <c r="C415" t="s">
        <v>3877</v>
      </c>
      <c r="I415" s="91"/>
      <c r="U415" s="91"/>
    </row>
    <row r="416" spans="1:21">
      <c r="A416" s="73" t="s">
        <v>2639</v>
      </c>
      <c r="B416" s="73"/>
      <c r="C416" t="s">
        <v>1738</v>
      </c>
      <c r="I416" s="91"/>
      <c r="U416" s="91"/>
    </row>
    <row r="417" spans="1:21">
      <c r="A417" s="73" t="s">
        <v>2643</v>
      </c>
      <c r="B417" s="73"/>
      <c r="C417" t="s">
        <v>3878</v>
      </c>
      <c r="I417" s="91"/>
      <c r="U417" s="91"/>
    </row>
    <row r="418" spans="1:21">
      <c r="A418" s="73" t="s">
        <v>2649</v>
      </c>
      <c r="B418" s="73"/>
      <c r="C418" t="s">
        <v>2531</v>
      </c>
      <c r="I418" s="91"/>
      <c r="U418" s="91"/>
    </row>
    <row r="419" spans="1:21">
      <c r="A419" s="73" t="s">
        <v>2653</v>
      </c>
      <c r="B419" s="73"/>
      <c r="C419" t="s">
        <v>3879</v>
      </c>
      <c r="I419" s="91"/>
      <c r="U419" s="91"/>
    </row>
    <row r="420" spans="1:21">
      <c r="A420" s="73" t="s">
        <v>2657</v>
      </c>
      <c r="B420" s="73"/>
      <c r="C420" t="s">
        <v>3880</v>
      </c>
      <c r="I420" s="91"/>
      <c r="U420" s="91"/>
    </row>
    <row r="421" spans="1:21">
      <c r="A421" s="73" t="s">
        <v>2660</v>
      </c>
      <c r="B421" s="73"/>
      <c r="C421" t="s">
        <v>3881</v>
      </c>
      <c r="I421" s="91"/>
      <c r="U421" s="91"/>
    </row>
    <row r="422" spans="1:21">
      <c r="A422" s="73" t="s">
        <v>357</v>
      </c>
      <c r="B422" s="73"/>
      <c r="C422" t="s">
        <v>3882</v>
      </c>
      <c r="I422" s="91"/>
      <c r="U422" s="91"/>
    </row>
    <row r="423" spans="1:21">
      <c r="A423" s="73" t="s">
        <v>2667</v>
      </c>
      <c r="B423" s="73"/>
      <c r="C423" t="s">
        <v>143</v>
      </c>
      <c r="I423" s="91"/>
      <c r="U423" s="91"/>
    </row>
    <row r="424" spans="1:21">
      <c r="A424" s="73" t="s">
        <v>2671</v>
      </c>
      <c r="B424" s="73"/>
      <c r="C424" t="s">
        <v>125</v>
      </c>
      <c r="I424" s="91"/>
      <c r="U424" s="91"/>
    </row>
    <row r="425" spans="1:21">
      <c r="A425" s="73" t="s">
        <v>2675</v>
      </c>
      <c r="B425" s="73"/>
      <c r="C425" t="s">
        <v>3883</v>
      </c>
      <c r="I425" s="91"/>
      <c r="U425" s="91"/>
    </row>
    <row r="426" spans="1:21">
      <c r="A426" s="73" t="s">
        <v>2680</v>
      </c>
      <c r="B426" s="73"/>
      <c r="C426" t="s">
        <v>3884</v>
      </c>
      <c r="I426" s="91"/>
      <c r="U426" s="91"/>
    </row>
    <row r="427" spans="1:21">
      <c r="A427" s="73" t="s">
        <v>2685</v>
      </c>
      <c r="B427" s="73"/>
      <c r="C427" t="s">
        <v>3202</v>
      </c>
      <c r="I427" s="91"/>
      <c r="U427" s="91"/>
    </row>
    <row r="428" spans="1:21">
      <c r="A428" s="73" t="s">
        <v>2689</v>
      </c>
      <c r="B428" s="73"/>
      <c r="C428" t="s">
        <v>3885</v>
      </c>
      <c r="I428" s="91"/>
      <c r="U428" s="91"/>
    </row>
    <row r="429" spans="1:21">
      <c r="A429" s="73" t="s">
        <v>2693</v>
      </c>
      <c r="B429" s="73"/>
      <c r="C429" t="s">
        <v>3886</v>
      </c>
      <c r="I429" s="91"/>
      <c r="U429" s="91"/>
    </row>
    <row r="430" spans="1:21">
      <c r="A430" s="73" t="s">
        <v>99</v>
      </c>
      <c r="B430" s="73"/>
      <c r="C430" t="s">
        <v>3887</v>
      </c>
      <c r="I430" s="91"/>
      <c r="U430" s="91"/>
    </row>
    <row r="431" spans="1:21">
      <c r="A431" s="73" t="s">
        <v>2700</v>
      </c>
      <c r="B431" s="73"/>
      <c r="C431" t="s">
        <v>365</v>
      </c>
      <c r="I431" s="91"/>
      <c r="U431" s="91"/>
    </row>
    <row r="432" spans="1:21">
      <c r="A432" s="73" t="s">
        <v>2704</v>
      </c>
      <c r="B432" s="73"/>
      <c r="C432" t="s">
        <v>2225</v>
      </c>
      <c r="I432" s="91"/>
      <c r="U432" s="91"/>
    </row>
    <row r="433" spans="1:21">
      <c r="A433" s="73" t="s">
        <v>2709</v>
      </c>
      <c r="B433" s="73"/>
      <c r="C433" t="s">
        <v>3888</v>
      </c>
      <c r="I433" s="91"/>
      <c r="U433" s="91"/>
    </row>
    <row r="434" spans="1:21">
      <c r="A434" s="73" t="s">
        <v>2714</v>
      </c>
      <c r="B434" s="73"/>
      <c r="C434" t="s">
        <v>3889</v>
      </c>
      <c r="I434" s="91"/>
      <c r="U434" s="91"/>
    </row>
    <row r="435" spans="1:21">
      <c r="A435" s="73" t="s">
        <v>2718</v>
      </c>
      <c r="B435" s="73"/>
      <c r="C435" t="s">
        <v>2163</v>
      </c>
      <c r="I435" s="91"/>
      <c r="U435" s="91"/>
    </row>
    <row r="436" spans="1:21">
      <c r="A436" s="73" t="s">
        <v>2722</v>
      </c>
      <c r="B436" s="73"/>
      <c r="C436" t="s">
        <v>266</v>
      </c>
      <c r="I436" s="91"/>
      <c r="U436" s="91"/>
    </row>
    <row r="437" spans="1:21">
      <c r="A437" s="73" t="s">
        <v>808</v>
      </c>
      <c r="B437" s="73"/>
      <c r="C437" t="s">
        <v>3890</v>
      </c>
      <c r="I437" s="91"/>
      <c r="U437" s="91"/>
    </row>
    <row r="438" spans="1:21">
      <c r="A438" s="73" t="s">
        <v>2728</v>
      </c>
      <c r="B438" s="73"/>
      <c r="C438" t="s">
        <v>3891</v>
      </c>
      <c r="I438" s="91"/>
      <c r="U438" s="91"/>
    </row>
    <row r="439" spans="1:21">
      <c r="A439" s="73" t="s">
        <v>548</v>
      </c>
      <c r="B439" s="73"/>
      <c r="C439" t="s">
        <v>2347</v>
      </c>
      <c r="I439" s="91"/>
      <c r="U439" s="91"/>
    </row>
    <row r="440" spans="1:21">
      <c r="A440" s="73" t="s">
        <v>2734</v>
      </c>
      <c r="B440" s="73"/>
      <c r="C440" t="s">
        <v>261</v>
      </c>
      <c r="I440" s="91"/>
      <c r="U440" s="91"/>
    </row>
    <row r="441" spans="1:21">
      <c r="A441" s="73" t="s">
        <v>2737</v>
      </c>
      <c r="B441" s="73"/>
      <c r="C441" t="s">
        <v>3892</v>
      </c>
      <c r="I441" s="91"/>
      <c r="U441" s="91"/>
    </row>
    <row r="442" spans="1:21">
      <c r="A442" s="73" t="s">
        <v>2741</v>
      </c>
      <c r="B442" s="73"/>
      <c r="C442" t="s">
        <v>3305</v>
      </c>
      <c r="I442" s="91"/>
      <c r="U442" s="91"/>
    </row>
    <row r="443" spans="1:21">
      <c r="A443" s="73" t="s">
        <v>544</v>
      </c>
      <c r="B443" s="73"/>
      <c r="C443" t="s">
        <v>3893</v>
      </c>
      <c r="I443" s="91"/>
      <c r="U443" s="91"/>
    </row>
    <row r="444" spans="1:21">
      <c r="A444" s="73" t="s">
        <v>2749</v>
      </c>
      <c r="B444" s="73"/>
      <c r="C444" t="s">
        <v>3894</v>
      </c>
      <c r="I444" s="91"/>
      <c r="U444" s="91"/>
    </row>
    <row r="445" spans="1:21">
      <c r="A445" s="73" t="s">
        <v>2753</v>
      </c>
      <c r="B445" s="73"/>
      <c r="C445" t="s">
        <v>3895</v>
      </c>
      <c r="I445" s="91"/>
      <c r="U445" s="91"/>
    </row>
    <row r="446" spans="1:21">
      <c r="A446" s="73" t="s">
        <v>2757</v>
      </c>
      <c r="B446" s="73"/>
      <c r="C446" t="s">
        <v>3896</v>
      </c>
      <c r="I446" s="91"/>
      <c r="U446" s="91"/>
    </row>
    <row r="447" spans="1:21">
      <c r="A447" s="73" t="s">
        <v>2762</v>
      </c>
      <c r="B447" s="73"/>
      <c r="C447" t="s">
        <v>3897</v>
      </c>
      <c r="I447" s="91"/>
      <c r="U447" s="91"/>
    </row>
    <row r="448" spans="1:21">
      <c r="A448" s="73" t="s">
        <v>2767</v>
      </c>
      <c r="B448" s="73"/>
      <c r="C448" t="s">
        <v>3898</v>
      </c>
      <c r="I448" s="91"/>
      <c r="U448" s="91"/>
    </row>
    <row r="449" spans="1:21">
      <c r="A449" s="73" t="s">
        <v>1541</v>
      </c>
      <c r="B449" s="73"/>
      <c r="C449" t="s">
        <v>2741</v>
      </c>
      <c r="I449" s="91"/>
      <c r="U449" s="91"/>
    </row>
    <row r="450" spans="1:21">
      <c r="A450" s="73" t="s">
        <v>2773</v>
      </c>
      <c r="B450" s="73"/>
      <c r="C450" t="s">
        <v>3899</v>
      </c>
      <c r="I450" s="91"/>
      <c r="U450" s="91"/>
    </row>
    <row r="451" spans="1:21">
      <c r="A451" s="73" t="s">
        <v>2776</v>
      </c>
      <c r="B451" s="73"/>
      <c r="C451" t="s">
        <v>103</v>
      </c>
      <c r="I451" s="91"/>
      <c r="U451" s="91"/>
    </row>
    <row r="452" spans="1:21">
      <c r="A452" s="73" t="s">
        <v>2780</v>
      </c>
      <c r="B452" s="73"/>
      <c r="C452" t="s">
        <v>3031</v>
      </c>
      <c r="I452" s="91"/>
      <c r="U452" s="91"/>
    </row>
    <row r="453" spans="1:21">
      <c r="A453" s="73" t="s">
        <v>2783</v>
      </c>
      <c r="B453" s="73"/>
      <c r="C453" t="s">
        <v>3900</v>
      </c>
      <c r="I453" s="91"/>
      <c r="U453" s="91"/>
    </row>
    <row r="454" spans="1:21">
      <c r="A454" s="73" t="s">
        <v>2787</v>
      </c>
      <c r="B454" s="73"/>
      <c r="C454" t="s">
        <v>49</v>
      </c>
      <c r="I454" s="91"/>
      <c r="U454" s="91"/>
    </row>
    <row r="455" spans="1:21">
      <c r="A455" s="73" t="s">
        <v>2791</v>
      </c>
      <c r="B455" s="73"/>
      <c r="C455" t="s">
        <v>1565</v>
      </c>
      <c r="I455" s="91"/>
      <c r="U455" s="91"/>
    </row>
    <row r="456" spans="1:21">
      <c r="A456" s="73" t="s">
        <v>2795</v>
      </c>
      <c r="B456" s="73"/>
      <c r="C456" t="s">
        <v>3901</v>
      </c>
      <c r="I456" s="91"/>
      <c r="U456" s="91"/>
    </row>
    <row r="457" spans="1:21">
      <c r="A457" s="73" t="s">
        <v>2798</v>
      </c>
      <c r="B457" s="73"/>
      <c r="C457" t="s">
        <v>3902</v>
      </c>
      <c r="I457" s="91"/>
      <c r="U457" s="91"/>
    </row>
    <row r="458" spans="1:21">
      <c r="A458" s="73" t="s">
        <v>2802</v>
      </c>
      <c r="B458" s="73"/>
      <c r="C458" t="s">
        <v>3903</v>
      </c>
      <c r="I458" s="91"/>
      <c r="U458" s="91"/>
    </row>
    <row r="459" spans="1:21">
      <c r="A459" s="73" t="s">
        <v>2527</v>
      </c>
      <c r="B459" s="73"/>
      <c r="C459" t="s">
        <v>1716</v>
      </c>
      <c r="I459" s="91"/>
      <c r="U459" s="91"/>
    </row>
    <row r="460" spans="1:21">
      <c r="A460" s="73" t="s">
        <v>2808</v>
      </c>
      <c r="B460" s="73"/>
      <c r="C460" t="s">
        <v>1991</v>
      </c>
      <c r="I460" s="91"/>
      <c r="U460" s="91"/>
    </row>
    <row r="461" spans="1:21">
      <c r="A461" s="73" t="s">
        <v>2811</v>
      </c>
      <c r="B461" s="73"/>
      <c r="C461" t="s">
        <v>176</v>
      </c>
      <c r="I461" s="91"/>
      <c r="U461" s="91"/>
    </row>
    <row r="462" spans="1:21">
      <c r="A462" s="73" t="s">
        <v>2814</v>
      </c>
      <c r="B462" s="73"/>
      <c r="C462" t="s">
        <v>3904</v>
      </c>
      <c r="I462" s="91"/>
      <c r="U462" s="91"/>
    </row>
    <row r="463" spans="1:21">
      <c r="A463" s="73" t="s">
        <v>2817</v>
      </c>
      <c r="B463" s="73"/>
      <c r="C463" t="s">
        <v>3905</v>
      </c>
      <c r="I463" s="91"/>
      <c r="U463" s="91"/>
    </row>
    <row r="464" spans="1:21">
      <c r="A464" s="73" t="s">
        <v>2824</v>
      </c>
      <c r="B464" s="73"/>
      <c r="C464" t="s">
        <v>3906</v>
      </c>
      <c r="I464" s="91"/>
      <c r="U464" s="91"/>
    </row>
    <row r="465" spans="1:21">
      <c r="A465" s="73" t="s">
        <v>2828</v>
      </c>
      <c r="B465" s="73"/>
      <c r="C465" t="s">
        <v>3907</v>
      </c>
      <c r="I465" s="91"/>
      <c r="U465" s="91"/>
    </row>
    <row r="466" spans="1:21">
      <c r="A466" s="73" t="s">
        <v>2834</v>
      </c>
      <c r="B466" s="73"/>
      <c r="C466" t="s">
        <v>3908</v>
      </c>
      <c r="I466" s="91"/>
      <c r="U466" s="91"/>
    </row>
    <row r="467" spans="1:21">
      <c r="A467" s="73" t="s">
        <v>2838</v>
      </c>
      <c r="B467" s="73"/>
      <c r="C467" t="s">
        <v>3909</v>
      </c>
      <c r="I467" s="91"/>
      <c r="U467" s="91"/>
    </row>
    <row r="468" spans="1:21">
      <c r="A468" s="73" t="s">
        <v>2842</v>
      </c>
      <c r="B468" s="73"/>
      <c r="C468" t="s">
        <v>2138</v>
      </c>
      <c r="I468" s="91"/>
      <c r="U468" s="91"/>
    </row>
    <row r="469" spans="1:21">
      <c r="A469" s="73" t="s">
        <v>2847</v>
      </c>
      <c r="B469" s="73"/>
      <c r="C469" t="s">
        <v>3910</v>
      </c>
      <c r="I469" s="91"/>
      <c r="U469" s="91"/>
    </row>
    <row r="470" spans="1:21">
      <c r="A470" s="73" t="s">
        <v>2851</v>
      </c>
      <c r="B470" s="73"/>
      <c r="C470" t="s">
        <v>3911</v>
      </c>
      <c r="I470" s="91"/>
      <c r="U470" s="91"/>
    </row>
    <row r="471" spans="1:21">
      <c r="A471" s="73" t="s">
        <v>2855</v>
      </c>
      <c r="B471" s="73"/>
      <c r="C471" t="s">
        <v>3912</v>
      </c>
      <c r="I471" s="91"/>
      <c r="U471" s="91"/>
    </row>
    <row r="472" spans="1:21">
      <c r="A472" s="73" t="s">
        <v>2860</v>
      </c>
      <c r="B472" s="73"/>
      <c r="C472" t="s">
        <v>3913</v>
      </c>
      <c r="I472" s="91"/>
      <c r="U472" s="91"/>
    </row>
    <row r="473" spans="1:21">
      <c r="A473" s="73" t="s">
        <v>2864</v>
      </c>
      <c r="B473" s="73"/>
      <c r="C473" t="s">
        <v>3914</v>
      </c>
      <c r="I473" s="91"/>
      <c r="U473" s="91"/>
    </row>
    <row r="474" spans="1:21">
      <c r="A474" s="73" t="s">
        <v>2869</v>
      </c>
      <c r="B474" s="73"/>
      <c r="C474" t="s">
        <v>3327</v>
      </c>
      <c r="I474" s="91"/>
      <c r="U474" s="91"/>
    </row>
    <row r="475" spans="1:21">
      <c r="A475" s="73" t="s">
        <v>2873</v>
      </c>
      <c r="B475" s="73"/>
      <c r="C475" t="s">
        <v>2527</v>
      </c>
      <c r="I475" s="91"/>
      <c r="U475" s="91"/>
    </row>
    <row r="476" spans="1:21">
      <c r="A476" s="73" t="s">
        <v>2876</v>
      </c>
      <c r="B476" s="73"/>
      <c r="C476" t="s">
        <v>3915</v>
      </c>
      <c r="I476" s="91"/>
      <c r="U476" s="91"/>
    </row>
    <row r="477" spans="1:21">
      <c r="A477" s="73" t="s">
        <v>2880</v>
      </c>
      <c r="B477" s="73"/>
      <c r="C477" t="s">
        <v>3916</v>
      </c>
      <c r="I477" s="91"/>
      <c r="U477" s="91"/>
    </row>
    <row r="478" spans="1:21">
      <c r="A478" s="73" t="s">
        <v>2883</v>
      </c>
      <c r="B478" s="73"/>
      <c r="C478" t="s">
        <v>3917</v>
      </c>
      <c r="I478" s="91"/>
      <c r="U478" s="91"/>
    </row>
    <row r="479" spans="1:21">
      <c r="A479" s="73" t="s">
        <v>2763</v>
      </c>
      <c r="B479" s="73"/>
      <c r="C479" t="s">
        <v>3918</v>
      </c>
      <c r="I479" s="91"/>
      <c r="U479" s="91"/>
    </row>
    <row r="480" spans="1:21">
      <c r="A480" s="73" t="s">
        <v>2889</v>
      </c>
      <c r="B480" s="73"/>
      <c r="C480" t="s">
        <v>297</v>
      </c>
      <c r="I480" s="91"/>
      <c r="U480" s="91"/>
    </row>
    <row r="481" spans="1:21">
      <c r="A481" s="73" t="s">
        <v>2894</v>
      </c>
      <c r="B481" s="73"/>
      <c r="C481" t="s">
        <v>3919</v>
      </c>
      <c r="I481" s="91"/>
      <c r="U481" s="91"/>
    </row>
    <row r="482" spans="1:21">
      <c r="A482" s="73" t="s">
        <v>2899</v>
      </c>
      <c r="B482" s="73"/>
      <c r="C482" t="s">
        <v>3920</v>
      </c>
      <c r="I482" s="91"/>
      <c r="U482" s="91"/>
    </row>
    <row r="483" spans="1:21">
      <c r="A483" s="73" t="s">
        <v>2904</v>
      </c>
      <c r="B483" s="73"/>
      <c r="C483" t="s">
        <v>1848</v>
      </c>
      <c r="I483" s="91"/>
      <c r="U483" s="91"/>
    </row>
    <row r="484" spans="1:21">
      <c r="A484" s="73" t="s">
        <v>2908</v>
      </c>
      <c r="B484" s="73"/>
      <c r="C484" t="s">
        <v>3922</v>
      </c>
      <c r="I484" s="91"/>
      <c r="U484" s="91"/>
    </row>
    <row r="485" spans="1:21">
      <c r="A485" s="73" t="s">
        <v>2912</v>
      </c>
      <c r="B485" s="73"/>
      <c r="C485" t="s">
        <v>3923</v>
      </c>
      <c r="I485" s="91"/>
      <c r="U485" s="91"/>
    </row>
    <row r="486" spans="1:21">
      <c r="A486" s="73" t="s">
        <v>2916</v>
      </c>
      <c r="B486" s="73"/>
      <c r="C486" t="s">
        <v>3924</v>
      </c>
      <c r="I486" s="91"/>
      <c r="U486" s="91"/>
    </row>
    <row r="487" spans="1:21">
      <c r="A487" s="73" t="s">
        <v>2919</v>
      </c>
      <c r="B487" s="73"/>
      <c r="C487" t="s">
        <v>3925</v>
      </c>
      <c r="I487" s="91"/>
      <c r="U487" s="91"/>
    </row>
    <row r="488" spans="1:21">
      <c r="A488" s="73" t="s">
        <v>2922</v>
      </c>
      <c r="B488" s="73"/>
      <c r="C488" t="s">
        <v>680</v>
      </c>
      <c r="I488" s="91"/>
      <c r="U488" s="91"/>
    </row>
    <row r="489" spans="1:21">
      <c r="A489" s="73" t="s">
        <v>2925</v>
      </c>
      <c r="B489" s="73"/>
      <c r="C489" t="s">
        <v>3926</v>
      </c>
      <c r="I489" s="91"/>
      <c r="U489" s="91"/>
    </row>
    <row r="490" spans="1:21">
      <c r="A490" s="73" t="s">
        <v>2931</v>
      </c>
      <c r="B490" s="73"/>
      <c r="C490" t="s">
        <v>3927</v>
      </c>
      <c r="I490" s="91"/>
      <c r="U490" s="91"/>
    </row>
    <row r="491" spans="1:21">
      <c r="A491" s="73" t="s">
        <v>2935</v>
      </c>
      <c r="B491" s="73"/>
      <c r="C491" t="s">
        <v>3928</v>
      </c>
      <c r="I491" s="91"/>
      <c r="U491" s="91"/>
    </row>
    <row r="492" spans="1:21">
      <c r="A492" s="73" t="s">
        <v>2939</v>
      </c>
      <c r="B492" s="73"/>
      <c r="C492" t="s">
        <v>3929</v>
      </c>
      <c r="I492" s="91"/>
      <c r="U492" s="91"/>
    </row>
    <row r="493" spans="1:21">
      <c r="A493" s="73" t="s">
        <v>2387</v>
      </c>
      <c r="B493" s="73"/>
      <c r="C493" t="s">
        <v>3930</v>
      </c>
      <c r="I493" s="91"/>
      <c r="U493" s="91"/>
    </row>
    <row r="494" spans="1:21">
      <c r="A494" s="73" t="s">
        <v>2946</v>
      </c>
      <c r="B494" s="73"/>
      <c r="C494" t="s">
        <v>3931</v>
      </c>
      <c r="I494" s="91"/>
      <c r="U494" s="91"/>
    </row>
    <row r="495" spans="1:21">
      <c r="A495" s="73" t="s">
        <v>2949</v>
      </c>
      <c r="B495" s="73"/>
      <c r="C495" t="s">
        <v>3932</v>
      </c>
      <c r="I495" s="91"/>
      <c r="U495" s="91"/>
    </row>
    <row r="496" spans="1:21">
      <c r="A496" s="73" t="s">
        <v>2954</v>
      </c>
      <c r="B496" s="73"/>
      <c r="C496" t="s">
        <v>3933</v>
      </c>
      <c r="I496" s="91"/>
      <c r="U496" s="91"/>
    </row>
    <row r="497" spans="1:21">
      <c r="A497" s="73" t="s">
        <v>2958</v>
      </c>
      <c r="B497" s="73"/>
      <c r="C497" t="s">
        <v>3934</v>
      </c>
      <c r="I497" s="91"/>
      <c r="U497" s="91"/>
    </row>
    <row r="498" spans="1:21">
      <c r="A498" s="73" t="s">
        <v>2963</v>
      </c>
      <c r="B498" s="73"/>
      <c r="C498" t="s">
        <v>3935</v>
      </c>
      <c r="I498" s="91"/>
      <c r="U498" s="91"/>
    </row>
    <row r="499" spans="1:21">
      <c r="A499" s="73" t="s">
        <v>2967</v>
      </c>
      <c r="B499" s="73"/>
      <c r="C499" t="s">
        <v>3936</v>
      </c>
      <c r="I499" s="91"/>
      <c r="U499" s="91"/>
    </row>
    <row r="500" spans="1:21">
      <c r="A500" s="73" t="s">
        <v>2971</v>
      </c>
      <c r="B500" s="73"/>
      <c r="C500" t="s">
        <v>3937</v>
      </c>
      <c r="I500" s="91"/>
      <c r="U500" s="91"/>
    </row>
    <row r="501" spans="1:21">
      <c r="A501" s="73" t="s">
        <v>2940</v>
      </c>
      <c r="B501" s="73"/>
      <c r="C501" t="s">
        <v>3938</v>
      </c>
      <c r="I501" s="91"/>
      <c r="U501" s="91"/>
    </row>
    <row r="502" spans="1:21">
      <c r="A502" s="73" t="s">
        <v>2978</v>
      </c>
      <c r="B502" s="73"/>
      <c r="C502" t="s">
        <v>3939</v>
      </c>
      <c r="I502" s="91"/>
      <c r="U502" s="91"/>
    </row>
    <row r="503" spans="1:21">
      <c r="A503" s="73" t="s">
        <v>2983</v>
      </c>
      <c r="B503" s="73"/>
      <c r="C503" t="s">
        <v>3940</v>
      </c>
      <c r="I503" s="91"/>
      <c r="U503" s="91"/>
    </row>
    <row r="504" spans="1:21">
      <c r="A504" s="73" t="s">
        <v>2987</v>
      </c>
      <c r="B504" s="73"/>
      <c r="C504" t="s">
        <v>3941</v>
      </c>
      <c r="I504" s="91"/>
      <c r="U504" s="91"/>
    </row>
    <row r="505" spans="1:21">
      <c r="A505" s="73" t="s">
        <v>2990</v>
      </c>
      <c r="B505" s="73"/>
      <c r="C505" t="s">
        <v>364</v>
      </c>
      <c r="I505" s="91"/>
      <c r="U505" s="91"/>
    </row>
    <row r="506" spans="1:21">
      <c r="A506" s="73" t="s">
        <v>2994</v>
      </c>
      <c r="B506" s="73"/>
      <c r="C506" t="s">
        <v>3942</v>
      </c>
      <c r="I506" s="91"/>
      <c r="U506" s="91"/>
    </row>
    <row r="507" spans="1:21">
      <c r="A507" s="73" t="s">
        <v>2998</v>
      </c>
      <c r="B507" s="73"/>
      <c r="C507" t="s">
        <v>2211</v>
      </c>
      <c r="I507" s="91"/>
      <c r="U507" s="91"/>
    </row>
    <row r="508" spans="1:21">
      <c r="A508" s="73" t="s">
        <v>3002</v>
      </c>
      <c r="B508" s="73"/>
      <c r="C508" t="s">
        <v>3943</v>
      </c>
      <c r="I508" s="91"/>
      <c r="U508" s="91"/>
    </row>
    <row r="509" spans="1:21">
      <c r="A509" s="73" t="s">
        <v>3007</v>
      </c>
      <c r="B509" s="73"/>
      <c r="C509" t="s">
        <v>2535</v>
      </c>
      <c r="I509" s="91"/>
      <c r="U509" s="91"/>
    </row>
    <row r="510" spans="1:21">
      <c r="A510" s="73" t="s">
        <v>3012</v>
      </c>
      <c r="B510" s="73"/>
      <c r="C510" t="s">
        <v>3944</v>
      </c>
      <c r="I510" s="91"/>
      <c r="U510" s="91"/>
    </row>
    <row r="511" spans="1:21">
      <c r="A511" s="73" t="s">
        <v>3016</v>
      </c>
      <c r="B511" s="73"/>
      <c r="C511" t="s">
        <v>3945</v>
      </c>
      <c r="I511" s="91"/>
      <c r="U511" s="91"/>
    </row>
    <row r="512" spans="1:21">
      <c r="A512" s="73" t="s">
        <v>3021</v>
      </c>
      <c r="B512" s="73"/>
      <c r="C512" t="s">
        <v>3946</v>
      </c>
      <c r="I512" s="91"/>
      <c r="U512" s="91"/>
    </row>
    <row r="513" spans="1:21">
      <c r="A513" s="73" t="s">
        <v>3025</v>
      </c>
      <c r="B513" s="73"/>
      <c r="C513" t="s">
        <v>3947</v>
      </c>
      <c r="I513" s="91"/>
      <c r="U513" s="91"/>
    </row>
    <row r="514" spans="1:21">
      <c r="A514" s="73" t="s">
        <v>3028</v>
      </c>
      <c r="B514" s="73"/>
      <c r="C514" t="s">
        <v>3948</v>
      </c>
      <c r="I514" s="91"/>
      <c r="U514" s="91"/>
    </row>
    <row r="515" spans="1:21">
      <c r="A515" s="73" t="s">
        <v>3031</v>
      </c>
      <c r="B515" s="73"/>
      <c r="C515" t="s">
        <v>3949</v>
      </c>
      <c r="I515" s="91"/>
      <c r="U515" s="91"/>
    </row>
    <row r="516" spans="1:21">
      <c r="A516" s="73" t="s">
        <v>571</v>
      </c>
      <c r="B516" s="73"/>
      <c r="C516" t="s">
        <v>3950</v>
      </c>
      <c r="I516" s="91"/>
      <c r="U516" s="91"/>
    </row>
    <row r="517" spans="1:21">
      <c r="A517" s="73" t="s">
        <v>3038</v>
      </c>
      <c r="B517" s="73"/>
      <c r="C517" t="s">
        <v>3951</v>
      </c>
      <c r="I517" s="91"/>
      <c r="U517" s="91"/>
    </row>
    <row r="518" spans="1:21">
      <c r="A518" s="73" t="s">
        <v>3043</v>
      </c>
      <c r="B518" s="73"/>
      <c r="C518" t="s">
        <v>1978</v>
      </c>
      <c r="I518" s="91"/>
      <c r="U518" s="91"/>
    </row>
    <row r="519" spans="1:21">
      <c r="A519" s="73" t="s">
        <v>3048</v>
      </c>
      <c r="B519" s="73"/>
      <c r="C519" t="s">
        <v>3952</v>
      </c>
      <c r="I519" s="91"/>
      <c r="U519" s="91"/>
    </row>
    <row r="520" spans="1:21">
      <c r="A520" s="73" t="s">
        <v>3051</v>
      </c>
      <c r="B520" s="73"/>
      <c r="C520" t="s">
        <v>3953</v>
      </c>
      <c r="I520" s="91"/>
      <c r="U520" s="91"/>
    </row>
    <row r="521" spans="1:21">
      <c r="A521" s="73" t="s">
        <v>3056</v>
      </c>
      <c r="B521" s="73"/>
      <c r="C521" t="s">
        <v>3954</v>
      </c>
      <c r="I521" s="91"/>
      <c r="U521" s="91"/>
    </row>
    <row r="522" spans="1:21">
      <c r="A522" s="73" t="s">
        <v>3059</v>
      </c>
      <c r="B522" s="73"/>
      <c r="C522" t="s">
        <v>3955</v>
      </c>
      <c r="I522" s="91"/>
      <c r="U522" s="91"/>
    </row>
    <row r="523" spans="1:21">
      <c r="A523" s="73" t="s">
        <v>3062</v>
      </c>
      <c r="B523" s="73"/>
      <c r="C523" t="s">
        <v>3956</v>
      </c>
      <c r="I523" s="91"/>
      <c r="U523" s="91"/>
    </row>
    <row r="524" spans="1:21">
      <c r="A524" s="73" t="s">
        <v>3066</v>
      </c>
      <c r="B524" s="73"/>
      <c r="C524" t="s">
        <v>3957</v>
      </c>
      <c r="I524" s="91"/>
      <c r="U524" s="91"/>
    </row>
    <row r="525" spans="1:21">
      <c r="A525" s="73" t="s">
        <v>3070</v>
      </c>
      <c r="B525" s="73"/>
      <c r="C525" t="s">
        <v>3958</v>
      </c>
      <c r="I525" s="91"/>
      <c r="U525" s="91"/>
    </row>
    <row r="526" spans="1:21">
      <c r="A526" s="73" t="s">
        <v>3073</v>
      </c>
      <c r="B526" s="73"/>
      <c r="C526" t="s">
        <v>3959</v>
      </c>
      <c r="I526" s="91"/>
      <c r="U526" s="91"/>
    </row>
    <row r="527" spans="1:21">
      <c r="A527" s="73" t="s">
        <v>3077</v>
      </c>
      <c r="B527" s="73"/>
      <c r="C527" t="s">
        <v>3960</v>
      </c>
      <c r="I527" s="91"/>
      <c r="U527" s="91"/>
    </row>
    <row r="528" spans="1:21">
      <c r="A528" s="73" t="s">
        <v>3082</v>
      </c>
      <c r="B528" s="73"/>
      <c r="C528" t="s">
        <v>3961</v>
      </c>
      <c r="I528" s="91"/>
      <c r="U528" s="91"/>
    </row>
    <row r="529" spans="1:21">
      <c r="A529" s="73" t="s">
        <v>3087</v>
      </c>
      <c r="B529" s="73"/>
      <c r="C529" t="s">
        <v>3962</v>
      </c>
      <c r="I529" s="91"/>
      <c r="U529" s="91"/>
    </row>
    <row r="530" spans="1:21">
      <c r="A530" s="73" t="s">
        <v>3091</v>
      </c>
      <c r="B530" s="73"/>
      <c r="C530" t="s">
        <v>617</v>
      </c>
      <c r="I530" s="91"/>
      <c r="U530" s="91"/>
    </row>
    <row r="531" spans="1:21">
      <c r="A531" s="73" t="s">
        <v>831</v>
      </c>
      <c r="B531" s="73"/>
      <c r="C531" t="s">
        <v>1232</v>
      </c>
      <c r="I531" s="91"/>
      <c r="U531" s="91"/>
    </row>
    <row r="532" spans="1:21">
      <c r="A532" s="73" t="s">
        <v>3096</v>
      </c>
      <c r="B532" s="73"/>
      <c r="C532" t="s">
        <v>3963</v>
      </c>
      <c r="I532" s="91"/>
      <c r="U532" s="91"/>
    </row>
    <row r="533" spans="1:21">
      <c r="A533" s="73" t="s">
        <v>3100</v>
      </c>
      <c r="B533" s="73"/>
      <c r="C533" t="s">
        <v>3964</v>
      </c>
      <c r="I533" s="91"/>
      <c r="U533" s="91"/>
    </row>
    <row r="534" spans="1:21">
      <c r="A534" s="73" t="s">
        <v>3104</v>
      </c>
      <c r="B534" s="73"/>
      <c r="C534" t="s">
        <v>3965</v>
      </c>
      <c r="I534" s="91"/>
      <c r="U534" s="91"/>
    </row>
    <row r="535" spans="1:21">
      <c r="A535" s="73" t="s">
        <v>3108</v>
      </c>
      <c r="B535" s="73"/>
      <c r="C535" t="s">
        <v>3966</v>
      </c>
      <c r="I535" s="91"/>
      <c r="U535" s="91"/>
    </row>
    <row r="536" spans="1:21">
      <c r="A536" s="73" t="s">
        <v>3111</v>
      </c>
      <c r="B536" s="73"/>
      <c r="C536" t="s">
        <v>3967</v>
      </c>
      <c r="I536" s="91"/>
      <c r="U536" s="91"/>
    </row>
    <row r="537" spans="1:21">
      <c r="A537" s="73" t="s">
        <v>205</v>
      </c>
      <c r="B537" s="73"/>
      <c r="C537" t="s">
        <v>3968</v>
      </c>
      <c r="I537" s="91"/>
      <c r="U537" s="91"/>
    </row>
    <row r="538" spans="1:21">
      <c r="A538" s="73" t="s">
        <v>3119</v>
      </c>
      <c r="B538" s="73"/>
      <c r="C538" t="s">
        <v>1059</v>
      </c>
      <c r="I538" s="91"/>
      <c r="U538" s="91"/>
    </row>
    <row r="539" spans="1:21">
      <c r="A539" s="73" t="s">
        <v>3122</v>
      </c>
      <c r="B539" s="73"/>
      <c r="C539" t="s">
        <v>3969</v>
      </c>
      <c r="I539" s="91"/>
      <c r="U539" s="91"/>
    </row>
    <row r="540" spans="1:21">
      <c r="A540" s="73" t="s">
        <v>3126</v>
      </c>
      <c r="B540" s="73"/>
      <c r="C540" t="s">
        <v>3970</v>
      </c>
      <c r="I540" s="91"/>
      <c r="U540" s="91"/>
    </row>
    <row r="541" spans="1:21">
      <c r="A541" s="73" t="s">
        <v>3130</v>
      </c>
      <c r="B541" s="73"/>
      <c r="C541" t="s">
        <v>3971</v>
      </c>
      <c r="I541" s="91"/>
      <c r="U541" s="91"/>
    </row>
    <row r="542" spans="1:21">
      <c r="A542" s="73" t="s">
        <v>3135</v>
      </c>
      <c r="B542" s="73"/>
      <c r="C542" t="s">
        <v>3972</v>
      </c>
      <c r="I542" s="91"/>
      <c r="U542" s="91"/>
    </row>
    <row r="543" spans="1:21">
      <c r="A543" s="73" t="s">
        <v>3138</v>
      </c>
      <c r="B543" s="73"/>
      <c r="C543" t="s">
        <v>3973</v>
      </c>
      <c r="I543" s="91"/>
      <c r="U543" s="91"/>
    </row>
    <row r="544" spans="1:21">
      <c r="A544" s="73" t="s">
        <v>3143</v>
      </c>
      <c r="B544" s="73"/>
      <c r="C544" t="s">
        <v>3974</v>
      </c>
      <c r="I544" s="91"/>
      <c r="U544" s="91"/>
    </row>
    <row r="545" spans="1:21">
      <c r="A545" s="73" t="s">
        <v>3147</v>
      </c>
      <c r="B545" s="73"/>
      <c r="C545" t="s">
        <v>3975</v>
      </c>
      <c r="I545" s="91"/>
      <c r="U545" s="91"/>
    </row>
    <row r="546" spans="1:21">
      <c r="A546" s="73" t="s">
        <v>3152</v>
      </c>
      <c r="B546" s="73"/>
      <c r="C546" t="s">
        <v>3976</v>
      </c>
      <c r="I546" s="91"/>
      <c r="U546" s="91"/>
    </row>
    <row r="547" spans="1:21">
      <c r="A547" s="73" t="s">
        <v>3156</v>
      </c>
      <c r="B547" s="73"/>
      <c r="C547" t="s">
        <v>3130</v>
      </c>
      <c r="I547" s="91"/>
      <c r="U547" s="91"/>
    </row>
    <row r="548" spans="1:21">
      <c r="A548" s="73" t="s">
        <v>3159</v>
      </c>
      <c r="B548" s="73"/>
      <c r="C548" t="s">
        <v>3977</v>
      </c>
      <c r="I548" s="91"/>
      <c r="U548" s="91"/>
    </row>
    <row r="549" spans="1:21">
      <c r="A549" s="73" t="s">
        <v>3163</v>
      </c>
      <c r="B549" s="73"/>
      <c r="C549" t="s">
        <v>3978</v>
      </c>
      <c r="I549" s="91"/>
      <c r="U549" s="91"/>
    </row>
    <row r="550" spans="1:21">
      <c r="A550" s="73" t="s">
        <v>3168</v>
      </c>
      <c r="B550" s="73"/>
      <c r="C550" t="s">
        <v>3979</v>
      </c>
      <c r="I550" s="91"/>
      <c r="U550" s="91"/>
    </row>
    <row r="551" spans="1:21">
      <c r="A551" s="73" t="s">
        <v>3172</v>
      </c>
      <c r="B551" s="73"/>
      <c r="C551" t="s">
        <v>1008</v>
      </c>
      <c r="I551" s="91"/>
      <c r="U551" s="91"/>
    </row>
    <row r="552" spans="1:21">
      <c r="A552" s="73" t="s">
        <v>3177</v>
      </c>
      <c r="B552" s="73"/>
      <c r="C552" t="s">
        <v>3980</v>
      </c>
      <c r="I552" s="91"/>
      <c r="U552" s="91"/>
    </row>
    <row r="553" spans="1:21">
      <c r="A553" s="73" t="s">
        <v>3181</v>
      </c>
      <c r="B553" s="73"/>
      <c r="C553" t="s">
        <v>3981</v>
      </c>
      <c r="I553" s="91"/>
      <c r="U553" s="91"/>
    </row>
    <row r="554" spans="1:21">
      <c r="A554" s="73" t="s">
        <v>3185</v>
      </c>
      <c r="B554" s="73"/>
      <c r="C554" t="s">
        <v>3982</v>
      </c>
      <c r="I554" s="91"/>
      <c r="U554" s="91"/>
    </row>
    <row r="555" spans="1:21">
      <c r="A555" s="73" t="s">
        <v>3189</v>
      </c>
      <c r="B555" s="73"/>
      <c r="C555" t="s">
        <v>2802</v>
      </c>
      <c r="I555" s="91"/>
      <c r="U555" s="91"/>
    </row>
    <row r="556" spans="1:21">
      <c r="A556" s="73" t="s">
        <v>3193</v>
      </c>
      <c r="B556" s="73"/>
      <c r="C556" t="s">
        <v>3983</v>
      </c>
      <c r="I556" s="91"/>
      <c r="U556" s="91"/>
    </row>
    <row r="557" spans="1:21">
      <c r="A557" s="73" t="s">
        <v>3198</v>
      </c>
      <c r="B557" s="73"/>
      <c r="C557" t="s">
        <v>3984</v>
      </c>
      <c r="I557" s="91"/>
      <c r="U557" s="91"/>
    </row>
    <row r="558" spans="1:21">
      <c r="A558" s="73" t="s">
        <v>3202</v>
      </c>
      <c r="B558" s="73"/>
      <c r="C558" t="s">
        <v>3985</v>
      </c>
      <c r="I558" s="91"/>
      <c r="U558" s="91"/>
    </row>
    <row r="559" spans="1:21">
      <c r="A559" s="73" t="s">
        <v>3205</v>
      </c>
      <c r="B559" s="73"/>
      <c r="C559" t="s">
        <v>2311</v>
      </c>
      <c r="I559" s="91"/>
      <c r="U559" s="91"/>
    </row>
    <row r="560" spans="1:21">
      <c r="A560" s="73" t="s">
        <v>3210</v>
      </c>
      <c r="B560" s="73"/>
      <c r="C560" t="s">
        <v>3986</v>
      </c>
      <c r="I560" s="91"/>
      <c r="U560" s="91"/>
    </row>
    <row r="561" spans="1:21">
      <c r="A561" s="73" t="s">
        <v>3215</v>
      </c>
      <c r="B561" s="73"/>
      <c r="C561" t="s">
        <v>3987</v>
      </c>
      <c r="I561" s="91"/>
      <c r="U561" s="91"/>
    </row>
    <row r="562" spans="1:21">
      <c r="A562" s="73" t="s">
        <v>3219</v>
      </c>
      <c r="B562" s="73"/>
      <c r="C562" t="s">
        <v>3988</v>
      </c>
      <c r="I562" s="91"/>
      <c r="U562" s="91"/>
    </row>
    <row r="563" spans="1:21">
      <c r="A563" s="73" t="s">
        <v>3223</v>
      </c>
      <c r="B563" s="73"/>
      <c r="C563" t="s">
        <v>3989</v>
      </c>
      <c r="I563" s="91"/>
      <c r="U563" s="91"/>
    </row>
    <row r="564" spans="1:21">
      <c r="A564" s="73" t="s">
        <v>3225</v>
      </c>
      <c r="B564" s="73"/>
      <c r="C564" t="s">
        <v>3990</v>
      </c>
      <c r="I564" s="91"/>
      <c r="U564" s="91"/>
    </row>
    <row r="565" spans="1:21">
      <c r="A565" s="73" t="s">
        <v>3229</v>
      </c>
      <c r="B565" s="73"/>
      <c r="C565" t="s">
        <v>3189</v>
      </c>
      <c r="I565" s="91"/>
      <c r="U565" s="91"/>
    </row>
    <row r="566" spans="1:21">
      <c r="A566" s="73" t="s">
        <v>3235</v>
      </c>
      <c r="B566" s="73"/>
      <c r="C566" t="s">
        <v>3991</v>
      </c>
      <c r="I566" s="91"/>
      <c r="U566" s="91"/>
    </row>
    <row r="567" spans="1:21">
      <c r="A567" s="73" t="s">
        <v>3239</v>
      </c>
      <c r="B567" s="73"/>
      <c r="C567" t="s">
        <v>3992</v>
      </c>
      <c r="I567" s="91"/>
      <c r="U567" s="91"/>
    </row>
    <row r="568" spans="1:21">
      <c r="A568" s="73" t="s">
        <v>3243</v>
      </c>
      <c r="B568" s="73"/>
      <c r="C568" t="s">
        <v>3993</v>
      </c>
      <c r="I568" s="91"/>
      <c r="U568" s="91"/>
    </row>
    <row r="569" spans="1:21">
      <c r="A569" s="73" t="s">
        <v>3247</v>
      </c>
      <c r="B569" s="73"/>
      <c r="C569" t="s">
        <v>3994</v>
      </c>
      <c r="I569" s="91"/>
      <c r="U569" s="91"/>
    </row>
    <row r="570" spans="1:21">
      <c r="A570" s="73" t="s">
        <v>3251</v>
      </c>
      <c r="B570" s="73"/>
      <c r="C570" t="s">
        <v>3995</v>
      </c>
      <c r="I570" s="91"/>
      <c r="U570" s="91"/>
    </row>
    <row r="571" spans="1:21">
      <c r="A571" s="73" t="s">
        <v>3255</v>
      </c>
      <c r="B571" s="73"/>
      <c r="C571" t="s">
        <v>3996</v>
      </c>
      <c r="I571" s="91"/>
      <c r="U571" s="91"/>
    </row>
    <row r="572" spans="1:21">
      <c r="A572" s="73" t="s">
        <v>3260</v>
      </c>
      <c r="B572" s="73"/>
      <c r="C572" t="s">
        <v>3997</v>
      </c>
      <c r="I572" s="91"/>
      <c r="U572" s="91"/>
    </row>
    <row r="573" spans="1:21">
      <c r="A573" s="73" t="s">
        <v>3264</v>
      </c>
      <c r="B573" s="73"/>
      <c r="C573" t="s">
        <v>3998</v>
      </c>
      <c r="I573" s="91"/>
      <c r="U573" s="91"/>
    </row>
    <row r="574" spans="1:21">
      <c r="A574" s="73" t="s">
        <v>3269</v>
      </c>
      <c r="B574" s="73"/>
      <c r="C574" t="s">
        <v>3999</v>
      </c>
      <c r="I574" s="91"/>
      <c r="U574" s="91"/>
    </row>
    <row r="575" spans="1:21">
      <c r="A575" s="73" t="s">
        <v>3274</v>
      </c>
      <c r="B575" s="73"/>
      <c r="C575" t="s">
        <v>4000</v>
      </c>
      <c r="I575" s="91"/>
      <c r="U575" s="91"/>
    </row>
    <row r="576" spans="1:21">
      <c r="A576" s="73" t="s">
        <v>3277</v>
      </c>
      <c r="B576" s="73"/>
      <c r="C576" t="s">
        <v>4001</v>
      </c>
      <c r="I576" s="91"/>
      <c r="U576" s="91"/>
    </row>
    <row r="577" spans="1:21">
      <c r="A577" s="73" t="s">
        <v>3280</v>
      </c>
      <c r="B577" s="73"/>
      <c r="C577" t="s">
        <v>2189</v>
      </c>
      <c r="I577" s="91"/>
      <c r="U577" s="91"/>
    </row>
    <row r="578" spans="1:21">
      <c r="A578" s="73" t="s">
        <v>3284</v>
      </c>
      <c r="B578" s="73"/>
      <c r="C578" t="s">
        <v>4002</v>
      </c>
      <c r="I578" s="91"/>
      <c r="U578" s="91"/>
    </row>
    <row r="579" spans="1:21">
      <c r="A579" s="73" t="s">
        <v>2829</v>
      </c>
      <c r="B579" s="73"/>
      <c r="C579" t="s">
        <v>4003</v>
      </c>
      <c r="I579" s="91"/>
      <c r="U579" s="91"/>
    </row>
    <row r="580" spans="1:21">
      <c r="A580" s="73" t="s">
        <v>3291</v>
      </c>
      <c r="B580" s="73"/>
      <c r="C580" t="s">
        <v>4004</v>
      </c>
      <c r="I580" s="91"/>
      <c r="U580" s="91"/>
    </row>
    <row r="581" spans="1:21">
      <c r="A581" s="73" t="s">
        <v>3295</v>
      </c>
      <c r="B581" s="73"/>
      <c r="C581" t="s">
        <v>4005</v>
      </c>
      <c r="I581" s="91"/>
      <c r="U581" s="91"/>
    </row>
    <row r="582" spans="1:21">
      <c r="A582" s="73" t="s">
        <v>3299</v>
      </c>
      <c r="B582" s="73"/>
      <c r="C582" t="s">
        <v>4006</v>
      </c>
      <c r="I582" s="91"/>
      <c r="U582" s="91"/>
    </row>
    <row r="583" spans="1:21">
      <c r="A583" s="73" t="s">
        <v>3304</v>
      </c>
      <c r="B583" s="73"/>
      <c r="C583" t="s">
        <v>4007</v>
      </c>
      <c r="I583" s="91"/>
      <c r="U583" s="91"/>
    </row>
    <row r="584" spans="1:21">
      <c r="A584" s="73" t="s">
        <v>3308</v>
      </c>
      <c r="B584" s="73"/>
      <c r="C584" t="s">
        <v>4008</v>
      </c>
      <c r="I584" s="91"/>
      <c r="U584" s="91"/>
    </row>
    <row r="585" spans="1:21">
      <c r="A585" s="73" t="s">
        <v>3311</v>
      </c>
      <c r="B585" s="73"/>
      <c r="C585" t="s">
        <v>4009</v>
      </c>
      <c r="I585" s="91"/>
      <c r="U585" s="91"/>
    </row>
    <row r="586" spans="1:21">
      <c r="A586" s="73" t="s">
        <v>3315</v>
      </c>
      <c r="B586" s="73"/>
      <c r="C586" t="s">
        <v>4010</v>
      </c>
      <c r="I586" s="91"/>
      <c r="U586" s="91"/>
    </row>
    <row r="587" spans="1:21">
      <c r="A587" s="73" t="s">
        <v>3318</v>
      </c>
      <c r="B587" s="73"/>
      <c r="C587" t="s">
        <v>1941</v>
      </c>
      <c r="I587" s="91"/>
      <c r="U587" s="91"/>
    </row>
    <row r="588" spans="1:21">
      <c r="A588" s="73" t="s">
        <v>3321</v>
      </c>
      <c r="B588" s="73"/>
      <c r="C588" t="s">
        <v>4011</v>
      </c>
      <c r="I588" s="91"/>
      <c r="U588" s="91"/>
    </row>
    <row r="589" spans="1:21">
      <c r="A589" s="73" t="s">
        <v>3324</v>
      </c>
      <c r="B589" s="73"/>
      <c r="C589" t="s">
        <v>306</v>
      </c>
      <c r="I589" s="91"/>
      <c r="U589" s="91"/>
    </row>
    <row r="590" spans="1:21">
      <c r="A590" s="73" t="s">
        <v>3327</v>
      </c>
      <c r="B590" s="73"/>
      <c r="C590" t="s">
        <v>4012</v>
      </c>
      <c r="I590" s="91"/>
      <c r="U590" s="91"/>
    </row>
    <row r="591" spans="1:21">
      <c r="A591" s="73" t="s">
        <v>3330</v>
      </c>
      <c r="B591" s="73"/>
      <c r="C591" t="s">
        <v>4013</v>
      </c>
      <c r="I591" s="91"/>
      <c r="U591" s="91"/>
    </row>
    <row r="592" spans="1:21">
      <c r="A592" s="73" t="s">
        <v>3335</v>
      </c>
      <c r="B592" s="73"/>
      <c r="C592" t="s">
        <v>4014</v>
      </c>
      <c r="I592" s="91"/>
      <c r="U592" s="91"/>
    </row>
    <row r="593" spans="1:21">
      <c r="A593" s="73" t="s">
        <v>3339</v>
      </c>
      <c r="B593" s="73"/>
      <c r="C593" t="s">
        <v>4015</v>
      </c>
      <c r="I593" s="91"/>
      <c r="U593" s="91"/>
    </row>
    <row r="594" spans="1:21">
      <c r="A594" s="73" t="s">
        <v>3342</v>
      </c>
      <c r="B594" s="73"/>
      <c r="C594" t="s">
        <v>4016</v>
      </c>
      <c r="I594" s="91"/>
      <c r="U594" s="91"/>
    </row>
    <row r="595" spans="1:21">
      <c r="A595" s="73" t="s">
        <v>3346</v>
      </c>
      <c r="B595" s="73"/>
      <c r="C595" t="s">
        <v>4017</v>
      </c>
      <c r="I595" s="91"/>
      <c r="U595" s="91"/>
    </row>
    <row r="596" spans="1:21">
      <c r="A596" s="73" t="s">
        <v>3349</v>
      </c>
      <c r="B596" s="73"/>
      <c r="C596" t="s">
        <v>1865</v>
      </c>
      <c r="I596" s="91"/>
      <c r="U596" s="91"/>
    </row>
    <row r="597" spans="1:21">
      <c r="A597" s="73" t="s">
        <v>3354</v>
      </c>
      <c r="B597" s="73"/>
      <c r="C597" t="s">
        <v>4018</v>
      </c>
      <c r="I597" s="91"/>
      <c r="U597" s="91"/>
    </row>
    <row r="598" spans="1:21">
      <c r="A598" s="73" t="s">
        <v>3359</v>
      </c>
      <c r="B598" s="73"/>
      <c r="C598" t="s">
        <v>4019</v>
      </c>
      <c r="I598" s="91"/>
      <c r="U598" s="91"/>
    </row>
    <row r="599" spans="1:21">
      <c r="A599" s="73" t="s">
        <v>3363</v>
      </c>
      <c r="B599" s="73"/>
      <c r="C599" t="s">
        <v>161</v>
      </c>
      <c r="I599" s="91"/>
      <c r="U599" s="91"/>
    </row>
    <row r="600" spans="1:21">
      <c r="A600" s="73" t="s">
        <v>3368</v>
      </c>
      <c r="B600" s="73"/>
      <c r="C600" t="s">
        <v>3269</v>
      </c>
      <c r="I600" s="91"/>
      <c r="U600" s="91"/>
    </row>
    <row r="601" spans="1:21">
      <c r="A601" s="73" t="s">
        <v>3373</v>
      </c>
      <c r="B601" s="73"/>
      <c r="C601" t="s">
        <v>4020</v>
      </c>
      <c r="I601" s="91"/>
      <c r="U601" s="91"/>
    </row>
    <row r="602" spans="1:21">
      <c r="A602" s="73" t="s">
        <v>3376</v>
      </c>
      <c r="B602" s="73"/>
      <c r="C602" t="s">
        <v>4021</v>
      </c>
      <c r="I602" s="91"/>
      <c r="U602" s="91"/>
    </row>
    <row r="603" spans="1:21">
      <c r="A603" s="73" t="s">
        <v>3379</v>
      </c>
      <c r="B603" s="73"/>
      <c r="C603" t="s">
        <v>4022</v>
      </c>
      <c r="I603" s="91"/>
      <c r="U603" s="91"/>
    </row>
    <row r="604" spans="1:21">
      <c r="A604" s="73" t="s">
        <v>3384</v>
      </c>
      <c r="B604" s="73"/>
      <c r="C604" t="s">
        <v>2183</v>
      </c>
      <c r="I604" s="91"/>
      <c r="U604" s="91"/>
    </row>
    <row r="605" spans="1:21">
      <c r="A605" s="73" t="s">
        <v>3389</v>
      </c>
      <c r="B605" s="73"/>
      <c r="C605" t="s">
        <v>4023</v>
      </c>
      <c r="I605" s="91"/>
      <c r="U605" s="91"/>
    </row>
    <row r="606" spans="1:21">
      <c r="A606" s="73" t="s">
        <v>3392</v>
      </c>
      <c r="B606" s="73"/>
      <c r="C606" t="s">
        <v>4024</v>
      </c>
      <c r="I606" s="91"/>
      <c r="U606" s="91"/>
    </row>
    <row r="607" spans="1:21">
      <c r="A607" s="73" t="s">
        <v>3396</v>
      </c>
      <c r="B607" s="73"/>
      <c r="C607" t="s">
        <v>4025</v>
      </c>
      <c r="I607" s="91"/>
      <c r="U607" s="91"/>
    </row>
    <row r="608" spans="1:21">
      <c r="A608" s="73" t="s">
        <v>3400</v>
      </c>
      <c r="B608" s="73"/>
      <c r="C608" t="s">
        <v>4026</v>
      </c>
      <c r="I608" s="91"/>
      <c r="U608" s="91"/>
    </row>
    <row r="609" spans="1:21">
      <c r="A609" s="73" t="s">
        <v>3404</v>
      </c>
      <c r="B609" s="73"/>
      <c r="C609" t="s">
        <v>4027</v>
      </c>
      <c r="I609" s="91"/>
      <c r="U609" s="91"/>
    </row>
    <row r="610" spans="1:21">
      <c r="A610" s="73" t="s">
        <v>3407</v>
      </c>
      <c r="B610" s="73"/>
      <c r="C610" t="s">
        <v>201</v>
      </c>
      <c r="I610" s="91"/>
      <c r="U610" s="91"/>
    </row>
    <row r="611" spans="1:21">
      <c r="A611" s="73" t="s">
        <v>3410</v>
      </c>
      <c r="B611" s="73"/>
      <c r="C611" t="s">
        <v>4028</v>
      </c>
      <c r="I611" s="91"/>
      <c r="U611" s="91"/>
    </row>
    <row r="612" spans="1:21">
      <c r="A612" s="73" t="s">
        <v>3415</v>
      </c>
      <c r="B612" s="73"/>
      <c r="C612" t="s">
        <v>4029</v>
      </c>
      <c r="I612" s="91"/>
      <c r="U612" s="91"/>
    </row>
    <row r="613" spans="1:21">
      <c r="A613" s="73" t="s">
        <v>3419</v>
      </c>
      <c r="B613" s="73"/>
      <c r="C613" t="s">
        <v>4030</v>
      </c>
      <c r="I613" s="91"/>
      <c r="U613" s="91"/>
    </row>
    <row r="614" spans="1:21">
      <c r="A614" s="73" t="s">
        <v>3423</v>
      </c>
      <c r="B614" s="73"/>
      <c r="C614" t="s">
        <v>4031</v>
      </c>
      <c r="I614" s="91"/>
      <c r="U614" s="91"/>
    </row>
    <row r="615" spans="1:21">
      <c r="A615" s="73" t="s">
        <v>3428</v>
      </c>
      <c r="B615" s="73"/>
      <c r="C615" t="s">
        <v>4032</v>
      </c>
      <c r="I615" s="91"/>
      <c r="U615" s="91"/>
    </row>
    <row r="616" spans="1:21">
      <c r="A616" s="73" t="s">
        <v>3432</v>
      </c>
      <c r="B616" s="73"/>
      <c r="C616" t="s">
        <v>4033</v>
      </c>
      <c r="I616" s="91"/>
      <c r="U616" s="91"/>
    </row>
    <row r="617" spans="1:21">
      <c r="A617" s="73" t="s">
        <v>3437</v>
      </c>
      <c r="B617" s="73"/>
      <c r="C617" t="s">
        <v>4034</v>
      </c>
      <c r="I617" s="91"/>
      <c r="U617" s="91"/>
    </row>
    <row r="618" spans="1:21">
      <c r="A618" s="73" t="s">
        <v>3442</v>
      </c>
      <c r="B618" s="73"/>
      <c r="C618" t="s">
        <v>4035</v>
      </c>
      <c r="I618" s="91"/>
      <c r="U618" s="91"/>
    </row>
    <row r="619" spans="1:21">
      <c r="A619" s="73" t="s">
        <v>3447</v>
      </c>
      <c r="B619" s="73"/>
      <c r="C619" t="s">
        <v>4036</v>
      </c>
      <c r="I619" s="91"/>
      <c r="U619" s="91"/>
    </row>
    <row r="620" spans="1:21">
      <c r="A620" s="73" t="s">
        <v>3450</v>
      </c>
      <c r="B620" s="73"/>
      <c r="C620" t="s">
        <v>4037</v>
      </c>
      <c r="I620" s="91"/>
      <c r="U620" s="91"/>
    </row>
    <row r="621" spans="1:21">
      <c r="A621" s="73" t="s">
        <v>3455</v>
      </c>
      <c r="B621" s="73"/>
      <c r="C621" t="s">
        <v>4038</v>
      </c>
      <c r="I621" s="91"/>
      <c r="U621" s="91"/>
    </row>
    <row r="622" spans="1:21">
      <c r="A622" s="73" t="s">
        <v>3460</v>
      </c>
      <c r="C622" t="s">
        <v>581</v>
      </c>
      <c r="I622" s="91"/>
      <c r="U622" s="91"/>
    </row>
    <row r="623" spans="1:21">
      <c r="C623" t="s">
        <v>4039</v>
      </c>
      <c r="U623" s="91"/>
    </row>
    <row r="624" spans="1:21">
      <c r="C624" t="s">
        <v>4040</v>
      </c>
      <c r="U624" s="91"/>
    </row>
    <row r="625" spans="3:21">
      <c r="C625" t="s">
        <v>4041</v>
      </c>
      <c r="U625" s="91"/>
    </row>
    <row r="626" spans="3:21">
      <c r="C626" t="s">
        <v>4042</v>
      </c>
      <c r="U626" s="91"/>
    </row>
    <row r="627" spans="3:21">
      <c r="C627" t="s">
        <v>4043</v>
      </c>
      <c r="U627" s="91"/>
    </row>
    <row r="628" spans="3:21">
      <c r="C628" t="s">
        <v>4044</v>
      </c>
      <c r="U628" s="91"/>
    </row>
    <row r="629" spans="3:21">
      <c r="C629" t="s">
        <v>4045</v>
      </c>
      <c r="U629" s="91"/>
    </row>
    <row r="630" spans="3:21">
      <c r="C630" t="s">
        <v>4046</v>
      </c>
      <c r="U630" s="91"/>
    </row>
    <row r="631" spans="3:21">
      <c r="C631" t="s">
        <v>4047</v>
      </c>
      <c r="U631" s="91"/>
    </row>
    <row r="632" spans="3:21">
      <c r="C632" t="s">
        <v>4048</v>
      </c>
    </row>
    <row r="633" spans="3:21">
      <c r="C633" t="s">
        <v>4049</v>
      </c>
    </row>
    <row r="634" spans="3:21">
      <c r="C634" t="s">
        <v>4050</v>
      </c>
    </row>
    <row r="635" spans="3:21">
      <c r="C635" t="s">
        <v>4051</v>
      </c>
    </row>
    <row r="636" spans="3:21">
      <c r="C636" t="s">
        <v>4052</v>
      </c>
    </row>
    <row r="637" spans="3:21">
      <c r="C637" t="s">
        <v>4053</v>
      </c>
    </row>
    <row r="638" spans="3:21">
      <c r="C638" t="s">
        <v>4054</v>
      </c>
    </row>
    <row r="639" spans="3:21">
      <c r="C639" t="s">
        <v>4055</v>
      </c>
    </row>
    <row r="640" spans="3:21">
      <c r="C640" t="s">
        <v>4056</v>
      </c>
    </row>
    <row r="641" spans="3:3">
      <c r="C641" t="s">
        <v>4057</v>
      </c>
    </row>
    <row r="642" spans="3:3">
      <c r="C642" t="s">
        <v>4058</v>
      </c>
    </row>
    <row r="643" spans="3:3">
      <c r="C643" t="s">
        <v>4059</v>
      </c>
    </row>
    <row r="644" spans="3:3">
      <c r="C644" t="s">
        <v>4060</v>
      </c>
    </row>
    <row r="645" spans="3:3">
      <c r="C645" t="s">
        <v>4061</v>
      </c>
    </row>
    <row r="646" spans="3:3">
      <c r="C646" t="s">
        <v>4062</v>
      </c>
    </row>
    <row r="647" spans="3:3">
      <c r="C647" t="s">
        <v>4063</v>
      </c>
    </row>
    <row r="648" spans="3:3">
      <c r="C648" t="s">
        <v>4064</v>
      </c>
    </row>
    <row r="649" spans="3:3">
      <c r="C649" t="s">
        <v>4065</v>
      </c>
    </row>
    <row r="650" spans="3:3">
      <c r="C650" t="s">
        <v>1279</v>
      </c>
    </row>
    <row r="651" spans="3:3">
      <c r="C651" t="s">
        <v>1147</v>
      </c>
    </row>
    <row r="652" spans="3:3">
      <c r="C652" t="s">
        <v>4066</v>
      </c>
    </row>
    <row r="653" spans="3:3">
      <c r="C653" t="s">
        <v>4067</v>
      </c>
    </row>
    <row r="654" spans="3:3">
      <c r="C654" t="s">
        <v>2507</v>
      </c>
    </row>
    <row r="655" spans="3:3">
      <c r="C655" t="s">
        <v>4068</v>
      </c>
    </row>
    <row r="656" spans="3:3">
      <c r="C656" t="s">
        <v>4069</v>
      </c>
    </row>
    <row r="657" spans="3:3">
      <c r="C657" t="s">
        <v>2749</v>
      </c>
    </row>
    <row r="658" spans="3:3">
      <c r="C658" t="s">
        <v>4070</v>
      </c>
    </row>
    <row r="659" spans="3:3">
      <c r="C659" t="s">
        <v>4071</v>
      </c>
    </row>
    <row r="660" spans="3:3">
      <c r="C660" t="s">
        <v>4072</v>
      </c>
    </row>
    <row r="661" spans="3:3">
      <c r="C661" t="s">
        <v>356</v>
      </c>
    </row>
    <row r="662" spans="3:3">
      <c r="C662" t="s">
        <v>4073</v>
      </c>
    </row>
    <row r="663" spans="3:3">
      <c r="C663" t="s">
        <v>4074</v>
      </c>
    </row>
    <row r="664" spans="3:3">
      <c r="C664" t="s">
        <v>2617</v>
      </c>
    </row>
    <row r="665" spans="3:3">
      <c r="C665" t="s">
        <v>2851</v>
      </c>
    </row>
    <row r="666" spans="3:3">
      <c r="C666" t="s">
        <v>4075</v>
      </c>
    </row>
    <row r="667" spans="3:3">
      <c r="C667" t="s">
        <v>4076</v>
      </c>
    </row>
    <row r="668" spans="3:3">
      <c r="C668" t="s">
        <v>4077</v>
      </c>
    </row>
    <row r="669" spans="3:3">
      <c r="C669" t="s">
        <v>4078</v>
      </c>
    </row>
    <row r="670" spans="3:3">
      <c r="C670" t="s">
        <v>4079</v>
      </c>
    </row>
    <row r="671" spans="3:3">
      <c r="C671" t="s">
        <v>4080</v>
      </c>
    </row>
    <row r="672" spans="3:3">
      <c r="C672" t="s">
        <v>4081</v>
      </c>
    </row>
    <row r="673" spans="3:3">
      <c r="C673" t="s">
        <v>4082</v>
      </c>
    </row>
    <row r="674" spans="3:3">
      <c r="C674" t="s">
        <v>4083</v>
      </c>
    </row>
    <row r="675" spans="3:3">
      <c r="C675" t="s">
        <v>4084</v>
      </c>
    </row>
    <row r="676" spans="3:3">
      <c r="C676" t="s">
        <v>4085</v>
      </c>
    </row>
    <row r="677" spans="3:3">
      <c r="C677" t="s">
        <v>2905</v>
      </c>
    </row>
    <row r="678" spans="3:3">
      <c r="C678" t="s">
        <v>4086</v>
      </c>
    </row>
    <row r="679" spans="3:3">
      <c r="C679" t="s">
        <v>4087</v>
      </c>
    </row>
    <row r="680" spans="3:3">
      <c r="C680" t="s">
        <v>4088</v>
      </c>
    </row>
    <row r="681" spans="3:3">
      <c r="C681" t="s">
        <v>578</v>
      </c>
    </row>
    <row r="682" spans="3:3">
      <c r="C682" t="s">
        <v>4089</v>
      </c>
    </row>
    <row r="683" spans="3:3">
      <c r="C683" t="s">
        <v>4090</v>
      </c>
    </row>
    <row r="684" spans="3:3">
      <c r="C684" t="s">
        <v>4091</v>
      </c>
    </row>
    <row r="685" spans="3:3">
      <c r="C685" t="s">
        <v>4092</v>
      </c>
    </row>
    <row r="686" spans="3:3">
      <c r="C686" t="s">
        <v>1797</v>
      </c>
    </row>
    <row r="687" spans="3:3">
      <c r="C687" t="s">
        <v>4093</v>
      </c>
    </row>
    <row r="688" spans="3:3">
      <c r="C688" t="s">
        <v>4094</v>
      </c>
    </row>
    <row r="689" spans="3:3">
      <c r="C689" t="s">
        <v>4095</v>
      </c>
    </row>
    <row r="690" spans="3:3">
      <c r="C690" t="s">
        <v>4096</v>
      </c>
    </row>
    <row r="691" spans="3:3">
      <c r="C691" t="s">
        <v>4097</v>
      </c>
    </row>
    <row r="692" spans="3:3">
      <c r="C692" t="s">
        <v>4098</v>
      </c>
    </row>
    <row r="693" spans="3:3">
      <c r="C693" t="s">
        <v>2249</v>
      </c>
    </row>
    <row r="694" spans="3:3">
      <c r="C694" t="s">
        <v>4099</v>
      </c>
    </row>
    <row r="695" spans="3:3">
      <c r="C695" t="s">
        <v>4100</v>
      </c>
    </row>
    <row r="696" spans="3:3">
      <c r="C696" t="s">
        <v>1155</v>
      </c>
    </row>
    <row r="697" spans="3:3">
      <c r="C697" t="s">
        <v>4101</v>
      </c>
    </row>
    <row r="698" spans="3:3">
      <c r="C698" t="s">
        <v>4102</v>
      </c>
    </row>
    <row r="699" spans="3:3">
      <c r="C699" t="s">
        <v>4103</v>
      </c>
    </row>
    <row r="700" spans="3:3">
      <c r="C700" t="s">
        <v>4104</v>
      </c>
    </row>
    <row r="701" spans="3:3">
      <c r="C701" t="s">
        <v>4105</v>
      </c>
    </row>
    <row r="702" spans="3:3">
      <c r="C702" t="s">
        <v>4106</v>
      </c>
    </row>
    <row r="703" spans="3:3">
      <c r="C703" t="s">
        <v>4107</v>
      </c>
    </row>
    <row r="704" spans="3:3">
      <c r="C704" t="s">
        <v>662</v>
      </c>
    </row>
    <row r="705" spans="3:3">
      <c r="C705" t="s">
        <v>4108</v>
      </c>
    </row>
    <row r="706" spans="3:3">
      <c r="C706" t="s">
        <v>4109</v>
      </c>
    </row>
    <row r="707" spans="3:3">
      <c r="C707" t="s">
        <v>4110</v>
      </c>
    </row>
    <row r="708" spans="3:3">
      <c r="C708" t="s">
        <v>4111</v>
      </c>
    </row>
    <row r="709" spans="3:3">
      <c r="C709" t="s">
        <v>4112</v>
      </c>
    </row>
    <row r="710" spans="3:3">
      <c r="C710" t="s">
        <v>4113</v>
      </c>
    </row>
    <row r="711" spans="3:3">
      <c r="C711" t="s">
        <v>4114</v>
      </c>
    </row>
    <row r="712" spans="3:3">
      <c r="C712" t="s">
        <v>4115</v>
      </c>
    </row>
    <row r="713" spans="3:3">
      <c r="C713" t="s">
        <v>4116</v>
      </c>
    </row>
    <row r="714" spans="3:3">
      <c r="C714" t="s">
        <v>4117</v>
      </c>
    </row>
    <row r="715" spans="3:3">
      <c r="C715" t="s">
        <v>4118</v>
      </c>
    </row>
    <row r="716" spans="3:3">
      <c r="C716" t="s">
        <v>4119</v>
      </c>
    </row>
    <row r="717" spans="3:3">
      <c r="C717" t="s">
        <v>4120</v>
      </c>
    </row>
    <row r="718" spans="3:3">
      <c r="C718" t="s">
        <v>4121</v>
      </c>
    </row>
    <row r="719" spans="3:3">
      <c r="C719" t="s">
        <v>4122</v>
      </c>
    </row>
    <row r="720" spans="3:3">
      <c r="C720" t="s">
        <v>4123</v>
      </c>
    </row>
    <row r="721" spans="3:3">
      <c r="C721" t="s">
        <v>4124</v>
      </c>
    </row>
    <row r="722" spans="3:3">
      <c r="C722" t="s">
        <v>240</v>
      </c>
    </row>
    <row r="723" spans="3:3">
      <c r="C723" t="s">
        <v>4125</v>
      </c>
    </row>
    <row r="724" spans="3:3">
      <c r="C724" t="s">
        <v>4126</v>
      </c>
    </row>
    <row r="725" spans="3:3">
      <c r="C725" t="s">
        <v>4127</v>
      </c>
    </row>
    <row r="726" spans="3:3">
      <c r="C726" t="s">
        <v>1197</v>
      </c>
    </row>
    <row r="727" spans="3:3">
      <c r="C727" t="s">
        <v>4128</v>
      </c>
    </row>
    <row r="728" spans="3:3">
      <c r="C728" t="s">
        <v>4129</v>
      </c>
    </row>
    <row r="729" spans="3:3">
      <c r="C729" t="s">
        <v>4130</v>
      </c>
    </row>
    <row r="730" spans="3:3">
      <c r="C730" t="s">
        <v>4131</v>
      </c>
    </row>
    <row r="731" spans="3:3">
      <c r="C731" t="s">
        <v>4132</v>
      </c>
    </row>
    <row r="732" spans="3:3">
      <c r="C732" t="s">
        <v>4133</v>
      </c>
    </row>
    <row r="733" spans="3:3">
      <c r="C733" t="s">
        <v>4134</v>
      </c>
    </row>
    <row r="734" spans="3:3">
      <c r="C734" t="s">
        <v>4135</v>
      </c>
    </row>
    <row r="735" spans="3:3">
      <c r="C735" t="s">
        <v>4136</v>
      </c>
    </row>
    <row r="736" spans="3:3">
      <c r="C736" t="s">
        <v>4137</v>
      </c>
    </row>
    <row r="737" spans="3:3">
      <c r="C737" t="s">
        <v>1558</v>
      </c>
    </row>
    <row r="738" spans="3:3">
      <c r="C738" t="s">
        <v>4138</v>
      </c>
    </row>
    <row r="739" spans="3:3">
      <c r="C739" t="s">
        <v>4139</v>
      </c>
    </row>
    <row r="740" spans="3:3">
      <c r="C740" t="s">
        <v>4140</v>
      </c>
    </row>
    <row r="741" spans="3:3">
      <c r="C741" t="s">
        <v>4141</v>
      </c>
    </row>
    <row r="742" spans="3:3">
      <c r="C742" t="s">
        <v>4142</v>
      </c>
    </row>
    <row r="743" spans="3:3">
      <c r="C743" t="s">
        <v>4143</v>
      </c>
    </row>
    <row r="744" spans="3:3">
      <c r="C744" t="s">
        <v>4144</v>
      </c>
    </row>
    <row r="745" spans="3:3">
      <c r="C745" t="s">
        <v>4145</v>
      </c>
    </row>
    <row r="746" spans="3:3">
      <c r="C746" t="s">
        <v>4146</v>
      </c>
    </row>
    <row r="747" spans="3:3">
      <c r="C747" t="s">
        <v>4147</v>
      </c>
    </row>
    <row r="748" spans="3:3">
      <c r="C748" t="s">
        <v>4148</v>
      </c>
    </row>
    <row r="749" spans="3:3">
      <c r="C749" t="s">
        <v>4149</v>
      </c>
    </row>
    <row r="750" spans="3:3">
      <c r="C750" t="s">
        <v>1790</v>
      </c>
    </row>
    <row r="751" spans="3:3">
      <c r="C751" t="s">
        <v>4150</v>
      </c>
    </row>
    <row r="752" spans="3:3">
      <c r="C752" t="s">
        <v>4151</v>
      </c>
    </row>
    <row r="753" spans="3:3">
      <c r="C753" t="s">
        <v>4152</v>
      </c>
    </row>
    <row r="754" spans="3:3">
      <c r="C754" t="s">
        <v>4153</v>
      </c>
    </row>
    <row r="755" spans="3:3">
      <c r="C755" t="s">
        <v>4154</v>
      </c>
    </row>
    <row r="756" spans="3:3">
      <c r="C756" t="s">
        <v>4155</v>
      </c>
    </row>
    <row r="757" spans="3:3">
      <c r="C757" t="s">
        <v>1801</v>
      </c>
    </row>
    <row r="758" spans="3:3">
      <c r="C758" t="s">
        <v>3181</v>
      </c>
    </row>
    <row r="759" spans="3:3">
      <c r="C759" t="s">
        <v>4156</v>
      </c>
    </row>
    <row r="760" spans="3:3">
      <c r="C760" t="s">
        <v>3455</v>
      </c>
    </row>
    <row r="761" spans="3:3">
      <c r="C761" t="s">
        <v>4157</v>
      </c>
    </row>
    <row r="762" spans="3:3">
      <c r="C762" t="s">
        <v>4158</v>
      </c>
    </row>
    <row r="763" spans="3:3">
      <c r="C763" t="s">
        <v>4159</v>
      </c>
    </row>
    <row r="764" spans="3:3">
      <c r="C764" t="s">
        <v>4160</v>
      </c>
    </row>
    <row r="765" spans="3:3">
      <c r="C765" t="s">
        <v>4161</v>
      </c>
    </row>
    <row r="766" spans="3:3">
      <c r="C766" t="s">
        <v>4162</v>
      </c>
    </row>
    <row r="767" spans="3:3">
      <c r="C767" t="s">
        <v>2767</v>
      </c>
    </row>
    <row r="768" spans="3:3">
      <c r="C768" t="s">
        <v>4163</v>
      </c>
    </row>
    <row r="769" spans="3:3">
      <c r="C769" t="s">
        <v>4164</v>
      </c>
    </row>
    <row r="770" spans="3:3">
      <c r="C770" t="s">
        <v>92</v>
      </c>
    </row>
    <row r="771" spans="3:3">
      <c r="C771" t="s">
        <v>4165</v>
      </c>
    </row>
    <row r="772" spans="3:3">
      <c r="C772" t="s">
        <v>3017</v>
      </c>
    </row>
    <row r="773" spans="3:3">
      <c r="C773" t="s">
        <v>4166</v>
      </c>
    </row>
    <row r="774" spans="3:3">
      <c r="C774" t="s">
        <v>4167</v>
      </c>
    </row>
    <row r="775" spans="3:3">
      <c r="C775" t="s">
        <v>4168</v>
      </c>
    </row>
    <row r="776" spans="3:3">
      <c r="C776" t="s">
        <v>2728</v>
      </c>
    </row>
    <row r="777" spans="3:3">
      <c r="C777" t="s">
        <v>4169</v>
      </c>
    </row>
    <row r="778" spans="3:3">
      <c r="C778" t="s">
        <v>4170</v>
      </c>
    </row>
    <row r="779" spans="3:3">
      <c r="C779" t="s">
        <v>4171</v>
      </c>
    </row>
    <row r="780" spans="3:3">
      <c r="C780" t="s">
        <v>4172</v>
      </c>
    </row>
    <row r="781" spans="3:3">
      <c r="C781" t="s">
        <v>3152</v>
      </c>
    </row>
    <row r="782" spans="3:3">
      <c r="C782" t="s">
        <v>4173</v>
      </c>
    </row>
    <row r="783" spans="3:3">
      <c r="C783" t="s">
        <v>4174</v>
      </c>
    </row>
    <row r="784" spans="3:3">
      <c r="C784" t="s">
        <v>146</v>
      </c>
    </row>
    <row r="785" spans="3:3">
      <c r="C785" t="s">
        <v>4175</v>
      </c>
    </row>
    <row r="786" spans="3:3">
      <c r="C786" t="s">
        <v>4176</v>
      </c>
    </row>
    <row r="787" spans="3:3">
      <c r="C787" t="s">
        <v>4177</v>
      </c>
    </row>
    <row r="788" spans="3:3">
      <c r="C788" t="s">
        <v>4178</v>
      </c>
    </row>
    <row r="789" spans="3:3">
      <c r="C789" t="s">
        <v>4179</v>
      </c>
    </row>
    <row r="790" spans="3:3">
      <c r="C790" t="s">
        <v>1372</v>
      </c>
    </row>
    <row r="791" spans="3:3">
      <c r="C791" t="s">
        <v>4180</v>
      </c>
    </row>
    <row r="792" spans="3:3">
      <c r="C792" t="s">
        <v>4181</v>
      </c>
    </row>
    <row r="793" spans="3:3">
      <c r="C793" t="s">
        <v>4182</v>
      </c>
    </row>
    <row r="794" spans="3:3">
      <c r="C794" t="s">
        <v>4183</v>
      </c>
    </row>
    <row r="795" spans="3:3">
      <c r="C795" t="s">
        <v>4184</v>
      </c>
    </row>
    <row r="796" spans="3:3">
      <c r="C796" t="s">
        <v>61</v>
      </c>
    </row>
    <row r="797" spans="3:3">
      <c r="C797" t="s">
        <v>301</v>
      </c>
    </row>
    <row r="798" spans="3:3">
      <c r="C798" t="s">
        <v>263</v>
      </c>
    </row>
    <row r="799" spans="3:3">
      <c r="C799" t="s">
        <v>358</v>
      </c>
    </row>
    <row r="800" spans="3:3">
      <c r="C800" t="s">
        <v>4185</v>
      </c>
    </row>
    <row r="801" spans="3:3">
      <c r="C801" t="s">
        <v>4186</v>
      </c>
    </row>
    <row r="802" spans="3:3">
      <c r="C802" t="s">
        <v>4187</v>
      </c>
    </row>
    <row r="803" spans="3:3">
      <c r="C803" t="s">
        <v>4188</v>
      </c>
    </row>
    <row r="804" spans="3:3">
      <c r="C804" t="s">
        <v>4189</v>
      </c>
    </row>
    <row r="805" spans="3:3">
      <c r="C805" t="s">
        <v>4190</v>
      </c>
    </row>
    <row r="806" spans="3:3">
      <c r="C806" t="s">
        <v>4191</v>
      </c>
    </row>
    <row r="807" spans="3:3">
      <c r="C807" t="s">
        <v>4192</v>
      </c>
    </row>
    <row r="808" spans="3:3">
      <c r="C808" t="s">
        <v>4193</v>
      </c>
    </row>
    <row r="809" spans="3:3">
      <c r="C809" t="s">
        <v>4194</v>
      </c>
    </row>
    <row r="810" spans="3:3">
      <c r="C810" t="s">
        <v>4195</v>
      </c>
    </row>
    <row r="811" spans="3:3">
      <c r="C811" t="s">
        <v>4196</v>
      </c>
    </row>
    <row r="812" spans="3:3">
      <c r="C812" t="s">
        <v>4197</v>
      </c>
    </row>
    <row r="813" spans="3:3">
      <c r="C813" t="s">
        <v>4198</v>
      </c>
    </row>
    <row r="814" spans="3:3">
      <c r="C814" t="s">
        <v>4199</v>
      </c>
    </row>
    <row r="815" spans="3:3">
      <c r="C815" t="s">
        <v>4200</v>
      </c>
    </row>
    <row r="816" spans="3:3">
      <c r="C816" t="s">
        <v>4201</v>
      </c>
    </row>
    <row r="817" spans="3:3">
      <c r="C817" t="s">
        <v>4202</v>
      </c>
    </row>
    <row r="818" spans="3:3">
      <c r="C818" t="s">
        <v>4203</v>
      </c>
    </row>
    <row r="819" spans="3:3">
      <c r="C819" t="s">
        <v>359</v>
      </c>
    </row>
    <row r="820" spans="3:3">
      <c r="C820" t="s">
        <v>4204</v>
      </c>
    </row>
    <row r="821" spans="3:3">
      <c r="C821" t="s">
        <v>4205</v>
      </c>
    </row>
    <row r="822" spans="3:3">
      <c r="C822" t="s">
        <v>4206</v>
      </c>
    </row>
    <row r="823" spans="3:3">
      <c r="C823" t="s">
        <v>4207</v>
      </c>
    </row>
    <row r="824" spans="3:3">
      <c r="C824" t="s">
        <v>4208</v>
      </c>
    </row>
    <row r="825" spans="3:3">
      <c r="C825" t="s">
        <v>4209</v>
      </c>
    </row>
    <row r="826" spans="3:3">
      <c r="C826" t="s">
        <v>4210</v>
      </c>
    </row>
    <row r="827" spans="3:3">
      <c r="C827" t="s">
        <v>4211</v>
      </c>
    </row>
    <row r="828" spans="3:3">
      <c r="C828" t="s">
        <v>4212</v>
      </c>
    </row>
    <row r="829" spans="3:3">
      <c r="C829" t="s">
        <v>4213</v>
      </c>
    </row>
    <row r="830" spans="3:3">
      <c r="C830" t="s">
        <v>4214</v>
      </c>
    </row>
    <row r="831" spans="3:3">
      <c r="C831" t="s">
        <v>4215</v>
      </c>
    </row>
    <row r="832" spans="3:3">
      <c r="C832" t="s">
        <v>4216</v>
      </c>
    </row>
    <row r="833" spans="3:3">
      <c r="C833" t="s">
        <v>4217</v>
      </c>
    </row>
    <row r="834" spans="3:3">
      <c r="C834" t="s">
        <v>4218</v>
      </c>
    </row>
    <row r="835" spans="3:3">
      <c r="C835" t="s">
        <v>4219</v>
      </c>
    </row>
    <row r="836" spans="3:3">
      <c r="C836" t="s">
        <v>4220</v>
      </c>
    </row>
    <row r="837" spans="3:3">
      <c r="C837" t="s">
        <v>4221</v>
      </c>
    </row>
    <row r="838" spans="3:3">
      <c r="C838" t="s">
        <v>4222</v>
      </c>
    </row>
    <row r="839" spans="3:3">
      <c r="C839" t="s">
        <v>4223</v>
      </c>
    </row>
    <row r="840" spans="3:3">
      <c r="C840" t="s">
        <v>4224</v>
      </c>
    </row>
    <row r="841" spans="3:3">
      <c r="C841" t="s">
        <v>4225</v>
      </c>
    </row>
    <row r="842" spans="3:3">
      <c r="C842" t="s">
        <v>4226</v>
      </c>
    </row>
    <row r="843" spans="3:3">
      <c r="C843" t="s">
        <v>4227</v>
      </c>
    </row>
    <row r="844" spans="3:3">
      <c r="C844" t="s">
        <v>4228</v>
      </c>
    </row>
    <row r="845" spans="3:3">
      <c r="C845" t="s">
        <v>4229</v>
      </c>
    </row>
    <row r="846" spans="3:3">
      <c r="C846" t="s">
        <v>4230</v>
      </c>
    </row>
    <row r="847" spans="3:3">
      <c r="C847" t="s">
        <v>4231</v>
      </c>
    </row>
    <row r="848" spans="3:3">
      <c r="C848" t="s">
        <v>4232</v>
      </c>
    </row>
    <row r="849" spans="3:3">
      <c r="C849" t="s">
        <v>4233</v>
      </c>
    </row>
    <row r="850" spans="3:3">
      <c r="C850" t="s">
        <v>4234</v>
      </c>
    </row>
    <row r="851" spans="3:3">
      <c r="C851" t="s">
        <v>4235</v>
      </c>
    </row>
    <row r="852" spans="3:3">
      <c r="C852" t="s">
        <v>4236</v>
      </c>
    </row>
    <row r="853" spans="3:3">
      <c r="C853" t="s">
        <v>4237</v>
      </c>
    </row>
    <row r="854" spans="3:3">
      <c r="C854" t="s">
        <v>2473</v>
      </c>
    </row>
    <row r="855" spans="3:3">
      <c r="C855" t="s">
        <v>4238</v>
      </c>
    </row>
    <row r="856" spans="3:3">
      <c r="C856" t="s">
        <v>4239</v>
      </c>
    </row>
    <row r="857" spans="3:3">
      <c r="C857" t="s">
        <v>4240</v>
      </c>
    </row>
    <row r="858" spans="3:3">
      <c r="C858" t="s">
        <v>4241</v>
      </c>
    </row>
    <row r="859" spans="3:3">
      <c r="C859" t="s">
        <v>4242</v>
      </c>
    </row>
    <row r="860" spans="3:3">
      <c r="C860" t="s">
        <v>4243</v>
      </c>
    </row>
    <row r="861" spans="3:3">
      <c r="C861" t="s">
        <v>4244</v>
      </c>
    </row>
    <row r="862" spans="3:3">
      <c r="C862" t="s">
        <v>4245</v>
      </c>
    </row>
    <row r="863" spans="3:3">
      <c r="C863" t="s">
        <v>4246</v>
      </c>
    </row>
    <row r="864" spans="3:3">
      <c r="C864" t="s">
        <v>4247</v>
      </c>
    </row>
    <row r="865" spans="3:3">
      <c r="C865" t="s">
        <v>4248</v>
      </c>
    </row>
    <row r="866" spans="3:3">
      <c r="C866" t="s">
        <v>4249</v>
      </c>
    </row>
    <row r="867" spans="3:3">
      <c r="C867" t="s">
        <v>4250</v>
      </c>
    </row>
    <row r="868" spans="3:3">
      <c r="C868" t="s">
        <v>4251</v>
      </c>
    </row>
    <row r="869" spans="3:3">
      <c r="C869" t="s">
        <v>2949</v>
      </c>
    </row>
    <row r="870" spans="3:3">
      <c r="C870" t="s">
        <v>2192</v>
      </c>
    </row>
    <row r="871" spans="3:3">
      <c r="C871" t="s">
        <v>4252</v>
      </c>
    </row>
    <row r="872" spans="3:3">
      <c r="C872" t="s">
        <v>4253</v>
      </c>
    </row>
    <row r="873" spans="3:3">
      <c r="C873" t="s">
        <v>4254</v>
      </c>
    </row>
    <row r="874" spans="3:3">
      <c r="C874" t="s">
        <v>4255</v>
      </c>
    </row>
    <row r="875" spans="3:3">
      <c r="C875" t="s">
        <v>4256</v>
      </c>
    </row>
    <row r="876" spans="3:3">
      <c r="C876" t="s">
        <v>4257</v>
      </c>
    </row>
    <row r="877" spans="3:3">
      <c r="C877" t="s">
        <v>720</v>
      </c>
    </row>
    <row r="878" spans="3:3">
      <c r="C878" t="s">
        <v>4258</v>
      </c>
    </row>
    <row r="879" spans="3:3">
      <c r="C879" t="s">
        <v>4259</v>
      </c>
    </row>
    <row r="880" spans="3:3">
      <c r="C880" t="s">
        <v>4260</v>
      </c>
    </row>
    <row r="881" spans="3:3">
      <c r="C881" t="s">
        <v>4261</v>
      </c>
    </row>
    <row r="882" spans="3:3">
      <c r="C882" t="s">
        <v>1026</v>
      </c>
    </row>
    <row r="883" spans="3:3">
      <c r="C883" t="s">
        <v>4262</v>
      </c>
    </row>
    <row r="884" spans="3:3">
      <c r="C884" t="s">
        <v>4263</v>
      </c>
    </row>
    <row r="885" spans="3:3">
      <c r="C885" t="s">
        <v>4264</v>
      </c>
    </row>
    <row r="886" spans="3:3">
      <c r="C886" t="s">
        <v>2414</v>
      </c>
    </row>
    <row r="887" spans="3:3">
      <c r="C887" t="s">
        <v>4265</v>
      </c>
    </row>
    <row r="888" spans="3:3">
      <c r="C888" t="s">
        <v>3059</v>
      </c>
    </row>
    <row r="889" spans="3:3">
      <c r="C889" t="s">
        <v>4266</v>
      </c>
    </row>
    <row r="890" spans="3:3">
      <c r="C890" t="s">
        <v>2421</v>
      </c>
    </row>
    <row r="891" spans="3:3">
      <c r="C891" t="s">
        <v>4267</v>
      </c>
    </row>
    <row r="892" spans="3:3">
      <c r="C892" t="s">
        <v>4268</v>
      </c>
    </row>
    <row r="893" spans="3:3">
      <c r="C893" t="s">
        <v>624</v>
      </c>
    </row>
    <row r="894" spans="3:3">
      <c r="C894" t="s">
        <v>4269</v>
      </c>
    </row>
    <row r="895" spans="3:3">
      <c r="C895" t="s">
        <v>4270</v>
      </c>
    </row>
    <row r="896" spans="3:3">
      <c r="C896" t="s">
        <v>3038</v>
      </c>
    </row>
    <row r="897" spans="3:3">
      <c r="C897" t="s">
        <v>4271</v>
      </c>
    </row>
    <row r="898" spans="3:3">
      <c r="C898" t="s">
        <v>323</v>
      </c>
    </row>
    <row r="899" spans="3:3">
      <c r="C899" t="s">
        <v>53</v>
      </c>
    </row>
    <row r="900" spans="3:3">
      <c r="C900" t="s">
        <v>4272</v>
      </c>
    </row>
    <row r="901" spans="3:3">
      <c r="C901" t="s">
        <v>4273</v>
      </c>
    </row>
    <row r="902" spans="3:3">
      <c r="C902" t="s">
        <v>175</v>
      </c>
    </row>
    <row r="903" spans="3:3">
      <c r="C903" t="s">
        <v>120</v>
      </c>
    </row>
    <row r="904" spans="3:3">
      <c r="C904" t="s">
        <v>4274</v>
      </c>
    </row>
    <row r="905" spans="3:3">
      <c r="C905" t="s">
        <v>99</v>
      </c>
    </row>
    <row r="906" spans="3:3">
      <c r="C906" t="s">
        <v>4275</v>
      </c>
    </row>
    <row r="907" spans="3:3">
      <c r="C907" t="s">
        <v>4276</v>
      </c>
    </row>
    <row r="908" spans="3:3">
      <c r="C908" t="s">
        <v>4277</v>
      </c>
    </row>
    <row r="909" spans="3:3">
      <c r="C909" t="s">
        <v>4278</v>
      </c>
    </row>
    <row r="910" spans="3:3">
      <c r="C910" t="s">
        <v>4279</v>
      </c>
    </row>
    <row r="911" spans="3:3">
      <c r="C911" t="s">
        <v>1832</v>
      </c>
    </row>
    <row r="912" spans="3:3">
      <c r="C912" t="s">
        <v>4280</v>
      </c>
    </row>
    <row r="913" spans="3:3">
      <c r="C913" t="s">
        <v>4281</v>
      </c>
    </row>
    <row r="914" spans="3:3">
      <c r="C914" t="s">
        <v>4282</v>
      </c>
    </row>
    <row r="915" spans="3:3">
      <c r="C915" t="s">
        <v>4283</v>
      </c>
    </row>
    <row r="916" spans="3:3">
      <c r="C916" t="s">
        <v>4284</v>
      </c>
    </row>
    <row r="917" spans="3:3">
      <c r="C917" t="s">
        <v>4285</v>
      </c>
    </row>
    <row r="918" spans="3:3">
      <c r="C918" t="s">
        <v>4286</v>
      </c>
    </row>
    <row r="919" spans="3:3">
      <c r="C919" t="s">
        <v>4287</v>
      </c>
    </row>
    <row r="920" spans="3:3">
      <c r="C920" t="s">
        <v>4288</v>
      </c>
    </row>
    <row r="921" spans="3:3">
      <c r="C921" t="s">
        <v>1569</v>
      </c>
    </row>
    <row r="922" spans="3:3">
      <c r="C922" t="s">
        <v>4289</v>
      </c>
    </row>
    <row r="923" spans="3:3">
      <c r="C923" t="s">
        <v>4290</v>
      </c>
    </row>
    <row r="924" spans="3:3">
      <c r="C924" t="s">
        <v>4291</v>
      </c>
    </row>
    <row r="925" spans="3:3">
      <c r="C925" t="s">
        <v>4292</v>
      </c>
    </row>
    <row r="926" spans="3:3">
      <c r="C926" t="s">
        <v>688</v>
      </c>
    </row>
    <row r="927" spans="3:3">
      <c r="C927" t="s">
        <v>4293</v>
      </c>
    </row>
    <row r="928" spans="3:3">
      <c r="C928" t="s">
        <v>4294</v>
      </c>
    </row>
    <row r="929" spans="3:3">
      <c r="C929" t="s">
        <v>160</v>
      </c>
    </row>
    <row r="930" spans="3:3">
      <c r="C930" t="s">
        <v>4295</v>
      </c>
    </row>
    <row r="931" spans="3:3">
      <c r="C931" t="s">
        <v>4296</v>
      </c>
    </row>
    <row r="932" spans="3:3">
      <c r="C932" t="s">
        <v>4297</v>
      </c>
    </row>
    <row r="933" spans="3:3">
      <c r="C933" t="s">
        <v>4298</v>
      </c>
    </row>
    <row r="934" spans="3:3">
      <c r="C934" t="s">
        <v>4299</v>
      </c>
    </row>
    <row r="935" spans="3:3">
      <c r="C935" t="s">
        <v>2978</v>
      </c>
    </row>
    <row r="936" spans="3:3">
      <c r="C936" t="s">
        <v>4300</v>
      </c>
    </row>
    <row r="937" spans="3:3">
      <c r="C937" t="s">
        <v>4301</v>
      </c>
    </row>
    <row r="938" spans="3:3">
      <c r="C938" t="s">
        <v>3396</v>
      </c>
    </row>
    <row r="939" spans="3:3">
      <c r="C939" t="s">
        <v>4302</v>
      </c>
    </row>
    <row r="940" spans="3:3">
      <c r="C940" t="s">
        <v>4303</v>
      </c>
    </row>
    <row r="941" spans="3:3">
      <c r="C941" t="s">
        <v>4304</v>
      </c>
    </row>
    <row r="942" spans="3:3">
      <c r="C942" t="s">
        <v>4305</v>
      </c>
    </row>
    <row r="943" spans="3:3">
      <c r="C943" t="s">
        <v>707</v>
      </c>
    </row>
    <row r="944" spans="3:3">
      <c r="C944" t="s">
        <v>4306</v>
      </c>
    </row>
    <row r="945" spans="3:3">
      <c r="C945" t="s">
        <v>4307</v>
      </c>
    </row>
    <row r="946" spans="3:3">
      <c r="C946" t="s">
        <v>4308</v>
      </c>
    </row>
    <row r="947" spans="3:3">
      <c r="C947" t="s">
        <v>4309</v>
      </c>
    </row>
    <row r="948" spans="3:3">
      <c r="C948" t="s">
        <v>4310</v>
      </c>
    </row>
    <row r="949" spans="3:3">
      <c r="C949" t="s">
        <v>4311</v>
      </c>
    </row>
    <row r="950" spans="3:3">
      <c r="C950" t="s">
        <v>4312</v>
      </c>
    </row>
    <row r="951" spans="3:3">
      <c r="C951" t="s">
        <v>4313</v>
      </c>
    </row>
    <row r="952" spans="3:3">
      <c r="C952" t="s">
        <v>2158</v>
      </c>
    </row>
    <row r="953" spans="3:3">
      <c r="C953" t="s">
        <v>409</v>
      </c>
    </row>
    <row r="954" spans="3:3">
      <c r="C954" t="s">
        <v>726</v>
      </c>
    </row>
    <row r="955" spans="3:3">
      <c r="C955" t="s">
        <v>4314</v>
      </c>
    </row>
    <row r="956" spans="3:3">
      <c r="C956" t="s">
        <v>3460</v>
      </c>
    </row>
    <row r="957" spans="3:3">
      <c r="C957" t="s">
        <v>4315</v>
      </c>
    </row>
    <row r="958" spans="3:3">
      <c r="C958" t="s">
        <v>4316</v>
      </c>
    </row>
    <row r="959" spans="3:3">
      <c r="C959" t="s">
        <v>226</v>
      </c>
    </row>
    <row r="960" spans="3:3">
      <c r="C960" t="s">
        <v>79</v>
      </c>
    </row>
    <row r="961" spans="3:3">
      <c r="C961" t="s">
        <v>4317</v>
      </c>
    </row>
    <row r="962" spans="3:3">
      <c r="C962" t="s">
        <v>321</v>
      </c>
    </row>
    <row r="963" spans="3:3">
      <c r="C963" t="s">
        <v>4318</v>
      </c>
    </row>
    <row r="964" spans="3:3">
      <c r="C964" t="s">
        <v>4319</v>
      </c>
    </row>
    <row r="965" spans="3:3">
      <c r="C965" t="s">
        <v>300</v>
      </c>
    </row>
    <row r="966" spans="3:3">
      <c r="C966" t="s">
        <v>4320</v>
      </c>
    </row>
    <row r="967" spans="3:3">
      <c r="C967" t="s">
        <v>4321</v>
      </c>
    </row>
    <row r="968" spans="3:3">
      <c r="C968" t="s">
        <v>4322</v>
      </c>
    </row>
    <row r="969" spans="3:3">
      <c r="C969" t="s">
        <v>4323</v>
      </c>
    </row>
    <row r="970" spans="3:3">
      <c r="C970" t="s">
        <v>3007</v>
      </c>
    </row>
    <row r="971" spans="3:3">
      <c r="C971" t="s">
        <v>4324</v>
      </c>
    </row>
    <row r="972" spans="3:3">
      <c r="C972" t="s">
        <v>4325</v>
      </c>
    </row>
    <row r="973" spans="3:3">
      <c r="C973" t="s">
        <v>4326</v>
      </c>
    </row>
    <row r="974" spans="3:3">
      <c r="C974" t="s">
        <v>1541</v>
      </c>
    </row>
    <row r="975" spans="3:3">
      <c r="C975" t="s">
        <v>4327</v>
      </c>
    </row>
    <row r="976" spans="3:3">
      <c r="C976" t="s">
        <v>4328</v>
      </c>
    </row>
    <row r="977" spans="3:3">
      <c r="C977" t="s">
        <v>4329</v>
      </c>
    </row>
    <row r="978" spans="3:3">
      <c r="C978" t="s">
        <v>2585</v>
      </c>
    </row>
    <row r="979" spans="3:3">
      <c r="C979" t="s">
        <v>3442</v>
      </c>
    </row>
    <row r="980" spans="3:3">
      <c r="C980" t="s">
        <v>144</v>
      </c>
    </row>
    <row r="981" spans="3:3">
      <c r="C981" t="s">
        <v>3432</v>
      </c>
    </row>
    <row r="982" spans="3:3">
      <c r="C982" t="s">
        <v>4330</v>
      </c>
    </row>
    <row r="983" spans="3:3">
      <c r="C983" t="s">
        <v>379</v>
      </c>
    </row>
    <row r="984" spans="3:3">
      <c r="C984" t="s">
        <v>4331</v>
      </c>
    </row>
    <row r="985" spans="3:3">
      <c r="C985" t="s">
        <v>344</v>
      </c>
    </row>
    <row r="986" spans="3:3">
      <c r="C986" t="s">
        <v>4332</v>
      </c>
    </row>
    <row r="987" spans="3:3">
      <c r="C987" t="s">
        <v>4333</v>
      </c>
    </row>
    <row r="988" spans="3:3">
      <c r="C988" t="s">
        <v>1481</v>
      </c>
    </row>
    <row r="989" spans="3:3">
      <c r="C989" t="s">
        <v>4334</v>
      </c>
    </row>
    <row r="990" spans="3:3">
      <c r="C990" t="s">
        <v>4335</v>
      </c>
    </row>
    <row r="991" spans="3:3">
      <c r="C991" t="s">
        <v>4337</v>
      </c>
    </row>
    <row r="992" spans="3:3">
      <c r="C992" t="s">
        <v>286</v>
      </c>
    </row>
    <row r="993" spans="3:3">
      <c r="C993" t="s">
        <v>4338</v>
      </c>
    </row>
    <row r="994" spans="3:3">
      <c r="C994" t="s">
        <v>4339</v>
      </c>
    </row>
    <row r="995" spans="3:3">
      <c r="C995" t="s">
        <v>1888</v>
      </c>
    </row>
    <row r="996" spans="3:3">
      <c r="C996" t="s">
        <v>4340</v>
      </c>
    </row>
    <row r="997" spans="3:3">
      <c r="C997" t="s">
        <v>4341</v>
      </c>
    </row>
    <row r="998" spans="3:3">
      <c r="C998" t="s">
        <v>4342</v>
      </c>
    </row>
    <row r="999" spans="3:3">
      <c r="C999" t="s">
        <v>4343</v>
      </c>
    </row>
    <row r="1000" spans="3:3">
      <c r="C1000" t="s">
        <v>4344</v>
      </c>
    </row>
    <row r="1001" spans="3:3">
      <c r="C1001" t="s">
        <v>4345</v>
      </c>
    </row>
    <row r="1002" spans="3:3">
      <c r="C1002" t="s">
        <v>4346</v>
      </c>
    </row>
    <row r="1003" spans="3:3">
      <c r="C1003" t="s">
        <v>4347</v>
      </c>
    </row>
    <row r="1004" spans="3:3">
      <c r="C1004" t="s">
        <v>4348</v>
      </c>
    </row>
    <row r="1005" spans="3:3">
      <c r="C1005" t="s">
        <v>1171</v>
      </c>
    </row>
    <row r="1006" spans="3:3">
      <c r="C1006" t="s">
        <v>4349</v>
      </c>
    </row>
    <row r="1007" spans="3:3">
      <c r="C1007" t="s">
        <v>1354</v>
      </c>
    </row>
    <row r="1008" spans="3:3">
      <c r="C1008" t="s">
        <v>4350</v>
      </c>
    </row>
    <row r="1009" spans="3:3">
      <c r="C1009" t="s">
        <v>4351</v>
      </c>
    </row>
    <row r="1010" spans="3:3">
      <c r="C1010" t="s">
        <v>4352</v>
      </c>
    </row>
    <row r="1011" spans="3:3">
      <c r="C1011" t="s">
        <v>4353</v>
      </c>
    </row>
    <row r="1012" spans="3:3">
      <c r="C1012" t="s">
        <v>4354</v>
      </c>
    </row>
    <row r="1013" spans="3:3">
      <c r="C1013" t="s">
        <v>4355</v>
      </c>
    </row>
    <row r="1014" spans="3:3">
      <c r="C1014" t="s">
        <v>3419</v>
      </c>
    </row>
    <row r="1015" spans="3:3">
      <c r="C1015" t="s">
        <v>4356</v>
      </c>
    </row>
    <row r="1016" spans="3:3">
      <c r="C1016" t="s">
        <v>2916</v>
      </c>
    </row>
    <row r="1017" spans="3:3">
      <c r="C1017" t="s">
        <v>4357</v>
      </c>
    </row>
    <row r="1018" spans="3:3">
      <c r="C1018" t="s">
        <v>4358</v>
      </c>
    </row>
    <row r="1019" spans="3:3">
      <c r="C1019" t="s">
        <v>4359</v>
      </c>
    </row>
    <row r="1020" spans="3:3">
      <c r="C1020" t="s">
        <v>2946</v>
      </c>
    </row>
    <row r="1021" spans="3:3">
      <c r="C1021" t="s">
        <v>4360</v>
      </c>
    </row>
    <row r="1022" spans="3:3">
      <c r="C1022" t="s">
        <v>4361</v>
      </c>
    </row>
    <row r="1023" spans="3:3">
      <c r="C1023" t="s">
        <v>4362</v>
      </c>
    </row>
    <row r="1024" spans="3:3">
      <c r="C1024" t="s">
        <v>4363</v>
      </c>
    </row>
    <row r="1025" spans="3:3">
      <c r="C1025" t="s">
        <v>4364</v>
      </c>
    </row>
    <row r="1026" spans="3:3">
      <c r="C1026" t="s">
        <v>4365</v>
      </c>
    </row>
    <row r="1027" spans="3:3">
      <c r="C1027" t="s">
        <v>4366</v>
      </c>
    </row>
    <row r="1028" spans="3:3">
      <c r="C1028" t="s">
        <v>4367</v>
      </c>
    </row>
    <row r="1029" spans="3:3">
      <c r="C1029" t="s">
        <v>3087</v>
      </c>
    </row>
    <row r="1030" spans="3:3">
      <c r="C1030" t="s">
        <v>629</v>
      </c>
    </row>
    <row r="1031" spans="3:3">
      <c r="C1031" t="s">
        <v>4368</v>
      </c>
    </row>
    <row r="1032" spans="3:3">
      <c r="C1032" t="s">
        <v>4369</v>
      </c>
    </row>
    <row r="1033" spans="3:3">
      <c r="C1033" t="s">
        <v>2689</v>
      </c>
    </row>
    <row r="1034" spans="3:3">
      <c r="C1034" t="s">
        <v>539</v>
      </c>
    </row>
    <row r="1035" spans="3:3">
      <c r="C1035" t="s">
        <v>4370</v>
      </c>
    </row>
    <row r="1036" spans="3:3">
      <c r="C1036" t="s">
        <v>4371</v>
      </c>
    </row>
    <row r="1037" spans="3:3">
      <c r="C1037" t="s">
        <v>4372</v>
      </c>
    </row>
    <row r="1038" spans="3:3">
      <c r="C1038" t="s">
        <v>2919</v>
      </c>
    </row>
    <row r="1039" spans="3:3">
      <c r="C1039" t="s">
        <v>4373</v>
      </c>
    </row>
    <row r="1040" spans="3:3">
      <c r="C1040" t="s">
        <v>3143</v>
      </c>
    </row>
    <row r="1041" spans="3:3">
      <c r="C1041" t="s">
        <v>4374</v>
      </c>
    </row>
    <row r="1042" spans="3:3">
      <c r="C1042" t="s">
        <v>4375</v>
      </c>
    </row>
    <row r="1043" spans="3:3">
      <c r="C1043" t="s">
        <v>2722</v>
      </c>
    </row>
    <row r="1044" spans="3:3">
      <c r="C1044" t="s">
        <v>4376</v>
      </c>
    </row>
    <row r="1045" spans="3:3">
      <c r="C1045" t="s">
        <v>4377</v>
      </c>
    </row>
    <row r="1046" spans="3:3">
      <c r="C1046" t="s">
        <v>4378</v>
      </c>
    </row>
    <row r="1047" spans="3:3">
      <c r="C1047" t="s">
        <v>4379</v>
      </c>
    </row>
    <row r="1048" spans="3:3">
      <c r="C1048" t="s">
        <v>4380</v>
      </c>
    </row>
    <row r="1049" spans="3:3">
      <c r="C1049" t="s">
        <v>4381</v>
      </c>
    </row>
    <row r="1050" spans="3:3">
      <c r="C1050" t="s">
        <v>1756</v>
      </c>
    </row>
    <row r="1051" spans="3:3">
      <c r="C1051" t="s">
        <v>4382</v>
      </c>
    </row>
    <row r="1052" spans="3:3">
      <c r="C1052" t="s">
        <v>231</v>
      </c>
    </row>
    <row r="1053" spans="3:3">
      <c r="C1053" t="s">
        <v>4383</v>
      </c>
    </row>
    <row r="1054" spans="3:3">
      <c r="C1054" t="s">
        <v>4384</v>
      </c>
    </row>
    <row r="1055" spans="3:3">
      <c r="C1055" t="s">
        <v>4385</v>
      </c>
    </row>
    <row r="1056" spans="3:3">
      <c r="C1056" t="s">
        <v>4386</v>
      </c>
    </row>
    <row r="1057" spans="3:3">
      <c r="C1057" t="s">
        <v>2649</v>
      </c>
    </row>
    <row r="1058" spans="3:3">
      <c r="C1058" t="s">
        <v>2489</v>
      </c>
    </row>
    <row r="1059" spans="3:3">
      <c r="C1059" t="s">
        <v>4387</v>
      </c>
    </row>
    <row r="1060" spans="3:3">
      <c r="C1060" t="s">
        <v>4388</v>
      </c>
    </row>
    <row r="1061" spans="3:3">
      <c r="C1061" t="s">
        <v>4389</v>
      </c>
    </row>
    <row r="1062" spans="3:3">
      <c r="C1062" t="s">
        <v>4390</v>
      </c>
    </row>
    <row r="1063" spans="3:3">
      <c r="C1063" t="s">
        <v>645</v>
      </c>
    </row>
    <row r="1064" spans="3:3">
      <c r="C1064" t="s">
        <v>207</v>
      </c>
    </row>
    <row r="1065" spans="3:3">
      <c r="C1065" t="s">
        <v>378</v>
      </c>
    </row>
    <row r="1066" spans="3:3">
      <c r="C1066" t="s">
        <v>4391</v>
      </c>
    </row>
    <row r="1067" spans="3:3">
      <c r="C1067" t="s">
        <v>4392</v>
      </c>
    </row>
    <row r="1068" spans="3:3">
      <c r="C1068" t="s">
        <v>284</v>
      </c>
    </row>
    <row r="1069" spans="3:3">
      <c r="C1069" t="s">
        <v>4393</v>
      </c>
    </row>
    <row r="1070" spans="3:3">
      <c r="C1070" t="s">
        <v>2776</v>
      </c>
    </row>
    <row r="1071" spans="3:3">
      <c r="C1071" t="s">
        <v>4394</v>
      </c>
    </row>
    <row r="1072" spans="3:3">
      <c r="C1072" t="s">
        <v>4395</v>
      </c>
    </row>
    <row r="1073" spans="3:3">
      <c r="C1073" t="s">
        <v>2025</v>
      </c>
    </row>
    <row r="1074" spans="3:3">
      <c r="C1074" t="s">
        <v>2820</v>
      </c>
    </row>
    <row r="1075" spans="3:3">
      <c r="C1075" t="s">
        <v>4396</v>
      </c>
    </row>
    <row r="1076" spans="3:3">
      <c r="C1076" t="s">
        <v>4397</v>
      </c>
    </row>
    <row r="1077" spans="3:3">
      <c r="C1077" t="s">
        <v>2593</v>
      </c>
    </row>
    <row r="1078" spans="3:3">
      <c r="C1078" t="s">
        <v>4398</v>
      </c>
    </row>
    <row r="1079" spans="3:3">
      <c r="C1079" t="s">
        <v>292</v>
      </c>
    </row>
    <row r="1080" spans="3:3">
      <c r="C1080" t="s">
        <v>1429</v>
      </c>
    </row>
    <row r="1081" spans="3:3">
      <c r="C1081" t="s">
        <v>1078</v>
      </c>
    </row>
    <row r="1082" spans="3:3">
      <c r="C1082" t="s">
        <v>4399</v>
      </c>
    </row>
    <row r="1083" spans="3:3">
      <c r="C1083" t="s">
        <v>3177</v>
      </c>
    </row>
    <row r="1084" spans="3:3">
      <c r="C1084" t="s">
        <v>4400</v>
      </c>
    </row>
    <row r="1085" spans="3:3">
      <c r="C1085" t="s">
        <v>4401</v>
      </c>
    </row>
    <row r="1086" spans="3:3">
      <c r="C1086" t="s">
        <v>4402</v>
      </c>
    </row>
    <row r="1087" spans="3:3">
      <c r="C1087" t="s">
        <v>4403</v>
      </c>
    </row>
    <row r="1088" spans="3:3">
      <c r="C1088" t="s">
        <v>4404</v>
      </c>
    </row>
    <row r="1089" spans="3:3">
      <c r="C1089" t="s">
        <v>4405</v>
      </c>
    </row>
    <row r="1090" spans="3:3">
      <c r="C1090" t="s">
        <v>4406</v>
      </c>
    </row>
    <row r="1091" spans="3:3">
      <c r="C1091" t="s">
        <v>4407</v>
      </c>
    </row>
    <row r="1092" spans="3:3">
      <c r="C1092" t="s">
        <v>2900</v>
      </c>
    </row>
    <row r="1093" spans="3:3">
      <c r="C1093" t="s">
        <v>4408</v>
      </c>
    </row>
    <row r="1094" spans="3:3">
      <c r="C1094" t="s">
        <v>4409</v>
      </c>
    </row>
    <row r="1095" spans="3:3">
      <c r="C1095" t="s">
        <v>4410</v>
      </c>
    </row>
    <row r="1096" spans="3:3">
      <c r="C1096" t="s">
        <v>4411</v>
      </c>
    </row>
    <row r="1097" spans="3:3">
      <c r="C1097" t="s">
        <v>4412</v>
      </c>
    </row>
    <row r="1098" spans="3:3">
      <c r="C1098" t="s">
        <v>4413</v>
      </c>
    </row>
    <row r="1099" spans="3:3">
      <c r="C1099" t="s">
        <v>4414</v>
      </c>
    </row>
    <row r="1100" spans="3:3">
      <c r="C1100" t="s">
        <v>4415</v>
      </c>
    </row>
    <row r="1101" spans="3:3">
      <c r="C1101" t="s">
        <v>520</v>
      </c>
    </row>
    <row r="1102" spans="3:3">
      <c r="C1102" t="s">
        <v>4416</v>
      </c>
    </row>
    <row r="1103" spans="3:3">
      <c r="C1103" t="s">
        <v>4417</v>
      </c>
    </row>
    <row r="1104" spans="3:3">
      <c r="C1104" t="s">
        <v>4418</v>
      </c>
    </row>
    <row r="1105" spans="3:3">
      <c r="C1105" t="s">
        <v>4419</v>
      </c>
    </row>
    <row r="1106" spans="3:3">
      <c r="C1106" t="s">
        <v>4420</v>
      </c>
    </row>
    <row r="1107" spans="3:3">
      <c r="C1107" t="s">
        <v>4421</v>
      </c>
    </row>
    <row r="1108" spans="3:3">
      <c r="C1108" t="s">
        <v>4422</v>
      </c>
    </row>
    <row r="1109" spans="3:3">
      <c r="C1109" t="s">
        <v>4423</v>
      </c>
    </row>
    <row r="1110" spans="3:3">
      <c r="C1110" t="s">
        <v>4424</v>
      </c>
    </row>
    <row r="1111" spans="3:3">
      <c r="C1111" t="s">
        <v>4425</v>
      </c>
    </row>
    <row r="1112" spans="3:3">
      <c r="C1112" t="s">
        <v>3147</v>
      </c>
    </row>
    <row r="1113" spans="3:3">
      <c r="C1113" t="s">
        <v>2645</v>
      </c>
    </row>
    <row r="1114" spans="3:3">
      <c r="C1114" t="s">
        <v>4426</v>
      </c>
    </row>
    <row r="1115" spans="3:3">
      <c r="C1115" t="s">
        <v>3231</v>
      </c>
    </row>
    <row r="1116" spans="3:3">
      <c r="C1116" t="s">
        <v>4427</v>
      </c>
    </row>
    <row r="1117" spans="3:3">
      <c r="C1117" t="s">
        <v>4428</v>
      </c>
    </row>
    <row r="1118" spans="3:3">
      <c r="C1118" t="s">
        <v>4429</v>
      </c>
    </row>
    <row r="1119" spans="3:3">
      <c r="C1119" t="s">
        <v>4430</v>
      </c>
    </row>
    <row r="1120" spans="3:3">
      <c r="C1120" t="s">
        <v>340</v>
      </c>
    </row>
    <row r="1121" spans="3:3">
      <c r="C1121" t="s">
        <v>4431</v>
      </c>
    </row>
    <row r="1122" spans="3:3">
      <c r="C1122" t="s">
        <v>4432</v>
      </c>
    </row>
    <row r="1123" spans="3:3">
      <c r="C1123" t="s">
        <v>155</v>
      </c>
    </row>
    <row r="1124" spans="3:3">
      <c r="C1124" t="s">
        <v>4433</v>
      </c>
    </row>
    <row r="1125" spans="3:3">
      <c r="C1125" t="s">
        <v>4434</v>
      </c>
    </row>
    <row r="1126" spans="3:3">
      <c r="C1126" t="s">
        <v>4435</v>
      </c>
    </row>
    <row r="1127" spans="3:3">
      <c r="C1127" t="s">
        <v>4436</v>
      </c>
    </row>
    <row r="1128" spans="3:3">
      <c r="C1128" t="s">
        <v>4437</v>
      </c>
    </row>
    <row r="1129" spans="3:3">
      <c r="C1129" t="s">
        <v>4438</v>
      </c>
    </row>
    <row r="1130" spans="3:3">
      <c r="C1130" t="s">
        <v>4439</v>
      </c>
    </row>
    <row r="1131" spans="3:3">
      <c r="C1131" t="s">
        <v>4440</v>
      </c>
    </row>
    <row r="1132" spans="3:3">
      <c r="C1132" t="s">
        <v>4441</v>
      </c>
    </row>
    <row r="1133" spans="3:3">
      <c r="C1133" t="s">
        <v>2983</v>
      </c>
    </row>
    <row r="1134" spans="3:3">
      <c r="C1134" t="s">
        <v>4442</v>
      </c>
    </row>
    <row r="1135" spans="3:3">
      <c r="C1135" t="s">
        <v>4443</v>
      </c>
    </row>
    <row r="1136" spans="3:3">
      <c r="C1136" t="s">
        <v>4444</v>
      </c>
    </row>
    <row r="1137" spans="3:3">
      <c r="C1137" t="s">
        <v>4445</v>
      </c>
    </row>
    <row r="1138" spans="3:3">
      <c r="C1138" t="s">
        <v>4446</v>
      </c>
    </row>
    <row r="1139" spans="3:3">
      <c r="C1139" t="s">
        <v>4447</v>
      </c>
    </row>
    <row r="1140" spans="3:3">
      <c r="C1140" t="s">
        <v>45</v>
      </c>
    </row>
    <row r="1141" spans="3:3">
      <c r="C1141" t="s">
        <v>4448</v>
      </c>
    </row>
    <row r="1142" spans="3:3">
      <c r="C1142" t="s">
        <v>150</v>
      </c>
    </row>
    <row r="1143" spans="3:3">
      <c r="C1143" t="s">
        <v>4449</v>
      </c>
    </row>
    <row r="1144" spans="3:3">
      <c r="C1144" t="s">
        <v>4450</v>
      </c>
    </row>
    <row r="1145" spans="3:3">
      <c r="C1145" t="s">
        <v>4451</v>
      </c>
    </row>
    <row r="1146" spans="3:3">
      <c r="C1146" t="s">
        <v>4452</v>
      </c>
    </row>
    <row r="1147" spans="3:3">
      <c r="C1147" t="s">
        <v>4453</v>
      </c>
    </row>
    <row r="1148" spans="3:3">
      <c r="C1148" t="s">
        <v>4454</v>
      </c>
    </row>
    <row r="1149" spans="3:3">
      <c r="C1149" t="s">
        <v>4455</v>
      </c>
    </row>
    <row r="1150" spans="3:3">
      <c r="C1150" t="s">
        <v>1237</v>
      </c>
    </row>
    <row r="1151" spans="3:3">
      <c r="C1151" t="s">
        <v>1786</v>
      </c>
    </row>
    <row r="1152" spans="3:3">
      <c r="C1152" t="s">
        <v>4456</v>
      </c>
    </row>
    <row r="1153" spans="3:3">
      <c r="C1153" t="s">
        <v>4457</v>
      </c>
    </row>
    <row r="1154" spans="3:3">
      <c r="C1154" t="s">
        <v>1793</v>
      </c>
    </row>
    <row r="1155" spans="3:3">
      <c r="C1155" t="s">
        <v>4458</v>
      </c>
    </row>
    <row r="1156" spans="3:3">
      <c r="C1156" t="s">
        <v>4459</v>
      </c>
    </row>
    <row r="1157" spans="3:3">
      <c r="C1157" t="s">
        <v>4460</v>
      </c>
    </row>
    <row r="1158" spans="3:3">
      <c r="C1158" t="s">
        <v>4461</v>
      </c>
    </row>
    <row r="1159" spans="3:3">
      <c r="C1159" t="s">
        <v>4462</v>
      </c>
    </row>
    <row r="1160" spans="3:3">
      <c r="C1160" t="s">
        <v>4463</v>
      </c>
    </row>
    <row r="1161" spans="3:3">
      <c r="C1161" t="s">
        <v>571</v>
      </c>
    </row>
    <row r="1162" spans="3:3">
      <c r="C1162" t="s">
        <v>4464</v>
      </c>
    </row>
    <row r="1163" spans="3:3">
      <c r="C1163" t="s">
        <v>4465</v>
      </c>
    </row>
    <row r="1164" spans="3:3">
      <c r="C1164" t="s">
        <v>4466</v>
      </c>
    </row>
    <row r="1165" spans="3:3">
      <c r="C1165" t="s">
        <v>4467</v>
      </c>
    </row>
    <row r="1166" spans="3:3">
      <c r="C1166" t="s">
        <v>4468</v>
      </c>
    </row>
    <row r="1167" spans="3:3">
      <c r="C1167" t="s">
        <v>4469</v>
      </c>
    </row>
    <row r="1168" spans="3:3">
      <c r="C1168" t="s">
        <v>4470</v>
      </c>
    </row>
    <row r="1169" spans="3:3">
      <c r="C1169" t="s">
        <v>4471</v>
      </c>
    </row>
    <row r="1170" spans="3:3">
      <c r="C1170" t="s">
        <v>4472</v>
      </c>
    </row>
    <row r="1171" spans="3:3">
      <c r="C1171" t="s">
        <v>4473</v>
      </c>
    </row>
    <row r="1172" spans="3:3">
      <c r="C1172" t="s">
        <v>4474</v>
      </c>
    </row>
    <row r="1173" spans="3:3">
      <c r="C1173" t="s">
        <v>4475</v>
      </c>
    </row>
    <row r="1174" spans="3:3">
      <c r="C1174" t="s">
        <v>4476</v>
      </c>
    </row>
    <row r="1175" spans="3:3">
      <c r="C1175" t="s">
        <v>4477</v>
      </c>
    </row>
    <row r="1176" spans="3:3">
      <c r="C1176" t="s">
        <v>1143</v>
      </c>
    </row>
    <row r="1177" spans="3:3">
      <c r="C1177" t="s">
        <v>4478</v>
      </c>
    </row>
    <row r="1178" spans="3:3">
      <c r="C1178" t="s">
        <v>4479</v>
      </c>
    </row>
    <row r="1179" spans="3:3">
      <c r="C1179" t="s">
        <v>1361</v>
      </c>
    </row>
    <row r="1180" spans="3:3">
      <c r="C1180" t="s">
        <v>2795</v>
      </c>
    </row>
    <row r="1181" spans="3:3">
      <c r="C1181" t="s">
        <v>4480</v>
      </c>
    </row>
    <row r="1182" spans="3:3">
      <c r="C1182" t="s">
        <v>2890</v>
      </c>
    </row>
    <row r="1183" spans="3:3">
      <c r="C1183" t="s">
        <v>4481</v>
      </c>
    </row>
    <row r="1184" spans="3:3">
      <c r="C1184" t="s">
        <v>4482</v>
      </c>
    </row>
    <row r="1185" spans="3:3">
      <c r="C1185" t="s">
        <v>4483</v>
      </c>
    </row>
    <row r="1186" spans="3:3">
      <c r="C1186" t="s">
        <v>4484</v>
      </c>
    </row>
    <row r="1187" spans="3:3">
      <c r="C1187" t="s">
        <v>4485</v>
      </c>
    </row>
    <row r="1188" spans="3:3">
      <c r="C1188" t="s">
        <v>4486</v>
      </c>
    </row>
    <row r="1189" spans="3:3">
      <c r="C1189" t="s">
        <v>239</v>
      </c>
    </row>
    <row r="1190" spans="3:3">
      <c r="C1190" t="s">
        <v>4487</v>
      </c>
    </row>
    <row r="1191" spans="3:3">
      <c r="C1191" t="s">
        <v>4488</v>
      </c>
    </row>
    <row r="1192" spans="3:3">
      <c r="C1192" t="s">
        <v>2608</v>
      </c>
    </row>
    <row r="1193" spans="3:3">
      <c r="C1193" t="s">
        <v>4489</v>
      </c>
    </row>
    <row r="1194" spans="3:3">
      <c r="C1194" t="s">
        <v>4490</v>
      </c>
    </row>
    <row r="1195" spans="3:3">
      <c r="C1195" t="s">
        <v>4491</v>
      </c>
    </row>
    <row r="1196" spans="3:3">
      <c r="C1196" t="s">
        <v>4492</v>
      </c>
    </row>
    <row r="1197" spans="3:3">
      <c r="C1197" t="s">
        <v>4493</v>
      </c>
    </row>
    <row r="1198" spans="3:3">
      <c r="C1198" t="s">
        <v>4494</v>
      </c>
    </row>
    <row r="1199" spans="3:3">
      <c r="C1199" t="s">
        <v>4495</v>
      </c>
    </row>
    <row r="1200" spans="3:3">
      <c r="C1200" t="s">
        <v>4496</v>
      </c>
    </row>
    <row r="1201" spans="3:3">
      <c r="C1201" t="s">
        <v>4497</v>
      </c>
    </row>
    <row r="1202" spans="3:3">
      <c r="C1202" t="s">
        <v>4498</v>
      </c>
    </row>
    <row r="1203" spans="3:3">
      <c r="C1203" t="s">
        <v>4499</v>
      </c>
    </row>
    <row r="1204" spans="3:3">
      <c r="C1204" t="s">
        <v>4500</v>
      </c>
    </row>
    <row r="1205" spans="3:3">
      <c r="C1205" t="s">
        <v>1869</v>
      </c>
    </row>
    <row r="1206" spans="3:3">
      <c r="C1206" t="s">
        <v>4501</v>
      </c>
    </row>
    <row r="1207" spans="3:3">
      <c r="C1207" t="s">
        <v>4502</v>
      </c>
    </row>
    <row r="1208" spans="3:3">
      <c r="C1208" t="s">
        <v>4503</v>
      </c>
    </row>
    <row r="1209" spans="3:3">
      <c r="C1209" t="s">
        <v>4504</v>
      </c>
    </row>
    <row r="1210" spans="3:3">
      <c r="C1210" t="s">
        <v>4505</v>
      </c>
    </row>
    <row r="1211" spans="3:3">
      <c r="C1211" t="s">
        <v>4506</v>
      </c>
    </row>
    <row r="1212" spans="3:3">
      <c r="C1212" t="s">
        <v>1159</v>
      </c>
    </row>
    <row r="1213" spans="3:3">
      <c r="C1213" t="s">
        <v>2077</v>
      </c>
    </row>
    <row r="1214" spans="3:3">
      <c r="C1214" t="s">
        <v>2693</v>
      </c>
    </row>
    <row r="1215" spans="3:3">
      <c r="C1215" t="s">
        <v>4508</v>
      </c>
    </row>
    <row r="1216" spans="3:3">
      <c r="C1216" t="s">
        <v>4509</v>
      </c>
    </row>
    <row r="1217" spans="3:3">
      <c r="C1217" t="s">
        <v>2143</v>
      </c>
    </row>
    <row r="1218" spans="3:3">
      <c r="C1218" t="s">
        <v>4510</v>
      </c>
    </row>
    <row r="1219" spans="3:3">
      <c r="C1219" t="s">
        <v>4511</v>
      </c>
    </row>
    <row r="1220" spans="3:3">
      <c r="C1220" t="s">
        <v>4512</v>
      </c>
    </row>
    <row r="1221" spans="3:3">
      <c r="C1221" t="s">
        <v>4513</v>
      </c>
    </row>
    <row r="1222" spans="3:3">
      <c r="C1222" t="s">
        <v>4514</v>
      </c>
    </row>
    <row r="1223" spans="3:3">
      <c r="C1223" t="s">
        <v>4515</v>
      </c>
    </row>
    <row r="1224" spans="3:3">
      <c r="C1224" t="s">
        <v>4516</v>
      </c>
    </row>
    <row r="1225" spans="3:3">
      <c r="C1225" t="s">
        <v>4517</v>
      </c>
    </row>
    <row r="1226" spans="3:3">
      <c r="C1226" t="s">
        <v>4518</v>
      </c>
    </row>
    <row r="1227" spans="3:3">
      <c r="C1227" t="s">
        <v>2207</v>
      </c>
    </row>
    <row r="1228" spans="3:3">
      <c r="C1228" t="s">
        <v>4519</v>
      </c>
    </row>
    <row r="1229" spans="3:3">
      <c r="C1229" t="s">
        <v>1406</v>
      </c>
    </row>
    <row r="1230" spans="3:3">
      <c r="C1230" t="s">
        <v>4520</v>
      </c>
    </row>
    <row r="1231" spans="3:3">
      <c r="C1231" t="s">
        <v>4521</v>
      </c>
    </row>
    <row r="1232" spans="3:3">
      <c r="C1232" t="s">
        <v>4522</v>
      </c>
    </row>
    <row r="1233" spans="3:3">
      <c r="C1233" t="s">
        <v>4523</v>
      </c>
    </row>
    <row r="1234" spans="3:3">
      <c r="C1234" t="s">
        <v>4524</v>
      </c>
    </row>
    <row r="1235" spans="3:3">
      <c r="C1235" t="s">
        <v>4525</v>
      </c>
    </row>
    <row r="1236" spans="3:3">
      <c r="C1236" t="s">
        <v>4526</v>
      </c>
    </row>
    <row r="1237" spans="3:3">
      <c r="C1237" t="s">
        <v>4527</v>
      </c>
    </row>
    <row r="1238" spans="3:3">
      <c r="C1238" t="s">
        <v>4528</v>
      </c>
    </row>
    <row r="1239" spans="3:3">
      <c r="C1239" t="s">
        <v>2032</v>
      </c>
    </row>
    <row r="1240" spans="3:3">
      <c r="C1240" t="s">
        <v>1953</v>
      </c>
    </row>
    <row r="1241" spans="3:3">
      <c r="C1241" t="s">
        <v>4529</v>
      </c>
    </row>
    <row r="1242" spans="3:3">
      <c r="C1242" t="s">
        <v>4530</v>
      </c>
    </row>
    <row r="1243" spans="3:3">
      <c r="C1243" t="s">
        <v>4531</v>
      </c>
    </row>
    <row r="1244" spans="3:3">
      <c r="C1244" t="s">
        <v>4532</v>
      </c>
    </row>
    <row r="1245" spans="3:3">
      <c r="C1245" t="s">
        <v>4533</v>
      </c>
    </row>
    <row r="1246" spans="3:3">
      <c r="C1246" t="s">
        <v>4534</v>
      </c>
    </row>
    <row r="1247" spans="3:3">
      <c r="C1247" t="s">
        <v>4535</v>
      </c>
    </row>
    <row r="1248" spans="3:3">
      <c r="C1248" t="s">
        <v>4536</v>
      </c>
    </row>
    <row r="1249" spans="3:3">
      <c r="C1249" t="s">
        <v>2013</v>
      </c>
    </row>
    <row r="1250" spans="3:3">
      <c r="C1250" t="s">
        <v>2870</v>
      </c>
    </row>
    <row r="1251" spans="3:3">
      <c r="C1251" t="s">
        <v>2694</v>
      </c>
    </row>
    <row r="1252" spans="3:3">
      <c r="C1252" t="s">
        <v>1276</v>
      </c>
    </row>
    <row r="1253" spans="3:3">
      <c r="C1253" t="s">
        <v>4537</v>
      </c>
    </row>
    <row r="1254" spans="3:3">
      <c r="C1254" t="s">
        <v>4538</v>
      </c>
    </row>
    <row r="1255" spans="3:3">
      <c r="C1255" t="s">
        <v>2170</v>
      </c>
    </row>
    <row r="1256" spans="3:3">
      <c r="C1256" t="s">
        <v>35</v>
      </c>
    </row>
    <row r="1257" spans="3:3">
      <c r="C1257" t="s">
        <v>4539</v>
      </c>
    </row>
    <row r="1258" spans="3:3">
      <c r="C1258" t="s">
        <v>4540</v>
      </c>
    </row>
    <row r="1259" spans="3:3">
      <c r="C1259" t="s">
        <v>4541</v>
      </c>
    </row>
    <row r="1260" spans="3:3">
      <c r="C1260" t="s">
        <v>4542</v>
      </c>
    </row>
    <row r="1261" spans="3:3">
      <c r="C1261" t="s">
        <v>4543</v>
      </c>
    </row>
    <row r="1262" spans="3:3">
      <c r="C1262" t="s">
        <v>4544</v>
      </c>
    </row>
    <row r="1263" spans="3:3">
      <c r="C1263" t="s">
        <v>4545</v>
      </c>
    </row>
    <row r="1264" spans="3:3">
      <c r="C1264" t="s">
        <v>4546</v>
      </c>
    </row>
    <row r="1265" spans="3:3">
      <c r="C1265" t="s">
        <v>4547</v>
      </c>
    </row>
    <row r="1266" spans="3:3">
      <c r="C1266" t="s">
        <v>4548</v>
      </c>
    </row>
    <row r="1267" spans="3:3">
      <c r="C1267" t="s">
        <v>4549</v>
      </c>
    </row>
    <row r="1268" spans="3:3">
      <c r="C1268" t="s">
        <v>4550</v>
      </c>
    </row>
    <row r="1269" spans="3:3">
      <c r="C1269" t="s">
        <v>4551</v>
      </c>
    </row>
    <row r="1270" spans="3:3">
      <c r="C1270" t="s">
        <v>4552</v>
      </c>
    </row>
    <row r="1271" spans="3:3">
      <c r="C1271" t="s">
        <v>4553</v>
      </c>
    </row>
    <row r="1272" spans="3:3">
      <c r="C1272" t="s">
        <v>4554</v>
      </c>
    </row>
    <row r="1273" spans="3:3">
      <c r="C1273" t="s">
        <v>4555</v>
      </c>
    </row>
    <row r="1274" spans="3:3">
      <c r="C1274" t="s">
        <v>4556</v>
      </c>
    </row>
    <row r="1275" spans="3:3">
      <c r="C1275" t="s">
        <v>3210</v>
      </c>
    </row>
    <row r="1276" spans="3:3">
      <c r="C1276" t="s">
        <v>4557</v>
      </c>
    </row>
    <row r="1277" spans="3:3">
      <c r="C1277" t="s">
        <v>4558</v>
      </c>
    </row>
    <row r="1278" spans="3:3">
      <c r="C1278" t="s">
        <v>4559</v>
      </c>
    </row>
    <row r="1279" spans="3:3">
      <c r="C1279" t="s">
        <v>4560</v>
      </c>
    </row>
    <row r="1280" spans="3:3">
      <c r="C1280" t="s">
        <v>4561</v>
      </c>
    </row>
    <row r="1281" spans="3:3">
      <c r="C1281" t="s">
        <v>4562</v>
      </c>
    </row>
    <row r="1282" spans="3:3">
      <c r="C1282" t="s">
        <v>4563</v>
      </c>
    </row>
    <row r="1283" spans="3:3">
      <c r="C1283" t="s">
        <v>4564</v>
      </c>
    </row>
    <row r="1284" spans="3:3">
      <c r="C1284" t="s">
        <v>4565</v>
      </c>
    </row>
    <row r="1285" spans="3:3">
      <c r="C1285" t="s">
        <v>4566</v>
      </c>
    </row>
    <row r="1286" spans="3:3">
      <c r="C1286" t="s">
        <v>4567</v>
      </c>
    </row>
    <row r="1287" spans="3:3">
      <c r="C1287" t="s">
        <v>4568</v>
      </c>
    </row>
    <row r="1288" spans="3:3">
      <c r="C1288" t="s">
        <v>4569</v>
      </c>
    </row>
    <row r="1289" spans="3:3">
      <c r="C1289" t="s">
        <v>4570</v>
      </c>
    </row>
    <row r="1290" spans="3:3">
      <c r="C1290" t="s">
        <v>4571</v>
      </c>
    </row>
    <row r="1291" spans="3:3">
      <c r="C1291" t="s">
        <v>4572</v>
      </c>
    </row>
    <row r="1292" spans="3:3">
      <c r="C1292" t="s">
        <v>4573</v>
      </c>
    </row>
    <row r="1293" spans="3:3">
      <c r="C1293" t="s">
        <v>4574</v>
      </c>
    </row>
    <row r="1294" spans="3:3">
      <c r="C1294" t="s">
        <v>4575</v>
      </c>
    </row>
    <row r="1295" spans="3:3">
      <c r="C1295" t="s">
        <v>1394</v>
      </c>
    </row>
    <row r="1296" spans="3:3">
      <c r="C1296" t="s">
        <v>4576</v>
      </c>
    </row>
    <row r="1297" spans="3:3">
      <c r="C1297" t="s">
        <v>4577</v>
      </c>
    </row>
    <row r="1298" spans="3:3">
      <c r="C1298" t="s">
        <v>1266</v>
      </c>
    </row>
    <row r="1299" spans="3:3">
      <c r="C1299" t="s">
        <v>4578</v>
      </c>
    </row>
    <row r="1300" spans="3:3">
      <c r="C1300" t="s">
        <v>4579</v>
      </c>
    </row>
    <row r="1301" spans="3:3">
      <c r="C1301" t="s">
        <v>4580</v>
      </c>
    </row>
    <row r="1302" spans="3:3">
      <c r="C1302" t="s">
        <v>4581</v>
      </c>
    </row>
    <row r="1303" spans="3:3">
      <c r="C1303" t="s">
        <v>4582</v>
      </c>
    </row>
    <row r="1304" spans="3:3">
      <c r="C1304" t="s">
        <v>2883</v>
      </c>
    </row>
    <row r="1305" spans="3:3">
      <c r="C1305" t="s">
        <v>4583</v>
      </c>
    </row>
    <row r="1306" spans="3:3">
      <c r="C1306" t="s">
        <v>4584</v>
      </c>
    </row>
    <row r="1307" spans="3:3">
      <c r="C1307" t="s">
        <v>4585</v>
      </c>
    </row>
    <row r="1308" spans="3:3">
      <c r="C1308" t="s">
        <v>4586</v>
      </c>
    </row>
    <row r="1309" spans="3:3">
      <c r="C1309" t="s">
        <v>4587</v>
      </c>
    </row>
    <row r="1310" spans="3:3">
      <c r="C1310" t="s">
        <v>4588</v>
      </c>
    </row>
    <row r="1311" spans="3:3">
      <c r="C1311" t="s">
        <v>4589</v>
      </c>
    </row>
    <row r="1312" spans="3:3">
      <c r="C1312" t="s">
        <v>4590</v>
      </c>
    </row>
    <row r="1313" spans="3:3">
      <c r="C1313" t="s">
        <v>4591</v>
      </c>
    </row>
    <row r="1314" spans="3:3">
      <c r="C1314" t="s">
        <v>4592</v>
      </c>
    </row>
    <row r="1315" spans="3:3">
      <c r="C1315" t="s">
        <v>4593</v>
      </c>
    </row>
    <row r="1316" spans="3:3">
      <c r="C1316" t="s">
        <v>180</v>
      </c>
    </row>
    <row r="1317" spans="3:3">
      <c r="C1317" t="s">
        <v>4594</v>
      </c>
    </row>
    <row r="1318" spans="3:3">
      <c r="C1318" t="s">
        <v>4595</v>
      </c>
    </row>
    <row r="1319" spans="3:3">
      <c r="C1319" t="s">
        <v>4596</v>
      </c>
    </row>
    <row r="1320" spans="3:3">
      <c r="C1320" t="s">
        <v>4597</v>
      </c>
    </row>
    <row r="1321" spans="3:3">
      <c r="C1321" t="s">
        <v>4598</v>
      </c>
    </row>
    <row r="1322" spans="3:3">
      <c r="C1322" t="s">
        <v>548</v>
      </c>
    </row>
    <row r="1323" spans="3:3">
      <c r="C1323" t="s">
        <v>4599</v>
      </c>
    </row>
    <row r="1324" spans="3:3">
      <c r="C1324" t="s">
        <v>4600</v>
      </c>
    </row>
    <row r="1325" spans="3:3">
      <c r="C1325" t="s">
        <v>4601</v>
      </c>
    </row>
    <row r="1326" spans="3:3">
      <c r="C1326" t="s">
        <v>4602</v>
      </c>
    </row>
    <row r="1327" spans="3:3">
      <c r="C1327" t="s">
        <v>4603</v>
      </c>
    </row>
    <row r="1328" spans="3:3">
      <c r="C1328" t="s">
        <v>4604</v>
      </c>
    </row>
    <row r="1329" spans="3:3">
      <c r="C1329" t="s">
        <v>4605</v>
      </c>
    </row>
    <row r="1330" spans="3:3">
      <c r="C1330" t="s">
        <v>4606</v>
      </c>
    </row>
    <row r="1331" spans="3:3">
      <c r="C1331" t="s">
        <v>86</v>
      </c>
    </row>
    <row r="1332" spans="3:3">
      <c r="C1332" t="s">
        <v>523</v>
      </c>
    </row>
    <row r="1333" spans="3:3">
      <c r="C1333" t="s">
        <v>4607</v>
      </c>
    </row>
    <row r="1334" spans="3:3">
      <c r="C1334" t="s">
        <v>4608</v>
      </c>
    </row>
    <row r="1335" spans="3:3">
      <c r="C1335" t="s">
        <v>4609</v>
      </c>
    </row>
    <row r="1336" spans="3:3">
      <c r="C1336" t="s">
        <v>4610</v>
      </c>
    </row>
    <row r="1337" spans="3:3">
      <c r="C1337" t="s">
        <v>4611</v>
      </c>
    </row>
    <row r="1338" spans="3:3">
      <c r="C1338" t="s">
        <v>4612</v>
      </c>
    </row>
    <row r="1339" spans="3:3">
      <c r="C1339" t="s">
        <v>4613</v>
      </c>
    </row>
    <row r="1340" spans="3:3">
      <c r="C1340" t="s">
        <v>3135</v>
      </c>
    </row>
    <row r="1341" spans="3:3">
      <c r="C1341" t="s">
        <v>1410</v>
      </c>
    </row>
    <row r="1342" spans="3:3">
      <c r="C1342" t="s">
        <v>1582</v>
      </c>
    </row>
    <row r="1343" spans="3:3">
      <c r="C1343" t="s">
        <v>4614</v>
      </c>
    </row>
    <row r="1344" spans="3:3">
      <c r="C1344" t="s">
        <v>4615</v>
      </c>
    </row>
    <row r="1345" spans="3:3">
      <c r="C1345" t="s">
        <v>4616</v>
      </c>
    </row>
    <row r="1346" spans="3:3">
      <c r="C1346" t="s">
        <v>2639</v>
      </c>
    </row>
    <row r="1347" spans="3:3">
      <c r="C1347" t="s">
        <v>4617</v>
      </c>
    </row>
    <row r="1348" spans="3:3">
      <c r="C1348" t="s">
        <v>4618</v>
      </c>
    </row>
    <row r="1349" spans="3:3">
      <c r="C1349" t="s">
        <v>4619</v>
      </c>
    </row>
    <row r="1350" spans="3:3">
      <c r="C1350" t="s">
        <v>2007</v>
      </c>
    </row>
    <row r="1351" spans="3:3">
      <c r="C1351" t="s">
        <v>4620</v>
      </c>
    </row>
    <row r="1352" spans="3:3">
      <c r="C1352" t="s">
        <v>4621</v>
      </c>
    </row>
    <row r="1353" spans="3:3">
      <c r="C1353" t="s">
        <v>4622</v>
      </c>
    </row>
    <row r="1354" spans="3:3">
      <c r="C1354" t="s">
        <v>4623</v>
      </c>
    </row>
    <row r="1355" spans="3:3">
      <c r="C1355" t="s">
        <v>4624</v>
      </c>
    </row>
    <row r="1356" spans="3:3">
      <c r="C1356" t="s">
        <v>4625</v>
      </c>
    </row>
    <row r="1357" spans="3:3">
      <c r="C1357" t="s">
        <v>4626</v>
      </c>
    </row>
    <row r="1358" spans="3:3">
      <c r="C1358" t="s">
        <v>4627</v>
      </c>
    </row>
    <row r="1359" spans="3:3">
      <c r="C1359" t="s">
        <v>4628</v>
      </c>
    </row>
    <row r="1360" spans="3:3">
      <c r="C1360" t="s">
        <v>4629</v>
      </c>
    </row>
    <row r="1361" spans="3:3">
      <c r="C1361" t="s">
        <v>4630</v>
      </c>
    </row>
    <row r="1362" spans="3:3">
      <c r="C1362" t="s">
        <v>4631</v>
      </c>
    </row>
    <row r="1363" spans="3:3">
      <c r="C1363" t="s">
        <v>4632</v>
      </c>
    </row>
    <row r="1364" spans="3:3">
      <c r="C1364" t="s">
        <v>4633</v>
      </c>
    </row>
    <row r="1365" spans="3:3">
      <c r="C1365" t="s">
        <v>4634</v>
      </c>
    </row>
    <row r="1366" spans="3:3">
      <c r="C1366" t="s">
        <v>4635</v>
      </c>
    </row>
    <row r="1367" spans="3:3">
      <c r="C1367" t="s">
        <v>1094</v>
      </c>
    </row>
    <row r="1368" spans="3:3">
      <c r="C1368" t="s">
        <v>4636</v>
      </c>
    </row>
    <row r="1369" spans="3:3">
      <c r="C1369" t="s">
        <v>4637</v>
      </c>
    </row>
    <row r="1370" spans="3:3">
      <c r="C1370" t="s">
        <v>2112</v>
      </c>
    </row>
    <row r="1371" spans="3:3">
      <c r="C1371" t="s">
        <v>4638</v>
      </c>
    </row>
    <row r="1372" spans="3:3">
      <c r="C1372" t="s">
        <v>4639</v>
      </c>
    </row>
    <row r="1373" spans="3:3">
      <c r="C1373" t="s">
        <v>4640</v>
      </c>
    </row>
    <row r="1374" spans="3:3">
      <c r="C1374" t="s">
        <v>2922</v>
      </c>
    </row>
    <row r="1375" spans="3:3">
      <c r="C1375" t="s">
        <v>163</v>
      </c>
    </row>
    <row r="1376" spans="3:3">
      <c r="C1376" t="s">
        <v>4641</v>
      </c>
    </row>
    <row r="1377" spans="3:3">
      <c r="C1377" t="s">
        <v>4642</v>
      </c>
    </row>
    <row r="1378" spans="3:3">
      <c r="C1378" t="s">
        <v>4643</v>
      </c>
    </row>
    <row r="1379" spans="3:3">
      <c r="C1379" t="s">
        <v>4644</v>
      </c>
    </row>
    <row r="1380" spans="3:3">
      <c r="C1380" t="s">
        <v>4645</v>
      </c>
    </row>
    <row r="1381" spans="3:3">
      <c r="C1381" t="s">
        <v>4646</v>
      </c>
    </row>
    <row r="1382" spans="3:3">
      <c r="C1382" t="s">
        <v>4647</v>
      </c>
    </row>
    <row r="1383" spans="3:3">
      <c r="C1383" t="s">
        <v>4648</v>
      </c>
    </row>
    <row r="1384" spans="3:3">
      <c r="C1384" t="s">
        <v>4649</v>
      </c>
    </row>
    <row r="1385" spans="3:3">
      <c r="C1385" t="s">
        <v>4650</v>
      </c>
    </row>
    <row r="1386" spans="3:3">
      <c r="C1386" t="s">
        <v>4651</v>
      </c>
    </row>
    <row r="1387" spans="3:3">
      <c r="C1387" t="s">
        <v>4652</v>
      </c>
    </row>
    <row r="1388" spans="3:3">
      <c r="C1388" t="s">
        <v>4653</v>
      </c>
    </row>
    <row r="1389" spans="3:3">
      <c r="C1389" t="s">
        <v>4654</v>
      </c>
    </row>
    <row r="1390" spans="3:3">
      <c r="C1390" t="s">
        <v>75</v>
      </c>
    </row>
    <row r="1391" spans="3:3">
      <c r="C1391" t="s">
        <v>4655</v>
      </c>
    </row>
    <row r="1392" spans="3:3">
      <c r="C1392" t="s">
        <v>4656</v>
      </c>
    </row>
    <row r="1393" spans="3:3">
      <c r="C1393" t="s">
        <v>4657</v>
      </c>
    </row>
    <row r="1394" spans="3:3">
      <c r="C1394" t="s">
        <v>4658</v>
      </c>
    </row>
    <row r="1395" spans="3:3">
      <c r="C1395" t="s">
        <v>4659</v>
      </c>
    </row>
    <row r="1396" spans="3:3">
      <c r="C1396" t="s">
        <v>4660</v>
      </c>
    </row>
    <row r="1397" spans="3:3">
      <c r="C1397" t="s">
        <v>4661</v>
      </c>
    </row>
    <row r="1398" spans="3:3">
      <c r="C1398" t="s">
        <v>4662</v>
      </c>
    </row>
    <row r="1399" spans="3:3">
      <c r="C1399" t="s">
        <v>4663</v>
      </c>
    </row>
    <row r="1400" spans="3:3">
      <c r="C1400" t="s">
        <v>4664</v>
      </c>
    </row>
    <row r="1401" spans="3:3">
      <c r="C1401" t="s">
        <v>4665</v>
      </c>
    </row>
    <row r="1402" spans="3:3">
      <c r="C1402" t="s">
        <v>4666</v>
      </c>
    </row>
    <row r="1403" spans="3:3">
      <c r="C1403" t="s">
        <v>4667</v>
      </c>
    </row>
    <row r="1404" spans="3:3">
      <c r="C1404" t="s">
        <v>4668</v>
      </c>
    </row>
    <row r="1405" spans="3:3">
      <c r="C1405" t="s">
        <v>2625</v>
      </c>
    </row>
    <row r="1406" spans="3:3">
      <c r="C1406" t="s">
        <v>2147</v>
      </c>
    </row>
    <row r="1407" spans="3:3">
      <c r="C1407" t="s">
        <v>1119</v>
      </c>
    </row>
    <row r="1408" spans="3:3">
      <c r="C1408" t="s">
        <v>4669</v>
      </c>
    </row>
    <row r="1409" spans="3:3">
      <c r="C1409" t="s">
        <v>4670</v>
      </c>
    </row>
    <row r="1410" spans="3:3">
      <c r="C1410" t="s">
        <v>4671</v>
      </c>
    </row>
    <row r="1411" spans="3:3">
      <c r="C1411" t="s">
        <v>2286</v>
      </c>
    </row>
    <row r="1412" spans="3:3">
      <c r="C1412" t="s">
        <v>4672</v>
      </c>
    </row>
    <row r="1413" spans="3:3">
      <c r="C1413" t="s">
        <v>4673</v>
      </c>
    </row>
    <row r="1414" spans="3:3">
      <c r="C1414" t="s">
        <v>4674</v>
      </c>
    </row>
    <row r="1415" spans="3:3">
      <c r="C1415" t="s">
        <v>4675</v>
      </c>
    </row>
    <row r="1416" spans="3:3">
      <c r="C1416" t="s">
        <v>4676</v>
      </c>
    </row>
    <row r="1417" spans="3:3">
      <c r="C1417" t="s">
        <v>4677</v>
      </c>
    </row>
    <row r="1418" spans="3:3">
      <c r="C1418" t="s">
        <v>4678</v>
      </c>
    </row>
    <row r="1419" spans="3:3">
      <c r="C1419" t="s">
        <v>4679</v>
      </c>
    </row>
    <row r="1420" spans="3:3">
      <c r="C1420" t="s">
        <v>3230</v>
      </c>
    </row>
    <row r="1421" spans="3:3">
      <c r="C1421" t="s">
        <v>4680</v>
      </c>
    </row>
    <row r="1422" spans="3:3">
      <c r="C1422" t="s">
        <v>4681</v>
      </c>
    </row>
    <row r="1423" spans="3:3">
      <c r="C1423" t="s">
        <v>4682</v>
      </c>
    </row>
    <row r="1424" spans="3:3">
      <c r="C1424" t="s">
        <v>4683</v>
      </c>
    </row>
    <row r="1425" spans="3:3">
      <c r="C1425" t="s">
        <v>4684</v>
      </c>
    </row>
    <row r="1426" spans="3:3">
      <c r="C1426" t="s">
        <v>4685</v>
      </c>
    </row>
    <row r="1427" spans="3:3">
      <c r="C1427" t="s">
        <v>4686</v>
      </c>
    </row>
    <row r="1428" spans="3:3">
      <c r="C1428" t="s">
        <v>4687</v>
      </c>
    </row>
    <row r="1429" spans="3:3">
      <c r="C1429" t="s">
        <v>4688</v>
      </c>
    </row>
    <row r="1430" spans="3:3">
      <c r="C1430" t="s">
        <v>4689</v>
      </c>
    </row>
    <row r="1431" spans="3:3">
      <c r="C1431" t="s">
        <v>4690</v>
      </c>
    </row>
    <row r="1432" spans="3:3">
      <c r="C1432" t="s">
        <v>4691</v>
      </c>
    </row>
    <row r="1433" spans="3:3">
      <c r="C1433" t="s">
        <v>4692</v>
      </c>
    </row>
    <row r="1434" spans="3:3">
      <c r="C1434" t="s">
        <v>4693</v>
      </c>
    </row>
    <row r="1435" spans="3:3">
      <c r="C1435" t="s">
        <v>4694</v>
      </c>
    </row>
    <row r="1436" spans="3:3">
      <c r="C1436" t="s">
        <v>4695</v>
      </c>
    </row>
    <row r="1437" spans="3:3">
      <c r="C1437" t="s">
        <v>4696</v>
      </c>
    </row>
    <row r="1438" spans="3:3">
      <c r="C1438" t="s">
        <v>4697</v>
      </c>
    </row>
    <row r="1439" spans="3:3">
      <c r="C1439" t="s">
        <v>43</v>
      </c>
    </row>
    <row r="1440" spans="3:3">
      <c r="C1440" t="s">
        <v>4698</v>
      </c>
    </row>
    <row r="1441" spans="3:3">
      <c r="C1441" t="s">
        <v>4699</v>
      </c>
    </row>
    <row r="1442" spans="3:3">
      <c r="C1442" t="s">
        <v>4700</v>
      </c>
    </row>
    <row r="1443" spans="3:3">
      <c r="C1443" t="s">
        <v>4701</v>
      </c>
    </row>
    <row r="1444" spans="3:3">
      <c r="C1444" t="s">
        <v>4702</v>
      </c>
    </row>
    <row r="1445" spans="3:3">
      <c r="C1445" t="s">
        <v>1905</v>
      </c>
    </row>
    <row r="1446" spans="3:3">
      <c r="C1446" t="s">
        <v>4703</v>
      </c>
    </row>
    <row r="1447" spans="3:3">
      <c r="C1447" t="s">
        <v>4704</v>
      </c>
    </row>
    <row r="1448" spans="3:3">
      <c r="C1448" t="s">
        <v>4705</v>
      </c>
    </row>
    <row r="1449" spans="3:3">
      <c r="C1449" t="s">
        <v>4706</v>
      </c>
    </row>
    <row r="1450" spans="3:3">
      <c r="C1450" t="s">
        <v>4707</v>
      </c>
    </row>
    <row r="1451" spans="3:3">
      <c r="C1451" t="s">
        <v>1376</v>
      </c>
    </row>
    <row r="1452" spans="3:3">
      <c r="C1452" t="s">
        <v>4708</v>
      </c>
    </row>
    <row r="1453" spans="3:3">
      <c r="C1453" t="s">
        <v>4709</v>
      </c>
    </row>
    <row r="1454" spans="3:3">
      <c r="C1454" t="s">
        <v>4710</v>
      </c>
    </row>
    <row r="1455" spans="3:3">
      <c r="C1455" t="s">
        <v>4711</v>
      </c>
    </row>
    <row r="1456" spans="3:3">
      <c r="C1456" t="s">
        <v>4712</v>
      </c>
    </row>
    <row r="1457" spans="3:3">
      <c r="C1457" t="s">
        <v>4713</v>
      </c>
    </row>
    <row r="1458" spans="3:3">
      <c r="C1458" t="s">
        <v>4714</v>
      </c>
    </row>
    <row r="1459" spans="3:3">
      <c r="C1459" t="s">
        <v>174</v>
      </c>
    </row>
    <row r="1460" spans="3:3">
      <c r="C1460" t="s">
        <v>4715</v>
      </c>
    </row>
    <row r="1461" spans="3:3">
      <c r="C1461" t="s">
        <v>4716</v>
      </c>
    </row>
    <row r="1462" spans="3:3">
      <c r="C1462" t="s">
        <v>4717</v>
      </c>
    </row>
    <row r="1463" spans="3:3">
      <c r="C1463" t="s">
        <v>4718</v>
      </c>
    </row>
    <row r="1464" spans="3:3">
      <c r="C1464" t="s">
        <v>4719</v>
      </c>
    </row>
    <row r="1465" spans="3:3">
      <c r="C1465" t="s">
        <v>4720</v>
      </c>
    </row>
    <row r="1466" spans="3:3">
      <c r="C1466" t="s">
        <v>4721</v>
      </c>
    </row>
    <row r="1467" spans="3:3">
      <c r="C1467" t="s">
        <v>4722</v>
      </c>
    </row>
    <row r="1468" spans="3:3">
      <c r="C1468" t="s">
        <v>4723</v>
      </c>
    </row>
    <row r="1469" spans="3:3">
      <c r="C1469" t="s">
        <v>4724</v>
      </c>
    </row>
    <row r="1470" spans="3:3">
      <c r="C1470" t="s">
        <v>4725</v>
      </c>
    </row>
    <row r="1471" spans="3:3">
      <c r="C1471" t="s">
        <v>4726</v>
      </c>
    </row>
    <row r="1472" spans="3:3">
      <c r="C1472" t="s">
        <v>4727</v>
      </c>
    </row>
    <row r="1473" spans="3:3">
      <c r="C1473" t="s">
        <v>4728</v>
      </c>
    </row>
    <row r="1474" spans="3:3">
      <c r="C1474" t="s">
        <v>4729</v>
      </c>
    </row>
    <row r="1475" spans="3:3">
      <c r="C1475" t="s">
        <v>4730</v>
      </c>
    </row>
    <row r="1476" spans="3:3">
      <c r="C1476" t="s">
        <v>4731</v>
      </c>
    </row>
    <row r="1477" spans="3:3">
      <c r="C1477" t="s">
        <v>4732</v>
      </c>
    </row>
    <row r="1478" spans="3:3">
      <c r="C1478" t="s">
        <v>376</v>
      </c>
    </row>
    <row r="1479" spans="3:3">
      <c r="C1479" t="s">
        <v>2791</v>
      </c>
    </row>
    <row r="1480" spans="3:3">
      <c r="C1480" t="s">
        <v>4733</v>
      </c>
    </row>
    <row r="1481" spans="3:3">
      <c r="C1481" t="s">
        <v>4734</v>
      </c>
    </row>
    <row r="1482" spans="3:3">
      <c r="C1482" t="s">
        <v>4735</v>
      </c>
    </row>
    <row r="1483" spans="3:3">
      <c r="C1483" t="s">
        <v>4736</v>
      </c>
    </row>
    <row r="1484" spans="3:3">
      <c r="C1484" t="s">
        <v>4737</v>
      </c>
    </row>
    <row r="1485" spans="3:3">
      <c r="C1485" t="s">
        <v>4738</v>
      </c>
    </row>
    <row r="1486" spans="3:3">
      <c r="C1486" t="s">
        <v>4739</v>
      </c>
    </row>
    <row r="1487" spans="3:3">
      <c r="C1487" t="s">
        <v>4740</v>
      </c>
    </row>
    <row r="1488" spans="3:3">
      <c r="C1488" t="s">
        <v>4741</v>
      </c>
    </row>
    <row r="1489" spans="3:3">
      <c r="C1489" t="s">
        <v>4742</v>
      </c>
    </row>
    <row r="1490" spans="3:3">
      <c r="C1490" t="s">
        <v>4743</v>
      </c>
    </row>
    <row r="1491" spans="3:3">
      <c r="C1491" t="s">
        <v>4744</v>
      </c>
    </row>
    <row r="1492" spans="3:3">
      <c r="C1492" t="s">
        <v>4745</v>
      </c>
    </row>
    <row r="1493" spans="3:3">
      <c r="C1493" t="s">
        <v>4746</v>
      </c>
    </row>
    <row r="1494" spans="3:3">
      <c r="C1494" t="s">
        <v>4747</v>
      </c>
    </row>
    <row r="1495" spans="3:3">
      <c r="C1495" t="s">
        <v>4748</v>
      </c>
    </row>
    <row r="1496" spans="3:3">
      <c r="C1496" t="s">
        <v>4749</v>
      </c>
    </row>
    <row r="1497" spans="3:3">
      <c r="C1497" t="s">
        <v>4750</v>
      </c>
    </row>
    <row r="1498" spans="3:3">
      <c r="C1498" t="s">
        <v>4751</v>
      </c>
    </row>
    <row r="1499" spans="3:3">
      <c r="C1499" t="s">
        <v>4752</v>
      </c>
    </row>
    <row r="1500" spans="3:3">
      <c r="C1500" t="s">
        <v>4753</v>
      </c>
    </row>
    <row r="1501" spans="3:3">
      <c r="C1501" t="s">
        <v>4754</v>
      </c>
    </row>
    <row r="1502" spans="3:3">
      <c r="C1502" t="s">
        <v>4755</v>
      </c>
    </row>
    <row r="1503" spans="3:3">
      <c r="C1503" t="s">
        <v>4756</v>
      </c>
    </row>
    <row r="1504" spans="3:3">
      <c r="C1504" t="s">
        <v>4757</v>
      </c>
    </row>
    <row r="1505" spans="3:3">
      <c r="C1505" t="s">
        <v>4758</v>
      </c>
    </row>
    <row r="1506" spans="3:3">
      <c r="C1506" t="s">
        <v>4759</v>
      </c>
    </row>
    <row r="1507" spans="3:3">
      <c r="C1507" t="s">
        <v>4760</v>
      </c>
    </row>
    <row r="1508" spans="3:3">
      <c r="C1508" t="s">
        <v>4761</v>
      </c>
    </row>
    <row r="1509" spans="3:3">
      <c r="C1509" t="s">
        <v>4762</v>
      </c>
    </row>
    <row r="1510" spans="3:3">
      <c r="C1510" t="s">
        <v>4763</v>
      </c>
    </row>
    <row r="1511" spans="3:3">
      <c r="C1511" t="s">
        <v>4764</v>
      </c>
    </row>
    <row r="1512" spans="3:3">
      <c r="C1512" t="s">
        <v>4765</v>
      </c>
    </row>
    <row r="1513" spans="3:3">
      <c r="C1513" t="s">
        <v>4766</v>
      </c>
    </row>
    <row r="1514" spans="3:3">
      <c r="C1514" t="s">
        <v>4767</v>
      </c>
    </row>
    <row r="1515" spans="3:3">
      <c r="C1515" t="s">
        <v>4768</v>
      </c>
    </row>
    <row r="1516" spans="3:3">
      <c r="C1516" t="s">
        <v>4769</v>
      </c>
    </row>
    <row r="1517" spans="3:3">
      <c r="C1517" t="s">
        <v>4770</v>
      </c>
    </row>
    <row r="1518" spans="3:3">
      <c r="C1518" t="s">
        <v>4771</v>
      </c>
    </row>
    <row r="1519" spans="3:3">
      <c r="C1519" t="s">
        <v>4772</v>
      </c>
    </row>
    <row r="1520" spans="3:3">
      <c r="C1520" t="s">
        <v>4773</v>
      </c>
    </row>
    <row r="1521" spans="3:3">
      <c r="C1521" t="s">
        <v>4774</v>
      </c>
    </row>
    <row r="1522" spans="3:3">
      <c r="C1522" t="s">
        <v>4775</v>
      </c>
    </row>
    <row r="1523" spans="3:3">
      <c r="C1523" t="s">
        <v>4776</v>
      </c>
    </row>
    <row r="1524" spans="3:3">
      <c r="C1524" t="s">
        <v>4777</v>
      </c>
    </row>
    <row r="1525" spans="3:3">
      <c r="C1525" t="s">
        <v>4778</v>
      </c>
    </row>
    <row r="1526" spans="3:3">
      <c r="C1526" t="s">
        <v>4779</v>
      </c>
    </row>
    <row r="1527" spans="3:3">
      <c r="C1527" t="s">
        <v>4780</v>
      </c>
    </row>
    <row r="1528" spans="3:3">
      <c r="C1528" t="s">
        <v>4781</v>
      </c>
    </row>
    <row r="1529" spans="3:3">
      <c r="C1529" t="s">
        <v>4782</v>
      </c>
    </row>
    <row r="1530" spans="3:3">
      <c r="C1530" t="s">
        <v>4783</v>
      </c>
    </row>
    <row r="1531" spans="3:3">
      <c r="C1531" t="s">
        <v>4784</v>
      </c>
    </row>
    <row r="1532" spans="3:3">
      <c r="C1532" t="s">
        <v>4785</v>
      </c>
    </row>
    <row r="1533" spans="3:3">
      <c r="C1533" t="s">
        <v>4786</v>
      </c>
    </row>
    <row r="1534" spans="3:3">
      <c r="C1534" t="s">
        <v>4787</v>
      </c>
    </row>
    <row r="1535" spans="3:3">
      <c r="C1535" t="s">
        <v>4788</v>
      </c>
    </row>
    <row r="1536" spans="3:3">
      <c r="C1536" t="s">
        <v>4789</v>
      </c>
    </row>
    <row r="1537" spans="3:3">
      <c r="C1537" t="s">
        <v>449</v>
      </c>
    </row>
    <row r="1538" spans="3:3">
      <c r="C1538" t="s">
        <v>595</v>
      </c>
    </row>
    <row r="1539" spans="3:3">
      <c r="C1539" t="s">
        <v>399</v>
      </c>
    </row>
    <row r="1540" spans="3:3">
      <c r="C1540" t="s">
        <v>115</v>
      </c>
    </row>
    <row r="1541" spans="3:3">
      <c r="C1541" t="s">
        <v>4790</v>
      </c>
    </row>
    <row r="1542" spans="3:3">
      <c r="C1542" t="s">
        <v>4791</v>
      </c>
    </row>
    <row r="1543" spans="3:3">
      <c r="C1543" t="s">
        <v>4792</v>
      </c>
    </row>
    <row r="1544" spans="3:3">
      <c r="C1544" t="s">
        <v>4793</v>
      </c>
    </row>
    <row r="1545" spans="3:3">
      <c r="C1545" t="s">
        <v>4794</v>
      </c>
    </row>
    <row r="1546" spans="3:3">
      <c r="C1546" t="s">
        <v>4795</v>
      </c>
    </row>
    <row r="1547" spans="3:3">
      <c r="C1547" t="s">
        <v>2386</v>
      </c>
    </row>
    <row r="1548" spans="3:3">
      <c r="C1548" t="s">
        <v>2387</v>
      </c>
    </row>
    <row r="1549" spans="3:3">
      <c r="C1549" t="s">
        <v>4796</v>
      </c>
    </row>
    <row r="1550" spans="3:3">
      <c r="C1550" t="s">
        <v>4797</v>
      </c>
    </row>
    <row r="1551" spans="3:3">
      <c r="C1551" t="s">
        <v>4798</v>
      </c>
    </row>
    <row r="1552" spans="3:3">
      <c r="C1552" t="s">
        <v>4799</v>
      </c>
    </row>
    <row r="1553" spans="3:3">
      <c r="C1553" t="s">
        <v>4800</v>
      </c>
    </row>
    <row r="1554" spans="3:3">
      <c r="C1554" t="s">
        <v>4801</v>
      </c>
    </row>
    <row r="1555" spans="3:3">
      <c r="C1555" t="s">
        <v>4802</v>
      </c>
    </row>
    <row r="1556" spans="3:3">
      <c r="C1556" t="s">
        <v>4803</v>
      </c>
    </row>
    <row r="1557" spans="3:3">
      <c r="C1557" t="s">
        <v>2480</v>
      </c>
    </row>
    <row r="1558" spans="3:3">
      <c r="C1558" t="s">
        <v>4804</v>
      </c>
    </row>
    <row r="1559" spans="3:3">
      <c r="C1559" t="s">
        <v>1252</v>
      </c>
    </row>
    <row r="1560" spans="3:3">
      <c r="C1560" t="s">
        <v>4805</v>
      </c>
    </row>
    <row r="1561" spans="3:3">
      <c r="C1561" t="s">
        <v>4806</v>
      </c>
    </row>
    <row r="1562" spans="3:3">
      <c r="C1562" t="s">
        <v>4807</v>
      </c>
    </row>
    <row r="1563" spans="3:3">
      <c r="C1563" t="s">
        <v>4808</v>
      </c>
    </row>
    <row r="1564" spans="3:3">
      <c r="C1564" t="s">
        <v>407</v>
      </c>
    </row>
    <row r="1565" spans="3:3">
      <c r="C1565" t="s">
        <v>4809</v>
      </c>
    </row>
    <row r="1566" spans="3:3">
      <c r="C1566" t="s">
        <v>4810</v>
      </c>
    </row>
    <row r="1567" spans="3:3">
      <c r="C1567" t="s">
        <v>2097</v>
      </c>
    </row>
    <row r="1568" spans="3:3">
      <c r="C1568" t="s">
        <v>4811</v>
      </c>
    </row>
    <row r="1569" spans="3:3">
      <c r="C1569" t="s">
        <v>4812</v>
      </c>
    </row>
    <row r="1570" spans="3:3">
      <c r="C1570" t="s">
        <v>172</v>
      </c>
    </row>
    <row r="1571" spans="3:3">
      <c r="C1571" t="s">
        <v>4813</v>
      </c>
    </row>
    <row r="1572" spans="3:3">
      <c r="C1572" t="s">
        <v>134</v>
      </c>
    </row>
    <row r="1573" spans="3:3">
      <c r="C1573" t="s">
        <v>4814</v>
      </c>
    </row>
    <row r="1574" spans="3:3">
      <c r="C1574" t="s">
        <v>4815</v>
      </c>
    </row>
    <row r="1575" spans="3:3">
      <c r="C1575" t="s">
        <v>4816</v>
      </c>
    </row>
    <row r="1576" spans="3:3">
      <c r="C1576" t="s">
        <v>4817</v>
      </c>
    </row>
    <row r="1577" spans="3:3">
      <c r="C1577" t="s">
        <v>3423</v>
      </c>
    </row>
    <row r="1578" spans="3:3">
      <c r="C1578" t="s">
        <v>2219</v>
      </c>
    </row>
    <row r="1579" spans="3:3">
      <c r="C1579" t="s">
        <v>4818</v>
      </c>
    </row>
    <row r="1580" spans="3:3">
      <c r="C1580" t="s">
        <v>4819</v>
      </c>
    </row>
    <row r="1581" spans="3:3">
      <c r="C1581" t="s">
        <v>4820</v>
      </c>
    </row>
    <row r="1582" spans="3:3">
      <c r="C1582" t="s">
        <v>4821</v>
      </c>
    </row>
    <row r="1583" spans="3:3">
      <c r="C1583" t="s">
        <v>4822</v>
      </c>
    </row>
    <row r="1584" spans="3:3">
      <c r="C1584" t="s">
        <v>4823</v>
      </c>
    </row>
    <row r="1585" spans="3:3">
      <c r="C1585" t="s">
        <v>4824</v>
      </c>
    </row>
    <row r="1586" spans="3:3">
      <c r="C1586" t="s">
        <v>4825</v>
      </c>
    </row>
    <row r="1587" spans="3:3">
      <c r="C1587" t="s">
        <v>4826</v>
      </c>
    </row>
    <row r="1588" spans="3:3">
      <c r="C1588" t="s">
        <v>4827</v>
      </c>
    </row>
    <row r="1589" spans="3:3">
      <c r="C1589" t="s">
        <v>4828</v>
      </c>
    </row>
    <row r="1590" spans="3:3">
      <c r="C1590" t="s">
        <v>4829</v>
      </c>
    </row>
    <row r="1591" spans="3:3">
      <c r="C1591" t="s">
        <v>4830</v>
      </c>
    </row>
    <row r="1592" spans="3:3">
      <c r="C1592" t="s">
        <v>4831</v>
      </c>
    </row>
    <row r="1593" spans="3:3">
      <c r="C1593" t="s">
        <v>4832</v>
      </c>
    </row>
    <row r="1594" spans="3:3">
      <c r="C1594" t="s">
        <v>4833</v>
      </c>
    </row>
    <row r="1595" spans="3:3">
      <c r="C1595" t="s">
        <v>4834</v>
      </c>
    </row>
    <row r="1596" spans="3:3">
      <c r="C1596" t="s">
        <v>4835</v>
      </c>
    </row>
    <row r="1597" spans="3:3">
      <c r="C1597" t="s">
        <v>4836</v>
      </c>
    </row>
    <row r="1598" spans="3:3">
      <c r="C1598" t="s">
        <v>4837</v>
      </c>
    </row>
    <row r="1599" spans="3:3">
      <c r="C1599" t="s">
        <v>4838</v>
      </c>
    </row>
    <row r="1600" spans="3:3">
      <c r="C1600" t="s">
        <v>2860</v>
      </c>
    </row>
    <row r="1601" spans="3:3">
      <c r="C1601" t="s">
        <v>4839</v>
      </c>
    </row>
    <row r="1602" spans="3:3">
      <c r="C1602" t="s">
        <v>4840</v>
      </c>
    </row>
    <row r="1603" spans="3:3">
      <c r="C1603" t="s">
        <v>4841</v>
      </c>
    </row>
    <row r="1604" spans="3:3">
      <c r="C1604" t="s">
        <v>2630</v>
      </c>
    </row>
    <row r="1605" spans="3:3">
      <c r="C1605" t="s">
        <v>4842</v>
      </c>
    </row>
    <row r="1606" spans="3:3">
      <c r="C1606" t="s">
        <v>4843</v>
      </c>
    </row>
    <row r="1607" spans="3:3">
      <c r="C1607" t="s">
        <v>4844</v>
      </c>
    </row>
    <row r="1608" spans="3:3">
      <c r="C1608" t="s">
        <v>2599</v>
      </c>
    </row>
    <row r="1609" spans="3:3">
      <c r="C1609" t="s">
        <v>4845</v>
      </c>
    </row>
    <row r="1610" spans="3:3">
      <c r="C1610" t="s">
        <v>1705</v>
      </c>
    </row>
    <row r="1611" spans="3:3">
      <c r="C1611" t="s">
        <v>4846</v>
      </c>
    </row>
    <row r="1612" spans="3:3">
      <c r="C1612" t="s">
        <v>2987</v>
      </c>
    </row>
    <row r="1613" spans="3:3">
      <c r="C1613" t="s">
        <v>4847</v>
      </c>
    </row>
    <row r="1614" spans="3:3">
      <c r="C1614" t="s">
        <v>4848</v>
      </c>
    </row>
    <row r="1615" spans="3:3">
      <c r="C1615" t="s">
        <v>4849</v>
      </c>
    </row>
    <row r="1616" spans="3:3">
      <c r="C1616" t="s">
        <v>4850</v>
      </c>
    </row>
    <row r="1617" spans="3:3">
      <c r="C1617" t="s">
        <v>4851</v>
      </c>
    </row>
    <row r="1618" spans="3:3">
      <c r="C1618" t="s">
        <v>4852</v>
      </c>
    </row>
    <row r="1619" spans="3:3">
      <c r="C1619" t="s">
        <v>4853</v>
      </c>
    </row>
    <row r="1620" spans="3:3">
      <c r="C1620" t="s">
        <v>4854</v>
      </c>
    </row>
    <row r="1621" spans="3:3">
      <c r="C1621" t="s">
        <v>4855</v>
      </c>
    </row>
    <row r="1622" spans="3:3">
      <c r="C1622" t="s">
        <v>4856</v>
      </c>
    </row>
    <row r="1623" spans="3:3">
      <c r="C1623" t="s">
        <v>4857</v>
      </c>
    </row>
    <row r="1624" spans="3:3">
      <c r="C1624" t="s">
        <v>4858</v>
      </c>
    </row>
    <row r="1625" spans="3:3">
      <c r="C1625" t="s">
        <v>4859</v>
      </c>
    </row>
    <row r="1626" spans="3:3">
      <c r="C1626" t="s">
        <v>248</v>
      </c>
    </row>
    <row r="1627" spans="3:3">
      <c r="C1627" t="s">
        <v>4860</v>
      </c>
    </row>
    <row r="1628" spans="3:3">
      <c r="C1628" t="s">
        <v>4861</v>
      </c>
    </row>
    <row r="1629" spans="3:3">
      <c r="C1629" t="s">
        <v>4862</v>
      </c>
    </row>
    <row r="1630" spans="3:3">
      <c r="C1630" t="s">
        <v>4863</v>
      </c>
    </row>
    <row r="1631" spans="3:3">
      <c r="C1631" t="s">
        <v>4864</v>
      </c>
    </row>
    <row r="1632" spans="3:3">
      <c r="C1632" t="s">
        <v>4865</v>
      </c>
    </row>
    <row r="1633" spans="3:3">
      <c r="C1633" t="s">
        <v>4866</v>
      </c>
    </row>
    <row r="1634" spans="3:3">
      <c r="C1634" t="s">
        <v>4867</v>
      </c>
    </row>
    <row r="1635" spans="3:3">
      <c r="C1635" t="s">
        <v>4868</v>
      </c>
    </row>
    <row r="1636" spans="3:3">
      <c r="C1636" t="s">
        <v>4869</v>
      </c>
    </row>
    <row r="1637" spans="3:3">
      <c r="C1637" t="s">
        <v>4870</v>
      </c>
    </row>
    <row r="1638" spans="3:3">
      <c r="C1638" t="s">
        <v>4871</v>
      </c>
    </row>
    <row r="1639" spans="3:3">
      <c r="C1639" t="s">
        <v>4872</v>
      </c>
    </row>
    <row r="1640" spans="3:3">
      <c r="C1640" t="s">
        <v>4873</v>
      </c>
    </row>
    <row r="1641" spans="3:3">
      <c r="C1641" t="s">
        <v>4874</v>
      </c>
    </row>
    <row r="1642" spans="3:3">
      <c r="C1642" t="s">
        <v>4875</v>
      </c>
    </row>
    <row r="1643" spans="3:3">
      <c r="C1643" t="s">
        <v>4876</v>
      </c>
    </row>
    <row r="1644" spans="3:3">
      <c r="C1644" t="s">
        <v>1949</v>
      </c>
    </row>
    <row r="1645" spans="3:3">
      <c r="C1645" t="s">
        <v>4877</v>
      </c>
    </row>
    <row r="1646" spans="3:3">
      <c r="C1646" t="s">
        <v>4878</v>
      </c>
    </row>
    <row r="1647" spans="3:3">
      <c r="C1647" t="s">
        <v>1896</v>
      </c>
    </row>
    <row r="1648" spans="3:3">
      <c r="C1648" t="s">
        <v>4879</v>
      </c>
    </row>
    <row r="1649" spans="3:3">
      <c r="C1649" t="s">
        <v>4880</v>
      </c>
    </row>
    <row r="1650" spans="3:3">
      <c r="C1650" t="s">
        <v>4881</v>
      </c>
    </row>
    <row r="1651" spans="3:3">
      <c r="C1651" t="s">
        <v>4882</v>
      </c>
    </row>
    <row r="1652" spans="3:3">
      <c r="C1652" t="s">
        <v>4883</v>
      </c>
    </row>
    <row r="1653" spans="3:3">
      <c r="C1653" t="s">
        <v>4884</v>
      </c>
    </row>
    <row r="1654" spans="3:3">
      <c r="C1654" t="s">
        <v>4885</v>
      </c>
    </row>
    <row r="1655" spans="3:3">
      <c r="C1655" t="s">
        <v>4886</v>
      </c>
    </row>
    <row r="1656" spans="3:3">
      <c r="C1656" t="s">
        <v>4887</v>
      </c>
    </row>
    <row r="1657" spans="3:3">
      <c r="C1657" t="s">
        <v>4888</v>
      </c>
    </row>
    <row r="1658" spans="3:3">
      <c r="C1658" t="s">
        <v>4889</v>
      </c>
    </row>
    <row r="1659" spans="3:3">
      <c r="C1659" t="s">
        <v>4890</v>
      </c>
    </row>
    <row r="1660" spans="3:3">
      <c r="C1660" t="s">
        <v>4891</v>
      </c>
    </row>
    <row r="1661" spans="3:3">
      <c r="C1661" t="s">
        <v>4892</v>
      </c>
    </row>
    <row r="1662" spans="3:3">
      <c r="C1662" t="s">
        <v>4893</v>
      </c>
    </row>
    <row r="1663" spans="3:3">
      <c r="C1663" t="s">
        <v>4894</v>
      </c>
    </row>
    <row r="1664" spans="3:3">
      <c r="C1664" t="s">
        <v>4895</v>
      </c>
    </row>
    <row r="1665" spans="3:3">
      <c r="C1665" t="s">
        <v>4896</v>
      </c>
    </row>
    <row r="1666" spans="3:3">
      <c r="C1666" t="s">
        <v>4897</v>
      </c>
    </row>
    <row r="1667" spans="3:3">
      <c r="C1667" t="s">
        <v>10</v>
      </c>
    </row>
    <row r="1668" spans="3:3">
      <c r="C1668" t="s">
        <v>4898</v>
      </c>
    </row>
    <row r="1669" spans="3:3">
      <c r="C1669" t="s">
        <v>4899</v>
      </c>
    </row>
    <row r="1670" spans="3:3">
      <c r="C1670" t="s">
        <v>4900</v>
      </c>
    </row>
    <row r="1671" spans="3:3">
      <c r="C1671" t="s">
        <v>4901</v>
      </c>
    </row>
    <row r="1672" spans="3:3">
      <c r="C1672" t="s">
        <v>4902</v>
      </c>
    </row>
    <row r="1673" spans="3:3">
      <c r="C1673" t="s">
        <v>1082</v>
      </c>
    </row>
    <row r="1674" spans="3:3">
      <c r="C1674" t="s">
        <v>4903</v>
      </c>
    </row>
    <row r="1675" spans="3:3">
      <c r="C1675" t="s">
        <v>4904</v>
      </c>
    </row>
    <row r="1676" spans="3:3">
      <c r="C1676" t="s">
        <v>2940</v>
      </c>
    </row>
    <row r="1677" spans="3:3">
      <c r="C1677" t="s">
        <v>223</v>
      </c>
    </row>
    <row r="1678" spans="3:3">
      <c r="C1678" t="s">
        <v>2252</v>
      </c>
    </row>
    <row r="1679" spans="3:3">
      <c r="C1679" t="s">
        <v>4905</v>
      </c>
    </row>
    <row r="1680" spans="3:3">
      <c r="C1680" t="s">
        <v>4906</v>
      </c>
    </row>
    <row r="1681" spans="3:3">
      <c r="C1681" t="s">
        <v>4907</v>
      </c>
    </row>
    <row r="1682" spans="3:3">
      <c r="C1682" t="s">
        <v>4908</v>
      </c>
    </row>
    <row r="1683" spans="3:3">
      <c r="C1683" t="s">
        <v>619</v>
      </c>
    </row>
    <row r="1684" spans="3:3">
      <c r="C1684" t="s">
        <v>2256</v>
      </c>
    </row>
    <row r="1685" spans="3:3">
      <c r="C1685" t="s">
        <v>709</v>
      </c>
    </row>
    <row r="1686" spans="3:3">
      <c r="C1686" t="s">
        <v>2660</v>
      </c>
    </row>
    <row r="1687" spans="3:3">
      <c r="C1687" t="s">
        <v>405</v>
      </c>
    </row>
    <row r="1688" spans="3:3">
      <c r="C1688" t="s">
        <v>510</v>
      </c>
    </row>
    <row r="1689" spans="3:3">
      <c r="C1689" t="s">
        <v>4909</v>
      </c>
    </row>
    <row r="1690" spans="3:3">
      <c r="C1690" t="s">
        <v>4910</v>
      </c>
    </row>
    <row r="1691" spans="3:3">
      <c r="C1691" t="s">
        <v>2829</v>
      </c>
    </row>
    <row r="1692" spans="3:3">
      <c r="C1692" t="s">
        <v>2830</v>
      </c>
    </row>
    <row r="1693" spans="3:3">
      <c r="C1693" t="s">
        <v>4911</v>
      </c>
    </row>
    <row r="1694" spans="3:3">
      <c r="C1694" t="s">
        <v>4912</v>
      </c>
    </row>
    <row r="1695" spans="3:3">
      <c r="C1695" t="s">
        <v>4913</v>
      </c>
    </row>
    <row r="1696" spans="3:3">
      <c r="C1696" t="s">
        <v>2047</v>
      </c>
    </row>
    <row r="1697" spans="3:3">
      <c r="C1697" t="s">
        <v>4914</v>
      </c>
    </row>
    <row r="1698" spans="3:3">
      <c r="C1698" t="s">
        <v>4915</v>
      </c>
    </row>
    <row r="1699" spans="3:3">
      <c r="C1699" t="s">
        <v>1916</v>
      </c>
    </row>
    <row r="1700" spans="3:3">
      <c r="C1700" t="s">
        <v>4916</v>
      </c>
    </row>
    <row r="1701" spans="3:3">
      <c r="C1701" t="s">
        <v>2543</v>
      </c>
    </row>
    <row r="1702" spans="3:3">
      <c r="C1702" t="s">
        <v>4917</v>
      </c>
    </row>
    <row r="1703" spans="3:3">
      <c r="C1703" t="s">
        <v>1002</v>
      </c>
    </row>
    <row r="1704" spans="3:3">
      <c r="C1704" t="s">
        <v>4918</v>
      </c>
    </row>
    <row r="1705" spans="3:3">
      <c r="C1705" t="s">
        <v>2</v>
      </c>
    </row>
    <row r="1706" spans="3:3">
      <c r="C1706" t="s">
        <v>4919</v>
      </c>
    </row>
    <row r="1707" spans="3:3">
      <c r="C1707" t="s">
        <v>4920</v>
      </c>
    </row>
    <row r="1708" spans="3:3">
      <c r="C1708" t="s">
        <v>4921</v>
      </c>
    </row>
    <row r="1709" spans="3:3">
      <c r="C1709" t="s">
        <v>4922</v>
      </c>
    </row>
    <row r="1710" spans="3:3">
      <c r="C1710" t="s">
        <v>4923</v>
      </c>
    </row>
    <row r="1711" spans="3:3">
      <c r="C1711" t="s">
        <v>4924</v>
      </c>
    </row>
    <row r="1712" spans="3:3">
      <c r="C1712" t="s">
        <v>2808</v>
      </c>
    </row>
    <row r="1713" spans="3:3">
      <c r="C1713" t="s">
        <v>4925</v>
      </c>
    </row>
    <row r="1714" spans="3:3">
      <c r="C1714" t="s">
        <v>4926</v>
      </c>
    </row>
    <row r="1715" spans="3:3">
      <c r="C1715" t="s">
        <v>4927</v>
      </c>
    </row>
    <row r="1716" spans="3:3">
      <c r="C1716" t="s">
        <v>4928</v>
      </c>
    </row>
    <row r="1717" spans="3:3">
      <c r="C1717" t="s">
        <v>4929</v>
      </c>
    </row>
    <row r="1718" spans="3:3">
      <c r="C1718" t="s">
        <v>4930</v>
      </c>
    </row>
    <row r="1719" spans="3:3">
      <c r="C1719" t="s">
        <v>4931</v>
      </c>
    </row>
    <row r="1720" spans="3:3">
      <c r="C1720" t="s">
        <v>4932</v>
      </c>
    </row>
    <row r="1721" spans="3:3">
      <c r="C1721" t="s">
        <v>4933</v>
      </c>
    </row>
    <row r="1722" spans="3:3">
      <c r="C1722" t="s">
        <v>4934</v>
      </c>
    </row>
    <row r="1723" spans="3:3">
      <c r="C1723" t="s">
        <v>2363</v>
      </c>
    </row>
    <row r="1724" spans="3:3">
      <c r="C1724" t="s">
        <v>630</v>
      </c>
    </row>
    <row r="1725" spans="3:3">
      <c r="C1725" t="s">
        <v>4935</v>
      </c>
    </row>
    <row r="1726" spans="3:3">
      <c r="C1726" t="s">
        <v>4936</v>
      </c>
    </row>
    <row r="1727" spans="3:3">
      <c r="C1727" t="s">
        <v>4937</v>
      </c>
    </row>
    <row r="1728" spans="3:3">
      <c r="C1728" t="s">
        <v>4938</v>
      </c>
    </row>
    <row r="1729" spans="3:3">
      <c r="C1729" t="s">
        <v>4939</v>
      </c>
    </row>
    <row r="1730" spans="3:3">
      <c r="C1730" t="s">
        <v>4940</v>
      </c>
    </row>
    <row r="1731" spans="3:3">
      <c r="C1731" t="s">
        <v>4941</v>
      </c>
    </row>
    <row r="1732" spans="3:3">
      <c r="C1732" t="s">
        <v>1778</v>
      </c>
    </row>
    <row r="1733" spans="3:3">
      <c r="C1733" t="s">
        <v>4942</v>
      </c>
    </row>
    <row r="1734" spans="3:3">
      <c r="C1734" t="s">
        <v>4943</v>
      </c>
    </row>
    <row r="1735" spans="3:3">
      <c r="C1735" t="s">
        <v>4944</v>
      </c>
    </row>
    <row r="1736" spans="3:3">
      <c r="C1736" t="s">
        <v>4945</v>
      </c>
    </row>
    <row r="1737" spans="3:3">
      <c r="C1737" t="s">
        <v>4946</v>
      </c>
    </row>
    <row r="1738" spans="3:3">
      <c r="C1738" t="s">
        <v>4947</v>
      </c>
    </row>
    <row r="1739" spans="3:3">
      <c r="C1739" t="s">
        <v>4948</v>
      </c>
    </row>
    <row r="1740" spans="3:3">
      <c r="C1740" t="s">
        <v>350</v>
      </c>
    </row>
    <row r="1741" spans="3:3">
      <c r="C1741" t="s">
        <v>4949</v>
      </c>
    </row>
    <row r="1742" spans="3:3">
      <c r="C1742" t="s">
        <v>4950</v>
      </c>
    </row>
    <row r="1743" spans="3:3">
      <c r="C1743" t="s">
        <v>4951</v>
      </c>
    </row>
    <row r="1744" spans="3:3">
      <c r="C1744" t="s">
        <v>4952</v>
      </c>
    </row>
    <row r="1745" spans="3:3">
      <c r="C1745" t="s">
        <v>4953</v>
      </c>
    </row>
    <row r="1746" spans="3:3">
      <c r="C1746" t="s">
        <v>4954</v>
      </c>
    </row>
    <row r="1747" spans="3:3">
      <c r="C1747" t="s">
        <v>4955</v>
      </c>
    </row>
    <row r="1748" spans="3:3">
      <c r="C1748" t="s">
        <v>4956</v>
      </c>
    </row>
    <row r="1749" spans="3:3">
      <c r="C1749" t="s">
        <v>4957</v>
      </c>
    </row>
    <row r="1750" spans="3:3">
      <c r="C1750" t="s">
        <v>4958</v>
      </c>
    </row>
    <row r="1751" spans="3:3">
      <c r="C1751" t="s">
        <v>4959</v>
      </c>
    </row>
    <row r="1752" spans="3:3">
      <c r="C1752" t="s">
        <v>4960</v>
      </c>
    </row>
    <row r="1753" spans="3:3">
      <c r="C1753" t="s">
        <v>3028</v>
      </c>
    </row>
    <row r="1754" spans="3:3">
      <c r="C1754" t="s">
        <v>78</v>
      </c>
    </row>
    <row r="1755" spans="3:3">
      <c r="C1755" t="s">
        <v>4961</v>
      </c>
    </row>
    <row r="1756" spans="3:3">
      <c r="C1756" t="s">
        <v>4962</v>
      </c>
    </row>
    <row r="1757" spans="3:3">
      <c r="C1757" t="s">
        <v>4963</v>
      </c>
    </row>
    <row r="1758" spans="3:3">
      <c r="C1758" t="s">
        <v>4964</v>
      </c>
    </row>
    <row r="1759" spans="3:3">
      <c r="C1759" t="s">
        <v>4965</v>
      </c>
    </row>
    <row r="1760" spans="3:3">
      <c r="C1760" t="s">
        <v>4966</v>
      </c>
    </row>
    <row r="1761" spans="3:3">
      <c r="C1761" t="s">
        <v>4967</v>
      </c>
    </row>
    <row r="1762" spans="3:3">
      <c r="C1762" t="s">
        <v>2654</v>
      </c>
    </row>
    <row r="1763" spans="3:3">
      <c r="C1763" t="s">
        <v>4968</v>
      </c>
    </row>
    <row r="1764" spans="3:3">
      <c r="C1764" t="s">
        <v>4969</v>
      </c>
    </row>
    <row r="1765" spans="3:3">
      <c r="C1765" t="s">
        <v>4970</v>
      </c>
    </row>
    <row r="1766" spans="3:3">
      <c r="C1766" t="s">
        <v>4971</v>
      </c>
    </row>
    <row r="1767" spans="3:3">
      <c r="C1767" t="s">
        <v>1063</v>
      </c>
    </row>
    <row r="1768" spans="3:3">
      <c r="C1768" t="s">
        <v>4972</v>
      </c>
    </row>
    <row r="1769" spans="3:3">
      <c r="C1769" t="s">
        <v>4973</v>
      </c>
    </row>
    <row r="1770" spans="3:3">
      <c r="C1770" t="s">
        <v>4974</v>
      </c>
    </row>
    <row r="1771" spans="3:3">
      <c r="C1771" t="s">
        <v>4975</v>
      </c>
    </row>
    <row r="1772" spans="3:3">
      <c r="C1772" t="s">
        <v>4976</v>
      </c>
    </row>
    <row r="1773" spans="3:3">
      <c r="C1773" t="s">
        <v>4977</v>
      </c>
    </row>
    <row r="1774" spans="3:3">
      <c r="C1774" t="s">
        <v>4978</v>
      </c>
    </row>
    <row r="1775" spans="3:3">
      <c r="C1775" t="s">
        <v>4979</v>
      </c>
    </row>
    <row r="1776" spans="3:3">
      <c r="C1776" t="s">
        <v>4980</v>
      </c>
    </row>
    <row r="1777" spans="3:3">
      <c r="C1777" t="s">
        <v>4981</v>
      </c>
    </row>
    <row r="1778" spans="3:3">
      <c r="C1778" t="s">
        <v>4982</v>
      </c>
    </row>
    <row r="1779" spans="3:3">
      <c r="C1779" t="s">
        <v>1678</v>
      </c>
    </row>
    <row r="1780" spans="3:3">
      <c r="C1780" t="s">
        <v>4983</v>
      </c>
    </row>
    <row r="1781" spans="3:3">
      <c r="C1781" t="s">
        <v>4984</v>
      </c>
    </row>
    <row r="1782" spans="3:3">
      <c r="C1782" t="s">
        <v>4985</v>
      </c>
    </row>
    <row r="1783" spans="3:3">
      <c r="C1783" t="s">
        <v>4986</v>
      </c>
    </row>
    <row r="1784" spans="3:3">
      <c r="C1784" t="s">
        <v>4987</v>
      </c>
    </row>
    <row r="1785" spans="3:3">
      <c r="C1785" t="s">
        <v>4988</v>
      </c>
    </row>
    <row r="1786" spans="3:3">
      <c r="C1786" t="s">
        <v>4989</v>
      </c>
    </row>
    <row r="1787" spans="3:3">
      <c r="C1787" t="s">
        <v>4990</v>
      </c>
    </row>
    <row r="1788" spans="3:3">
      <c r="C1788" t="s">
        <v>2336</v>
      </c>
    </row>
    <row r="1789" spans="3:3">
      <c r="C1789" t="s">
        <v>4991</v>
      </c>
    </row>
    <row r="1790" spans="3:3">
      <c r="C1790" t="s">
        <v>4992</v>
      </c>
    </row>
    <row r="1791" spans="3:3">
      <c r="C1791" t="s">
        <v>4993</v>
      </c>
    </row>
    <row r="1792" spans="3:3">
      <c r="C1792" t="s">
        <v>4994</v>
      </c>
    </row>
    <row r="1793" spans="3:3">
      <c r="C1793" t="s">
        <v>324</v>
      </c>
    </row>
    <row r="1794" spans="3:3">
      <c r="C1794" t="s">
        <v>4995</v>
      </c>
    </row>
    <row r="1795" spans="3:3">
      <c r="C1795" t="s">
        <v>4996</v>
      </c>
    </row>
    <row r="1796" spans="3:3">
      <c r="C1796" t="s">
        <v>4997</v>
      </c>
    </row>
    <row r="1797" spans="3:3">
      <c r="C1797" t="s">
        <v>4998</v>
      </c>
    </row>
    <row r="1798" spans="3:3">
      <c r="C1798" t="s">
        <v>4999</v>
      </c>
    </row>
    <row r="1799" spans="3:3">
      <c r="C1799" t="s">
        <v>5000</v>
      </c>
    </row>
    <row r="1800" spans="3:3">
      <c r="C1800" t="s">
        <v>2780</v>
      </c>
    </row>
    <row r="1801" spans="3:3">
      <c r="C1801" t="s">
        <v>5001</v>
      </c>
    </row>
    <row r="1802" spans="3:3">
      <c r="C1802" t="s">
        <v>5002</v>
      </c>
    </row>
    <row r="1803" spans="3:3">
      <c r="C1803" t="s">
        <v>5003</v>
      </c>
    </row>
    <row r="1804" spans="3:3">
      <c r="C1804" t="s">
        <v>5004</v>
      </c>
    </row>
    <row r="1805" spans="3:3">
      <c r="C1805" t="s">
        <v>1821</v>
      </c>
    </row>
    <row r="1806" spans="3:3">
      <c r="C1806" t="s">
        <v>5005</v>
      </c>
    </row>
    <row r="1807" spans="3:3">
      <c r="C1807" t="s">
        <v>2263</v>
      </c>
    </row>
    <row r="1808" spans="3:3">
      <c r="C1808" t="s">
        <v>5006</v>
      </c>
    </row>
    <row r="1809" spans="3:3">
      <c r="C1809" t="s">
        <v>5007</v>
      </c>
    </row>
    <row r="1810" spans="3:3">
      <c r="C1810" t="s">
        <v>5008</v>
      </c>
    </row>
    <row r="1811" spans="3:3">
      <c r="C1811" t="s">
        <v>5009</v>
      </c>
    </row>
    <row r="1812" spans="3:3">
      <c r="C1812" t="s">
        <v>5010</v>
      </c>
    </row>
    <row r="1813" spans="3:3">
      <c r="C1813" t="s">
        <v>5011</v>
      </c>
    </row>
    <row r="1814" spans="3:3">
      <c r="C1814" t="s">
        <v>179</v>
      </c>
    </row>
    <row r="1815" spans="3:3">
      <c r="C1815" t="s">
        <v>5012</v>
      </c>
    </row>
    <row r="1816" spans="3:3">
      <c r="C1816" t="s">
        <v>5013</v>
      </c>
    </row>
    <row r="1817" spans="3:3">
      <c r="C1817" t="s">
        <v>5014</v>
      </c>
    </row>
    <row r="1818" spans="3:3">
      <c r="C1818" t="s">
        <v>5015</v>
      </c>
    </row>
    <row r="1819" spans="3:3">
      <c r="C1819" t="s">
        <v>5016</v>
      </c>
    </row>
    <row r="1820" spans="3:3">
      <c r="C1820" t="s">
        <v>5017</v>
      </c>
    </row>
    <row r="1821" spans="3:3">
      <c r="C1821" t="s">
        <v>5018</v>
      </c>
    </row>
    <row r="1822" spans="3:3">
      <c r="C1822" t="s">
        <v>5019</v>
      </c>
    </row>
    <row r="1823" spans="3:3">
      <c r="C1823" t="s">
        <v>5020</v>
      </c>
    </row>
    <row r="1824" spans="3:3">
      <c r="C1824" t="s">
        <v>3373</v>
      </c>
    </row>
    <row r="1825" spans="3:3">
      <c r="C1825" t="s">
        <v>5021</v>
      </c>
    </row>
    <row r="1826" spans="3:3">
      <c r="C1826" t="s">
        <v>5022</v>
      </c>
    </row>
    <row r="1827" spans="3:3">
      <c r="C1827" t="s">
        <v>1587</v>
      </c>
    </row>
    <row r="1828" spans="3:3">
      <c r="C1828" t="s">
        <v>5023</v>
      </c>
    </row>
    <row r="1829" spans="3:3">
      <c r="C1829" t="s">
        <v>2880</v>
      </c>
    </row>
    <row r="1830" spans="3:3">
      <c r="C1830" t="s">
        <v>2222</v>
      </c>
    </row>
    <row r="1831" spans="3:3">
      <c r="C1831" t="s">
        <v>5024</v>
      </c>
    </row>
    <row r="1832" spans="3:3">
      <c r="C1832" t="s">
        <v>5025</v>
      </c>
    </row>
    <row r="1833" spans="3:3">
      <c r="C1833" t="s">
        <v>5026</v>
      </c>
    </row>
    <row r="1834" spans="3:3">
      <c r="C1834" t="s">
        <v>5027</v>
      </c>
    </row>
    <row r="1835" spans="3:3">
      <c r="C1835" t="s">
        <v>2873</v>
      </c>
    </row>
    <row r="1836" spans="3:3">
      <c r="C1836" t="s">
        <v>3193</v>
      </c>
    </row>
    <row r="1837" spans="3:3">
      <c r="C1837" t="s">
        <v>5028</v>
      </c>
    </row>
    <row r="1838" spans="3:3">
      <c r="C1838" t="s">
        <v>5029</v>
      </c>
    </row>
    <row r="1839" spans="3:3">
      <c r="C1839" t="s">
        <v>3223</v>
      </c>
    </row>
    <row r="1840" spans="3:3">
      <c r="C1840" t="s">
        <v>5030</v>
      </c>
    </row>
    <row r="1841" spans="3:3">
      <c r="C1841" t="s">
        <v>5031</v>
      </c>
    </row>
    <row r="1842" spans="3:3">
      <c r="C1842" t="s">
        <v>1813</v>
      </c>
    </row>
    <row r="1843" spans="3:3">
      <c r="C1843" t="s">
        <v>5032</v>
      </c>
    </row>
    <row r="1844" spans="3:3">
      <c r="C1844" t="s">
        <v>5033</v>
      </c>
    </row>
    <row r="1845" spans="3:3">
      <c r="C1845" t="s">
        <v>5034</v>
      </c>
    </row>
    <row r="1846" spans="3:3">
      <c r="C1846" t="s">
        <v>2352</v>
      </c>
    </row>
    <row r="1847" spans="3:3">
      <c r="C1847" t="s">
        <v>5035</v>
      </c>
    </row>
    <row r="1848" spans="3:3">
      <c r="C1848" t="s">
        <v>1495</v>
      </c>
    </row>
    <row r="1849" spans="3:3">
      <c r="C1849" t="s">
        <v>1399</v>
      </c>
    </row>
    <row r="1850" spans="3:3">
      <c r="C1850" t="s">
        <v>341</v>
      </c>
    </row>
    <row r="1851" spans="3:3">
      <c r="C1851" t="s">
        <v>5036</v>
      </c>
    </row>
    <row r="1852" spans="3:3">
      <c r="C1852" t="s">
        <v>5037</v>
      </c>
    </row>
    <row r="1853" spans="3:3">
      <c r="C1853" t="s">
        <v>5038</v>
      </c>
    </row>
    <row r="1854" spans="3:3">
      <c r="C1854" t="s">
        <v>2811</v>
      </c>
    </row>
    <row r="1855" spans="3:3">
      <c r="C1855" t="s">
        <v>5039</v>
      </c>
    </row>
    <row r="1856" spans="3:3">
      <c r="C1856" t="s">
        <v>3168</v>
      </c>
    </row>
    <row r="1857" spans="3:3">
      <c r="C1857" t="s">
        <v>5040</v>
      </c>
    </row>
    <row r="1858" spans="3:3">
      <c r="C1858" t="s">
        <v>171</v>
      </c>
    </row>
    <row r="1859" spans="3:3">
      <c r="C1859" t="s">
        <v>545</v>
      </c>
    </row>
    <row r="1860" spans="3:3">
      <c r="C1860" t="s">
        <v>5041</v>
      </c>
    </row>
    <row r="1861" spans="3:3">
      <c r="C1861" t="s">
        <v>5042</v>
      </c>
    </row>
    <row r="1862" spans="3:3">
      <c r="C1862" t="s">
        <v>5043</v>
      </c>
    </row>
    <row r="1863" spans="3:3">
      <c r="C1863" t="s">
        <v>5044</v>
      </c>
    </row>
    <row r="1864" spans="3:3">
      <c r="C1864" t="s">
        <v>5045</v>
      </c>
    </row>
    <row r="1865" spans="3:3">
      <c r="C1865" t="s">
        <v>5046</v>
      </c>
    </row>
    <row r="1866" spans="3:3">
      <c r="C1866" t="s">
        <v>5047</v>
      </c>
    </row>
    <row r="1867" spans="3:3">
      <c r="C1867" t="s">
        <v>5048</v>
      </c>
    </row>
    <row r="1868" spans="3:3">
      <c r="C1868" t="s">
        <v>5049</v>
      </c>
    </row>
    <row r="1869" spans="3:3">
      <c r="C1869" t="s">
        <v>5050</v>
      </c>
    </row>
    <row r="1870" spans="3:3">
      <c r="C1870" t="s">
        <v>5051</v>
      </c>
    </row>
    <row r="1871" spans="3:3">
      <c r="C1871" t="s">
        <v>5052</v>
      </c>
    </row>
    <row r="1872" spans="3:3">
      <c r="C1872" t="s">
        <v>5053</v>
      </c>
    </row>
    <row r="1873" spans="3:3">
      <c r="C1873" t="s">
        <v>5054</v>
      </c>
    </row>
    <row r="1874" spans="3:3">
      <c r="C1874" t="s">
        <v>5055</v>
      </c>
    </row>
    <row r="1875" spans="3:3">
      <c r="C1875" t="s">
        <v>5056</v>
      </c>
    </row>
    <row r="1876" spans="3:3">
      <c r="C1876" t="s">
        <v>277</v>
      </c>
    </row>
    <row r="1877" spans="3:3">
      <c r="C1877" t="s">
        <v>380</v>
      </c>
    </row>
    <row r="1878" spans="3:3">
      <c r="C1878" t="s">
        <v>2343</v>
      </c>
    </row>
    <row r="1879" spans="3:3">
      <c r="C1879" t="s">
        <v>5057</v>
      </c>
    </row>
    <row r="1880" spans="3:3">
      <c r="C1880" t="s">
        <v>5058</v>
      </c>
    </row>
    <row r="1881" spans="3:3">
      <c r="C1881" t="s">
        <v>5059</v>
      </c>
    </row>
    <row r="1882" spans="3:3">
      <c r="C1882" t="s">
        <v>5060</v>
      </c>
    </row>
    <row r="1883" spans="3:3">
      <c r="C1883" t="s">
        <v>5061</v>
      </c>
    </row>
    <row r="1884" spans="3:3">
      <c r="C1884" t="s">
        <v>2260</v>
      </c>
    </row>
    <row r="1885" spans="3:3">
      <c r="C1885" t="s">
        <v>5062</v>
      </c>
    </row>
    <row r="1886" spans="3:3">
      <c r="C1886" t="s">
        <v>5063</v>
      </c>
    </row>
    <row r="1887" spans="3:3">
      <c r="C1887" t="s">
        <v>5064</v>
      </c>
    </row>
    <row r="1888" spans="3:3">
      <c r="C1888" t="s">
        <v>657</v>
      </c>
    </row>
    <row r="1889" spans="3:3">
      <c r="C1889" t="s">
        <v>5065</v>
      </c>
    </row>
    <row r="1890" spans="3:3">
      <c r="C1890" t="s">
        <v>1291</v>
      </c>
    </row>
    <row r="1891" spans="3:3">
      <c r="C1891" t="s">
        <v>5066</v>
      </c>
    </row>
    <row r="1892" spans="3:3">
      <c r="C1892" t="s">
        <v>1535</v>
      </c>
    </row>
    <row r="1893" spans="3:3">
      <c r="C1893" t="s">
        <v>5067</v>
      </c>
    </row>
    <row r="1894" spans="3:3">
      <c r="C1894" t="s">
        <v>5068</v>
      </c>
    </row>
    <row r="1895" spans="3:3">
      <c r="C1895" t="s">
        <v>5069</v>
      </c>
    </row>
    <row r="1896" spans="3:3">
      <c r="C1896" t="s">
        <v>3400</v>
      </c>
    </row>
    <row r="1897" spans="3:3">
      <c r="C1897" t="s">
        <v>1520</v>
      </c>
    </row>
    <row r="1898" spans="3:3">
      <c r="C1898" t="s">
        <v>1828</v>
      </c>
    </row>
    <row r="1899" spans="3:3">
      <c r="C1899" t="s">
        <v>5070</v>
      </c>
    </row>
    <row r="1900" spans="3:3">
      <c r="C1900" t="s">
        <v>2010</v>
      </c>
    </row>
    <row r="1901" spans="3:3">
      <c r="C1901" t="s">
        <v>1018</v>
      </c>
    </row>
    <row r="1902" spans="3:3">
      <c r="C1902" t="s">
        <v>5071</v>
      </c>
    </row>
    <row r="1903" spans="3:3">
      <c r="C1903" t="s">
        <v>2753</v>
      </c>
    </row>
    <row r="1904" spans="3:3">
      <c r="C1904" t="s">
        <v>5072</v>
      </c>
    </row>
    <row r="1905" spans="3:3">
      <c r="C1905" t="s">
        <v>5073</v>
      </c>
    </row>
    <row r="1906" spans="3:3">
      <c r="C1906" t="s">
        <v>5074</v>
      </c>
    </row>
    <row r="1907" spans="3:3">
      <c r="C1907" t="s">
        <v>3450</v>
      </c>
    </row>
    <row r="1908" spans="3:3">
      <c r="C1908" t="s">
        <v>5075</v>
      </c>
    </row>
    <row r="1909" spans="3:3">
      <c r="C1909" t="s">
        <v>502</v>
      </c>
    </row>
    <row r="1910" spans="3:3">
      <c r="C1910" t="s">
        <v>613</v>
      </c>
    </row>
    <row r="1911" spans="3:3">
      <c r="C1911" t="s">
        <v>5076</v>
      </c>
    </row>
    <row r="1912" spans="3:3">
      <c r="C1912" t="s">
        <v>5077</v>
      </c>
    </row>
    <row r="1913" spans="3:3">
      <c r="C1913" t="s">
        <v>138</v>
      </c>
    </row>
    <row r="1914" spans="3:3">
      <c r="C1914" t="s">
        <v>5078</v>
      </c>
    </row>
    <row r="1915" spans="3:3">
      <c r="C1915" t="s">
        <v>5079</v>
      </c>
    </row>
    <row r="1916" spans="3:3">
      <c r="C1916" t="s">
        <v>516</v>
      </c>
    </row>
    <row r="1917" spans="3:3">
      <c r="C1917" t="s">
        <v>5080</v>
      </c>
    </row>
    <row r="1918" spans="3:3">
      <c r="C1918" t="s">
        <v>82</v>
      </c>
    </row>
    <row r="1919" spans="3:3">
      <c r="C1919" t="s">
        <v>5081</v>
      </c>
    </row>
    <row r="1920" spans="3:3">
      <c r="C1920" t="s">
        <v>3119</v>
      </c>
    </row>
    <row r="1921" spans="3:3">
      <c r="C1921" t="s">
        <v>5082</v>
      </c>
    </row>
    <row r="1922" spans="3:3">
      <c r="C1922" t="s">
        <v>5083</v>
      </c>
    </row>
    <row r="1923" spans="3:3">
      <c r="C1923" t="s">
        <v>5084</v>
      </c>
    </row>
    <row r="1924" spans="3:3">
      <c r="C1924" t="s">
        <v>5085</v>
      </c>
    </row>
    <row r="1925" spans="3:3">
      <c r="C1925" t="s">
        <v>5086</v>
      </c>
    </row>
    <row r="1926" spans="3:3">
      <c r="C1926" t="s">
        <v>5087</v>
      </c>
    </row>
    <row r="1927" spans="3:3">
      <c r="C1927" t="s">
        <v>5088</v>
      </c>
    </row>
    <row r="1928" spans="3:3">
      <c r="C1928" t="s">
        <v>5089</v>
      </c>
    </row>
    <row r="1929" spans="3:3">
      <c r="C1929" t="s">
        <v>5090</v>
      </c>
    </row>
    <row r="1930" spans="3:3">
      <c r="C1930" t="s">
        <v>1241</v>
      </c>
    </row>
    <row r="1931" spans="3:3">
      <c r="C1931" t="s">
        <v>5091</v>
      </c>
    </row>
    <row r="1932" spans="3:3">
      <c r="C1932" t="s">
        <v>5092</v>
      </c>
    </row>
    <row r="1933" spans="3:3">
      <c r="C1933" t="s">
        <v>5093</v>
      </c>
    </row>
    <row r="1934" spans="3:3">
      <c r="C1934" t="s">
        <v>5094</v>
      </c>
    </row>
    <row r="1935" spans="3:3">
      <c r="C1935" t="s">
        <v>327</v>
      </c>
    </row>
    <row r="1936" spans="3:3">
      <c r="C1936" t="s">
        <v>5095</v>
      </c>
    </row>
    <row r="1937" spans="3:3">
      <c r="C1937" t="s">
        <v>5096</v>
      </c>
    </row>
    <row r="1938" spans="3:3">
      <c r="C1938" t="s">
        <v>5097</v>
      </c>
    </row>
    <row r="1939" spans="3:3">
      <c r="C1939" t="s">
        <v>5098</v>
      </c>
    </row>
    <row r="1940" spans="3:3">
      <c r="C1940" t="s">
        <v>5099</v>
      </c>
    </row>
    <row r="1941" spans="3:3">
      <c r="C1941" t="s">
        <v>573</v>
      </c>
    </row>
    <row r="1942" spans="3:3">
      <c r="C1942" t="s">
        <v>8</v>
      </c>
    </row>
    <row r="1943" spans="3:3">
      <c r="C1943" t="s">
        <v>5100</v>
      </c>
    </row>
    <row r="1944" spans="3:3">
      <c r="C1944" t="s">
        <v>5101</v>
      </c>
    </row>
    <row r="1945" spans="3:3">
      <c r="C1945" t="s">
        <v>5102</v>
      </c>
    </row>
    <row r="1946" spans="3:3">
      <c r="C1946" t="s">
        <v>5103</v>
      </c>
    </row>
    <row r="1947" spans="3:3">
      <c r="C1947" t="s">
        <v>5104</v>
      </c>
    </row>
    <row r="1948" spans="3:3">
      <c r="C1948" t="s">
        <v>5105</v>
      </c>
    </row>
    <row r="1949" spans="3:3">
      <c r="C1949" t="s">
        <v>5106</v>
      </c>
    </row>
    <row r="1950" spans="3:3">
      <c r="C1950" t="s">
        <v>5107</v>
      </c>
    </row>
    <row r="1951" spans="3:3">
      <c r="C1951" t="s">
        <v>5108</v>
      </c>
    </row>
    <row r="1952" spans="3:3">
      <c r="C1952" t="s">
        <v>5109</v>
      </c>
    </row>
    <row r="1953" spans="3:3">
      <c r="C1953" t="s">
        <v>5110</v>
      </c>
    </row>
    <row r="1954" spans="3:3">
      <c r="C1954" t="s">
        <v>5111</v>
      </c>
    </row>
    <row r="1955" spans="3:3">
      <c r="C1955" t="s">
        <v>5112</v>
      </c>
    </row>
    <row r="1956" spans="3:3">
      <c r="C1956" t="s">
        <v>2895</v>
      </c>
    </row>
    <row r="1957" spans="3:3">
      <c r="C1957" t="s">
        <v>5113</v>
      </c>
    </row>
    <row r="1958" spans="3:3">
      <c r="C1958" t="s">
        <v>5114</v>
      </c>
    </row>
    <row r="1959" spans="3:3">
      <c r="C1959" t="s">
        <v>5115</v>
      </c>
    </row>
    <row r="1960" spans="3:3">
      <c r="C1960" t="s">
        <v>5116</v>
      </c>
    </row>
    <row r="1961" spans="3:3">
      <c r="C1961" t="s">
        <v>5117</v>
      </c>
    </row>
    <row r="1962" spans="3:3">
      <c r="C1962" t="s">
        <v>5118</v>
      </c>
    </row>
    <row r="1963" spans="3:3">
      <c r="C1963" t="s">
        <v>5119</v>
      </c>
    </row>
    <row r="1964" spans="3:3">
      <c r="C1964" t="s">
        <v>5120</v>
      </c>
    </row>
    <row r="1965" spans="3:3">
      <c r="C1965" t="s">
        <v>5121</v>
      </c>
    </row>
    <row r="1966" spans="3:3">
      <c r="C1966" t="s">
        <v>5122</v>
      </c>
    </row>
    <row r="1967" spans="3:3">
      <c r="C1967" t="s">
        <v>5123</v>
      </c>
    </row>
    <row r="1968" spans="3:3">
      <c r="C1968" t="s">
        <v>5124</v>
      </c>
    </row>
    <row r="1969" spans="3:3">
      <c r="C1969" t="s">
        <v>5125</v>
      </c>
    </row>
    <row r="1970" spans="3:3">
      <c r="C1970" t="s">
        <v>5126</v>
      </c>
    </row>
    <row r="1971" spans="3:3">
      <c r="C1971" t="s">
        <v>5127</v>
      </c>
    </row>
    <row r="1972" spans="3:3">
      <c r="C1972" t="s">
        <v>5128</v>
      </c>
    </row>
    <row r="1973" spans="3:3">
      <c r="C1973" t="s">
        <v>5129</v>
      </c>
    </row>
    <row r="1974" spans="3:3">
      <c r="C1974" t="s">
        <v>5130</v>
      </c>
    </row>
    <row r="1975" spans="3:3">
      <c r="C1975" t="s">
        <v>5131</v>
      </c>
    </row>
    <row r="1976" spans="3:3">
      <c r="C1976" t="s">
        <v>5132</v>
      </c>
    </row>
    <row r="1977" spans="3:3">
      <c r="C1977" t="s">
        <v>5133</v>
      </c>
    </row>
    <row r="1978" spans="3:3">
      <c r="C1978" t="s">
        <v>5134</v>
      </c>
    </row>
    <row r="1979" spans="3:3">
      <c r="C1979" t="s">
        <v>5135</v>
      </c>
    </row>
    <row r="1980" spans="3:3">
      <c r="C1980" t="s">
        <v>2167</v>
      </c>
    </row>
    <row r="1981" spans="3:3">
      <c r="C1981" t="s">
        <v>5136</v>
      </c>
    </row>
    <row r="1982" spans="3:3">
      <c r="C1982" t="s">
        <v>5137</v>
      </c>
    </row>
    <row r="1983" spans="3:3">
      <c r="C1983" t="s">
        <v>2057</v>
      </c>
    </row>
    <row r="1984" spans="3:3">
      <c r="C1984" t="s">
        <v>5138</v>
      </c>
    </row>
    <row r="1985" spans="3:3">
      <c r="C1985" t="s">
        <v>2056</v>
      </c>
    </row>
    <row r="1986" spans="3:3">
      <c r="C1986" t="s">
        <v>5139</v>
      </c>
    </row>
    <row r="1987" spans="3:3">
      <c r="C1987" t="s">
        <v>5140</v>
      </c>
    </row>
    <row r="1988" spans="3:3">
      <c r="C1988" t="s">
        <v>5141</v>
      </c>
    </row>
    <row r="1989" spans="3:3">
      <c r="C1989" t="s">
        <v>5142</v>
      </c>
    </row>
    <row r="1990" spans="3:3">
      <c r="C1990" t="s">
        <v>256</v>
      </c>
    </row>
    <row r="1991" spans="3:3">
      <c r="C1991" t="s">
        <v>5143</v>
      </c>
    </row>
    <row r="1992" spans="3:3">
      <c r="C1992" t="s">
        <v>3185</v>
      </c>
    </row>
    <row r="1993" spans="3:3">
      <c r="C1993" t="s">
        <v>5144</v>
      </c>
    </row>
    <row r="1994" spans="3:3">
      <c r="C1994" t="s">
        <v>5145</v>
      </c>
    </row>
    <row r="1995" spans="3:3">
      <c r="C1995" t="s">
        <v>5146</v>
      </c>
    </row>
    <row r="1996" spans="3:3">
      <c r="C1996" t="s">
        <v>5147</v>
      </c>
    </row>
    <row r="1997" spans="3:3">
      <c r="C1997" t="s">
        <v>5148</v>
      </c>
    </row>
    <row r="1998" spans="3:3">
      <c r="C1998" t="s">
        <v>5149</v>
      </c>
    </row>
    <row r="1999" spans="3:3">
      <c r="C1999" t="s">
        <v>5150</v>
      </c>
    </row>
    <row r="2000" spans="3:3">
      <c r="C2000" t="s">
        <v>5151</v>
      </c>
    </row>
    <row r="2001" spans="3:3">
      <c r="C2001" t="s">
        <v>5152</v>
      </c>
    </row>
    <row r="2002" spans="3:3">
      <c r="C2002" t="s">
        <v>5153</v>
      </c>
    </row>
    <row r="2003" spans="3:3">
      <c r="C2003" t="s">
        <v>5154</v>
      </c>
    </row>
    <row r="2004" spans="3:3">
      <c r="C2004" t="s">
        <v>5155</v>
      </c>
    </row>
    <row r="2005" spans="3:3">
      <c r="C2005" t="s">
        <v>5156</v>
      </c>
    </row>
    <row r="2006" spans="3:3">
      <c r="C2006" t="s">
        <v>5157</v>
      </c>
    </row>
    <row r="2007" spans="3:3">
      <c r="C2007" t="s">
        <v>5158</v>
      </c>
    </row>
    <row r="2008" spans="3:3">
      <c r="C2008" t="s">
        <v>5159</v>
      </c>
    </row>
    <row r="2009" spans="3:3">
      <c r="C2009" t="s">
        <v>5160</v>
      </c>
    </row>
    <row r="2010" spans="3:3">
      <c r="C2010" t="s">
        <v>5161</v>
      </c>
    </row>
    <row r="2011" spans="3:3">
      <c r="C2011" t="s">
        <v>5162</v>
      </c>
    </row>
    <row r="2012" spans="3:3">
      <c r="C2012" t="s">
        <v>5163</v>
      </c>
    </row>
    <row r="2013" spans="3:3">
      <c r="C2013" t="s">
        <v>5164</v>
      </c>
    </row>
    <row r="2014" spans="3:3">
      <c r="C2014" t="s">
        <v>5165</v>
      </c>
    </row>
    <row r="2015" spans="3:3">
      <c r="C2015" t="s">
        <v>5166</v>
      </c>
    </row>
    <row r="2016" spans="3:3">
      <c r="C2016" t="s">
        <v>2757</v>
      </c>
    </row>
    <row r="2017" spans="3:3">
      <c r="C2017" t="s">
        <v>5167</v>
      </c>
    </row>
    <row r="2018" spans="3:3">
      <c r="C2018" t="s">
        <v>5168</v>
      </c>
    </row>
    <row r="2019" spans="3:3">
      <c r="C2019" t="s">
        <v>5169</v>
      </c>
    </row>
    <row r="2020" spans="3:3">
      <c r="C2020" t="s">
        <v>2125</v>
      </c>
    </row>
    <row r="2021" spans="3:3">
      <c r="C2021" t="s">
        <v>5170</v>
      </c>
    </row>
    <row r="2022" spans="3:3">
      <c r="C2022" t="s">
        <v>5171</v>
      </c>
    </row>
    <row r="2023" spans="3:3">
      <c r="C2023" t="s">
        <v>5172</v>
      </c>
    </row>
    <row r="2024" spans="3:3">
      <c r="C2024" t="s">
        <v>5173</v>
      </c>
    </row>
    <row r="2025" spans="3:3">
      <c r="C2025" t="s">
        <v>205</v>
      </c>
    </row>
    <row r="2026" spans="3:3">
      <c r="C2026" t="s">
        <v>5174</v>
      </c>
    </row>
    <row r="2027" spans="3:3">
      <c r="C2027" t="s">
        <v>3256</v>
      </c>
    </row>
    <row r="2028" spans="3:3">
      <c r="C2028" t="s">
        <v>5175</v>
      </c>
    </row>
    <row r="2029" spans="3:3">
      <c r="C2029" t="s">
        <v>1262</v>
      </c>
    </row>
    <row r="2030" spans="3:3">
      <c r="C2030" t="s">
        <v>5176</v>
      </c>
    </row>
    <row r="2031" spans="3:3">
      <c r="C2031" t="s">
        <v>1857</v>
      </c>
    </row>
    <row r="2032" spans="3:3">
      <c r="C2032" t="s">
        <v>2912</v>
      </c>
    </row>
    <row r="2033" spans="3:3">
      <c r="C2033" t="s">
        <v>5177</v>
      </c>
    </row>
    <row r="2034" spans="3:3">
      <c r="C2034" t="s">
        <v>5178</v>
      </c>
    </row>
    <row r="2035" spans="3:3">
      <c r="C2035" t="s">
        <v>5179</v>
      </c>
    </row>
    <row r="2036" spans="3:3">
      <c r="C2036" t="s">
        <v>2196</v>
      </c>
    </row>
    <row r="2037" spans="3:3">
      <c r="C2037" t="s">
        <v>1225</v>
      </c>
    </row>
    <row r="2038" spans="3:3">
      <c r="C2038" t="s">
        <v>5180</v>
      </c>
    </row>
    <row r="2039" spans="3:3">
      <c r="C2039" t="s">
        <v>5181</v>
      </c>
    </row>
    <row r="2040" spans="3:3">
      <c r="C2040" t="s">
        <v>5182</v>
      </c>
    </row>
    <row r="2041" spans="3:3">
      <c r="C2041" t="s">
        <v>5183</v>
      </c>
    </row>
    <row r="2042" spans="3:3">
      <c r="C2042" t="s">
        <v>5184</v>
      </c>
    </row>
    <row r="2043" spans="3:3">
      <c r="C2043" t="s">
        <v>5185</v>
      </c>
    </row>
    <row r="2044" spans="3:3">
      <c r="C2044" t="s">
        <v>5186</v>
      </c>
    </row>
    <row r="2045" spans="3:3">
      <c r="C2045" t="s">
        <v>5187</v>
      </c>
    </row>
    <row r="2046" spans="3:3">
      <c r="C2046" t="s">
        <v>210</v>
      </c>
    </row>
    <row r="2047" spans="3:3">
      <c r="C2047" t="s">
        <v>5188</v>
      </c>
    </row>
    <row r="2048" spans="3:3">
      <c r="C2048" t="s">
        <v>5189</v>
      </c>
    </row>
    <row r="2049" spans="3:3">
      <c r="C2049" t="s">
        <v>5190</v>
      </c>
    </row>
    <row r="2050" spans="3:3">
      <c r="C2050" t="s">
        <v>2515</v>
      </c>
    </row>
    <row r="2051" spans="3:3">
      <c r="C2051" t="s">
        <v>5191</v>
      </c>
    </row>
    <row r="2052" spans="3:3">
      <c r="C2052" t="s">
        <v>5192</v>
      </c>
    </row>
    <row r="2053" spans="3:3">
      <c r="C2053" t="s">
        <v>5193</v>
      </c>
    </row>
    <row r="2054" spans="3:3">
      <c r="C2054" t="s">
        <v>1546</v>
      </c>
    </row>
    <row r="2055" spans="3:3">
      <c r="C2055" t="s">
        <v>5194</v>
      </c>
    </row>
    <row r="2056" spans="3:3">
      <c r="C2056" t="s">
        <v>2773</v>
      </c>
    </row>
    <row r="2057" spans="3:3">
      <c r="C2057" t="s">
        <v>5195</v>
      </c>
    </row>
    <row r="2058" spans="3:3">
      <c r="C2058" t="s">
        <v>5196</v>
      </c>
    </row>
    <row r="2059" spans="3:3">
      <c r="C2059" t="s">
        <v>5197</v>
      </c>
    </row>
    <row r="2060" spans="3:3">
      <c r="C2060" t="s">
        <v>5198</v>
      </c>
    </row>
    <row r="2061" spans="3:3">
      <c r="C2061" t="s">
        <v>5199</v>
      </c>
    </row>
    <row r="2062" spans="3:3">
      <c r="C2062" t="s">
        <v>5200</v>
      </c>
    </row>
    <row r="2063" spans="3:3">
      <c r="C2063" t="s">
        <v>5201</v>
      </c>
    </row>
    <row r="2064" spans="3:3">
      <c r="C2064" t="s">
        <v>5202</v>
      </c>
    </row>
    <row r="2065" spans="3:3">
      <c r="C2065" t="s">
        <v>5203</v>
      </c>
    </row>
    <row r="2066" spans="3:3">
      <c r="C2066" t="s">
        <v>5204</v>
      </c>
    </row>
    <row r="2067" spans="3:3">
      <c r="C2067" t="s">
        <v>5205</v>
      </c>
    </row>
    <row r="2068" spans="3:3">
      <c r="C2068" t="s">
        <v>5206</v>
      </c>
    </row>
    <row r="2069" spans="3:3">
      <c r="C2069" t="s">
        <v>5207</v>
      </c>
    </row>
    <row r="2070" spans="3:3">
      <c r="C2070" t="s">
        <v>5208</v>
      </c>
    </row>
    <row r="2071" spans="3:3">
      <c r="C2071" t="s">
        <v>5209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5" sqref="E15"/>
    </sheetView>
  </sheetViews>
  <sheetFormatPr defaultRowHeight="15.75"/>
  <cols>
    <col min="1" max="1" width="27.25" customWidth="1"/>
    <col min="2" max="2" width="18" bestFit="1" customWidth="1"/>
    <col min="3" max="3" width="6.625" bestFit="1" customWidth="1"/>
    <col min="4" max="4" width="10.125" bestFit="1" customWidth="1"/>
    <col min="5" max="5" width="17.25" bestFit="1" customWidth="1"/>
    <col min="6" max="6" width="20.5" bestFit="1" customWidth="1"/>
    <col min="7" max="7" width="20.625" bestFit="1" customWidth="1"/>
    <col min="8" max="8" width="18" bestFit="1" customWidth="1"/>
    <col min="9" max="9" width="26.625" bestFit="1" customWidth="1"/>
    <col min="10" max="10" width="19.875" bestFit="1" customWidth="1"/>
    <col min="11" max="12" width="18.625" bestFit="1" customWidth="1"/>
  </cols>
  <sheetData>
    <row r="1" spans="1:12">
      <c r="A1" t="s">
        <v>3486</v>
      </c>
      <c r="B1" t="s">
        <v>3487</v>
      </c>
      <c r="C1" t="s">
        <v>3488</v>
      </c>
      <c r="D1" t="s">
        <v>964</v>
      </c>
      <c r="E1" t="s">
        <v>3489</v>
      </c>
      <c r="F1" t="s">
        <v>3490</v>
      </c>
      <c r="G1" t="s">
        <v>3491</v>
      </c>
      <c r="H1" t="s">
        <v>3492</v>
      </c>
      <c r="I1" t="s">
        <v>3493</v>
      </c>
      <c r="J1" t="s">
        <v>3494</v>
      </c>
      <c r="K1" t="s">
        <v>3495</v>
      </c>
      <c r="L1" t="s">
        <v>3496</v>
      </c>
    </row>
    <row r="2" spans="1:12">
      <c r="A2" t="s">
        <v>3497</v>
      </c>
      <c r="B2" t="s">
        <v>3498</v>
      </c>
      <c r="C2">
        <v>2020</v>
      </c>
      <c r="D2" t="s">
        <v>3499</v>
      </c>
      <c r="E2" t="s">
        <v>3500</v>
      </c>
      <c r="F2">
        <v>80</v>
      </c>
      <c r="G2" t="s">
        <v>3500</v>
      </c>
      <c r="H2">
        <v>2</v>
      </c>
      <c r="I2">
        <v>0</v>
      </c>
      <c r="J2">
        <v>0</v>
      </c>
      <c r="K2">
        <v>0</v>
      </c>
      <c r="L2">
        <v>0</v>
      </c>
    </row>
    <row r="3" spans="1:12">
      <c r="A3" t="s">
        <v>3501</v>
      </c>
      <c r="B3" t="s">
        <v>3498</v>
      </c>
      <c r="C3">
        <v>2020</v>
      </c>
      <c r="D3" t="s">
        <v>3502</v>
      </c>
      <c r="E3" t="s">
        <v>3503</v>
      </c>
      <c r="F3">
        <v>0</v>
      </c>
      <c r="G3" t="s">
        <v>3503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2154</v>
      </c>
      <c r="B4" t="s">
        <v>3498</v>
      </c>
      <c r="C4">
        <v>2020</v>
      </c>
      <c r="D4" t="s">
        <v>3504</v>
      </c>
      <c r="E4" t="s">
        <v>865</v>
      </c>
      <c r="F4">
        <v>120</v>
      </c>
      <c r="G4" t="s">
        <v>865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>
      <c r="A5" t="s">
        <v>3505</v>
      </c>
      <c r="B5" t="s">
        <v>3498</v>
      </c>
      <c r="C5">
        <v>2020</v>
      </c>
      <c r="D5" t="s">
        <v>3504</v>
      </c>
      <c r="E5" t="s">
        <v>3506</v>
      </c>
      <c r="F5">
        <v>8</v>
      </c>
      <c r="G5" t="s">
        <v>3506</v>
      </c>
      <c r="H5">
        <v>1</v>
      </c>
      <c r="I5">
        <v>0</v>
      </c>
      <c r="J5">
        <v>0</v>
      </c>
      <c r="K5">
        <v>0</v>
      </c>
      <c r="L5">
        <v>0</v>
      </c>
    </row>
    <row r="6" spans="1:12">
      <c r="A6" t="s">
        <v>3507</v>
      </c>
      <c r="B6" t="s">
        <v>3498</v>
      </c>
      <c r="C6">
        <v>2020</v>
      </c>
      <c r="D6" t="s">
        <v>3499</v>
      </c>
      <c r="E6" t="s">
        <v>3508</v>
      </c>
      <c r="F6">
        <v>109</v>
      </c>
      <c r="G6" t="s">
        <v>3508</v>
      </c>
      <c r="H6">
        <v>6</v>
      </c>
      <c r="I6">
        <v>0</v>
      </c>
      <c r="J6">
        <v>0</v>
      </c>
      <c r="K6">
        <v>0</v>
      </c>
      <c r="L6">
        <v>0</v>
      </c>
    </row>
    <row r="7" spans="1:12">
      <c r="A7" t="s">
        <v>3509</v>
      </c>
      <c r="B7" t="s">
        <v>3498</v>
      </c>
      <c r="C7">
        <v>2020</v>
      </c>
      <c r="D7" t="s">
        <v>3502</v>
      </c>
      <c r="E7" t="s">
        <v>3510</v>
      </c>
      <c r="F7">
        <v>90</v>
      </c>
      <c r="G7" t="s">
        <v>3510</v>
      </c>
      <c r="H7">
        <v>1</v>
      </c>
      <c r="I7">
        <v>0</v>
      </c>
      <c r="J7">
        <v>0</v>
      </c>
      <c r="K7">
        <v>0</v>
      </c>
      <c r="L7">
        <v>0</v>
      </c>
    </row>
    <row r="8" spans="1:12">
      <c r="A8" t="s">
        <v>3511</v>
      </c>
      <c r="B8" t="s">
        <v>3498</v>
      </c>
      <c r="C8">
        <v>2020</v>
      </c>
      <c r="D8" t="s">
        <v>3504</v>
      </c>
      <c r="E8" t="s">
        <v>862</v>
      </c>
      <c r="F8">
        <v>27</v>
      </c>
      <c r="G8" t="s">
        <v>862</v>
      </c>
      <c r="H8">
        <v>2</v>
      </c>
      <c r="I8">
        <v>0</v>
      </c>
      <c r="J8">
        <v>0</v>
      </c>
      <c r="K8">
        <v>0</v>
      </c>
      <c r="L8">
        <v>0</v>
      </c>
    </row>
    <row r="9" spans="1:12">
      <c r="A9" t="s">
        <v>3512</v>
      </c>
      <c r="B9" t="s">
        <v>3498</v>
      </c>
      <c r="C9">
        <v>2020</v>
      </c>
      <c r="D9" t="s">
        <v>3504</v>
      </c>
      <c r="E9" t="s">
        <v>862</v>
      </c>
      <c r="F9">
        <v>3</v>
      </c>
      <c r="G9" t="s">
        <v>862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>
      <c r="A10" t="s">
        <v>3513</v>
      </c>
      <c r="B10" t="s">
        <v>3498</v>
      </c>
      <c r="C10">
        <v>2020</v>
      </c>
      <c r="D10" t="s">
        <v>3502</v>
      </c>
      <c r="E10" t="s">
        <v>3508</v>
      </c>
      <c r="F10">
        <v>360</v>
      </c>
      <c r="G10" t="s">
        <v>3508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>
      <c r="A11" t="s">
        <v>3112</v>
      </c>
      <c r="B11" t="s">
        <v>3498</v>
      </c>
      <c r="C11">
        <v>2020</v>
      </c>
      <c r="D11" t="s">
        <v>3485</v>
      </c>
      <c r="E11" t="s">
        <v>865</v>
      </c>
      <c r="F11">
        <v>0</v>
      </c>
      <c r="G11" t="s">
        <v>865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3514</v>
      </c>
      <c r="B12" t="s">
        <v>3498</v>
      </c>
      <c r="C12">
        <v>2020</v>
      </c>
      <c r="D12" t="s">
        <v>3504</v>
      </c>
      <c r="E12" t="s">
        <v>3515</v>
      </c>
      <c r="F12">
        <v>0</v>
      </c>
      <c r="G12" t="s">
        <v>3515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3516</v>
      </c>
      <c r="B13" t="s">
        <v>3498</v>
      </c>
      <c r="C13">
        <v>2020</v>
      </c>
      <c r="D13" t="s">
        <v>3485</v>
      </c>
      <c r="E13" t="s">
        <v>896</v>
      </c>
      <c r="F13">
        <v>0</v>
      </c>
      <c r="G13" t="s">
        <v>896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3517</v>
      </c>
      <c r="B14" t="s">
        <v>3498</v>
      </c>
      <c r="C14">
        <v>2020</v>
      </c>
      <c r="D14" t="s">
        <v>3485</v>
      </c>
      <c r="E14" t="s">
        <v>897</v>
      </c>
      <c r="F14">
        <v>0</v>
      </c>
      <c r="G14" t="s">
        <v>897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3518</v>
      </c>
      <c r="B15" t="s">
        <v>3498</v>
      </c>
      <c r="C15">
        <v>2020</v>
      </c>
      <c r="D15" t="s">
        <v>3502</v>
      </c>
      <c r="E15" t="s">
        <v>897</v>
      </c>
      <c r="F15">
        <v>305</v>
      </c>
      <c r="G15" t="s">
        <v>897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>
      <c r="A16" t="s">
        <v>3519</v>
      </c>
      <c r="B16" t="s">
        <v>3498</v>
      </c>
      <c r="C16">
        <v>2020</v>
      </c>
      <c r="D16" t="s">
        <v>3502</v>
      </c>
      <c r="E16" t="s">
        <v>3520</v>
      </c>
      <c r="F16">
        <v>600</v>
      </c>
      <c r="G16" t="s">
        <v>3520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>
      <c r="A17" t="s">
        <v>3521</v>
      </c>
      <c r="B17" t="s">
        <v>3498</v>
      </c>
      <c r="C17">
        <v>2020</v>
      </c>
      <c r="D17" t="s">
        <v>3504</v>
      </c>
      <c r="E17" t="s">
        <v>897</v>
      </c>
      <c r="F17">
        <v>651</v>
      </c>
      <c r="G17" t="s">
        <v>897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>
      <c r="A18" t="s">
        <v>3522</v>
      </c>
      <c r="B18" t="s">
        <v>3498</v>
      </c>
      <c r="C18">
        <v>2020</v>
      </c>
      <c r="D18" t="s">
        <v>3499</v>
      </c>
      <c r="E18" t="s">
        <v>3523</v>
      </c>
      <c r="F18">
        <v>26</v>
      </c>
      <c r="G18" t="s">
        <v>3523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>
      <c r="A19" t="s">
        <v>3524</v>
      </c>
      <c r="B19" t="s">
        <v>3498</v>
      </c>
      <c r="C19">
        <v>2020</v>
      </c>
      <c r="D19" t="s">
        <v>3499</v>
      </c>
      <c r="E19" t="s">
        <v>897</v>
      </c>
      <c r="F19">
        <v>863</v>
      </c>
      <c r="G19" t="s">
        <v>897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>
      <c r="A20" t="s">
        <v>3525</v>
      </c>
      <c r="B20" t="s">
        <v>3498</v>
      </c>
      <c r="C20">
        <v>2020</v>
      </c>
      <c r="D20" t="s">
        <v>3499</v>
      </c>
      <c r="E20" t="s">
        <v>3526</v>
      </c>
      <c r="F20">
        <v>509</v>
      </c>
      <c r="G20" t="s">
        <v>3526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>
      <c r="A21" t="s">
        <v>2215</v>
      </c>
      <c r="B21" t="s">
        <v>3498</v>
      </c>
      <c r="C21">
        <v>2020</v>
      </c>
      <c r="D21" t="s">
        <v>3499</v>
      </c>
      <c r="E21" t="s">
        <v>866</v>
      </c>
      <c r="F21">
        <v>220</v>
      </c>
      <c r="G21" t="s">
        <v>866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>
      <c r="A22" t="s">
        <v>3527</v>
      </c>
      <c r="B22" t="s">
        <v>3498</v>
      </c>
      <c r="C22">
        <v>2020</v>
      </c>
      <c r="D22" t="s">
        <v>3504</v>
      </c>
      <c r="E22" t="s">
        <v>871</v>
      </c>
      <c r="F22">
        <v>89</v>
      </c>
      <c r="G22" t="s">
        <v>871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>
      <c r="A23" t="s">
        <v>3528</v>
      </c>
      <c r="B23" t="s">
        <v>3498</v>
      </c>
      <c r="C23">
        <v>2020</v>
      </c>
      <c r="D23" t="s">
        <v>3502</v>
      </c>
      <c r="E23" t="s">
        <v>3529</v>
      </c>
      <c r="F23">
        <v>270</v>
      </c>
      <c r="G23" t="s">
        <v>3530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>
      <c r="A24" t="s">
        <v>3531</v>
      </c>
      <c r="B24" t="s">
        <v>3498</v>
      </c>
      <c r="C24">
        <v>2020</v>
      </c>
      <c r="D24" t="s">
        <v>3499</v>
      </c>
      <c r="E24" t="s">
        <v>3532</v>
      </c>
      <c r="F24">
        <v>294</v>
      </c>
      <c r="G24" t="s">
        <v>3532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>
      <c r="A25" t="s">
        <v>3533</v>
      </c>
      <c r="B25" t="s">
        <v>3498</v>
      </c>
      <c r="C25">
        <v>2020</v>
      </c>
      <c r="D25" t="s">
        <v>3502</v>
      </c>
      <c r="E25" t="s">
        <v>3506</v>
      </c>
      <c r="F25">
        <v>0</v>
      </c>
      <c r="G25" t="s">
        <v>3506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3534</v>
      </c>
      <c r="B26" t="s">
        <v>3498</v>
      </c>
      <c r="C26">
        <v>2020</v>
      </c>
      <c r="D26" t="s">
        <v>3504</v>
      </c>
      <c r="E26" t="s">
        <v>3535</v>
      </c>
      <c r="F26">
        <v>0</v>
      </c>
      <c r="G26" t="s">
        <v>3535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3536</v>
      </c>
      <c r="B27" t="s">
        <v>3498</v>
      </c>
      <c r="C27">
        <v>2020</v>
      </c>
      <c r="D27" t="s">
        <v>3502</v>
      </c>
      <c r="E27" t="s">
        <v>3537</v>
      </c>
      <c r="F27">
        <v>412</v>
      </c>
      <c r="G27" t="s">
        <v>897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>
      <c r="A28" t="s">
        <v>3538</v>
      </c>
      <c r="B28" t="s">
        <v>3498</v>
      </c>
      <c r="C28">
        <v>2020</v>
      </c>
      <c r="D28" t="s">
        <v>3499</v>
      </c>
      <c r="E28" t="s">
        <v>3510</v>
      </c>
      <c r="F28">
        <v>207</v>
      </c>
      <c r="G28" t="s">
        <v>3510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>
      <c r="A29" t="s">
        <v>3539</v>
      </c>
      <c r="B29" t="s">
        <v>3498</v>
      </c>
      <c r="C29">
        <v>2020</v>
      </c>
      <c r="D29" t="s">
        <v>3499</v>
      </c>
      <c r="E29" t="s">
        <v>862</v>
      </c>
      <c r="F29">
        <v>85</v>
      </c>
      <c r="G29" t="s">
        <v>892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>
      <c r="A30" t="s">
        <v>3540</v>
      </c>
      <c r="B30" t="s">
        <v>3498</v>
      </c>
      <c r="C30">
        <v>2020</v>
      </c>
      <c r="D30" t="s">
        <v>3499</v>
      </c>
      <c r="E30" t="s">
        <v>3500</v>
      </c>
      <c r="F30">
        <v>16</v>
      </c>
      <c r="G30" t="s">
        <v>3500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>
      <c r="A31" t="s">
        <v>3541</v>
      </c>
      <c r="B31" t="s">
        <v>3498</v>
      </c>
      <c r="C31">
        <v>2020</v>
      </c>
      <c r="D31" t="s">
        <v>3502</v>
      </c>
      <c r="E31" t="s">
        <v>3523</v>
      </c>
      <c r="F31">
        <v>173</v>
      </c>
      <c r="G31" t="s">
        <v>3523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>
      <c r="A32" t="s">
        <v>3542</v>
      </c>
      <c r="B32" t="s">
        <v>3498</v>
      </c>
      <c r="C32">
        <v>2020</v>
      </c>
      <c r="D32" t="s">
        <v>3504</v>
      </c>
      <c r="E32" t="s">
        <v>3500</v>
      </c>
      <c r="F32">
        <v>227</v>
      </c>
      <c r="G32" t="s">
        <v>3500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>
      <c r="A33" t="s">
        <v>3543</v>
      </c>
      <c r="B33" t="s">
        <v>3498</v>
      </c>
      <c r="C33">
        <v>2020</v>
      </c>
      <c r="D33" t="s">
        <v>3504</v>
      </c>
      <c r="E33" t="s">
        <v>3500</v>
      </c>
      <c r="F33">
        <v>56</v>
      </c>
      <c r="G33" t="s">
        <v>3500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>
      <c r="A34" t="s">
        <v>3544</v>
      </c>
      <c r="B34" t="s">
        <v>3498</v>
      </c>
      <c r="C34">
        <v>2020</v>
      </c>
      <c r="D34" t="s">
        <v>3499</v>
      </c>
      <c r="E34" t="s">
        <v>891</v>
      </c>
      <c r="F34">
        <v>0</v>
      </c>
      <c r="G34" t="s">
        <v>891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3545</v>
      </c>
      <c r="B35" t="s">
        <v>3498</v>
      </c>
      <c r="C35">
        <v>2020</v>
      </c>
      <c r="D35" t="s">
        <v>3485</v>
      </c>
      <c r="E35" t="s">
        <v>3546</v>
      </c>
      <c r="F35">
        <v>0</v>
      </c>
      <c r="G35" t="s">
        <v>3546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3547</v>
      </c>
      <c r="B36" t="s">
        <v>3498</v>
      </c>
      <c r="C36">
        <v>2020</v>
      </c>
      <c r="D36" t="s">
        <v>3502</v>
      </c>
      <c r="E36" t="s">
        <v>3506</v>
      </c>
      <c r="F36">
        <v>0</v>
      </c>
      <c r="G36" t="s">
        <v>3506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3548</v>
      </c>
      <c r="B37" t="s">
        <v>3498</v>
      </c>
      <c r="C37">
        <v>2020</v>
      </c>
      <c r="D37" t="s">
        <v>3504</v>
      </c>
      <c r="E37" t="s">
        <v>3549</v>
      </c>
      <c r="F37">
        <v>79</v>
      </c>
      <c r="G37" t="s">
        <v>3549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>
      <c r="A38" t="s">
        <v>3550</v>
      </c>
      <c r="B38" t="s">
        <v>3498</v>
      </c>
      <c r="C38">
        <v>2020</v>
      </c>
      <c r="D38" t="s">
        <v>3504</v>
      </c>
      <c r="E38" t="s">
        <v>896</v>
      </c>
      <c r="F38">
        <v>763</v>
      </c>
      <c r="G38" t="s">
        <v>896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>
      <c r="A39" t="s">
        <v>3551</v>
      </c>
      <c r="B39" t="s">
        <v>3498</v>
      </c>
      <c r="C39">
        <v>2020</v>
      </c>
      <c r="D39" t="s">
        <v>3502</v>
      </c>
      <c r="E39" t="s">
        <v>878</v>
      </c>
      <c r="F39">
        <v>0</v>
      </c>
      <c r="G39" t="s">
        <v>878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3552</v>
      </c>
      <c r="B40" t="s">
        <v>3498</v>
      </c>
      <c r="C40">
        <v>2020</v>
      </c>
      <c r="D40" t="s">
        <v>3499</v>
      </c>
      <c r="E40" t="s">
        <v>866</v>
      </c>
      <c r="F40">
        <v>265</v>
      </c>
      <c r="G40" t="s">
        <v>866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>
      <c r="A41" t="s">
        <v>3156</v>
      </c>
      <c r="B41" t="s">
        <v>3498</v>
      </c>
      <c r="C41">
        <v>2020</v>
      </c>
      <c r="D41" t="s">
        <v>3504</v>
      </c>
      <c r="E41" t="s">
        <v>886</v>
      </c>
      <c r="F41">
        <v>613</v>
      </c>
      <c r="G41" t="s">
        <v>886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>
      <c r="A42" t="s">
        <v>3553</v>
      </c>
      <c r="B42" t="s">
        <v>3498</v>
      </c>
      <c r="C42">
        <v>2020</v>
      </c>
      <c r="D42" t="s">
        <v>3502</v>
      </c>
      <c r="E42" t="s">
        <v>870</v>
      </c>
      <c r="F42">
        <v>300</v>
      </c>
      <c r="G42" t="s">
        <v>870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>
      <c r="A43" t="s">
        <v>3554</v>
      </c>
      <c r="B43" t="s">
        <v>3498</v>
      </c>
      <c r="C43">
        <v>2020</v>
      </c>
      <c r="D43" t="s">
        <v>3502</v>
      </c>
      <c r="E43" t="s">
        <v>3555</v>
      </c>
      <c r="F43">
        <v>134</v>
      </c>
      <c r="G43" t="s">
        <v>3555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>
      <c r="A44" t="s">
        <v>3556</v>
      </c>
      <c r="B44" t="s">
        <v>3498</v>
      </c>
      <c r="C44">
        <v>2020</v>
      </c>
      <c r="D44" t="s">
        <v>3485</v>
      </c>
      <c r="E44" t="s">
        <v>3532</v>
      </c>
      <c r="F44">
        <v>180</v>
      </c>
      <c r="G44" t="s">
        <v>3532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>
      <c r="A45" t="s">
        <v>3557</v>
      </c>
      <c r="B45" t="s">
        <v>3498</v>
      </c>
      <c r="C45">
        <v>2020</v>
      </c>
      <c r="D45" t="s">
        <v>3499</v>
      </c>
      <c r="E45" t="s">
        <v>3520</v>
      </c>
      <c r="F45">
        <v>351</v>
      </c>
      <c r="G45" t="s">
        <v>3520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>
      <c r="A46" t="s">
        <v>3558</v>
      </c>
      <c r="B46" t="s">
        <v>3498</v>
      </c>
      <c r="C46">
        <v>2020</v>
      </c>
      <c r="D46" t="s">
        <v>3502</v>
      </c>
      <c r="E46" t="s">
        <v>878</v>
      </c>
      <c r="F46">
        <v>848</v>
      </c>
      <c r="G46" t="s">
        <v>878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>
      <c r="A47" t="s">
        <v>3559</v>
      </c>
      <c r="B47" t="s">
        <v>3498</v>
      </c>
      <c r="C47">
        <v>2020</v>
      </c>
      <c r="D47" t="s">
        <v>3504</v>
      </c>
      <c r="E47" t="s">
        <v>3526</v>
      </c>
      <c r="F47">
        <v>75</v>
      </c>
      <c r="G47" t="s">
        <v>3526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>
      <c r="A48" t="s">
        <v>2315</v>
      </c>
      <c r="B48" t="s">
        <v>3498</v>
      </c>
      <c r="C48">
        <v>2020</v>
      </c>
      <c r="D48" t="s">
        <v>3502</v>
      </c>
      <c r="E48" t="s">
        <v>3526</v>
      </c>
      <c r="F48">
        <v>720</v>
      </c>
      <c r="G48" t="s">
        <v>3526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>
      <c r="A49" t="s">
        <v>3560</v>
      </c>
      <c r="B49" t="s">
        <v>3498</v>
      </c>
      <c r="C49">
        <v>2020</v>
      </c>
      <c r="D49" t="s">
        <v>3499</v>
      </c>
      <c r="E49" t="s">
        <v>3526</v>
      </c>
      <c r="F49">
        <v>847</v>
      </c>
      <c r="G49" t="s">
        <v>3526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>
      <c r="A50" t="s">
        <v>3561</v>
      </c>
      <c r="B50" t="s">
        <v>3498</v>
      </c>
      <c r="C50">
        <v>2020</v>
      </c>
      <c r="D50" t="s">
        <v>3499</v>
      </c>
      <c r="E50" t="s">
        <v>3526</v>
      </c>
      <c r="F50">
        <v>53</v>
      </c>
      <c r="G50" t="s">
        <v>3526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>
      <c r="A51" t="s">
        <v>3562</v>
      </c>
      <c r="B51" t="s">
        <v>3498</v>
      </c>
      <c r="C51">
        <v>2020</v>
      </c>
      <c r="D51" t="s">
        <v>3504</v>
      </c>
      <c r="E51" t="s">
        <v>3520</v>
      </c>
      <c r="F51">
        <v>149</v>
      </c>
      <c r="G51" t="s">
        <v>3520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>
      <c r="A52" t="s">
        <v>3563</v>
      </c>
      <c r="B52" t="s">
        <v>3498</v>
      </c>
      <c r="C52">
        <v>2020</v>
      </c>
      <c r="D52" t="s">
        <v>3502</v>
      </c>
      <c r="E52" t="s">
        <v>3520</v>
      </c>
      <c r="F52">
        <v>90</v>
      </c>
      <c r="G52" t="s">
        <v>3520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>
      <c r="A53" t="s">
        <v>2762</v>
      </c>
      <c r="B53" t="s">
        <v>3498</v>
      </c>
      <c r="C53">
        <v>2020</v>
      </c>
      <c r="D53" t="s">
        <v>3499</v>
      </c>
      <c r="E53" t="s">
        <v>3564</v>
      </c>
      <c r="F53">
        <v>238</v>
      </c>
      <c r="G53" t="s">
        <v>3564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>
      <c r="A54" t="s">
        <v>3565</v>
      </c>
      <c r="B54" t="s">
        <v>3498</v>
      </c>
      <c r="C54">
        <v>2020</v>
      </c>
      <c r="D54" t="s">
        <v>3504</v>
      </c>
      <c r="E54" t="s">
        <v>3566</v>
      </c>
      <c r="F54">
        <v>1</v>
      </c>
      <c r="G54" t="s">
        <v>3566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>
      <c r="A55" t="s">
        <v>3567</v>
      </c>
      <c r="B55" t="s">
        <v>3498</v>
      </c>
      <c r="C55">
        <v>2020</v>
      </c>
      <c r="D55" t="s">
        <v>3504</v>
      </c>
      <c r="E55" t="s">
        <v>872</v>
      </c>
      <c r="F55">
        <v>10</v>
      </c>
      <c r="G55" t="s">
        <v>872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>
      <c r="A56" t="s">
        <v>1688</v>
      </c>
      <c r="B56" t="s">
        <v>3498</v>
      </c>
      <c r="C56">
        <v>2020</v>
      </c>
      <c r="D56" t="s">
        <v>3504</v>
      </c>
      <c r="E56" t="s">
        <v>872</v>
      </c>
      <c r="F56">
        <v>660</v>
      </c>
      <c r="G56" t="s">
        <v>872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>
      <c r="A57" t="s">
        <v>3568</v>
      </c>
      <c r="B57" t="s">
        <v>3498</v>
      </c>
      <c r="C57">
        <v>2020</v>
      </c>
      <c r="D57" t="s">
        <v>3485</v>
      </c>
      <c r="E57" t="s">
        <v>3569</v>
      </c>
      <c r="F57">
        <v>540</v>
      </c>
      <c r="G57" t="s">
        <v>3569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>
      <c r="A58" t="s">
        <v>3570</v>
      </c>
      <c r="B58" t="s">
        <v>3498</v>
      </c>
      <c r="C58">
        <v>2020</v>
      </c>
      <c r="D58" t="s">
        <v>3499</v>
      </c>
      <c r="E58" t="s">
        <v>3571</v>
      </c>
      <c r="F58">
        <v>646</v>
      </c>
      <c r="G58" t="s">
        <v>3571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>
      <c r="A59" t="s">
        <v>3572</v>
      </c>
      <c r="B59" t="s">
        <v>3498</v>
      </c>
      <c r="C59">
        <v>2020</v>
      </c>
      <c r="D59" t="s">
        <v>3502</v>
      </c>
      <c r="E59" t="s">
        <v>3508</v>
      </c>
      <c r="F59">
        <v>630</v>
      </c>
      <c r="G59" t="s">
        <v>3508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>
      <c r="A60" t="s">
        <v>3573</v>
      </c>
      <c r="B60" t="s">
        <v>3498</v>
      </c>
      <c r="C60">
        <v>2020</v>
      </c>
      <c r="D60" t="s">
        <v>3502</v>
      </c>
      <c r="E60" t="s">
        <v>3569</v>
      </c>
      <c r="F60">
        <v>720</v>
      </c>
      <c r="G60" t="s">
        <v>3569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>
      <c r="A61" t="s">
        <v>3574</v>
      </c>
      <c r="B61" t="s">
        <v>3498</v>
      </c>
      <c r="C61">
        <v>2020</v>
      </c>
      <c r="D61" t="s">
        <v>3502</v>
      </c>
      <c r="E61" t="s">
        <v>3569</v>
      </c>
      <c r="F61">
        <v>0</v>
      </c>
      <c r="G61" t="s">
        <v>3569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3575</v>
      </c>
      <c r="B62" t="s">
        <v>3498</v>
      </c>
      <c r="C62">
        <v>2020</v>
      </c>
      <c r="D62" t="s">
        <v>3504</v>
      </c>
      <c r="E62" t="s">
        <v>3569</v>
      </c>
      <c r="F62">
        <v>0</v>
      </c>
      <c r="G62" t="s">
        <v>3569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3576</v>
      </c>
      <c r="B63" t="s">
        <v>3498</v>
      </c>
      <c r="C63">
        <v>2020</v>
      </c>
      <c r="D63" t="s">
        <v>3502</v>
      </c>
      <c r="E63" t="s">
        <v>3577</v>
      </c>
      <c r="F63">
        <v>90</v>
      </c>
      <c r="G63" t="s">
        <v>3577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>
      <c r="A64" t="s">
        <v>3578</v>
      </c>
      <c r="B64" t="s">
        <v>3498</v>
      </c>
      <c r="C64">
        <v>2020</v>
      </c>
      <c r="D64" t="s">
        <v>3504</v>
      </c>
      <c r="E64" t="s">
        <v>3577</v>
      </c>
      <c r="F64">
        <v>90</v>
      </c>
      <c r="G64" t="s">
        <v>3577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>
      <c r="A65" t="s">
        <v>2539</v>
      </c>
      <c r="B65" t="s">
        <v>3498</v>
      </c>
      <c r="C65">
        <v>2020</v>
      </c>
      <c r="D65" t="s">
        <v>3504</v>
      </c>
      <c r="E65" t="s">
        <v>872</v>
      </c>
      <c r="F65">
        <v>598</v>
      </c>
      <c r="G65" t="s">
        <v>872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>
      <c r="A66" t="s">
        <v>3579</v>
      </c>
      <c r="B66" t="s">
        <v>3498</v>
      </c>
      <c r="C66">
        <v>2020</v>
      </c>
      <c r="D66" t="s">
        <v>3504</v>
      </c>
      <c r="E66" t="s">
        <v>3510</v>
      </c>
      <c r="F66">
        <v>0</v>
      </c>
      <c r="G66" t="s">
        <v>872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1926</v>
      </c>
      <c r="B67" t="s">
        <v>3498</v>
      </c>
      <c r="C67">
        <v>2020</v>
      </c>
      <c r="D67" t="s">
        <v>3504</v>
      </c>
      <c r="E67" t="s">
        <v>872</v>
      </c>
      <c r="F67">
        <v>260</v>
      </c>
      <c r="G67" t="s">
        <v>872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>
      <c r="A68" t="s">
        <v>3580</v>
      </c>
      <c r="B68" t="s">
        <v>3498</v>
      </c>
      <c r="C68">
        <v>2020</v>
      </c>
      <c r="D68" t="s">
        <v>3499</v>
      </c>
      <c r="E68" t="s">
        <v>3508</v>
      </c>
      <c r="F68">
        <v>333</v>
      </c>
      <c r="G68" t="s">
        <v>3508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>
      <c r="A69" t="s">
        <v>3581</v>
      </c>
      <c r="B69" t="s">
        <v>3498</v>
      </c>
      <c r="C69">
        <v>2020</v>
      </c>
      <c r="D69" t="s">
        <v>3504</v>
      </c>
      <c r="E69" t="s">
        <v>880</v>
      </c>
      <c r="F69">
        <v>0</v>
      </c>
      <c r="G69" t="s">
        <v>880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3582</v>
      </c>
      <c r="B70" t="s">
        <v>3498</v>
      </c>
      <c r="C70">
        <v>2020</v>
      </c>
      <c r="D70" t="s">
        <v>3504</v>
      </c>
      <c r="E70" t="s">
        <v>3532</v>
      </c>
      <c r="F70">
        <v>200</v>
      </c>
      <c r="G70" t="s">
        <v>3532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>
      <c r="A71" t="s">
        <v>1358</v>
      </c>
      <c r="B71" t="s">
        <v>3498</v>
      </c>
      <c r="C71">
        <v>2020</v>
      </c>
      <c r="D71" t="s">
        <v>3504</v>
      </c>
      <c r="E71" t="s">
        <v>863</v>
      </c>
      <c r="F71">
        <v>352</v>
      </c>
      <c r="G71" t="s">
        <v>863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>
      <c r="A72" t="s">
        <v>3583</v>
      </c>
      <c r="B72" t="s">
        <v>3498</v>
      </c>
      <c r="C72">
        <v>2020</v>
      </c>
      <c r="D72" t="s">
        <v>3504</v>
      </c>
      <c r="E72" t="s">
        <v>3532</v>
      </c>
      <c r="F72">
        <v>462</v>
      </c>
      <c r="G72" t="s">
        <v>3532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>
      <c r="A73" t="s">
        <v>3584</v>
      </c>
      <c r="B73" t="s">
        <v>3498</v>
      </c>
      <c r="C73">
        <v>2020</v>
      </c>
      <c r="D73" t="s">
        <v>3485</v>
      </c>
      <c r="E73" t="s">
        <v>863</v>
      </c>
      <c r="F73">
        <v>0</v>
      </c>
      <c r="G73" t="s">
        <v>863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3585</v>
      </c>
      <c r="B74" t="s">
        <v>3498</v>
      </c>
      <c r="C74">
        <v>2020</v>
      </c>
      <c r="D74" t="s">
        <v>3499</v>
      </c>
      <c r="E74" t="s">
        <v>3555</v>
      </c>
      <c r="F74">
        <v>0</v>
      </c>
      <c r="G74" t="s">
        <v>3555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3586</v>
      </c>
      <c r="B75" t="s">
        <v>3498</v>
      </c>
      <c r="C75">
        <v>2020</v>
      </c>
      <c r="D75" t="s">
        <v>3502</v>
      </c>
      <c r="E75" t="s">
        <v>863</v>
      </c>
      <c r="F75">
        <v>360</v>
      </c>
      <c r="G75" t="s">
        <v>863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>
      <c r="A76" t="s">
        <v>3587</v>
      </c>
      <c r="B76" t="s">
        <v>3498</v>
      </c>
      <c r="C76">
        <v>2020</v>
      </c>
      <c r="D76" t="s">
        <v>3502</v>
      </c>
      <c r="E76" t="s">
        <v>3532</v>
      </c>
      <c r="F76">
        <v>0</v>
      </c>
      <c r="G76" t="s">
        <v>3532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3588</v>
      </c>
      <c r="B77" t="s">
        <v>3498</v>
      </c>
      <c r="C77">
        <v>2020</v>
      </c>
      <c r="D77" t="s">
        <v>3504</v>
      </c>
      <c r="E77" t="s">
        <v>3532</v>
      </c>
      <c r="F77">
        <v>220</v>
      </c>
      <c r="G77" t="s">
        <v>3532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>
      <c r="A78" t="s">
        <v>3589</v>
      </c>
      <c r="B78" t="s">
        <v>3498</v>
      </c>
      <c r="C78">
        <v>2020</v>
      </c>
      <c r="D78" t="s">
        <v>3504</v>
      </c>
      <c r="E78" t="s">
        <v>882</v>
      </c>
      <c r="F78">
        <v>593</v>
      </c>
      <c r="G78" t="s">
        <v>882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>
      <c r="A79" t="s">
        <v>1782</v>
      </c>
      <c r="B79" t="s">
        <v>3498</v>
      </c>
      <c r="C79">
        <v>2020</v>
      </c>
      <c r="D79" t="s">
        <v>3485</v>
      </c>
      <c r="E79" t="s">
        <v>863</v>
      </c>
      <c r="F79">
        <v>13</v>
      </c>
      <c r="G79" t="s">
        <v>863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>
      <c r="A80" t="s">
        <v>74</v>
      </c>
      <c r="B80" t="s">
        <v>3498</v>
      </c>
      <c r="C80">
        <v>2020</v>
      </c>
      <c r="D80" t="s">
        <v>3504</v>
      </c>
      <c r="E80" t="s">
        <v>879</v>
      </c>
      <c r="F80">
        <v>141</v>
      </c>
      <c r="G80" t="s">
        <v>879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>
      <c r="A81" t="s">
        <v>3590</v>
      </c>
      <c r="B81" t="s">
        <v>3498</v>
      </c>
      <c r="C81">
        <v>2020</v>
      </c>
      <c r="D81" t="s">
        <v>3504</v>
      </c>
      <c r="E81" t="s">
        <v>886</v>
      </c>
      <c r="F81">
        <v>0</v>
      </c>
      <c r="G81" t="s">
        <v>886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1945</v>
      </c>
      <c r="B82" t="s">
        <v>3498</v>
      </c>
      <c r="C82">
        <v>2020</v>
      </c>
      <c r="D82" t="s">
        <v>3499</v>
      </c>
      <c r="E82" t="s">
        <v>886</v>
      </c>
      <c r="F82">
        <v>359</v>
      </c>
      <c r="G82" t="s">
        <v>886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>
      <c r="A83" t="s">
        <v>3591</v>
      </c>
      <c r="B83" t="s">
        <v>3498</v>
      </c>
      <c r="C83">
        <v>2020</v>
      </c>
      <c r="D83" t="s">
        <v>3502</v>
      </c>
      <c r="E83" t="s">
        <v>3592</v>
      </c>
      <c r="F83">
        <v>0</v>
      </c>
      <c r="G83" t="s">
        <v>3592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3593</v>
      </c>
      <c r="B84" t="s">
        <v>3498</v>
      </c>
      <c r="C84">
        <v>2020</v>
      </c>
      <c r="D84" t="s">
        <v>3504</v>
      </c>
      <c r="E84" t="s">
        <v>3508</v>
      </c>
      <c r="F84">
        <v>180</v>
      </c>
      <c r="G84" t="s">
        <v>3508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>
      <c r="A85" t="s">
        <v>3594</v>
      </c>
      <c r="B85" t="s">
        <v>3498</v>
      </c>
      <c r="C85">
        <v>2020</v>
      </c>
      <c r="D85" t="s">
        <v>3502</v>
      </c>
      <c r="E85" t="s">
        <v>886</v>
      </c>
      <c r="F85">
        <v>0</v>
      </c>
      <c r="G85" t="s">
        <v>886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2855</v>
      </c>
      <c r="B86" t="s">
        <v>3498</v>
      </c>
      <c r="C86">
        <v>2020</v>
      </c>
      <c r="D86" t="s">
        <v>3485</v>
      </c>
      <c r="E86" t="s">
        <v>878</v>
      </c>
      <c r="F86">
        <v>90</v>
      </c>
      <c r="G86" t="s">
        <v>878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>
      <c r="A87" t="s">
        <v>3595</v>
      </c>
      <c r="B87" t="s">
        <v>3498</v>
      </c>
      <c r="C87">
        <v>2020</v>
      </c>
      <c r="D87" t="s">
        <v>3499</v>
      </c>
      <c r="E87" t="s">
        <v>872</v>
      </c>
      <c r="F87">
        <v>0</v>
      </c>
      <c r="G87" t="s">
        <v>872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3596</v>
      </c>
      <c r="B88" t="s">
        <v>3498</v>
      </c>
      <c r="C88">
        <v>2020</v>
      </c>
      <c r="D88" t="s">
        <v>3499</v>
      </c>
      <c r="E88" t="s">
        <v>3597</v>
      </c>
      <c r="F88">
        <v>344</v>
      </c>
      <c r="G88" t="s">
        <v>3597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>
      <c r="A89" t="s">
        <v>3598</v>
      </c>
      <c r="B89" t="s">
        <v>3498</v>
      </c>
      <c r="C89">
        <v>2020</v>
      </c>
      <c r="D89" t="s">
        <v>3504</v>
      </c>
      <c r="E89" t="s">
        <v>3599</v>
      </c>
      <c r="F89">
        <v>0</v>
      </c>
      <c r="G89" t="s">
        <v>3599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3600</v>
      </c>
      <c r="B90" t="s">
        <v>3498</v>
      </c>
      <c r="C90">
        <v>2020</v>
      </c>
      <c r="D90" t="s">
        <v>3499</v>
      </c>
      <c r="E90" t="s">
        <v>3506</v>
      </c>
      <c r="F90">
        <v>319</v>
      </c>
      <c r="G90" t="s">
        <v>3506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>
      <c r="A91" t="s">
        <v>3601</v>
      </c>
      <c r="B91" t="s">
        <v>3498</v>
      </c>
      <c r="C91">
        <v>2020</v>
      </c>
      <c r="D91" t="s">
        <v>3485</v>
      </c>
      <c r="E91" t="s">
        <v>3602</v>
      </c>
      <c r="F91">
        <v>180</v>
      </c>
      <c r="G91" t="s">
        <v>3602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>
      <c r="A92" t="s">
        <v>3603</v>
      </c>
      <c r="B92" t="s">
        <v>3498</v>
      </c>
      <c r="C92">
        <v>2020</v>
      </c>
      <c r="D92" t="s">
        <v>3504</v>
      </c>
      <c r="E92" t="s">
        <v>3599</v>
      </c>
      <c r="F92">
        <v>244</v>
      </c>
      <c r="G92" t="s">
        <v>3599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>
      <c r="A93" t="s">
        <v>3604</v>
      </c>
      <c r="B93" t="s">
        <v>3498</v>
      </c>
      <c r="C93">
        <v>2020</v>
      </c>
      <c r="D93" t="s">
        <v>3499</v>
      </c>
      <c r="E93" t="s">
        <v>3599</v>
      </c>
      <c r="F93">
        <v>150</v>
      </c>
      <c r="G93" t="s">
        <v>3599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>
      <c r="A94" t="s">
        <v>3605</v>
      </c>
      <c r="B94" t="s">
        <v>3498</v>
      </c>
      <c r="C94">
        <v>2020</v>
      </c>
      <c r="D94" t="s">
        <v>3504</v>
      </c>
      <c r="E94" t="s">
        <v>3537</v>
      </c>
      <c r="F94">
        <v>139</v>
      </c>
      <c r="G94" t="s">
        <v>3537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>
      <c r="A95" t="s">
        <v>3606</v>
      </c>
      <c r="B95" t="s">
        <v>3498</v>
      </c>
      <c r="C95">
        <v>2020</v>
      </c>
      <c r="D95" t="s">
        <v>3504</v>
      </c>
      <c r="E95" t="s">
        <v>3537</v>
      </c>
      <c r="F95">
        <v>90</v>
      </c>
      <c r="G95" t="s">
        <v>3537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>
      <c r="A96" t="s">
        <v>3607</v>
      </c>
      <c r="B96" t="s">
        <v>3498</v>
      </c>
      <c r="C96">
        <v>2020</v>
      </c>
      <c r="D96" t="s">
        <v>3499</v>
      </c>
      <c r="E96" t="s">
        <v>3599</v>
      </c>
      <c r="F96">
        <v>18</v>
      </c>
      <c r="G96" t="s">
        <v>3599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>
      <c r="A97" t="s">
        <v>3608</v>
      </c>
      <c r="B97" t="s">
        <v>3498</v>
      </c>
      <c r="C97">
        <v>2020</v>
      </c>
      <c r="D97" t="s">
        <v>3504</v>
      </c>
      <c r="E97" t="s">
        <v>3537</v>
      </c>
      <c r="F97">
        <v>316</v>
      </c>
      <c r="G97" t="s">
        <v>3537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>
      <c r="A98" t="s">
        <v>3609</v>
      </c>
      <c r="B98" t="s">
        <v>3498</v>
      </c>
      <c r="C98">
        <v>2020</v>
      </c>
      <c r="D98" t="s">
        <v>3504</v>
      </c>
      <c r="E98" t="s">
        <v>3537</v>
      </c>
      <c r="F98">
        <v>191</v>
      </c>
      <c r="G98" t="s">
        <v>3537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>
      <c r="A99" t="s">
        <v>3610</v>
      </c>
      <c r="B99" t="s">
        <v>3498</v>
      </c>
      <c r="C99">
        <v>2020</v>
      </c>
      <c r="D99" t="s">
        <v>3504</v>
      </c>
      <c r="E99" t="s">
        <v>3537</v>
      </c>
      <c r="F99">
        <v>441</v>
      </c>
      <c r="G99" t="s">
        <v>3537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>
      <c r="A100" t="s">
        <v>3611</v>
      </c>
      <c r="B100" t="s">
        <v>3498</v>
      </c>
      <c r="C100">
        <v>2020</v>
      </c>
      <c r="D100" t="s">
        <v>3504</v>
      </c>
      <c r="E100" t="s">
        <v>3599</v>
      </c>
      <c r="F100">
        <v>439</v>
      </c>
      <c r="G100" t="s">
        <v>3599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>
      <c r="A101" t="s">
        <v>3612</v>
      </c>
      <c r="B101" t="s">
        <v>3498</v>
      </c>
      <c r="C101">
        <v>2020</v>
      </c>
      <c r="D101" t="s">
        <v>3485</v>
      </c>
      <c r="E101" t="s">
        <v>3599</v>
      </c>
      <c r="F101">
        <v>900</v>
      </c>
      <c r="G101" t="s">
        <v>3599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3613</v>
      </c>
      <c r="B102" t="s">
        <v>3498</v>
      </c>
      <c r="C102">
        <v>2020</v>
      </c>
      <c r="D102" t="s">
        <v>3504</v>
      </c>
      <c r="E102" t="s">
        <v>3569</v>
      </c>
      <c r="F102">
        <v>0</v>
      </c>
      <c r="G102" t="s">
        <v>3569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3614</v>
      </c>
      <c r="B103" t="s">
        <v>3498</v>
      </c>
      <c r="C103">
        <v>2020</v>
      </c>
      <c r="D103" t="s">
        <v>3499</v>
      </c>
      <c r="E103" t="s">
        <v>3615</v>
      </c>
      <c r="F103">
        <v>335</v>
      </c>
      <c r="G103" t="s">
        <v>3615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3616</v>
      </c>
      <c r="B104" t="s">
        <v>3498</v>
      </c>
      <c r="C104">
        <v>2020</v>
      </c>
      <c r="D104" t="s">
        <v>3499</v>
      </c>
      <c r="E104" t="s">
        <v>3549</v>
      </c>
      <c r="F104">
        <v>351</v>
      </c>
      <c r="G104" t="s">
        <v>3549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>
      <c r="A105" t="s">
        <v>3617</v>
      </c>
      <c r="B105" t="s">
        <v>3498</v>
      </c>
      <c r="C105">
        <v>2020</v>
      </c>
      <c r="D105" t="s">
        <v>3502</v>
      </c>
      <c r="E105" t="s">
        <v>3618</v>
      </c>
      <c r="F105">
        <v>136</v>
      </c>
      <c r="G105" t="s">
        <v>3618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3619</v>
      </c>
      <c r="B106" t="s">
        <v>3498</v>
      </c>
      <c r="C106">
        <v>2020</v>
      </c>
      <c r="D106" t="s">
        <v>3504</v>
      </c>
      <c r="E106" t="s">
        <v>3569</v>
      </c>
      <c r="F106">
        <v>66</v>
      </c>
      <c r="G106" t="s">
        <v>3569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>
      <c r="A107" t="s">
        <v>3620</v>
      </c>
      <c r="B107" t="s">
        <v>3498</v>
      </c>
      <c r="C107">
        <v>2020</v>
      </c>
      <c r="D107" t="s">
        <v>3502</v>
      </c>
      <c r="E107" t="s">
        <v>3537</v>
      </c>
      <c r="F107">
        <v>270</v>
      </c>
      <c r="G107" t="s">
        <v>3537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3621</v>
      </c>
      <c r="B108" t="s">
        <v>3498</v>
      </c>
      <c r="C108">
        <v>2020</v>
      </c>
      <c r="D108" t="s">
        <v>3504</v>
      </c>
      <c r="E108" t="s">
        <v>3503</v>
      </c>
      <c r="F108">
        <v>0</v>
      </c>
      <c r="G108" t="s">
        <v>895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3622</v>
      </c>
      <c r="B109" t="s">
        <v>3498</v>
      </c>
      <c r="C109">
        <v>2020</v>
      </c>
      <c r="D109" t="s">
        <v>3502</v>
      </c>
      <c r="E109" t="s">
        <v>3515</v>
      </c>
      <c r="F109">
        <v>774</v>
      </c>
      <c r="G109" t="s">
        <v>3515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>
      <c r="A110" t="s">
        <v>3623</v>
      </c>
      <c r="B110" t="s">
        <v>3498</v>
      </c>
      <c r="C110">
        <v>2020</v>
      </c>
      <c r="D110" t="s">
        <v>3504</v>
      </c>
      <c r="E110" t="s">
        <v>3624</v>
      </c>
      <c r="F110">
        <v>29</v>
      </c>
      <c r="G110" t="s">
        <v>3624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633</v>
      </c>
      <c r="B111" t="s">
        <v>3498</v>
      </c>
      <c r="C111">
        <v>2020</v>
      </c>
      <c r="D111" t="s">
        <v>3485</v>
      </c>
      <c r="E111" t="s">
        <v>891</v>
      </c>
      <c r="F111">
        <v>0</v>
      </c>
      <c r="G111" t="s">
        <v>891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3625</v>
      </c>
      <c r="B112" t="s">
        <v>3498</v>
      </c>
      <c r="C112">
        <v>2020</v>
      </c>
      <c r="D112" t="s">
        <v>3485</v>
      </c>
      <c r="E112" t="s">
        <v>862</v>
      </c>
      <c r="F112">
        <v>0</v>
      </c>
      <c r="G112" t="s">
        <v>862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3626</v>
      </c>
      <c r="B113" t="s">
        <v>3498</v>
      </c>
      <c r="C113">
        <v>2020</v>
      </c>
      <c r="D113" t="s">
        <v>3499</v>
      </c>
      <c r="E113" t="s">
        <v>877</v>
      </c>
      <c r="F113">
        <v>219</v>
      </c>
      <c r="G113" t="s">
        <v>3627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>
      <c r="A114" t="s">
        <v>1036</v>
      </c>
      <c r="B114" t="s">
        <v>3498</v>
      </c>
      <c r="C114">
        <v>2020</v>
      </c>
      <c r="D114" t="s">
        <v>3499</v>
      </c>
      <c r="E114" t="s">
        <v>885</v>
      </c>
      <c r="F114">
        <v>440</v>
      </c>
      <c r="G114" t="s">
        <v>885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>
      <c r="A115" t="s">
        <v>3628</v>
      </c>
      <c r="B115" t="s">
        <v>3498</v>
      </c>
      <c r="C115">
        <v>2020</v>
      </c>
      <c r="D115" t="s">
        <v>3504</v>
      </c>
      <c r="E115" t="s">
        <v>3529</v>
      </c>
      <c r="F115">
        <v>466</v>
      </c>
      <c r="G115" t="s">
        <v>3530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>
      <c r="A116" t="s">
        <v>3629</v>
      </c>
      <c r="B116" t="s">
        <v>3498</v>
      </c>
      <c r="C116">
        <v>2020</v>
      </c>
      <c r="D116" t="s">
        <v>3504</v>
      </c>
      <c r="E116" t="s">
        <v>3546</v>
      </c>
      <c r="F116">
        <v>491</v>
      </c>
      <c r="G116" t="s">
        <v>3546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>
      <c r="A117" t="s">
        <v>3630</v>
      </c>
      <c r="B117" t="s">
        <v>3498</v>
      </c>
      <c r="C117">
        <v>2020</v>
      </c>
      <c r="D117" t="s">
        <v>3504</v>
      </c>
      <c r="E117" t="s">
        <v>3529</v>
      </c>
      <c r="F117">
        <v>83</v>
      </c>
      <c r="G117" t="s">
        <v>3530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>
      <c r="A118" t="s">
        <v>3631</v>
      </c>
      <c r="B118" t="s">
        <v>3498</v>
      </c>
      <c r="C118">
        <v>2020</v>
      </c>
      <c r="D118" t="s">
        <v>3502</v>
      </c>
      <c r="E118" t="s">
        <v>3632</v>
      </c>
      <c r="F118">
        <v>720</v>
      </c>
      <c r="G118" t="s">
        <v>3632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>
      <c r="A119" t="s">
        <v>3633</v>
      </c>
      <c r="B119" t="s">
        <v>3498</v>
      </c>
      <c r="C119">
        <v>2020</v>
      </c>
      <c r="D119" t="s">
        <v>3499</v>
      </c>
      <c r="E119" t="s">
        <v>3602</v>
      </c>
      <c r="F119">
        <v>424</v>
      </c>
      <c r="G119" t="s">
        <v>3602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>
      <c r="A120" t="s">
        <v>3634</v>
      </c>
      <c r="B120" t="s">
        <v>3498</v>
      </c>
      <c r="C120">
        <v>2020</v>
      </c>
      <c r="D120" t="s">
        <v>3499</v>
      </c>
      <c r="E120" t="s">
        <v>3602</v>
      </c>
      <c r="F120">
        <v>189</v>
      </c>
      <c r="G120" t="s">
        <v>3602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>
      <c r="A121" t="s">
        <v>3635</v>
      </c>
      <c r="B121" t="s">
        <v>3498</v>
      </c>
      <c r="C121">
        <v>2020</v>
      </c>
      <c r="D121" t="s">
        <v>3502</v>
      </c>
      <c r="E121" t="s">
        <v>3599</v>
      </c>
      <c r="F121">
        <v>180</v>
      </c>
      <c r="G121" t="s">
        <v>3599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>
      <c r="A122" t="s">
        <v>3636</v>
      </c>
      <c r="B122" t="s">
        <v>3498</v>
      </c>
      <c r="C122">
        <v>2020</v>
      </c>
      <c r="D122" t="s">
        <v>3485</v>
      </c>
      <c r="E122" t="s">
        <v>3571</v>
      </c>
      <c r="F122">
        <v>0</v>
      </c>
      <c r="G122" t="s">
        <v>3571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3637</v>
      </c>
      <c r="B123" t="s">
        <v>3498</v>
      </c>
      <c r="C123">
        <v>2020</v>
      </c>
      <c r="D123" t="s">
        <v>3504</v>
      </c>
      <c r="E123" t="s">
        <v>869</v>
      </c>
      <c r="F123">
        <v>0</v>
      </c>
      <c r="G123" t="s">
        <v>869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3638</v>
      </c>
      <c r="B124" t="s">
        <v>3498</v>
      </c>
      <c r="C124">
        <v>2020</v>
      </c>
      <c r="D124" t="s">
        <v>3504</v>
      </c>
      <c r="E124" t="s">
        <v>897</v>
      </c>
      <c r="F124">
        <v>0</v>
      </c>
      <c r="G124" t="s">
        <v>897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3639</v>
      </c>
      <c r="B125" t="s">
        <v>3498</v>
      </c>
      <c r="C125">
        <v>2020</v>
      </c>
      <c r="D125" t="s">
        <v>3499</v>
      </c>
      <c r="E125" t="s">
        <v>3515</v>
      </c>
      <c r="F125">
        <v>691</v>
      </c>
      <c r="G125" t="s">
        <v>3515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>
      <c r="A126" t="s">
        <v>3640</v>
      </c>
      <c r="B126" t="s">
        <v>3498</v>
      </c>
      <c r="C126">
        <v>2020</v>
      </c>
      <c r="D126" t="s">
        <v>3502</v>
      </c>
      <c r="E126" t="s">
        <v>3515</v>
      </c>
      <c r="F126">
        <v>0</v>
      </c>
      <c r="G126" t="s">
        <v>3515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3641</v>
      </c>
      <c r="B127" t="s">
        <v>3498</v>
      </c>
      <c r="C127">
        <v>2020</v>
      </c>
      <c r="D127" t="s">
        <v>3502</v>
      </c>
      <c r="E127" t="s">
        <v>3571</v>
      </c>
      <c r="F127">
        <v>450</v>
      </c>
      <c r="G127" t="s">
        <v>886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>
      <c r="A128" t="s">
        <v>3642</v>
      </c>
      <c r="B128" t="s">
        <v>3498</v>
      </c>
      <c r="C128">
        <v>2020</v>
      </c>
      <c r="D128" t="s">
        <v>3504</v>
      </c>
      <c r="E128" t="s">
        <v>893</v>
      </c>
      <c r="F128">
        <v>0</v>
      </c>
      <c r="G128" t="s">
        <v>893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3643</v>
      </c>
      <c r="B129" t="s">
        <v>3498</v>
      </c>
      <c r="C129">
        <v>2020</v>
      </c>
      <c r="D129" t="s">
        <v>3485</v>
      </c>
      <c r="E129" t="s">
        <v>3597</v>
      </c>
      <c r="F129">
        <v>90</v>
      </c>
      <c r="G129" t="s">
        <v>3597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3644</v>
      </c>
      <c r="B130" t="s">
        <v>3498</v>
      </c>
      <c r="C130">
        <v>2020</v>
      </c>
      <c r="D130" t="s">
        <v>3499</v>
      </c>
      <c r="E130" t="s">
        <v>893</v>
      </c>
      <c r="F130">
        <v>176</v>
      </c>
      <c r="G130" t="s">
        <v>893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3645</v>
      </c>
      <c r="B131" t="s">
        <v>3498</v>
      </c>
      <c r="C131">
        <v>2020</v>
      </c>
      <c r="D131" t="s">
        <v>3504</v>
      </c>
      <c r="E131" t="s">
        <v>3523</v>
      </c>
      <c r="F131">
        <v>674</v>
      </c>
      <c r="G131" t="s">
        <v>3523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>
      <c r="A132" t="s">
        <v>1087</v>
      </c>
      <c r="B132" t="s">
        <v>3498</v>
      </c>
      <c r="C132">
        <v>2020</v>
      </c>
      <c r="D132" t="s">
        <v>3499</v>
      </c>
      <c r="E132" t="s">
        <v>863</v>
      </c>
      <c r="F132">
        <v>388</v>
      </c>
      <c r="G132" t="s">
        <v>863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>
      <c r="A133" t="s">
        <v>3646</v>
      </c>
      <c r="B133" t="s">
        <v>3498</v>
      </c>
      <c r="C133">
        <v>2020</v>
      </c>
      <c r="D133" t="s">
        <v>3502</v>
      </c>
      <c r="E133" t="s">
        <v>3532</v>
      </c>
      <c r="F133">
        <v>574</v>
      </c>
      <c r="G133" t="s">
        <v>3532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3647</v>
      </c>
      <c r="B134" t="s">
        <v>3498</v>
      </c>
      <c r="C134">
        <v>2020</v>
      </c>
      <c r="D134" t="s">
        <v>3504</v>
      </c>
      <c r="E134" t="s">
        <v>3648</v>
      </c>
      <c r="F134">
        <v>71</v>
      </c>
      <c r="G134" t="s">
        <v>3648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3649</v>
      </c>
      <c r="B135" t="s">
        <v>3498</v>
      </c>
      <c r="C135">
        <v>2020</v>
      </c>
      <c r="D135" t="s">
        <v>3504</v>
      </c>
      <c r="E135" t="s">
        <v>3602</v>
      </c>
      <c r="F135">
        <v>290</v>
      </c>
      <c r="G135" t="s">
        <v>3602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>
      <c r="A136" t="s">
        <v>185</v>
      </c>
      <c r="B136" t="s">
        <v>3498</v>
      </c>
      <c r="C136">
        <v>2020</v>
      </c>
      <c r="D136" t="s">
        <v>3502</v>
      </c>
      <c r="E136" t="s">
        <v>869</v>
      </c>
      <c r="F136">
        <v>465</v>
      </c>
      <c r="G136" t="s">
        <v>869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1752</v>
      </c>
      <c r="B137" t="s">
        <v>3498</v>
      </c>
      <c r="C137">
        <v>2020</v>
      </c>
      <c r="D137" t="s">
        <v>3499</v>
      </c>
      <c r="E137" t="s">
        <v>869</v>
      </c>
      <c r="F137">
        <v>123</v>
      </c>
      <c r="G137" t="s">
        <v>869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2603</v>
      </c>
      <c r="B138" t="s">
        <v>3498</v>
      </c>
      <c r="C138">
        <v>2020</v>
      </c>
      <c r="D138" t="s">
        <v>3502</v>
      </c>
      <c r="E138" t="s">
        <v>886</v>
      </c>
      <c r="F138">
        <v>630</v>
      </c>
      <c r="G138" t="s">
        <v>886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3650</v>
      </c>
      <c r="B139" t="s">
        <v>3498</v>
      </c>
      <c r="C139">
        <v>2020</v>
      </c>
      <c r="D139" t="s">
        <v>3499</v>
      </c>
      <c r="E139" t="s">
        <v>3648</v>
      </c>
      <c r="F139">
        <v>233</v>
      </c>
      <c r="G139" t="s">
        <v>3648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>
      <c r="A140" t="s">
        <v>3651</v>
      </c>
      <c r="B140" t="s">
        <v>3498</v>
      </c>
      <c r="C140">
        <v>2020</v>
      </c>
      <c r="D140" t="s">
        <v>3502</v>
      </c>
      <c r="E140" t="s">
        <v>3592</v>
      </c>
      <c r="F140">
        <v>584</v>
      </c>
      <c r="G140" t="s">
        <v>3592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3652</v>
      </c>
      <c r="B141" t="s">
        <v>3498</v>
      </c>
      <c r="C141">
        <v>2020</v>
      </c>
      <c r="D141" t="s">
        <v>3499</v>
      </c>
      <c r="E141" t="s">
        <v>3648</v>
      </c>
      <c r="F141">
        <v>0</v>
      </c>
      <c r="G141" t="s">
        <v>3648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3653</v>
      </c>
      <c r="B142" t="s">
        <v>3498</v>
      </c>
      <c r="C142">
        <v>2020</v>
      </c>
      <c r="D142" t="s">
        <v>3504</v>
      </c>
      <c r="E142" t="s">
        <v>3602</v>
      </c>
      <c r="F142">
        <v>422</v>
      </c>
      <c r="G142" t="s">
        <v>3602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>
      <c r="A143" t="s">
        <v>2876</v>
      </c>
      <c r="B143" t="s">
        <v>3498</v>
      </c>
      <c r="C143">
        <v>2020</v>
      </c>
      <c r="D143" t="s">
        <v>3502</v>
      </c>
      <c r="E143" t="s">
        <v>878</v>
      </c>
      <c r="F143">
        <v>720</v>
      </c>
      <c r="G143" t="s">
        <v>878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>
      <c r="A144" t="s">
        <v>3654</v>
      </c>
      <c r="B144" t="s">
        <v>3498</v>
      </c>
      <c r="C144">
        <v>2020</v>
      </c>
      <c r="D144" t="s">
        <v>3502</v>
      </c>
      <c r="E144" t="s">
        <v>3615</v>
      </c>
      <c r="F144">
        <v>782</v>
      </c>
      <c r="G144" t="s">
        <v>3615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>
      <c r="A145" t="s">
        <v>3655</v>
      </c>
      <c r="B145" t="s">
        <v>3498</v>
      </c>
      <c r="C145">
        <v>2020</v>
      </c>
      <c r="D145" t="s">
        <v>3502</v>
      </c>
      <c r="E145" t="s">
        <v>3537</v>
      </c>
      <c r="F145">
        <v>90</v>
      </c>
      <c r="G145" t="s">
        <v>3537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3656</v>
      </c>
      <c r="B146" t="s">
        <v>3498</v>
      </c>
      <c r="C146">
        <v>2020</v>
      </c>
      <c r="D146" t="s">
        <v>3504</v>
      </c>
      <c r="E146" t="s">
        <v>3599</v>
      </c>
      <c r="F146">
        <v>0</v>
      </c>
      <c r="G146" t="s">
        <v>3599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3657</v>
      </c>
      <c r="B147" t="s">
        <v>3498</v>
      </c>
      <c r="C147">
        <v>2020</v>
      </c>
      <c r="D147" t="s">
        <v>3499</v>
      </c>
      <c r="E147" t="s">
        <v>3537</v>
      </c>
      <c r="F147">
        <v>12</v>
      </c>
      <c r="G147" t="s">
        <v>3537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3658</v>
      </c>
      <c r="B148" t="s">
        <v>3498</v>
      </c>
      <c r="C148">
        <v>2020</v>
      </c>
      <c r="D148" t="s">
        <v>3499</v>
      </c>
      <c r="E148" t="s">
        <v>880</v>
      </c>
      <c r="F148">
        <v>270</v>
      </c>
      <c r="G148" t="s">
        <v>880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>
      <c r="A149" t="s">
        <v>3659</v>
      </c>
      <c r="B149" t="s">
        <v>3498</v>
      </c>
      <c r="C149">
        <v>2020</v>
      </c>
      <c r="D149" t="s">
        <v>3504</v>
      </c>
      <c r="E149" t="s">
        <v>3577</v>
      </c>
      <c r="F149">
        <v>193</v>
      </c>
      <c r="G149" t="s">
        <v>3577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>
      <c r="A150" t="s">
        <v>3660</v>
      </c>
      <c r="B150" t="s">
        <v>3498</v>
      </c>
      <c r="C150">
        <v>2020</v>
      </c>
      <c r="D150" t="s">
        <v>3502</v>
      </c>
      <c r="E150" t="s">
        <v>895</v>
      </c>
      <c r="F150">
        <v>0</v>
      </c>
      <c r="G150" t="s">
        <v>895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3661</v>
      </c>
      <c r="B151" t="s">
        <v>3498</v>
      </c>
      <c r="C151">
        <v>2020</v>
      </c>
      <c r="D151" t="s">
        <v>3504</v>
      </c>
      <c r="E151" t="s">
        <v>3523</v>
      </c>
      <c r="F151">
        <v>258</v>
      </c>
      <c r="G151" t="s">
        <v>3523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>
      <c r="A152" t="s">
        <v>3662</v>
      </c>
      <c r="B152" t="s">
        <v>3498</v>
      </c>
      <c r="C152">
        <v>2020</v>
      </c>
      <c r="D152" t="s">
        <v>3485</v>
      </c>
      <c r="E152" t="s">
        <v>3615</v>
      </c>
      <c r="F152">
        <v>0</v>
      </c>
      <c r="G152" t="s">
        <v>3615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408</v>
      </c>
      <c r="B153" t="s">
        <v>3498</v>
      </c>
      <c r="C153">
        <v>2020</v>
      </c>
      <c r="D153" t="s">
        <v>3502</v>
      </c>
      <c r="E153" t="s">
        <v>895</v>
      </c>
      <c r="F153">
        <v>720</v>
      </c>
      <c r="G153" t="s">
        <v>895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>
      <c r="A154" t="s">
        <v>3663</v>
      </c>
      <c r="B154" t="s">
        <v>3498</v>
      </c>
      <c r="C154">
        <v>2020</v>
      </c>
      <c r="D154" t="s">
        <v>3485</v>
      </c>
      <c r="E154" t="s">
        <v>3569</v>
      </c>
      <c r="F154">
        <v>90</v>
      </c>
      <c r="G154" t="s">
        <v>3569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3664</v>
      </c>
      <c r="B155" t="s">
        <v>3498</v>
      </c>
      <c r="C155">
        <v>2020</v>
      </c>
      <c r="D155" t="s">
        <v>3504</v>
      </c>
      <c r="E155" t="s">
        <v>3569</v>
      </c>
      <c r="F155">
        <v>46</v>
      </c>
      <c r="G155" t="s">
        <v>3569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3665</v>
      </c>
      <c r="B156" t="s">
        <v>3498</v>
      </c>
      <c r="C156">
        <v>2020</v>
      </c>
      <c r="D156" t="s">
        <v>3485</v>
      </c>
      <c r="E156" t="s">
        <v>3569</v>
      </c>
      <c r="F156">
        <v>90</v>
      </c>
      <c r="G156" t="s">
        <v>3569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3666</v>
      </c>
      <c r="B157" t="s">
        <v>3498</v>
      </c>
      <c r="C157">
        <v>2020</v>
      </c>
      <c r="D157" t="s">
        <v>3485</v>
      </c>
      <c r="E157" t="s">
        <v>872</v>
      </c>
      <c r="F157">
        <v>0</v>
      </c>
      <c r="G157" t="s">
        <v>872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3667</v>
      </c>
      <c r="B158" t="s">
        <v>3498</v>
      </c>
      <c r="C158">
        <v>2020</v>
      </c>
      <c r="D158" t="s">
        <v>3502</v>
      </c>
      <c r="E158" t="s">
        <v>872</v>
      </c>
      <c r="F158">
        <v>720</v>
      </c>
      <c r="G158" t="s">
        <v>872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3668</v>
      </c>
      <c r="B159" t="s">
        <v>3498</v>
      </c>
      <c r="C159">
        <v>2020</v>
      </c>
      <c r="D159" t="s">
        <v>3504</v>
      </c>
      <c r="E159" t="s">
        <v>3535</v>
      </c>
      <c r="F159">
        <v>54</v>
      </c>
      <c r="G159" t="s">
        <v>3535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3669</v>
      </c>
      <c r="B160" t="s">
        <v>3498</v>
      </c>
      <c r="C160">
        <v>2020</v>
      </c>
      <c r="D160" t="s">
        <v>3485</v>
      </c>
      <c r="E160" t="s">
        <v>3520</v>
      </c>
      <c r="F160">
        <v>0</v>
      </c>
      <c r="G160" t="s">
        <v>3520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3670</v>
      </c>
      <c r="B161" t="s">
        <v>3498</v>
      </c>
      <c r="C161">
        <v>2020</v>
      </c>
      <c r="D161" t="s">
        <v>3499</v>
      </c>
      <c r="E161" t="s">
        <v>3526</v>
      </c>
      <c r="F161">
        <v>0</v>
      </c>
      <c r="G161" t="s">
        <v>3526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3671</v>
      </c>
      <c r="B162" t="s">
        <v>3498</v>
      </c>
      <c r="C162">
        <v>2020</v>
      </c>
      <c r="D162" t="s">
        <v>3499</v>
      </c>
      <c r="E162" t="s">
        <v>3526</v>
      </c>
      <c r="F162">
        <v>40</v>
      </c>
      <c r="G162" t="s">
        <v>3526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3672</v>
      </c>
      <c r="B163" t="s">
        <v>3498</v>
      </c>
      <c r="C163">
        <v>2020</v>
      </c>
      <c r="D163" t="s">
        <v>3485</v>
      </c>
      <c r="E163" t="s">
        <v>3577</v>
      </c>
      <c r="F163">
        <v>213</v>
      </c>
      <c r="G163" t="s">
        <v>3577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3673</v>
      </c>
      <c r="B164" t="s">
        <v>3498</v>
      </c>
      <c r="C164">
        <v>2020</v>
      </c>
      <c r="D164" t="s">
        <v>3485</v>
      </c>
      <c r="E164" t="s">
        <v>877</v>
      </c>
      <c r="F164">
        <v>0</v>
      </c>
      <c r="G164" t="s">
        <v>877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2043</v>
      </c>
      <c r="B165" t="s">
        <v>3498</v>
      </c>
      <c r="C165">
        <v>2020</v>
      </c>
      <c r="D165" t="s">
        <v>3485</v>
      </c>
      <c r="E165" t="s">
        <v>877</v>
      </c>
      <c r="F165">
        <v>720</v>
      </c>
      <c r="G165" t="s">
        <v>877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280</v>
      </c>
      <c r="B166" t="s">
        <v>3498</v>
      </c>
      <c r="C166">
        <v>2020</v>
      </c>
      <c r="D166" t="s">
        <v>3499</v>
      </c>
      <c r="E166" t="s">
        <v>877</v>
      </c>
      <c r="F166">
        <v>305</v>
      </c>
      <c r="G166" t="s">
        <v>877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>
      <c r="A167" t="s">
        <v>3674</v>
      </c>
      <c r="B167" t="s">
        <v>3498</v>
      </c>
      <c r="C167">
        <v>2020</v>
      </c>
      <c r="D167" t="s">
        <v>3502</v>
      </c>
      <c r="E167" t="s">
        <v>3529</v>
      </c>
      <c r="F167">
        <v>90</v>
      </c>
      <c r="G167" t="s">
        <v>886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3675</v>
      </c>
      <c r="B168" t="s">
        <v>3498</v>
      </c>
      <c r="C168">
        <v>2020</v>
      </c>
      <c r="D168" t="s">
        <v>3504</v>
      </c>
      <c r="E168" t="s">
        <v>3632</v>
      </c>
      <c r="F168">
        <v>116</v>
      </c>
      <c r="G168" t="s">
        <v>3632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>
      <c r="A169" t="s">
        <v>3389</v>
      </c>
      <c r="B169" t="s">
        <v>3498</v>
      </c>
      <c r="C169">
        <v>2020</v>
      </c>
      <c r="D169" t="s">
        <v>3485</v>
      </c>
      <c r="E169" t="s">
        <v>870</v>
      </c>
      <c r="F169">
        <v>0</v>
      </c>
      <c r="G169" t="s">
        <v>870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3676</v>
      </c>
      <c r="B170" t="s">
        <v>3498</v>
      </c>
      <c r="C170">
        <v>2020</v>
      </c>
      <c r="D170" t="s">
        <v>3499</v>
      </c>
      <c r="E170" t="s">
        <v>880</v>
      </c>
      <c r="F170">
        <v>414</v>
      </c>
      <c r="G170" t="s">
        <v>880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>
      <c r="A171" t="s">
        <v>3677</v>
      </c>
      <c r="B171" t="s">
        <v>3498</v>
      </c>
      <c r="C171">
        <v>2020</v>
      </c>
      <c r="D171" t="s">
        <v>3504</v>
      </c>
      <c r="E171" t="s">
        <v>3523</v>
      </c>
      <c r="F171">
        <v>247</v>
      </c>
      <c r="G171" t="s">
        <v>3523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3678</v>
      </c>
      <c r="B172" t="s">
        <v>3498</v>
      </c>
      <c r="C172">
        <v>2020</v>
      </c>
      <c r="D172" t="s">
        <v>3504</v>
      </c>
      <c r="E172" t="s">
        <v>3648</v>
      </c>
      <c r="F172">
        <v>280</v>
      </c>
      <c r="G172" t="s">
        <v>879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>
      <c r="A173" t="s">
        <v>3679</v>
      </c>
      <c r="B173" t="s">
        <v>3498</v>
      </c>
      <c r="C173">
        <v>2020</v>
      </c>
      <c r="D173" t="s">
        <v>3499</v>
      </c>
      <c r="E173" t="s">
        <v>3523</v>
      </c>
      <c r="F173">
        <v>348</v>
      </c>
      <c r="G173" t="s">
        <v>3523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3680</v>
      </c>
      <c r="B174" t="s">
        <v>3498</v>
      </c>
      <c r="C174">
        <v>2020</v>
      </c>
      <c r="D174" t="s">
        <v>3485</v>
      </c>
      <c r="E174" t="s">
        <v>3555</v>
      </c>
      <c r="F174">
        <v>720</v>
      </c>
      <c r="G174" t="s">
        <v>3555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1022</v>
      </c>
      <c r="B175" t="s">
        <v>3498</v>
      </c>
      <c r="C175">
        <v>2020</v>
      </c>
      <c r="D175" t="s">
        <v>3499</v>
      </c>
      <c r="E175" t="s">
        <v>891</v>
      </c>
      <c r="F175">
        <v>883</v>
      </c>
      <c r="G175" t="s">
        <v>891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>
      <c r="A176" t="s">
        <v>3681</v>
      </c>
      <c r="B176" t="s">
        <v>3498</v>
      </c>
      <c r="C176">
        <v>2020</v>
      </c>
      <c r="D176" t="s">
        <v>3485</v>
      </c>
      <c r="E176" t="s">
        <v>3569</v>
      </c>
      <c r="F176">
        <v>0</v>
      </c>
      <c r="G176" t="s">
        <v>3569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3682</v>
      </c>
      <c r="B177" t="s">
        <v>3498</v>
      </c>
      <c r="C177">
        <v>2020</v>
      </c>
      <c r="D177" t="s">
        <v>3502</v>
      </c>
      <c r="E177" t="s">
        <v>3510</v>
      </c>
      <c r="F177">
        <v>479</v>
      </c>
      <c r="G177" t="s">
        <v>3510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>
      <c r="A178" t="s">
        <v>3683</v>
      </c>
      <c r="B178" t="s">
        <v>3498</v>
      </c>
      <c r="C178">
        <v>2020</v>
      </c>
      <c r="D178" t="s">
        <v>3504</v>
      </c>
      <c r="E178" t="s">
        <v>872</v>
      </c>
      <c r="F178">
        <v>246</v>
      </c>
      <c r="G178" t="s">
        <v>872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>
      <c r="A179" t="s">
        <v>3684</v>
      </c>
      <c r="B179" t="s">
        <v>3498</v>
      </c>
      <c r="C179">
        <v>2020</v>
      </c>
      <c r="D179" t="s">
        <v>3502</v>
      </c>
      <c r="E179" t="s">
        <v>3566</v>
      </c>
      <c r="F179">
        <v>540</v>
      </c>
      <c r="G179" t="s">
        <v>3566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>
      <c r="A180" t="s">
        <v>3685</v>
      </c>
      <c r="B180" t="s">
        <v>3498</v>
      </c>
      <c r="C180">
        <v>2020</v>
      </c>
      <c r="D180" t="s">
        <v>3504</v>
      </c>
      <c r="E180" t="s">
        <v>3569</v>
      </c>
      <c r="F180">
        <v>114</v>
      </c>
      <c r="G180" t="s">
        <v>3569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>
      <c r="A181" t="s">
        <v>3686</v>
      </c>
      <c r="B181" t="s">
        <v>3498</v>
      </c>
      <c r="C181">
        <v>2020</v>
      </c>
      <c r="D181" t="s">
        <v>3499</v>
      </c>
      <c r="E181" t="s">
        <v>3569</v>
      </c>
      <c r="F181">
        <v>27</v>
      </c>
      <c r="G181" t="s">
        <v>3569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3096</v>
      </c>
      <c r="B182" t="s">
        <v>3498</v>
      </c>
      <c r="C182">
        <v>2020</v>
      </c>
      <c r="D182" t="s">
        <v>3485</v>
      </c>
      <c r="E182" t="s">
        <v>872</v>
      </c>
      <c r="F182">
        <v>90</v>
      </c>
      <c r="G182" t="s">
        <v>872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3687</v>
      </c>
      <c r="B183" t="s">
        <v>3498</v>
      </c>
      <c r="C183">
        <v>2020</v>
      </c>
      <c r="D183" t="s">
        <v>3502</v>
      </c>
      <c r="E183" t="s">
        <v>886</v>
      </c>
      <c r="F183">
        <v>0</v>
      </c>
      <c r="G183" t="s">
        <v>886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3688</v>
      </c>
      <c r="B184" t="s">
        <v>3498</v>
      </c>
      <c r="C184">
        <v>2020</v>
      </c>
      <c r="D184" t="s">
        <v>3502</v>
      </c>
      <c r="E184" t="s">
        <v>3577</v>
      </c>
      <c r="F184">
        <v>270</v>
      </c>
      <c r="G184" t="s">
        <v>3577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>
      <c r="A185" t="s">
        <v>3689</v>
      </c>
      <c r="B185" t="s">
        <v>3498</v>
      </c>
      <c r="C185">
        <v>2020</v>
      </c>
      <c r="D185" t="s">
        <v>3485</v>
      </c>
      <c r="E185" t="s">
        <v>893</v>
      </c>
      <c r="F185">
        <v>0</v>
      </c>
      <c r="G185" t="s">
        <v>893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3690</v>
      </c>
      <c r="B186" t="s">
        <v>3498</v>
      </c>
      <c r="C186">
        <v>2020</v>
      </c>
      <c r="D186" t="s">
        <v>3502</v>
      </c>
      <c r="E186" t="s">
        <v>880</v>
      </c>
      <c r="F186">
        <v>0</v>
      </c>
      <c r="G186" t="s">
        <v>880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3691</v>
      </c>
      <c r="B187" t="s">
        <v>3498</v>
      </c>
      <c r="C187">
        <v>2020</v>
      </c>
      <c r="D187" t="s">
        <v>3502</v>
      </c>
      <c r="E187" t="s">
        <v>892</v>
      </c>
      <c r="F187">
        <v>90</v>
      </c>
      <c r="G187" t="s">
        <v>892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>
      <c r="A188" t="s">
        <v>3692</v>
      </c>
      <c r="B188" t="s">
        <v>3498</v>
      </c>
      <c r="C188">
        <v>2020</v>
      </c>
      <c r="D188" t="s">
        <v>3502</v>
      </c>
      <c r="E188" t="s">
        <v>3526</v>
      </c>
      <c r="F188">
        <v>270</v>
      </c>
      <c r="G188" t="s">
        <v>3526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3693</v>
      </c>
      <c r="B189" t="s">
        <v>3498</v>
      </c>
      <c r="C189">
        <v>2020</v>
      </c>
      <c r="D189" t="s">
        <v>3504</v>
      </c>
      <c r="E189" t="s">
        <v>3566</v>
      </c>
      <c r="F189">
        <v>0</v>
      </c>
      <c r="G189" t="s">
        <v>3566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3694</v>
      </c>
      <c r="B190" t="s">
        <v>3498</v>
      </c>
      <c r="C190">
        <v>2020</v>
      </c>
      <c r="D190" t="s">
        <v>3502</v>
      </c>
      <c r="E190" t="s">
        <v>3577</v>
      </c>
      <c r="F190">
        <v>0</v>
      </c>
      <c r="G190" t="s">
        <v>3577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3695</v>
      </c>
      <c r="B191" t="s">
        <v>3498</v>
      </c>
      <c r="C191">
        <v>2020</v>
      </c>
      <c r="D191" t="s">
        <v>3502</v>
      </c>
      <c r="E191" t="s">
        <v>3648</v>
      </c>
      <c r="F191">
        <v>42</v>
      </c>
      <c r="G191" t="s">
        <v>3648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3696</v>
      </c>
      <c r="B192" t="s">
        <v>3498</v>
      </c>
      <c r="C192">
        <v>2020</v>
      </c>
      <c r="D192" t="s">
        <v>3485</v>
      </c>
      <c r="E192" t="s">
        <v>3571</v>
      </c>
      <c r="F192">
        <v>900</v>
      </c>
      <c r="G192" t="s">
        <v>872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>
      <c r="A193" t="s">
        <v>3697</v>
      </c>
      <c r="B193" t="s">
        <v>3498</v>
      </c>
      <c r="C193">
        <v>2020</v>
      </c>
      <c r="D193" t="s">
        <v>3504</v>
      </c>
      <c r="E193" t="s">
        <v>3571</v>
      </c>
      <c r="F193">
        <v>103</v>
      </c>
      <c r="G193" t="s">
        <v>3571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3698</v>
      </c>
      <c r="B194" t="s">
        <v>3498</v>
      </c>
      <c r="C194">
        <v>2020</v>
      </c>
      <c r="D194" t="s">
        <v>3504</v>
      </c>
      <c r="E194" t="s">
        <v>3510</v>
      </c>
      <c r="F194">
        <v>233</v>
      </c>
      <c r="G194" t="s">
        <v>3510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3699</v>
      </c>
      <c r="B195" t="s">
        <v>3498</v>
      </c>
      <c r="C195">
        <v>2020</v>
      </c>
      <c r="D195" t="s">
        <v>3502</v>
      </c>
      <c r="E195" t="s">
        <v>3632</v>
      </c>
      <c r="F195">
        <v>0</v>
      </c>
      <c r="G195" t="s">
        <v>3526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3700</v>
      </c>
      <c r="B196" t="s">
        <v>3498</v>
      </c>
      <c r="C196">
        <v>2020</v>
      </c>
      <c r="D196" t="s">
        <v>3499</v>
      </c>
      <c r="E196" t="s">
        <v>3632</v>
      </c>
      <c r="F196">
        <v>218</v>
      </c>
      <c r="G196" t="s">
        <v>3632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>
      <c r="A197" t="s">
        <v>3701</v>
      </c>
      <c r="B197" t="s">
        <v>3498</v>
      </c>
      <c r="C197">
        <v>2020</v>
      </c>
      <c r="D197" t="s">
        <v>3502</v>
      </c>
      <c r="E197" t="s">
        <v>3546</v>
      </c>
      <c r="F197">
        <v>809</v>
      </c>
      <c r="G197" t="s">
        <v>3632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>
      <c r="A198" t="s">
        <v>3702</v>
      </c>
      <c r="B198" t="s">
        <v>3498</v>
      </c>
      <c r="C198">
        <v>2020</v>
      </c>
      <c r="D198" t="s">
        <v>3502</v>
      </c>
      <c r="E198" t="s">
        <v>3549</v>
      </c>
      <c r="F198">
        <v>797</v>
      </c>
      <c r="G198" t="s">
        <v>3549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3703</v>
      </c>
      <c r="B199" t="s">
        <v>3498</v>
      </c>
      <c r="C199">
        <v>2020</v>
      </c>
      <c r="D199" t="s">
        <v>3504</v>
      </c>
      <c r="E199" t="s">
        <v>3535</v>
      </c>
      <c r="F199">
        <v>90</v>
      </c>
      <c r="G199" t="s">
        <v>3535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3704</v>
      </c>
      <c r="B200" t="s">
        <v>3498</v>
      </c>
      <c r="C200">
        <v>2020</v>
      </c>
      <c r="D200" t="s">
        <v>3485</v>
      </c>
      <c r="E200" t="s">
        <v>3624</v>
      </c>
      <c r="F200">
        <v>450</v>
      </c>
      <c r="G200" t="s">
        <v>3624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3219</v>
      </c>
      <c r="B201" t="s">
        <v>3498</v>
      </c>
      <c r="C201">
        <v>2020</v>
      </c>
      <c r="D201" t="s">
        <v>3504</v>
      </c>
      <c r="E201" t="s">
        <v>3564</v>
      </c>
      <c r="F201">
        <v>509</v>
      </c>
      <c r="G201" t="s">
        <v>3564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>
      <c r="A202" t="s">
        <v>3705</v>
      </c>
      <c r="B202" t="s">
        <v>3498</v>
      </c>
      <c r="C202">
        <v>2020</v>
      </c>
      <c r="D202" t="s">
        <v>3485</v>
      </c>
      <c r="E202" t="s">
        <v>3632</v>
      </c>
      <c r="F202">
        <v>810</v>
      </c>
      <c r="G202" t="s">
        <v>3520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>
      <c r="A203" t="s">
        <v>1721</v>
      </c>
      <c r="B203" t="s">
        <v>3498</v>
      </c>
      <c r="C203">
        <v>2020</v>
      </c>
      <c r="D203" t="s">
        <v>3499</v>
      </c>
      <c r="E203" t="s">
        <v>888</v>
      </c>
      <c r="F203">
        <v>88</v>
      </c>
      <c r="G203" t="s">
        <v>888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>
      <c r="A204" t="s">
        <v>3706</v>
      </c>
      <c r="B204" t="s">
        <v>3498</v>
      </c>
      <c r="C204">
        <v>2020</v>
      </c>
      <c r="D204" t="s">
        <v>3504</v>
      </c>
      <c r="E204" t="s">
        <v>888</v>
      </c>
      <c r="F204">
        <v>370</v>
      </c>
      <c r="G204" t="s">
        <v>888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>
      <c r="A205" t="s">
        <v>3707</v>
      </c>
      <c r="B205" t="s">
        <v>3498</v>
      </c>
      <c r="C205">
        <v>2020</v>
      </c>
      <c r="D205" t="s">
        <v>3502</v>
      </c>
      <c r="E205" t="s">
        <v>3546</v>
      </c>
      <c r="F205">
        <v>0</v>
      </c>
      <c r="G205" t="s">
        <v>3546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3708</v>
      </c>
      <c r="B206" t="s">
        <v>3498</v>
      </c>
      <c r="C206">
        <v>2020</v>
      </c>
      <c r="D206" t="s">
        <v>3502</v>
      </c>
      <c r="E206" t="s">
        <v>3571</v>
      </c>
      <c r="F206">
        <v>187</v>
      </c>
      <c r="G206" t="s">
        <v>3571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>
      <c r="A207" t="s">
        <v>3709</v>
      </c>
      <c r="B207" t="s">
        <v>3498</v>
      </c>
      <c r="C207">
        <v>2020</v>
      </c>
      <c r="D207" t="s">
        <v>3485</v>
      </c>
      <c r="E207" t="s">
        <v>3592</v>
      </c>
      <c r="F207">
        <v>0</v>
      </c>
      <c r="G207" t="s">
        <v>3592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3710</v>
      </c>
      <c r="B208" t="s">
        <v>3498</v>
      </c>
      <c r="C208">
        <v>2020</v>
      </c>
      <c r="D208" t="s">
        <v>3502</v>
      </c>
      <c r="E208" t="s">
        <v>863</v>
      </c>
      <c r="F208">
        <v>122</v>
      </c>
      <c r="G208" t="s">
        <v>863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>
      <c r="A209" t="s">
        <v>3711</v>
      </c>
      <c r="B209" t="s">
        <v>3498</v>
      </c>
      <c r="C209">
        <v>2020</v>
      </c>
      <c r="D209" t="s">
        <v>3499</v>
      </c>
      <c r="E209" t="s">
        <v>3546</v>
      </c>
      <c r="F209">
        <v>190</v>
      </c>
      <c r="G209" t="s">
        <v>3546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>
      <c r="A210" t="s">
        <v>3712</v>
      </c>
      <c r="B210" t="s">
        <v>3498</v>
      </c>
      <c r="C210">
        <v>2020</v>
      </c>
      <c r="D210" t="s">
        <v>3499</v>
      </c>
      <c r="E210" t="s">
        <v>3577</v>
      </c>
      <c r="F210">
        <v>180</v>
      </c>
      <c r="G210" t="s">
        <v>3577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>
      <c r="A211" t="s">
        <v>3713</v>
      </c>
      <c r="B211" t="s">
        <v>3498</v>
      </c>
      <c r="C211">
        <v>2020</v>
      </c>
      <c r="D211" t="s">
        <v>3504</v>
      </c>
      <c r="E211" t="s">
        <v>3571</v>
      </c>
      <c r="F211">
        <v>0</v>
      </c>
      <c r="G211" t="s">
        <v>3571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3714</v>
      </c>
      <c r="B212" t="s">
        <v>3498</v>
      </c>
      <c r="C212">
        <v>2020</v>
      </c>
      <c r="D212" t="s">
        <v>3502</v>
      </c>
      <c r="E212" t="s">
        <v>3571</v>
      </c>
      <c r="F212">
        <v>0</v>
      </c>
      <c r="G212" t="s">
        <v>3571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3715</v>
      </c>
      <c r="B213" t="s">
        <v>3498</v>
      </c>
      <c r="C213">
        <v>2020</v>
      </c>
      <c r="D213" t="s">
        <v>3499</v>
      </c>
      <c r="E213" t="s">
        <v>3529</v>
      </c>
      <c r="F213">
        <v>280</v>
      </c>
      <c r="G213" t="s">
        <v>3530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>
      <c r="A214" t="s">
        <v>3716</v>
      </c>
      <c r="B214" t="s">
        <v>3498</v>
      </c>
      <c r="C214">
        <v>2020</v>
      </c>
      <c r="D214" t="s">
        <v>3504</v>
      </c>
      <c r="E214" t="s">
        <v>3535</v>
      </c>
      <c r="F214">
        <v>229</v>
      </c>
      <c r="G214" t="s">
        <v>3535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>
      <c r="A215" t="s">
        <v>3717</v>
      </c>
      <c r="B215" t="s">
        <v>3498</v>
      </c>
      <c r="C215">
        <v>2020</v>
      </c>
      <c r="D215" t="s">
        <v>3504</v>
      </c>
      <c r="E215" t="s">
        <v>3549</v>
      </c>
      <c r="F215">
        <v>498</v>
      </c>
      <c r="G215" t="s">
        <v>3549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>
      <c r="A216" t="s">
        <v>3718</v>
      </c>
      <c r="B216" t="s">
        <v>3498</v>
      </c>
      <c r="C216">
        <v>2020</v>
      </c>
      <c r="D216" t="s">
        <v>3504</v>
      </c>
      <c r="E216" t="s">
        <v>3549</v>
      </c>
      <c r="F216">
        <v>354</v>
      </c>
      <c r="G216" t="s">
        <v>3549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>
      <c r="A217" t="s">
        <v>3719</v>
      </c>
      <c r="B217" t="s">
        <v>3498</v>
      </c>
      <c r="C217">
        <v>2020</v>
      </c>
      <c r="D217" t="s">
        <v>3504</v>
      </c>
      <c r="E217" t="s">
        <v>3549</v>
      </c>
      <c r="F217">
        <v>686</v>
      </c>
      <c r="G217" t="s">
        <v>3549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3720</v>
      </c>
      <c r="B218" t="s">
        <v>3498</v>
      </c>
      <c r="C218">
        <v>2020</v>
      </c>
      <c r="D218" t="s">
        <v>3504</v>
      </c>
      <c r="E218" t="s">
        <v>3549</v>
      </c>
      <c r="F218">
        <v>0</v>
      </c>
      <c r="G218" t="s">
        <v>3549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3721</v>
      </c>
      <c r="B219" t="s">
        <v>3498</v>
      </c>
      <c r="C219">
        <v>2020</v>
      </c>
      <c r="D219" t="s">
        <v>3504</v>
      </c>
      <c r="E219" t="s">
        <v>3592</v>
      </c>
      <c r="F219">
        <v>263</v>
      </c>
      <c r="G219" t="s">
        <v>3592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>
      <c r="A220" t="s">
        <v>3722</v>
      </c>
      <c r="B220" t="s">
        <v>3498</v>
      </c>
      <c r="C220">
        <v>2020</v>
      </c>
      <c r="D220" t="s">
        <v>3485</v>
      </c>
      <c r="E220" t="s">
        <v>3571</v>
      </c>
      <c r="F220">
        <v>0</v>
      </c>
      <c r="G220" t="s">
        <v>3571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3723</v>
      </c>
      <c r="B221" t="s">
        <v>3498</v>
      </c>
      <c r="C221">
        <v>2020</v>
      </c>
      <c r="D221" t="s">
        <v>3499</v>
      </c>
      <c r="E221" t="s">
        <v>3571</v>
      </c>
      <c r="F221">
        <v>578</v>
      </c>
      <c r="G221" t="s">
        <v>3571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3724</v>
      </c>
      <c r="B222" t="s">
        <v>3498</v>
      </c>
      <c r="C222">
        <v>2020</v>
      </c>
      <c r="D222" t="s">
        <v>3502</v>
      </c>
      <c r="E222" t="s">
        <v>3571</v>
      </c>
      <c r="F222">
        <v>94</v>
      </c>
      <c r="G222" t="s">
        <v>3571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>
      <c r="A223" t="s">
        <v>2063</v>
      </c>
      <c r="B223" t="s">
        <v>3498</v>
      </c>
      <c r="C223">
        <v>2020</v>
      </c>
      <c r="D223" t="s">
        <v>3499</v>
      </c>
      <c r="E223" t="s">
        <v>877</v>
      </c>
      <c r="F223">
        <v>13</v>
      </c>
      <c r="G223" t="s">
        <v>877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>
      <c r="A224" t="s">
        <v>1930</v>
      </c>
      <c r="B224" t="s">
        <v>3498</v>
      </c>
      <c r="C224">
        <v>2020</v>
      </c>
      <c r="D224" t="s">
        <v>3499</v>
      </c>
      <c r="E224" t="s">
        <v>872</v>
      </c>
      <c r="F224">
        <v>867</v>
      </c>
      <c r="G224" t="s">
        <v>872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>
      <c r="A225" t="s">
        <v>3725</v>
      </c>
      <c r="B225" t="s">
        <v>3498</v>
      </c>
      <c r="C225">
        <v>2020</v>
      </c>
      <c r="D225" t="s">
        <v>3499</v>
      </c>
      <c r="E225" t="s">
        <v>877</v>
      </c>
      <c r="F225">
        <v>23</v>
      </c>
      <c r="G225" t="s">
        <v>877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3726</v>
      </c>
      <c r="B226" t="s">
        <v>3498</v>
      </c>
      <c r="C226">
        <v>2020</v>
      </c>
      <c r="D226" t="s">
        <v>3502</v>
      </c>
      <c r="E226" t="s">
        <v>877</v>
      </c>
      <c r="F226">
        <v>0</v>
      </c>
      <c r="G226" t="s">
        <v>877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3727</v>
      </c>
      <c r="B227" t="s">
        <v>3498</v>
      </c>
      <c r="C227">
        <v>2020</v>
      </c>
      <c r="D227" t="s">
        <v>3504</v>
      </c>
      <c r="E227" t="s">
        <v>3571</v>
      </c>
      <c r="F227">
        <v>30</v>
      </c>
      <c r="G227" t="s">
        <v>3571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3728</v>
      </c>
      <c r="B228" t="s">
        <v>3498</v>
      </c>
      <c r="C228">
        <v>2020</v>
      </c>
      <c r="D228" t="s">
        <v>3504</v>
      </c>
      <c r="E228" t="s">
        <v>3599</v>
      </c>
      <c r="F228">
        <v>208</v>
      </c>
      <c r="G228" t="s">
        <v>3599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3729</v>
      </c>
      <c r="B229" t="s">
        <v>3498</v>
      </c>
      <c r="C229">
        <v>2020</v>
      </c>
      <c r="D229" t="s">
        <v>3504</v>
      </c>
      <c r="E229" t="s">
        <v>3730</v>
      </c>
      <c r="F229">
        <v>250</v>
      </c>
      <c r="G229" t="s">
        <v>3730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3731</v>
      </c>
      <c r="B230" t="s">
        <v>3498</v>
      </c>
      <c r="C230">
        <v>2020</v>
      </c>
      <c r="D230" t="s">
        <v>3502</v>
      </c>
      <c r="E230" t="s">
        <v>3599</v>
      </c>
      <c r="F230">
        <v>180</v>
      </c>
      <c r="G230" t="s">
        <v>3599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>
      <c r="A231" t="s">
        <v>3732</v>
      </c>
      <c r="B231" t="s">
        <v>3498</v>
      </c>
      <c r="C231">
        <v>2020</v>
      </c>
      <c r="D231" t="s">
        <v>3502</v>
      </c>
      <c r="E231" t="s">
        <v>3571</v>
      </c>
      <c r="F231">
        <v>0</v>
      </c>
      <c r="G231" t="s">
        <v>877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3733</v>
      </c>
      <c r="B232" t="s">
        <v>3498</v>
      </c>
      <c r="C232">
        <v>2020</v>
      </c>
      <c r="D232" t="s">
        <v>3504</v>
      </c>
      <c r="E232" t="s">
        <v>3599</v>
      </c>
      <c r="F232">
        <v>757</v>
      </c>
      <c r="G232" t="s">
        <v>3599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>
      <c r="A233" t="s">
        <v>3734</v>
      </c>
      <c r="B233" t="s">
        <v>3498</v>
      </c>
      <c r="C233">
        <v>2020</v>
      </c>
      <c r="D233" t="s">
        <v>3502</v>
      </c>
      <c r="E233" t="s">
        <v>888</v>
      </c>
      <c r="F233">
        <v>83</v>
      </c>
      <c r="G233" t="s">
        <v>888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>
      <c r="A234" t="s">
        <v>3735</v>
      </c>
      <c r="B234" t="s">
        <v>3498</v>
      </c>
      <c r="C234">
        <v>2020</v>
      </c>
      <c r="D234" t="s">
        <v>3499</v>
      </c>
      <c r="E234" t="s">
        <v>3571</v>
      </c>
      <c r="F234">
        <v>7</v>
      </c>
      <c r="G234" t="s">
        <v>3571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3736</v>
      </c>
      <c r="B235" t="s">
        <v>3498</v>
      </c>
      <c r="C235">
        <v>2020</v>
      </c>
      <c r="D235" t="s">
        <v>3504</v>
      </c>
      <c r="E235" t="s">
        <v>3599</v>
      </c>
      <c r="F235">
        <v>9</v>
      </c>
      <c r="G235" t="s">
        <v>3599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3737</v>
      </c>
      <c r="B236" t="s">
        <v>3498</v>
      </c>
      <c r="C236">
        <v>2020</v>
      </c>
      <c r="D236" t="s">
        <v>3502</v>
      </c>
      <c r="E236" t="s">
        <v>3730</v>
      </c>
      <c r="F236">
        <v>450</v>
      </c>
      <c r="G236" t="s">
        <v>3730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3738</v>
      </c>
      <c r="B237" t="s">
        <v>3498</v>
      </c>
      <c r="C237">
        <v>2020</v>
      </c>
      <c r="D237" t="s">
        <v>3499</v>
      </c>
      <c r="E237" t="s">
        <v>3571</v>
      </c>
      <c r="F237">
        <v>52</v>
      </c>
      <c r="G237" t="s">
        <v>3571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3739</v>
      </c>
      <c r="B238" t="s">
        <v>3498</v>
      </c>
      <c r="C238">
        <v>2020</v>
      </c>
      <c r="D238" t="s">
        <v>3504</v>
      </c>
      <c r="E238" t="s">
        <v>3618</v>
      </c>
      <c r="F238">
        <v>269</v>
      </c>
      <c r="G238" t="s">
        <v>3618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>
      <c r="A239" t="s">
        <v>3740</v>
      </c>
      <c r="B239" t="s">
        <v>3498</v>
      </c>
      <c r="C239">
        <v>2020</v>
      </c>
      <c r="D239" t="s">
        <v>3499</v>
      </c>
      <c r="E239" t="s">
        <v>3577</v>
      </c>
      <c r="F239">
        <v>239</v>
      </c>
      <c r="G239" t="s">
        <v>3577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>
      <c r="A240" t="s">
        <v>3741</v>
      </c>
      <c r="B240" t="s">
        <v>3498</v>
      </c>
      <c r="C240">
        <v>2020</v>
      </c>
      <c r="D240" t="s">
        <v>3502</v>
      </c>
      <c r="E240" t="s">
        <v>3571</v>
      </c>
      <c r="F240">
        <v>0</v>
      </c>
      <c r="G240" t="s">
        <v>3571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3742</v>
      </c>
      <c r="B241" t="s">
        <v>3498</v>
      </c>
      <c r="C241">
        <v>2020</v>
      </c>
      <c r="D241" t="s">
        <v>3504</v>
      </c>
      <c r="E241" t="s">
        <v>3618</v>
      </c>
      <c r="F241">
        <v>416</v>
      </c>
      <c r="G241" t="s">
        <v>3618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>
      <c r="A242" t="s">
        <v>3743</v>
      </c>
      <c r="B242" t="s">
        <v>3498</v>
      </c>
      <c r="C242">
        <v>2020</v>
      </c>
      <c r="D242" t="s">
        <v>3502</v>
      </c>
      <c r="E242" t="s">
        <v>865</v>
      </c>
      <c r="F242">
        <v>107</v>
      </c>
      <c r="G242" t="s">
        <v>865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3744</v>
      </c>
      <c r="B243" t="s">
        <v>3498</v>
      </c>
      <c r="C243">
        <v>2020</v>
      </c>
      <c r="D243" t="s">
        <v>3504</v>
      </c>
      <c r="E243" t="s">
        <v>3508</v>
      </c>
      <c r="F243">
        <v>250</v>
      </c>
      <c r="G243" t="s">
        <v>3508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>
      <c r="A244" t="s">
        <v>3745</v>
      </c>
      <c r="B244" t="s">
        <v>3498</v>
      </c>
      <c r="C244">
        <v>2020</v>
      </c>
      <c r="D244" t="s">
        <v>3485</v>
      </c>
      <c r="E244" t="s">
        <v>3529</v>
      </c>
      <c r="F244">
        <v>0</v>
      </c>
      <c r="G244" t="s">
        <v>3530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3746</v>
      </c>
      <c r="B245" t="s">
        <v>3498</v>
      </c>
      <c r="C245">
        <v>2020</v>
      </c>
      <c r="D245" t="s">
        <v>3504</v>
      </c>
      <c r="E245" t="s">
        <v>3520</v>
      </c>
      <c r="F245">
        <v>0</v>
      </c>
      <c r="G245" t="s">
        <v>3520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3747</v>
      </c>
      <c r="B246" t="s">
        <v>3498</v>
      </c>
      <c r="C246">
        <v>2020</v>
      </c>
      <c r="D246" t="s">
        <v>3499</v>
      </c>
      <c r="E246" t="s">
        <v>3632</v>
      </c>
      <c r="F246">
        <v>218</v>
      </c>
      <c r="G246" t="s">
        <v>3632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>
      <c r="A247" t="s">
        <v>3748</v>
      </c>
      <c r="B247" t="s">
        <v>3498</v>
      </c>
      <c r="C247">
        <v>2020</v>
      </c>
      <c r="D247" t="s">
        <v>3502</v>
      </c>
      <c r="E247" t="s">
        <v>3535</v>
      </c>
      <c r="F247">
        <v>900</v>
      </c>
      <c r="G247" t="s">
        <v>3535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>
      <c r="A248" t="s">
        <v>3280</v>
      </c>
      <c r="B248" t="s">
        <v>3498</v>
      </c>
      <c r="C248">
        <v>2020</v>
      </c>
      <c r="D248" t="s">
        <v>3502</v>
      </c>
      <c r="E248" t="s">
        <v>897</v>
      </c>
      <c r="F248">
        <v>143</v>
      </c>
      <c r="G248" t="s">
        <v>897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3265</v>
      </c>
      <c r="B249" t="s">
        <v>3498</v>
      </c>
      <c r="C249">
        <v>2020</v>
      </c>
      <c r="D249" t="s">
        <v>3502</v>
      </c>
      <c r="E249" t="s">
        <v>897</v>
      </c>
      <c r="F249">
        <v>180</v>
      </c>
      <c r="G249" t="s">
        <v>897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>
      <c r="A250" t="s">
        <v>3749</v>
      </c>
      <c r="B250" t="s">
        <v>3498</v>
      </c>
      <c r="C250">
        <v>2020</v>
      </c>
      <c r="D250" t="s">
        <v>3499</v>
      </c>
      <c r="E250" t="s">
        <v>3555</v>
      </c>
      <c r="F250">
        <v>12</v>
      </c>
      <c r="G250" t="s">
        <v>3555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1295</v>
      </c>
      <c r="B251" t="s">
        <v>3498</v>
      </c>
      <c r="C251">
        <v>2020</v>
      </c>
      <c r="D251" t="s">
        <v>3504</v>
      </c>
      <c r="E251" t="s">
        <v>871</v>
      </c>
      <c r="F251">
        <v>360</v>
      </c>
      <c r="G251" t="s">
        <v>871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>
      <c r="A252" t="s">
        <v>3750</v>
      </c>
      <c r="B252" t="s">
        <v>3498</v>
      </c>
      <c r="C252">
        <v>2020</v>
      </c>
      <c r="D252" t="s">
        <v>3502</v>
      </c>
      <c r="E252" t="s">
        <v>3508</v>
      </c>
      <c r="F252">
        <v>350</v>
      </c>
      <c r="G252" t="s">
        <v>3508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>
      <c r="A253" t="s">
        <v>3751</v>
      </c>
      <c r="B253" t="s">
        <v>3498</v>
      </c>
      <c r="C253">
        <v>2020</v>
      </c>
      <c r="D253" t="s">
        <v>3502</v>
      </c>
      <c r="E253" t="s">
        <v>3624</v>
      </c>
      <c r="F253">
        <v>13</v>
      </c>
      <c r="G253" t="s">
        <v>3624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3752</v>
      </c>
      <c r="B254" t="s">
        <v>3498</v>
      </c>
      <c r="C254">
        <v>2020</v>
      </c>
      <c r="D254" t="s">
        <v>3502</v>
      </c>
      <c r="E254" t="s">
        <v>3523</v>
      </c>
      <c r="F254">
        <v>246</v>
      </c>
      <c r="G254" t="s">
        <v>3523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3753</v>
      </c>
      <c r="B255" t="s">
        <v>3498</v>
      </c>
      <c r="C255">
        <v>2020</v>
      </c>
      <c r="D255" t="s">
        <v>3499</v>
      </c>
      <c r="E255" t="s">
        <v>3754</v>
      </c>
      <c r="F255">
        <v>0</v>
      </c>
      <c r="G255" t="s">
        <v>3754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3755</v>
      </c>
      <c r="B256" t="s">
        <v>3498</v>
      </c>
      <c r="C256">
        <v>2020</v>
      </c>
      <c r="D256" t="s">
        <v>3502</v>
      </c>
      <c r="E256" t="s">
        <v>3510</v>
      </c>
      <c r="F256">
        <v>540</v>
      </c>
      <c r="G256" t="s">
        <v>3510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>
      <c r="A257" t="s">
        <v>224</v>
      </c>
      <c r="B257" t="s">
        <v>3498</v>
      </c>
      <c r="C257">
        <v>2020</v>
      </c>
      <c r="D257" t="s">
        <v>3485</v>
      </c>
      <c r="E257" t="s">
        <v>3503</v>
      </c>
      <c r="F257">
        <v>900</v>
      </c>
      <c r="G257" t="s">
        <v>879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>
      <c r="A258" t="s">
        <v>3756</v>
      </c>
      <c r="B258" t="s">
        <v>3498</v>
      </c>
      <c r="C258">
        <v>2020</v>
      </c>
      <c r="D258" t="s">
        <v>3499</v>
      </c>
      <c r="E258" t="s">
        <v>3508</v>
      </c>
      <c r="F258">
        <v>354</v>
      </c>
      <c r="G258" t="s">
        <v>3508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>
      <c r="A259" t="s">
        <v>3757</v>
      </c>
      <c r="B259" t="s">
        <v>3498</v>
      </c>
      <c r="C259">
        <v>2020</v>
      </c>
      <c r="D259" t="s">
        <v>3504</v>
      </c>
      <c r="E259" t="s">
        <v>897</v>
      </c>
      <c r="F259">
        <v>563</v>
      </c>
      <c r="G259" t="s">
        <v>897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>
      <c r="A260" t="s">
        <v>3758</v>
      </c>
      <c r="B260" t="s">
        <v>3498</v>
      </c>
      <c r="C260">
        <v>2020</v>
      </c>
      <c r="D260" t="s">
        <v>3502</v>
      </c>
      <c r="E260" t="s">
        <v>897</v>
      </c>
      <c r="F260">
        <v>72</v>
      </c>
      <c r="G260" t="s">
        <v>897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3759</v>
      </c>
      <c r="B261" t="s">
        <v>3498</v>
      </c>
      <c r="C261">
        <v>2020</v>
      </c>
      <c r="D261" t="s">
        <v>3502</v>
      </c>
      <c r="E261" t="s">
        <v>3535</v>
      </c>
      <c r="F261">
        <v>0</v>
      </c>
      <c r="G261" t="s">
        <v>3535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3760</v>
      </c>
      <c r="B262" t="s">
        <v>3498</v>
      </c>
      <c r="C262">
        <v>2020</v>
      </c>
      <c r="D262" t="s">
        <v>3502</v>
      </c>
      <c r="E262" t="s">
        <v>888</v>
      </c>
      <c r="F262">
        <v>540</v>
      </c>
      <c r="G262" t="s">
        <v>888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>
      <c r="A263" t="s">
        <v>3761</v>
      </c>
      <c r="B263" t="s">
        <v>3498</v>
      </c>
      <c r="C263">
        <v>2020</v>
      </c>
      <c r="D263" t="s">
        <v>3504</v>
      </c>
      <c r="E263" t="s">
        <v>3508</v>
      </c>
      <c r="F263">
        <v>572</v>
      </c>
      <c r="G263" t="s">
        <v>3508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>
      <c r="A264" t="s">
        <v>3762</v>
      </c>
      <c r="B264" t="s">
        <v>3498</v>
      </c>
      <c r="C264">
        <v>2020</v>
      </c>
      <c r="D264" t="s">
        <v>3499</v>
      </c>
      <c r="E264" t="s">
        <v>3508</v>
      </c>
      <c r="F264">
        <v>123</v>
      </c>
      <c r="G264" t="s">
        <v>3508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3763</v>
      </c>
      <c r="B265" t="s">
        <v>3498</v>
      </c>
      <c r="C265">
        <v>2020</v>
      </c>
      <c r="D265" t="s">
        <v>3499</v>
      </c>
      <c r="E265" t="s">
        <v>3546</v>
      </c>
      <c r="F265">
        <v>416</v>
      </c>
      <c r="G265" t="s">
        <v>3546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>
      <c r="A266" t="s">
        <v>3764</v>
      </c>
      <c r="B266" t="s">
        <v>3498</v>
      </c>
      <c r="C266">
        <v>2020</v>
      </c>
      <c r="D266" t="s">
        <v>3502</v>
      </c>
      <c r="E266" t="s">
        <v>3624</v>
      </c>
      <c r="F266">
        <v>0</v>
      </c>
      <c r="G266" t="s">
        <v>3624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67</v>
      </c>
      <c r="B267" t="s">
        <v>3498</v>
      </c>
      <c r="C267">
        <v>2020</v>
      </c>
      <c r="D267" t="s">
        <v>3502</v>
      </c>
      <c r="E267" t="s">
        <v>879</v>
      </c>
      <c r="F267">
        <v>450</v>
      </c>
      <c r="G267" t="s">
        <v>879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>
      <c r="A268" t="s">
        <v>368</v>
      </c>
      <c r="B268" t="s">
        <v>3498</v>
      </c>
      <c r="C268">
        <v>2020</v>
      </c>
      <c r="D268" t="s">
        <v>3502</v>
      </c>
      <c r="E268" t="s">
        <v>865</v>
      </c>
      <c r="F268">
        <v>640</v>
      </c>
      <c r="G268" t="s">
        <v>865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>
      <c r="A269" t="s">
        <v>3765</v>
      </c>
      <c r="B269" t="s">
        <v>3498</v>
      </c>
      <c r="C269">
        <v>2020</v>
      </c>
      <c r="D269" t="s">
        <v>3499</v>
      </c>
      <c r="E269" t="s">
        <v>3624</v>
      </c>
      <c r="F269">
        <v>24</v>
      </c>
      <c r="G269" t="s">
        <v>3624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3766</v>
      </c>
      <c r="B270" t="s">
        <v>3498</v>
      </c>
      <c r="C270">
        <v>2020</v>
      </c>
      <c r="D270" t="s">
        <v>3504</v>
      </c>
      <c r="E270" t="s">
        <v>897</v>
      </c>
      <c r="F270">
        <v>0</v>
      </c>
      <c r="G270" t="s">
        <v>897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3767</v>
      </c>
      <c r="B271" t="s">
        <v>3498</v>
      </c>
      <c r="C271">
        <v>2020</v>
      </c>
      <c r="D271" t="s">
        <v>3499</v>
      </c>
      <c r="E271" t="s">
        <v>871</v>
      </c>
      <c r="F271">
        <v>0</v>
      </c>
      <c r="G271" t="s">
        <v>871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3768</v>
      </c>
      <c r="B272" t="s">
        <v>3498</v>
      </c>
      <c r="C272">
        <v>2020</v>
      </c>
      <c r="D272" t="s">
        <v>3485</v>
      </c>
      <c r="E272" t="s">
        <v>3592</v>
      </c>
      <c r="F272">
        <v>720</v>
      </c>
      <c r="G272" t="s">
        <v>3592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3769</v>
      </c>
      <c r="B273" t="s">
        <v>3498</v>
      </c>
      <c r="C273">
        <v>2020</v>
      </c>
      <c r="D273" t="s">
        <v>3499</v>
      </c>
      <c r="E273" t="s">
        <v>870</v>
      </c>
      <c r="F273">
        <v>90</v>
      </c>
      <c r="G273" t="s">
        <v>870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>
      <c r="A274" t="s">
        <v>3770</v>
      </c>
      <c r="B274" t="s">
        <v>3498</v>
      </c>
      <c r="C274">
        <v>2020</v>
      </c>
      <c r="D274" t="s">
        <v>3504</v>
      </c>
      <c r="E274" t="s">
        <v>3632</v>
      </c>
      <c r="F274">
        <v>548</v>
      </c>
      <c r="G274" t="s">
        <v>3632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>
      <c r="A275" t="s">
        <v>360</v>
      </c>
      <c r="B275" t="s">
        <v>3498</v>
      </c>
      <c r="C275">
        <v>2020</v>
      </c>
      <c r="D275" t="s">
        <v>3502</v>
      </c>
      <c r="E275" t="s">
        <v>891</v>
      </c>
      <c r="F275">
        <v>75</v>
      </c>
      <c r="G275" t="s">
        <v>891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1499</v>
      </c>
      <c r="B276" t="s">
        <v>3498</v>
      </c>
      <c r="C276">
        <v>2020</v>
      </c>
      <c r="D276" t="s">
        <v>3502</v>
      </c>
      <c r="E276" t="s">
        <v>891</v>
      </c>
      <c r="F276">
        <v>632</v>
      </c>
      <c r="G276" t="s">
        <v>891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>
      <c r="A277" t="s">
        <v>3771</v>
      </c>
      <c r="B277" t="s">
        <v>3498</v>
      </c>
      <c r="C277">
        <v>2020</v>
      </c>
      <c r="D277" t="s">
        <v>3504</v>
      </c>
      <c r="E277" t="s">
        <v>3515</v>
      </c>
      <c r="F277">
        <v>636</v>
      </c>
      <c r="G277" t="s">
        <v>3515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>
      <c r="A278" t="s">
        <v>3772</v>
      </c>
      <c r="B278" t="s">
        <v>3498</v>
      </c>
      <c r="C278">
        <v>2020</v>
      </c>
      <c r="D278" t="s">
        <v>3499</v>
      </c>
      <c r="E278" t="s">
        <v>865</v>
      </c>
      <c r="F278">
        <v>0</v>
      </c>
      <c r="G278" t="s">
        <v>865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3773</v>
      </c>
      <c r="B279" t="s">
        <v>3498</v>
      </c>
      <c r="C279">
        <v>2020</v>
      </c>
      <c r="D279" t="s">
        <v>3504</v>
      </c>
      <c r="E279" t="s">
        <v>3624</v>
      </c>
      <c r="F279">
        <v>417</v>
      </c>
      <c r="G279" t="s">
        <v>3624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>
      <c r="A280" t="s">
        <v>3774</v>
      </c>
      <c r="B280" t="s">
        <v>3498</v>
      </c>
      <c r="C280">
        <v>2020</v>
      </c>
      <c r="D280" t="s">
        <v>3502</v>
      </c>
      <c r="E280" t="s">
        <v>3546</v>
      </c>
      <c r="F280">
        <v>696</v>
      </c>
      <c r="G280" t="s">
        <v>3546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>
      <c r="A281" t="s">
        <v>3775</v>
      </c>
      <c r="B281" t="s">
        <v>3498</v>
      </c>
      <c r="C281">
        <v>2020</v>
      </c>
      <c r="D281" t="s">
        <v>3504</v>
      </c>
      <c r="E281" t="s">
        <v>862</v>
      </c>
      <c r="F281">
        <v>30</v>
      </c>
      <c r="G281" t="s">
        <v>862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3776</v>
      </c>
      <c r="B282" t="s">
        <v>3498</v>
      </c>
      <c r="C282">
        <v>2020</v>
      </c>
      <c r="D282" t="s">
        <v>3504</v>
      </c>
      <c r="E282" t="s">
        <v>3632</v>
      </c>
      <c r="F282">
        <v>0</v>
      </c>
      <c r="G282" t="s">
        <v>3632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209</v>
      </c>
      <c r="B283" t="s">
        <v>3498</v>
      </c>
      <c r="C283">
        <v>2020</v>
      </c>
      <c r="D283" t="s">
        <v>3504</v>
      </c>
      <c r="E283" t="s">
        <v>893</v>
      </c>
      <c r="F283">
        <v>682</v>
      </c>
      <c r="G283" t="s">
        <v>893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>
      <c r="A284" t="s">
        <v>247</v>
      </c>
      <c r="B284" t="s">
        <v>3498</v>
      </c>
      <c r="C284">
        <v>2020</v>
      </c>
      <c r="D284" t="s">
        <v>3485</v>
      </c>
      <c r="E284" t="s">
        <v>892</v>
      </c>
      <c r="F284">
        <v>0</v>
      </c>
      <c r="G284" t="s">
        <v>892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3777</v>
      </c>
      <c r="B285" t="s">
        <v>3498</v>
      </c>
      <c r="C285">
        <v>2020</v>
      </c>
      <c r="D285" t="s">
        <v>3499</v>
      </c>
      <c r="E285" t="s">
        <v>3632</v>
      </c>
      <c r="F285">
        <v>746</v>
      </c>
      <c r="G285" t="s">
        <v>3632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>
      <c r="A286" t="s">
        <v>3778</v>
      </c>
      <c r="B286" t="s">
        <v>3498</v>
      </c>
      <c r="C286">
        <v>2020</v>
      </c>
      <c r="D286" t="s">
        <v>3504</v>
      </c>
      <c r="E286" t="s">
        <v>3632</v>
      </c>
      <c r="F286">
        <v>458</v>
      </c>
      <c r="G286" t="s">
        <v>3632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>
      <c r="A287" t="s">
        <v>3779</v>
      </c>
      <c r="B287" t="s">
        <v>3498</v>
      </c>
      <c r="C287">
        <v>2020</v>
      </c>
      <c r="D287" t="s">
        <v>3504</v>
      </c>
      <c r="E287" t="s">
        <v>3624</v>
      </c>
      <c r="F287">
        <v>958</v>
      </c>
      <c r="G287" t="s">
        <v>3624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>
      <c r="A288" t="s">
        <v>3780</v>
      </c>
      <c r="B288" t="s">
        <v>3498</v>
      </c>
      <c r="C288">
        <v>2020</v>
      </c>
      <c r="D288" t="s">
        <v>3502</v>
      </c>
      <c r="E288" t="s">
        <v>3597</v>
      </c>
      <c r="F288">
        <v>90</v>
      </c>
      <c r="G288" t="s">
        <v>3597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3781</v>
      </c>
      <c r="B289" t="s">
        <v>3498</v>
      </c>
      <c r="C289">
        <v>2020</v>
      </c>
      <c r="D289" t="s">
        <v>3504</v>
      </c>
      <c r="E289" t="s">
        <v>3549</v>
      </c>
      <c r="F289">
        <v>1026</v>
      </c>
      <c r="G289" t="s">
        <v>3549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>
      <c r="A290" t="s">
        <v>3782</v>
      </c>
      <c r="B290" t="s">
        <v>3498</v>
      </c>
      <c r="C290">
        <v>2020</v>
      </c>
      <c r="D290" t="s">
        <v>3502</v>
      </c>
      <c r="E290" t="s">
        <v>3549</v>
      </c>
      <c r="F290">
        <v>174</v>
      </c>
      <c r="G290" t="s">
        <v>3549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>
      <c r="A291" t="s">
        <v>3783</v>
      </c>
      <c r="B291" t="s">
        <v>3498</v>
      </c>
      <c r="C291">
        <v>2020</v>
      </c>
      <c r="D291" t="s">
        <v>3499</v>
      </c>
      <c r="E291" t="s">
        <v>3566</v>
      </c>
      <c r="F291">
        <v>71</v>
      </c>
      <c r="G291" t="s">
        <v>3566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3784</v>
      </c>
      <c r="B292" t="s">
        <v>3498</v>
      </c>
      <c r="C292">
        <v>2020</v>
      </c>
      <c r="D292" t="s">
        <v>3504</v>
      </c>
      <c r="E292" t="s">
        <v>3615</v>
      </c>
      <c r="F292">
        <v>0</v>
      </c>
      <c r="G292" t="s">
        <v>3615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3785</v>
      </c>
      <c r="B293" t="s">
        <v>3498</v>
      </c>
      <c r="C293">
        <v>2020</v>
      </c>
      <c r="D293" t="s">
        <v>3499</v>
      </c>
      <c r="E293" t="s">
        <v>3597</v>
      </c>
      <c r="F293">
        <v>274</v>
      </c>
      <c r="G293" t="s">
        <v>3597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>
      <c r="A294" t="s">
        <v>3786</v>
      </c>
      <c r="B294" t="s">
        <v>3498</v>
      </c>
      <c r="C294">
        <v>2020</v>
      </c>
      <c r="D294" t="s">
        <v>3485</v>
      </c>
      <c r="E294" t="s">
        <v>3566</v>
      </c>
      <c r="F294">
        <v>0</v>
      </c>
      <c r="G294" t="s">
        <v>3566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3787</v>
      </c>
      <c r="B295" t="s">
        <v>3498</v>
      </c>
      <c r="C295">
        <v>2020</v>
      </c>
      <c r="D295" t="s">
        <v>3504</v>
      </c>
      <c r="E295" t="s">
        <v>891</v>
      </c>
      <c r="F295">
        <v>465</v>
      </c>
      <c r="G295" t="s">
        <v>891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>
      <c r="A296" t="s">
        <v>3215</v>
      </c>
      <c r="B296" t="s">
        <v>3498</v>
      </c>
      <c r="C296">
        <v>2020</v>
      </c>
      <c r="D296" t="s">
        <v>3499</v>
      </c>
      <c r="E296" t="s">
        <v>3564</v>
      </c>
      <c r="F296">
        <v>841</v>
      </c>
      <c r="G296" t="s">
        <v>3564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>
      <c r="A297" t="s">
        <v>3788</v>
      </c>
      <c r="B297" t="s">
        <v>3498</v>
      </c>
      <c r="C297">
        <v>2020</v>
      </c>
      <c r="D297" t="s">
        <v>3502</v>
      </c>
      <c r="E297" t="s">
        <v>877</v>
      </c>
      <c r="F297">
        <v>79</v>
      </c>
      <c r="G297" t="s">
        <v>877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>
      <c r="A298" t="s">
        <v>3789</v>
      </c>
      <c r="B298" t="s">
        <v>3498</v>
      </c>
      <c r="C298">
        <v>2020</v>
      </c>
      <c r="D298" t="s">
        <v>3502</v>
      </c>
      <c r="E298" t="s">
        <v>3515</v>
      </c>
      <c r="F298">
        <v>496</v>
      </c>
      <c r="G298" t="s">
        <v>3515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>
      <c r="A299" t="s">
        <v>3790</v>
      </c>
      <c r="B299" t="s">
        <v>3498</v>
      </c>
      <c r="C299">
        <v>2020</v>
      </c>
      <c r="D299" t="s">
        <v>3502</v>
      </c>
      <c r="E299" t="s">
        <v>3529</v>
      </c>
      <c r="F299">
        <v>18</v>
      </c>
      <c r="G299" t="s">
        <v>3526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3791</v>
      </c>
      <c r="B300" t="s">
        <v>3498</v>
      </c>
      <c r="C300">
        <v>2020</v>
      </c>
      <c r="D300" t="s">
        <v>3504</v>
      </c>
      <c r="E300" t="s">
        <v>882</v>
      </c>
      <c r="F300">
        <v>0</v>
      </c>
      <c r="G300" t="s">
        <v>882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3792</v>
      </c>
      <c r="B301" t="s">
        <v>3498</v>
      </c>
      <c r="C301">
        <v>2020</v>
      </c>
      <c r="D301" t="s">
        <v>3502</v>
      </c>
      <c r="E301" t="s">
        <v>3520</v>
      </c>
      <c r="F301">
        <v>90</v>
      </c>
      <c r="G301" t="s">
        <v>3520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3793</v>
      </c>
      <c r="B302" t="s">
        <v>3498</v>
      </c>
      <c r="C302">
        <v>2020</v>
      </c>
      <c r="D302" t="s">
        <v>3485</v>
      </c>
      <c r="E302" t="s">
        <v>3526</v>
      </c>
      <c r="F302">
        <v>0</v>
      </c>
      <c r="G302" t="s">
        <v>3526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3794</v>
      </c>
      <c r="B303" t="s">
        <v>3498</v>
      </c>
      <c r="C303">
        <v>2020</v>
      </c>
      <c r="D303" t="s">
        <v>3502</v>
      </c>
      <c r="E303" t="s">
        <v>3577</v>
      </c>
      <c r="F303">
        <v>90</v>
      </c>
      <c r="G303" t="s">
        <v>3577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>
      <c r="A304" t="s">
        <v>3795</v>
      </c>
      <c r="B304" t="s">
        <v>3498</v>
      </c>
      <c r="C304">
        <v>2020</v>
      </c>
      <c r="D304" t="s">
        <v>3502</v>
      </c>
      <c r="E304" t="s">
        <v>880</v>
      </c>
      <c r="F304">
        <v>660</v>
      </c>
      <c r="G304" t="s">
        <v>880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>
      <c r="A305" t="s">
        <v>3796</v>
      </c>
      <c r="B305" t="s">
        <v>3498</v>
      </c>
      <c r="C305">
        <v>2020</v>
      </c>
      <c r="D305" t="s">
        <v>3502</v>
      </c>
      <c r="E305" t="s">
        <v>897</v>
      </c>
      <c r="F305">
        <v>540</v>
      </c>
      <c r="G305" t="s">
        <v>897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>
      <c r="A306" t="s">
        <v>3797</v>
      </c>
      <c r="B306" t="s">
        <v>3498</v>
      </c>
      <c r="C306">
        <v>2020</v>
      </c>
      <c r="D306" t="s">
        <v>3502</v>
      </c>
      <c r="E306" t="s">
        <v>3566</v>
      </c>
      <c r="F306">
        <v>0</v>
      </c>
      <c r="G306" t="s">
        <v>3566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3798</v>
      </c>
      <c r="B307" t="s">
        <v>3498</v>
      </c>
      <c r="C307">
        <v>2020</v>
      </c>
      <c r="D307" t="s">
        <v>3504</v>
      </c>
      <c r="E307" t="s">
        <v>3566</v>
      </c>
      <c r="F307">
        <v>234</v>
      </c>
      <c r="G307" t="s">
        <v>3566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3799</v>
      </c>
      <c r="B308" t="s">
        <v>3498</v>
      </c>
      <c r="C308">
        <v>2020</v>
      </c>
      <c r="D308" t="s">
        <v>3502</v>
      </c>
      <c r="E308" t="s">
        <v>3523</v>
      </c>
      <c r="F308">
        <v>0</v>
      </c>
      <c r="G308" t="s">
        <v>3523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3800</v>
      </c>
      <c r="B309" t="s">
        <v>3498</v>
      </c>
      <c r="C309">
        <v>2020</v>
      </c>
      <c r="D309" t="s">
        <v>3485</v>
      </c>
      <c r="E309" t="s">
        <v>3523</v>
      </c>
      <c r="F309">
        <v>0</v>
      </c>
      <c r="G309" t="s">
        <v>3523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3801</v>
      </c>
      <c r="B310" t="s">
        <v>3498</v>
      </c>
      <c r="C310">
        <v>2020</v>
      </c>
      <c r="D310" t="s">
        <v>3504</v>
      </c>
      <c r="E310" t="s">
        <v>3615</v>
      </c>
      <c r="F310">
        <v>90</v>
      </c>
      <c r="G310" t="s">
        <v>3802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3803</v>
      </c>
      <c r="B311" t="s">
        <v>3498</v>
      </c>
      <c r="C311">
        <v>2020</v>
      </c>
      <c r="D311" t="s">
        <v>3502</v>
      </c>
      <c r="E311" t="s">
        <v>871</v>
      </c>
      <c r="F311">
        <v>0</v>
      </c>
      <c r="G311" t="s">
        <v>871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3804</v>
      </c>
      <c r="B312" t="s">
        <v>3498</v>
      </c>
      <c r="C312">
        <v>2020</v>
      </c>
      <c r="D312" t="s">
        <v>3504</v>
      </c>
      <c r="E312" t="s">
        <v>3535</v>
      </c>
      <c r="F312">
        <v>867</v>
      </c>
      <c r="G312" t="s">
        <v>3535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>
      <c r="A313" t="s">
        <v>3805</v>
      </c>
      <c r="B313" t="s">
        <v>3498</v>
      </c>
      <c r="C313">
        <v>2020</v>
      </c>
      <c r="D313" t="s">
        <v>3502</v>
      </c>
      <c r="E313" t="s">
        <v>3529</v>
      </c>
      <c r="F313">
        <v>90</v>
      </c>
      <c r="G313" t="s">
        <v>880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3806</v>
      </c>
      <c r="B314" t="s">
        <v>3498</v>
      </c>
      <c r="C314">
        <v>2020</v>
      </c>
      <c r="D314" t="s">
        <v>3504</v>
      </c>
      <c r="E314" t="s">
        <v>3520</v>
      </c>
      <c r="F314">
        <v>0</v>
      </c>
      <c r="G314" t="s">
        <v>3520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3807</v>
      </c>
      <c r="B315" t="s">
        <v>3498</v>
      </c>
      <c r="C315">
        <v>2020</v>
      </c>
      <c r="D315" t="s">
        <v>3502</v>
      </c>
      <c r="E315" t="s">
        <v>896</v>
      </c>
      <c r="F315">
        <v>0</v>
      </c>
      <c r="G315" t="s">
        <v>896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3808</v>
      </c>
      <c r="B316" t="s">
        <v>3498</v>
      </c>
      <c r="C316">
        <v>2020</v>
      </c>
      <c r="D316" t="s">
        <v>3504</v>
      </c>
      <c r="E316" t="s">
        <v>3526</v>
      </c>
      <c r="F316">
        <v>0</v>
      </c>
      <c r="G316" t="s">
        <v>3526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1728</v>
      </c>
      <c r="B317" t="s">
        <v>3498</v>
      </c>
      <c r="C317">
        <v>2020</v>
      </c>
      <c r="D317" t="s">
        <v>3499</v>
      </c>
      <c r="E317" t="s">
        <v>866</v>
      </c>
      <c r="F317">
        <v>493</v>
      </c>
      <c r="G317" t="s">
        <v>866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>
      <c r="A318" t="s">
        <v>3809</v>
      </c>
      <c r="B318" t="s">
        <v>3498</v>
      </c>
      <c r="C318">
        <v>2020</v>
      </c>
      <c r="D318" t="s">
        <v>3504</v>
      </c>
      <c r="E318" t="s">
        <v>3730</v>
      </c>
      <c r="F318">
        <v>0</v>
      </c>
      <c r="G318" t="s">
        <v>3730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3810</v>
      </c>
      <c r="B319" t="s">
        <v>3498</v>
      </c>
      <c r="C319">
        <v>2020</v>
      </c>
      <c r="D319" t="s">
        <v>3504</v>
      </c>
      <c r="E319" t="s">
        <v>893</v>
      </c>
      <c r="F319">
        <v>46</v>
      </c>
      <c r="G319" t="s">
        <v>893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3811</v>
      </c>
      <c r="B320" t="s">
        <v>3498</v>
      </c>
      <c r="C320">
        <v>2020</v>
      </c>
      <c r="D320" t="s">
        <v>3504</v>
      </c>
      <c r="E320" t="s">
        <v>893</v>
      </c>
      <c r="F320">
        <v>427</v>
      </c>
      <c r="G320" t="s">
        <v>893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>
      <c r="A321" t="s">
        <v>3812</v>
      </c>
      <c r="B321" t="s">
        <v>3498</v>
      </c>
      <c r="C321">
        <v>2020</v>
      </c>
      <c r="D321" t="s">
        <v>3499</v>
      </c>
      <c r="E321" t="s">
        <v>880</v>
      </c>
      <c r="F321">
        <v>499</v>
      </c>
      <c r="G321" t="s">
        <v>880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>
      <c r="A322" t="s">
        <v>1808</v>
      </c>
      <c r="B322" t="s">
        <v>3498</v>
      </c>
      <c r="C322">
        <v>2020</v>
      </c>
      <c r="D322" t="s">
        <v>3504</v>
      </c>
      <c r="E322" t="s">
        <v>863</v>
      </c>
      <c r="F322">
        <v>90</v>
      </c>
      <c r="G322" t="s">
        <v>863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>
      <c r="A323" t="s">
        <v>3813</v>
      </c>
      <c r="B323" t="s">
        <v>3498</v>
      </c>
      <c r="C323">
        <v>2020</v>
      </c>
      <c r="D323" t="s">
        <v>3499</v>
      </c>
      <c r="E323" t="s">
        <v>862</v>
      </c>
      <c r="F323">
        <v>628</v>
      </c>
      <c r="G323" t="s">
        <v>862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>
      <c r="A324" t="s">
        <v>3814</v>
      </c>
      <c r="B324" t="s">
        <v>3498</v>
      </c>
      <c r="C324">
        <v>2020</v>
      </c>
      <c r="D324" t="s">
        <v>3502</v>
      </c>
      <c r="E324" t="s">
        <v>3510</v>
      </c>
      <c r="F324">
        <v>450</v>
      </c>
      <c r="G324" t="s">
        <v>3510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>
      <c r="A325" t="s">
        <v>3815</v>
      </c>
      <c r="B325" t="s">
        <v>3498</v>
      </c>
      <c r="C325">
        <v>2020</v>
      </c>
      <c r="D325" t="s">
        <v>3502</v>
      </c>
      <c r="E325" t="s">
        <v>862</v>
      </c>
      <c r="F325">
        <v>314</v>
      </c>
      <c r="G325" t="s">
        <v>862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>
      <c r="A326" t="s">
        <v>63</v>
      </c>
      <c r="B326" t="s">
        <v>3498</v>
      </c>
      <c r="C326">
        <v>2020</v>
      </c>
      <c r="D326" t="s">
        <v>3504</v>
      </c>
      <c r="E326" t="s">
        <v>879</v>
      </c>
      <c r="F326">
        <v>169</v>
      </c>
      <c r="G326" t="s">
        <v>879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>
      <c r="A327" t="s">
        <v>2368</v>
      </c>
      <c r="B327" t="s">
        <v>3498</v>
      </c>
      <c r="C327">
        <v>2020</v>
      </c>
      <c r="D327" t="s">
        <v>3504</v>
      </c>
      <c r="E327" t="s">
        <v>895</v>
      </c>
      <c r="F327">
        <v>1003</v>
      </c>
      <c r="G327" t="s">
        <v>895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>
      <c r="A328" t="s">
        <v>3816</v>
      </c>
      <c r="B328" t="s">
        <v>3498</v>
      </c>
      <c r="C328">
        <v>2020</v>
      </c>
      <c r="D328" t="s">
        <v>3504</v>
      </c>
      <c r="E328" t="s">
        <v>3500</v>
      </c>
      <c r="F328">
        <v>34</v>
      </c>
      <c r="G328" t="s">
        <v>3500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3817</v>
      </c>
      <c r="B329" t="s">
        <v>3498</v>
      </c>
      <c r="C329">
        <v>2020</v>
      </c>
      <c r="D329" t="s">
        <v>3502</v>
      </c>
      <c r="E329" t="s">
        <v>895</v>
      </c>
      <c r="F329">
        <v>40</v>
      </c>
      <c r="G329" t="s">
        <v>895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>
      <c r="A330" t="s">
        <v>574</v>
      </c>
      <c r="B330" t="s">
        <v>3498</v>
      </c>
      <c r="C330">
        <v>2020</v>
      </c>
      <c r="D330" t="s">
        <v>3499</v>
      </c>
      <c r="E330" t="s">
        <v>3500</v>
      </c>
      <c r="F330">
        <v>328</v>
      </c>
      <c r="G330" t="s">
        <v>879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621</v>
      </c>
      <c r="B331" t="s">
        <v>3498</v>
      </c>
      <c r="C331">
        <v>2020</v>
      </c>
      <c r="D331" t="s">
        <v>3499</v>
      </c>
      <c r="E331" t="s">
        <v>879</v>
      </c>
      <c r="F331">
        <v>21</v>
      </c>
      <c r="G331" t="s">
        <v>879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3818</v>
      </c>
      <c r="B332" t="s">
        <v>3498</v>
      </c>
      <c r="C332">
        <v>2020</v>
      </c>
      <c r="D332" t="s">
        <v>3504</v>
      </c>
      <c r="E332" t="s">
        <v>876</v>
      </c>
      <c r="F332">
        <v>90</v>
      </c>
      <c r="G332" t="s">
        <v>876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>
      <c r="A333" t="s">
        <v>133</v>
      </c>
      <c r="B333" t="s">
        <v>3498</v>
      </c>
      <c r="C333">
        <v>2020</v>
      </c>
      <c r="D333" t="s">
        <v>3485</v>
      </c>
      <c r="E333" t="s">
        <v>3500</v>
      </c>
      <c r="F333">
        <v>0</v>
      </c>
      <c r="G333" t="s">
        <v>3500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3819</v>
      </c>
      <c r="B334" t="s">
        <v>3498</v>
      </c>
      <c r="C334">
        <v>2020</v>
      </c>
      <c r="D334" t="s">
        <v>3502</v>
      </c>
      <c r="E334" t="s">
        <v>3599</v>
      </c>
      <c r="F334">
        <v>563</v>
      </c>
      <c r="G334" t="s">
        <v>3599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>
      <c r="A335" t="s">
        <v>3820</v>
      </c>
      <c r="B335" t="s">
        <v>3498</v>
      </c>
      <c r="C335">
        <v>2020</v>
      </c>
      <c r="D335" t="s">
        <v>3504</v>
      </c>
      <c r="E335" t="s">
        <v>3510</v>
      </c>
      <c r="F335">
        <v>171</v>
      </c>
      <c r="G335" t="s">
        <v>3510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>
      <c r="A336" t="s">
        <v>3821</v>
      </c>
      <c r="B336" t="s">
        <v>3498</v>
      </c>
      <c r="C336">
        <v>2020</v>
      </c>
      <c r="D336" t="s">
        <v>3499</v>
      </c>
      <c r="E336" t="s">
        <v>866</v>
      </c>
      <c r="F336">
        <v>109</v>
      </c>
      <c r="G336" t="s">
        <v>866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>
      <c r="A337" t="s">
        <v>3822</v>
      </c>
      <c r="B337" t="s">
        <v>3498</v>
      </c>
      <c r="C337">
        <v>2020</v>
      </c>
      <c r="D337" t="s">
        <v>3502</v>
      </c>
      <c r="E337" t="s">
        <v>862</v>
      </c>
      <c r="F337">
        <v>421</v>
      </c>
      <c r="G337" t="s">
        <v>862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3823</v>
      </c>
      <c r="B338" t="s">
        <v>3498</v>
      </c>
      <c r="C338">
        <v>2020</v>
      </c>
      <c r="D338" t="s">
        <v>3504</v>
      </c>
      <c r="E338" t="s">
        <v>862</v>
      </c>
      <c r="F338">
        <v>166</v>
      </c>
      <c r="G338" t="s">
        <v>862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>
      <c r="A339" t="s">
        <v>252</v>
      </c>
      <c r="B339" t="s">
        <v>3498</v>
      </c>
      <c r="C339">
        <v>2020</v>
      </c>
      <c r="D339" t="s">
        <v>3499</v>
      </c>
      <c r="E339" t="s">
        <v>862</v>
      </c>
      <c r="F339">
        <v>459</v>
      </c>
      <c r="G339" t="s">
        <v>862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>
      <c r="A340" t="s">
        <v>3824</v>
      </c>
      <c r="B340" t="s">
        <v>3498</v>
      </c>
      <c r="C340">
        <v>2020</v>
      </c>
      <c r="D340" t="s">
        <v>3504</v>
      </c>
      <c r="E340" t="s">
        <v>3602</v>
      </c>
      <c r="F340">
        <v>61</v>
      </c>
      <c r="G340" t="s">
        <v>3602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3825</v>
      </c>
      <c r="B341" t="s">
        <v>3498</v>
      </c>
      <c r="C341">
        <v>2020</v>
      </c>
      <c r="D341" t="s">
        <v>3504</v>
      </c>
      <c r="E341" t="s">
        <v>3648</v>
      </c>
      <c r="F341">
        <v>527</v>
      </c>
      <c r="G341" t="s">
        <v>3648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3826</v>
      </c>
      <c r="B342" t="s">
        <v>3498</v>
      </c>
      <c r="C342">
        <v>2020</v>
      </c>
      <c r="D342" t="s">
        <v>3502</v>
      </c>
      <c r="E342" t="s">
        <v>895</v>
      </c>
      <c r="F342">
        <v>450</v>
      </c>
      <c r="G342" t="s">
        <v>895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3122</v>
      </c>
      <c r="B343" t="s">
        <v>3498</v>
      </c>
      <c r="C343">
        <v>2020</v>
      </c>
      <c r="D343" t="s">
        <v>3502</v>
      </c>
      <c r="E343" t="s">
        <v>865</v>
      </c>
      <c r="F343">
        <v>90</v>
      </c>
      <c r="G343" t="s">
        <v>865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>
      <c r="A344" t="s">
        <v>2580</v>
      </c>
      <c r="B344" t="s">
        <v>3498</v>
      </c>
      <c r="C344">
        <v>2020</v>
      </c>
      <c r="D344" t="s">
        <v>3502</v>
      </c>
      <c r="E344" t="s">
        <v>865</v>
      </c>
      <c r="F344">
        <v>450</v>
      </c>
      <c r="G344" t="s">
        <v>865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>
      <c r="A345" t="s">
        <v>3827</v>
      </c>
      <c r="B345" t="s">
        <v>3498</v>
      </c>
      <c r="C345">
        <v>2020</v>
      </c>
      <c r="D345" t="s">
        <v>3502</v>
      </c>
      <c r="E345" t="s">
        <v>3555</v>
      </c>
      <c r="F345">
        <v>46</v>
      </c>
      <c r="G345" t="s">
        <v>3555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250</v>
      </c>
      <c r="B346" t="s">
        <v>3498</v>
      </c>
      <c r="C346">
        <v>2020</v>
      </c>
      <c r="D346" t="s">
        <v>3499</v>
      </c>
      <c r="E346" t="s">
        <v>871</v>
      </c>
      <c r="F346">
        <v>106</v>
      </c>
      <c r="G346" t="s">
        <v>871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>
      <c r="A347" t="s">
        <v>1345</v>
      </c>
      <c r="B347" t="s">
        <v>3498</v>
      </c>
      <c r="C347">
        <v>2020</v>
      </c>
      <c r="D347" t="s">
        <v>3504</v>
      </c>
      <c r="E347" t="s">
        <v>869</v>
      </c>
      <c r="F347">
        <v>720</v>
      </c>
      <c r="G347" t="s">
        <v>869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>
      <c r="A348" t="s">
        <v>2798</v>
      </c>
      <c r="B348" t="s">
        <v>3498</v>
      </c>
      <c r="C348">
        <v>2020</v>
      </c>
      <c r="D348" t="s">
        <v>3499</v>
      </c>
      <c r="E348" t="s">
        <v>866</v>
      </c>
      <c r="F348">
        <v>102</v>
      </c>
      <c r="G348" t="s">
        <v>866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>
      <c r="A349" t="s">
        <v>3828</v>
      </c>
      <c r="B349" t="s">
        <v>3498</v>
      </c>
      <c r="C349">
        <v>2020</v>
      </c>
      <c r="D349" t="s">
        <v>3499</v>
      </c>
      <c r="E349" t="s">
        <v>869</v>
      </c>
      <c r="F349">
        <v>223</v>
      </c>
      <c r="G349" t="s">
        <v>869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>
      <c r="A350" t="s">
        <v>3829</v>
      </c>
      <c r="B350" t="s">
        <v>3498</v>
      </c>
      <c r="C350">
        <v>2020</v>
      </c>
      <c r="D350" t="s">
        <v>3504</v>
      </c>
      <c r="E350" t="s">
        <v>869</v>
      </c>
      <c r="F350">
        <v>0</v>
      </c>
      <c r="G350" t="s">
        <v>869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3830</v>
      </c>
      <c r="B351" t="s">
        <v>3498</v>
      </c>
      <c r="C351">
        <v>2020</v>
      </c>
      <c r="D351" t="s">
        <v>3504</v>
      </c>
      <c r="E351" t="s">
        <v>3555</v>
      </c>
      <c r="F351">
        <v>360</v>
      </c>
      <c r="G351" t="s">
        <v>3555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>
      <c r="A352" t="s">
        <v>2865</v>
      </c>
      <c r="B352" t="s">
        <v>3498</v>
      </c>
      <c r="C352">
        <v>2020</v>
      </c>
      <c r="D352" t="s">
        <v>3502</v>
      </c>
      <c r="E352" t="s">
        <v>878</v>
      </c>
      <c r="F352">
        <v>130</v>
      </c>
      <c r="G352" t="s">
        <v>878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3831</v>
      </c>
      <c r="B353" t="s">
        <v>3498</v>
      </c>
      <c r="C353">
        <v>2020</v>
      </c>
      <c r="D353" t="s">
        <v>3502</v>
      </c>
      <c r="E353" t="s">
        <v>3648</v>
      </c>
      <c r="F353">
        <v>90</v>
      </c>
      <c r="G353" t="s">
        <v>3648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230</v>
      </c>
      <c r="B354" t="s">
        <v>3498</v>
      </c>
      <c r="C354">
        <v>2020</v>
      </c>
      <c r="D354" t="s">
        <v>3502</v>
      </c>
      <c r="E354" t="s">
        <v>3500</v>
      </c>
      <c r="F354">
        <v>44</v>
      </c>
      <c r="G354" t="s">
        <v>3500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3832</v>
      </c>
      <c r="B355" t="s">
        <v>3498</v>
      </c>
      <c r="C355">
        <v>2020</v>
      </c>
      <c r="D355" t="s">
        <v>3502</v>
      </c>
      <c r="E355" t="s">
        <v>3503</v>
      </c>
      <c r="F355">
        <v>0</v>
      </c>
      <c r="G355" t="s">
        <v>879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3833</v>
      </c>
      <c r="B356" t="s">
        <v>3498</v>
      </c>
      <c r="C356">
        <v>2020</v>
      </c>
      <c r="D356" t="s">
        <v>3485</v>
      </c>
      <c r="E356" t="s">
        <v>878</v>
      </c>
      <c r="F356">
        <v>360</v>
      </c>
      <c r="G356" t="s">
        <v>878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3834</v>
      </c>
      <c r="B357" t="s">
        <v>3498</v>
      </c>
      <c r="C357">
        <v>2020</v>
      </c>
      <c r="D357" t="s">
        <v>3504</v>
      </c>
      <c r="E357" t="s">
        <v>3537</v>
      </c>
      <c r="F357">
        <v>434</v>
      </c>
      <c r="G357" t="s">
        <v>3537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>
      <c r="A358" t="s">
        <v>3835</v>
      </c>
      <c r="B358" t="s">
        <v>3498</v>
      </c>
      <c r="C358">
        <v>2020</v>
      </c>
      <c r="D358" t="s">
        <v>3485</v>
      </c>
      <c r="E358" t="s">
        <v>3537</v>
      </c>
      <c r="F358">
        <v>990</v>
      </c>
      <c r="G358" t="s">
        <v>3537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1053</v>
      </c>
      <c r="B359" t="s">
        <v>3498</v>
      </c>
      <c r="C359">
        <v>2020</v>
      </c>
      <c r="D359" t="s">
        <v>3499</v>
      </c>
      <c r="E359" t="s">
        <v>863</v>
      </c>
      <c r="F359">
        <v>325</v>
      </c>
      <c r="G359" t="s">
        <v>863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>
      <c r="A360" t="s">
        <v>3836</v>
      </c>
      <c r="B360" t="s">
        <v>3498</v>
      </c>
      <c r="C360">
        <v>2020</v>
      </c>
      <c r="D360" t="s">
        <v>3485</v>
      </c>
      <c r="E360" t="s">
        <v>3592</v>
      </c>
      <c r="F360">
        <v>0</v>
      </c>
      <c r="G360" t="s">
        <v>3592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3837</v>
      </c>
      <c r="B361" t="s">
        <v>3498</v>
      </c>
      <c r="C361">
        <v>2020</v>
      </c>
      <c r="D361" t="s">
        <v>3499</v>
      </c>
      <c r="E361" t="s">
        <v>3537</v>
      </c>
      <c r="F361">
        <v>429</v>
      </c>
      <c r="G361" t="s">
        <v>3537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>
      <c r="A362" t="s">
        <v>3838</v>
      </c>
      <c r="B362" t="s">
        <v>3498</v>
      </c>
      <c r="C362">
        <v>2020</v>
      </c>
      <c r="D362" t="s">
        <v>3502</v>
      </c>
      <c r="E362" t="s">
        <v>891</v>
      </c>
      <c r="F362">
        <v>630</v>
      </c>
      <c r="G362" t="s">
        <v>891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>
      <c r="A363" t="s">
        <v>2567</v>
      </c>
      <c r="B363" t="s">
        <v>3498</v>
      </c>
      <c r="C363">
        <v>2020</v>
      </c>
      <c r="D363" t="s">
        <v>3504</v>
      </c>
      <c r="E363" t="s">
        <v>865</v>
      </c>
      <c r="F363">
        <v>630</v>
      </c>
      <c r="G363" t="s">
        <v>865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>
      <c r="A364" t="s">
        <v>3839</v>
      </c>
      <c r="B364" t="s">
        <v>3498</v>
      </c>
      <c r="C364">
        <v>2020</v>
      </c>
      <c r="D364" t="s">
        <v>3485</v>
      </c>
      <c r="E364" t="s">
        <v>3503</v>
      </c>
      <c r="F364">
        <v>0</v>
      </c>
      <c r="G364" t="s">
        <v>3503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44</v>
      </c>
      <c r="B365" t="s">
        <v>3498</v>
      </c>
      <c r="C365">
        <v>2020</v>
      </c>
      <c r="D365" t="s">
        <v>3504</v>
      </c>
      <c r="E365" t="s">
        <v>3500</v>
      </c>
      <c r="F365">
        <v>682</v>
      </c>
      <c r="G365" t="s">
        <v>3500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>
      <c r="A366" t="s">
        <v>3840</v>
      </c>
      <c r="B366" t="s">
        <v>3498</v>
      </c>
      <c r="C366">
        <v>2020</v>
      </c>
      <c r="D366" t="s">
        <v>3502</v>
      </c>
      <c r="E366" t="s">
        <v>3503</v>
      </c>
      <c r="F366">
        <v>31</v>
      </c>
      <c r="G366" t="s">
        <v>3503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3841</v>
      </c>
      <c r="B367" t="s">
        <v>3498</v>
      </c>
      <c r="C367">
        <v>2020</v>
      </c>
      <c r="D367" t="s">
        <v>3499</v>
      </c>
      <c r="E367" t="s">
        <v>3503</v>
      </c>
      <c r="F367">
        <v>235</v>
      </c>
      <c r="G367" t="s">
        <v>3503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>
      <c r="A368" t="s">
        <v>3842</v>
      </c>
      <c r="B368" t="s">
        <v>3498</v>
      </c>
      <c r="C368">
        <v>2020</v>
      </c>
      <c r="D368" t="s">
        <v>3504</v>
      </c>
      <c r="E368" t="s">
        <v>3537</v>
      </c>
      <c r="F368">
        <v>0</v>
      </c>
      <c r="G368" t="s">
        <v>3537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3843</v>
      </c>
      <c r="B369" t="s">
        <v>3498</v>
      </c>
      <c r="C369">
        <v>2020</v>
      </c>
      <c r="D369" t="s">
        <v>3504</v>
      </c>
      <c r="E369" t="s">
        <v>3599</v>
      </c>
      <c r="F369">
        <v>110</v>
      </c>
      <c r="G369" t="s">
        <v>3599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3844</v>
      </c>
      <c r="B370" t="s">
        <v>3498</v>
      </c>
      <c r="C370">
        <v>2020</v>
      </c>
      <c r="D370" t="s">
        <v>3504</v>
      </c>
      <c r="E370" t="s">
        <v>3537</v>
      </c>
      <c r="F370">
        <v>0</v>
      </c>
      <c r="G370" t="s">
        <v>3537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3845</v>
      </c>
      <c r="B371" t="s">
        <v>3498</v>
      </c>
      <c r="C371">
        <v>2020</v>
      </c>
      <c r="D371" t="s">
        <v>3502</v>
      </c>
      <c r="E371" t="s">
        <v>3648</v>
      </c>
      <c r="F371">
        <v>136</v>
      </c>
      <c r="G371" t="s">
        <v>3648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>
      <c r="A372" t="s">
        <v>3846</v>
      </c>
      <c r="B372" t="s">
        <v>3498</v>
      </c>
      <c r="C372">
        <v>2020</v>
      </c>
      <c r="D372" t="s">
        <v>3485</v>
      </c>
      <c r="E372" t="s">
        <v>3648</v>
      </c>
      <c r="F372">
        <v>400</v>
      </c>
      <c r="G372" t="s">
        <v>3648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1333</v>
      </c>
      <c r="B373" t="s">
        <v>3498</v>
      </c>
      <c r="C373">
        <v>2020</v>
      </c>
      <c r="D373" t="s">
        <v>3504</v>
      </c>
      <c r="E373" t="s">
        <v>891</v>
      </c>
      <c r="F373">
        <v>540</v>
      </c>
      <c r="G373" t="s">
        <v>891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>
      <c r="A374" t="s">
        <v>3847</v>
      </c>
      <c r="B374" t="s">
        <v>3498</v>
      </c>
      <c r="C374">
        <v>2020</v>
      </c>
      <c r="D374" t="s">
        <v>3504</v>
      </c>
      <c r="E374" t="s">
        <v>3503</v>
      </c>
      <c r="F374">
        <v>454</v>
      </c>
      <c r="G374" t="s">
        <v>3503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3848</v>
      </c>
      <c r="B375" t="s">
        <v>3498</v>
      </c>
      <c r="C375">
        <v>2020</v>
      </c>
      <c r="D375" t="s">
        <v>3502</v>
      </c>
      <c r="E375" t="s">
        <v>3537</v>
      </c>
      <c r="F375">
        <v>90</v>
      </c>
      <c r="G375" t="s">
        <v>3537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>
      <c r="A376" t="s">
        <v>3849</v>
      </c>
      <c r="B376" t="s">
        <v>3498</v>
      </c>
      <c r="C376">
        <v>2020</v>
      </c>
      <c r="D376" t="s">
        <v>3485</v>
      </c>
      <c r="E376" t="s">
        <v>3537</v>
      </c>
      <c r="F376">
        <v>0</v>
      </c>
      <c r="G376" t="s">
        <v>3537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3850</v>
      </c>
      <c r="B377" t="s">
        <v>3498</v>
      </c>
      <c r="C377">
        <v>2020</v>
      </c>
      <c r="D377" t="s">
        <v>3502</v>
      </c>
      <c r="E377" t="s">
        <v>3503</v>
      </c>
      <c r="F377">
        <v>909</v>
      </c>
      <c r="G377" t="s">
        <v>3503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3002</v>
      </c>
      <c r="B378" t="s">
        <v>3498</v>
      </c>
      <c r="C378">
        <v>2020</v>
      </c>
      <c r="D378" t="s">
        <v>3485</v>
      </c>
      <c r="E378" t="s">
        <v>895</v>
      </c>
      <c r="F378">
        <v>0</v>
      </c>
      <c r="G378" t="s">
        <v>895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3851</v>
      </c>
      <c r="B379" t="s">
        <v>3498</v>
      </c>
      <c r="C379">
        <v>2020</v>
      </c>
      <c r="D379" t="s">
        <v>3485</v>
      </c>
      <c r="E379" t="s">
        <v>895</v>
      </c>
      <c r="F379">
        <v>0</v>
      </c>
      <c r="G379" t="s">
        <v>879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3852</v>
      </c>
      <c r="B380" t="s">
        <v>3498</v>
      </c>
      <c r="C380">
        <v>2020</v>
      </c>
      <c r="D380" t="s">
        <v>3502</v>
      </c>
      <c r="E380" t="s">
        <v>3532</v>
      </c>
      <c r="F380">
        <v>450</v>
      </c>
      <c r="G380" t="s">
        <v>3532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>
      <c r="A381" t="s">
        <v>3853</v>
      </c>
      <c r="B381" t="s">
        <v>3498</v>
      </c>
      <c r="C381">
        <v>2020</v>
      </c>
      <c r="D381" t="s">
        <v>3502</v>
      </c>
      <c r="E381" t="s">
        <v>3537</v>
      </c>
      <c r="F381">
        <v>180</v>
      </c>
      <c r="G381" t="s">
        <v>3537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3854</v>
      </c>
      <c r="B382" t="s">
        <v>3498</v>
      </c>
      <c r="C382">
        <v>2020</v>
      </c>
      <c r="D382" t="s">
        <v>3504</v>
      </c>
      <c r="E382" t="s">
        <v>3506</v>
      </c>
      <c r="F382">
        <v>544</v>
      </c>
      <c r="G382" t="s">
        <v>3506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>
      <c r="A383" t="s">
        <v>3855</v>
      </c>
      <c r="B383" t="s">
        <v>3498</v>
      </c>
      <c r="C383">
        <v>2020</v>
      </c>
      <c r="D383" t="s">
        <v>3502</v>
      </c>
      <c r="E383" t="s">
        <v>863</v>
      </c>
      <c r="F383">
        <v>268</v>
      </c>
      <c r="G383" t="s">
        <v>863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>
      <c r="A384" t="s">
        <v>3856</v>
      </c>
      <c r="B384" t="s">
        <v>3498</v>
      </c>
      <c r="C384">
        <v>2020</v>
      </c>
      <c r="D384" t="s">
        <v>3502</v>
      </c>
      <c r="E384" t="s">
        <v>863</v>
      </c>
      <c r="F384">
        <v>90</v>
      </c>
      <c r="G384" t="s">
        <v>863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>
      <c r="A385" t="s">
        <v>1030</v>
      </c>
      <c r="B385" t="s">
        <v>3498</v>
      </c>
      <c r="C385">
        <v>2020</v>
      </c>
      <c r="D385" t="s">
        <v>3499</v>
      </c>
      <c r="E385" t="s">
        <v>893</v>
      </c>
      <c r="F385">
        <v>642</v>
      </c>
      <c r="G385" t="s">
        <v>893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>
      <c r="A386" t="s">
        <v>2364</v>
      </c>
      <c r="B386" t="s">
        <v>3498</v>
      </c>
      <c r="C386">
        <v>2020</v>
      </c>
      <c r="D386" t="s">
        <v>3502</v>
      </c>
      <c r="E386" t="s">
        <v>3500</v>
      </c>
      <c r="F386">
        <v>0</v>
      </c>
      <c r="G386" t="s">
        <v>3500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2548</v>
      </c>
      <c r="B387" t="s">
        <v>3498</v>
      </c>
      <c r="C387">
        <v>2020</v>
      </c>
      <c r="D387" t="s">
        <v>3504</v>
      </c>
      <c r="E387" t="s">
        <v>872</v>
      </c>
      <c r="F387">
        <v>173</v>
      </c>
      <c r="G387" t="s">
        <v>872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>
      <c r="A388" t="s">
        <v>1594</v>
      </c>
      <c r="B388" t="s">
        <v>3498</v>
      </c>
      <c r="C388">
        <v>2020</v>
      </c>
      <c r="D388" t="s">
        <v>3502</v>
      </c>
      <c r="E388" t="s">
        <v>876</v>
      </c>
      <c r="F388">
        <v>630</v>
      </c>
      <c r="G388" t="s">
        <v>876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>
      <c r="A389" t="s">
        <v>3857</v>
      </c>
      <c r="B389" t="s">
        <v>3498</v>
      </c>
      <c r="C389">
        <v>2020</v>
      </c>
      <c r="D389" t="s">
        <v>3504</v>
      </c>
      <c r="E389" t="s">
        <v>888</v>
      </c>
      <c r="F389">
        <v>13</v>
      </c>
      <c r="G389" t="s">
        <v>888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>
      <c r="A390" t="s">
        <v>3858</v>
      </c>
      <c r="B390" t="s">
        <v>3498</v>
      </c>
      <c r="C390">
        <v>2020</v>
      </c>
      <c r="D390" t="s">
        <v>3504</v>
      </c>
      <c r="E390" t="s">
        <v>888</v>
      </c>
      <c r="F390">
        <v>0</v>
      </c>
      <c r="G390" t="s">
        <v>888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3859</v>
      </c>
      <c r="B391" t="s">
        <v>3498</v>
      </c>
      <c r="C391">
        <v>2020</v>
      </c>
      <c r="D391" t="s">
        <v>3504</v>
      </c>
      <c r="E391" t="s">
        <v>3520</v>
      </c>
      <c r="F391">
        <v>0</v>
      </c>
      <c r="G391" t="s">
        <v>3520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3860</v>
      </c>
      <c r="B392" t="s">
        <v>3498</v>
      </c>
      <c r="C392">
        <v>2020</v>
      </c>
      <c r="D392" t="s">
        <v>3485</v>
      </c>
      <c r="E392" t="s">
        <v>3520</v>
      </c>
      <c r="F392">
        <v>0</v>
      </c>
      <c r="G392" t="s">
        <v>3520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3861</v>
      </c>
      <c r="B393" t="s">
        <v>3498</v>
      </c>
      <c r="C393">
        <v>2020</v>
      </c>
      <c r="D393" t="s">
        <v>3499</v>
      </c>
      <c r="E393" t="s">
        <v>3515</v>
      </c>
      <c r="F393">
        <v>26</v>
      </c>
      <c r="G393" t="s">
        <v>3515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3172</v>
      </c>
      <c r="B394" t="s">
        <v>3498</v>
      </c>
      <c r="C394">
        <v>2020</v>
      </c>
      <c r="D394" t="s">
        <v>3485</v>
      </c>
      <c r="E394" t="s">
        <v>3564</v>
      </c>
      <c r="F394">
        <v>0</v>
      </c>
      <c r="G394" t="s">
        <v>3564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3862</v>
      </c>
      <c r="B395" t="s">
        <v>3498</v>
      </c>
      <c r="C395">
        <v>2020</v>
      </c>
      <c r="D395" t="s">
        <v>3504</v>
      </c>
      <c r="E395" t="s">
        <v>3624</v>
      </c>
      <c r="F395">
        <v>300</v>
      </c>
      <c r="G395" t="s">
        <v>3624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>
      <c r="A396" t="s">
        <v>3863</v>
      </c>
      <c r="B396" t="s">
        <v>3498</v>
      </c>
      <c r="C396">
        <v>2020</v>
      </c>
      <c r="D396" t="s">
        <v>3504</v>
      </c>
      <c r="E396" t="s">
        <v>3537</v>
      </c>
      <c r="F396">
        <v>28</v>
      </c>
      <c r="G396" t="s">
        <v>3537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>
      <c r="A397" t="s">
        <v>3864</v>
      </c>
      <c r="B397" t="s">
        <v>3498</v>
      </c>
      <c r="C397">
        <v>2020</v>
      </c>
      <c r="D397" t="s">
        <v>3504</v>
      </c>
      <c r="E397" t="s">
        <v>3555</v>
      </c>
      <c r="F397">
        <v>166</v>
      </c>
      <c r="G397" t="s">
        <v>3555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>
      <c r="A398" t="s">
        <v>406</v>
      </c>
      <c r="B398" t="s">
        <v>3498</v>
      </c>
      <c r="C398">
        <v>2020</v>
      </c>
      <c r="D398" t="s">
        <v>3504</v>
      </c>
      <c r="E398" t="s">
        <v>885</v>
      </c>
      <c r="F398">
        <v>305</v>
      </c>
      <c r="G398" t="s">
        <v>885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>
      <c r="A399" t="s">
        <v>1189</v>
      </c>
      <c r="B399" t="s">
        <v>3498</v>
      </c>
      <c r="C399">
        <v>2020</v>
      </c>
      <c r="D399" t="s">
        <v>3504</v>
      </c>
      <c r="E399" t="s">
        <v>885</v>
      </c>
      <c r="F399">
        <v>24</v>
      </c>
      <c r="G399" t="s">
        <v>885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>
      <c r="A400" t="s">
        <v>3865</v>
      </c>
      <c r="B400" t="s">
        <v>3498</v>
      </c>
      <c r="C400">
        <v>2020</v>
      </c>
      <c r="D400" t="s">
        <v>3499</v>
      </c>
      <c r="E400" t="s">
        <v>3555</v>
      </c>
      <c r="F400">
        <v>170</v>
      </c>
      <c r="G400" t="s">
        <v>3555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>
      <c r="A401" t="s">
        <v>3205</v>
      </c>
      <c r="B401" t="s">
        <v>3498</v>
      </c>
      <c r="C401">
        <v>2020</v>
      </c>
      <c r="D401" t="s">
        <v>3504</v>
      </c>
      <c r="E401" t="s">
        <v>3564</v>
      </c>
      <c r="F401">
        <v>39</v>
      </c>
      <c r="G401" t="s">
        <v>3564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3866</v>
      </c>
      <c r="B402" t="s">
        <v>3498</v>
      </c>
      <c r="C402">
        <v>2020</v>
      </c>
      <c r="D402" t="s">
        <v>3502</v>
      </c>
      <c r="E402" t="s">
        <v>3503</v>
      </c>
      <c r="F402">
        <v>0</v>
      </c>
      <c r="G402" t="s">
        <v>879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3867</v>
      </c>
      <c r="B403" t="s">
        <v>3498</v>
      </c>
      <c r="C403">
        <v>2020</v>
      </c>
      <c r="D403" t="s">
        <v>3485</v>
      </c>
      <c r="E403" t="s">
        <v>3564</v>
      </c>
      <c r="F403">
        <v>0</v>
      </c>
      <c r="G403" t="s">
        <v>3564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3868</v>
      </c>
      <c r="B404" t="s">
        <v>3498</v>
      </c>
      <c r="C404">
        <v>2020</v>
      </c>
      <c r="D404" t="s">
        <v>3504</v>
      </c>
      <c r="E404" t="s">
        <v>3592</v>
      </c>
      <c r="F404">
        <v>229</v>
      </c>
      <c r="G404" t="s">
        <v>3592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>
      <c r="A405" t="s">
        <v>3869</v>
      </c>
      <c r="B405" t="s">
        <v>3498</v>
      </c>
      <c r="C405">
        <v>2020</v>
      </c>
      <c r="D405" t="s">
        <v>3502</v>
      </c>
      <c r="E405" t="s">
        <v>893</v>
      </c>
      <c r="F405">
        <v>0</v>
      </c>
      <c r="G405" t="s">
        <v>893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3870</v>
      </c>
      <c r="B406" t="s">
        <v>3498</v>
      </c>
      <c r="C406">
        <v>2020</v>
      </c>
      <c r="D406" t="s">
        <v>3502</v>
      </c>
      <c r="E406" t="s">
        <v>885</v>
      </c>
      <c r="F406">
        <v>351</v>
      </c>
      <c r="G406" t="s">
        <v>885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3871</v>
      </c>
      <c r="B407" t="s">
        <v>3498</v>
      </c>
      <c r="C407">
        <v>2020</v>
      </c>
      <c r="D407" t="s">
        <v>3499</v>
      </c>
      <c r="E407" t="s">
        <v>893</v>
      </c>
      <c r="F407">
        <v>0</v>
      </c>
      <c r="G407" t="s">
        <v>893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3872</v>
      </c>
      <c r="B408" t="s">
        <v>3498</v>
      </c>
      <c r="C408">
        <v>2020</v>
      </c>
      <c r="D408" t="s">
        <v>3504</v>
      </c>
      <c r="E408" t="s">
        <v>897</v>
      </c>
      <c r="F408">
        <v>8</v>
      </c>
      <c r="G408" t="s">
        <v>897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>
      <c r="A409" t="s">
        <v>3873</v>
      </c>
      <c r="B409" t="s">
        <v>3498</v>
      </c>
      <c r="C409">
        <v>2020</v>
      </c>
      <c r="D409" t="s">
        <v>3485</v>
      </c>
      <c r="E409" t="s">
        <v>869</v>
      </c>
      <c r="F409">
        <v>0</v>
      </c>
      <c r="G409" t="s">
        <v>869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436</v>
      </c>
      <c r="B410" t="s">
        <v>3498</v>
      </c>
      <c r="C410">
        <v>2020</v>
      </c>
      <c r="D410" t="s">
        <v>3504</v>
      </c>
      <c r="E410" t="s">
        <v>865</v>
      </c>
      <c r="F410">
        <v>684</v>
      </c>
      <c r="G410" t="s">
        <v>865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>
      <c r="A411" t="s">
        <v>3874</v>
      </c>
      <c r="B411" t="s">
        <v>3498</v>
      </c>
      <c r="C411">
        <v>2020</v>
      </c>
      <c r="D411" t="s">
        <v>3502</v>
      </c>
      <c r="E411" t="s">
        <v>3592</v>
      </c>
      <c r="F411">
        <v>585</v>
      </c>
      <c r="G411" t="s">
        <v>3592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>
      <c r="A412" t="s">
        <v>3875</v>
      </c>
      <c r="B412" t="s">
        <v>3498</v>
      </c>
      <c r="C412">
        <v>2020</v>
      </c>
      <c r="D412" t="s">
        <v>3502</v>
      </c>
      <c r="E412" t="s">
        <v>3549</v>
      </c>
      <c r="F412">
        <v>0</v>
      </c>
      <c r="G412" t="s">
        <v>3549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3876</v>
      </c>
      <c r="B413" t="s">
        <v>3498</v>
      </c>
      <c r="C413">
        <v>2020</v>
      </c>
      <c r="D413" t="s">
        <v>3504</v>
      </c>
      <c r="E413" t="s">
        <v>3566</v>
      </c>
      <c r="F413">
        <v>8</v>
      </c>
      <c r="G413" t="s">
        <v>3566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3411</v>
      </c>
      <c r="B414" t="s">
        <v>3498</v>
      </c>
      <c r="C414">
        <v>2020</v>
      </c>
      <c r="D414" t="s">
        <v>3502</v>
      </c>
      <c r="E414" t="s">
        <v>870</v>
      </c>
      <c r="F414">
        <v>0</v>
      </c>
      <c r="G414" t="s">
        <v>870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3877</v>
      </c>
      <c r="B415" t="s">
        <v>3498</v>
      </c>
      <c r="C415">
        <v>2020</v>
      </c>
      <c r="D415" t="s">
        <v>3504</v>
      </c>
      <c r="E415" t="s">
        <v>885</v>
      </c>
      <c r="F415">
        <v>257</v>
      </c>
      <c r="G415" t="s">
        <v>885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1738</v>
      </c>
      <c r="B416" t="s">
        <v>3498</v>
      </c>
      <c r="C416">
        <v>2020</v>
      </c>
      <c r="D416" t="s">
        <v>3504</v>
      </c>
      <c r="E416" t="s">
        <v>869</v>
      </c>
      <c r="F416">
        <v>208</v>
      </c>
      <c r="G416" t="s">
        <v>869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>
      <c r="A417" t="s">
        <v>3878</v>
      </c>
      <c r="B417" t="s">
        <v>3498</v>
      </c>
      <c r="C417">
        <v>2020</v>
      </c>
      <c r="D417" t="s">
        <v>3504</v>
      </c>
      <c r="E417" t="s">
        <v>3577</v>
      </c>
      <c r="F417">
        <v>16</v>
      </c>
      <c r="G417" t="s">
        <v>3577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2531</v>
      </c>
      <c r="B418" t="s">
        <v>3498</v>
      </c>
      <c r="C418">
        <v>2020</v>
      </c>
      <c r="D418" t="s">
        <v>3504</v>
      </c>
      <c r="E418" t="s">
        <v>872</v>
      </c>
      <c r="F418">
        <v>0</v>
      </c>
      <c r="G418" t="s">
        <v>872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3879</v>
      </c>
      <c r="B419" t="s">
        <v>3498</v>
      </c>
      <c r="C419">
        <v>2020</v>
      </c>
      <c r="D419" t="s">
        <v>3485</v>
      </c>
      <c r="E419" t="s">
        <v>3520</v>
      </c>
      <c r="F419">
        <v>375</v>
      </c>
      <c r="G419" t="s">
        <v>3520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3880</v>
      </c>
      <c r="B420" t="s">
        <v>3498</v>
      </c>
      <c r="C420">
        <v>2020</v>
      </c>
      <c r="D420" t="s">
        <v>3502</v>
      </c>
      <c r="E420" t="s">
        <v>863</v>
      </c>
      <c r="F420">
        <v>90</v>
      </c>
      <c r="G420" t="s">
        <v>863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3881</v>
      </c>
      <c r="B421" t="s">
        <v>3498</v>
      </c>
      <c r="C421">
        <v>2020</v>
      </c>
      <c r="D421" t="s">
        <v>3499</v>
      </c>
      <c r="E421" t="s">
        <v>3532</v>
      </c>
      <c r="F421">
        <v>102</v>
      </c>
      <c r="G421" t="s">
        <v>3532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>
      <c r="A422" t="s">
        <v>3882</v>
      </c>
      <c r="B422" t="s">
        <v>3498</v>
      </c>
      <c r="C422">
        <v>2020</v>
      </c>
      <c r="D422" t="s">
        <v>3504</v>
      </c>
      <c r="E422" t="s">
        <v>893</v>
      </c>
      <c r="F422">
        <v>450</v>
      </c>
      <c r="G422" t="s">
        <v>893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>
      <c r="A423" t="s">
        <v>143</v>
      </c>
      <c r="B423" t="s">
        <v>3498</v>
      </c>
      <c r="C423">
        <v>2020</v>
      </c>
      <c r="D423" t="s">
        <v>3502</v>
      </c>
      <c r="E423" t="s">
        <v>879</v>
      </c>
      <c r="F423">
        <v>270</v>
      </c>
      <c r="G423" t="s">
        <v>879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>
      <c r="A424" t="s">
        <v>125</v>
      </c>
      <c r="B424" t="s">
        <v>3498</v>
      </c>
      <c r="C424">
        <v>2020</v>
      </c>
      <c r="D424" t="s">
        <v>3485</v>
      </c>
      <c r="E424" t="s">
        <v>865</v>
      </c>
      <c r="F424">
        <v>0</v>
      </c>
      <c r="G424" t="s">
        <v>865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3883</v>
      </c>
      <c r="B425" t="s">
        <v>3498</v>
      </c>
      <c r="C425">
        <v>2020</v>
      </c>
      <c r="D425" t="s">
        <v>3502</v>
      </c>
      <c r="E425" t="s">
        <v>880</v>
      </c>
      <c r="F425">
        <v>0</v>
      </c>
      <c r="G425" t="s">
        <v>880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3884</v>
      </c>
      <c r="B426" t="s">
        <v>3498</v>
      </c>
      <c r="C426">
        <v>2020</v>
      </c>
      <c r="D426" t="s">
        <v>3502</v>
      </c>
      <c r="E426" t="s">
        <v>3520</v>
      </c>
      <c r="F426">
        <v>90</v>
      </c>
      <c r="G426" t="s">
        <v>3520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3202</v>
      </c>
      <c r="B427" t="s">
        <v>3498</v>
      </c>
      <c r="C427">
        <v>2020</v>
      </c>
      <c r="D427" t="s">
        <v>3504</v>
      </c>
      <c r="E427" t="s">
        <v>3564</v>
      </c>
      <c r="F427">
        <v>0</v>
      </c>
      <c r="G427" t="s">
        <v>3564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3885</v>
      </c>
      <c r="B428" t="s">
        <v>3498</v>
      </c>
      <c r="C428">
        <v>2020</v>
      </c>
      <c r="D428" t="s">
        <v>3504</v>
      </c>
      <c r="E428" t="s">
        <v>3526</v>
      </c>
      <c r="F428">
        <v>341</v>
      </c>
      <c r="G428" t="s">
        <v>3526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3886</v>
      </c>
      <c r="B429" t="s">
        <v>3498</v>
      </c>
      <c r="C429">
        <v>2020</v>
      </c>
      <c r="D429" t="s">
        <v>3502</v>
      </c>
      <c r="E429" t="s">
        <v>3529</v>
      </c>
      <c r="F429">
        <v>355</v>
      </c>
      <c r="G429" t="s">
        <v>3530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3887</v>
      </c>
      <c r="B430" t="s">
        <v>3498</v>
      </c>
      <c r="C430">
        <v>2020</v>
      </c>
      <c r="D430" t="s">
        <v>3504</v>
      </c>
      <c r="E430" t="s">
        <v>3564</v>
      </c>
      <c r="F430">
        <v>882</v>
      </c>
      <c r="G430" t="s">
        <v>3564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>
      <c r="A431" t="s">
        <v>365</v>
      </c>
      <c r="B431" t="s">
        <v>3498</v>
      </c>
      <c r="C431">
        <v>2020</v>
      </c>
      <c r="D431" t="s">
        <v>3485</v>
      </c>
      <c r="E431" t="s">
        <v>3500</v>
      </c>
      <c r="F431">
        <v>810</v>
      </c>
      <c r="G431" t="s">
        <v>3500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2225</v>
      </c>
      <c r="B432" t="s">
        <v>3498</v>
      </c>
      <c r="C432">
        <v>2020</v>
      </c>
      <c r="D432" t="s">
        <v>3502</v>
      </c>
      <c r="E432" t="s">
        <v>878</v>
      </c>
      <c r="F432">
        <v>450</v>
      </c>
      <c r="G432" t="s">
        <v>878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>
      <c r="A433" t="s">
        <v>3888</v>
      </c>
      <c r="B433" t="s">
        <v>3498</v>
      </c>
      <c r="C433">
        <v>2020</v>
      </c>
      <c r="D433" t="s">
        <v>3502</v>
      </c>
      <c r="E433" t="s">
        <v>895</v>
      </c>
      <c r="F433">
        <v>180</v>
      </c>
      <c r="G433" t="s">
        <v>895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3889</v>
      </c>
      <c r="B434" t="s">
        <v>3498</v>
      </c>
      <c r="C434">
        <v>2020</v>
      </c>
      <c r="D434" t="s">
        <v>3485</v>
      </c>
      <c r="E434" t="s">
        <v>3537</v>
      </c>
      <c r="F434">
        <v>0</v>
      </c>
      <c r="G434" t="s">
        <v>3537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2163</v>
      </c>
      <c r="B435" t="s">
        <v>3498</v>
      </c>
      <c r="C435">
        <v>2020</v>
      </c>
      <c r="D435" t="s">
        <v>3499</v>
      </c>
      <c r="E435" t="s">
        <v>865</v>
      </c>
      <c r="F435">
        <v>158</v>
      </c>
      <c r="G435" t="s">
        <v>879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>
      <c r="A436" t="s">
        <v>266</v>
      </c>
      <c r="B436" t="s">
        <v>3498</v>
      </c>
      <c r="C436">
        <v>2020</v>
      </c>
      <c r="D436" t="s">
        <v>3485</v>
      </c>
      <c r="E436" t="s">
        <v>885</v>
      </c>
      <c r="F436">
        <v>240</v>
      </c>
      <c r="G436" t="s">
        <v>885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3890</v>
      </c>
      <c r="B437" t="s">
        <v>3498</v>
      </c>
      <c r="C437">
        <v>2020</v>
      </c>
      <c r="D437" t="s">
        <v>3502</v>
      </c>
      <c r="E437" t="s">
        <v>896</v>
      </c>
      <c r="F437">
        <v>720</v>
      </c>
      <c r="G437" t="s">
        <v>896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>
      <c r="A438" t="s">
        <v>3891</v>
      </c>
      <c r="B438" t="s">
        <v>3498</v>
      </c>
      <c r="C438">
        <v>2020</v>
      </c>
      <c r="D438" t="s">
        <v>3504</v>
      </c>
      <c r="E438" t="s">
        <v>897</v>
      </c>
      <c r="F438">
        <v>136</v>
      </c>
      <c r="G438" t="s">
        <v>897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>
      <c r="A439" t="s">
        <v>2347</v>
      </c>
      <c r="B439" t="s">
        <v>3498</v>
      </c>
      <c r="C439">
        <v>2020</v>
      </c>
      <c r="D439" t="s">
        <v>3485</v>
      </c>
      <c r="E439" t="s">
        <v>895</v>
      </c>
      <c r="F439">
        <v>810</v>
      </c>
      <c r="G439" t="s">
        <v>895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261</v>
      </c>
      <c r="B440" t="s">
        <v>3498</v>
      </c>
      <c r="C440">
        <v>2020</v>
      </c>
      <c r="D440" t="s">
        <v>3499</v>
      </c>
      <c r="E440" t="s">
        <v>3500</v>
      </c>
      <c r="F440">
        <v>642</v>
      </c>
      <c r="G440" t="s">
        <v>3500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>
      <c r="A441" t="s">
        <v>3892</v>
      </c>
      <c r="B441" t="s">
        <v>3498</v>
      </c>
      <c r="C441">
        <v>2020</v>
      </c>
      <c r="D441" t="s">
        <v>3504</v>
      </c>
      <c r="E441" t="s">
        <v>882</v>
      </c>
      <c r="F441">
        <v>270</v>
      </c>
      <c r="G441" t="s">
        <v>882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>
      <c r="A442" t="s">
        <v>3305</v>
      </c>
      <c r="B442" t="s">
        <v>3498</v>
      </c>
      <c r="C442">
        <v>2020</v>
      </c>
      <c r="D442" t="s">
        <v>3504</v>
      </c>
      <c r="E442" t="s">
        <v>897</v>
      </c>
      <c r="F442">
        <v>123</v>
      </c>
      <c r="G442" t="s">
        <v>897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>
      <c r="A443" t="s">
        <v>3893</v>
      </c>
      <c r="B443" t="s">
        <v>3498</v>
      </c>
      <c r="C443">
        <v>2020</v>
      </c>
      <c r="D443" t="s">
        <v>3499</v>
      </c>
      <c r="E443" t="s">
        <v>3555</v>
      </c>
      <c r="F443">
        <v>357</v>
      </c>
      <c r="G443" t="s">
        <v>3555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>
      <c r="A444" t="s">
        <v>3894</v>
      </c>
      <c r="B444" t="s">
        <v>3498</v>
      </c>
      <c r="C444">
        <v>2020</v>
      </c>
      <c r="D444" t="s">
        <v>3502</v>
      </c>
      <c r="E444" t="s">
        <v>3532</v>
      </c>
      <c r="F444">
        <v>77</v>
      </c>
      <c r="G444" t="s">
        <v>3532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3895</v>
      </c>
      <c r="B445" t="s">
        <v>3498</v>
      </c>
      <c r="C445">
        <v>2020</v>
      </c>
      <c r="D445" t="s">
        <v>3502</v>
      </c>
      <c r="E445" t="s">
        <v>3532</v>
      </c>
      <c r="F445">
        <v>626</v>
      </c>
      <c r="G445" t="s">
        <v>3532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>
      <c r="A446" t="s">
        <v>3896</v>
      </c>
      <c r="B446" t="s">
        <v>3498</v>
      </c>
      <c r="C446">
        <v>2020</v>
      </c>
      <c r="D446" t="s">
        <v>3504</v>
      </c>
      <c r="E446" t="s">
        <v>3577</v>
      </c>
      <c r="F446">
        <v>173</v>
      </c>
      <c r="G446" t="s">
        <v>3577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>
      <c r="A447" t="s">
        <v>3897</v>
      </c>
      <c r="B447" t="s">
        <v>3498</v>
      </c>
      <c r="C447">
        <v>2020</v>
      </c>
      <c r="D447" t="s">
        <v>3502</v>
      </c>
      <c r="E447" t="s">
        <v>3754</v>
      </c>
      <c r="F447">
        <v>335</v>
      </c>
      <c r="G447" t="s">
        <v>3754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>
      <c r="A448" t="s">
        <v>3898</v>
      </c>
      <c r="B448" t="s">
        <v>3498</v>
      </c>
      <c r="C448">
        <v>2020</v>
      </c>
      <c r="D448" t="s">
        <v>3504</v>
      </c>
      <c r="E448" t="s">
        <v>876</v>
      </c>
      <c r="F448">
        <v>310</v>
      </c>
      <c r="G448" t="s">
        <v>876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2741</v>
      </c>
      <c r="B449" t="s">
        <v>3498</v>
      </c>
      <c r="C449">
        <v>2020</v>
      </c>
      <c r="D449" t="s">
        <v>3499</v>
      </c>
      <c r="E449" t="s">
        <v>888</v>
      </c>
      <c r="F449">
        <v>72</v>
      </c>
      <c r="G449" t="s">
        <v>888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3899</v>
      </c>
      <c r="B450" t="s">
        <v>3498</v>
      </c>
      <c r="C450">
        <v>2020</v>
      </c>
      <c r="D450" t="s">
        <v>3485</v>
      </c>
      <c r="E450" t="s">
        <v>3523</v>
      </c>
      <c r="F450">
        <v>205</v>
      </c>
      <c r="G450" t="s">
        <v>3523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103</v>
      </c>
      <c r="B451" t="s">
        <v>3498</v>
      </c>
      <c r="C451">
        <v>2020</v>
      </c>
      <c r="D451" t="s">
        <v>3485</v>
      </c>
      <c r="E451" t="s">
        <v>879</v>
      </c>
      <c r="F451">
        <v>0</v>
      </c>
      <c r="G451" t="s">
        <v>879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3031</v>
      </c>
      <c r="B452" t="s">
        <v>3498</v>
      </c>
      <c r="C452">
        <v>2020</v>
      </c>
      <c r="D452" t="s">
        <v>3502</v>
      </c>
      <c r="E452" t="s">
        <v>895</v>
      </c>
      <c r="F452">
        <v>360</v>
      </c>
      <c r="G452" t="s">
        <v>895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>
      <c r="A453" t="s">
        <v>3900</v>
      </c>
      <c r="B453" t="s">
        <v>3498</v>
      </c>
      <c r="C453">
        <v>2020</v>
      </c>
      <c r="D453" t="s">
        <v>3502</v>
      </c>
      <c r="E453" t="s">
        <v>865</v>
      </c>
      <c r="F453">
        <v>0</v>
      </c>
      <c r="G453" t="s">
        <v>865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49</v>
      </c>
      <c r="B454" t="s">
        <v>3498</v>
      </c>
      <c r="C454">
        <v>2020</v>
      </c>
      <c r="D454" t="s">
        <v>3504</v>
      </c>
      <c r="E454" t="s">
        <v>879</v>
      </c>
      <c r="F454">
        <v>475</v>
      </c>
      <c r="G454" t="s">
        <v>3500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1565</v>
      </c>
      <c r="B455" t="s">
        <v>3498</v>
      </c>
      <c r="C455">
        <v>2020</v>
      </c>
      <c r="D455" t="s">
        <v>3502</v>
      </c>
      <c r="E455" t="s">
        <v>871</v>
      </c>
      <c r="F455">
        <v>180</v>
      </c>
      <c r="G455" t="s">
        <v>871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3901</v>
      </c>
      <c r="B456" t="s">
        <v>3498</v>
      </c>
      <c r="C456">
        <v>2020</v>
      </c>
      <c r="D456" t="s">
        <v>3504</v>
      </c>
      <c r="E456" t="s">
        <v>3618</v>
      </c>
      <c r="F456">
        <v>106</v>
      </c>
      <c r="G456" t="s">
        <v>3618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3902</v>
      </c>
      <c r="B457" t="s">
        <v>3498</v>
      </c>
      <c r="C457">
        <v>2020</v>
      </c>
      <c r="D457" t="s">
        <v>3499</v>
      </c>
      <c r="E457" t="s">
        <v>3618</v>
      </c>
      <c r="F457">
        <v>110</v>
      </c>
      <c r="G457" t="s">
        <v>3618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3903</v>
      </c>
      <c r="B458" t="s">
        <v>3498</v>
      </c>
      <c r="C458">
        <v>2020</v>
      </c>
      <c r="D458" t="s">
        <v>3485</v>
      </c>
      <c r="E458" t="s">
        <v>3564</v>
      </c>
      <c r="F458">
        <v>0</v>
      </c>
      <c r="G458" t="s">
        <v>3564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1716</v>
      </c>
      <c r="B459" t="s">
        <v>3498</v>
      </c>
      <c r="C459">
        <v>2020</v>
      </c>
      <c r="D459" t="s">
        <v>3504</v>
      </c>
      <c r="E459" t="s">
        <v>886</v>
      </c>
      <c r="F459">
        <v>25</v>
      </c>
      <c r="G459" t="s">
        <v>886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1991</v>
      </c>
      <c r="B460" t="s">
        <v>3498</v>
      </c>
      <c r="C460">
        <v>2020</v>
      </c>
      <c r="D460" t="s">
        <v>3502</v>
      </c>
      <c r="E460" t="s">
        <v>880</v>
      </c>
      <c r="F460">
        <v>540</v>
      </c>
      <c r="G460" t="s">
        <v>880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>
      <c r="A461" t="s">
        <v>176</v>
      </c>
      <c r="B461" t="s">
        <v>3498</v>
      </c>
      <c r="C461">
        <v>2020</v>
      </c>
      <c r="D461" t="s">
        <v>3504</v>
      </c>
      <c r="E461" t="s">
        <v>879</v>
      </c>
      <c r="F461">
        <v>127</v>
      </c>
      <c r="G461" t="s">
        <v>879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3904</v>
      </c>
      <c r="B462" t="s">
        <v>3498</v>
      </c>
      <c r="C462">
        <v>2020</v>
      </c>
      <c r="D462" t="s">
        <v>3504</v>
      </c>
      <c r="E462" t="s">
        <v>3648</v>
      </c>
      <c r="F462">
        <v>0</v>
      </c>
      <c r="G462" t="s">
        <v>3648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3905</v>
      </c>
      <c r="B463" t="s">
        <v>3498</v>
      </c>
      <c r="C463">
        <v>2020</v>
      </c>
      <c r="D463" t="s">
        <v>3504</v>
      </c>
      <c r="E463" t="s">
        <v>3648</v>
      </c>
      <c r="F463">
        <v>13</v>
      </c>
      <c r="G463" t="s">
        <v>3648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3906</v>
      </c>
      <c r="B464" t="s">
        <v>3498</v>
      </c>
      <c r="C464">
        <v>2020</v>
      </c>
      <c r="D464" t="s">
        <v>3485</v>
      </c>
      <c r="E464" t="s">
        <v>897</v>
      </c>
      <c r="F464">
        <v>0</v>
      </c>
      <c r="G464" t="s">
        <v>897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3907</v>
      </c>
      <c r="B465" t="s">
        <v>3498</v>
      </c>
      <c r="C465">
        <v>2020</v>
      </c>
      <c r="D465" t="s">
        <v>3504</v>
      </c>
      <c r="E465" t="s">
        <v>3520</v>
      </c>
      <c r="F465">
        <v>180</v>
      </c>
      <c r="G465" t="s">
        <v>3520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3908</v>
      </c>
      <c r="B466" t="s">
        <v>3498</v>
      </c>
      <c r="C466">
        <v>2020</v>
      </c>
      <c r="D466" t="s">
        <v>3504</v>
      </c>
      <c r="E466" t="s">
        <v>3529</v>
      </c>
      <c r="F466">
        <v>90</v>
      </c>
      <c r="G466" t="s">
        <v>3530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>
      <c r="A467" t="s">
        <v>3909</v>
      </c>
      <c r="B467" t="s">
        <v>3498</v>
      </c>
      <c r="C467">
        <v>2020</v>
      </c>
      <c r="D467" t="s">
        <v>3499</v>
      </c>
      <c r="E467" t="s">
        <v>3537</v>
      </c>
      <c r="F467">
        <v>63</v>
      </c>
      <c r="G467" t="s">
        <v>3537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2138</v>
      </c>
      <c r="B468" t="s">
        <v>3498</v>
      </c>
      <c r="C468">
        <v>2020</v>
      </c>
      <c r="D468" t="s">
        <v>3504</v>
      </c>
      <c r="E468" t="s">
        <v>872</v>
      </c>
      <c r="F468">
        <v>324</v>
      </c>
      <c r="G468" t="s">
        <v>872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>
      <c r="A469" t="s">
        <v>3910</v>
      </c>
      <c r="B469" t="s">
        <v>3498</v>
      </c>
      <c r="C469">
        <v>2020</v>
      </c>
      <c r="D469" t="s">
        <v>3499</v>
      </c>
      <c r="E469" t="s">
        <v>3569</v>
      </c>
      <c r="F469">
        <v>385</v>
      </c>
      <c r="G469" t="s">
        <v>3569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>
      <c r="A470" t="s">
        <v>3911</v>
      </c>
      <c r="B470" t="s">
        <v>3498</v>
      </c>
      <c r="C470">
        <v>2020</v>
      </c>
      <c r="D470" t="s">
        <v>3502</v>
      </c>
      <c r="E470" t="s">
        <v>3599</v>
      </c>
      <c r="F470">
        <v>0</v>
      </c>
      <c r="G470" t="s">
        <v>3599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3912</v>
      </c>
      <c r="B471" t="s">
        <v>3498</v>
      </c>
      <c r="C471">
        <v>2020</v>
      </c>
      <c r="D471" t="s">
        <v>3502</v>
      </c>
      <c r="E471" t="s">
        <v>3569</v>
      </c>
      <c r="F471">
        <v>647</v>
      </c>
      <c r="G471" t="s">
        <v>3569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>
      <c r="A472" t="s">
        <v>3913</v>
      </c>
      <c r="B472" t="s">
        <v>3498</v>
      </c>
      <c r="C472">
        <v>2020</v>
      </c>
      <c r="D472" t="s">
        <v>3504</v>
      </c>
      <c r="E472" t="s">
        <v>3515</v>
      </c>
      <c r="F472">
        <v>171</v>
      </c>
      <c r="G472" t="s">
        <v>3515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>
      <c r="A473" t="s">
        <v>3914</v>
      </c>
      <c r="B473" t="s">
        <v>3498</v>
      </c>
      <c r="C473">
        <v>2020</v>
      </c>
      <c r="D473" t="s">
        <v>3485</v>
      </c>
      <c r="E473" t="s">
        <v>3599</v>
      </c>
      <c r="F473">
        <v>0</v>
      </c>
      <c r="G473" t="s">
        <v>3599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3327</v>
      </c>
      <c r="B474" t="s">
        <v>3498</v>
      </c>
      <c r="C474">
        <v>2020</v>
      </c>
      <c r="D474" t="s">
        <v>3502</v>
      </c>
      <c r="E474" t="s">
        <v>896</v>
      </c>
      <c r="F474">
        <v>652</v>
      </c>
      <c r="G474" t="s">
        <v>896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>
      <c r="A475" t="s">
        <v>2527</v>
      </c>
      <c r="B475" t="s">
        <v>3498</v>
      </c>
      <c r="C475">
        <v>2020</v>
      </c>
      <c r="D475" t="s">
        <v>3504</v>
      </c>
      <c r="E475" t="s">
        <v>866</v>
      </c>
      <c r="F475">
        <v>690</v>
      </c>
      <c r="G475" t="s">
        <v>866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>
      <c r="A476" t="s">
        <v>3915</v>
      </c>
      <c r="B476" t="s">
        <v>3498</v>
      </c>
      <c r="C476">
        <v>2020</v>
      </c>
      <c r="D476" t="s">
        <v>3499</v>
      </c>
      <c r="E476" t="s">
        <v>3577</v>
      </c>
      <c r="F476">
        <v>420</v>
      </c>
      <c r="G476" t="s">
        <v>3577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3916</v>
      </c>
      <c r="B477" t="s">
        <v>3498</v>
      </c>
      <c r="C477">
        <v>2020</v>
      </c>
      <c r="D477" t="s">
        <v>3504</v>
      </c>
      <c r="E477" t="s">
        <v>862</v>
      </c>
      <c r="F477">
        <v>170</v>
      </c>
      <c r="G477" t="s">
        <v>862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>
      <c r="A478" t="s">
        <v>3917</v>
      </c>
      <c r="B478" t="s">
        <v>3498</v>
      </c>
      <c r="C478">
        <v>2020</v>
      </c>
      <c r="D478" t="s">
        <v>3502</v>
      </c>
      <c r="E478" t="s">
        <v>3529</v>
      </c>
      <c r="F478">
        <v>0</v>
      </c>
      <c r="G478" t="s">
        <v>886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3918</v>
      </c>
      <c r="B479" t="s">
        <v>3498</v>
      </c>
      <c r="C479">
        <v>2020</v>
      </c>
      <c r="D479" t="s">
        <v>3504</v>
      </c>
      <c r="E479" t="s">
        <v>3537</v>
      </c>
      <c r="F479">
        <v>37</v>
      </c>
      <c r="G479" t="s">
        <v>3537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>
      <c r="A480" t="s">
        <v>297</v>
      </c>
      <c r="B480" t="s">
        <v>3498</v>
      </c>
      <c r="C480">
        <v>2020</v>
      </c>
      <c r="D480" t="s">
        <v>3504</v>
      </c>
      <c r="E480" t="s">
        <v>871</v>
      </c>
      <c r="F480">
        <v>127</v>
      </c>
      <c r="G480" t="s">
        <v>871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>
      <c r="A481" t="s">
        <v>3919</v>
      </c>
      <c r="B481" t="s">
        <v>3498</v>
      </c>
      <c r="C481">
        <v>2020</v>
      </c>
      <c r="D481" t="s">
        <v>3499</v>
      </c>
      <c r="E481" t="s">
        <v>3592</v>
      </c>
      <c r="F481">
        <v>848</v>
      </c>
      <c r="G481" t="s">
        <v>3592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>
      <c r="A482" t="s">
        <v>3920</v>
      </c>
      <c r="B482" t="s">
        <v>3498</v>
      </c>
      <c r="C482">
        <v>2020</v>
      </c>
      <c r="D482" t="s">
        <v>3485</v>
      </c>
      <c r="E482" t="s">
        <v>877</v>
      </c>
      <c r="F482">
        <v>0</v>
      </c>
      <c r="G482" t="s">
        <v>877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1848</v>
      </c>
      <c r="B483" t="s">
        <v>3498</v>
      </c>
      <c r="C483">
        <v>2020</v>
      </c>
      <c r="D483" t="s">
        <v>3502</v>
      </c>
      <c r="E483" t="s">
        <v>876</v>
      </c>
      <c r="F483">
        <v>294</v>
      </c>
      <c r="G483" t="s">
        <v>3921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3922</v>
      </c>
      <c r="B484" t="s">
        <v>3498</v>
      </c>
      <c r="C484">
        <v>2020</v>
      </c>
      <c r="D484" t="s">
        <v>3502</v>
      </c>
      <c r="E484" t="s">
        <v>3500</v>
      </c>
      <c r="F484">
        <v>0</v>
      </c>
      <c r="G484" t="s">
        <v>3500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3923</v>
      </c>
      <c r="B485" t="s">
        <v>3498</v>
      </c>
      <c r="C485">
        <v>2020</v>
      </c>
      <c r="D485" t="s">
        <v>3502</v>
      </c>
      <c r="E485" t="s">
        <v>3615</v>
      </c>
      <c r="F485">
        <v>0</v>
      </c>
      <c r="G485" t="s">
        <v>3615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3924</v>
      </c>
      <c r="B486" t="s">
        <v>3498</v>
      </c>
      <c r="C486">
        <v>2020</v>
      </c>
      <c r="D486" t="s">
        <v>3504</v>
      </c>
      <c r="E486" t="s">
        <v>3566</v>
      </c>
      <c r="F486">
        <v>0</v>
      </c>
      <c r="G486" t="s">
        <v>3566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3925</v>
      </c>
      <c r="B487" t="s">
        <v>3498</v>
      </c>
      <c r="C487">
        <v>2020</v>
      </c>
      <c r="D487" t="s">
        <v>3504</v>
      </c>
      <c r="E487" t="s">
        <v>3624</v>
      </c>
      <c r="F487">
        <v>228</v>
      </c>
      <c r="G487" t="s">
        <v>3624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>
      <c r="A488" t="s">
        <v>680</v>
      </c>
      <c r="B488" t="s">
        <v>3498</v>
      </c>
      <c r="C488">
        <v>2020</v>
      </c>
      <c r="D488" t="s">
        <v>3502</v>
      </c>
      <c r="E488" t="s">
        <v>885</v>
      </c>
      <c r="F488">
        <v>125</v>
      </c>
      <c r="G488" t="s">
        <v>885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>
      <c r="A489" t="s">
        <v>3926</v>
      </c>
      <c r="B489" t="s">
        <v>3498</v>
      </c>
      <c r="C489">
        <v>2020</v>
      </c>
      <c r="D489" t="s">
        <v>3485</v>
      </c>
      <c r="E489" t="s">
        <v>3566</v>
      </c>
      <c r="F489">
        <v>0</v>
      </c>
      <c r="G489" t="s">
        <v>3566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3927</v>
      </c>
      <c r="B490" t="s">
        <v>3498</v>
      </c>
      <c r="C490">
        <v>2020</v>
      </c>
      <c r="D490" t="s">
        <v>3504</v>
      </c>
      <c r="E490" t="s">
        <v>3566</v>
      </c>
      <c r="F490">
        <v>0</v>
      </c>
      <c r="G490" t="s">
        <v>3566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3928</v>
      </c>
      <c r="B491" t="s">
        <v>3498</v>
      </c>
      <c r="C491">
        <v>2020</v>
      </c>
      <c r="D491" t="s">
        <v>3504</v>
      </c>
      <c r="E491" t="s">
        <v>3566</v>
      </c>
      <c r="F491">
        <v>0</v>
      </c>
      <c r="G491" t="s">
        <v>3566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3929</v>
      </c>
      <c r="B492" t="s">
        <v>3498</v>
      </c>
      <c r="C492">
        <v>2020</v>
      </c>
      <c r="D492" t="s">
        <v>3499</v>
      </c>
      <c r="E492" t="s">
        <v>3510</v>
      </c>
      <c r="F492">
        <v>402</v>
      </c>
      <c r="G492" t="s">
        <v>3510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>
      <c r="A493" t="s">
        <v>3930</v>
      </c>
      <c r="B493" t="s">
        <v>3498</v>
      </c>
      <c r="C493">
        <v>2020</v>
      </c>
      <c r="D493" t="s">
        <v>3502</v>
      </c>
      <c r="E493" t="s">
        <v>3602</v>
      </c>
      <c r="F493">
        <v>0</v>
      </c>
      <c r="G493" t="s">
        <v>3602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3931</v>
      </c>
      <c r="B494" t="s">
        <v>3498</v>
      </c>
      <c r="C494">
        <v>2020</v>
      </c>
      <c r="D494" t="s">
        <v>3504</v>
      </c>
      <c r="E494" t="s">
        <v>3602</v>
      </c>
      <c r="F494">
        <v>653</v>
      </c>
      <c r="G494" t="s">
        <v>3602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>
      <c r="A495" t="s">
        <v>3932</v>
      </c>
      <c r="B495" t="s">
        <v>3498</v>
      </c>
      <c r="C495">
        <v>2020</v>
      </c>
      <c r="D495" t="s">
        <v>3502</v>
      </c>
      <c r="E495" t="s">
        <v>3602</v>
      </c>
      <c r="F495">
        <v>450</v>
      </c>
      <c r="G495" t="s">
        <v>3602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3933</v>
      </c>
      <c r="B496" t="s">
        <v>3498</v>
      </c>
      <c r="C496">
        <v>2020</v>
      </c>
      <c r="D496" t="s">
        <v>3504</v>
      </c>
      <c r="E496" t="s">
        <v>3602</v>
      </c>
      <c r="F496">
        <v>289</v>
      </c>
      <c r="G496" t="s">
        <v>3602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>
      <c r="A497" t="s">
        <v>3934</v>
      </c>
      <c r="B497" t="s">
        <v>3498</v>
      </c>
      <c r="C497">
        <v>2020</v>
      </c>
      <c r="D497" t="s">
        <v>3504</v>
      </c>
      <c r="E497" t="s">
        <v>3602</v>
      </c>
      <c r="F497">
        <v>170</v>
      </c>
      <c r="G497" t="s">
        <v>3602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>
      <c r="A498" t="s">
        <v>3935</v>
      </c>
      <c r="B498" t="s">
        <v>3498</v>
      </c>
      <c r="C498">
        <v>2020</v>
      </c>
      <c r="D498" t="s">
        <v>3499</v>
      </c>
      <c r="E498" t="s">
        <v>3602</v>
      </c>
      <c r="F498">
        <v>354</v>
      </c>
      <c r="G498" t="s">
        <v>3602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>
      <c r="A499" t="s">
        <v>3936</v>
      </c>
      <c r="B499" t="s">
        <v>3498</v>
      </c>
      <c r="C499">
        <v>2020</v>
      </c>
      <c r="D499" t="s">
        <v>3504</v>
      </c>
      <c r="E499" t="s">
        <v>3602</v>
      </c>
      <c r="F499">
        <v>98</v>
      </c>
      <c r="G499" t="s">
        <v>3602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>
      <c r="A500" t="s">
        <v>3937</v>
      </c>
      <c r="B500" t="s">
        <v>3498</v>
      </c>
      <c r="C500">
        <v>2020</v>
      </c>
      <c r="D500" t="s">
        <v>3504</v>
      </c>
      <c r="E500" t="s">
        <v>3529</v>
      </c>
      <c r="F500">
        <v>46</v>
      </c>
      <c r="G500" t="s">
        <v>3515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3938</v>
      </c>
      <c r="B501" t="s">
        <v>3498</v>
      </c>
      <c r="C501">
        <v>2020</v>
      </c>
      <c r="D501" t="s">
        <v>3502</v>
      </c>
      <c r="E501" t="s">
        <v>880</v>
      </c>
      <c r="F501">
        <v>90</v>
      </c>
      <c r="G501" t="s">
        <v>880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>
      <c r="A502" t="s">
        <v>3939</v>
      </c>
      <c r="B502" t="s">
        <v>3498</v>
      </c>
      <c r="C502">
        <v>2020</v>
      </c>
      <c r="D502" t="s">
        <v>3502</v>
      </c>
      <c r="E502" t="s">
        <v>3599</v>
      </c>
      <c r="F502">
        <v>493</v>
      </c>
      <c r="G502" t="s">
        <v>3599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>
      <c r="A503" t="s">
        <v>3940</v>
      </c>
      <c r="B503" t="s">
        <v>3498</v>
      </c>
      <c r="C503">
        <v>2020</v>
      </c>
      <c r="D503" t="s">
        <v>3504</v>
      </c>
      <c r="E503" t="s">
        <v>893</v>
      </c>
      <c r="F503">
        <v>26</v>
      </c>
      <c r="G503" t="s">
        <v>893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3941</v>
      </c>
      <c r="B504" t="s">
        <v>3498</v>
      </c>
      <c r="C504">
        <v>2020</v>
      </c>
      <c r="D504" t="s">
        <v>3502</v>
      </c>
      <c r="E504" t="s">
        <v>3555</v>
      </c>
      <c r="F504">
        <v>601</v>
      </c>
      <c r="G504" t="s">
        <v>3555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>
      <c r="A505" t="s">
        <v>364</v>
      </c>
      <c r="B505" t="s">
        <v>3498</v>
      </c>
      <c r="C505">
        <v>2020</v>
      </c>
      <c r="D505" t="s">
        <v>3499</v>
      </c>
      <c r="E505" t="s">
        <v>871</v>
      </c>
      <c r="F505">
        <v>65</v>
      </c>
      <c r="G505" t="s">
        <v>871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3942</v>
      </c>
      <c r="B506" t="s">
        <v>3498</v>
      </c>
      <c r="C506">
        <v>2020</v>
      </c>
      <c r="D506" t="s">
        <v>3502</v>
      </c>
      <c r="E506" t="s">
        <v>891</v>
      </c>
      <c r="F506">
        <v>0</v>
      </c>
      <c r="G506" t="s">
        <v>891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2211</v>
      </c>
      <c r="B507" t="s">
        <v>3498</v>
      </c>
      <c r="C507">
        <v>2020</v>
      </c>
      <c r="D507" t="s">
        <v>3504</v>
      </c>
      <c r="E507" t="s">
        <v>866</v>
      </c>
      <c r="F507">
        <v>48</v>
      </c>
      <c r="G507" t="s">
        <v>866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3943</v>
      </c>
      <c r="B508" t="s">
        <v>3498</v>
      </c>
      <c r="C508">
        <v>2020</v>
      </c>
      <c r="D508" t="s">
        <v>3504</v>
      </c>
      <c r="E508" t="s">
        <v>3569</v>
      </c>
      <c r="F508">
        <v>0</v>
      </c>
      <c r="G508" t="s">
        <v>3569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2535</v>
      </c>
      <c r="B509" t="s">
        <v>3498</v>
      </c>
      <c r="C509">
        <v>2020</v>
      </c>
      <c r="D509" t="s">
        <v>3504</v>
      </c>
      <c r="E509" t="s">
        <v>872</v>
      </c>
      <c r="F509">
        <v>143</v>
      </c>
      <c r="G509" t="s">
        <v>872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>
      <c r="A510" t="s">
        <v>3944</v>
      </c>
      <c r="B510" t="s">
        <v>3498</v>
      </c>
      <c r="C510">
        <v>2020</v>
      </c>
      <c r="D510" t="s">
        <v>3502</v>
      </c>
      <c r="E510" t="s">
        <v>3730</v>
      </c>
      <c r="F510">
        <v>0</v>
      </c>
      <c r="G510" t="s">
        <v>3730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3945</v>
      </c>
      <c r="B511" t="s">
        <v>3498</v>
      </c>
      <c r="C511">
        <v>2020</v>
      </c>
      <c r="D511" t="s">
        <v>3502</v>
      </c>
      <c r="E511" t="s">
        <v>3569</v>
      </c>
      <c r="F511">
        <v>6</v>
      </c>
      <c r="G511" t="s">
        <v>3569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3946</v>
      </c>
      <c r="B512" t="s">
        <v>3498</v>
      </c>
      <c r="C512">
        <v>2020</v>
      </c>
      <c r="D512" t="s">
        <v>3502</v>
      </c>
      <c r="E512" t="s">
        <v>872</v>
      </c>
      <c r="F512">
        <v>0</v>
      </c>
      <c r="G512" t="s">
        <v>872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3947</v>
      </c>
      <c r="B513" t="s">
        <v>3498</v>
      </c>
      <c r="C513">
        <v>2020</v>
      </c>
      <c r="D513" t="s">
        <v>3502</v>
      </c>
      <c r="E513" t="s">
        <v>3508</v>
      </c>
      <c r="F513">
        <v>72</v>
      </c>
      <c r="G513" t="s">
        <v>3508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>
      <c r="A514" t="s">
        <v>3948</v>
      </c>
      <c r="B514" t="s">
        <v>3498</v>
      </c>
      <c r="C514">
        <v>2020</v>
      </c>
      <c r="D514" t="s">
        <v>3504</v>
      </c>
      <c r="E514" t="s">
        <v>3569</v>
      </c>
      <c r="F514">
        <v>27</v>
      </c>
      <c r="G514" t="s">
        <v>3569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3949</v>
      </c>
      <c r="B515" t="s">
        <v>3498</v>
      </c>
      <c r="C515">
        <v>2020</v>
      </c>
      <c r="D515" t="s">
        <v>3502</v>
      </c>
      <c r="E515" t="s">
        <v>3508</v>
      </c>
      <c r="F515">
        <v>450</v>
      </c>
      <c r="G515" t="s">
        <v>3508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>
      <c r="A516" t="s">
        <v>3950</v>
      </c>
      <c r="B516" t="s">
        <v>3498</v>
      </c>
      <c r="C516">
        <v>2020</v>
      </c>
      <c r="D516" t="s">
        <v>3485</v>
      </c>
      <c r="E516" t="s">
        <v>3508</v>
      </c>
      <c r="F516">
        <v>900</v>
      </c>
      <c r="G516" t="s">
        <v>877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3951</v>
      </c>
      <c r="B517" t="s">
        <v>3498</v>
      </c>
      <c r="C517">
        <v>2020</v>
      </c>
      <c r="D517" t="s">
        <v>3499</v>
      </c>
      <c r="E517" t="s">
        <v>3624</v>
      </c>
      <c r="F517">
        <v>78</v>
      </c>
      <c r="G517" t="s">
        <v>3624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1978</v>
      </c>
      <c r="B518" t="s">
        <v>3498</v>
      </c>
      <c r="C518">
        <v>2020</v>
      </c>
      <c r="D518" t="s">
        <v>3502</v>
      </c>
      <c r="E518" t="s">
        <v>880</v>
      </c>
      <c r="F518">
        <v>630</v>
      </c>
      <c r="G518" t="s">
        <v>880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>
      <c r="A519" t="s">
        <v>3952</v>
      </c>
      <c r="B519" t="s">
        <v>3498</v>
      </c>
      <c r="C519">
        <v>2020</v>
      </c>
      <c r="D519" t="s">
        <v>3504</v>
      </c>
      <c r="E519" t="s">
        <v>3618</v>
      </c>
      <c r="F519">
        <v>516</v>
      </c>
      <c r="G519" t="s">
        <v>3618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>
      <c r="A520" t="s">
        <v>3953</v>
      </c>
      <c r="B520" t="s">
        <v>3498</v>
      </c>
      <c r="C520">
        <v>2020</v>
      </c>
      <c r="D520" t="s">
        <v>3504</v>
      </c>
      <c r="E520" t="s">
        <v>3515</v>
      </c>
      <c r="F520">
        <v>223</v>
      </c>
      <c r="G520" t="s">
        <v>3515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>
      <c r="A521" t="s">
        <v>3954</v>
      </c>
      <c r="B521" t="s">
        <v>3498</v>
      </c>
      <c r="C521">
        <v>2020</v>
      </c>
      <c r="D521" t="s">
        <v>3502</v>
      </c>
      <c r="E521" t="s">
        <v>893</v>
      </c>
      <c r="F521">
        <v>0</v>
      </c>
      <c r="G521" t="s">
        <v>893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3955</v>
      </c>
      <c r="B522" t="s">
        <v>3498</v>
      </c>
      <c r="C522">
        <v>2020</v>
      </c>
      <c r="D522" t="s">
        <v>3504</v>
      </c>
      <c r="E522" t="s">
        <v>888</v>
      </c>
      <c r="F522">
        <v>6</v>
      </c>
      <c r="G522" t="s">
        <v>888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3956</v>
      </c>
      <c r="B523" t="s">
        <v>3498</v>
      </c>
      <c r="C523">
        <v>2020</v>
      </c>
      <c r="D523" t="s">
        <v>3485</v>
      </c>
      <c r="E523" t="s">
        <v>896</v>
      </c>
      <c r="F523">
        <v>0</v>
      </c>
      <c r="G523" t="s">
        <v>896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3957</v>
      </c>
      <c r="B524" t="s">
        <v>3498</v>
      </c>
      <c r="C524">
        <v>2020</v>
      </c>
      <c r="D524" t="s">
        <v>3485</v>
      </c>
      <c r="E524" t="s">
        <v>896</v>
      </c>
      <c r="F524">
        <v>0</v>
      </c>
      <c r="G524" t="s">
        <v>896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3958</v>
      </c>
      <c r="B525" t="s">
        <v>3498</v>
      </c>
      <c r="C525">
        <v>2020</v>
      </c>
      <c r="D525" t="s">
        <v>3485</v>
      </c>
      <c r="E525" t="s">
        <v>880</v>
      </c>
      <c r="F525">
        <v>540</v>
      </c>
      <c r="G525" t="s">
        <v>880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3959</v>
      </c>
      <c r="B526" t="s">
        <v>3498</v>
      </c>
      <c r="C526">
        <v>2020</v>
      </c>
      <c r="D526" t="s">
        <v>3504</v>
      </c>
      <c r="E526" t="s">
        <v>897</v>
      </c>
      <c r="F526">
        <v>179</v>
      </c>
      <c r="G526" t="s">
        <v>897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3960</v>
      </c>
      <c r="B527" t="s">
        <v>3498</v>
      </c>
      <c r="C527">
        <v>2020</v>
      </c>
      <c r="D527" t="s">
        <v>3504</v>
      </c>
      <c r="E527" t="s">
        <v>897</v>
      </c>
      <c r="F527">
        <v>587</v>
      </c>
      <c r="G527" t="s">
        <v>897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>
      <c r="A528" t="s">
        <v>3961</v>
      </c>
      <c r="B528" t="s">
        <v>3498</v>
      </c>
      <c r="C528">
        <v>2020</v>
      </c>
      <c r="D528" t="s">
        <v>3504</v>
      </c>
      <c r="E528" t="s">
        <v>3566</v>
      </c>
      <c r="F528">
        <v>11</v>
      </c>
      <c r="G528" t="s">
        <v>3566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3962</v>
      </c>
      <c r="B529" t="s">
        <v>3498</v>
      </c>
      <c r="C529">
        <v>2020</v>
      </c>
      <c r="D529" t="s">
        <v>3504</v>
      </c>
      <c r="E529" t="s">
        <v>3618</v>
      </c>
      <c r="F529">
        <v>40</v>
      </c>
      <c r="G529" t="s">
        <v>3618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>
      <c r="A530" t="s">
        <v>617</v>
      </c>
      <c r="B530" t="s">
        <v>3498</v>
      </c>
      <c r="C530">
        <v>2020</v>
      </c>
      <c r="D530" t="s">
        <v>3504</v>
      </c>
      <c r="E530" t="s">
        <v>876</v>
      </c>
      <c r="F530">
        <v>181</v>
      </c>
      <c r="G530" t="s">
        <v>876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1232</v>
      </c>
      <c r="B531" t="s">
        <v>3498</v>
      </c>
      <c r="C531">
        <v>2020</v>
      </c>
      <c r="D531" t="s">
        <v>3499</v>
      </c>
      <c r="E531" t="s">
        <v>876</v>
      </c>
      <c r="F531">
        <v>209</v>
      </c>
      <c r="G531" t="s">
        <v>876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>
      <c r="A532" t="s">
        <v>3963</v>
      </c>
      <c r="B532" t="s">
        <v>3498</v>
      </c>
      <c r="C532">
        <v>2020</v>
      </c>
      <c r="D532" t="s">
        <v>3504</v>
      </c>
      <c r="E532" t="s">
        <v>3624</v>
      </c>
      <c r="F532">
        <v>0</v>
      </c>
      <c r="G532" t="s">
        <v>3624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3964</v>
      </c>
      <c r="B533" t="s">
        <v>3498</v>
      </c>
      <c r="C533">
        <v>2020</v>
      </c>
      <c r="D533" t="s">
        <v>3504</v>
      </c>
      <c r="E533" t="s">
        <v>3624</v>
      </c>
      <c r="F533">
        <v>527</v>
      </c>
      <c r="G533" t="s">
        <v>3624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>
      <c r="A534" t="s">
        <v>3965</v>
      </c>
      <c r="B534" t="s">
        <v>3498</v>
      </c>
      <c r="C534">
        <v>2020</v>
      </c>
      <c r="D534" t="s">
        <v>3504</v>
      </c>
      <c r="E534" t="s">
        <v>3537</v>
      </c>
      <c r="F534">
        <v>15</v>
      </c>
      <c r="G534" t="s">
        <v>3537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3966</v>
      </c>
      <c r="B535" t="s">
        <v>3498</v>
      </c>
      <c r="C535">
        <v>2020</v>
      </c>
      <c r="D535" t="s">
        <v>3502</v>
      </c>
      <c r="E535" t="s">
        <v>862</v>
      </c>
      <c r="F535">
        <v>371</v>
      </c>
      <c r="G535" t="s">
        <v>862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>
      <c r="A536" t="s">
        <v>3967</v>
      </c>
      <c r="B536" t="s">
        <v>3498</v>
      </c>
      <c r="C536">
        <v>2020</v>
      </c>
      <c r="D536" t="s">
        <v>3502</v>
      </c>
      <c r="E536" t="s">
        <v>3648</v>
      </c>
      <c r="F536">
        <v>46</v>
      </c>
      <c r="G536" t="s">
        <v>3648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3968</v>
      </c>
      <c r="B537" t="s">
        <v>3498</v>
      </c>
      <c r="C537">
        <v>2020</v>
      </c>
      <c r="D537" t="s">
        <v>3502</v>
      </c>
      <c r="E537" t="s">
        <v>3537</v>
      </c>
      <c r="F537">
        <v>360</v>
      </c>
      <c r="G537" t="s">
        <v>3537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>
      <c r="A538" t="s">
        <v>1059</v>
      </c>
      <c r="B538" t="s">
        <v>3498</v>
      </c>
      <c r="C538">
        <v>2020</v>
      </c>
      <c r="D538" t="s">
        <v>3499</v>
      </c>
      <c r="E538" t="s">
        <v>871</v>
      </c>
      <c r="F538">
        <v>567</v>
      </c>
      <c r="G538" t="s">
        <v>871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>
      <c r="A539" t="s">
        <v>3969</v>
      </c>
      <c r="B539" t="s">
        <v>3498</v>
      </c>
      <c r="C539">
        <v>2020</v>
      </c>
      <c r="D539" t="s">
        <v>3502</v>
      </c>
      <c r="E539" t="s">
        <v>880</v>
      </c>
      <c r="F539">
        <v>180</v>
      </c>
      <c r="G539" t="s">
        <v>880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>
      <c r="A540" t="s">
        <v>3970</v>
      </c>
      <c r="B540" t="s">
        <v>3498</v>
      </c>
      <c r="C540">
        <v>2020</v>
      </c>
      <c r="D540" t="s">
        <v>3485</v>
      </c>
      <c r="E540" t="s">
        <v>3599</v>
      </c>
      <c r="F540">
        <v>0</v>
      </c>
      <c r="G540" t="s">
        <v>3599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3971</v>
      </c>
      <c r="B541" t="s">
        <v>3498</v>
      </c>
      <c r="C541">
        <v>2020</v>
      </c>
      <c r="D541" t="s">
        <v>3504</v>
      </c>
      <c r="E541" t="s">
        <v>3615</v>
      </c>
      <c r="F541">
        <v>507</v>
      </c>
      <c r="G541" t="s">
        <v>3615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3972</v>
      </c>
      <c r="B542" t="s">
        <v>3498</v>
      </c>
      <c r="C542">
        <v>2020</v>
      </c>
      <c r="D542" t="s">
        <v>3485</v>
      </c>
      <c r="E542" t="s">
        <v>896</v>
      </c>
      <c r="F542">
        <v>0</v>
      </c>
      <c r="G542" t="s">
        <v>896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3973</v>
      </c>
      <c r="B543" t="s">
        <v>3498</v>
      </c>
      <c r="C543">
        <v>2020</v>
      </c>
      <c r="D543" t="s">
        <v>3502</v>
      </c>
      <c r="E543" t="s">
        <v>3520</v>
      </c>
      <c r="F543">
        <v>360</v>
      </c>
      <c r="G543" t="s">
        <v>3520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>
      <c r="A544" t="s">
        <v>3974</v>
      </c>
      <c r="B544" t="s">
        <v>3498</v>
      </c>
      <c r="C544">
        <v>2020</v>
      </c>
      <c r="D544" t="s">
        <v>3504</v>
      </c>
      <c r="E544" t="s">
        <v>3526</v>
      </c>
      <c r="F544">
        <v>740</v>
      </c>
      <c r="G544" t="s">
        <v>3526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>
      <c r="A545" t="s">
        <v>3975</v>
      </c>
      <c r="B545" t="s">
        <v>3498</v>
      </c>
      <c r="C545">
        <v>2020</v>
      </c>
      <c r="D545" t="s">
        <v>3499</v>
      </c>
      <c r="E545" t="s">
        <v>3526</v>
      </c>
      <c r="F545">
        <v>0</v>
      </c>
      <c r="G545" t="s">
        <v>3526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3976</v>
      </c>
      <c r="B546" t="s">
        <v>3498</v>
      </c>
      <c r="C546">
        <v>2020</v>
      </c>
      <c r="D546" t="s">
        <v>3499</v>
      </c>
      <c r="E546" t="s">
        <v>893</v>
      </c>
      <c r="F546">
        <v>75</v>
      </c>
      <c r="G546" t="s">
        <v>3627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3130</v>
      </c>
      <c r="B547" t="s">
        <v>3498</v>
      </c>
      <c r="C547">
        <v>2020</v>
      </c>
      <c r="D547" t="s">
        <v>3504</v>
      </c>
      <c r="E547" t="s">
        <v>865</v>
      </c>
      <c r="F547">
        <v>0</v>
      </c>
      <c r="G547" t="s">
        <v>865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3977</v>
      </c>
      <c r="B548" t="s">
        <v>3498</v>
      </c>
      <c r="C548">
        <v>2020</v>
      </c>
      <c r="D548" t="s">
        <v>3485</v>
      </c>
      <c r="E548" t="s">
        <v>3618</v>
      </c>
      <c r="F548">
        <v>180</v>
      </c>
      <c r="G548" t="s">
        <v>3618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3978</v>
      </c>
      <c r="B549" t="s">
        <v>3498</v>
      </c>
      <c r="C549">
        <v>2020</v>
      </c>
      <c r="D549" t="s">
        <v>3499</v>
      </c>
      <c r="E549" t="s">
        <v>895</v>
      </c>
      <c r="F549">
        <v>73</v>
      </c>
      <c r="G549" t="s">
        <v>895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3979</v>
      </c>
      <c r="B550" t="s">
        <v>3498</v>
      </c>
      <c r="C550">
        <v>2020</v>
      </c>
      <c r="D550" t="s">
        <v>3504</v>
      </c>
      <c r="E550" t="s">
        <v>3510</v>
      </c>
      <c r="F550">
        <v>226</v>
      </c>
      <c r="G550" t="s">
        <v>3510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>
      <c r="A551" t="s">
        <v>1008</v>
      </c>
      <c r="B551" t="s">
        <v>3498</v>
      </c>
      <c r="C551">
        <v>2020</v>
      </c>
      <c r="D551" t="s">
        <v>3504</v>
      </c>
      <c r="E551" t="s">
        <v>871</v>
      </c>
      <c r="F551">
        <v>667</v>
      </c>
      <c r="G551" t="s">
        <v>871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>
      <c r="A552" t="s">
        <v>3980</v>
      </c>
      <c r="B552" t="s">
        <v>3498</v>
      </c>
      <c r="C552">
        <v>2020</v>
      </c>
      <c r="D552" t="s">
        <v>3504</v>
      </c>
      <c r="E552" t="s">
        <v>3624</v>
      </c>
      <c r="F552">
        <v>0</v>
      </c>
      <c r="G552" t="s">
        <v>3624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3981</v>
      </c>
      <c r="B553" t="s">
        <v>3498</v>
      </c>
      <c r="C553">
        <v>2020</v>
      </c>
      <c r="D553" t="s">
        <v>3499</v>
      </c>
      <c r="E553" t="s">
        <v>893</v>
      </c>
      <c r="F553">
        <v>0</v>
      </c>
      <c r="G553" t="s">
        <v>893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3982</v>
      </c>
      <c r="B554" t="s">
        <v>3498</v>
      </c>
      <c r="C554">
        <v>2020</v>
      </c>
      <c r="D554" t="s">
        <v>3504</v>
      </c>
      <c r="E554" t="s">
        <v>3571</v>
      </c>
      <c r="F554">
        <v>245</v>
      </c>
      <c r="G554" t="s">
        <v>869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>
      <c r="A555" t="s">
        <v>2802</v>
      </c>
      <c r="B555" t="s">
        <v>3498</v>
      </c>
      <c r="C555">
        <v>2020</v>
      </c>
      <c r="D555" t="s">
        <v>3504</v>
      </c>
      <c r="E555" t="s">
        <v>866</v>
      </c>
      <c r="F555">
        <v>236</v>
      </c>
      <c r="G555" t="s">
        <v>866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3983</v>
      </c>
      <c r="B556" t="s">
        <v>3498</v>
      </c>
      <c r="C556">
        <v>2020</v>
      </c>
      <c r="D556" t="s">
        <v>3499</v>
      </c>
      <c r="E556" t="s">
        <v>3529</v>
      </c>
      <c r="F556">
        <v>737</v>
      </c>
      <c r="G556" t="s">
        <v>3530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>
      <c r="A557" t="s">
        <v>3984</v>
      </c>
      <c r="B557" t="s">
        <v>3498</v>
      </c>
      <c r="C557">
        <v>2020</v>
      </c>
      <c r="D557" t="s">
        <v>3504</v>
      </c>
      <c r="E557" t="s">
        <v>3529</v>
      </c>
      <c r="F557">
        <v>683</v>
      </c>
      <c r="G557" t="s">
        <v>3530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>
      <c r="A558" t="s">
        <v>3985</v>
      </c>
      <c r="B558" t="s">
        <v>3498</v>
      </c>
      <c r="C558">
        <v>2020</v>
      </c>
      <c r="D558" t="s">
        <v>3499</v>
      </c>
      <c r="E558" t="s">
        <v>3632</v>
      </c>
      <c r="F558">
        <v>272</v>
      </c>
      <c r="G558" t="s">
        <v>3632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>
      <c r="A559" t="s">
        <v>2311</v>
      </c>
      <c r="B559" t="s">
        <v>3498</v>
      </c>
      <c r="C559">
        <v>2020</v>
      </c>
      <c r="D559" t="s">
        <v>3502</v>
      </c>
      <c r="E559" t="s">
        <v>877</v>
      </c>
      <c r="F559">
        <v>92</v>
      </c>
      <c r="G559" t="s">
        <v>877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3986</v>
      </c>
      <c r="B560" t="s">
        <v>3498</v>
      </c>
      <c r="C560">
        <v>2020</v>
      </c>
      <c r="D560" t="s">
        <v>3502</v>
      </c>
      <c r="E560" t="s">
        <v>3618</v>
      </c>
      <c r="F560">
        <v>450</v>
      </c>
      <c r="G560" t="s">
        <v>3618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3987</v>
      </c>
      <c r="B561" t="s">
        <v>3498</v>
      </c>
      <c r="C561">
        <v>2020</v>
      </c>
      <c r="D561" t="s">
        <v>3504</v>
      </c>
      <c r="E561" t="s">
        <v>862</v>
      </c>
      <c r="F561">
        <v>12</v>
      </c>
      <c r="G561" t="s">
        <v>862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3988</v>
      </c>
      <c r="B562" t="s">
        <v>3498</v>
      </c>
      <c r="C562">
        <v>2020</v>
      </c>
      <c r="D562" t="s">
        <v>3499</v>
      </c>
      <c r="E562" t="s">
        <v>3602</v>
      </c>
      <c r="F562">
        <v>402</v>
      </c>
      <c r="G562" t="s">
        <v>3602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>
      <c r="A563" t="s">
        <v>3989</v>
      </c>
      <c r="B563" t="s">
        <v>3498</v>
      </c>
      <c r="C563">
        <v>2020</v>
      </c>
      <c r="D563" t="s">
        <v>3502</v>
      </c>
      <c r="E563" t="s">
        <v>3618</v>
      </c>
      <c r="F563">
        <v>0</v>
      </c>
      <c r="G563" t="s">
        <v>3618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3990</v>
      </c>
      <c r="B564" t="s">
        <v>3498</v>
      </c>
      <c r="C564">
        <v>2020</v>
      </c>
      <c r="D564" t="s">
        <v>3485</v>
      </c>
      <c r="E564" t="s">
        <v>3569</v>
      </c>
      <c r="F564">
        <v>90</v>
      </c>
      <c r="G564" t="s">
        <v>3569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3189</v>
      </c>
      <c r="B565" t="s">
        <v>3498</v>
      </c>
      <c r="C565">
        <v>2020</v>
      </c>
      <c r="D565" t="s">
        <v>3502</v>
      </c>
      <c r="E565" t="s">
        <v>3564</v>
      </c>
      <c r="F565">
        <v>681</v>
      </c>
      <c r="G565" t="s">
        <v>3564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>
      <c r="A566" t="s">
        <v>3991</v>
      </c>
      <c r="B566" t="s">
        <v>3498</v>
      </c>
      <c r="C566">
        <v>2020</v>
      </c>
      <c r="D566" t="s">
        <v>3502</v>
      </c>
      <c r="E566" t="s">
        <v>3546</v>
      </c>
      <c r="F566">
        <v>0</v>
      </c>
      <c r="G566" t="s">
        <v>886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3992</v>
      </c>
      <c r="B567" t="s">
        <v>3498</v>
      </c>
      <c r="C567">
        <v>2020</v>
      </c>
      <c r="D567" t="s">
        <v>3502</v>
      </c>
      <c r="E567" t="s">
        <v>3624</v>
      </c>
      <c r="F567">
        <v>360</v>
      </c>
      <c r="G567" t="s">
        <v>3624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3993</v>
      </c>
      <c r="B568" t="s">
        <v>3498</v>
      </c>
      <c r="C568">
        <v>2020</v>
      </c>
      <c r="D568" t="s">
        <v>3502</v>
      </c>
      <c r="E568" t="s">
        <v>3624</v>
      </c>
      <c r="F568">
        <v>941</v>
      </c>
      <c r="G568" t="s">
        <v>3624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>
      <c r="A569" t="s">
        <v>3994</v>
      </c>
      <c r="B569" t="s">
        <v>3498</v>
      </c>
      <c r="C569">
        <v>2020</v>
      </c>
      <c r="D569" t="s">
        <v>3499</v>
      </c>
      <c r="E569" t="s">
        <v>3632</v>
      </c>
      <c r="F569">
        <v>134</v>
      </c>
      <c r="G569" t="s">
        <v>3632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>
      <c r="A570" t="s">
        <v>3995</v>
      </c>
      <c r="B570" t="s">
        <v>3498</v>
      </c>
      <c r="C570">
        <v>2020</v>
      </c>
      <c r="D570" t="s">
        <v>3502</v>
      </c>
      <c r="E570" t="s">
        <v>3529</v>
      </c>
      <c r="F570">
        <v>342</v>
      </c>
      <c r="G570" t="s">
        <v>3530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>
      <c r="A571" t="s">
        <v>3996</v>
      </c>
      <c r="B571" t="s">
        <v>3498</v>
      </c>
      <c r="C571">
        <v>2020</v>
      </c>
      <c r="D571" t="s">
        <v>3502</v>
      </c>
      <c r="E571" t="s">
        <v>3508</v>
      </c>
      <c r="F571">
        <v>99</v>
      </c>
      <c r="G571" t="s">
        <v>3508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>
      <c r="A572" t="s">
        <v>3997</v>
      </c>
      <c r="B572" t="s">
        <v>3498</v>
      </c>
      <c r="C572">
        <v>2020</v>
      </c>
      <c r="D572" t="s">
        <v>3499</v>
      </c>
      <c r="E572" t="s">
        <v>3754</v>
      </c>
      <c r="F572">
        <v>111</v>
      </c>
      <c r="G572" t="s">
        <v>3754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3998</v>
      </c>
      <c r="B573" t="s">
        <v>3498</v>
      </c>
      <c r="C573">
        <v>2020</v>
      </c>
      <c r="D573" t="s">
        <v>3504</v>
      </c>
      <c r="E573" t="s">
        <v>3510</v>
      </c>
      <c r="F573">
        <v>0</v>
      </c>
      <c r="G573" t="s">
        <v>3624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3999</v>
      </c>
      <c r="B574" t="s">
        <v>3498</v>
      </c>
      <c r="C574">
        <v>2020</v>
      </c>
      <c r="D574" t="s">
        <v>3504</v>
      </c>
      <c r="E574" t="s">
        <v>3535</v>
      </c>
      <c r="F574">
        <v>12</v>
      </c>
      <c r="G574" t="s">
        <v>3535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>
      <c r="A575" t="s">
        <v>4000</v>
      </c>
      <c r="B575" t="s">
        <v>3498</v>
      </c>
      <c r="C575">
        <v>2020</v>
      </c>
      <c r="D575" t="s">
        <v>3485</v>
      </c>
      <c r="E575" t="s">
        <v>3532</v>
      </c>
      <c r="F575">
        <v>360</v>
      </c>
      <c r="G575" t="s">
        <v>3532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4001</v>
      </c>
      <c r="B576" t="s">
        <v>3498</v>
      </c>
      <c r="C576">
        <v>2020</v>
      </c>
      <c r="D576" t="s">
        <v>3502</v>
      </c>
      <c r="E576" t="s">
        <v>871</v>
      </c>
      <c r="F576">
        <v>90</v>
      </c>
      <c r="G576" t="s">
        <v>871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2189</v>
      </c>
      <c r="B577" t="s">
        <v>3498</v>
      </c>
      <c r="C577">
        <v>2020</v>
      </c>
      <c r="D577" t="s">
        <v>3504</v>
      </c>
      <c r="E577" t="s">
        <v>3564</v>
      </c>
      <c r="F577">
        <v>931</v>
      </c>
      <c r="G577" t="s">
        <v>3564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>
      <c r="A578" t="s">
        <v>4002</v>
      </c>
      <c r="B578" t="s">
        <v>3498</v>
      </c>
      <c r="C578">
        <v>2020</v>
      </c>
      <c r="D578" t="s">
        <v>3502</v>
      </c>
      <c r="E578" t="s">
        <v>3546</v>
      </c>
      <c r="F578">
        <v>649</v>
      </c>
      <c r="G578" t="s">
        <v>3546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>
      <c r="A579" t="s">
        <v>4003</v>
      </c>
      <c r="B579" t="s">
        <v>3498</v>
      </c>
      <c r="C579">
        <v>2020</v>
      </c>
      <c r="D579" t="s">
        <v>3504</v>
      </c>
      <c r="E579" t="s">
        <v>3510</v>
      </c>
      <c r="F579">
        <v>44</v>
      </c>
      <c r="G579" t="s">
        <v>3510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4004</v>
      </c>
      <c r="B580" t="s">
        <v>3498</v>
      </c>
      <c r="C580">
        <v>2020</v>
      </c>
      <c r="D580" t="s">
        <v>3499</v>
      </c>
      <c r="E580" t="s">
        <v>3529</v>
      </c>
      <c r="F580">
        <v>3</v>
      </c>
      <c r="G580" t="s">
        <v>3530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4005</v>
      </c>
      <c r="B581" t="s">
        <v>3498</v>
      </c>
      <c r="C581">
        <v>2020</v>
      </c>
      <c r="D581" t="s">
        <v>3504</v>
      </c>
      <c r="E581" t="s">
        <v>3529</v>
      </c>
      <c r="F581">
        <v>433</v>
      </c>
      <c r="G581" t="s">
        <v>880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>
      <c r="A582" t="s">
        <v>4006</v>
      </c>
      <c r="B582" t="s">
        <v>3498</v>
      </c>
      <c r="C582">
        <v>2020</v>
      </c>
      <c r="D582" t="s">
        <v>3499</v>
      </c>
      <c r="E582" t="s">
        <v>3577</v>
      </c>
      <c r="F582">
        <v>0</v>
      </c>
      <c r="G582" t="s">
        <v>3577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4007</v>
      </c>
      <c r="B583" t="s">
        <v>3498</v>
      </c>
      <c r="C583">
        <v>2020</v>
      </c>
      <c r="D583" t="s">
        <v>3485</v>
      </c>
      <c r="E583" t="s">
        <v>3555</v>
      </c>
      <c r="F583">
        <v>0</v>
      </c>
      <c r="G583" t="s">
        <v>3555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4008</v>
      </c>
      <c r="B584" t="s">
        <v>3498</v>
      </c>
      <c r="C584">
        <v>2020</v>
      </c>
      <c r="D584" t="s">
        <v>3504</v>
      </c>
      <c r="E584" t="s">
        <v>3546</v>
      </c>
      <c r="F584">
        <v>78</v>
      </c>
      <c r="G584" t="s">
        <v>3546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4009</v>
      </c>
      <c r="B585" t="s">
        <v>3498</v>
      </c>
      <c r="C585">
        <v>2020</v>
      </c>
      <c r="D585" t="s">
        <v>3502</v>
      </c>
      <c r="E585" t="s">
        <v>863</v>
      </c>
      <c r="F585">
        <v>346</v>
      </c>
      <c r="G585" t="s">
        <v>863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>
      <c r="A586" t="s">
        <v>4010</v>
      </c>
      <c r="B586" t="s">
        <v>3498</v>
      </c>
      <c r="C586">
        <v>2020</v>
      </c>
      <c r="D586" t="s">
        <v>3485</v>
      </c>
      <c r="E586" t="s">
        <v>3510</v>
      </c>
      <c r="F586">
        <v>360</v>
      </c>
      <c r="G586" t="s">
        <v>3510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1941</v>
      </c>
      <c r="B587" t="s">
        <v>3498</v>
      </c>
      <c r="C587">
        <v>2020</v>
      </c>
      <c r="D587" t="s">
        <v>3499</v>
      </c>
      <c r="E587" t="s">
        <v>886</v>
      </c>
      <c r="F587">
        <v>608</v>
      </c>
      <c r="G587" t="s">
        <v>886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>
      <c r="A588" t="s">
        <v>4011</v>
      </c>
      <c r="B588" t="s">
        <v>3498</v>
      </c>
      <c r="C588">
        <v>2020</v>
      </c>
      <c r="D588" t="s">
        <v>3504</v>
      </c>
      <c r="E588" t="s">
        <v>3549</v>
      </c>
      <c r="F588">
        <v>193</v>
      </c>
      <c r="G588" t="s">
        <v>3549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>
      <c r="A589" t="s">
        <v>306</v>
      </c>
      <c r="B589" t="s">
        <v>3498</v>
      </c>
      <c r="C589">
        <v>2020</v>
      </c>
      <c r="D589" t="s">
        <v>3502</v>
      </c>
      <c r="E589" t="s">
        <v>886</v>
      </c>
      <c r="F589">
        <v>200</v>
      </c>
      <c r="G589" t="s">
        <v>886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>
      <c r="A590" t="s">
        <v>4012</v>
      </c>
      <c r="B590" t="s">
        <v>3498</v>
      </c>
      <c r="C590">
        <v>2020</v>
      </c>
      <c r="D590" t="s">
        <v>3485</v>
      </c>
      <c r="E590" t="s">
        <v>3526</v>
      </c>
      <c r="F590">
        <v>0</v>
      </c>
      <c r="G590" t="s">
        <v>3526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4013</v>
      </c>
      <c r="B591" t="s">
        <v>3498</v>
      </c>
      <c r="C591">
        <v>2020</v>
      </c>
      <c r="D591" t="s">
        <v>3502</v>
      </c>
      <c r="E591" t="s">
        <v>3506</v>
      </c>
      <c r="F591">
        <v>93</v>
      </c>
      <c r="G591" t="s">
        <v>3506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4014</v>
      </c>
      <c r="B592" t="s">
        <v>3498</v>
      </c>
      <c r="C592">
        <v>2020</v>
      </c>
      <c r="D592" t="s">
        <v>3485</v>
      </c>
      <c r="E592" t="s">
        <v>3618</v>
      </c>
      <c r="F592">
        <v>90</v>
      </c>
      <c r="G592" t="s">
        <v>3618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4015</v>
      </c>
      <c r="B593" t="s">
        <v>3498</v>
      </c>
      <c r="C593">
        <v>2020</v>
      </c>
      <c r="D593" t="s">
        <v>3504</v>
      </c>
      <c r="E593" t="s">
        <v>3510</v>
      </c>
      <c r="F593">
        <v>58</v>
      </c>
      <c r="G593" t="s">
        <v>3510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4016</v>
      </c>
      <c r="B594" t="s">
        <v>3498</v>
      </c>
      <c r="C594">
        <v>2020</v>
      </c>
      <c r="D594" t="s">
        <v>3504</v>
      </c>
      <c r="E594" t="s">
        <v>3602</v>
      </c>
      <c r="F594">
        <v>59</v>
      </c>
      <c r="G594" t="s">
        <v>3602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4017</v>
      </c>
      <c r="B595" t="s">
        <v>3498</v>
      </c>
      <c r="C595">
        <v>2020</v>
      </c>
      <c r="D595" t="s">
        <v>3504</v>
      </c>
      <c r="E595" t="s">
        <v>862</v>
      </c>
      <c r="F595">
        <v>227</v>
      </c>
      <c r="G595" t="s">
        <v>862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>
      <c r="A596" t="s">
        <v>1865</v>
      </c>
      <c r="B596" t="s">
        <v>3498</v>
      </c>
      <c r="C596">
        <v>2020</v>
      </c>
      <c r="D596" t="s">
        <v>3504</v>
      </c>
      <c r="E596" t="s">
        <v>892</v>
      </c>
      <c r="F596">
        <v>109</v>
      </c>
      <c r="G596" t="s">
        <v>892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>
      <c r="A597" t="s">
        <v>4018</v>
      </c>
      <c r="B597" t="s">
        <v>3498</v>
      </c>
      <c r="C597">
        <v>2020</v>
      </c>
      <c r="D597" t="s">
        <v>3504</v>
      </c>
      <c r="E597" t="s">
        <v>862</v>
      </c>
      <c r="F597">
        <v>15</v>
      </c>
      <c r="G597" t="s">
        <v>862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4019</v>
      </c>
      <c r="B598" t="s">
        <v>3498</v>
      </c>
      <c r="C598">
        <v>2020</v>
      </c>
      <c r="D598" t="s">
        <v>3502</v>
      </c>
      <c r="E598" t="s">
        <v>862</v>
      </c>
      <c r="F598">
        <v>0</v>
      </c>
      <c r="G598" t="s">
        <v>862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161</v>
      </c>
      <c r="B599" t="s">
        <v>3498</v>
      </c>
      <c r="C599">
        <v>2020</v>
      </c>
      <c r="D599" t="s">
        <v>3502</v>
      </c>
      <c r="E599" t="s">
        <v>3500</v>
      </c>
      <c r="F599">
        <v>720</v>
      </c>
      <c r="G599" t="s">
        <v>3500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>
      <c r="A600" t="s">
        <v>3269</v>
      </c>
      <c r="B600" t="s">
        <v>3498</v>
      </c>
      <c r="C600">
        <v>2020</v>
      </c>
      <c r="D600" t="s">
        <v>3502</v>
      </c>
      <c r="E600" t="s">
        <v>897</v>
      </c>
      <c r="F600">
        <v>98</v>
      </c>
      <c r="G600" t="s">
        <v>897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4020</v>
      </c>
      <c r="B601" t="s">
        <v>3498</v>
      </c>
      <c r="C601">
        <v>2020</v>
      </c>
      <c r="D601" t="s">
        <v>3502</v>
      </c>
      <c r="E601" t="s">
        <v>3546</v>
      </c>
      <c r="F601">
        <v>0</v>
      </c>
      <c r="G601" t="s">
        <v>3546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4021</v>
      </c>
      <c r="B602" t="s">
        <v>3498</v>
      </c>
      <c r="C602">
        <v>2020</v>
      </c>
      <c r="D602" t="s">
        <v>3502</v>
      </c>
      <c r="E602" t="s">
        <v>3555</v>
      </c>
      <c r="F602">
        <v>0</v>
      </c>
      <c r="G602" t="s">
        <v>3555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4022</v>
      </c>
      <c r="B603" t="s">
        <v>3498</v>
      </c>
      <c r="C603">
        <v>2020</v>
      </c>
      <c r="D603" t="s">
        <v>3499</v>
      </c>
      <c r="E603" t="s">
        <v>862</v>
      </c>
      <c r="F603">
        <v>90</v>
      </c>
      <c r="G603" t="s">
        <v>862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>
      <c r="A604" t="s">
        <v>2183</v>
      </c>
      <c r="B604" t="s">
        <v>3498</v>
      </c>
      <c r="C604">
        <v>2020</v>
      </c>
      <c r="D604" t="s">
        <v>3504</v>
      </c>
      <c r="E604" t="s">
        <v>3564</v>
      </c>
      <c r="F604">
        <v>803</v>
      </c>
      <c r="G604" t="s">
        <v>3564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>
      <c r="A605" t="s">
        <v>4023</v>
      </c>
      <c r="B605" t="s">
        <v>3498</v>
      </c>
      <c r="C605">
        <v>2020</v>
      </c>
      <c r="D605" t="s">
        <v>3504</v>
      </c>
      <c r="E605" t="s">
        <v>3564</v>
      </c>
      <c r="F605">
        <v>0</v>
      </c>
      <c r="G605" t="s">
        <v>3564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4024</v>
      </c>
      <c r="B606" t="s">
        <v>3498</v>
      </c>
      <c r="C606">
        <v>2020</v>
      </c>
      <c r="D606" t="s">
        <v>3504</v>
      </c>
      <c r="E606" t="s">
        <v>3532</v>
      </c>
      <c r="F606">
        <v>560</v>
      </c>
      <c r="G606" t="s">
        <v>3532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>
      <c r="A607" t="s">
        <v>4025</v>
      </c>
      <c r="B607" t="s">
        <v>3498</v>
      </c>
      <c r="C607">
        <v>2020</v>
      </c>
      <c r="D607" t="s">
        <v>3504</v>
      </c>
      <c r="E607" t="s">
        <v>3624</v>
      </c>
      <c r="F607">
        <v>990</v>
      </c>
      <c r="G607" t="s">
        <v>3624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>
      <c r="A608" t="s">
        <v>4026</v>
      </c>
      <c r="B608" t="s">
        <v>3498</v>
      </c>
      <c r="C608">
        <v>2020</v>
      </c>
      <c r="D608" t="s">
        <v>3502</v>
      </c>
      <c r="E608" t="s">
        <v>866</v>
      </c>
      <c r="F608">
        <v>25</v>
      </c>
      <c r="G608" t="s">
        <v>866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4027</v>
      </c>
      <c r="B609" t="s">
        <v>3498</v>
      </c>
      <c r="C609">
        <v>2020</v>
      </c>
      <c r="D609" t="s">
        <v>3504</v>
      </c>
      <c r="E609" t="s">
        <v>3546</v>
      </c>
      <c r="F609">
        <v>196</v>
      </c>
      <c r="G609" t="s">
        <v>3546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201</v>
      </c>
      <c r="B610" t="s">
        <v>3498</v>
      </c>
      <c r="C610">
        <v>2020</v>
      </c>
      <c r="D610" t="s">
        <v>3504</v>
      </c>
      <c r="E610" t="s">
        <v>879</v>
      </c>
      <c r="F610">
        <v>17</v>
      </c>
      <c r="G610" t="s">
        <v>879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4028</v>
      </c>
      <c r="B611" t="s">
        <v>3498</v>
      </c>
      <c r="C611">
        <v>2020</v>
      </c>
      <c r="D611" t="s">
        <v>3502</v>
      </c>
      <c r="E611" t="s">
        <v>3515</v>
      </c>
      <c r="F611">
        <v>0</v>
      </c>
      <c r="G611" t="s">
        <v>3515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4029</v>
      </c>
      <c r="B612" t="s">
        <v>3498</v>
      </c>
      <c r="C612">
        <v>2020</v>
      </c>
      <c r="D612" t="s">
        <v>3499</v>
      </c>
      <c r="E612" t="s">
        <v>3730</v>
      </c>
      <c r="F612">
        <v>372</v>
      </c>
      <c r="G612" t="s">
        <v>3730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>
      <c r="A613" t="s">
        <v>4030</v>
      </c>
      <c r="B613" t="s">
        <v>3498</v>
      </c>
      <c r="C613">
        <v>2020</v>
      </c>
      <c r="D613" t="s">
        <v>3504</v>
      </c>
      <c r="E613" t="s">
        <v>3571</v>
      </c>
      <c r="F613">
        <v>72</v>
      </c>
      <c r="G613" t="s">
        <v>3571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4031</v>
      </c>
      <c r="B614" t="s">
        <v>3498</v>
      </c>
      <c r="C614">
        <v>2020</v>
      </c>
      <c r="D614" t="s">
        <v>3499</v>
      </c>
      <c r="E614" t="s">
        <v>3577</v>
      </c>
      <c r="F614">
        <v>16</v>
      </c>
      <c r="G614" t="s">
        <v>3577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4032</v>
      </c>
      <c r="B615" t="s">
        <v>3498</v>
      </c>
      <c r="C615">
        <v>2020</v>
      </c>
      <c r="D615" t="s">
        <v>3502</v>
      </c>
      <c r="E615" t="s">
        <v>3523</v>
      </c>
      <c r="F615">
        <v>170</v>
      </c>
      <c r="G615" t="s">
        <v>3523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4033</v>
      </c>
      <c r="B616" t="s">
        <v>3498</v>
      </c>
      <c r="C616">
        <v>2020</v>
      </c>
      <c r="D616" t="s">
        <v>3499</v>
      </c>
      <c r="E616" t="s">
        <v>3597</v>
      </c>
      <c r="F616">
        <v>170</v>
      </c>
      <c r="G616" t="s">
        <v>3597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4034</v>
      </c>
      <c r="B617" t="s">
        <v>3498</v>
      </c>
      <c r="C617">
        <v>2020</v>
      </c>
      <c r="D617" t="s">
        <v>3502</v>
      </c>
      <c r="E617" t="s">
        <v>3529</v>
      </c>
      <c r="F617">
        <v>810</v>
      </c>
      <c r="G617" t="s">
        <v>3530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4035</v>
      </c>
      <c r="B618" t="s">
        <v>3498</v>
      </c>
      <c r="C618">
        <v>2020</v>
      </c>
      <c r="D618" t="s">
        <v>3502</v>
      </c>
      <c r="E618" t="s">
        <v>3546</v>
      </c>
      <c r="F618">
        <v>314</v>
      </c>
      <c r="G618" t="s">
        <v>3546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4036</v>
      </c>
      <c r="B619" t="s">
        <v>3498</v>
      </c>
      <c r="C619">
        <v>2020</v>
      </c>
      <c r="D619" t="s">
        <v>3485</v>
      </c>
      <c r="E619" t="s">
        <v>3618</v>
      </c>
      <c r="F619">
        <v>270</v>
      </c>
      <c r="G619" t="s">
        <v>3618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4037</v>
      </c>
      <c r="B620" t="s">
        <v>3498</v>
      </c>
      <c r="C620">
        <v>2020</v>
      </c>
      <c r="D620" t="s">
        <v>3504</v>
      </c>
      <c r="E620" t="s">
        <v>3546</v>
      </c>
      <c r="F620">
        <v>102</v>
      </c>
      <c r="G620" t="s">
        <v>3546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4038</v>
      </c>
      <c r="B621" t="s">
        <v>3498</v>
      </c>
      <c r="C621">
        <v>2020</v>
      </c>
      <c r="D621" t="s">
        <v>3502</v>
      </c>
      <c r="E621" t="s">
        <v>3529</v>
      </c>
      <c r="F621">
        <v>540</v>
      </c>
      <c r="G621" t="s">
        <v>3530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581</v>
      </c>
      <c r="B622" t="s">
        <v>3498</v>
      </c>
      <c r="C622">
        <v>2020</v>
      </c>
      <c r="D622" t="s">
        <v>3504</v>
      </c>
      <c r="E622" t="s">
        <v>865</v>
      </c>
      <c r="F622">
        <v>388</v>
      </c>
      <c r="G622" t="s">
        <v>865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>
      <c r="A623" t="s">
        <v>4039</v>
      </c>
      <c r="B623" t="s">
        <v>3498</v>
      </c>
      <c r="C623">
        <v>2020</v>
      </c>
      <c r="D623" t="s">
        <v>3502</v>
      </c>
      <c r="E623" t="s">
        <v>3523</v>
      </c>
      <c r="F623">
        <v>409</v>
      </c>
      <c r="G623" t="s">
        <v>3523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>
      <c r="A624" t="s">
        <v>4040</v>
      </c>
      <c r="B624" t="s">
        <v>3498</v>
      </c>
      <c r="C624">
        <v>2020</v>
      </c>
      <c r="D624" t="s">
        <v>3504</v>
      </c>
      <c r="E624" t="s">
        <v>3523</v>
      </c>
      <c r="F624">
        <v>0</v>
      </c>
      <c r="G624" t="s">
        <v>3523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4041</v>
      </c>
      <c r="B625" t="s">
        <v>3498</v>
      </c>
      <c r="C625">
        <v>2020</v>
      </c>
      <c r="D625" t="s">
        <v>3502</v>
      </c>
      <c r="E625" t="s">
        <v>3523</v>
      </c>
      <c r="F625">
        <v>20</v>
      </c>
      <c r="G625" t="s">
        <v>3523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4042</v>
      </c>
      <c r="B626" t="s">
        <v>3498</v>
      </c>
      <c r="C626">
        <v>2020</v>
      </c>
      <c r="D626" t="s">
        <v>3485</v>
      </c>
      <c r="E626" t="s">
        <v>3546</v>
      </c>
      <c r="F626">
        <v>540</v>
      </c>
      <c r="G626" t="s">
        <v>3546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4043</v>
      </c>
      <c r="B627" t="s">
        <v>3498</v>
      </c>
      <c r="C627">
        <v>2020</v>
      </c>
      <c r="D627" t="s">
        <v>3504</v>
      </c>
      <c r="E627" t="s">
        <v>3599</v>
      </c>
      <c r="F627">
        <v>80</v>
      </c>
      <c r="G627" t="s">
        <v>3599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4044</v>
      </c>
      <c r="B628" t="s">
        <v>3498</v>
      </c>
      <c r="C628">
        <v>2020</v>
      </c>
      <c r="D628" t="s">
        <v>3504</v>
      </c>
      <c r="E628" t="s">
        <v>3599</v>
      </c>
      <c r="F628">
        <v>670</v>
      </c>
      <c r="G628" t="s">
        <v>3599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>
      <c r="A629" t="s">
        <v>4045</v>
      </c>
      <c r="B629" t="s">
        <v>3498</v>
      </c>
      <c r="C629">
        <v>2020</v>
      </c>
      <c r="D629" t="s">
        <v>3504</v>
      </c>
      <c r="E629" t="s">
        <v>3599</v>
      </c>
      <c r="F629">
        <v>268</v>
      </c>
      <c r="G629" t="s">
        <v>3599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4046</v>
      </c>
      <c r="B630" t="s">
        <v>3498</v>
      </c>
      <c r="C630">
        <v>2020</v>
      </c>
      <c r="D630" t="s">
        <v>3499</v>
      </c>
      <c r="E630" t="s">
        <v>3602</v>
      </c>
      <c r="F630">
        <v>244</v>
      </c>
      <c r="G630" t="s">
        <v>3602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>
      <c r="A631" t="s">
        <v>4047</v>
      </c>
      <c r="B631" t="s">
        <v>3498</v>
      </c>
      <c r="C631">
        <v>2020</v>
      </c>
      <c r="D631" t="s">
        <v>3502</v>
      </c>
      <c r="E631" t="s">
        <v>3597</v>
      </c>
      <c r="F631">
        <v>240</v>
      </c>
      <c r="G631" t="s">
        <v>3597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>
      <c r="A632" t="s">
        <v>4048</v>
      </c>
      <c r="B632" t="s">
        <v>3498</v>
      </c>
      <c r="C632">
        <v>2020</v>
      </c>
      <c r="D632" t="s">
        <v>3499</v>
      </c>
      <c r="E632" t="s">
        <v>3569</v>
      </c>
      <c r="F632">
        <v>7</v>
      </c>
      <c r="G632" t="s">
        <v>3569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4049</v>
      </c>
      <c r="B633" t="s">
        <v>3498</v>
      </c>
      <c r="C633">
        <v>2020</v>
      </c>
      <c r="D633" t="s">
        <v>3504</v>
      </c>
      <c r="E633" t="s">
        <v>3569</v>
      </c>
      <c r="F633">
        <v>326</v>
      </c>
      <c r="G633" t="s">
        <v>3569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>
      <c r="A634" t="s">
        <v>4050</v>
      </c>
      <c r="B634" t="s">
        <v>3498</v>
      </c>
      <c r="C634">
        <v>2020</v>
      </c>
      <c r="D634" t="s">
        <v>3504</v>
      </c>
      <c r="E634" t="s">
        <v>877</v>
      </c>
      <c r="F634">
        <v>2</v>
      </c>
      <c r="G634" t="s">
        <v>877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4051</v>
      </c>
      <c r="B635" t="s">
        <v>3498</v>
      </c>
      <c r="C635">
        <v>2020</v>
      </c>
      <c r="D635" t="s">
        <v>3502</v>
      </c>
      <c r="E635" t="s">
        <v>872</v>
      </c>
      <c r="F635">
        <v>0</v>
      </c>
      <c r="G635" t="s">
        <v>872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4052</v>
      </c>
      <c r="B636" t="s">
        <v>3498</v>
      </c>
      <c r="C636">
        <v>2020</v>
      </c>
      <c r="D636" t="s">
        <v>3502</v>
      </c>
      <c r="E636" t="s">
        <v>3508</v>
      </c>
      <c r="F636">
        <v>90</v>
      </c>
      <c r="G636" t="s">
        <v>3508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4053</v>
      </c>
      <c r="B637" t="s">
        <v>3498</v>
      </c>
      <c r="C637">
        <v>2020</v>
      </c>
      <c r="D637" t="s">
        <v>3504</v>
      </c>
      <c r="E637" t="s">
        <v>3599</v>
      </c>
      <c r="F637">
        <v>0</v>
      </c>
      <c r="G637" t="s">
        <v>3599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4054</v>
      </c>
      <c r="B638" t="s">
        <v>3498</v>
      </c>
      <c r="C638">
        <v>2020</v>
      </c>
      <c r="D638" t="s">
        <v>3504</v>
      </c>
      <c r="E638" t="s">
        <v>3624</v>
      </c>
      <c r="F638">
        <v>101</v>
      </c>
      <c r="G638" t="s">
        <v>3624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4055</v>
      </c>
      <c r="B639" t="s">
        <v>3498</v>
      </c>
      <c r="C639">
        <v>2020</v>
      </c>
      <c r="D639" t="s">
        <v>3499</v>
      </c>
      <c r="E639" t="s">
        <v>3624</v>
      </c>
      <c r="F639">
        <v>0</v>
      </c>
      <c r="G639" t="s">
        <v>3624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4056</v>
      </c>
      <c r="B640" t="s">
        <v>3498</v>
      </c>
      <c r="C640">
        <v>2020</v>
      </c>
      <c r="D640" t="s">
        <v>3499</v>
      </c>
      <c r="E640" t="s">
        <v>3564</v>
      </c>
      <c r="F640">
        <v>900</v>
      </c>
      <c r="G640" t="s">
        <v>3564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>
      <c r="A641" t="s">
        <v>4057</v>
      </c>
      <c r="B641" t="s">
        <v>3498</v>
      </c>
      <c r="C641">
        <v>2020</v>
      </c>
      <c r="D641" t="s">
        <v>3504</v>
      </c>
      <c r="E641" t="s">
        <v>885</v>
      </c>
      <c r="F641">
        <v>466</v>
      </c>
      <c r="G641" t="s">
        <v>885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>
      <c r="A642" t="s">
        <v>4058</v>
      </c>
      <c r="B642" t="s">
        <v>3498</v>
      </c>
      <c r="C642">
        <v>2020</v>
      </c>
      <c r="D642" t="s">
        <v>3502</v>
      </c>
      <c r="E642" t="s">
        <v>3592</v>
      </c>
      <c r="F642">
        <v>0</v>
      </c>
      <c r="G642" t="s">
        <v>3592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4059</v>
      </c>
      <c r="B643" t="s">
        <v>3498</v>
      </c>
      <c r="C643">
        <v>2020</v>
      </c>
      <c r="D643" t="s">
        <v>3502</v>
      </c>
      <c r="E643" t="s">
        <v>866</v>
      </c>
      <c r="F643">
        <v>450</v>
      </c>
      <c r="G643" t="s">
        <v>866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>
      <c r="A644" t="s">
        <v>4060</v>
      </c>
      <c r="B644" t="s">
        <v>3498</v>
      </c>
      <c r="C644">
        <v>2020</v>
      </c>
      <c r="D644" t="s">
        <v>3499</v>
      </c>
      <c r="E644" t="s">
        <v>863</v>
      </c>
      <c r="F644">
        <v>128</v>
      </c>
      <c r="G644" t="s">
        <v>863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>
      <c r="A645" t="s">
        <v>4061</v>
      </c>
      <c r="B645" t="s">
        <v>3498</v>
      </c>
      <c r="C645">
        <v>2020</v>
      </c>
      <c r="D645" t="s">
        <v>3499</v>
      </c>
      <c r="E645" t="s">
        <v>3532</v>
      </c>
      <c r="F645">
        <v>122</v>
      </c>
      <c r="G645" t="s">
        <v>3532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4062</v>
      </c>
      <c r="B646" t="s">
        <v>3498</v>
      </c>
      <c r="C646">
        <v>2020</v>
      </c>
      <c r="D646" t="s">
        <v>3502</v>
      </c>
      <c r="E646" t="s">
        <v>3532</v>
      </c>
      <c r="F646">
        <v>360</v>
      </c>
      <c r="G646" t="s">
        <v>3532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>
      <c r="A647" t="s">
        <v>4063</v>
      </c>
      <c r="B647" t="s">
        <v>3498</v>
      </c>
      <c r="C647">
        <v>2020</v>
      </c>
      <c r="D647" t="s">
        <v>3504</v>
      </c>
      <c r="E647" t="s">
        <v>3592</v>
      </c>
      <c r="F647">
        <v>0</v>
      </c>
      <c r="G647" t="s">
        <v>3592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4064</v>
      </c>
      <c r="B648" t="s">
        <v>3498</v>
      </c>
      <c r="C648">
        <v>2020</v>
      </c>
      <c r="D648" t="s">
        <v>3504</v>
      </c>
      <c r="E648" t="s">
        <v>3648</v>
      </c>
      <c r="F648">
        <v>0</v>
      </c>
      <c r="G648" t="s">
        <v>3648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4065</v>
      </c>
      <c r="B649" t="s">
        <v>3498</v>
      </c>
      <c r="C649">
        <v>2020</v>
      </c>
      <c r="D649" t="s">
        <v>3499</v>
      </c>
      <c r="E649" t="s">
        <v>3520</v>
      </c>
      <c r="F649">
        <v>487</v>
      </c>
      <c r="G649" t="s">
        <v>3520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>
      <c r="A650" t="s">
        <v>1279</v>
      </c>
      <c r="B650" t="s">
        <v>3498</v>
      </c>
      <c r="C650">
        <v>2020</v>
      </c>
      <c r="D650" t="s">
        <v>3499</v>
      </c>
      <c r="E650" t="s">
        <v>863</v>
      </c>
      <c r="F650">
        <v>478</v>
      </c>
      <c r="G650" t="s">
        <v>863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>
      <c r="A651" t="s">
        <v>1147</v>
      </c>
      <c r="B651" t="s">
        <v>3498</v>
      </c>
      <c r="C651">
        <v>2020</v>
      </c>
      <c r="D651" t="s">
        <v>3499</v>
      </c>
      <c r="E651" t="s">
        <v>863</v>
      </c>
      <c r="F651">
        <v>396</v>
      </c>
      <c r="G651" t="s">
        <v>863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>
      <c r="A652" t="s">
        <v>4066</v>
      </c>
      <c r="B652" t="s">
        <v>3498</v>
      </c>
      <c r="C652">
        <v>2020</v>
      </c>
      <c r="D652" t="s">
        <v>3499</v>
      </c>
      <c r="E652" t="s">
        <v>3618</v>
      </c>
      <c r="F652">
        <v>397</v>
      </c>
      <c r="G652" t="s">
        <v>3618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>
      <c r="A653" t="s">
        <v>4067</v>
      </c>
      <c r="B653" t="s">
        <v>3498</v>
      </c>
      <c r="C653">
        <v>2020</v>
      </c>
      <c r="D653" t="s">
        <v>3499</v>
      </c>
      <c r="E653" t="s">
        <v>872</v>
      </c>
      <c r="F653">
        <v>33</v>
      </c>
      <c r="G653" t="s">
        <v>872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2507</v>
      </c>
      <c r="B654" t="s">
        <v>3498</v>
      </c>
      <c r="C654">
        <v>2020</v>
      </c>
      <c r="D654" t="s">
        <v>3502</v>
      </c>
      <c r="E654" t="s">
        <v>872</v>
      </c>
      <c r="F654">
        <v>755</v>
      </c>
      <c r="G654" t="s">
        <v>872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>
      <c r="A655" t="s">
        <v>4068</v>
      </c>
      <c r="B655" t="s">
        <v>3498</v>
      </c>
      <c r="C655">
        <v>2020</v>
      </c>
      <c r="D655" t="s">
        <v>3485</v>
      </c>
      <c r="E655" t="s">
        <v>862</v>
      </c>
      <c r="F655">
        <v>810</v>
      </c>
      <c r="G655" t="s">
        <v>862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4069</v>
      </c>
      <c r="B656" t="s">
        <v>3498</v>
      </c>
      <c r="C656">
        <v>2020</v>
      </c>
      <c r="D656" t="s">
        <v>3502</v>
      </c>
      <c r="E656" t="s">
        <v>3615</v>
      </c>
      <c r="F656">
        <v>95</v>
      </c>
      <c r="G656" t="s">
        <v>3615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2749</v>
      </c>
      <c r="B657" t="s">
        <v>3498</v>
      </c>
      <c r="C657">
        <v>2020</v>
      </c>
      <c r="D657" t="s">
        <v>3504</v>
      </c>
      <c r="E657" t="s">
        <v>3564</v>
      </c>
      <c r="F657">
        <v>51</v>
      </c>
      <c r="G657" t="s">
        <v>3564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4070</v>
      </c>
      <c r="B658" t="s">
        <v>3498</v>
      </c>
      <c r="C658">
        <v>2020</v>
      </c>
      <c r="D658" t="s">
        <v>3502</v>
      </c>
      <c r="E658" t="s">
        <v>891</v>
      </c>
      <c r="F658">
        <v>134</v>
      </c>
      <c r="G658" t="s">
        <v>891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4071</v>
      </c>
      <c r="B659" t="s">
        <v>3498</v>
      </c>
      <c r="C659">
        <v>2020</v>
      </c>
      <c r="D659" t="s">
        <v>3485</v>
      </c>
      <c r="E659" t="s">
        <v>3506</v>
      </c>
      <c r="F659">
        <v>3</v>
      </c>
      <c r="G659" t="s">
        <v>3506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4072</v>
      </c>
      <c r="B660" t="s">
        <v>3498</v>
      </c>
      <c r="C660">
        <v>2020</v>
      </c>
      <c r="D660" t="s">
        <v>3502</v>
      </c>
      <c r="E660" t="s">
        <v>3632</v>
      </c>
      <c r="F660">
        <v>810</v>
      </c>
      <c r="G660" t="s">
        <v>3632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>
      <c r="A661" t="s">
        <v>356</v>
      </c>
      <c r="B661" t="s">
        <v>3498</v>
      </c>
      <c r="C661">
        <v>2020</v>
      </c>
      <c r="D661" t="s">
        <v>3502</v>
      </c>
      <c r="E661" t="s">
        <v>879</v>
      </c>
      <c r="F661">
        <v>6</v>
      </c>
      <c r="G661" t="s">
        <v>879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4073</v>
      </c>
      <c r="B662" t="s">
        <v>3498</v>
      </c>
      <c r="C662">
        <v>2020</v>
      </c>
      <c r="D662" t="s">
        <v>3502</v>
      </c>
      <c r="E662" t="s">
        <v>880</v>
      </c>
      <c r="F662">
        <v>0</v>
      </c>
      <c r="G662" t="s">
        <v>880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4074</v>
      </c>
      <c r="B663" t="s">
        <v>3498</v>
      </c>
      <c r="C663">
        <v>2020</v>
      </c>
      <c r="D663" t="s">
        <v>3504</v>
      </c>
      <c r="E663" t="s">
        <v>880</v>
      </c>
      <c r="F663">
        <v>0</v>
      </c>
      <c r="G663" t="s">
        <v>880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2617</v>
      </c>
      <c r="B664" t="s">
        <v>3498</v>
      </c>
      <c r="C664">
        <v>2020</v>
      </c>
      <c r="D664" t="s">
        <v>3502</v>
      </c>
      <c r="E664" t="s">
        <v>886</v>
      </c>
      <c r="F664">
        <v>450</v>
      </c>
      <c r="G664" t="s">
        <v>886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>
      <c r="A665" t="s">
        <v>2851</v>
      </c>
      <c r="B665" t="s">
        <v>3498</v>
      </c>
      <c r="C665">
        <v>2020</v>
      </c>
      <c r="D665" t="s">
        <v>3504</v>
      </c>
      <c r="E665" t="s">
        <v>897</v>
      </c>
      <c r="F665">
        <v>221</v>
      </c>
      <c r="G665" t="s">
        <v>897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4075</v>
      </c>
      <c r="B666" t="s">
        <v>3498</v>
      </c>
      <c r="C666">
        <v>2020</v>
      </c>
      <c r="D666" t="s">
        <v>3504</v>
      </c>
      <c r="E666" t="s">
        <v>3526</v>
      </c>
      <c r="F666">
        <v>349</v>
      </c>
      <c r="G666" t="s">
        <v>3526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4076</v>
      </c>
      <c r="B667" t="s">
        <v>3498</v>
      </c>
      <c r="C667">
        <v>2020</v>
      </c>
      <c r="D667" t="s">
        <v>3502</v>
      </c>
      <c r="E667" t="s">
        <v>3526</v>
      </c>
      <c r="F667">
        <v>301</v>
      </c>
      <c r="G667" t="s">
        <v>3526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>
      <c r="A668" t="s">
        <v>4077</v>
      </c>
      <c r="B668" t="s">
        <v>3498</v>
      </c>
      <c r="C668">
        <v>2020</v>
      </c>
      <c r="D668" t="s">
        <v>3502</v>
      </c>
      <c r="E668" t="s">
        <v>882</v>
      </c>
      <c r="F668">
        <v>270</v>
      </c>
      <c r="G668" t="s">
        <v>882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>
      <c r="A669" t="s">
        <v>4078</v>
      </c>
      <c r="B669" t="s">
        <v>3498</v>
      </c>
      <c r="C669">
        <v>2020</v>
      </c>
      <c r="D669" t="s">
        <v>3502</v>
      </c>
      <c r="E669" t="s">
        <v>3520</v>
      </c>
      <c r="F669">
        <v>180</v>
      </c>
      <c r="G669" t="s">
        <v>3520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4079</v>
      </c>
      <c r="B670" t="s">
        <v>3498</v>
      </c>
      <c r="C670">
        <v>2020</v>
      </c>
      <c r="D670" t="s">
        <v>3504</v>
      </c>
      <c r="E670" t="s">
        <v>3526</v>
      </c>
      <c r="F670">
        <v>91</v>
      </c>
      <c r="G670" t="s">
        <v>3526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4080</v>
      </c>
      <c r="B671" t="s">
        <v>3498</v>
      </c>
      <c r="C671">
        <v>2020</v>
      </c>
      <c r="D671" t="s">
        <v>3504</v>
      </c>
      <c r="E671" t="s">
        <v>3532</v>
      </c>
      <c r="F671">
        <v>650</v>
      </c>
      <c r="G671" t="s">
        <v>3532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>
      <c r="A672" t="s">
        <v>4081</v>
      </c>
      <c r="B672" t="s">
        <v>3498</v>
      </c>
      <c r="C672">
        <v>2020</v>
      </c>
      <c r="D672" t="s">
        <v>3499</v>
      </c>
      <c r="E672" t="s">
        <v>3602</v>
      </c>
      <c r="F672">
        <v>0</v>
      </c>
      <c r="G672" t="s">
        <v>3546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4082</v>
      </c>
      <c r="B673" t="s">
        <v>3498</v>
      </c>
      <c r="C673">
        <v>2020</v>
      </c>
      <c r="D673" t="s">
        <v>3502</v>
      </c>
      <c r="E673" t="s">
        <v>3632</v>
      </c>
      <c r="F673">
        <v>538</v>
      </c>
      <c r="G673" t="s">
        <v>866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>
      <c r="A674" t="s">
        <v>4083</v>
      </c>
      <c r="B674" t="s">
        <v>3498</v>
      </c>
      <c r="C674">
        <v>2020</v>
      </c>
      <c r="D674" t="s">
        <v>3504</v>
      </c>
      <c r="E674" t="s">
        <v>3632</v>
      </c>
      <c r="F674">
        <v>5</v>
      </c>
      <c r="G674" t="s">
        <v>3632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4084</v>
      </c>
      <c r="B675" t="s">
        <v>3498</v>
      </c>
      <c r="C675">
        <v>2020</v>
      </c>
      <c r="D675" t="s">
        <v>3504</v>
      </c>
      <c r="E675" t="s">
        <v>3632</v>
      </c>
      <c r="F675">
        <v>80</v>
      </c>
      <c r="G675" t="s">
        <v>892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4085</v>
      </c>
      <c r="B676" t="s">
        <v>3498</v>
      </c>
      <c r="C676">
        <v>2020</v>
      </c>
      <c r="D676" t="s">
        <v>3504</v>
      </c>
      <c r="E676" t="s">
        <v>3555</v>
      </c>
      <c r="F676">
        <v>46</v>
      </c>
      <c r="G676" t="s">
        <v>3555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2905</v>
      </c>
      <c r="B677" t="s">
        <v>3498</v>
      </c>
      <c r="C677">
        <v>2020</v>
      </c>
      <c r="D677" t="s">
        <v>3504</v>
      </c>
      <c r="E677" t="s">
        <v>878</v>
      </c>
      <c r="F677">
        <v>182</v>
      </c>
      <c r="G677" t="s">
        <v>878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4086</v>
      </c>
      <c r="B678" t="s">
        <v>3498</v>
      </c>
      <c r="C678">
        <v>2020</v>
      </c>
      <c r="D678" t="s">
        <v>3504</v>
      </c>
      <c r="E678" t="s">
        <v>878</v>
      </c>
      <c r="F678">
        <v>5</v>
      </c>
      <c r="G678" t="s">
        <v>878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4087</v>
      </c>
      <c r="B679" t="s">
        <v>3498</v>
      </c>
      <c r="C679">
        <v>2020</v>
      </c>
      <c r="D679" t="s">
        <v>3504</v>
      </c>
      <c r="E679" t="s">
        <v>3632</v>
      </c>
      <c r="F679">
        <v>0</v>
      </c>
      <c r="G679" t="s">
        <v>871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4088</v>
      </c>
      <c r="B680" t="s">
        <v>3498</v>
      </c>
      <c r="C680">
        <v>2020</v>
      </c>
      <c r="D680" t="s">
        <v>3504</v>
      </c>
      <c r="E680" t="s">
        <v>891</v>
      </c>
      <c r="F680">
        <v>98</v>
      </c>
      <c r="G680" t="s">
        <v>891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>
      <c r="A681" t="s">
        <v>578</v>
      </c>
      <c r="B681" t="s">
        <v>3498</v>
      </c>
      <c r="C681">
        <v>2020</v>
      </c>
      <c r="D681" t="s">
        <v>3499</v>
      </c>
      <c r="E681" t="s">
        <v>3537</v>
      </c>
      <c r="F681">
        <v>216</v>
      </c>
      <c r="G681" t="s">
        <v>3537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>
      <c r="A682" t="s">
        <v>4089</v>
      </c>
      <c r="B682" t="s">
        <v>3498</v>
      </c>
      <c r="C682">
        <v>2020</v>
      </c>
      <c r="D682" t="s">
        <v>3504</v>
      </c>
      <c r="E682" t="s">
        <v>3537</v>
      </c>
      <c r="F682">
        <v>90</v>
      </c>
      <c r="G682" t="s">
        <v>3537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4090</v>
      </c>
      <c r="B683" t="s">
        <v>3498</v>
      </c>
      <c r="C683">
        <v>2020</v>
      </c>
      <c r="D683" t="s">
        <v>3485</v>
      </c>
      <c r="E683" t="s">
        <v>3537</v>
      </c>
      <c r="F683">
        <v>0</v>
      </c>
      <c r="G683" t="s">
        <v>3537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4091</v>
      </c>
      <c r="B684" t="s">
        <v>3498</v>
      </c>
      <c r="C684">
        <v>2020</v>
      </c>
      <c r="D684" t="s">
        <v>3499</v>
      </c>
      <c r="E684" t="s">
        <v>3537</v>
      </c>
      <c r="F684">
        <v>158</v>
      </c>
      <c r="G684" t="s">
        <v>3537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4092</v>
      </c>
      <c r="B685" t="s">
        <v>3498</v>
      </c>
      <c r="C685">
        <v>2020</v>
      </c>
      <c r="D685" t="s">
        <v>3499</v>
      </c>
      <c r="E685" t="s">
        <v>3648</v>
      </c>
      <c r="F685">
        <v>478</v>
      </c>
      <c r="G685" t="s">
        <v>3602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>
      <c r="A686" t="s">
        <v>1797</v>
      </c>
      <c r="B686" t="s">
        <v>3498</v>
      </c>
      <c r="C686">
        <v>2020</v>
      </c>
      <c r="D686" t="s">
        <v>3502</v>
      </c>
      <c r="E686" t="s">
        <v>863</v>
      </c>
      <c r="F686">
        <v>270</v>
      </c>
      <c r="G686" t="s">
        <v>863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>
      <c r="A687" t="s">
        <v>4093</v>
      </c>
      <c r="B687" t="s">
        <v>3498</v>
      </c>
      <c r="C687">
        <v>2020</v>
      </c>
      <c r="D687" t="s">
        <v>3485</v>
      </c>
      <c r="E687" t="s">
        <v>3506</v>
      </c>
      <c r="F687">
        <v>0</v>
      </c>
      <c r="G687" t="s">
        <v>3506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4094</v>
      </c>
      <c r="B688" t="s">
        <v>3498</v>
      </c>
      <c r="C688">
        <v>2020</v>
      </c>
      <c r="D688" t="s">
        <v>3502</v>
      </c>
      <c r="E688" t="s">
        <v>893</v>
      </c>
      <c r="F688">
        <v>0</v>
      </c>
      <c r="G688" t="s">
        <v>893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4095</v>
      </c>
      <c r="B689" t="s">
        <v>3498</v>
      </c>
      <c r="C689">
        <v>2020</v>
      </c>
      <c r="D689" t="s">
        <v>3502</v>
      </c>
      <c r="E689" t="s">
        <v>866</v>
      </c>
      <c r="F689">
        <v>0</v>
      </c>
      <c r="G689" t="s">
        <v>866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4096</v>
      </c>
      <c r="B690" t="s">
        <v>3498</v>
      </c>
      <c r="C690">
        <v>2020</v>
      </c>
      <c r="D690" t="s">
        <v>3499</v>
      </c>
      <c r="E690" t="s">
        <v>3730</v>
      </c>
      <c r="F690">
        <v>152</v>
      </c>
      <c r="G690" t="s">
        <v>3730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>
      <c r="A691" t="s">
        <v>4097</v>
      </c>
      <c r="B691" t="s">
        <v>3498</v>
      </c>
      <c r="C691">
        <v>2020</v>
      </c>
      <c r="D691" t="s">
        <v>3502</v>
      </c>
      <c r="E691" t="s">
        <v>3546</v>
      </c>
      <c r="F691">
        <v>654</v>
      </c>
      <c r="G691" t="s">
        <v>3546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>
      <c r="A692" t="s">
        <v>4098</v>
      </c>
      <c r="B692" t="s">
        <v>3498</v>
      </c>
      <c r="C692">
        <v>2020</v>
      </c>
      <c r="D692" t="s">
        <v>3485</v>
      </c>
      <c r="E692" t="s">
        <v>869</v>
      </c>
      <c r="F692">
        <v>0</v>
      </c>
      <c r="G692" t="s">
        <v>869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2249</v>
      </c>
      <c r="B693" t="s">
        <v>3498</v>
      </c>
      <c r="C693">
        <v>2020</v>
      </c>
      <c r="D693" t="s">
        <v>3504</v>
      </c>
      <c r="E693" t="s">
        <v>870</v>
      </c>
      <c r="F693">
        <v>138</v>
      </c>
      <c r="G693" t="s">
        <v>870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>
      <c r="A694" t="s">
        <v>4099</v>
      </c>
      <c r="B694" t="s">
        <v>3498</v>
      </c>
      <c r="C694">
        <v>2020</v>
      </c>
      <c r="D694" t="s">
        <v>3504</v>
      </c>
      <c r="E694" t="s">
        <v>3597</v>
      </c>
      <c r="F694">
        <v>9</v>
      </c>
      <c r="G694" t="s">
        <v>3597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4100</v>
      </c>
      <c r="B695" t="s">
        <v>3498</v>
      </c>
      <c r="C695">
        <v>2020</v>
      </c>
      <c r="D695" t="s">
        <v>3504</v>
      </c>
      <c r="E695" t="s">
        <v>3597</v>
      </c>
      <c r="F695">
        <v>7</v>
      </c>
      <c r="G695" t="s">
        <v>3597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1155</v>
      </c>
      <c r="B696" t="s">
        <v>3498</v>
      </c>
      <c r="C696">
        <v>2020</v>
      </c>
      <c r="D696" t="s">
        <v>3504</v>
      </c>
      <c r="E696" t="s">
        <v>876</v>
      </c>
      <c r="F696">
        <v>686</v>
      </c>
      <c r="G696" t="s">
        <v>876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>
      <c r="A697" t="s">
        <v>4101</v>
      </c>
      <c r="B697" t="s">
        <v>3498</v>
      </c>
      <c r="C697">
        <v>2020</v>
      </c>
      <c r="D697" t="s">
        <v>3499</v>
      </c>
      <c r="E697" t="s">
        <v>872</v>
      </c>
      <c r="F697">
        <v>43</v>
      </c>
      <c r="G697" t="s">
        <v>872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>
      <c r="A698" t="s">
        <v>4102</v>
      </c>
      <c r="B698" t="s">
        <v>3498</v>
      </c>
      <c r="C698">
        <v>2020</v>
      </c>
      <c r="D698" t="s">
        <v>3504</v>
      </c>
      <c r="E698" t="s">
        <v>3537</v>
      </c>
      <c r="F698">
        <v>44</v>
      </c>
      <c r="G698" t="s">
        <v>3537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>
      <c r="A699" t="s">
        <v>4103</v>
      </c>
      <c r="B699" t="s">
        <v>3498</v>
      </c>
      <c r="C699">
        <v>2020</v>
      </c>
      <c r="D699" t="s">
        <v>3504</v>
      </c>
      <c r="E699" t="s">
        <v>3624</v>
      </c>
      <c r="F699">
        <v>0</v>
      </c>
      <c r="G699" t="s">
        <v>3624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4104</v>
      </c>
      <c r="B700" t="s">
        <v>3498</v>
      </c>
      <c r="C700">
        <v>2020</v>
      </c>
      <c r="D700" t="s">
        <v>3504</v>
      </c>
      <c r="E700" t="s">
        <v>863</v>
      </c>
      <c r="F700">
        <v>4</v>
      </c>
      <c r="G700" t="s">
        <v>863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4105</v>
      </c>
      <c r="B701" t="s">
        <v>3498</v>
      </c>
      <c r="C701">
        <v>2020</v>
      </c>
      <c r="D701" t="s">
        <v>3502</v>
      </c>
      <c r="E701" t="s">
        <v>3508</v>
      </c>
      <c r="F701">
        <v>691</v>
      </c>
      <c r="G701" t="s">
        <v>3508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>
      <c r="A702" t="s">
        <v>4106</v>
      </c>
      <c r="B702" t="s">
        <v>3498</v>
      </c>
      <c r="C702">
        <v>2020</v>
      </c>
      <c r="D702" t="s">
        <v>3502</v>
      </c>
      <c r="E702" t="s">
        <v>3571</v>
      </c>
      <c r="F702">
        <v>180</v>
      </c>
      <c r="G702" t="s">
        <v>3571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4107</v>
      </c>
      <c r="B703" t="s">
        <v>3498</v>
      </c>
      <c r="C703">
        <v>2020</v>
      </c>
      <c r="D703" t="s">
        <v>3504</v>
      </c>
      <c r="E703" t="s">
        <v>3566</v>
      </c>
      <c r="F703">
        <v>366</v>
      </c>
      <c r="G703" t="s">
        <v>3566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>
      <c r="A704" t="s">
        <v>662</v>
      </c>
      <c r="B704" t="s">
        <v>3498</v>
      </c>
      <c r="C704">
        <v>2020</v>
      </c>
      <c r="D704" t="s">
        <v>3499</v>
      </c>
      <c r="E704" t="s">
        <v>865</v>
      </c>
      <c r="F704">
        <v>688</v>
      </c>
      <c r="G704" t="s">
        <v>865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>
      <c r="A705" t="s">
        <v>4108</v>
      </c>
      <c r="B705" t="s">
        <v>3498</v>
      </c>
      <c r="C705">
        <v>2020</v>
      </c>
      <c r="D705" t="s">
        <v>3502</v>
      </c>
      <c r="E705" t="s">
        <v>3503</v>
      </c>
      <c r="F705">
        <v>0</v>
      </c>
      <c r="G705" t="s">
        <v>3503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4109</v>
      </c>
      <c r="B706" t="s">
        <v>3498</v>
      </c>
      <c r="C706">
        <v>2020</v>
      </c>
      <c r="D706" t="s">
        <v>3499</v>
      </c>
      <c r="E706" t="s">
        <v>3503</v>
      </c>
      <c r="F706">
        <v>252</v>
      </c>
      <c r="G706" t="s">
        <v>3503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4110</v>
      </c>
      <c r="B707" t="s">
        <v>3498</v>
      </c>
      <c r="C707">
        <v>2020</v>
      </c>
      <c r="D707" t="s">
        <v>3504</v>
      </c>
      <c r="E707" t="s">
        <v>3624</v>
      </c>
      <c r="F707">
        <v>0</v>
      </c>
      <c r="G707" t="s">
        <v>3624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4111</v>
      </c>
      <c r="B708" t="s">
        <v>3498</v>
      </c>
      <c r="C708">
        <v>2020</v>
      </c>
      <c r="D708" t="s">
        <v>3502</v>
      </c>
      <c r="E708" t="s">
        <v>3571</v>
      </c>
      <c r="F708">
        <v>0</v>
      </c>
      <c r="G708" t="s">
        <v>3571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4112</v>
      </c>
      <c r="B709" t="s">
        <v>3498</v>
      </c>
      <c r="C709">
        <v>2020</v>
      </c>
      <c r="D709" t="s">
        <v>3485</v>
      </c>
      <c r="E709" t="s">
        <v>3546</v>
      </c>
      <c r="F709">
        <v>0</v>
      </c>
      <c r="G709" t="s">
        <v>3546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4113</v>
      </c>
      <c r="B710" t="s">
        <v>3498</v>
      </c>
      <c r="C710">
        <v>2020</v>
      </c>
      <c r="D710" t="s">
        <v>3499</v>
      </c>
      <c r="E710" t="s">
        <v>3537</v>
      </c>
      <c r="F710">
        <v>848</v>
      </c>
      <c r="G710" t="s">
        <v>3537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>
      <c r="A711" t="s">
        <v>4114</v>
      </c>
      <c r="B711" t="s">
        <v>3498</v>
      </c>
      <c r="C711">
        <v>2020</v>
      </c>
      <c r="D711" t="s">
        <v>3504</v>
      </c>
      <c r="E711" t="s">
        <v>3503</v>
      </c>
      <c r="F711">
        <v>727</v>
      </c>
      <c r="G711" t="s">
        <v>879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>
      <c r="A712" t="s">
        <v>4115</v>
      </c>
      <c r="B712" t="s">
        <v>3498</v>
      </c>
      <c r="C712">
        <v>2020</v>
      </c>
      <c r="D712" t="s">
        <v>3504</v>
      </c>
      <c r="E712" t="s">
        <v>865</v>
      </c>
      <c r="F712">
        <v>0</v>
      </c>
      <c r="G712" t="s">
        <v>865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4116</v>
      </c>
      <c r="B713" t="s">
        <v>3498</v>
      </c>
      <c r="C713">
        <v>2020</v>
      </c>
      <c r="D713" t="s">
        <v>3504</v>
      </c>
      <c r="E713" t="s">
        <v>3566</v>
      </c>
      <c r="F713">
        <v>20</v>
      </c>
      <c r="G713" t="s">
        <v>3566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4117</v>
      </c>
      <c r="B714" t="s">
        <v>3498</v>
      </c>
      <c r="C714">
        <v>2020</v>
      </c>
      <c r="D714" t="s">
        <v>3502</v>
      </c>
      <c r="E714" t="s">
        <v>3566</v>
      </c>
      <c r="F714">
        <v>270</v>
      </c>
      <c r="G714" t="s">
        <v>3566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4118</v>
      </c>
      <c r="B715" t="s">
        <v>3498</v>
      </c>
      <c r="C715">
        <v>2020</v>
      </c>
      <c r="D715" t="s">
        <v>3504</v>
      </c>
      <c r="E715" t="s">
        <v>3566</v>
      </c>
      <c r="F715">
        <v>467</v>
      </c>
      <c r="G715" t="s">
        <v>3566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>
      <c r="A716" t="s">
        <v>4119</v>
      </c>
      <c r="B716" t="s">
        <v>3498</v>
      </c>
      <c r="C716">
        <v>2020</v>
      </c>
      <c r="D716" t="s">
        <v>3504</v>
      </c>
      <c r="E716" t="s">
        <v>3566</v>
      </c>
      <c r="F716">
        <v>0</v>
      </c>
      <c r="G716" t="s">
        <v>3566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4120</v>
      </c>
      <c r="B717" t="s">
        <v>3498</v>
      </c>
      <c r="C717">
        <v>2020</v>
      </c>
      <c r="D717" t="s">
        <v>3485</v>
      </c>
      <c r="E717" t="s">
        <v>3566</v>
      </c>
      <c r="F717">
        <v>90</v>
      </c>
      <c r="G717" t="s">
        <v>3566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>
      <c r="A718" t="s">
        <v>4121</v>
      </c>
      <c r="B718" t="s">
        <v>3498</v>
      </c>
      <c r="C718">
        <v>2020</v>
      </c>
      <c r="D718" t="s">
        <v>3504</v>
      </c>
      <c r="E718" t="s">
        <v>3566</v>
      </c>
      <c r="F718">
        <v>180</v>
      </c>
      <c r="G718" t="s">
        <v>3566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>
      <c r="A719" t="s">
        <v>4122</v>
      </c>
      <c r="B719" t="s">
        <v>3498</v>
      </c>
      <c r="C719">
        <v>2020</v>
      </c>
      <c r="D719" t="s">
        <v>3502</v>
      </c>
      <c r="E719" t="s">
        <v>872</v>
      </c>
      <c r="F719">
        <v>0</v>
      </c>
      <c r="G719" t="s">
        <v>872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4123</v>
      </c>
      <c r="B720" t="s">
        <v>3498</v>
      </c>
      <c r="C720">
        <v>2020</v>
      </c>
      <c r="D720" t="s">
        <v>3504</v>
      </c>
      <c r="E720" t="s">
        <v>3566</v>
      </c>
      <c r="F720">
        <v>59</v>
      </c>
      <c r="G720" t="s">
        <v>3566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>
      <c r="A721" t="s">
        <v>4124</v>
      </c>
      <c r="B721" t="s">
        <v>3498</v>
      </c>
      <c r="C721">
        <v>2020</v>
      </c>
      <c r="D721" t="s">
        <v>3504</v>
      </c>
      <c r="E721" t="s">
        <v>3566</v>
      </c>
      <c r="F721">
        <v>226</v>
      </c>
      <c r="G721" t="s">
        <v>3566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240</v>
      </c>
      <c r="B722" t="s">
        <v>3498</v>
      </c>
      <c r="C722">
        <v>2020</v>
      </c>
      <c r="D722" t="s">
        <v>3504</v>
      </c>
      <c r="E722" t="s">
        <v>876</v>
      </c>
      <c r="F722">
        <v>630</v>
      </c>
      <c r="G722" t="s">
        <v>876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>
      <c r="A723" t="s">
        <v>4125</v>
      </c>
      <c r="B723" t="s">
        <v>3498</v>
      </c>
      <c r="C723">
        <v>2020</v>
      </c>
      <c r="D723" t="s">
        <v>3502</v>
      </c>
      <c r="E723" t="s">
        <v>3602</v>
      </c>
      <c r="F723">
        <v>0</v>
      </c>
      <c r="G723" t="s">
        <v>3602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4126</v>
      </c>
      <c r="B724" t="s">
        <v>3498</v>
      </c>
      <c r="C724">
        <v>2020</v>
      </c>
      <c r="D724" t="s">
        <v>3502</v>
      </c>
      <c r="E724" t="s">
        <v>872</v>
      </c>
      <c r="F724">
        <v>900</v>
      </c>
      <c r="G724" t="s">
        <v>872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>
      <c r="A725" t="s">
        <v>4127</v>
      </c>
      <c r="B725" t="s">
        <v>3498</v>
      </c>
      <c r="C725">
        <v>2020</v>
      </c>
      <c r="D725" t="s">
        <v>3504</v>
      </c>
      <c r="E725" t="s">
        <v>3508</v>
      </c>
      <c r="F725">
        <v>249</v>
      </c>
      <c r="G725" t="s">
        <v>3508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>
      <c r="A726" t="s">
        <v>1197</v>
      </c>
      <c r="B726" t="s">
        <v>3498</v>
      </c>
      <c r="C726">
        <v>2020</v>
      </c>
      <c r="D726" t="s">
        <v>3499</v>
      </c>
      <c r="E726" t="s">
        <v>885</v>
      </c>
      <c r="F726">
        <v>237</v>
      </c>
      <c r="G726" t="s">
        <v>885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>
      <c r="A727" t="s">
        <v>4128</v>
      </c>
      <c r="B727" t="s">
        <v>3498</v>
      </c>
      <c r="C727">
        <v>2020</v>
      </c>
      <c r="D727" t="s">
        <v>3499</v>
      </c>
      <c r="E727" t="s">
        <v>897</v>
      </c>
      <c r="F727">
        <v>689</v>
      </c>
      <c r="G727" t="s">
        <v>897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>
      <c r="A728" t="s">
        <v>4129</v>
      </c>
      <c r="B728" t="s">
        <v>3498</v>
      </c>
      <c r="C728">
        <v>2020</v>
      </c>
      <c r="D728" t="s">
        <v>3504</v>
      </c>
      <c r="E728" t="s">
        <v>3555</v>
      </c>
      <c r="F728">
        <v>720</v>
      </c>
      <c r="G728" t="s">
        <v>3555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>
      <c r="A729" t="s">
        <v>4130</v>
      </c>
      <c r="B729" t="s">
        <v>3498</v>
      </c>
      <c r="C729">
        <v>2020</v>
      </c>
      <c r="D729" t="s">
        <v>3502</v>
      </c>
      <c r="E729" t="s">
        <v>3730</v>
      </c>
      <c r="F729">
        <v>275</v>
      </c>
      <c r="G729" t="s">
        <v>3730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4131</v>
      </c>
      <c r="B730" t="s">
        <v>3498</v>
      </c>
      <c r="C730">
        <v>2020</v>
      </c>
      <c r="D730" t="s">
        <v>3504</v>
      </c>
      <c r="E730" t="s">
        <v>3571</v>
      </c>
      <c r="F730">
        <v>681</v>
      </c>
      <c r="G730" t="s">
        <v>3571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>
      <c r="A731" t="s">
        <v>4132</v>
      </c>
      <c r="B731" t="s">
        <v>3498</v>
      </c>
      <c r="C731">
        <v>2020</v>
      </c>
      <c r="D731" t="s">
        <v>3485</v>
      </c>
      <c r="E731" t="s">
        <v>3571</v>
      </c>
      <c r="F731">
        <v>0</v>
      </c>
      <c r="G731" t="s">
        <v>3571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4133</v>
      </c>
      <c r="B732" t="s">
        <v>3498</v>
      </c>
      <c r="C732">
        <v>2020</v>
      </c>
      <c r="D732" t="s">
        <v>3504</v>
      </c>
      <c r="E732" t="s">
        <v>3599</v>
      </c>
      <c r="F732">
        <v>90</v>
      </c>
      <c r="G732" t="s">
        <v>3599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4134</v>
      </c>
      <c r="B733" t="s">
        <v>3498</v>
      </c>
      <c r="C733">
        <v>2020</v>
      </c>
      <c r="D733" t="s">
        <v>3499</v>
      </c>
      <c r="E733" t="s">
        <v>3537</v>
      </c>
      <c r="F733">
        <v>78</v>
      </c>
      <c r="G733" t="s">
        <v>3537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4135</v>
      </c>
      <c r="B734" t="s">
        <v>3498</v>
      </c>
      <c r="C734">
        <v>2020</v>
      </c>
      <c r="D734" t="s">
        <v>3502</v>
      </c>
      <c r="E734" t="s">
        <v>3754</v>
      </c>
      <c r="F734">
        <v>540</v>
      </c>
      <c r="G734" t="s">
        <v>3754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>
      <c r="A735" t="s">
        <v>4136</v>
      </c>
      <c r="B735" t="s">
        <v>3498</v>
      </c>
      <c r="C735">
        <v>2020</v>
      </c>
      <c r="D735" t="s">
        <v>3499</v>
      </c>
      <c r="E735" t="s">
        <v>892</v>
      </c>
      <c r="F735">
        <v>72</v>
      </c>
      <c r="G735" t="s">
        <v>892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4137</v>
      </c>
      <c r="B736" t="s">
        <v>3498</v>
      </c>
      <c r="C736">
        <v>2020</v>
      </c>
      <c r="D736" t="s">
        <v>3502</v>
      </c>
      <c r="E736" t="s">
        <v>863</v>
      </c>
      <c r="F736">
        <v>246</v>
      </c>
      <c r="G736" t="s">
        <v>863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1558</v>
      </c>
      <c r="B737" t="s">
        <v>3498</v>
      </c>
      <c r="C737">
        <v>2020</v>
      </c>
      <c r="D737" t="s">
        <v>3485</v>
      </c>
      <c r="E737" t="s">
        <v>863</v>
      </c>
      <c r="F737">
        <v>448</v>
      </c>
      <c r="G737" t="s">
        <v>863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>
      <c r="A738" t="s">
        <v>4138</v>
      </c>
      <c r="B738" t="s">
        <v>3498</v>
      </c>
      <c r="C738">
        <v>2020</v>
      </c>
      <c r="D738" t="s">
        <v>3499</v>
      </c>
      <c r="E738" t="s">
        <v>3602</v>
      </c>
      <c r="F738">
        <v>73</v>
      </c>
      <c r="G738" t="s">
        <v>3602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4139</v>
      </c>
      <c r="B739" t="s">
        <v>3498</v>
      </c>
      <c r="C739">
        <v>2020</v>
      </c>
      <c r="D739" t="s">
        <v>3504</v>
      </c>
      <c r="E739" t="s">
        <v>3618</v>
      </c>
      <c r="F739">
        <v>63</v>
      </c>
      <c r="G739" t="s">
        <v>3618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4140</v>
      </c>
      <c r="B740" t="s">
        <v>3498</v>
      </c>
      <c r="C740">
        <v>2020</v>
      </c>
      <c r="D740" t="s">
        <v>3499</v>
      </c>
      <c r="E740" t="s">
        <v>3535</v>
      </c>
      <c r="F740">
        <v>630</v>
      </c>
      <c r="G740" t="s">
        <v>3535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>
      <c r="A741" t="s">
        <v>4141</v>
      </c>
      <c r="B741" t="s">
        <v>3498</v>
      </c>
      <c r="C741">
        <v>2020</v>
      </c>
      <c r="D741" t="s">
        <v>3504</v>
      </c>
      <c r="E741" t="s">
        <v>3754</v>
      </c>
      <c r="F741">
        <v>86</v>
      </c>
      <c r="G741" t="s">
        <v>3754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4142</v>
      </c>
      <c r="B742" t="s">
        <v>3498</v>
      </c>
      <c r="C742">
        <v>2020</v>
      </c>
      <c r="D742" t="s">
        <v>3504</v>
      </c>
      <c r="E742" t="s">
        <v>3754</v>
      </c>
      <c r="F742">
        <v>61</v>
      </c>
      <c r="G742" t="s">
        <v>3754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>
      <c r="A743" t="s">
        <v>4143</v>
      </c>
      <c r="B743" t="s">
        <v>3498</v>
      </c>
      <c r="C743">
        <v>2020</v>
      </c>
      <c r="D743" t="s">
        <v>3499</v>
      </c>
      <c r="E743" t="s">
        <v>3754</v>
      </c>
      <c r="F743">
        <v>432</v>
      </c>
      <c r="G743" t="s">
        <v>3754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>
      <c r="A744" t="s">
        <v>4144</v>
      </c>
      <c r="B744" t="s">
        <v>3498</v>
      </c>
      <c r="C744">
        <v>2020</v>
      </c>
      <c r="D744" t="s">
        <v>3485</v>
      </c>
      <c r="E744" t="s">
        <v>3754</v>
      </c>
      <c r="F744">
        <v>900</v>
      </c>
      <c r="G744" t="s">
        <v>3754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4145</v>
      </c>
      <c r="B745" t="s">
        <v>3498</v>
      </c>
      <c r="C745">
        <v>2020</v>
      </c>
      <c r="D745" t="s">
        <v>3485</v>
      </c>
      <c r="E745" t="s">
        <v>3754</v>
      </c>
      <c r="F745">
        <v>0</v>
      </c>
      <c r="G745" t="s">
        <v>3754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4146</v>
      </c>
      <c r="B746" t="s">
        <v>3498</v>
      </c>
      <c r="C746">
        <v>2020</v>
      </c>
      <c r="D746" t="s">
        <v>3504</v>
      </c>
      <c r="E746" t="s">
        <v>3754</v>
      </c>
      <c r="F746">
        <v>72</v>
      </c>
      <c r="G746" t="s">
        <v>3754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4147</v>
      </c>
      <c r="B747" t="s">
        <v>3498</v>
      </c>
      <c r="C747">
        <v>2020</v>
      </c>
      <c r="D747" t="s">
        <v>3502</v>
      </c>
      <c r="E747" t="s">
        <v>3754</v>
      </c>
      <c r="F747">
        <v>169</v>
      </c>
      <c r="G747" t="s">
        <v>3754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4148</v>
      </c>
      <c r="B748" t="s">
        <v>3498</v>
      </c>
      <c r="C748">
        <v>2020</v>
      </c>
      <c r="D748" t="s">
        <v>3504</v>
      </c>
      <c r="E748" t="s">
        <v>3754</v>
      </c>
      <c r="F748">
        <v>90</v>
      </c>
      <c r="G748" t="s">
        <v>3754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>
      <c r="A749" t="s">
        <v>4149</v>
      </c>
      <c r="B749" t="s">
        <v>3498</v>
      </c>
      <c r="C749">
        <v>2020</v>
      </c>
      <c r="D749" t="s">
        <v>3502</v>
      </c>
      <c r="E749" t="s">
        <v>3754</v>
      </c>
      <c r="F749">
        <v>0</v>
      </c>
      <c r="G749" t="s">
        <v>3754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1790</v>
      </c>
      <c r="B750" t="s">
        <v>3498</v>
      </c>
      <c r="C750">
        <v>2020</v>
      </c>
      <c r="D750" t="s">
        <v>3502</v>
      </c>
      <c r="E750" t="s">
        <v>863</v>
      </c>
      <c r="F750">
        <v>270</v>
      </c>
      <c r="G750" t="s">
        <v>863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4150</v>
      </c>
      <c r="B751" t="s">
        <v>3498</v>
      </c>
      <c r="C751">
        <v>2020</v>
      </c>
      <c r="D751" t="s">
        <v>3502</v>
      </c>
      <c r="E751" t="s">
        <v>3648</v>
      </c>
      <c r="F751">
        <v>537</v>
      </c>
      <c r="G751" t="s">
        <v>3648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>
      <c r="A752" t="s">
        <v>4151</v>
      </c>
      <c r="B752" t="s">
        <v>3498</v>
      </c>
      <c r="C752">
        <v>2020</v>
      </c>
      <c r="D752" t="s">
        <v>3504</v>
      </c>
      <c r="E752" t="s">
        <v>3648</v>
      </c>
      <c r="F752">
        <v>0</v>
      </c>
      <c r="G752" t="s">
        <v>3648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4152</v>
      </c>
      <c r="B753" t="s">
        <v>3498</v>
      </c>
      <c r="C753">
        <v>2020</v>
      </c>
      <c r="D753" t="s">
        <v>3504</v>
      </c>
      <c r="E753" t="s">
        <v>3648</v>
      </c>
      <c r="F753">
        <v>457</v>
      </c>
      <c r="G753" t="s">
        <v>3648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>
      <c r="A754" t="s">
        <v>4153</v>
      </c>
      <c r="B754" t="s">
        <v>3498</v>
      </c>
      <c r="C754">
        <v>2020</v>
      </c>
      <c r="D754" t="s">
        <v>3504</v>
      </c>
      <c r="E754" t="s">
        <v>3602</v>
      </c>
      <c r="F754">
        <v>544</v>
      </c>
      <c r="G754" t="s">
        <v>3602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>
      <c r="A755" t="s">
        <v>4154</v>
      </c>
      <c r="B755" t="s">
        <v>3498</v>
      </c>
      <c r="C755">
        <v>2020</v>
      </c>
      <c r="D755" t="s">
        <v>3504</v>
      </c>
      <c r="E755" t="s">
        <v>3648</v>
      </c>
      <c r="F755">
        <v>0</v>
      </c>
      <c r="G755" t="s">
        <v>3648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4155</v>
      </c>
      <c r="B756" t="s">
        <v>3498</v>
      </c>
      <c r="C756">
        <v>2020</v>
      </c>
      <c r="D756" t="s">
        <v>3504</v>
      </c>
      <c r="E756" t="s">
        <v>3648</v>
      </c>
      <c r="F756">
        <v>0</v>
      </c>
      <c r="G756" t="s">
        <v>3648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1801</v>
      </c>
      <c r="B757" t="s">
        <v>3498</v>
      </c>
      <c r="C757">
        <v>2020</v>
      </c>
      <c r="D757" t="s">
        <v>3502</v>
      </c>
      <c r="E757" t="s">
        <v>863</v>
      </c>
      <c r="F757">
        <v>180</v>
      </c>
      <c r="G757" t="s">
        <v>863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>
      <c r="A758" t="s">
        <v>3181</v>
      </c>
      <c r="B758" t="s">
        <v>3498</v>
      </c>
      <c r="C758">
        <v>2020</v>
      </c>
      <c r="D758" t="s">
        <v>3502</v>
      </c>
      <c r="E758" t="s">
        <v>3564</v>
      </c>
      <c r="F758">
        <v>71</v>
      </c>
      <c r="G758" t="s">
        <v>3564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>
      <c r="A759" t="s">
        <v>4156</v>
      </c>
      <c r="B759" t="s">
        <v>3498</v>
      </c>
      <c r="C759">
        <v>2020</v>
      </c>
      <c r="D759" t="s">
        <v>3504</v>
      </c>
      <c r="E759" t="s">
        <v>3564</v>
      </c>
      <c r="F759">
        <v>2</v>
      </c>
      <c r="G759" t="s">
        <v>3564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3455</v>
      </c>
      <c r="B760" t="s">
        <v>3498</v>
      </c>
      <c r="C760">
        <v>2020</v>
      </c>
      <c r="D760" t="s">
        <v>3504</v>
      </c>
      <c r="E760" t="s">
        <v>870</v>
      </c>
      <c r="F760">
        <v>897</v>
      </c>
      <c r="G760" t="s">
        <v>870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>
      <c r="A761" t="s">
        <v>4157</v>
      </c>
      <c r="B761" t="s">
        <v>3498</v>
      </c>
      <c r="C761">
        <v>2020</v>
      </c>
      <c r="D761" t="s">
        <v>3504</v>
      </c>
      <c r="E761" t="s">
        <v>3500</v>
      </c>
      <c r="F761">
        <v>531</v>
      </c>
      <c r="G761" t="s">
        <v>3500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>
      <c r="A762" t="s">
        <v>4158</v>
      </c>
      <c r="B762" t="s">
        <v>3498</v>
      </c>
      <c r="C762">
        <v>2020</v>
      </c>
      <c r="D762" t="s">
        <v>3504</v>
      </c>
      <c r="E762" t="s">
        <v>3529</v>
      </c>
      <c r="F762">
        <v>610</v>
      </c>
      <c r="G762" t="s">
        <v>3530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>
      <c r="A763" t="s">
        <v>4159</v>
      </c>
      <c r="B763" t="s">
        <v>3498</v>
      </c>
      <c r="C763">
        <v>2020</v>
      </c>
      <c r="D763" t="s">
        <v>3502</v>
      </c>
      <c r="E763" t="s">
        <v>862</v>
      </c>
      <c r="F763">
        <v>46</v>
      </c>
      <c r="G763" t="s">
        <v>862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4160</v>
      </c>
      <c r="B764" t="s">
        <v>3498</v>
      </c>
      <c r="C764">
        <v>2020</v>
      </c>
      <c r="D764" t="s">
        <v>3504</v>
      </c>
      <c r="E764" t="s">
        <v>893</v>
      </c>
      <c r="F764">
        <v>146</v>
      </c>
      <c r="G764" t="s">
        <v>893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>
      <c r="A765" t="s">
        <v>4161</v>
      </c>
      <c r="B765" t="s">
        <v>3498</v>
      </c>
      <c r="C765">
        <v>2020</v>
      </c>
      <c r="D765" t="s">
        <v>3499</v>
      </c>
      <c r="E765" t="s">
        <v>893</v>
      </c>
      <c r="F765">
        <v>90</v>
      </c>
      <c r="G765" t="s">
        <v>893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>
      <c r="A766" t="s">
        <v>4162</v>
      </c>
      <c r="B766" t="s">
        <v>3498</v>
      </c>
      <c r="C766">
        <v>2020</v>
      </c>
      <c r="D766" t="s">
        <v>3504</v>
      </c>
      <c r="E766" t="s">
        <v>3571</v>
      </c>
      <c r="F766">
        <v>48</v>
      </c>
      <c r="G766" t="s">
        <v>3571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2767</v>
      </c>
      <c r="B767" t="s">
        <v>3498</v>
      </c>
      <c r="C767">
        <v>2020</v>
      </c>
      <c r="D767" t="s">
        <v>3499</v>
      </c>
      <c r="E767" t="s">
        <v>3564</v>
      </c>
      <c r="F767">
        <v>823</v>
      </c>
      <c r="G767" t="s">
        <v>3564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>
      <c r="A768" t="s">
        <v>4163</v>
      </c>
      <c r="B768" t="s">
        <v>3498</v>
      </c>
      <c r="C768">
        <v>2020</v>
      </c>
      <c r="D768" t="s">
        <v>3504</v>
      </c>
      <c r="E768" t="s">
        <v>3529</v>
      </c>
      <c r="F768">
        <v>65</v>
      </c>
      <c r="G768" t="s">
        <v>3530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4164</v>
      </c>
      <c r="B769" t="s">
        <v>3498</v>
      </c>
      <c r="C769">
        <v>2020</v>
      </c>
      <c r="D769" t="s">
        <v>3502</v>
      </c>
      <c r="E769" t="s">
        <v>895</v>
      </c>
      <c r="F769">
        <v>90</v>
      </c>
      <c r="G769" t="s">
        <v>895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>
      <c r="A770" t="s">
        <v>92</v>
      </c>
      <c r="B770" t="s">
        <v>3498</v>
      </c>
      <c r="C770">
        <v>2020</v>
      </c>
      <c r="D770" t="s">
        <v>3504</v>
      </c>
      <c r="E770" t="s">
        <v>866</v>
      </c>
      <c r="F770">
        <v>693</v>
      </c>
      <c r="G770" t="s">
        <v>866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>
      <c r="A771" t="s">
        <v>4165</v>
      </c>
      <c r="B771" t="s">
        <v>3498</v>
      </c>
      <c r="C771">
        <v>2020</v>
      </c>
      <c r="D771" t="s">
        <v>3502</v>
      </c>
      <c r="E771" t="s">
        <v>3500</v>
      </c>
      <c r="F771">
        <v>0</v>
      </c>
      <c r="G771" t="s">
        <v>3500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3017</v>
      </c>
      <c r="B772" t="s">
        <v>3498</v>
      </c>
      <c r="C772">
        <v>2020</v>
      </c>
      <c r="D772" t="s">
        <v>3504</v>
      </c>
      <c r="E772" t="s">
        <v>895</v>
      </c>
      <c r="F772">
        <v>270</v>
      </c>
      <c r="G772" t="s">
        <v>895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>
      <c r="A773" t="s">
        <v>4166</v>
      </c>
      <c r="B773" t="s">
        <v>3498</v>
      </c>
      <c r="C773">
        <v>2020</v>
      </c>
      <c r="D773" t="s">
        <v>3485</v>
      </c>
      <c r="E773" t="s">
        <v>3515</v>
      </c>
      <c r="F773">
        <v>0</v>
      </c>
      <c r="G773" t="s">
        <v>3515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4167</v>
      </c>
      <c r="B774" t="s">
        <v>3498</v>
      </c>
      <c r="C774">
        <v>2020</v>
      </c>
      <c r="D774" t="s">
        <v>3485</v>
      </c>
      <c r="E774" t="s">
        <v>3571</v>
      </c>
      <c r="F774">
        <v>0</v>
      </c>
      <c r="G774" t="s">
        <v>3571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4168</v>
      </c>
      <c r="B775" t="s">
        <v>3498</v>
      </c>
      <c r="C775">
        <v>2020</v>
      </c>
      <c r="D775" t="s">
        <v>3504</v>
      </c>
      <c r="E775" t="s">
        <v>3648</v>
      </c>
      <c r="F775">
        <v>212</v>
      </c>
      <c r="G775" t="s">
        <v>3648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2728</v>
      </c>
      <c r="B776" t="s">
        <v>3498</v>
      </c>
      <c r="C776">
        <v>2020</v>
      </c>
      <c r="D776" t="s">
        <v>3504</v>
      </c>
      <c r="E776" t="s">
        <v>888</v>
      </c>
      <c r="F776">
        <v>894</v>
      </c>
      <c r="G776" t="s">
        <v>888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>
      <c r="A777" t="s">
        <v>4169</v>
      </c>
      <c r="B777" t="s">
        <v>3498</v>
      </c>
      <c r="C777">
        <v>2020</v>
      </c>
      <c r="D777" t="s">
        <v>3499</v>
      </c>
      <c r="E777" t="s">
        <v>878</v>
      </c>
      <c r="F777">
        <v>20</v>
      </c>
      <c r="G777" t="s">
        <v>878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>
      <c r="A778" t="s">
        <v>4170</v>
      </c>
      <c r="B778" t="s">
        <v>3498</v>
      </c>
      <c r="C778">
        <v>2020</v>
      </c>
      <c r="D778" t="s">
        <v>3485</v>
      </c>
      <c r="E778" t="s">
        <v>872</v>
      </c>
      <c r="F778">
        <v>810</v>
      </c>
      <c r="G778" t="s">
        <v>872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4171</v>
      </c>
      <c r="B779" t="s">
        <v>3498</v>
      </c>
      <c r="C779">
        <v>2020</v>
      </c>
      <c r="D779" t="s">
        <v>3485</v>
      </c>
      <c r="E779" t="s">
        <v>3535</v>
      </c>
      <c r="F779">
        <v>720</v>
      </c>
      <c r="G779" t="s">
        <v>3535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4172</v>
      </c>
      <c r="B780" t="s">
        <v>3498</v>
      </c>
      <c r="C780">
        <v>2020</v>
      </c>
      <c r="D780" t="s">
        <v>3502</v>
      </c>
      <c r="E780" t="s">
        <v>3754</v>
      </c>
      <c r="F780">
        <v>808</v>
      </c>
      <c r="G780" t="s">
        <v>3754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>
      <c r="A781" t="s">
        <v>3152</v>
      </c>
      <c r="B781" t="s">
        <v>3498</v>
      </c>
      <c r="C781">
        <v>2020</v>
      </c>
      <c r="D781" t="s">
        <v>3504</v>
      </c>
      <c r="E781" t="s">
        <v>886</v>
      </c>
      <c r="F781">
        <v>133</v>
      </c>
      <c r="G781" t="s">
        <v>886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>
      <c r="A782" t="s">
        <v>4173</v>
      </c>
      <c r="B782" t="s">
        <v>3498</v>
      </c>
      <c r="C782">
        <v>2020</v>
      </c>
      <c r="D782" t="s">
        <v>3499</v>
      </c>
      <c r="E782" t="s">
        <v>862</v>
      </c>
      <c r="F782">
        <v>51</v>
      </c>
      <c r="G782" t="s">
        <v>862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4174</v>
      </c>
      <c r="B783" t="s">
        <v>3498</v>
      </c>
      <c r="C783">
        <v>2020</v>
      </c>
      <c r="D783" t="s">
        <v>3504</v>
      </c>
      <c r="E783" t="s">
        <v>3549</v>
      </c>
      <c r="F783">
        <v>540</v>
      </c>
      <c r="G783" t="s">
        <v>3549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>
      <c r="A784" t="s">
        <v>146</v>
      </c>
      <c r="B784" t="s">
        <v>3498</v>
      </c>
      <c r="C784">
        <v>2020</v>
      </c>
      <c r="D784" t="s">
        <v>3504</v>
      </c>
      <c r="E784" t="s">
        <v>3549</v>
      </c>
      <c r="F784">
        <v>1080</v>
      </c>
      <c r="G784" t="s">
        <v>3549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>
      <c r="A785" t="s">
        <v>4175</v>
      </c>
      <c r="B785" t="s">
        <v>3498</v>
      </c>
      <c r="C785">
        <v>2020</v>
      </c>
      <c r="D785" t="s">
        <v>3502</v>
      </c>
      <c r="E785" t="s">
        <v>3597</v>
      </c>
      <c r="F785">
        <v>915</v>
      </c>
      <c r="G785" t="s">
        <v>3597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4176</v>
      </c>
      <c r="B786" t="s">
        <v>3498</v>
      </c>
      <c r="C786">
        <v>2020</v>
      </c>
      <c r="D786" t="s">
        <v>3504</v>
      </c>
      <c r="E786" t="s">
        <v>862</v>
      </c>
      <c r="F786">
        <v>627</v>
      </c>
      <c r="G786" t="s">
        <v>862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>
      <c r="A787" t="s">
        <v>4177</v>
      </c>
      <c r="B787" t="s">
        <v>3498</v>
      </c>
      <c r="C787">
        <v>2020</v>
      </c>
      <c r="D787" t="s">
        <v>3504</v>
      </c>
      <c r="E787" t="s">
        <v>3535</v>
      </c>
      <c r="F787">
        <v>707</v>
      </c>
      <c r="G787" t="s">
        <v>3535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>
      <c r="A788" t="s">
        <v>4178</v>
      </c>
      <c r="B788" t="s">
        <v>3498</v>
      </c>
      <c r="C788">
        <v>2020</v>
      </c>
      <c r="D788" t="s">
        <v>3485</v>
      </c>
      <c r="E788" t="s">
        <v>3549</v>
      </c>
      <c r="F788">
        <v>1080</v>
      </c>
      <c r="G788" t="s">
        <v>3549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4179</v>
      </c>
      <c r="B789" t="s">
        <v>3498</v>
      </c>
      <c r="C789">
        <v>2020</v>
      </c>
      <c r="D789" t="s">
        <v>3502</v>
      </c>
      <c r="E789" t="s">
        <v>876</v>
      </c>
      <c r="F789">
        <v>0</v>
      </c>
      <c r="G789" t="s">
        <v>876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1372</v>
      </c>
      <c r="B790" t="s">
        <v>3498</v>
      </c>
      <c r="C790">
        <v>2020</v>
      </c>
      <c r="D790" t="s">
        <v>3504</v>
      </c>
      <c r="E790" t="s">
        <v>871</v>
      </c>
      <c r="F790">
        <v>180</v>
      </c>
      <c r="G790" t="s">
        <v>871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4180</v>
      </c>
      <c r="B791" t="s">
        <v>3498</v>
      </c>
      <c r="C791">
        <v>2020</v>
      </c>
      <c r="D791" t="s">
        <v>3504</v>
      </c>
      <c r="E791" t="s">
        <v>3529</v>
      </c>
      <c r="F791">
        <v>283</v>
      </c>
      <c r="G791" t="s">
        <v>3530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>
      <c r="A792" t="s">
        <v>4181</v>
      </c>
      <c r="B792" t="s">
        <v>3498</v>
      </c>
      <c r="C792">
        <v>2020</v>
      </c>
      <c r="D792" t="s">
        <v>3504</v>
      </c>
      <c r="E792" t="s">
        <v>3529</v>
      </c>
      <c r="F792">
        <v>36</v>
      </c>
      <c r="G792" t="s">
        <v>3530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>
      <c r="A793" t="s">
        <v>4182</v>
      </c>
      <c r="B793" t="s">
        <v>3498</v>
      </c>
      <c r="C793">
        <v>2020</v>
      </c>
      <c r="D793" t="s">
        <v>3499</v>
      </c>
      <c r="E793" t="s">
        <v>866</v>
      </c>
      <c r="F793">
        <v>270</v>
      </c>
      <c r="G793" t="s">
        <v>866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>
      <c r="A794" t="s">
        <v>4183</v>
      </c>
      <c r="B794" t="s">
        <v>3498</v>
      </c>
      <c r="C794">
        <v>2020</v>
      </c>
      <c r="D794" t="s">
        <v>3504</v>
      </c>
      <c r="E794" t="s">
        <v>3515</v>
      </c>
      <c r="F794">
        <v>63</v>
      </c>
      <c r="G794" t="s">
        <v>3515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4184</v>
      </c>
      <c r="B795" t="s">
        <v>3498</v>
      </c>
      <c r="C795">
        <v>2020</v>
      </c>
      <c r="D795" t="s">
        <v>3504</v>
      </c>
      <c r="E795" t="s">
        <v>3500</v>
      </c>
      <c r="F795">
        <v>17</v>
      </c>
      <c r="G795" t="s">
        <v>3500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61</v>
      </c>
      <c r="B796" t="s">
        <v>3498</v>
      </c>
      <c r="C796">
        <v>2020</v>
      </c>
      <c r="D796" t="s">
        <v>3499</v>
      </c>
      <c r="E796" t="s">
        <v>879</v>
      </c>
      <c r="F796">
        <v>667</v>
      </c>
      <c r="G796" t="s">
        <v>879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>
      <c r="A797" t="s">
        <v>301</v>
      </c>
      <c r="B797" t="s">
        <v>3498</v>
      </c>
      <c r="C797">
        <v>2020</v>
      </c>
      <c r="D797" t="s">
        <v>3502</v>
      </c>
      <c r="E797" t="s">
        <v>879</v>
      </c>
      <c r="F797">
        <v>720</v>
      </c>
      <c r="G797" t="s">
        <v>879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263</v>
      </c>
      <c r="B798" t="s">
        <v>3498</v>
      </c>
      <c r="C798">
        <v>2020</v>
      </c>
      <c r="D798" t="s">
        <v>3504</v>
      </c>
      <c r="E798" t="s">
        <v>865</v>
      </c>
      <c r="F798">
        <v>395</v>
      </c>
      <c r="G798" t="s">
        <v>865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>
      <c r="A799" t="s">
        <v>358</v>
      </c>
      <c r="B799" t="s">
        <v>3498</v>
      </c>
      <c r="C799">
        <v>2020</v>
      </c>
      <c r="D799" t="s">
        <v>3504</v>
      </c>
      <c r="E799" t="s">
        <v>879</v>
      </c>
      <c r="F799">
        <v>270</v>
      </c>
      <c r="G799" t="s">
        <v>879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>
      <c r="A800" t="s">
        <v>4185</v>
      </c>
      <c r="B800" t="s">
        <v>3498</v>
      </c>
      <c r="C800">
        <v>2020</v>
      </c>
      <c r="D800" t="s">
        <v>3502</v>
      </c>
      <c r="E800" t="s">
        <v>862</v>
      </c>
      <c r="F800">
        <v>360</v>
      </c>
      <c r="G800" t="s">
        <v>862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>
      <c r="A801" t="s">
        <v>4186</v>
      </c>
      <c r="B801" t="s">
        <v>3498</v>
      </c>
      <c r="C801">
        <v>2020</v>
      </c>
      <c r="D801" t="s">
        <v>3502</v>
      </c>
      <c r="E801" t="s">
        <v>3624</v>
      </c>
      <c r="F801">
        <v>458</v>
      </c>
      <c r="G801" t="s">
        <v>3624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>
      <c r="A802" t="s">
        <v>4187</v>
      </c>
      <c r="B802" t="s">
        <v>3498</v>
      </c>
      <c r="C802">
        <v>2020</v>
      </c>
      <c r="D802" t="s">
        <v>3504</v>
      </c>
      <c r="E802" t="s">
        <v>3597</v>
      </c>
      <c r="F802">
        <v>570</v>
      </c>
      <c r="G802" t="s">
        <v>3597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>
      <c r="A803" t="s">
        <v>4188</v>
      </c>
      <c r="B803" t="s">
        <v>3498</v>
      </c>
      <c r="C803">
        <v>2020</v>
      </c>
      <c r="D803" t="s">
        <v>3502</v>
      </c>
      <c r="E803" t="s">
        <v>3571</v>
      </c>
      <c r="F803">
        <v>519</v>
      </c>
      <c r="G803" t="s">
        <v>3571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4189</v>
      </c>
      <c r="B804" t="s">
        <v>3498</v>
      </c>
      <c r="C804">
        <v>2020</v>
      </c>
      <c r="D804" t="s">
        <v>3504</v>
      </c>
      <c r="E804" t="s">
        <v>3535</v>
      </c>
      <c r="F804">
        <v>603</v>
      </c>
      <c r="G804" t="s">
        <v>3535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4190</v>
      </c>
      <c r="B805" t="s">
        <v>3498</v>
      </c>
      <c r="C805">
        <v>2020</v>
      </c>
      <c r="D805" t="s">
        <v>3485</v>
      </c>
      <c r="E805" t="s">
        <v>878</v>
      </c>
      <c r="F805">
        <v>360</v>
      </c>
      <c r="G805" t="s">
        <v>878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4191</v>
      </c>
      <c r="B806" t="s">
        <v>3498</v>
      </c>
      <c r="C806">
        <v>2020</v>
      </c>
      <c r="D806" t="s">
        <v>3504</v>
      </c>
      <c r="E806" t="s">
        <v>3632</v>
      </c>
      <c r="F806">
        <v>90</v>
      </c>
      <c r="G806" t="s">
        <v>3632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>
      <c r="A807" t="s">
        <v>4192</v>
      </c>
      <c r="B807" t="s">
        <v>3498</v>
      </c>
      <c r="C807">
        <v>2020</v>
      </c>
      <c r="D807" t="s">
        <v>3499</v>
      </c>
      <c r="E807" t="s">
        <v>3730</v>
      </c>
      <c r="F807">
        <v>76</v>
      </c>
      <c r="G807" t="s">
        <v>3730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4193</v>
      </c>
      <c r="B808" t="s">
        <v>3498</v>
      </c>
      <c r="C808">
        <v>2020</v>
      </c>
      <c r="D808" t="s">
        <v>3485</v>
      </c>
      <c r="E808" t="s">
        <v>3571</v>
      </c>
      <c r="F808">
        <v>0</v>
      </c>
      <c r="G808" t="s">
        <v>3571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4194</v>
      </c>
      <c r="B809" t="s">
        <v>3498</v>
      </c>
      <c r="C809">
        <v>2020</v>
      </c>
      <c r="D809" t="s">
        <v>3502</v>
      </c>
      <c r="E809" t="s">
        <v>869</v>
      </c>
      <c r="F809">
        <v>450</v>
      </c>
      <c r="G809" t="s">
        <v>869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>
      <c r="A810" t="s">
        <v>4195</v>
      </c>
      <c r="B810" t="s">
        <v>3498</v>
      </c>
      <c r="C810">
        <v>2020</v>
      </c>
      <c r="D810" t="s">
        <v>3499</v>
      </c>
      <c r="E810" t="s">
        <v>3730</v>
      </c>
      <c r="F810">
        <v>443</v>
      </c>
      <c r="G810" t="s">
        <v>3730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4196</v>
      </c>
      <c r="B811" t="s">
        <v>3498</v>
      </c>
      <c r="C811">
        <v>2020</v>
      </c>
      <c r="D811" t="s">
        <v>3504</v>
      </c>
      <c r="E811" t="s">
        <v>3571</v>
      </c>
      <c r="F811">
        <v>540</v>
      </c>
      <c r="G811" t="s">
        <v>3571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>
      <c r="A812" t="s">
        <v>4197</v>
      </c>
      <c r="B812" t="s">
        <v>3498</v>
      </c>
      <c r="C812">
        <v>2020</v>
      </c>
      <c r="D812" t="s">
        <v>3485</v>
      </c>
      <c r="E812" t="s">
        <v>3615</v>
      </c>
      <c r="F812">
        <v>900</v>
      </c>
      <c r="G812" t="s">
        <v>3615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>
      <c r="A813" t="s">
        <v>4198</v>
      </c>
      <c r="B813" t="s">
        <v>3498</v>
      </c>
      <c r="C813">
        <v>2020</v>
      </c>
      <c r="D813" t="s">
        <v>3504</v>
      </c>
      <c r="E813" t="s">
        <v>3632</v>
      </c>
      <c r="F813">
        <v>228</v>
      </c>
      <c r="G813" t="s">
        <v>3632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4199</v>
      </c>
      <c r="B814" t="s">
        <v>3498</v>
      </c>
      <c r="C814">
        <v>2020</v>
      </c>
      <c r="D814" t="s">
        <v>3502</v>
      </c>
      <c r="E814" t="s">
        <v>3549</v>
      </c>
      <c r="F814">
        <v>360</v>
      </c>
      <c r="G814" t="s">
        <v>3549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4200</v>
      </c>
      <c r="B815" t="s">
        <v>3498</v>
      </c>
      <c r="C815">
        <v>2020</v>
      </c>
      <c r="D815" t="s">
        <v>3502</v>
      </c>
      <c r="E815" t="s">
        <v>3549</v>
      </c>
      <c r="F815">
        <v>0</v>
      </c>
      <c r="G815" t="s">
        <v>3549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4201</v>
      </c>
      <c r="B816" t="s">
        <v>3498</v>
      </c>
      <c r="C816">
        <v>2020</v>
      </c>
      <c r="D816" t="s">
        <v>3502</v>
      </c>
      <c r="E816" t="s">
        <v>3549</v>
      </c>
      <c r="F816">
        <v>340</v>
      </c>
      <c r="G816" t="s">
        <v>3549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4202</v>
      </c>
      <c r="B817" t="s">
        <v>3498</v>
      </c>
      <c r="C817">
        <v>2020</v>
      </c>
      <c r="D817" t="s">
        <v>3502</v>
      </c>
      <c r="E817" t="s">
        <v>3571</v>
      </c>
      <c r="F817">
        <v>720</v>
      </c>
      <c r="G817" t="s">
        <v>3571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>
      <c r="A818" t="s">
        <v>4203</v>
      </c>
      <c r="B818" t="s">
        <v>3498</v>
      </c>
      <c r="C818">
        <v>2020</v>
      </c>
      <c r="D818" t="s">
        <v>3485</v>
      </c>
      <c r="E818" t="s">
        <v>3566</v>
      </c>
      <c r="F818">
        <v>0</v>
      </c>
      <c r="G818" t="s">
        <v>3566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359</v>
      </c>
      <c r="B819" t="s">
        <v>3498</v>
      </c>
      <c r="C819">
        <v>2020</v>
      </c>
      <c r="D819" t="s">
        <v>3485</v>
      </c>
      <c r="E819" t="s">
        <v>891</v>
      </c>
      <c r="F819">
        <v>540</v>
      </c>
      <c r="G819" t="s">
        <v>891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4204</v>
      </c>
      <c r="B820" t="s">
        <v>3498</v>
      </c>
      <c r="C820">
        <v>2020</v>
      </c>
      <c r="D820" t="s">
        <v>3502</v>
      </c>
      <c r="E820" t="s">
        <v>3546</v>
      </c>
      <c r="F820">
        <v>0</v>
      </c>
      <c r="G820" t="s">
        <v>3546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4205</v>
      </c>
      <c r="B821" t="s">
        <v>3498</v>
      </c>
      <c r="C821">
        <v>2020</v>
      </c>
      <c r="D821" t="s">
        <v>3504</v>
      </c>
      <c r="E821" t="s">
        <v>3535</v>
      </c>
      <c r="F821">
        <v>90</v>
      </c>
      <c r="G821" t="s">
        <v>3535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4206</v>
      </c>
      <c r="B822" t="s">
        <v>3498</v>
      </c>
      <c r="C822">
        <v>2020</v>
      </c>
      <c r="D822" t="s">
        <v>3499</v>
      </c>
      <c r="E822" t="s">
        <v>885</v>
      </c>
      <c r="F822">
        <v>56</v>
      </c>
      <c r="G822" t="s">
        <v>885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>
      <c r="A823" t="s">
        <v>4207</v>
      </c>
      <c r="B823" t="s">
        <v>3498</v>
      </c>
      <c r="C823">
        <v>2020</v>
      </c>
      <c r="D823" t="s">
        <v>3504</v>
      </c>
      <c r="E823" t="s">
        <v>3537</v>
      </c>
      <c r="F823">
        <v>540</v>
      </c>
      <c r="G823" t="s">
        <v>3537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>
      <c r="A824" t="s">
        <v>4208</v>
      </c>
      <c r="B824" t="s">
        <v>3498</v>
      </c>
      <c r="C824">
        <v>2020</v>
      </c>
      <c r="D824" t="s">
        <v>3502</v>
      </c>
      <c r="E824" t="s">
        <v>3599</v>
      </c>
      <c r="F824">
        <v>157</v>
      </c>
      <c r="G824" t="s">
        <v>3599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4209</v>
      </c>
      <c r="B825" t="s">
        <v>3498</v>
      </c>
      <c r="C825">
        <v>2020</v>
      </c>
      <c r="D825" t="s">
        <v>3502</v>
      </c>
      <c r="E825" t="s">
        <v>3632</v>
      </c>
      <c r="F825">
        <v>180</v>
      </c>
      <c r="G825" t="s">
        <v>886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4210</v>
      </c>
      <c r="B826" t="s">
        <v>3498</v>
      </c>
      <c r="C826">
        <v>2020</v>
      </c>
      <c r="D826" t="s">
        <v>3485</v>
      </c>
      <c r="E826" t="s">
        <v>3529</v>
      </c>
      <c r="F826">
        <v>900</v>
      </c>
      <c r="G826" t="s">
        <v>3530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4211</v>
      </c>
      <c r="B827" t="s">
        <v>3498</v>
      </c>
      <c r="C827">
        <v>2020</v>
      </c>
      <c r="D827" t="s">
        <v>3504</v>
      </c>
      <c r="E827" t="s">
        <v>3632</v>
      </c>
      <c r="F827">
        <v>301</v>
      </c>
      <c r="G827" t="s">
        <v>866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4212</v>
      </c>
      <c r="B828" t="s">
        <v>3498</v>
      </c>
      <c r="C828">
        <v>2020</v>
      </c>
      <c r="D828" t="s">
        <v>3502</v>
      </c>
      <c r="E828" t="s">
        <v>3599</v>
      </c>
      <c r="F828">
        <v>450</v>
      </c>
      <c r="G828" t="s">
        <v>3599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>
      <c r="A829" t="s">
        <v>4213</v>
      </c>
      <c r="B829" t="s">
        <v>3498</v>
      </c>
      <c r="C829">
        <v>2020</v>
      </c>
      <c r="D829" t="s">
        <v>3502</v>
      </c>
      <c r="E829" t="s">
        <v>877</v>
      </c>
      <c r="F829">
        <v>0</v>
      </c>
      <c r="G829" t="s">
        <v>877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4214</v>
      </c>
      <c r="B830" t="s">
        <v>3498</v>
      </c>
      <c r="C830">
        <v>2020</v>
      </c>
      <c r="D830" t="s">
        <v>3485</v>
      </c>
      <c r="E830" t="s">
        <v>3508</v>
      </c>
      <c r="F830">
        <v>0</v>
      </c>
      <c r="G830" t="s">
        <v>3508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4215</v>
      </c>
      <c r="B831" t="s">
        <v>3498</v>
      </c>
      <c r="C831">
        <v>2020</v>
      </c>
      <c r="D831" t="s">
        <v>3502</v>
      </c>
      <c r="E831" t="s">
        <v>3569</v>
      </c>
      <c r="F831">
        <v>324</v>
      </c>
      <c r="G831" t="s">
        <v>3569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>
      <c r="A832" t="s">
        <v>4216</v>
      </c>
      <c r="B832" t="s">
        <v>3498</v>
      </c>
      <c r="C832">
        <v>2020</v>
      </c>
      <c r="D832" t="s">
        <v>3504</v>
      </c>
      <c r="E832" t="s">
        <v>3569</v>
      </c>
      <c r="F832">
        <v>630</v>
      </c>
      <c r="G832" t="s">
        <v>3569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>
      <c r="A833" t="s">
        <v>4217</v>
      </c>
      <c r="B833" t="s">
        <v>3498</v>
      </c>
      <c r="C833">
        <v>2020</v>
      </c>
      <c r="D833" t="s">
        <v>3502</v>
      </c>
      <c r="E833" t="s">
        <v>3520</v>
      </c>
      <c r="F833">
        <v>180</v>
      </c>
      <c r="G833" t="s">
        <v>3520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>
      <c r="A834" t="s">
        <v>4218</v>
      </c>
      <c r="B834" t="s">
        <v>3498</v>
      </c>
      <c r="C834">
        <v>2020</v>
      </c>
      <c r="D834" t="s">
        <v>3502</v>
      </c>
      <c r="E834" t="s">
        <v>3577</v>
      </c>
      <c r="F834">
        <v>271</v>
      </c>
      <c r="G834" t="s">
        <v>3577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4219</v>
      </c>
      <c r="B835" t="s">
        <v>3498</v>
      </c>
      <c r="C835">
        <v>2020</v>
      </c>
      <c r="D835" t="s">
        <v>3499</v>
      </c>
      <c r="E835" t="s">
        <v>885</v>
      </c>
      <c r="F835">
        <v>34</v>
      </c>
      <c r="G835" t="s">
        <v>885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4220</v>
      </c>
      <c r="B836" t="s">
        <v>3498</v>
      </c>
      <c r="C836">
        <v>2020</v>
      </c>
      <c r="D836" t="s">
        <v>3504</v>
      </c>
      <c r="E836" t="s">
        <v>3624</v>
      </c>
      <c r="F836">
        <v>73</v>
      </c>
      <c r="G836" t="s">
        <v>3624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4221</v>
      </c>
      <c r="B837" t="s">
        <v>3498</v>
      </c>
      <c r="C837">
        <v>2020</v>
      </c>
      <c r="D837" t="s">
        <v>3502</v>
      </c>
      <c r="E837" t="s">
        <v>3506</v>
      </c>
      <c r="F837">
        <v>810</v>
      </c>
      <c r="G837" t="s">
        <v>3506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>
      <c r="A838" t="s">
        <v>4222</v>
      </c>
      <c r="B838" t="s">
        <v>3498</v>
      </c>
      <c r="C838">
        <v>2020</v>
      </c>
      <c r="D838" t="s">
        <v>3499</v>
      </c>
      <c r="E838" t="s">
        <v>3564</v>
      </c>
      <c r="F838">
        <v>787</v>
      </c>
      <c r="G838" t="s">
        <v>3564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>
      <c r="A839" t="s">
        <v>4223</v>
      </c>
      <c r="B839" t="s">
        <v>3498</v>
      </c>
      <c r="C839">
        <v>2020</v>
      </c>
      <c r="D839" t="s">
        <v>3504</v>
      </c>
      <c r="E839" t="s">
        <v>3730</v>
      </c>
      <c r="F839">
        <v>180</v>
      </c>
      <c r="G839" t="s">
        <v>3730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4224</v>
      </c>
      <c r="B840" t="s">
        <v>3498</v>
      </c>
      <c r="C840">
        <v>2020</v>
      </c>
      <c r="D840" t="s">
        <v>3504</v>
      </c>
      <c r="E840" t="s">
        <v>892</v>
      </c>
      <c r="F840">
        <v>453</v>
      </c>
      <c r="G840" t="s">
        <v>892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>
      <c r="A841" t="s">
        <v>4225</v>
      </c>
      <c r="B841" t="s">
        <v>3498</v>
      </c>
      <c r="C841">
        <v>2020</v>
      </c>
      <c r="D841" t="s">
        <v>3504</v>
      </c>
      <c r="E841" t="s">
        <v>872</v>
      </c>
      <c r="F841">
        <v>298</v>
      </c>
      <c r="G841" t="s">
        <v>872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>
      <c r="A842" t="s">
        <v>4226</v>
      </c>
      <c r="B842" t="s">
        <v>3498</v>
      </c>
      <c r="C842">
        <v>2020</v>
      </c>
      <c r="D842" t="s">
        <v>3504</v>
      </c>
      <c r="E842" t="s">
        <v>3577</v>
      </c>
      <c r="F842">
        <v>0</v>
      </c>
      <c r="G842" t="s">
        <v>3577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4227</v>
      </c>
      <c r="B843" t="s">
        <v>3498</v>
      </c>
      <c r="C843">
        <v>2020</v>
      </c>
      <c r="D843" t="s">
        <v>3485</v>
      </c>
      <c r="E843" t="s">
        <v>3549</v>
      </c>
      <c r="F843">
        <v>0</v>
      </c>
      <c r="G843" t="s">
        <v>3549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4228</v>
      </c>
      <c r="B844" t="s">
        <v>3498</v>
      </c>
      <c r="C844">
        <v>2020</v>
      </c>
      <c r="D844" t="s">
        <v>3502</v>
      </c>
      <c r="E844" t="s">
        <v>885</v>
      </c>
      <c r="F844">
        <v>360</v>
      </c>
      <c r="G844" t="s">
        <v>885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>
      <c r="A845" t="s">
        <v>4229</v>
      </c>
      <c r="B845" t="s">
        <v>3498</v>
      </c>
      <c r="C845">
        <v>2020</v>
      </c>
      <c r="D845" t="s">
        <v>3504</v>
      </c>
      <c r="E845" t="s">
        <v>3602</v>
      </c>
      <c r="F845">
        <v>74</v>
      </c>
      <c r="G845" t="s">
        <v>3602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4230</v>
      </c>
      <c r="B846" t="s">
        <v>3498</v>
      </c>
      <c r="C846">
        <v>2020</v>
      </c>
      <c r="D846" t="s">
        <v>3502</v>
      </c>
      <c r="E846" t="s">
        <v>3648</v>
      </c>
      <c r="F846">
        <v>568</v>
      </c>
      <c r="G846" t="s">
        <v>3648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>
      <c r="A847" t="s">
        <v>4231</v>
      </c>
      <c r="B847" t="s">
        <v>3498</v>
      </c>
      <c r="C847">
        <v>2020</v>
      </c>
      <c r="D847" t="s">
        <v>3502</v>
      </c>
      <c r="E847" t="s">
        <v>3648</v>
      </c>
      <c r="F847">
        <v>833</v>
      </c>
      <c r="G847" t="s">
        <v>3648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>
      <c r="A848" t="s">
        <v>4232</v>
      </c>
      <c r="B848" t="s">
        <v>3498</v>
      </c>
      <c r="C848">
        <v>2020</v>
      </c>
      <c r="D848" t="s">
        <v>3502</v>
      </c>
      <c r="E848" t="s">
        <v>3648</v>
      </c>
      <c r="F848">
        <v>103</v>
      </c>
      <c r="G848" t="s">
        <v>3648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4233</v>
      </c>
      <c r="B849" t="s">
        <v>3498</v>
      </c>
      <c r="C849">
        <v>2020</v>
      </c>
      <c r="D849" t="s">
        <v>3502</v>
      </c>
      <c r="E849" t="s">
        <v>3599</v>
      </c>
      <c r="F849">
        <v>414</v>
      </c>
      <c r="G849" t="s">
        <v>3599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>
      <c r="A850" t="s">
        <v>4234</v>
      </c>
      <c r="B850" t="s">
        <v>3498</v>
      </c>
      <c r="C850">
        <v>2020</v>
      </c>
      <c r="D850" t="s">
        <v>3504</v>
      </c>
      <c r="E850" t="s">
        <v>3599</v>
      </c>
      <c r="F850">
        <v>92</v>
      </c>
      <c r="G850" t="s">
        <v>3599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4235</v>
      </c>
      <c r="B851" t="s">
        <v>3498</v>
      </c>
      <c r="C851">
        <v>2020</v>
      </c>
      <c r="D851" t="s">
        <v>3485</v>
      </c>
      <c r="E851" t="s">
        <v>3537</v>
      </c>
      <c r="F851">
        <v>0</v>
      </c>
      <c r="G851" t="s">
        <v>3537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4236</v>
      </c>
      <c r="B852" t="s">
        <v>3498</v>
      </c>
      <c r="C852">
        <v>2020</v>
      </c>
      <c r="D852" t="s">
        <v>3502</v>
      </c>
      <c r="E852" t="s">
        <v>3537</v>
      </c>
      <c r="F852">
        <v>235</v>
      </c>
      <c r="G852" t="s">
        <v>3537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>
      <c r="A853" t="s">
        <v>4237</v>
      </c>
      <c r="B853" t="s">
        <v>3498</v>
      </c>
      <c r="C853">
        <v>2020</v>
      </c>
      <c r="D853" t="s">
        <v>3502</v>
      </c>
      <c r="E853" t="s">
        <v>3537</v>
      </c>
      <c r="F853">
        <v>485</v>
      </c>
      <c r="G853" t="s">
        <v>3537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>
      <c r="A854" t="s">
        <v>2473</v>
      </c>
      <c r="B854" t="s">
        <v>3498</v>
      </c>
      <c r="C854">
        <v>2020</v>
      </c>
      <c r="D854" t="s">
        <v>3504</v>
      </c>
      <c r="E854" t="s">
        <v>862</v>
      </c>
      <c r="F854">
        <v>427</v>
      </c>
      <c r="G854" t="s">
        <v>862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>
      <c r="A855" t="s">
        <v>4238</v>
      </c>
      <c r="B855" t="s">
        <v>3498</v>
      </c>
      <c r="C855">
        <v>2020</v>
      </c>
      <c r="D855" t="s">
        <v>3499</v>
      </c>
      <c r="E855" t="s">
        <v>3529</v>
      </c>
      <c r="F855">
        <v>0</v>
      </c>
      <c r="G855" t="s">
        <v>3530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4239</v>
      </c>
      <c r="B856" t="s">
        <v>3498</v>
      </c>
      <c r="C856">
        <v>2020</v>
      </c>
      <c r="D856" t="s">
        <v>3504</v>
      </c>
      <c r="E856" t="s">
        <v>885</v>
      </c>
      <c r="F856">
        <v>164</v>
      </c>
      <c r="G856" t="s">
        <v>885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>
      <c r="A857" t="s">
        <v>4240</v>
      </c>
      <c r="B857" t="s">
        <v>3498</v>
      </c>
      <c r="C857">
        <v>2020</v>
      </c>
      <c r="D857" t="s">
        <v>3504</v>
      </c>
      <c r="E857" t="s">
        <v>3508</v>
      </c>
      <c r="F857">
        <v>628</v>
      </c>
      <c r="G857" t="s">
        <v>3508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>
      <c r="A858" t="s">
        <v>4241</v>
      </c>
      <c r="B858" t="s">
        <v>3498</v>
      </c>
      <c r="C858">
        <v>2020</v>
      </c>
      <c r="D858" t="s">
        <v>3499</v>
      </c>
      <c r="E858" t="s">
        <v>3566</v>
      </c>
      <c r="F858">
        <v>268</v>
      </c>
      <c r="G858" t="s">
        <v>3566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>
      <c r="A859" t="s">
        <v>4242</v>
      </c>
      <c r="B859" t="s">
        <v>3498</v>
      </c>
      <c r="C859">
        <v>2020</v>
      </c>
      <c r="D859" t="s">
        <v>3504</v>
      </c>
      <c r="E859" t="s">
        <v>897</v>
      </c>
      <c r="F859">
        <v>206</v>
      </c>
      <c r="G859" t="s">
        <v>897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>
      <c r="A860" t="s">
        <v>4243</v>
      </c>
      <c r="B860" t="s">
        <v>3498</v>
      </c>
      <c r="C860">
        <v>2020</v>
      </c>
      <c r="D860" t="s">
        <v>3485</v>
      </c>
      <c r="E860" t="s">
        <v>3624</v>
      </c>
      <c r="F860">
        <v>0</v>
      </c>
      <c r="G860" t="s">
        <v>3624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4244</v>
      </c>
      <c r="B861" t="s">
        <v>3498</v>
      </c>
      <c r="C861">
        <v>2020</v>
      </c>
      <c r="D861" t="s">
        <v>3502</v>
      </c>
      <c r="E861" t="s">
        <v>3537</v>
      </c>
      <c r="F861">
        <v>90</v>
      </c>
      <c r="G861" t="s">
        <v>3537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4245</v>
      </c>
      <c r="B862" t="s">
        <v>3498</v>
      </c>
      <c r="C862">
        <v>2020</v>
      </c>
      <c r="D862" t="s">
        <v>3504</v>
      </c>
      <c r="E862" t="s">
        <v>3569</v>
      </c>
      <c r="F862">
        <v>190</v>
      </c>
      <c r="G862" t="s">
        <v>3569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>
      <c r="A863" t="s">
        <v>4246</v>
      </c>
      <c r="B863" t="s">
        <v>3498</v>
      </c>
      <c r="C863">
        <v>2020</v>
      </c>
      <c r="D863" t="s">
        <v>3502</v>
      </c>
      <c r="E863" t="s">
        <v>3566</v>
      </c>
      <c r="F863">
        <v>0</v>
      </c>
      <c r="G863" t="s">
        <v>3566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4247</v>
      </c>
      <c r="B864" t="s">
        <v>3498</v>
      </c>
      <c r="C864">
        <v>2020</v>
      </c>
      <c r="D864" t="s">
        <v>3502</v>
      </c>
      <c r="E864" t="s">
        <v>3546</v>
      </c>
      <c r="F864">
        <v>58</v>
      </c>
      <c r="G864" t="s">
        <v>3546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>
      <c r="A865" t="s">
        <v>4248</v>
      </c>
      <c r="B865" t="s">
        <v>3498</v>
      </c>
      <c r="C865">
        <v>2020</v>
      </c>
      <c r="D865" t="s">
        <v>3502</v>
      </c>
      <c r="E865" t="s">
        <v>3566</v>
      </c>
      <c r="F865">
        <v>90</v>
      </c>
      <c r="G865" t="s">
        <v>3566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4249</v>
      </c>
      <c r="B866" t="s">
        <v>3498</v>
      </c>
      <c r="C866">
        <v>2020</v>
      </c>
      <c r="D866" t="s">
        <v>3504</v>
      </c>
      <c r="E866" t="s">
        <v>3569</v>
      </c>
      <c r="F866">
        <v>674</v>
      </c>
      <c r="G866" t="s">
        <v>3569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4250</v>
      </c>
      <c r="B867" t="s">
        <v>3498</v>
      </c>
      <c r="C867">
        <v>2020</v>
      </c>
      <c r="D867" t="s">
        <v>3504</v>
      </c>
      <c r="E867" t="s">
        <v>880</v>
      </c>
      <c r="F867">
        <v>683</v>
      </c>
      <c r="G867" t="s">
        <v>880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>
      <c r="A868" t="s">
        <v>4251</v>
      </c>
      <c r="B868" t="s">
        <v>3498</v>
      </c>
      <c r="C868">
        <v>2020</v>
      </c>
      <c r="D868" t="s">
        <v>3504</v>
      </c>
      <c r="E868" t="s">
        <v>880</v>
      </c>
      <c r="F868">
        <v>298</v>
      </c>
      <c r="G868" t="s">
        <v>880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>
      <c r="A869" t="s">
        <v>2949</v>
      </c>
      <c r="B869" t="s">
        <v>3498</v>
      </c>
      <c r="C869">
        <v>2020</v>
      </c>
      <c r="D869" t="s">
        <v>3504</v>
      </c>
      <c r="E869" t="s">
        <v>896</v>
      </c>
      <c r="F869">
        <v>0</v>
      </c>
      <c r="G869" t="s">
        <v>896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2192</v>
      </c>
      <c r="B870" t="s">
        <v>3498</v>
      </c>
      <c r="C870">
        <v>2020</v>
      </c>
      <c r="D870" t="s">
        <v>3504</v>
      </c>
      <c r="E870" t="s">
        <v>3564</v>
      </c>
      <c r="F870">
        <v>125</v>
      </c>
      <c r="G870" t="s">
        <v>3564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4252</v>
      </c>
      <c r="B871" t="s">
        <v>3498</v>
      </c>
      <c r="C871">
        <v>2020</v>
      </c>
      <c r="D871" t="s">
        <v>3504</v>
      </c>
      <c r="E871" t="s">
        <v>3566</v>
      </c>
      <c r="F871">
        <v>68</v>
      </c>
      <c r="G871" t="s">
        <v>3566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>
      <c r="A872" t="s">
        <v>4253</v>
      </c>
      <c r="B872" t="s">
        <v>3498</v>
      </c>
      <c r="C872">
        <v>2020</v>
      </c>
      <c r="D872" t="s">
        <v>3504</v>
      </c>
      <c r="E872" t="s">
        <v>3566</v>
      </c>
      <c r="F872">
        <v>630</v>
      </c>
      <c r="G872" t="s">
        <v>3566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>
      <c r="A873" t="s">
        <v>4254</v>
      </c>
      <c r="B873" t="s">
        <v>3498</v>
      </c>
      <c r="C873">
        <v>2020</v>
      </c>
      <c r="D873" t="s">
        <v>3504</v>
      </c>
      <c r="E873" t="s">
        <v>3597</v>
      </c>
      <c r="F873">
        <v>180</v>
      </c>
      <c r="G873" t="s">
        <v>3597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>
      <c r="A874" t="s">
        <v>4255</v>
      </c>
      <c r="B874" t="s">
        <v>3498</v>
      </c>
      <c r="C874">
        <v>2020</v>
      </c>
      <c r="D874" t="s">
        <v>3504</v>
      </c>
      <c r="E874" t="s">
        <v>3529</v>
      </c>
      <c r="F874">
        <v>252</v>
      </c>
      <c r="G874" t="s">
        <v>3530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>
      <c r="A875" t="s">
        <v>4256</v>
      </c>
      <c r="B875" t="s">
        <v>3498</v>
      </c>
      <c r="C875">
        <v>2020</v>
      </c>
      <c r="D875" t="s">
        <v>3504</v>
      </c>
      <c r="E875" t="s">
        <v>3754</v>
      </c>
      <c r="F875">
        <v>797</v>
      </c>
      <c r="G875" t="s">
        <v>3754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>
      <c r="A876" t="s">
        <v>4257</v>
      </c>
      <c r="B876" t="s">
        <v>3498</v>
      </c>
      <c r="C876">
        <v>2020</v>
      </c>
      <c r="D876" t="s">
        <v>3504</v>
      </c>
      <c r="E876" t="s">
        <v>888</v>
      </c>
      <c r="F876">
        <v>195</v>
      </c>
      <c r="G876" t="s">
        <v>888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>
      <c r="A877" t="s">
        <v>720</v>
      </c>
      <c r="B877" t="s">
        <v>3498</v>
      </c>
      <c r="C877">
        <v>2020</v>
      </c>
      <c r="D877" t="s">
        <v>3485</v>
      </c>
      <c r="E877" t="s">
        <v>879</v>
      </c>
      <c r="F877">
        <v>0</v>
      </c>
      <c r="G877" t="s">
        <v>879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4258</v>
      </c>
      <c r="B878" t="s">
        <v>3498</v>
      </c>
      <c r="C878">
        <v>2020</v>
      </c>
      <c r="D878" t="s">
        <v>3504</v>
      </c>
      <c r="E878" t="s">
        <v>3500</v>
      </c>
      <c r="F878">
        <v>0</v>
      </c>
      <c r="G878" t="s">
        <v>3500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4259</v>
      </c>
      <c r="B879" t="s">
        <v>3498</v>
      </c>
      <c r="C879">
        <v>2020</v>
      </c>
      <c r="D879" t="s">
        <v>3504</v>
      </c>
      <c r="E879" t="s">
        <v>3648</v>
      </c>
      <c r="F879">
        <v>0</v>
      </c>
      <c r="G879" t="s">
        <v>879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4260</v>
      </c>
      <c r="B880" t="s">
        <v>3498</v>
      </c>
      <c r="C880">
        <v>2020</v>
      </c>
      <c r="D880" t="s">
        <v>3504</v>
      </c>
      <c r="E880" t="s">
        <v>3523</v>
      </c>
      <c r="F880">
        <v>713</v>
      </c>
      <c r="G880" t="s">
        <v>3523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>
      <c r="A881" t="s">
        <v>4261</v>
      </c>
      <c r="B881" t="s">
        <v>3498</v>
      </c>
      <c r="C881">
        <v>2020</v>
      </c>
      <c r="D881" t="s">
        <v>3499</v>
      </c>
      <c r="E881" t="s">
        <v>869</v>
      </c>
      <c r="F881">
        <v>0</v>
      </c>
      <c r="G881" t="s">
        <v>869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1026</v>
      </c>
      <c r="B882" t="s">
        <v>3498</v>
      </c>
      <c r="C882">
        <v>2020</v>
      </c>
      <c r="D882" t="s">
        <v>3504</v>
      </c>
      <c r="E882" t="s">
        <v>879</v>
      </c>
      <c r="F882">
        <v>374</v>
      </c>
      <c r="G882" t="s">
        <v>879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>
      <c r="A883" t="s">
        <v>4262</v>
      </c>
      <c r="B883" t="s">
        <v>3498</v>
      </c>
      <c r="C883">
        <v>2020</v>
      </c>
      <c r="D883" t="s">
        <v>3499</v>
      </c>
      <c r="E883" t="s">
        <v>885</v>
      </c>
      <c r="F883">
        <v>1</v>
      </c>
      <c r="G883" t="s">
        <v>885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4263</v>
      </c>
      <c r="B884" t="s">
        <v>3498</v>
      </c>
      <c r="C884">
        <v>2020</v>
      </c>
      <c r="D884" t="s">
        <v>3504</v>
      </c>
      <c r="E884" t="s">
        <v>3515</v>
      </c>
      <c r="F884">
        <v>177</v>
      </c>
      <c r="G884" t="s">
        <v>3515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4264</v>
      </c>
      <c r="B885" t="s">
        <v>3498</v>
      </c>
      <c r="C885">
        <v>2020</v>
      </c>
      <c r="D885" t="s">
        <v>3504</v>
      </c>
      <c r="E885" t="s">
        <v>3615</v>
      </c>
      <c r="F885">
        <v>280</v>
      </c>
      <c r="G885" t="s">
        <v>3615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2414</v>
      </c>
      <c r="B886" t="s">
        <v>3498</v>
      </c>
      <c r="C886">
        <v>2020</v>
      </c>
      <c r="D886" t="s">
        <v>3502</v>
      </c>
      <c r="E886" t="s">
        <v>3597</v>
      </c>
      <c r="F886">
        <v>0</v>
      </c>
      <c r="G886" t="s">
        <v>3597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4265</v>
      </c>
      <c r="B887" t="s">
        <v>3498</v>
      </c>
      <c r="C887">
        <v>2020</v>
      </c>
      <c r="D887" t="s">
        <v>3504</v>
      </c>
      <c r="E887" t="s">
        <v>886</v>
      </c>
      <c r="F887">
        <v>63</v>
      </c>
      <c r="G887" t="s">
        <v>886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3059</v>
      </c>
      <c r="B888" t="s">
        <v>3498</v>
      </c>
      <c r="C888">
        <v>2020</v>
      </c>
      <c r="D888" t="s">
        <v>3502</v>
      </c>
      <c r="E888" t="s">
        <v>882</v>
      </c>
      <c r="F888">
        <v>224</v>
      </c>
      <c r="G888" t="s">
        <v>882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>
      <c r="A889" t="s">
        <v>4266</v>
      </c>
      <c r="B889" t="s">
        <v>3498</v>
      </c>
      <c r="C889">
        <v>2020</v>
      </c>
      <c r="D889" t="s">
        <v>3504</v>
      </c>
      <c r="E889" t="s">
        <v>888</v>
      </c>
      <c r="F889">
        <v>67</v>
      </c>
      <c r="G889" t="s">
        <v>888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>
      <c r="A890" t="s">
        <v>2421</v>
      </c>
      <c r="B890" t="s">
        <v>3498</v>
      </c>
      <c r="C890">
        <v>2020</v>
      </c>
      <c r="D890" t="s">
        <v>3504</v>
      </c>
      <c r="E890" t="s">
        <v>882</v>
      </c>
      <c r="F890">
        <v>646</v>
      </c>
      <c r="G890" t="s">
        <v>882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>
      <c r="A891" t="s">
        <v>4267</v>
      </c>
      <c r="B891" t="s">
        <v>3498</v>
      </c>
      <c r="C891">
        <v>2020</v>
      </c>
      <c r="D891" t="s">
        <v>3504</v>
      </c>
      <c r="E891" t="s">
        <v>3535</v>
      </c>
      <c r="F891">
        <v>0</v>
      </c>
      <c r="G891" t="s">
        <v>3535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4268</v>
      </c>
      <c r="B892" t="s">
        <v>3498</v>
      </c>
      <c r="C892">
        <v>2020</v>
      </c>
      <c r="D892" t="s">
        <v>3499</v>
      </c>
      <c r="E892" t="s">
        <v>3535</v>
      </c>
      <c r="F892">
        <v>90</v>
      </c>
      <c r="G892" t="s">
        <v>3535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>
      <c r="A893" t="s">
        <v>624</v>
      </c>
      <c r="B893" t="s">
        <v>3498</v>
      </c>
      <c r="C893">
        <v>2020</v>
      </c>
      <c r="D893" t="s">
        <v>3504</v>
      </c>
      <c r="E893" t="s">
        <v>3503</v>
      </c>
      <c r="F893">
        <v>711</v>
      </c>
      <c r="G893" t="s">
        <v>3503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>
      <c r="A894" t="s">
        <v>4269</v>
      </c>
      <c r="B894" t="s">
        <v>3498</v>
      </c>
      <c r="C894">
        <v>2020</v>
      </c>
      <c r="D894" t="s">
        <v>3504</v>
      </c>
      <c r="E894" t="s">
        <v>3754</v>
      </c>
      <c r="F894">
        <v>2</v>
      </c>
      <c r="G894" t="s">
        <v>3754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4270</v>
      </c>
      <c r="B895" t="s">
        <v>3498</v>
      </c>
      <c r="C895">
        <v>2020</v>
      </c>
      <c r="D895" t="s">
        <v>3499</v>
      </c>
      <c r="E895" t="s">
        <v>3500</v>
      </c>
      <c r="F895">
        <v>125</v>
      </c>
      <c r="G895" t="s">
        <v>879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3038</v>
      </c>
      <c r="B896" t="s">
        <v>3498</v>
      </c>
      <c r="C896">
        <v>2020</v>
      </c>
      <c r="D896" t="s">
        <v>3504</v>
      </c>
      <c r="E896" t="s">
        <v>895</v>
      </c>
      <c r="F896">
        <v>527</v>
      </c>
      <c r="G896" t="s">
        <v>895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>
      <c r="A897" t="s">
        <v>4271</v>
      </c>
      <c r="B897" t="s">
        <v>3498</v>
      </c>
      <c r="C897">
        <v>2020</v>
      </c>
      <c r="D897" t="s">
        <v>3502</v>
      </c>
      <c r="E897" t="s">
        <v>865</v>
      </c>
      <c r="F897">
        <v>270</v>
      </c>
      <c r="G897" t="s">
        <v>879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>
      <c r="A898" t="s">
        <v>323</v>
      </c>
      <c r="B898" t="s">
        <v>3498</v>
      </c>
      <c r="C898">
        <v>2020</v>
      </c>
      <c r="D898" t="s">
        <v>3504</v>
      </c>
      <c r="E898" t="s">
        <v>879</v>
      </c>
      <c r="F898">
        <v>34</v>
      </c>
      <c r="G898" t="s">
        <v>879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53</v>
      </c>
      <c r="B899" t="s">
        <v>3498</v>
      </c>
      <c r="C899">
        <v>2020</v>
      </c>
      <c r="D899" t="s">
        <v>3504</v>
      </c>
      <c r="E899" t="s">
        <v>3500</v>
      </c>
      <c r="F899">
        <v>60</v>
      </c>
      <c r="G899" t="s">
        <v>3500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4272</v>
      </c>
      <c r="B900" t="s">
        <v>3498</v>
      </c>
      <c r="C900">
        <v>2020</v>
      </c>
      <c r="D900" t="s">
        <v>3504</v>
      </c>
      <c r="E900" t="s">
        <v>3500</v>
      </c>
      <c r="F900">
        <v>780</v>
      </c>
      <c r="G900" t="s">
        <v>3500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>
      <c r="A901" t="s">
        <v>4273</v>
      </c>
      <c r="B901" t="s">
        <v>3498</v>
      </c>
      <c r="C901">
        <v>2020</v>
      </c>
      <c r="D901" t="s">
        <v>3485</v>
      </c>
      <c r="E901" t="s">
        <v>3500</v>
      </c>
      <c r="F901">
        <v>0</v>
      </c>
      <c r="G901" t="s">
        <v>3500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175</v>
      </c>
      <c r="B902" t="s">
        <v>3498</v>
      </c>
      <c r="C902">
        <v>2020</v>
      </c>
      <c r="D902" t="s">
        <v>3502</v>
      </c>
      <c r="E902" t="s">
        <v>879</v>
      </c>
      <c r="F902">
        <v>0</v>
      </c>
      <c r="G902" t="s">
        <v>879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120</v>
      </c>
      <c r="B903" t="s">
        <v>3498</v>
      </c>
      <c r="C903">
        <v>2020</v>
      </c>
      <c r="D903" t="s">
        <v>3504</v>
      </c>
      <c r="E903" t="s">
        <v>879</v>
      </c>
      <c r="F903">
        <v>8</v>
      </c>
      <c r="G903" t="s">
        <v>879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4274</v>
      </c>
      <c r="B904" t="s">
        <v>3498</v>
      </c>
      <c r="C904">
        <v>2020</v>
      </c>
      <c r="D904" t="s">
        <v>3499</v>
      </c>
      <c r="E904" t="s">
        <v>3523</v>
      </c>
      <c r="F904">
        <v>73</v>
      </c>
      <c r="G904" t="s">
        <v>3523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99</v>
      </c>
      <c r="B905" t="s">
        <v>3498</v>
      </c>
      <c r="C905">
        <v>2020</v>
      </c>
      <c r="D905" t="s">
        <v>3502</v>
      </c>
      <c r="E905" t="s">
        <v>888</v>
      </c>
      <c r="F905">
        <v>810</v>
      </c>
      <c r="G905" t="s">
        <v>888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>
      <c r="A906" t="s">
        <v>4275</v>
      </c>
      <c r="B906" t="s">
        <v>3498</v>
      </c>
      <c r="C906">
        <v>2020</v>
      </c>
      <c r="D906" t="s">
        <v>3502</v>
      </c>
      <c r="E906" t="s">
        <v>882</v>
      </c>
      <c r="F906">
        <v>450</v>
      </c>
      <c r="G906" t="s">
        <v>882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>
      <c r="A907" t="s">
        <v>4276</v>
      </c>
      <c r="B907" t="s">
        <v>3498</v>
      </c>
      <c r="C907">
        <v>2020</v>
      </c>
      <c r="D907" t="s">
        <v>3504</v>
      </c>
      <c r="E907" t="s">
        <v>896</v>
      </c>
      <c r="F907">
        <v>0</v>
      </c>
      <c r="G907" t="s">
        <v>896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4277</v>
      </c>
      <c r="B908" t="s">
        <v>3498</v>
      </c>
      <c r="C908">
        <v>2020</v>
      </c>
      <c r="D908" t="s">
        <v>3504</v>
      </c>
      <c r="E908" t="s">
        <v>882</v>
      </c>
      <c r="F908">
        <v>95</v>
      </c>
      <c r="G908" t="s">
        <v>882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4278</v>
      </c>
      <c r="B909" t="s">
        <v>3498</v>
      </c>
      <c r="C909">
        <v>2020</v>
      </c>
      <c r="D909" t="s">
        <v>3499</v>
      </c>
      <c r="E909" t="s">
        <v>3515</v>
      </c>
      <c r="F909">
        <v>0</v>
      </c>
      <c r="G909" t="s">
        <v>3515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4279</v>
      </c>
      <c r="B910" t="s">
        <v>3498</v>
      </c>
      <c r="C910">
        <v>2020</v>
      </c>
      <c r="D910" t="s">
        <v>3485</v>
      </c>
      <c r="E910" t="s">
        <v>3515</v>
      </c>
      <c r="F910">
        <v>900</v>
      </c>
      <c r="G910" t="s">
        <v>3515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1832</v>
      </c>
      <c r="B911" t="s">
        <v>3498</v>
      </c>
      <c r="C911">
        <v>2020</v>
      </c>
      <c r="D911" t="s">
        <v>3502</v>
      </c>
      <c r="E911" t="s">
        <v>871</v>
      </c>
      <c r="F911">
        <v>720</v>
      </c>
      <c r="G911" t="s">
        <v>871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4280</v>
      </c>
      <c r="B912" t="s">
        <v>3498</v>
      </c>
      <c r="C912">
        <v>2020</v>
      </c>
      <c r="D912" t="s">
        <v>3504</v>
      </c>
      <c r="E912" t="s">
        <v>3577</v>
      </c>
      <c r="F912">
        <v>414</v>
      </c>
      <c r="G912" t="s">
        <v>3577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>
      <c r="A913" t="s">
        <v>4281</v>
      </c>
      <c r="B913" t="s">
        <v>3498</v>
      </c>
      <c r="C913">
        <v>2020</v>
      </c>
      <c r="D913" t="s">
        <v>3504</v>
      </c>
      <c r="E913" t="s">
        <v>3754</v>
      </c>
      <c r="F913">
        <v>353</v>
      </c>
      <c r="G913" t="s">
        <v>3754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>
      <c r="A914" t="s">
        <v>4282</v>
      </c>
      <c r="B914" t="s">
        <v>3498</v>
      </c>
      <c r="C914">
        <v>2020</v>
      </c>
      <c r="D914" t="s">
        <v>3504</v>
      </c>
      <c r="E914" t="s">
        <v>897</v>
      </c>
      <c r="F914">
        <v>0</v>
      </c>
      <c r="G914" t="s">
        <v>897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4283</v>
      </c>
      <c r="B915" t="s">
        <v>3498</v>
      </c>
      <c r="C915">
        <v>2020</v>
      </c>
      <c r="D915" t="s">
        <v>3502</v>
      </c>
      <c r="E915" t="s">
        <v>3523</v>
      </c>
      <c r="F915">
        <v>0</v>
      </c>
      <c r="G915" t="s">
        <v>3523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4284</v>
      </c>
      <c r="B916" t="s">
        <v>3498</v>
      </c>
      <c r="C916">
        <v>2020</v>
      </c>
      <c r="D916" t="s">
        <v>3504</v>
      </c>
      <c r="E916" t="s">
        <v>882</v>
      </c>
      <c r="F916">
        <v>0</v>
      </c>
      <c r="G916" t="s">
        <v>882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4285</v>
      </c>
      <c r="B917" t="s">
        <v>3498</v>
      </c>
      <c r="C917">
        <v>2020</v>
      </c>
      <c r="D917" t="s">
        <v>3504</v>
      </c>
      <c r="E917" t="s">
        <v>896</v>
      </c>
      <c r="F917">
        <v>74</v>
      </c>
      <c r="G917" t="s">
        <v>896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4286</v>
      </c>
      <c r="B918" t="s">
        <v>3498</v>
      </c>
      <c r="C918">
        <v>2020</v>
      </c>
      <c r="D918" t="s">
        <v>3485</v>
      </c>
      <c r="E918" t="s">
        <v>3529</v>
      </c>
      <c r="F918">
        <v>0</v>
      </c>
      <c r="G918" t="s">
        <v>3530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4287</v>
      </c>
      <c r="B919" t="s">
        <v>3498</v>
      </c>
      <c r="C919">
        <v>2020</v>
      </c>
      <c r="D919" t="s">
        <v>3504</v>
      </c>
      <c r="E919" t="s">
        <v>3515</v>
      </c>
      <c r="F919">
        <v>896</v>
      </c>
      <c r="G919" t="s">
        <v>3515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>
      <c r="A920" t="s">
        <v>4288</v>
      </c>
      <c r="B920" t="s">
        <v>3498</v>
      </c>
      <c r="C920">
        <v>2020</v>
      </c>
      <c r="D920" t="s">
        <v>3504</v>
      </c>
      <c r="E920" t="s">
        <v>3648</v>
      </c>
      <c r="F920">
        <v>155</v>
      </c>
      <c r="G920" t="s">
        <v>3648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>
      <c r="A921" t="s">
        <v>1569</v>
      </c>
      <c r="B921" t="s">
        <v>3498</v>
      </c>
      <c r="C921">
        <v>2020</v>
      </c>
      <c r="D921" t="s">
        <v>3502</v>
      </c>
      <c r="E921" t="s">
        <v>871</v>
      </c>
      <c r="F921">
        <v>203</v>
      </c>
      <c r="G921" t="s">
        <v>871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4289</v>
      </c>
      <c r="B922" t="s">
        <v>3498</v>
      </c>
      <c r="C922">
        <v>2020</v>
      </c>
      <c r="D922" t="s">
        <v>3502</v>
      </c>
      <c r="E922" t="s">
        <v>3523</v>
      </c>
      <c r="F922">
        <v>0</v>
      </c>
      <c r="G922" t="s">
        <v>3523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4290</v>
      </c>
      <c r="B923" t="s">
        <v>3498</v>
      </c>
      <c r="C923">
        <v>2020</v>
      </c>
      <c r="D923" t="s">
        <v>3485</v>
      </c>
      <c r="E923" t="s">
        <v>876</v>
      </c>
      <c r="F923">
        <v>720</v>
      </c>
      <c r="G923" t="s">
        <v>876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4291</v>
      </c>
      <c r="B924" t="s">
        <v>3498</v>
      </c>
      <c r="C924">
        <v>2020</v>
      </c>
      <c r="D924" t="s">
        <v>3504</v>
      </c>
      <c r="E924" t="s">
        <v>870</v>
      </c>
      <c r="F924">
        <v>282</v>
      </c>
      <c r="G924" t="s">
        <v>870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>
      <c r="A925" t="s">
        <v>4292</v>
      </c>
      <c r="B925" t="s">
        <v>3498</v>
      </c>
      <c r="C925">
        <v>2020</v>
      </c>
      <c r="D925" t="s">
        <v>3502</v>
      </c>
      <c r="E925" t="s">
        <v>3523</v>
      </c>
      <c r="F925">
        <v>630</v>
      </c>
      <c r="G925" t="s">
        <v>3523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>
      <c r="A926" t="s">
        <v>688</v>
      </c>
      <c r="B926" t="s">
        <v>3498</v>
      </c>
      <c r="C926">
        <v>2020</v>
      </c>
      <c r="D926" t="s">
        <v>3504</v>
      </c>
      <c r="E926" t="s">
        <v>3500</v>
      </c>
      <c r="F926">
        <v>0</v>
      </c>
      <c r="G926" t="s">
        <v>3500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4293</v>
      </c>
      <c r="B927" t="s">
        <v>3498</v>
      </c>
      <c r="C927">
        <v>2020</v>
      </c>
      <c r="D927" t="s">
        <v>3499</v>
      </c>
      <c r="E927" t="s">
        <v>3615</v>
      </c>
      <c r="F927">
        <v>116</v>
      </c>
      <c r="G927" t="s">
        <v>3615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4294</v>
      </c>
      <c r="B928" t="s">
        <v>3498</v>
      </c>
      <c r="C928">
        <v>2020</v>
      </c>
      <c r="D928" t="s">
        <v>3502</v>
      </c>
      <c r="E928" t="s">
        <v>3523</v>
      </c>
      <c r="F928">
        <v>0</v>
      </c>
      <c r="G928" t="s">
        <v>3523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160</v>
      </c>
      <c r="B929" t="s">
        <v>3498</v>
      </c>
      <c r="C929">
        <v>2020</v>
      </c>
      <c r="D929" t="s">
        <v>3504</v>
      </c>
      <c r="E929" t="s">
        <v>3500</v>
      </c>
      <c r="F929">
        <v>810</v>
      </c>
      <c r="G929" t="s">
        <v>3500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>
      <c r="A930" t="s">
        <v>4295</v>
      </c>
      <c r="B930" t="s">
        <v>3498</v>
      </c>
      <c r="C930">
        <v>2020</v>
      </c>
      <c r="D930" t="s">
        <v>3502</v>
      </c>
      <c r="E930" t="s">
        <v>3754</v>
      </c>
      <c r="F930">
        <v>250</v>
      </c>
      <c r="G930" t="s">
        <v>3754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4296</v>
      </c>
      <c r="B931" t="s">
        <v>3498</v>
      </c>
      <c r="C931">
        <v>2020</v>
      </c>
      <c r="D931" t="s">
        <v>3502</v>
      </c>
      <c r="E931" t="s">
        <v>3592</v>
      </c>
      <c r="F931">
        <v>368</v>
      </c>
      <c r="G931" t="s">
        <v>3592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4297</v>
      </c>
      <c r="B932" t="s">
        <v>3498</v>
      </c>
      <c r="C932">
        <v>2020</v>
      </c>
      <c r="D932" t="s">
        <v>3502</v>
      </c>
      <c r="E932" t="s">
        <v>869</v>
      </c>
      <c r="F932">
        <v>698</v>
      </c>
      <c r="G932" t="s">
        <v>869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>
      <c r="A933" t="s">
        <v>4298</v>
      </c>
      <c r="B933" t="s">
        <v>3498</v>
      </c>
      <c r="C933">
        <v>2020</v>
      </c>
      <c r="D933" t="s">
        <v>3499</v>
      </c>
      <c r="E933" t="s">
        <v>3597</v>
      </c>
      <c r="F933">
        <v>0</v>
      </c>
      <c r="G933" t="s">
        <v>3597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4299</v>
      </c>
      <c r="B934" t="s">
        <v>3498</v>
      </c>
      <c r="C934">
        <v>2020</v>
      </c>
      <c r="D934" t="s">
        <v>3485</v>
      </c>
      <c r="E934" t="s">
        <v>871</v>
      </c>
      <c r="F934">
        <v>0</v>
      </c>
      <c r="G934" t="s">
        <v>871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2978</v>
      </c>
      <c r="B935" t="s">
        <v>3498</v>
      </c>
      <c r="C935">
        <v>2020</v>
      </c>
      <c r="D935" t="s">
        <v>3502</v>
      </c>
      <c r="E935" t="s">
        <v>870</v>
      </c>
      <c r="F935">
        <v>540</v>
      </c>
      <c r="G935" t="s">
        <v>870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>
      <c r="A936" t="s">
        <v>4300</v>
      </c>
      <c r="B936" t="s">
        <v>3498</v>
      </c>
      <c r="C936">
        <v>2020</v>
      </c>
      <c r="D936" t="s">
        <v>3485</v>
      </c>
      <c r="E936" t="s">
        <v>876</v>
      </c>
      <c r="F936">
        <v>0</v>
      </c>
      <c r="G936" t="s">
        <v>876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4301</v>
      </c>
      <c r="B937" t="s">
        <v>3498</v>
      </c>
      <c r="C937">
        <v>2020</v>
      </c>
      <c r="D937" t="s">
        <v>3485</v>
      </c>
      <c r="E937" t="s">
        <v>869</v>
      </c>
      <c r="F937">
        <v>0</v>
      </c>
      <c r="G937" t="s">
        <v>869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3396</v>
      </c>
      <c r="B938" t="s">
        <v>3498</v>
      </c>
      <c r="C938">
        <v>2020</v>
      </c>
      <c r="D938" t="s">
        <v>3485</v>
      </c>
      <c r="E938" t="s">
        <v>870</v>
      </c>
      <c r="F938">
        <v>90</v>
      </c>
      <c r="G938" t="s">
        <v>870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4302</v>
      </c>
      <c r="B939" t="s">
        <v>3498</v>
      </c>
      <c r="C939">
        <v>2020</v>
      </c>
      <c r="D939" t="s">
        <v>3504</v>
      </c>
      <c r="E939" t="s">
        <v>885</v>
      </c>
      <c r="F939">
        <v>484</v>
      </c>
      <c r="G939" t="s">
        <v>885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>
      <c r="A940" t="s">
        <v>4303</v>
      </c>
      <c r="B940" t="s">
        <v>3498</v>
      </c>
      <c r="C940">
        <v>2020</v>
      </c>
      <c r="D940" t="s">
        <v>3502</v>
      </c>
      <c r="E940" t="s">
        <v>3506</v>
      </c>
      <c r="F940">
        <v>589</v>
      </c>
      <c r="G940" t="s">
        <v>3506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>
      <c r="A941" t="s">
        <v>4304</v>
      </c>
      <c r="B941" t="s">
        <v>3498</v>
      </c>
      <c r="C941">
        <v>2020</v>
      </c>
      <c r="D941" t="s">
        <v>3504</v>
      </c>
      <c r="E941" t="s">
        <v>886</v>
      </c>
      <c r="F941">
        <v>17</v>
      </c>
      <c r="G941" t="s">
        <v>886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4305</v>
      </c>
      <c r="B942" t="s">
        <v>3498</v>
      </c>
      <c r="C942">
        <v>2020</v>
      </c>
      <c r="D942" t="s">
        <v>3485</v>
      </c>
      <c r="E942" t="s">
        <v>882</v>
      </c>
      <c r="F942">
        <v>90</v>
      </c>
      <c r="G942" t="s">
        <v>882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707</v>
      </c>
      <c r="B943" t="s">
        <v>3498</v>
      </c>
      <c r="C943">
        <v>2020</v>
      </c>
      <c r="D943" t="s">
        <v>3502</v>
      </c>
      <c r="E943" t="s">
        <v>869</v>
      </c>
      <c r="F943">
        <v>0</v>
      </c>
      <c r="G943" t="s">
        <v>869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4306</v>
      </c>
      <c r="B944" t="s">
        <v>3498</v>
      </c>
      <c r="C944">
        <v>2020</v>
      </c>
      <c r="D944" t="s">
        <v>3502</v>
      </c>
      <c r="E944" t="s">
        <v>3506</v>
      </c>
      <c r="F944">
        <v>824</v>
      </c>
      <c r="G944" t="s">
        <v>3506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>
      <c r="A945" t="s">
        <v>4307</v>
      </c>
      <c r="B945" t="s">
        <v>3498</v>
      </c>
      <c r="C945">
        <v>2020</v>
      </c>
      <c r="D945" t="s">
        <v>3504</v>
      </c>
      <c r="E945" t="s">
        <v>3535</v>
      </c>
      <c r="F945">
        <v>421</v>
      </c>
      <c r="G945" t="s">
        <v>3535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>
      <c r="A946" t="s">
        <v>4308</v>
      </c>
      <c r="B946" t="s">
        <v>3498</v>
      </c>
      <c r="C946">
        <v>2020</v>
      </c>
      <c r="D946" t="s">
        <v>3504</v>
      </c>
      <c r="E946" t="s">
        <v>3535</v>
      </c>
      <c r="F946">
        <v>389</v>
      </c>
      <c r="G946" t="s">
        <v>3535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4309</v>
      </c>
      <c r="B947" t="s">
        <v>3498</v>
      </c>
      <c r="C947">
        <v>2020</v>
      </c>
      <c r="D947" t="s">
        <v>3504</v>
      </c>
      <c r="E947" t="s">
        <v>3535</v>
      </c>
      <c r="F947">
        <v>90</v>
      </c>
      <c r="G947" t="s">
        <v>3535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4310</v>
      </c>
      <c r="B948" t="s">
        <v>3498</v>
      </c>
      <c r="C948">
        <v>2020</v>
      </c>
      <c r="D948" t="s">
        <v>3502</v>
      </c>
      <c r="E948" t="s">
        <v>893</v>
      </c>
      <c r="F948">
        <v>295</v>
      </c>
      <c r="G948" t="s">
        <v>893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4311</v>
      </c>
      <c r="B949" t="s">
        <v>3498</v>
      </c>
      <c r="C949">
        <v>2020</v>
      </c>
      <c r="D949" t="s">
        <v>3499</v>
      </c>
      <c r="E949" t="s">
        <v>893</v>
      </c>
      <c r="F949">
        <v>242</v>
      </c>
      <c r="G949" t="s">
        <v>893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4312</v>
      </c>
      <c r="B950" t="s">
        <v>3498</v>
      </c>
      <c r="C950">
        <v>2020</v>
      </c>
      <c r="D950" t="s">
        <v>3504</v>
      </c>
      <c r="E950" t="s">
        <v>893</v>
      </c>
      <c r="F950">
        <v>73</v>
      </c>
      <c r="G950" t="s">
        <v>893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4313</v>
      </c>
      <c r="B951" t="s">
        <v>3498</v>
      </c>
      <c r="C951">
        <v>2020</v>
      </c>
      <c r="D951" t="s">
        <v>3504</v>
      </c>
      <c r="E951" t="s">
        <v>893</v>
      </c>
      <c r="F951">
        <v>284</v>
      </c>
      <c r="G951" t="s">
        <v>893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2158</v>
      </c>
      <c r="B952" t="s">
        <v>3498</v>
      </c>
      <c r="C952">
        <v>2020</v>
      </c>
      <c r="D952" t="s">
        <v>3504</v>
      </c>
      <c r="E952" t="s">
        <v>865</v>
      </c>
      <c r="F952">
        <v>630</v>
      </c>
      <c r="G952" t="s">
        <v>865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>
      <c r="A953" t="s">
        <v>409</v>
      </c>
      <c r="B953" t="s">
        <v>3498</v>
      </c>
      <c r="C953">
        <v>2020</v>
      </c>
      <c r="D953" t="s">
        <v>3502</v>
      </c>
      <c r="E953" t="s">
        <v>879</v>
      </c>
      <c r="F953">
        <v>20</v>
      </c>
      <c r="G953" t="s">
        <v>879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726</v>
      </c>
      <c r="B954" t="s">
        <v>3498</v>
      </c>
      <c r="C954">
        <v>2020</v>
      </c>
      <c r="D954" t="s">
        <v>3502</v>
      </c>
      <c r="E954" t="s">
        <v>865</v>
      </c>
      <c r="F954">
        <v>270</v>
      </c>
      <c r="G954" t="s">
        <v>865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4314</v>
      </c>
      <c r="B955" t="s">
        <v>3498</v>
      </c>
      <c r="C955">
        <v>2020</v>
      </c>
      <c r="D955" t="s">
        <v>3502</v>
      </c>
      <c r="E955" t="s">
        <v>3624</v>
      </c>
      <c r="F955">
        <v>0</v>
      </c>
      <c r="G955" t="s">
        <v>892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3460</v>
      </c>
      <c r="B956" t="s">
        <v>3498</v>
      </c>
      <c r="C956">
        <v>2020</v>
      </c>
      <c r="D956" t="s">
        <v>3499</v>
      </c>
      <c r="E956" t="s">
        <v>870</v>
      </c>
      <c r="F956">
        <v>81</v>
      </c>
      <c r="G956" t="s">
        <v>870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>
      <c r="A957" t="s">
        <v>4315</v>
      </c>
      <c r="B957" t="s">
        <v>3498</v>
      </c>
      <c r="C957">
        <v>2020</v>
      </c>
      <c r="D957" t="s">
        <v>3502</v>
      </c>
      <c r="E957" t="s">
        <v>876</v>
      </c>
      <c r="F957">
        <v>270</v>
      </c>
      <c r="G957" t="s">
        <v>876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>
      <c r="A958" t="s">
        <v>4316</v>
      </c>
      <c r="B958" t="s">
        <v>3498</v>
      </c>
      <c r="C958">
        <v>2020</v>
      </c>
      <c r="D958" t="s">
        <v>3504</v>
      </c>
      <c r="E958" t="s">
        <v>3549</v>
      </c>
      <c r="F958">
        <v>391</v>
      </c>
      <c r="G958" t="s">
        <v>3549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>
      <c r="A959" t="s">
        <v>226</v>
      </c>
      <c r="B959" t="s">
        <v>3498</v>
      </c>
      <c r="C959">
        <v>2020</v>
      </c>
      <c r="D959" t="s">
        <v>3502</v>
      </c>
      <c r="E959" t="s">
        <v>3500</v>
      </c>
      <c r="F959">
        <v>316</v>
      </c>
      <c r="G959" t="s">
        <v>3500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79</v>
      </c>
      <c r="B960" t="s">
        <v>3498</v>
      </c>
      <c r="C960">
        <v>2020</v>
      </c>
      <c r="D960" t="s">
        <v>3504</v>
      </c>
      <c r="E960" t="s">
        <v>895</v>
      </c>
      <c r="F960">
        <v>89</v>
      </c>
      <c r="G960" t="s">
        <v>895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>
      <c r="A961" t="s">
        <v>4317</v>
      </c>
      <c r="B961" t="s">
        <v>3498</v>
      </c>
      <c r="C961">
        <v>2020</v>
      </c>
      <c r="D961" t="s">
        <v>3499</v>
      </c>
      <c r="E961" t="s">
        <v>886</v>
      </c>
      <c r="F961">
        <v>30</v>
      </c>
      <c r="G961" t="s">
        <v>886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>
      <c r="A962" t="s">
        <v>321</v>
      </c>
      <c r="B962" t="s">
        <v>3498</v>
      </c>
      <c r="C962">
        <v>2020</v>
      </c>
      <c r="D962" t="s">
        <v>3504</v>
      </c>
      <c r="E962" t="s">
        <v>895</v>
      </c>
      <c r="F962">
        <v>728</v>
      </c>
      <c r="G962" t="s">
        <v>895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>
      <c r="A963" t="s">
        <v>4318</v>
      </c>
      <c r="B963" t="s">
        <v>3498</v>
      </c>
      <c r="C963">
        <v>2020</v>
      </c>
      <c r="D963" t="s">
        <v>3504</v>
      </c>
      <c r="E963" t="s">
        <v>3615</v>
      </c>
      <c r="F963">
        <v>75</v>
      </c>
      <c r="G963" t="s">
        <v>3615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4319</v>
      </c>
      <c r="B964" t="s">
        <v>3498</v>
      </c>
      <c r="C964">
        <v>2020</v>
      </c>
      <c r="D964" t="s">
        <v>3502</v>
      </c>
      <c r="E964" t="s">
        <v>895</v>
      </c>
      <c r="F964">
        <v>0</v>
      </c>
      <c r="G964" t="s">
        <v>895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300</v>
      </c>
      <c r="B965" t="s">
        <v>3498</v>
      </c>
      <c r="C965">
        <v>2020</v>
      </c>
      <c r="D965" t="s">
        <v>3502</v>
      </c>
      <c r="E965" t="s">
        <v>879</v>
      </c>
      <c r="F965">
        <v>90</v>
      </c>
      <c r="G965" t="s">
        <v>879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4320</v>
      </c>
      <c r="B966" t="s">
        <v>3498</v>
      </c>
      <c r="C966">
        <v>2020</v>
      </c>
      <c r="D966" t="s">
        <v>3499</v>
      </c>
      <c r="E966" t="s">
        <v>895</v>
      </c>
      <c r="F966">
        <v>219</v>
      </c>
      <c r="G966" t="s">
        <v>895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>
      <c r="A967" t="s">
        <v>4321</v>
      </c>
      <c r="B967" t="s">
        <v>3498</v>
      </c>
      <c r="C967">
        <v>2020</v>
      </c>
      <c r="D967" t="s">
        <v>3499</v>
      </c>
      <c r="E967" t="s">
        <v>3549</v>
      </c>
      <c r="F967">
        <v>530</v>
      </c>
      <c r="G967" t="s">
        <v>3549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>
      <c r="A968" t="s">
        <v>4322</v>
      </c>
      <c r="B968" t="s">
        <v>3498</v>
      </c>
      <c r="C968">
        <v>2020</v>
      </c>
      <c r="D968" t="s">
        <v>3502</v>
      </c>
      <c r="E968" t="s">
        <v>3515</v>
      </c>
      <c r="F968">
        <v>0</v>
      </c>
      <c r="G968" t="s">
        <v>3515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4323</v>
      </c>
      <c r="B969" t="s">
        <v>3498</v>
      </c>
      <c r="C969">
        <v>2020</v>
      </c>
      <c r="D969" t="s">
        <v>3502</v>
      </c>
      <c r="E969" t="s">
        <v>3549</v>
      </c>
      <c r="F969">
        <v>90</v>
      </c>
      <c r="G969" t="s">
        <v>3549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3007</v>
      </c>
      <c r="B970" t="s">
        <v>3498</v>
      </c>
      <c r="C970">
        <v>2020</v>
      </c>
      <c r="D970" t="s">
        <v>3485</v>
      </c>
      <c r="E970" t="s">
        <v>895</v>
      </c>
      <c r="F970">
        <v>90</v>
      </c>
      <c r="G970" t="s">
        <v>895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4324</v>
      </c>
      <c r="B971" t="s">
        <v>3498</v>
      </c>
      <c r="C971">
        <v>2020</v>
      </c>
      <c r="D971" t="s">
        <v>3502</v>
      </c>
      <c r="E971" t="s">
        <v>892</v>
      </c>
      <c r="F971">
        <v>90</v>
      </c>
      <c r="G971" t="s">
        <v>892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>
      <c r="A972" t="s">
        <v>4325</v>
      </c>
      <c r="B972" t="s">
        <v>3498</v>
      </c>
      <c r="C972">
        <v>2020</v>
      </c>
      <c r="D972" t="s">
        <v>3502</v>
      </c>
      <c r="E972" t="s">
        <v>869</v>
      </c>
      <c r="F972">
        <v>0</v>
      </c>
      <c r="G972" t="s">
        <v>869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4326</v>
      </c>
      <c r="B973" t="s">
        <v>3498</v>
      </c>
      <c r="C973">
        <v>2020</v>
      </c>
      <c r="D973" t="s">
        <v>3485</v>
      </c>
      <c r="E973" t="s">
        <v>869</v>
      </c>
      <c r="F973">
        <v>0</v>
      </c>
      <c r="G973" t="s">
        <v>869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1541</v>
      </c>
      <c r="B974" t="s">
        <v>3498</v>
      </c>
      <c r="C974">
        <v>2020</v>
      </c>
      <c r="D974" t="s">
        <v>3485</v>
      </c>
      <c r="E974" t="s">
        <v>866</v>
      </c>
      <c r="F974">
        <v>0</v>
      </c>
      <c r="G974" t="s">
        <v>866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4327</v>
      </c>
      <c r="B975" t="s">
        <v>3498</v>
      </c>
      <c r="C975">
        <v>2020</v>
      </c>
      <c r="D975" t="s">
        <v>3502</v>
      </c>
      <c r="E975" t="s">
        <v>3597</v>
      </c>
      <c r="F975">
        <v>65</v>
      </c>
      <c r="G975" t="s">
        <v>3597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4328</v>
      </c>
      <c r="B976" t="s">
        <v>3498</v>
      </c>
      <c r="C976">
        <v>2020</v>
      </c>
      <c r="D976" t="s">
        <v>3502</v>
      </c>
      <c r="E976" t="s">
        <v>3615</v>
      </c>
      <c r="F976">
        <v>289</v>
      </c>
      <c r="G976" t="s">
        <v>3615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4329</v>
      </c>
      <c r="B977" t="s">
        <v>3498</v>
      </c>
      <c r="C977">
        <v>2020</v>
      </c>
      <c r="D977" t="s">
        <v>3502</v>
      </c>
      <c r="E977" t="s">
        <v>892</v>
      </c>
      <c r="F977">
        <v>320</v>
      </c>
      <c r="G977" t="s">
        <v>892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2585</v>
      </c>
      <c r="B978" t="s">
        <v>3498</v>
      </c>
      <c r="C978">
        <v>2020</v>
      </c>
      <c r="D978" t="s">
        <v>3504</v>
      </c>
      <c r="E978" t="s">
        <v>865</v>
      </c>
      <c r="F978">
        <v>161</v>
      </c>
      <c r="G978" t="s">
        <v>865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>
      <c r="A979" t="s">
        <v>3442</v>
      </c>
      <c r="B979" t="s">
        <v>3498</v>
      </c>
      <c r="C979">
        <v>2020</v>
      </c>
      <c r="D979" t="s">
        <v>3504</v>
      </c>
      <c r="E979" t="s">
        <v>870</v>
      </c>
      <c r="F979">
        <v>221</v>
      </c>
      <c r="G979" t="s">
        <v>870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>
      <c r="A980" t="s">
        <v>144</v>
      </c>
      <c r="B980" t="s">
        <v>3498</v>
      </c>
      <c r="C980">
        <v>2020</v>
      </c>
      <c r="D980" t="s">
        <v>3502</v>
      </c>
      <c r="E980" t="s">
        <v>3503</v>
      </c>
      <c r="F980">
        <v>810</v>
      </c>
      <c r="G980" t="s">
        <v>3503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>
      <c r="A981" t="s">
        <v>3432</v>
      </c>
      <c r="B981" t="s">
        <v>3498</v>
      </c>
      <c r="C981">
        <v>2020</v>
      </c>
      <c r="D981" t="s">
        <v>3502</v>
      </c>
      <c r="E981" t="s">
        <v>870</v>
      </c>
      <c r="F981">
        <v>869</v>
      </c>
      <c r="G981" t="s">
        <v>870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>
      <c r="A982" t="s">
        <v>4330</v>
      </c>
      <c r="B982" t="s">
        <v>3498</v>
      </c>
      <c r="C982">
        <v>2020</v>
      </c>
      <c r="D982" t="s">
        <v>3502</v>
      </c>
      <c r="E982" t="s">
        <v>3730</v>
      </c>
      <c r="F982">
        <v>546</v>
      </c>
      <c r="G982" t="s">
        <v>3730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>
      <c r="A983" t="s">
        <v>379</v>
      </c>
      <c r="B983" t="s">
        <v>3498</v>
      </c>
      <c r="C983">
        <v>2020</v>
      </c>
      <c r="D983" t="s">
        <v>3504</v>
      </c>
      <c r="E983" t="s">
        <v>879</v>
      </c>
      <c r="F983">
        <v>453</v>
      </c>
      <c r="G983" t="s">
        <v>879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>
      <c r="A984" t="s">
        <v>4331</v>
      </c>
      <c r="B984" t="s">
        <v>3498</v>
      </c>
      <c r="C984">
        <v>2020</v>
      </c>
      <c r="D984" t="s">
        <v>3499</v>
      </c>
      <c r="E984" t="s">
        <v>3503</v>
      </c>
      <c r="F984">
        <v>320</v>
      </c>
      <c r="G984" t="s">
        <v>879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>
      <c r="A985" t="s">
        <v>344</v>
      </c>
      <c r="B985" t="s">
        <v>3498</v>
      </c>
      <c r="C985">
        <v>2020</v>
      </c>
      <c r="D985" t="s">
        <v>3485</v>
      </c>
      <c r="E985" t="s">
        <v>879</v>
      </c>
      <c r="F985">
        <v>630</v>
      </c>
      <c r="G985" t="s">
        <v>879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4332</v>
      </c>
      <c r="B986" t="s">
        <v>3498</v>
      </c>
      <c r="C986">
        <v>2020</v>
      </c>
      <c r="D986" t="s">
        <v>3504</v>
      </c>
      <c r="E986" t="s">
        <v>3503</v>
      </c>
      <c r="F986">
        <v>160</v>
      </c>
      <c r="G986" t="s">
        <v>3503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4333</v>
      </c>
      <c r="B987" t="s">
        <v>3498</v>
      </c>
      <c r="C987">
        <v>2020</v>
      </c>
      <c r="D987" t="s">
        <v>3504</v>
      </c>
      <c r="E987" t="s">
        <v>3506</v>
      </c>
      <c r="F987">
        <v>510</v>
      </c>
      <c r="G987" t="s">
        <v>3506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>
      <c r="A988" t="s">
        <v>1481</v>
      </c>
      <c r="B988" t="s">
        <v>3498</v>
      </c>
      <c r="C988">
        <v>2020</v>
      </c>
      <c r="D988" t="s">
        <v>3502</v>
      </c>
      <c r="E988" t="s">
        <v>885</v>
      </c>
      <c r="F988">
        <v>270</v>
      </c>
      <c r="G988" t="s">
        <v>885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>
      <c r="A989" t="s">
        <v>4334</v>
      </c>
      <c r="B989" t="s">
        <v>3498</v>
      </c>
      <c r="C989">
        <v>2020</v>
      </c>
      <c r="D989" t="s">
        <v>3502</v>
      </c>
      <c r="E989" t="s">
        <v>3506</v>
      </c>
      <c r="F989">
        <v>47</v>
      </c>
      <c r="G989" t="s">
        <v>3506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4335</v>
      </c>
      <c r="B990" t="s">
        <v>3498</v>
      </c>
      <c r="C990">
        <v>2020</v>
      </c>
      <c r="D990" t="s">
        <v>3502</v>
      </c>
      <c r="E990" t="s">
        <v>3571</v>
      </c>
      <c r="F990">
        <v>0</v>
      </c>
      <c r="G990" t="s">
        <v>4336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4337</v>
      </c>
      <c r="B991" t="s">
        <v>3498</v>
      </c>
      <c r="C991">
        <v>2020</v>
      </c>
      <c r="D991" t="s">
        <v>3485</v>
      </c>
      <c r="E991" t="s">
        <v>878</v>
      </c>
      <c r="F991">
        <v>0</v>
      </c>
      <c r="G991" t="s">
        <v>878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286</v>
      </c>
      <c r="B992" t="s">
        <v>3498</v>
      </c>
      <c r="C992">
        <v>2020</v>
      </c>
      <c r="D992" t="s">
        <v>3504</v>
      </c>
      <c r="E992" t="s">
        <v>863</v>
      </c>
      <c r="F992">
        <v>777</v>
      </c>
      <c r="G992" t="s">
        <v>863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>
      <c r="A993" t="s">
        <v>4338</v>
      </c>
      <c r="B993" t="s">
        <v>3498</v>
      </c>
      <c r="C993">
        <v>2020</v>
      </c>
      <c r="D993" t="s">
        <v>3485</v>
      </c>
      <c r="E993" t="s">
        <v>3506</v>
      </c>
      <c r="F993">
        <v>897</v>
      </c>
      <c r="G993" t="s">
        <v>3506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>
      <c r="A994" t="s">
        <v>4339</v>
      </c>
      <c r="B994" t="s">
        <v>3498</v>
      </c>
      <c r="C994">
        <v>2020</v>
      </c>
      <c r="D994" t="s">
        <v>3504</v>
      </c>
      <c r="E994" t="s">
        <v>3602</v>
      </c>
      <c r="F994">
        <v>478</v>
      </c>
      <c r="G994" t="s">
        <v>3602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>
      <c r="A995" t="s">
        <v>1888</v>
      </c>
      <c r="B995" t="s">
        <v>3498</v>
      </c>
      <c r="C995">
        <v>2020</v>
      </c>
      <c r="D995" t="s">
        <v>3502</v>
      </c>
      <c r="E995" t="s">
        <v>893</v>
      </c>
      <c r="F995">
        <v>360</v>
      </c>
      <c r="G995" t="s">
        <v>893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4340</v>
      </c>
      <c r="B996" t="s">
        <v>3498</v>
      </c>
      <c r="C996">
        <v>2020</v>
      </c>
      <c r="D996" t="s">
        <v>3502</v>
      </c>
      <c r="E996" t="s">
        <v>885</v>
      </c>
      <c r="F996">
        <v>360</v>
      </c>
      <c r="G996" t="s">
        <v>885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>
      <c r="A997" t="s">
        <v>4341</v>
      </c>
      <c r="B997" t="s">
        <v>3498</v>
      </c>
      <c r="C997">
        <v>2020</v>
      </c>
      <c r="D997" t="s">
        <v>3485</v>
      </c>
      <c r="E997" t="s">
        <v>893</v>
      </c>
      <c r="F997">
        <v>0</v>
      </c>
      <c r="G997" t="s">
        <v>893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4342</v>
      </c>
      <c r="B998" t="s">
        <v>3498</v>
      </c>
      <c r="C998">
        <v>2020</v>
      </c>
      <c r="D998" t="s">
        <v>3504</v>
      </c>
      <c r="E998" t="s">
        <v>882</v>
      </c>
      <c r="F998">
        <v>37</v>
      </c>
      <c r="G998" t="s">
        <v>882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4343</v>
      </c>
      <c r="B999" t="s">
        <v>3498</v>
      </c>
      <c r="C999">
        <v>2020</v>
      </c>
      <c r="D999" t="s">
        <v>3504</v>
      </c>
      <c r="E999" t="s">
        <v>865</v>
      </c>
      <c r="F999">
        <v>212</v>
      </c>
      <c r="G999" t="s">
        <v>865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>
      <c r="A1000" t="s">
        <v>4344</v>
      </c>
      <c r="B1000" t="s">
        <v>3498</v>
      </c>
      <c r="C1000">
        <v>2020</v>
      </c>
      <c r="D1000" t="s">
        <v>3499</v>
      </c>
      <c r="E1000" t="s">
        <v>3615</v>
      </c>
      <c r="F1000">
        <v>875</v>
      </c>
      <c r="G1000" t="s">
        <v>3615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>
      <c r="A1001" t="s">
        <v>4345</v>
      </c>
      <c r="B1001" t="s">
        <v>3498</v>
      </c>
      <c r="C1001">
        <v>2020</v>
      </c>
      <c r="D1001" t="s">
        <v>3502</v>
      </c>
      <c r="E1001" t="s">
        <v>3523</v>
      </c>
      <c r="F1001">
        <v>712</v>
      </c>
      <c r="G1001" t="s">
        <v>3523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>
      <c r="A1002" t="s">
        <v>4346</v>
      </c>
      <c r="B1002" t="s">
        <v>3498</v>
      </c>
      <c r="C1002">
        <v>2020</v>
      </c>
      <c r="D1002" t="s">
        <v>3502</v>
      </c>
      <c r="E1002" t="s">
        <v>3615</v>
      </c>
      <c r="F1002">
        <v>397</v>
      </c>
      <c r="G1002" t="s">
        <v>3615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4347</v>
      </c>
      <c r="B1003" t="s">
        <v>3498</v>
      </c>
      <c r="C1003">
        <v>2020</v>
      </c>
      <c r="D1003" t="s">
        <v>3504</v>
      </c>
      <c r="E1003" t="s">
        <v>3500</v>
      </c>
      <c r="F1003">
        <v>0</v>
      </c>
      <c r="G1003" t="s">
        <v>3500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4348</v>
      </c>
      <c r="B1004" t="s">
        <v>3498</v>
      </c>
      <c r="C1004">
        <v>2020</v>
      </c>
      <c r="D1004" t="s">
        <v>3499</v>
      </c>
      <c r="E1004" t="s">
        <v>3503</v>
      </c>
      <c r="F1004">
        <v>496</v>
      </c>
      <c r="G1004" t="s">
        <v>3503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>
      <c r="A1005" t="s">
        <v>1171</v>
      </c>
      <c r="B1005" t="s">
        <v>3498</v>
      </c>
      <c r="C1005">
        <v>2020</v>
      </c>
      <c r="D1005" t="s">
        <v>3504</v>
      </c>
      <c r="E1005" t="s">
        <v>892</v>
      </c>
      <c r="F1005">
        <v>720</v>
      </c>
      <c r="G1005" t="s">
        <v>892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>
      <c r="A1006" t="s">
        <v>4349</v>
      </c>
      <c r="B1006" t="s">
        <v>3498</v>
      </c>
      <c r="C1006">
        <v>2020</v>
      </c>
      <c r="D1006" t="s">
        <v>3499</v>
      </c>
      <c r="E1006" t="s">
        <v>3597</v>
      </c>
      <c r="F1006">
        <v>789</v>
      </c>
      <c r="G1006" t="s">
        <v>3597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>
      <c r="A1007" t="s">
        <v>1354</v>
      </c>
      <c r="B1007" t="s">
        <v>3498</v>
      </c>
      <c r="C1007">
        <v>2020</v>
      </c>
      <c r="D1007" t="s">
        <v>3504</v>
      </c>
      <c r="E1007" t="s">
        <v>880</v>
      </c>
      <c r="F1007">
        <v>368</v>
      </c>
      <c r="G1007" t="s">
        <v>880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>
      <c r="A1008" t="s">
        <v>4350</v>
      </c>
      <c r="B1008" t="s">
        <v>3498</v>
      </c>
      <c r="C1008">
        <v>2020</v>
      </c>
      <c r="D1008" t="s">
        <v>3499</v>
      </c>
      <c r="E1008" t="s">
        <v>866</v>
      </c>
      <c r="F1008">
        <v>2</v>
      </c>
      <c r="G1008" t="s">
        <v>866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4351</v>
      </c>
      <c r="B1009" t="s">
        <v>3498</v>
      </c>
      <c r="C1009">
        <v>2020</v>
      </c>
      <c r="D1009" t="s">
        <v>3504</v>
      </c>
      <c r="E1009" t="s">
        <v>3515</v>
      </c>
      <c r="F1009">
        <v>900</v>
      </c>
      <c r="G1009" t="s">
        <v>3515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>
      <c r="A1010" t="s">
        <v>4352</v>
      </c>
      <c r="B1010" t="s">
        <v>3498</v>
      </c>
      <c r="C1010">
        <v>2020</v>
      </c>
      <c r="D1010" t="s">
        <v>3504</v>
      </c>
      <c r="E1010" t="s">
        <v>880</v>
      </c>
      <c r="F1010">
        <v>0</v>
      </c>
      <c r="G1010" t="s">
        <v>880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4353</v>
      </c>
      <c r="B1011" t="s">
        <v>3498</v>
      </c>
      <c r="C1011">
        <v>2020</v>
      </c>
      <c r="D1011" t="s">
        <v>3502</v>
      </c>
      <c r="E1011" t="s">
        <v>885</v>
      </c>
      <c r="F1011">
        <v>324</v>
      </c>
      <c r="G1011" t="s">
        <v>885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>
      <c r="A1012" t="s">
        <v>4354</v>
      </c>
      <c r="B1012" t="s">
        <v>3498</v>
      </c>
      <c r="C1012">
        <v>2020</v>
      </c>
      <c r="D1012" t="s">
        <v>3504</v>
      </c>
      <c r="E1012" t="s">
        <v>3615</v>
      </c>
      <c r="F1012">
        <v>540</v>
      </c>
      <c r="G1012" t="s">
        <v>3615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>
      <c r="A1013" t="s">
        <v>4355</v>
      </c>
      <c r="B1013" t="s">
        <v>3498</v>
      </c>
      <c r="C1013">
        <v>2020</v>
      </c>
      <c r="D1013" t="s">
        <v>3502</v>
      </c>
      <c r="E1013" t="s">
        <v>870</v>
      </c>
      <c r="F1013">
        <v>270</v>
      </c>
      <c r="G1013" t="s">
        <v>870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3419</v>
      </c>
      <c r="B1014" t="s">
        <v>3498</v>
      </c>
      <c r="C1014">
        <v>2020</v>
      </c>
      <c r="D1014" t="s">
        <v>3502</v>
      </c>
      <c r="E1014" t="s">
        <v>870</v>
      </c>
      <c r="F1014">
        <v>589</v>
      </c>
      <c r="G1014" t="s">
        <v>870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>
      <c r="A1015" t="s">
        <v>4356</v>
      </c>
      <c r="B1015" t="s">
        <v>3498</v>
      </c>
      <c r="C1015">
        <v>2020</v>
      </c>
      <c r="D1015" t="s">
        <v>3499</v>
      </c>
      <c r="E1015" t="s">
        <v>3506</v>
      </c>
      <c r="F1015">
        <v>8</v>
      </c>
      <c r="G1015" t="s">
        <v>3506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2916</v>
      </c>
      <c r="B1016" t="s">
        <v>3498</v>
      </c>
      <c r="C1016">
        <v>2020</v>
      </c>
      <c r="D1016" t="s">
        <v>3504</v>
      </c>
      <c r="E1016" t="s">
        <v>878</v>
      </c>
      <c r="F1016">
        <v>661</v>
      </c>
      <c r="G1016" t="s">
        <v>878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>
      <c r="A1017" t="s">
        <v>4357</v>
      </c>
      <c r="B1017" t="s">
        <v>3498</v>
      </c>
      <c r="C1017">
        <v>2020</v>
      </c>
      <c r="D1017" t="s">
        <v>3504</v>
      </c>
      <c r="E1017" t="s">
        <v>892</v>
      </c>
      <c r="F1017">
        <v>308</v>
      </c>
      <c r="G1017" t="s">
        <v>892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>
      <c r="A1018" t="s">
        <v>4358</v>
      </c>
      <c r="B1018" t="s">
        <v>3498</v>
      </c>
      <c r="C1018">
        <v>2020</v>
      </c>
      <c r="D1018" t="s">
        <v>3504</v>
      </c>
      <c r="E1018" t="s">
        <v>892</v>
      </c>
      <c r="F1018">
        <v>56</v>
      </c>
      <c r="G1018" t="s">
        <v>892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>
      <c r="A1019" t="s">
        <v>4359</v>
      </c>
      <c r="B1019" t="s">
        <v>3498</v>
      </c>
      <c r="C1019">
        <v>2020</v>
      </c>
      <c r="D1019" t="s">
        <v>3504</v>
      </c>
      <c r="E1019" t="s">
        <v>3618</v>
      </c>
      <c r="F1019">
        <v>0</v>
      </c>
      <c r="G1019" t="s">
        <v>3618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2946</v>
      </c>
      <c r="B1020" t="s">
        <v>3498</v>
      </c>
      <c r="C1020">
        <v>2020</v>
      </c>
      <c r="D1020" t="s">
        <v>3504</v>
      </c>
      <c r="E1020" t="s">
        <v>896</v>
      </c>
      <c r="F1020">
        <v>848</v>
      </c>
      <c r="G1020" t="s">
        <v>896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>
      <c r="A1021" t="s">
        <v>4360</v>
      </c>
      <c r="B1021" t="s">
        <v>3498</v>
      </c>
      <c r="C1021">
        <v>2020</v>
      </c>
      <c r="D1021" t="s">
        <v>3502</v>
      </c>
      <c r="E1021" t="s">
        <v>3515</v>
      </c>
      <c r="F1021">
        <v>404</v>
      </c>
      <c r="G1021" t="s">
        <v>3515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4361</v>
      </c>
      <c r="B1022" t="s">
        <v>3498</v>
      </c>
      <c r="C1022">
        <v>2020</v>
      </c>
      <c r="D1022" t="s">
        <v>3504</v>
      </c>
      <c r="E1022" t="s">
        <v>3615</v>
      </c>
      <c r="F1022">
        <v>76</v>
      </c>
      <c r="G1022" t="s">
        <v>3615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4362</v>
      </c>
      <c r="B1023" t="s">
        <v>3498</v>
      </c>
      <c r="C1023">
        <v>2020</v>
      </c>
      <c r="D1023" t="s">
        <v>3504</v>
      </c>
      <c r="E1023" t="s">
        <v>3569</v>
      </c>
      <c r="F1023">
        <v>0</v>
      </c>
      <c r="G1023" t="s">
        <v>3569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4363</v>
      </c>
      <c r="B1024" t="s">
        <v>3498</v>
      </c>
      <c r="C1024">
        <v>2020</v>
      </c>
      <c r="D1024" t="s">
        <v>3504</v>
      </c>
      <c r="E1024" t="s">
        <v>3618</v>
      </c>
      <c r="F1024">
        <v>125</v>
      </c>
      <c r="G1024" t="s">
        <v>3618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4364</v>
      </c>
      <c r="B1025" t="s">
        <v>3498</v>
      </c>
      <c r="C1025">
        <v>2020</v>
      </c>
      <c r="D1025" t="s">
        <v>3485</v>
      </c>
      <c r="E1025" t="s">
        <v>3615</v>
      </c>
      <c r="F1025">
        <v>0</v>
      </c>
      <c r="G1025" t="s">
        <v>3615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4365</v>
      </c>
      <c r="B1026" t="s">
        <v>3498</v>
      </c>
      <c r="C1026">
        <v>2020</v>
      </c>
      <c r="D1026" t="s">
        <v>3499</v>
      </c>
      <c r="E1026" t="s">
        <v>876</v>
      </c>
      <c r="F1026">
        <v>0</v>
      </c>
      <c r="G1026" t="s">
        <v>876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4366</v>
      </c>
      <c r="B1027" t="s">
        <v>3498</v>
      </c>
      <c r="C1027">
        <v>2020</v>
      </c>
      <c r="D1027" t="s">
        <v>3485</v>
      </c>
      <c r="E1027" t="s">
        <v>3592</v>
      </c>
      <c r="F1027">
        <v>0</v>
      </c>
      <c r="G1027" t="s">
        <v>3592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4367</v>
      </c>
      <c r="B1028" t="s">
        <v>3498</v>
      </c>
      <c r="C1028">
        <v>2020</v>
      </c>
      <c r="D1028" t="s">
        <v>3504</v>
      </c>
      <c r="E1028" t="s">
        <v>3618</v>
      </c>
      <c r="F1028">
        <v>14</v>
      </c>
      <c r="G1028" t="s">
        <v>3618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3087</v>
      </c>
      <c r="B1029" t="s">
        <v>3498</v>
      </c>
      <c r="C1029">
        <v>2020</v>
      </c>
      <c r="D1029" t="s">
        <v>3502</v>
      </c>
      <c r="E1029" t="s">
        <v>862</v>
      </c>
      <c r="F1029">
        <v>626</v>
      </c>
      <c r="G1029" t="s">
        <v>862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>
      <c r="A1030" t="s">
        <v>629</v>
      </c>
      <c r="B1030" t="s">
        <v>3498</v>
      </c>
      <c r="C1030">
        <v>2020</v>
      </c>
      <c r="D1030" t="s">
        <v>3504</v>
      </c>
      <c r="E1030" t="s">
        <v>892</v>
      </c>
      <c r="F1030">
        <v>141</v>
      </c>
      <c r="G1030" t="s">
        <v>892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>
      <c r="A1031" t="s">
        <v>4368</v>
      </c>
      <c r="B1031" t="s">
        <v>3498</v>
      </c>
      <c r="C1031">
        <v>2020</v>
      </c>
      <c r="D1031" t="s">
        <v>3504</v>
      </c>
      <c r="E1031" t="s">
        <v>3535</v>
      </c>
      <c r="F1031">
        <v>169</v>
      </c>
      <c r="G1031" t="s">
        <v>3535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>
      <c r="A1032" t="s">
        <v>4369</v>
      </c>
      <c r="B1032" t="s">
        <v>3498</v>
      </c>
      <c r="C1032">
        <v>2020</v>
      </c>
      <c r="D1032" t="s">
        <v>3502</v>
      </c>
      <c r="E1032" t="s">
        <v>3566</v>
      </c>
      <c r="F1032">
        <v>90</v>
      </c>
      <c r="G1032" t="s">
        <v>3566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2689</v>
      </c>
      <c r="B1033" t="s">
        <v>3498</v>
      </c>
      <c r="C1033">
        <v>2020</v>
      </c>
      <c r="D1033" t="s">
        <v>3502</v>
      </c>
      <c r="E1033" t="s">
        <v>888</v>
      </c>
      <c r="F1033">
        <v>727</v>
      </c>
      <c r="G1033" t="s">
        <v>888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>
      <c r="A1034" t="s">
        <v>539</v>
      </c>
      <c r="B1034" t="s">
        <v>3498</v>
      </c>
      <c r="C1034">
        <v>2020</v>
      </c>
      <c r="D1034" t="s">
        <v>3499</v>
      </c>
      <c r="E1034" t="s">
        <v>888</v>
      </c>
      <c r="F1034">
        <v>700</v>
      </c>
      <c r="G1034" t="s">
        <v>888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>
      <c r="A1035" t="s">
        <v>4370</v>
      </c>
      <c r="B1035" t="s">
        <v>3498</v>
      </c>
      <c r="C1035">
        <v>2020</v>
      </c>
      <c r="D1035" t="s">
        <v>3504</v>
      </c>
      <c r="E1035" t="s">
        <v>888</v>
      </c>
      <c r="F1035">
        <v>4</v>
      </c>
      <c r="G1035" t="s">
        <v>888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4371</v>
      </c>
      <c r="B1036" t="s">
        <v>3498</v>
      </c>
      <c r="C1036">
        <v>2020</v>
      </c>
      <c r="D1036" t="s">
        <v>3504</v>
      </c>
      <c r="E1036" t="s">
        <v>3571</v>
      </c>
      <c r="F1036">
        <v>713</v>
      </c>
      <c r="G1036" t="s">
        <v>3571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>
      <c r="A1037" t="s">
        <v>4372</v>
      </c>
      <c r="B1037" t="s">
        <v>3498</v>
      </c>
      <c r="C1037">
        <v>2020</v>
      </c>
      <c r="D1037" t="s">
        <v>3504</v>
      </c>
      <c r="E1037" t="s">
        <v>3549</v>
      </c>
      <c r="F1037">
        <v>896</v>
      </c>
      <c r="G1037" t="s">
        <v>3549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>
      <c r="A1038" t="s">
        <v>2919</v>
      </c>
      <c r="B1038" t="s">
        <v>3498</v>
      </c>
      <c r="C1038">
        <v>2020</v>
      </c>
      <c r="D1038" t="s">
        <v>3504</v>
      </c>
      <c r="E1038" t="s">
        <v>878</v>
      </c>
      <c r="F1038">
        <v>86</v>
      </c>
      <c r="G1038" t="s">
        <v>878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>
      <c r="A1039" t="s">
        <v>4373</v>
      </c>
      <c r="B1039" t="s">
        <v>3498</v>
      </c>
      <c r="C1039">
        <v>2020</v>
      </c>
      <c r="D1039" t="s">
        <v>3502</v>
      </c>
      <c r="E1039" t="s">
        <v>3615</v>
      </c>
      <c r="F1039">
        <v>62</v>
      </c>
      <c r="G1039" t="s">
        <v>3615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3143</v>
      </c>
      <c r="B1040" t="s">
        <v>3498</v>
      </c>
      <c r="C1040">
        <v>2020</v>
      </c>
      <c r="D1040" t="s">
        <v>3485</v>
      </c>
      <c r="E1040" t="s">
        <v>886</v>
      </c>
      <c r="F1040">
        <v>0</v>
      </c>
      <c r="G1040" t="s">
        <v>886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4374</v>
      </c>
      <c r="B1041" t="s">
        <v>3498</v>
      </c>
      <c r="C1041">
        <v>2020</v>
      </c>
      <c r="D1041" t="s">
        <v>3504</v>
      </c>
      <c r="E1041" t="s">
        <v>3571</v>
      </c>
      <c r="F1041">
        <v>386</v>
      </c>
      <c r="G1041" t="s">
        <v>3571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>
      <c r="A1042" t="s">
        <v>4375</v>
      </c>
      <c r="B1042" t="s">
        <v>3498</v>
      </c>
      <c r="C1042">
        <v>2020</v>
      </c>
      <c r="D1042" t="s">
        <v>3502</v>
      </c>
      <c r="E1042" t="s">
        <v>880</v>
      </c>
      <c r="F1042">
        <v>166</v>
      </c>
      <c r="G1042" t="s">
        <v>880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2722</v>
      </c>
      <c r="B1043" t="s">
        <v>3498</v>
      </c>
      <c r="C1043">
        <v>2020</v>
      </c>
      <c r="D1043" t="s">
        <v>3504</v>
      </c>
      <c r="E1043" t="s">
        <v>888</v>
      </c>
      <c r="F1043">
        <v>0</v>
      </c>
      <c r="G1043" t="s">
        <v>888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4376</v>
      </c>
      <c r="B1044" t="s">
        <v>3498</v>
      </c>
      <c r="C1044">
        <v>2020</v>
      </c>
      <c r="D1044" t="s">
        <v>3502</v>
      </c>
      <c r="E1044" t="s">
        <v>3730</v>
      </c>
      <c r="F1044">
        <v>720</v>
      </c>
      <c r="G1044" t="s">
        <v>3730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>
      <c r="A1045" t="s">
        <v>4377</v>
      </c>
      <c r="B1045" t="s">
        <v>3498</v>
      </c>
      <c r="C1045">
        <v>2020</v>
      </c>
      <c r="D1045" t="s">
        <v>3504</v>
      </c>
      <c r="E1045" t="s">
        <v>3618</v>
      </c>
      <c r="F1045">
        <v>44</v>
      </c>
      <c r="G1045" t="s">
        <v>3618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>
      <c r="A1046" t="s">
        <v>4378</v>
      </c>
      <c r="B1046" t="s">
        <v>3498</v>
      </c>
      <c r="C1046">
        <v>2020</v>
      </c>
      <c r="D1046" t="s">
        <v>3499</v>
      </c>
      <c r="E1046" t="s">
        <v>3618</v>
      </c>
      <c r="F1046">
        <v>303</v>
      </c>
      <c r="G1046" t="s">
        <v>3618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>
      <c r="A1047" t="s">
        <v>4379</v>
      </c>
      <c r="B1047" t="s">
        <v>3498</v>
      </c>
      <c r="C1047">
        <v>2020</v>
      </c>
      <c r="D1047" t="s">
        <v>3485</v>
      </c>
      <c r="E1047" t="s">
        <v>3535</v>
      </c>
      <c r="F1047">
        <v>0</v>
      </c>
      <c r="G1047" t="s">
        <v>3535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4380</v>
      </c>
      <c r="B1048" t="s">
        <v>3498</v>
      </c>
      <c r="C1048">
        <v>2020</v>
      </c>
      <c r="D1048" t="s">
        <v>3502</v>
      </c>
      <c r="E1048" t="s">
        <v>3577</v>
      </c>
      <c r="F1048">
        <v>720</v>
      </c>
      <c r="G1048" t="s">
        <v>3577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>
      <c r="A1049" t="s">
        <v>4381</v>
      </c>
      <c r="B1049" t="s">
        <v>3498</v>
      </c>
      <c r="C1049">
        <v>2020</v>
      </c>
      <c r="D1049" t="s">
        <v>3485</v>
      </c>
      <c r="E1049" t="s">
        <v>3577</v>
      </c>
      <c r="F1049">
        <v>0</v>
      </c>
      <c r="G1049" t="s">
        <v>3577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1756</v>
      </c>
      <c r="B1050" t="s">
        <v>3498</v>
      </c>
      <c r="C1050">
        <v>2020</v>
      </c>
      <c r="D1050" t="s">
        <v>3499</v>
      </c>
      <c r="E1050" t="s">
        <v>869</v>
      </c>
      <c r="F1050">
        <v>274</v>
      </c>
      <c r="G1050" t="s">
        <v>869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>
      <c r="A1051" t="s">
        <v>4382</v>
      </c>
      <c r="B1051" t="s">
        <v>3498</v>
      </c>
      <c r="C1051">
        <v>2020</v>
      </c>
      <c r="D1051" t="s">
        <v>3504</v>
      </c>
      <c r="E1051" t="s">
        <v>870</v>
      </c>
      <c r="F1051">
        <v>127</v>
      </c>
      <c r="G1051" t="s">
        <v>870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231</v>
      </c>
      <c r="B1052" t="s">
        <v>3498</v>
      </c>
      <c r="C1052">
        <v>2020</v>
      </c>
      <c r="D1052" t="s">
        <v>3485</v>
      </c>
      <c r="E1052" t="s">
        <v>869</v>
      </c>
      <c r="F1052">
        <v>720</v>
      </c>
      <c r="G1052" t="s">
        <v>869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>
      <c r="A1053" t="s">
        <v>4383</v>
      </c>
      <c r="B1053" t="s">
        <v>3498</v>
      </c>
      <c r="C1053">
        <v>2020</v>
      </c>
      <c r="D1053" t="s">
        <v>3502</v>
      </c>
      <c r="E1053" t="s">
        <v>3546</v>
      </c>
      <c r="F1053">
        <v>450</v>
      </c>
      <c r="G1053" t="s">
        <v>3546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>
      <c r="A1054" t="s">
        <v>4384</v>
      </c>
      <c r="B1054" t="s">
        <v>3498</v>
      </c>
      <c r="C1054">
        <v>2020</v>
      </c>
      <c r="D1054" t="s">
        <v>3504</v>
      </c>
      <c r="E1054" t="s">
        <v>3546</v>
      </c>
      <c r="F1054">
        <v>479</v>
      </c>
      <c r="G1054" t="s">
        <v>3546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>
      <c r="A1055" t="s">
        <v>4385</v>
      </c>
      <c r="B1055" t="s">
        <v>3498</v>
      </c>
      <c r="C1055">
        <v>2020</v>
      </c>
      <c r="D1055" t="s">
        <v>3485</v>
      </c>
      <c r="E1055" t="s">
        <v>3500</v>
      </c>
      <c r="F1055">
        <v>0</v>
      </c>
      <c r="G1055" t="s">
        <v>3500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4386</v>
      </c>
      <c r="B1056" t="s">
        <v>3498</v>
      </c>
      <c r="C1056">
        <v>2020</v>
      </c>
      <c r="D1056" t="s">
        <v>3502</v>
      </c>
      <c r="E1056" t="s">
        <v>3730</v>
      </c>
      <c r="F1056">
        <v>270</v>
      </c>
      <c r="G1056" t="s">
        <v>3730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2649</v>
      </c>
      <c r="B1057" t="s">
        <v>3498</v>
      </c>
      <c r="C1057">
        <v>2020</v>
      </c>
      <c r="D1057" t="s">
        <v>3504</v>
      </c>
      <c r="E1057" t="s">
        <v>886</v>
      </c>
      <c r="F1057">
        <v>65</v>
      </c>
      <c r="G1057" t="s">
        <v>886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2489</v>
      </c>
      <c r="B1058" t="s">
        <v>3498</v>
      </c>
      <c r="C1058">
        <v>2020</v>
      </c>
      <c r="D1058" t="s">
        <v>3499</v>
      </c>
      <c r="E1058" t="s">
        <v>862</v>
      </c>
      <c r="F1058">
        <v>340</v>
      </c>
      <c r="G1058" t="s">
        <v>862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>
      <c r="A1059" t="s">
        <v>4387</v>
      </c>
      <c r="B1059" t="s">
        <v>3498</v>
      </c>
      <c r="C1059">
        <v>2020</v>
      </c>
      <c r="D1059" t="s">
        <v>3499</v>
      </c>
      <c r="E1059" t="s">
        <v>3529</v>
      </c>
      <c r="F1059">
        <v>0</v>
      </c>
      <c r="G1059" t="s">
        <v>3530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4388</v>
      </c>
      <c r="B1060" t="s">
        <v>3498</v>
      </c>
      <c r="C1060">
        <v>2020</v>
      </c>
      <c r="D1060" t="s">
        <v>3485</v>
      </c>
      <c r="E1060" t="s">
        <v>3529</v>
      </c>
      <c r="F1060">
        <v>90</v>
      </c>
      <c r="G1060" t="s">
        <v>3530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4389</v>
      </c>
      <c r="B1061" t="s">
        <v>3498</v>
      </c>
      <c r="C1061">
        <v>2020</v>
      </c>
      <c r="D1061" t="s">
        <v>3485</v>
      </c>
      <c r="E1061" t="s">
        <v>876</v>
      </c>
      <c r="F1061">
        <v>0</v>
      </c>
      <c r="G1061" t="s">
        <v>876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4390</v>
      </c>
      <c r="B1062" t="s">
        <v>3498</v>
      </c>
      <c r="C1062">
        <v>2020</v>
      </c>
      <c r="D1062" t="s">
        <v>3504</v>
      </c>
      <c r="E1062" t="s">
        <v>895</v>
      </c>
      <c r="F1062">
        <v>372</v>
      </c>
      <c r="G1062" t="s">
        <v>895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>
      <c r="A1063" t="s">
        <v>645</v>
      </c>
      <c r="B1063" t="s">
        <v>3498</v>
      </c>
      <c r="C1063">
        <v>2020</v>
      </c>
      <c r="D1063" t="s">
        <v>3502</v>
      </c>
      <c r="E1063" t="s">
        <v>876</v>
      </c>
      <c r="F1063">
        <v>22</v>
      </c>
      <c r="G1063" t="s">
        <v>876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207</v>
      </c>
      <c r="B1064" t="s">
        <v>3498</v>
      </c>
      <c r="C1064">
        <v>2020</v>
      </c>
      <c r="D1064" t="s">
        <v>3485</v>
      </c>
      <c r="E1064" t="s">
        <v>885</v>
      </c>
      <c r="F1064">
        <v>570</v>
      </c>
      <c r="G1064" t="s">
        <v>885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>
      <c r="A1065" t="s">
        <v>378</v>
      </c>
      <c r="B1065" t="s">
        <v>3498</v>
      </c>
      <c r="C1065">
        <v>2020</v>
      </c>
      <c r="D1065" t="s">
        <v>3504</v>
      </c>
      <c r="E1065" t="s">
        <v>871</v>
      </c>
      <c r="F1065">
        <v>482</v>
      </c>
      <c r="G1065" t="s">
        <v>871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>
      <c r="A1066" t="s">
        <v>4391</v>
      </c>
      <c r="B1066" t="s">
        <v>3498</v>
      </c>
      <c r="C1066">
        <v>2020</v>
      </c>
      <c r="D1066" t="s">
        <v>3504</v>
      </c>
      <c r="E1066" t="s">
        <v>3555</v>
      </c>
      <c r="F1066">
        <v>0</v>
      </c>
      <c r="G1066" t="s">
        <v>3555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4392</v>
      </c>
      <c r="B1067" t="s">
        <v>3498</v>
      </c>
      <c r="C1067">
        <v>2020</v>
      </c>
      <c r="D1067" t="s">
        <v>3499</v>
      </c>
      <c r="E1067" t="s">
        <v>863</v>
      </c>
      <c r="F1067">
        <v>7</v>
      </c>
      <c r="G1067" t="s">
        <v>863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284</v>
      </c>
      <c r="B1068" t="s">
        <v>3498</v>
      </c>
      <c r="C1068">
        <v>2020</v>
      </c>
      <c r="D1068" t="s">
        <v>3502</v>
      </c>
      <c r="E1068" t="s">
        <v>3500</v>
      </c>
      <c r="F1068">
        <v>0</v>
      </c>
      <c r="G1068" t="s">
        <v>3500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4393</v>
      </c>
      <c r="B1069" t="s">
        <v>3498</v>
      </c>
      <c r="C1069">
        <v>2020</v>
      </c>
      <c r="D1069" t="s">
        <v>3502</v>
      </c>
      <c r="E1069" t="s">
        <v>3555</v>
      </c>
      <c r="F1069">
        <v>119</v>
      </c>
      <c r="G1069" t="s">
        <v>3555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>
      <c r="A1070" t="s">
        <v>2776</v>
      </c>
      <c r="B1070" t="s">
        <v>3498</v>
      </c>
      <c r="C1070">
        <v>2020</v>
      </c>
      <c r="D1070" t="s">
        <v>3502</v>
      </c>
      <c r="E1070" t="s">
        <v>866</v>
      </c>
      <c r="F1070">
        <v>202</v>
      </c>
      <c r="G1070" t="s">
        <v>866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>
      <c r="A1071" t="s">
        <v>4394</v>
      </c>
      <c r="B1071" t="s">
        <v>3498</v>
      </c>
      <c r="C1071">
        <v>2020</v>
      </c>
      <c r="D1071" t="s">
        <v>3499</v>
      </c>
      <c r="E1071" t="s">
        <v>878</v>
      </c>
      <c r="F1071">
        <v>0</v>
      </c>
      <c r="G1071" t="s">
        <v>878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4395</v>
      </c>
      <c r="B1072" t="s">
        <v>3498</v>
      </c>
      <c r="C1072">
        <v>2020</v>
      </c>
      <c r="D1072" t="s">
        <v>3504</v>
      </c>
      <c r="E1072" t="s">
        <v>876</v>
      </c>
      <c r="F1072">
        <v>21</v>
      </c>
      <c r="G1072" t="s">
        <v>876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>
      <c r="A1073" t="s">
        <v>2025</v>
      </c>
      <c r="B1073" t="s">
        <v>3498</v>
      </c>
      <c r="C1073">
        <v>2020</v>
      </c>
      <c r="D1073" t="s">
        <v>3485</v>
      </c>
      <c r="E1073" t="s">
        <v>892</v>
      </c>
      <c r="F1073">
        <v>0</v>
      </c>
      <c r="G1073" t="s">
        <v>892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2820</v>
      </c>
      <c r="B1074" t="s">
        <v>3498</v>
      </c>
      <c r="C1074">
        <v>2020</v>
      </c>
      <c r="D1074" t="s">
        <v>3504</v>
      </c>
      <c r="E1074" t="s">
        <v>897</v>
      </c>
      <c r="F1074">
        <v>0</v>
      </c>
      <c r="G1074" t="s">
        <v>897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4396</v>
      </c>
      <c r="B1075" t="s">
        <v>3498</v>
      </c>
      <c r="C1075">
        <v>2020</v>
      </c>
      <c r="D1075" t="s">
        <v>3504</v>
      </c>
      <c r="E1075" t="s">
        <v>3532</v>
      </c>
      <c r="F1075">
        <v>0</v>
      </c>
      <c r="G1075" t="s">
        <v>3532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4397</v>
      </c>
      <c r="B1076" t="s">
        <v>3498</v>
      </c>
      <c r="C1076">
        <v>2020</v>
      </c>
      <c r="D1076" t="s">
        <v>3504</v>
      </c>
      <c r="E1076" t="s">
        <v>3754</v>
      </c>
      <c r="F1076">
        <v>136</v>
      </c>
      <c r="G1076" t="s">
        <v>3754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2593</v>
      </c>
      <c r="B1077" t="s">
        <v>3498</v>
      </c>
      <c r="C1077">
        <v>2020</v>
      </c>
      <c r="D1077" t="s">
        <v>3504</v>
      </c>
      <c r="E1077" t="s">
        <v>865</v>
      </c>
      <c r="F1077">
        <v>356</v>
      </c>
      <c r="G1077" t="s">
        <v>879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>
      <c r="A1078" t="s">
        <v>4398</v>
      </c>
      <c r="B1078" t="s">
        <v>3498</v>
      </c>
      <c r="C1078">
        <v>2020</v>
      </c>
      <c r="D1078" t="s">
        <v>3485</v>
      </c>
      <c r="E1078" t="s">
        <v>3500</v>
      </c>
      <c r="F1078">
        <v>0</v>
      </c>
      <c r="G1078" t="s">
        <v>3500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292</v>
      </c>
      <c r="B1079" t="s">
        <v>3498</v>
      </c>
      <c r="C1079">
        <v>2020</v>
      </c>
      <c r="D1079" t="s">
        <v>3502</v>
      </c>
      <c r="E1079" t="s">
        <v>895</v>
      </c>
      <c r="F1079">
        <v>90</v>
      </c>
      <c r="G1079" t="s">
        <v>895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1429</v>
      </c>
      <c r="B1080" t="s">
        <v>3498</v>
      </c>
      <c r="C1080">
        <v>2020</v>
      </c>
      <c r="D1080" t="s">
        <v>3502</v>
      </c>
      <c r="E1080" t="s">
        <v>879</v>
      </c>
      <c r="F1080">
        <v>270</v>
      </c>
      <c r="G1080" t="s">
        <v>879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1078</v>
      </c>
      <c r="B1081" t="s">
        <v>3498</v>
      </c>
      <c r="C1081">
        <v>2020</v>
      </c>
      <c r="D1081" t="s">
        <v>3499</v>
      </c>
      <c r="E1081" t="s">
        <v>891</v>
      </c>
      <c r="F1081">
        <v>469</v>
      </c>
      <c r="G1081" t="s">
        <v>891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>
      <c r="A1082" t="s">
        <v>4399</v>
      </c>
      <c r="B1082" t="s">
        <v>3498</v>
      </c>
      <c r="C1082">
        <v>2020</v>
      </c>
      <c r="D1082" t="s">
        <v>3499</v>
      </c>
      <c r="E1082" t="s">
        <v>3564</v>
      </c>
      <c r="F1082">
        <v>8</v>
      </c>
      <c r="G1082" t="s">
        <v>3564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3177</v>
      </c>
      <c r="B1083" t="s">
        <v>3498</v>
      </c>
      <c r="C1083">
        <v>2020</v>
      </c>
      <c r="D1083" t="s">
        <v>3502</v>
      </c>
      <c r="E1083" t="s">
        <v>3564</v>
      </c>
      <c r="F1083">
        <v>542</v>
      </c>
      <c r="G1083" t="s">
        <v>3564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4400</v>
      </c>
      <c r="B1084" t="s">
        <v>3498</v>
      </c>
      <c r="C1084">
        <v>2020</v>
      </c>
      <c r="D1084" t="s">
        <v>3499</v>
      </c>
      <c r="E1084" t="s">
        <v>3566</v>
      </c>
      <c r="F1084">
        <v>348</v>
      </c>
      <c r="G1084" t="s">
        <v>3566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>
      <c r="A1085" t="s">
        <v>4401</v>
      </c>
      <c r="B1085" t="s">
        <v>3498</v>
      </c>
      <c r="C1085">
        <v>2020</v>
      </c>
      <c r="D1085" t="s">
        <v>3502</v>
      </c>
      <c r="E1085" t="s">
        <v>872</v>
      </c>
      <c r="F1085">
        <v>90</v>
      </c>
      <c r="G1085" t="s">
        <v>872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4402</v>
      </c>
      <c r="B1086" t="s">
        <v>3498</v>
      </c>
      <c r="C1086">
        <v>2020</v>
      </c>
      <c r="D1086" t="s">
        <v>3499</v>
      </c>
      <c r="E1086" t="s">
        <v>3569</v>
      </c>
      <c r="F1086">
        <v>16</v>
      </c>
      <c r="G1086" t="s">
        <v>3569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4403</v>
      </c>
      <c r="B1087" t="s">
        <v>3498</v>
      </c>
      <c r="C1087">
        <v>2020</v>
      </c>
      <c r="D1087" t="s">
        <v>3504</v>
      </c>
      <c r="E1087" t="s">
        <v>3546</v>
      </c>
      <c r="F1087">
        <v>397</v>
      </c>
      <c r="G1087" t="s">
        <v>892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>
      <c r="A1088" t="s">
        <v>4404</v>
      </c>
      <c r="B1088" t="s">
        <v>3498</v>
      </c>
      <c r="C1088">
        <v>2020</v>
      </c>
      <c r="D1088" t="s">
        <v>3502</v>
      </c>
      <c r="E1088" t="s">
        <v>893</v>
      </c>
      <c r="F1088">
        <v>360</v>
      </c>
      <c r="G1088" t="s">
        <v>893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>
      <c r="A1089" t="s">
        <v>4405</v>
      </c>
      <c r="B1089" t="s">
        <v>3498</v>
      </c>
      <c r="C1089">
        <v>2020</v>
      </c>
      <c r="D1089" t="s">
        <v>3499</v>
      </c>
      <c r="E1089" t="s">
        <v>3535</v>
      </c>
      <c r="F1089">
        <v>545</v>
      </c>
      <c r="G1089" t="s">
        <v>3535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>
      <c r="A1090" t="s">
        <v>4406</v>
      </c>
      <c r="B1090" t="s">
        <v>3498</v>
      </c>
      <c r="C1090">
        <v>2020</v>
      </c>
      <c r="D1090" t="s">
        <v>3485</v>
      </c>
      <c r="E1090" t="s">
        <v>871</v>
      </c>
      <c r="F1090">
        <v>0</v>
      </c>
      <c r="G1090" t="s">
        <v>871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4407</v>
      </c>
      <c r="B1091" t="s">
        <v>3498</v>
      </c>
      <c r="C1091">
        <v>2020</v>
      </c>
      <c r="D1091" t="s">
        <v>3499</v>
      </c>
      <c r="E1091" t="s">
        <v>3549</v>
      </c>
      <c r="F1091">
        <v>464</v>
      </c>
      <c r="G1091" t="s">
        <v>3549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>
      <c r="A1092" t="s">
        <v>2900</v>
      </c>
      <c r="B1092" t="s">
        <v>3498</v>
      </c>
      <c r="C1092">
        <v>2020</v>
      </c>
      <c r="D1092" t="s">
        <v>3504</v>
      </c>
      <c r="E1092" t="s">
        <v>878</v>
      </c>
      <c r="F1092">
        <v>590</v>
      </c>
      <c r="G1092" t="s">
        <v>878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>
      <c r="A1093" t="s">
        <v>4408</v>
      </c>
      <c r="B1093" t="s">
        <v>3498</v>
      </c>
      <c r="C1093">
        <v>2020</v>
      </c>
      <c r="D1093" t="s">
        <v>3504</v>
      </c>
      <c r="E1093" t="s">
        <v>3730</v>
      </c>
      <c r="F1093">
        <v>512</v>
      </c>
      <c r="G1093" t="s">
        <v>3730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>
      <c r="A1094" t="s">
        <v>4409</v>
      </c>
      <c r="B1094" t="s">
        <v>3498</v>
      </c>
      <c r="C1094">
        <v>2020</v>
      </c>
      <c r="D1094" t="s">
        <v>3504</v>
      </c>
      <c r="E1094" t="s">
        <v>3602</v>
      </c>
      <c r="F1094">
        <v>353</v>
      </c>
      <c r="G1094" t="s">
        <v>3602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>
      <c r="A1095" t="s">
        <v>4410</v>
      </c>
      <c r="B1095" t="s">
        <v>3498</v>
      </c>
      <c r="C1095">
        <v>2020</v>
      </c>
      <c r="D1095" t="s">
        <v>3504</v>
      </c>
      <c r="E1095" t="s">
        <v>3602</v>
      </c>
      <c r="F1095">
        <v>253</v>
      </c>
      <c r="G1095" t="s">
        <v>3602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>
      <c r="A1096" t="s">
        <v>4411</v>
      </c>
      <c r="B1096" t="s">
        <v>3498</v>
      </c>
      <c r="C1096">
        <v>2020</v>
      </c>
      <c r="D1096" t="s">
        <v>3502</v>
      </c>
      <c r="E1096" t="s">
        <v>3648</v>
      </c>
      <c r="F1096">
        <v>657</v>
      </c>
      <c r="G1096" t="s">
        <v>3648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>
      <c r="A1097" t="s">
        <v>4412</v>
      </c>
      <c r="B1097" t="s">
        <v>3498</v>
      </c>
      <c r="C1097">
        <v>2020</v>
      </c>
      <c r="D1097" t="s">
        <v>3502</v>
      </c>
      <c r="E1097" t="s">
        <v>3602</v>
      </c>
      <c r="F1097">
        <v>270</v>
      </c>
      <c r="G1097" t="s">
        <v>3602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4413</v>
      </c>
      <c r="B1098" t="s">
        <v>3498</v>
      </c>
      <c r="C1098">
        <v>2020</v>
      </c>
      <c r="D1098" t="s">
        <v>3499</v>
      </c>
      <c r="E1098" t="s">
        <v>3602</v>
      </c>
      <c r="F1098">
        <v>23</v>
      </c>
      <c r="G1098" t="s">
        <v>3602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4414</v>
      </c>
      <c r="B1099" t="s">
        <v>3498</v>
      </c>
      <c r="C1099">
        <v>2020</v>
      </c>
      <c r="D1099" t="s">
        <v>3485</v>
      </c>
      <c r="E1099" t="s">
        <v>3648</v>
      </c>
      <c r="F1099">
        <v>0</v>
      </c>
      <c r="G1099" t="s">
        <v>3648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4415</v>
      </c>
      <c r="B1100" t="s">
        <v>3498</v>
      </c>
      <c r="C1100">
        <v>2020</v>
      </c>
      <c r="D1100" t="s">
        <v>3502</v>
      </c>
      <c r="E1100" t="s">
        <v>3602</v>
      </c>
      <c r="F1100">
        <v>540</v>
      </c>
      <c r="G1100" t="s">
        <v>3602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>
      <c r="A1101" t="s">
        <v>520</v>
      </c>
      <c r="B1101" t="s">
        <v>3498</v>
      </c>
      <c r="C1101">
        <v>2020</v>
      </c>
      <c r="D1101" t="s">
        <v>3502</v>
      </c>
      <c r="E1101" t="s">
        <v>3602</v>
      </c>
      <c r="F1101">
        <v>90</v>
      </c>
      <c r="G1101" t="s">
        <v>3602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4416</v>
      </c>
      <c r="B1102" t="s">
        <v>3498</v>
      </c>
      <c r="C1102">
        <v>2020</v>
      </c>
      <c r="D1102" t="s">
        <v>3502</v>
      </c>
      <c r="E1102" t="s">
        <v>3602</v>
      </c>
      <c r="F1102">
        <v>0</v>
      </c>
      <c r="G1102" t="s">
        <v>3602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4417</v>
      </c>
      <c r="B1103" t="s">
        <v>3498</v>
      </c>
      <c r="C1103">
        <v>2020</v>
      </c>
      <c r="D1103" t="s">
        <v>3504</v>
      </c>
      <c r="E1103" t="s">
        <v>3648</v>
      </c>
      <c r="F1103">
        <v>720</v>
      </c>
      <c r="G1103" t="s">
        <v>3648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>
      <c r="A1104" t="s">
        <v>4418</v>
      </c>
      <c r="B1104" t="s">
        <v>3498</v>
      </c>
      <c r="C1104">
        <v>2020</v>
      </c>
      <c r="D1104" t="s">
        <v>3499</v>
      </c>
      <c r="E1104" t="s">
        <v>3546</v>
      </c>
      <c r="F1104">
        <v>0</v>
      </c>
      <c r="G1104" t="s">
        <v>3546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4419</v>
      </c>
      <c r="B1105" t="s">
        <v>3498</v>
      </c>
      <c r="C1105">
        <v>2020</v>
      </c>
      <c r="D1105" t="s">
        <v>3504</v>
      </c>
      <c r="E1105" t="s">
        <v>3577</v>
      </c>
      <c r="F1105">
        <v>280</v>
      </c>
      <c r="G1105" t="s">
        <v>3577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>
      <c r="A1106" t="s">
        <v>4420</v>
      </c>
      <c r="B1106" t="s">
        <v>3498</v>
      </c>
      <c r="C1106">
        <v>2020</v>
      </c>
      <c r="D1106" t="s">
        <v>3504</v>
      </c>
      <c r="E1106" t="s">
        <v>3546</v>
      </c>
      <c r="F1106">
        <v>52</v>
      </c>
      <c r="G1106" t="s">
        <v>3546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4421</v>
      </c>
      <c r="B1107" t="s">
        <v>3498</v>
      </c>
      <c r="C1107">
        <v>2020</v>
      </c>
      <c r="D1107" t="s">
        <v>3485</v>
      </c>
      <c r="E1107" t="s">
        <v>3535</v>
      </c>
      <c r="F1107">
        <v>0</v>
      </c>
      <c r="G1107" t="s">
        <v>3535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4422</v>
      </c>
      <c r="B1108" t="s">
        <v>3498</v>
      </c>
      <c r="C1108">
        <v>2020</v>
      </c>
      <c r="D1108" t="s">
        <v>3502</v>
      </c>
      <c r="E1108" t="s">
        <v>3566</v>
      </c>
      <c r="F1108">
        <v>249</v>
      </c>
      <c r="G1108" t="s">
        <v>3566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>
      <c r="A1109" t="s">
        <v>4423</v>
      </c>
      <c r="B1109" t="s">
        <v>3498</v>
      </c>
      <c r="C1109">
        <v>2020</v>
      </c>
      <c r="D1109" t="s">
        <v>3502</v>
      </c>
      <c r="E1109" t="s">
        <v>3564</v>
      </c>
      <c r="F1109">
        <v>74</v>
      </c>
      <c r="G1109" t="s">
        <v>3564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4424</v>
      </c>
      <c r="B1110" t="s">
        <v>3498</v>
      </c>
      <c r="C1110">
        <v>2020</v>
      </c>
      <c r="D1110" t="s">
        <v>3502</v>
      </c>
      <c r="E1110" t="s">
        <v>3566</v>
      </c>
      <c r="F1110">
        <v>513</v>
      </c>
      <c r="G1110" t="s">
        <v>3566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>
      <c r="A1111" t="s">
        <v>4425</v>
      </c>
      <c r="B1111" t="s">
        <v>3498</v>
      </c>
      <c r="C1111">
        <v>2020</v>
      </c>
      <c r="D1111" t="s">
        <v>3502</v>
      </c>
      <c r="E1111" t="s">
        <v>3597</v>
      </c>
      <c r="F1111">
        <v>810</v>
      </c>
      <c r="G1111" t="s">
        <v>3597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>
      <c r="A1112" t="s">
        <v>3147</v>
      </c>
      <c r="B1112" t="s">
        <v>3498</v>
      </c>
      <c r="C1112">
        <v>2020</v>
      </c>
      <c r="D1112" t="s">
        <v>3485</v>
      </c>
      <c r="E1112" t="s">
        <v>886</v>
      </c>
      <c r="F1112">
        <v>90</v>
      </c>
      <c r="G1112" t="s">
        <v>886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2645</v>
      </c>
      <c r="B1113" t="s">
        <v>3498</v>
      </c>
      <c r="C1113">
        <v>2020</v>
      </c>
      <c r="D1113" t="s">
        <v>3504</v>
      </c>
      <c r="E1113" t="s">
        <v>886</v>
      </c>
      <c r="F1113">
        <v>814</v>
      </c>
      <c r="G1113" t="s">
        <v>886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>
      <c r="A1114" t="s">
        <v>4426</v>
      </c>
      <c r="B1114" t="s">
        <v>3498</v>
      </c>
      <c r="C1114">
        <v>2020</v>
      </c>
      <c r="D1114" t="s">
        <v>3499</v>
      </c>
      <c r="E1114" t="s">
        <v>897</v>
      </c>
      <c r="F1114">
        <v>4</v>
      </c>
      <c r="G1114" t="s">
        <v>897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>
      <c r="A1115" t="s">
        <v>3231</v>
      </c>
      <c r="B1115" t="s">
        <v>3498</v>
      </c>
      <c r="C1115">
        <v>2020</v>
      </c>
      <c r="D1115" t="s">
        <v>3499</v>
      </c>
      <c r="E1115" t="s">
        <v>3564</v>
      </c>
      <c r="F1115">
        <v>0</v>
      </c>
      <c r="G1115" t="s">
        <v>3564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4427</v>
      </c>
      <c r="B1116" t="s">
        <v>3498</v>
      </c>
      <c r="C1116">
        <v>2020</v>
      </c>
      <c r="D1116" t="s">
        <v>3504</v>
      </c>
      <c r="E1116" t="s">
        <v>3566</v>
      </c>
      <c r="F1116">
        <v>0</v>
      </c>
      <c r="G1116" t="s">
        <v>3566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4428</v>
      </c>
      <c r="B1117" t="s">
        <v>3498</v>
      </c>
      <c r="C1117">
        <v>2020</v>
      </c>
      <c r="D1117" t="s">
        <v>3504</v>
      </c>
      <c r="E1117" t="s">
        <v>888</v>
      </c>
      <c r="F1117">
        <v>200</v>
      </c>
      <c r="G1117" t="s">
        <v>888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>
      <c r="A1118" t="s">
        <v>4429</v>
      </c>
      <c r="B1118" t="s">
        <v>3498</v>
      </c>
      <c r="C1118">
        <v>2020</v>
      </c>
      <c r="D1118" t="s">
        <v>3499</v>
      </c>
      <c r="E1118" t="s">
        <v>888</v>
      </c>
      <c r="F1118">
        <v>411</v>
      </c>
      <c r="G1118" t="s">
        <v>888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>
      <c r="A1119" t="s">
        <v>4430</v>
      </c>
      <c r="B1119" t="s">
        <v>3498</v>
      </c>
      <c r="C1119">
        <v>2020</v>
      </c>
      <c r="D1119" t="s">
        <v>3504</v>
      </c>
      <c r="E1119" t="s">
        <v>3615</v>
      </c>
      <c r="F1119">
        <v>90</v>
      </c>
      <c r="G1119" t="s">
        <v>3615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>
      <c r="A1120" t="s">
        <v>340</v>
      </c>
      <c r="B1120" t="s">
        <v>3498</v>
      </c>
      <c r="C1120">
        <v>2020</v>
      </c>
      <c r="D1120" t="s">
        <v>3502</v>
      </c>
      <c r="E1120" t="s">
        <v>891</v>
      </c>
      <c r="F1120">
        <v>90</v>
      </c>
      <c r="G1120" t="s">
        <v>891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>
      <c r="A1121" t="s">
        <v>4431</v>
      </c>
      <c r="B1121" t="s">
        <v>3498</v>
      </c>
      <c r="C1121">
        <v>2020</v>
      </c>
      <c r="D1121" t="s">
        <v>3485</v>
      </c>
      <c r="E1121" t="s">
        <v>3523</v>
      </c>
      <c r="F1121">
        <v>515</v>
      </c>
      <c r="G1121" t="s">
        <v>3523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4432</v>
      </c>
      <c r="B1122" t="s">
        <v>3498</v>
      </c>
      <c r="C1122">
        <v>2020</v>
      </c>
      <c r="D1122" t="s">
        <v>3499</v>
      </c>
      <c r="E1122" t="s">
        <v>3503</v>
      </c>
      <c r="F1122">
        <v>253</v>
      </c>
      <c r="G1122" t="s">
        <v>3503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>
      <c r="A1123" t="s">
        <v>155</v>
      </c>
      <c r="B1123" t="s">
        <v>3498</v>
      </c>
      <c r="C1123">
        <v>2020</v>
      </c>
      <c r="D1123" t="s">
        <v>3502</v>
      </c>
      <c r="E1123" t="s">
        <v>879</v>
      </c>
      <c r="F1123">
        <v>180</v>
      </c>
      <c r="G1123" t="s">
        <v>879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4433</v>
      </c>
      <c r="B1124" t="s">
        <v>3498</v>
      </c>
      <c r="C1124">
        <v>2020</v>
      </c>
      <c r="D1124" t="s">
        <v>3499</v>
      </c>
      <c r="E1124" t="s">
        <v>891</v>
      </c>
      <c r="F1124">
        <v>450</v>
      </c>
      <c r="G1124" t="s">
        <v>891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>
      <c r="A1125" t="s">
        <v>4434</v>
      </c>
      <c r="B1125" t="s">
        <v>3498</v>
      </c>
      <c r="C1125">
        <v>2020</v>
      </c>
      <c r="D1125" t="s">
        <v>3502</v>
      </c>
      <c r="E1125" t="s">
        <v>3648</v>
      </c>
      <c r="F1125">
        <v>90</v>
      </c>
      <c r="G1125" t="s">
        <v>3648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4435</v>
      </c>
      <c r="B1126" t="s">
        <v>3498</v>
      </c>
      <c r="C1126">
        <v>2020</v>
      </c>
      <c r="D1126" t="s">
        <v>3504</v>
      </c>
      <c r="E1126" t="s">
        <v>3615</v>
      </c>
      <c r="F1126">
        <v>721</v>
      </c>
      <c r="G1126" t="s">
        <v>3615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>
      <c r="A1127" t="s">
        <v>4436</v>
      </c>
      <c r="B1127" t="s">
        <v>3498</v>
      </c>
      <c r="C1127">
        <v>2020</v>
      </c>
      <c r="D1127" t="s">
        <v>3504</v>
      </c>
      <c r="E1127" t="s">
        <v>882</v>
      </c>
      <c r="F1127">
        <v>23</v>
      </c>
      <c r="G1127" t="s">
        <v>882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4437</v>
      </c>
      <c r="B1128" t="s">
        <v>3498</v>
      </c>
      <c r="C1128">
        <v>2020</v>
      </c>
      <c r="D1128" t="s">
        <v>3485</v>
      </c>
      <c r="E1128" t="s">
        <v>897</v>
      </c>
      <c r="F1128">
        <v>0</v>
      </c>
      <c r="G1128" t="s">
        <v>897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4438</v>
      </c>
      <c r="B1129" t="s">
        <v>3498</v>
      </c>
      <c r="C1129">
        <v>2020</v>
      </c>
      <c r="D1129" t="s">
        <v>3504</v>
      </c>
      <c r="E1129" t="s">
        <v>3555</v>
      </c>
      <c r="F1129">
        <v>630</v>
      </c>
      <c r="G1129" t="s">
        <v>3555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4439</v>
      </c>
      <c r="B1130" t="s">
        <v>3498</v>
      </c>
      <c r="C1130">
        <v>2020</v>
      </c>
      <c r="D1130" t="s">
        <v>3502</v>
      </c>
      <c r="E1130" t="s">
        <v>3754</v>
      </c>
      <c r="F1130">
        <v>191</v>
      </c>
      <c r="G1130" t="s">
        <v>3754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4440</v>
      </c>
      <c r="B1131" t="s">
        <v>3498</v>
      </c>
      <c r="C1131">
        <v>2020</v>
      </c>
      <c r="D1131" t="s">
        <v>3504</v>
      </c>
      <c r="E1131" t="s">
        <v>3754</v>
      </c>
      <c r="F1131">
        <v>58</v>
      </c>
      <c r="G1131" t="s">
        <v>3754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4441</v>
      </c>
      <c r="B1132" t="s">
        <v>3498</v>
      </c>
      <c r="C1132">
        <v>2020</v>
      </c>
      <c r="D1132" t="s">
        <v>3499</v>
      </c>
      <c r="E1132" t="s">
        <v>869</v>
      </c>
      <c r="F1132">
        <v>375</v>
      </c>
      <c r="G1132" t="s">
        <v>869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>
      <c r="A1133" t="s">
        <v>2983</v>
      </c>
      <c r="B1133" t="s">
        <v>3498</v>
      </c>
      <c r="C1133">
        <v>2020</v>
      </c>
      <c r="D1133" t="s">
        <v>3499</v>
      </c>
      <c r="E1133" t="s">
        <v>870</v>
      </c>
      <c r="F1133">
        <v>257</v>
      </c>
      <c r="G1133" t="s">
        <v>870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>
      <c r="A1134" t="s">
        <v>4442</v>
      </c>
      <c r="B1134" t="s">
        <v>3498</v>
      </c>
      <c r="C1134">
        <v>2020</v>
      </c>
      <c r="D1134" t="s">
        <v>3504</v>
      </c>
      <c r="E1134" t="s">
        <v>896</v>
      </c>
      <c r="F1134">
        <v>0</v>
      </c>
      <c r="G1134" t="s">
        <v>896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4443</v>
      </c>
      <c r="B1135" t="s">
        <v>3498</v>
      </c>
      <c r="C1135">
        <v>2020</v>
      </c>
      <c r="D1135" t="s">
        <v>3504</v>
      </c>
      <c r="E1135" t="s">
        <v>897</v>
      </c>
      <c r="F1135">
        <v>288</v>
      </c>
      <c r="G1135" t="s">
        <v>897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>
      <c r="A1136" t="s">
        <v>4444</v>
      </c>
      <c r="B1136" t="s">
        <v>3498</v>
      </c>
      <c r="C1136">
        <v>2020</v>
      </c>
      <c r="D1136" t="s">
        <v>3502</v>
      </c>
      <c r="E1136" t="s">
        <v>3555</v>
      </c>
      <c r="F1136">
        <v>720</v>
      </c>
      <c r="G1136" t="s">
        <v>3555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4445</v>
      </c>
      <c r="B1137" t="s">
        <v>3498</v>
      </c>
      <c r="C1137">
        <v>2020</v>
      </c>
      <c r="D1137" t="s">
        <v>3499</v>
      </c>
      <c r="E1137" t="s">
        <v>895</v>
      </c>
      <c r="F1137">
        <v>151</v>
      </c>
      <c r="G1137" t="s">
        <v>895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>
      <c r="A1138" t="s">
        <v>4446</v>
      </c>
      <c r="B1138" t="s">
        <v>3498</v>
      </c>
      <c r="C1138">
        <v>2020</v>
      </c>
      <c r="D1138" t="s">
        <v>3502</v>
      </c>
      <c r="E1138" t="s">
        <v>891</v>
      </c>
      <c r="F1138">
        <v>175</v>
      </c>
      <c r="G1138" t="s">
        <v>891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4447</v>
      </c>
      <c r="B1139" t="s">
        <v>3498</v>
      </c>
      <c r="C1139">
        <v>2020</v>
      </c>
      <c r="D1139" t="s">
        <v>3485</v>
      </c>
      <c r="E1139" t="s">
        <v>3754</v>
      </c>
      <c r="F1139">
        <v>0</v>
      </c>
      <c r="G1139" t="s">
        <v>3754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45</v>
      </c>
      <c r="B1140" t="s">
        <v>3498</v>
      </c>
      <c r="C1140">
        <v>2020</v>
      </c>
      <c r="D1140" t="s">
        <v>3504</v>
      </c>
      <c r="E1140" t="s">
        <v>871</v>
      </c>
      <c r="F1140">
        <v>270</v>
      </c>
      <c r="G1140" t="s">
        <v>871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4448</v>
      </c>
      <c r="B1141" t="s">
        <v>3498</v>
      </c>
      <c r="C1141">
        <v>2020</v>
      </c>
      <c r="D1141" t="s">
        <v>3504</v>
      </c>
      <c r="E1141" t="s">
        <v>3555</v>
      </c>
      <c r="F1141">
        <v>591</v>
      </c>
      <c r="G1141" t="s">
        <v>3555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>
      <c r="A1142" t="s">
        <v>150</v>
      </c>
      <c r="B1142" t="s">
        <v>3498</v>
      </c>
      <c r="C1142">
        <v>2020</v>
      </c>
      <c r="D1142" t="s">
        <v>3499</v>
      </c>
      <c r="E1142" t="s">
        <v>871</v>
      </c>
      <c r="F1142">
        <v>0</v>
      </c>
      <c r="G1142" t="s">
        <v>871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4449</v>
      </c>
      <c r="B1143" t="s">
        <v>3498</v>
      </c>
      <c r="C1143">
        <v>2020</v>
      </c>
      <c r="D1143" t="s">
        <v>3502</v>
      </c>
      <c r="E1143" t="s">
        <v>3632</v>
      </c>
      <c r="F1143">
        <v>129</v>
      </c>
      <c r="G1143" t="s">
        <v>3632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>
      <c r="A1144" t="s">
        <v>4450</v>
      </c>
      <c r="B1144" t="s">
        <v>3498</v>
      </c>
      <c r="C1144">
        <v>2020</v>
      </c>
      <c r="D1144" t="s">
        <v>3504</v>
      </c>
      <c r="E1144" t="s">
        <v>3546</v>
      </c>
      <c r="F1144">
        <v>389</v>
      </c>
      <c r="G1144" t="s">
        <v>3546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>
      <c r="A1145" t="s">
        <v>4451</v>
      </c>
      <c r="B1145" t="s">
        <v>3498</v>
      </c>
      <c r="C1145">
        <v>2020</v>
      </c>
      <c r="D1145" t="s">
        <v>3499</v>
      </c>
      <c r="E1145" t="s">
        <v>3523</v>
      </c>
      <c r="F1145">
        <v>407</v>
      </c>
      <c r="G1145" t="s">
        <v>3523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>
      <c r="A1146" t="s">
        <v>4452</v>
      </c>
      <c r="B1146" t="s">
        <v>3498</v>
      </c>
      <c r="C1146">
        <v>2020</v>
      </c>
      <c r="D1146" t="s">
        <v>3499</v>
      </c>
      <c r="E1146" t="s">
        <v>895</v>
      </c>
      <c r="F1146">
        <v>-27</v>
      </c>
      <c r="G1146" t="s">
        <v>895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4453</v>
      </c>
      <c r="B1147" t="s">
        <v>3498</v>
      </c>
      <c r="C1147">
        <v>2020</v>
      </c>
      <c r="D1147" t="s">
        <v>3499</v>
      </c>
      <c r="E1147" t="s">
        <v>3615</v>
      </c>
      <c r="F1147">
        <v>0</v>
      </c>
      <c r="G1147" t="s">
        <v>3615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4454</v>
      </c>
      <c r="B1148" t="s">
        <v>3498</v>
      </c>
      <c r="C1148">
        <v>2020</v>
      </c>
      <c r="D1148" t="s">
        <v>3502</v>
      </c>
      <c r="E1148" t="s">
        <v>891</v>
      </c>
      <c r="F1148">
        <v>268</v>
      </c>
      <c r="G1148" t="s">
        <v>891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>
      <c r="A1149" t="s">
        <v>4455</v>
      </c>
      <c r="B1149" t="s">
        <v>3498</v>
      </c>
      <c r="C1149">
        <v>2020</v>
      </c>
      <c r="D1149" t="s">
        <v>3502</v>
      </c>
      <c r="E1149" t="s">
        <v>870</v>
      </c>
      <c r="F1149">
        <v>93</v>
      </c>
      <c r="G1149" t="s">
        <v>870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1237</v>
      </c>
      <c r="B1150" t="s">
        <v>3498</v>
      </c>
      <c r="C1150">
        <v>2020</v>
      </c>
      <c r="D1150" t="s">
        <v>3504</v>
      </c>
      <c r="E1150" t="s">
        <v>892</v>
      </c>
      <c r="F1150">
        <v>332</v>
      </c>
      <c r="G1150" t="s">
        <v>892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>
      <c r="A1151" t="s">
        <v>1786</v>
      </c>
      <c r="B1151" t="s">
        <v>3498</v>
      </c>
      <c r="C1151">
        <v>2020</v>
      </c>
      <c r="D1151" t="s">
        <v>3502</v>
      </c>
      <c r="E1151" t="s">
        <v>863</v>
      </c>
      <c r="F1151">
        <v>780</v>
      </c>
      <c r="G1151" t="s">
        <v>863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>
      <c r="A1152" t="s">
        <v>4456</v>
      </c>
      <c r="B1152" t="s">
        <v>3498</v>
      </c>
      <c r="C1152">
        <v>2020</v>
      </c>
      <c r="D1152" t="s">
        <v>3504</v>
      </c>
      <c r="E1152" t="s">
        <v>3602</v>
      </c>
      <c r="F1152">
        <v>270</v>
      </c>
      <c r="G1152" t="s">
        <v>3602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4457</v>
      </c>
      <c r="B1153" t="s">
        <v>3498</v>
      </c>
      <c r="C1153">
        <v>2020</v>
      </c>
      <c r="D1153" t="s">
        <v>3499</v>
      </c>
      <c r="E1153" t="s">
        <v>863</v>
      </c>
      <c r="F1153">
        <v>18</v>
      </c>
      <c r="G1153" t="s">
        <v>863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>
      <c r="A1154" t="s">
        <v>1793</v>
      </c>
      <c r="B1154" t="s">
        <v>3498</v>
      </c>
      <c r="C1154">
        <v>2020</v>
      </c>
      <c r="D1154" t="s">
        <v>3502</v>
      </c>
      <c r="E1154" t="s">
        <v>863</v>
      </c>
      <c r="F1154">
        <v>180</v>
      </c>
      <c r="G1154" t="s">
        <v>863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>
      <c r="A1155" t="s">
        <v>4458</v>
      </c>
      <c r="B1155" t="s">
        <v>3498</v>
      </c>
      <c r="C1155">
        <v>2020</v>
      </c>
      <c r="D1155" t="s">
        <v>3504</v>
      </c>
      <c r="E1155" t="s">
        <v>892</v>
      </c>
      <c r="F1155">
        <v>270</v>
      </c>
      <c r="G1155" t="s">
        <v>892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>
      <c r="A1156" t="s">
        <v>4459</v>
      </c>
      <c r="B1156" t="s">
        <v>3498</v>
      </c>
      <c r="C1156">
        <v>2020</v>
      </c>
      <c r="D1156" t="s">
        <v>3502</v>
      </c>
      <c r="E1156" t="s">
        <v>3754</v>
      </c>
      <c r="F1156">
        <v>115</v>
      </c>
      <c r="G1156" t="s">
        <v>3754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4460</v>
      </c>
      <c r="B1157" t="s">
        <v>3498</v>
      </c>
      <c r="C1157">
        <v>2020</v>
      </c>
      <c r="D1157" t="s">
        <v>3499</v>
      </c>
      <c r="E1157" t="s">
        <v>3754</v>
      </c>
      <c r="F1157">
        <v>13</v>
      </c>
      <c r="G1157" t="s">
        <v>3754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4461</v>
      </c>
      <c r="B1158" t="s">
        <v>3498</v>
      </c>
      <c r="C1158">
        <v>2020</v>
      </c>
      <c r="D1158" t="s">
        <v>3499</v>
      </c>
      <c r="E1158" t="s">
        <v>3754</v>
      </c>
      <c r="F1158">
        <v>206</v>
      </c>
      <c r="G1158" t="s">
        <v>3754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>
      <c r="A1159" t="s">
        <v>4462</v>
      </c>
      <c r="B1159" t="s">
        <v>3498</v>
      </c>
      <c r="C1159">
        <v>2020</v>
      </c>
      <c r="D1159" t="s">
        <v>3504</v>
      </c>
      <c r="E1159" t="s">
        <v>895</v>
      </c>
      <c r="F1159">
        <v>0</v>
      </c>
      <c r="G1159" t="s">
        <v>895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4463</v>
      </c>
      <c r="B1160" t="s">
        <v>3498</v>
      </c>
      <c r="C1160">
        <v>2020</v>
      </c>
      <c r="D1160" t="s">
        <v>3499</v>
      </c>
      <c r="E1160" t="s">
        <v>3503</v>
      </c>
      <c r="F1160">
        <v>53</v>
      </c>
      <c r="G1160" t="s">
        <v>3503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>
      <c r="A1161" t="s">
        <v>571</v>
      </c>
      <c r="B1161" t="s">
        <v>3498</v>
      </c>
      <c r="C1161">
        <v>2020</v>
      </c>
      <c r="D1161" t="s">
        <v>3502</v>
      </c>
      <c r="E1161" t="s">
        <v>895</v>
      </c>
      <c r="F1161">
        <v>270</v>
      </c>
      <c r="G1161" t="s">
        <v>895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>
      <c r="A1162" t="s">
        <v>4464</v>
      </c>
      <c r="B1162" t="s">
        <v>3498</v>
      </c>
      <c r="C1162">
        <v>2020</v>
      </c>
      <c r="D1162" t="s">
        <v>3502</v>
      </c>
      <c r="E1162" t="s">
        <v>3503</v>
      </c>
      <c r="F1162">
        <v>0</v>
      </c>
      <c r="G1162" t="s">
        <v>3503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4465</v>
      </c>
      <c r="B1163" t="s">
        <v>3498</v>
      </c>
      <c r="C1163">
        <v>2020</v>
      </c>
      <c r="D1163" t="s">
        <v>3485</v>
      </c>
      <c r="E1163" t="s">
        <v>895</v>
      </c>
      <c r="F1163">
        <v>0</v>
      </c>
      <c r="G1163" t="s">
        <v>895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4466</v>
      </c>
      <c r="B1164" t="s">
        <v>3498</v>
      </c>
      <c r="C1164">
        <v>2020</v>
      </c>
      <c r="D1164" t="s">
        <v>3504</v>
      </c>
      <c r="E1164" t="s">
        <v>895</v>
      </c>
      <c r="F1164">
        <v>450</v>
      </c>
      <c r="G1164" t="s">
        <v>895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>
      <c r="A1165" t="s">
        <v>4467</v>
      </c>
      <c r="B1165" t="s">
        <v>3498</v>
      </c>
      <c r="C1165">
        <v>2020</v>
      </c>
      <c r="D1165" t="s">
        <v>3504</v>
      </c>
      <c r="E1165" t="s">
        <v>3523</v>
      </c>
      <c r="F1165">
        <v>720</v>
      </c>
      <c r="G1165" t="s">
        <v>3523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>
      <c r="A1166" t="s">
        <v>4468</v>
      </c>
      <c r="B1166" t="s">
        <v>3498</v>
      </c>
      <c r="C1166">
        <v>2020</v>
      </c>
      <c r="D1166" t="s">
        <v>3499</v>
      </c>
      <c r="E1166" t="s">
        <v>882</v>
      </c>
      <c r="F1166">
        <v>2</v>
      </c>
      <c r="G1166" t="s">
        <v>882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4469</v>
      </c>
      <c r="B1167" t="s">
        <v>3498</v>
      </c>
      <c r="C1167">
        <v>2020</v>
      </c>
      <c r="D1167" t="s">
        <v>3502</v>
      </c>
      <c r="E1167" t="s">
        <v>3618</v>
      </c>
      <c r="F1167">
        <v>450</v>
      </c>
      <c r="G1167" t="s">
        <v>3618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>
      <c r="A1168" t="s">
        <v>4470</v>
      </c>
      <c r="B1168" t="s">
        <v>3498</v>
      </c>
      <c r="C1168">
        <v>2020</v>
      </c>
      <c r="D1168" t="s">
        <v>3504</v>
      </c>
      <c r="E1168" t="s">
        <v>3546</v>
      </c>
      <c r="F1168">
        <v>1</v>
      </c>
      <c r="G1168" t="s">
        <v>3546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4471</v>
      </c>
      <c r="B1169" t="s">
        <v>3498</v>
      </c>
      <c r="C1169">
        <v>2020</v>
      </c>
      <c r="D1169" t="s">
        <v>3499</v>
      </c>
      <c r="E1169" t="s">
        <v>3632</v>
      </c>
      <c r="F1169">
        <v>15</v>
      </c>
      <c r="G1169" t="s">
        <v>3632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4472</v>
      </c>
      <c r="B1170" t="s">
        <v>3498</v>
      </c>
      <c r="C1170">
        <v>2020</v>
      </c>
      <c r="D1170" t="s">
        <v>3504</v>
      </c>
      <c r="E1170" t="s">
        <v>3592</v>
      </c>
      <c r="F1170">
        <v>319</v>
      </c>
      <c r="G1170" t="s">
        <v>3592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>
      <c r="A1171" t="s">
        <v>4473</v>
      </c>
      <c r="B1171" t="s">
        <v>3498</v>
      </c>
      <c r="C1171">
        <v>2020</v>
      </c>
      <c r="D1171" t="s">
        <v>3504</v>
      </c>
      <c r="E1171" t="s">
        <v>3526</v>
      </c>
      <c r="F1171">
        <v>31</v>
      </c>
      <c r="G1171" t="s">
        <v>3526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4474</v>
      </c>
      <c r="B1172" t="s">
        <v>3498</v>
      </c>
      <c r="C1172">
        <v>2020</v>
      </c>
      <c r="D1172" t="s">
        <v>3502</v>
      </c>
      <c r="E1172" t="s">
        <v>3564</v>
      </c>
      <c r="F1172">
        <v>0</v>
      </c>
      <c r="G1172" t="s">
        <v>3564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4475</v>
      </c>
      <c r="B1173" t="s">
        <v>3498</v>
      </c>
      <c r="C1173">
        <v>2020</v>
      </c>
      <c r="D1173" t="s">
        <v>3502</v>
      </c>
      <c r="E1173" t="s">
        <v>3624</v>
      </c>
      <c r="F1173">
        <v>736</v>
      </c>
      <c r="G1173" t="s">
        <v>3624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>
      <c r="A1174" t="s">
        <v>4476</v>
      </c>
      <c r="B1174" t="s">
        <v>3498</v>
      </c>
      <c r="C1174">
        <v>2020</v>
      </c>
      <c r="D1174" t="s">
        <v>3502</v>
      </c>
      <c r="E1174" t="s">
        <v>897</v>
      </c>
      <c r="F1174">
        <v>26</v>
      </c>
      <c r="G1174" t="s">
        <v>891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>
      <c r="A1175" t="s">
        <v>4477</v>
      </c>
      <c r="B1175" t="s">
        <v>3498</v>
      </c>
      <c r="C1175">
        <v>2020</v>
      </c>
      <c r="D1175" t="s">
        <v>3504</v>
      </c>
      <c r="E1175" t="s">
        <v>3546</v>
      </c>
      <c r="F1175">
        <v>144</v>
      </c>
      <c r="G1175" t="s">
        <v>3546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>
      <c r="A1176" t="s">
        <v>1143</v>
      </c>
      <c r="B1176" t="s">
        <v>3498</v>
      </c>
      <c r="C1176">
        <v>2020</v>
      </c>
      <c r="D1176" t="s">
        <v>3499</v>
      </c>
      <c r="E1176" t="s">
        <v>863</v>
      </c>
      <c r="F1176">
        <v>356</v>
      </c>
      <c r="G1176" t="s">
        <v>863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>
      <c r="A1177" t="s">
        <v>4478</v>
      </c>
      <c r="B1177" t="s">
        <v>3498</v>
      </c>
      <c r="C1177">
        <v>2020</v>
      </c>
      <c r="D1177" t="s">
        <v>3485</v>
      </c>
      <c r="E1177" t="s">
        <v>3592</v>
      </c>
      <c r="F1177">
        <v>0</v>
      </c>
      <c r="G1177" t="s">
        <v>3592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4479</v>
      </c>
      <c r="B1178" t="s">
        <v>3498</v>
      </c>
      <c r="C1178">
        <v>2020</v>
      </c>
      <c r="D1178" t="s">
        <v>3504</v>
      </c>
      <c r="E1178" t="s">
        <v>3532</v>
      </c>
      <c r="F1178">
        <v>358</v>
      </c>
      <c r="G1178" t="s">
        <v>3532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>
      <c r="A1179" t="s">
        <v>1361</v>
      </c>
      <c r="B1179" t="s">
        <v>3498</v>
      </c>
      <c r="C1179">
        <v>2020</v>
      </c>
      <c r="D1179" t="s">
        <v>3504</v>
      </c>
      <c r="E1179" t="s">
        <v>863</v>
      </c>
      <c r="F1179">
        <v>128</v>
      </c>
      <c r="G1179" t="s">
        <v>863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>
      <c r="A1180" t="s">
        <v>2795</v>
      </c>
      <c r="B1180" t="s">
        <v>3498</v>
      </c>
      <c r="C1180">
        <v>2020</v>
      </c>
      <c r="D1180" t="s">
        <v>3502</v>
      </c>
      <c r="E1180" t="s">
        <v>866</v>
      </c>
      <c r="F1180">
        <v>199</v>
      </c>
      <c r="G1180" t="s">
        <v>866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>
      <c r="A1181" t="s">
        <v>4480</v>
      </c>
      <c r="B1181" t="s">
        <v>3498</v>
      </c>
      <c r="C1181">
        <v>2020</v>
      </c>
      <c r="D1181" t="s">
        <v>3502</v>
      </c>
      <c r="E1181" t="s">
        <v>3523</v>
      </c>
      <c r="F1181">
        <v>376</v>
      </c>
      <c r="G1181" t="s">
        <v>3523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2890</v>
      </c>
      <c r="B1182" t="s">
        <v>3498</v>
      </c>
      <c r="C1182">
        <v>2020</v>
      </c>
      <c r="D1182" t="s">
        <v>3504</v>
      </c>
      <c r="E1182" t="s">
        <v>878</v>
      </c>
      <c r="F1182">
        <v>121</v>
      </c>
      <c r="G1182" t="s">
        <v>878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4481</v>
      </c>
      <c r="B1183" t="s">
        <v>3498</v>
      </c>
      <c r="C1183">
        <v>2020</v>
      </c>
      <c r="D1183" t="s">
        <v>3485</v>
      </c>
      <c r="E1183" t="s">
        <v>880</v>
      </c>
      <c r="F1183">
        <v>180</v>
      </c>
      <c r="G1183" t="s">
        <v>880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4482</v>
      </c>
      <c r="B1184" t="s">
        <v>3498</v>
      </c>
      <c r="C1184">
        <v>2020</v>
      </c>
      <c r="D1184" t="s">
        <v>3502</v>
      </c>
      <c r="E1184" t="s">
        <v>896</v>
      </c>
      <c r="F1184">
        <v>180</v>
      </c>
      <c r="G1184" t="s">
        <v>896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>
      <c r="A1185" t="s">
        <v>4483</v>
      </c>
      <c r="B1185" t="s">
        <v>3498</v>
      </c>
      <c r="C1185">
        <v>2020</v>
      </c>
      <c r="D1185" t="s">
        <v>3499</v>
      </c>
      <c r="E1185" t="s">
        <v>3532</v>
      </c>
      <c r="F1185">
        <v>20</v>
      </c>
      <c r="G1185" t="s">
        <v>3532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>
      <c r="A1186" t="s">
        <v>4484</v>
      </c>
      <c r="B1186" t="s">
        <v>3498</v>
      </c>
      <c r="C1186">
        <v>2020</v>
      </c>
      <c r="D1186" t="s">
        <v>3504</v>
      </c>
      <c r="E1186" t="s">
        <v>3532</v>
      </c>
      <c r="F1186">
        <v>309</v>
      </c>
      <c r="G1186" t="s">
        <v>3532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>
      <c r="A1187" t="s">
        <v>4485</v>
      </c>
      <c r="B1187" t="s">
        <v>3498</v>
      </c>
      <c r="C1187">
        <v>2020</v>
      </c>
      <c r="D1187" t="s">
        <v>3502</v>
      </c>
      <c r="E1187" t="s">
        <v>863</v>
      </c>
      <c r="F1187">
        <v>0</v>
      </c>
      <c r="G1187" t="s">
        <v>863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4486</v>
      </c>
      <c r="B1188" t="s">
        <v>3498</v>
      </c>
      <c r="C1188">
        <v>2020</v>
      </c>
      <c r="D1188" t="s">
        <v>3499</v>
      </c>
      <c r="E1188" t="s">
        <v>3532</v>
      </c>
      <c r="F1188">
        <v>0</v>
      </c>
      <c r="G1188" t="s">
        <v>3532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239</v>
      </c>
      <c r="B1189" t="s">
        <v>3498</v>
      </c>
      <c r="C1189">
        <v>2020</v>
      </c>
      <c r="D1189" t="s">
        <v>3502</v>
      </c>
      <c r="E1189" t="s">
        <v>891</v>
      </c>
      <c r="F1189">
        <v>341</v>
      </c>
      <c r="G1189" t="s">
        <v>891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>
      <c r="A1190" t="s">
        <v>4487</v>
      </c>
      <c r="B1190" t="s">
        <v>3498</v>
      </c>
      <c r="C1190">
        <v>2020</v>
      </c>
      <c r="D1190" t="s">
        <v>3502</v>
      </c>
      <c r="E1190" t="s">
        <v>891</v>
      </c>
      <c r="F1190">
        <v>170</v>
      </c>
      <c r="G1190" t="s">
        <v>891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>
      <c r="A1191" t="s">
        <v>4488</v>
      </c>
      <c r="B1191" t="s">
        <v>3498</v>
      </c>
      <c r="C1191">
        <v>2020</v>
      </c>
      <c r="D1191" t="s">
        <v>3499</v>
      </c>
      <c r="E1191" t="s">
        <v>3506</v>
      </c>
      <c r="F1191">
        <v>573</v>
      </c>
      <c r="G1191" t="s">
        <v>3506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>
      <c r="A1192" t="s">
        <v>2608</v>
      </c>
      <c r="B1192" t="s">
        <v>3498</v>
      </c>
      <c r="C1192">
        <v>2020</v>
      </c>
      <c r="D1192" t="s">
        <v>3502</v>
      </c>
      <c r="E1192" t="s">
        <v>886</v>
      </c>
      <c r="F1192">
        <v>360</v>
      </c>
      <c r="G1192" t="s">
        <v>886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4489</v>
      </c>
      <c r="B1193" t="s">
        <v>3498</v>
      </c>
      <c r="C1193">
        <v>2020</v>
      </c>
      <c r="D1193" t="s">
        <v>3504</v>
      </c>
      <c r="E1193" t="s">
        <v>885</v>
      </c>
      <c r="F1193">
        <v>0</v>
      </c>
      <c r="G1193" t="s">
        <v>885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4490</v>
      </c>
      <c r="B1194" t="s">
        <v>3498</v>
      </c>
      <c r="C1194">
        <v>2020</v>
      </c>
      <c r="D1194" t="s">
        <v>3504</v>
      </c>
      <c r="E1194" t="s">
        <v>893</v>
      </c>
      <c r="F1194">
        <v>213</v>
      </c>
      <c r="G1194" t="s">
        <v>893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>
      <c r="A1195" t="s">
        <v>4491</v>
      </c>
      <c r="B1195" t="s">
        <v>3498</v>
      </c>
      <c r="C1195">
        <v>2020</v>
      </c>
      <c r="D1195" t="s">
        <v>3499</v>
      </c>
      <c r="E1195" t="s">
        <v>3526</v>
      </c>
      <c r="F1195">
        <v>183</v>
      </c>
      <c r="G1195" t="s">
        <v>3526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>
      <c r="A1196" t="s">
        <v>4492</v>
      </c>
      <c r="B1196" t="s">
        <v>3498</v>
      </c>
      <c r="C1196">
        <v>2020</v>
      </c>
      <c r="D1196" t="s">
        <v>3504</v>
      </c>
      <c r="E1196" t="s">
        <v>3526</v>
      </c>
      <c r="F1196">
        <v>363</v>
      </c>
      <c r="G1196" t="s">
        <v>3526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>
      <c r="A1197" t="s">
        <v>4493</v>
      </c>
      <c r="B1197" t="s">
        <v>3498</v>
      </c>
      <c r="C1197">
        <v>2020</v>
      </c>
      <c r="D1197" t="s">
        <v>3502</v>
      </c>
      <c r="E1197" t="s">
        <v>3520</v>
      </c>
      <c r="F1197">
        <v>8</v>
      </c>
      <c r="G1197" t="s">
        <v>3520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4494</v>
      </c>
      <c r="B1198" t="s">
        <v>3498</v>
      </c>
      <c r="C1198">
        <v>2020</v>
      </c>
      <c r="D1198" t="s">
        <v>3504</v>
      </c>
      <c r="E1198" t="s">
        <v>880</v>
      </c>
      <c r="F1198">
        <v>697</v>
      </c>
      <c r="G1198" t="s">
        <v>880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>
      <c r="A1199" t="s">
        <v>4495</v>
      </c>
      <c r="B1199" t="s">
        <v>3498</v>
      </c>
      <c r="C1199">
        <v>2020</v>
      </c>
      <c r="D1199" t="s">
        <v>3499</v>
      </c>
      <c r="E1199" t="s">
        <v>3515</v>
      </c>
      <c r="F1199">
        <v>13</v>
      </c>
      <c r="G1199" t="s">
        <v>3515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4496</v>
      </c>
      <c r="B1200" t="s">
        <v>3498</v>
      </c>
      <c r="C1200">
        <v>2020</v>
      </c>
      <c r="D1200" t="s">
        <v>3499</v>
      </c>
      <c r="E1200" t="s">
        <v>3520</v>
      </c>
      <c r="F1200">
        <v>0</v>
      </c>
      <c r="G1200" t="s">
        <v>3520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4497</v>
      </c>
      <c r="B1201" t="s">
        <v>3498</v>
      </c>
      <c r="C1201">
        <v>2020</v>
      </c>
      <c r="D1201" t="s">
        <v>3504</v>
      </c>
      <c r="E1201" t="s">
        <v>896</v>
      </c>
      <c r="F1201">
        <v>160</v>
      </c>
      <c r="G1201" t="s">
        <v>896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>
      <c r="A1202" t="s">
        <v>4498</v>
      </c>
      <c r="B1202" t="s">
        <v>3498</v>
      </c>
      <c r="C1202">
        <v>2020</v>
      </c>
      <c r="D1202" t="s">
        <v>3499</v>
      </c>
      <c r="E1202" t="s">
        <v>878</v>
      </c>
      <c r="F1202">
        <v>21</v>
      </c>
      <c r="G1202" t="s">
        <v>878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4499</v>
      </c>
      <c r="B1203" t="s">
        <v>3498</v>
      </c>
      <c r="C1203">
        <v>2020</v>
      </c>
      <c r="D1203" t="s">
        <v>3485</v>
      </c>
      <c r="E1203" t="s">
        <v>870</v>
      </c>
      <c r="F1203">
        <v>810</v>
      </c>
      <c r="G1203" t="s">
        <v>870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>
      <c r="A1204" t="s">
        <v>4500</v>
      </c>
      <c r="B1204" t="s">
        <v>3498</v>
      </c>
      <c r="C1204">
        <v>2020</v>
      </c>
      <c r="D1204" t="s">
        <v>3504</v>
      </c>
      <c r="E1204" t="s">
        <v>882</v>
      </c>
      <c r="F1204">
        <v>0</v>
      </c>
      <c r="G1204" t="s">
        <v>882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1869</v>
      </c>
      <c r="B1205" t="s">
        <v>3498</v>
      </c>
      <c r="C1205">
        <v>2020</v>
      </c>
      <c r="D1205" t="s">
        <v>3502</v>
      </c>
      <c r="E1205" t="s">
        <v>892</v>
      </c>
      <c r="F1205">
        <v>515</v>
      </c>
      <c r="G1205" t="s">
        <v>892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>
      <c r="A1206" t="s">
        <v>4501</v>
      </c>
      <c r="B1206" t="s">
        <v>3498</v>
      </c>
      <c r="C1206">
        <v>2020</v>
      </c>
      <c r="D1206" t="s">
        <v>3504</v>
      </c>
      <c r="E1206" t="s">
        <v>869</v>
      </c>
      <c r="F1206">
        <v>0</v>
      </c>
      <c r="G1206" t="s">
        <v>869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4502</v>
      </c>
      <c r="B1207" t="s">
        <v>3498</v>
      </c>
      <c r="C1207">
        <v>2020</v>
      </c>
      <c r="D1207" t="s">
        <v>3504</v>
      </c>
      <c r="E1207" t="s">
        <v>882</v>
      </c>
      <c r="F1207">
        <v>476</v>
      </c>
      <c r="G1207" t="s">
        <v>882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>
      <c r="A1208" t="s">
        <v>4503</v>
      </c>
      <c r="B1208" t="s">
        <v>3498</v>
      </c>
      <c r="C1208">
        <v>2020</v>
      </c>
      <c r="D1208" t="s">
        <v>3502</v>
      </c>
      <c r="E1208" t="s">
        <v>896</v>
      </c>
      <c r="F1208">
        <v>0</v>
      </c>
      <c r="G1208" t="s">
        <v>896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4504</v>
      </c>
      <c r="B1209" t="s">
        <v>3498</v>
      </c>
      <c r="C1209">
        <v>2020</v>
      </c>
      <c r="D1209" t="s">
        <v>3502</v>
      </c>
      <c r="E1209" t="s">
        <v>896</v>
      </c>
      <c r="F1209">
        <v>0</v>
      </c>
      <c r="G1209" t="s">
        <v>896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4505</v>
      </c>
      <c r="B1210" t="s">
        <v>3498</v>
      </c>
      <c r="C1210">
        <v>2020</v>
      </c>
      <c r="D1210" t="s">
        <v>3504</v>
      </c>
      <c r="E1210" t="s">
        <v>3615</v>
      </c>
      <c r="F1210">
        <v>348</v>
      </c>
      <c r="G1210" t="s">
        <v>879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4506</v>
      </c>
      <c r="B1211" t="s">
        <v>3498</v>
      </c>
      <c r="C1211">
        <v>2020</v>
      </c>
      <c r="D1211" t="s">
        <v>3499</v>
      </c>
      <c r="E1211" t="s">
        <v>3615</v>
      </c>
      <c r="F1211">
        <v>77</v>
      </c>
      <c r="G1211" t="s">
        <v>3615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>
      <c r="A1212" t="s">
        <v>1159</v>
      </c>
      <c r="B1212" t="s">
        <v>3498</v>
      </c>
      <c r="C1212">
        <v>2020</v>
      </c>
      <c r="D1212" t="s">
        <v>3499</v>
      </c>
      <c r="E1212" t="s">
        <v>876</v>
      </c>
      <c r="F1212">
        <v>142</v>
      </c>
      <c r="G1212" t="s">
        <v>876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>
      <c r="A1213" t="s">
        <v>2077</v>
      </c>
      <c r="B1213" t="s">
        <v>3498</v>
      </c>
      <c r="C1213">
        <v>2020</v>
      </c>
      <c r="D1213" t="s">
        <v>3499</v>
      </c>
      <c r="E1213" t="s">
        <v>895</v>
      </c>
      <c r="F1213">
        <v>173</v>
      </c>
      <c r="G1213" t="s">
        <v>4507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2693</v>
      </c>
      <c r="B1214" t="s">
        <v>3498</v>
      </c>
      <c r="C1214">
        <v>2020</v>
      </c>
      <c r="D1214" t="s">
        <v>3502</v>
      </c>
      <c r="E1214" t="s">
        <v>888</v>
      </c>
      <c r="F1214">
        <v>100</v>
      </c>
      <c r="G1214" t="s">
        <v>888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4508</v>
      </c>
      <c r="B1215" t="s">
        <v>3498</v>
      </c>
      <c r="C1215">
        <v>2020</v>
      </c>
      <c r="D1215" t="s">
        <v>3502</v>
      </c>
      <c r="E1215" t="s">
        <v>3730</v>
      </c>
      <c r="F1215">
        <v>270</v>
      </c>
      <c r="G1215" t="s">
        <v>3730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4509</v>
      </c>
      <c r="B1216" t="s">
        <v>3498</v>
      </c>
      <c r="C1216">
        <v>2020</v>
      </c>
      <c r="D1216" t="s">
        <v>3504</v>
      </c>
      <c r="E1216" t="s">
        <v>3535</v>
      </c>
      <c r="F1216">
        <v>3</v>
      </c>
      <c r="G1216" t="s">
        <v>3535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2143</v>
      </c>
      <c r="B1217" t="s">
        <v>3498</v>
      </c>
      <c r="C1217">
        <v>2020</v>
      </c>
      <c r="D1217" t="s">
        <v>3504</v>
      </c>
      <c r="E1217" t="s">
        <v>872</v>
      </c>
      <c r="F1217">
        <v>779</v>
      </c>
      <c r="G1217" t="s">
        <v>872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>
      <c r="A1218" t="s">
        <v>4510</v>
      </c>
      <c r="B1218" t="s">
        <v>3498</v>
      </c>
      <c r="C1218">
        <v>2020</v>
      </c>
      <c r="D1218" t="s">
        <v>3499</v>
      </c>
      <c r="E1218" t="s">
        <v>3510</v>
      </c>
      <c r="F1218">
        <v>373</v>
      </c>
      <c r="G1218" t="s">
        <v>3510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>
      <c r="A1219" t="s">
        <v>4511</v>
      </c>
      <c r="B1219" t="s">
        <v>3498</v>
      </c>
      <c r="C1219">
        <v>2020</v>
      </c>
      <c r="D1219" t="s">
        <v>3504</v>
      </c>
      <c r="E1219" t="s">
        <v>862</v>
      </c>
      <c r="F1219">
        <v>540</v>
      </c>
      <c r="G1219" t="s">
        <v>862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>
      <c r="A1220" t="s">
        <v>4512</v>
      </c>
      <c r="B1220" t="s">
        <v>3498</v>
      </c>
      <c r="C1220">
        <v>2020</v>
      </c>
      <c r="D1220" t="s">
        <v>3502</v>
      </c>
      <c r="E1220" t="s">
        <v>3569</v>
      </c>
      <c r="F1220">
        <v>74</v>
      </c>
      <c r="G1220" t="s">
        <v>3569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4513</v>
      </c>
      <c r="B1221" t="s">
        <v>3498</v>
      </c>
      <c r="C1221">
        <v>2020</v>
      </c>
      <c r="D1221" t="s">
        <v>3502</v>
      </c>
      <c r="E1221" t="s">
        <v>3510</v>
      </c>
      <c r="F1221">
        <v>450</v>
      </c>
      <c r="G1221" t="s">
        <v>3510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>
      <c r="A1222" t="s">
        <v>4514</v>
      </c>
      <c r="B1222" t="s">
        <v>3498</v>
      </c>
      <c r="C1222">
        <v>2020</v>
      </c>
      <c r="D1222" t="s">
        <v>3485</v>
      </c>
      <c r="E1222" t="s">
        <v>3569</v>
      </c>
      <c r="F1222">
        <v>0</v>
      </c>
      <c r="G1222" t="s">
        <v>3569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4515</v>
      </c>
      <c r="B1223" t="s">
        <v>3498</v>
      </c>
      <c r="C1223">
        <v>2020</v>
      </c>
      <c r="D1223" t="s">
        <v>3499</v>
      </c>
      <c r="E1223" t="s">
        <v>3569</v>
      </c>
      <c r="F1223">
        <v>173</v>
      </c>
      <c r="G1223" t="s">
        <v>3569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>
      <c r="A1224" t="s">
        <v>4516</v>
      </c>
      <c r="B1224" t="s">
        <v>3498</v>
      </c>
      <c r="C1224">
        <v>2020</v>
      </c>
      <c r="D1224" t="s">
        <v>3502</v>
      </c>
      <c r="E1224" t="s">
        <v>3569</v>
      </c>
      <c r="F1224">
        <v>180</v>
      </c>
      <c r="G1224" t="s">
        <v>3569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4517</v>
      </c>
      <c r="B1225" t="s">
        <v>3498</v>
      </c>
      <c r="C1225">
        <v>2020</v>
      </c>
      <c r="D1225" t="s">
        <v>3499</v>
      </c>
      <c r="E1225" t="s">
        <v>3624</v>
      </c>
      <c r="F1225">
        <v>459</v>
      </c>
      <c r="G1225" t="s">
        <v>3624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>
      <c r="A1226" t="s">
        <v>4518</v>
      </c>
      <c r="B1226" t="s">
        <v>3498</v>
      </c>
      <c r="C1226">
        <v>2020</v>
      </c>
      <c r="D1226" t="s">
        <v>3504</v>
      </c>
      <c r="E1226" t="s">
        <v>3618</v>
      </c>
      <c r="F1226">
        <v>243</v>
      </c>
      <c r="G1226" t="s">
        <v>3618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>
      <c r="A1227" t="s">
        <v>2207</v>
      </c>
      <c r="B1227" t="s">
        <v>3498</v>
      </c>
      <c r="C1227">
        <v>2020</v>
      </c>
      <c r="D1227" t="s">
        <v>3502</v>
      </c>
      <c r="E1227" t="s">
        <v>866</v>
      </c>
      <c r="F1227">
        <v>605</v>
      </c>
      <c r="G1227" t="s">
        <v>866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>
      <c r="A1228" t="s">
        <v>4519</v>
      </c>
      <c r="B1228" t="s">
        <v>3498</v>
      </c>
      <c r="C1228">
        <v>2020</v>
      </c>
      <c r="D1228" t="s">
        <v>3502</v>
      </c>
      <c r="E1228" t="s">
        <v>3532</v>
      </c>
      <c r="F1228">
        <v>687</v>
      </c>
      <c r="G1228" t="s">
        <v>3532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>
      <c r="A1229" t="s">
        <v>1406</v>
      </c>
      <c r="B1229" t="s">
        <v>3498</v>
      </c>
      <c r="C1229">
        <v>2020</v>
      </c>
      <c r="D1229" t="s">
        <v>3485</v>
      </c>
      <c r="E1229" t="s">
        <v>892</v>
      </c>
      <c r="F1229">
        <v>630</v>
      </c>
      <c r="G1229" t="s">
        <v>892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4520</v>
      </c>
      <c r="B1230" t="s">
        <v>3498</v>
      </c>
      <c r="C1230">
        <v>2020</v>
      </c>
      <c r="D1230" t="s">
        <v>3502</v>
      </c>
      <c r="E1230" t="s">
        <v>3546</v>
      </c>
      <c r="F1230">
        <v>1</v>
      </c>
      <c r="G1230" t="s">
        <v>3546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4521</v>
      </c>
      <c r="B1231" t="s">
        <v>3498</v>
      </c>
      <c r="C1231">
        <v>2020</v>
      </c>
      <c r="D1231" t="s">
        <v>3504</v>
      </c>
      <c r="E1231" t="s">
        <v>3506</v>
      </c>
      <c r="F1231">
        <v>0</v>
      </c>
      <c r="G1231" t="s">
        <v>3506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4522</v>
      </c>
      <c r="B1232" t="s">
        <v>3498</v>
      </c>
      <c r="C1232">
        <v>2020</v>
      </c>
      <c r="D1232" t="s">
        <v>3502</v>
      </c>
      <c r="E1232" t="s">
        <v>3506</v>
      </c>
      <c r="F1232">
        <v>37</v>
      </c>
      <c r="G1232" t="s">
        <v>3506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4523</v>
      </c>
      <c r="B1233" t="s">
        <v>3498</v>
      </c>
      <c r="C1233">
        <v>2020</v>
      </c>
      <c r="D1233" t="s">
        <v>3499</v>
      </c>
      <c r="E1233" t="s">
        <v>878</v>
      </c>
      <c r="F1233">
        <v>39</v>
      </c>
      <c r="G1233" t="s">
        <v>878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4524</v>
      </c>
      <c r="B1234" t="s">
        <v>3498</v>
      </c>
      <c r="C1234">
        <v>2020</v>
      </c>
      <c r="D1234" t="s">
        <v>3504</v>
      </c>
      <c r="E1234" t="s">
        <v>3506</v>
      </c>
      <c r="F1234">
        <v>89</v>
      </c>
      <c r="G1234" t="s">
        <v>3506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>
      <c r="A1235" t="s">
        <v>4525</v>
      </c>
      <c r="B1235" t="s">
        <v>3498</v>
      </c>
      <c r="C1235">
        <v>2020</v>
      </c>
      <c r="D1235" t="s">
        <v>3502</v>
      </c>
      <c r="E1235" t="s">
        <v>3506</v>
      </c>
      <c r="F1235">
        <v>716</v>
      </c>
      <c r="G1235" t="s">
        <v>3506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>
      <c r="A1236" t="s">
        <v>4526</v>
      </c>
      <c r="B1236" t="s">
        <v>3498</v>
      </c>
      <c r="C1236">
        <v>2020</v>
      </c>
      <c r="D1236" t="s">
        <v>3502</v>
      </c>
      <c r="E1236" t="s">
        <v>3506</v>
      </c>
      <c r="F1236">
        <v>894</v>
      </c>
      <c r="G1236" t="s">
        <v>3506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>
      <c r="A1237" t="s">
        <v>4527</v>
      </c>
      <c r="B1237" t="s">
        <v>3498</v>
      </c>
      <c r="C1237">
        <v>2020</v>
      </c>
      <c r="D1237" t="s">
        <v>3485</v>
      </c>
      <c r="E1237" t="s">
        <v>892</v>
      </c>
      <c r="F1237">
        <v>90</v>
      </c>
      <c r="G1237" t="s">
        <v>892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4528</v>
      </c>
      <c r="B1238" t="s">
        <v>3498</v>
      </c>
      <c r="C1238">
        <v>2020</v>
      </c>
      <c r="D1238" t="s">
        <v>3504</v>
      </c>
      <c r="E1238" t="s">
        <v>3592</v>
      </c>
      <c r="F1238">
        <v>144</v>
      </c>
      <c r="G1238" t="s">
        <v>3592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>
      <c r="A1239" t="s">
        <v>2032</v>
      </c>
      <c r="B1239" t="s">
        <v>3498</v>
      </c>
      <c r="C1239">
        <v>2020</v>
      </c>
      <c r="D1239" t="s">
        <v>3502</v>
      </c>
      <c r="E1239" t="s">
        <v>892</v>
      </c>
      <c r="F1239">
        <v>224</v>
      </c>
      <c r="G1239" t="s">
        <v>892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>
      <c r="A1240" t="s">
        <v>1953</v>
      </c>
      <c r="B1240" t="s">
        <v>3498</v>
      </c>
      <c r="C1240">
        <v>2020</v>
      </c>
      <c r="D1240" t="s">
        <v>3504</v>
      </c>
      <c r="E1240" t="s">
        <v>878</v>
      </c>
      <c r="F1240">
        <v>791</v>
      </c>
      <c r="G1240" t="s">
        <v>878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>
      <c r="A1241" t="s">
        <v>4529</v>
      </c>
      <c r="B1241" t="s">
        <v>3498</v>
      </c>
      <c r="C1241">
        <v>2020</v>
      </c>
      <c r="D1241" t="s">
        <v>3504</v>
      </c>
      <c r="E1241" t="s">
        <v>3532</v>
      </c>
      <c r="F1241">
        <v>720</v>
      </c>
      <c r="G1241" t="s">
        <v>3532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>
      <c r="A1242" t="s">
        <v>4530</v>
      </c>
      <c r="B1242" t="s">
        <v>3498</v>
      </c>
      <c r="C1242">
        <v>2020</v>
      </c>
      <c r="D1242" t="s">
        <v>3504</v>
      </c>
      <c r="E1242" t="s">
        <v>880</v>
      </c>
      <c r="F1242">
        <v>540</v>
      </c>
      <c r="G1242" t="s">
        <v>880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>
      <c r="A1243" t="s">
        <v>4531</v>
      </c>
      <c r="B1243" t="s">
        <v>3498</v>
      </c>
      <c r="C1243">
        <v>2020</v>
      </c>
      <c r="D1243" t="s">
        <v>3499</v>
      </c>
      <c r="E1243" t="s">
        <v>3566</v>
      </c>
      <c r="F1243">
        <v>227</v>
      </c>
      <c r="G1243" t="s">
        <v>3566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4532</v>
      </c>
      <c r="B1244" t="s">
        <v>3498</v>
      </c>
      <c r="C1244">
        <v>2020</v>
      </c>
      <c r="D1244" t="s">
        <v>3502</v>
      </c>
      <c r="E1244" t="s">
        <v>888</v>
      </c>
      <c r="F1244">
        <v>0</v>
      </c>
      <c r="G1244" t="s">
        <v>888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4533</v>
      </c>
      <c r="B1245" t="s">
        <v>3498</v>
      </c>
      <c r="C1245">
        <v>2020</v>
      </c>
      <c r="D1245" t="s">
        <v>3504</v>
      </c>
      <c r="E1245" t="s">
        <v>3506</v>
      </c>
      <c r="F1245">
        <v>683</v>
      </c>
      <c r="G1245" t="s">
        <v>3506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>
      <c r="A1246" t="s">
        <v>4534</v>
      </c>
      <c r="B1246" t="s">
        <v>3498</v>
      </c>
      <c r="C1246">
        <v>2020</v>
      </c>
      <c r="D1246" t="s">
        <v>3502</v>
      </c>
      <c r="E1246" t="s">
        <v>3577</v>
      </c>
      <c r="F1246">
        <v>720</v>
      </c>
      <c r="G1246" t="s">
        <v>3577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>
      <c r="A1247" t="s">
        <v>4535</v>
      </c>
      <c r="B1247" t="s">
        <v>3498</v>
      </c>
      <c r="C1247">
        <v>2020</v>
      </c>
      <c r="D1247" t="s">
        <v>3504</v>
      </c>
      <c r="E1247" t="s">
        <v>885</v>
      </c>
      <c r="F1247">
        <v>278</v>
      </c>
      <c r="G1247" t="s">
        <v>885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>
      <c r="A1248" t="s">
        <v>4536</v>
      </c>
      <c r="B1248" t="s">
        <v>3498</v>
      </c>
      <c r="C1248">
        <v>2020</v>
      </c>
      <c r="D1248" t="s">
        <v>3499</v>
      </c>
      <c r="E1248" t="s">
        <v>3532</v>
      </c>
      <c r="F1248">
        <v>67</v>
      </c>
      <c r="G1248" t="s">
        <v>3532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2013</v>
      </c>
      <c r="B1249" t="s">
        <v>3498</v>
      </c>
      <c r="C1249">
        <v>2020</v>
      </c>
      <c r="D1249" t="s">
        <v>3485</v>
      </c>
      <c r="E1249" t="s">
        <v>876</v>
      </c>
      <c r="F1249">
        <v>0</v>
      </c>
      <c r="G1249" t="s">
        <v>876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2870</v>
      </c>
      <c r="B1250" t="s">
        <v>3498</v>
      </c>
      <c r="C1250">
        <v>2020</v>
      </c>
      <c r="D1250" t="s">
        <v>3502</v>
      </c>
      <c r="E1250" t="s">
        <v>878</v>
      </c>
      <c r="F1250">
        <v>0</v>
      </c>
      <c r="G1250" t="s">
        <v>878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2694</v>
      </c>
      <c r="B1251" t="s">
        <v>3498</v>
      </c>
      <c r="C1251">
        <v>2020</v>
      </c>
      <c r="D1251" t="s">
        <v>3499</v>
      </c>
      <c r="E1251" t="s">
        <v>892</v>
      </c>
      <c r="F1251">
        <v>367</v>
      </c>
      <c r="G1251" t="s">
        <v>892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>
      <c r="A1252" t="s">
        <v>1276</v>
      </c>
      <c r="B1252" t="s">
        <v>3498</v>
      </c>
      <c r="C1252">
        <v>2020</v>
      </c>
      <c r="D1252" t="s">
        <v>3504</v>
      </c>
      <c r="E1252" t="s">
        <v>863</v>
      </c>
      <c r="F1252">
        <v>616</v>
      </c>
      <c r="G1252" t="s">
        <v>863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>
      <c r="A1253" t="s">
        <v>4537</v>
      </c>
      <c r="B1253" t="s">
        <v>3498</v>
      </c>
      <c r="C1253">
        <v>2020</v>
      </c>
      <c r="D1253" t="s">
        <v>3504</v>
      </c>
      <c r="E1253" t="s">
        <v>3592</v>
      </c>
      <c r="F1253">
        <v>0</v>
      </c>
      <c r="G1253" t="s">
        <v>3592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4538</v>
      </c>
      <c r="B1254" t="s">
        <v>3498</v>
      </c>
      <c r="C1254">
        <v>2020</v>
      </c>
      <c r="D1254" t="s">
        <v>3504</v>
      </c>
      <c r="E1254" t="s">
        <v>3571</v>
      </c>
      <c r="F1254">
        <v>60</v>
      </c>
      <c r="G1254" t="s">
        <v>3571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2170</v>
      </c>
      <c r="B1255" t="s">
        <v>3498</v>
      </c>
      <c r="C1255">
        <v>2020</v>
      </c>
      <c r="D1255" t="s">
        <v>3499</v>
      </c>
      <c r="E1255" t="s">
        <v>886</v>
      </c>
      <c r="F1255">
        <v>689</v>
      </c>
      <c r="G1255" t="s">
        <v>886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>
      <c r="A1256" t="s">
        <v>35</v>
      </c>
      <c r="B1256" t="s">
        <v>3498</v>
      </c>
      <c r="C1256">
        <v>2020</v>
      </c>
      <c r="D1256" t="s">
        <v>3499</v>
      </c>
      <c r="E1256" t="s">
        <v>879</v>
      </c>
      <c r="F1256">
        <v>309</v>
      </c>
      <c r="G1256" t="s">
        <v>879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>
      <c r="A1257" t="s">
        <v>4539</v>
      </c>
      <c r="B1257" t="s">
        <v>3498</v>
      </c>
      <c r="C1257">
        <v>2020</v>
      </c>
      <c r="D1257" t="s">
        <v>3504</v>
      </c>
      <c r="E1257" t="s">
        <v>896</v>
      </c>
      <c r="F1257">
        <v>911</v>
      </c>
      <c r="G1257" t="s">
        <v>896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>
      <c r="A1258" t="s">
        <v>4540</v>
      </c>
      <c r="B1258" t="s">
        <v>3498</v>
      </c>
      <c r="C1258">
        <v>2020</v>
      </c>
      <c r="D1258" t="s">
        <v>3485</v>
      </c>
      <c r="E1258" t="s">
        <v>896</v>
      </c>
      <c r="F1258">
        <v>180</v>
      </c>
      <c r="G1258" t="s">
        <v>896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>
      <c r="A1259" t="s">
        <v>4541</v>
      </c>
      <c r="B1259" t="s">
        <v>3498</v>
      </c>
      <c r="C1259">
        <v>2020</v>
      </c>
      <c r="D1259" t="s">
        <v>3502</v>
      </c>
      <c r="E1259" t="s">
        <v>882</v>
      </c>
      <c r="F1259">
        <v>316</v>
      </c>
      <c r="G1259" t="s">
        <v>882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>
      <c r="A1260" t="s">
        <v>4542</v>
      </c>
      <c r="B1260" t="s">
        <v>3498</v>
      </c>
      <c r="C1260">
        <v>2020</v>
      </c>
      <c r="D1260" t="s">
        <v>3499</v>
      </c>
      <c r="E1260" t="s">
        <v>877</v>
      </c>
      <c r="F1260">
        <v>0</v>
      </c>
      <c r="G1260" t="s">
        <v>877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4543</v>
      </c>
      <c r="B1261" t="s">
        <v>3498</v>
      </c>
      <c r="C1261">
        <v>2020</v>
      </c>
      <c r="D1261" t="s">
        <v>3502</v>
      </c>
      <c r="E1261" t="s">
        <v>880</v>
      </c>
      <c r="F1261">
        <v>60</v>
      </c>
      <c r="G1261" t="s">
        <v>880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4544</v>
      </c>
      <c r="B1262" t="s">
        <v>3498</v>
      </c>
      <c r="C1262">
        <v>2020</v>
      </c>
      <c r="D1262" t="s">
        <v>3502</v>
      </c>
      <c r="E1262" t="s">
        <v>872</v>
      </c>
      <c r="F1262">
        <v>720</v>
      </c>
      <c r="G1262" t="s">
        <v>872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>
      <c r="A1263" t="s">
        <v>4545</v>
      </c>
      <c r="B1263" t="s">
        <v>3498</v>
      </c>
      <c r="C1263">
        <v>2020</v>
      </c>
      <c r="D1263" t="s">
        <v>3499</v>
      </c>
      <c r="E1263" t="s">
        <v>866</v>
      </c>
      <c r="F1263">
        <v>96</v>
      </c>
      <c r="G1263" t="s">
        <v>866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>
      <c r="A1264" t="s">
        <v>4546</v>
      </c>
      <c r="B1264" t="s">
        <v>3498</v>
      </c>
      <c r="C1264">
        <v>2020</v>
      </c>
      <c r="D1264" t="s">
        <v>3502</v>
      </c>
      <c r="E1264" t="s">
        <v>885</v>
      </c>
      <c r="F1264">
        <v>275</v>
      </c>
      <c r="G1264" t="s">
        <v>885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>
      <c r="A1265" t="s">
        <v>4547</v>
      </c>
      <c r="B1265" t="s">
        <v>3498</v>
      </c>
      <c r="C1265">
        <v>2020</v>
      </c>
      <c r="D1265" t="s">
        <v>3502</v>
      </c>
      <c r="E1265" t="s">
        <v>3537</v>
      </c>
      <c r="F1265">
        <v>90</v>
      </c>
      <c r="G1265" t="s">
        <v>893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4548</v>
      </c>
      <c r="B1266" t="s">
        <v>3498</v>
      </c>
      <c r="C1266">
        <v>2020</v>
      </c>
      <c r="D1266" t="s">
        <v>3504</v>
      </c>
      <c r="E1266" t="s">
        <v>3564</v>
      </c>
      <c r="F1266">
        <v>46</v>
      </c>
      <c r="G1266" t="s">
        <v>3564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4549</v>
      </c>
      <c r="B1267" t="s">
        <v>3498</v>
      </c>
      <c r="C1267">
        <v>2020</v>
      </c>
      <c r="D1267" t="s">
        <v>3502</v>
      </c>
      <c r="E1267" t="s">
        <v>3555</v>
      </c>
      <c r="F1267">
        <v>0</v>
      </c>
      <c r="G1267" t="s">
        <v>3555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4550</v>
      </c>
      <c r="B1268" t="s">
        <v>3498</v>
      </c>
      <c r="C1268">
        <v>2020</v>
      </c>
      <c r="D1268" t="s">
        <v>3504</v>
      </c>
      <c r="E1268" t="s">
        <v>880</v>
      </c>
      <c r="F1268">
        <v>31</v>
      </c>
      <c r="G1268" t="s">
        <v>880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4551</v>
      </c>
      <c r="B1269" t="s">
        <v>3498</v>
      </c>
      <c r="C1269">
        <v>2020</v>
      </c>
      <c r="D1269" t="s">
        <v>3502</v>
      </c>
      <c r="E1269" t="s">
        <v>893</v>
      </c>
      <c r="F1269">
        <v>90</v>
      </c>
      <c r="G1269" t="s">
        <v>893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4552</v>
      </c>
      <c r="B1270" t="s">
        <v>3498</v>
      </c>
      <c r="C1270">
        <v>2020</v>
      </c>
      <c r="D1270" t="s">
        <v>3504</v>
      </c>
      <c r="E1270" t="s">
        <v>3529</v>
      </c>
      <c r="F1270">
        <v>0</v>
      </c>
      <c r="G1270" t="s">
        <v>3530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4553</v>
      </c>
      <c r="B1271" t="s">
        <v>3498</v>
      </c>
      <c r="C1271">
        <v>2020</v>
      </c>
      <c r="D1271" t="s">
        <v>3502</v>
      </c>
      <c r="E1271" t="s">
        <v>3648</v>
      </c>
      <c r="F1271">
        <v>0</v>
      </c>
      <c r="G1271" t="s">
        <v>3648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4554</v>
      </c>
      <c r="B1272" t="s">
        <v>3498</v>
      </c>
      <c r="C1272">
        <v>2020</v>
      </c>
      <c r="D1272" t="s">
        <v>3504</v>
      </c>
      <c r="E1272" t="s">
        <v>3602</v>
      </c>
      <c r="F1272">
        <v>180</v>
      </c>
      <c r="G1272" t="s">
        <v>3602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4555</v>
      </c>
      <c r="B1273" t="s">
        <v>3498</v>
      </c>
      <c r="C1273">
        <v>2020</v>
      </c>
      <c r="D1273" t="s">
        <v>3485</v>
      </c>
      <c r="E1273" t="s">
        <v>3618</v>
      </c>
      <c r="F1273">
        <v>0</v>
      </c>
      <c r="G1273" t="s">
        <v>3618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4556</v>
      </c>
      <c r="B1274" t="s">
        <v>3498</v>
      </c>
      <c r="C1274">
        <v>2020</v>
      </c>
      <c r="D1274" t="s">
        <v>3499</v>
      </c>
      <c r="E1274" t="s">
        <v>3537</v>
      </c>
      <c r="F1274">
        <v>30</v>
      </c>
      <c r="G1274" t="s">
        <v>3537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3210</v>
      </c>
      <c r="B1275" t="s">
        <v>3498</v>
      </c>
      <c r="C1275">
        <v>2020</v>
      </c>
      <c r="D1275" t="s">
        <v>3499</v>
      </c>
      <c r="E1275" t="s">
        <v>3564</v>
      </c>
      <c r="F1275">
        <v>44</v>
      </c>
      <c r="G1275" t="s">
        <v>3564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4557</v>
      </c>
      <c r="B1276" t="s">
        <v>3498</v>
      </c>
      <c r="C1276">
        <v>2020</v>
      </c>
      <c r="D1276" t="s">
        <v>3499</v>
      </c>
      <c r="E1276" t="s">
        <v>895</v>
      </c>
      <c r="F1276">
        <v>62</v>
      </c>
      <c r="G1276" t="s">
        <v>895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4558</v>
      </c>
      <c r="B1277" t="s">
        <v>3498</v>
      </c>
      <c r="C1277">
        <v>2020</v>
      </c>
      <c r="D1277" t="s">
        <v>3504</v>
      </c>
      <c r="E1277" t="s">
        <v>3730</v>
      </c>
      <c r="F1277">
        <v>0</v>
      </c>
      <c r="G1277" t="s">
        <v>3730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4559</v>
      </c>
      <c r="B1278" t="s">
        <v>3498</v>
      </c>
      <c r="C1278">
        <v>2020</v>
      </c>
      <c r="D1278" t="s">
        <v>3504</v>
      </c>
      <c r="E1278" t="s">
        <v>3503</v>
      </c>
      <c r="F1278">
        <v>0</v>
      </c>
      <c r="G1278" t="s">
        <v>3503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4560</v>
      </c>
      <c r="B1279" t="s">
        <v>3498</v>
      </c>
      <c r="C1279">
        <v>2020</v>
      </c>
      <c r="D1279" t="s">
        <v>3485</v>
      </c>
      <c r="E1279" t="s">
        <v>3500</v>
      </c>
      <c r="F1279">
        <v>0</v>
      </c>
      <c r="G1279" t="s">
        <v>3500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4561</v>
      </c>
      <c r="B1280" t="s">
        <v>3498</v>
      </c>
      <c r="C1280">
        <v>2020</v>
      </c>
      <c r="D1280" t="s">
        <v>3499</v>
      </c>
      <c r="E1280" t="s">
        <v>878</v>
      </c>
      <c r="F1280">
        <v>711</v>
      </c>
      <c r="G1280" t="s">
        <v>878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>
      <c r="A1281" t="s">
        <v>4562</v>
      </c>
      <c r="B1281" t="s">
        <v>3498</v>
      </c>
      <c r="C1281">
        <v>2020</v>
      </c>
      <c r="D1281" t="s">
        <v>3504</v>
      </c>
      <c r="E1281" t="s">
        <v>3520</v>
      </c>
      <c r="F1281">
        <v>143</v>
      </c>
      <c r="G1281" t="s">
        <v>3520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>
      <c r="A1282" t="s">
        <v>4563</v>
      </c>
      <c r="B1282" t="s">
        <v>3498</v>
      </c>
      <c r="C1282">
        <v>2020</v>
      </c>
      <c r="D1282" t="s">
        <v>3485</v>
      </c>
      <c r="E1282" t="s">
        <v>3526</v>
      </c>
      <c r="F1282">
        <v>630</v>
      </c>
      <c r="G1282" t="s">
        <v>3526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4564</v>
      </c>
      <c r="B1283" t="s">
        <v>3498</v>
      </c>
      <c r="C1283">
        <v>2020</v>
      </c>
      <c r="D1283" t="s">
        <v>3504</v>
      </c>
      <c r="E1283" t="s">
        <v>3526</v>
      </c>
      <c r="F1283">
        <v>0</v>
      </c>
      <c r="G1283" t="s">
        <v>3526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4565</v>
      </c>
      <c r="B1284" t="s">
        <v>3498</v>
      </c>
      <c r="C1284">
        <v>2020</v>
      </c>
      <c r="D1284" t="s">
        <v>3504</v>
      </c>
      <c r="E1284" t="s">
        <v>3526</v>
      </c>
      <c r="F1284">
        <v>0</v>
      </c>
      <c r="G1284" t="s">
        <v>3526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4566</v>
      </c>
      <c r="B1285" t="s">
        <v>3498</v>
      </c>
      <c r="C1285">
        <v>2020</v>
      </c>
      <c r="D1285" t="s">
        <v>3504</v>
      </c>
      <c r="E1285" t="s">
        <v>3520</v>
      </c>
      <c r="F1285">
        <v>272</v>
      </c>
      <c r="G1285" t="s">
        <v>3520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>
      <c r="A1286" t="s">
        <v>4567</v>
      </c>
      <c r="B1286" t="s">
        <v>3498</v>
      </c>
      <c r="C1286">
        <v>2020</v>
      </c>
      <c r="D1286" t="s">
        <v>3485</v>
      </c>
      <c r="E1286" t="s">
        <v>3730</v>
      </c>
      <c r="F1286">
        <v>0</v>
      </c>
      <c r="G1286" t="s">
        <v>3730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4568</v>
      </c>
      <c r="B1287" t="s">
        <v>3498</v>
      </c>
      <c r="C1287">
        <v>2020</v>
      </c>
      <c r="D1287" t="s">
        <v>3502</v>
      </c>
      <c r="E1287" t="s">
        <v>3529</v>
      </c>
      <c r="F1287">
        <v>135</v>
      </c>
      <c r="G1287" t="s">
        <v>3530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4569</v>
      </c>
      <c r="B1288" t="s">
        <v>3498</v>
      </c>
      <c r="C1288">
        <v>2020</v>
      </c>
      <c r="D1288" t="s">
        <v>3504</v>
      </c>
      <c r="E1288" t="s">
        <v>880</v>
      </c>
      <c r="F1288">
        <v>0</v>
      </c>
      <c r="G1288" t="s">
        <v>880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4570</v>
      </c>
      <c r="B1289" t="s">
        <v>3498</v>
      </c>
      <c r="C1289">
        <v>2020</v>
      </c>
      <c r="D1289" t="s">
        <v>3502</v>
      </c>
      <c r="E1289" t="s">
        <v>3520</v>
      </c>
      <c r="F1289">
        <v>524</v>
      </c>
      <c r="G1289" t="s">
        <v>3520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>
      <c r="A1290" t="s">
        <v>4571</v>
      </c>
      <c r="B1290" t="s">
        <v>3498</v>
      </c>
      <c r="C1290">
        <v>2020</v>
      </c>
      <c r="D1290" t="s">
        <v>3502</v>
      </c>
      <c r="E1290" t="s">
        <v>3520</v>
      </c>
      <c r="F1290">
        <v>508</v>
      </c>
      <c r="G1290" t="s">
        <v>3520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>
      <c r="A1291" t="s">
        <v>4572</v>
      </c>
      <c r="B1291" t="s">
        <v>3498</v>
      </c>
      <c r="C1291">
        <v>2020</v>
      </c>
      <c r="D1291" t="s">
        <v>3502</v>
      </c>
      <c r="E1291" t="s">
        <v>886</v>
      </c>
      <c r="F1291">
        <v>180</v>
      </c>
      <c r="G1291" t="s">
        <v>886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>
      <c r="A1292" t="s">
        <v>4573</v>
      </c>
      <c r="B1292" t="s">
        <v>3498</v>
      </c>
      <c r="C1292">
        <v>2020</v>
      </c>
      <c r="D1292" t="s">
        <v>3504</v>
      </c>
      <c r="E1292" t="s">
        <v>3597</v>
      </c>
      <c r="F1292">
        <v>777</v>
      </c>
      <c r="G1292" t="s">
        <v>3597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>
      <c r="A1293" t="s">
        <v>4574</v>
      </c>
      <c r="B1293" t="s">
        <v>3498</v>
      </c>
      <c r="C1293">
        <v>2020</v>
      </c>
      <c r="D1293" t="s">
        <v>3502</v>
      </c>
      <c r="E1293" t="s">
        <v>3618</v>
      </c>
      <c r="F1293">
        <v>450</v>
      </c>
      <c r="G1293" t="s">
        <v>3618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>
      <c r="A1294" t="s">
        <v>4575</v>
      </c>
      <c r="B1294" t="s">
        <v>3498</v>
      </c>
      <c r="C1294">
        <v>2020</v>
      </c>
      <c r="D1294" t="s">
        <v>3504</v>
      </c>
      <c r="E1294" t="s">
        <v>877</v>
      </c>
      <c r="F1294">
        <v>279</v>
      </c>
      <c r="G1294" t="s">
        <v>3627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>
      <c r="A1295" t="s">
        <v>1394</v>
      </c>
      <c r="B1295" t="s">
        <v>3498</v>
      </c>
      <c r="C1295">
        <v>2020</v>
      </c>
      <c r="D1295" t="s">
        <v>3504</v>
      </c>
      <c r="E1295" t="s">
        <v>876</v>
      </c>
      <c r="F1295">
        <v>319</v>
      </c>
      <c r="G1295" t="s">
        <v>876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>
      <c r="A1296" t="s">
        <v>4576</v>
      </c>
      <c r="B1296" t="s">
        <v>3498</v>
      </c>
      <c r="C1296">
        <v>2020</v>
      </c>
      <c r="D1296" t="s">
        <v>3502</v>
      </c>
      <c r="E1296" t="s">
        <v>3730</v>
      </c>
      <c r="F1296">
        <v>0</v>
      </c>
      <c r="G1296" t="s">
        <v>3730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4577</v>
      </c>
      <c r="B1297" t="s">
        <v>3498</v>
      </c>
      <c r="C1297">
        <v>2020</v>
      </c>
      <c r="D1297" t="s">
        <v>3485</v>
      </c>
      <c r="E1297" t="s">
        <v>3564</v>
      </c>
      <c r="F1297">
        <v>0</v>
      </c>
      <c r="G1297" t="s">
        <v>3564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1266</v>
      </c>
      <c r="B1298" t="s">
        <v>3498</v>
      </c>
      <c r="C1298">
        <v>2020</v>
      </c>
      <c r="D1298" t="s">
        <v>3499</v>
      </c>
      <c r="E1298" t="s">
        <v>869</v>
      </c>
      <c r="F1298">
        <v>521</v>
      </c>
      <c r="G1298" t="s">
        <v>869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>
      <c r="A1299" t="s">
        <v>4578</v>
      </c>
      <c r="B1299" t="s">
        <v>3498</v>
      </c>
      <c r="C1299">
        <v>2020</v>
      </c>
      <c r="D1299" t="s">
        <v>3504</v>
      </c>
      <c r="E1299" t="s">
        <v>3592</v>
      </c>
      <c r="F1299">
        <v>651</v>
      </c>
      <c r="G1299" t="s">
        <v>3592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>
      <c r="A1300" t="s">
        <v>4579</v>
      </c>
      <c r="B1300" t="s">
        <v>3498</v>
      </c>
      <c r="C1300">
        <v>2020</v>
      </c>
      <c r="D1300" t="s">
        <v>3504</v>
      </c>
      <c r="E1300" t="s">
        <v>896</v>
      </c>
      <c r="F1300">
        <v>0</v>
      </c>
      <c r="G1300" t="s">
        <v>896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4580</v>
      </c>
      <c r="B1301" t="s">
        <v>3498</v>
      </c>
      <c r="C1301">
        <v>2020</v>
      </c>
      <c r="D1301" t="s">
        <v>3499</v>
      </c>
      <c r="E1301" t="s">
        <v>882</v>
      </c>
      <c r="F1301">
        <v>32</v>
      </c>
      <c r="G1301" t="s">
        <v>882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4581</v>
      </c>
      <c r="B1302" t="s">
        <v>3498</v>
      </c>
      <c r="C1302">
        <v>2020</v>
      </c>
      <c r="D1302" t="s">
        <v>3485</v>
      </c>
      <c r="E1302" t="s">
        <v>896</v>
      </c>
      <c r="F1302">
        <v>720</v>
      </c>
      <c r="G1302" t="s">
        <v>896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>
      <c r="A1303" t="s">
        <v>4582</v>
      </c>
      <c r="B1303" t="s">
        <v>3498</v>
      </c>
      <c r="C1303">
        <v>2020</v>
      </c>
      <c r="D1303" t="s">
        <v>3504</v>
      </c>
      <c r="E1303" t="s">
        <v>882</v>
      </c>
      <c r="F1303">
        <v>0</v>
      </c>
      <c r="G1303" t="s">
        <v>882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2883</v>
      </c>
      <c r="B1304" t="s">
        <v>3498</v>
      </c>
      <c r="C1304">
        <v>2020</v>
      </c>
      <c r="D1304" t="s">
        <v>3502</v>
      </c>
      <c r="E1304" t="s">
        <v>878</v>
      </c>
      <c r="F1304">
        <v>720</v>
      </c>
      <c r="G1304" t="s">
        <v>878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>
      <c r="A1305" t="s">
        <v>4583</v>
      </c>
      <c r="B1305" t="s">
        <v>3498</v>
      </c>
      <c r="C1305">
        <v>2020</v>
      </c>
      <c r="D1305" t="s">
        <v>3504</v>
      </c>
      <c r="E1305" t="s">
        <v>896</v>
      </c>
      <c r="F1305">
        <v>0</v>
      </c>
      <c r="G1305" t="s">
        <v>896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4584</v>
      </c>
      <c r="B1306" t="s">
        <v>3498</v>
      </c>
      <c r="C1306">
        <v>2020</v>
      </c>
      <c r="D1306" t="s">
        <v>3502</v>
      </c>
      <c r="E1306" t="s">
        <v>3597</v>
      </c>
      <c r="F1306">
        <v>-15</v>
      </c>
      <c r="G1306" t="s">
        <v>3597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4585</v>
      </c>
      <c r="B1307" t="s">
        <v>3498</v>
      </c>
      <c r="C1307">
        <v>2020</v>
      </c>
      <c r="D1307" t="s">
        <v>3485</v>
      </c>
      <c r="E1307" t="s">
        <v>3566</v>
      </c>
      <c r="F1307">
        <v>0</v>
      </c>
      <c r="G1307" t="s">
        <v>3566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4586</v>
      </c>
      <c r="B1308" t="s">
        <v>3498</v>
      </c>
      <c r="C1308">
        <v>2020</v>
      </c>
      <c r="D1308" t="s">
        <v>3502</v>
      </c>
      <c r="E1308" t="s">
        <v>3515</v>
      </c>
      <c r="F1308">
        <v>0</v>
      </c>
      <c r="G1308" t="s">
        <v>3515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4587</v>
      </c>
      <c r="B1309" t="s">
        <v>3498</v>
      </c>
      <c r="C1309">
        <v>2020</v>
      </c>
      <c r="D1309" t="s">
        <v>3504</v>
      </c>
      <c r="E1309" t="s">
        <v>3730</v>
      </c>
      <c r="F1309">
        <v>1</v>
      </c>
      <c r="G1309" t="s">
        <v>3730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4588</v>
      </c>
      <c r="B1310" t="s">
        <v>3498</v>
      </c>
      <c r="C1310">
        <v>2020</v>
      </c>
      <c r="D1310" t="s">
        <v>3502</v>
      </c>
      <c r="E1310" t="s">
        <v>3592</v>
      </c>
      <c r="F1310">
        <v>712</v>
      </c>
      <c r="G1310" t="s">
        <v>3592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>
      <c r="A1311" t="s">
        <v>4589</v>
      </c>
      <c r="B1311" t="s">
        <v>3498</v>
      </c>
      <c r="C1311">
        <v>2020</v>
      </c>
      <c r="D1311" t="s">
        <v>3502</v>
      </c>
      <c r="E1311" t="s">
        <v>896</v>
      </c>
      <c r="F1311">
        <v>180</v>
      </c>
      <c r="G1311" t="s">
        <v>896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4590</v>
      </c>
      <c r="B1312" t="s">
        <v>3498</v>
      </c>
      <c r="C1312">
        <v>2020</v>
      </c>
      <c r="D1312" t="s">
        <v>3504</v>
      </c>
      <c r="E1312" t="s">
        <v>3566</v>
      </c>
      <c r="F1312">
        <v>68</v>
      </c>
      <c r="G1312" t="s">
        <v>3566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4591</v>
      </c>
      <c r="B1313" t="s">
        <v>3498</v>
      </c>
      <c r="C1313">
        <v>2020</v>
      </c>
      <c r="D1313" t="s">
        <v>3504</v>
      </c>
      <c r="E1313" t="s">
        <v>3597</v>
      </c>
      <c r="F1313">
        <v>797</v>
      </c>
      <c r="G1313" t="s">
        <v>3597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>
      <c r="A1314" t="s">
        <v>4592</v>
      </c>
      <c r="B1314" t="s">
        <v>3498</v>
      </c>
      <c r="C1314">
        <v>2020</v>
      </c>
      <c r="D1314" t="s">
        <v>3504</v>
      </c>
      <c r="E1314" t="s">
        <v>3577</v>
      </c>
      <c r="F1314">
        <v>230</v>
      </c>
      <c r="G1314" t="s">
        <v>3577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4593</v>
      </c>
      <c r="B1315" t="s">
        <v>3498</v>
      </c>
      <c r="C1315">
        <v>2020</v>
      </c>
      <c r="D1315" t="s">
        <v>3502</v>
      </c>
      <c r="E1315" t="s">
        <v>3555</v>
      </c>
      <c r="F1315">
        <v>90</v>
      </c>
      <c r="G1315" t="s">
        <v>3555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180</v>
      </c>
      <c r="B1316" t="s">
        <v>3498</v>
      </c>
      <c r="C1316">
        <v>2020</v>
      </c>
      <c r="D1316" t="s">
        <v>3504</v>
      </c>
      <c r="E1316" t="s">
        <v>879</v>
      </c>
      <c r="F1316">
        <v>207</v>
      </c>
      <c r="G1316" t="s">
        <v>879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>
      <c r="A1317" t="s">
        <v>4594</v>
      </c>
      <c r="B1317" t="s">
        <v>3498</v>
      </c>
      <c r="C1317">
        <v>2020</v>
      </c>
      <c r="D1317" t="s">
        <v>3504</v>
      </c>
      <c r="E1317" t="s">
        <v>897</v>
      </c>
      <c r="F1317">
        <v>313</v>
      </c>
      <c r="G1317" t="s">
        <v>897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>
      <c r="A1318" t="s">
        <v>4595</v>
      </c>
      <c r="B1318" t="s">
        <v>3498</v>
      </c>
      <c r="C1318">
        <v>2020</v>
      </c>
      <c r="D1318" t="s">
        <v>3504</v>
      </c>
      <c r="E1318" t="s">
        <v>897</v>
      </c>
      <c r="F1318">
        <v>180</v>
      </c>
      <c r="G1318" t="s">
        <v>897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4596</v>
      </c>
      <c r="B1319" t="s">
        <v>3498</v>
      </c>
      <c r="C1319">
        <v>2020</v>
      </c>
      <c r="D1319" t="s">
        <v>3502</v>
      </c>
      <c r="E1319" t="s">
        <v>880</v>
      </c>
      <c r="F1319">
        <v>0</v>
      </c>
      <c r="G1319" t="s">
        <v>880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4597</v>
      </c>
      <c r="B1320" t="s">
        <v>3498</v>
      </c>
      <c r="C1320">
        <v>2020</v>
      </c>
      <c r="D1320" t="s">
        <v>3499</v>
      </c>
      <c r="E1320" t="s">
        <v>882</v>
      </c>
      <c r="F1320">
        <v>44</v>
      </c>
      <c r="G1320" t="s">
        <v>882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4598</v>
      </c>
      <c r="B1321" t="s">
        <v>3498</v>
      </c>
      <c r="C1321">
        <v>2020</v>
      </c>
      <c r="D1321" t="s">
        <v>3504</v>
      </c>
      <c r="E1321" t="s">
        <v>880</v>
      </c>
      <c r="F1321">
        <v>233</v>
      </c>
      <c r="G1321" t="s">
        <v>880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548</v>
      </c>
      <c r="B1322" t="s">
        <v>3498</v>
      </c>
      <c r="C1322">
        <v>2020</v>
      </c>
      <c r="D1322" t="s">
        <v>3504</v>
      </c>
      <c r="E1322" t="s">
        <v>888</v>
      </c>
      <c r="F1322">
        <v>480</v>
      </c>
      <c r="G1322" t="s">
        <v>888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>
      <c r="A1323" t="s">
        <v>4599</v>
      </c>
      <c r="B1323" t="s">
        <v>3498</v>
      </c>
      <c r="C1323">
        <v>2020</v>
      </c>
      <c r="D1323" t="s">
        <v>3502</v>
      </c>
      <c r="E1323" t="s">
        <v>3555</v>
      </c>
      <c r="F1323">
        <v>0</v>
      </c>
      <c r="G1323" t="s">
        <v>3555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4600</v>
      </c>
      <c r="B1324" t="s">
        <v>3498</v>
      </c>
      <c r="C1324">
        <v>2020</v>
      </c>
      <c r="D1324" t="s">
        <v>3502</v>
      </c>
      <c r="E1324" t="s">
        <v>869</v>
      </c>
      <c r="F1324">
        <v>354</v>
      </c>
      <c r="G1324" t="s">
        <v>869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>
      <c r="A1325" t="s">
        <v>4601</v>
      </c>
      <c r="B1325" t="s">
        <v>3498</v>
      </c>
      <c r="C1325">
        <v>2020</v>
      </c>
      <c r="D1325" t="s">
        <v>3504</v>
      </c>
      <c r="E1325" t="s">
        <v>3597</v>
      </c>
      <c r="F1325">
        <v>67</v>
      </c>
      <c r="G1325" t="s">
        <v>3597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>
      <c r="A1326" t="s">
        <v>4602</v>
      </c>
      <c r="B1326" t="s">
        <v>3498</v>
      </c>
      <c r="C1326">
        <v>2020</v>
      </c>
      <c r="D1326" t="s">
        <v>3502</v>
      </c>
      <c r="E1326" t="s">
        <v>3526</v>
      </c>
      <c r="F1326">
        <v>90</v>
      </c>
      <c r="G1326" t="s">
        <v>3526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4603</v>
      </c>
      <c r="B1327" t="s">
        <v>3498</v>
      </c>
      <c r="C1327">
        <v>2020</v>
      </c>
      <c r="D1327" t="s">
        <v>3485</v>
      </c>
      <c r="E1327" t="s">
        <v>3520</v>
      </c>
      <c r="F1327">
        <v>0</v>
      </c>
      <c r="G1327" t="s">
        <v>3520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4604</v>
      </c>
      <c r="B1328" t="s">
        <v>3498</v>
      </c>
      <c r="C1328">
        <v>2020</v>
      </c>
      <c r="D1328" t="s">
        <v>3499</v>
      </c>
      <c r="E1328" t="s">
        <v>3648</v>
      </c>
      <c r="F1328">
        <v>394</v>
      </c>
      <c r="G1328" t="s">
        <v>3648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>
      <c r="A1329" t="s">
        <v>4605</v>
      </c>
      <c r="B1329" t="s">
        <v>3498</v>
      </c>
      <c r="C1329">
        <v>2020</v>
      </c>
      <c r="D1329" t="s">
        <v>3504</v>
      </c>
      <c r="E1329" t="s">
        <v>3529</v>
      </c>
      <c r="F1329">
        <v>166</v>
      </c>
      <c r="G1329" t="s">
        <v>3530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>
      <c r="A1330" t="s">
        <v>4606</v>
      </c>
      <c r="B1330" t="s">
        <v>3498</v>
      </c>
      <c r="C1330">
        <v>2020</v>
      </c>
      <c r="D1330" t="s">
        <v>3504</v>
      </c>
      <c r="E1330" t="s">
        <v>3597</v>
      </c>
      <c r="F1330">
        <v>65</v>
      </c>
      <c r="G1330" t="s">
        <v>3597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86</v>
      </c>
      <c r="B1331" t="s">
        <v>3498</v>
      </c>
      <c r="C1331">
        <v>2020</v>
      </c>
      <c r="D1331" t="s">
        <v>3502</v>
      </c>
      <c r="E1331" t="s">
        <v>3500</v>
      </c>
      <c r="F1331">
        <v>334</v>
      </c>
      <c r="G1331" t="s">
        <v>3500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>
      <c r="A1332" t="s">
        <v>523</v>
      </c>
      <c r="B1332" t="s">
        <v>3498</v>
      </c>
      <c r="C1332">
        <v>2020</v>
      </c>
      <c r="D1332" t="s">
        <v>3504</v>
      </c>
      <c r="E1332" t="s">
        <v>895</v>
      </c>
      <c r="F1332">
        <v>89</v>
      </c>
      <c r="G1332" t="s">
        <v>895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4607</v>
      </c>
      <c r="B1333" t="s">
        <v>3498</v>
      </c>
      <c r="C1333">
        <v>2020</v>
      </c>
      <c r="D1333" t="s">
        <v>3504</v>
      </c>
      <c r="E1333" t="s">
        <v>891</v>
      </c>
      <c r="F1333">
        <v>0</v>
      </c>
      <c r="G1333" t="s">
        <v>891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4608</v>
      </c>
      <c r="B1334" t="s">
        <v>3498</v>
      </c>
      <c r="C1334">
        <v>2020</v>
      </c>
      <c r="D1334" t="s">
        <v>3499</v>
      </c>
      <c r="E1334" t="s">
        <v>863</v>
      </c>
      <c r="F1334">
        <v>90</v>
      </c>
      <c r="G1334" t="s">
        <v>863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4609</v>
      </c>
      <c r="B1335" t="s">
        <v>3498</v>
      </c>
      <c r="C1335">
        <v>2020</v>
      </c>
      <c r="D1335" t="s">
        <v>3499</v>
      </c>
      <c r="E1335" t="s">
        <v>3532</v>
      </c>
      <c r="F1335">
        <v>356</v>
      </c>
      <c r="G1335" t="s">
        <v>3532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4610</v>
      </c>
      <c r="B1336" t="s">
        <v>3498</v>
      </c>
      <c r="C1336">
        <v>2020</v>
      </c>
      <c r="D1336" t="s">
        <v>3485</v>
      </c>
      <c r="E1336" t="s">
        <v>3532</v>
      </c>
      <c r="F1336">
        <v>0</v>
      </c>
      <c r="G1336" t="s">
        <v>3532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4611</v>
      </c>
      <c r="B1337" t="s">
        <v>3498</v>
      </c>
      <c r="C1337">
        <v>2020</v>
      </c>
      <c r="D1337" t="s">
        <v>3485</v>
      </c>
      <c r="E1337" t="s">
        <v>3523</v>
      </c>
      <c r="F1337">
        <v>0</v>
      </c>
      <c r="G1337" t="s">
        <v>879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4612</v>
      </c>
      <c r="B1338" t="s">
        <v>3498</v>
      </c>
      <c r="C1338">
        <v>2020</v>
      </c>
      <c r="D1338" t="s">
        <v>3504</v>
      </c>
      <c r="E1338" t="s">
        <v>3615</v>
      </c>
      <c r="F1338">
        <v>180</v>
      </c>
      <c r="G1338" t="s">
        <v>3615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4613</v>
      </c>
      <c r="B1339" t="s">
        <v>3498</v>
      </c>
      <c r="C1339">
        <v>2020</v>
      </c>
      <c r="D1339" t="s">
        <v>3504</v>
      </c>
      <c r="E1339" t="s">
        <v>3503</v>
      </c>
      <c r="F1339">
        <v>0</v>
      </c>
      <c r="G1339" t="s">
        <v>895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3135</v>
      </c>
      <c r="B1340" t="s">
        <v>3498</v>
      </c>
      <c r="C1340">
        <v>2020</v>
      </c>
      <c r="D1340" t="s">
        <v>3504</v>
      </c>
      <c r="E1340" t="s">
        <v>865</v>
      </c>
      <c r="F1340">
        <v>191</v>
      </c>
      <c r="G1340" t="s">
        <v>865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1410</v>
      </c>
      <c r="B1341" t="s">
        <v>3498</v>
      </c>
      <c r="C1341">
        <v>2020</v>
      </c>
      <c r="D1341" t="s">
        <v>3502</v>
      </c>
      <c r="E1341" t="s">
        <v>892</v>
      </c>
      <c r="F1341">
        <v>484</v>
      </c>
      <c r="G1341" t="s">
        <v>892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>
      <c r="A1342" t="s">
        <v>1582</v>
      </c>
      <c r="B1342" t="s">
        <v>3498</v>
      </c>
      <c r="C1342">
        <v>2020</v>
      </c>
      <c r="D1342" t="s">
        <v>3502</v>
      </c>
      <c r="E1342" t="s">
        <v>876</v>
      </c>
      <c r="F1342">
        <v>720</v>
      </c>
      <c r="G1342" t="s">
        <v>876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>
      <c r="A1343" t="s">
        <v>4614</v>
      </c>
      <c r="B1343" t="s">
        <v>3498</v>
      </c>
      <c r="C1343">
        <v>2020</v>
      </c>
      <c r="D1343" t="s">
        <v>3502</v>
      </c>
      <c r="E1343" t="s">
        <v>863</v>
      </c>
      <c r="F1343">
        <v>46</v>
      </c>
      <c r="G1343" t="s">
        <v>863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4615</v>
      </c>
      <c r="B1344" t="s">
        <v>3498</v>
      </c>
      <c r="C1344">
        <v>2020</v>
      </c>
      <c r="D1344" t="s">
        <v>3504</v>
      </c>
      <c r="E1344" t="s">
        <v>3532</v>
      </c>
      <c r="F1344">
        <v>323</v>
      </c>
      <c r="G1344" t="s">
        <v>3532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>
      <c r="A1345" t="s">
        <v>4616</v>
      </c>
      <c r="B1345" t="s">
        <v>3498</v>
      </c>
      <c r="C1345">
        <v>2020</v>
      </c>
      <c r="D1345" t="s">
        <v>3504</v>
      </c>
      <c r="E1345" t="s">
        <v>3730</v>
      </c>
      <c r="F1345">
        <v>511</v>
      </c>
      <c r="G1345" t="s">
        <v>3730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>
      <c r="A1346" t="s">
        <v>2639</v>
      </c>
      <c r="B1346" t="s">
        <v>3498</v>
      </c>
      <c r="C1346">
        <v>2020</v>
      </c>
      <c r="D1346" t="s">
        <v>3504</v>
      </c>
      <c r="E1346" t="s">
        <v>886</v>
      </c>
      <c r="F1346">
        <v>90</v>
      </c>
      <c r="G1346" t="s">
        <v>886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>
      <c r="A1347" t="s">
        <v>4617</v>
      </c>
      <c r="B1347" t="s">
        <v>3498</v>
      </c>
      <c r="C1347">
        <v>2020</v>
      </c>
      <c r="D1347" t="s">
        <v>3504</v>
      </c>
      <c r="E1347" t="s">
        <v>896</v>
      </c>
      <c r="F1347">
        <v>90</v>
      </c>
      <c r="G1347" t="s">
        <v>896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4618</v>
      </c>
      <c r="B1348" t="s">
        <v>3498</v>
      </c>
      <c r="C1348">
        <v>2020</v>
      </c>
      <c r="D1348" t="s">
        <v>3485</v>
      </c>
      <c r="E1348" t="s">
        <v>896</v>
      </c>
      <c r="F1348">
        <v>0</v>
      </c>
      <c r="G1348" t="s">
        <v>896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4619</v>
      </c>
      <c r="B1349" t="s">
        <v>3498</v>
      </c>
      <c r="C1349">
        <v>2020</v>
      </c>
      <c r="D1349" t="s">
        <v>3485</v>
      </c>
      <c r="E1349" t="s">
        <v>3730</v>
      </c>
      <c r="F1349">
        <v>0</v>
      </c>
      <c r="G1349" t="s">
        <v>3730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2007</v>
      </c>
      <c r="B1350" t="s">
        <v>3498</v>
      </c>
      <c r="C1350">
        <v>2020</v>
      </c>
      <c r="D1350" t="s">
        <v>3485</v>
      </c>
      <c r="E1350" t="s">
        <v>871</v>
      </c>
      <c r="F1350">
        <v>0</v>
      </c>
      <c r="G1350" t="s">
        <v>871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4620</v>
      </c>
      <c r="B1351" t="s">
        <v>3498</v>
      </c>
      <c r="C1351">
        <v>2020</v>
      </c>
      <c r="D1351" t="s">
        <v>3499</v>
      </c>
      <c r="E1351" t="s">
        <v>3555</v>
      </c>
      <c r="F1351">
        <v>241</v>
      </c>
      <c r="G1351" t="s">
        <v>3555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>
      <c r="A1352" t="s">
        <v>4621</v>
      </c>
      <c r="B1352" t="s">
        <v>3498</v>
      </c>
      <c r="C1352">
        <v>2020</v>
      </c>
      <c r="D1352" t="s">
        <v>3499</v>
      </c>
      <c r="E1352" t="s">
        <v>3569</v>
      </c>
      <c r="F1352">
        <v>110</v>
      </c>
      <c r="G1352" t="s">
        <v>3569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4622</v>
      </c>
      <c r="B1353" t="s">
        <v>3498</v>
      </c>
      <c r="C1353">
        <v>2020</v>
      </c>
      <c r="D1353" t="s">
        <v>3502</v>
      </c>
      <c r="E1353" t="s">
        <v>3506</v>
      </c>
      <c r="F1353">
        <v>900</v>
      </c>
      <c r="G1353" t="s">
        <v>3506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>
      <c r="A1354" t="s">
        <v>4623</v>
      </c>
      <c r="B1354" t="s">
        <v>3498</v>
      </c>
      <c r="C1354">
        <v>2020</v>
      </c>
      <c r="D1354" t="s">
        <v>3502</v>
      </c>
      <c r="E1354" t="s">
        <v>872</v>
      </c>
      <c r="F1354">
        <v>90</v>
      </c>
      <c r="G1354" t="s">
        <v>872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4624</v>
      </c>
      <c r="B1355" t="s">
        <v>3498</v>
      </c>
      <c r="C1355">
        <v>2020</v>
      </c>
      <c r="D1355" t="s">
        <v>3502</v>
      </c>
      <c r="E1355" t="s">
        <v>3599</v>
      </c>
      <c r="F1355">
        <v>25</v>
      </c>
      <c r="G1355" t="s">
        <v>3599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4625</v>
      </c>
      <c r="B1356" t="s">
        <v>3498</v>
      </c>
      <c r="C1356">
        <v>2020</v>
      </c>
      <c r="D1356" t="s">
        <v>3499</v>
      </c>
      <c r="E1356" t="s">
        <v>3508</v>
      </c>
      <c r="F1356">
        <v>320</v>
      </c>
      <c r="G1356" t="s">
        <v>3508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>
      <c r="A1357" t="s">
        <v>4626</v>
      </c>
      <c r="B1357" t="s">
        <v>3498</v>
      </c>
      <c r="C1357">
        <v>2020</v>
      </c>
      <c r="D1357" t="s">
        <v>3502</v>
      </c>
      <c r="E1357" t="s">
        <v>3599</v>
      </c>
      <c r="F1357">
        <v>90</v>
      </c>
      <c r="G1357" t="s">
        <v>3599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4627</v>
      </c>
      <c r="B1358" t="s">
        <v>3498</v>
      </c>
      <c r="C1358">
        <v>2020</v>
      </c>
      <c r="D1358" t="s">
        <v>3504</v>
      </c>
      <c r="E1358" t="s">
        <v>3599</v>
      </c>
      <c r="F1358">
        <v>72</v>
      </c>
      <c r="G1358" t="s">
        <v>3599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4628</v>
      </c>
      <c r="B1359" t="s">
        <v>3498</v>
      </c>
      <c r="C1359">
        <v>2020</v>
      </c>
      <c r="D1359" t="s">
        <v>3502</v>
      </c>
      <c r="E1359" t="s">
        <v>3555</v>
      </c>
      <c r="F1359">
        <v>630</v>
      </c>
      <c r="G1359" t="s">
        <v>3555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>
      <c r="A1360" t="s">
        <v>4629</v>
      </c>
      <c r="B1360" t="s">
        <v>3498</v>
      </c>
      <c r="C1360">
        <v>2020</v>
      </c>
      <c r="D1360" t="s">
        <v>3504</v>
      </c>
      <c r="E1360" t="s">
        <v>892</v>
      </c>
      <c r="F1360">
        <v>0</v>
      </c>
      <c r="G1360" t="s">
        <v>892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4630</v>
      </c>
      <c r="B1361" t="s">
        <v>3498</v>
      </c>
      <c r="C1361">
        <v>2020</v>
      </c>
      <c r="D1361" t="s">
        <v>3502</v>
      </c>
      <c r="E1361" t="s">
        <v>3592</v>
      </c>
      <c r="F1361">
        <v>810</v>
      </c>
      <c r="G1361" t="s">
        <v>3592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4631</v>
      </c>
      <c r="B1362" t="s">
        <v>3498</v>
      </c>
      <c r="C1362">
        <v>2020</v>
      </c>
      <c r="D1362" t="s">
        <v>3502</v>
      </c>
      <c r="E1362" t="s">
        <v>878</v>
      </c>
      <c r="F1362">
        <v>0</v>
      </c>
      <c r="G1362" t="s">
        <v>878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4632</v>
      </c>
      <c r="B1363" t="s">
        <v>3498</v>
      </c>
      <c r="C1363">
        <v>2020</v>
      </c>
      <c r="D1363" t="s">
        <v>3502</v>
      </c>
      <c r="E1363" t="s">
        <v>878</v>
      </c>
      <c r="F1363">
        <v>240</v>
      </c>
      <c r="G1363" t="s">
        <v>878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4633</v>
      </c>
      <c r="B1364" t="s">
        <v>3498</v>
      </c>
      <c r="C1364">
        <v>2020</v>
      </c>
      <c r="D1364" t="s">
        <v>3502</v>
      </c>
      <c r="E1364" t="s">
        <v>862</v>
      </c>
      <c r="F1364">
        <v>727</v>
      </c>
      <c r="G1364" t="s">
        <v>862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>
      <c r="A1365" t="s">
        <v>4634</v>
      </c>
      <c r="B1365" t="s">
        <v>3498</v>
      </c>
      <c r="C1365">
        <v>2020</v>
      </c>
      <c r="D1365" t="s">
        <v>3504</v>
      </c>
      <c r="E1365" t="s">
        <v>3535</v>
      </c>
      <c r="F1365">
        <v>18</v>
      </c>
      <c r="G1365" t="s">
        <v>3535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4635</v>
      </c>
      <c r="B1366" t="s">
        <v>3498</v>
      </c>
      <c r="C1366">
        <v>2020</v>
      </c>
      <c r="D1366" t="s">
        <v>3485</v>
      </c>
      <c r="E1366" t="s">
        <v>3510</v>
      </c>
      <c r="F1366">
        <v>0</v>
      </c>
      <c r="G1366" t="s">
        <v>872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1094</v>
      </c>
      <c r="B1367" t="s">
        <v>3498</v>
      </c>
      <c r="C1367">
        <v>2020</v>
      </c>
      <c r="D1367" t="s">
        <v>3499</v>
      </c>
      <c r="E1367" t="s">
        <v>876</v>
      </c>
      <c r="F1367">
        <v>496</v>
      </c>
      <c r="G1367" t="s">
        <v>876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>
      <c r="A1368" t="s">
        <v>4636</v>
      </c>
      <c r="B1368" t="s">
        <v>3498</v>
      </c>
      <c r="C1368">
        <v>2020</v>
      </c>
      <c r="D1368" t="s">
        <v>3502</v>
      </c>
      <c r="E1368" t="s">
        <v>3546</v>
      </c>
      <c r="F1368">
        <v>180</v>
      </c>
      <c r="G1368" t="s">
        <v>3546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4637</v>
      </c>
      <c r="B1369" t="s">
        <v>3498</v>
      </c>
      <c r="C1369">
        <v>2020</v>
      </c>
      <c r="D1369" t="s">
        <v>3502</v>
      </c>
      <c r="E1369" t="s">
        <v>3632</v>
      </c>
      <c r="F1369">
        <v>755</v>
      </c>
      <c r="G1369" t="s">
        <v>3632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>
      <c r="A1370" t="s">
        <v>2112</v>
      </c>
      <c r="B1370" t="s">
        <v>3498</v>
      </c>
      <c r="C1370">
        <v>2020</v>
      </c>
      <c r="D1370" t="s">
        <v>3502</v>
      </c>
      <c r="E1370" t="s">
        <v>862</v>
      </c>
      <c r="F1370">
        <v>890</v>
      </c>
      <c r="G1370" t="s">
        <v>862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>
      <c r="A1371" t="s">
        <v>4638</v>
      </c>
      <c r="B1371" t="s">
        <v>3498</v>
      </c>
      <c r="C1371">
        <v>2020</v>
      </c>
      <c r="D1371" t="s">
        <v>3502</v>
      </c>
      <c r="E1371" t="s">
        <v>862</v>
      </c>
      <c r="F1371">
        <v>0</v>
      </c>
      <c r="G1371" t="s">
        <v>862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4639</v>
      </c>
      <c r="B1372" t="s">
        <v>3498</v>
      </c>
      <c r="C1372">
        <v>2020</v>
      </c>
      <c r="D1372" t="s">
        <v>3504</v>
      </c>
      <c r="E1372" t="s">
        <v>3532</v>
      </c>
      <c r="F1372">
        <v>46</v>
      </c>
      <c r="G1372" t="s">
        <v>3532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4640</v>
      </c>
      <c r="B1373" t="s">
        <v>3498</v>
      </c>
      <c r="C1373">
        <v>2020</v>
      </c>
      <c r="D1373" t="s">
        <v>3502</v>
      </c>
      <c r="E1373" t="s">
        <v>895</v>
      </c>
      <c r="F1373">
        <v>180</v>
      </c>
      <c r="G1373" t="s">
        <v>895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2922</v>
      </c>
      <c r="B1374" t="s">
        <v>3498</v>
      </c>
      <c r="C1374">
        <v>2020</v>
      </c>
      <c r="D1374" t="s">
        <v>3499</v>
      </c>
      <c r="E1374" t="s">
        <v>878</v>
      </c>
      <c r="F1374">
        <v>203</v>
      </c>
      <c r="G1374" t="s">
        <v>878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>
      <c r="A1375" t="s">
        <v>163</v>
      </c>
      <c r="B1375" t="s">
        <v>3498</v>
      </c>
      <c r="C1375">
        <v>2020</v>
      </c>
      <c r="D1375" t="s">
        <v>3502</v>
      </c>
      <c r="E1375" t="s">
        <v>879</v>
      </c>
      <c r="F1375">
        <v>450</v>
      </c>
      <c r="G1375" t="s">
        <v>879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>
      <c r="A1376" t="s">
        <v>4641</v>
      </c>
      <c r="B1376" t="s">
        <v>3498</v>
      </c>
      <c r="C1376">
        <v>2020</v>
      </c>
      <c r="D1376" t="s">
        <v>3502</v>
      </c>
      <c r="E1376" t="s">
        <v>866</v>
      </c>
      <c r="F1376">
        <v>90</v>
      </c>
      <c r="G1376" t="s">
        <v>866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>
      <c r="A1377" t="s">
        <v>4642</v>
      </c>
      <c r="B1377" t="s">
        <v>3498</v>
      </c>
      <c r="C1377">
        <v>2020</v>
      </c>
      <c r="D1377" t="s">
        <v>3485</v>
      </c>
      <c r="E1377" t="s">
        <v>3503</v>
      </c>
      <c r="F1377">
        <v>0</v>
      </c>
      <c r="G1377" t="s">
        <v>3503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4643</v>
      </c>
      <c r="B1378" t="s">
        <v>3498</v>
      </c>
      <c r="C1378">
        <v>2020</v>
      </c>
      <c r="D1378" t="s">
        <v>3499</v>
      </c>
      <c r="E1378" t="s">
        <v>3615</v>
      </c>
      <c r="F1378">
        <v>289</v>
      </c>
      <c r="G1378" t="s">
        <v>3615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>
      <c r="A1379" t="s">
        <v>4644</v>
      </c>
      <c r="B1379" t="s">
        <v>3498</v>
      </c>
      <c r="C1379">
        <v>2020</v>
      </c>
      <c r="D1379" t="s">
        <v>3502</v>
      </c>
      <c r="E1379" t="s">
        <v>3503</v>
      </c>
      <c r="F1379">
        <v>366</v>
      </c>
      <c r="G1379" t="s">
        <v>3503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>
      <c r="A1380" t="s">
        <v>4645</v>
      </c>
      <c r="B1380" t="s">
        <v>3498</v>
      </c>
      <c r="C1380">
        <v>2020</v>
      </c>
      <c r="D1380" t="s">
        <v>3499</v>
      </c>
      <c r="E1380" t="s">
        <v>896</v>
      </c>
      <c r="F1380">
        <v>111</v>
      </c>
      <c r="G1380" t="s">
        <v>896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>
      <c r="A1381" t="s">
        <v>4646</v>
      </c>
      <c r="B1381" t="s">
        <v>3498</v>
      </c>
      <c r="C1381">
        <v>2020</v>
      </c>
      <c r="D1381" t="s">
        <v>3499</v>
      </c>
      <c r="E1381" t="s">
        <v>882</v>
      </c>
      <c r="F1381">
        <v>90</v>
      </c>
      <c r="G1381" t="s">
        <v>882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4647</v>
      </c>
      <c r="B1382" t="s">
        <v>3498</v>
      </c>
      <c r="C1382">
        <v>2020</v>
      </c>
      <c r="D1382" t="s">
        <v>3504</v>
      </c>
      <c r="E1382" t="s">
        <v>882</v>
      </c>
      <c r="F1382">
        <v>0</v>
      </c>
      <c r="G1382" t="s">
        <v>882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4648</v>
      </c>
      <c r="B1383" t="s">
        <v>3498</v>
      </c>
      <c r="C1383">
        <v>2020</v>
      </c>
      <c r="D1383" t="s">
        <v>3502</v>
      </c>
      <c r="E1383" t="s">
        <v>896</v>
      </c>
      <c r="F1383">
        <v>0</v>
      </c>
      <c r="G1383" t="s">
        <v>896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4649</v>
      </c>
      <c r="B1384" t="s">
        <v>3498</v>
      </c>
      <c r="C1384">
        <v>2020</v>
      </c>
      <c r="D1384" t="s">
        <v>3504</v>
      </c>
      <c r="E1384" t="s">
        <v>3602</v>
      </c>
      <c r="F1384">
        <v>640</v>
      </c>
      <c r="G1384" t="s">
        <v>3602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>
      <c r="A1385" t="s">
        <v>4650</v>
      </c>
      <c r="B1385" t="s">
        <v>3498</v>
      </c>
      <c r="C1385">
        <v>2020</v>
      </c>
      <c r="D1385" t="s">
        <v>3504</v>
      </c>
      <c r="E1385" t="s">
        <v>3648</v>
      </c>
      <c r="F1385">
        <v>184</v>
      </c>
      <c r="G1385" t="s">
        <v>3648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4651</v>
      </c>
      <c r="B1386" t="s">
        <v>3498</v>
      </c>
      <c r="C1386">
        <v>2020</v>
      </c>
      <c r="D1386" t="s">
        <v>3502</v>
      </c>
      <c r="E1386" t="s">
        <v>888</v>
      </c>
      <c r="F1386">
        <v>180</v>
      </c>
      <c r="G1386" t="s">
        <v>888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4652</v>
      </c>
      <c r="B1387" t="s">
        <v>3498</v>
      </c>
      <c r="C1387">
        <v>2020</v>
      </c>
      <c r="D1387" t="s">
        <v>3504</v>
      </c>
      <c r="E1387" t="s">
        <v>866</v>
      </c>
      <c r="F1387">
        <v>5</v>
      </c>
      <c r="G1387" t="s">
        <v>866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4653</v>
      </c>
      <c r="B1388" t="s">
        <v>3498</v>
      </c>
      <c r="C1388">
        <v>2020</v>
      </c>
      <c r="D1388" t="s">
        <v>3502</v>
      </c>
      <c r="E1388" t="s">
        <v>3532</v>
      </c>
      <c r="F1388">
        <v>299</v>
      </c>
      <c r="G1388" t="s">
        <v>3532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4654</v>
      </c>
      <c r="B1389" t="s">
        <v>3498</v>
      </c>
      <c r="C1389">
        <v>2020</v>
      </c>
      <c r="D1389" t="s">
        <v>3504</v>
      </c>
      <c r="E1389" t="s">
        <v>3592</v>
      </c>
      <c r="F1389">
        <v>593</v>
      </c>
      <c r="G1389" t="s">
        <v>3592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75</v>
      </c>
      <c r="B1390" t="s">
        <v>3498</v>
      </c>
      <c r="C1390">
        <v>2020</v>
      </c>
      <c r="D1390" t="s">
        <v>3499</v>
      </c>
      <c r="E1390" t="s">
        <v>871</v>
      </c>
      <c r="F1390">
        <v>378</v>
      </c>
      <c r="G1390" t="s">
        <v>871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>
      <c r="A1391" t="s">
        <v>4655</v>
      </c>
      <c r="B1391" t="s">
        <v>3498</v>
      </c>
      <c r="C1391">
        <v>2020</v>
      </c>
      <c r="D1391" t="s">
        <v>3504</v>
      </c>
      <c r="E1391" t="s">
        <v>3546</v>
      </c>
      <c r="F1391">
        <v>155</v>
      </c>
      <c r="G1391" t="s">
        <v>3546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>
      <c r="A1392" t="s">
        <v>4656</v>
      </c>
      <c r="B1392" t="s">
        <v>3498</v>
      </c>
      <c r="C1392">
        <v>2020</v>
      </c>
      <c r="D1392" t="s">
        <v>3502</v>
      </c>
      <c r="E1392" t="s">
        <v>3515</v>
      </c>
      <c r="F1392">
        <v>126</v>
      </c>
      <c r="G1392" t="s">
        <v>3515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4657</v>
      </c>
      <c r="B1393" t="s">
        <v>3498</v>
      </c>
      <c r="C1393">
        <v>2020</v>
      </c>
      <c r="D1393" t="s">
        <v>3502</v>
      </c>
      <c r="E1393" t="s">
        <v>3515</v>
      </c>
      <c r="F1393">
        <v>900</v>
      </c>
      <c r="G1393" t="s">
        <v>3515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4658</v>
      </c>
      <c r="B1394" t="s">
        <v>3498</v>
      </c>
      <c r="C1394">
        <v>2020</v>
      </c>
      <c r="D1394" t="s">
        <v>3504</v>
      </c>
      <c r="E1394" t="s">
        <v>3515</v>
      </c>
      <c r="F1394">
        <v>385</v>
      </c>
      <c r="G1394" t="s">
        <v>3515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>
      <c r="A1395" t="s">
        <v>4659</v>
      </c>
      <c r="B1395" t="s">
        <v>3498</v>
      </c>
      <c r="C1395">
        <v>2020</v>
      </c>
      <c r="D1395" t="s">
        <v>3502</v>
      </c>
      <c r="E1395" t="s">
        <v>3537</v>
      </c>
      <c r="F1395">
        <v>90</v>
      </c>
      <c r="G1395" t="s">
        <v>3537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4660</v>
      </c>
      <c r="B1396" t="s">
        <v>3498</v>
      </c>
      <c r="C1396">
        <v>2020</v>
      </c>
      <c r="D1396" t="s">
        <v>3504</v>
      </c>
      <c r="E1396" t="s">
        <v>3537</v>
      </c>
      <c r="F1396">
        <v>96</v>
      </c>
      <c r="G1396" t="s">
        <v>3537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4661</v>
      </c>
      <c r="B1397" t="s">
        <v>3498</v>
      </c>
      <c r="C1397">
        <v>2020</v>
      </c>
      <c r="D1397" t="s">
        <v>3504</v>
      </c>
      <c r="E1397" t="s">
        <v>3599</v>
      </c>
      <c r="F1397">
        <v>9</v>
      </c>
      <c r="G1397" t="s">
        <v>3599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4662</v>
      </c>
      <c r="B1398" t="s">
        <v>3498</v>
      </c>
      <c r="C1398">
        <v>2020</v>
      </c>
      <c r="D1398" t="s">
        <v>3504</v>
      </c>
      <c r="E1398" t="s">
        <v>3526</v>
      </c>
      <c r="F1398">
        <v>90</v>
      </c>
      <c r="G1398" t="s">
        <v>3526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>
      <c r="A1399" t="s">
        <v>4663</v>
      </c>
      <c r="B1399" t="s">
        <v>3498</v>
      </c>
      <c r="C1399">
        <v>2020</v>
      </c>
      <c r="D1399" t="s">
        <v>3502</v>
      </c>
      <c r="E1399" t="s">
        <v>897</v>
      </c>
      <c r="F1399">
        <v>450</v>
      </c>
      <c r="G1399" t="s">
        <v>897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>
      <c r="A1400" t="s">
        <v>4664</v>
      </c>
      <c r="B1400" t="s">
        <v>3498</v>
      </c>
      <c r="C1400">
        <v>2020</v>
      </c>
      <c r="D1400" t="s">
        <v>3504</v>
      </c>
      <c r="E1400" t="s">
        <v>3730</v>
      </c>
      <c r="F1400">
        <v>267</v>
      </c>
      <c r="G1400" t="s">
        <v>3730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4665</v>
      </c>
      <c r="B1401" t="s">
        <v>3498</v>
      </c>
      <c r="C1401">
        <v>2020</v>
      </c>
      <c r="D1401" t="s">
        <v>3485</v>
      </c>
      <c r="E1401" t="s">
        <v>3730</v>
      </c>
      <c r="F1401">
        <v>0</v>
      </c>
      <c r="G1401" t="s">
        <v>3730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4666</v>
      </c>
      <c r="B1402" t="s">
        <v>3498</v>
      </c>
      <c r="C1402">
        <v>2020</v>
      </c>
      <c r="D1402" t="s">
        <v>3504</v>
      </c>
      <c r="E1402" t="s">
        <v>3526</v>
      </c>
      <c r="F1402">
        <v>190</v>
      </c>
      <c r="G1402" t="s">
        <v>3526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4667</v>
      </c>
      <c r="B1403" t="s">
        <v>3498</v>
      </c>
      <c r="C1403">
        <v>2020</v>
      </c>
      <c r="D1403" t="s">
        <v>3504</v>
      </c>
      <c r="E1403" t="s">
        <v>880</v>
      </c>
      <c r="F1403">
        <v>0</v>
      </c>
      <c r="G1403" t="s">
        <v>880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4668</v>
      </c>
      <c r="B1404" t="s">
        <v>3498</v>
      </c>
      <c r="C1404">
        <v>2020</v>
      </c>
      <c r="D1404" t="s">
        <v>3504</v>
      </c>
      <c r="E1404" t="s">
        <v>3549</v>
      </c>
      <c r="F1404">
        <v>60</v>
      </c>
      <c r="G1404" t="s">
        <v>869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>
      <c r="A1405" t="s">
        <v>2625</v>
      </c>
      <c r="B1405" t="s">
        <v>3498</v>
      </c>
      <c r="C1405">
        <v>2020</v>
      </c>
      <c r="D1405" t="s">
        <v>3502</v>
      </c>
      <c r="E1405" t="s">
        <v>886</v>
      </c>
      <c r="F1405">
        <v>610</v>
      </c>
      <c r="G1405" t="s">
        <v>886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>
      <c r="A1406" t="s">
        <v>2147</v>
      </c>
      <c r="B1406" t="s">
        <v>3498</v>
      </c>
      <c r="C1406">
        <v>2020</v>
      </c>
      <c r="D1406" t="s">
        <v>3485</v>
      </c>
      <c r="E1406" t="s">
        <v>891</v>
      </c>
      <c r="F1406">
        <v>0</v>
      </c>
      <c r="G1406" t="s">
        <v>891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1119</v>
      </c>
      <c r="B1407" t="s">
        <v>3498</v>
      </c>
      <c r="C1407">
        <v>2020</v>
      </c>
      <c r="D1407" t="s">
        <v>3499</v>
      </c>
      <c r="E1407" t="s">
        <v>885</v>
      </c>
      <c r="F1407">
        <v>299</v>
      </c>
      <c r="G1407" t="s">
        <v>885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>
      <c r="A1408" t="s">
        <v>4669</v>
      </c>
      <c r="B1408" t="s">
        <v>3498</v>
      </c>
      <c r="C1408">
        <v>2020</v>
      </c>
      <c r="D1408" t="s">
        <v>3499</v>
      </c>
      <c r="E1408" t="s">
        <v>3569</v>
      </c>
      <c r="F1408">
        <v>21</v>
      </c>
      <c r="G1408" t="s">
        <v>3569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4670</v>
      </c>
      <c r="B1409" t="s">
        <v>3498</v>
      </c>
      <c r="C1409">
        <v>2020</v>
      </c>
      <c r="D1409" t="s">
        <v>3502</v>
      </c>
      <c r="E1409" t="s">
        <v>3569</v>
      </c>
      <c r="F1409">
        <v>180</v>
      </c>
      <c r="G1409" t="s">
        <v>3569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4671</v>
      </c>
      <c r="B1410" t="s">
        <v>3498</v>
      </c>
      <c r="C1410">
        <v>2020</v>
      </c>
      <c r="D1410" t="s">
        <v>3502</v>
      </c>
      <c r="E1410" t="s">
        <v>870</v>
      </c>
      <c r="F1410">
        <v>0</v>
      </c>
      <c r="G1410" t="s">
        <v>870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2286</v>
      </c>
      <c r="B1411" t="s">
        <v>3498</v>
      </c>
      <c r="C1411">
        <v>2020</v>
      </c>
      <c r="D1411" t="s">
        <v>3504</v>
      </c>
      <c r="E1411" t="s">
        <v>880</v>
      </c>
      <c r="F1411">
        <v>22</v>
      </c>
      <c r="G1411" t="s">
        <v>880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4672</v>
      </c>
      <c r="B1412" t="s">
        <v>3498</v>
      </c>
      <c r="C1412">
        <v>2020</v>
      </c>
      <c r="D1412" t="s">
        <v>3502</v>
      </c>
      <c r="E1412" t="s">
        <v>3526</v>
      </c>
      <c r="F1412">
        <v>0</v>
      </c>
      <c r="G1412" t="s">
        <v>3526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4673</v>
      </c>
      <c r="B1413" t="s">
        <v>3498</v>
      </c>
      <c r="C1413">
        <v>2020</v>
      </c>
      <c r="D1413" t="s">
        <v>3485</v>
      </c>
      <c r="E1413" t="s">
        <v>3520</v>
      </c>
      <c r="F1413">
        <v>345</v>
      </c>
      <c r="G1413" t="s">
        <v>3520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4674</v>
      </c>
      <c r="B1414" t="s">
        <v>3498</v>
      </c>
      <c r="C1414">
        <v>2020</v>
      </c>
      <c r="D1414" t="s">
        <v>3504</v>
      </c>
      <c r="E1414" t="s">
        <v>3526</v>
      </c>
      <c r="F1414">
        <v>0</v>
      </c>
      <c r="G1414" t="s">
        <v>3526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4675</v>
      </c>
      <c r="B1415" t="s">
        <v>3498</v>
      </c>
      <c r="C1415">
        <v>2020</v>
      </c>
      <c r="D1415" t="s">
        <v>3502</v>
      </c>
      <c r="E1415" t="s">
        <v>3526</v>
      </c>
      <c r="F1415">
        <v>90</v>
      </c>
      <c r="G1415" t="s">
        <v>3526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4676</v>
      </c>
      <c r="B1416" t="s">
        <v>3498</v>
      </c>
      <c r="C1416">
        <v>2020</v>
      </c>
      <c r="D1416" t="s">
        <v>3499</v>
      </c>
      <c r="E1416" t="s">
        <v>882</v>
      </c>
      <c r="F1416">
        <v>8</v>
      </c>
      <c r="G1416" t="s">
        <v>882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4677</v>
      </c>
      <c r="B1417" t="s">
        <v>3498</v>
      </c>
      <c r="C1417">
        <v>2020</v>
      </c>
      <c r="D1417" t="s">
        <v>3502</v>
      </c>
      <c r="E1417" t="s">
        <v>896</v>
      </c>
      <c r="F1417">
        <v>810</v>
      </c>
      <c r="G1417" t="s">
        <v>896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>
      <c r="A1418" t="s">
        <v>4678</v>
      </c>
      <c r="B1418" t="s">
        <v>3498</v>
      </c>
      <c r="C1418">
        <v>2020</v>
      </c>
      <c r="D1418" t="s">
        <v>3499</v>
      </c>
      <c r="E1418" t="s">
        <v>3529</v>
      </c>
      <c r="F1418">
        <v>0</v>
      </c>
      <c r="G1418" t="s">
        <v>3530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4679</v>
      </c>
      <c r="B1419" t="s">
        <v>3498</v>
      </c>
      <c r="C1419">
        <v>2020</v>
      </c>
      <c r="D1419" t="s">
        <v>3504</v>
      </c>
      <c r="E1419" t="s">
        <v>880</v>
      </c>
      <c r="F1419">
        <v>0</v>
      </c>
      <c r="G1419" t="s">
        <v>880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3230</v>
      </c>
      <c r="B1420" t="s">
        <v>3498</v>
      </c>
      <c r="C1420">
        <v>2020</v>
      </c>
      <c r="D1420" t="s">
        <v>3504</v>
      </c>
      <c r="E1420" t="s">
        <v>3526</v>
      </c>
      <c r="F1420">
        <v>0</v>
      </c>
      <c r="G1420" t="s">
        <v>3526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4680</v>
      </c>
      <c r="B1421" t="s">
        <v>3498</v>
      </c>
      <c r="C1421">
        <v>2020</v>
      </c>
      <c r="D1421" t="s">
        <v>3499</v>
      </c>
      <c r="E1421" t="s">
        <v>3632</v>
      </c>
      <c r="F1421">
        <v>540</v>
      </c>
      <c r="G1421" t="s">
        <v>3632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>
      <c r="A1422" t="s">
        <v>4681</v>
      </c>
      <c r="B1422" t="s">
        <v>3498</v>
      </c>
      <c r="C1422">
        <v>2020</v>
      </c>
      <c r="D1422" t="s">
        <v>3502</v>
      </c>
      <c r="E1422" t="s">
        <v>3648</v>
      </c>
      <c r="F1422">
        <v>81</v>
      </c>
      <c r="G1422" t="s">
        <v>3648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4682</v>
      </c>
      <c r="B1423" t="s">
        <v>3498</v>
      </c>
      <c r="C1423">
        <v>2020</v>
      </c>
      <c r="D1423" t="s">
        <v>3504</v>
      </c>
      <c r="E1423" t="s">
        <v>3510</v>
      </c>
      <c r="F1423">
        <v>0</v>
      </c>
      <c r="G1423" t="s">
        <v>3510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4683</v>
      </c>
      <c r="B1424" t="s">
        <v>3498</v>
      </c>
      <c r="C1424">
        <v>2020</v>
      </c>
      <c r="D1424" t="s">
        <v>3504</v>
      </c>
      <c r="E1424" t="s">
        <v>3529</v>
      </c>
      <c r="F1424">
        <v>751</v>
      </c>
      <c r="G1424" t="s">
        <v>3530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>
      <c r="A1425" t="s">
        <v>4684</v>
      </c>
      <c r="B1425" t="s">
        <v>3498</v>
      </c>
      <c r="C1425">
        <v>2020</v>
      </c>
      <c r="D1425" t="s">
        <v>3485</v>
      </c>
      <c r="E1425" t="s">
        <v>3532</v>
      </c>
      <c r="F1425">
        <v>0</v>
      </c>
      <c r="G1425" t="s">
        <v>3532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4685</v>
      </c>
      <c r="B1426" t="s">
        <v>3498</v>
      </c>
      <c r="C1426">
        <v>2020</v>
      </c>
      <c r="D1426" t="s">
        <v>3504</v>
      </c>
      <c r="E1426" t="s">
        <v>3520</v>
      </c>
      <c r="F1426">
        <v>180</v>
      </c>
      <c r="G1426" t="s">
        <v>3520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4686</v>
      </c>
      <c r="B1427" t="s">
        <v>3498</v>
      </c>
      <c r="C1427">
        <v>2020</v>
      </c>
      <c r="D1427" t="s">
        <v>3499</v>
      </c>
      <c r="E1427" t="s">
        <v>3532</v>
      </c>
      <c r="F1427">
        <v>591</v>
      </c>
      <c r="G1427" t="s">
        <v>3532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>
      <c r="A1428" t="s">
        <v>4687</v>
      </c>
      <c r="B1428" t="s">
        <v>3498</v>
      </c>
      <c r="C1428">
        <v>2020</v>
      </c>
      <c r="D1428" t="s">
        <v>3502</v>
      </c>
      <c r="E1428" t="s">
        <v>3632</v>
      </c>
      <c r="F1428">
        <v>0</v>
      </c>
      <c r="G1428" t="s">
        <v>866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4688</v>
      </c>
      <c r="B1429" t="s">
        <v>3498</v>
      </c>
      <c r="C1429">
        <v>2020</v>
      </c>
      <c r="D1429" t="s">
        <v>3504</v>
      </c>
      <c r="E1429" t="s">
        <v>896</v>
      </c>
      <c r="F1429">
        <v>32</v>
      </c>
      <c r="G1429" t="s">
        <v>896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>
      <c r="A1430" t="s">
        <v>4689</v>
      </c>
      <c r="B1430" t="s">
        <v>3498</v>
      </c>
      <c r="C1430">
        <v>2020</v>
      </c>
      <c r="D1430" t="s">
        <v>3499</v>
      </c>
      <c r="E1430" t="s">
        <v>880</v>
      </c>
      <c r="F1430">
        <v>12</v>
      </c>
      <c r="G1430" t="s">
        <v>880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4690</v>
      </c>
      <c r="B1431" t="s">
        <v>3498</v>
      </c>
      <c r="C1431">
        <v>2020</v>
      </c>
      <c r="D1431" t="s">
        <v>3504</v>
      </c>
      <c r="E1431" t="s">
        <v>3618</v>
      </c>
      <c r="F1431">
        <v>450</v>
      </c>
      <c r="G1431" t="s">
        <v>3618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>
      <c r="A1432" t="s">
        <v>4691</v>
      </c>
      <c r="B1432" t="s">
        <v>3498</v>
      </c>
      <c r="C1432">
        <v>2020</v>
      </c>
      <c r="D1432" t="s">
        <v>3504</v>
      </c>
      <c r="E1432" t="s">
        <v>3523</v>
      </c>
      <c r="F1432">
        <v>232</v>
      </c>
      <c r="G1432" t="s">
        <v>3523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>
      <c r="A1433" t="s">
        <v>4692</v>
      </c>
      <c r="B1433" t="s">
        <v>3498</v>
      </c>
      <c r="C1433">
        <v>2020</v>
      </c>
      <c r="D1433" t="s">
        <v>3504</v>
      </c>
      <c r="E1433" t="s">
        <v>3597</v>
      </c>
      <c r="F1433">
        <v>85</v>
      </c>
      <c r="G1433" t="s">
        <v>3597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4693</v>
      </c>
      <c r="B1434" t="s">
        <v>3498</v>
      </c>
      <c r="C1434">
        <v>2020</v>
      </c>
      <c r="D1434" t="s">
        <v>3504</v>
      </c>
      <c r="E1434" t="s">
        <v>3624</v>
      </c>
      <c r="F1434">
        <v>21</v>
      </c>
      <c r="G1434" t="s">
        <v>3624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4694</v>
      </c>
      <c r="B1435" t="s">
        <v>3498</v>
      </c>
      <c r="C1435">
        <v>2020</v>
      </c>
      <c r="D1435" t="s">
        <v>3499</v>
      </c>
      <c r="E1435" t="s">
        <v>863</v>
      </c>
      <c r="F1435">
        <v>180</v>
      </c>
      <c r="G1435" t="s">
        <v>863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>
      <c r="A1436" t="s">
        <v>4695</v>
      </c>
      <c r="B1436" t="s">
        <v>3498</v>
      </c>
      <c r="C1436">
        <v>2020</v>
      </c>
      <c r="D1436" t="s">
        <v>3502</v>
      </c>
      <c r="E1436" t="s">
        <v>3506</v>
      </c>
      <c r="F1436">
        <v>900</v>
      </c>
      <c r="G1436" t="s">
        <v>3506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>
      <c r="A1437" t="s">
        <v>4696</v>
      </c>
      <c r="B1437" t="s">
        <v>3498</v>
      </c>
      <c r="C1437">
        <v>2020</v>
      </c>
      <c r="D1437" t="s">
        <v>3502</v>
      </c>
      <c r="E1437" t="s">
        <v>3520</v>
      </c>
      <c r="F1437">
        <v>44</v>
      </c>
      <c r="G1437" t="s">
        <v>3520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4697</v>
      </c>
      <c r="B1438" t="s">
        <v>3498</v>
      </c>
      <c r="C1438">
        <v>2020</v>
      </c>
      <c r="D1438" t="s">
        <v>3504</v>
      </c>
      <c r="E1438" t="s">
        <v>3597</v>
      </c>
      <c r="F1438">
        <v>-26</v>
      </c>
      <c r="G1438" t="s">
        <v>3597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43</v>
      </c>
      <c r="B1439" t="s">
        <v>3498</v>
      </c>
      <c r="C1439">
        <v>2020</v>
      </c>
      <c r="D1439" t="s">
        <v>3504</v>
      </c>
      <c r="E1439" t="s">
        <v>891</v>
      </c>
      <c r="F1439">
        <v>476</v>
      </c>
      <c r="G1439" t="s">
        <v>891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4698</v>
      </c>
      <c r="B1440" t="s">
        <v>3498</v>
      </c>
      <c r="C1440">
        <v>2020</v>
      </c>
      <c r="D1440" t="s">
        <v>3499</v>
      </c>
      <c r="E1440" t="s">
        <v>886</v>
      </c>
      <c r="F1440">
        <v>90</v>
      </c>
      <c r="G1440" t="s">
        <v>886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4699</v>
      </c>
      <c r="B1441" t="s">
        <v>3498</v>
      </c>
      <c r="C1441">
        <v>2020</v>
      </c>
      <c r="D1441" t="s">
        <v>3504</v>
      </c>
      <c r="E1441" t="s">
        <v>3529</v>
      </c>
      <c r="F1441">
        <v>516</v>
      </c>
      <c r="G1441" t="s">
        <v>3530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>
      <c r="A1442" t="s">
        <v>4700</v>
      </c>
      <c r="B1442" t="s">
        <v>3498</v>
      </c>
      <c r="C1442">
        <v>2020</v>
      </c>
      <c r="D1442" t="s">
        <v>3499</v>
      </c>
      <c r="E1442" t="s">
        <v>3624</v>
      </c>
      <c r="F1442">
        <v>691</v>
      </c>
      <c r="G1442" t="s">
        <v>3624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>
      <c r="A1443" t="s">
        <v>4701</v>
      </c>
      <c r="B1443" t="s">
        <v>3498</v>
      </c>
      <c r="C1443">
        <v>2020</v>
      </c>
      <c r="D1443" t="s">
        <v>3504</v>
      </c>
      <c r="E1443" t="s">
        <v>3754</v>
      </c>
      <c r="F1443">
        <v>0</v>
      </c>
      <c r="G1443" t="s">
        <v>3754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4702</v>
      </c>
      <c r="B1444" t="s">
        <v>3498</v>
      </c>
      <c r="C1444">
        <v>2020</v>
      </c>
      <c r="D1444" t="s">
        <v>3502</v>
      </c>
      <c r="E1444" t="s">
        <v>877</v>
      </c>
      <c r="F1444">
        <v>720</v>
      </c>
      <c r="G1444" t="s">
        <v>877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>
      <c r="A1445" t="s">
        <v>1905</v>
      </c>
      <c r="B1445" t="s">
        <v>3498</v>
      </c>
      <c r="C1445">
        <v>2020</v>
      </c>
      <c r="D1445" t="s">
        <v>3499</v>
      </c>
      <c r="E1445" t="s">
        <v>877</v>
      </c>
      <c r="F1445">
        <v>0</v>
      </c>
      <c r="G1445" t="s">
        <v>877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4703</v>
      </c>
      <c r="B1446" t="s">
        <v>3498</v>
      </c>
      <c r="C1446">
        <v>2020</v>
      </c>
      <c r="D1446" t="s">
        <v>3502</v>
      </c>
      <c r="E1446" t="s">
        <v>877</v>
      </c>
      <c r="F1446">
        <v>90</v>
      </c>
      <c r="G1446" t="s">
        <v>877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>
      <c r="A1447" t="s">
        <v>4704</v>
      </c>
      <c r="B1447" t="s">
        <v>3498</v>
      </c>
      <c r="C1447">
        <v>2020</v>
      </c>
      <c r="D1447" t="s">
        <v>3499</v>
      </c>
      <c r="E1447" t="s">
        <v>876</v>
      </c>
      <c r="F1447">
        <v>44</v>
      </c>
      <c r="G1447" t="s">
        <v>876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>
      <c r="A1448" t="s">
        <v>4705</v>
      </c>
      <c r="B1448" t="s">
        <v>3498</v>
      </c>
      <c r="C1448">
        <v>2020</v>
      </c>
      <c r="D1448" t="s">
        <v>3499</v>
      </c>
      <c r="E1448" t="s">
        <v>3546</v>
      </c>
      <c r="F1448">
        <v>360</v>
      </c>
      <c r="G1448" t="s">
        <v>3546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>
      <c r="A1449" t="s">
        <v>4706</v>
      </c>
      <c r="B1449" t="s">
        <v>3498</v>
      </c>
      <c r="C1449">
        <v>2020</v>
      </c>
      <c r="D1449" t="s">
        <v>3504</v>
      </c>
      <c r="E1449" t="s">
        <v>891</v>
      </c>
      <c r="F1449">
        <v>260</v>
      </c>
      <c r="G1449" t="s">
        <v>891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4707</v>
      </c>
      <c r="B1450" t="s">
        <v>3498</v>
      </c>
      <c r="C1450">
        <v>2020</v>
      </c>
      <c r="D1450" t="s">
        <v>3499</v>
      </c>
      <c r="E1450" t="s">
        <v>891</v>
      </c>
      <c r="F1450">
        <v>25</v>
      </c>
      <c r="G1450" t="s">
        <v>891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>
      <c r="A1451" t="s">
        <v>1376</v>
      </c>
      <c r="B1451" t="s">
        <v>3498</v>
      </c>
      <c r="C1451">
        <v>2020</v>
      </c>
      <c r="D1451" t="s">
        <v>3504</v>
      </c>
      <c r="E1451" t="s">
        <v>871</v>
      </c>
      <c r="F1451">
        <v>208</v>
      </c>
      <c r="G1451" t="s">
        <v>871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>
      <c r="A1452" t="s">
        <v>4708</v>
      </c>
      <c r="B1452" t="s">
        <v>3498</v>
      </c>
      <c r="C1452">
        <v>2020</v>
      </c>
      <c r="D1452" t="s">
        <v>3504</v>
      </c>
      <c r="E1452" t="s">
        <v>892</v>
      </c>
      <c r="F1452">
        <v>14</v>
      </c>
      <c r="G1452" t="s">
        <v>892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4709</v>
      </c>
      <c r="B1453" t="s">
        <v>3498</v>
      </c>
      <c r="C1453">
        <v>2020</v>
      </c>
      <c r="D1453" t="s">
        <v>3504</v>
      </c>
      <c r="E1453" t="s">
        <v>3510</v>
      </c>
      <c r="F1453">
        <v>0</v>
      </c>
      <c r="G1453" t="s">
        <v>3510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4710</v>
      </c>
      <c r="B1454" t="s">
        <v>3498</v>
      </c>
      <c r="C1454">
        <v>2020</v>
      </c>
      <c r="D1454" t="s">
        <v>3504</v>
      </c>
      <c r="E1454" t="s">
        <v>891</v>
      </c>
      <c r="F1454">
        <v>81</v>
      </c>
      <c r="G1454" t="s">
        <v>891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>
      <c r="A1455" t="s">
        <v>4711</v>
      </c>
      <c r="B1455" t="s">
        <v>3498</v>
      </c>
      <c r="C1455">
        <v>2020</v>
      </c>
      <c r="D1455" t="s">
        <v>3502</v>
      </c>
      <c r="E1455" t="s">
        <v>3546</v>
      </c>
      <c r="F1455">
        <v>90</v>
      </c>
      <c r="G1455" t="s">
        <v>878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4712</v>
      </c>
      <c r="B1456" t="s">
        <v>3498</v>
      </c>
      <c r="C1456">
        <v>2020</v>
      </c>
      <c r="D1456" t="s">
        <v>3502</v>
      </c>
      <c r="E1456" t="s">
        <v>876</v>
      </c>
      <c r="F1456">
        <v>99</v>
      </c>
      <c r="G1456" t="s">
        <v>876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>
      <c r="A1457" t="s">
        <v>4713</v>
      </c>
      <c r="B1457" t="s">
        <v>3498</v>
      </c>
      <c r="C1457">
        <v>2020</v>
      </c>
      <c r="D1457" t="s">
        <v>3504</v>
      </c>
      <c r="E1457" t="s">
        <v>862</v>
      </c>
      <c r="F1457">
        <v>90</v>
      </c>
      <c r="G1457" t="s">
        <v>892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4714</v>
      </c>
      <c r="B1458" t="s">
        <v>3498</v>
      </c>
      <c r="C1458">
        <v>2020</v>
      </c>
      <c r="D1458" t="s">
        <v>3504</v>
      </c>
      <c r="E1458" t="s">
        <v>3520</v>
      </c>
      <c r="F1458">
        <v>351</v>
      </c>
      <c r="G1458" t="s">
        <v>3520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174</v>
      </c>
      <c r="B1459" t="s">
        <v>3498</v>
      </c>
      <c r="C1459">
        <v>2020</v>
      </c>
      <c r="D1459" t="s">
        <v>3502</v>
      </c>
      <c r="E1459" t="s">
        <v>865</v>
      </c>
      <c r="F1459">
        <v>80</v>
      </c>
      <c r="G1459" t="s">
        <v>865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4715</v>
      </c>
      <c r="B1460" t="s">
        <v>3498</v>
      </c>
      <c r="C1460">
        <v>2020</v>
      </c>
      <c r="D1460" t="s">
        <v>3485</v>
      </c>
      <c r="E1460" t="s">
        <v>3515</v>
      </c>
      <c r="F1460">
        <v>0</v>
      </c>
      <c r="G1460" t="s">
        <v>3515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4716</v>
      </c>
      <c r="B1461" t="s">
        <v>3498</v>
      </c>
      <c r="C1461">
        <v>2020</v>
      </c>
      <c r="D1461" t="s">
        <v>3502</v>
      </c>
      <c r="E1461" t="s">
        <v>893</v>
      </c>
      <c r="F1461">
        <v>245</v>
      </c>
      <c r="G1461" t="s">
        <v>893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4717</v>
      </c>
      <c r="B1462" t="s">
        <v>3498</v>
      </c>
      <c r="C1462">
        <v>2020</v>
      </c>
      <c r="D1462" t="s">
        <v>3504</v>
      </c>
      <c r="E1462" t="s">
        <v>3526</v>
      </c>
      <c r="F1462">
        <v>275</v>
      </c>
      <c r="G1462" t="s">
        <v>3526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>
      <c r="A1463" t="s">
        <v>4718</v>
      </c>
      <c r="B1463" t="s">
        <v>3498</v>
      </c>
      <c r="C1463">
        <v>2020</v>
      </c>
      <c r="D1463" t="s">
        <v>3504</v>
      </c>
      <c r="E1463" t="s">
        <v>3526</v>
      </c>
      <c r="F1463">
        <v>676</v>
      </c>
      <c r="G1463" t="s">
        <v>3526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4719</v>
      </c>
      <c r="B1464" t="s">
        <v>3498</v>
      </c>
      <c r="C1464">
        <v>2020</v>
      </c>
      <c r="D1464" t="s">
        <v>3504</v>
      </c>
      <c r="E1464" t="s">
        <v>3526</v>
      </c>
      <c r="F1464">
        <v>101</v>
      </c>
      <c r="G1464" t="s">
        <v>3526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4720</v>
      </c>
      <c r="B1465" t="s">
        <v>3498</v>
      </c>
      <c r="C1465">
        <v>2020</v>
      </c>
      <c r="D1465" t="s">
        <v>3502</v>
      </c>
      <c r="E1465" t="s">
        <v>3526</v>
      </c>
      <c r="F1465">
        <v>90</v>
      </c>
      <c r="G1465" t="s">
        <v>3526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4721</v>
      </c>
      <c r="B1466" t="s">
        <v>3498</v>
      </c>
      <c r="C1466">
        <v>2020</v>
      </c>
      <c r="D1466" t="s">
        <v>3502</v>
      </c>
      <c r="E1466" t="s">
        <v>3526</v>
      </c>
      <c r="F1466">
        <v>0</v>
      </c>
      <c r="G1466" t="s">
        <v>3526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4722</v>
      </c>
      <c r="B1467" t="s">
        <v>3498</v>
      </c>
      <c r="C1467">
        <v>2020</v>
      </c>
      <c r="D1467" t="s">
        <v>3502</v>
      </c>
      <c r="E1467" t="s">
        <v>3515</v>
      </c>
      <c r="F1467">
        <v>0</v>
      </c>
      <c r="G1467" t="s">
        <v>3515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4723</v>
      </c>
      <c r="B1468" t="s">
        <v>3498</v>
      </c>
      <c r="C1468">
        <v>2020</v>
      </c>
      <c r="D1468" t="s">
        <v>3499</v>
      </c>
      <c r="E1468" t="s">
        <v>897</v>
      </c>
      <c r="F1468">
        <v>50</v>
      </c>
      <c r="G1468" t="s">
        <v>897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>
      <c r="A1469" t="s">
        <v>4724</v>
      </c>
      <c r="B1469" t="s">
        <v>3498</v>
      </c>
      <c r="C1469">
        <v>2020</v>
      </c>
      <c r="D1469" t="s">
        <v>3499</v>
      </c>
      <c r="E1469" t="s">
        <v>3526</v>
      </c>
      <c r="F1469">
        <v>313</v>
      </c>
      <c r="G1469" t="s">
        <v>3526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>
      <c r="A1470" t="s">
        <v>4725</v>
      </c>
      <c r="B1470" t="s">
        <v>3498</v>
      </c>
      <c r="C1470">
        <v>2020</v>
      </c>
      <c r="D1470" t="s">
        <v>3504</v>
      </c>
      <c r="E1470" t="s">
        <v>3520</v>
      </c>
      <c r="F1470">
        <v>90</v>
      </c>
      <c r="G1470" t="s">
        <v>3520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4726</v>
      </c>
      <c r="B1471" t="s">
        <v>3498</v>
      </c>
      <c r="C1471">
        <v>2020</v>
      </c>
      <c r="D1471" t="s">
        <v>3485</v>
      </c>
      <c r="E1471" t="s">
        <v>3648</v>
      </c>
      <c r="F1471">
        <v>90</v>
      </c>
      <c r="G1471" t="s">
        <v>3648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4727</v>
      </c>
      <c r="B1472" t="s">
        <v>3498</v>
      </c>
      <c r="C1472">
        <v>2020</v>
      </c>
      <c r="D1472" t="s">
        <v>3499</v>
      </c>
      <c r="E1472" t="s">
        <v>3618</v>
      </c>
      <c r="F1472">
        <v>97</v>
      </c>
      <c r="G1472" t="s">
        <v>3618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>
      <c r="A1473" t="s">
        <v>4728</v>
      </c>
      <c r="B1473" t="s">
        <v>3498</v>
      </c>
      <c r="C1473">
        <v>2020</v>
      </c>
      <c r="D1473" t="s">
        <v>3499</v>
      </c>
      <c r="E1473" t="s">
        <v>3648</v>
      </c>
      <c r="F1473">
        <v>90</v>
      </c>
      <c r="G1473" t="s">
        <v>3648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>
      <c r="A1474" t="s">
        <v>4729</v>
      </c>
      <c r="B1474" t="s">
        <v>3498</v>
      </c>
      <c r="C1474">
        <v>2020</v>
      </c>
      <c r="D1474" t="s">
        <v>3504</v>
      </c>
      <c r="E1474" t="s">
        <v>3624</v>
      </c>
      <c r="F1474">
        <v>0</v>
      </c>
      <c r="G1474" t="s">
        <v>3624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4730</v>
      </c>
      <c r="B1475" t="s">
        <v>3498</v>
      </c>
      <c r="C1475">
        <v>2020</v>
      </c>
      <c r="D1475" t="s">
        <v>3502</v>
      </c>
      <c r="E1475" t="s">
        <v>3566</v>
      </c>
      <c r="F1475">
        <v>90</v>
      </c>
      <c r="G1475" t="s">
        <v>3627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4731</v>
      </c>
      <c r="B1476" t="s">
        <v>3498</v>
      </c>
      <c r="C1476">
        <v>2020</v>
      </c>
      <c r="D1476" t="s">
        <v>3504</v>
      </c>
      <c r="E1476" t="s">
        <v>3503</v>
      </c>
      <c r="F1476">
        <v>390</v>
      </c>
      <c r="G1476" t="s">
        <v>3503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>
      <c r="A1477" t="s">
        <v>4732</v>
      </c>
      <c r="B1477" t="s">
        <v>3498</v>
      </c>
      <c r="C1477">
        <v>2020</v>
      </c>
      <c r="D1477" t="s">
        <v>3485</v>
      </c>
      <c r="E1477" t="s">
        <v>3615</v>
      </c>
      <c r="F1477">
        <v>0</v>
      </c>
      <c r="G1477" t="s">
        <v>3615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376</v>
      </c>
      <c r="B1478" t="s">
        <v>3498</v>
      </c>
      <c r="C1478">
        <v>2020</v>
      </c>
      <c r="D1478" t="s">
        <v>3485</v>
      </c>
      <c r="E1478" t="s">
        <v>879</v>
      </c>
      <c r="F1478">
        <v>90</v>
      </c>
      <c r="G1478" t="s">
        <v>879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2791</v>
      </c>
      <c r="B1479" t="s">
        <v>3498</v>
      </c>
      <c r="C1479">
        <v>2020</v>
      </c>
      <c r="D1479" t="s">
        <v>3502</v>
      </c>
      <c r="E1479" t="s">
        <v>866</v>
      </c>
      <c r="F1479">
        <v>630</v>
      </c>
      <c r="G1479" t="s">
        <v>866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>
      <c r="A1480" t="s">
        <v>4733</v>
      </c>
      <c r="B1480" t="s">
        <v>3498</v>
      </c>
      <c r="C1480">
        <v>2020</v>
      </c>
      <c r="D1480" t="s">
        <v>3504</v>
      </c>
      <c r="E1480" t="s">
        <v>892</v>
      </c>
      <c r="F1480">
        <v>406</v>
      </c>
      <c r="G1480" t="s">
        <v>892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>
      <c r="A1481" t="s">
        <v>4734</v>
      </c>
      <c r="B1481" t="s">
        <v>3498</v>
      </c>
      <c r="C1481">
        <v>2020</v>
      </c>
      <c r="D1481" t="s">
        <v>3499</v>
      </c>
      <c r="E1481" t="s">
        <v>3532</v>
      </c>
      <c r="F1481">
        <v>527</v>
      </c>
      <c r="G1481" t="s">
        <v>3532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4735</v>
      </c>
      <c r="B1482" t="s">
        <v>3498</v>
      </c>
      <c r="C1482">
        <v>2020</v>
      </c>
      <c r="D1482" t="s">
        <v>3485</v>
      </c>
      <c r="E1482" t="s">
        <v>3599</v>
      </c>
      <c r="F1482">
        <v>0</v>
      </c>
      <c r="G1482" t="s">
        <v>3599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4736</v>
      </c>
      <c r="B1483" t="s">
        <v>3498</v>
      </c>
      <c r="C1483">
        <v>2020</v>
      </c>
      <c r="D1483" t="s">
        <v>3504</v>
      </c>
      <c r="E1483" t="s">
        <v>3537</v>
      </c>
      <c r="F1483">
        <v>764</v>
      </c>
      <c r="G1483" t="s">
        <v>3537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>
      <c r="A1484" t="s">
        <v>4737</v>
      </c>
      <c r="B1484" t="s">
        <v>3498</v>
      </c>
      <c r="C1484">
        <v>2020</v>
      </c>
      <c r="D1484" t="s">
        <v>3499</v>
      </c>
      <c r="E1484" t="s">
        <v>3599</v>
      </c>
      <c r="F1484">
        <v>76</v>
      </c>
      <c r="G1484" t="s">
        <v>3599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>
      <c r="A1485" t="s">
        <v>4738</v>
      </c>
      <c r="B1485" t="s">
        <v>3498</v>
      </c>
      <c r="C1485">
        <v>2020</v>
      </c>
      <c r="D1485" t="s">
        <v>3499</v>
      </c>
      <c r="E1485" t="s">
        <v>869</v>
      </c>
      <c r="F1485">
        <v>160</v>
      </c>
      <c r="G1485" t="s">
        <v>869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>
      <c r="A1486" t="s">
        <v>4739</v>
      </c>
      <c r="B1486" t="s">
        <v>3498</v>
      </c>
      <c r="C1486">
        <v>2020</v>
      </c>
      <c r="D1486" t="s">
        <v>3504</v>
      </c>
      <c r="E1486" t="s">
        <v>3592</v>
      </c>
      <c r="F1486">
        <v>896</v>
      </c>
      <c r="G1486" t="s">
        <v>3592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>
      <c r="A1487" t="s">
        <v>4740</v>
      </c>
      <c r="B1487" t="s">
        <v>3498</v>
      </c>
      <c r="C1487">
        <v>2020</v>
      </c>
      <c r="D1487" t="s">
        <v>3502</v>
      </c>
      <c r="E1487" t="s">
        <v>3648</v>
      </c>
      <c r="F1487">
        <v>877</v>
      </c>
      <c r="G1487" t="s">
        <v>3648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>
      <c r="A1488" t="s">
        <v>4741</v>
      </c>
      <c r="B1488" t="s">
        <v>3498</v>
      </c>
      <c r="C1488">
        <v>2020</v>
      </c>
      <c r="D1488" t="s">
        <v>3499</v>
      </c>
      <c r="E1488" t="s">
        <v>3532</v>
      </c>
      <c r="F1488">
        <v>0</v>
      </c>
      <c r="G1488" t="s">
        <v>3532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4742</v>
      </c>
      <c r="B1489" t="s">
        <v>3498</v>
      </c>
      <c r="C1489">
        <v>2020</v>
      </c>
      <c r="D1489" t="s">
        <v>3504</v>
      </c>
      <c r="E1489" t="s">
        <v>863</v>
      </c>
      <c r="F1489">
        <v>652</v>
      </c>
      <c r="G1489" t="s">
        <v>863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>
      <c r="A1490" t="s">
        <v>4743</v>
      </c>
      <c r="B1490" t="s">
        <v>3498</v>
      </c>
      <c r="C1490">
        <v>2020</v>
      </c>
      <c r="D1490" t="s">
        <v>3504</v>
      </c>
      <c r="E1490" t="s">
        <v>863</v>
      </c>
      <c r="F1490">
        <v>194</v>
      </c>
      <c r="G1490" t="s">
        <v>863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>
      <c r="A1491" t="s">
        <v>4744</v>
      </c>
      <c r="B1491" t="s">
        <v>3498</v>
      </c>
      <c r="C1491">
        <v>2020</v>
      </c>
      <c r="D1491" t="s">
        <v>3502</v>
      </c>
      <c r="E1491" t="s">
        <v>3537</v>
      </c>
      <c r="F1491">
        <v>540</v>
      </c>
      <c r="G1491" t="s">
        <v>3537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>
      <c r="A1492" t="s">
        <v>4745</v>
      </c>
      <c r="B1492" t="s">
        <v>3498</v>
      </c>
      <c r="C1492">
        <v>2020</v>
      </c>
      <c r="D1492" t="s">
        <v>3499</v>
      </c>
      <c r="E1492" t="s">
        <v>3754</v>
      </c>
      <c r="F1492">
        <v>88</v>
      </c>
      <c r="G1492" t="s">
        <v>3754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4746</v>
      </c>
      <c r="B1493" t="s">
        <v>3498</v>
      </c>
      <c r="C1493">
        <v>2020</v>
      </c>
      <c r="D1493" t="s">
        <v>3504</v>
      </c>
      <c r="E1493" t="s">
        <v>3754</v>
      </c>
      <c r="F1493">
        <v>540</v>
      </c>
      <c r="G1493" t="s">
        <v>3754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>
      <c r="A1494" t="s">
        <v>4747</v>
      </c>
      <c r="B1494" t="s">
        <v>3498</v>
      </c>
      <c r="C1494">
        <v>2020</v>
      </c>
      <c r="D1494" t="s">
        <v>3502</v>
      </c>
      <c r="E1494" t="s">
        <v>3730</v>
      </c>
      <c r="F1494">
        <v>299</v>
      </c>
      <c r="G1494" t="s">
        <v>3730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>
      <c r="A1495" t="s">
        <v>4748</v>
      </c>
      <c r="B1495" t="s">
        <v>3498</v>
      </c>
      <c r="C1495">
        <v>2020</v>
      </c>
      <c r="D1495" t="s">
        <v>3504</v>
      </c>
      <c r="E1495" t="s">
        <v>3569</v>
      </c>
      <c r="F1495">
        <v>79</v>
      </c>
      <c r="G1495" t="s">
        <v>3569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>
      <c r="A1496" t="s">
        <v>4749</v>
      </c>
      <c r="B1496" t="s">
        <v>3498</v>
      </c>
      <c r="C1496">
        <v>2020</v>
      </c>
      <c r="D1496" t="s">
        <v>3502</v>
      </c>
      <c r="E1496" t="s">
        <v>3569</v>
      </c>
      <c r="F1496">
        <v>540</v>
      </c>
      <c r="G1496" t="s">
        <v>3569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>
      <c r="A1497" t="s">
        <v>4750</v>
      </c>
      <c r="B1497" t="s">
        <v>3498</v>
      </c>
      <c r="C1497">
        <v>2020</v>
      </c>
      <c r="D1497" t="s">
        <v>3504</v>
      </c>
      <c r="E1497" t="s">
        <v>886</v>
      </c>
      <c r="F1497">
        <v>0</v>
      </c>
      <c r="G1497" t="s">
        <v>886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4751</v>
      </c>
      <c r="B1498" t="s">
        <v>3498</v>
      </c>
      <c r="C1498">
        <v>2020</v>
      </c>
      <c r="D1498" t="s">
        <v>3502</v>
      </c>
      <c r="E1498" t="s">
        <v>892</v>
      </c>
      <c r="F1498">
        <v>25</v>
      </c>
      <c r="G1498" t="s">
        <v>892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4752</v>
      </c>
      <c r="B1499" t="s">
        <v>3498</v>
      </c>
      <c r="C1499">
        <v>2020</v>
      </c>
      <c r="D1499" t="s">
        <v>3502</v>
      </c>
      <c r="E1499" t="s">
        <v>892</v>
      </c>
      <c r="F1499">
        <v>540</v>
      </c>
      <c r="G1499" t="s">
        <v>892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4753</v>
      </c>
      <c r="B1500" t="s">
        <v>3498</v>
      </c>
      <c r="C1500">
        <v>2020</v>
      </c>
      <c r="D1500" t="s">
        <v>3504</v>
      </c>
      <c r="E1500" t="s">
        <v>870</v>
      </c>
      <c r="F1500">
        <v>0</v>
      </c>
      <c r="G1500" t="s">
        <v>870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4754</v>
      </c>
      <c r="B1501" t="s">
        <v>3498</v>
      </c>
      <c r="C1501">
        <v>2020</v>
      </c>
      <c r="D1501" t="s">
        <v>3504</v>
      </c>
      <c r="E1501" t="s">
        <v>3564</v>
      </c>
      <c r="F1501">
        <v>0</v>
      </c>
      <c r="G1501" t="s">
        <v>3564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4755</v>
      </c>
      <c r="B1502" t="s">
        <v>3498</v>
      </c>
      <c r="C1502">
        <v>2020</v>
      </c>
      <c r="D1502" t="s">
        <v>3502</v>
      </c>
      <c r="E1502" t="s">
        <v>3526</v>
      </c>
      <c r="F1502">
        <v>360</v>
      </c>
      <c r="G1502" t="s">
        <v>3526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>
      <c r="A1503" t="s">
        <v>4756</v>
      </c>
      <c r="B1503" t="s">
        <v>3498</v>
      </c>
      <c r="C1503">
        <v>2020</v>
      </c>
      <c r="D1503" t="s">
        <v>3502</v>
      </c>
      <c r="E1503" t="s">
        <v>3526</v>
      </c>
      <c r="F1503">
        <v>810</v>
      </c>
      <c r="G1503" t="s">
        <v>3526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>
      <c r="A1504" t="s">
        <v>4757</v>
      </c>
      <c r="B1504" t="s">
        <v>3498</v>
      </c>
      <c r="C1504">
        <v>2020</v>
      </c>
      <c r="D1504" t="s">
        <v>3485</v>
      </c>
      <c r="E1504" t="s">
        <v>3526</v>
      </c>
      <c r="F1504">
        <v>0</v>
      </c>
      <c r="G1504" t="s">
        <v>3526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4758</v>
      </c>
      <c r="B1505" t="s">
        <v>3498</v>
      </c>
      <c r="C1505">
        <v>2020</v>
      </c>
      <c r="D1505" t="s">
        <v>3504</v>
      </c>
      <c r="E1505" t="s">
        <v>880</v>
      </c>
      <c r="F1505">
        <v>370</v>
      </c>
      <c r="G1505" t="s">
        <v>880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>
      <c r="A1506" t="s">
        <v>4759</v>
      </c>
      <c r="B1506" t="s">
        <v>3498</v>
      </c>
      <c r="C1506">
        <v>2020</v>
      </c>
      <c r="D1506" t="s">
        <v>3504</v>
      </c>
      <c r="E1506" t="s">
        <v>3520</v>
      </c>
      <c r="F1506">
        <v>585</v>
      </c>
      <c r="G1506" t="s">
        <v>3520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>
      <c r="A1507" t="s">
        <v>4760</v>
      </c>
      <c r="B1507" t="s">
        <v>3498</v>
      </c>
      <c r="C1507">
        <v>2020</v>
      </c>
      <c r="D1507" t="s">
        <v>3502</v>
      </c>
      <c r="E1507" t="s">
        <v>3615</v>
      </c>
      <c r="F1507">
        <v>20</v>
      </c>
      <c r="G1507" t="s">
        <v>3615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4761</v>
      </c>
      <c r="B1508" t="s">
        <v>3498</v>
      </c>
      <c r="C1508">
        <v>2020</v>
      </c>
      <c r="D1508" t="s">
        <v>3499</v>
      </c>
      <c r="E1508" t="s">
        <v>896</v>
      </c>
      <c r="F1508">
        <v>0</v>
      </c>
      <c r="G1508" t="s">
        <v>896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4762</v>
      </c>
      <c r="B1509" t="s">
        <v>3498</v>
      </c>
      <c r="C1509">
        <v>2020</v>
      </c>
      <c r="D1509" t="s">
        <v>3504</v>
      </c>
      <c r="E1509" t="s">
        <v>3566</v>
      </c>
      <c r="F1509">
        <v>0</v>
      </c>
      <c r="G1509" t="s">
        <v>3566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4763</v>
      </c>
      <c r="B1510" t="s">
        <v>3498</v>
      </c>
      <c r="C1510">
        <v>2020</v>
      </c>
      <c r="D1510" t="s">
        <v>3502</v>
      </c>
      <c r="E1510" t="s">
        <v>3566</v>
      </c>
      <c r="F1510">
        <v>245</v>
      </c>
      <c r="G1510" t="s">
        <v>3566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>
      <c r="A1511" t="s">
        <v>4764</v>
      </c>
      <c r="B1511" t="s">
        <v>3498</v>
      </c>
      <c r="C1511">
        <v>2020</v>
      </c>
      <c r="D1511" t="s">
        <v>3499</v>
      </c>
      <c r="E1511" t="s">
        <v>872</v>
      </c>
      <c r="F1511">
        <v>37</v>
      </c>
      <c r="G1511" t="s">
        <v>872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>
      <c r="A1512" t="s">
        <v>4765</v>
      </c>
      <c r="B1512" t="s">
        <v>3498</v>
      </c>
      <c r="C1512">
        <v>2020</v>
      </c>
      <c r="D1512" t="s">
        <v>3485</v>
      </c>
      <c r="E1512" t="s">
        <v>3566</v>
      </c>
      <c r="F1512">
        <v>360</v>
      </c>
      <c r="G1512" t="s">
        <v>3566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4766</v>
      </c>
      <c r="B1513" t="s">
        <v>3498</v>
      </c>
      <c r="C1513">
        <v>2020</v>
      </c>
      <c r="D1513" t="s">
        <v>3499</v>
      </c>
      <c r="E1513" t="s">
        <v>3569</v>
      </c>
      <c r="F1513">
        <v>127</v>
      </c>
      <c r="G1513" t="s">
        <v>3569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4767</v>
      </c>
      <c r="B1514" t="s">
        <v>3498</v>
      </c>
      <c r="C1514">
        <v>2020</v>
      </c>
      <c r="D1514" t="s">
        <v>3499</v>
      </c>
      <c r="E1514" t="s">
        <v>3569</v>
      </c>
      <c r="F1514">
        <v>90</v>
      </c>
      <c r="G1514" t="s">
        <v>3569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4768</v>
      </c>
      <c r="B1515" t="s">
        <v>3498</v>
      </c>
      <c r="C1515">
        <v>2020</v>
      </c>
      <c r="D1515" t="s">
        <v>3504</v>
      </c>
      <c r="E1515" t="s">
        <v>3624</v>
      </c>
      <c r="F1515">
        <v>622</v>
      </c>
      <c r="G1515" t="s">
        <v>3624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>
      <c r="A1516" t="s">
        <v>4769</v>
      </c>
      <c r="B1516" t="s">
        <v>3498</v>
      </c>
      <c r="C1516">
        <v>2020</v>
      </c>
      <c r="D1516" t="s">
        <v>3499</v>
      </c>
      <c r="E1516" t="s">
        <v>3592</v>
      </c>
      <c r="F1516">
        <v>38</v>
      </c>
      <c r="G1516" t="s">
        <v>3592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4770</v>
      </c>
      <c r="B1517" t="s">
        <v>3498</v>
      </c>
      <c r="C1517">
        <v>2020</v>
      </c>
      <c r="D1517" t="s">
        <v>3504</v>
      </c>
      <c r="E1517" t="s">
        <v>3592</v>
      </c>
      <c r="F1517">
        <v>23</v>
      </c>
      <c r="G1517" t="s">
        <v>3592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4771</v>
      </c>
      <c r="B1518" t="s">
        <v>3498</v>
      </c>
      <c r="C1518">
        <v>2020</v>
      </c>
      <c r="D1518" t="s">
        <v>3499</v>
      </c>
      <c r="E1518" t="s">
        <v>897</v>
      </c>
      <c r="F1518">
        <v>0</v>
      </c>
      <c r="G1518" t="s">
        <v>897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4772</v>
      </c>
      <c r="B1519" t="s">
        <v>3498</v>
      </c>
      <c r="C1519">
        <v>2020</v>
      </c>
      <c r="D1519" t="s">
        <v>3502</v>
      </c>
      <c r="E1519" t="s">
        <v>896</v>
      </c>
      <c r="F1519">
        <v>128</v>
      </c>
      <c r="G1519" t="s">
        <v>896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>
      <c r="A1520" t="s">
        <v>4773</v>
      </c>
      <c r="B1520" t="s">
        <v>3498</v>
      </c>
      <c r="C1520">
        <v>2020</v>
      </c>
      <c r="D1520" t="s">
        <v>3499</v>
      </c>
      <c r="E1520" t="s">
        <v>897</v>
      </c>
      <c r="F1520">
        <v>6</v>
      </c>
      <c r="G1520" t="s">
        <v>897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4774</v>
      </c>
      <c r="B1521" t="s">
        <v>3498</v>
      </c>
      <c r="C1521">
        <v>2020</v>
      </c>
      <c r="D1521" t="s">
        <v>3499</v>
      </c>
      <c r="E1521" t="s">
        <v>3571</v>
      </c>
      <c r="F1521">
        <v>82</v>
      </c>
      <c r="G1521" t="s">
        <v>3802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>
      <c r="A1522" t="s">
        <v>4775</v>
      </c>
      <c r="B1522" t="s">
        <v>3498</v>
      </c>
      <c r="C1522">
        <v>2020</v>
      </c>
      <c r="D1522" t="s">
        <v>3504</v>
      </c>
      <c r="E1522" t="s">
        <v>3508</v>
      </c>
      <c r="F1522">
        <v>0</v>
      </c>
      <c r="G1522" t="s">
        <v>3508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4776</v>
      </c>
      <c r="B1523" t="s">
        <v>3498</v>
      </c>
      <c r="C1523">
        <v>2020</v>
      </c>
      <c r="D1523" t="s">
        <v>3504</v>
      </c>
      <c r="E1523" t="s">
        <v>3546</v>
      </c>
      <c r="F1523">
        <v>330</v>
      </c>
      <c r="G1523" t="s">
        <v>3546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>
      <c r="A1524" t="s">
        <v>4777</v>
      </c>
      <c r="B1524" t="s">
        <v>3498</v>
      </c>
      <c r="C1524">
        <v>2020</v>
      </c>
      <c r="D1524" t="s">
        <v>3485</v>
      </c>
      <c r="E1524" t="s">
        <v>3602</v>
      </c>
      <c r="F1524">
        <v>450</v>
      </c>
      <c r="G1524" t="s">
        <v>892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4778</v>
      </c>
      <c r="B1525" t="s">
        <v>3498</v>
      </c>
      <c r="C1525">
        <v>2020</v>
      </c>
      <c r="D1525" t="s">
        <v>3502</v>
      </c>
      <c r="E1525" t="s">
        <v>3535</v>
      </c>
      <c r="F1525">
        <v>450</v>
      </c>
      <c r="G1525" t="s">
        <v>3535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>
      <c r="A1526" t="s">
        <v>4779</v>
      </c>
      <c r="B1526" t="s">
        <v>3498</v>
      </c>
      <c r="C1526">
        <v>2020</v>
      </c>
      <c r="D1526" t="s">
        <v>3485</v>
      </c>
      <c r="E1526" t="s">
        <v>3624</v>
      </c>
      <c r="F1526">
        <v>540</v>
      </c>
      <c r="G1526" t="s">
        <v>3624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4780</v>
      </c>
      <c r="B1527" t="s">
        <v>3498</v>
      </c>
      <c r="C1527">
        <v>2020</v>
      </c>
      <c r="D1527" t="s">
        <v>3502</v>
      </c>
      <c r="E1527" t="s">
        <v>3624</v>
      </c>
      <c r="F1527">
        <v>0</v>
      </c>
      <c r="G1527" t="s">
        <v>3624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4781</v>
      </c>
      <c r="B1528" t="s">
        <v>3498</v>
      </c>
      <c r="C1528">
        <v>2020</v>
      </c>
      <c r="D1528" t="s">
        <v>3485</v>
      </c>
      <c r="E1528" t="s">
        <v>3549</v>
      </c>
      <c r="F1528">
        <v>0</v>
      </c>
      <c r="G1528" t="s">
        <v>3549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4782</v>
      </c>
      <c r="B1529" t="s">
        <v>3498</v>
      </c>
      <c r="C1529">
        <v>2020</v>
      </c>
      <c r="D1529" t="s">
        <v>3504</v>
      </c>
      <c r="E1529" t="s">
        <v>862</v>
      </c>
      <c r="F1529">
        <v>0</v>
      </c>
      <c r="G1529" t="s">
        <v>862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4783</v>
      </c>
      <c r="B1530" t="s">
        <v>3498</v>
      </c>
      <c r="C1530">
        <v>2020</v>
      </c>
      <c r="D1530" t="s">
        <v>3504</v>
      </c>
      <c r="E1530" t="s">
        <v>862</v>
      </c>
      <c r="F1530">
        <v>226</v>
      </c>
      <c r="G1530" t="s">
        <v>862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>
      <c r="A1531" t="s">
        <v>4784</v>
      </c>
      <c r="B1531" t="s">
        <v>3498</v>
      </c>
      <c r="C1531">
        <v>2020</v>
      </c>
      <c r="D1531" t="s">
        <v>3499</v>
      </c>
      <c r="E1531" t="s">
        <v>3597</v>
      </c>
      <c r="F1531">
        <v>69</v>
      </c>
      <c r="G1531" t="s">
        <v>3597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>
      <c r="A1532" t="s">
        <v>4785</v>
      </c>
      <c r="B1532" t="s">
        <v>3498</v>
      </c>
      <c r="C1532">
        <v>2020</v>
      </c>
      <c r="D1532" t="s">
        <v>3504</v>
      </c>
      <c r="E1532" t="s">
        <v>3597</v>
      </c>
      <c r="F1532">
        <v>778</v>
      </c>
      <c r="G1532" t="s">
        <v>3597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>
      <c r="A1533" t="s">
        <v>4786</v>
      </c>
      <c r="B1533" t="s">
        <v>3498</v>
      </c>
      <c r="C1533">
        <v>2020</v>
      </c>
      <c r="D1533" t="s">
        <v>3502</v>
      </c>
      <c r="E1533" t="s">
        <v>3599</v>
      </c>
      <c r="F1533">
        <v>720</v>
      </c>
      <c r="G1533" t="s">
        <v>3599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>
      <c r="A1534" t="s">
        <v>4787</v>
      </c>
      <c r="B1534" t="s">
        <v>3498</v>
      </c>
      <c r="C1534">
        <v>2020</v>
      </c>
      <c r="D1534" t="s">
        <v>3502</v>
      </c>
      <c r="E1534" t="s">
        <v>3569</v>
      </c>
      <c r="F1534">
        <v>109</v>
      </c>
      <c r="G1534" t="s">
        <v>3569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4788</v>
      </c>
      <c r="B1535" t="s">
        <v>3498</v>
      </c>
      <c r="C1535">
        <v>2020</v>
      </c>
      <c r="D1535" t="s">
        <v>3504</v>
      </c>
      <c r="E1535" t="s">
        <v>3577</v>
      </c>
      <c r="F1535">
        <v>530</v>
      </c>
      <c r="G1535" t="s">
        <v>3577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>
      <c r="A1536" t="s">
        <v>4789</v>
      </c>
      <c r="B1536" t="s">
        <v>3498</v>
      </c>
      <c r="C1536">
        <v>2020</v>
      </c>
      <c r="D1536" t="s">
        <v>3504</v>
      </c>
      <c r="E1536" t="s">
        <v>877</v>
      </c>
      <c r="F1536">
        <v>458</v>
      </c>
      <c r="G1536" t="s">
        <v>877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>
      <c r="A1537" t="s">
        <v>449</v>
      </c>
      <c r="B1537" t="s">
        <v>3498</v>
      </c>
      <c r="C1537">
        <v>2020</v>
      </c>
      <c r="D1537" t="s">
        <v>3504</v>
      </c>
      <c r="E1537" t="s">
        <v>877</v>
      </c>
      <c r="F1537">
        <v>630</v>
      </c>
      <c r="G1537" t="s">
        <v>877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>
      <c r="A1538" t="s">
        <v>595</v>
      </c>
      <c r="B1538" t="s">
        <v>3498</v>
      </c>
      <c r="C1538">
        <v>2020</v>
      </c>
      <c r="D1538" t="s">
        <v>3504</v>
      </c>
      <c r="E1538" t="s">
        <v>895</v>
      </c>
      <c r="F1538">
        <v>273</v>
      </c>
      <c r="G1538" t="s">
        <v>895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>
      <c r="A1539" t="s">
        <v>399</v>
      </c>
      <c r="B1539" t="s">
        <v>3498</v>
      </c>
      <c r="C1539">
        <v>2020</v>
      </c>
      <c r="D1539" t="s">
        <v>3499</v>
      </c>
      <c r="E1539" t="s">
        <v>895</v>
      </c>
      <c r="F1539">
        <v>259</v>
      </c>
      <c r="G1539" t="s">
        <v>895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115</v>
      </c>
      <c r="B1540" t="s">
        <v>3498</v>
      </c>
      <c r="C1540">
        <v>2020</v>
      </c>
      <c r="D1540" t="s">
        <v>3499</v>
      </c>
      <c r="E1540" t="s">
        <v>891</v>
      </c>
      <c r="F1540">
        <v>698</v>
      </c>
      <c r="G1540" t="s">
        <v>891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>
      <c r="A1541" t="s">
        <v>4790</v>
      </c>
      <c r="B1541" t="s">
        <v>3498</v>
      </c>
      <c r="C1541">
        <v>2020</v>
      </c>
      <c r="D1541" t="s">
        <v>3504</v>
      </c>
      <c r="E1541" t="s">
        <v>3555</v>
      </c>
      <c r="F1541">
        <v>610</v>
      </c>
      <c r="G1541" t="s">
        <v>3555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>
      <c r="A1542" t="s">
        <v>4791</v>
      </c>
      <c r="B1542" t="s">
        <v>3498</v>
      </c>
      <c r="C1542">
        <v>2020</v>
      </c>
      <c r="D1542" t="s">
        <v>3502</v>
      </c>
      <c r="E1542" t="s">
        <v>3508</v>
      </c>
      <c r="F1542">
        <v>90</v>
      </c>
      <c r="G1542" t="s">
        <v>3508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4792</v>
      </c>
      <c r="B1543" t="s">
        <v>3498</v>
      </c>
      <c r="C1543">
        <v>2020</v>
      </c>
      <c r="D1543" t="s">
        <v>3502</v>
      </c>
      <c r="E1543" t="s">
        <v>3597</v>
      </c>
      <c r="F1543">
        <v>970</v>
      </c>
      <c r="G1543" t="s">
        <v>3597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>
      <c r="A1544" t="s">
        <v>4793</v>
      </c>
      <c r="B1544" t="s">
        <v>3498</v>
      </c>
      <c r="C1544">
        <v>2020</v>
      </c>
      <c r="D1544" t="s">
        <v>3504</v>
      </c>
      <c r="E1544" t="s">
        <v>862</v>
      </c>
      <c r="F1544">
        <v>90</v>
      </c>
      <c r="G1544" t="s">
        <v>876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4794</v>
      </c>
      <c r="B1545" t="s">
        <v>3498</v>
      </c>
      <c r="C1545">
        <v>2020</v>
      </c>
      <c r="D1545" t="s">
        <v>3502</v>
      </c>
      <c r="E1545" t="s">
        <v>3624</v>
      </c>
      <c r="F1545">
        <v>558</v>
      </c>
      <c r="G1545" t="s">
        <v>3624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4795</v>
      </c>
      <c r="B1546" t="s">
        <v>3498</v>
      </c>
      <c r="C1546">
        <v>2020</v>
      </c>
      <c r="D1546" t="s">
        <v>3502</v>
      </c>
      <c r="E1546" t="s">
        <v>3510</v>
      </c>
      <c r="F1546">
        <v>0</v>
      </c>
      <c r="G1546" t="s">
        <v>3510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2386</v>
      </c>
      <c r="B1547" t="s">
        <v>3498</v>
      </c>
      <c r="C1547">
        <v>2020</v>
      </c>
      <c r="D1547" t="s">
        <v>3502</v>
      </c>
      <c r="E1547" t="s">
        <v>882</v>
      </c>
      <c r="F1547">
        <v>720</v>
      </c>
      <c r="G1547" t="s">
        <v>882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>
      <c r="A1548" t="s">
        <v>2387</v>
      </c>
      <c r="B1548" t="s">
        <v>3498</v>
      </c>
      <c r="C1548">
        <v>2020</v>
      </c>
      <c r="D1548" t="s">
        <v>3504</v>
      </c>
      <c r="E1548" t="s">
        <v>896</v>
      </c>
      <c r="F1548">
        <v>459</v>
      </c>
      <c r="G1548" t="s">
        <v>896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>
      <c r="A1549" t="s">
        <v>4796</v>
      </c>
      <c r="B1549" t="s">
        <v>3498</v>
      </c>
      <c r="C1549">
        <v>2020</v>
      </c>
      <c r="D1549" t="s">
        <v>3485</v>
      </c>
      <c r="E1549" t="s">
        <v>882</v>
      </c>
      <c r="F1549">
        <v>90</v>
      </c>
      <c r="G1549" t="s">
        <v>882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4797</v>
      </c>
      <c r="B1550" t="s">
        <v>3498</v>
      </c>
      <c r="C1550">
        <v>2020</v>
      </c>
      <c r="D1550" t="s">
        <v>3502</v>
      </c>
      <c r="E1550" t="s">
        <v>882</v>
      </c>
      <c r="F1550">
        <v>90</v>
      </c>
      <c r="G1550" t="s">
        <v>882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>
      <c r="A1551" t="s">
        <v>4798</v>
      </c>
      <c r="B1551" t="s">
        <v>3498</v>
      </c>
      <c r="C1551">
        <v>2020</v>
      </c>
      <c r="D1551" t="s">
        <v>3499</v>
      </c>
      <c r="E1551" t="s">
        <v>3508</v>
      </c>
      <c r="F1551">
        <v>0</v>
      </c>
      <c r="G1551" t="s">
        <v>3508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4799</v>
      </c>
      <c r="B1552" t="s">
        <v>3498</v>
      </c>
      <c r="C1552">
        <v>2020</v>
      </c>
      <c r="D1552" t="s">
        <v>3502</v>
      </c>
      <c r="E1552" t="s">
        <v>3624</v>
      </c>
      <c r="F1552">
        <v>319</v>
      </c>
      <c r="G1552" t="s">
        <v>3624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>
      <c r="A1553" t="s">
        <v>4800</v>
      </c>
      <c r="B1553" t="s">
        <v>3498</v>
      </c>
      <c r="C1553">
        <v>2020</v>
      </c>
      <c r="D1553" t="s">
        <v>3502</v>
      </c>
      <c r="E1553" t="s">
        <v>3754</v>
      </c>
      <c r="F1553">
        <v>887</v>
      </c>
      <c r="G1553" t="s">
        <v>3754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>
      <c r="A1554" t="s">
        <v>4801</v>
      </c>
      <c r="B1554" t="s">
        <v>3498</v>
      </c>
      <c r="C1554">
        <v>2020</v>
      </c>
      <c r="D1554" t="s">
        <v>3504</v>
      </c>
      <c r="E1554" t="s">
        <v>3754</v>
      </c>
      <c r="F1554">
        <v>541</v>
      </c>
      <c r="G1554" t="s">
        <v>3754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4802</v>
      </c>
      <c r="B1555" t="s">
        <v>3498</v>
      </c>
      <c r="C1555">
        <v>2020</v>
      </c>
      <c r="D1555" t="s">
        <v>3504</v>
      </c>
      <c r="E1555" t="s">
        <v>3618</v>
      </c>
      <c r="F1555">
        <v>313</v>
      </c>
      <c r="G1555" t="s">
        <v>3618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4803</v>
      </c>
      <c r="B1556" t="s">
        <v>3498</v>
      </c>
      <c r="C1556">
        <v>2020</v>
      </c>
      <c r="D1556" t="s">
        <v>3502</v>
      </c>
      <c r="E1556" t="s">
        <v>862</v>
      </c>
      <c r="F1556">
        <v>90</v>
      </c>
      <c r="G1556" t="s">
        <v>862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2480</v>
      </c>
      <c r="B1557" t="s">
        <v>3498</v>
      </c>
      <c r="C1557">
        <v>2020</v>
      </c>
      <c r="D1557" t="s">
        <v>3504</v>
      </c>
      <c r="E1557" t="s">
        <v>862</v>
      </c>
      <c r="F1557">
        <v>560</v>
      </c>
      <c r="G1557" t="s">
        <v>862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>
      <c r="A1558" t="s">
        <v>4804</v>
      </c>
      <c r="B1558" t="s">
        <v>3498</v>
      </c>
      <c r="C1558">
        <v>2020</v>
      </c>
      <c r="D1558" t="s">
        <v>3504</v>
      </c>
      <c r="E1558" t="s">
        <v>876</v>
      </c>
      <c r="F1558">
        <v>0</v>
      </c>
      <c r="G1558" t="s">
        <v>876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1252</v>
      </c>
      <c r="B1559" t="s">
        <v>3498</v>
      </c>
      <c r="C1559">
        <v>2020</v>
      </c>
      <c r="D1559" t="s">
        <v>3504</v>
      </c>
      <c r="E1559" t="s">
        <v>885</v>
      </c>
      <c r="F1559">
        <v>125</v>
      </c>
      <c r="G1559" t="s">
        <v>885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>
      <c r="A1560" t="s">
        <v>4805</v>
      </c>
      <c r="B1560" t="s">
        <v>3498</v>
      </c>
      <c r="C1560">
        <v>2020</v>
      </c>
      <c r="D1560" t="s">
        <v>3499</v>
      </c>
      <c r="E1560" t="s">
        <v>885</v>
      </c>
      <c r="F1560">
        <v>173</v>
      </c>
      <c r="G1560" t="s">
        <v>885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>
      <c r="A1561" t="s">
        <v>4806</v>
      </c>
      <c r="B1561" t="s">
        <v>3498</v>
      </c>
      <c r="C1561">
        <v>2020</v>
      </c>
      <c r="D1561" t="s">
        <v>3504</v>
      </c>
      <c r="E1561" t="s">
        <v>3503</v>
      </c>
      <c r="F1561">
        <v>901</v>
      </c>
      <c r="G1561" t="s">
        <v>3503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>
      <c r="A1562" t="s">
        <v>4807</v>
      </c>
      <c r="B1562" t="s">
        <v>3498</v>
      </c>
      <c r="C1562">
        <v>2020</v>
      </c>
      <c r="D1562" t="s">
        <v>3504</v>
      </c>
      <c r="E1562" t="s">
        <v>3648</v>
      </c>
      <c r="F1562">
        <v>80</v>
      </c>
      <c r="G1562" t="s">
        <v>3648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4808</v>
      </c>
      <c r="B1563" t="s">
        <v>3498</v>
      </c>
      <c r="C1563">
        <v>2020</v>
      </c>
      <c r="D1563" t="s">
        <v>3502</v>
      </c>
      <c r="E1563" t="s">
        <v>3602</v>
      </c>
      <c r="F1563">
        <v>360</v>
      </c>
      <c r="G1563" t="s">
        <v>876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>
      <c r="A1564" t="s">
        <v>407</v>
      </c>
      <c r="B1564" t="s">
        <v>3498</v>
      </c>
      <c r="C1564">
        <v>2020</v>
      </c>
      <c r="D1564" t="s">
        <v>3502</v>
      </c>
      <c r="E1564" t="s">
        <v>876</v>
      </c>
      <c r="F1564">
        <v>90</v>
      </c>
      <c r="G1564" t="s">
        <v>876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4809</v>
      </c>
      <c r="B1565" t="s">
        <v>3498</v>
      </c>
      <c r="C1565">
        <v>2020</v>
      </c>
      <c r="D1565" t="s">
        <v>3504</v>
      </c>
      <c r="E1565" t="s">
        <v>896</v>
      </c>
      <c r="F1565">
        <v>126</v>
      </c>
      <c r="G1565" t="s">
        <v>896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4810</v>
      </c>
      <c r="B1566" t="s">
        <v>3498</v>
      </c>
      <c r="C1566">
        <v>2020</v>
      </c>
      <c r="D1566" t="s">
        <v>3504</v>
      </c>
      <c r="E1566" t="s">
        <v>3535</v>
      </c>
      <c r="F1566">
        <v>39</v>
      </c>
      <c r="G1566" t="s">
        <v>3535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2097</v>
      </c>
      <c r="B1567" t="s">
        <v>3498</v>
      </c>
      <c r="C1567">
        <v>2020</v>
      </c>
      <c r="D1567" t="s">
        <v>3499</v>
      </c>
      <c r="E1567" t="s">
        <v>882</v>
      </c>
      <c r="F1567">
        <v>464</v>
      </c>
      <c r="G1567" t="s">
        <v>882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>
      <c r="A1568" t="s">
        <v>4811</v>
      </c>
      <c r="B1568" t="s">
        <v>3498</v>
      </c>
      <c r="C1568">
        <v>2020</v>
      </c>
      <c r="D1568" t="s">
        <v>3502</v>
      </c>
      <c r="E1568" t="s">
        <v>885</v>
      </c>
      <c r="F1568">
        <v>29</v>
      </c>
      <c r="G1568" t="s">
        <v>885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>
      <c r="A1569" t="s">
        <v>4812</v>
      </c>
      <c r="B1569" t="s">
        <v>3498</v>
      </c>
      <c r="C1569">
        <v>2020</v>
      </c>
      <c r="D1569" t="s">
        <v>3485</v>
      </c>
      <c r="E1569" t="s">
        <v>885</v>
      </c>
      <c r="F1569">
        <v>90</v>
      </c>
      <c r="G1569" t="s">
        <v>885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172</v>
      </c>
      <c r="B1570" t="s">
        <v>3498</v>
      </c>
      <c r="C1570">
        <v>2020</v>
      </c>
      <c r="D1570" t="s">
        <v>3502</v>
      </c>
      <c r="E1570" t="s">
        <v>865</v>
      </c>
      <c r="F1570">
        <v>0</v>
      </c>
      <c r="G1570" t="s">
        <v>865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4813</v>
      </c>
      <c r="B1571" t="s">
        <v>3498</v>
      </c>
      <c r="C1571">
        <v>2020</v>
      </c>
      <c r="D1571" t="s">
        <v>3504</v>
      </c>
      <c r="E1571" t="s">
        <v>3615</v>
      </c>
      <c r="F1571">
        <v>512</v>
      </c>
      <c r="G1571" t="s">
        <v>3615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>
      <c r="A1572" t="s">
        <v>134</v>
      </c>
      <c r="B1572" t="s">
        <v>3498</v>
      </c>
      <c r="C1572">
        <v>2020</v>
      </c>
      <c r="D1572" t="s">
        <v>3504</v>
      </c>
      <c r="E1572" t="s">
        <v>891</v>
      </c>
      <c r="F1572">
        <v>360</v>
      </c>
      <c r="G1572" t="s">
        <v>891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>
      <c r="A1573" t="s">
        <v>4814</v>
      </c>
      <c r="B1573" t="s">
        <v>3498</v>
      </c>
      <c r="C1573">
        <v>2020</v>
      </c>
      <c r="D1573" t="s">
        <v>3499</v>
      </c>
      <c r="E1573" t="s">
        <v>3503</v>
      </c>
      <c r="F1573">
        <v>0</v>
      </c>
      <c r="G1573" t="s">
        <v>3503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4815</v>
      </c>
      <c r="B1574" t="s">
        <v>3498</v>
      </c>
      <c r="C1574">
        <v>2020</v>
      </c>
      <c r="D1574" t="s">
        <v>3504</v>
      </c>
      <c r="E1574" t="s">
        <v>3537</v>
      </c>
      <c r="F1574">
        <v>264</v>
      </c>
      <c r="G1574" t="s">
        <v>3537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>
      <c r="A1575" t="s">
        <v>4816</v>
      </c>
      <c r="B1575" t="s">
        <v>3498</v>
      </c>
      <c r="C1575">
        <v>2020</v>
      </c>
      <c r="D1575" t="s">
        <v>3499</v>
      </c>
      <c r="E1575" t="s">
        <v>3618</v>
      </c>
      <c r="F1575">
        <v>322</v>
      </c>
      <c r="G1575" t="s">
        <v>3618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>
      <c r="A1576" t="s">
        <v>4817</v>
      </c>
      <c r="B1576" t="s">
        <v>3498</v>
      </c>
      <c r="C1576">
        <v>2020</v>
      </c>
      <c r="D1576" t="s">
        <v>3502</v>
      </c>
      <c r="E1576" t="s">
        <v>897</v>
      </c>
      <c r="F1576">
        <v>0</v>
      </c>
      <c r="G1576" t="s">
        <v>897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3423</v>
      </c>
      <c r="B1577" t="s">
        <v>3498</v>
      </c>
      <c r="C1577">
        <v>2020</v>
      </c>
      <c r="D1577" t="s">
        <v>3502</v>
      </c>
      <c r="E1577" t="s">
        <v>870</v>
      </c>
      <c r="F1577">
        <v>660</v>
      </c>
      <c r="G1577" t="s">
        <v>870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>
      <c r="A1578" t="s">
        <v>2219</v>
      </c>
      <c r="B1578" t="s">
        <v>3498</v>
      </c>
      <c r="C1578">
        <v>2020</v>
      </c>
      <c r="D1578" t="s">
        <v>3485</v>
      </c>
      <c r="E1578" t="s">
        <v>878</v>
      </c>
      <c r="F1578">
        <v>90</v>
      </c>
      <c r="G1578" t="s">
        <v>878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4818</v>
      </c>
      <c r="B1579" t="s">
        <v>3498</v>
      </c>
      <c r="C1579">
        <v>2020</v>
      </c>
      <c r="D1579" t="s">
        <v>3502</v>
      </c>
      <c r="E1579" t="s">
        <v>882</v>
      </c>
      <c r="F1579">
        <v>450</v>
      </c>
      <c r="G1579" t="s">
        <v>882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>
      <c r="A1580" t="s">
        <v>4819</v>
      </c>
      <c r="B1580" t="s">
        <v>3498</v>
      </c>
      <c r="C1580">
        <v>2020</v>
      </c>
      <c r="D1580" t="s">
        <v>3504</v>
      </c>
      <c r="E1580" t="s">
        <v>872</v>
      </c>
      <c r="F1580">
        <v>0</v>
      </c>
      <c r="G1580" t="s">
        <v>872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4820</v>
      </c>
      <c r="B1581" t="s">
        <v>3498</v>
      </c>
      <c r="C1581">
        <v>2020</v>
      </c>
      <c r="D1581" t="s">
        <v>3504</v>
      </c>
      <c r="E1581" t="s">
        <v>3569</v>
      </c>
      <c r="F1581">
        <v>269</v>
      </c>
      <c r="G1581" t="s">
        <v>3569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4821</v>
      </c>
      <c r="B1582" t="s">
        <v>3498</v>
      </c>
      <c r="C1582">
        <v>2020</v>
      </c>
      <c r="D1582" t="s">
        <v>3502</v>
      </c>
      <c r="E1582" t="s">
        <v>3510</v>
      </c>
      <c r="F1582">
        <v>316</v>
      </c>
      <c r="G1582" t="s">
        <v>3510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4822</v>
      </c>
      <c r="B1583" t="s">
        <v>3498</v>
      </c>
      <c r="C1583">
        <v>2020</v>
      </c>
      <c r="D1583" t="s">
        <v>3485</v>
      </c>
      <c r="E1583" t="s">
        <v>3569</v>
      </c>
      <c r="F1583">
        <v>0</v>
      </c>
      <c r="G1583" t="s">
        <v>3569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4823</v>
      </c>
      <c r="B1584" t="s">
        <v>3498</v>
      </c>
      <c r="C1584">
        <v>2020</v>
      </c>
      <c r="D1584" t="s">
        <v>3485</v>
      </c>
      <c r="E1584" t="s">
        <v>3577</v>
      </c>
      <c r="F1584">
        <v>687</v>
      </c>
      <c r="G1584" t="s">
        <v>3577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>
      <c r="A1585" t="s">
        <v>4824</v>
      </c>
      <c r="B1585" t="s">
        <v>3498</v>
      </c>
      <c r="C1585">
        <v>2020</v>
      </c>
      <c r="D1585" t="s">
        <v>3499</v>
      </c>
      <c r="E1585" t="s">
        <v>896</v>
      </c>
      <c r="F1585">
        <v>6</v>
      </c>
      <c r="G1585" t="s">
        <v>896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4825</v>
      </c>
      <c r="B1586" t="s">
        <v>3498</v>
      </c>
      <c r="C1586">
        <v>2020</v>
      </c>
      <c r="D1586" t="s">
        <v>3504</v>
      </c>
      <c r="E1586" t="s">
        <v>3569</v>
      </c>
      <c r="F1586">
        <v>155</v>
      </c>
      <c r="G1586" t="s">
        <v>3569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4826</v>
      </c>
      <c r="B1587" t="s">
        <v>3498</v>
      </c>
      <c r="C1587">
        <v>2020</v>
      </c>
      <c r="D1587" t="s">
        <v>3502</v>
      </c>
      <c r="E1587" t="s">
        <v>886</v>
      </c>
      <c r="F1587">
        <v>0</v>
      </c>
      <c r="G1587" t="s">
        <v>886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4827</v>
      </c>
      <c r="B1588" t="s">
        <v>3498</v>
      </c>
      <c r="C1588">
        <v>2020</v>
      </c>
      <c r="D1588" t="s">
        <v>3485</v>
      </c>
      <c r="E1588" t="s">
        <v>3597</v>
      </c>
      <c r="F1588">
        <v>0</v>
      </c>
      <c r="G1588" t="s">
        <v>3597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4828</v>
      </c>
      <c r="B1589" t="s">
        <v>3498</v>
      </c>
      <c r="C1589">
        <v>2020</v>
      </c>
      <c r="D1589" t="s">
        <v>3504</v>
      </c>
      <c r="E1589" t="s">
        <v>3515</v>
      </c>
      <c r="F1589">
        <v>900</v>
      </c>
      <c r="G1589" t="s">
        <v>3515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>
      <c r="A1590" t="s">
        <v>4829</v>
      </c>
      <c r="B1590" t="s">
        <v>3498</v>
      </c>
      <c r="C1590">
        <v>2020</v>
      </c>
      <c r="D1590" t="s">
        <v>3502</v>
      </c>
      <c r="E1590" t="s">
        <v>3566</v>
      </c>
      <c r="F1590">
        <v>382</v>
      </c>
      <c r="G1590" t="s">
        <v>3566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4830</v>
      </c>
      <c r="B1591" t="s">
        <v>3498</v>
      </c>
      <c r="C1591">
        <v>2020</v>
      </c>
      <c r="D1591" t="s">
        <v>3502</v>
      </c>
      <c r="E1591" t="s">
        <v>869</v>
      </c>
      <c r="F1591">
        <v>100</v>
      </c>
      <c r="G1591" t="s">
        <v>869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4831</v>
      </c>
      <c r="B1592" t="s">
        <v>3498</v>
      </c>
      <c r="C1592">
        <v>2020</v>
      </c>
      <c r="D1592" t="s">
        <v>3485</v>
      </c>
      <c r="E1592" t="s">
        <v>897</v>
      </c>
      <c r="F1592">
        <v>900</v>
      </c>
      <c r="G1592" t="s">
        <v>897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4832</v>
      </c>
      <c r="B1593" t="s">
        <v>3498</v>
      </c>
      <c r="C1593">
        <v>2020</v>
      </c>
      <c r="D1593" t="s">
        <v>3502</v>
      </c>
      <c r="E1593" t="s">
        <v>896</v>
      </c>
      <c r="F1593">
        <v>720</v>
      </c>
      <c r="G1593" t="s">
        <v>896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4833</v>
      </c>
      <c r="B1594" t="s">
        <v>3498</v>
      </c>
      <c r="C1594">
        <v>2020</v>
      </c>
      <c r="D1594" t="s">
        <v>3504</v>
      </c>
      <c r="E1594" t="s">
        <v>878</v>
      </c>
      <c r="F1594">
        <v>85</v>
      </c>
      <c r="G1594" t="s">
        <v>878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>
      <c r="A1595" t="s">
        <v>4834</v>
      </c>
      <c r="B1595" t="s">
        <v>3498</v>
      </c>
      <c r="C1595">
        <v>2020</v>
      </c>
      <c r="D1595" t="s">
        <v>3504</v>
      </c>
      <c r="E1595" t="s">
        <v>882</v>
      </c>
      <c r="F1595">
        <v>79</v>
      </c>
      <c r="G1595" t="s">
        <v>882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4835</v>
      </c>
      <c r="B1596" t="s">
        <v>3498</v>
      </c>
      <c r="C1596">
        <v>2020</v>
      </c>
      <c r="D1596" t="s">
        <v>3504</v>
      </c>
      <c r="E1596" t="s">
        <v>3571</v>
      </c>
      <c r="F1596">
        <v>116</v>
      </c>
      <c r="G1596" t="s">
        <v>3571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4836</v>
      </c>
      <c r="B1597" t="s">
        <v>3498</v>
      </c>
      <c r="C1597">
        <v>2020</v>
      </c>
      <c r="D1597" t="s">
        <v>3504</v>
      </c>
      <c r="E1597" t="s">
        <v>3602</v>
      </c>
      <c r="F1597">
        <v>227</v>
      </c>
      <c r="G1597" t="s">
        <v>3602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>
      <c r="A1598" t="s">
        <v>4837</v>
      </c>
      <c r="B1598" t="s">
        <v>3498</v>
      </c>
      <c r="C1598">
        <v>2020</v>
      </c>
      <c r="D1598" t="s">
        <v>3504</v>
      </c>
      <c r="E1598" t="s">
        <v>870</v>
      </c>
      <c r="F1598">
        <v>63</v>
      </c>
      <c r="G1598" t="s">
        <v>870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4838</v>
      </c>
      <c r="B1599" t="s">
        <v>3498</v>
      </c>
      <c r="C1599">
        <v>2020</v>
      </c>
      <c r="D1599" t="s">
        <v>3504</v>
      </c>
      <c r="E1599" t="s">
        <v>869</v>
      </c>
      <c r="F1599">
        <v>0</v>
      </c>
      <c r="G1599" t="s">
        <v>869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2860</v>
      </c>
      <c r="B1600" t="s">
        <v>3498</v>
      </c>
      <c r="C1600">
        <v>2020</v>
      </c>
      <c r="D1600" t="s">
        <v>3502</v>
      </c>
      <c r="E1600" t="s">
        <v>878</v>
      </c>
      <c r="F1600">
        <v>0</v>
      </c>
      <c r="G1600" t="s">
        <v>878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4839</v>
      </c>
      <c r="B1601" t="s">
        <v>3498</v>
      </c>
      <c r="C1601">
        <v>2020</v>
      </c>
      <c r="D1601" t="s">
        <v>3499</v>
      </c>
      <c r="E1601" t="s">
        <v>3592</v>
      </c>
      <c r="F1601">
        <v>0</v>
      </c>
      <c r="G1601" t="s">
        <v>3592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4840</v>
      </c>
      <c r="B1602" t="s">
        <v>3498</v>
      </c>
      <c r="C1602">
        <v>2020</v>
      </c>
      <c r="D1602" t="s">
        <v>3485</v>
      </c>
      <c r="E1602" t="s">
        <v>863</v>
      </c>
      <c r="F1602">
        <v>2</v>
      </c>
      <c r="G1602" t="s">
        <v>863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4841</v>
      </c>
      <c r="B1603" t="s">
        <v>3498</v>
      </c>
      <c r="C1603">
        <v>2020</v>
      </c>
      <c r="D1603" t="s">
        <v>3499</v>
      </c>
      <c r="E1603" t="s">
        <v>3648</v>
      </c>
      <c r="F1603">
        <v>657</v>
      </c>
      <c r="G1603" t="s">
        <v>3648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>
      <c r="A1604" t="s">
        <v>2630</v>
      </c>
      <c r="B1604" t="s">
        <v>3498</v>
      </c>
      <c r="C1604">
        <v>2020</v>
      </c>
      <c r="D1604" t="s">
        <v>3502</v>
      </c>
      <c r="E1604" t="s">
        <v>886</v>
      </c>
      <c r="F1604">
        <v>450</v>
      </c>
      <c r="G1604" t="s">
        <v>886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>
      <c r="A1605" t="s">
        <v>4842</v>
      </c>
      <c r="B1605" t="s">
        <v>3498</v>
      </c>
      <c r="C1605">
        <v>2020</v>
      </c>
      <c r="D1605" t="s">
        <v>3504</v>
      </c>
      <c r="E1605" t="s">
        <v>869</v>
      </c>
      <c r="F1605">
        <v>429</v>
      </c>
      <c r="G1605" t="s">
        <v>869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>
      <c r="A1606" t="s">
        <v>4843</v>
      </c>
      <c r="B1606" t="s">
        <v>3498</v>
      </c>
      <c r="C1606">
        <v>2020</v>
      </c>
      <c r="D1606" t="s">
        <v>3504</v>
      </c>
      <c r="E1606" t="s">
        <v>888</v>
      </c>
      <c r="F1606">
        <v>869</v>
      </c>
      <c r="G1606" t="s">
        <v>888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>
      <c r="A1607" t="s">
        <v>4844</v>
      </c>
      <c r="B1607" t="s">
        <v>3498</v>
      </c>
      <c r="C1607">
        <v>2020</v>
      </c>
      <c r="D1607" t="s">
        <v>3485</v>
      </c>
      <c r="E1607" t="s">
        <v>3566</v>
      </c>
      <c r="F1607">
        <v>360</v>
      </c>
      <c r="G1607" t="s">
        <v>3566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2599</v>
      </c>
      <c r="B1608" t="s">
        <v>3498</v>
      </c>
      <c r="C1608">
        <v>2020</v>
      </c>
      <c r="D1608" t="s">
        <v>3502</v>
      </c>
      <c r="E1608" t="s">
        <v>886</v>
      </c>
      <c r="F1608">
        <v>270</v>
      </c>
      <c r="G1608" t="s">
        <v>886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>
      <c r="A1609" t="s">
        <v>4845</v>
      </c>
      <c r="B1609" t="s">
        <v>3498</v>
      </c>
      <c r="C1609">
        <v>2020</v>
      </c>
      <c r="D1609" t="s">
        <v>3485</v>
      </c>
      <c r="E1609" t="s">
        <v>3526</v>
      </c>
      <c r="F1609">
        <v>270</v>
      </c>
      <c r="G1609" t="s">
        <v>3526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1705</v>
      </c>
      <c r="B1610" t="s">
        <v>3498</v>
      </c>
      <c r="C1610">
        <v>2020</v>
      </c>
      <c r="D1610" t="s">
        <v>3502</v>
      </c>
      <c r="E1610" t="s">
        <v>891</v>
      </c>
      <c r="F1610">
        <v>95</v>
      </c>
      <c r="G1610" t="s">
        <v>891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4846</v>
      </c>
      <c r="B1611" t="s">
        <v>3498</v>
      </c>
      <c r="C1611">
        <v>2020</v>
      </c>
      <c r="D1611" t="s">
        <v>3504</v>
      </c>
      <c r="E1611" t="s">
        <v>888</v>
      </c>
      <c r="F1611">
        <v>217</v>
      </c>
      <c r="G1611" t="s">
        <v>888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>
      <c r="A1612" t="s">
        <v>2987</v>
      </c>
      <c r="B1612" t="s">
        <v>3498</v>
      </c>
      <c r="C1612">
        <v>2020</v>
      </c>
      <c r="D1612" t="s">
        <v>3499</v>
      </c>
      <c r="E1612" t="s">
        <v>870</v>
      </c>
      <c r="F1612">
        <v>312</v>
      </c>
      <c r="G1612" t="s">
        <v>870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>
      <c r="A1613" t="s">
        <v>4847</v>
      </c>
      <c r="B1613" t="s">
        <v>3498</v>
      </c>
      <c r="C1613">
        <v>2020</v>
      </c>
      <c r="D1613" t="s">
        <v>3504</v>
      </c>
      <c r="E1613" t="s">
        <v>3510</v>
      </c>
      <c r="F1613">
        <v>718</v>
      </c>
      <c r="G1613" t="s">
        <v>3510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>
      <c r="A1614" t="s">
        <v>4848</v>
      </c>
      <c r="B1614" t="s">
        <v>3498</v>
      </c>
      <c r="C1614">
        <v>2020</v>
      </c>
      <c r="D1614" t="s">
        <v>3504</v>
      </c>
      <c r="E1614" t="s">
        <v>876</v>
      </c>
      <c r="F1614">
        <v>458</v>
      </c>
      <c r="G1614" t="s">
        <v>876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>
      <c r="A1615" t="s">
        <v>4849</v>
      </c>
      <c r="B1615" t="s">
        <v>3498</v>
      </c>
      <c r="C1615">
        <v>2020</v>
      </c>
      <c r="D1615" t="s">
        <v>3499</v>
      </c>
      <c r="E1615" t="s">
        <v>865</v>
      </c>
      <c r="F1615">
        <v>19</v>
      </c>
      <c r="G1615" t="s">
        <v>865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>
      <c r="A1616" t="s">
        <v>4850</v>
      </c>
      <c r="B1616" t="s">
        <v>3498</v>
      </c>
      <c r="C1616">
        <v>2020</v>
      </c>
      <c r="D1616" t="s">
        <v>3504</v>
      </c>
      <c r="E1616" t="s">
        <v>3529</v>
      </c>
      <c r="F1616">
        <v>365</v>
      </c>
      <c r="G1616" t="s">
        <v>3530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>
      <c r="A1617" t="s">
        <v>4851</v>
      </c>
      <c r="B1617" t="s">
        <v>3498</v>
      </c>
      <c r="C1617">
        <v>2020</v>
      </c>
      <c r="D1617" t="s">
        <v>3502</v>
      </c>
      <c r="E1617" t="s">
        <v>882</v>
      </c>
      <c r="F1617">
        <v>0</v>
      </c>
      <c r="G1617" t="s">
        <v>882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4852</v>
      </c>
      <c r="B1618" t="s">
        <v>3498</v>
      </c>
      <c r="C1618">
        <v>2020</v>
      </c>
      <c r="D1618" t="s">
        <v>3499</v>
      </c>
      <c r="E1618" t="s">
        <v>3566</v>
      </c>
      <c r="F1618">
        <v>0</v>
      </c>
      <c r="G1618" t="s">
        <v>3566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4853</v>
      </c>
      <c r="B1619" t="s">
        <v>3498</v>
      </c>
      <c r="C1619">
        <v>2020</v>
      </c>
      <c r="D1619" t="s">
        <v>3499</v>
      </c>
      <c r="E1619" t="s">
        <v>3566</v>
      </c>
      <c r="F1619">
        <v>0</v>
      </c>
      <c r="G1619" t="s">
        <v>3566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4854</v>
      </c>
      <c r="B1620" t="s">
        <v>3498</v>
      </c>
      <c r="C1620">
        <v>2020</v>
      </c>
      <c r="D1620" t="s">
        <v>3485</v>
      </c>
      <c r="E1620" t="s">
        <v>888</v>
      </c>
      <c r="F1620">
        <v>0</v>
      </c>
      <c r="G1620" t="s">
        <v>888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4855</v>
      </c>
      <c r="B1621" t="s">
        <v>3498</v>
      </c>
      <c r="C1621">
        <v>2020</v>
      </c>
      <c r="D1621" t="s">
        <v>3504</v>
      </c>
      <c r="E1621" t="s">
        <v>3599</v>
      </c>
      <c r="F1621">
        <v>703</v>
      </c>
      <c r="G1621" t="s">
        <v>3599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>
      <c r="A1622" t="s">
        <v>4856</v>
      </c>
      <c r="B1622" t="s">
        <v>3498</v>
      </c>
      <c r="C1622">
        <v>2020</v>
      </c>
      <c r="D1622" t="s">
        <v>3504</v>
      </c>
      <c r="E1622" t="s">
        <v>893</v>
      </c>
      <c r="F1622">
        <v>146</v>
      </c>
      <c r="G1622" t="s">
        <v>893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>
      <c r="A1623" t="s">
        <v>4857</v>
      </c>
      <c r="B1623" t="s">
        <v>3498</v>
      </c>
      <c r="C1623">
        <v>2020</v>
      </c>
      <c r="D1623" t="s">
        <v>3485</v>
      </c>
      <c r="E1623" t="s">
        <v>888</v>
      </c>
      <c r="F1623">
        <v>0</v>
      </c>
      <c r="G1623" t="s">
        <v>888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4858</v>
      </c>
      <c r="B1624" t="s">
        <v>3498</v>
      </c>
      <c r="C1624">
        <v>2020</v>
      </c>
      <c r="D1624" t="s">
        <v>3502</v>
      </c>
      <c r="E1624" t="s">
        <v>3730</v>
      </c>
      <c r="F1624">
        <v>180</v>
      </c>
      <c r="G1624" t="s">
        <v>3730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4859</v>
      </c>
      <c r="B1625" t="s">
        <v>3498</v>
      </c>
      <c r="C1625">
        <v>2020</v>
      </c>
      <c r="D1625" t="s">
        <v>3502</v>
      </c>
      <c r="E1625" t="s">
        <v>3549</v>
      </c>
      <c r="F1625">
        <v>1058</v>
      </c>
      <c r="G1625" t="s">
        <v>3549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>
      <c r="A1626" t="s">
        <v>248</v>
      </c>
      <c r="B1626" t="s">
        <v>3498</v>
      </c>
      <c r="C1626">
        <v>2020</v>
      </c>
      <c r="D1626" t="s">
        <v>3499</v>
      </c>
      <c r="E1626" t="s">
        <v>879</v>
      </c>
      <c r="F1626">
        <v>574</v>
      </c>
      <c r="G1626" t="s">
        <v>879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>
      <c r="A1627" t="s">
        <v>4860</v>
      </c>
      <c r="B1627" t="s">
        <v>3498</v>
      </c>
      <c r="C1627">
        <v>2020</v>
      </c>
      <c r="D1627" t="s">
        <v>3502</v>
      </c>
      <c r="E1627" t="s">
        <v>3510</v>
      </c>
      <c r="F1627">
        <v>180</v>
      </c>
      <c r="G1627" t="s">
        <v>3510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4861</v>
      </c>
      <c r="B1628" t="s">
        <v>3498</v>
      </c>
      <c r="C1628">
        <v>2020</v>
      </c>
      <c r="D1628" t="s">
        <v>3504</v>
      </c>
      <c r="E1628" t="s">
        <v>3577</v>
      </c>
      <c r="F1628">
        <v>270</v>
      </c>
      <c r="G1628" t="s">
        <v>3577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4862</v>
      </c>
      <c r="B1629" t="s">
        <v>3498</v>
      </c>
      <c r="C1629">
        <v>2020</v>
      </c>
      <c r="D1629" t="s">
        <v>3499</v>
      </c>
      <c r="E1629" t="s">
        <v>3515</v>
      </c>
      <c r="F1629">
        <v>4</v>
      </c>
      <c r="G1629" t="s">
        <v>3515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4863</v>
      </c>
      <c r="B1630" t="s">
        <v>3498</v>
      </c>
      <c r="C1630">
        <v>2020</v>
      </c>
      <c r="D1630" t="s">
        <v>3485</v>
      </c>
      <c r="E1630" t="s">
        <v>3555</v>
      </c>
      <c r="F1630">
        <v>0</v>
      </c>
      <c r="G1630" t="s">
        <v>3555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4864</v>
      </c>
      <c r="B1631" t="s">
        <v>3498</v>
      </c>
      <c r="C1631">
        <v>2020</v>
      </c>
      <c r="D1631" t="s">
        <v>3502</v>
      </c>
      <c r="E1631" t="s">
        <v>3624</v>
      </c>
      <c r="F1631">
        <v>0</v>
      </c>
      <c r="G1631" t="s">
        <v>3624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4865</v>
      </c>
      <c r="B1632" t="s">
        <v>3498</v>
      </c>
      <c r="C1632">
        <v>2020</v>
      </c>
      <c r="D1632" t="s">
        <v>3499</v>
      </c>
      <c r="E1632" t="s">
        <v>3510</v>
      </c>
      <c r="F1632">
        <v>720</v>
      </c>
      <c r="G1632" t="s">
        <v>3510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>
      <c r="A1633" t="s">
        <v>4866</v>
      </c>
      <c r="B1633" t="s">
        <v>3498</v>
      </c>
      <c r="C1633">
        <v>2020</v>
      </c>
      <c r="D1633" t="s">
        <v>3502</v>
      </c>
      <c r="E1633" t="s">
        <v>893</v>
      </c>
      <c r="F1633">
        <v>630</v>
      </c>
      <c r="G1633" t="s">
        <v>893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>
      <c r="A1634" t="s">
        <v>4867</v>
      </c>
      <c r="B1634" t="s">
        <v>3498</v>
      </c>
      <c r="C1634">
        <v>2020</v>
      </c>
      <c r="D1634" t="s">
        <v>3502</v>
      </c>
      <c r="E1634" t="s">
        <v>891</v>
      </c>
      <c r="F1634">
        <v>810</v>
      </c>
      <c r="G1634" t="s">
        <v>891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>
      <c r="A1635" t="s">
        <v>4868</v>
      </c>
      <c r="B1635" t="s">
        <v>3498</v>
      </c>
      <c r="C1635">
        <v>2020</v>
      </c>
      <c r="D1635" t="s">
        <v>3485</v>
      </c>
      <c r="E1635" t="s">
        <v>3615</v>
      </c>
      <c r="F1635">
        <v>0</v>
      </c>
      <c r="G1635" t="s">
        <v>3615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4869</v>
      </c>
      <c r="B1636" t="s">
        <v>3498</v>
      </c>
      <c r="C1636">
        <v>2020</v>
      </c>
      <c r="D1636" t="s">
        <v>3504</v>
      </c>
      <c r="E1636" t="s">
        <v>870</v>
      </c>
      <c r="F1636">
        <v>18</v>
      </c>
      <c r="G1636" t="s">
        <v>870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4870</v>
      </c>
      <c r="B1637" t="s">
        <v>3498</v>
      </c>
      <c r="C1637">
        <v>2020</v>
      </c>
      <c r="D1637" t="s">
        <v>3504</v>
      </c>
      <c r="E1637" t="s">
        <v>870</v>
      </c>
      <c r="F1637">
        <v>223</v>
      </c>
      <c r="G1637" t="s">
        <v>870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>
      <c r="A1638" t="s">
        <v>4871</v>
      </c>
      <c r="B1638" t="s">
        <v>3498</v>
      </c>
      <c r="C1638">
        <v>2020</v>
      </c>
      <c r="D1638" t="s">
        <v>3502</v>
      </c>
      <c r="E1638" t="s">
        <v>885</v>
      </c>
      <c r="F1638">
        <v>297</v>
      </c>
      <c r="G1638" t="s">
        <v>885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4872</v>
      </c>
      <c r="B1639" t="s">
        <v>3498</v>
      </c>
      <c r="C1639">
        <v>2020</v>
      </c>
      <c r="D1639" t="s">
        <v>3499</v>
      </c>
      <c r="E1639" t="s">
        <v>3730</v>
      </c>
      <c r="F1639">
        <v>144</v>
      </c>
      <c r="G1639" t="s">
        <v>3730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4873</v>
      </c>
      <c r="B1640" t="s">
        <v>3498</v>
      </c>
      <c r="C1640">
        <v>2020</v>
      </c>
      <c r="D1640" t="s">
        <v>3502</v>
      </c>
      <c r="E1640" t="s">
        <v>3624</v>
      </c>
      <c r="F1640">
        <v>0</v>
      </c>
      <c r="G1640" t="s">
        <v>3624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4874</v>
      </c>
      <c r="B1641" t="s">
        <v>3498</v>
      </c>
      <c r="C1641">
        <v>2020</v>
      </c>
      <c r="D1641" t="s">
        <v>3504</v>
      </c>
      <c r="E1641" t="s">
        <v>3537</v>
      </c>
      <c r="F1641">
        <v>574</v>
      </c>
      <c r="G1641" t="s">
        <v>3537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>
      <c r="A1642" t="s">
        <v>4875</v>
      </c>
      <c r="B1642" t="s">
        <v>3498</v>
      </c>
      <c r="C1642">
        <v>2020</v>
      </c>
      <c r="D1642" t="s">
        <v>3499</v>
      </c>
      <c r="E1642" t="s">
        <v>3523</v>
      </c>
      <c r="F1642">
        <v>46</v>
      </c>
      <c r="G1642" t="s">
        <v>3523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>
      <c r="A1643" t="s">
        <v>4876</v>
      </c>
      <c r="B1643" t="s">
        <v>3498</v>
      </c>
      <c r="C1643">
        <v>2020</v>
      </c>
      <c r="D1643" t="s">
        <v>3504</v>
      </c>
      <c r="E1643" t="s">
        <v>878</v>
      </c>
      <c r="F1643">
        <v>13</v>
      </c>
      <c r="G1643" t="s">
        <v>878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1949</v>
      </c>
      <c r="B1644" t="s">
        <v>3498</v>
      </c>
      <c r="C1644">
        <v>2020</v>
      </c>
      <c r="D1644" t="s">
        <v>3504</v>
      </c>
      <c r="E1644" t="s">
        <v>866</v>
      </c>
      <c r="F1644">
        <v>296</v>
      </c>
      <c r="G1644" t="s">
        <v>866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>
      <c r="A1645" t="s">
        <v>4877</v>
      </c>
      <c r="B1645" t="s">
        <v>3498</v>
      </c>
      <c r="C1645">
        <v>2020</v>
      </c>
      <c r="D1645" t="s">
        <v>3499</v>
      </c>
      <c r="E1645" t="s">
        <v>3510</v>
      </c>
      <c r="F1645">
        <v>76</v>
      </c>
      <c r="G1645" t="s">
        <v>3510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4878</v>
      </c>
      <c r="B1646" t="s">
        <v>3498</v>
      </c>
      <c r="C1646">
        <v>2020</v>
      </c>
      <c r="D1646" t="s">
        <v>3504</v>
      </c>
      <c r="E1646" t="s">
        <v>3648</v>
      </c>
      <c r="F1646">
        <v>326</v>
      </c>
      <c r="G1646" t="s">
        <v>3648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>
      <c r="A1647" t="s">
        <v>1896</v>
      </c>
      <c r="B1647" t="s">
        <v>3498</v>
      </c>
      <c r="C1647">
        <v>2020</v>
      </c>
      <c r="D1647" t="s">
        <v>3504</v>
      </c>
      <c r="E1647" t="s">
        <v>893</v>
      </c>
      <c r="F1647">
        <v>0</v>
      </c>
      <c r="G1647" t="s">
        <v>893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4879</v>
      </c>
      <c r="B1648" t="s">
        <v>3498</v>
      </c>
      <c r="C1648">
        <v>2020</v>
      </c>
      <c r="D1648" t="s">
        <v>3504</v>
      </c>
      <c r="E1648" t="s">
        <v>866</v>
      </c>
      <c r="F1648">
        <v>123</v>
      </c>
      <c r="G1648" t="s">
        <v>866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>
      <c r="A1649" t="s">
        <v>4880</v>
      </c>
      <c r="B1649" t="s">
        <v>3498</v>
      </c>
      <c r="C1649">
        <v>2020</v>
      </c>
      <c r="D1649" t="s">
        <v>3504</v>
      </c>
      <c r="E1649" t="s">
        <v>3535</v>
      </c>
      <c r="F1649">
        <v>292</v>
      </c>
      <c r="G1649" t="s">
        <v>3535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>
      <c r="A1650" t="s">
        <v>4881</v>
      </c>
      <c r="B1650" t="s">
        <v>3498</v>
      </c>
      <c r="C1650">
        <v>2020</v>
      </c>
      <c r="D1650" t="s">
        <v>3504</v>
      </c>
      <c r="E1650" t="s">
        <v>3515</v>
      </c>
      <c r="F1650">
        <v>642</v>
      </c>
      <c r="G1650" t="s">
        <v>3515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4882</v>
      </c>
      <c r="B1651" t="s">
        <v>3498</v>
      </c>
      <c r="C1651">
        <v>2020</v>
      </c>
      <c r="D1651" t="s">
        <v>3499</v>
      </c>
      <c r="E1651" t="s">
        <v>3546</v>
      </c>
      <c r="F1651">
        <v>450</v>
      </c>
      <c r="G1651" t="s">
        <v>3546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>
      <c r="A1652" t="s">
        <v>4883</v>
      </c>
      <c r="B1652" t="s">
        <v>3498</v>
      </c>
      <c r="C1652">
        <v>2020</v>
      </c>
      <c r="D1652" t="s">
        <v>3504</v>
      </c>
      <c r="E1652" t="s">
        <v>872</v>
      </c>
      <c r="F1652">
        <v>0</v>
      </c>
      <c r="G1652" t="s">
        <v>872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4884</v>
      </c>
      <c r="B1653" t="s">
        <v>3498</v>
      </c>
      <c r="C1653">
        <v>2020</v>
      </c>
      <c r="D1653" t="s">
        <v>3504</v>
      </c>
      <c r="E1653" t="s">
        <v>3510</v>
      </c>
      <c r="F1653">
        <v>470</v>
      </c>
      <c r="G1653" t="s">
        <v>3510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>
      <c r="A1654" t="s">
        <v>4885</v>
      </c>
      <c r="B1654" t="s">
        <v>3498</v>
      </c>
      <c r="C1654">
        <v>2020</v>
      </c>
      <c r="D1654" t="s">
        <v>3499</v>
      </c>
      <c r="E1654" t="s">
        <v>3506</v>
      </c>
      <c r="F1654">
        <v>41</v>
      </c>
      <c r="G1654" t="s">
        <v>3506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4886</v>
      </c>
      <c r="B1655" t="s">
        <v>3498</v>
      </c>
      <c r="C1655">
        <v>2020</v>
      </c>
      <c r="D1655" t="s">
        <v>3502</v>
      </c>
      <c r="E1655" t="s">
        <v>893</v>
      </c>
      <c r="F1655">
        <v>180</v>
      </c>
      <c r="G1655" t="s">
        <v>893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>
      <c r="A1656" t="s">
        <v>4887</v>
      </c>
      <c r="B1656" t="s">
        <v>3498</v>
      </c>
      <c r="C1656">
        <v>2020</v>
      </c>
      <c r="D1656" t="s">
        <v>3502</v>
      </c>
      <c r="E1656" t="s">
        <v>866</v>
      </c>
      <c r="F1656">
        <v>674</v>
      </c>
      <c r="G1656" t="s">
        <v>866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>
      <c r="A1657" t="s">
        <v>4888</v>
      </c>
      <c r="B1657" t="s">
        <v>3498</v>
      </c>
      <c r="C1657">
        <v>2020</v>
      </c>
      <c r="D1657" t="s">
        <v>3502</v>
      </c>
      <c r="E1657" t="s">
        <v>886</v>
      </c>
      <c r="F1657">
        <v>90</v>
      </c>
      <c r="G1657" t="s">
        <v>863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4889</v>
      </c>
      <c r="B1658" t="s">
        <v>3498</v>
      </c>
      <c r="C1658">
        <v>2020</v>
      </c>
      <c r="D1658" t="s">
        <v>3499</v>
      </c>
      <c r="E1658" t="s">
        <v>863</v>
      </c>
      <c r="F1658">
        <v>44</v>
      </c>
      <c r="G1658" t="s">
        <v>863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>
      <c r="A1659" t="s">
        <v>4890</v>
      </c>
      <c r="B1659" t="s">
        <v>3498</v>
      </c>
      <c r="C1659">
        <v>2020</v>
      </c>
      <c r="D1659" t="s">
        <v>3502</v>
      </c>
      <c r="E1659" t="s">
        <v>3500</v>
      </c>
      <c r="F1659">
        <v>450</v>
      </c>
      <c r="G1659" t="s">
        <v>3500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4891</v>
      </c>
      <c r="B1660" t="s">
        <v>3498</v>
      </c>
      <c r="C1660">
        <v>2020</v>
      </c>
      <c r="D1660" t="s">
        <v>3485</v>
      </c>
      <c r="E1660" t="s">
        <v>878</v>
      </c>
      <c r="F1660">
        <v>0</v>
      </c>
      <c r="G1660" t="s">
        <v>878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4892</v>
      </c>
      <c r="B1661" t="s">
        <v>3498</v>
      </c>
      <c r="C1661">
        <v>2020</v>
      </c>
      <c r="D1661" t="s">
        <v>3499</v>
      </c>
      <c r="E1661" t="s">
        <v>3592</v>
      </c>
      <c r="F1661">
        <v>6</v>
      </c>
      <c r="G1661" t="s">
        <v>3592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4893</v>
      </c>
      <c r="B1662" t="s">
        <v>3498</v>
      </c>
      <c r="C1662">
        <v>2020</v>
      </c>
      <c r="D1662" t="s">
        <v>3499</v>
      </c>
      <c r="E1662" t="s">
        <v>3529</v>
      </c>
      <c r="F1662">
        <v>45</v>
      </c>
      <c r="G1662" t="s">
        <v>3530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4894</v>
      </c>
      <c r="B1663" t="s">
        <v>3498</v>
      </c>
      <c r="C1663">
        <v>2020</v>
      </c>
      <c r="D1663" t="s">
        <v>3502</v>
      </c>
      <c r="E1663" t="s">
        <v>3618</v>
      </c>
      <c r="F1663">
        <v>0</v>
      </c>
      <c r="G1663" t="s">
        <v>3618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4895</v>
      </c>
      <c r="B1664" t="s">
        <v>3498</v>
      </c>
      <c r="C1664">
        <v>2020</v>
      </c>
      <c r="D1664" t="s">
        <v>3502</v>
      </c>
      <c r="E1664" t="s">
        <v>3520</v>
      </c>
      <c r="F1664">
        <v>209</v>
      </c>
      <c r="G1664" t="s">
        <v>3520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>
      <c r="A1665" t="s">
        <v>4896</v>
      </c>
      <c r="B1665" t="s">
        <v>3498</v>
      </c>
      <c r="C1665">
        <v>2020</v>
      </c>
      <c r="D1665" t="s">
        <v>3504</v>
      </c>
      <c r="E1665" t="s">
        <v>3577</v>
      </c>
      <c r="F1665">
        <v>225</v>
      </c>
      <c r="G1665" t="s">
        <v>3577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>
      <c r="A1666" t="s">
        <v>4897</v>
      </c>
      <c r="B1666" t="s">
        <v>3498</v>
      </c>
      <c r="C1666">
        <v>2020</v>
      </c>
      <c r="D1666" t="s">
        <v>3502</v>
      </c>
      <c r="E1666" t="s">
        <v>869</v>
      </c>
      <c r="F1666">
        <v>0</v>
      </c>
      <c r="G1666" t="s">
        <v>869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10</v>
      </c>
      <c r="B1667" t="s">
        <v>3498</v>
      </c>
      <c r="C1667">
        <v>2020</v>
      </c>
      <c r="D1667" t="s">
        <v>3504</v>
      </c>
      <c r="E1667" t="s">
        <v>3500</v>
      </c>
      <c r="F1667">
        <v>221</v>
      </c>
      <c r="G1667" t="s">
        <v>3500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>
      <c r="A1668" t="s">
        <v>4898</v>
      </c>
      <c r="B1668" t="s">
        <v>3498</v>
      </c>
      <c r="C1668">
        <v>2020</v>
      </c>
      <c r="D1668" t="s">
        <v>3485</v>
      </c>
      <c r="E1668" t="s">
        <v>895</v>
      </c>
      <c r="F1668">
        <v>0</v>
      </c>
      <c r="G1668" t="s">
        <v>895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4899</v>
      </c>
      <c r="B1669" t="s">
        <v>3498</v>
      </c>
      <c r="C1669">
        <v>2020</v>
      </c>
      <c r="D1669" t="s">
        <v>3499</v>
      </c>
      <c r="E1669" t="s">
        <v>3515</v>
      </c>
      <c r="F1669">
        <v>153</v>
      </c>
      <c r="G1669" t="s">
        <v>3515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>
      <c r="A1670" t="s">
        <v>4900</v>
      </c>
      <c r="B1670" t="s">
        <v>3498</v>
      </c>
      <c r="C1670">
        <v>2020</v>
      </c>
      <c r="D1670" t="s">
        <v>3499</v>
      </c>
      <c r="E1670" t="s">
        <v>896</v>
      </c>
      <c r="F1670">
        <v>410</v>
      </c>
      <c r="G1670" t="s">
        <v>896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>
      <c r="A1671" t="s">
        <v>4901</v>
      </c>
      <c r="B1671" t="s">
        <v>3498</v>
      </c>
      <c r="C1671">
        <v>2020</v>
      </c>
      <c r="D1671" t="s">
        <v>3499</v>
      </c>
      <c r="E1671" t="s">
        <v>897</v>
      </c>
      <c r="F1671">
        <v>0</v>
      </c>
      <c r="G1671" t="s">
        <v>897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4902</v>
      </c>
      <c r="B1672" t="s">
        <v>3498</v>
      </c>
      <c r="C1672">
        <v>2020</v>
      </c>
      <c r="D1672" t="s">
        <v>3502</v>
      </c>
      <c r="E1672" t="s">
        <v>888</v>
      </c>
      <c r="F1672">
        <v>0</v>
      </c>
      <c r="G1672" t="s">
        <v>888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1082</v>
      </c>
      <c r="B1673" t="s">
        <v>3498</v>
      </c>
      <c r="C1673">
        <v>2020</v>
      </c>
      <c r="D1673" t="s">
        <v>3499</v>
      </c>
      <c r="E1673" t="s">
        <v>888</v>
      </c>
      <c r="F1673">
        <v>837</v>
      </c>
      <c r="G1673" t="s">
        <v>888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>
      <c r="A1674" t="s">
        <v>4903</v>
      </c>
      <c r="B1674" t="s">
        <v>3498</v>
      </c>
      <c r="C1674">
        <v>2020</v>
      </c>
      <c r="D1674" t="s">
        <v>3504</v>
      </c>
      <c r="E1674" t="s">
        <v>896</v>
      </c>
      <c r="F1674">
        <v>617</v>
      </c>
      <c r="G1674" t="s">
        <v>896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>
      <c r="A1675" t="s">
        <v>4904</v>
      </c>
      <c r="B1675" t="s">
        <v>3498</v>
      </c>
      <c r="C1675">
        <v>2020</v>
      </c>
      <c r="D1675" t="s">
        <v>3502</v>
      </c>
      <c r="E1675" t="s">
        <v>896</v>
      </c>
      <c r="F1675">
        <v>90</v>
      </c>
      <c r="G1675" t="s">
        <v>896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2940</v>
      </c>
      <c r="B1676" t="s">
        <v>3498</v>
      </c>
      <c r="C1676">
        <v>2020</v>
      </c>
      <c r="D1676" t="s">
        <v>3504</v>
      </c>
      <c r="E1676" t="s">
        <v>869</v>
      </c>
      <c r="F1676">
        <v>242</v>
      </c>
      <c r="G1676" t="s">
        <v>869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>
      <c r="A1677" t="s">
        <v>223</v>
      </c>
      <c r="B1677" t="s">
        <v>3498</v>
      </c>
      <c r="C1677">
        <v>2020</v>
      </c>
      <c r="D1677" t="s">
        <v>3504</v>
      </c>
      <c r="E1677" t="s">
        <v>895</v>
      </c>
      <c r="F1677">
        <v>180</v>
      </c>
      <c r="G1677" t="s">
        <v>895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2252</v>
      </c>
      <c r="B1678" t="s">
        <v>3498</v>
      </c>
      <c r="C1678">
        <v>2020</v>
      </c>
      <c r="D1678" t="s">
        <v>3504</v>
      </c>
      <c r="E1678" t="s">
        <v>870</v>
      </c>
      <c r="F1678">
        <v>3</v>
      </c>
      <c r="G1678" t="s">
        <v>870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4905</v>
      </c>
      <c r="B1679" t="s">
        <v>3498</v>
      </c>
      <c r="C1679">
        <v>2020</v>
      </c>
      <c r="D1679" t="s">
        <v>3485</v>
      </c>
      <c r="E1679" t="s">
        <v>3577</v>
      </c>
      <c r="F1679">
        <v>0</v>
      </c>
      <c r="G1679" t="s">
        <v>3577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4906</v>
      </c>
      <c r="B1680" t="s">
        <v>3498</v>
      </c>
      <c r="C1680">
        <v>2020</v>
      </c>
      <c r="D1680" t="s">
        <v>3499</v>
      </c>
      <c r="E1680" t="s">
        <v>3577</v>
      </c>
      <c r="F1680">
        <v>597</v>
      </c>
      <c r="G1680" t="s">
        <v>3577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>
      <c r="A1681" t="s">
        <v>4907</v>
      </c>
      <c r="B1681" t="s">
        <v>3498</v>
      </c>
      <c r="C1681">
        <v>2020</v>
      </c>
      <c r="D1681" t="s">
        <v>3504</v>
      </c>
      <c r="E1681" t="s">
        <v>3577</v>
      </c>
      <c r="F1681">
        <v>173</v>
      </c>
      <c r="G1681" t="s">
        <v>3577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4908</v>
      </c>
      <c r="B1682" t="s">
        <v>3498</v>
      </c>
      <c r="C1682">
        <v>2020</v>
      </c>
      <c r="D1682" t="s">
        <v>3504</v>
      </c>
      <c r="E1682" t="s">
        <v>3592</v>
      </c>
      <c r="F1682">
        <v>361</v>
      </c>
      <c r="G1682" t="s">
        <v>3592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619</v>
      </c>
      <c r="B1683" t="s">
        <v>3498</v>
      </c>
      <c r="C1683">
        <v>2020</v>
      </c>
      <c r="D1683" t="s">
        <v>3502</v>
      </c>
      <c r="E1683" t="s">
        <v>892</v>
      </c>
      <c r="F1683">
        <v>90</v>
      </c>
      <c r="G1683" t="s">
        <v>892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>
      <c r="A1684" t="s">
        <v>2256</v>
      </c>
      <c r="B1684" t="s">
        <v>3498</v>
      </c>
      <c r="C1684">
        <v>2020</v>
      </c>
      <c r="D1684" t="s">
        <v>3504</v>
      </c>
      <c r="E1684" t="s">
        <v>870</v>
      </c>
      <c r="F1684">
        <v>897</v>
      </c>
      <c r="G1684" t="s">
        <v>870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>
      <c r="A1685" t="s">
        <v>709</v>
      </c>
      <c r="B1685" t="s">
        <v>3498</v>
      </c>
      <c r="C1685">
        <v>2020</v>
      </c>
      <c r="D1685" t="s">
        <v>3485</v>
      </c>
      <c r="E1685" t="s">
        <v>886</v>
      </c>
      <c r="F1685">
        <v>810</v>
      </c>
      <c r="G1685" t="s">
        <v>886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2660</v>
      </c>
      <c r="B1686" t="s">
        <v>3498</v>
      </c>
      <c r="C1686">
        <v>2020</v>
      </c>
      <c r="D1686" t="s">
        <v>3504</v>
      </c>
      <c r="E1686" t="s">
        <v>886</v>
      </c>
      <c r="F1686">
        <v>759</v>
      </c>
      <c r="G1686" t="s">
        <v>886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>
      <c r="A1687" t="s">
        <v>405</v>
      </c>
      <c r="B1687" t="s">
        <v>3498</v>
      </c>
      <c r="C1687">
        <v>2020</v>
      </c>
      <c r="D1687" t="s">
        <v>3504</v>
      </c>
      <c r="E1687" t="s">
        <v>885</v>
      </c>
      <c r="F1687">
        <v>475</v>
      </c>
      <c r="G1687" t="s">
        <v>885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>
      <c r="A1688" t="s">
        <v>510</v>
      </c>
      <c r="B1688" t="s">
        <v>3498</v>
      </c>
      <c r="C1688">
        <v>2020</v>
      </c>
      <c r="D1688" t="s">
        <v>3499</v>
      </c>
      <c r="E1688" t="s">
        <v>885</v>
      </c>
      <c r="F1688">
        <v>448</v>
      </c>
      <c r="G1688" t="s">
        <v>885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>
      <c r="A1689" t="s">
        <v>4909</v>
      </c>
      <c r="B1689" t="s">
        <v>3498</v>
      </c>
      <c r="C1689">
        <v>2020</v>
      </c>
      <c r="D1689" t="s">
        <v>3502</v>
      </c>
      <c r="E1689" t="s">
        <v>3535</v>
      </c>
      <c r="F1689">
        <v>739</v>
      </c>
      <c r="G1689" t="s">
        <v>3535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>
      <c r="A1690" t="s">
        <v>4910</v>
      </c>
      <c r="B1690" t="s">
        <v>3498</v>
      </c>
      <c r="C1690">
        <v>2020</v>
      </c>
      <c r="D1690" t="s">
        <v>3485</v>
      </c>
      <c r="E1690" t="s">
        <v>3754</v>
      </c>
      <c r="F1690">
        <v>0</v>
      </c>
      <c r="G1690" t="s">
        <v>3754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2829</v>
      </c>
      <c r="B1691" t="s">
        <v>3498</v>
      </c>
      <c r="C1691">
        <v>2020</v>
      </c>
      <c r="D1691" t="s">
        <v>3504</v>
      </c>
      <c r="E1691" t="s">
        <v>897</v>
      </c>
      <c r="F1691">
        <v>519</v>
      </c>
      <c r="G1691" t="s">
        <v>897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2830</v>
      </c>
      <c r="B1692" t="s">
        <v>3498</v>
      </c>
      <c r="C1692">
        <v>2020</v>
      </c>
      <c r="D1692" t="s">
        <v>3499</v>
      </c>
      <c r="E1692" t="s">
        <v>897</v>
      </c>
      <c r="F1692">
        <v>113</v>
      </c>
      <c r="G1692" t="s">
        <v>897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4911</v>
      </c>
      <c r="B1693" t="s">
        <v>3498</v>
      </c>
      <c r="C1693">
        <v>2020</v>
      </c>
      <c r="D1693" t="s">
        <v>3502</v>
      </c>
      <c r="E1693" t="s">
        <v>3618</v>
      </c>
      <c r="F1693">
        <v>270</v>
      </c>
      <c r="G1693" t="s">
        <v>3618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4912</v>
      </c>
      <c r="B1694" t="s">
        <v>3498</v>
      </c>
      <c r="C1694">
        <v>2020</v>
      </c>
      <c r="D1694" t="s">
        <v>3504</v>
      </c>
      <c r="E1694" t="s">
        <v>863</v>
      </c>
      <c r="F1694">
        <v>0</v>
      </c>
      <c r="G1694" t="s">
        <v>863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4913</v>
      </c>
      <c r="B1695" t="s">
        <v>3498</v>
      </c>
      <c r="C1695">
        <v>2020</v>
      </c>
      <c r="D1695" t="s">
        <v>3499</v>
      </c>
      <c r="E1695" t="s">
        <v>3515</v>
      </c>
      <c r="F1695">
        <v>320</v>
      </c>
      <c r="G1695" t="s">
        <v>3515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>
      <c r="A1696" t="s">
        <v>2047</v>
      </c>
      <c r="B1696" t="s">
        <v>3498</v>
      </c>
      <c r="C1696">
        <v>2020</v>
      </c>
      <c r="D1696" t="s">
        <v>3504</v>
      </c>
      <c r="E1696" t="s">
        <v>877</v>
      </c>
      <c r="F1696">
        <v>74</v>
      </c>
      <c r="G1696" t="s">
        <v>877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4914</v>
      </c>
      <c r="B1697" t="s">
        <v>3498</v>
      </c>
      <c r="C1697">
        <v>2020</v>
      </c>
      <c r="D1697" t="s">
        <v>3499</v>
      </c>
      <c r="E1697" t="s">
        <v>3508</v>
      </c>
      <c r="F1697">
        <v>127</v>
      </c>
      <c r="G1697" t="s">
        <v>3508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4915</v>
      </c>
      <c r="B1698" t="s">
        <v>3498</v>
      </c>
      <c r="C1698">
        <v>2020</v>
      </c>
      <c r="D1698" t="s">
        <v>3502</v>
      </c>
      <c r="E1698" t="s">
        <v>872</v>
      </c>
      <c r="F1698">
        <v>0</v>
      </c>
      <c r="G1698" t="s">
        <v>872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1916</v>
      </c>
      <c r="B1699" t="s">
        <v>3498</v>
      </c>
      <c r="C1699">
        <v>2020</v>
      </c>
      <c r="D1699" t="s">
        <v>3499</v>
      </c>
      <c r="E1699" t="s">
        <v>877</v>
      </c>
      <c r="F1699">
        <v>487</v>
      </c>
      <c r="G1699" t="s">
        <v>877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>
      <c r="A1700" t="s">
        <v>4916</v>
      </c>
      <c r="B1700" t="s">
        <v>3498</v>
      </c>
      <c r="C1700">
        <v>2020</v>
      </c>
      <c r="D1700" t="s">
        <v>3504</v>
      </c>
      <c r="E1700" t="s">
        <v>3569</v>
      </c>
      <c r="F1700">
        <v>0</v>
      </c>
      <c r="G1700" t="s">
        <v>3569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2543</v>
      </c>
      <c r="B1701" t="s">
        <v>3498</v>
      </c>
      <c r="C1701">
        <v>2020</v>
      </c>
      <c r="D1701" t="s">
        <v>3504</v>
      </c>
      <c r="E1701" t="s">
        <v>872</v>
      </c>
      <c r="F1701">
        <v>337</v>
      </c>
      <c r="G1701" t="s">
        <v>872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>
      <c r="A1702" t="s">
        <v>4917</v>
      </c>
      <c r="B1702" t="s">
        <v>3498</v>
      </c>
      <c r="C1702">
        <v>2020</v>
      </c>
      <c r="D1702" t="s">
        <v>3504</v>
      </c>
      <c r="E1702" t="s">
        <v>3537</v>
      </c>
      <c r="F1702">
        <v>406</v>
      </c>
      <c r="G1702" t="s">
        <v>3537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>
      <c r="A1703" t="s">
        <v>1002</v>
      </c>
      <c r="B1703" t="s">
        <v>3498</v>
      </c>
      <c r="C1703">
        <v>2020</v>
      </c>
      <c r="D1703" t="s">
        <v>3499</v>
      </c>
      <c r="E1703" t="s">
        <v>871</v>
      </c>
      <c r="F1703">
        <v>405</v>
      </c>
      <c r="G1703" t="s">
        <v>871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>
      <c r="A1704" t="s">
        <v>4918</v>
      </c>
      <c r="B1704" t="s">
        <v>3498</v>
      </c>
      <c r="C1704">
        <v>2020</v>
      </c>
      <c r="D1704" t="s">
        <v>3499</v>
      </c>
      <c r="E1704" t="s">
        <v>3500</v>
      </c>
      <c r="F1704">
        <v>0</v>
      </c>
      <c r="G1704" t="s">
        <v>3500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2</v>
      </c>
      <c r="B1705" t="s">
        <v>3498</v>
      </c>
      <c r="C1705">
        <v>2020</v>
      </c>
      <c r="D1705" t="s">
        <v>3504</v>
      </c>
      <c r="E1705" t="s">
        <v>879</v>
      </c>
      <c r="F1705">
        <v>419</v>
      </c>
      <c r="G1705" t="s">
        <v>879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>
      <c r="A1706" t="s">
        <v>4919</v>
      </c>
      <c r="B1706" t="s">
        <v>3498</v>
      </c>
      <c r="C1706">
        <v>2020</v>
      </c>
      <c r="D1706" t="s">
        <v>3504</v>
      </c>
      <c r="E1706" t="s">
        <v>3615</v>
      </c>
      <c r="F1706">
        <v>751</v>
      </c>
      <c r="G1706" t="s">
        <v>3615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4920</v>
      </c>
      <c r="B1707" t="s">
        <v>3498</v>
      </c>
      <c r="C1707">
        <v>2020</v>
      </c>
      <c r="D1707" t="s">
        <v>3502</v>
      </c>
      <c r="E1707" t="s">
        <v>3523</v>
      </c>
      <c r="F1707">
        <v>720</v>
      </c>
      <c r="G1707" t="s">
        <v>3523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>
      <c r="A1708" t="s">
        <v>4921</v>
      </c>
      <c r="B1708" t="s">
        <v>3498</v>
      </c>
      <c r="C1708">
        <v>2020</v>
      </c>
      <c r="D1708" t="s">
        <v>3504</v>
      </c>
      <c r="E1708" t="s">
        <v>893</v>
      </c>
      <c r="F1708">
        <v>242</v>
      </c>
      <c r="G1708" t="s">
        <v>893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4922</v>
      </c>
      <c r="B1709" t="s">
        <v>3498</v>
      </c>
      <c r="C1709">
        <v>2020</v>
      </c>
      <c r="D1709" t="s">
        <v>3502</v>
      </c>
      <c r="E1709" t="s">
        <v>3597</v>
      </c>
      <c r="F1709">
        <v>0</v>
      </c>
      <c r="G1709" t="s">
        <v>3597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4923</v>
      </c>
      <c r="B1710" t="s">
        <v>3498</v>
      </c>
      <c r="C1710">
        <v>2020</v>
      </c>
      <c r="D1710" t="s">
        <v>3502</v>
      </c>
      <c r="E1710" t="s">
        <v>893</v>
      </c>
      <c r="F1710">
        <v>720</v>
      </c>
      <c r="G1710" t="s">
        <v>893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>
      <c r="A1711" t="s">
        <v>4924</v>
      </c>
      <c r="B1711" t="s">
        <v>3498</v>
      </c>
      <c r="C1711">
        <v>2020</v>
      </c>
      <c r="D1711" t="s">
        <v>3502</v>
      </c>
      <c r="E1711" t="s">
        <v>893</v>
      </c>
      <c r="F1711">
        <v>0</v>
      </c>
      <c r="G1711" t="s">
        <v>893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2808</v>
      </c>
      <c r="B1712" t="s">
        <v>3498</v>
      </c>
      <c r="C1712">
        <v>2020</v>
      </c>
      <c r="D1712" t="s">
        <v>3499</v>
      </c>
      <c r="E1712" t="s">
        <v>866</v>
      </c>
      <c r="F1712">
        <v>179</v>
      </c>
      <c r="G1712" t="s">
        <v>866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>
      <c r="A1713" t="s">
        <v>4925</v>
      </c>
      <c r="B1713" t="s">
        <v>3498</v>
      </c>
      <c r="C1713">
        <v>2020</v>
      </c>
      <c r="D1713" t="s">
        <v>3499</v>
      </c>
      <c r="E1713" t="s">
        <v>3510</v>
      </c>
      <c r="F1713">
        <v>6</v>
      </c>
      <c r="G1713" t="s">
        <v>3510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4926</v>
      </c>
      <c r="B1714" t="s">
        <v>3498</v>
      </c>
      <c r="C1714">
        <v>2020</v>
      </c>
      <c r="D1714" t="s">
        <v>3485</v>
      </c>
      <c r="E1714" t="s">
        <v>893</v>
      </c>
      <c r="F1714">
        <v>720</v>
      </c>
      <c r="G1714" t="s">
        <v>893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4927</v>
      </c>
      <c r="B1715" t="s">
        <v>3498</v>
      </c>
      <c r="C1715">
        <v>2020</v>
      </c>
      <c r="D1715" t="s">
        <v>3504</v>
      </c>
      <c r="E1715" t="s">
        <v>3571</v>
      </c>
      <c r="F1715">
        <v>408</v>
      </c>
      <c r="G1715" t="s">
        <v>3571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>
      <c r="A1716" t="s">
        <v>4928</v>
      </c>
      <c r="B1716" t="s">
        <v>3498</v>
      </c>
      <c r="C1716">
        <v>2020</v>
      </c>
      <c r="D1716" t="s">
        <v>3485</v>
      </c>
      <c r="E1716" t="s">
        <v>3549</v>
      </c>
      <c r="F1716">
        <v>0</v>
      </c>
      <c r="G1716" t="s">
        <v>3549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4929</v>
      </c>
      <c r="B1717" t="s">
        <v>3498</v>
      </c>
      <c r="C1717">
        <v>2020</v>
      </c>
      <c r="D1717" t="s">
        <v>3504</v>
      </c>
      <c r="E1717" t="s">
        <v>3549</v>
      </c>
      <c r="F1717">
        <v>434</v>
      </c>
      <c r="G1717" t="s">
        <v>3549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>
      <c r="A1718" t="s">
        <v>4930</v>
      </c>
      <c r="B1718" t="s">
        <v>3498</v>
      </c>
      <c r="C1718">
        <v>2020</v>
      </c>
      <c r="D1718" t="s">
        <v>3485</v>
      </c>
      <c r="E1718" t="s">
        <v>3597</v>
      </c>
      <c r="F1718">
        <v>720</v>
      </c>
      <c r="G1718" t="s">
        <v>3597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4931</v>
      </c>
      <c r="B1719" t="s">
        <v>3498</v>
      </c>
      <c r="C1719">
        <v>2020</v>
      </c>
      <c r="D1719" t="s">
        <v>3504</v>
      </c>
      <c r="E1719" t="s">
        <v>3549</v>
      </c>
      <c r="F1719">
        <v>0</v>
      </c>
      <c r="G1719" t="s">
        <v>3549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4932</v>
      </c>
      <c r="B1720" t="s">
        <v>3498</v>
      </c>
      <c r="C1720">
        <v>2020</v>
      </c>
      <c r="D1720" t="s">
        <v>3502</v>
      </c>
      <c r="E1720" t="s">
        <v>872</v>
      </c>
      <c r="F1720">
        <v>0</v>
      </c>
      <c r="G1720" t="s">
        <v>872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4933</v>
      </c>
      <c r="B1721" t="s">
        <v>3498</v>
      </c>
      <c r="C1721">
        <v>2020</v>
      </c>
      <c r="D1721" t="s">
        <v>3504</v>
      </c>
      <c r="E1721" t="s">
        <v>877</v>
      </c>
      <c r="F1721">
        <v>708</v>
      </c>
      <c r="G1721" t="s">
        <v>877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>
      <c r="A1722" t="s">
        <v>4934</v>
      </c>
      <c r="B1722" t="s">
        <v>3498</v>
      </c>
      <c r="C1722">
        <v>2020</v>
      </c>
      <c r="D1722" t="s">
        <v>3502</v>
      </c>
      <c r="E1722" t="s">
        <v>3615</v>
      </c>
      <c r="F1722">
        <v>0</v>
      </c>
      <c r="G1722" t="s">
        <v>3615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2363</v>
      </c>
      <c r="B1723" t="s">
        <v>3498</v>
      </c>
      <c r="C1723">
        <v>2020</v>
      </c>
      <c r="D1723" t="s">
        <v>3504</v>
      </c>
      <c r="E1723" t="s">
        <v>895</v>
      </c>
      <c r="F1723">
        <v>486</v>
      </c>
      <c r="G1723" t="s">
        <v>895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>
      <c r="A1724" t="s">
        <v>630</v>
      </c>
      <c r="B1724" t="s">
        <v>3498</v>
      </c>
      <c r="C1724">
        <v>2020</v>
      </c>
      <c r="D1724" t="s">
        <v>3504</v>
      </c>
      <c r="E1724" t="s">
        <v>895</v>
      </c>
      <c r="F1724">
        <v>403</v>
      </c>
      <c r="G1724" t="s">
        <v>895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>
      <c r="A1725" t="s">
        <v>4935</v>
      </c>
      <c r="B1725" t="s">
        <v>3498</v>
      </c>
      <c r="C1725">
        <v>2020</v>
      </c>
      <c r="D1725" t="s">
        <v>3499</v>
      </c>
      <c r="E1725" t="s">
        <v>876</v>
      </c>
      <c r="F1725">
        <v>427</v>
      </c>
      <c r="G1725" t="s">
        <v>876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>
      <c r="A1726" t="s">
        <v>4936</v>
      </c>
      <c r="B1726" t="s">
        <v>3498</v>
      </c>
      <c r="C1726">
        <v>2020</v>
      </c>
      <c r="D1726" t="s">
        <v>3499</v>
      </c>
      <c r="E1726" t="s">
        <v>865</v>
      </c>
      <c r="F1726">
        <v>0</v>
      </c>
      <c r="G1726" t="s">
        <v>865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4937</v>
      </c>
      <c r="B1727" t="s">
        <v>3498</v>
      </c>
      <c r="C1727">
        <v>2020</v>
      </c>
      <c r="D1727" t="s">
        <v>3504</v>
      </c>
      <c r="E1727" t="s">
        <v>895</v>
      </c>
      <c r="F1727">
        <v>353</v>
      </c>
      <c r="G1727" t="s">
        <v>895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4938</v>
      </c>
      <c r="B1728" t="s">
        <v>3498</v>
      </c>
      <c r="C1728">
        <v>2020</v>
      </c>
      <c r="D1728" t="s">
        <v>3502</v>
      </c>
      <c r="E1728" t="s">
        <v>895</v>
      </c>
      <c r="F1728">
        <v>0</v>
      </c>
      <c r="G1728" t="s">
        <v>895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4939</v>
      </c>
      <c r="B1729" t="s">
        <v>3498</v>
      </c>
      <c r="C1729">
        <v>2020</v>
      </c>
      <c r="D1729" t="s">
        <v>3504</v>
      </c>
      <c r="E1729" t="s">
        <v>3510</v>
      </c>
      <c r="F1729">
        <v>100</v>
      </c>
      <c r="G1729" t="s">
        <v>3510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4940</v>
      </c>
      <c r="B1730" t="s">
        <v>3498</v>
      </c>
      <c r="C1730">
        <v>2020</v>
      </c>
      <c r="D1730" t="s">
        <v>3504</v>
      </c>
      <c r="E1730" t="s">
        <v>3754</v>
      </c>
      <c r="F1730">
        <v>108</v>
      </c>
      <c r="G1730" t="s">
        <v>3754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>
      <c r="A1731" t="s">
        <v>4941</v>
      </c>
      <c r="B1731" t="s">
        <v>3498</v>
      </c>
      <c r="C1731">
        <v>2020</v>
      </c>
      <c r="D1731" t="s">
        <v>3485</v>
      </c>
      <c r="E1731" t="s">
        <v>3510</v>
      </c>
      <c r="F1731">
        <v>0</v>
      </c>
      <c r="G1731" t="s">
        <v>3510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1778</v>
      </c>
      <c r="B1732" t="s">
        <v>3498</v>
      </c>
      <c r="C1732">
        <v>2020</v>
      </c>
      <c r="D1732" t="s">
        <v>3485</v>
      </c>
      <c r="E1732" t="s">
        <v>863</v>
      </c>
      <c r="F1732">
        <v>437</v>
      </c>
      <c r="G1732" t="s">
        <v>863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4942</v>
      </c>
      <c r="B1733" t="s">
        <v>3498</v>
      </c>
      <c r="C1733">
        <v>2020</v>
      </c>
      <c r="D1733" t="s">
        <v>3499</v>
      </c>
      <c r="E1733" t="s">
        <v>886</v>
      </c>
      <c r="F1733">
        <v>0</v>
      </c>
      <c r="G1733" t="s">
        <v>886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4943</v>
      </c>
      <c r="B1734" t="s">
        <v>3498</v>
      </c>
      <c r="C1734">
        <v>2020</v>
      </c>
      <c r="D1734" t="s">
        <v>3499</v>
      </c>
      <c r="E1734" t="s">
        <v>865</v>
      </c>
      <c r="F1734">
        <v>26</v>
      </c>
      <c r="G1734" t="s">
        <v>865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4944</v>
      </c>
      <c r="B1735" t="s">
        <v>3498</v>
      </c>
      <c r="C1735">
        <v>2020</v>
      </c>
      <c r="D1735" t="s">
        <v>3504</v>
      </c>
      <c r="E1735" t="s">
        <v>3529</v>
      </c>
      <c r="F1735">
        <v>90</v>
      </c>
      <c r="G1735" t="s">
        <v>3530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4945</v>
      </c>
      <c r="B1736" t="s">
        <v>3498</v>
      </c>
      <c r="C1736">
        <v>2020</v>
      </c>
      <c r="D1736" t="s">
        <v>3485</v>
      </c>
      <c r="E1736" t="s">
        <v>3632</v>
      </c>
      <c r="F1736">
        <v>0</v>
      </c>
      <c r="G1736" t="s">
        <v>3632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4946</v>
      </c>
      <c r="B1737" t="s">
        <v>3498</v>
      </c>
      <c r="C1737">
        <v>2020</v>
      </c>
      <c r="D1737" t="s">
        <v>3504</v>
      </c>
      <c r="E1737" t="s">
        <v>3549</v>
      </c>
      <c r="F1737">
        <v>35</v>
      </c>
      <c r="G1737" t="s">
        <v>3549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>
      <c r="A1738" t="s">
        <v>4947</v>
      </c>
      <c r="B1738" t="s">
        <v>3498</v>
      </c>
      <c r="C1738">
        <v>2020</v>
      </c>
      <c r="D1738" t="s">
        <v>3499</v>
      </c>
      <c r="E1738" t="s">
        <v>896</v>
      </c>
      <c r="F1738">
        <v>18</v>
      </c>
      <c r="G1738" t="s">
        <v>896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4948</v>
      </c>
      <c r="B1739" t="s">
        <v>3498</v>
      </c>
      <c r="C1739">
        <v>2020</v>
      </c>
      <c r="D1739" t="s">
        <v>3502</v>
      </c>
      <c r="E1739" t="s">
        <v>891</v>
      </c>
      <c r="F1739">
        <v>270</v>
      </c>
      <c r="G1739" t="s">
        <v>891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>
      <c r="A1740" t="s">
        <v>350</v>
      </c>
      <c r="B1740" t="s">
        <v>3498</v>
      </c>
      <c r="C1740">
        <v>2020</v>
      </c>
      <c r="D1740" t="s">
        <v>3504</v>
      </c>
      <c r="E1740" t="s">
        <v>3597</v>
      </c>
      <c r="F1740">
        <v>804</v>
      </c>
      <c r="G1740" t="s">
        <v>3597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>
      <c r="A1741" t="s">
        <v>4949</v>
      </c>
      <c r="B1741" t="s">
        <v>3498</v>
      </c>
      <c r="C1741">
        <v>2020</v>
      </c>
      <c r="D1741" t="s">
        <v>3504</v>
      </c>
      <c r="E1741" t="s">
        <v>3730</v>
      </c>
      <c r="F1741">
        <v>90</v>
      </c>
      <c r="G1741" t="s">
        <v>3730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4950</v>
      </c>
      <c r="B1742" t="s">
        <v>3498</v>
      </c>
      <c r="C1742">
        <v>2020</v>
      </c>
      <c r="D1742" t="s">
        <v>3504</v>
      </c>
      <c r="E1742" t="s">
        <v>863</v>
      </c>
      <c r="F1742">
        <v>196</v>
      </c>
      <c r="G1742" t="s">
        <v>863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>
      <c r="A1743" t="s">
        <v>4951</v>
      </c>
      <c r="B1743" t="s">
        <v>3498</v>
      </c>
      <c r="C1743">
        <v>2020</v>
      </c>
      <c r="D1743" t="s">
        <v>3504</v>
      </c>
      <c r="E1743" t="s">
        <v>3592</v>
      </c>
      <c r="F1743">
        <v>401</v>
      </c>
      <c r="G1743" t="s">
        <v>3592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4952</v>
      </c>
      <c r="B1744" t="s">
        <v>3498</v>
      </c>
      <c r="C1744">
        <v>2020</v>
      </c>
      <c r="D1744" t="s">
        <v>3504</v>
      </c>
      <c r="E1744" t="s">
        <v>3592</v>
      </c>
      <c r="F1744">
        <v>465</v>
      </c>
      <c r="G1744" t="s">
        <v>3592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4953</v>
      </c>
      <c r="B1745" t="s">
        <v>3498</v>
      </c>
      <c r="C1745">
        <v>2020</v>
      </c>
      <c r="D1745" t="s">
        <v>3504</v>
      </c>
      <c r="E1745" t="s">
        <v>885</v>
      </c>
      <c r="F1745">
        <v>237</v>
      </c>
      <c r="G1745" t="s">
        <v>885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>
      <c r="A1746" t="s">
        <v>4954</v>
      </c>
      <c r="B1746" t="s">
        <v>3498</v>
      </c>
      <c r="C1746">
        <v>2020</v>
      </c>
      <c r="D1746" t="s">
        <v>3499</v>
      </c>
      <c r="E1746" t="s">
        <v>3571</v>
      </c>
      <c r="F1746">
        <v>370</v>
      </c>
      <c r="G1746" t="s">
        <v>3571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>
      <c r="A1747" t="s">
        <v>4955</v>
      </c>
      <c r="B1747" t="s">
        <v>3498</v>
      </c>
      <c r="C1747">
        <v>2020</v>
      </c>
      <c r="D1747" t="s">
        <v>3504</v>
      </c>
      <c r="E1747" t="s">
        <v>3526</v>
      </c>
      <c r="F1747">
        <v>230</v>
      </c>
      <c r="G1747" t="s">
        <v>3526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4956</v>
      </c>
      <c r="B1748" t="s">
        <v>3498</v>
      </c>
      <c r="C1748">
        <v>2020</v>
      </c>
      <c r="D1748" t="s">
        <v>3504</v>
      </c>
      <c r="E1748" t="s">
        <v>885</v>
      </c>
      <c r="F1748">
        <v>335</v>
      </c>
      <c r="G1748" t="s">
        <v>885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>
      <c r="A1749" t="s">
        <v>4957</v>
      </c>
      <c r="B1749" t="s">
        <v>3498</v>
      </c>
      <c r="C1749">
        <v>2020</v>
      </c>
      <c r="D1749" t="s">
        <v>3502</v>
      </c>
      <c r="E1749" t="s">
        <v>870</v>
      </c>
      <c r="F1749">
        <v>420</v>
      </c>
      <c r="G1749" t="s">
        <v>870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>
      <c r="A1750" t="s">
        <v>4958</v>
      </c>
      <c r="B1750" t="s">
        <v>3498</v>
      </c>
      <c r="C1750">
        <v>2020</v>
      </c>
      <c r="D1750" t="s">
        <v>3504</v>
      </c>
      <c r="E1750" t="s">
        <v>3618</v>
      </c>
      <c r="F1750">
        <v>568</v>
      </c>
      <c r="G1750" t="s">
        <v>3618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>
      <c r="A1751" t="s">
        <v>4959</v>
      </c>
      <c r="B1751" t="s">
        <v>3498</v>
      </c>
      <c r="C1751">
        <v>2020</v>
      </c>
      <c r="D1751" t="s">
        <v>3485</v>
      </c>
      <c r="E1751" t="s">
        <v>895</v>
      </c>
      <c r="F1751">
        <v>180</v>
      </c>
      <c r="G1751" t="s">
        <v>895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4960</v>
      </c>
      <c r="B1752" t="s">
        <v>3498</v>
      </c>
      <c r="C1752">
        <v>2020</v>
      </c>
      <c r="D1752" t="s">
        <v>3499</v>
      </c>
      <c r="E1752" t="s">
        <v>3500</v>
      </c>
      <c r="F1752">
        <v>103</v>
      </c>
      <c r="G1752" t="s">
        <v>879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3028</v>
      </c>
      <c r="B1753" t="s">
        <v>3498</v>
      </c>
      <c r="C1753">
        <v>2020</v>
      </c>
      <c r="D1753" t="s">
        <v>3502</v>
      </c>
      <c r="E1753" t="s">
        <v>895</v>
      </c>
      <c r="F1753">
        <v>540</v>
      </c>
      <c r="G1753" t="s">
        <v>895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>
      <c r="A1754" t="s">
        <v>78</v>
      </c>
      <c r="B1754" t="s">
        <v>3498</v>
      </c>
      <c r="C1754">
        <v>2020</v>
      </c>
      <c r="D1754" t="s">
        <v>3504</v>
      </c>
      <c r="E1754" t="s">
        <v>895</v>
      </c>
      <c r="F1754">
        <v>592</v>
      </c>
      <c r="G1754" t="s">
        <v>879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>
      <c r="A1755" t="s">
        <v>4961</v>
      </c>
      <c r="B1755" t="s">
        <v>3498</v>
      </c>
      <c r="C1755">
        <v>2020</v>
      </c>
      <c r="D1755" t="s">
        <v>3504</v>
      </c>
      <c r="E1755" t="s">
        <v>3520</v>
      </c>
      <c r="F1755">
        <v>156</v>
      </c>
      <c r="G1755" t="s">
        <v>3520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4962</v>
      </c>
      <c r="B1756" t="s">
        <v>3498</v>
      </c>
      <c r="C1756">
        <v>2020</v>
      </c>
      <c r="D1756" t="s">
        <v>3502</v>
      </c>
      <c r="E1756" t="s">
        <v>3529</v>
      </c>
      <c r="F1756">
        <v>658</v>
      </c>
      <c r="G1756" t="s">
        <v>3530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>
      <c r="A1757" t="s">
        <v>4963</v>
      </c>
      <c r="B1757" t="s">
        <v>3498</v>
      </c>
      <c r="C1757">
        <v>2020</v>
      </c>
      <c r="D1757" t="s">
        <v>3502</v>
      </c>
      <c r="E1757" t="s">
        <v>3500</v>
      </c>
      <c r="F1757">
        <v>616</v>
      </c>
      <c r="G1757" t="s">
        <v>3500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>
      <c r="A1758" t="s">
        <v>4964</v>
      </c>
      <c r="B1758" t="s">
        <v>3498</v>
      </c>
      <c r="C1758">
        <v>2020</v>
      </c>
      <c r="D1758" t="s">
        <v>3499</v>
      </c>
      <c r="E1758" t="s">
        <v>3500</v>
      </c>
      <c r="F1758">
        <v>106</v>
      </c>
      <c r="G1758" t="s">
        <v>3500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4965</v>
      </c>
      <c r="B1759" t="s">
        <v>3498</v>
      </c>
      <c r="C1759">
        <v>2020</v>
      </c>
      <c r="D1759" t="s">
        <v>3485</v>
      </c>
      <c r="E1759" t="s">
        <v>3500</v>
      </c>
      <c r="F1759">
        <v>0</v>
      </c>
      <c r="G1759" t="s">
        <v>3500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4966</v>
      </c>
      <c r="B1760" t="s">
        <v>3498</v>
      </c>
      <c r="C1760">
        <v>2020</v>
      </c>
      <c r="D1760" t="s">
        <v>3499</v>
      </c>
      <c r="E1760" t="s">
        <v>3506</v>
      </c>
      <c r="F1760">
        <v>3</v>
      </c>
      <c r="G1760" t="s">
        <v>3506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4967</v>
      </c>
      <c r="B1761" t="s">
        <v>3498</v>
      </c>
      <c r="C1761">
        <v>2020</v>
      </c>
      <c r="D1761" t="s">
        <v>3499</v>
      </c>
      <c r="E1761" t="s">
        <v>886</v>
      </c>
      <c r="F1761">
        <v>89</v>
      </c>
      <c r="G1761" t="s">
        <v>886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>
      <c r="A1762" t="s">
        <v>2654</v>
      </c>
      <c r="B1762" t="s">
        <v>3498</v>
      </c>
      <c r="C1762">
        <v>2020</v>
      </c>
      <c r="D1762" t="s">
        <v>3504</v>
      </c>
      <c r="E1762" t="s">
        <v>886</v>
      </c>
      <c r="F1762">
        <v>659</v>
      </c>
      <c r="G1762" t="s">
        <v>886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>
      <c r="A1763" t="s">
        <v>4968</v>
      </c>
      <c r="B1763" t="s">
        <v>3498</v>
      </c>
      <c r="C1763">
        <v>2020</v>
      </c>
      <c r="D1763" t="s">
        <v>3502</v>
      </c>
      <c r="E1763" t="s">
        <v>878</v>
      </c>
      <c r="F1763">
        <v>0</v>
      </c>
      <c r="G1763" t="s">
        <v>878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4969</v>
      </c>
      <c r="B1764" t="s">
        <v>3498</v>
      </c>
      <c r="C1764">
        <v>2020</v>
      </c>
      <c r="D1764" t="s">
        <v>3504</v>
      </c>
      <c r="E1764" t="s">
        <v>892</v>
      </c>
      <c r="F1764">
        <v>0</v>
      </c>
      <c r="G1764" t="s">
        <v>892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4970</v>
      </c>
      <c r="B1765" t="s">
        <v>3498</v>
      </c>
      <c r="C1765">
        <v>2020</v>
      </c>
      <c r="D1765" t="s">
        <v>3504</v>
      </c>
      <c r="E1765" t="s">
        <v>888</v>
      </c>
      <c r="F1765">
        <v>327</v>
      </c>
      <c r="G1765" t="s">
        <v>888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>
      <c r="A1766" t="s">
        <v>4971</v>
      </c>
      <c r="B1766" t="s">
        <v>3498</v>
      </c>
      <c r="C1766">
        <v>2020</v>
      </c>
      <c r="D1766" t="s">
        <v>3504</v>
      </c>
      <c r="E1766" t="s">
        <v>3602</v>
      </c>
      <c r="F1766">
        <v>0</v>
      </c>
      <c r="G1766" t="s">
        <v>892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1063</v>
      </c>
      <c r="B1767" t="s">
        <v>3498</v>
      </c>
      <c r="C1767">
        <v>2020</v>
      </c>
      <c r="D1767" t="s">
        <v>3499</v>
      </c>
      <c r="E1767" t="s">
        <v>892</v>
      </c>
      <c r="F1767">
        <v>593</v>
      </c>
      <c r="G1767" t="s">
        <v>892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>
      <c r="A1768" t="s">
        <v>4972</v>
      </c>
      <c r="B1768" t="s">
        <v>3498</v>
      </c>
      <c r="C1768">
        <v>2020</v>
      </c>
      <c r="D1768" t="s">
        <v>3485</v>
      </c>
      <c r="E1768" t="s">
        <v>3569</v>
      </c>
      <c r="F1768">
        <v>0</v>
      </c>
      <c r="G1768" t="s">
        <v>3569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4973</v>
      </c>
      <c r="B1769" t="s">
        <v>3498</v>
      </c>
      <c r="C1769">
        <v>2020</v>
      </c>
      <c r="D1769" t="s">
        <v>3499</v>
      </c>
      <c r="E1769" t="s">
        <v>3508</v>
      </c>
      <c r="F1769">
        <v>29</v>
      </c>
      <c r="G1769" t="s">
        <v>3508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4974</v>
      </c>
      <c r="B1770" t="s">
        <v>3498</v>
      </c>
      <c r="C1770">
        <v>2020</v>
      </c>
      <c r="D1770" t="s">
        <v>3485</v>
      </c>
      <c r="E1770" t="s">
        <v>3730</v>
      </c>
      <c r="F1770">
        <v>720</v>
      </c>
      <c r="G1770" t="s">
        <v>3730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>
      <c r="A1771" t="s">
        <v>4975</v>
      </c>
      <c r="B1771" t="s">
        <v>3498</v>
      </c>
      <c r="C1771">
        <v>2020</v>
      </c>
      <c r="D1771" t="s">
        <v>3499</v>
      </c>
      <c r="E1771" t="s">
        <v>3730</v>
      </c>
      <c r="F1771">
        <v>494</v>
      </c>
      <c r="G1771" t="s">
        <v>3730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4976</v>
      </c>
      <c r="B1772" t="s">
        <v>3498</v>
      </c>
      <c r="C1772">
        <v>2020</v>
      </c>
      <c r="D1772" t="s">
        <v>3504</v>
      </c>
      <c r="E1772" t="s">
        <v>3526</v>
      </c>
      <c r="F1772">
        <v>232</v>
      </c>
      <c r="G1772" t="s">
        <v>3526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>
      <c r="A1773" t="s">
        <v>4977</v>
      </c>
      <c r="B1773" t="s">
        <v>3498</v>
      </c>
      <c r="C1773">
        <v>2020</v>
      </c>
      <c r="D1773" t="s">
        <v>3485</v>
      </c>
      <c r="E1773" t="s">
        <v>3569</v>
      </c>
      <c r="F1773">
        <v>0</v>
      </c>
      <c r="G1773" t="s">
        <v>3569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4978</v>
      </c>
      <c r="B1774" t="s">
        <v>3498</v>
      </c>
      <c r="C1774">
        <v>2020</v>
      </c>
      <c r="D1774" t="s">
        <v>3502</v>
      </c>
      <c r="E1774" t="s">
        <v>877</v>
      </c>
      <c r="F1774">
        <v>630</v>
      </c>
      <c r="G1774" t="s">
        <v>877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4979</v>
      </c>
      <c r="B1775" t="s">
        <v>3498</v>
      </c>
      <c r="C1775">
        <v>2020</v>
      </c>
      <c r="D1775" t="s">
        <v>3504</v>
      </c>
      <c r="E1775" t="s">
        <v>872</v>
      </c>
      <c r="F1775">
        <v>218</v>
      </c>
      <c r="G1775" t="s">
        <v>872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>
      <c r="A1776" t="s">
        <v>4980</v>
      </c>
      <c r="B1776" t="s">
        <v>3498</v>
      </c>
      <c r="C1776">
        <v>2020</v>
      </c>
      <c r="D1776" t="s">
        <v>3502</v>
      </c>
      <c r="E1776" t="s">
        <v>3569</v>
      </c>
      <c r="F1776">
        <v>180</v>
      </c>
      <c r="G1776" t="s">
        <v>3569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>
      <c r="A1777" t="s">
        <v>4981</v>
      </c>
      <c r="B1777" t="s">
        <v>3498</v>
      </c>
      <c r="C1777">
        <v>2020</v>
      </c>
      <c r="D1777" t="s">
        <v>3502</v>
      </c>
      <c r="E1777" t="s">
        <v>885</v>
      </c>
      <c r="F1777">
        <v>0</v>
      </c>
      <c r="G1777" t="s">
        <v>885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4982</v>
      </c>
      <c r="B1778" t="s">
        <v>3498</v>
      </c>
      <c r="C1778">
        <v>2020</v>
      </c>
      <c r="D1778" t="s">
        <v>3502</v>
      </c>
      <c r="E1778" t="s">
        <v>885</v>
      </c>
      <c r="F1778">
        <v>180</v>
      </c>
      <c r="G1778" t="s">
        <v>885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1678</v>
      </c>
      <c r="B1779" t="s">
        <v>3498</v>
      </c>
      <c r="C1779">
        <v>2020</v>
      </c>
      <c r="D1779" t="s">
        <v>3504</v>
      </c>
      <c r="E1779" t="s">
        <v>885</v>
      </c>
      <c r="F1779">
        <v>450</v>
      </c>
      <c r="G1779" t="s">
        <v>885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>
      <c r="A1780" t="s">
        <v>4983</v>
      </c>
      <c r="B1780" t="s">
        <v>3498</v>
      </c>
      <c r="C1780">
        <v>2020</v>
      </c>
      <c r="D1780" t="s">
        <v>3504</v>
      </c>
      <c r="E1780" t="s">
        <v>885</v>
      </c>
      <c r="F1780">
        <v>106</v>
      </c>
      <c r="G1780" t="s">
        <v>885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4984</v>
      </c>
      <c r="B1781" t="s">
        <v>3498</v>
      </c>
      <c r="C1781">
        <v>2020</v>
      </c>
      <c r="D1781" t="s">
        <v>3499</v>
      </c>
      <c r="E1781" t="s">
        <v>3506</v>
      </c>
      <c r="F1781">
        <v>115</v>
      </c>
      <c r="G1781" t="s">
        <v>3506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4985</v>
      </c>
      <c r="B1782" t="s">
        <v>3498</v>
      </c>
      <c r="C1782">
        <v>2020</v>
      </c>
      <c r="D1782" t="s">
        <v>3502</v>
      </c>
      <c r="E1782" t="s">
        <v>885</v>
      </c>
      <c r="F1782">
        <v>704</v>
      </c>
      <c r="G1782" t="s">
        <v>885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>
      <c r="A1783" t="s">
        <v>4986</v>
      </c>
      <c r="B1783" t="s">
        <v>3498</v>
      </c>
      <c r="C1783">
        <v>2020</v>
      </c>
      <c r="D1783" t="s">
        <v>3502</v>
      </c>
      <c r="E1783" t="s">
        <v>885</v>
      </c>
      <c r="F1783">
        <v>0</v>
      </c>
      <c r="G1783" t="s">
        <v>885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4987</v>
      </c>
      <c r="B1784" t="s">
        <v>3498</v>
      </c>
      <c r="C1784">
        <v>2020</v>
      </c>
      <c r="D1784" t="s">
        <v>3502</v>
      </c>
      <c r="E1784" t="s">
        <v>3537</v>
      </c>
      <c r="F1784">
        <v>0</v>
      </c>
      <c r="G1784" t="s">
        <v>3537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4988</v>
      </c>
      <c r="B1785" t="s">
        <v>3498</v>
      </c>
      <c r="C1785">
        <v>2020</v>
      </c>
      <c r="D1785" t="s">
        <v>3499</v>
      </c>
      <c r="E1785" t="s">
        <v>3599</v>
      </c>
      <c r="F1785">
        <v>180</v>
      </c>
      <c r="G1785" t="s">
        <v>3599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>
      <c r="A1786" t="s">
        <v>4989</v>
      </c>
      <c r="B1786" t="s">
        <v>3498</v>
      </c>
      <c r="C1786">
        <v>2020</v>
      </c>
      <c r="D1786" t="s">
        <v>3504</v>
      </c>
      <c r="E1786" t="s">
        <v>877</v>
      </c>
      <c r="F1786">
        <v>180</v>
      </c>
      <c r="G1786" t="s">
        <v>877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4990</v>
      </c>
      <c r="B1787" t="s">
        <v>3498</v>
      </c>
      <c r="C1787">
        <v>2020</v>
      </c>
      <c r="D1787" t="s">
        <v>3502</v>
      </c>
      <c r="E1787" t="s">
        <v>3508</v>
      </c>
      <c r="F1787">
        <v>900</v>
      </c>
      <c r="G1787" t="s">
        <v>3508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>
      <c r="A1788" t="s">
        <v>2336</v>
      </c>
      <c r="B1788" t="s">
        <v>3498</v>
      </c>
      <c r="C1788">
        <v>2020</v>
      </c>
      <c r="D1788" t="s">
        <v>3504</v>
      </c>
      <c r="E1788" t="s">
        <v>877</v>
      </c>
      <c r="F1788">
        <v>107</v>
      </c>
      <c r="G1788" t="s">
        <v>877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4991</v>
      </c>
      <c r="B1789" t="s">
        <v>3498</v>
      </c>
      <c r="C1789">
        <v>2020</v>
      </c>
      <c r="D1789" t="s">
        <v>3504</v>
      </c>
      <c r="E1789" t="s">
        <v>3508</v>
      </c>
      <c r="F1789">
        <v>19</v>
      </c>
      <c r="G1789" t="s">
        <v>3508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4992</v>
      </c>
      <c r="B1790" t="s">
        <v>3498</v>
      </c>
      <c r="C1790">
        <v>2020</v>
      </c>
      <c r="D1790" t="s">
        <v>3502</v>
      </c>
      <c r="E1790" t="s">
        <v>3592</v>
      </c>
      <c r="F1790">
        <v>195</v>
      </c>
      <c r="G1790" t="s">
        <v>3592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4993</v>
      </c>
      <c r="B1791" t="s">
        <v>3498</v>
      </c>
      <c r="C1791">
        <v>2020</v>
      </c>
      <c r="D1791" t="s">
        <v>3502</v>
      </c>
      <c r="E1791" t="s">
        <v>3500</v>
      </c>
      <c r="F1791">
        <v>810</v>
      </c>
      <c r="G1791" t="s">
        <v>3500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>
      <c r="A1792" t="s">
        <v>4994</v>
      </c>
      <c r="B1792" t="s">
        <v>3498</v>
      </c>
      <c r="C1792">
        <v>2020</v>
      </c>
      <c r="D1792" t="s">
        <v>3504</v>
      </c>
      <c r="E1792" t="s">
        <v>3503</v>
      </c>
      <c r="F1792">
        <v>180</v>
      </c>
      <c r="G1792" t="s">
        <v>3503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324</v>
      </c>
      <c r="B1793" t="s">
        <v>3498</v>
      </c>
      <c r="C1793">
        <v>2020</v>
      </c>
      <c r="D1793" t="s">
        <v>3499</v>
      </c>
      <c r="E1793" t="s">
        <v>3500</v>
      </c>
      <c r="F1793">
        <v>-22</v>
      </c>
      <c r="G1793" t="s">
        <v>3500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4995</v>
      </c>
      <c r="B1794" t="s">
        <v>3498</v>
      </c>
      <c r="C1794">
        <v>2020</v>
      </c>
      <c r="D1794" t="s">
        <v>3504</v>
      </c>
      <c r="E1794" t="s">
        <v>3503</v>
      </c>
      <c r="F1794">
        <v>14</v>
      </c>
      <c r="G1794" t="s">
        <v>3503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4996</v>
      </c>
      <c r="B1795" t="s">
        <v>3498</v>
      </c>
      <c r="C1795">
        <v>2020</v>
      </c>
      <c r="D1795" t="s">
        <v>3504</v>
      </c>
      <c r="E1795" t="s">
        <v>3624</v>
      </c>
      <c r="F1795">
        <v>450</v>
      </c>
      <c r="G1795" t="s">
        <v>3624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>
      <c r="A1796" t="s">
        <v>4997</v>
      </c>
      <c r="B1796" t="s">
        <v>3498</v>
      </c>
      <c r="C1796">
        <v>2020</v>
      </c>
      <c r="D1796" t="s">
        <v>3499</v>
      </c>
      <c r="E1796" t="s">
        <v>3632</v>
      </c>
      <c r="F1796">
        <v>0</v>
      </c>
      <c r="G1796" t="s">
        <v>866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4998</v>
      </c>
      <c r="B1797" t="s">
        <v>3498</v>
      </c>
      <c r="C1797">
        <v>2020</v>
      </c>
      <c r="D1797" t="s">
        <v>3499</v>
      </c>
      <c r="E1797" t="s">
        <v>3624</v>
      </c>
      <c r="F1797">
        <v>116</v>
      </c>
      <c r="G1797" t="s">
        <v>3624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>
      <c r="A1798" t="s">
        <v>4999</v>
      </c>
      <c r="B1798" t="s">
        <v>3498</v>
      </c>
      <c r="C1798">
        <v>2020</v>
      </c>
      <c r="D1798" t="s">
        <v>3502</v>
      </c>
      <c r="E1798" t="s">
        <v>3569</v>
      </c>
      <c r="F1798">
        <v>270</v>
      </c>
      <c r="G1798" t="s">
        <v>3569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>
      <c r="A1799" t="s">
        <v>5000</v>
      </c>
      <c r="B1799" t="s">
        <v>3498</v>
      </c>
      <c r="C1799">
        <v>2020</v>
      </c>
      <c r="D1799" t="s">
        <v>3502</v>
      </c>
      <c r="E1799" t="s">
        <v>3597</v>
      </c>
      <c r="F1799">
        <v>0</v>
      </c>
      <c r="G1799" t="s">
        <v>3597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2780</v>
      </c>
      <c r="B1800" t="s">
        <v>3498</v>
      </c>
      <c r="C1800">
        <v>2020</v>
      </c>
      <c r="D1800" t="s">
        <v>3502</v>
      </c>
      <c r="E1800" t="s">
        <v>866</v>
      </c>
      <c r="F1800">
        <v>0</v>
      </c>
      <c r="G1800" t="s">
        <v>866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5001</v>
      </c>
      <c r="B1801" t="s">
        <v>3498</v>
      </c>
      <c r="C1801">
        <v>2020</v>
      </c>
      <c r="D1801" t="s">
        <v>3485</v>
      </c>
      <c r="E1801" t="s">
        <v>3537</v>
      </c>
      <c r="F1801">
        <v>0</v>
      </c>
      <c r="G1801" t="s">
        <v>3537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5002</v>
      </c>
      <c r="B1802" t="s">
        <v>3498</v>
      </c>
      <c r="C1802">
        <v>2020</v>
      </c>
      <c r="D1802" t="s">
        <v>3504</v>
      </c>
      <c r="E1802" t="s">
        <v>3566</v>
      </c>
      <c r="F1802">
        <v>112</v>
      </c>
      <c r="G1802" t="s">
        <v>3566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>
      <c r="A1803" t="s">
        <v>5003</v>
      </c>
      <c r="B1803" t="s">
        <v>3498</v>
      </c>
      <c r="C1803">
        <v>2020</v>
      </c>
      <c r="D1803" t="s">
        <v>3502</v>
      </c>
      <c r="E1803" t="s">
        <v>869</v>
      </c>
      <c r="F1803">
        <v>639</v>
      </c>
      <c r="G1803" t="s">
        <v>869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>
      <c r="A1804" t="s">
        <v>5004</v>
      </c>
      <c r="B1804" t="s">
        <v>3498</v>
      </c>
      <c r="C1804">
        <v>2020</v>
      </c>
      <c r="D1804" t="s">
        <v>3499</v>
      </c>
      <c r="E1804" t="s">
        <v>3592</v>
      </c>
      <c r="F1804">
        <v>202</v>
      </c>
      <c r="G1804" t="s">
        <v>3592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1821</v>
      </c>
      <c r="B1805" t="s">
        <v>3498</v>
      </c>
      <c r="C1805">
        <v>2020</v>
      </c>
      <c r="D1805" t="s">
        <v>3485</v>
      </c>
      <c r="E1805" t="s">
        <v>871</v>
      </c>
      <c r="F1805">
        <v>90</v>
      </c>
      <c r="G1805" t="s">
        <v>871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5005</v>
      </c>
      <c r="B1806" t="s">
        <v>3498</v>
      </c>
      <c r="C1806">
        <v>2020</v>
      </c>
      <c r="D1806" t="s">
        <v>3499</v>
      </c>
      <c r="E1806" t="s">
        <v>870</v>
      </c>
      <c r="F1806">
        <v>174</v>
      </c>
      <c r="G1806" t="s">
        <v>870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2263</v>
      </c>
      <c r="B1807" t="s">
        <v>3498</v>
      </c>
      <c r="C1807">
        <v>2020</v>
      </c>
      <c r="D1807" t="s">
        <v>3485</v>
      </c>
      <c r="E1807" t="s">
        <v>880</v>
      </c>
      <c r="F1807">
        <v>0</v>
      </c>
      <c r="G1807" t="s">
        <v>880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5006</v>
      </c>
      <c r="B1808" t="s">
        <v>3498</v>
      </c>
      <c r="C1808">
        <v>2020</v>
      </c>
      <c r="D1808" t="s">
        <v>3485</v>
      </c>
      <c r="E1808" t="s">
        <v>3532</v>
      </c>
      <c r="F1808">
        <v>360</v>
      </c>
      <c r="G1808" t="s">
        <v>3532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5007</v>
      </c>
      <c r="B1809" t="s">
        <v>3498</v>
      </c>
      <c r="C1809">
        <v>2020</v>
      </c>
      <c r="D1809" t="s">
        <v>3485</v>
      </c>
      <c r="E1809" t="s">
        <v>862</v>
      </c>
      <c r="F1809">
        <v>0</v>
      </c>
      <c r="G1809" t="s">
        <v>862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5008</v>
      </c>
      <c r="B1810" t="s">
        <v>3498</v>
      </c>
      <c r="C1810">
        <v>2020</v>
      </c>
      <c r="D1810" t="s">
        <v>3502</v>
      </c>
      <c r="E1810" t="s">
        <v>3529</v>
      </c>
      <c r="F1810">
        <v>90</v>
      </c>
      <c r="G1810" t="s">
        <v>3530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5009</v>
      </c>
      <c r="B1811" t="s">
        <v>3498</v>
      </c>
      <c r="C1811">
        <v>2020</v>
      </c>
      <c r="D1811" t="s">
        <v>3499</v>
      </c>
      <c r="E1811" t="s">
        <v>3529</v>
      </c>
      <c r="F1811">
        <v>0</v>
      </c>
      <c r="G1811" t="s">
        <v>3530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5010</v>
      </c>
      <c r="B1812" t="s">
        <v>3498</v>
      </c>
      <c r="C1812">
        <v>2020</v>
      </c>
      <c r="D1812" t="s">
        <v>3499</v>
      </c>
      <c r="E1812" t="s">
        <v>3546</v>
      </c>
      <c r="F1812">
        <v>390</v>
      </c>
      <c r="G1812" t="s">
        <v>3546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>
      <c r="A1813" t="s">
        <v>5011</v>
      </c>
      <c r="B1813" t="s">
        <v>3498</v>
      </c>
      <c r="C1813">
        <v>2020</v>
      </c>
      <c r="D1813" t="s">
        <v>3485</v>
      </c>
      <c r="E1813" t="s">
        <v>3602</v>
      </c>
      <c r="F1813">
        <v>0</v>
      </c>
      <c r="G1813" t="s">
        <v>3602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179</v>
      </c>
      <c r="B1814" t="s">
        <v>3498</v>
      </c>
      <c r="C1814">
        <v>2020</v>
      </c>
      <c r="D1814" t="s">
        <v>3502</v>
      </c>
      <c r="E1814" t="s">
        <v>3602</v>
      </c>
      <c r="F1814">
        <v>450</v>
      </c>
      <c r="G1814" t="s">
        <v>3602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>
      <c r="A1815" t="s">
        <v>5012</v>
      </c>
      <c r="B1815" t="s">
        <v>3498</v>
      </c>
      <c r="C1815">
        <v>2020</v>
      </c>
      <c r="D1815" t="s">
        <v>3502</v>
      </c>
      <c r="E1815" t="s">
        <v>3754</v>
      </c>
      <c r="F1815">
        <v>298</v>
      </c>
      <c r="G1815" t="s">
        <v>3754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5013</v>
      </c>
      <c r="B1816" t="s">
        <v>3498</v>
      </c>
      <c r="C1816">
        <v>2020</v>
      </c>
      <c r="D1816" t="s">
        <v>3485</v>
      </c>
      <c r="E1816" t="s">
        <v>3597</v>
      </c>
      <c r="F1816">
        <v>0</v>
      </c>
      <c r="G1816" t="s">
        <v>3597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5014</v>
      </c>
      <c r="B1817" t="s">
        <v>3498</v>
      </c>
      <c r="C1817">
        <v>2020</v>
      </c>
      <c r="D1817" t="s">
        <v>3485</v>
      </c>
      <c r="E1817" t="s">
        <v>872</v>
      </c>
      <c r="F1817">
        <v>0</v>
      </c>
      <c r="G1817" t="s">
        <v>872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5015</v>
      </c>
      <c r="B1818" t="s">
        <v>3498</v>
      </c>
      <c r="C1818">
        <v>2020</v>
      </c>
      <c r="D1818" t="s">
        <v>3502</v>
      </c>
      <c r="E1818" t="s">
        <v>886</v>
      </c>
      <c r="F1818">
        <v>0</v>
      </c>
      <c r="G1818" t="s">
        <v>3602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5016</v>
      </c>
      <c r="B1819" t="s">
        <v>3498</v>
      </c>
      <c r="C1819">
        <v>2020</v>
      </c>
      <c r="D1819" t="s">
        <v>3499</v>
      </c>
      <c r="E1819" t="s">
        <v>3566</v>
      </c>
      <c r="F1819">
        <v>150</v>
      </c>
      <c r="G1819" t="s">
        <v>3566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5017</v>
      </c>
      <c r="B1820" t="s">
        <v>3498</v>
      </c>
      <c r="C1820">
        <v>2020</v>
      </c>
      <c r="D1820" t="s">
        <v>3502</v>
      </c>
      <c r="E1820" t="s">
        <v>3602</v>
      </c>
      <c r="F1820">
        <v>0</v>
      </c>
      <c r="G1820" t="s">
        <v>3602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5018</v>
      </c>
      <c r="B1821" t="s">
        <v>3498</v>
      </c>
      <c r="C1821">
        <v>2020</v>
      </c>
      <c r="D1821" t="s">
        <v>3504</v>
      </c>
      <c r="E1821" t="s">
        <v>3569</v>
      </c>
      <c r="F1821">
        <v>627</v>
      </c>
      <c r="G1821" t="s">
        <v>3569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>
      <c r="A1822" t="s">
        <v>5019</v>
      </c>
      <c r="B1822" t="s">
        <v>3498</v>
      </c>
      <c r="C1822">
        <v>2020</v>
      </c>
      <c r="D1822" t="s">
        <v>3499</v>
      </c>
      <c r="E1822" t="s">
        <v>3566</v>
      </c>
      <c r="F1822">
        <v>0</v>
      </c>
      <c r="G1822" t="s">
        <v>3566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5020</v>
      </c>
      <c r="B1823" t="s">
        <v>3498</v>
      </c>
      <c r="C1823">
        <v>2020</v>
      </c>
      <c r="D1823" t="s">
        <v>3499</v>
      </c>
      <c r="E1823" t="s">
        <v>3566</v>
      </c>
      <c r="F1823">
        <v>39</v>
      </c>
      <c r="G1823" t="s">
        <v>3566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3373</v>
      </c>
      <c r="B1824" t="s">
        <v>3498</v>
      </c>
      <c r="C1824">
        <v>2020</v>
      </c>
      <c r="D1824" t="s">
        <v>3504</v>
      </c>
      <c r="E1824" t="s">
        <v>896</v>
      </c>
      <c r="F1824">
        <v>779</v>
      </c>
      <c r="G1824" t="s">
        <v>896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>
      <c r="A1825" t="s">
        <v>5021</v>
      </c>
      <c r="B1825" t="s">
        <v>3498</v>
      </c>
      <c r="C1825">
        <v>2020</v>
      </c>
      <c r="D1825" t="s">
        <v>3485</v>
      </c>
      <c r="E1825" t="s">
        <v>3599</v>
      </c>
      <c r="F1825">
        <v>0</v>
      </c>
      <c r="G1825" t="s">
        <v>3599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5022</v>
      </c>
      <c r="B1826" t="s">
        <v>3498</v>
      </c>
      <c r="C1826">
        <v>2020</v>
      </c>
      <c r="D1826" t="s">
        <v>3485</v>
      </c>
      <c r="E1826" t="s">
        <v>3508</v>
      </c>
      <c r="F1826">
        <v>0</v>
      </c>
      <c r="G1826" t="s">
        <v>3508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1587</v>
      </c>
      <c r="B1827" t="s">
        <v>3498</v>
      </c>
      <c r="C1827">
        <v>2020</v>
      </c>
      <c r="D1827" t="s">
        <v>3502</v>
      </c>
      <c r="E1827" t="s">
        <v>876</v>
      </c>
      <c r="F1827">
        <v>0</v>
      </c>
      <c r="G1827" t="s">
        <v>876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5023</v>
      </c>
      <c r="B1828" t="s">
        <v>3498</v>
      </c>
      <c r="C1828">
        <v>2020</v>
      </c>
      <c r="D1828" t="s">
        <v>3502</v>
      </c>
      <c r="E1828" t="s">
        <v>3599</v>
      </c>
      <c r="F1828">
        <v>270</v>
      </c>
      <c r="G1828" t="s">
        <v>3599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>
      <c r="A1829" t="s">
        <v>2880</v>
      </c>
      <c r="B1829" t="s">
        <v>3498</v>
      </c>
      <c r="C1829">
        <v>2020</v>
      </c>
      <c r="D1829" t="s">
        <v>3504</v>
      </c>
      <c r="E1829" t="s">
        <v>878</v>
      </c>
      <c r="F1829">
        <v>383</v>
      </c>
      <c r="G1829" t="s">
        <v>878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>
      <c r="A1830" t="s">
        <v>2222</v>
      </c>
      <c r="B1830" t="s">
        <v>3498</v>
      </c>
      <c r="C1830">
        <v>2020</v>
      </c>
      <c r="D1830" t="s">
        <v>3504</v>
      </c>
      <c r="E1830" t="s">
        <v>878</v>
      </c>
      <c r="F1830">
        <v>540</v>
      </c>
      <c r="G1830" t="s">
        <v>878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>
      <c r="A1831" t="s">
        <v>5024</v>
      </c>
      <c r="B1831" t="s">
        <v>3498</v>
      </c>
      <c r="C1831">
        <v>2020</v>
      </c>
      <c r="D1831" t="s">
        <v>3504</v>
      </c>
      <c r="E1831" t="s">
        <v>3520</v>
      </c>
      <c r="F1831">
        <v>0</v>
      </c>
      <c r="G1831" t="s">
        <v>3520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5025</v>
      </c>
      <c r="B1832" t="s">
        <v>3498</v>
      </c>
      <c r="C1832">
        <v>2020</v>
      </c>
      <c r="D1832" t="s">
        <v>3504</v>
      </c>
      <c r="E1832" t="s">
        <v>3597</v>
      </c>
      <c r="F1832">
        <v>422</v>
      </c>
      <c r="G1832" t="s">
        <v>3597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>
      <c r="A1833" t="s">
        <v>5026</v>
      </c>
      <c r="B1833" t="s">
        <v>3498</v>
      </c>
      <c r="C1833">
        <v>2020</v>
      </c>
      <c r="D1833" t="s">
        <v>3502</v>
      </c>
      <c r="E1833" t="s">
        <v>3526</v>
      </c>
      <c r="F1833">
        <v>198</v>
      </c>
      <c r="G1833" t="s">
        <v>3526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5027</v>
      </c>
      <c r="B1834" t="s">
        <v>3498</v>
      </c>
      <c r="C1834">
        <v>2020</v>
      </c>
      <c r="D1834" t="s">
        <v>3499</v>
      </c>
      <c r="E1834" t="s">
        <v>3520</v>
      </c>
      <c r="F1834">
        <v>534</v>
      </c>
      <c r="G1834" t="s">
        <v>3520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>
      <c r="A1835" t="s">
        <v>2873</v>
      </c>
      <c r="B1835" t="s">
        <v>3498</v>
      </c>
      <c r="C1835">
        <v>2020</v>
      </c>
      <c r="D1835" t="s">
        <v>3502</v>
      </c>
      <c r="E1835" t="s">
        <v>878</v>
      </c>
      <c r="F1835">
        <v>377</v>
      </c>
      <c r="G1835" t="s">
        <v>878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>
      <c r="A1836" t="s">
        <v>3193</v>
      </c>
      <c r="B1836" t="s">
        <v>3498</v>
      </c>
      <c r="C1836">
        <v>2020</v>
      </c>
      <c r="D1836" t="s">
        <v>3502</v>
      </c>
      <c r="E1836" t="s">
        <v>3564</v>
      </c>
      <c r="F1836">
        <v>867</v>
      </c>
      <c r="G1836" t="s">
        <v>3564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>
      <c r="A1837" t="s">
        <v>5028</v>
      </c>
      <c r="B1837" t="s">
        <v>3498</v>
      </c>
      <c r="C1837">
        <v>2020</v>
      </c>
      <c r="D1837" t="s">
        <v>3502</v>
      </c>
      <c r="E1837" t="s">
        <v>3520</v>
      </c>
      <c r="F1837">
        <v>129</v>
      </c>
      <c r="G1837" t="s">
        <v>3520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5029</v>
      </c>
      <c r="B1838" t="s">
        <v>3498</v>
      </c>
      <c r="C1838">
        <v>2020</v>
      </c>
      <c r="D1838" t="s">
        <v>3502</v>
      </c>
      <c r="E1838" t="s">
        <v>882</v>
      </c>
      <c r="F1838">
        <v>0</v>
      </c>
      <c r="G1838" t="s">
        <v>882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3223</v>
      </c>
      <c r="B1839" t="s">
        <v>3498</v>
      </c>
      <c r="C1839">
        <v>2020</v>
      </c>
      <c r="D1839" t="s">
        <v>3504</v>
      </c>
      <c r="E1839" t="s">
        <v>3564</v>
      </c>
      <c r="F1839">
        <v>310</v>
      </c>
      <c r="G1839" t="s">
        <v>3564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>
      <c r="A1840" t="s">
        <v>5030</v>
      </c>
      <c r="B1840" t="s">
        <v>3498</v>
      </c>
      <c r="C1840">
        <v>2020</v>
      </c>
      <c r="D1840" t="s">
        <v>3502</v>
      </c>
      <c r="E1840" t="s">
        <v>3597</v>
      </c>
      <c r="F1840">
        <v>0</v>
      </c>
      <c r="G1840" t="s">
        <v>3597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5031</v>
      </c>
      <c r="B1841" t="s">
        <v>3498</v>
      </c>
      <c r="C1841">
        <v>2020</v>
      </c>
      <c r="D1841" t="s">
        <v>3499</v>
      </c>
      <c r="E1841" t="s">
        <v>3555</v>
      </c>
      <c r="F1841">
        <v>110</v>
      </c>
      <c r="G1841" t="s">
        <v>3555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1813</v>
      </c>
      <c r="B1842" t="s">
        <v>3498</v>
      </c>
      <c r="C1842">
        <v>2020</v>
      </c>
      <c r="D1842" t="s">
        <v>3504</v>
      </c>
      <c r="E1842" t="s">
        <v>863</v>
      </c>
      <c r="F1842">
        <v>201</v>
      </c>
      <c r="G1842" t="s">
        <v>863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>
      <c r="A1843" t="s">
        <v>5032</v>
      </c>
      <c r="B1843" t="s">
        <v>3498</v>
      </c>
      <c r="C1843">
        <v>2020</v>
      </c>
      <c r="D1843" t="s">
        <v>3485</v>
      </c>
      <c r="E1843" t="s">
        <v>3597</v>
      </c>
      <c r="F1843">
        <v>90</v>
      </c>
      <c r="G1843" t="s">
        <v>3597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5033</v>
      </c>
      <c r="B1844" t="s">
        <v>3498</v>
      </c>
      <c r="C1844">
        <v>2020</v>
      </c>
      <c r="D1844" t="s">
        <v>3499</v>
      </c>
      <c r="E1844" t="s">
        <v>863</v>
      </c>
      <c r="F1844">
        <v>42</v>
      </c>
      <c r="G1844" t="s">
        <v>863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>
      <c r="A1845" t="s">
        <v>5034</v>
      </c>
      <c r="B1845" t="s">
        <v>3498</v>
      </c>
      <c r="C1845">
        <v>2020</v>
      </c>
      <c r="D1845" t="s">
        <v>3502</v>
      </c>
      <c r="E1845" t="s">
        <v>866</v>
      </c>
      <c r="F1845">
        <v>318</v>
      </c>
      <c r="G1845" t="s">
        <v>866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>
      <c r="A1846" t="s">
        <v>2352</v>
      </c>
      <c r="B1846" t="s">
        <v>3498</v>
      </c>
      <c r="C1846">
        <v>2020</v>
      </c>
      <c r="D1846" t="s">
        <v>3502</v>
      </c>
      <c r="E1846" t="s">
        <v>895</v>
      </c>
      <c r="F1846">
        <v>680</v>
      </c>
      <c r="G1846" t="s">
        <v>895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>
      <c r="A1847" t="s">
        <v>5035</v>
      </c>
      <c r="B1847" t="s">
        <v>3498</v>
      </c>
      <c r="C1847">
        <v>2020</v>
      </c>
      <c r="D1847" t="s">
        <v>3502</v>
      </c>
      <c r="E1847" t="s">
        <v>3615</v>
      </c>
      <c r="F1847">
        <v>695</v>
      </c>
      <c r="G1847" t="s">
        <v>3615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>
      <c r="A1848" t="s">
        <v>1495</v>
      </c>
      <c r="B1848" t="s">
        <v>3498</v>
      </c>
      <c r="C1848">
        <v>2020</v>
      </c>
      <c r="D1848" t="s">
        <v>3485</v>
      </c>
      <c r="E1848" t="s">
        <v>891</v>
      </c>
      <c r="F1848">
        <v>360</v>
      </c>
      <c r="G1848" t="s">
        <v>891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1399</v>
      </c>
      <c r="B1849" t="s">
        <v>3498</v>
      </c>
      <c r="C1849">
        <v>2020</v>
      </c>
      <c r="D1849" t="s">
        <v>3499</v>
      </c>
      <c r="E1849" t="s">
        <v>876</v>
      </c>
      <c r="F1849">
        <v>92</v>
      </c>
      <c r="G1849" t="s">
        <v>876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341</v>
      </c>
      <c r="B1850" t="s">
        <v>3498</v>
      </c>
      <c r="C1850">
        <v>2020</v>
      </c>
      <c r="D1850" t="s">
        <v>3499</v>
      </c>
      <c r="E1850" t="s">
        <v>876</v>
      </c>
      <c r="F1850">
        <v>313</v>
      </c>
      <c r="G1850" t="s">
        <v>876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>
      <c r="A1851" t="s">
        <v>5036</v>
      </c>
      <c r="B1851" t="s">
        <v>3498</v>
      </c>
      <c r="C1851">
        <v>2020</v>
      </c>
      <c r="D1851" t="s">
        <v>3504</v>
      </c>
      <c r="E1851" t="s">
        <v>3503</v>
      </c>
      <c r="F1851">
        <v>900</v>
      </c>
      <c r="G1851" t="s">
        <v>3503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>
      <c r="A1852" t="s">
        <v>5037</v>
      </c>
      <c r="B1852" t="s">
        <v>3498</v>
      </c>
      <c r="C1852">
        <v>2020</v>
      </c>
      <c r="D1852" t="s">
        <v>3504</v>
      </c>
      <c r="E1852" t="s">
        <v>891</v>
      </c>
      <c r="F1852">
        <v>0</v>
      </c>
      <c r="G1852" t="s">
        <v>891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5038</v>
      </c>
      <c r="B1853" t="s">
        <v>3498</v>
      </c>
      <c r="C1853">
        <v>2020</v>
      </c>
      <c r="D1853" t="s">
        <v>3499</v>
      </c>
      <c r="E1853" t="s">
        <v>895</v>
      </c>
      <c r="F1853">
        <v>140</v>
      </c>
      <c r="G1853" t="s">
        <v>895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>
      <c r="A1854" t="s">
        <v>2811</v>
      </c>
      <c r="B1854" t="s">
        <v>3498</v>
      </c>
      <c r="C1854">
        <v>2020</v>
      </c>
      <c r="D1854" t="s">
        <v>3504</v>
      </c>
      <c r="E1854" t="s">
        <v>866</v>
      </c>
      <c r="F1854">
        <v>180</v>
      </c>
      <c r="G1854" t="s">
        <v>866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>
      <c r="A1855" t="s">
        <v>5039</v>
      </c>
      <c r="B1855" t="s">
        <v>3498</v>
      </c>
      <c r="C1855">
        <v>2020</v>
      </c>
      <c r="D1855" t="s">
        <v>3504</v>
      </c>
      <c r="E1855" t="s">
        <v>3529</v>
      </c>
      <c r="F1855">
        <v>2</v>
      </c>
      <c r="G1855" t="s">
        <v>3530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3168</v>
      </c>
      <c r="B1856" t="s">
        <v>3498</v>
      </c>
      <c r="C1856">
        <v>2020</v>
      </c>
      <c r="D1856" t="s">
        <v>3485</v>
      </c>
      <c r="E1856" t="s">
        <v>3564</v>
      </c>
      <c r="F1856">
        <v>1080</v>
      </c>
      <c r="G1856" t="s">
        <v>3564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>
      <c r="A1857" t="s">
        <v>5040</v>
      </c>
      <c r="B1857" t="s">
        <v>3498</v>
      </c>
      <c r="C1857">
        <v>2020</v>
      </c>
      <c r="D1857" t="s">
        <v>3502</v>
      </c>
      <c r="E1857" t="s">
        <v>3566</v>
      </c>
      <c r="F1857">
        <v>603</v>
      </c>
      <c r="G1857" t="s">
        <v>3566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>
      <c r="A1858" t="s">
        <v>171</v>
      </c>
      <c r="B1858" t="s">
        <v>3498</v>
      </c>
      <c r="C1858">
        <v>2020</v>
      </c>
      <c r="D1858" t="s">
        <v>3504</v>
      </c>
      <c r="E1858" t="s">
        <v>895</v>
      </c>
      <c r="F1858">
        <v>245</v>
      </c>
      <c r="G1858" t="s">
        <v>895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>
      <c r="A1859" t="s">
        <v>545</v>
      </c>
      <c r="B1859" t="s">
        <v>3498</v>
      </c>
      <c r="C1859">
        <v>2020</v>
      </c>
      <c r="D1859" t="s">
        <v>3504</v>
      </c>
      <c r="E1859" t="s">
        <v>3503</v>
      </c>
      <c r="F1859">
        <v>754</v>
      </c>
      <c r="G1859" t="s">
        <v>3503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>
      <c r="A1860" t="s">
        <v>5041</v>
      </c>
      <c r="B1860" t="s">
        <v>3498</v>
      </c>
      <c r="C1860">
        <v>2020</v>
      </c>
      <c r="D1860" t="s">
        <v>3502</v>
      </c>
      <c r="E1860" t="s">
        <v>895</v>
      </c>
      <c r="F1860">
        <v>90</v>
      </c>
      <c r="G1860" t="s">
        <v>895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>
      <c r="A1861" t="s">
        <v>5042</v>
      </c>
      <c r="B1861" t="s">
        <v>3498</v>
      </c>
      <c r="C1861">
        <v>2020</v>
      </c>
      <c r="D1861" t="s">
        <v>3504</v>
      </c>
      <c r="E1861" t="s">
        <v>892</v>
      </c>
      <c r="F1861">
        <v>30</v>
      </c>
      <c r="G1861" t="s">
        <v>892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5043</v>
      </c>
      <c r="B1862" t="s">
        <v>3498</v>
      </c>
      <c r="C1862">
        <v>2020</v>
      </c>
      <c r="D1862" t="s">
        <v>3502</v>
      </c>
      <c r="E1862" t="s">
        <v>3624</v>
      </c>
      <c r="F1862">
        <v>127</v>
      </c>
      <c r="G1862" t="s">
        <v>3624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>
      <c r="A1863" t="s">
        <v>5044</v>
      </c>
      <c r="B1863" t="s">
        <v>3498</v>
      </c>
      <c r="C1863">
        <v>2020</v>
      </c>
      <c r="D1863" t="s">
        <v>3499</v>
      </c>
      <c r="E1863" t="s">
        <v>885</v>
      </c>
      <c r="F1863">
        <v>68</v>
      </c>
      <c r="G1863" t="s">
        <v>885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5045</v>
      </c>
      <c r="B1864" t="s">
        <v>3498</v>
      </c>
      <c r="C1864">
        <v>2020</v>
      </c>
      <c r="D1864" t="s">
        <v>3485</v>
      </c>
      <c r="E1864" t="s">
        <v>892</v>
      </c>
      <c r="F1864">
        <v>0</v>
      </c>
      <c r="G1864" t="s">
        <v>892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5046</v>
      </c>
      <c r="B1865" t="s">
        <v>3498</v>
      </c>
      <c r="C1865">
        <v>2020</v>
      </c>
      <c r="D1865" t="s">
        <v>3502</v>
      </c>
      <c r="E1865" t="s">
        <v>3549</v>
      </c>
      <c r="F1865">
        <v>209</v>
      </c>
      <c r="G1865" t="s">
        <v>3549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>
      <c r="A1866" t="s">
        <v>5047</v>
      </c>
      <c r="B1866" t="s">
        <v>3498</v>
      </c>
      <c r="C1866">
        <v>2020</v>
      </c>
      <c r="D1866" t="s">
        <v>3504</v>
      </c>
      <c r="E1866" t="s">
        <v>3569</v>
      </c>
      <c r="F1866">
        <v>44</v>
      </c>
      <c r="G1866" t="s">
        <v>3569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5048</v>
      </c>
      <c r="B1867" t="s">
        <v>3498</v>
      </c>
      <c r="C1867">
        <v>2020</v>
      </c>
      <c r="D1867" t="s">
        <v>3502</v>
      </c>
      <c r="E1867" t="s">
        <v>897</v>
      </c>
      <c r="F1867">
        <v>20</v>
      </c>
      <c r="G1867" t="s">
        <v>897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>
      <c r="A1868" t="s">
        <v>5049</v>
      </c>
      <c r="B1868" t="s">
        <v>3498</v>
      </c>
      <c r="C1868">
        <v>2020</v>
      </c>
      <c r="D1868" t="s">
        <v>3504</v>
      </c>
      <c r="E1868" t="s">
        <v>3535</v>
      </c>
      <c r="F1868">
        <v>768</v>
      </c>
      <c r="G1868" t="s">
        <v>3535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5050</v>
      </c>
      <c r="B1869" t="s">
        <v>3498</v>
      </c>
      <c r="C1869">
        <v>2020</v>
      </c>
      <c r="D1869" t="s">
        <v>3504</v>
      </c>
      <c r="E1869" t="s">
        <v>3510</v>
      </c>
      <c r="F1869">
        <v>613</v>
      </c>
      <c r="G1869" t="s">
        <v>3510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>
      <c r="A1870" t="s">
        <v>5051</v>
      </c>
      <c r="B1870" t="s">
        <v>3498</v>
      </c>
      <c r="C1870">
        <v>2020</v>
      </c>
      <c r="D1870" t="s">
        <v>3502</v>
      </c>
      <c r="E1870" t="s">
        <v>3510</v>
      </c>
      <c r="F1870">
        <v>0</v>
      </c>
      <c r="G1870" t="s">
        <v>3510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5052</v>
      </c>
      <c r="B1871" t="s">
        <v>3498</v>
      </c>
      <c r="C1871">
        <v>2020</v>
      </c>
      <c r="D1871" t="s">
        <v>3485</v>
      </c>
      <c r="E1871" t="s">
        <v>3510</v>
      </c>
      <c r="F1871">
        <v>360</v>
      </c>
      <c r="G1871" t="s">
        <v>3510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5053</v>
      </c>
      <c r="B1872" t="s">
        <v>3498</v>
      </c>
      <c r="C1872">
        <v>2020</v>
      </c>
      <c r="D1872" t="s">
        <v>3502</v>
      </c>
      <c r="E1872" t="s">
        <v>3730</v>
      </c>
      <c r="F1872">
        <v>506</v>
      </c>
      <c r="G1872" t="s">
        <v>3730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>
      <c r="A1873" t="s">
        <v>5054</v>
      </c>
      <c r="B1873" t="s">
        <v>3498</v>
      </c>
      <c r="C1873">
        <v>2020</v>
      </c>
      <c r="D1873" t="s">
        <v>3502</v>
      </c>
      <c r="E1873" t="s">
        <v>3624</v>
      </c>
      <c r="F1873">
        <v>209</v>
      </c>
      <c r="G1873" t="s">
        <v>3624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>
      <c r="A1874" t="s">
        <v>5055</v>
      </c>
      <c r="B1874" t="s">
        <v>3498</v>
      </c>
      <c r="C1874">
        <v>2020</v>
      </c>
      <c r="D1874" t="s">
        <v>3504</v>
      </c>
      <c r="E1874" t="s">
        <v>897</v>
      </c>
      <c r="F1874">
        <v>0</v>
      </c>
      <c r="G1874" t="s">
        <v>897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5056</v>
      </c>
      <c r="B1875" t="s">
        <v>3498</v>
      </c>
      <c r="C1875">
        <v>2020</v>
      </c>
      <c r="D1875" t="s">
        <v>3502</v>
      </c>
      <c r="E1875" t="s">
        <v>897</v>
      </c>
      <c r="F1875">
        <v>316</v>
      </c>
      <c r="G1875" t="s">
        <v>897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277</v>
      </c>
      <c r="B1876" t="s">
        <v>3498</v>
      </c>
      <c r="C1876">
        <v>2020</v>
      </c>
      <c r="D1876" t="s">
        <v>3499</v>
      </c>
      <c r="E1876" t="s">
        <v>879</v>
      </c>
      <c r="F1876">
        <v>35</v>
      </c>
      <c r="G1876" t="s">
        <v>879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>
      <c r="A1877" t="s">
        <v>380</v>
      </c>
      <c r="B1877" t="s">
        <v>3498</v>
      </c>
      <c r="C1877">
        <v>2020</v>
      </c>
      <c r="D1877" t="s">
        <v>3504</v>
      </c>
      <c r="E1877" t="s">
        <v>891</v>
      </c>
      <c r="F1877">
        <v>64</v>
      </c>
      <c r="G1877" t="s">
        <v>891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2343</v>
      </c>
      <c r="B1878" t="s">
        <v>3498</v>
      </c>
      <c r="C1878">
        <v>2020</v>
      </c>
      <c r="D1878" t="s">
        <v>3504</v>
      </c>
      <c r="E1878" t="s">
        <v>877</v>
      </c>
      <c r="F1878">
        <v>487</v>
      </c>
      <c r="G1878" t="s">
        <v>877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>
      <c r="A1879" t="s">
        <v>5057</v>
      </c>
      <c r="B1879" t="s">
        <v>3498</v>
      </c>
      <c r="C1879">
        <v>2020</v>
      </c>
      <c r="D1879" t="s">
        <v>3504</v>
      </c>
      <c r="E1879" t="s">
        <v>3597</v>
      </c>
      <c r="F1879">
        <v>284</v>
      </c>
      <c r="G1879" t="s">
        <v>3597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>
      <c r="A1880" t="s">
        <v>5058</v>
      </c>
      <c r="B1880" t="s">
        <v>3498</v>
      </c>
      <c r="C1880">
        <v>2020</v>
      </c>
      <c r="D1880" t="s">
        <v>3502</v>
      </c>
      <c r="E1880" t="s">
        <v>3571</v>
      </c>
      <c r="F1880">
        <v>173</v>
      </c>
      <c r="G1880" t="s">
        <v>3571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5059</v>
      </c>
      <c r="B1881" t="s">
        <v>3498</v>
      </c>
      <c r="C1881">
        <v>2020</v>
      </c>
      <c r="D1881" t="s">
        <v>3485</v>
      </c>
      <c r="E1881" t="s">
        <v>3648</v>
      </c>
      <c r="F1881">
        <v>0</v>
      </c>
      <c r="G1881" t="s">
        <v>3648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5060</v>
      </c>
      <c r="B1882" t="s">
        <v>3498</v>
      </c>
      <c r="C1882">
        <v>2020</v>
      </c>
      <c r="D1882" t="s">
        <v>3504</v>
      </c>
      <c r="E1882" t="s">
        <v>3546</v>
      </c>
      <c r="F1882">
        <v>17</v>
      </c>
      <c r="G1882" t="s">
        <v>3546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5061</v>
      </c>
      <c r="B1883" t="s">
        <v>3498</v>
      </c>
      <c r="C1883">
        <v>2020</v>
      </c>
      <c r="D1883" t="s">
        <v>3504</v>
      </c>
      <c r="E1883" t="s">
        <v>3546</v>
      </c>
      <c r="F1883">
        <v>246</v>
      </c>
      <c r="G1883" t="s">
        <v>3546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>
      <c r="A1884" t="s">
        <v>2260</v>
      </c>
      <c r="B1884" t="s">
        <v>3498</v>
      </c>
      <c r="C1884">
        <v>2020</v>
      </c>
      <c r="D1884" t="s">
        <v>3499</v>
      </c>
      <c r="E1884" t="s">
        <v>870</v>
      </c>
      <c r="F1884">
        <v>882</v>
      </c>
      <c r="G1884" t="s">
        <v>870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>
      <c r="A1885" t="s">
        <v>5062</v>
      </c>
      <c r="B1885" t="s">
        <v>3498</v>
      </c>
      <c r="C1885">
        <v>2020</v>
      </c>
      <c r="D1885" t="s">
        <v>3485</v>
      </c>
      <c r="E1885" t="s">
        <v>3535</v>
      </c>
      <c r="F1885">
        <v>180</v>
      </c>
      <c r="G1885" t="s">
        <v>3535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5063</v>
      </c>
      <c r="B1886" t="s">
        <v>3498</v>
      </c>
      <c r="C1886">
        <v>2020</v>
      </c>
      <c r="D1886" t="s">
        <v>3502</v>
      </c>
      <c r="E1886" t="s">
        <v>3508</v>
      </c>
      <c r="F1886">
        <v>531</v>
      </c>
      <c r="G1886" t="s">
        <v>3508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>
      <c r="A1887" t="s">
        <v>5064</v>
      </c>
      <c r="B1887" t="s">
        <v>3498</v>
      </c>
      <c r="C1887">
        <v>2020</v>
      </c>
      <c r="D1887" t="s">
        <v>3502</v>
      </c>
      <c r="E1887" t="s">
        <v>882</v>
      </c>
      <c r="F1887">
        <v>90</v>
      </c>
      <c r="G1887" t="s">
        <v>882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657</v>
      </c>
      <c r="B1888" t="s">
        <v>3498</v>
      </c>
      <c r="C1888">
        <v>2020</v>
      </c>
      <c r="D1888" t="s">
        <v>3504</v>
      </c>
      <c r="E1888" t="s">
        <v>885</v>
      </c>
      <c r="F1888">
        <v>246</v>
      </c>
      <c r="G1888" t="s">
        <v>885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>
      <c r="A1889" t="s">
        <v>5065</v>
      </c>
      <c r="B1889" t="s">
        <v>3498</v>
      </c>
      <c r="C1889">
        <v>2020</v>
      </c>
      <c r="D1889" t="s">
        <v>3502</v>
      </c>
      <c r="E1889" t="s">
        <v>888</v>
      </c>
      <c r="F1889">
        <v>0</v>
      </c>
      <c r="G1889" t="s">
        <v>888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1291</v>
      </c>
      <c r="B1890" t="s">
        <v>3498</v>
      </c>
      <c r="C1890">
        <v>2020</v>
      </c>
      <c r="D1890" t="s">
        <v>3485</v>
      </c>
      <c r="E1890" t="s">
        <v>871</v>
      </c>
      <c r="F1890">
        <v>810</v>
      </c>
      <c r="G1890" t="s">
        <v>871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5066</v>
      </c>
      <c r="B1891" t="s">
        <v>3498</v>
      </c>
      <c r="C1891">
        <v>2020</v>
      </c>
      <c r="D1891" t="s">
        <v>3502</v>
      </c>
      <c r="E1891" t="s">
        <v>892</v>
      </c>
      <c r="F1891">
        <v>180</v>
      </c>
      <c r="G1891" t="s">
        <v>892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>
      <c r="A1892" t="s">
        <v>1535</v>
      </c>
      <c r="B1892" t="s">
        <v>3498</v>
      </c>
      <c r="C1892">
        <v>2020</v>
      </c>
      <c r="D1892" t="s">
        <v>3504</v>
      </c>
      <c r="E1892" t="s">
        <v>869</v>
      </c>
      <c r="F1892">
        <v>630</v>
      </c>
      <c r="G1892" t="s">
        <v>869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>
      <c r="A1893" t="s">
        <v>5067</v>
      </c>
      <c r="B1893" t="s">
        <v>3498</v>
      </c>
      <c r="C1893">
        <v>2020</v>
      </c>
      <c r="D1893" t="s">
        <v>3504</v>
      </c>
      <c r="E1893" t="s">
        <v>878</v>
      </c>
      <c r="F1893">
        <v>69</v>
      </c>
      <c r="G1893" t="s">
        <v>878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5068</v>
      </c>
      <c r="B1894" t="s">
        <v>3498</v>
      </c>
      <c r="C1894">
        <v>2020</v>
      </c>
      <c r="D1894" t="s">
        <v>3485</v>
      </c>
      <c r="E1894" t="s">
        <v>3592</v>
      </c>
      <c r="F1894">
        <v>180</v>
      </c>
      <c r="G1894" t="s">
        <v>3592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5069</v>
      </c>
      <c r="B1895" t="s">
        <v>3498</v>
      </c>
      <c r="C1895">
        <v>2020</v>
      </c>
      <c r="D1895" t="s">
        <v>3485</v>
      </c>
      <c r="E1895" t="s">
        <v>865</v>
      </c>
      <c r="F1895">
        <v>0</v>
      </c>
      <c r="G1895" t="s">
        <v>879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3400</v>
      </c>
      <c r="B1896" t="s">
        <v>3498</v>
      </c>
      <c r="C1896">
        <v>2020</v>
      </c>
      <c r="D1896" t="s">
        <v>3502</v>
      </c>
      <c r="E1896" t="s">
        <v>870</v>
      </c>
      <c r="F1896">
        <v>31</v>
      </c>
      <c r="G1896" t="s">
        <v>870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1520</v>
      </c>
      <c r="B1897" t="s">
        <v>3498</v>
      </c>
      <c r="C1897">
        <v>2020</v>
      </c>
      <c r="D1897" t="s">
        <v>3504</v>
      </c>
      <c r="E1897" t="s">
        <v>891</v>
      </c>
      <c r="F1897">
        <v>163</v>
      </c>
      <c r="G1897" t="s">
        <v>891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>
      <c r="A1898" t="s">
        <v>1828</v>
      </c>
      <c r="B1898" t="s">
        <v>3498</v>
      </c>
      <c r="C1898">
        <v>2020</v>
      </c>
      <c r="D1898" t="s">
        <v>3502</v>
      </c>
      <c r="E1898" t="s">
        <v>871</v>
      </c>
      <c r="F1898">
        <v>360</v>
      </c>
      <c r="G1898" t="s">
        <v>871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>
      <c r="A1899" t="s">
        <v>5070</v>
      </c>
      <c r="B1899" t="s">
        <v>3498</v>
      </c>
      <c r="C1899">
        <v>2020</v>
      </c>
      <c r="D1899" t="s">
        <v>3485</v>
      </c>
      <c r="E1899" t="s">
        <v>3546</v>
      </c>
      <c r="F1899">
        <v>360</v>
      </c>
      <c r="G1899" t="s">
        <v>3546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>
      <c r="A1900" t="s">
        <v>2010</v>
      </c>
      <c r="B1900" t="s">
        <v>3498</v>
      </c>
      <c r="C1900">
        <v>2020</v>
      </c>
      <c r="D1900" t="s">
        <v>3502</v>
      </c>
      <c r="E1900" t="s">
        <v>871</v>
      </c>
      <c r="F1900">
        <v>439</v>
      </c>
      <c r="G1900" t="s">
        <v>871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>
      <c r="A1901" t="s">
        <v>1018</v>
      </c>
      <c r="B1901" t="s">
        <v>3498</v>
      </c>
      <c r="C1901">
        <v>2020</v>
      </c>
      <c r="D1901" t="s">
        <v>3499</v>
      </c>
      <c r="E1901" t="s">
        <v>871</v>
      </c>
      <c r="F1901">
        <v>602</v>
      </c>
      <c r="G1901" t="s">
        <v>871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>
      <c r="A1902" t="s">
        <v>5071</v>
      </c>
      <c r="B1902" t="s">
        <v>3498</v>
      </c>
      <c r="C1902">
        <v>2020</v>
      </c>
      <c r="D1902" t="s">
        <v>3502</v>
      </c>
      <c r="E1902" t="s">
        <v>3571</v>
      </c>
      <c r="F1902">
        <v>685</v>
      </c>
      <c r="G1902" t="s">
        <v>3571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>
      <c r="A1903" t="s">
        <v>2753</v>
      </c>
      <c r="B1903" t="s">
        <v>3498</v>
      </c>
      <c r="C1903">
        <v>2020</v>
      </c>
      <c r="D1903" t="s">
        <v>3504</v>
      </c>
      <c r="E1903" t="s">
        <v>3564</v>
      </c>
      <c r="F1903">
        <v>188</v>
      </c>
      <c r="G1903" t="s">
        <v>3564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>
      <c r="A1904" t="s">
        <v>5072</v>
      </c>
      <c r="B1904" t="s">
        <v>3498</v>
      </c>
      <c r="C1904">
        <v>2020</v>
      </c>
      <c r="D1904" t="s">
        <v>3502</v>
      </c>
      <c r="E1904" t="s">
        <v>3555</v>
      </c>
      <c r="F1904">
        <v>90</v>
      </c>
      <c r="G1904" t="s">
        <v>3555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5073</v>
      </c>
      <c r="B1905" t="s">
        <v>3498</v>
      </c>
      <c r="C1905">
        <v>2020</v>
      </c>
      <c r="D1905" t="s">
        <v>3485</v>
      </c>
      <c r="E1905" t="s">
        <v>3555</v>
      </c>
      <c r="F1905">
        <v>0</v>
      </c>
      <c r="G1905" t="s">
        <v>3555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5074</v>
      </c>
      <c r="B1906" t="s">
        <v>3498</v>
      </c>
      <c r="C1906">
        <v>2020</v>
      </c>
      <c r="D1906" t="s">
        <v>3499</v>
      </c>
      <c r="E1906" t="s">
        <v>3515</v>
      </c>
      <c r="F1906">
        <v>89</v>
      </c>
      <c r="G1906" t="s">
        <v>3515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>
      <c r="A1907" t="s">
        <v>3450</v>
      </c>
      <c r="B1907" t="s">
        <v>3498</v>
      </c>
      <c r="C1907">
        <v>2020</v>
      </c>
      <c r="D1907" t="s">
        <v>3504</v>
      </c>
      <c r="E1907" t="s">
        <v>870</v>
      </c>
      <c r="F1907">
        <v>563</v>
      </c>
      <c r="G1907" t="s">
        <v>870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>
      <c r="A1908" t="s">
        <v>5075</v>
      </c>
      <c r="B1908" t="s">
        <v>3498</v>
      </c>
      <c r="C1908">
        <v>2020</v>
      </c>
      <c r="D1908" t="s">
        <v>3502</v>
      </c>
      <c r="E1908" t="s">
        <v>866</v>
      </c>
      <c r="F1908">
        <v>0</v>
      </c>
      <c r="G1908" t="s">
        <v>866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502</v>
      </c>
      <c r="B1909" t="s">
        <v>3498</v>
      </c>
      <c r="C1909">
        <v>2020</v>
      </c>
      <c r="D1909" t="s">
        <v>3499</v>
      </c>
      <c r="E1909" t="s">
        <v>892</v>
      </c>
      <c r="F1909">
        <v>245</v>
      </c>
      <c r="G1909" t="s">
        <v>892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>
      <c r="A1910" t="s">
        <v>613</v>
      </c>
      <c r="B1910" t="s">
        <v>3498</v>
      </c>
      <c r="C1910">
        <v>2020</v>
      </c>
      <c r="D1910" t="s">
        <v>3502</v>
      </c>
      <c r="E1910" t="s">
        <v>871</v>
      </c>
      <c r="F1910">
        <v>450</v>
      </c>
      <c r="G1910" t="s">
        <v>871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>
      <c r="A1911" t="s">
        <v>5076</v>
      </c>
      <c r="B1911" t="s">
        <v>3498</v>
      </c>
      <c r="C1911">
        <v>2020</v>
      </c>
      <c r="D1911" t="s">
        <v>3504</v>
      </c>
      <c r="E1911" t="s">
        <v>3508</v>
      </c>
      <c r="F1911">
        <v>0</v>
      </c>
      <c r="G1911" t="s">
        <v>3508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5077</v>
      </c>
      <c r="B1912" t="s">
        <v>3498</v>
      </c>
      <c r="C1912">
        <v>2020</v>
      </c>
      <c r="D1912" t="s">
        <v>3502</v>
      </c>
      <c r="E1912" t="s">
        <v>880</v>
      </c>
      <c r="F1912">
        <v>437</v>
      </c>
      <c r="G1912" t="s">
        <v>880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>
      <c r="A1913" t="s">
        <v>138</v>
      </c>
      <c r="B1913" t="s">
        <v>3498</v>
      </c>
      <c r="C1913">
        <v>2020</v>
      </c>
      <c r="D1913" t="s">
        <v>3502</v>
      </c>
      <c r="E1913" t="s">
        <v>871</v>
      </c>
      <c r="F1913">
        <v>900</v>
      </c>
      <c r="G1913" t="s">
        <v>871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>
      <c r="A1914" t="s">
        <v>5078</v>
      </c>
      <c r="B1914" t="s">
        <v>3498</v>
      </c>
      <c r="C1914">
        <v>2020</v>
      </c>
      <c r="D1914" t="s">
        <v>3504</v>
      </c>
      <c r="E1914" t="s">
        <v>3566</v>
      </c>
      <c r="F1914">
        <v>429</v>
      </c>
      <c r="G1914" t="s">
        <v>3566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>
      <c r="A1915" t="s">
        <v>5079</v>
      </c>
      <c r="B1915" t="s">
        <v>3498</v>
      </c>
      <c r="C1915">
        <v>2020</v>
      </c>
      <c r="D1915" t="s">
        <v>3499</v>
      </c>
      <c r="E1915" t="s">
        <v>3508</v>
      </c>
      <c r="F1915">
        <v>133</v>
      </c>
      <c r="G1915" t="s">
        <v>3508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516</v>
      </c>
      <c r="B1916" t="s">
        <v>3498</v>
      </c>
      <c r="C1916">
        <v>2020</v>
      </c>
      <c r="D1916" t="s">
        <v>3504</v>
      </c>
      <c r="E1916" t="s">
        <v>895</v>
      </c>
      <c r="F1916">
        <v>0</v>
      </c>
      <c r="G1916" t="s">
        <v>895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5080</v>
      </c>
      <c r="B1917" t="s">
        <v>3498</v>
      </c>
      <c r="C1917">
        <v>2020</v>
      </c>
      <c r="D1917" t="s">
        <v>3502</v>
      </c>
      <c r="E1917" t="s">
        <v>3503</v>
      </c>
      <c r="F1917">
        <v>84</v>
      </c>
      <c r="G1917" t="s">
        <v>3503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82</v>
      </c>
      <c r="B1918" t="s">
        <v>3498</v>
      </c>
      <c r="C1918">
        <v>2020</v>
      </c>
      <c r="D1918" t="s">
        <v>3485</v>
      </c>
      <c r="E1918" t="s">
        <v>879</v>
      </c>
      <c r="F1918">
        <v>0</v>
      </c>
      <c r="G1918" t="s">
        <v>879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5081</v>
      </c>
      <c r="B1919" t="s">
        <v>3498</v>
      </c>
      <c r="C1919">
        <v>2020</v>
      </c>
      <c r="D1919" t="s">
        <v>3504</v>
      </c>
      <c r="E1919" t="s">
        <v>865</v>
      </c>
      <c r="F1919">
        <v>169</v>
      </c>
      <c r="G1919" t="s">
        <v>865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3119</v>
      </c>
      <c r="B1920" t="s">
        <v>3498</v>
      </c>
      <c r="C1920">
        <v>2020</v>
      </c>
      <c r="D1920" t="s">
        <v>3502</v>
      </c>
      <c r="E1920" t="s">
        <v>865</v>
      </c>
      <c r="F1920">
        <v>360</v>
      </c>
      <c r="G1920" t="s">
        <v>865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>
      <c r="A1921" t="s">
        <v>5082</v>
      </c>
      <c r="B1921" t="s">
        <v>3498</v>
      </c>
      <c r="C1921">
        <v>2020</v>
      </c>
      <c r="D1921" t="s">
        <v>3502</v>
      </c>
      <c r="E1921" t="s">
        <v>896</v>
      </c>
      <c r="F1921">
        <v>90</v>
      </c>
      <c r="G1921" t="s">
        <v>896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5083</v>
      </c>
      <c r="B1922" t="s">
        <v>3498</v>
      </c>
      <c r="C1922">
        <v>2020</v>
      </c>
      <c r="D1922" t="s">
        <v>3502</v>
      </c>
      <c r="E1922" t="s">
        <v>882</v>
      </c>
      <c r="F1922">
        <v>90</v>
      </c>
      <c r="G1922" t="s">
        <v>882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5084</v>
      </c>
      <c r="B1923" t="s">
        <v>3498</v>
      </c>
      <c r="C1923">
        <v>2020</v>
      </c>
      <c r="D1923" t="s">
        <v>3485</v>
      </c>
      <c r="E1923" t="s">
        <v>882</v>
      </c>
      <c r="F1923">
        <v>0</v>
      </c>
      <c r="G1923" t="s">
        <v>882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5085</v>
      </c>
      <c r="B1924" t="s">
        <v>3498</v>
      </c>
      <c r="C1924">
        <v>2020</v>
      </c>
      <c r="D1924" t="s">
        <v>3504</v>
      </c>
      <c r="E1924" t="s">
        <v>882</v>
      </c>
      <c r="F1924">
        <v>720</v>
      </c>
      <c r="G1924" t="s">
        <v>882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>
      <c r="A1925" t="s">
        <v>5086</v>
      </c>
      <c r="B1925" t="s">
        <v>3498</v>
      </c>
      <c r="C1925">
        <v>2020</v>
      </c>
      <c r="D1925" t="s">
        <v>3499</v>
      </c>
      <c r="E1925" t="s">
        <v>896</v>
      </c>
      <c r="F1925">
        <v>0</v>
      </c>
      <c r="G1925" t="s">
        <v>896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5087</v>
      </c>
      <c r="B1926" t="s">
        <v>3498</v>
      </c>
      <c r="C1926">
        <v>2020</v>
      </c>
      <c r="D1926" t="s">
        <v>3485</v>
      </c>
      <c r="E1926" t="s">
        <v>3618</v>
      </c>
      <c r="F1926">
        <v>0</v>
      </c>
      <c r="G1926" t="s">
        <v>3618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5088</v>
      </c>
      <c r="B1927" t="s">
        <v>3498</v>
      </c>
      <c r="C1927">
        <v>2020</v>
      </c>
      <c r="D1927" t="s">
        <v>3485</v>
      </c>
      <c r="E1927" t="s">
        <v>882</v>
      </c>
      <c r="F1927">
        <v>540</v>
      </c>
      <c r="G1927" t="s">
        <v>882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5089</v>
      </c>
      <c r="B1928" t="s">
        <v>3498</v>
      </c>
      <c r="C1928">
        <v>2020</v>
      </c>
      <c r="D1928" t="s">
        <v>3502</v>
      </c>
      <c r="E1928" t="s">
        <v>888</v>
      </c>
      <c r="F1928">
        <v>765</v>
      </c>
      <c r="G1928" t="s">
        <v>888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>
      <c r="A1929" t="s">
        <v>5090</v>
      </c>
      <c r="B1929" t="s">
        <v>3498</v>
      </c>
      <c r="C1929">
        <v>2020</v>
      </c>
      <c r="D1929" t="s">
        <v>3499</v>
      </c>
      <c r="E1929" t="s">
        <v>3624</v>
      </c>
      <c r="F1929">
        <v>25</v>
      </c>
      <c r="G1929" t="s">
        <v>3624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1241</v>
      </c>
      <c r="B1930" t="s">
        <v>3498</v>
      </c>
      <c r="C1930">
        <v>2020</v>
      </c>
      <c r="D1930" t="s">
        <v>3504</v>
      </c>
      <c r="E1930" t="s">
        <v>892</v>
      </c>
      <c r="F1930">
        <v>450</v>
      </c>
      <c r="G1930" t="s">
        <v>892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>
      <c r="A1931" t="s">
        <v>5091</v>
      </c>
      <c r="B1931" t="s">
        <v>3498</v>
      </c>
      <c r="C1931">
        <v>2020</v>
      </c>
      <c r="D1931" t="s">
        <v>3502</v>
      </c>
      <c r="E1931" t="s">
        <v>3529</v>
      </c>
      <c r="F1931">
        <v>205</v>
      </c>
      <c r="G1931" t="s">
        <v>3530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5092</v>
      </c>
      <c r="B1932" t="s">
        <v>3498</v>
      </c>
      <c r="C1932">
        <v>2020</v>
      </c>
      <c r="D1932" t="s">
        <v>3504</v>
      </c>
      <c r="E1932" t="s">
        <v>876</v>
      </c>
      <c r="F1932">
        <v>0</v>
      </c>
      <c r="G1932" t="s">
        <v>876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5093</v>
      </c>
      <c r="B1933" t="s">
        <v>3498</v>
      </c>
      <c r="C1933">
        <v>2020</v>
      </c>
      <c r="D1933" t="s">
        <v>3502</v>
      </c>
      <c r="E1933" t="s">
        <v>3597</v>
      </c>
      <c r="F1933">
        <v>360</v>
      </c>
      <c r="G1933" t="s">
        <v>3597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>
      <c r="A1934" t="s">
        <v>5094</v>
      </c>
      <c r="B1934" t="s">
        <v>3498</v>
      </c>
      <c r="C1934">
        <v>2020</v>
      </c>
      <c r="D1934" t="s">
        <v>3504</v>
      </c>
      <c r="E1934" t="s">
        <v>3754</v>
      </c>
      <c r="F1934">
        <v>353</v>
      </c>
      <c r="G1934" t="s">
        <v>3754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>
      <c r="A1935" t="s">
        <v>327</v>
      </c>
      <c r="B1935" t="s">
        <v>3498</v>
      </c>
      <c r="C1935">
        <v>2020</v>
      </c>
      <c r="D1935" t="s">
        <v>3502</v>
      </c>
      <c r="E1935" t="s">
        <v>879</v>
      </c>
      <c r="F1935">
        <v>264</v>
      </c>
      <c r="G1935" t="s">
        <v>879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5095</v>
      </c>
      <c r="B1936" t="s">
        <v>3498</v>
      </c>
      <c r="C1936">
        <v>2020</v>
      </c>
      <c r="D1936" t="s">
        <v>3485</v>
      </c>
      <c r="E1936" t="s">
        <v>3503</v>
      </c>
      <c r="F1936">
        <v>0</v>
      </c>
      <c r="G1936" t="s">
        <v>3503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5096</v>
      </c>
      <c r="B1937" t="s">
        <v>3498</v>
      </c>
      <c r="C1937">
        <v>2020</v>
      </c>
      <c r="D1937" t="s">
        <v>3504</v>
      </c>
      <c r="E1937" t="s">
        <v>3615</v>
      </c>
      <c r="F1937">
        <v>27</v>
      </c>
      <c r="G1937" t="s">
        <v>3615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5097</v>
      </c>
      <c r="B1938" t="s">
        <v>3498</v>
      </c>
      <c r="C1938">
        <v>2020</v>
      </c>
      <c r="D1938" t="s">
        <v>3499</v>
      </c>
      <c r="E1938" t="s">
        <v>3500</v>
      </c>
      <c r="F1938">
        <v>0</v>
      </c>
      <c r="G1938" t="s">
        <v>3500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5098</v>
      </c>
      <c r="B1939" t="s">
        <v>3498</v>
      </c>
      <c r="C1939">
        <v>2020</v>
      </c>
      <c r="D1939" t="s">
        <v>3499</v>
      </c>
      <c r="E1939" t="s">
        <v>3566</v>
      </c>
      <c r="F1939">
        <v>19</v>
      </c>
      <c r="G1939" t="s">
        <v>3566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>
      <c r="A1940" t="s">
        <v>5099</v>
      </c>
      <c r="B1940" t="s">
        <v>3498</v>
      </c>
      <c r="C1940">
        <v>2020</v>
      </c>
      <c r="D1940" t="s">
        <v>3502</v>
      </c>
      <c r="E1940" t="s">
        <v>3537</v>
      </c>
      <c r="F1940">
        <v>348</v>
      </c>
      <c r="G1940" t="s">
        <v>3537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573</v>
      </c>
      <c r="B1941" t="s">
        <v>3498</v>
      </c>
      <c r="C1941">
        <v>2020</v>
      </c>
      <c r="D1941" t="s">
        <v>3499</v>
      </c>
      <c r="E1941" t="s">
        <v>865</v>
      </c>
      <c r="F1941">
        <v>34</v>
      </c>
      <c r="G1941" t="s">
        <v>865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8</v>
      </c>
      <c r="B1942" t="s">
        <v>3498</v>
      </c>
      <c r="C1942">
        <v>2020</v>
      </c>
      <c r="D1942" t="s">
        <v>3502</v>
      </c>
      <c r="E1942" t="s">
        <v>879</v>
      </c>
      <c r="F1942">
        <v>180</v>
      </c>
      <c r="G1942" t="s">
        <v>879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5100</v>
      </c>
      <c r="B1943" t="s">
        <v>3498</v>
      </c>
      <c r="C1943">
        <v>2020</v>
      </c>
      <c r="D1943" t="s">
        <v>3504</v>
      </c>
      <c r="E1943" t="s">
        <v>3510</v>
      </c>
      <c r="F1943">
        <v>188</v>
      </c>
      <c r="G1943" t="s">
        <v>3510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>
      <c r="A1944" t="s">
        <v>5101</v>
      </c>
      <c r="B1944" t="s">
        <v>3498</v>
      </c>
      <c r="C1944">
        <v>2020</v>
      </c>
      <c r="D1944" t="s">
        <v>3485</v>
      </c>
      <c r="E1944" t="s">
        <v>862</v>
      </c>
      <c r="F1944">
        <v>90</v>
      </c>
      <c r="G1944" t="s">
        <v>862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5102</v>
      </c>
      <c r="B1945" t="s">
        <v>3498</v>
      </c>
      <c r="C1945">
        <v>2020</v>
      </c>
      <c r="D1945" t="s">
        <v>3502</v>
      </c>
      <c r="E1945" t="s">
        <v>885</v>
      </c>
      <c r="F1945">
        <v>6</v>
      </c>
      <c r="G1945" t="s">
        <v>885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5103</v>
      </c>
      <c r="B1946" t="s">
        <v>3498</v>
      </c>
      <c r="C1946">
        <v>2020</v>
      </c>
      <c r="D1946" t="s">
        <v>3485</v>
      </c>
      <c r="E1946" t="s">
        <v>3648</v>
      </c>
      <c r="F1946">
        <v>410</v>
      </c>
      <c r="G1946" t="s">
        <v>871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5104</v>
      </c>
      <c r="B1947" t="s">
        <v>3498</v>
      </c>
      <c r="C1947">
        <v>2020</v>
      </c>
      <c r="D1947" t="s">
        <v>3502</v>
      </c>
      <c r="E1947" t="s">
        <v>3515</v>
      </c>
      <c r="F1947">
        <v>0</v>
      </c>
      <c r="G1947" t="s">
        <v>3515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5105</v>
      </c>
      <c r="B1948" t="s">
        <v>3498</v>
      </c>
      <c r="C1948">
        <v>2020</v>
      </c>
      <c r="D1948" t="s">
        <v>3502</v>
      </c>
      <c r="E1948" t="s">
        <v>3526</v>
      </c>
      <c r="F1948">
        <v>342</v>
      </c>
      <c r="G1948" t="s">
        <v>3526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>
      <c r="A1949" t="s">
        <v>5106</v>
      </c>
      <c r="B1949" t="s">
        <v>3498</v>
      </c>
      <c r="C1949">
        <v>2020</v>
      </c>
      <c r="D1949" t="s">
        <v>3499</v>
      </c>
      <c r="E1949" t="s">
        <v>3599</v>
      </c>
      <c r="F1949">
        <v>87</v>
      </c>
      <c r="G1949" t="s">
        <v>3599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5107</v>
      </c>
      <c r="B1950" t="s">
        <v>3498</v>
      </c>
      <c r="C1950">
        <v>2020</v>
      </c>
      <c r="D1950" t="s">
        <v>3504</v>
      </c>
      <c r="E1950" t="s">
        <v>3599</v>
      </c>
      <c r="F1950">
        <v>171</v>
      </c>
      <c r="G1950" t="s">
        <v>3599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>
      <c r="A1951" t="s">
        <v>5108</v>
      </c>
      <c r="B1951" t="s">
        <v>3498</v>
      </c>
      <c r="C1951">
        <v>2020</v>
      </c>
      <c r="D1951" t="s">
        <v>3502</v>
      </c>
      <c r="E1951" t="s">
        <v>3577</v>
      </c>
      <c r="F1951">
        <v>0</v>
      </c>
      <c r="G1951" t="s">
        <v>3577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5109</v>
      </c>
      <c r="B1952" t="s">
        <v>3498</v>
      </c>
      <c r="C1952">
        <v>2020</v>
      </c>
      <c r="D1952" t="s">
        <v>3504</v>
      </c>
      <c r="E1952" t="s">
        <v>3555</v>
      </c>
      <c r="F1952">
        <v>90</v>
      </c>
      <c r="G1952" t="s">
        <v>891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5110</v>
      </c>
      <c r="B1953" t="s">
        <v>3498</v>
      </c>
      <c r="C1953">
        <v>2020</v>
      </c>
      <c r="D1953" t="s">
        <v>3502</v>
      </c>
      <c r="E1953" t="s">
        <v>3618</v>
      </c>
      <c r="F1953">
        <v>90</v>
      </c>
      <c r="G1953" t="s">
        <v>3618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5111</v>
      </c>
      <c r="B1954" t="s">
        <v>3498</v>
      </c>
      <c r="C1954">
        <v>2020</v>
      </c>
      <c r="D1954" t="s">
        <v>3504</v>
      </c>
      <c r="E1954" t="s">
        <v>3754</v>
      </c>
      <c r="F1954">
        <v>0</v>
      </c>
      <c r="G1954" t="s">
        <v>3754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5112</v>
      </c>
      <c r="B1955" t="s">
        <v>3498</v>
      </c>
      <c r="C1955">
        <v>2020</v>
      </c>
      <c r="D1955" t="s">
        <v>3502</v>
      </c>
      <c r="E1955" t="s">
        <v>3566</v>
      </c>
      <c r="F1955">
        <v>10</v>
      </c>
      <c r="G1955" t="s">
        <v>3566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>
      <c r="A1956" t="s">
        <v>2895</v>
      </c>
      <c r="B1956" t="s">
        <v>3498</v>
      </c>
      <c r="C1956">
        <v>2020</v>
      </c>
      <c r="D1956" t="s">
        <v>3504</v>
      </c>
      <c r="E1956" t="s">
        <v>878</v>
      </c>
      <c r="F1956">
        <v>754</v>
      </c>
      <c r="G1956" t="s">
        <v>878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>
      <c r="A1957" t="s">
        <v>5113</v>
      </c>
      <c r="B1957" t="s">
        <v>3498</v>
      </c>
      <c r="C1957">
        <v>2020</v>
      </c>
      <c r="D1957" t="s">
        <v>3504</v>
      </c>
      <c r="E1957" t="s">
        <v>3754</v>
      </c>
      <c r="F1957">
        <v>638</v>
      </c>
      <c r="G1957" t="s">
        <v>3754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>
      <c r="A1958" t="s">
        <v>5114</v>
      </c>
      <c r="B1958" t="s">
        <v>3498</v>
      </c>
      <c r="C1958">
        <v>2020</v>
      </c>
      <c r="D1958" t="s">
        <v>3504</v>
      </c>
      <c r="E1958" t="s">
        <v>3754</v>
      </c>
      <c r="F1958">
        <v>474</v>
      </c>
      <c r="G1958" t="s">
        <v>3754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>
      <c r="A1959" t="s">
        <v>5115</v>
      </c>
      <c r="B1959" t="s">
        <v>3498</v>
      </c>
      <c r="C1959">
        <v>2020</v>
      </c>
      <c r="D1959" t="s">
        <v>3502</v>
      </c>
      <c r="E1959" t="s">
        <v>3599</v>
      </c>
      <c r="F1959">
        <v>0</v>
      </c>
      <c r="G1959" t="s">
        <v>3599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5116</v>
      </c>
      <c r="B1960" t="s">
        <v>3498</v>
      </c>
      <c r="C1960">
        <v>2020</v>
      </c>
      <c r="D1960" t="s">
        <v>3499</v>
      </c>
      <c r="E1960" t="s">
        <v>3577</v>
      </c>
      <c r="F1960">
        <v>85</v>
      </c>
      <c r="G1960" t="s">
        <v>3577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5117</v>
      </c>
      <c r="B1961" t="s">
        <v>3498</v>
      </c>
      <c r="C1961">
        <v>2020</v>
      </c>
      <c r="D1961" t="s">
        <v>3504</v>
      </c>
      <c r="E1961" t="s">
        <v>3569</v>
      </c>
      <c r="F1961">
        <v>57</v>
      </c>
      <c r="G1961" t="s">
        <v>3569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5118</v>
      </c>
      <c r="B1962" t="s">
        <v>3498</v>
      </c>
      <c r="C1962">
        <v>2020</v>
      </c>
      <c r="D1962" t="s">
        <v>3504</v>
      </c>
      <c r="E1962" t="s">
        <v>3632</v>
      </c>
      <c r="F1962">
        <v>459</v>
      </c>
      <c r="G1962" t="s">
        <v>3632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>
      <c r="A1963" t="s">
        <v>5119</v>
      </c>
      <c r="B1963" t="s">
        <v>3498</v>
      </c>
      <c r="C1963">
        <v>2020</v>
      </c>
      <c r="D1963" t="s">
        <v>3502</v>
      </c>
      <c r="E1963" t="s">
        <v>3571</v>
      </c>
      <c r="F1963">
        <v>810</v>
      </c>
      <c r="G1963" t="s">
        <v>3571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>
      <c r="A1964" t="s">
        <v>5120</v>
      </c>
      <c r="B1964" t="s">
        <v>3498</v>
      </c>
      <c r="C1964">
        <v>2020</v>
      </c>
      <c r="D1964" t="s">
        <v>3502</v>
      </c>
      <c r="E1964" t="s">
        <v>3566</v>
      </c>
      <c r="F1964">
        <v>586</v>
      </c>
      <c r="G1964" t="s">
        <v>3566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>
      <c r="A1965" t="s">
        <v>5121</v>
      </c>
      <c r="B1965" t="s">
        <v>3498</v>
      </c>
      <c r="C1965">
        <v>2020</v>
      </c>
      <c r="D1965" t="s">
        <v>3504</v>
      </c>
      <c r="E1965" t="s">
        <v>3566</v>
      </c>
      <c r="F1965">
        <v>0</v>
      </c>
      <c r="G1965" t="s">
        <v>3566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5122</v>
      </c>
      <c r="B1966" t="s">
        <v>3498</v>
      </c>
      <c r="C1966">
        <v>2020</v>
      </c>
      <c r="D1966" t="s">
        <v>3502</v>
      </c>
      <c r="E1966" t="s">
        <v>3537</v>
      </c>
      <c r="F1966">
        <v>90</v>
      </c>
      <c r="G1966" t="s">
        <v>3537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5123</v>
      </c>
      <c r="B1967" t="s">
        <v>3498</v>
      </c>
      <c r="C1967">
        <v>2020</v>
      </c>
      <c r="D1967" t="s">
        <v>3485</v>
      </c>
      <c r="E1967" t="s">
        <v>3602</v>
      </c>
      <c r="F1967">
        <v>270</v>
      </c>
      <c r="G1967" t="s">
        <v>3602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5124</v>
      </c>
      <c r="B1968" t="s">
        <v>3498</v>
      </c>
      <c r="C1968">
        <v>2020</v>
      </c>
      <c r="D1968" t="s">
        <v>3502</v>
      </c>
      <c r="E1968" t="s">
        <v>3602</v>
      </c>
      <c r="F1968">
        <v>70</v>
      </c>
      <c r="G1968" t="s">
        <v>3602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>
      <c r="A1969" t="s">
        <v>5125</v>
      </c>
      <c r="B1969" t="s">
        <v>3498</v>
      </c>
      <c r="C1969">
        <v>2020</v>
      </c>
      <c r="D1969" t="s">
        <v>3499</v>
      </c>
      <c r="E1969" t="s">
        <v>3754</v>
      </c>
      <c r="F1969">
        <v>163</v>
      </c>
      <c r="G1969" t="s">
        <v>3754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>
      <c r="A1970" t="s">
        <v>5126</v>
      </c>
      <c r="B1970" t="s">
        <v>3498</v>
      </c>
      <c r="C1970">
        <v>2020</v>
      </c>
      <c r="D1970" t="s">
        <v>3502</v>
      </c>
      <c r="E1970" t="s">
        <v>3599</v>
      </c>
      <c r="F1970">
        <v>450</v>
      </c>
      <c r="G1970" t="s">
        <v>3599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>
      <c r="A1971" t="s">
        <v>5127</v>
      </c>
      <c r="B1971" t="s">
        <v>3498</v>
      </c>
      <c r="C1971">
        <v>2020</v>
      </c>
      <c r="D1971" t="s">
        <v>3504</v>
      </c>
      <c r="E1971" t="s">
        <v>3599</v>
      </c>
      <c r="F1971">
        <v>0</v>
      </c>
      <c r="G1971" t="s">
        <v>3599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5128</v>
      </c>
      <c r="B1972" t="s">
        <v>3498</v>
      </c>
      <c r="C1972">
        <v>2020</v>
      </c>
      <c r="D1972" t="s">
        <v>3499</v>
      </c>
      <c r="E1972" t="s">
        <v>3632</v>
      </c>
      <c r="F1972">
        <v>540</v>
      </c>
      <c r="G1972" t="s">
        <v>3632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>
      <c r="A1973" t="s">
        <v>5129</v>
      </c>
      <c r="B1973" t="s">
        <v>3498</v>
      </c>
      <c r="C1973">
        <v>2020</v>
      </c>
      <c r="D1973" t="s">
        <v>3485</v>
      </c>
      <c r="E1973" t="s">
        <v>3529</v>
      </c>
      <c r="F1973">
        <v>0</v>
      </c>
      <c r="G1973" t="s">
        <v>3530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5130</v>
      </c>
      <c r="B1974" t="s">
        <v>3498</v>
      </c>
      <c r="C1974">
        <v>2020</v>
      </c>
      <c r="D1974" t="s">
        <v>3502</v>
      </c>
      <c r="E1974" t="s">
        <v>3599</v>
      </c>
      <c r="F1974">
        <v>211</v>
      </c>
      <c r="G1974" t="s">
        <v>3599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>
      <c r="A1975" t="s">
        <v>5131</v>
      </c>
      <c r="B1975" t="s">
        <v>3498</v>
      </c>
      <c r="C1975">
        <v>2020</v>
      </c>
      <c r="D1975" t="s">
        <v>3504</v>
      </c>
      <c r="E1975" t="s">
        <v>869</v>
      </c>
      <c r="F1975">
        <v>0</v>
      </c>
      <c r="G1975" t="s">
        <v>869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5132</v>
      </c>
      <c r="B1976" t="s">
        <v>3498</v>
      </c>
      <c r="C1976">
        <v>2020</v>
      </c>
      <c r="D1976" t="s">
        <v>3502</v>
      </c>
      <c r="E1976" t="s">
        <v>886</v>
      </c>
      <c r="F1976">
        <v>360</v>
      </c>
      <c r="G1976" t="s">
        <v>886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>
      <c r="A1977" t="s">
        <v>5133</v>
      </c>
      <c r="B1977" t="s">
        <v>3498</v>
      </c>
      <c r="C1977">
        <v>2020</v>
      </c>
      <c r="D1977" t="s">
        <v>3504</v>
      </c>
      <c r="E1977" t="s">
        <v>3506</v>
      </c>
      <c r="F1977">
        <v>297</v>
      </c>
      <c r="G1977" t="s">
        <v>3506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>
      <c r="A1978" t="s">
        <v>5134</v>
      </c>
      <c r="B1978" t="s">
        <v>3498</v>
      </c>
      <c r="C1978">
        <v>2020</v>
      </c>
      <c r="D1978" t="s">
        <v>3485</v>
      </c>
      <c r="E1978" t="s">
        <v>3515</v>
      </c>
      <c r="F1978">
        <v>0</v>
      </c>
      <c r="G1978" t="s">
        <v>3515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5135</v>
      </c>
      <c r="B1979" t="s">
        <v>3498</v>
      </c>
      <c r="C1979">
        <v>2020</v>
      </c>
      <c r="D1979" t="s">
        <v>3499</v>
      </c>
      <c r="E1979" t="s">
        <v>3549</v>
      </c>
      <c r="F1979">
        <v>155</v>
      </c>
      <c r="G1979" t="s">
        <v>3549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>
      <c r="A1980" t="s">
        <v>2167</v>
      </c>
      <c r="B1980" t="s">
        <v>3498</v>
      </c>
      <c r="C1980">
        <v>2020</v>
      </c>
      <c r="D1980" t="s">
        <v>3504</v>
      </c>
      <c r="E1980" t="s">
        <v>886</v>
      </c>
      <c r="F1980">
        <v>297</v>
      </c>
      <c r="G1980" t="s">
        <v>886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>
      <c r="A1981" t="s">
        <v>5136</v>
      </c>
      <c r="B1981" t="s">
        <v>3498</v>
      </c>
      <c r="C1981">
        <v>2020</v>
      </c>
      <c r="D1981" t="s">
        <v>3502</v>
      </c>
      <c r="E1981" t="s">
        <v>3508</v>
      </c>
      <c r="F1981">
        <v>0</v>
      </c>
      <c r="G1981" t="s">
        <v>3508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5137</v>
      </c>
      <c r="B1982" t="s">
        <v>3498</v>
      </c>
      <c r="C1982">
        <v>2020</v>
      </c>
      <c r="D1982" t="s">
        <v>3502</v>
      </c>
      <c r="E1982" t="s">
        <v>3566</v>
      </c>
      <c r="F1982">
        <v>0</v>
      </c>
      <c r="G1982" t="s">
        <v>3566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2057</v>
      </c>
      <c r="B1983" t="s">
        <v>3498</v>
      </c>
      <c r="C1983">
        <v>2020</v>
      </c>
      <c r="D1983" t="s">
        <v>3504</v>
      </c>
      <c r="E1983" t="s">
        <v>877</v>
      </c>
      <c r="F1983">
        <v>118</v>
      </c>
      <c r="G1983" t="s">
        <v>877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>
      <c r="A1984" t="s">
        <v>5138</v>
      </c>
      <c r="B1984" t="s">
        <v>3498</v>
      </c>
      <c r="C1984">
        <v>2020</v>
      </c>
      <c r="D1984" t="s">
        <v>3502</v>
      </c>
      <c r="E1984" t="s">
        <v>3566</v>
      </c>
      <c r="F1984">
        <v>0</v>
      </c>
      <c r="G1984" t="s">
        <v>3566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2056</v>
      </c>
      <c r="B1985" t="s">
        <v>3498</v>
      </c>
      <c r="C1985">
        <v>2020</v>
      </c>
      <c r="D1985" t="s">
        <v>3504</v>
      </c>
      <c r="E1985" t="s">
        <v>877</v>
      </c>
      <c r="F1985">
        <v>423</v>
      </c>
      <c r="G1985" t="s">
        <v>877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>
      <c r="A1986" t="s">
        <v>5139</v>
      </c>
      <c r="B1986" t="s">
        <v>3498</v>
      </c>
      <c r="C1986">
        <v>2020</v>
      </c>
      <c r="D1986" t="s">
        <v>3502</v>
      </c>
      <c r="E1986" t="s">
        <v>3535</v>
      </c>
      <c r="F1986">
        <v>805</v>
      </c>
      <c r="G1986" t="s">
        <v>3535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>
      <c r="A1987" t="s">
        <v>5140</v>
      </c>
      <c r="B1987" t="s">
        <v>3498</v>
      </c>
      <c r="C1987">
        <v>2020</v>
      </c>
      <c r="D1987" t="s">
        <v>3502</v>
      </c>
      <c r="E1987" t="s">
        <v>871</v>
      </c>
      <c r="F1987">
        <v>168</v>
      </c>
      <c r="G1987" t="s">
        <v>871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5141</v>
      </c>
      <c r="B1988" t="s">
        <v>3498</v>
      </c>
      <c r="C1988">
        <v>2020</v>
      </c>
      <c r="D1988" t="s">
        <v>3499</v>
      </c>
      <c r="E1988" t="s">
        <v>3555</v>
      </c>
      <c r="F1988">
        <v>667</v>
      </c>
      <c r="G1988" t="s">
        <v>3555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>
      <c r="A1989" t="s">
        <v>5142</v>
      </c>
      <c r="B1989" t="s">
        <v>3498</v>
      </c>
      <c r="C1989">
        <v>2020</v>
      </c>
      <c r="D1989" t="s">
        <v>3504</v>
      </c>
      <c r="E1989" t="s">
        <v>863</v>
      </c>
      <c r="F1989">
        <v>90</v>
      </c>
      <c r="G1989" t="s">
        <v>863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>
      <c r="A1990" t="s">
        <v>256</v>
      </c>
      <c r="B1990" t="s">
        <v>3498</v>
      </c>
      <c r="C1990">
        <v>2020</v>
      </c>
      <c r="D1990" t="s">
        <v>3502</v>
      </c>
      <c r="E1990" t="s">
        <v>876</v>
      </c>
      <c r="F1990">
        <v>630</v>
      </c>
      <c r="G1990" t="s">
        <v>876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>
      <c r="A1991" t="s">
        <v>5143</v>
      </c>
      <c r="B1991" t="s">
        <v>3498</v>
      </c>
      <c r="C1991">
        <v>2020</v>
      </c>
      <c r="D1991" t="s">
        <v>3485</v>
      </c>
      <c r="E1991" t="s">
        <v>3632</v>
      </c>
      <c r="F1991">
        <v>0</v>
      </c>
      <c r="G1991" t="s">
        <v>3632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3185</v>
      </c>
      <c r="B1992" t="s">
        <v>3498</v>
      </c>
      <c r="C1992">
        <v>2020</v>
      </c>
      <c r="D1992" t="s">
        <v>3502</v>
      </c>
      <c r="E1992" t="s">
        <v>3564</v>
      </c>
      <c r="F1992">
        <v>895</v>
      </c>
      <c r="G1992" t="s">
        <v>3564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>
      <c r="A1993" t="s">
        <v>5144</v>
      </c>
      <c r="B1993" t="s">
        <v>3498</v>
      </c>
      <c r="C1993">
        <v>2020</v>
      </c>
      <c r="D1993" t="s">
        <v>3499</v>
      </c>
      <c r="E1993" t="s">
        <v>3569</v>
      </c>
      <c r="F1993">
        <v>99</v>
      </c>
      <c r="G1993" t="s">
        <v>3569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5145</v>
      </c>
      <c r="B1994" t="s">
        <v>3498</v>
      </c>
      <c r="C1994">
        <v>2020</v>
      </c>
      <c r="D1994" t="s">
        <v>3499</v>
      </c>
      <c r="E1994" t="s">
        <v>3599</v>
      </c>
      <c r="F1994">
        <v>211</v>
      </c>
      <c r="G1994" t="s">
        <v>3599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>
      <c r="A1995" t="s">
        <v>5146</v>
      </c>
      <c r="B1995" t="s">
        <v>3498</v>
      </c>
      <c r="C1995">
        <v>2020</v>
      </c>
      <c r="D1995" t="s">
        <v>3502</v>
      </c>
      <c r="E1995" t="s">
        <v>877</v>
      </c>
      <c r="F1995">
        <v>630</v>
      </c>
      <c r="G1995" t="s">
        <v>877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>
      <c r="A1996" t="s">
        <v>5147</v>
      </c>
      <c r="B1996" t="s">
        <v>3498</v>
      </c>
      <c r="C1996">
        <v>2020</v>
      </c>
      <c r="D1996" t="s">
        <v>3502</v>
      </c>
      <c r="E1996" t="s">
        <v>3577</v>
      </c>
      <c r="F1996">
        <v>254</v>
      </c>
      <c r="G1996" t="s">
        <v>3577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5148</v>
      </c>
      <c r="B1997" t="s">
        <v>3498</v>
      </c>
      <c r="C1997">
        <v>2020</v>
      </c>
      <c r="D1997" t="s">
        <v>3502</v>
      </c>
      <c r="E1997" t="s">
        <v>3577</v>
      </c>
      <c r="F1997">
        <v>736</v>
      </c>
      <c r="G1997" t="s">
        <v>3577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>
      <c r="A1998" t="s">
        <v>5149</v>
      </c>
      <c r="B1998" t="s">
        <v>3498</v>
      </c>
      <c r="C1998">
        <v>2020</v>
      </c>
      <c r="D1998" t="s">
        <v>3504</v>
      </c>
      <c r="E1998" t="s">
        <v>877</v>
      </c>
      <c r="F1998">
        <v>6</v>
      </c>
      <c r="G1998" t="s">
        <v>877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5150</v>
      </c>
      <c r="B1999" t="s">
        <v>3498</v>
      </c>
      <c r="C1999">
        <v>2020</v>
      </c>
      <c r="D1999" t="s">
        <v>3504</v>
      </c>
      <c r="E1999" t="s">
        <v>3577</v>
      </c>
      <c r="F1999">
        <v>180</v>
      </c>
      <c r="G1999" t="s">
        <v>3577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5151</v>
      </c>
      <c r="B2000" t="s">
        <v>3498</v>
      </c>
      <c r="C2000">
        <v>2020</v>
      </c>
      <c r="D2000" t="s">
        <v>3502</v>
      </c>
      <c r="E2000" t="s">
        <v>3537</v>
      </c>
      <c r="F2000">
        <v>218</v>
      </c>
      <c r="G2000" t="s">
        <v>3537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5152</v>
      </c>
      <c r="B2001" t="s">
        <v>3498</v>
      </c>
      <c r="C2001">
        <v>2020</v>
      </c>
      <c r="D2001" t="s">
        <v>3485</v>
      </c>
      <c r="E2001" t="s">
        <v>3529</v>
      </c>
      <c r="F2001">
        <v>0</v>
      </c>
      <c r="G2001" t="s">
        <v>3530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5153</v>
      </c>
      <c r="B2002" t="s">
        <v>3498</v>
      </c>
      <c r="C2002">
        <v>2020</v>
      </c>
      <c r="D2002" t="s">
        <v>3504</v>
      </c>
      <c r="E2002" t="s">
        <v>3599</v>
      </c>
      <c r="F2002">
        <v>74</v>
      </c>
      <c r="G2002" t="s">
        <v>3599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>
      <c r="A2003" t="s">
        <v>5154</v>
      </c>
      <c r="B2003" t="s">
        <v>3498</v>
      </c>
      <c r="C2003">
        <v>2020</v>
      </c>
      <c r="D2003" t="s">
        <v>3502</v>
      </c>
      <c r="E2003" t="s">
        <v>882</v>
      </c>
      <c r="F2003">
        <v>270</v>
      </c>
      <c r="G2003" t="s">
        <v>882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5155</v>
      </c>
      <c r="B2004" t="s">
        <v>3498</v>
      </c>
      <c r="C2004">
        <v>2020</v>
      </c>
      <c r="D2004" t="s">
        <v>3504</v>
      </c>
      <c r="E2004" t="s">
        <v>882</v>
      </c>
      <c r="F2004">
        <v>517</v>
      </c>
      <c r="G2004" t="s">
        <v>882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>
      <c r="A2005" t="s">
        <v>5156</v>
      </c>
      <c r="B2005" t="s">
        <v>3498</v>
      </c>
      <c r="C2005">
        <v>2020</v>
      </c>
      <c r="D2005" t="s">
        <v>3499</v>
      </c>
      <c r="E2005" t="s">
        <v>3520</v>
      </c>
      <c r="F2005">
        <v>329</v>
      </c>
      <c r="G2005" t="s">
        <v>3520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>
      <c r="A2006" t="s">
        <v>5157</v>
      </c>
      <c r="B2006" t="s">
        <v>3498</v>
      </c>
      <c r="C2006">
        <v>2020</v>
      </c>
      <c r="D2006" t="s">
        <v>3504</v>
      </c>
      <c r="E2006" t="s">
        <v>3577</v>
      </c>
      <c r="F2006">
        <v>543</v>
      </c>
      <c r="G2006" t="s">
        <v>3577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>
      <c r="A2007" t="s">
        <v>5158</v>
      </c>
      <c r="B2007" t="s">
        <v>3498</v>
      </c>
      <c r="C2007">
        <v>2020</v>
      </c>
      <c r="D2007" t="s">
        <v>3504</v>
      </c>
      <c r="E2007" t="s">
        <v>872</v>
      </c>
      <c r="F2007">
        <v>29</v>
      </c>
      <c r="G2007" t="s">
        <v>872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5159</v>
      </c>
      <c r="B2008" t="s">
        <v>3498</v>
      </c>
      <c r="C2008">
        <v>2020</v>
      </c>
      <c r="D2008" t="s">
        <v>3499</v>
      </c>
      <c r="E2008" t="s">
        <v>3569</v>
      </c>
      <c r="F2008">
        <v>0</v>
      </c>
      <c r="G2008" t="s">
        <v>3569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5160</v>
      </c>
      <c r="B2009" t="s">
        <v>3498</v>
      </c>
      <c r="C2009">
        <v>2020</v>
      </c>
      <c r="D2009" t="s">
        <v>3504</v>
      </c>
      <c r="E2009" t="s">
        <v>3730</v>
      </c>
      <c r="F2009">
        <v>98</v>
      </c>
      <c r="G2009" t="s">
        <v>3730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5161</v>
      </c>
      <c r="B2010" t="s">
        <v>3498</v>
      </c>
      <c r="C2010">
        <v>2020</v>
      </c>
      <c r="D2010" t="s">
        <v>3499</v>
      </c>
      <c r="E2010" t="s">
        <v>3577</v>
      </c>
      <c r="F2010">
        <v>180</v>
      </c>
      <c r="G2010" t="s">
        <v>3577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>
      <c r="A2011" t="s">
        <v>5162</v>
      </c>
      <c r="B2011" t="s">
        <v>3498</v>
      </c>
      <c r="C2011">
        <v>2020</v>
      </c>
      <c r="D2011" t="s">
        <v>3502</v>
      </c>
      <c r="E2011" t="s">
        <v>3577</v>
      </c>
      <c r="F2011">
        <v>100</v>
      </c>
      <c r="G2011" t="s">
        <v>3577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5163</v>
      </c>
      <c r="B2012" t="s">
        <v>3498</v>
      </c>
      <c r="C2012">
        <v>2020</v>
      </c>
      <c r="D2012" t="s">
        <v>3499</v>
      </c>
      <c r="E2012" t="s">
        <v>3577</v>
      </c>
      <c r="F2012">
        <v>715</v>
      </c>
      <c r="G2012" t="s">
        <v>3577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>
      <c r="A2013" t="s">
        <v>5164</v>
      </c>
      <c r="B2013" t="s">
        <v>3498</v>
      </c>
      <c r="C2013">
        <v>2020</v>
      </c>
      <c r="D2013" t="s">
        <v>3485</v>
      </c>
      <c r="E2013" t="s">
        <v>3577</v>
      </c>
      <c r="F2013">
        <v>0</v>
      </c>
      <c r="G2013" t="s">
        <v>3577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5165</v>
      </c>
      <c r="B2014" t="s">
        <v>3498</v>
      </c>
      <c r="C2014">
        <v>2020</v>
      </c>
      <c r="D2014" t="s">
        <v>3502</v>
      </c>
      <c r="E2014" t="s">
        <v>3577</v>
      </c>
      <c r="F2014">
        <v>0</v>
      </c>
      <c r="G2014" t="s">
        <v>3577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5166</v>
      </c>
      <c r="B2015" t="s">
        <v>3498</v>
      </c>
      <c r="C2015">
        <v>2020</v>
      </c>
      <c r="D2015" t="s">
        <v>3504</v>
      </c>
      <c r="E2015" t="s">
        <v>3730</v>
      </c>
      <c r="F2015">
        <v>94</v>
      </c>
      <c r="G2015" t="s">
        <v>3730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2757</v>
      </c>
      <c r="B2016" t="s">
        <v>3498</v>
      </c>
      <c r="C2016">
        <v>2020</v>
      </c>
      <c r="D2016" t="s">
        <v>3504</v>
      </c>
      <c r="E2016" t="s">
        <v>3564</v>
      </c>
      <c r="F2016">
        <v>138</v>
      </c>
      <c r="G2016" t="s">
        <v>3564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>
      <c r="A2017" t="s">
        <v>5167</v>
      </c>
      <c r="B2017" t="s">
        <v>3498</v>
      </c>
      <c r="C2017">
        <v>2020</v>
      </c>
      <c r="D2017" t="s">
        <v>3504</v>
      </c>
      <c r="E2017" t="s">
        <v>877</v>
      </c>
      <c r="F2017">
        <v>31</v>
      </c>
      <c r="G2017" t="s">
        <v>877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5168</v>
      </c>
      <c r="B2018" t="s">
        <v>3498</v>
      </c>
      <c r="C2018">
        <v>2020</v>
      </c>
      <c r="D2018" t="s">
        <v>3504</v>
      </c>
      <c r="E2018" t="s">
        <v>3520</v>
      </c>
      <c r="F2018">
        <v>40</v>
      </c>
      <c r="G2018" t="s">
        <v>3520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5169</v>
      </c>
      <c r="B2019" t="s">
        <v>3498</v>
      </c>
      <c r="C2019">
        <v>2020</v>
      </c>
      <c r="D2019" t="s">
        <v>3504</v>
      </c>
      <c r="E2019" t="s">
        <v>3510</v>
      </c>
      <c r="F2019">
        <v>90</v>
      </c>
      <c r="G2019" t="s">
        <v>3510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2125</v>
      </c>
      <c r="B2020" t="s">
        <v>3498</v>
      </c>
      <c r="C2020">
        <v>2020</v>
      </c>
      <c r="D2020" t="s">
        <v>3502</v>
      </c>
      <c r="E2020" t="s">
        <v>872</v>
      </c>
      <c r="F2020">
        <v>52</v>
      </c>
      <c r="G2020" t="s">
        <v>872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>
      <c r="A2021" t="s">
        <v>5170</v>
      </c>
      <c r="B2021" t="s">
        <v>3498</v>
      </c>
      <c r="C2021">
        <v>2020</v>
      </c>
      <c r="D2021" t="s">
        <v>3504</v>
      </c>
      <c r="E2021" t="s">
        <v>3618</v>
      </c>
      <c r="F2021">
        <v>488</v>
      </c>
      <c r="G2021" t="s">
        <v>3618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5171</v>
      </c>
      <c r="B2022" t="s">
        <v>3498</v>
      </c>
      <c r="C2022">
        <v>2020</v>
      </c>
      <c r="D2022" t="s">
        <v>3502</v>
      </c>
      <c r="E2022" t="s">
        <v>3618</v>
      </c>
      <c r="F2022">
        <v>422</v>
      </c>
      <c r="G2022" t="s">
        <v>3618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>
      <c r="A2023" t="s">
        <v>5172</v>
      </c>
      <c r="B2023" t="s">
        <v>3498</v>
      </c>
      <c r="C2023">
        <v>2020</v>
      </c>
      <c r="D2023" t="s">
        <v>3485</v>
      </c>
      <c r="E2023" t="s">
        <v>3618</v>
      </c>
      <c r="F2023">
        <v>180</v>
      </c>
      <c r="G2023" t="s">
        <v>3618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5173</v>
      </c>
      <c r="B2024" t="s">
        <v>3498</v>
      </c>
      <c r="C2024">
        <v>2020</v>
      </c>
      <c r="D2024" t="s">
        <v>3504</v>
      </c>
      <c r="E2024" t="s">
        <v>3566</v>
      </c>
      <c r="F2024">
        <v>315</v>
      </c>
      <c r="G2024" t="s">
        <v>3627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205</v>
      </c>
      <c r="B2025" t="s">
        <v>3498</v>
      </c>
      <c r="C2025">
        <v>2020</v>
      </c>
      <c r="D2025" t="s">
        <v>3485</v>
      </c>
      <c r="E2025" t="s">
        <v>865</v>
      </c>
      <c r="F2025">
        <v>720</v>
      </c>
      <c r="G2025" t="s">
        <v>865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5174</v>
      </c>
      <c r="B2026" t="s">
        <v>3498</v>
      </c>
      <c r="C2026">
        <v>2020</v>
      </c>
      <c r="D2026" t="s">
        <v>3504</v>
      </c>
      <c r="E2026" t="s">
        <v>865</v>
      </c>
      <c r="F2026">
        <v>72</v>
      </c>
      <c r="G2026" t="s">
        <v>879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3256</v>
      </c>
      <c r="B2027" t="s">
        <v>3498</v>
      </c>
      <c r="C2027">
        <v>2020</v>
      </c>
      <c r="D2027" t="s">
        <v>3502</v>
      </c>
      <c r="E2027" t="s">
        <v>897</v>
      </c>
      <c r="F2027">
        <v>810</v>
      </c>
      <c r="G2027" t="s">
        <v>892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>
      <c r="A2028" t="s">
        <v>5175</v>
      </c>
      <c r="B2028" t="s">
        <v>3498</v>
      </c>
      <c r="C2028">
        <v>2020</v>
      </c>
      <c r="D2028" t="s">
        <v>3504</v>
      </c>
      <c r="E2028" t="s">
        <v>893</v>
      </c>
      <c r="F2028">
        <v>360</v>
      </c>
      <c r="G2028" t="s">
        <v>893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>
      <c r="A2029" t="s">
        <v>1262</v>
      </c>
      <c r="B2029" t="s">
        <v>3498</v>
      </c>
      <c r="C2029">
        <v>2020</v>
      </c>
      <c r="D2029" t="s">
        <v>3499</v>
      </c>
      <c r="E2029" t="s">
        <v>891</v>
      </c>
      <c r="F2029">
        <v>278</v>
      </c>
      <c r="G2029" t="s">
        <v>891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>
      <c r="A2030" t="s">
        <v>5176</v>
      </c>
      <c r="B2030" t="s">
        <v>3498</v>
      </c>
      <c r="C2030">
        <v>2020</v>
      </c>
      <c r="D2030" t="s">
        <v>3485</v>
      </c>
      <c r="E2030" t="s">
        <v>888</v>
      </c>
      <c r="F2030">
        <v>540</v>
      </c>
      <c r="G2030" t="s">
        <v>888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1857</v>
      </c>
      <c r="B2031" t="s">
        <v>3498</v>
      </c>
      <c r="C2031">
        <v>2020</v>
      </c>
      <c r="D2031" t="s">
        <v>3499</v>
      </c>
      <c r="E2031" t="s">
        <v>876</v>
      </c>
      <c r="F2031">
        <v>27</v>
      </c>
      <c r="G2031" t="s">
        <v>876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2912</v>
      </c>
      <c r="B2032" t="s">
        <v>3498</v>
      </c>
      <c r="C2032">
        <v>2020</v>
      </c>
      <c r="D2032" t="s">
        <v>3504</v>
      </c>
      <c r="E2032" t="s">
        <v>878</v>
      </c>
      <c r="F2032">
        <v>241</v>
      </c>
      <c r="G2032" t="s">
        <v>878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5177</v>
      </c>
      <c r="B2033" t="s">
        <v>3498</v>
      </c>
      <c r="C2033">
        <v>2020</v>
      </c>
      <c r="D2033" t="s">
        <v>3504</v>
      </c>
      <c r="E2033" t="s">
        <v>3508</v>
      </c>
      <c r="F2033">
        <v>558</v>
      </c>
      <c r="G2033" t="s">
        <v>3508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>
      <c r="A2034" t="s">
        <v>5178</v>
      </c>
      <c r="B2034" t="s">
        <v>3498</v>
      </c>
      <c r="C2034">
        <v>2020</v>
      </c>
      <c r="D2034" t="s">
        <v>3499</v>
      </c>
      <c r="E2034" t="s">
        <v>3592</v>
      </c>
      <c r="F2034">
        <v>262</v>
      </c>
      <c r="G2034" t="s">
        <v>3592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>
      <c r="A2035" t="s">
        <v>5179</v>
      </c>
      <c r="B2035" t="s">
        <v>3498</v>
      </c>
      <c r="C2035">
        <v>2020</v>
      </c>
      <c r="D2035" t="s">
        <v>3504</v>
      </c>
      <c r="E2035" t="s">
        <v>3566</v>
      </c>
      <c r="F2035">
        <v>116</v>
      </c>
      <c r="G2035" t="s">
        <v>3566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2196</v>
      </c>
      <c r="B2036" t="s">
        <v>3498</v>
      </c>
      <c r="C2036">
        <v>2020</v>
      </c>
      <c r="D2036" t="s">
        <v>3485</v>
      </c>
      <c r="E2036" t="s">
        <v>866</v>
      </c>
      <c r="F2036">
        <v>720</v>
      </c>
      <c r="G2036" t="s">
        <v>866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1225</v>
      </c>
      <c r="B2037" t="s">
        <v>3498</v>
      </c>
      <c r="C2037">
        <v>2020</v>
      </c>
      <c r="D2037" t="s">
        <v>3504</v>
      </c>
      <c r="E2037" t="s">
        <v>871</v>
      </c>
      <c r="F2037">
        <v>253</v>
      </c>
      <c r="G2037" t="s">
        <v>871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>
      <c r="A2038" t="s">
        <v>5180</v>
      </c>
      <c r="B2038" t="s">
        <v>3498</v>
      </c>
      <c r="C2038">
        <v>2020</v>
      </c>
      <c r="D2038" t="s">
        <v>3504</v>
      </c>
      <c r="E2038" t="s">
        <v>871</v>
      </c>
      <c r="F2038">
        <v>57</v>
      </c>
      <c r="G2038" t="s">
        <v>871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>
      <c r="A2039" t="s">
        <v>5181</v>
      </c>
      <c r="B2039" t="s">
        <v>3498</v>
      </c>
      <c r="C2039">
        <v>2020</v>
      </c>
      <c r="D2039" t="s">
        <v>3499</v>
      </c>
      <c r="E2039" t="s">
        <v>3508</v>
      </c>
      <c r="F2039">
        <v>0</v>
      </c>
      <c r="G2039" t="s">
        <v>3508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5182</v>
      </c>
      <c r="B2040" t="s">
        <v>3498</v>
      </c>
      <c r="C2040">
        <v>2020</v>
      </c>
      <c r="D2040" t="s">
        <v>3504</v>
      </c>
      <c r="E2040" t="s">
        <v>3569</v>
      </c>
      <c r="F2040">
        <v>58</v>
      </c>
      <c r="G2040" t="s">
        <v>3569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5183</v>
      </c>
      <c r="B2041" t="s">
        <v>3498</v>
      </c>
      <c r="C2041">
        <v>2020</v>
      </c>
      <c r="D2041" t="s">
        <v>3504</v>
      </c>
      <c r="E2041" t="s">
        <v>877</v>
      </c>
      <c r="F2041">
        <v>391</v>
      </c>
      <c r="G2041" t="s">
        <v>877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>
      <c r="A2042" t="s">
        <v>5184</v>
      </c>
      <c r="B2042" t="s">
        <v>3498</v>
      </c>
      <c r="C2042">
        <v>2020</v>
      </c>
      <c r="D2042" t="s">
        <v>3502</v>
      </c>
      <c r="E2042" t="s">
        <v>862</v>
      </c>
      <c r="F2042">
        <v>10</v>
      </c>
      <c r="G2042" t="s">
        <v>862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5185</v>
      </c>
      <c r="B2043" t="s">
        <v>3498</v>
      </c>
      <c r="C2043">
        <v>2020</v>
      </c>
      <c r="D2043" t="s">
        <v>3504</v>
      </c>
      <c r="E2043" t="s">
        <v>3546</v>
      </c>
      <c r="F2043">
        <v>216</v>
      </c>
      <c r="G2043" t="s">
        <v>3546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>
      <c r="A2044" t="s">
        <v>5186</v>
      </c>
      <c r="B2044" t="s">
        <v>3498</v>
      </c>
      <c r="C2044">
        <v>2020</v>
      </c>
      <c r="D2044" t="s">
        <v>3485</v>
      </c>
      <c r="E2044" t="s">
        <v>3624</v>
      </c>
      <c r="F2044">
        <v>0</v>
      </c>
      <c r="G2044" t="s">
        <v>3624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5187</v>
      </c>
      <c r="B2045" t="s">
        <v>3498</v>
      </c>
      <c r="C2045">
        <v>2020</v>
      </c>
      <c r="D2045" t="s">
        <v>3499</v>
      </c>
      <c r="E2045" t="s">
        <v>3624</v>
      </c>
      <c r="F2045">
        <v>70</v>
      </c>
      <c r="G2045" t="s">
        <v>3624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210</v>
      </c>
      <c r="B2046" t="s">
        <v>3498</v>
      </c>
      <c r="C2046">
        <v>2020</v>
      </c>
      <c r="D2046" t="s">
        <v>3504</v>
      </c>
      <c r="E2046" t="s">
        <v>871</v>
      </c>
      <c r="F2046">
        <v>674</v>
      </c>
      <c r="G2046" t="s">
        <v>871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>
      <c r="A2047" t="s">
        <v>5188</v>
      </c>
      <c r="B2047" t="s">
        <v>3498</v>
      </c>
      <c r="C2047">
        <v>2020</v>
      </c>
      <c r="D2047" t="s">
        <v>3504</v>
      </c>
      <c r="E2047" t="s">
        <v>862</v>
      </c>
      <c r="F2047">
        <v>0</v>
      </c>
      <c r="G2047" t="s">
        <v>862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5189</v>
      </c>
      <c r="B2048" t="s">
        <v>3498</v>
      </c>
      <c r="C2048">
        <v>2020</v>
      </c>
      <c r="D2048" t="s">
        <v>3504</v>
      </c>
      <c r="E2048" t="s">
        <v>3569</v>
      </c>
      <c r="F2048">
        <v>453</v>
      </c>
      <c r="G2048" t="s">
        <v>3569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5190</v>
      </c>
      <c r="B2049" t="s">
        <v>3498</v>
      </c>
      <c r="C2049">
        <v>2020</v>
      </c>
      <c r="D2049" t="s">
        <v>3502</v>
      </c>
      <c r="E2049" t="s">
        <v>3508</v>
      </c>
      <c r="F2049">
        <v>119</v>
      </c>
      <c r="G2049" t="s">
        <v>3508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2515</v>
      </c>
      <c r="B2050" t="s">
        <v>3498</v>
      </c>
      <c r="C2050">
        <v>2020</v>
      </c>
      <c r="D2050" t="s">
        <v>3504</v>
      </c>
      <c r="E2050" t="s">
        <v>872</v>
      </c>
      <c r="F2050">
        <v>386</v>
      </c>
      <c r="G2050" t="s">
        <v>872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5191</v>
      </c>
      <c r="B2051" t="s">
        <v>3498</v>
      </c>
      <c r="C2051">
        <v>2020</v>
      </c>
      <c r="D2051" t="s">
        <v>3499</v>
      </c>
      <c r="E2051" t="s">
        <v>3508</v>
      </c>
      <c r="F2051">
        <v>634</v>
      </c>
      <c r="G2051" t="s">
        <v>3508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>
      <c r="A2052" t="s">
        <v>5192</v>
      </c>
      <c r="B2052" t="s">
        <v>3498</v>
      </c>
      <c r="C2052">
        <v>2020</v>
      </c>
      <c r="D2052" t="s">
        <v>3504</v>
      </c>
      <c r="E2052" t="s">
        <v>872</v>
      </c>
      <c r="F2052">
        <v>90</v>
      </c>
      <c r="G2052" t="s">
        <v>872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5193</v>
      </c>
      <c r="B2053" t="s">
        <v>3498</v>
      </c>
      <c r="C2053">
        <v>2020</v>
      </c>
      <c r="D2053" t="s">
        <v>3485</v>
      </c>
      <c r="E2053" t="s">
        <v>877</v>
      </c>
      <c r="F2053">
        <v>0</v>
      </c>
      <c r="G2053" t="s">
        <v>877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1546</v>
      </c>
      <c r="B2054" t="s">
        <v>3498</v>
      </c>
      <c r="C2054">
        <v>2020</v>
      </c>
      <c r="D2054" t="s">
        <v>3499</v>
      </c>
      <c r="E2054" t="s">
        <v>869</v>
      </c>
      <c r="F2054">
        <v>589</v>
      </c>
      <c r="G2054" t="s">
        <v>869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>
      <c r="A2055" t="s">
        <v>5194</v>
      </c>
      <c r="B2055" t="s">
        <v>3498</v>
      </c>
      <c r="C2055">
        <v>2020</v>
      </c>
      <c r="D2055" t="s">
        <v>3504</v>
      </c>
      <c r="E2055" t="s">
        <v>862</v>
      </c>
      <c r="F2055">
        <v>282</v>
      </c>
      <c r="G2055" t="s">
        <v>862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>
      <c r="A2056" t="s">
        <v>2773</v>
      </c>
      <c r="B2056" t="s">
        <v>3498</v>
      </c>
      <c r="C2056">
        <v>2020</v>
      </c>
      <c r="D2056" t="s">
        <v>3485</v>
      </c>
      <c r="E2056" t="s">
        <v>866</v>
      </c>
      <c r="F2056">
        <v>0</v>
      </c>
      <c r="G2056" t="s">
        <v>866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5195</v>
      </c>
      <c r="B2057" t="s">
        <v>3498</v>
      </c>
      <c r="C2057">
        <v>2020</v>
      </c>
      <c r="D2057" t="s">
        <v>3502</v>
      </c>
      <c r="E2057" t="s">
        <v>3615</v>
      </c>
      <c r="F2057">
        <v>743</v>
      </c>
      <c r="G2057" t="s">
        <v>3615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>
      <c r="A2058" t="s">
        <v>5196</v>
      </c>
      <c r="B2058" t="s">
        <v>3498</v>
      </c>
      <c r="C2058">
        <v>2020</v>
      </c>
      <c r="D2058" t="s">
        <v>3504</v>
      </c>
      <c r="E2058" t="s">
        <v>3569</v>
      </c>
      <c r="F2058">
        <v>0</v>
      </c>
      <c r="G2058" t="s">
        <v>3569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5197</v>
      </c>
      <c r="B2059" t="s">
        <v>3498</v>
      </c>
      <c r="C2059">
        <v>2020</v>
      </c>
      <c r="D2059" t="s">
        <v>3504</v>
      </c>
      <c r="E2059" t="s">
        <v>3515</v>
      </c>
      <c r="F2059">
        <v>7</v>
      </c>
      <c r="G2059" t="s">
        <v>3515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5198</v>
      </c>
      <c r="B2060" t="s">
        <v>3498</v>
      </c>
      <c r="C2060">
        <v>2020</v>
      </c>
      <c r="D2060" t="s">
        <v>3502</v>
      </c>
      <c r="E2060" t="s">
        <v>3520</v>
      </c>
      <c r="F2060">
        <v>341</v>
      </c>
      <c r="G2060" t="s">
        <v>3520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5199</v>
      </c>
      <c r="B2061" t="s">
        <v>3498</v>
      </c>
      <c r="C2061">
        <v>2020</v>
      </c>
      <c r="D2061" t="s">
        <v>3499</v>
      </c>
      <c r="E2061" t="s">
        <v>882</v>
      </c>
      <c r="F2061">
        <v>134</v>
      </c>
      <c r="G2061" t="s">
        <v>882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>
      <c r="A2062" t="s">
        <v>5200</v>
      </c>
      <c r="B2062" t="s">
        <v>3498</v>
      </c>
      <c r="C2062">
        <v>2020</v>
      </c>
      <c r="D2062" t="s">
        <v>3504</v>
      </c>
      <c r="E2062" t="s">
        <v>872</v>
      </c>
      <c r="F2062">
        <v>142</v>
      </c>
      <c r="G2062" t="s">
        <v>872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5201</v>
      </c>
      <c r="B2063" t="s">
        <v>3498</v>
      </c>
      <c r="C2063">
        <v>2020</v>
      </c>
      <c r="D2063" t="s">
        <v>3504</v>
      </c>
      <c r="E2063" t="s">
        <v>3529</v>
      </c>
      <c r="F2063">
        <v>270</v>
      </c>
      <c r="G2063" t="s">
        <v>3530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>
      <c r="A2064" t="s">
        <v>5202</v>
      </c>
      <c r="B2064" t="s">
        <v>3498</v>
      </c>
      <c r="C2064">
        <v>2020</v>
      </c>
      <c r="D2064" t="s">
        <v>3504</v>
      </c>
      <c r="E2064" t="s">
        <v>897</v>
      </c>
      <c r="F2064">
        <v>217</v>
      </c>
      <c r="G2064" t="s">
        <v>897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>
      <c r="A2065" t="s">
        <v>5203</v>
      </c>
      <c r="B2065" t="s">
        <v>3498</v>
      </c>
      <c r="C2065">
        <v>2020</v>
      </c>
      <c r="D2065" t="s">
        <v>3504</v>
      </c>
      <c r="E2065" t="s">
        <v>897</v>
      </c>
      <c r="F2065">
        <v>90</v>
      </c>
      <c r="G2065" t="s">
        <v>897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5204</v>
      </c>
      <c r="B2066" t="s">
        <v>3498</v>
      </c>
      <c r="C2066">
        <v>2020</v>
      </c>
      <c r="D2066" t="s">
        <v>3504</v>
      </c>
      <c r="E2066" t="s">
        <v>3754</v>
      </c>
      <c r="F2066">
        <v>85</v>
      </c>
      <c r="G2066" t="s">
        <v>3754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5205</v>
      </c>
      <c r="B2067" t="s">
        <v>3498</v>
      </c>
      <c r="C2067">
        <v>2020</v>
      </c>
      <c r="D2067" t="s">
        <v>3485</v>
      </c>
      <c r="E2067" t="s">
        <v>3597</v>
      </c>
      <c r="F2067">
        <v>90</v>
      </c>
      <c r="G2067" t="s">
        <v>3597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5206</v>
      </c>
      <c r="B2068" t="s">
        <v>3498</v>
      </c>
      <c r="C2068">
        <v>2020</v>
      </c>
      <c r="D2068" t="s">
        <v>3499</v>
      </c>
      <c r="E2068" t="s">
        <v>3526</v>
      </c>
      <c r="F2068">
        <v>0</v>
      </c>
      <c r="G2068" t="s">
        <v>3526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5207</v>
      </c>
      <c r="B2069" t="s">
        <v>3498</v>
      </c>
      <c r="C2069">
        <v>2020</v>
      </c>
      <c r="D2069" t="s">
        <v>3485</v>
      </c>
      <c r="E2069" t="s">
        <v>888</v>
      </c>
      <c r="F2069">
        <v>360</v>
      </c>
      <c r="G2069" t="s">
        <v>888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5208</v>
      </c>
      <c r="B2070" t="s">
        <v>3498</v>
      </c>
      <c r="C2070">
        <v>2020</v>
      </c>
      <c r="D2070" t="s">
        <v>3502</v>
      </c>
      <c r="E2070" t="s">
        <v>888</v>
      </c>
      <c r="F2070">
        <v>45</v>
      </c>
      <c r="G2070" t="s">
        <v>888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5209</v>
      </c>
      <c r="B2071" t="s">
        <v>3498</v>
      </c>
      <c r="C2071">
        <v>2020</v>
      </c>
      <c r="D2071" t="s">
        <v>3485</v>
      </c>
      <c r="E2071" t="s">
        <v>888</v>
      </c>
      <c r="F2071">
        <v>0</v>
      </c>
      <c r="G2071" t="s">
        <v>888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/>
  </sheetViews>
  <sheetFormatPr defaultRowHeight="15.75"/>
  <cols>
    <col min="1" max="1" width="19.5" bestFit="1" customWidth="1"/>
    <col min="3" max="3" width="10.25" customWidth="1"/>
    <col min="7" max="7" width="20.25" bestFit="1" customWidth="1"/>
    <col min="8" max="8" width="30" bestFit="1" customWidth="1"/>
    <col min="19" max="19" width="20.25" bestFit="1" customWidth="1"/>
    <col min="20" max="20" width="29.75" bestFit="1" customWidth="1"/>
  </cols>
  <sheetData>
    <row r="1" spans="1:21">
      <c r="A1" s="73" t="s">
        <v>5210</v>
      </c>
      <c r="B1" s="73"/>
      <c r="C1" t="s">
        <v>5210</v>
      </c>
      <c r="G1" s="90" t="s">
        <v>5210</v>
      </c>
      <c r="H1" s="90" t="s">
        <v>5210</v>
      </c>
      <c r="I1" s="90" t="s">
        <v>5211</v>
      </c>
    </row>
    <row r="2" spans="1:21">
      <c r="A2" s="73" t="s">
        <v>61</v>
      </c>
      <c r="B2" s="73"/>
      <c r="C2" t="s">
        <v>3497</v>
      </c>
      <c r="G2" t="s">
        <v>61</v>
      </c>
      <c r="H2" t="s">
        <v>61</v>
      </c>
      <c r="I2" s="91">
        <v>1</v>
      </c>
    </row>
    <row r="3" spans="1:21">
      <c r="A3" s="73" t="s">
        <v>987</v>
      </c>
      <c r="B3" s="73"/>
      <c r="C3" t="s">
        <v>3501</v>
      </c>
      <c r="G3" t="s">
        <v>987</v>
      </c>
      <c r="H3" t="s">
        <v>4433</v>
      </c>
      <c r="I3" s="91">
        <v>0.97449762878134161</v>
      </c>
    </row>
    <row r="4" spans="1:21">
      <c r="A4" s="73" t="s">
        <v>378</v>
      </c>
      <c r="B4" s="73"/>
      <c r="C4" t="s">
        <v>2154</v>
      </c>
      <c r="G4" t="s">
        <v>378</v>
      </c>
      <c r="H4" t="s">
        <v>378</v>
      </c>
      <c r="I4" s="91">
        <v>1</v>
      </c>
    </row>
    <row r="5" spans="1:21">
      <c r="A5" s="73" t="s">
        <v>248</v>
      </c>
      <c r="B5" s="73"/>
      <c r="C5" t="s">
        <v>3505</v>
      </c>
      <c r="G5" t="s">
        <v>248</v>
      </c>
      <c r="H5" t="s">
        <v>248</v>
      </c>
      <c r="I5" s="91">
        <v>1</v>
      </c>
    </row>
    <row r="6" spans="1:21">
      <c r="A6" s="73" t="s">
        <v>1002</v>
      </c>
      <c r="B6" s="73"/>
      <c r="C6" t="s">
        <v>3507</v>
      </c>
      <c r="G6" t="s">
        <v>1002</v>
      </c>
      <c r="H6" t="s">
        <v>1002</v>
      </c>
      <c r="I6" s="91">
        <v>1</v>
      </c>
    </row>
    <row r="7" spans="1:21">
      <c r="A7" s="73" t="s">
        <v>1007</v>
      </c>
      <c r="B7" s="73"/>
      <c r="C7" t="s">
        <v>3509</v>
      </c>
      <c r="G7" t="s">
        <v>1007</v>
      </c>
      <c r="H7" t="s">
        <v>1008</v>
      </c>
      <c r="I7" s="91">
        <v>0.92727272727272725</v>
      </c>
    </row>
    <row r="8" spans="1:21">
      <c r="A8" s="73" t="s">
        <v>35</v>
      </c>
      <c r="B8" s="73"/>
      <c r="C8" t="s">
        <v>3511</v>
      </c>
      <c r="G8" t="s">
        <v>35</v>
      </c>
      <c r="H8" t="s">
        <v>35</v>
      </c>
      <c r="I8" s="91">
        <v>1</v>
      </c>
    </row>
    <row r="9" spans="1:21">
      <c r="A9" s="73" t="s">
        <v>1017</v>
      </c>
      <c r="B9" s="73"/>
      <c r="C9" t="s">
        <v>3512</v>
      </c>
      <c r="G9" t="s">
        <v>1017</v>
      </c>
      <c r="H9" t="s">
        <v>1018</v>
      </c>
      <c r="I9" s="91">
        <v>0.95</v>
      </c>
    </row>
    <row r="10" spans="1:21">
      <c r="A10" s="73" t="s">
        <v>1022</v>
      </c>
      <c r="B10" s="73"/>
      <c r="C10" t="s">
        <v>3513</v>
      </c>
      <c r="G10" t="s">
        <v>1022</v>
      </c>
      <c r="H10" t="s">
        <v>1022</v>
      </c>
      <c r="I10" s="91">
        <v>1</v>
      </c>
      <c r="S10" s="90"/>
      <c r="T10" s="90"/>
      <c r="U10" s="90"/>
    </row>
    <row r="11" spans="1:21">
      <c r="A11" s="73" t="s">
        <v>1026</v>
      </c>
      <c r="B11" s="73"/>
      <c r="C11" t="s">
        <v>3112</v>
      </c>
      <c r="G11" t="s">
        <v>1026</v>
      </c>
      <c r="H11" t="s">
        <v>1026</v>
      </c>
      <c r="I11" s="91">
        <v>1</v>
      </c>
      <c r="U11" s="91"/>
    </row>
    <row r="12" spans="1:21">
      <c r="A12" s="73" t="s">
        <v>1030</v>
      </c>
      <c r="B12" s="73"/>
      <c r="C12" t="s">
        <v>3514</v>
      </c>
      <c r="G12" t="s">
        <v>1030</v>
      </c>
      <c r="H12" t="s">
        <v>1030</v>
      </c>
      <c r="I12" s="91">
        <v>1</v>
      </c>
      <c r="U12" s="91"/>
    </row>
    <row r="13" spans="1:21">
      <c r="A13" s="73" t="s">
        <v>1035</v>
      </c>
      <c r="B13" s="73"/>
      <c r="C13" t="s">
        <v>3516</v>
      </c>
      <c r="G13" t="s">
        <v>1035</v>
      </c>
      <c r="H13" t="s">
        <v>1036</v>
      </c>
      <c r="I13" s="91">
        <v>1</v>
      </c>
      <c r="U13" s="91"/>
    </row>
    <row r="14" spans="1:21">
      <c r="A14" s="73" t="s">
        <v>1041</v>
      </c>
      <c r="B14" s="73"/>
      <c r="C14" t="s">
        <v>3517</v>
      </c>
      <c r="G14" t="s">
        <v>1041</v>
      </c>
      <c r="H14" t="s">
        <v>2919</v>
      </c>
      <c r="I14" s="91">
        <v>0.56849816849816848</v>
      </c>
      <c r="U14" s="91"/>
    </row>
    <row r="15" spans="1:21">
      <c r="A15" s="73" t="s">
        <v>502</v>
      </c>
      <c r="B15" s="73"/>
      <c r="C15" t="s">
        <v>3518</v>
      </c>
      <c r="G15" t="s">
        <v>502</v>
      </c>
      <c r="H15" t="s">
        <v>502</v>
      </c>
      <c r="I15" s="91">
        <v>1</v>
      </c>
      <c r="U15" s="91"/>
    </row>
    <row r="16" spans="1:21">
      <c r="A16" s="73" t="s">
        <v>71</v>
      </c>
      <c r="B16" s="73"/>
      <c r="C16" t="s">
        <v>3519</v>
      </c>
      <c r="G16" t="s">
        <v>71</v>
      </c>
      <c r="H16" t="s">
        <v>4257</v>
      </c>
      <c r="I16" s="91">
        <v>0.51640211640211642</v>
      </c>
      <c r="U16" s="91"/>
    </row>
    <row r="17" spans="1:21">
      <c r="A17" s="73" t="s">
        <v>1053</v>
      </c>
      <c r="B17" s="73"/>
      <c r="C17" t="s">
        <v>3521</v>
      </c>
      <c r="G17" t="s">
        <v>1053</v>
      </c>
      <c r="H17" t="s">
        <v>1053</v>
      </c>
      <c r="I17" s="91">
        <v>1</v>
      </c>
      <c r="U17" s="91"/>
    </row>
    <row r="18" spans="1:21">
      <c r="A18" s="73" t="s">
        <v>1059</v>
      </c>
      <c r="B18" s="73"/>
      <c r="C18" t="s">
        <v>3522</v>
      </c>
      <c r="G18" t="s">
        <v>1059</v>
      </c>
      <c r="H18" t="s">
        <v>1059</v>
      </c>
      <c r="I18" s="91">
        <v>1</v>
      </c>
      <c r="U18" s="91"/>
    </row>
    <row r="19" spans="1:21">
      <c r="A19" s="73" t="s">
        <v>1063</v>
      </c>
      <c r="B19" s="73"/>
      <c r="C19" t="s">
        <v>3524</v>
      </c>
      <c r="G19" t="s">
        <v>1063</v>
      </c>
      <c r="H19" t="s">
        <v>1063</v>
      </c>
      <c r="I19" s="91">
        <v>1</v>
      </c>
      <c r="U19" s="91"/>
    </row>
    <row r="20" spans="1:21">
      <c r="A20" s="73" t="s">
        <v>52</v>
      </c>
      <c r="B20" s="73"/>
      <c r="C20" t="s">
        <v>3525</v>
      </c>
      <c r="G20" t="s">
        <v>52</v>
      </c>
      <c r="I20" s="91">
        <v>0</v>
      </c>
      <c r="U20" s="91"/>
    </row>
    <row r="21" spans="1:21">
      <c r="A21" s="73" t="s">
        <v>322</v>
      </c>
      <c r="B21" s="73"/>
      <c r="C21" t="s">
        <v>2215</v>
      </c>
      <c r="G21" t="s">
        <v>322</v>
      </c>
      <c r="H21" t="s">
        <v>3811</v>
      </c>
      <c r="I21" s="91">
        <v>0.8928571428571429</v>
      </c>
      <c r="U21" s="91"/>
    </row>
    <row r="22" spans="1:21">
      <c r="A22" s="73" t="s">
        <v>521</v>
      </c>
      <c r="B22" s="73"/>
      <c r="C22" t="s">
        <v>3527</v>
      </c>
      <c r="G22" t="s">
        <v>521</v>
      </c>
      <c r="H22" t="s">
        <v>3955</v>
      </c>
      <c r="I22" s="91">
        <v>0.47982156054194264</v>
      </c>
      <c r="U22" s="91"/>
    </row>
    <row r="23" spans="1:21">
      <c r="A23" s="73" t="s">
        <v>1078</v>
      </c>
      <c r="B23" s="73"/>
      <c r="C23" t="s">
        <v>3528</v>
      </c>
      <c r="G23" t="s">
        <v>1078</v>
      </c>
      <c r="H23" t="s">
        <v>1078</v>
      </c>
      <c r="I23" s="91">
        <v>1</v>
      </c>
      <c r="U23" s="91"/>
    </row>
    <row r="24" spans="1:21">
      <c r="A24" s="73" t="s">
        <v>1082</v>
      </c>
      <c r="B24" s="73"/>
      <c r="C24" t="s">
        <v>3531</v>
      </c>
      <c r="G24" t="s">
        <v>1082</v>
      </c>
      <c r="H24" t="s">
        <v>1082</v>
      </c>
      <c r="I24" s="91">
        <v>1</v>
      </c>
      <c r="U24" s="91"/>
    </row>
    <row r="25" spans="1:21">
      <c r="A25" s="73" t="s">
        <v>1087</v>
      </c>
      <c r="B25" s="73"/>
      <c r="C25" t="s">
        <v>3533</v>
      </c>
      <c r="G25" t="s">
        <v>1087</v>
      </c>
      <c r="H25" t="s">
        <v>1087</v>
      </c>
      <c r="I25" s="91">
        <v>1</v>
      </c>
      <c r="U25" s="91"/>
    </row>
    <row r="26" spans="1:21">
      <c r="A26" s="73" t="s">
        <v>75</v>
      </c>
      <c r="B26" s="73"/>
      <c r="C26" t="s">
        <v>3534</v>
      </c>
      <c r="G26" t="s">
        <v>75</v>
      </c>
      <c r="H26" t="s">
        <v>75</v>
      </c>
      <c r="I26" s="91">
        <v>1</v>
      </c>
      <c r="U26" s="91"/>
    </row>
    <row r="27" spans="1:21">
      <c r="A27" s="73" t="s">
        <v>1094</v>
      </c>
      <c r="B27" s="73"/>
      <c r="C27" t="s">
        <v>3536</v>
      </c>
      <c r="G27" t="s">
        <v>1094</v>
      </c>
      <c r="H27" t="s">
        <v>1094</v>
      </c>
      <c r="I27" s="91">
        <v>1</v>
      </c>
      <c r="U27" s="91"/>
    </row>
    <row r="28" spans="1:21">
      <c r="A28" s="73" t="s">
        <v>1100</v>
      </c>
      <c r="B28" s="73"/>
      <c r="C28" t="s">
        <v>3538</v>
      </c>
      <c r="G28" t="s">
        <v>1100</v>
      </c>
      <c r="H28" t="s">
        <v>4458</v>
      </c>
      <c r="I28" s="91">
        <v>0.95412844036697253</v>
      </c>
      <c r="U28" s="91"/>
    </row>
    <row r="29" spans="1:21">
      <c r="A29" s="73" t="s">
        <v>1105</v>
      </c>
      <c r="B29" s="73"/>
      <c r="C29" t="s">
        <v>3539</v>
      </c>
      <c r="G29" t="s">
        <v>1105</v>
      </c>
      <c r="H29" t="s">
        <v>4587</v>
      </c>
      <c r="I29" s="91">
        <v>0.55880215025140623</v>
      </c>
      <c r="U29" s="91"/>
    </row>
    <row r="30" spans="1:21">
      <c r="A30" s="73" t="s">
        <v>180</v>
      </c>
      <c r="B30" s="73"/>
      <c r="C30" t="s">
        <v>3540</v>
      </c>
      <c r="G30" t="s">
        <v>180</v>
      </c>
      <c r="H30" t="s">
        <v>180</v>
      </c>
      <c r="I30" s="91">
        <v>1</v>
      </c>
      <c r="U30" s="91"/>
    </row>
    <row r="31" spans="1:21">
      <c r="A31" s="73" t="s">
        <v>1114</v>
      </c>
      <c r="B31" s="73"/>
      <c r="C31" t="s">
        <v>3541</v>
      </c>
      <c r="G31" t="s">
        <v>1114</v>
      </c>
      <c r="H31" t="s">
        <v>4311</v>
      </c>
      <c r="I31" s="91">
        <v>0.88436370374670359</v>
      </c>
      <c r="U31" s="91"/>
    </row>
    <row r="32" spans="1:21">
      <c r="A32" s="73" t="s">
        <v>1119</v>
      </c>
      <c r="B32" s="73"/>
      <c r="C32" t="s">
        <v>3542</v>
      </c>
      <c r="G32" t="s">
        <v>1119</v>
      </c>
      <c r="H32" t="s">
        <v>1119</v>
      </c>
      <c r="I32" s="91">
        <v>1</v>
      </c>
      <c r="U32" s="91"/>
    </row>
    <row r="33" spans="1:21">
      <c r="A33" s="73" t="s">
        <v>134</v>
      </c>
      <c r="B33" s="73"/>
      <c r="C33" t="s">
        <v>3543</v>
      </c>
      <c r="G33" t="s">
        <v>134</v>
      </c>
      <c r="H33" t="s">
        <v>134</v>
      </c>
      <c r="I33" s="91">
        <v>1</v>
      </c>
      <c r="U33" s="91"/>
    </row>
    <row r="34" spans="1:21">
      <c r="A34" s="73" t="s">
        <v>1126</v>
      </c>
      <c r="B34" s="73"/>
      <c r="C34" t="s">
        <v>3544</v>
      </c>
      <c r="G34" t="s">
        <v>1126</v>
      </c>
      <c r="H34" t="s">
        <v>380</v>
      </c>
      <c r="I34" s="91">
        <v>0.44890002571148652</v>
      </c>
      <c r="U34" s="91"/>
    </row>
    <row r="35" spans="1:21">
      <c r="A35" s="73" t="s">
        <v>1131</v>
      </c>
      <c r="B35" s="73"/>
      <c r="C35" t="s">
        <v>3545</v>
      </c>
      <c r="G35" t="s">
        <v>1131</v>
      </c>
      <c r="H35" t="s">
        <v>4312</v>
      </c>
      <c r="I35" s="91">
        <v>0.63740765432173252</v>
      </c>
      <c r="U35" s="91"/>
    </row>
    <row r="36" spans="1:21">
      <c r="A36" s="73" t="s">
        <v>1137</v>
      </c>
      <c r="B36" s="73"/>
      <c r="C36" t="s">
        <v>3547</v>
      </c>
      <c r="G36" t="s">
        <v>1137</v>
      </c>
      <c r="H36" t="s">
        <v>3834</v>
      </c>
      <c r="I36" s="91">
        <v>0.51231527093596063</v>
      </c>
      <c r="U36" s="91"/>
    </row>
    <row r="37" spans="1:21">
      <c r="A37" s="73" t="s">
        <v>1143</v>
      </c>
      <c r="B37" s="73"/>
      <c r="C37" t="s">
        <v>3548</v>
      </c>
      <c r="G37" t="s">
        <v>1143</v>
      </c>
      <c r="H37" t="s">
        <v>1143</v>
      </c>
      <c r="I37" s="91">
        <v>1</v>
      </c>
      <c r="U37" s="91"/>
    </row>
    <row r="38" spans="1:21">
      <c r="A38" s="73" t="s">
        <v>1147</v>
      </c>
      <c r="B38" s="73"/>
      <c r="C38" t="s">
        <v>3550</v>
      </c>
      <c r="G38" t="s">
        <v>1147</v>
      </c>
      <c r="H38" t="s">
        <v>1147</v>
      </c>
      <c r="I38" s="91">
        <v>1</v>
      </c>
      <c r="U38" s="91"/>
    </row>
    <row r="39" spans="1:21">
      <c r="A39" s="73" t="s">
        <v>250</v>
      </c>
      <c r="B39" s="73"/>
      <c r="C39" t="s">
        <v>3551</v>
      </c>
      <c r="G39" t="s">
        <v>250</v>
      </c>
      <c r="H39" t="s">
        <v>250</v>
      </c>
      <c r="I39" s="91">
        <v>1</v>
      </c>
      <c r="U39" s="91"/>
    </row>
    <row r="40" spans="1:21">
      <c r="A40" s="73" t="s">
        <v>1155</v>
      </c>
      <c r="B40" s="73"/>
      <c r="C40" t="s">
        <v>3552</v>
      </c>
      <c r="G40" t="s">
        <v>1155</v>
      </c>
      <c r="H40" t="s">
        <v>1155</v>
      </c>
      <c r="I40" s="91">
        <v>1</v>
      </c>
      <c r="U40" s="91"/>
    </row>
    <row r="41" spans="1:21">
      <c r="A41" s="73" t="s">
        <v>1159</v>
      </c>
      <c r="B41" s="73"/>
      <c r="C41" t="s">
        <v>3156</v>
      </c>
      <c r="G41" t="s">
        <v>1159</v>
      </c>
      <c r="H41" t="s">
        <v>1159</v>
      </c>
      <c r="I41" s="91">
        <v>1</v>
      </c>
      <c r="U41" s="91"/>
    </row>
    <row r="42" spans="1:21">
      <c r="A42" s="73" t="s">
        <v>1163</v>
      </c>
      <c r="B42" s="73"/>
      <c r="C42" t="s">
        <v>3553</v>
      </c>
      <c r="G42" t="s">
        <v>1163</v>
      </c>
      <c r="H42" t="s">
        <v>4848</v>
      </c>
      <c r="I42" s="91">
        <v>0.95238095238095233</v>
      </c>
      <c r="U42" s="91"/>
    </row>
    <row r="43" spans="1:21">
      <c r="A43" s="73" t="s">
        <v>629</v>
      </c>
      <c r="B43" s="73"/>
      <c r="C43" t="s">
        <v>3554</v>
      </c>
      <c r="G43" t="s">
        <v>629</v>
      </c>
      <c r="H43" t="s">
        <v>629</v>
      </c>
      <c r="I43" s="91">
        <v>1</v>
      </c>
      <c r="U43" s="91"/>
    </row>
    <row r="44" spans="1:21">
      <c r="A44" s="73" t="s">
        <v>1171</v>
      </c>
      <c r="B44" s="73"/>
      <c r="C44" t="s">
        <v>3556</v>
      </c>
      <c r="G44" t="s">
        <v>1171</v>
      </c>
      <c r="H44" t="s">
        <v>1171</v>
      </c>
      <c r="I44" s="91">
        <v>1</v>
      </c>
      <c r="U44" s="91"/>
    </row>
    <row r="45" spans="1:21">
      <c r="A45" s="73" t="s">
        <v>1175</v>
      </c>
      <c r="B45" s="73"/>
      <c r="C45" t="s">
        <v>3557</v>
      </c>
      <c r="G45" t="s">
        <v>1175</v>
      </c>
      <c r="H45" t="s">
        <v>4220</v>
      </c>
      <c r="I45" s="91">
        <v>0.52046780821834226</v>
      </c>
      <c r="U45" s="91"/>
    </row>
    <row r="46" spans="1:21">
      <c r="A46" s="73" t="s">
        <v>152</v>
      </c>
      <c r="B46" s="73"/>
      <c r="C46" t="s">
        <v>3558</v>
      </c>
      <c r="G46" t="s">
        <v>152</v>
      </c>
      <c r="H46" t="s">
        <v>3959</v>
      </c>
      <c r="I46" s="91">
        <v>0.37744826248982588</v>
      </c>
      <c r="U46" s="91"/>
    </row>
    <row r="47" spans="1:21">
      <c r="A47" s="73" t="s">
        <v>1182</v>
      </c>
      <c r="B47" s="73"/>
      <c r="C47" t="s">
        <v>3559</v>
      </c>
      <c r="G47" t="s">
        <v>1182</v>
      </c>
      <c r="H47" t="s">
        <v>209</v>
      </c>
      <c r="I47" s="91">
        <v>0.94736842105263164</v>
      </c>
      <c r="U47" s="91"/>
    </row>
    <row r="48" spans="1:21">
      <c r="A48" s="73" t="s">
        <v>255</v>
      </c>
      <c r="B48" s="73"/>
      <c r="C48" t="s">
        <v>2315</v>
      </c>
      <c r="G48" t="s">
        <v>255</v>
      </c>
      <c r="H48" t="s">
        <v>3940</v>
      </c>
      <c r="I48" s="91">
        <v>0.83575294934073563</v>
      </c>
      <c r="U48" s="91"/>
    </row>
    <row r="49" spans="1:21">
      <c r="A49" s="73" t="s">
        <v>1189</v>
      </c>
      <c r="B49" s="73"/>
      <c r="C49" t="s">
        <v>3560</v>
      </c>
      <c r="G49" t="s">
        <v>1189</v>
      </c>
      <c r="H49" t="s">
        <v>1189</v>
      </c>
      <c r="I49" s="91">
        <v>1</v>
      </c>
      <c r="U49" s="91"/>
    </row>
    <row r="50" spans="1:21">
      <c r="A50" s="73" t="s">
        <v>1193</v>
      </c>
      <c r="B50" s="73"/>
      <c r="C50" t="s">
        <v>3561</v>
      </c>
      <c r="G50" t="s">
        <v>1193</v>
      </c>
      <c r="H50" t="s">
        <v>680</v>
      </c>
      <c r="I50" s="91">
        <v>0.51892756205372936</v>
      </c>
      <c r="U50" s="91"/>
    </row>
    <row r="51" spans="1:21">
      <c r="A51" s="73" t="s">
        <v>1197</v>
      </c>
      <c r="B51" s="73"/>
      <c r="C51" t="s">
        <v>3562</v>
      </c>
      <c r="G51" t="s">
        <v>1197</v>
      </c>
      <c r="H51" t="s">
        <v>1197</v>
      </c>
      <c r="I51" s="91">
        <v>1</v>
      </c>
      <c r="U51" s="91"/>
    </row>
    <row r="52" spans="1:21">
      <c r="A52" s="73" t="s">
        <v>1200</v>
      </c>
      <c r="B52" s="73"/>
      <c r="C52" t="s">
        <v>3563</v>
      </c>
      <c r="G52" t="s">
        <v>1200</v>
      </c>
      <c r="H52" t="s">
        <v>2170</v>
      </c>
      <c r="I52" s="91">
        <v>0.54133333333333333</v>
      </c>
      <c r="U52" s="91"/>
    </row>
    <row r="53" spans="1:21">
      <c r="A53" s="73" t="s">
        <v>115</v>
      </c>
      <c r="B53" s="73"/>
      <c r="C53" t="s">
        <v>2762</v>
      </c>
      <c r="G53" t="s">
        <v>115</v>
      </c>
      <c r="H53" t="s">
        <v>115</v>
      </c>
      <c r="I53" s="91">
        <v>1</v>
      </c>
      <c r="U53" s="91"/>
    </row>
    <row r="54" spans="1:21">
      <c r="A54" s="73" t="s">
        <v>1207</v>
      </c>
      <c r="B54" s="73"/>
      <c r="C54" t="s">
        <v>3565</v>
      </c>
      <c r="G54" t="s">
        <v>1207</v>
      </c>
      <c r="H54" t="s">
        <v>4494</v>
      </c>
      <c r="I54" s="91">
        <v>0.96709863625330461</v>
      </c>
      <c r="U54" s="91"/>
    </row>
    <row r="55" spans="1:21">
      <c r="A55" s="73" t="s">
        <v>1212</v>
      </c>
      <c r="B55" s="73"/>
      <c r="C55" t="s">
        <v>3567</v>
      </c>
      <c r="G55" t="s">
        <v>1212</v>
      </c>
      <c r="H55" t="s">
        <v>4723</v>
      </c>
      <c r="I55" s="91">
        <v>0.55880215025140623</v>
      </c>
      <c r="U55" s="91"/>
    </row>
    <row r="56" spans="1:21">
      <c r="A56" s="73" t="s">
        <v>1217</v>
      </c>
      <c r="B56" s="73"/>
      <c r="C56" t="s">
        <v>1688</v>
      </c>
      <c r="G56" t="s">
        <v>1217</v>
      </c>
      <c r="H56" t="s">
        <v>3676</v>
      </c>
      <c r="I56" s="91">
        <v>0.96674302878258611</v>
      </c>
      <c r="U56" s="91"/>
    </row>
    <row r="57" spans="1:21">
      <c r="A57" s="73" t="s">
        <v>1221</v>
      </c>
      <c r="B57" s="73"/>
      <c r="C57" t="s">
        <v>3568</v>
      </c>
      <c r="G57" t="s">
        <v>1221</v>
      </c>
      <c r="H57" t="s">
        <v>4080</v>
      </c>
      <c r="I57" s="91">
        <v>0.57757915926656189</v>
      </c>
      <c r="U57" s="91"/>
    </row>
    <row r="58" spans="1:21">
      <c r="A58" s="73" t="s">
        <v>1225</v>
      </c>
      <c r="B58" s="73"/>
      <c r="C58" t="s">
        <v>3570</v>
      </c>
      <c r="G58" t="s">
        <v>1225</v>
      </c>
      <c r="H58" t="s">
        <v>1225</v>
      </c>
      <c r="I58" s="91">
        <v>1</v>
      </c>
      <c r="U58" s="91"/>
    </row>
    <row r="59" spans="1:21">
      <c r="A59" s="73" t="s">
        <v>617</v>
      </c>
      <c r="B59" s="73"/>
      <c r="C59" t="s">
        <v>3572</v>
      </c>
      <c r="G59" t="s">
        <v>617</v>
      </c>
      <c r="H59" t="s">
        <v>617</v>
      </c>
      <c r="I59" s="91">
        <v>1</v>
      </c>
      <c r="U59" s="91"/>
    </row>
    <row r="60" spans="1:21">
      <c r="A60" s="73" t="s">
        <v>1232</v>
      </c>
      <c r="B60" s="73"/>
      <c r="C60" t="s">
        <v>3573</v>
      </c>
      <c r="G60" t="s">
        <v>1232</v>
      </c>
      <c r="H60" t="s">
        <v>1232</v>
      </c>
      <c r="I60" s="91">
        <v>1</v>
      </c>
      <c r="U60" s="91"/>
    </row>
    <row r="61" spans="1:21">
      <c r="A61" s="73" t="s">
        <v>1237</v>
      </c>
      <c r="B61" s="73"/>
      <c r="C61" t="s">
        <v>3574</v>
      </c>
      <c r="G61" t="s">
        <v>1237</v>
      </c>
      <c r="H61" t="s">
        <v>1237</v>
      </c>
      <c r="I61" s="91">
        <v>1</v>
      </c>
      <c r="U61" s="91"/>
    </row>
    <row r="62" spans="1:21">
      <c r="A62" s="73" t="s">
        <v>1241</v>
      </c>
      <c r="B62" s="73"/>
      <c r="C62" t="s">
        <v>3575</v>
      </c>
      <c r="G62" t="s">
        <v>1241</v>
      </c>
      <c r="H62" t="s">
        <v>1241</v>
      </c>
      <c r="I62" s="91">
        <v>1</v>
      </c>
      <c r="U62" s="91"/>
    </row>
    <row r="63" spans="1:21">
      <c r="A63" s="73" t="s">
        <v>208</v>
      </c>
      <c r="B63" s="73"/>
      <c r="C63" t="s">
        <v>3576</v>
      </c>
      <c r="G63" t="s">
        <v>208</v>
      </c>
      <c r="H63" t="s">
        <v>4458</v>
      </c>
      <c r="I63" s="91">
        <v>0.52987012987012982</v>
      </c>
      <c r="U63" s="91"/>
    </row>
    <row r="64" spans="1:21">
      <c r="A64" s="73" t="s">
        <v>1248</v>
      </c>
      <c r="B64" s="73"/>
      <c r="C64" t="s">
        <v>3578</v>
      </c>
      <c r="G64" t="s">
        <v>1248</v>
      </c>
      <c r="H64" t="s">
        <v>4921</v>
      </c>
      <c r="I64" s="91">
        <v>0.51401015645079018</v>
      </c>
      <c r="U64" s="91"/>
    </row>
    <row r="65" spans="1:21">
      <c r="A65" s="73" t="s">
        <v>1252</v>
      </c>
      <c r="B65" s="73"/>
      <c r="C65" t="s">
        <v>2539</v>
      </c>
      <c r="G65" t="s">
        <v>1252</v>
      </c>
      <c r="H65" t="s">
        <v>1252</v>
      </c>
      <c r="I65" s="91">
        <v>1</v>
      </c>
      <c r="U65" s="91"/>
    </row>
    <row r="66" spans="1:21">
      <c r="A66" s="73" t="s">
        <v>1254</v>
      </c>
      <c r="B66" s="73"/>
      <c r="C66" t="s">
        <v>3579</v>
      </c>
      <c r="G66" t="s">
        <v>1254</v>
      </c>
      <c r="I66" s="91">
        <v>0</v>
      </c>
      <c r="U66" s="91"/>
    </row>
    <row r="67" spans="1:21">
      <c r="A67" s="73" t="s">
        <v>1258</v>
      </c>
      <c r="B67" s="73"/>
      <c r="C67" t="s">
        <v>1926</v>
      </c>
      <c r="G67" t="s">
        <v>1258</v>
      </c>
      <c r="H67" t="s">
        <v>5058</v>
      </c>
      <c r="I67" s="91">
        <v>0.51500322007852151</v>
      </c>
      <c r="U67" s="91"/>
    </row>
    <row r="68" spans="1:21">
      <c r="A68" s="73" t="s">
        <v>1262</v>
      </c>
      <c r="B68" s="73"/>
      <c r="C68" t="s">
        <v>3580</v>
      </c>
      <c r="G68" t="s">
        <v>1262</v>
      </c>
      <c r="H68" t="s">
        <v>1262</v>
      </c>
      <c r="I68" s="91">
        <v>1</v>
      </c>
      <c r="U68" s="91"/>
    </row>
    <row r="69" spans="1:21">
      <c r="A69" s="73" t="s">
        <v>1266</v>
      </c>
      <c r="B69" s="73"/>
      <c r="C69" t="s">
        <v>3581</v>
      </c>
      <c r="G69" t="s">
        <v>1266</v>
      </c>
      <c r="H69" t="s">
        <v>1266</v>
      </c>
      <c r="I69" s="91">
        <v>1</v>
      </c>
      <c r="U69" s="91"/>
    </row>
    <row r="70" spans="1:21">
      <c r="A70" s="73" t="s">
        <v>1271</v>
      </c>
      <c r="B70" s="73"/>
      <c r="C70" t="s">
        <v>3582</v>
      </c>
      <c r="G70" t="s">
        <v>1271</v>
      </c>
      <c r="H70" t="s">
        <v>4598</v>
      </c>
      <c r="I70" s="91">
        <v>0.55630769230769239</v>
      </c>
      <c r="U70" s="91"/>
    </row>
    <row r="71" spans="1:21">
      <c r="A71" s="73" t="s">
        <v>1276</v>
      </c>
      <c r="B71" s="73"/>
      <c r="C71" t="s">
        <v>1358</v>
      </c>
      <c r="G71" t="s">
        <v>1276</v>
      </c>
      <c r="H71" t="s">
        <v>1276</v>
      </c>
      <c r="I71" s="91">
        <v>1</v>
      </c>
      <c r="U71" s="91"/>
    </row>
    <row r="72" spans="1:21">
      <c r="A72" s="73" t="s">
        <v>1279</v>
      </c>
      <c r="B72" s="73"/>
      <c r="C72" t="s">
        <v>3583</v>
      </c>
      <c r="G72" t="s">
        <v>1279</v>
      </c>
      <c r="H72" t="s">
        <v>1279</v>
      </c>
      <c r="I72" s="91">
        <v>1</v>
      </c>
      <c r="U72" s="91"/>
    </row>
    <row r="73" spans="1:21">
      <c r="A73" s="73" t="s">
        <v>286</v>
      </c>
      <c r="B73" s="73"/>
      <c r="C73" t="s">
        <v>3584</v>
      </c>
      <c r="G73" t="s">
        <v>286</v>
      </c>
      <c r="H73" t="s">
        <v>286</v>
      </c>
      <c r="I73" s="91">
        <v>1</v>
      </c>
      <c r="U73" s="91"/>
    </row>
    <row r="74" spans="1:21">
      <c r="A74" s="73" t="s">
        <v>1284</v>
      </c>
      <c r="B74" s="73"/>
      <c r="C74" t="s">
        <v>3585</v>
      </c>
      <c r="G74" t="s">
        <v>1284</v>
      </c>
      <c r="H74" t="s">
        <v>4742</v>
      </c>
      <c r="I74" s="91">
        <v>0.97166565412854089</v>
      </c>
      <c r="U74" s="91"/>
    </row>
    <row r="75" spans="1:21">
      <c r="A75" s="73" t="s">
        <v>1291</v>
      </c>
      <c r="B75" s="73"/>
      <c r="C75" t="s">
        <v>3586</v>
      </c>
      <c r="G75" t="s">
        <v>1291</v>
      </c>
      <c r="H75" t="s">
        <v>1291</v>
      </c>
      <c r="I75" s="91">
        <v>1</v>
      </c>
      <c r="U75" s="91"/>
    </row>
    <row r="76" spans="1:21">
      <c r="A76" s="73" t="s">
        <v>1295</v>
      </c>
      <c r="B76" s="73"/>
      <c r="C76" t="s">
        <v>3587</v>
      </c>
      <c r="G76" t="s">
        <v>1295</v>
      </c>
      <c r="H76" t="s">
        <v>1295</v>
      </c>
      <c r="I76" s="91">
        <v>1</v>
      </c>
      <c r="U76" s="91"/>
    </row>
    <row r="77" spans="1:21">
      <c r="A77" s="73" t="s">
        <v>210</v>
      </c>
      <c r="B77" s="73"/>
      <c r="C77" t="s">
        <v>3588</v>
      </c>
      <c r="G77" t="s">
        <v>210</v>
      </c>
      <c r="H77" t="s">
        <v>210</v>
      </c>
      <c r="I77" s="91">
        <v>1</v>
      </c>
      <c r="U77" s="91"/>
    </row>
    <row r="78" spans="1:21">
      <c r="A78" s="73" t="s">
        <v>240</v>
      </c>
      <c r="B78" s="73"/>
      <c r="C78" t="s">
        <v>3589</v>
      </c>
      <c r="G78" t="s">
        <v>240</v>
      </c>
      <c r="H78" t="s">
        <v>240</v>
      </c>
      <c r="I78" s="91">
        <v>1</v>
      </c>
      <c r="U78" s="91"/>
    </row>
    <row r="79" spans="1:21">
      <c r="A79" s="73" t="s">
        <v>1306</v>
      </c>
      <c r="B79" s="73"/>
      <c r="C79" t="s">
        <v>1782</v>
      </c>
      <c r="G79" t="s">
        <v>1306</v>
      </c>
      <c r="H79" t="s">
        <v>4937</v>
      </c>
      <c r="I79" s="91">
        <v>0.50695187165775402</v>
      </c>
      <c r="U79" s="91"/>
    </row>
    <row r="80" spans="1:21">
      <c r="A80" s="73" t="s">
        <v>1310</v>
      </c>
      <c r="B80" s="73"/>
      <c r="C80" t="s">
        <v>74</v>
      </c>
      <c r="G80" t="s">
        <v>1310</v>
      </c>
      <c r="H80" t="s">
        <v>5171</v>
      </c>
      <c r="I80" s="91">
        <v>0.51271279776503087</v>
      </c>
      <c r="U80" s="91"/>
    </row>
    <row r="81" spans="1:21">
      <c r="A81" s="73" t="s">
        <v>344</v>
      </c>
      <c r="B81" s="73"/>
      <c r="C81" t="s">
        <v>3590</v>
      </c>
      <c r="G81" t="s">
        <v>344</v>
      </c>
      <c r="H81" t="s">
        <v>344</v>
      </c>
      <c r="I81" s="91">
        <v>1</v>
      </c>
      <c r="U81" s="91"/>
    </row>
    <row r="82" spans="1:21">
      <c r="A82" s="73" t="s">
        <v>155</v>
      </c>
      <c r="B82" s="73"/>
      <c r="C82" t="s">
        <v>1945</v>
      </c>
      <c r="G82" t="s">
        <v>155</v>
      </c>
      <c r="H82" t="s">
        <v>155</v>
      </c>
      <c r="I82" s="91">
        <v>1</v>
      </c>
      <c r="U82" s="91"/>
    </row>
    <row r="83" spans="1:21">
      <c r="A83" s="73" t="s">
        <v>379</v>
      </c>
      <c r="B83" s="73"/>
      <c r="C83" t="s">
        <v>3591</v>
      </c>
      <c r="G83" t="s">
        <v>379</v>
      </c>
      <c r="H83" t="s">
        <v>379</v>
      </c>
      <c r="I83" s="91">
        <v>1</v>
      </c>
      <c r="U83" s="91"/>
    </row>
    <row r="84" spans="1:21">
      <c r="A84" s="73" t="s">
        <v>1323</v>
      </c>
      <c r="B84" s="73"/>
      <c r="C84" t="s">
        <v>3593</v>
      </c>
      <c r="G84" t="s">
        <v>1323</v>
      </c>
      <c r="H84" t="s">
        <v>4313</v>
      </c>
      <c r="I84" s="91">
        <v>1</v>
      </c>
      <c r="U84" s="91"/>
    </row>
    <row r="85" spans="1:21">
      <c r="A85" s="73" t="s">
        <v>657</v>
      </c>
      <c r="B85" s="73"/>
      <c r="C85" t="s">
        <v>3594</v>
      </c>
      <c r="G85" t="s">
        <v>657</v>
      </c>
      <c r="H85" t="s">
        <v>657</v>
      </c>
      <c r="I85" s="91">
        <v>1</v>
      </c>
      <c r="U85" s="91"/>
    </row>
    <row r="86" spans="1:21">
      <c r="A86" s="73" t="s">
        <v>687</v>
      </c>
      <c r="B86" s="73"/>
      <c r="C86" t="s">
        <v>2855</v>
      </c>
      <c r="G86" t="s">
        <v>687</v>
      </c>
      <c r="H86" t="s">
        <v>510</v>
      </c>
      <c r="I86" s="91">
        <v>0.90666666666666673</v>
      </c>
      <c r="U86" s="91"/>
    </row>
    <row r="87" spans="1:21">
      <c r="A87" s="73" t="s">
        <v>359</v>
      </c>
      <c r="B87" s="73"/>
      <c r="C87" t="s">
        <v>3595</v>
      </c>
      <c r="G87" t="s">
        <v>359</v>
      </c>
      <c r="H87" t="s">
        <v>359</v>
      </c>
      <c r="I87" s="91">
        <v>1</v>
      </c>
      <c r="U87" s="91"/>
    </row>
    <row r="88" spans="1:21">
      <c r="A88" s="73" t="s">
        <v>1333</v>
      </c>
      <c r="B88" s="73"/>
      <c r="C88" t="s">
        <v>3596</v>
      </c>
      <c r="G88" t="s">
        <v>1333</v>
      </c>
      <c r="H88" t="s">
        <v>1333</v>
      </c>
      <c r="I88" s="91">
        <v>1</v>
      </c>
      <c r="U88" s="91"/>
    </row>
    <row r="89" spans="1:21">
      <c r="A89" s="73" t="s">
        <v>1337</v>
      </c>
      <c r="B89" s="73"/>
      <c r="C89" t="s">
        <v>3598</v>
      </c>
      <c r="G89" t="s">
        <v>1337</v>
      </c>
      <c r="H89" t="s">
        <v>4706</v>
      </c>
      <c r="I89" s="91">
        <v>0.97575711945954535</v>
      </c>
      <c r="U89" s="91"/>
    </row>
    <row r="90" spans="1:21">
      <c r="A90" s="73" t="s">
        <v>38</v>
      </c>
      <c r="B90" s="73"/>
      <c r="C90" t="s">
        <v>3600</v>
      </c>
      <c r="G90" t="s">
        <v>38</v>
      </c>
      <c r="H90" t="s">
        <v>4996</v>
      </c>
      <c r="I90" s="91">
        <v>0.44890002571148652</v>
      </c>
      <c r="U90" s="91"/>
    </row>
    <row r="91" spans="1:21">
      <c r="A91" s="73" t="s">
        <v>1345</v>
      </c>
      <c r="B91" s="73"/>
      <c r="C91" t="s">
        <v>3601</v>
      </c>
      <c r="G91" t="s">
        <v>1345</v>
      </c>
      <c r="H91" t="s">
        <v>1345</v>
      </c>
      <c r="I91" s="91">
        <v>1</v>
      </c>
      <c r="U91" s="91"/>
    </row>
    <row r="92" spans="1:21">
      <c r="A92" s="73" t="s">
        <v>1349</v>
      </c>
      <c r="B92" s="73"/>
      <c r="C92" t="s">
        <v>3603</v>
      </c>
      <c r="G92" t="s">
        <v>1349</v>
      </c>
      <c r="H92" t="s">
        <v>4530</v>
      </c>
      <c r="I92" s="91">
        <v>0.98191871402957587</v>
      </c>
      <c r="U92" s="91"/>
    </row>
    <row r="93" spans="1:21">
      <c r="A93" s="73" t="s">
        <v>1354</v>
      </c>
      <c r="B93" s="73"/>
      <c r="C93" t="s">
        <v>3604</v>
      </c>
      <c r="G93" t="s">
        <v>1354</v>
      </c>
      <c r="H93" t="s">
        <v>1354</v>
      </c>
      <c r="I93" s="91">
        <v>1</v>
      </c>
      <c r="U93" s="91"/>
    </row>
    <row r="94" spans="1:21">
      <c r="A94" s="73" t="s">
        <v>1358</v>
      </c>
      <c r="B94" s="73"/>
      <c r="C94" t="s">
        <v>3605</v>
      </c>
      <c r="G94" t="s">
        <v>1358</v>
      </c>
      <c r="H94" t="s">
        <v>1358</v>
      </c>
      <c r="I94" s="91">
        <v>1</v>
      </c>
      <c r="U94" s="91"/>
    </row>
    <row r="95" spans="1:21">
      <c r="A95" s="73" t="s">
        <v>1361</v>
      </c>
      <c r="B95" s="73"/>
      <c r="C95" t="s">
        <v>3606</v>
      </c>
      <c r="G95" t="s">
        <v>1361</v>
      </c>
      <c r="H95" t="s">
        <v>1361</v>
      </c>
      <c r="I95" s="91">
        <v>1</v>
      </c>
      <c r="U95" s="91"/>
    </row>
    <row r="96" spans="1:21">
      <c r="A96" s="73" t="s">
        <v>1365</v>
      </c>
      <c r="B96" s="73"/>
      <c r="C96" t="s">
        <v>3607</v>
      </c>
      <c r="G96" t="s">
        <v>1365</v>
      </c>
      <c r="H96" t="s">
        <v>4519</v>
      </c>
      <c r="I96" s="91">
        <v>0.54035087719298247</v>
      </c>
      <c r="U96" s="91"/>
    </row>
    <row r="97" spans="1:21">
      <c r="A97" s="73" t="s">
        <v>138</v>
      </c>
      <c r="B97" s="73"/>
      <c r="C97" t="s">
        <v>3608</v>
      </c>
      <c r="G97" t="s">
        <v>138</v>
      </c>
      <c r="H97" t="s">
        <v>138</v>
      </c>
      <c r="I97" s="91">
        <v>1</v>
      </c>
      <c r="U97" s="91"/>
    </row>
    <row r="98" spans="1:21">
      <c r="A98" s="73" t="s">
        <v>1372</v>
      </c>
      <c r="B98" s="73"/>
      <c r="C98" t="s">
        <v>3609</v>
      </c>
      <c r="G98" t="s">
        <v>1372</v>
      </c>
      <c r="H98" t="s">
        <v>1372</v>
      </c>
      <c r="I98" s="91">
        <v>1</v>
      </c>
      <c r="U98" s="91"/>
    </row>
    <row r="99" spans="1:21">
      <c r="A99" s="73" t="s">
        <v>1376</v>
      </c>
      <c r="B99" s="73"/>
      <c r="C99" t="s">
        <v>3610</v>
      </c>
      <c r="G99" t="s">
        <v>1376</v>
      </c>
      <c r="H99" t="s">
        <v>1376</v>
      </c>
      <c r="I99" s="91">
        <v>1</v>
      </c>
      <c r="U99" s="91"/>
    </row>
    <row r="100" spans="1:21">
      <c r="A100" s="73" t="s">
        <v>297</v>
      </c>
      <c r="B100" s="73"/>
      <c r="C100" t="s">
        <v>3611</v>
      </c>
      <c r="G100" t="s">
        <v>297</v>
      </c>
      <c r="H100" t="s">
        <v>297</v>
      </c>
      <c r="I100" s="91">
        <v>1</v>
      </c>
      <c r="U100" s="91"/>
    </row>
    <row r="101" spans="1:21">
      <c r="A101" s="73" t="s">
        <v>45</v>
      </c>
      <c r="B101" s="73"/>
      <c r="C101" t="s">
        <v>3612</v>
      </c>
      <c r="G101" t="s">
        <v>45</v>
      </c>
      <c r="H101" t="s">
        <v>45</v>
      </c>
      <c r="I101" s="91">
        <v>1</v>
      </c>
      <c r="U101" s="91"/>
    </row>
    <row r="102" spans="1:21">
      <c r="A102" s="73" t="s">
        <v>150</v>
      </c>
      <c r="B102" s="73"/>
      <c r="C102" t="s">
        <v>3613</v>
      </c>
      <c r="G102" t="s">
        <v>150</v>
      </c>
      <c r="H102" t="s">
        <v>150</v>
      </c>
      <c r="I102" s="91">
        <v>1</v>
      </c>
      <c r="U102" s="91"/>
    </row>
    <row r="103" spans="1:21">
      <c r="A103" s="73" t="s">
        <v>407</v>
      </c>
      <c r="B103" s="73"/>
      <c r="C103" t="s">
        <v>3614</v>
      </c>
      <c r="G103" t="s">
        <v>407</v>
      </c>
      <c r="H103" t="s">
        <v>407</v>
      </c>
      <c r="I103" s="91">
        <v>1</v>
      </c>
      <c r="U103" s="91"/>
    </row>
    <row r="104" spans="1:21">
      <c r="A104" s="73" t="s">
        <v>1394</v>
      </c>
      <c r="B104" s="73"/>
      <c r="C104" t="s">
        <v>3616</v>
      </c>
      <c r="G104" t="s">
        <v>1394</v>
      </c>
      <c r="H104" t="s">
        <v>1394</v>
      </c>
      <c r="I104" s="91">
        <v>1</v>
      </c>
      <c r="U104" s="91"/>
    </row>
    <row r="105" spans="1:21">
      <c r="A105" s="73" t="s">
        <v>1399</v>
      </c>
      <c r="B105" s="73"/>
      <c r="C105" t="s">
        <v>3617</v>
      </c>
      <c r="G105" t="s">
        <v>1399</v>
      </c>
      <c r="H105" t="s">
        <v>1399</v>
      </c>
      <c r="I105" s="91">
        <v>1</v>
      </c>
      <c r="U105" s="91"/>
    </row>
    <row r="106" spans="1:21">
      <c r="A106" s="73" t="s">
        <v>1403</v>
      </c>
      <c r="B106" s="73"/>
      <c r="C106" t="s">
        <v>3619</v>
      </c>
      <c r="G106" t="s">
        <v>1403</v>
      </c>
      <c r="H106" t="s">
        <v>3898</v>
      </c>
      <c r="I106" s="91">
        <v>0.56849816849816848</v>
      </c>
      <c r="U106" s="91"/>
    </row>
    <row r="107" spans="1:21">
      <c r="A107" s="73" t="s">
        <v>1406</v>
      </c>
      <c r="B107" s="73"/>
      <c r="C107" t="s">
        <v>3620</v>
      </c>
      <c r="G107" t="s">
        <v>1406</v>
      </c>
      <c r="H107" t="s">
        <v>1406</v>
      </c>
      <c r="I107" s="91">
        <v>1</v>
      </c>
      <c r="U107" s="91"/>
    </row>
    <row r="108" spans="1:21">
      <c r="A108" s="73" t="s">
        <v>1410</v>
      </c>
      <c r="B108" s="73"/>
      <c r="C108" t="s">
        <v>3621</v>
      </c>
      <c r="G108" t="s">
        <v>1410</v>
      </c>
      <c r="H108" t="s">
        <v>1410</v>
      </c>
      <c r="I108" s="91">
        <v>1</v>
      </c>
      <c r="U108" s="91"/>
    </row>
    <row r="109" spans="1:21">
      <c r="A109" s="73" t="s">
        <v>1414</v>
      </c>
      <c r="B109" s="73"/>
      <c r="C109" t="s">
        <v>3622</v>
      </c>
      <c r="G109" t="s">
        <v>1414</v>
      </c>
      <c r="H109" t="s">
        <v>4081</v>
      </c>
      <c r="I109" s="91">
        <v>0.52201592506585448</v>
      </c>
      <c r="U109" s="91"/>
    </row>
    <row r="110" spans="1:21">
      <c r="A110" s="73" t="s">
        <v>103</v>
      </c>
      <c r="B110" s="73"/>
      <c r="C110" t="s">
        <v>3623</v>
      </c>
      <c r="G110" t="s">
        <v>103</v>
      </c>
      <c r="H110" t="s">
        <v>103</v>
      </c>
      <c r="I110" s="91">
        <v>1</v>
      </c>
      <c r="U110" s="91"/>
    </row>
    <row r="111" spans="1:21">
      <c r="A111" s="73" t="s">
        <v>100</v>
      </c>
      <c r="B111" s="73"/>
      <c r="C111" t="s">
        <v>633</v>
      </c>
      <c r="G111" t="s">
        <v>100</v>
      </c>
      <c r="H111" t="s">
        <v>4430</v>
      </c>
      <c r="I111" s="91">
        <v>0.54730052821795949</v>
      </c>
      <c r="U111" s="91"/>
    </row>
    <row r="112" spans="1:21">
      <c r="A112" s="73" t="s">
        <v>301</v>
      </c>
      <c r="B112" s="73"/>
      <c r="C112" t="s">
        <v>3625</v>
      </c>
      <c r="G112" t="s">
        <v>301</v>
      </c>
      <c r="H112" t="s">
        <v>301</v>
      </c>
      <c r="I112" s="91">
        <v>1</v>
      </c>
      <c r="U112" s="91"/>
    </row>
    <row r="113" spans="1:21">
      <c r="A113" s="73" t="s">
        <v>67</v>
      </c>
      <c r="B113" s="73"/>
      <c r="C113" t="s">
        <v>3626</v>
      </c>
      <c r="G113" t="s">
        <v>67</v>
      </c>
      <c r="H113" t="s">
        <v>67</v>
      </c>
      <c r="I113" s="91">
        <v>1</v>
      </c>
      <c r="U113" s="91"/>
    </row>
    <row r="114" spans="1:21">
      <c r="A114" s="73" t="s">
        <v>1429</v>
      </c>
      <c r="B114" s="73"/>
      <c r="C114" t="s">
        <v>1036</v>
      </c>
      <c r="G114" t="s">
        <v>1429</v>
      </c>
      <c r="H114" t="s">
        <v>1429</v>
      </c>
      <c r="I114" s="91">
        <v>1</v>
      </c>
      <c r="U114" s="91"/>
    </row>
    <row r="115" spans="1:21">
      <c r="A115" s="73" t="s">
        <v>1433</v>
      </c>
      <c r="B115" s="73"/>
      <c r="C115" t="s">
        <v>3628</v>
      </c>
      <c r="G115" t="s">
        <v>1433</v>
      </c>
      <c r="H115" t="s">
        <v>3543</v>
      </c>
      <c r="I115" s="91">
        <v>0.53333333333333333</v>
      </c>
      <c r="U115" s="91"/>
    </row>
    <row r="116" spans="1:21">
      <c r="A116" s="73" t="s">
        <v>49</v>
      </c>
      <c r="B116" s="73"/>
      <c r="C116" t="s">
        <v>3629</v>
      </c>
      <c r="G116" t="s">
        <v>49</v>
      </c>
      <c r="H116" t="s">
        <v>49</v>
      </c>
      <c r="I116" s="91">
        <v>1</v>
      </c>
      <c r="U116" s="91"/>
    </row>
    <row r="117" spans="1:21">
      <c r="A117" s="73" t="s">
        <v>1441</v>
      </c>
      <c r="B117" s="73"/>
      <c r="C117" t="s">
        <v>3630</v>
      </c>
      <c r="G117" t="s">
        <v>1441</v>
      </c>
      <c r="H117" t="s">
        <v>4310</v>
      </c>
      <c r="I117" s="91">
        <v>1</v>
      </c>
      <c r="U117" s="91"/>
    </row>
    <row r="118" spans="1:21">
      <c r="A118" s="73" t="s">
        <v>1445</v>
      </c>
      <c r="B118" s="73"/>
      <c r="C118" t="s">
        <v>3631</v>
      </c>
      <c r="G118" t="s">
        <v>1445</v>
      </c>
      <c r="H118" t="s">
        <v>4716</v>
      </c>
      <c r="I118" s="91">
        <v>0.92397050083565746</v>
      </c>
      <c r="U118" s="91"/>
    </row>
    <row r="119" spans="1:21">
      <c r="A119" s="73" t="s">
        <v>1449</v>
      </c>
      <c r="B119" s="73"/>
      <c r="C119" t="s">
        <v>3633</v>
      </c>
      <c r="G119" t="s">
        <v>1449</v>
      </c>
      <c r="H119" t="s">
        <v>4160</v>
      </c>
      <c r="I119" s="91">
        <v>0.97965522683831441</v>
      </c>
      <c r="U119" s="91"/>
    </row>
    <row r="120" spans="1:21">
      <c r="A120" s="73" t="s">
        <v>1454</v>
      </c>
      <c r="B120" s="73"/>
      <c r="C120" t="s">
        <v>3634</v>
      </c>
      <c r="G120" t="s">
        <v>1454</v>
      </c>
      <c r="H120" t="s">
        <v>4341</v>
      </c>
      <c r="I120" s="91">
        <v>0.50450450450450457</v>
      </c>
      <c r="U120" s="91"/>
    </row>
    <row r="121" spans="1:21">
      <c r="A121" s="73" t="s">
        <v>1459</v>
      </c>
      <c r="B121" s="73"/>
      <c r="C121" t="s">
        <v>3635</v>
      </c>
      <c r="G121" t="s">
        <v>1459</v>
      </c>
      <c r="H121" t="s">
        <v>4884</v>
      </c>
      <c r="I121" s="91">
        <v>0.50285714285714289</v>
      </c>
      <c r="U121" s="91"/>
    </row>
    <row r="122" spans="1:21">
      <c r="A122" s="73" t="s">
        <v>1464</v>
      </c>
      <c r="B122" s="73"/>
      <c r="C122" t="s">
        <v>3636</v>
      </c>
      <c r="G122" t="s">
        <v>1464</v>
      </c>
      <c r="H122" t="s">
        <v>4866</v>
      </c>
      <c r="I122" s="91">
        <v>0.82995123652525871</v>
      </c>
      <c r="U122" s="91"/>
    </row>
    <row r="123" spans="1:21">
      <c r="A123" s="73" t="s">
        <v>1469</v>
      </c>
      <c r="B123" s="73"/>
      <c r="C123" t="s">
        <v>3637</v>
      </c>
      <c r="G123" t="s">
        <v>1469</v>
      </c>
      <c r="H123" t="s">
        <v>3644</v>
      </c>
      <c r="I123" s="91">
        <v>0.91915338893579535</v>
      </c>
      <c r="U123" s="91"/>
    </row>
    <row r="124" spans="1:21">
      <c r="A124" s="73" t="s">
        <v>266</v>
      </c>
      <c r="B124" s="73"/>
      <c r="C124" t="s">
        <v>3638</v>
      </c>
      <c r="G124" t="s">
        <v>266</v>
      </c>
      <c r="H124" t="s">
        <v>266</v>
      </c>
      <c r="I124" s="91">
        <v>1</v>
      </c>
      <c r="U124" s="91"/>
    </row>
    <row r="125" spans="1:21">
      <c r="A125" s="73" t="s">
        <v>1477</v>
      </c>
      <c r="B125" s="73"/>
      <c r="C125" t="s">
        <v>3639</v>
      </c>
      <c r="G125" t="s">
        <v>1477</v>
      </c>
      <c r="H125" t="s">
        <v>3778</v>
      </c>
      <c r="I125" s="91">
        <v>0.49166091402976425</v>
      </c>
      <c r="U125" s="91"/>
    </row>
    <row r="126" spans="1:21">
      <c r="A126" s="73" t="s">
        <v>1481</v>
      </c>
      <c r="B126" s="73"/>
      <c r="C126" t="s">
        <v>3640</v>
      </c>
      <c r="G126" t="s">
        <v>1481</v>
      </c>
      <c r="H126" t="s">
        <v>1481</v>
      </c>
      <c r="I126" s="91">
        <v>1</v>
      </c>
      <c r="U126" s="91"/>
    </row>
    <row r="127" spans="1:21">
      <c r="A127" s="73" t="s">
        <v>1485</v>
      </c>
      <c r="B127" s="73"/>
      <c r="C127" t="s">
        <v>3641</v>
      </c>
      <c r="G127" t="s">
        <v>1485</v>
      </c>
      <c r="H127" t="s">
        <v>4340</v>
      </c>
      <c r="I127" s="91">
        <v>0.8904695748819117</v>
      </c>
      <c r="U127" s="91"/>
    </row>
    <row r="128" spans="1:21">
      <c r="A128" s="73" t="s">
        <v>1490</v>
      </c>
      <c r="B128" s="73"/>
      <c r="C128" t="s">
        <v>3642</v>
      </c>
      <c r="G128" t="s">
        <v>1490</v>
      </c>
      <c r="H128" t="s">
        <v>4057</v>
      </c>
      <c r="I128" s="91">
        <v>0.89896566444246095</v>
      </c>
      <c r="U128" s="91"/>
    </row>
    <row r="129" spans="1:21">
      <c r="A129" s="73" t="s">
        <v>1495</v>
      </c>
      <c r="B129" s="73"/>
      <c r="C129" t="s">
        <v>3643</v>
      </c>
      <c r="G129" t="s">
        <v>1495</v>
      </c>
      <c r="H129" t="s">
        <v>1495</v>
      </c>
      <c r="I129" s="91">
        <v>1</v>
      </c>
      <c r="U129" s="91"/>
    </row>
    <row r="130" spans="1:21">
      <c r="A130" s="73" t="s">
        <v>1499</v>
      </c>
      <c r="B130" s="73"/>
      <c r="C130" t="s">
        <v>3644</v>
      </c>
      <c r="G130" t="s">
        <v>1499</v>
      </c>
      <c r="H130" t="s">
        <v>1499</v>
      </c>
      <c r="I130" s="91">
        <v>1</v>
      </c>
      <c r="U130" s="91"/>
    </row>
    <row r="131" spans="1:21">
      <c r="A131" s="73" t="s">
        <v>1504</v>
      </c>
      <c r="B131" s="73"/>
      <c r="C131" t="s">
        <v>3645</v>
      </c>
      <c r="G131" t="s">
        <v>1504</v>
      </c>
      <c r="H131" t="s">
        <v>3838</v>
      </c>
      <c r="I131" s="91">
        <v>0.97965522683831441</v>
      </c>
      <c r="U131" s="91"/>
    </row>
    <row r="132" spans="1:21">
      <c r="A132" s="73" t="s">
        <v>239</v>
      </c>
      <c r="B132" s="73"/>
      <c r="C132" t="s">
        <v>1087</v>
      </c>
      <c r="G132" t="s">
        <v>239</v>
      </c>
      <c r="H132" t="s">
        <v>239</v>
      </c>
      <c r="I132" s="91">
        <v>1</v>
      </c>
      <c r="U132" s="91"/>
    </row>
    <row r="133" spans="1:21">
      <c r="A133" s="73" t="s">
        <v>1511</v>
      </c>
      <c r="B133" s="73"/>
      <c r="C133" t="s">
        <v>3646</v>
      </c>
      <c r="G133" t="s">
        <v>1511</v>
      </c>
      <c r="H133" t="s">
        <v>4487</v>
      </c>
      <c r="I133" s="91">
        <v>0.93430186340846633</v>
      </c>
      <c r="U133" s="91"/>
    </row>
    <row r="134" spans="1:21">
      <c r="A134" s="73" t="s">
        <v>1515</v>
      </c>
      <c r="B134" s="73"/>
      <c r="C134" t="s">
        <v>3647</v>
      </c>
      <c r="G134" t="s">
        <v>1515</v>
      </c>
      <c r="H134" t="s">
        <v>4867</v>
      </c>
      <c r="I134" s="91">
        <v>0.88271443417292805</v>
      </c>
      <c r="U134" s="91"/>
    </row>
    <row r="135" spans="1:21">
      <c r="A135" s="73" t="s">
        <v>1520</v>
      </c>
      <c r="B135" s="73"/>
      <c r="C135" t="s">
        <v>3649</v>
      </c>
      <c r="G135" t="s">
        <v>1520</v>
      </c>
      <c r="H135" t="s">
        <v>1520</v>
      </c>
      <c r="I135" s="91">
        <v>1</v>
      </c>
      <c r="U135" s="91"/>
    </row>
    <row r="136" spans="1:21">
      <c r="A136" s="73" t="s">
        <v>43</v>
      </c>
      <c r="B136" s="73"/>
      <c r="C136" t="s">
        <v>185</v>
      </c>
      <c r="G136" t="s">
        <v>43</v>
      </c>
      <c r="H136" t="s">
        <v>43</v>
      </c>
      <c r="I136" s="91">
        <v>1</v>
      </c>
      <c r="U136" s="91"/>
    </row>
    <row r="137" spans="1:21">
      <c r="A137" s="73" t="s">
        <v>1527</v>
      </c>
      <c r="B137" s="73"/>
      <c r="C137" t="s">
        <v>1752</v>
      </c>
      <c r="G137" t="s">
        <v>1527</v>
      </c>
      <c r="H137" t="s">
        <v>4182</v>
      </c>
      <c r="I137" s="91">
        <v>0.98344370860927155</v>
      </c>
      <c r="U137" s="91"/>
    </row>
    <row r="138" spans="1:21">
      <c r="A138" s="73" t="s">
        <v>1532</v>
      </c>
      <c r="B138" s="73"/>
      <c r="C138" t="s">
        <v>2603</v>
      </c>
      <c r="G138" t="s">
        <v>1532</v>
      </c>
      <c r="H138" t="s">
        <v>4842</v>
      </c>
      <c r="I138" s="91">
        <v>0.98907219289563197</v>
      </c>
      <c r="U138" s="91"/>
    </row>
    <row r="139" spans="1:21">
      <c r="A139" s="73" t="s">
        <v>1535</v>
      </c>
      <c r="B139" s="73"/>
      <c r="C139" t="s">
        <v>3650</v>
      </c>
      <c r="G139" t="s">
        <v>1535</v>
      </c>
      <c r="H139" t="s">
        <v>1535</v>
      </c>
      <c r="I139" s="91">
        <v>1</v>
      </c>
      <c r="U139" s="91"/>
    </row>
    <row r="140" spans="1:21">
      <c r="A140" s="73" t="s">
        <v>1540</v>
      </c>
      <c r="B140" s="73"/>
      <c r="C140" t="s">
        <v>3651</v>
      </c>
      <c r="G140" t="s">
        <v>1540</v>
      </c>
      <c r="H140" t="s">
        <v>4331</v>
      </c>
      <c r="I140" s="91">
        <v>0.54777818016357138</v>
      </c>
      <c r="U140" s="91"/>
    </row>
    <row r="141" spans="1:21">
      <c r="A141" s="73" t="s">
        <v>1546</v>
      </c>
      <c r="B141" s="73"/>
      <c r="C141" t="s">
        <v>3652</v>
      </c>
      <c r="G141" t="s">
        <v>1546</v>
      </c>
      <c r="H141" t="s">
        <v>1546</v>
      </c>
      <c r="I141" s="91">
        <v>1</v>
      </c>
      <c r="U141" s="91"/>
    </row>
    <row r="142" spans="1:21">
      <c r="A142" s="73" t="s">
        <v>1550</v>
      </c>
      <c r="B142" s="73"/>
      <c r="C142" t="s">
        <v>3653</v>
      </c>
      <c r="G142" t="s">
        <v>1550</v>
      </c>
      <c r="H142" t="s">
        <v>3812</v>
      </c>
      <c r="I142" s="91">
        <v>0.98191871402957587</v>
      </c>
      <c r="U142" s="91"/>
    </row>
    <row r="143" spans="1:21">
      <c r="A143" s="73" t="s">
        <v>1554</v>
      </c>
      <c r="B143" s="73"/>
      <c r="C143" t="s">
        <v>2876</v>
      </c>
      <c r="G143" t="s">
        <v>1554</v>
      </c>
      <c r="H143" t="s">
        <v>3676</v>
      </c>
      <c r="I143" s="91">
        <v>0.56849816849816848</v>
      </c>
      <c r="U143" s="91"/>
    </row>
    <row r="144" spans="1:21">
      <c r="A144" s="73" t="s">
        <v>1558</v>
      </c>
      <c r="B144" s="73"/>
      <c r="C144" t="s">
        <v>3654</v>
      </c>
      <c r="G144" t="s">
        <v>1558</v>
      </c>
      <c r="H144" t="s">
        <v>1558</v>
      </c>
      <c r="I144" s="91">
        <v>1</v>
      </c>
      <c r="U144" s="91"/>
    </row>
    <row r="145" spans="1:21">
      <c r="A145" s="73" t="s">
        <v>1561</v>
      </c>
      <c r="B145" s="73"/>
      <c r="C145" t="s">
        <v>3655</v>
      </c>
      <c r="G145" t="s">
        <v>1561</v>
      </c>
      <c r="H145" t="s">
        <v>4009</v>
      </c>
      <c r="I145" s="91">
        <v>0.85517241379310349</v>
      </c>
      <c r="U145" s="91"/>
    </row>
    <row r="146" spans="1:21">
      <c r="A146" s="73" t="s">
        <v>1565</v>
      </c>
      <c r="B146" s="73"/>
      <c r="C146" t="s">
        <v>3656</v>
      </c>
      <c r="G146" t="s">
        <v>1565</v>
      </c>
      <c r="H146" t="s">
        <v>1565</v>
      </c>
      <c r="I146" s="91">
        <v>1</v>
      </c>
      <c r="U146" s="91"/>
    </row>
    <row r="147" spans="1:21">
      <c r="A147" s="73" t="s">
        <v>1569</v>
      </c>
      <c r="B147" s="73"/>
      <c r="C147" t="s">
        <v>3657</v>
      </c>
      <c r="G147" t="s">
        <v>1569</v>
      </c>
      <c r="H147" t="s">
        <v>1569</v>
      </c>
      <c r="I147" s="91">
        <v>1</v>
      </c>
      <c r="U147" s="91"/>
    </row>
    <row r="148" spans="1:21">
      <c r="A148" s="73" t="s">
        <v>1573</v>
      </c>
      <c r="B148" s="73"/>
      <c r="C148" t="s">
        <v>3658</v>
      </c>
      <c r="G148" t="s">
        <v>1573</v>
      </c>
      <c r="H148" t="s">
        <v>5075</v>
      </c>
      <c r="I148" s="91">
        <v>0.51116332276090515</v>
      </c>
      <c r="U148" s="91"/>
    </row>
    <row r="149" spans="1:21">
      <c r="A149" s="73" t="s">
        <v>1578</v>
      </c>
      <c r="B149" s="73"/>
      <c r="C149" t="s">
        <v>3659</v>
      </c>
      <c r="G149" t="s">
        <v>1578</v>
      </c>
      <c r="H149" t="s">
        <v>4712</v>
      </c>
      <c r="I149" s="91">
        <v>0.93108199482681109</v>
      </c>
      <c r="U149" s="91"/>
    </row>
    <row r="150" spans="1:21">
      <c r="A150" s="73" t="s">
        <v>1582</v>
      </c>
      <c r="B150" s="73"/>
      <c r="C150" t="s">
        <v>3660</v>
      </c>
      <c r="G150" t="s">
        <v>1582</v>
      </c>
      <c r="H150" t="s">
        <v>1582</v>
      </c>
      <c r="I150" s="91">
        <v>1</v>
      </c>
      <c r="U150" s="91"/>
    </row>
    <row r="151" spans="1:21">
      <c r="A151" s="73" t="s">
        <v>1587</v>
      </c>
      <c r="B151" s="73"/>
      <c r="C151" t="s">
        <v>3661</v>
      </c>
      <c r="G151" t="s">
        <v>1587</v>
      </c>
      <c r="H151" t="s">
        <v>1587</v>
      </c>
      <c r="I151" s="91">
        <v>1</v>
      </c>
      <c r="U151" s="91"/>
    </row>
    <row r="152" spans="1:21">
      <c r="A152" s="73" t="s">
        <v>552</v>
      </c>
      <c r="B152" s="73"/>
      <c r="C152" t="s">
        <v>3662</v>
      </c>
      <c r="G152" t="s">
        <v>552</v>
      </c>
      <c r="H152" t="s">
        <v>3460</v>
      </c>
      <c r="I152" s="91">
        <v>0.46666666666666667</v>
      </c>
      <c r="U152" s="91"/>
    </row>
    <row r="153" spans="1:21">
      <c r="A153" s="73" t="s">
        <v>1594</v>
      </c>
      <c r="B153" s="73"/>
      <c r="C153" t="s">
        <v>408</v>
      </c>
      <c r="G153" t="s">
        <v>1594</v>
      </c>
      <c r="H153" t="s">
        <v>1594</v>
      </c>
      <c r="I153" s="91">
        <v>1</v>
      </c>
      <c r="U153" s="91"/>
    </row>
    <row r="154" spans="1:21">
      <c r="A154" s="73" t="s">
        <v>247</v>
      </c>
      <c r="B154" s="73"/>
      <c r="C154" t="s">
        <v>3663</v>
      </c>
      <c r="G154" t="s">
        <v>247</v>
      </c>
      <c r="H154" t="s">
        <v>247</v>
      </c>
      <c r="I154" s="91">
        <v>1</v>
      </c>
      <c r="U154" s="91"/>
    </row>
    <row r="155" spans="1:21">
      <c r="A155" s="73" t="s">
        <v>1602</v>
      </c>
      <c r="B155" s="73"/>
      <c r="C155" t="s">
        <v>3664</v>
      </c>
      <c r="G155" t="s">
        <v>1602</v>
      </c>
      <c r="H155" t="s">
        <v>4606</v>
      </c>
      <c r="I155" s="91">
        <v>0.54748010610079578</v>
      </c>
      <c r="U155" s="91"/>
    </row>
    <row r="156" spans="1:21">
      <c r="A156" s="73" t="s">
        <v>124</v>
      </c>
      <c r="B156" s="73"/>
      <c r="C156" t="s">
        <v>3665</v>
      </c>
      <c r="G156" t="s">
        <v>124</v>
      </c>
      <c r="H156" t="s">
        <v>3691</v>
      </c>
      <c r="I156" s="91">
        <v>0.75754829332120888</v>
      </c>
      <c r="U156" s="91"/>
    </row>
    <row r="157" spans="1:21">
      <c r="A157" s="73" t="s">
        <v>1610</v>
      </c>
      <c r="B157" s="73"/>
      <c r="C157" t="s">
        <v>3666</v>
      </c>
      <c r="G157" t="s">
        <v>1610</v>
      </c>
      <c r="H157" t="s">
        <v>4761</v>
      </c>
      <c r="I157" s="91">
        <v>0.53771058255441473</v>
      </c>
      <c r="U157" s="91"/>
    </row>
    <row r="158" spans="1:21">
      <c r="A158" s="73" t="s">
        <v>1615</v>
      </c>
      <c r="B158" s="73"/>
      <c r="C158" t="s">
        <v>3667</v>
      </c>
      <c r="G158" t="s">
        <v>1615</v>
      </c>
      <c r="H158" t="s">
        <v>4331</v>
      </c>
      <c r="I158" s="91">
        <v>0.54777818016357138</v>
      </c>
      <c r="U158" s="91"/>
    </row>
    <row r="159" spans="1:21">
      <c r="A159" s="73" t="s">
        <v>1620</v>
      </c>
      <c r="B159" s="73"/>
      <c r="C159" t="s">
        <v>3668</v>
      </c>
      <c r="G159" t="s">
        <v>1620</v>
      </c>
      <c r="H159" t="s">
        <v>624</v>
      </c>
      <c r="I159" s="91">
        <v>0.5723076923076923</v>
      </c>
      <c r="U159" s="91"/>
    </row>
    <row r="160" spans="1:21">
      <c r="A160" s="73" t="s">
        <v>8</v>
      </c>
      <c r="B160" s="73"/>
      <c r="C160" t="s">
        <v>3669</v>
      </c>
      <c r="G160" t="s">
        <v>8</v>
      </c>
      <c r="H160" t="s">
        <v>8</v>
      </c>
      <c r="I160" s="91">
        <v>1</v>
      </c>
      <c r="U160" s="91"/>
    </row>
    <row r="161" spans="1:21">
      <c r="A161" s="73" t="s">
        <v>1627</v>
      </c>
      <c r="B161" s="73"/>
      <c r="C161" t="s">
        <v>3670</v>
      </c>
      <c r="G161" t="s">
        <v>1627</v>
      </c>
      <c r="H161" t="s">
        <v>2567</v>
      </c>
      <c r="I161" s="91">
        <v>0.54777818016357138</v>
      </c>
      <c r="U161" s="91"/>
    </row>
    <row r="162" spans="1:21">
      <c r="A162" s="73" t="s">
        <v>217</v>
      </c>
      <c r="B162" s="73"/>
      <c r="C162" t="s">
        <v>3671</v>
      </c>
      <c r="G162" t="s">
        <v>217</v>
      </c>
      <c r="H162" t="s">
        <v>4875</v>
      </c>
      <c r="I162" s="91">
        <v>0.56849816849816848</v>
      </c>
      <c r="U162" s="91"/>
    </row>
    <row r="163" spans="1:21">
      <c r="A163" s="73" t="s">
        <v>300</v>
      </c>
      <c r="B163" s="73"/>
      <c r="C163" t="s">
        <v>3672</v>
      </c>
      <c r="G163" t="s">
        <v>300</v>
      </c>
      <c r="H163" t="s">
        <v>300</v>
      </c>
      <c r="I163" s="91">
        <v>1</v>
      </c>
      <c r="U163" s="91"/>
    </row>
    <row r="164" spans="1:21">
      <c r="A164" s="73" t="s">
        <v>572</v>
      </c>
      <c r="B164" s="73"/>
      <c r="C164" t="s">
        <v>3673</v>
      </c>
      <c r="G164" t="s">
        <v>572</v>
      </c>
      <c r="H164" t="s">
        <v>523</v>
      </c>
      <c r="I164" s="91">
        <v>0.5723076923076923</v>
      </c>
      <c r="U164" s="91"/>
    </row>
    <row r="165" spans="1:21">
      <c r="A165" s="73" t="s">
        <v>1641</v>
      </c>
      <c r="B165" s="73"/>
      <c r="C165" t="s">
        <v>2043</v>
      </c>
      <c r="G165" t="s">
        <v>1641</v>
      </c>
      <c r="H165" t="s">
        <v>4551</v>
      </c>
      <c r="I165" s="91">
        <v>0.51156724395980335</v>
      </c>
      <c r="U165" s="91"/>
    </row>
    <row r="166" spans="1:21">
      <c r="A166" s="73" t="s">
        <v>1644</v>
      </c>
      <c r="B166" s="73"/>
      <c r="C166" t="s">
        <v>280</v>
      </c>
      <c r="G166" t="s">
        <v>1644</v>
      </c>
      <c r="H166" t="s">
        <v>4923</v>
      </c>
      <c r="I166" s="91">
        <v>0.50313114888879429</v>
      </c>
      <c r="U166" s="91"/>
    </row>
    <row r="167" spans="1:21">
      <c r="A167" s="73" t="s">
        <v>1648</v>
      </c>
      <c r="B167" s="73"/>
      <c r="C167" t="s">
        <v>3674</v>
      </c>
      <c r="G167" t="s">
        <v>1648</v>
      </c>
      <c r="H167" t="s">
        <v>5175</v>
      </c>
      <c r="I167" s="91">
        <v>0.91851851851851851</v>
      </c>
      <c r="U167" s="91"/>
    </row>
    <row r="168" spans="1:21">
      <c r="A168" s="73" t="s">
        <v>1652</v>
      </c>
      <c r="B168" s="73"/>
      <c r="C168" t="s">
        <v>3675</v>
      </c>
      <c r="G168" t="s">
        <v>1652</v>
      </c>
      <c r="H168" t="s">
        <v>3644</v>
      </c>
      <c r="I168" s="91">
        <v>0.45454545454545453</v>
      </c>
      <c r="U168" s="91"/>
    </row>
    <row r="169" spans="1:21">
      <c r="A169" s="73" t="s">
        <v>1657</v>
      </c>
      <c r="B169" s="73"/>
      <c r="C169" t="s">
        <v>3389</v>
      </c>
      <c r="G169" t="s">
        <v>1657</v>
      </c>
      <c r="H169" t="s">
        <v>5102</v>
      </c>
      <c r="I169" s="91">
        <v>0.52987012987012982</v>
      </c>
      <c r="U169" s="91"/>
    </row>
    <row r="170" spans="1:21">
      <c r="A170" s="73" t="s">
        <v>15</v>
      </c>
      <c r="B170" s="73"/>
      <c r="C170" t="s">
        <v>3676</v>
      </c>
      <c r="G170" t="s">
        <v>15</v>
      </c>
      <c r="I170" s="91">
        <v>0</v>
      </c>
      <c r="U170" s="91"/>
    </row>
    <row r="171" spans="1:21">
      <c r="A171" s="73" t="s">
        <v>680</v>
      </c>
      <c r="B171" s="73"/>
      <c r="C171" t="s">
        <v>3677</v>
      </c>
      <c r="G171" t="s">
        <v>680</v>
      </c>
      <c r="H171" t="s">
        <v>680</v>
      </c>
      <c r="I171" s="91">
        <v>1</v>
      </c>
      <c r="U171" s="91"/>
    </row>
    <row r="172" spans="1:21">
      <c r="A172" s="73" t="s">
        <v>1668</v>
      </c>
      <c r="B172" s="73"/>
      <c r="C172" t="s">
        <v>3678</v>
      </c>
      <c r="G172" t="s">
        <v>1668</v>
      </c>
      <c r="H172" t="s">
        <v>201</v>
      </c>
      <c r="I172" s="91">
        <v>0.49623188405797103</v>
      </c>
      <c r="U172" s="91"/>
    </row>
    <row r="173" spans="1:21">
      <c r="A173" s="73" t="s">
        <v>1671</v>
      </c>
      <c r="B173" s="73"/>
      <c r="C173" t="s">
        <v>3679</v>
      </c>
      <c r="G173" t="s">
        <v>1671</v>
      </c>
      <c r="H173" t="s">
        <v>4811</v>
      </c>
      <c r="I173" s="91">
        <v>0.9363636363636364</v>
      </c>
      <c r="U173" s="91"/>
    </row>
    <row r="174" spans="1:21">
      <c r="A174" s="73" t="s">
        <v>1674</v>
      </c>
      <c r="B174" s="73"/>
      <c r="C174" t="s">
        <v>3680</v>
      </c>
      <c r="G174" t="s">
        <v>1674</v>
      </c>
      <c r="H174" t="s">
        <v>4526</v>
      </c>
      <c r="I174" s="91">
        <v>0.53151916764618479</v>
      </c>
      <c r="U174" s="91"/>
    </row>
    <row r="175" spans="1:21">
      <c r="A175" s="73" t="s">
        <v>1678</v>
      </c>
      <c r="B175" s="73"/>
      <c r="C175" t="s">
        <v>1022</v>
      </c>
      <c r="G175" t="s">
        <v>1678</v>
      </c>
      <c r="H175" t="s">
        <v>1678</v>
      </c>
      <c r="I175" s="91">
        <v>1</v>
      </c>
      <c r="U175" s="91"/>
    </row>
    <row r="176" spans="1:21">
      <c r="A176" s="73" t="s">
        <v>449</v>
      </c>
      <c r="B176" s="73"/>
      <c r="C176" t="s">
        <v>3681</v>
      </c>
      <c r="G176" t="s">
        <v>449</v>
      </c>
      <c r="H176" t="s">
        <v>449</v>
      </c>
      <c r="I176" s="91">
        <v>1</v>
      </c>
      <c r="U176" s="91"/>
    </row>
    <row r="177" spans="1:21">
      <c r="A177" s="73" t="s">
        <v>280</v>
      </c>
      <c r="B177" s="73"/>
      <c r="C177" t="s">
        <v>3682</v>
      </c>
      <c r="G177" t="s">
        <v>280</v>
      </c>
      <c r="H177" t="s">
        <v>280</v>
      </c>
      <c r="I177" s="91">
        <v>1</v>
      </c>
      <c r="U177" s="91"/>
    </row>
    <row r="178" spans="1:21">
      <c r="A178" s="73" t="s">
        <v>1688</v>
      </c>
      <c r="B178" s="73"/>
      <c r="C178" t="s">
        <v>3683</v>
      </c>
      <c r="G178" t="s">
        <v>1688</v>
      </c>
      <c r="H178" t="s">
        <v>1688</v>
      </c>
      <c r="I178" s="91">
        <v>1</v>
      </c>
      <c r="U178" s="91"/>
    </row>
    <row r="179" spans="1:21">
      <c r="A179" s="73" t="s">
        <v>1693</v>
      </c>
      <c r="B179" s="73"/>
      <c r="C179" t="s">
        <v>3684</v>
      </c>
      <c r="G179" t="s">
        <v>1693</v>
      </c>
      <c r="I179" s="91">
        <v>0</v>
      </c>
      <c r="U179" s="91"/>
    </row>
    <row r="180" spans="1:21">
      <c r="A180" s="73" t="s">
        <v>340</v>
      </c>
      <c r="B180" s="73"/>
      <c r="C180" t="s">
        <v>3685</v>
      </c>
      <c r="G180" t="s">
        <v>340</v>
      </c>
      <c r="H180" t="s">
        <v>340</v>
      </c>
      <c r="I180" s="91">
        <v>1</v>
      </c>
      <c r="U180" s="91"/>
    </row>
    <row r="181" spans="1:21">
      <c r="A181" s="73" t="s">
        <v>1700</v>
      </c>
      <c r="B181" s="73"/>
      <c r="C181" t="s">
        <v>3686</v>
      </c>
      <c r="G181" t="s">
        <v>1700</v>
      </c>
      <c r="H181" t="s">
        <v>4454</v>
      </c>
      <c r="I181" s="91">
        <v>0.91759110448320669</v>
      </c>
      <c r="U181" s="91"/>
    </row>
    <row r="182" spans="1:21">
      <c r="A182" s="73" t="s">
        <v>1705</v>
      </c>
      <c r="B182" s="73"/>
      <c r="C182" t="s">
        <v>3096</v>
      </c>
      <c r="G182" t="s">
        <v>1705</v>
      </c>
      <c r="H182" t="s">
        <v>1705</v>
      </c>
      <c r="I182" s="91">
        <v>1</v>
      </c>
      <c r="U182" s="91"/>
    </row>
    <row r="183" spans="1:21">
      <c r="A183" s="73" t="s">
        <v>1709</v>
      </c>
      <c r="B183" s="73"/>
      <c r="C183" t="s">
        <v>3687</v>
      </c>
      <c r="G183" t="s">
        <v>1709</v>
      </c>
      <c r="H183" t="s">
        <v>3701</v>
      </c>
      <c r="I183" s="91">
        <v>0.51500322007852151</v>
      </c>
      <c r="U183" s="91"/>
    </row>
    <row r="184" spans="1:21">
      <c r="A184" s="73" t="s">
        <v>662</v>
      </c>
      <c r="B184" s="73"/>
      <c r="C184" t="s">
        <v>3688</v>
      </c>
      <c r="G184" t="s">
        <v>662</v>
      </c>
      <c r="H184" t="s">
        <v>662</v>
      </c>
      <c r="I184" s="91">
        <v>1</v>
      </c>
      <c r="U184" s="91"/>
    </row>
    <row r="185" spans="1:21">
      <c r="A185" s="73" t="s">
        <v>1716</v>
      </c>
      <c r="B185" s="73"/>
      <c r="C185" t="s">
        <v>3689</v>
      </c>
      <c r="G185" t="s">
        <v>1716</v>
      </c>
      <c r="H185" t="s">
        <v>1716</v>
      </c>
      <c r="I185" s="91">
        <v>1</v>
      </c>
      <c r="U185" s="91"/>
    </row>
    <row r="186" spans="1:21">
      <c r="A186" s="73" t="s">
        <v>1721</v>
      </c>
      <c r="B186" s="73"/>
      <c r="C186" t="s">
        <v>3690</v>
      </c>
      <c r="G186" t="s">
        <v>1721</v>
      </c>
      <c r="H186" t="s">
        <v>1721</v>
      </c>
      <c r="I186" s="91">
        <v>1</v>
      </c>
      <c r="U186" s="91"/>
    </row>
    <row r="187" spans="1:21">
      <c r="A187" s="73" t="s">
        <v>92</v>
      </c>
      <c r="B187" s="73"/>
      <c r="C187" t="s">
        <v>3691</v>
      </c>
      <c r="G187" t="s">
        <v>92</v>
      </c>
      <c r="H187" t="s">
        <v>92</v>
      </c>
      <c r="I187" s="91">
        <v>1</v>
      </c>
      <c r="U187" s="91"/>
    </row>
    <row r="188" spans="1:21">
      <c r="A188" s="73" t="s">
        <v>1728</v>
      </c>
      <c r="B188" s="73"/>
      <c r="C188" t="s">
        <v>3692</v>
      </c>
      <c r="G188" t="s">
        <v>1728</v>
      </c>
      <c r="H188" t="s">
        <v>1728</v>
      </c>
      <c r="I188" s="91">
        <v>1</v>
      </c>
      <c r="U188" s="91"/>
    </row>
    <row r="189" spans="1:21">
      <c r="A189" s="73" t="s">
        <v>1732</v>
      </c>
      <c r="B189" s="73"/>
      <c r="C189" t="s">
        <v>3693</v>
      </c>
      <c r="G189" t="s">
        <v>1732</v>
      </c>
      <c r="H189" t="s">
        <v>4458</v>
      </c>
      <c r="I189" s="91">
        <v>0.52987012987012982</v>
      </c>
      <c r="U189" s="91"/>
    </row>
    <row r="190" spans="1:21">
      <c r="A190" s="73" t="s">
        <v>1738</v>
      </c>
      <c r="B190" s="73"/>
      <c r="C190" t="s">
        <v>3694</v>
      </c>
      <c r="G190" t="s">
        <v>1738</v>
      </c>
      <c r="H190" t="s">
        <v>1738</v>
      </c>
      <c r="I190" s="91">
        <v>1</v>
      </c>
      <c r="U190" s="91"/>
    </row>
    <row r="191" spans="1:21">
      <c r="A191" s="73" t="s">
        <v>1742</v>
      </c>
      <c r="B191" s="73"/>
      <c r="C191" t="s">
        <v>3695</v>
      </c>
      <c r="G191" t="s">
        <v>1742</v>
      </c>
      <c r="H191" t="s">
        <v>2940</v>
      </c>
      <c r="I191" s="91">
        <v>0.52114285714285713</v>
      </c>
      <c r="U191" s="91"/>
    </row>
    <row r="192" spans="1:21">
      <c r="A192" s="73" t="s">
        <v>1747</v>
      </c>
      <c r="B192" s="73"/>
      <c r="C192" t="s">
        <v>3696</v>
      </c>
      <c r="G192" t="s">
        <v>1747</v>
      </c>
      <c r="H192" t="s">
        <v>4421</v>
      </c>
      <c r="I192" s="91">
        <v>0.51811509099596165</v>
      </c>
      <c r="U192" s="91"/>
    </row>
    <row r="193" spans="1:21">
      <c r="A193" s="73" t="s">
        <v>1751</v>
      </c>
      <c r="B193" s="73"/>
      <c r="C193" t="s">
        <v>3697</v>
      </c>
      <c r="G193" t="s">
        <v>1751</v>
      </c>
      <c r="H193" t="s">
        <v>1752</v>
      </c>
      <c r="I193" s="91">
        <v>1</v>
      </c>
      <c r="U193" s="91"/>
    </row>
    <row r="194" spans="1:21">
      <c r="A194" s="73" t="s">
        <v>1756</v>
      </c>
      <c r="B194" s="73"/>
      <c r="C194" t="s">
        <v>3698</v>
      </c>
      <c r="G194" t="s">
        <v>1756</v>
      </c>
      <c r="H194" t="s">
        <v>1756</v>
      </c>
      <c r="I194" s="91">
        <v>1</v>
      </c>
      <c r="U194" s="91"/>
    </row>
    <row r="195" spans="1:21">
      <c r="A195" s="73" t="s">
        <v>1760</v>
      </c>
      <c r="B195" s="73"/>
      <c r="C195" t="s">
        <v>3699</v>
      </c>
      <c r="G195" t="s">
        <v>1760</v>
      </c>
      <c r="H195" t="s">
        <v>3958</v>
      </c>
      <c r="I195" s="91">
        <v>0.98344370860927155</v>
      </c>
      <c r="U195" s="91"/>
    </row>
    <row r="196" spans="1:21">
      <c r="A196" s="73" t="s">
        <v>1765</v>
      </c>
      <c r="B196" s="73"/>
      <c r="C196" t="s">
        <v>3700</v>
      </c>
      <c r="G196" t="s">
        <v>1765</v>
      </c>
      <c r="H196" t="s">
        <v>1978</v>
      </c>
      <c r="I196" s="91">
        <v>0.5723076923076923</v>
      </c>
      <c r="U196" s="91"/>
    </row>
    <row r="197" spans="1:21">
      <c r="A197" s="73" t="s">
        <v>1770</v>
      </c>
      <c r="B197" s="73"/>
      <c r="C197" t="s">
        <v>3701</v>
      </c>
      <c r="G197" t="s">
        <v>1770</v>
      </c>
      <c r="H197" t="s">
        <v>3658</v>
      </c>
      <c r="I197" s="91">
        <v>0.98328633567774504</v>
      </c>
      <c r="U197" s="91"/>
    </row>
    <row r="198" spans="1:21">
      <c r="A198" s="73" t="s">
        <v>1774</v>
      </c>
      <c r="B198" s="73"/>
      <c r="C198" t="s">
        <v>3702</v>
      </c>
      <c r="G198" t="s">
        <v>1774</v>
      </c>
      <c r="H198" t="s">
        <v>4689</v>
      </c>
      <c r="I198" s="91">
        <v>0.55630769230769239</v>
      </c>
      <c r="U198" s="91"/>
    </row>
    <row r="199" spans="1:21">
      <c r="A199" s="73" t="s">
        <v>1778</v>
      </c>
      <c r="B199" s="73"/>
      <c r="C199" t="s">
        <v>3703</v>
      </c>
      <c r="G199" t="s">
        <v>1778</v>
      </c>
      <c r="H199" t="s">
        <v>1778</v>
      </c>
      <c r="I199" s="91">
        <v>1</v>
      </c>
      <c r="U199" s="91"/>
    </row>
    <row r="200" spans="1:21">
      <c r="A200" s="73" t="s">
        <v>1782</v>
      </c>
      <c r="B200" s="73"/>
      <c r="C200" t="s">
        <v>3704</v>
      </c>
      <c r="G200" t="s">
        <v>1782</v>
      </c>
      <c r="H200" t="s">
        <v>1782</v>
      </c>
      <c r="I200" s="91">
        <v>1</v>
      </c>
      <c r="U200" s="91"/>
    </row>
    <row r="201" spans="1:21">
      <c r="A201" s="73" t="s">
        <v>1786</v>
      </c>
      <c r="B201" s="73"/>
      <c r="C201" t="s">
        <v>3219</v>
      </c>
      <c r="G201" t="s">
        <v>1786</v>
      </c>
      <c r="H201" t="s">
        <v>1786</v>
      </c>
      <c r="I201" s="91">
        <v>1</v>
      </c>
      <c r="U201" s="91"/>
    </row>
    <row r="202" spans="1:21">
      <c r="A202" s="73" t="s">
        <v>1790</v>
      </c>
      <c r="B202" s="73"/>
      <c r="C202" t="s">
        <v>3705</v>
      </c>
      <c r="G202" t="s">
        <v>1790</v>
      </c>
      <c r="H202" t="s">
        <v>1790</v>
      </c>
      <c r="I202" s="91">
        <v>1</v>
      </c>
      <c r="U202" s="91"/>
    </row>
    <row r="203" spans="1:21">
      <c r="A203" s="73" t="s">
        <v>1793</v>
      </c>
      <c r="B203" s="73"/>
      <c r="C203" t="s">
        <v>1721</v>
      </c>
      <c r="G203" t="s">
        <v>1793</v>
      </c>
      <c r="H203" t="s">
        <v>1793</v>
      </c>
      <c r="I203" s="91">
        <v>1</v>
      </c>
      <c r="U203" s="91"/>
    </row>
    <row r="204" spans="1:21">
      <c r="A204" s="73" t="s">
        <v>1797</v>
      </c>
      <c r="B204" s="73"/>
      <c r="C204" t="s">
        <v>3706</v>
      </c>
      <c r="G204" t="s">
        <v>1797</v>
      </c>
      <c r="H204" t="s">
        <v>1797</v>
      </c>
      <c r="I204" s="91">
        <v>1</v>
      </c>
      <c r="U204" s="91"/>
    </row>
    <row r="205" spans="1:21">
      <c r="A205" s="73" t="s">
        <v>1801</v>
      </c>
      <c r="B205" s="73"/>
      <c r="C205" t="s">
        <v>3707</v>
      </c>
      <c r="G205" t="s">
        <v>1801</v>
      </c>
      <c r="H205" t="s">
        <v>1801</v>
      </c>
      <c r="I205" s="91">
        <v>1</v>
      </c>
      <c r="U205" s="91"/>
    </row>
    <row r="206" spans="1:21">
      <c r="A206" s="73" t="s">
        <v>1804</v>
      </c>
      <c r="B206" s="73"/>
      <c r="C206" t="s">
        <v>3708</v>
      </c>
      <c r="G206" t="s">
        <v>1804</v>
      </c>
      <c r="H206" t="s">
        <v>3583</v>
      </c>
      <c r="I206" s="91">
        <v>0.54035087719298247</v>
      </c>
      <c r="U206" s="91"/>
    </row>
    <row r="207" spans="1:21">
      <c r="A207" s="73" t="s">
        <v>1808</v>
      </c>
      <c r="B207" s="73"/>
      <c r="C207" t="s">
        <v>3709</v>
      </c>
      <c r="G207" t="s">
        <v>1808</v>
      </c>
      <c r="H207" t="s">
        <v>1808</v>
      </c>
      <c r="I207" s="91">
        <v>1</v>
      </c>
      <c r="U207" s="91"/>
    </row>
    <row r="208" spans="1:21">
      <c r="A208" s="73" t="s">
        <v>1813</v>
      </c>
      <c r="B208" s="73"/>
      <c r="C208" t="s">
        <v>3710</v>
      </c>
      <c r="G208" t="s">
        <v>1813</v>
      </c>
      <c r="H208" t="s">
        <v>1813</v>
      </c>
      <c r="I208" s="91">
        <v>1</v>
      </c>
      <c r="U208" s="91"/>
    </row>
    <row r="209" spans="1:21">
      <c r="A209" s="73" t="s">
        <v>1817</v>
      </c>
      <c r="B209" s="73"/>
      <c r="C209" t="s">
        <v>3711</v>
      </c>
      <c r="G209" t="s">
        <v>1817</v>
      </c>
      <c r="I209" s="91">
        <v>0</v>
      </c>
      <c r="U209" s="91"/>
    </row>
    <row r="210" spans="1:21">
      <c r="A210" s="73" t="s">
        <v>1821</v>
      </c>
      <c r="B210" s="73"/>
      <c r="C210" t="s">
        <v>3712</v>
      </c>
      <c r="G210" t="s">
        <v>1821</v>
      </c>
      <c r="H210" t="s">
        <v>1821</v>
      </c>
      <c r="I210" s="91">
        <v>1</v>
      </c>
      <c r="U210" s="91"/>
    </row>
    <row r="211" spans="1:21">
      <c r="A211" s="73" t="s">
        <v>613</v>
      </c>
      <c r="B211" s="73"/>
      <c r="C211" t="s">
        <v>3713</v>
      </c>
      <c r="G211" t="s">
        <v>613</v>
      </c>
      <c r="H211" t="s">
        <v>613</v>
      </c>
      <c r="I211" s="91">
        <v>1</v>
      </c>
      <c r="U211" s="91"/>
    </row>
    <row r="212" spans="1:21">
      <c r="A212" s="73" t="s">
        <v>1828</v>
      </c>
      <c r="B212" s="73"/>
      <c r="C212" t="s">
        <v>3714</v>
      </c>
      <c r="G212" t="s">
        <v>1828</v>
      </c>
      <c r="H212" t="s">
        <v>1828</v>
      </c>
      <c r="I212" s="91">
        <v>1</v>
      </c>
      <c r="U212" s="91"/>
    </row>
    <row r="213" spans="1:21">
      <c r="A213" s="73" t="s">
        <v>1832</v>
      </c>
      <c r="B213" s="73"/>
      <c r="C213" t="s">
        <v>3715</v>
      </c>
      <c r="G213" t="s">
        <v>1832</v>
      </c>
      <c r="H213" t="s">
        <v>1832</v>
      </c>
      <c r="I213" s="91">
        <v>1</v>
      </c>
      <c r="U213" s="91"/>
    </row>
    <row r="214" spans="1:21">
      <c r="A214" s="73" t="s">
        <v>1838</v>
      </c>
      <c r="B214" s="73"/>
      <c r="C214" t="s">
        <v>3716</v>
      </c>
      <c r="G214" t="s">
        <v>1838</v>
      </c>
      <c r="H214" t="s">
        <v>2978</v>
      </c>
      <c r="I214" s="91">
        <v>0.51116332276090515</v>
      </c>
      <c r="U214" s="91"/>
    </row>
    <row r="215" spans="1:21">
      <c r="A215" s="73" t="s">
        <v>1843</v>
      </c>
      <c r="B215" s="73"/>
      <c r="C215" t="s">
        <v>3717</v>
      </c>
      <c r="G215" t="s">
        <v>1843</v>
      </c>
      <c r="H215" t="s">
        <v>4919</v>
      </c>
      <c r="I215" s="91">
        <v>0.46956521739130436</v>
      </c>
      <c r="U215" s="91"/>
    </row>
    <row r="216" spans="1:21">
      <c r="A216" s="73" t="s">
        <v>1848</v>
      </c>
      <c r="B216" s="73"/>
      <c r="C216" t="s">
        <v>3718</v>
      </c>
      <c r="G216" t="s">
        <v>1848</v>
      </c>
      <c r="H216" t="s">
        <v>1848</v>
      </c>
      <c r="I216" s="91">
        <v>1</v>
      </c>
      <c r="U216" s="91"/>
    </row>
    <row r="217" spans="1:21">
      <c r="A217" s="73" t="s">
        <v>1853</v>
      </c>
      <c r="B217" s="73"/>
      <c r="C217" t="s">
        <v>3719</v>
      </c>
      <c r="G217" t="s">
        <v>1853</v>
      </c>
      <c r="I217" s="91">
        <v>0</v>
      </c>
      <c r="U217" s="91"/>
    </row>
    <row r="218" spans="1:21">
      <c r="A218" s="73" t="s">
        <v>1857</v>
      </c>
      <c r="B218" s="73"/>
      <c r="C218" t="s">
        <v>3720</v>
      </c>
      <c r="G218" t="s">
        <v>1857</v>
      </c>
      <c r="H218" t="s">
        <v>1857</v>
      </c>
      <c r="I218" s="91">
        <v>1</v>
      </c>
      <c r="U218" s="91"/>
    </row>
    <row r="219" spans="1:21">
      <c r="A219" s="73" t="s">
        <v>1861</v>
      </c>
      <c r="B219" s="73"/>
      <c r="C219" t="s">
        <v>3721</v>
      </c>
      <c r="G219" t="s">
        <v>1861</v>
      </c>
      <c r="H219" t="s">
        <v>4910</v>
      </c>
      <c r="I219" s="91">
        <v>0.5403038789735648</v>
      </c>
      <c r="U219" s="91"/>
    </row>
    <row r="220" spans="1:21">
      <c r="A220" s="73" t="s">
        <v>1865</v>
      </c>
      <c r="B220" s="73"/>
      <c r="C220" t="s">
        <v>3722</v>
      </c>
      <c r="G220" t="s">
        <v>1865</v>
      </c>
      <c r="H220" t="s">
        <v>1865</v>
      </c>
      <c r="I220" s="91">
        <v>1</v>
      </c>
      <c r="U220" s="91"/>
    </row>
    <row r="221" spans="1:21">
      <c r="A221" s="73" t="s">
        <v>1869</v>
      </c>
      <c r="B221" s="73"/>
      <c r="C221" t="s">
        <v>3723</v>
      </c>
      <c r="G221" t="s">
        <v>1869</v>
      </c>
      <c r="H221" t="s">
        <v>1869</v>
      </c>
      <c r="I221" s="91">
        <v>1</v>
      </c>
      <c r="U221" s="91"/>
    </row>
    <row r="222" spans="1:21">
      <c r="A222" s="73" t="s">
        <v>1873</v>
      </c>
      <c r="B222" s="73"/>
      <c r="C222" t="s">
        <v>3724</v>
      </c>
      <c r="G222" t="s">
        <v>1873</v>
      </c>
      <c r="H222" t="s">
        <v>4942</v>
      </c>
      <c r="I222" s="91">
        <v>0.54035087719298247</v>
      </c>
      <c r="U222" s="91"/>
    </row>
    <row r="223" spans="1:21">
      <c r="A223" s="73" t="s">
        <v>1877</v>
      </c>
      <c r="B223" s="73"/>
      <c r="C223" t="s">
        <v>2063</v>
      </c>
      <c r="G223" t="s">
        <v>1877</v>
      </c>
      <c r="H223" t="s">
        <v>3981</v>
      </c>
      <c r="I223" s="91">
        <v>0.49920914660478904</v>
      </c>
      <c r="U223" s="91"/>
    </row>
    <row r="224" spans="1:21">
      <c r="A224" s="73" t="s">
        <v>1881</v>
      </c>
      <c r="B224" s="73"/>
      <c r="C224" t="s">
        <v>1930</v>
      </c>
      <c r="G224" t="s">
        <v>1881</v>
      </c>
      <c r="H224" t="s">
        <v>4161</v>
      </c>
      <c r="I224" s="91">
        <v>0.5494505494505495</v>
      </c>
      <c r="U224" s="91"/>
    </row>
    <row r="225" spans="1:21">
      <c r="A225" s="73" t="s">
        <v>1884</v>
      </c>
      <c r="B225" s="73"/>
      <c r="C225" t="s">
        <v>3725</v>
      </c>
      <c r="G225" t="s">
        <v>1884</v>
      </c>
      <c r="H225" t="s">
        <v>376</v>
      </c>
      <c r="I225" s="91">
        <v>0.80522875816993467</v>
      </c>
      <c r="U225" s="91"/>
    </row>
    <row r="226" spans="1:21">
      <c r="A226" s="73" t="s">
        <v>1887</v>
      </c>
      <c r="B226" s="73"/>
      <c r="C226" t="s">
        <v>3726</v>
      </c>
      <c r="G226" t="s">
        <v>1887</v>
      </c>
      <c r="H226" t="s">
        <v>1888</v>
      </c>
      <c r="I226" s="91">
        <v>1</v>
      </c>
      <c r="U226" s="91"/>
    </row>
    <row r="227" spans="1:21">
      <c r="A227" s="73" t="s">
        <v>1892</v>
      </c>
      <c r="B227" s="73"/>
      <c r="C227" t="s">
        <v>3727</v>
      </c>
      <c r="G227" t="s">
        <v>1892</v>
      </c>
      <c r="H227" t="s">
        <v>4306</v>
      </c>
      <c r="I227" s="91">
        <v>0.51640211640211642</v>
      </c>
      <c r="U227" s="91"/>
    </row>
    <row r="228" spans="1:21">
      <c r="A228" s="73" t="s">
        <v>1896</v>
      </c>
      <c r="B228" s="73"/>
      <c r="C228" t="s">
        <v>3728</v>
      </c>
      <c r="G228" t="s">
        <v>1896</v>
      </c>
      <c r="H228" t="s">
        <v>1896</v>
      </c>
      <c r="I228" s="91">
        <v>1</v>
      </c>
      <c r="U228" s="91"/>
    </row>
    <row r="229" spans="1:21">
      <c r="A229" s="73" t="s">
        <v>1900</v>
      </c>
      <c r="B229" s="73"/>
      <c r="C229" t="s">
        <v>3729</v>
      </c>
      <c r="G229" t="s">
        <v>1900</v>
      </c>
      <c r="H229" t="s">
        <v>3882</v>
      </c>
      <c r="I229" s="91">
        <v>0.88494565637628453</v>
      </c>
      <c r="U229" s="91"/>
    </row>
    <row r="230" spans="1:21">
      <c r="A230" s="73" t="s">
        <v>1905</v>
      </c>
      <c r="B230" s="73"/>
      <c r="C230" t="s">
        <v>3731</v>
      </c>
      <c r="G230" t="s">
        <v>1905</v>
      </c>
      <c r="H230" t="s">
        <v>1905</v>
      </c>
      <c r="I230" s="91">
        <v>1</v>
      </c>
      <c r="U230" s="91"/>
    </row>
    <row r="231" spans="1:21">
      <c r="A231" s="73" t="s">
        <v>1907</v>
      </c>
      <c r="B231" s="73"/>
      <c r="C231" t="s">
        <v>3732</v>
      </c>
      <c r="G231" t="s">
        <v>1907</v>
      </c>
      <c r="H231" t="s">
        <v>4575</v>
      </c>
      <c r="I231" s="91">
        <v>0.8666666666666667</v>
      </c>
      <c r="U231" s="91"/>
    </row>
    <row r="232" spans="1:21">
      <c r="A232" s="73" t="s">
        <v>1912</v>
      </c>
      <c r="B232" s="73"/>
      <c r="C232" t="s">
        <v>3733</v>
      </c>
      <c r="G232" t="s">
        <v>1912</v>
      </c>
      <c r="H232" t="s">
        <v>4933</v>
      </c>
      <c r="I232" s="91">
        <v>0.99034284806206019</v>
      </c>
      <c r="U232" s="91"/>
    </row>
    <row r="233" spans="1:21">
      <c r="A233" s="73" t="s">
        <v>1916</v>
      </c>
      <c r="B233" s="73"/>
      <c r="C233" t="s">
        <v>3734</v>
      </c>
      <c r="G233" t="s">
        <v>1916</v>
      </c>
      <c r="H233" t="s">
        <v>1916</v>
      </c>
      <c r="I233" s="91">
        <v>1</v>
      </c>
      <c r="U233" s="91"/>
    </row>
    <row r="234" spans="1:21">
      <c r="A234" s="73" t="s">
        <v>1921</v>
      </c>
      <c r="B234" s="73"/>
      <c r="C234" t="s">
        <v>3735</v>
      </c>
      <c r="G234" t="s">
        <v>1921</v>
      </c>
      <c r="H234" t="s">
        <v>4176</v>
      </c>
      <c r="I234" s="91">
        <v>0.7826186531992092</v>
      </c>
      <c r="U234" s="91"/>
    </row>
    <row r="235" spans="1:21">
      <c r="A235" s="73" t="s">
        <v>1926</v>
      </c>
      <c r="B235" s="73"/>
      <c r="C235" t="s">
        <v>3736</v>
      </c>
      <c r="G235" t="s">
        <v>1926</v>
      </c>
      <c r="H235" t="s">
        <v>1926</v>
      </c>
      <c r="I235" s="91">
        <v>1</v>
      </c>
      <c r="U235" s="91"/>
    </row>
    <row r="236" spans="1:21">
      <c r="A236" s="73" t="s">
        <v>1930</v>
      </c>
      <c r="B236" s="73"/>
      <c r="C236" t="s">
        <v>3737</v>
      </c>
      <c r="G236" t="s">
        <v>1930</v>
      </c>
      <c r="H236" t="s">
        <v>1930</v>
      </c>
      <c r="I236" s="91">
        <v>1</v>
      </c>
      <c r="U236" s="91"/>
    </row>
    <row r="237" spans="1:21">
      <c r="A237" s="73" t="s">
        <v>1934</v>
      </c>
      <c r="B237" s="73"/>
      <c r="C237" t="s">
        <v>3738</v>
      </c>
      <c r="G237" t="s">
        <v>1934</v>
      </c>
      <c r="H237" t="s">
        <v>5112</v>
      </c>
      <c r="I237" s="91">
        <v>0.5438606263409046</v>
      </c>
      <c r="U237" s="91"/>
    </row>
    <row r="238" spans="1:21">
      <c r="A238" s="73" t="s">
        <v>263</v>
      </c>
      <c r="B238" s="73"/>
      <c r="C238" t="s">
        <v>3739</v>
      </c>
      <c r="G238" t="s">
        <v>263</v>
      </c>
      <c r="H238" t="s">
        <v>263</v>
      </c>
      <c r="I238" s="91">
        <v>1</v>
      </c>
      <c r="U238" s="91"/>
    </row>
    <row r="239" spans="1:21">
      <c r="A239" s="73" t="s">
        <v>1941</v>
      </c>
      <c r="B239" s="73"/>
      <c r="C239" t="s">
        <v>3740</v>
      </c>
      <c r="G239" t="s">
        <v>1941</v>
      </c>
      <c r="H239" t="s">
        <v>1941</v>
      </c>
      <c r="I239" s="91">
        <v>1</v>
      </c>
      <c r="U239" s="91"/>
    </row>
    <row r="240" spans="1:21">
      <c r="A240" s="73" t="s">
        <v>1945</v>
      </c>
      <c r="B240" s="73"/>
      <c r="C240" t="s">
        <v>3741</v>
      </c>
      <c r="G240" t="s">
        <v>1945</v>
      </c>
      <c r="H240" t="s">
        <v>1945</v>
      </c>
      <c r="I240" s="91">
        <v>1</v>
      </c>
      <c r="U240" s="91"/>
    </row>
    <row r="241" spans="1:21">
      <c r="A241" s="73" t="s">
        <v>1949</v>
      </c>
      <c r="B241" s="73"/>
      <c r="C241" t="s">
        <v>3742</v>
      </c>
      <c r="G241" t="s">
        <v>1949</v>
      </c>
      <c r="H241" t="s">
        <v>1949</v>
      </c>
      <c r="I241" s="91">
        <v>1</v>
      </c>
      <c r="U241" s="91"/>
    </row>
    <row r="242" spans="1:21">
      <c r="A242" s="73" t="s">
        <v>1953</v>
      </c>
      <c r="B242" s="73"/>
      <c r="C242" t="s">
        <v>3743</v>
      </c>
      <c r="G242" t="s">
        <v>1953</v>
      </c>
      <c r="H242" t="s">
        <v>1953</v>
      </c>
      <c r="I242" s="91">
        <v>1</v>
      </c>
      <c r="U242" s="91"/>
    </row>
    <row r="243" spans="1:21">
      <c r="A243" s="73" t="s">
        <v>1957</v>
      </c>
      <c r="B243" s="73"/>
      <c r="C243" t="s">
        <v>3744</v>
      </c>
      <c r="G243" t="s">
        <v>1957</v>
      </c>
      <c r="H243" t="s">
        <v>4561</v>
      </c>
      <c r="I243" s="91">
        <v>0.98443472037925295</v>
      </c>
      <c r="U243" s="91"/>
    </row>
    <row r="244" spans="1:21">
      <c r="A244" s="73" t="s">
        <v>231</v>
      </c>
      <c r="B244" s="73"/>
      <c r="C244" t="s">
        <v>3745</v>
      </c>
      <c r="G244" t="s">
        <v>231</v>
      </c>
      <c r="H244" t="s">
        <v>231</v>
      </c>
      <c r="I244" s="91">
        <v>1</v>
      </c>
      <c r="U244" s="91"/>
    </row>
    <row r="245" spans="1:21">
      <c r="A245" s="73" t="s">
        <v>707</v>
      </c>
      <c r="B245" s="73"/>
      <c r="C245" t="s">
        <v>3746</v>
      </c>
      <c r="G245" t="s">
        <v>707</v>
      </c>
      <c r="H245" t="s">
        <v>707</v>
      </c>
      <c r="I245" s="91">
        <v>1</v>
      </c>
      <c r="U245" s="91"/>
    </row>
    <row r="246" spans="1:21">
      <c r="A246" s="73" t="s">
        <v>185</v>
      </c>
      <c r="B246" s="73"/>
      <c r="C246" t="s">
        <v>3747</v>
      </c>
      <c r="G246" t="s">
        <v>185</v>
      </c>
      <c r="H246" t="s">
        <v>185</v>
      </c>
      <c r="I246" s="91">
        <v>1</v>
      </c>
      <c r="U246" s="91"/>
    </row>
    <row r="247" spans="1:21">
      <c r="A247" s="73" t="s">
        <v>6</v>
      </c>
      <c r="B247" s="73"/>
      <c r="C247" t="s">
        <v>3748</v>
      </c>
      <c r="G247" t="s">
        <v>6</v>
      </c>
      <c r="H247" t="s">
        <v>4734</v>
      </c>
      <c r="I247" s="91">
        <v>0.43099094346830519</v>
      </c>
      <c r="U247" s="91"/>
    </row>
    <row r="248" spans="1:21">
      <c r="A248" s="73" t="s">
        <v>1975</v>
      </c>
      <c r="B248" s="73"/>
      <c r="C248" t="s">
        <v>3280</v>
      </c>
      <c r="G248" t="s">
        <v>1975</v>
      </c>
      <c r="H248" t="s">
        <v>4194</v>
      </c>
      <c r="I248" s="91">
        <v>0.56016916414208162</v>
      </c>
      <c r="U248" s="91"/>
    </row>
    <row r="249" spans="1:21">
      <c r="A249" s="73" t="s">
        <v>1978</v>
      </c>
      <c r="B249" s="73"/>
      <c r="C249" t="s">
        <v>3265</v>
      </c>
      <c r="G249" t="s">
        <v>1978</v>
      </c>
      <c r="H249" t="s">
        <v>1978</v>
      </c>
      <c r="I249" s="91">
        <v>1</v>
      </c>
      <c r="U249" s="91"/>
    </row>
    <row r="250" spans="1:21">
      <c r="A250" s="73" t="s">
        <v>1982</v>
      </c>
      <c r="B250" s="73"/>
      <c r="C250" t="s">
        <v>3749</v>
      </c>
      <c r="G250" t="s">
        <v>1982</v>
      </c>
      <c r="H250" t="s">
        <v>3969</v>
      </c>
      <c r="I250" s="91">
        <v>0.91667342615703318</v>
      </c>
      <c r="U250" s="91"/>
    </row>
    <row r="251" spans="1:21">
      <c r="A251" s="73" t="s">
        <v>1987</v>
      </c>
      <c r="B251" s="73"/>
      <c r="C251" t="s">
        <v>1295</v>
      </c>
      <c r="G251" t="s">
        <v>1987</v>
      </c>
      <c r="I251" s="91">
        <v>0</v>
      </c>
      <c r="U251" s="91"/>
    </row>
    <row r="252" spans="1:21">
      <c r="A252" s="73" t="s">
        <v>1991</v>
      </c>
      <c r="B252" s="73"/>
      <c r="C252" t="s">
        <v>3750</v>
      </c>
      <c r="G252" t="s">
        <v>1991</v>
      </c>
      <c r="H252" t="s">
        <v>1991</v>
      </c>
      <c r="I252" s="91">
        <v>1</v>
      </c>
      <c r="U252" s="91"/>
    </row>
    <row r="253" spans="1:21">
      <c r="A253" s="73" t="s">
        <v>1996</v>
      </c>
      <c r="B253" s="73"/>
      <c r="C253" t="s">
        <v>3751</v>
      </c>
      <c r="G253" t="s">
        <v>1996</v>
      </c>
      <c r="H253" t="s">
        <v>4679</v>
      </c>
      <c r="I253" s="91">
        <v>0.75627788883292946</v>
      </c>
      <c r="U253" s="91"/>
    </row>
    <row r="254" spans="1:21">
      <c r="A254" s="73" t="s">
        <v>1999</v>
      </c>
      <c r="B254" s="73"/>
      <c r="C254" t="s">
        <v>3752</v>
      </c>
      <c r="G254" t="s">
        <v>1999</v>
      </c>
      <c r="H254" t="s">
        <v>4352</v>
      </c>
      <c r="I254" s="91">
        <v>0.98344370860927155</v>
      </c>
      <c r="U254" s="91"/>
    </row>
    <row r="255" spans="1:21">
      <c r="A255" s="73" t="s">
        <v>2003</v>
      </c>
      <c r="B255" s="73"/>
      <c r="C255" t="s">
        <v>3753</v>
      </c>
      <c r="G255" t="s">
        <v>2003</v>
      </c>
      <c r="H255" t="s">
        <v>4857</v>
      </c>
      <c r="I255" s="91">
        <v>0.51116332276090515</v>
      </c>
      <c r="U255" s="91"/>
    </row>
    <row r="256" spans="1:21">
      <c r="A256" s="73" t="s">
        <v>2007</v>
      </c>
      <c r="B256" s="73"/>
      <c r="C256" t="s">
        <v>3755</v>
      </c>
      <c r="G256" t="s">
        <v>2007</v>
      </c>
      <c r="H256" t="s">
        <v>2007</v>
      </c>
      <c r="I256" s="91">
        <v>1</v>
      </c>
      <c r="U256" s="91"/>
    </row>
    <row r="257" spans="1:21">
      <c r="A257" s="73" t="s">
        <v>2010</v>
      </c>
      <c r="B257" s="73"/>
      <c r="C257" t="s">
        <v>224</v>
      </c>
      <c r="G257" t="s">
        <v>2010</v>
      </c>
      <c r="H257" t="s">
        <v>2010</v>
      </c>
      <c r="I257" s="91">
        <v>1</v>
      </c>
      <c r="U257" s="91"/>
    </row>
    <row r="258" spans="1:21">
      <c r="A258" s="73" t="s">
        <v>2013</v>
      </c>
      <c r="B258" s="73"/>
      <c r="C258" t="s">
        <v>3756</v>
      </c>
      <c r="G258" t="s">
        <v>2013</v>
      </c>
      <c r="H258" t="s">
        <v>2013</v>
      </c>
      <c r="I258" s="91">
        <v>1</v>
      </c>
      <c r="U258" s="91"/>
    </row>
    <row r="259" spans="1:21">
      <c r="A259" s="73" t="s">
        <v>2018</v>
      </c>
      <c r="B259" s="73"/>
      <c r="C259" t="s">
        <v>3757</v>
      </c>
      <c r="G259" t="s">
        <v>2018</v>
      </c>
      <c r="H259" t="s">
        <v>4361</v>
      </c>
      <c r="I259" s="91">
        <v>0.52201592506585448</v>
      </c>
      <c r="U259" s="91"/>
    </row>
    <row r="260" spans="1:21">
      <c r="A260" s="73" t="s">
        <v>2022</v>
      </c>
      <c r="B260" s="73"/>
      <c r="C260" t="s">
        <v>3758</v>
      </c>
      <c r="G260" t="s">
        <v>2022</v>
      </c>
      <c r="I260" s="91">
        <v>0</v>
      </c>
      <c r="U260" s="91"/>
    </row>
    <row r="261" spans="1:21">
      <c r="A261" s="73" t="s">
        <v>2025</v>
      </c>
      <c r="B261" s="73"/>
      <c r="C261" t="s">
        <v>3759</v>
      </c>
      <c r="G261" t="s">
        <v>2025</v>
      </c>
      <c r="H261" t="s">
        <v>2025</v>
      </c>
      <c r="I261" s="91">
        <v>1</v>
      </c>
      <c r="U261" s="91"/>
    </row>
    <row r="262" spans="1:21">
      <c r="A262" s="73" t="s">
        <v>2029</v>
      </c>
      <c r="B262" s="73"/>
      <c r="C262" t="s">
        <v>3760</v>
      </c>
      <c r="G262" t="s">
        <v>2029</v>
      </c>
      <c r="H262" t="s">
        <v>619</v>
      </c>
      <c r="I262" s="91">
        <v>1</v>
      </c>
      <c r="U262" s="91"/>
    </row>
    <row r="263" spans="1:21">
      <c r="A263" s="73" t="s">
        <v>2032</v>
      </c>
      <c r="B263" s="73"/>
      <c r="C263" t="s">
        <v>3761</v>
      </c>
      <c r="G263" t="s">
        <v>2032</v>
      </c>
      <c r="H263" t="s">
        <v>2032</v>
      </c>
      <c r="I263" s="91">
        <v>1</v>
      </c>
      <c r="U263" s="91"/>
    </row>
    <row r="264" spans="1:21">
      <c r="A264" s="73" t="s">
        <v>2036</v>
      </c>
      <c r="B264" s="73"/>
      <c r="C264" t="s">
        <v>3762</v>
      </c>
      <c r="G264" t="s">
        <v>2036</v>
      </c>
      <c r="H264" t="s">
        <v>3122</v>
      </c>
      <c r="I264" s="91">
        <v>0.53333333333333333</v>
      </c>
      <c r="U264" s="91"/>
    </row>
    <row r="265" spans="1:21">
      <c r="A265" s="73" t="s">
        <v>2040</v>
      </c>
      <c r="B265" s="73"/>
      <c r="C265" t="s">
        <v>3763</v>
      </c>
      <c r="G265" t="s">
        <v>2040</v>
      </c>
      <c r="H265" t="s">
        <v>4356</v>
      </c>
      <c r="I265" s="91">
        <v>0.6253627152155099</v>
      </c>
      <c r="U265" s="91"/>
    </row>
    <row r="266" spans="1:21">
      <c r="A266" s="73" t="s">
        <v>2043</v>
      </c>
      <c r="B266" s="73"/>
      <c r="C266" t="s">
        <v>3764</v>
      </c>
      <c r="G266" t="s">
        <v>2043</v>
      </c>
      <c r="H266" t="s">
        <v>2043</v>
      </c>
      <c r="I266" s="91">
        <v>1</v>
      </c>
      <c r="U266" s="91"/>
    </row>
    <row r="267" spans="1:21">
      <c r="A267" s="73" t="s">
        <v>2047</v>
      </c>
      <c r="B267" s="73"/>
      <c r="C267" t="s">
        <v>67</v>
      </c>
      <c r="G267" t="s">
        <v>2047</v>
      </c>
      <c r="H267" t="s">
        <v>2047</v>
      </c>
      <c r="I267" s="91">
        <v>1</v>
      </c>
      <c r="U267" s="91"/>
    </row>
    <row r="268" spans="1:21">
      <c r="A268" s="73" t="s">
        <v>2052</v>
      </c>
      <c r="B268" s="73"/>
      <c r="C268" t="s">
        <v>368</v>
      </c>
      <c r="G268" t="s">
        <v>2052</v>
      </c>
      <c r="H268" t="s">
        <v>5183</v>
      </c>
      <c r="I268" s="91">
        <v>0.56849816849816848</v>
      </c>
      <c r="U268" s="91"/>
    </row>
    <row r="269" spans="1:21">
      <c r="A269" s="73" t="s">
        <v>2056</v>
      </c>
      <c r="B269" s="73"/>
      <c r="C269" t="s">
        <v>3765</v>
      </c>
      <c r="G269" t="s">
        <v>2056</v>
      </c>
      <c r="H269" t="s">
        <v>2056</v>
      </c>
      <c r="I269" s="91">
        <v>1</v>
      </c>
      <c r="U269" s="91"/>
    </row>
    <row r="270" spans="1:21">
      <c r="A270" s="73" t="s">
        <v>2060</v>
      </c>
      <c r="B270" s="73"/>
      <c r="C270" t="s">
        <v>3766</v>
      </c>
      <c r="G270" t="s">
        <v>2060</v>
      </c>
      <c r="H270" t="s">
        <v>4184</v>
      </c>
      <c r="I270" s="91">
        <v>0.54777818016357138</v>
      </c>
      <c r="U270" s="91"/>
    </row>
    <row r="271" spans="1:21">
      <c r="A271" s="73" t="s">
        <v>2063</v>
      </c>
      <c r="B271" s="73"/>
      <c r="C271" t="s">
        <v>3767</v>
      </c>
      <c r="G271" t="s">
        <v>2063</v>
      </c>
      <c r="H271" t="s">
        <v>2063</v>
      </c>
      <c r="I271" s="91">
        <v>1</v>
      </c>
      <c r="U271" s="91"/>
    </row>
    <row r="272" spans="1:21">
      <c r="A272" s="73" t="s">
        <v>292</v>
      </c>
      <c r="B272" s="73"/>
      <c r="C272" t="s">
        <v>3768</v>
      </c>
      <c r="G272" t="s">
        <v>292</v>
      </c>
      <c r="H272" t="s">
        <v>292</v>
      </c>
      <c r="I272" s="91">
        <v>1</v>
      </c>
      <c r="U272" s="91"/>
    </row>
    <row r="273" spans="1:21">
      <c r="A273" s="73" t="s">
        <v>408</v>
      </c>
      <c r="B273" s="73"/>
      <c r="C273" t="s">
        <v>3769</v>
      </c>
      <c r="G273" t="s">
        <v>408</v>
      </c>
      <c r="H273" t="s">
        <v>408</v>
      </c>
      <c r="I273" s="91">
        <v>1</v>
      </c>
      <c r="U273" s="91"/>
    </row>
    <row r="274" spans="1:21">
      <c r="A274" s="73" t="s">
        <v>2073</v>
      </c>
      <c r="B274" s="73"/>
      <c r="C274" t="s">
        <v>3770</v>
      </c>
      <c r="G274" t="s">
        <v>2073</v>
      </c>
      <c r="H274" t="s">
        <v>3112</v>
      </c>
      <c r="I274" s="91">
        <v>0.48080168884790692</v>
      </c>
      <c r="U274" s="91"/>
    </row>
    <row r="275" spans="1:21">
      <c r="A275" s="73" t="s">
        <v>2077</v>
      </c>
      <c r="B275" s="73"/>
      <c r="C275" t="s">
        <v>360</v>
      </c>
      <c r="G275" t="s">
        <v>2077</v>
      </c>
      <c r="H275" t="s">
        <v>2077</v>
      </c>
      <c r="I275" s="91">
        <v>1</v>
      </c>
      <c r="U275" s="91"/>
    </row>
    <row r="276" spans="1:21">
      <c r="A276" s="73" t="s">
        <v>686</v>
      </c>
      <c r="B276" s="73"/>
      <c r="C276" t="s">
        <v>1499</v>
      </c>
      <c r="G276" t="s">
        <v>686</v>
      </c>
      <c r="H276" t="s">
        <v>5154</v>
      </c>
      <c r="I276" s="91">
        <v>0.89961808666132304</v>
      </c>
      <c r="U276" s="91"/>
    </row>
    <row r="277" spans="1:21">
      <c r="A277" s="73" t="s">
        <v>2086</v>
      </c>
      <c r="B277" s="73"/>
      <c r="C277" t="s">
        <v>3771</v>
      </c>
      <c r="G277" t="s">
        <v>2086</v>
      </c>
      <c r="H277" t="s">
        <v>3813</v>
      </c>
      <c r="I277" s="91">
        <v>0.5403038789735648</v>
      </c>
      <c r="U277" s="91"/>
    </row>
    <row r="278" spans="1:21">
      <c r="A278" s="73" t="s">
        <v>227</v>
      </c>
      <c r="B278" s="73"/>
      <c r="C278" t="s">
        <v>3772</v>
      </c>
      <c r="G278" t="s">
        <v>227</v>
      </c>
      <c r="H278" t="s">
        <v>5084</v>
      </c>
      <c r="I278" s="91">
        <v>0.71260956609116155</v>
      </c>
      <c r="U278" s="91"/>
    </row>
    <row r="279" spans="1:21">
      <c r="A279" s="73" t="s">
        <v>2093</v>
      </c>
      <c r="B279" s="73"/>
      <c r="C279" t="s">
        <v>3773</v>
      </c>
      <c r="G279" t="s">
        <v>2093</v>
      </c>
      <c r="H279" t="s">
        <v>5155</v>
      </c>
      <c r="I279" s="91">
        <v>0.89961808666132304</v>
      </c>
      <c r="U279" s="91"/>
    </row>
    <row r="280" spans="1:21">
      <c r="A280" s="73" t="s">
        <v>2097</v>
      </c>
      <c r="B280" s="73"/>
      <c r="C280" t="s">
        <v>3774</v>
      </c>
      <c r="G280" t="s">
        <v>2097</v>
      </c>
      <c r="H280" t="s">
        <v>2097</v>
      </c>
      <c r="I280" s="91">
        <v>1</v>
      </c>
      <c r="U280" s="91"/>
    </row>
    <row r="281" spans="1:21">
      <c r="A281" s="73" t="s">
        <v>2101</v>
      </c>
      <c r="B281" s="73"/>
      <c r="C281" t="s">
        <v>3775</v>
      </c>
      <c r="G281" t="s">
        <v>2101</v>
      </c>
      <c r="H281" t="s">
        <v>4596</v>
      </c>
      <c r="I281" s="91">
        <v>0.52987012987012982</v>
      </c>
      <c r="U281" s="91"/>
    </row>
    <row r="282" spans="1:21">
      <c r="A282" s="73" t="s">
        <v>2105</v>
      </c>
      <c r="B282" s="73"/>
      <c r="C282" t="s">
        <v>3776</v>
      </c>
      <c r="G282" t="s">
        <v>2105</v>
      </c>
      <c r="H282" t="s">
        <v>3815</v>
      </c>
      <c r="I282" s="91">
        <v>0.5477189477189478</v>
      </c>
      <c r="U282" s="91"/>
    </row>
    <row r="283" spans="1:21">
      <c r="A283" s="73" t="s">
        <v>823</v>
      </c>
      <c r="B283" s="73"/>
      <c r="C283" t="s">
        <v>209</v>
      </c>
      <c r="G283" t="s">
        <v>823</v>
      </c>
      <c r="H283" t="s">
        <v>4803</v>
      </c>
      <c r="I283" s="91">
        <v>0.93114754098360653</v>
      </c>
      <c r="U283" s="91"/>
    </row>
    <row r="284" spans="1:21">
      <c r="A284" s="73" t="s">
        <v>2112</v>
      </c>
      <c r="B284" s="73"/>
      <c r="C284" t="s">
        <v>247</v>
      </c>
      <c r="G284" t="s">
        <v>2112</v>
      </c>
      <c r="H284" t="s">
        <v>2112</v>
      </c>
      <c r="I284" s="91">
        <v>1</v>
      </c>
      <c r="U284" s="91"/>
    </row>
    <row r="285" spans="1:21">
      <c r="A285" s="73" t="s">
        <v>661</v>
      </c>
      <c r="B285" s="73"/>
      <c r="C285" t="s">
        <v>3777</v>
      </c>
      <c r="G285" t="s">
        <v>661</v>
      </c>
      <c r="H285" t="s">
        <v>3823</v>
      </c>
      <c r="I285" s="91">
        <v>0.80608587603407211</v>
      </c>
      <c r="U285" s="91"/>
    </row>
    <row r="286" spans="1:21">
      <c r="A286" s="73" t="s">
        <v>2119</v>
      </c>
      <c r="B286" s="73"/>
      <c r="C286" t="s">
        <v>3778</v>
      </c>
      <c r="G286" t="s">
        <v>2119</v>
      </c>
      <c r="H286" t="s">
        <v>4021</v>
      </c>
      <c r="I286" s="91">
        <v>0.53666666666666674</v>
      </c>
      <c r="U286" s="91"/>
    </row>
    <row r="287" spans="1:21">
      <c r="A287" s="73" t="s">
        <v>2124</v>
      </c>
      <c r="B287" s="73"/>
      <c r="C287" t="s">
        <v>3779</v>
      </c>
      <c r="G287" t="s">
        <v>2124</v>
      </c>
      <c r="H287" t="s">
        <v>2125</v>
      </c>
      <c r="I287" s="91">
        <v>0.98328633567774504</v>
      </c>
      <c r="U287" s="91"/>
    </row>
    <row r="288" spans="1:21">
      <c r="A288" s="73" t="s">
        <v>2129</v>
      </c>
      <c r="B288" s="73"/>
      <c r="C288" t="s">
        <v>3780</v>
      </c>
      <c r="G288" t="s">
        <v>2129</v>
      </c>
      <c r="I288" s="91">
        <v>0</v>
      </c>
      <c r="U288" s="91"/>
    </row>
    <row r="289" spans="1:21">
      <c r="A289" s="73" t="s">
        <v>2133</v>
      </c>
      <c r="B289" s="73"/>
      <c r="C289" t="s">
        <v>3781</v>
      </c>
      <c r="G289" t="s">
        <v>2133</v>
      </c>
      <c r="H289" t="s">
        <v>3658</v>
      </c>
      <c r="I289" s="91">
        <v>0.54678788954622559</v>
      </c>
      <c r="U289" s="91"/>
    </row>
    <row r="290" spans="1:21">
      <c r="A290" s="73" t="s">
        <v>2138</v>
      </c>
      <c r="B290" s="73"/>
      <c r="C290" t="s">
        <v>3782</v>
      </c>
      <c r="G290" t="s">
        <v>2138</v>
      </c>
      <c r="H290" t="s">
        <v>2138</v>
      </c>
      <c r="I290" s="91">
        <v>1</v>
      </c>
      <c r="U290" s="91"/>
    </row>
    <row r="291" spans="1:21">
      <c r="A291" s="73" t="s">
        <v>2142</v>
      </c>
      <c r="B291" s="73"/>
      <c r="C291" t="s">
        <v>3783</v>
      </c>
      <c r="G291" t="s">
        <v>2142</v>
      </c>
      <c r="H291" t="s">
        <v>2143</v>
      </c>
      <c r="I291" s="91">
        <v>0.97449762878134161</v>
      </c>
      <c r="U291" s="91"/>
    </row>
    <row r="292" spans="1:21">
      <c r="A292" s="73" t="s">
        <v>2147</v>
      </c>
      <c r="B292" s="73"/>
      <c r="C292" t="s">
        <v>3784</v>
      </c>
      <c r="G292" t="s">
        <v>2147</v>
      </c>
      <c r="H292" t="s">
        <v>2147</v>
      </c>
      <c r="I292" s="91">
        <v>1</v>
      </c>
      <c r="U292" s="91"/>
    </row>
    <row r="293" spans="1:21">
      <c r="A293" s="73" t="s">
        <v>2150</v>
      </c>
      <c r="B293" s="73"/>
      <c r="C293" t="s">
        <v>3785</v>
      </c>
      <c r="G293" t="s">
        <v>2150</v>
      </c>
      <c r="H293" t="s">
        <v>368</v>
      </c>
      <c r="I293" s="91">
        <v>0.94444444444444442</v>
      </c>
      <c r="U293" s="91"/>
    </row>
    <row r="294" spans="1:21">
      <c r="A294" s="73" t="s">
        <v>2154</v>
      </c>
      <c r="B294" s="73"/>
      <c r="C294" t="s">
        <v>3786</v>
      </c>
      <c r="G294" t="s">
        <v>2154</v>
      </c>
      <c r="H294" t="s">
        <v>2154</v>
      </c>
      <c r="I294" s="91">
        <v>1</v>
      </c>
      <c r="U294" s="91"/>
    </row>
    <row r="295" spans="1:21">
      <c r="A295" s="73" t="s">
        <v>2158</v>
      </c>
      <c r="B295" s="73"/>
      <c r="C295" t="s">
        <v>3787</v>
      </c>
      <c r="G295" t="s">
        <v>2158</v>
      </c>
      <c r="H295" t="s">
        <v>2158</v>
      </c>
      <c r="I295" s="91">
        <v>1</v>
      </c>
      <c r="U295" s="91"/>
    </row>
    <row r="296" spans="1:21">
      <c r="A296" s="73" t="s">
        <v>436</v>
      </c>
      <c r="B296" s="73"/>
      <c r="C296" t="s">
        <v>3215</v>
      </c>
      <c r="G296" t="s">
        <v>436</v>
      </c>
      <c r="H296" t="s">
        <v>436</v>
      </c>
      <c r="I296" s="91">
        <v>1</v>
      </c>
      <c r="U296" s="91"/>
    </row>
    <row r="297" spans="1:21">
      <c r="A297" s="73" t="s">
        <v>2163</v>
      </c>
      <c r="B297" s="73"/>
      <c r="C297" t="s">
        <v>3788</v>
      </c>
      <c r="G297" t="s">
        <v>2163</v>
      </c>
      <c r="H297" t="s">
        <v>2163</v>
      </c>
      <c r="I297" s="91">
        <v>1</v>
      </c>
      <c r="U297" s="91"/>
    </row>
    <row r="298" spans="1:21">
      <c r="A298" s="73" t="s">
        <v>2167</v>
      </c>
      <c r="B298" s="73"/>
      <c r="C298" t="s">
        <v>3789</v>
      </c>
      <c r="G298" t="s">
        <v>2167</v>
      </c>
      <c r="H298" t="s">
        <v>2167</v>
      </c>
      <c r="I298" s="91">
        <v>1</v>
      </c>
      <c r="U298" s="91"/>
    </row>
    <row r="299" spans="1:21">
      <c r="A299" s="73" t="s">
        <v>2170</v>
      </c>
      <c r="B299" s="73"/>
      <c r="C299" t="s">
        <v>3790</v>
      </c>
      <c r="G299" t="s">
        <v>2170</v>
      </c>
      <c r="H299" t="s">
        <v>2170</v>
      </c>
      <c r="I299" s="91">
        <v>1</v>
      </c>
      <c r="U299" s="91"/>
    </row>
    <row r="300" spans="1:21">
      <c r="A300" s="73" t="s">
        <v>2175</v>
      </c>
      <c r="B300" s="73"/>
      <c r="C300" t="s">
        <v>3791</v>
      </c>
      <c r="G300" t="s">
        <v>2175</v>
      </c>
      <c r="H300" t="s">
        <v>5176</v>
      </c>
      <c r="I300" s="91">
        <v>0.98328633567774504</v>
      </c>
      <c r="U300" s="91"/>
    </row>
    <row r="301" spans="1:21">
      <c r="A301" s="73" t="s">
        <v>2179</v>
      </c>
      <c r="B301" s="73"/>
      <c r="C301" t="s">
        <v>3792</v>
      </c>
      <c r="G301" t="s">
        <v>2179</v>
      </c>
      <c r="H301" t="s">
        <v>4843</v>
      </c>
      <c r="I301" s="91">
        <v>0.55156695156695157</v>
      </c>
      <c r="U301" s="91"/>
    </row>
    <row r="302" spans="1:21">
      <c r="A302" s="73" t="s">
        <v>2183</v>
      </c>
      <c r="B302" s="73"/>
      <c r="C302" t="s">
        <v>3793</v>
      </c>
      <c r="G302" t="s">
        <v>2183</v>
      </c>
      <c r="H302" t="s">
        <v>2183</v>
      </c>
      <c r="I302" s="91">
        <v>1</v>
      </c>
      <c r="U302" s="91"/>
    </row>
    <row r="303" spans="1:21">
      <c r="A303" s="73" t="s">
        <v>2188</v>
      </c>
      <c r="B303" s="73"/>
      <c r="C303" t="s">
        <v>3794</v>
      </c>
      <c r="G303" t="s">
        <v>2188</v>
      </c>
      <c r="H303" t="s">
        <v>2189</v>
      </c>
      <c r="I303" s="91">
        <v>0.96674302878258611</v>
      </c>
      <c r="U303" s="91"/>
    </row>
    <row r="304" spans="1:21">
      <c r="A304" s="73" t="s">
        <v>2192</v>
      </c>
      <c r="B304" s="73"/>
      <c r="C304" t="s">
        <v>3795</v>
      </c>
      <c r="G304" t="s">
        <v>2192</v>
      </c>
      <c r="H304" t="s">
        <v>2192</v>
      </c>
      <c r="I304" s="91">
        <v>1</v>
      </c>
      <c r="U304" s="91"/>
    </row>
    <row r="305" spans="1:21">
      <c r="A305" s="73" t="s">
        <v>2196</v>
      </c>
      <c r="B305" s="73"/>
      <c r="C305" t="s">
        <v>3796</v>
      </c>
      <c r="G305" t="s">
        <v>2196</v>
      </c>
      <c r="H305" t="s">
        <v>2196</v>
      </c>
      <c r="I305" s="91">
        <v>1</v>
      </c>
      <c r="U305" s="91"/>
    </row>
    <row r="306" spans="1:21">
      <c r="A306" s="73" t="s">
        <v>2200</v>
      </c>
      <c r="B306" s="73"/>
      <c r="C306" t="s">
        <v>3797</v>
      </c>
      <c r="G306" t="s">
        <v>2200</v>
      </c>
      <c r="H306" t="s">
        <v>4885</v>
      </c>
      <c r="I306" s="91">
        <v>0.55134780034607311</v>
      </c>
      <c r="U306" s="91"/>
    </row>
    <row r="307" spans="1:21">
      <c r="A307" s="73" t="s">
        <v>382</v>
      </c>
      <c r="B307" s="73"/>
      <c r="C307" t="s">
        <v>3798</v>
      </c>
      <c r="G307" t="s">
        <v>382</v>
      </c>
      <c r="H307" t="s">
        <v>4059</v>
      </c>
      <c r="I307" s="91">
        <v>1</v>
      </c>
      <c r="U307" s="91"/>
    </row>
    <row r="308" spans="1:21">
      <c r="A308" s="73" t="s">
        <v>2207</v>
      </c>
      <c r="B308" s="73"/>
      <c r="C308" t="s">
        <v>3799</v>
      </c>
      <c r="G308" t="s">
        <v>2207</v>
      </c>
      <c r="H308" t="s">
        <v>2207</v>
      </c>
      <c r="I308" s="91">
        <v>1</v>
      </c>
      <c r="U308" s="91"/>
    </row>
    <row r="309" spans="1:21">
      <c r="A309" s="73" t="s">
        <v>2211</v>
      </c>
      <c r="B309" s="73"/>
      <c r="C309" t="s">
        <v>3800</v>
      </c>
      <c r="G309" t="s">
        <v>2211</v>
      </c>
      <c r="H309" t="s">
        <v>2211</v>
      </c>
      <c r="I309" s="91">
        <v>1</v>
      </c>
      <c r="U309" s="91"/>
    </row>
    <row r="310" spans="1:21">
      <c r="A310" s="73" t="s">
        <v>2215</v>
      </c>
      <c r="B310" s="73"/>
      <c r="C310" t="s">
        <v>3801</v>
      </c>
      <c r="G310" t="s">
        <v>2215</v>
      </c>
      <c r="H310" t="s">
        <v>2215</v>
      </c>
      <c r="I310" s="91">
        <v>1</v>
      </c>
      <c r="U310" s="91"/>
    </row>
    <row r="311" spans="1:21">
      <c r="A311" s="73" t="s">
        <v>2219</v>
      </c>
      <c r="B311" s="73"/>
      <c r="C311" t="s">
        <v>3803</v>
      </c>
      <c r="G311" t="s">
        <v>2219</v>
      </c>
      <c r="H311" t="s">
        <v>2219</v>
      </c>
      <c r="I311" s="91">
        <v>1</v>
      </c>
      <c r="U311" s="91"/>
    </row>
    <row r="312" spans="1:21">
      <c r="A312" s="73" t="s">
        <v>2222</v>
      </c>
      <c r="B312" s="73"/>
      <c r="C312" t="s">
        <v>3804</v>
      </c>
      <c r="G312" t="s">
        <v>2222</v>
      </c>
      <c r="H312" t="s">
        <v>2222</v>
      </c>
      <c r="I312" s="91">
        <v>1</v>
      </c>
      <c r="U312" s="91"/>
    </row>
    <row r="313" spans="1:21">
      <c r="A313" s="73" t="s">
        <v>2225</v>
      </c>
      <c r="B313" s="73"/>
      <c r="C313" t="s">
        <v>3805</v>
      </c>
      <c r="G313" t="s">
        <v>2225</v>
      </c>
      <c r="H313" t="s">
        <v>2225</v>
      </c>
      <c r="I313" s="91">
        <v>1</v>
      </c>
      <c r="U313" s="91"/>
    </row>
    <row r="314" spans="1:21">
      <c r="A314" s="73" t="s">
        <v>2229</v>
      </c>
      <c r="B314" s="73"/>
      <c r="C314" t="s">
        <v>3806</v>
      </c>
      <c r="G314" t="s">
        <v>2229</v>
      </c>
      <c r="H314" t="s">
        <v>2916</v>
      </c>
      <c r="I314" s="91">
        <v>0.52832332979030761</v>
      </c>
      <c r="U314" s="91"/>
    </row>
    <row r="315" spans="1:21">
      <c r="A315" s="73" t="s">
        <v>507</v>
      </c>
      <c r="B315" s="73"/>
      <c r="C315" t="s">
        <v>3807</v>
      </c>
      <c r="G315" t="s">
        <v>507</v>
      </c>
      <c r="H315" t="s">
        <v>4326</v>
      </c>
      <c r="I315" s="91">
        <v>0.96093253683361302</v>
      </c>
      <c r="U315" s="91"/>
    </row>
    <row r="316" spans="1:21">
      <c r="A316" s="73" t="s">
        <v>2235</v>
      </c>
      <c r="B316" s="73"/>
      <c r="C316" t="s">
        <v>3808</v>
      </c>
      <c r="G316" t="s">
        <v>2235</v>
      </c>
      <c r="H316" t="s">
        <v>5003</v>
      </c>
      <c r="I316" s="91">
        <v>0.95137509954984933</v>
      </c>
      <c r="U316" s="91"/>
    </row>
    <row r="317" spans="1:21">
      <c r="A317" s="73" t="s">
        <v>2240</v>
      </c>
      <c r="B317" s="73"/>
      <c r="C317" t="s">
        <v>1728</v>
      </c>
      <c r="G317" t="s">
        <v>2240</v>
      </c>
      <c r="H317" t="s">
        <v>3637</v>
      </c>
      <c r="I317" s="91">
        <v>1</v>
      </c>
      <c r="U317" s="91"/>
    </row>
    <row r="318" spans="1:21">
      <c r="A318" s="73" t="s">
        <v>2243</v>
      </c>
      <c r="B318" s="73"/>
      <c r="C318" t="s">
        <v>3809</v>
      </c>
      <c r="G318" t="s">
        <v>2243</v>
      </c>
      <c r="H318" t="s">
        <v>3829</v>
      </c>
      <c r="I318" s="91">
        <v>0.98030733064917852</v>
      </c>
      <c r="U318" s="91"/>
    </row>
    <row r="319" spans="1:21">
      <c r="A319" s="73" t="s">
        <v>2248</v>
      </c>
      <c r="B319" s="73"/>
      <c r="C319" t="s">
        <v>3810</v>
      </c>
      <c r="G319" t="s">
        <v>2248</v>
      </c>
      <c r="H319" t="s">
        <v>2249</v>
      </c>
      <c r="I319" s="91">
        <v>1</v>
      </c>
      <c r="U319" s="91"/>
    </row>
    <row r="320" spans="1:21">
      <c r="A320" s="73" t="s">
        <v>2252</v>
      </c>
      <c r="B320" s="73"/>
      <c r="C320" t="s">
        <v>3811</v>
      </c>
      <c r="G320" t="s">
        <v>2252</v>
      </c>
      <c r="H320" t="s">
        <v>2252</v>
      </c>
      <c r="I320" s="91">
        <v>1</v>
      </c>
      <c r="U320" s="91"/>
    </row>
    <row r="321" spans="1:21">
      <c r="A321" s="73" t="s">
        <v>2256</v>
      </c>
      <c r="B321" s="73"/>
      <c r="C321" t="s">
        <v>3812</v>
      </c>
      <c r="G321" t="s">
        <v>2256</v>
      </c>
      <c r="H321" t="s">
        <v>2256</v>
      </c>
      <c r="I321" s="91">
        <v>1</v>
      </c>
      <c r="U321" s="91"/>
    </row>
    <row r="322" spans="1:21">
      <c r="A322" s="73" t="s">
        <v>2260</v>
      </c>
      <c r="B322" s="73"/>
      <c r="C322" t="s">
        <v>1808</v>
      </c>
      <c r="G322" t="s">
        <v>2260</v>
      </c>
      <c r="H322" t="s">
        <v>2260</v>
      </c>
      <c r="I322" s="91">
        <v>1</v>
      </c>
      <c r="U322" s="91"/>
    </row>
    <row r="323" spans="1:21">
      <c r="A323" s="73" t="s">
        <v>2263</v>
      </c>
      <c r="B323" s="73"/>
      <c r="C323" t="s">
        <v>3813</v>
      </c>
      <c r="G323" t="s">
        <v>2263</v>
      </c>
      <c r="H323" t="s">
        <v>2263</v>
      </c>
      <c r="I323" s="91">
        <v>1</v>
      </c>
      <c r="U323" s="91"/>
    </row>
    <row r="324" spans="1:21">
      <c r="A324" s="73" t="s">
        <v>2268</v>
      </c>
      <c r="B324" s="73"/>
      <c r="C324" t="s">
        <v>3814</v>
      </c>
      <c r="G324" t="s">
        <v>2268</v>
      </c>
      <c r="H324" t="s">
        <v>4481</v>
      </c>
      <c r="I324" s="91">
        <v>0.97965522683831441</v>
      </c>
      <c r="U324" s="91"/>
    </row>
    <row r="325" spans="1:21">
      <c r="A325" s="73" t="s">
        <v>2272</v>
      </c>
      <c r="B325" s="73"/>
      <c r="C325" t="s">
        <v>3815</v>
      </c>
      <c r="G325" t="s">
        <v>2272</v>
      </c>
      <c r="I325" s="91">
        <v>0</v>
      </c>
      <c r="U325" s="91"/>
    </row>
    <row r="326" spans="1:21">
      <c r="A326" s="73" t="s">
        <v>2277</v>
      </c>
      <c r="B326" s="73"/>
      <c r="C326" t="s">
        <v>63</v>
      </c>
      <c r="G326" t="s">
        <v>2277</v>
      </c>
      <c r="H326" t="s">
        <v>3795</v>
      </c>
      <c r="I326" s="91">
        <v>0.55384615384615388</v>
      </c>
      <c r="U326" s="91"/>
    </row>
    <row r="327" spans="1:21">
      <c r="A327" s="73" t="s">
        <v>2281</v>
      </c>
      <c r="B327" s="73"/>
      <c r="C327" t="s">
        <v>2368</v>
      </c>
      <c r="G327" t="s">
        <v>2281</v>
      </c>
      <c r="H327" t="s">
        <v>4955</v>
      </c>
      <c r="I327" s="91">
        <v>0.52114285714285713</v>
      </c>
      <c r="U327" s="91"/>
    </row>
    <row r="328" spans="1:21">
      <c r="A328" s="73" t="s">
        <v>2286</v>
      </c>
      <c r="B328" s="73"/>
      <c r="C328" t="s">
        <v>3816</v>
      </c>
      <c r="G328" t="s">
        <v>2286</v>
      </c>
      <c r="H328" t="s">
        <v>2286</v>
      </c>
      <c r="I328" s="91">
        <v>1</v>
      </c>
      <c r="U328" s="91"/>
    </row>
    <row r="329" spans="1:21">
      <c r="A329" s="73" t="s">
        <v>2290</v>
      </c>
      <c r="B329" s="73"/>
      <c r="C329" t="s">
        <v>3817</v>
      </c>
      <c r="G329" t="s">
        <v>2290</v>
      </c>
      <c r="H329" t="s">
        <v>4697</v>
      </c>
      <c r="I329" s="91">
        <v>0.52201592506585448</v>
      </c>
      <c r="U329" s="91"/>
    </row>
    <row r="330" spans="1:21">
      <c r="A330" s="73" t="s">
        <v>2294</v>
      </c>
      <c r="B330" s="73"/>
      <c r="C330" t="s">
        <v>574</v>
      </c>
      <c r="G330" t="s">
        <v>2294</v>
      </c>
      <c r="H330" t="s">
        <v>4551</v>
      </c>
      <c r="I330" s="91">
        <v>0.66116456417931724</v>
      </c>
      <c r="U330" s="91"/>
    </row>
    <row r="331" spans="1:21">
      <c r="A331" s="73" t="s">
        <v>2299</v>
      </c>
      <c r="B331" s="73"/>
      <c r="C331" t="s">
        <v>621</v>
      </c>
      <c r="G331" t="s">
        <v>2299</v>
      </c>
      <c r="H331" t="s">
        <v>3635</v>
      </c>
      <c r="I331" s="91">
        <v>0.55420216133796196</v>
      </c>
      <c r="U331" s="91"/>
    </row>
    <row r="332" spans="1:21">
      <c r="A332" s="73" t="s">
        <v>2303</v>
      </c>
      <c r="B332" s="73"/>
      <c r="C332" t="s">
        <v>3818</v>
      </c>
      <c r="G332" t="s">
        <v>2303</v>
      </c>
      <c r="H332" t="s">
        <v>4126</v>
      </c>
      <c r="I332" s="91">
        <v>0.53666666666666674</v>
      </c>
      <c r="U332" s="91"/>
    </row>
    <row r="333" spans="1:21">
      <c r="A333" s="73" t="s">
        <v>2307</v>
      </c>
      <c r="B333" s="73"/>
      <c r="C333" t="s">
        <v>133</v>
      </c>
      <c r="G333" t="s">
        <v>2307</v>
      </c>
      <c r="H333" t="s">
        <v>3913</v>
      </c>
      <c r="I333" s="91">
        <v>0.89367705322911728</v>
      </c>
      <c r="U333" s="91"/>
    </row>
    <row r="334" spans="1:21">
      <c r="A334" s="73" t="s">
        <v>2311</v>
      </c>
      <c r="B334" s="73"/>
      <c r="C334" t="s">
        <v>3819</v>
      </c>
      <c r="G334" t="s">
        <v>2311</v>
      </c>
      <c r="H334" t="s">
        <v>2311</v>
      </c>
      <c r="I334" s="91">
        <v>1</v>
      </c>
      <c r="U334" s="91"/>
    </row>
    <row r="335" spans="1:21">
      <c r="A335" s="73" t="s">
        <v>2314</v>
      </c>
      <c r="B335" s="73"/>
      <c r="C335" t="s">
        <v>3820</v>
      </c>
      <c r="G335" t="s">
        <v>2314</v>
      </c>
      <c r="H335" t="s">
        <v>4789</v>
      </c>
      <c r="I335" s="91">
        <v>0.98191871402957587</v>
      </c>
      <c r="U335" s="91"/>
    </row>
    <row r="336" spans="1:21">
      <c r="A336" s="73" t="s">
        <v>2319</v>
      </c>
      <c r="B336" s="73"/>
      <c r="C336" t="s">
        <v>3821</v>
      </c>
      <c r="G336" t="s">
        <v>2319</v>
      </c>
      <c r="H336" t="s">
        <v>4978</v>
      </c>
      <c r="I336" s="91">
        <v>0.94839371930902538</v>
      </c>
      <c r="U336" s="91"/>
    </row>
    <row r="337" spans="1:21">
      <c r="A337" s="73" t="s">
        <v>2324</v>
      </c>
      <c r="B337" s="73"/>
      <c r="C337" t="s">
        <v>3822</v>
      </c>
      <c r="G337" t="s">
        <v>2324</v>
      </c>
      <c r="H337" t="s">
        <v>5146</v>
      </c>
      <c r="I337" s="91">
        <v>0.97371224044135352</v>
      </c>
      <c r="U337" s="91"/>
    </row>
    <row r="338" spans="1:21">
      <c r="A338" s="73" t="s">
        <v>2327</v>
      </c>
      <c r="B338" s="73"/>
      <c r="C338" t="s">
        <v>3823</v>
      </c>
      <c r="G338" t="s">
        <v>2327</v>
      </c>
      <c r="H338" t="s">
        <v>4702</v>
      </c>
      <c r="I338" s="91">
        <v>0.98699519641534283</v>
      </c>
      <c r="U338" s="91"/>
    </row>
    <row r="339" spans="1:21">
      <c r="A339" s="73" t="s">
        <v>2332</v>
      </c>
      <c r="B339" s="73"/>
      <c r="C339" t="s">
        <v>252</v>
      </c>
      <c r="G339" t="s">
        <v>2332</v>
      </c>
      <c r="H339" t="s">
        <v>4670</v>
      </c>
      <c r="I339" s="91">
        <v>0.52540873791331999</v>
      </c>
      <c r="U339" s="91"/>
    </row>
    <row r="340" spans="1:21">
      <c r="A340" s="73" t="s">
        <v>2336</v>
      </c>
      <c r="B340" s="73"/>
      <c r="C340" t="s">
        <v>3824</v>
      </c>
      <c r="G340" t="s">
        <v>2336</v>
      </c>
      <c r="H340" t="s">
        <v>2336</v>
      </c>
      <c r="I340" s="91">
        <v>1</v>
      </c>
      <c r="U340" s="91"/>
    </row>
    <row r="341" spans="1:21">
      <c r="A341" s="73" t="s">
        <v>2339</v>
      </c>
      <c r="B341" s="73"/>
      <c r="C341" t="s">
        <v>3825</v>
      </c>
      <c r="G341" t="s">
        <v>2339</v>
      </c>
      <c r="H341" t="s">
        <v>4789</v>
      </c>
      <c r="I341" s="91">
        <v>0.54035087719298247</v>
      </c>
      <c r="U341" s="91"/>
    </row>
    <row r="342" spans="1:21">
      <c r="A342" s="73" t="s">
        <v>2343</v>
      </c>
      <c r="B342" s="73"/>
      <c r="C342" t="s">
        <v>3826</v>
      </c>
      <c r="G342" t="s">
        <v>2343</v>
      </c>
      <c r="H342" t="s">
        <v>2343</v>
      </c>
      <c r="I342" s="91">
        <v>1</v>
      </c>
      <c r="U342" s="91"/>
    </row>
    <row r="343" spans="1:21">
      <c r="A343" s="73" t="s">
        <v>2347</v>
      </c>
      <c r="B343" s="73"/>
      <c r="C343" t="s">
        <v>3122</v>
      </c>
      <c r="G343" t="s">
        <v>2347</v>
      </c>
      <c r="H343" t="s">
        <v>2347</v>
      </c>
      <c r="I343" s="91">
        <v>1</v>
      </c>
      <c r="U343" s="91"/>
    </row>
    <row r="344" spans="1:21">
      <c r="A344" s="73" t="s">
        <v>2352</v>
      </c>
      <c r="B344" s="73"/>
      <c r="C344" t="s">
        <v>2580</v>
      </c>
      <c r="G344" t="s">
        <v>2352</v>
      </c>
      <c r="H344" t="s">
        <v>2352</v>
      </c>
      <c r="I344" s="91">
        <v>1</v>
      </c>
      <c r="U344" s="91"/>
    </row>
    <row r="345" spans="1:21">
      <c r="A345" s="73" t="s">
        <v>79</v>
      </c>
      <c r="B345" s="73"/>
      <c r="C345" t="s">
        <v>3827</v>
      </c>
      <c r="G345" t="s">
        <v>79</v>
      </c>
      <c r="H345" t="s">
        <v>79</v>
      </c>
      <c r="I345" s="91">
        <v>1</v>
      </c>
      <c r="U345" s="91"/>
    </row>
    <row r="346" spans="1:21">
      <c r="A346" s="73" t="s">
        <v>630</v>
      </c>
      <c r="B346" s="73"/>
      <c r="C346" t="s">
        <v>250</v>
      </c>
      <c r="G346" t="s">
        <v>630</v>
      </c>
      <c r="H346" t="s">
        <v>630</v>
      </c>
      <c r="I346" s="91">
        <v>1</v>
      </c>
      <c r="U346" s="91"/>
    </row>
    <row r="347" spans="1:21">
      <c r="A347" s="73" t="s">
        <v>78</v>
      </c>
      <c r="B347" s="73"/>
      <c r="C347" t="s">
        <v>1345</v>
      </c>
      <c r="G347" t="s">
        <v>78</v>
      </c>
      <c r="H347" t="s">
        <v>78</v>
      </c>
      <c r="I347" s="91">
        <v>1</v>
      </c>
      <c r="U347" s="91"/>
    </row>
    <row r="348" spans="1:21">
      <c r="A348" s="73" t="s">
        <v>2363</v>
      </c>
      <c r="B348" s="73"/>
      <c r="C348" t="s">
        <v>2798</v>
      </c>
      <c r="G348" t="s">
        <v>2363</v>
      </c>
      <c r="H348" t="s">
        <v>2363</v>
      </c>
      <c r="I348" s="91">
        <v>1</v>
      </c>
      <c r="U348" s="91"/>
    </row>
    <row r="349" spans="1:21">
      <c r="A349" s="73" t="s">
        <v>2368</v>
      </c>
      <c r="B349" s="73"/>
      <c r="C349" t="s">
        <v>3828</v>
      </c>
      <c r="G349" t="s">
        <v>2368</v>
      </c>
      <c r="H349" t="s">
        <v>2368</v>
      </c>
      <c r="I349" s="91">
        <v>1</v>
      </c>
      <c r="U349" s="91"/>
    </row>
    <row r="350" spans="1:21">
      <c r="A350" s="73" t="s">
        <v>321</v>
      </c>
      <c r="B350" s="73"/>
      <c r="C350" t="s">
        <v>3829</v>
      </c>
      <c r="G350" t="s">
        <v>321</v>
      </c>
      <c r="H350" t="s">
        <v>321</v>
      </c>
      <c r="I350" s="91">
        <v>1</v>
      </c>
      <c r="U350" s="91"/>
    </row>
    <row r="351" spans="1:21">
      <c r="A351" s="73" t="s">
        <v>171</v>
      </c>
      <c r="B351" s="73"/>
      <c r="C351" t="s">
        <v>3830</v>
      </c>
      <c r="G351" t="s">
        <v>171</v>
      </c>
      <c r="H351" t="s">
        <v>171</v>
      </c>
      <c r="I351" s="91">
        <v>1</v>
      </c>
      <c r="U351" s="91"/>
    </row>
    <row r="352" spans="1:21">
      <c r="A352" s="73" t="s">
        <v>2377</v>
      </c>
      <c r="B352" s="73"/>
      <c r="C352" t="s">
        <v>2865</v>
      </c>
      <c r="G352" t="s">
        <v>2377</v>
      </c>
      <c r="H352" t="s">
        <v>5171</v>
      </c>
      <c r="I352" s="91">
        <v>0.51271279776503087</v>
      </c>
      <c r="U352" s="91"/>
    </row>
    <row r="353" spans="1:21">
      <c r="A353" s="73" t="s">
        <v>2381</v>
      </c>
      <c r="B353" s="73"/>
      <c r="C353" t="s">
        <v>3831</v>
      </c>
      <c r="G353" t="s">
        <v>2381</v>
      </c>
      <c r="H353" t="s">
        <v>5088</v>
      </c>
      <c r="I353" s="91">
        <v>0.81297672702844759</v>
      </c>
      <c r="U353" s="91"/>
    </row>
    <row r="354" spans="1:21">
      <c r="A354" s="73" t="s">
        <v>2386</v>
      </c>
      <c r="B354" s="73"/>
      <c r="C354" t="s">
        <v>230</v>
      </c>
      <c r="G354" t="s">
        <v>2386</v>
      </c>
      <c r="H354" t="s">
        <v>2386</v>
      </c>
      <c r="I354" s="91">
        <v>1</v>
      </c>
      <c r="U354" s="91"/>
    </row>
    <row r="355" spans="1:21">
      <c r="A355" s="73" t="s">
        <v>2390</v>
      </c>
      <c r="B355" s="73"/>
      <c r="C355" t="s">
        <v>3832</v>
      </c>
      <c r="G355" t="s">
        <v>2390</v>
      </c>
      <c r="H355" t="s">
        <v>4275</v>
      </c>
      <c r="I355" s="91">
        <v>0.96093253683361302</v>
      </c>
      <c r="U355" s="91"/>
    </row>
    <row r="356" spans="1:21">
      <c r="A356" s="73" t="s">
        <v>2394</v>
      </c>
      <c r="B356" s="73"/>
      <c r="C356" t="s">
        <v>3833</v>
      </c>
      <c r="G356" t="s">
        <v>2394</v>
      </c>
      <c r="H356" t="s">
        <v>3890</v>
      </c>
      <c r="I356" s="91">
        <v>0.64763261567983255</v>
      </c>
      <c r="U356" s="91"/>
    </row>
    <row r="357" spans="1:21">
      <c r="A357" s="73" t="s">
        <v>2399</v>
      </c>
      <c r="B357" s="73"/>
      <c r="C357" t="s">
        <v>3834</v>
      </c>
      <c r="G357" t="s">
        <v>2399</v>
      </c>
      <c r="H357" t="s">
        <v>4596</v>
      </c>
      <c r="I357" s="91">
        <v>0.55438758438937741</v>
      </c>
      <c r="U357" s="91"/>
    </row>
    <row r="358" spans="1:21">
      <c r="A358" s="73" t="s">
        <v>2404</v>
      </c>
      <c r="B358" s="73"/>
      <c r="C358" t="s">
        <v>3835</v>
      </c>
      <c r="G358" t="s">
        <v>2404</v>
      </c>
      <c r="H358" t="s">
        <v>4834</v>
      </c>
      <c r="I358" s="91">
        <v>0.54366430855983616</v>
      </c>
      <c r="U358" s="91"/>
    </row>
    <row r="359" spans="1:21">
      <c r="A359" s="73" t="s">
        <v>2409</v>
      </c>
      <c r="B359" s="73"/>
      <c r="C359" t="s">
        <v>1053</v>
      </c>
      <c r="G359" t="s">
        <v>2409</v>
      </c>
      <c r="H359" t="s">
        <v>3525</v>
      </c>
      <c r="I359" s="91">
        <v>0.52987012987012982</v>
      </c>
      <c r="U359" s="91"/>
    </row>
    <row r="360" spans="1:21">
      <c r="A360" s="73" t="s">
        <v>2413</v>
      </c>
      <c r="B360" s="73"/>
      <c r="C360" t="s">
        <v>3836</v>
      </c>
      <c r="G360" t="s">
        <v>2413</v>
      </c>
      <c r="H360" t="s">
        <v>3059</v>
      </c>
      <c r="I360" s="91">
        <v>0.53666666666666674</v>
      </c>
      <c r="U360" s="91"/>
    </row>
    <row r="361" spans="1:21">
      <c r="A361" s="73" t="s">
        <v>2417</v>
      </c>
      <c r="B361" s="73"/>
      <c r="C361" t="s">
        <v>3837</v>
      </c>
      <c r="G361" t="s">
        <v>2417</v>
      </c>
      <c r="H361" t="s">
        <v>4502</v>
      </c>
      <c r="I361" s="91">
        <v>0.93233482037706228</v>
      </c>
      <c r="U361" s="91"/>
    </row>
    <row r="362" spans="1:21">
      <c r="A362" s="73" t="s">
        <v>2421</v>
      </c>
      <c r="B362" s="73"/>
      <c r="C362" t="s">
        <v>3838</v>
      </c>
      <c r="G362" t="s">
        <v>2421</v>
      </c>
      <c r="H362" t="s">
        <v>2421</v>
      </c>
      <c r="I362" s="91">
        <v>1</v>
      </c>
      <c r="U362" s="91"/>
    </row>
    <row r="363" spans="1:21">
      <c r="A363" s="73" t="s">
        <v>2425</v>
      </c>
      <c r="B363" s="73"/>
      <c r="C363" t="s">
        <v>2567</v>
      </c>
      <c r="G363" t="s">
        <v>2425</v>
      </c>
      <c r="H363" t="s">
        <v>5089</v>
      </c>
      <c r="I363" s="91">
        <v>0.5403038789735648</v>
      </c>
      <c r="U363" s="91"/>
    </row>
    <row r="364" spans="1:21">
      <c r="A364" s="73" t="s">
        <v>2429</v>
      </c>
      <c r="B364" s="73"/>
      <c r="C364" t="s">
        <v>3839</v>
      </c>
      <c r="G364" t="s">
        <v>2429</v>
      </c>
      <c r="H364" t="s">
        <v>4652</v>
      </c>
      <c r="I364" s="91">
        <v>0.55113039535494723</v>
      </c>
      <c r="U364" s="91"/>
    </row>
    <row r="365" spans="1:21">
      <c r="A365" s="73" t="s">
        <v>2434</v>
      </c>
      <c r="B365" s="73"/>
      <c r="C365" t="s">
        <v>44</v>
      </c>
      <c r="G365" t="s">
        <v>2434</v>
      </c>
      <c r="H365" t="s">
        <v>1782</v>
      </c>
      <c r="I365" s="91">
        <v>0.53714285714285714</v>
      </c>
      <c r="U365" s="91"/>
    </row>
    <row r="366" spans="1:21">
      <c r="A366" s="73" t="s">
        <v>2439</v>
      </c>
      <c r="B366" s="73"/>
      <c r="C366" t="s">
        <v>3840</v>
      </c>
      <c r="G366" t="s">
        <v>2439</v>
      </c>
      <c r="H366" t="s">
        <v>3625</v>
      </c>
      <c r="I366" s="91">
        <v>0.95412844036697253</v>
      </c>
      <c r="U366" s="91"/>
    </row>
    <row r="367" spans="1:21">
      <c r="A367" s="73" t="s">
        <v>2443</v>
      </c>
      <c r="B367" s="73"/>
      <c r="C367" t="s">
        <v>3841</v>
      </c>
      <c r="G367" t="s">
        <v>2443</v>
      </c>
      <c r="H367" t="s">
        <v>5101</v>
      </c>
      <c r="I367" s="91">
        <v>0.5134517174496539</v>
      </c>
      <c r="U367" s="91"/>
    </row>
    <row r="368" spans="1:21">
      <c r="A368" s="73" t="s">
        <v>2447</v>
      </c>
      <c r="B368" s="73"/>
      <c r="C368" t="s">
        <v>3842</v>
      </c>
      <c r="G368" t="s">
        <v>2447</v>
      </c>
      <c r="H368" t="s">
        <v>3813</v>
      </c>
      <c r="I368" s="91">
        <v>0.40539547037260359</v>
      </c>
      <c r="U368" s="91"/>
    </row>
    <row r="369" spans="1:21">
      <c r="A369" s="73" t="s">
        <v>2451</v>
      </c>
      <c r="B369" s="73"/>
      <c r="C369" t="s">
        <v>3843</v>
      </c>
      <c r="G369" t="s">
        <v>2451</v>
      </c>
      <c r="H369" t="s">
        <v>3822</v>
      </c>
      <c r="I369" s="91">
        <v>0.62016242157996004</v>
      </c>
      <c r="U369" s="91"/>
    </row>
    <row r="370" spans="1:21">
      <c r="A370" s="73" t="s">
        <v>2455</v>
      </c>
      <c r="B370" s="73"/>
      <c r="C370" t="s">
        <v>3844</v>
      </c>
      <c r="G370" t="s">
        <v>2455</v>
      </c>
      <c r="H370" t="s">
        <v>1782</v>
      </c>
      <c r="I370" s="91">
        <v>0.53714285714285714</v>
      </c>
      <c r="U370" s="91"/>
    </row>
    <row r="371" spans="1:21">
      <c r="A371" s="73" t="s">
        <v>2460</v>
      </c>
      <c r="B371" s="73"/>
      <c r="C371" t="s">
        <v>3845</v>
      </c>
      <c r="G371" t="s">
        <v>2460</v>
      </c>
      <c r="H371" t="s">
        <v>3512</v>
      </c>
      <c r="I371" s="91">
        <v>0.56849816849816848</v>
      </c>
      <c r="U371" s="91"/>
    </row>
    <row r="372" spans="1:21">
      <c r="A372" s="73" t="s">
        <v>2465</v>
      </c>
      <c r="B372" s="73"/>
      <c r="C372" t="s">
        <v>3846</v>
      </c>
      <c r="G372" t="s">
        <v>2465</v>
      </c>
      <c r="H372" t="s">
        <v>3966</v>
      </c>
      <c r="I372" s="91">
        <v>0.96674302878258611</v>
      </c>
      <c r="U372" s="91"/>
    </row>
    <row r="373" spans="1:21">
      <c r="A373" s="73" t="s">
        <v>2469</v>
      </c>
      <c r="B373" s="73"/>
      <c r="C373" t="s">
        <v>1333</v>
      </c>
      <c r="G373" t="s">
        <v>2469</v>
      </c>
      <c r="I373" s="91">
        <v>0</v>
      </c>
      <c r="U373" s="91"/>
    </row>
    <row r="374" spans="1:21">
      <c r="A374" s="73" t="s">
        <v>2473</v>
      </c>
      <c r="B374" s="73"/>
      <c r="C374" t="s">
        <v>3847</v>
      </c>
      <c r="G374" t="s">
        <v>2473</v>
      </c>
      <c r="H374" t="s">
        <v>2473</v>
      </c>
      <c r="I374" s="91">
        <v>1</v>
      </c>
      <c r="U374" s="91"/>
    </row>
    <row r="375" spans="1:21">
      <c r="A375" s="73" t="s">
        <v>2477</v>
      </c>
      <c r="B375" s="73"/>
      <c r="C375" t="s">
        <v>3848</v>
      </c>
      <c r="G375" t="s">
        <v>2477</v>
      </c>
      <c r="H375" t="s">
        <v>5194</v>
      </c>
      <c r="I375" s="91">
        <v>0.93108199482681109</v>
      </c>
      <c r="U375" s="91"/>
    </row>
    <row r="376" spans="1:21">
      <c r="A376" s="73" t="s">
        <v>2480</v>
      </c>
      <c r="B376" s="73"/>
      <c r="C376" t="s">
        <v>3849</v>
      </c>
      <c r="G376" t="s">
        <v>2480</v>
      </c>
      <c r="H376" t="s">
        <v>2480</v>
      </c>
      <c r="I376" s="91">
        <v>1</v>
      </c>
      <c r="U376" s="91"/>
    </row>
    <row r="377" spans="1:21">
      <c r="A377" s="73" t="s">
        <v>2485</v>
      </c>
      <c r="B377" s="73"/>
      <c r="C377" t="s">
        <v>3850</v>
      </c>
      <c r="G377" t="s">
        <v>2485</v>
      </c>
      <c r="I377" s="91">
        <v>0</v>
      </c>
      <c r="U377" s="91"/>
    </row>
    <row r="378" spans="1:21">
      <c r="A378" s="73" t="s">
        <v>2489</v>
      </c>
      <c r="B378" s="73"/>
      <c r="C378" t="s">
        <v>3002</v>
      </c>
      <c r="G378" t="s">
        <v>2489</v>
      </c>
      <c r="H378" t="s">
        <v>2489</v>
      </c>
      <c r="I378" s="91">
        <v>1</v>
      </c>
      <c r="U378" s="91"/>
    </row>
    <row r="379" spans="1:21">
      <c r="A379" s="73" t="s">
        <v>2493</v>
      </c>
      <c r="B379" s="73"/>
      <c r="C379" t="s">
        <v>3851</v>
      </c>
      <c r="G379" t="s">
        <v>2493</v>
      </c>
      <c r="H379" t="s">
        <v>5072</v>
      </c>
      <c r="I379" s="91">
        <v>0.54777818016357138</v>
      </c>
      <c r="U379" s="91"/>
    </row>
    <row r="380" spans="1:21">
      <c r="A380" s="73" t="s">
        <v>2497</v>
      </c>
      <c r="B380" s="73"/>
      <c r="C380" t="s">
        <v>3852</v>
      </c>
      <c r="G380" t="s">
        <v>2497</v>
      </c>
      <c r="H380" t="s">
        <v>3813</v>
      </c>
      <c r="I380" s="91">
        <v>0.92812905494864362</v>
      </c>
      <c r="U380" s="91"/>
    </row>
    <row r="381" spans="1:21">
      <c r="A381" s="73" t="s">
        <v>2502</v>
      </c>
      <c r="B381" s="73"/>
      <c r="C381" t="s">
        <v>3853</v>
      </c>
      <c r="G381" t="s">
        <v>2502</v>
      </c>
      <c r="H381" t="s">
        <v>4619</v>
      </c>
      <c r="I381" s="91">
        <v>0.56849816849816848</v>
      </c>
      <c r="U381" s="91"/>
    </row>
    <row r="382" spans="1:21">
      <c r="A382" s="73" t="s">
        <v>2507</v>
      </c>
      <c r="B382" s="73"/>
      <c r="C382" t="s">
        <v>3854</v>
      </c>
      <c r="G382" t="s">
        <v>2507</v>
      </c>
      <c r="H382" t="s">
        <v>2507</v>
      </c>
      <c r="I382" s="91">
        <v>1</v>
      </c>
      <c r="U382" s="91"/>
    </row>
    <row r="383" spans="1:21">
      <c r="A383" s="73" t="s">
        <v>2510</v>
      </c>
      <c r="B383" s="73"/>
      <c r="C383" t="s">
        <v>3855</v>
      </c>
      <c r="G383" t="s">
        <v>2510</v>
      </c>
      <c r="H383" t="s">
        <v>4544</v>
      </c>
      <c r="I383" s="91">
        <v>0.92240552782094098</v>
      </c>
      <c r="U383" s="91"/>
    </row>
    <row r="384" spans="1:21">
      <c r="A384" s="73" t="s">
        <v>2515</v>
      </c>
      <c r="B384" s="73"/>
      <c r="C384" t="s">
        <v>3856</v>
      </c>
      <c r="G384" t="s">
        <v>2515</v>
      </c>
      <c r="H384" t="s">
        <v>2515</v>
      </c>
      <c r="I384" s="91">
        <v>1</v>
      </c>
      <c r="U384" s="91"/>
    </row>
    <row r="385" spans="1:21">
      <c r="A385" s="73" t="s">
        <v>2519</v>
      </c>
      <c r="B385" s="73"/>
      <c r="C385" t="s">
        <v>1030</v>
      </c>
      <c r="G385" t="s">
        <v>2519</v>
      </c>
      <c r="H385" t="s">
        <v>4126</v>
      </c>
      <c r="I385" s="91">
        <v>0.97965522683831441</v>
      </c>
      <c r="U385" s="91"/>
    </row>
    <row r="386" spans="1:21">
      <c r="A386" s="73" t="s">
        <v>2523</v>
      </c>
      <c r="B386" s="73"/>
      <c r="C386" t="s">
        <v>2364</v>
      </c>
      <c r="G386" t="s">
        <v>2523</v>
      </c>
      <c r="H386" t="s">
        <v>4218</v>
      </c>
      <c r="I386" s="91">
        <v>0.52987012987012982</v>
      </c>
      <c r="U386" s="91"/>
    </row>
    <row r="387" spans="1:21">
      <c r="A387" s="73" t="s">
        <v>2526</v>
      </c>
      <c r="B387" s="73"/>
      <c r="C387" t="s">
        <v>2548</v>
      </c>
      <c r="G387" t="s">
        <v>2526</v>
      </c>
      <c r="H387" t="s">
        <v>3634</v>
      </c>
      <c r="I387" s="91">
        <v>0.5438606263409046</v>
      </c>
      <c r="U387" s="91"/>
    </row>
    <row r="388" spans="1:21">
      <c r="A388" s="73" t="s">
        <v>2531</v>
      </c>
      <c r="B388" s="73"/>
      <c r="C388" t="s">
        <v>1594</v>
      </c>
      <c r="G388" t="s">
        <v>2531</v>
      </c>
      <c r="H388" t="s">
        <v>2531</v>
      </c>
      <c r="I388" s="91">
        <v>1</v>
      </c>
      <c r="U388" s="91"/>
    </row>
    <row r="389" spans="1:21">
      <c r="A389" s="73" t="s">
        <v>2535</v>
      </c>
      <c r="B389" s="73"/>
      <c r="C389" t="s">
        <v>3857</v>
      </c>
      <c r="G389" t="s">
        <v>2535</v>
      </c>
      <c r="H389" t="s">
        <v>2535</v>
      </c>
      <c r="I389" s="91">
        <v>1</v>
      </c>
      <c r="U389" s="91"/>
    </row>
    <row r="390" spans="1:21">
      <c r="A390" s="73" t="s">
        <v>2539</v>
      </c>
      <c r="B390" s="73"/>
      <c r="C390" t="s">
        <v>3858</v>
      </c>
      <c r="G390" t="s">
        <v>2539</v>
      </c>
      <c r="H390" t="s">
        <v>2539</v>
      </c>
      <c r="I390" s="91">
        <v>1</v>
      </c>
      <c r="U390" s="91"/>
    </row>
    <row r="391" spans="1:21">
      <c r="A391" s="73" t="s">
        <v>2543</v>
      </c>
      <c r="B391" s="73"/>
      <c r="C391" t="s">
        <v>3859</v>
      </c>
      <c r="G391" t="s">
        <v>2543</v>
      </c>
      <c r="H391" t="s">
        <v>2543</v>
      </c>
      <c r="I391" s="91">
        <v>1</v>
      </c>
      <c r="U391" s="91"/>
    </row>
    <row r="392" spans="1:21">
      <c r="A392" s="73" t="s">
        <v>2547</v>
      </c>
      <c r="B392" s="73"/>
      <c r="C392" t="s">
        <v>3860</v>
      </c>
      <c r="G392" t="s">
        <v>2547</v>
      </c>
      <c r="H392" t="s">
        <v>2548</v>
      </c>
      <c r="I392" s="91">
        <v>0.97965522683831441</v>
      </c>
      <c r="U392" s="91"/>
    </row>
    <row r="393" spans="1:21">
      <c r="A393" s="73" t="s">
        <v>2551</v>
      </c>
      <c r="B393" s="73"/>
      <c r="C393" t="s">
        <v>3861</v>
      </c>
      <c r="G393" t="s">
        <v>2551</v>
      </c>
      <c r="H393" t="s">
        <v>3595</v>
      </c>
      <c r="I393" s="91">
        <v>0.93108199482681109</v>
      </c>
      <c r="U393" s="91"/>
    </row>
    <row r="394" spans="1:21">
      <c r="A394" s="73" t="s">
        <v>125</v>
      </c>
      <c r="B394" s="73"/>
      <c r="C394" t="s">
        <v>3172</v>
      </c>
      <c r="G394" t="s">
        <v>125</v>
      </c>
      <c r="H394" t="s">
        <v>125</v>
      </c>
      <c r="I394" s="91">
        <v>1</v>
      </c>
      <c r="U394" s="91"/>
    </row>
    <row r="395" spans="1:21">
      <c r="A395" s="73" t="s">
        <v>2557</v>
      </c>
      <c r="B395" s="73"/>
      <c r="C395" t="s">
        <v>3862</v>
      </c>
      <c r="G395" t="s">
        <v>2557</v>
      </c>
      <c r="H395" t="s">
        <v>368</v>
      </c>
      <c r="I395" s="91">
        <v>0.5071089660374799</v>
      </c>
      <c r="U395" s="91"/>
    </row>
    <row r="396" spans="1:21">
      <c r="A396" s="73" t="s">
        <v>2562</v>
      </c>
      <c r="B396" s="73"/>
      <c r="C396" t="s">
        <v>3863</v>
      </c>
      <c r="G396" t="s">
        <v>2562</v>
      </c>
      <c r="H396" t="s">
        <v>2585</v>
      </c>
      <c r="I396" s="91">
        <v>0.42140468227424754</v>
      </c>
      <c r="U396" s="91"/>
    </row>
    <row r="397" spans="1:21">
      <c r="A397" s="73" t="s">
        <v>2566</v>
      </c>
      <c r="B397" s="73"/>
      <c r="C397" t="s">
        <v>3864</v>
      </c>
      <c r="G397" t="s">
        <v>2566</v>
      </c>
      <c r="H397" t="s">
        <v>2567</v>
      </c>
      <c r="I397" s="91">
        <v>0.94736842105263164</v>
      </c>
      <c r="U397" s="91"/>
    </row>
    <row r="398" spans="1:21">
      <c r="A398" s="73" t="s">
        <v>726</v>
      </c>
      <c r="B398" s="73"/>
      <c r="C398" t="s">
        <v>406</v>
      </c>
      <c r="G398" t="s">
        <v>726</v>
      </c>
      <c r="H398" t="s">
        <v>726</v>
      </c>
      <c r="I398" s="91">
        <v>1</v>
      </c>
      <c r="U398" s="91"/>
    </row>
    <row r="399" spans="1:21">
      <c r="A399" s="73" t="s">
        <v>2573</v>
      </c>
      <c r="B399" s="73"/>
      <c r="C399" t="s">
        <v>1189</v>
      </c>
      <c r="G399" t="s">
        <v>2573</v>
      </c>
      <c r="H399" t="s">
        <v>3112</v>
      </c>
      <c r="I399" s="91">
        <v>0.49163879598662208</v>
      </c>
      <c r="U399" s="91"/>
    </row>
    <row r="400" spans="1:21">
      <c r="A400" s="73" t="s">
        <v>581</v>
      </c>
      <c r="B400" s="73"/>
      <c r="C400" t="s">
        <v>3865</v>
      </c>
      <c r="G400" t="s">
        <v>581</v>
      </c>
      <c r="H400" t="s">
        <v>581</v>
      </c>
      <c r="I400" s="91">
        <v>1</v>
      </c>
      <c r="U400" s="91"/>
    </row>
    <row r="401" spans="1:21">
      <c r="A401" s="73" t="s">
        <v>2580</v>
      </c>
      <c r="B401" s="73"/>
      <c r="C401" t="s">
        <v>3205</v>
      </c>
      <c r="G401" t="s">
        <v>2580</v>
      </c>
      <c r="H401" t="s">
        <v>2580</v>
      </c>
      <c r="I401" s="91">
        <v>1</v>
      </c>
      <c r="U401" s="91"/>
    </row>
    <row r="402" spans="1:21">
      <c r="A402" s="73" t="s">
        <v>2583</v>
      </c>
      <c r="B402" s="73"/>
      <c r="C402" t="s">
        <v>3866</v>
      </c>
      <c r="G402" t="s">
        <v>2583</v>
      </c>
      <c r="H402" t="s">
        <v>144</v>
      </c>
      <c r="I402" s="91">
        <v>0.48183908045977014</v>
      </c>
      <c r="U402" s="91"/>
    </row>
    <row r="403" spans="1:21">
      <c r="A403" s="73" t="s">
        <v>2589</v>
      </c>
      <c r="B403" s="73"/>
      <c r="C403" t="s">
        <v>3867</v>
      </c>
      <c r="G403" t="s">
        <v>2589</v>
      </c>
      <c r="H403" t="s">
        <v>573</v>
      </c>
      <c r="I403" s="91">
        <v>0.94736842105263164</v>
      </c>
      <c r="U403" s="91"/>
    </row>
    <row r="404" spans="1:21">
      <c r="A404" s="73" t="s">
        <v>2593</v>
      </c>
      <c r="B404" s="73"/>
      <c r="C404" t="s">
        <v>3868</v>
      </c>
      <c r="G404" t="s">
        <v>2593</v>
      </c>
      <c r="H404" t="s">
        <v>2593</v>
      </c>
      <c r="I404" s="91">
        <v>1</v>
      </c>
      <c r="U404" s="91"/>
    </row>
    <row r="405" spans="1:21">
      <c r="A405" s="73" t="s">
        <v>709</v>
      </c>
      <c r="B405" s="73"/>
      <c r="C405" t="s">
        <v>3869</v>
      </c>
      <c r="G405" t="s">
        <v>709</v>
      </c>
      <c r="H405" t="s">
        <v>709</v>
      </c>
      <c r="I405" s="91">
        <v>1</v>
      </c>
      <c r="U405" s="91"/>
    </row>
    <row r="406" spans="1:21">
      <c r="A406" s="73" t="s">
        <v>2599</v>
      </c>
      <c r="B406" s="73"/>
      <c r="C406" t="s">
        <v>3870</v>
      </c>
      <c r="G406" t="s">
        <v>2599</v>
      </c>
      <c r="H406" t="s">
        <v>2599</v>
      </c>
      <c r="I406" s="91">
        <v>1</v>
      </c>
      <c r="U406" s="91"/>
    </row>
    <row r="407" spans="1:21">
      <c r="A407" s="73" t="s">
        <v>2603</v>
      </c>
      <c r="B407" s="73"/>
      <c r="C407" t="s">
        <v>3871</v>
      </c>
      <c r="G407" t="s">
        <v>2603</v>
      </c>
      <c r="H407" t="s">
        <v>2603</v>
      </c>
      <c r="I407" s="91">
        <v>1</v>
      </c>
      <c r="U407" s="91"/>
    </row>
    <row r="408" spans="1:21">
      <c r="A408" s="73" t="s">
        <v>2608</v>
      </c>
      <c r="B408" s="73"/>
      <c r="C408" t="s">
        <v>3872</v>
      </c>
      <c r="G408" t="s">
        <v>2608</v>
      </c>
      <c r="H408" t="s">
        <v>2608</v>
      </c>
      <c r="I408" s="91">
        <v>1</v>
      </c>
      <c r="U408" s="91"/>
    </row>
    <row r="409" spans="1:21">
      <c r="A409" s="73" t="s">
        <v>169</v>
      </c>
      <c r="B409" s="73"/>
      <c r="C409" t="s">
        <v>3873</v>
      </c>
      <c r="G409" t="s">
        <v>169</v>
      </c>
      <c r="H409" t="s">
        <v>5132</v>
      </c>
      <c r="I409" s="91">
        <v>0.90555431317762158</v>
      </c>
      <c r="U409" s="91"/>
    </row>
    <row r="410" spans="1:21">
      <c r="A410" s="73" t="s">
        <v>306</v>
      </c>
      <c r="B410" s="73"/>
      <c r="C410" t="s">
        <v>436</v>
      </c>
      <c r="G410" t="s">
        <v>306</v>
      </c>
      <c r="H410" t="s">
        <v>306</v>
      </c>
      <c r="I410" s="91">
        <v>1</v>
      </c>
      <c r="U410" s="91"/>
    </row>
    <row r="411" spans="1:21">
      <c r="A411" s="73" t="s">
        <v>2617</v>
      </c>
      <c r="B411" s="73"/>
      <c r="C411" t="s">
        <v>3874</v>
      </c>
      <c r="G411" t="s">
        <v>2617</v>
      </c>
      <c r="H411" t="s">
        <v>2617</v>
      </c>
      <c r="I411" s="91">
        <v>1</v>
      </c>
      <c r="U411" s="91"/>
    </row>
    <row r="412" spans="1:21">
      <c r="A412" s="73" t="s">
        <v>2621</v>
      </c>
      <c r="B412" s="73"/>
      <c r="C412" t="s">
        <v>3875</v>
      </c>
      <c r="G412" t="s">
        <v>2621</v>
      </c>
      <c r="H412" t="s">
        <v>4572</v>
      </c>
      <c r="I412" s="91">
        <v>0.95101716547642257</v>
      </c>
      <c r="U412" s="91"/>
    </row>
    <row r="413" spans="1:21">
      <c r="A413" s="73" t="s">
        <v>2625</v>
      </c>
      <c r="B413" s="73"/>
      <c r="C413" t="s">
        <v>3876</v>
      </c>
      <c r="G413" t="s">
        <v>2625</v>
      </c>
      <c r="H413" t="s">
        <v>2625</v>
      </c>
      <c r="I413" s="91">
        <v>1</v>
      </c>
      <c r="U413" s="91"/>
    </row>
    <row r="414" spans="1:21">
      <c r="A414" s="73" t="s">
        <v>2630</v>
      </c>
      <c r="B414" s="73"/>
      <c r="C414" t="s">
        <v>3411</v>
      </c>
      <c r="G414" t="s">
        <v>2630</v>
      </c>
      <c r="H414" t="s">
        <v>2630</v>
      </c>
      <c r="I414" s="91">
        <v>1</v>
      </c>
      <c r="U414" s="91"/>
    </row>
    <row r="415" spans="1:21">
      <c r="A415" s="73" t="s">
        <v>2635</v>
      </c>
      <c r="B415" s="73"/>
      <c r="C415" t="s">
        <v>3877</v>
      </c>
      <c r="G415" t="s">
        <v>2635</v>
      </c>
      <c r="H415" t="s">
        <v>4297</v>
      </c>
      <c r="I415" s="91">
        <v>0.42140468227424754</v>
      </c>
      <c r="U415" s="91"/>
    </row>
    <row r="416" spans="1:21">
      <c r="A416" s="73" t="s">
        <v>2639</v>
      </c>
      <c r="B416" s="73"/>
      <c r="C416" t="s">
        <v>1738</v>
      </c>
      <c r="G416" t="s">
        <v>2639</v>
      </c>
      <c r="H416" t="s">
        <v>2639</v>
      </c>
      <c r="I416" s="91">
        <v>1</v>
      </c>
      <c r="U416" s="91"/>
    </row>
    <row r="417" spans="1:21">
      <c r="A417" s="73" t="s">
        <v>2643</v>
      </c>
      <c r="B417" s="73"/>
      <c r="C417" t="s">
        <v>3878</v>
      </c>
      <c r="G417" t="s">
        <v>2643</v>
      </c>
      <c r="H417" t="s">
        <v>2645</v>
      </c>
      <c r="I417" s="91">
        <v>0.95</v>
      </c>
      <c r="U417" s="91"/>
    </row>
    <row r="418" spans="1:21">
      <c r="A418" s="73" t="s">
        <v>2649</v>
      </c>
      <c r="B418" s="73"/>
      <c r="C418" t="s">
        <v>2531</v>
      </c>
      <c r="G418" t="s">
        <v>2649</v>
      </c>
      <c r="H418" t="s">
        <v>2649</v>
      </c>
      <c r="I418" s="91">
        <v>1</v>
      </c>
      <c r="U418" s="91"/>
    </row>
    <row r="419" spans="1:21">
      <c r="A419" s="73" t="s">
        <v>2653</v>
      </c>
      <c r="B419" s="73"/>
      <c r="C419" t="s">
        <v>3879</v>
      </c>
      <c r="G419" t="s">
        <v>2653</v>
      </c>
      <c r="H419" t="s">
        <v>2654</v>
      </c>
      <c r="I419" s="91">
        <v>0.54444444444444451</v>
      </c>
      <c r="U419" s="91"/>
    </row>
    <row r="420" spans="1:21">
      <c r="A420" s="73" t="s">
        <v>2657</v>
      </c>
      <c r="B420" s="73"/>
      <c r="C420" t="s">
        <v>3880</v>
      </c>
      <c r="G420" t="s">
        <v>2657</v>
      </c>
      <c r="H420" t="s">
        <v>2654</v>
      </c>
      <c r="I420" s="91">
        <v>0.49743589743589745</v>
      </c>
      <c r="U420" s="91"/>
    </row>
    <row r="421" spans="1:21">
      <c r="A421" s="73" t="s">
        <v>2660</v>
      </c>
      <c r="B421" s="73"/>
      <c r="C421" t="s">
        <v>3881</v>
      </c>
      <c r="G421" t="s">
        <v>2660</v>
      </c>
      <c r="H421" t="s">
        <v>2660</v>
      </c>
      <c r="I421" s="91">
        <v>1</v>
      </c>
      <c r="U421" s="91"/>
    </row>
    <row r="422" spans="1:21">
      <c r="A422" s="73" t="s">
        <v>357</v>
      </c>
      <c r="B422" s="73"/>
      <c r="C422" t="s">
        <v>3882</v>
      </c>
      <c r="G422" t="s">
        <v>357</v>
      </c>
      <c r="H422" t="s">
        <v>4498</v>
      </c>
      <c r="I422" s="91">
        <v>0.51722315489203474</v>
      </c>
      <c r="U422" s="91"/>
    </row>
    <row r="423" spans="1:21">
      <c r="A423" s="73" t="s">
        <v>2667</v>
      </c>
      <c r="B423" s="73"/>
      <c r="C423" t="s">
        <v>143</v>
      </c>
      <c r="G423" t="s">
        <v>2667</v>
      </c>
      <c r="H423" t="s">
        <v>2689</v>
      </c>
      <c r="I423" s="91">
        <v>0.53666666666666674</v>
      </c>
      <c r="U423" s="91"/>
    </row>
    <row r="424" spans="1:21">
      <c r="A424" s="73" t="s">
        <v>2671</v>
      </c>
      <c r="B424" s="73"/>
      <c r="C424" t="s">
        <v>125</v>
      </c>
      <c r="G424" t="s">
        <v>2671</v>
      </c>
      <c r="H424" t="s">
        <v>548</v>
      </c>
      <c r="I424" s="91">
        <v>0.42570243395045615</v>
      </c>
      <c r="U424" s="91"/>
    </row>
    <row r="425" spans="1:21">
      <c r="A425" s="73" t="s">
        <v>2675</v>
      </c>
      <c r="B425" s="73"/>
      <c r="C425" t="s">
        <v>3883</v>
      </c>
      <c r="G425" t="s">
        <v>2675</v>
      </c>
      <c r="H425" t="s">
        <v>3963</v>
      </c>
      <c r="I425" s="91">
        <v>0.55040277852785047</v>
      </c>
      <c r="U425" s="91"/>
    </row>
    <row r="426" spans="1:21">
      <c r="A426" s="73" t="s">
        <v>2680</v>
      </c>
      <c r="B426" s="73"/>
      <c r="C426" t="s">
        <v>3884</v>
      </c>
      <c r="G426" t="s">
        <v>2680</v>
      </c>
      <c r="H426" t="s">
        <v>4825</v>
      </c>
      <c r="I426" s="91">
        <v>0.5403038789735648</v>
      </c>
      <c r="U426" s="91"/>
    </row>
    <row r="427" spans="1:21">
      <c r="A427" s="73" t="s">
        <v>2685</v>
      </c>
      <c r="B427" s="73"/>
      <c r="C427" t="s">
        <v>3202</v>
      </c>
      <c r="G427" t="s">
        <v>2685</v>
      </c>
      <c r="H427" t="s">
        <v>5089</v>
      </c>
      <c r="I427" s="91">
        <v>0.98328633567774504</v>
      </c>
      <c r="U427" s="91"/>
    </row>
    <row r="428" spans="1:21">
      <c r="A428" s="73" t="s">
        <v>2689</v>
      </c>
      <c r="B428" s="73"/>
      <c r="C428" t="s">
        <v>3885</v>
      </c>
      <c r="G428" t="s">
        <v>2689</v>
      </c>
      <c r="H428" t="s">
        <v>2689</v>
      </c>
      <c r="I428" s="91">
        <v>1</v>
      </c>
      <c r="U428" s="91"/>
    </row>
    <row r="429" spans="1:21">
      <c r="A429" s="73" t="s">
        <v>2693</v>
      </c>
      <c r="B429" s="73"/>
      <c r="C429" t="s">
        <v>3886</v>
      </c>
      <c r="G429" t="s">
        <v>2693</v>
      </c>
      <c r="H429" t="s">
        <v>2693</v>
      </c>
      <c r="I429" s="91">
        <v>1</v>
      </c>
      <c r="U429" s="91"/>
    </row>
    <row r="430" spans="1:21">
      <c r="A430" s="73" t="s">
        <v>99</v>
      </c>
      <c r="B430" s="73"/>
      <c r="C430" t="s">
        <v>3887</v>
      </c>
      <c r="G430" t="s">
        <v>99</v>
      </c>
      <c r="H430" t="s">
        <v>99</v>
      </c>
      <c r="I430" s="91">
        <v>1</v>
      </c>
      <c r="U430" s="91"/>
    </row>
    <row r="431" spans="1:21">
      <c r="A431" s="73" t="s">
        <v>2700</v>
      </c>
      <c r="B431" s="73"/>
      <c r="C431" t="s">
        <v>365</v>
      </c>
      <c r="G431" t="s">
        <v>2700</v>
      </c>
      <c r="H431" t="s">
        <v>3760</v>
      </c>
      <c r="I431" s="91">
        <v>0.55156695156695157</v>
      </c>
      <c r="U431" s="91"/>
    </row>
    <row r="432" spans="1:21">
      <c r="A432" s="73" t="s">
        <v>2704</v>
      </c>
      <c r="B432" s="73"/>
      <c r="C432" t="s">
        <v>2225</v>
      </c>
      <c r="G432" t="s">
        <v>2704</v>
      </c>
      <c r="H432" t="s">
        <v>1756</v>
      </c>
      <c r="I432" s="91">
        <v>0.51722315489203474</v>
      </c>
      <c r="U432" s="91"/>
    </row>
    <row r="433" spans="1:21">
      <c r="A433" s="73" t="s">
        <v>2709</v>
      </c>
      <c r="B433" s="73"/>
      <c r="C433" t="s">
        <v>3888</v>
      </c>
      <c r="G433" t="s">
        <v>2709</v>
      </c>
      <c r="H433" t="s">
        <v>4846</v>
      </c>
      <c r="I433" s="91">
        <v>0.90068703346804191</v>
      </c>
      <c r="U433" s="91"/>
    </row>
    <row r="434" spans="1:21">
      <c r="A434" s="73" t="s">
        <v>2714</v>
      </c>
      <c r="B434" s="73"/>
      <c r="C434" t="s">
        <v>3889</v>
      </c>
      <c r="G434" t="s">
        <v>2714</v>
      </c>
      <c r="H434" t="s">
        <v>4846</v>
      </c>
      <c r="I434" s="91">
        <v>0.52234288612216817</v>
      </c>
      <c r="U434" s="91"/>
    </row>
    <row r="435" spans="1:21">
      <c r="A435" s="73" t="s">
        <v>2718</v>
      </c>
      <c r="B435" s="73"/>
      <c r="C435" t="s">
        <v>2163</v>
      </c>
      <c r="G435" t="s">
        <v>2718</v>
      </c>
      <c r="H435" t="s">
        <v>2689</v>
      </c>
      <c r="I435" s="91">
        <v>0.53666666666666674</v>
      </c>
      <c r="U435" s="91"/>
    </row>
    <row r="436" spans="1:21">
      <c r="A436" s="73" t="s">
        <v>2722</v>
      </c>
      <c r="B436" s="73"/>
      <c r="C436" t="s">
        <v>266</v>
      </c>
      <c r="G436" t="s">
        <v>2722</v>
      </c>
      <c r="H436" t="s">
        <v>2722</v>
      </c>
      <c r="I436" s="91">
        <v>1</v>
      </c>
      <c r="U436" s="91"/>
    </row>
    <row r="437" spans="1:21">
      <c r="A437" s="73" t="s">
        <v>808</v>
      </c>
      <c r="B437" s="73"/>
      <c r="C437" t="s">
        <v>3890</v>
      </c>
      <c r="G437" t="s">
        <v>808</v>
      </c>
      <c r="H437" t="s">
        <v>3059</v>
      </c>
      <c r="I437" s="91">
        <v>0.53666666666666674</v>
      </c>
      <c r="U437" s="91"/>
    </row>
    <row r="438" spans="1:21">
      <c r="A438" s="73" t="s">
        <v>2728</v>
      </c>
      <c r="B438" s="73"/>
      <c r="C438" t="s">
        <v>3891</v>
      </c>
      <c r="G438" t="s">
        <v>2728</v>
      </c>
      <c r="H438" t="s">
        <v>2728</v>
      </c>
      <c r="I438" s="91">
        <v>1</v>
      </c>
      <c r="U438" s="91"/>
    </row>
    <row r="439" spans="1:21">
      <c r="A439" s="73" t="s">
        <v>548</v>
      </c>
      <c r="B439" s="73"/>
      <c r="C439" t="s">
        <v>2347</v>
      </c>
      <c r="G439" t="s">
        <v>548</v>
      </c>
      <c r="H439" t="s">
        <v>548</v>
      </c>
      <c r="I439" s="91">
        <v>1</v>
      </c>
      <c r="U439" s="91"/>
    </row>
    <row r="440" spans="1:21">
      <c r="A440" s="73" t="s">
        <v>2734</v>
      </c>
      <c r="B440" s="73"/>
      <c r="C440" t="s">
        <v>261</v>
      </c>
      <c r="G440" t="s">
        <v>2734</v>
      </c>
      <c r="H440" t="s">
        <v>3059</v>
      </c>
      <c r="I440" s="91">
        <v>0.53666666666666674</v>
      </c>
      <c r="U440" s="91"/>
    </row>
    <row r="441" spans="1:21">
      <c r="A441" s="73" t="s">
        <v>2737</v>
      </c>
      <c r="B441" s="73"/>
      <c r="C441" t="s">
        <v>3892</v>
      </c>
      <c r="G441" t="s">
        <v>2737</v>
      </c>
      <c r="H441" t="s">
        <v>4375</v>
      </c>
      <c r="I441" s="91">
        <v>0.54424655893065133</v>
      </c>
      <c r="U441" s="91"/>
    </row>
    <row r="442" spans="1:21">
      <c r="A442" s="73" t="s">
        <v>2741</v>
      </c>
      <c r="B442" s="73"/>
      <c r="C442" t="s">
        <v>3305</v>
      </c>
      <c r="G442" t="s">
        <v>2741</v>
      </c>
      <c r="H442" t="s">
        <v>2741</v>
      </c>
      <c r="I442" s="91">
        <v>1</v>
      </c>
      <c r="U442" s="91"/>
    </row>
    <row r="443" spans="1:21">
      <c r="A443" s="73" t="s">
        <v>544</v>
      </c>
      <c r="B443" s="73"/>
      <c r="C443" t="s">
        <v>3893</v>
      </c>
      <c r="G443" t="s">
        <v>544</v>
      </c>
      <c r="H443" t="s">
        <v>4056</v>
      </c>
      <c r="I443" s="91">
        <v>0.56849816849816848</v>
      </c>
      <c r="U443" s="91"/>
    </row>
    <row r="444" spans="1:21">
      <c r="A444" s="73" t="s">
        <v>2749</v>
      </c>
      <c r="B444" s="73"/>
      <c r="C444" t="s">
        <v>3894</v>
      </c>
      <c r="G444" t="s">
        <v>2749</v>
      </c>
      <c r="H444" t="s">
        <v>2749</v>
      </c>
      <c r="I444" s="91">
        <v>1</v>
      </c>
      <c r="U444" s="91"/>
    </row>
    <row r="445" spans="1:21">
      <c r="A445" s="73" t="s">
        <v>2753</v>
      </c>
      <c r="B445" s="73"/>
      <c r="C445" t="s">
        <v>3895</v>
      </c>
      <c r="G445" t="s">
        <v>2753</v>
      </c>
      <c r="H445" t="s">
        <v>2753</v>
      </c>
      <c r="I445" s="91">
        <v>1</v>
      </c>
      <c r="U445" s="91"/>
    </row>
    <row r="446" spans="1:21">
      <c r="A446" s="73" t="s">
        <v>2757</v>
      </c>
      <c r="B446" s="73"/>
      <c r="C446" t="s">
        <v>3896</v>
      </c>
      <c r="G446" t="s">
        <v>2757</v>
      </c>
      <c r="H446" t="s">
        <v>2757</v>
      </c>
      <c r="I446" s="91">
        <v>1</v>
      </c>
      <c r="U446" s="91"/>
    </row>
    <row r="447" spans="1:21">
      <c r="A447" s="73" t="s">
        <v>2762</v>
      </c>
      <c r="B447" s="73"/>
      <c r="C447" t="s">
        <v>3897</v>
      </c>
      <c r="G447" t="s">
        <v>2762</v>
      </c>
      <c r="H447" t="s">
        <v>2762</v>
      </c>
      <c r="I447" s="91">
        <v>1</v>
      </c>
      <c r="U447" s="91"/>
    </row>
    <row r="448" spans="1:21">
      <c r="A448" s="73" t="s">
        <v>2767</v>
      </c>
      <c r="B448" s="73"/>
      <c r="C448" t="s">
        <v>3898</v>
      </c>
      <c r="G448" t="s">
        <v>2767</v>
      </c>
      <c r="H448" t="s">
        <v>2767</v>
      </c>
      <c r="I448" s="91">
        <v>1</v>
      </c>
      <c r="U448" s="91"/>
    </row>
    <row r="449" spans="1:21">
      <c r="A449" s="73" t="s">
        <v>1541</v>
      </c>
      <c r="B449" s="73"/>
      <c r="C449" t="s">
        <v>2741</v>
      </c>
      <c r="G449" t="s">
        <v>1541</v>
      </c>
      <c r="H449" t="s">
        <v>1541</v>
      </c>
      <c r="I449" s="91">
        <v>1</v>
      </c>
      <c r="U449" s="91"/>
    </row>
    <row r="450" spans="1:21">
      <c r="A450" s="73" t="s">
        <v>2773</v>
      </c>
      <c r="B450" s="73"/>
      <c r="C450" t="s">
        <v>3899</v>
      </c>
      <c r="G450" t="s">
        <v>2773</v>
      </c>
      <c r="H450" t="s">
        <v>2773</v>
      </c>
      <c r="I450" s="91">
        <v>1</v>
      </c>
      <c r="U450" s="91"/>
    </row>
    <row r="451" spans="1:21">
      <c r="A451" s="73" t="s">
        <v>2776</v>
      </c>
      <c r="B451" s="73"/>
      <c r="C451" t="s">
        <v>103</v>
      </c>
      <c r="G451" t="s">
        <v>2776</v>
      </c>
      <c r="H451" t="s">
        <v>2776</v>
      </c>
      <c r="I451" s="91">
        <v>1</v>
      </c>
      <c r="U451" s="91"/>
    </row>
    <row r="452" spans="1:21">
      <c r="A452" s="73" t="s">
        <v>2780</v>
      </c>
      <c r="B452" s="73"/>
      <c r="C452" t="s">
        <v>3031</v>
      </c>
      <c r="G452" t="s">
        <v>2780</v>
      </c>
      <c r="H452" t="s">
        <v>2780</v>
      </c>
      <c r="I452" s="91">
        <v>1</v>
      </c>
      <c r="U452" s="91"/>
    </row>
    <row r="453" spans="1:21">
      <c r="A453" s="73" t="s">
        <v>2783</v>
      </c>
      <c r="B453" s="73"/>
      <c r="C453" t="s">
        <v>3900</v>
      </c>
      <c r="G453" t="s">
        <v>2783</v>
      </c>
      <c r="H453" t="s">
        <v>4233</v>
      </c>
      <c r="I453" s="91">
        <v>0.55040277852785047</v>
      </c>
      <c r="U453" s="91"/>
    </row>
    <row r="454" spans="1:21">
      <c r="A454" s="73" t="s">
        <v>2787</v>
      </c>
      <c r="B454" s="73"/>
      <c r="C454" t="s">
        <v>49</v>
      </c>
      <c r="G454" t="s">
        <v>2787</v>
      </c>
      <c r="H454" t="s">
        <v>4026</v>
      </c>
      <c r="I454" s="91">
        <v>0.54996534996534996</v>
      </c>
      <c r="U454" s="91"/>
    </row>
    <row r="455" spans="1:21">
      <c r="A455" s="73" t="s">
        <v>2791</v>
      </c>
      <c r="B455" s="73"/>
      <c r="C455" t="s">
        <v>1565</v>
      </c>
      <c r="G455" t="s">
        <v>2791</v>
      </c>
      <c r="H455" t="s">
        <v>2791</v>
      </c>
      <c r="I455" s="91">
        <v>1</v>
      </c>
      <c r="U455" s="91"/>
    </row>
    <row r="456" spans="1:21">
      <c r="A456" s="73" t="s">
        <v>2795</v>
      </c>
      <c r="B456" s="73"/>
      <c r="C456" t="s">
        <v>3901</v>
      </c>
      <c r="G456" t="s">
        <v>2795</v>
      </c>
      <c r="H456" t="s">
        <v>2795</v>
      </c>
      <c r="I456" s="91">
        <v>1</v>
      </c>
      <c r="U456" s="91"/>
    </row>
    <row r="457" spans="1:21">
      <c r="A457" s="73" t="s">
        <v>2798</v>
      </c>
      <c r="B457" s="73"/>
      <c r="C457" t="s">
        <v>3902</v>
      </c>
      <c r="G457" t="s">
        <v>2798</v>
      </c>
      <c r="H457" t="s">
        <v>2798</v>
      </c>
      <c r="I457" s="91">
        <v>1</v>
      </c>
      <c r="U457" s="91"/>
    </row>
    <row r="458" spans="1:21">
      <c r="A458" s="73" t="s">
        <v>2802</v>
      </c>
      <c r="B458" s="73"/>
      <c r="C458" t="s">
        <v>3903</v>
      </c>
      <c r="G458" t="s">
        <v>2802</v>
      </c>
      <c r="H458" t="s">
        <v>2802</v>
      </c>
      <c r="I458" s="91">
        <v>1</v>
      </c>
      <c r="U458" s="91"/>
    </row>
    <row r="459" spans="1:21">
      <c r="A459" s="73" t="s">
        <v>2527</v>
      </c>
      <c r="B459" s="73"/>
      <c r="C459" t="s">
        <v>1716</v>
      </c>
      <c r="G459" t="s">
        <v>2527</v>
      </c>
      <c r="H459" t="s">
        <v>2527</v>
      </c>
      <c r="I459" s="91">
        <v>1</v>
      </c>
      <c r="U459" s="91"/>
    </row>
    <row r="460" spans="1:21">
      <c r="A460" s="73" t="s">
        <v>2808</v>
      </c>
      <c r="B460" s="73"/>
      <c r="C460" t="s">
        <v>1991</v>
      </c>
      <c r="G460" t="s">
        <v>2808</v>
      </c>
      <c r="H460" t="s">
        <v>2808</v>
      </c>
      <c r="I460" s="91">
        <v>1</v>
      </c>
      <c r="U460" s="91"/>
    </row>
    <row r="461" spans="1:21">
      <c r="A461" s="73" t="s">
        <v>2811</v>
      </c>
      <c r="B461" s="73"/>
      <c r="C461" t="s">
        <v>176</v>
      </c>
      <c r="G461" t="s">
        <v>2811</v>
      </c>
      <c r="H461" t="s">
        <v>2811</v>
      </c>
      <c r="I461" s="91">
        <v>1</v>
      </c>
      <c r="U461" s="91"/>
    </row>
    <row r="462" spans="1:21">
      <c r="A462" s="73" t="s">
        <v>2814</v>
      </c>
      <c r="B462" s="73"/>
      <c r="C462" t="s">
        <v>3904</v>
      </c>
      <c r="G462" t="s">
        <v>2814</v>
      </c>
      <c r="H462" t="s">
        <v>4545</v>
      </c>
      <c r="I462" s="91">
        <v>0.98582969445676705</v>
      </c>
      <c r="U462" s="91"/>
    </row>
    <row r="463" spans="1:21">
      <c r="A463" s="73" t="s">
        <v>2817</v>
      </c>
      <c r="B463" s="73"/>
      <c r="C463" t="s">
        <v>3905</v>
      </c>
      <c r="G463" t="s">
        <v>2817</v>
      </c>
      <c r="H463" t="s">
        <v>2820</v>
      </c>
      <c r="I463" s="91">
        <v>0.94117647058823528</v>
      </c>
      <c r="U463" s="91"/>
    </row>
    <row r="464" spans="1:21">
      <c r="A464" s="73" t="s">
        <v>2824</v>
      </c>
      <c r="B464" s="73"/>
      <c r="C464" t="s">
        <v>3906</v>
      </c>
      <c r="G464" t="s">
        <v>2824</v>
      </c>
      <c r="H464" t="s">
        <v>4476</v>
      </c>
      <c r="I464" s="91">
        <v>0.95412844036697253</v>
      </c>
      <c r="U464" s="91"/>
    </row>
    <row r="465" spans="1:21">
      <c r="A465" s="73" t="s">
        <v>2828</v>
      </c>
      <c r="B465" s="73"/>
      <c r="C465" t="s">
        <v>3907</v>
      </c>
      <c r="G465" t="s">
        <v>2828</v>
      </c>
      <c r="H465" t="s">
        <v>2830</v>
      </c>
      <c r="I465" s="91">
        <v>0.94736842105263164</v>
      </c>
      <c r="U465" s="91"/>
    </row>
    <row r="466" spans="1:21">
      <c r="A466" s="73" t="s">
        <v>2834</v>
      </c>
      <c r="B466" s="73"/>
      <c r="C466" t="s">
        <v>3908</v>
      </c>
      <c r="G466" t="s">
        <v>2834</v>
      </c>
      <c r="H466" t="s">
        <v>4863</v>
      </c>
      <c r="I466" s="91">
        <v>0.56849816849816848</v>
      </c>
      <c r="U466" s="91"/>
    </row>
    <row r="467" spans="1:21">
      <c r="A467" s="73" t="s">
        <v>2838</v>
      </c>
      <c r="B467" s="73"/>
      <c r="C467" t="s">
        <v>3909</v>
      </c>
      <c r="G467" t="s">
        <v>2838</v>
      </c>
      <c r="H467" t="s">
        <v>4282</v>
      </c>
      <c r="I467" s="91">
        <v>0.66404690919513443</v>
      </c>
      <c r="U467" s="91"/>
    </row>
    <row r="468" spans="1:21">
      <c r="A468" s="73" t="s">
        <v>2842</v>
      </c>
      <c r="B468" s="73"/>
      <c r="C468" t="s">
        <v>2138</v>
      </c>
      <c r="G468" t="s">
        <v>2842</v>
      </c>
      <c r="H468" t="s">
        <v>3524</v>
      </c>
      <c r="I468" s="91">
        <v>0.93208865651360284</v>
      </c>
      <c r="U468" s="91"/>
    </row>
    <row r="469" spans="1:21">
      <c r="A469" s="73" t="s">
        <v>2847</v>
      </c>
      <c r="B469" s="73"/>
      <c r="C469" t="s">
        <v>3910</v>
      </c>
      <c r="G469" t="s">
        <v>2847</v>
      </c>
      <c r="H469" t="s">
        <v>4723</v>
      </c>
      <c r="I469" s="91">
        <v>0.97371224044135363</v>
      </c>
      <c r="U469" s="91"/>
    </row>
    <row r="470" spans="1:21">
      <c r="A470" s="73" t="s">
        <v>2851</v>
      </c>
      <c r="B470" s="73"/>
      <c r="C470" t="s">
        <v>3911</v>
      </c>
      <c r="G470" t="s">
        <v>2851</v>
      </c>
      <c r="H470" t="s">
        <v>2851</v>
      </c>
      <c r="I470" s="91">
        <v>1</v>
      </c>
      <c r="U470" s="91"/>
    </row>
    <row r="471" spans="1:21">
      <c r="A471" s="73" t="s">
        <v>2855</v>
      </c>
      <c r="B471" s="73"/>
      <c r="C471" t="s">
        <v>3912</v>
      </c>
      <c r="G471" t="s">
        <v>2855</v>
      </c>
      <c r="H471" t="s">
        <v>2855</v>
      </c>
      <c r="I471" s="91">
        <v>1</v>
      </c>
      <c r="U471" s="91"/>
    </row>
    <row r="472" spans="1:21">
      <c r="A472" s="73" t="s">
        <v>2860</v>
      </c>
      <c r="B472" s="73"/>
      <c r="C472" t="s">
        <v>3913</v>
      </c>
      <c r="G472" t="s">
        <v>2860</v>
      </c>
      <c r="H472" t="s">
        <v>2860</v>
      </c>
      <c r="I472" s="91">
        <v>1</v>
      </c>
      <c r="U472" s="91"/>
    </row>
    <row r="473" spans="1:21">
      <c r="A473" s="73" t="s">
        <v>2864</v>
      </c>
      <c r="B473" s="73"/>
      <c r="C473" t="s">
        <v>3914</v>
      </c>
      <c r="G473" t="s">
        <v>2864</v>
      </c>
      <c r="H473" t="s">
        <v>2865</v>
      </c>
      <c r="I473" s="91">
        <v>1</v>
      </c>
      <c r="U473" s="91"/>
    </row>
    <row r="474" spans="1:21">
      <c r="A474" s="73" t="s">
        <v>2869</v>
      </c>
      <c r="B474" s="73"/>
      <c r="C474" t="s">
        <v>3327</v>
      </c>
      <c r="G474" t="s">
        <v>2869</v>
      </c>
      <c r="H474" t="s">
        <v>2870</v>
      </c>
      <c r="I474" s="91">
        <v>1</v>
      </c>
      <c r="U474" s="91"/>
    </row>
    <row r="475" spans="1:21">
      <c r="A475" s="73" t="s">
        <v>2873</v>
      </c>
      <c r="B475" s="73"/>
      <c r="C475" t="s">
        <v>2527</v>
      </c>
      <c r="G475" t="s">
        <v>2873</v>
      </c>
      <c r="H475" t="s">
        <v>2873</v>
      </c>
      <c r="I475" s="91">
        <v>1</v>
      </c>
      <c r="U475" s="91"/>
    </row>
    <row r="476" spans="1:21">
      <c r="A476" s="73" t="s">
        <v>2876</v>
      </c>
      <c r="B476" s="73"/>
      <c r="C476" t="s">
        <v>3915</v>
      </c>
      <c r="G476" t="s">
        <v>2876</v>
      </c>
      <c r="H476" t="s">
        <v>2876</v>
      </c>
      <c r="I476" s="91">
        <v>1</v>
      </c>
      <c r="U476" s="91"/>
    </row>
    <row r="477" spans="1:21">
      <c r="A477" s="73" t="s">
        <v>2880</v>
      </c>
      <c r="B477" s="73"/>
      <c r="C477" t="s">
        <v>3916</v>
      </c>
      <c r="G477" t="s">
        <v>2880</v>
      </c>
      <c r="H477" t="s">
        <v>2880</v>
      </c>
      <c r="I477" s="91">
        <v>1</v>
      </c>
      <c r="U477" s="91"/>
    </row>
    <row r="478" spans="1:21">
      <c r="A478" s="73" t="s">
        <v>2883</v>
      </c>
      <c r="B478" s="73"/>
      <c r="C478" t="s">
        <v>3917</v>
      </c>
      <c r="G478" t="s">
        <v>2883</v>
      </c>
      <c r="H478" t="s">
        <v>2883</v>
      </c>
      <c r="I478" s="91">
        <v>1</v>
      </c>
      <c r="U478" s="91"/>
    </row>
    <row r="479" spans="1:21">
      <c r="A479" s="73" t="s">
        <v>2763</v>
      </c>
      <c r="B479" s="73"/>
      <c r="C479" t="s">
        <v>3918</v>
      </c>
      <c r="G479" t="s">
        <v>2763</v>
      </c>
      <c r="H479" t="s">
        <v>3558</v>
      </c>
      <c r="I479" s="91">
        <v>0.97838063800882313</v>
      </c>
      <c r="U479" s="91"/>
    </row>
    <row r="480" spans="1:21">
      <c r="A480" s="73" t="s">
        <v>2889</v>
      </c>
      <c r="B480" s="73"/>
      <c r="C480" t="s">
        <v>297</v>
      </c>
      <c r="G480" t="s">
        <v>2889</v>
      </c>
      <c r="H480" t="s">
        <v>2890</v>
      </c>
      <c r="I480" s="91">
        <v>1</v>
      </c>
      <c r="U480" s="91"/>
    </row>
    <row r="481" spans="1:21">
      <c r="A481" s="73" t="s">
        <v>2894</v>
      </c>
      <c r="B481" s="73"/>
      <c r="C481" t="s">
        <v>3919</v>
      </c>
      <c r="G481" t="s">
        <v>2894</v>
      </c>
      <c r="H481" t="s">
        <v>2895</v>
      </c>
      <c r="I481" s="91">
        <v>1</v>
      </c>
      <c r="U481" s="91"/>
    </row>
    <row r="482" spans="1:21">
      <c r="A482" s="73" t="s">
        <v>2899</v>
      </c>
      <c r="B482" s="73"/>
      <c r="C482" t="s">
        <v>3920</v>
      </c>
      <c r="G482" t="s">
        <v>2899</v>
      </c>
      <c r="H482" t="s">
        <v>2900</v>
      </c>
      <c r="I482" s="91">
        <v>1</v>
      </c>
      <c r="U482" s="91"/>
    </row>
    <row r="483" spans="1:21">
      <c r="A483" s="73" t="s">
        <v>2904</v>
      </c>
      <c r="B483" s="73"/>
      <c r="C483" t="s">
        <v>1848</v>
      </c>
      <c r="G483" t="s">
        <v>2904</v>
      </c>
      <c r="H483" t="s">
        <v>2905</v>
      </c>
      <c r="I483" s="91">
        <v>1</v>
      </c>
      <c r="U483" s="91"/>
    </row>
    <row r="484" spans="1:21">
      <c r="A484" s="73" t="s">
        <v>2908</v>
      </c>
      <c r="B484" s="73"/>
      <c r="C484" t="s">
        <v>3922</v>
      </c>
      <c r="G484" t="s">
        <v>2908</v>
      </c>
      <c r="H484" t="s">
        <v>3583</v>
      </c>
      <c r="I484" s="91">
        <v>0.54035087719298247</v>
      </c>
      <c r="U484" s="91"/>
    </row>
    <row r="485" spans="1:21">
      <c r="A485" s="73" t="s">
        <v>2912</v>
      </c>
      <c r="B485" s="73"/>
      <c r="C485" t="s">
        <v>3923</v>
      </c>
      <c r="G485" t="s">
        <v>2912</v>
      </c>
      <c r="H485" t="s">
        <v>2912</v>
      </c>
      <c r="I485" s="91">
        <v>1</v>
      </c>
      <c r="U485" s="91"/>
    </row>
    <row r="486" spans="1:21">
      <c r="A486" s="73" t="s">
        <v>2916</v>
      </c>
      <c r="B486" s="73"/>
      <c r="C486" t="s">
        <v>3924</v>
      </c>
      <c r="G486" t="s">
        <v>2916</v>
      </c>
      <c r="H486" t="s">
        <v>2916</v>
      </c>
      <c r="I486" s="91">
        <v>1</v>
      </c>
      <c r="U486" s="91"/>
    </row>
    <row r="487" spans="1:21">
      <c r="A487" s="73" t="s">
        <v>2919</v>
      </c>
      <c r="B487" s="73"/>
      <c r="C487" t="s">
        <v>3925</v>
      </c>
      <c r="G487" t="s">
        <v>2919</v>
      </c>
      <c r="H487" t="s">
        <v>2919</v>
      </c>
      <c r="I487" s="91">
        <v>1</v>
      </c>
      <c r="U487" s="91"/>
    </row>
    <row r="488" spans="1:21">
      <c r="A488" s="73" t="s">
        <v>2922</v>
      </c>
      <c r="B488" s="73"/>
      <c r="C488" t="s">
        <v>680</v>
      </c>
      <c r="G488" t="s">
        <v>2922</v>
      </c>
      <c r="H488" t="s">
        <v>2922</v>
      </c>
      <c r="I488" s="91">
        <v>1</v>
      </c>
      <c r="U488" s="91"/>
    </row>
    <row r="489" spans="1:21">
      <c r="A489" s="73" t="s">
        <v>2925</v>
      </c>
      <c r="B489" s="73"/>
      <c r="C489" t="s">
        <v>3926</v>
      </c>
      <c r="G489" t="s">
        <v>2925</v>
      </c>
      <c r="H489" t="s">
        <v>4677</v>
      </c>
      <c r="I489" s="91">
        <v>0.89869239249544375</v>
      </c>
      <c r="U489" s="91"/>
    </row>
    <row r="490" spans="1:21">
      <c r="A490" s="73" t="s">
        <v>2931</v>
      </c>
      <c r="B490" s="73"/>
      <c r="C490" t="s">
        <v>3927</v>
      </c>
      <c r="G490" t="s">
        <v>2931</v>
      </c>
      <c r="H490" t="s">
        <v>4832</v>
      </c>
      <c r="I490" s="91">
        <v>0.881111143881671</v>
      </c>
      <c r="U490" s="91"/>
    </row>
    <row r="491" spans="1:21">
      <c r="A491" s="73" t="s">
        <v>2935</v>
      </c>
      <c r="B491" s="73"/>
      <c r="C491" t="s">
        <v>3928</v>
      </c>
      <c r="G491" t="s">
        <v>2935</v>
      </c>
      <c r="H491" t="s">
        <v>4541</v>
      </c>
      <c r="I491" s="91">
        <v>0.53666666666666674</v>
      </c>
      <c r="U491" s="91"/>
    </row>
    <row r="492" spans="1:21">
      <c r="A492" s="73" t="s">
        <v>2939</v>
      </c>
      <c r="B492" s="73"/>
      <c r="C492" t="s">
        <v>3929</v>
      </c>
      <c r="G492" t="s">
        <v>2939</v>
      </c>
      <c r="H492" t="s">
        <v>4903</v>
      </c>
      <c r="I492" s="91">
        <v>0.76595886468528995</v>
      </c>
      <c r="U492" s="91"/>
    </row>
    <row r="493" spans="1:21">
      <c r="A493" s="73" t="s">
        <v>2387</v>
      </c>
      <c r="B493" s="73"/>
      <c r="C493" t="s">
        <v>3930</v>
      </c>
      <c r="G493" t="s">
        <v>2387</v>
      </c>
      <c r="H493" t="s">
        <v>2387</v>
      </c>
      <c r="I493" s="91">
        <v>1</v>
      </c>
      <c r="U493" s="91"/>
    </row>
    <row r="494" spans="1:21">
      <c r="A494" s="73" t="s">
        <v>2946</v>
      </c>
      <c r="B494" s="73"/>
      <c r="C494" t="s">
        <v>3931</v>
      </c>
      <c r="G494" t="s">
        <v>2946</v>
      </c>
      <c r="H494" t="s">
        <v>2946</v>
      </c>
      <c r="I494" s="91">
        <v>1</v>
      </c>
      <c r="U494" s="91"/>
    </row>
    <row r="495" spans="1:21">
      <c r="A495" s="73" t="s">
        <v>2949</v>
      </c>
      <c r="B495" s="73"/>
      <c r="C495" t="s">
        <v>3932</v>
      </c>
      <c r="G495" t="s">
        <v>2949</v>
      </c>
      <c r="H495" t="s">
        <v>2949</v>
      </c>
      <c r="I495" s="91">
        <v>1</v>
      </c>
      <c r="U495" s="91"/>
    </row>
    <row r="496" spans="1:21">
      <c r="A496" s="73" t="s">
        <v>2954</v>
      </c>
      <c r="B496" s="73"/>
      <c r="C496" t="s">
        <v>3933</v>
      </c>
      <c r="G496" t="s">
        <v>2954</v>
      </c>
      <c r="H496" t="s">
        <v>3963</v>
      </c>
      <c r="I496" s="91">
        <v>0.55040277852785047</v>
      </c>
      <c r="U496" s="91"/>
    </row>
    <row r="497" spans="1:21">
      <c r="A497" s="73" t="s">
        <v>2958</v>
      </c>
      <c r="B497" s="73"/>
      <c r="C497" t="s">
        <v>3934</v>
      </c>
      <c r="G497" t="s">
        <v>2958</v>
      </c>
      <c r="H497" t="s">
        <v>4738</v>
      </c>
      <c r="I497" s="91">
        <v>0.5723076923076923</v>
      </c>
      <c r="U497" s="91"/>
    </row>
    <row r="498" spans="1:21">
      <c r="A498" s="73" t="s">
        <v>2963</v>
      </c>
      <c r="B498" s="73"/>
      <c r="C498" t="s">
        <v>3935</v>
      </c>
      <c r="G498" t="s">
        <v>2963</v>
      </c>
      <c r="H498" t="s">
        <v>4600</v>
      </c>
      <c r="I498" s="91">
        <v>0.87798820518526766</v>
      </c>
      <c r="U498" s="91"/>
    </row>
    <row r="499" spans="1:21">
      <c r="A499" s="73" t="s">
        <v>2967</v>
      </c>
      <c r="B499" s="73"/>
      <c r="C499" t="s">
        <v>3936</v>
      </c>
      <c r="G499" t="s">
        <v>2967</v>
      </c>
      <c r="H499" t="s">
        <v>4297</v>
      </c>
      <c r="I499" s="91">
        <v>0.94444444444444442</v>
      </c>
      <c r="U499" s="91"/>
    </row>
    <row r="500" spans="1:21">
      <c r="A500" s="73" t="s">
        <v>2971</v>
      </c>
      <c r="B500" s="73"/>
      <c r="C500" t="s">
        <v>3937</v>
      </c>
      <c r="G500" t="s">
        <v>2971</v>
      </c>
      <c r="H500" t="s">
        <v>3789</v>
      </c>
      <c r="I500" s="91">
        <v>0.51445893506641927</v>
      </c>
      <c r="U500" s="91"/>
    </row>
    <row r="501" spans="1:21">
      <c r="A501" s="73" t="s">
        <v>2940</v>
      </c>
      <c r="B501" s="73"/>
      <c r="C501" t="s">
        <v>3938</v>
      </c>
      <c r="G501" t="s">
        <v>2940</v>
      </c>
      <c r="H501" t="s">
        <v>2940</v>
      </c>
      <c r="I501" s="91">
        <v>1</v>
      </c>
      <c r="U501" s="91"/>
    </row>
    <row r="502" spans="1:21">
      <c r="A502" s="73" t="s">
        <v>2978</v>
      </c>
      <c r="B502" s="73"/>
      <c r="C502" t="s">
        <v>3939</v>
      </c>
      <c r="G502" t="s">
        <v>2978</v>
      </c>
      <c r="H502" t="s">
        <v>2978</v>
      </c>
      <c r="I502" s="91">
        <v>1</v>
      </c>
      <c r="U502" s="91"/>
    </row>
    <row r="503" spans="1:21">
      <c r="A503" s="73" t="s">
        <v>2983</v>
      </c>
      <c r="B503" s="73"/>
      <c r="C503" t="s">
        <v>3940</v>
      </c>
      <c r="G503" t="s">
        <v>2983</v>
      </c>
      <c r="H503" t="s">
        <v>2983</v>
      </c>
      <c r="I503" s="91">
        <v>1</v>
      </c>
      <c r="U503" s="91"/>
    </row>
    <row r="504" spans="1:21">
      <c r="A504" s="73" t="s">
        <v>2987</v>
      </c>
      <c r="B504" s="73"/>
      <c r="C504" t="s">
        <v>3941</v>
      </c>
      <c r="G504" t="s">
        <v>2987</v>
      </c>
      <c r="H504" t="s">
        <v>2987</v>
      </c>
      <c r="I504" s="91">
        <v>1</v>
      </c>
      <c r="U504" s="91"/>
    </row>
    <row r="505" spans="1:21">
      <c r="A505" s="73" t="s">
        <v>2990</v>
      </c>
      <c r="B505" s="73"/>
      <c r="C505" t="s">
        <v>364</v>
      </c>
      <c r="G505" t="s">
        <v>2990</v>
      </c>
      <c r="H505" t="s">
        <v>2170</v>
      </c>
      <c r="I505" s="91">
        <v>0.54133333333333333</v>
      </c>
      <c r="U505" s="91"/>
    </row>
    <row r="506" spans="1:21">
      <c r="A506" s="73" t="s">
        <v>2994</v>
      </c>
      <c r="B506" s="73"/>
      <c r="C506" t="s">
        <v>3942</v>
      </c>
      <c r="G506" t="s">
        <v>2994</v>
      </c>
      <c r="H506" t="s">
        <v>4789</v>
      </c>
      <c r="I506" s="91">
        <v>0.54035087719298247</v>
      </c>
      <c r="U506" s="91"/>
    </row>
    <row r="507" spans="1:21">
      <c r="A507" s="73" t="s">
        <v>2998</v>
      </c>
      <c r="B507" s="73"/>
      <c r="C507" t="s">
        <v>2211</v>
      </c>
      <c r="G507" t="s">
        <v>2998</v>
      </c>
      <c r="H507" t="s">
        <v>4223</v>
      </c>
      <c r="I507" s="91">
        <v>0.52987012987012982</v>
      </c>
      <c r="U507" s="91"/>
    </row>
    <row r="508" spans="1:21">
      <c r="A508" s="73" t="s">
        <v>3002</v>
      </c>
      <c r="B508" s="73"/>
      <c r="C508" t="s">
        <v>3943</v>
      </c>
      <c r="G508" t="s">
        <v>3002</v>
      </c>
      <c r="H508" t="s">
        <v>3002</v>
      </c>
      <c r="I508" s="91">
        <v>1</v>
      </c>
      <c r="U508" s="91"/>
    </row>
    <row r="509" spans="1:21">
      <c r="A509" s="73" t="s">
        <v>3007</v>
      </c>
      <c r="B509" s="73"/>
      <c r="C509" t="s">
        <v>2535</v>
      </c>
      <c r="G509" t="s">
        <v>3007</v>
      </c>
      <c r="H509" t="s">
        <v>3007</v>
      </c>
      <c r="I509" s="91">
        <v>1</v>
      </c>
      <c r="U509" s="91"/>
    </row>
    <row r="510" spans="1:21">
      <c r="A510" s="73" t="s">
        <v>3012</v>
      </c>
      <c r="B510" s="73"/>
      <c r="C510" t="s">
        <v>3944</v>
      </c>
      <c r="G510" t="s">
        <v>3012</v>
      </c>
      <c r="H510" t="s">
        <v>4257</v>
      </c>
      <c r="I510" s="91">
        <v>0.51640211640211642</v>
      </c>
      <c r="U510" s="91"/>
    </row>
    <row r="511" spans="1:21">
      <c r="A511" s="73" t="s">
        <v>3016</v>
      </c>
      <c r="B511" s="73"/>
      <c r="C511" t="s">
        <v>3945</v>
      </c>
      <c r="G511" t="s">
        <v>3016</v>
      </c>
      <c r="H511" t="s">
        <v>3017</v>
      </c>
      <c r="I511" s="91">
        <v>1</v>
      </c>
      <c r="U511" s="91"/>
    </row>
    <row r="512" spans="1:21">
      <c r="A512" s="73" t="s">
        <v>3021</v>
      </c>
      <c r="B512" s="73"/>
      <c r="C512" t="s">
        <v>3946</v>
      </c>
      <c r="G512" t="s">
        <v>3021</v>
      </c>
      <c r="H512" t="s">
        <v>4712</v>
      </c>
      <c r="I512" s="91">
        <v>0.5723076923076923</v>
      </c>
      <c r="U512" s="91"/>
    </row>
    <row r="513" spans="1:21">
      <c r="A513" s="73" t="s">
        <v>3025</v>
      </c>
      <c r="B513" s="73"/>
      <c r="C513" t="s">
        <v>3947</v>
      </c>
      <c r="G513" t="s">
        <v>3025</v>
      </c>
      <c r="H513" t="s">
        <v>92</v>
      </c>
      <c r="I513" s="91">
        <v>0.5438606263409046</v>
      </c>
      <c r="U513" s="91"/>
    </row>
    <row r="514" spans="1:21">
      <c r="A514" s="73" t="s">
        <v>3028</v>
      </c>
      <c r="B514" s="73"/>
      <c r="C514" t="s">
        <v>3948</v>
      </c>
      <c r="G514" t="s">
        <v>3028</v>
      </c>
      <c r="H514" t="s">
        <v>3028</v>
      </c>
      <c r="I514" s="91">
        <v>1</v>
      </c>
      <c r="U514" s="91"/>
    </row>
    <row r="515" spans="1:21">
      <c r="A515" s="73" t="s">
        <v>3031</v>
      </c>
      <c r="B515" s="73"/>
      <c r="C515" t="s">
        <v>3949</v>
      </c>
      <c r="G515" t="s">
        <v>3031</v>
      </c>
      <c r="H515" t="s">
        <v>3031</v>
      </c>
      <c r="I515" s="91">
        <v>1</v>
      </c>
      <c r="U515" s="91"/>
    </row>
    <row r="516" spans="1:21">
      <c r="A516" s="73" t="s">
        <v>571</v>
      </c>
      <c r="B516" s="73"/>
      <c r="C516" t="s">
        <v>3950</v>
      </c>
      <c r="G516" t="s">
        <v>571</v>
      </c>
      <c r="H516" t="s">
        <v>571</v>
      </c>
      <c r="I516" s="91">
        <v>1</v>
      </c>
      <c r="U516" s="91"/>
    </row>
    <row r="517" spans="1:21">
      <c r="A517" s="73" t="s">
        <v>3038</v>
      </c>
      <c r="B517" s="73"/>
      <c r="C517" t="s">
        <v>3951</v>
      </c>
      <c r="G517" t="s">
        <v>3038</v>
      </c>
      <c r="H517" t="s">
        <v>3038</v>
      </c>
      <c r="I517" s="91">
        <v>1</v>
      </c>
      <c r="U517" s="91"/>
    </row>
    <row r="518" spans="1:21">
      <c r="A518" s="73" t="s">
        <v>3043</v>
      </c>
      <c r="B518" s="73"/>
      <c r="C518" t="s">
        <v>1978</v>
      </c>
      <c r="G518" t="s">
        <v>3043</v>
      </c>
      <c r="H518" t="s">
        <v>3890</v>
      </c>
      <c r="I518" s="91">
        <v>0.64763261567983255</v>
      </c>
      <c r="U518" s="91"/>
    </row>
    <row r="519" spans="1:21">
      <c r="A519" s="73" t="s">
        <v>3048</v>
      </c>
      <c r="B519" s="73"/>
      <c r="C519" t="s">
        <v>3952</v>
      </c>
      <c r="G519" t="s">
        <v>3048</v>
      </c>
      <c r="I519" s="91">
        <v>0</v>
      </c>
      <c r="U519" s="91"/>
    </row>
    <row r="520" spans="1:21">
      <c r="A520" s="73" t="s">
        <v>3051</v>
      </c>
      <c r="B520" s="73"/>
      <c r="C520" t="s">
        <v>3953</v>
      </c>
      <c r="G520" t="s">
        <v>3051</v>
      </c>
      <c r="H520" t="s">
        <v>3581</v>
      </c>
      <c r="I520" s="91">
        <v>0.52987012987012982</v>
      </c>
      <c r="U520" s="91"/>
    </row>
    <row r="521" spans="1:21">
      <c r="A521" s="73" t="s">
        <v>3056</v>
      </c>
      <c r="B521" s="73"/>
      <c r="C521" t="s">
        <v>3954</v>
      </c>
      <c r="G521" t="s">
        <v>3056</v>
      </c>
      <c r="H521" t="s">
        <v>4305</v>
      </c>
      <c r="I521" s="91">
        <v>0.56849816849816848</v>
      </c>
      <c r="U521" s="91"/>
    </row>
    <row r="522" spans="1:21">
      <c r="A522" s="73" t="s">
        <v>3059</v>
      </c>
      <c r="B522" s="73"/>
      <c r="C522" t="s">
        <v>3955</v>
      </c>
      <c r="G522" t="s">
        <v>3059</v>
      </c>
      <c r="H522" t="s">
        <v>3059</v>
      </c>
      <c r="I522" s="91">
        <v>1</v>
      </c>
      <c r="U522" s="91"/>
    </row>
    <row r="523" spans="1:21">
      <c r="A523" s="73" t="s">
        <v>3062</v>
      </c>
      <c r="B523" s="73"/>
      <c r="C523" t="s">
        <v>3956</v>
      </c>
      <c r="G523" t="s">
        <v>3062</v>
      </c>
      <c r="H523" t="s">
        <v>5083</v>
      </c>
      <c r="I523" s="91">
        <v>0.93013159533423029</v>
      </c>
      <c r="U523" s="91"/>
    </row>
    <row r="524" spans="1:21">
      <c r="A524" s="73" t="s">
        <v>3066</v>
      </c>
      <c r="B524" s="73"/>
      <c r="C524" t="s">
        <v>3957</v>
      </c>
      <c r="G524" t="s">
        <v>3066</v>
      </c>
      <c r="H524" t="s">
        <v>5089</v>
      </c>
      <c r="I524" s="91">
        <v>0.5403038789735648</v>
      </c>
      <c r="U524" s="91"/>
    </row>
    <row r="525" spans="1:21">
      <c r="A525" s="73" t="s">
        <v>3070</v>
      </c>
      <c r="B525" s="73"/>
      <c r="C525" t="s">
        <v>3958</v>
      </c>
      <c r="G525" t="s">
        <v>3070</v>
      </c>
      <c r="H525" t="s">
        <v>4824</v>
      </c>
      <c r="I525" s="91">
        <v>0.53136052470734385</v>
      </c>
      <c r="U525" s="91"/>
    </row>
    <row r="526" spans="1:21">
      <c r="A526" s="73" t="s">
        <v>3073</v>
      </c>
      <c r="B526" s="73"/>
      <c r="C526" t="s">
        <v>3959</v>
      </c>
      <c r="G526" t="s">
        <v>3073</v>
      </c>
      <c r="H526" t="s">
        <v>3963</v>
      </c>
      <c r="I526" s="91">
        <v>0.55040277852785047</v>
      </c>
      <c r="U526" s="91"/>
    </row>
    <row r="527" spans="1:21">
      <c r="A527" s="73" t="s">
        <v>3077</v>
      </c>
      <c r="B527" s="73"/>
      <c r="C527" t="s">
        <v>3960</v>
      </c>
      <c r="G527" t="s">
        <v>3077</v>
      </c>
      <c r="H527" t="s">
        <v>3589</v>
      </c>
      <c r="I527" s="91">
        <v>0.98654708520179368</v>
      </c>
      <c r="U527" s="91"/>
    </row>
    <row r="528" spans="1:21">
      <c r="A528" s="73" t="s">
        <v>3082</v>
      </c>
      <c r="B528" s="73"/>
      <c r="C528" t="s">
        <v>3961</v>
      </c>
      <c r="G528" t="s">
        <v>3082</v>
      </c>
      <c r="H528" t="s">
        <v>4633</v>
      </c>
      <c r="I528" s="91">
        <v>0.81515503867636652</v>
      </c>
      <c r="U528" s="91"/>
    </row>
    <row r="529" spans="1:21">
      <c r="A529" s="73" t="s">
        <v>3087</v>
      </c>
      <c r="B529" s="73"/>
      <c r="C529" t="s">
        <v>3962</v>
      </c>
      <c r="G529" t="s">
        <v>3087</v>
      </c>
      <c r="H529" t="s">
        <v>3087</v>
      </c>
      <c r="I529" s="91">
        <v>1</v>
      </c>
      <c r="U529" s="91"/>
    </row>
    <row r="530" spans="1:21">
      <c r="A530" s="73" t="s">
        <v>3091</v>
      </c>
      <c r="B530" s="73"/>
      <c r="C530" t="s">
        <v>617</v>
      </c>
      <c r="G530" t="s">
        <v>3091</v>
      </c>
      <c r="H530" t="s">
        <v>2252</v>
      </c>
      <c r="I530" s="91">
        <v>0.49192728261057833</v>
      </c>
      <c r="U530" s="91"/>
    </row>
    <row r="531" spans="1:21">
      <c r="A531" s="73" t="s">
        <v>831</v>
      </c>
      <c r="B531" s="73"/>
      <c r="C531" t="s">
        <v>1232</v>
      </c>
      <c r="G531" t="s">
        <v>831</v>
      </c>
      <c r="H531" t="s">
        <v>4783</v>
      </c>
      <c r="I531" s="91">
        <v>0.95412844036697253</v>
      </c>
      <c r="U531" s="91"/>
    </row>
    <row r="532" spans="1:21">
      <c r="A532" s="73" t="s">
        <v>3096</v>
      </c>
      <c r="B532" s="73"/>
      <c r="C532" t="s">
        <v>3963</v>
      </c>
      <c r="G532" t="s">
        <v>3096</v>
      </c>
      <c r="H532" t="s">
        <v>3096</v>
      </c>
      <c r="I532" s="91">
        <v>1</v>
      </c>
      <c r="U532" s="91"/>
    </row>
    <row r="533" spans="1:21">
      <c r="A533" s="73" t="s">
        <v>3100</v>
      </c>
      <c r="B533" s="73"/>
      <c r="C533" t="s">
        <v>3964</v>
      </c>
      <c r="G533" t="s">
        <v>3100</v>
      </c>
      <c r="H533" t="s">
        <v>5189</v>
      </c>
      <c r="I533" s="91">
        <v>0.53666666666666674</v>
      </c>
      <c r="U533" s="91"/>
    </row>
    <row r="534" spans="1:21">
      <c r="A534" s="73" t="s">
        <v>3104</v>
      </c>
      <c r="B534" s="73"/>
      <c r="C534" t="s">
        <v>3965</v>
      </c>
      <c r="G534" t="s">
        <v>3104</v>
      </c>
      <c r="H534" t="s">
        <v>3667</v>
      </c>
      <c r="I534" s="91">
        <v>0.97166565412854089</v>
      </c>
      <c r="U534" s="91"/>
    </row>
    <row r="535" spans="1:21">
      <c r="A535" s="73" t="s">
        <v>3108</v>
      </c>
      <c r="B535" s="73"/>
      <c r="C535" t="s">
        <v>3966</v>
      </c>
      <c r="G535" t="s">
        <v>3108</v>
      </c>
      <c r="H535" t="s">
        <v>3650</v>
      </c>
      <c r="I535" s="91">
        <v>0.52206213909906551</v>
      </c>
      <c r="U535" s="91"/>
    </row>
    <row r="536" spans="1:21">
      <c r="A536" s="73" t="s">
        <v>3111</v>
      </c>
      <c r="B536" s="73"/>
      <c r="C536" t="s">
        <v>3967</v>
      </c>
      <c r="G536" t="s">
        <v>3111</v>
      </c>
      <c r="H536" t="s">
        <v>3112</v>
      </c>
      <c r="I536" s="91">
        <v>0.96250000000000002</v>
      </c>
      <c r="U536" s="91"/>
    </row>
    <row r="537" spans="1:21">
      <c r="A537" s="73" t="s">
        <v>205</v>
      </c>
      <c r="B537" s="73"/>
      <c r="C537" t="s">
        <v>3968</v>
      </c>
      <c r="G537" t="s">
        <v>205</v>
      </c>
      <c r="H537" t="s">
        <v>205</v>
      </c>
      <c r="I537" s="91">
        <v>1</v>
      </c>
      <c r="U537" s="91"/>
    </row>
    <row r="538" spans="1:21">
      <c r="A538" s="73" t="s">
        <v>3119</v>
      </c>
      <c r="B538" s="73"/>
      <c r="C538" t="s">
        <v>1059</v>
      </c>
      <c r="G538" t="s">
        <v>3119</v>
      </c>
      <c r="H538" t="s">
        <v>3119</v>
      </c>
      <c r="I538" s="91">
        <v>1</v>
      </c>
      <c r="U538" s="91"/>
    </row>
    <row r="539" spans="1:21">
      <c r="A539" s="73" t="s">
        <v>3122</v>
      </c>
      <c r="B539" s="73"/>
      <c r="C539" t="s">
        <v>3969</v>
      </c>
      <c r="G539" t="s">
        <v>3122</v>
      </c>
      <c r="H539" t="s">
        <v>3122</v>
      </c>
      <c r="I539" s="91">
        <v>1</v>
      </c>
      <c r="U539" s="91"/>
    </row>
    <row r="540" spans="1:21">
      <c r="A540" s="73" t="s">
        <v>3126</v>
      </c>
      <c r="B540" s="73"/>
      <c r="C540" t="s">
        <v>3970</v>
      </c>
      <c r="G540" t="s">
        <v>3126</v>
      </c>
      <c r="H540" t="s">
        <v>4922</v>
      </c>
      <c r="I540" s="91">
        <v>0.51140091760474782</v>
      </c>
      <c r="U540" s="91"/>
    </row>
    <row r="541" spans="1:21">
      <c r="A541" s="73" t="s">
        <v>3130</v>
      </c>
      <c r="B541" s="73"/>
      <c r="C541" t="s">
        <v>3971</v>
      </c>
      <c r="G541" t="s">
        <v>3130</v>
      </c>
      <c r="H541" t="s">
        <v>3130</v>
      </c>
      <c r="I541" s="91">
        <v>1</v>
      </c>
      <c r="U541" s="91"/>
    </row>
    <row r="542" spans="1:21">
      <c r="A542" s="73" t="s">
        <v>3135</v>
      </c>
      <c r="B542" s="73"/>
      <c r="C542" t="s">
        <v>3972</v>
      </c>
      <c r="G542" t="s">
        <v>3135</v>
      </c>
      <c r="H542" t="s">
        <v>3135</v>
      </c>
      <c r="I542" s="91">
        <v>1</v>
      </c>
      <c r="U542" s="91"/>
    </row>
    <row r="543" spans="1:21">
      <c r="A543" s="73" t="s">
        <v>3138</v>
      </c>
      <c r="B543" s="73"/>
      <c r="C543" t="s">
        <v>3973</v>
      </c>
      <c r="G543" t="s">
        <v>3138</v>
      </c>
      <c r="H543" t="s">
        <v>4343</v>
      </c>
      <c r="I543" s="91">
        <v>0.49623188405797103</v>
      </c>
      <c r="U543" s="91"/>
    </row>
    <row r="544" spans="1:21">
      <c r="A544" s="73" t="s">
        <v>3143</v>
      </c>
      <c r="B544" s="73"/>
      <c r="C544" t="s">
        <v>3974</v>
      </c>
      <c r="G544" t="s">
        <v>3143</v>
      </c>
      <c r="H544" t="s">
        <v>3143</v>
      </c>
      <c r="I544" s="91">
        <v>1</v>
      </c>
      <c r="U544" s="91"/>
    </row>
    <row r="545" spans="1:21">
      <c r="A545" s="73" t="s">
        <v>3147</v>
      </c>
      <c r="B545" s="73"/>
      <c r="C545" t="s">
        <v>3975</v>
      </c>
      <c r="G545" t="s">
        <v>3147</v>
      </c>
      <c r="H545" t="s">
        <v>3147</v>
      </c>
      <c r="I545" s="91">
        <v>1</v>
      </c>
      <c r="U545" s="91"/>
    </row>
    <row r="546" spans="1:21">
      <c r="A546" s="73" t="s">
        <v>3152</v>
      </c>
      <c r="B546" s="73"/>
      <c r="C546" t="s">
        <v>3976</v>
      </c>
      <c r="G546" t="s">
        <v>3152</v>
      </c>
      <c r="H546" t="s">
        <v>3152</v>
      </c>
      <c r="I546" s="91">
        <v>1</v>
      </c>
      <c r="U546" s="91"/>
    </row>
    <row r="547" spans="1:21">
      <c r="A547" s="73" t="s">
        <v>3156</v>
      </c>
      <c r="B547" s="73"/>
      <c r="C547" t="s">
        <v>3130</v>
      </c>
      <c r="G547" t="s">
        <v>3156</v>
      </c>
      <c r="H547" t="s">
        <v>3156</v>
      </c>
      <c r="I547" s="91">
        <v>1</v>
      </c>
      <c r="U547" s="91"/>
    </row>
    <row r="548" spans="1:21">
      <c r="A548" s="73" t="s">
        <v>3159</v>
      </c>
      <c r="B548" s="73"/>
      <c r="C548" t="s">
        <v>3977</v>
      </c>
      <c r="G548" t="s">
        <v>3159</v>
      </c>
      <c r="H548" t="s">
        <v>5209</v>
      </c>
      <c r="I548" s="91">
        <v>0.88483095132443601</v>
      </c>
      <c r="U548" s="91"/>
    </row>
    <row r="549" spans="1:21">
      <c r="A549" s="73" t="s">
        <v>3163</v>
      </c>
      <c r="B549" s="73"/>
      <c r="C549" t="s">
        <v>3978</v>
      </c>
      <c r="G549" t="s">
        <v>3163</v>
      </c>
      <c r="H549" t="s">
        <v>4895</v>
      </c>
      <c r="I549" s="91">
        <v>0.5723076923076923</v>
      </c>
      <c r="U549" s="91"/>
    </row>
    <row r="550" spans="1:21">
      <c r="A550" s="73" t="s">
        <v>3168</v>
      </c>
      <c r="B550" s="73"/>
      <c r="C550" t="s">
        <v>3979</v>
      </c>
      <c r="G550" t="s">
        <v>3168</v>
      </c>
      <c r="H550" t="s">
        <v>3168</v>
      </c>
      <c r="I550" s="91">
        <v>1</v>
      </c>
      <c r="U550" s="91"/>
    </row>
    <row r="551" spans="1:21">
      <c r="A551" s="73" t="s">
        <v>3172</v>
      </c>
      <c r="B551" s="73"/>
      <c r="C551" t="s">
        <v>1008</v>
      </c>
      <c r="G551" t="s">
        <v>3172</v>
      </c>
      <c r="H551" t="s">
        <v>3172</v>
      </c>
      <c r="I551" s="91">
        <v>1</v>
      </c>
      <c r="U551" s="91"/>
    </row>
    <row r="552" spans="1:21">
      <c r="A552" s="73" t="s">
        <v>3177</v>
      </c>
      <c r="B552" s="73"/>
      <c r="C552" t="s">
        <v>3980</v>
      </c>
      <c r="G552" t="s">
        <v>3177</v>
      </c>
      <c r="H552" t="s">
        <v>3177</v>
      </c>
      <c r="I552" s="91">
        <v>1</v>
      </c>
      <c r="U552" s="91"/>
    </row>
    <row r="553" spans="1:21">
      <c r="A553" s="73" t="s">
        <v>3181</v>
      </c>
      <c r="B553" s="73"/>
      <c r="C553" t="s">
        <v>3981</v>
      </c>
      <c r="G553" t="s">
        <v>3181</v>
      </c>
      <c r="H553" t="s">
        <v>3181</v>
      </c>
      <c r="I553" s="91">
        <v>1</v>
      </c>
      <c r="U553" s="91"/>
    </row>
    <row r="554" spans="1:21">
      <c r="A554" s="73" t="s">
        <v>3185</v>
      </c>
      <c r="B554" s="73"/>
      <c r="C554" t="s">
        <v>3982</v>
      </c>
      <c r="G554" t="s">
        <v>3185</v>
      </c>
      <c r="H554" t="s">
        <v>3185</v>
      </c>
      <c r="I554" s="91">
        <v>1</v>
      </c>
      <c r="U554" s="91"/>
    </row>
    <row r="555" spans="1:21">
      <c r="A555" s="73" t="s">
        <v>3189</v>
      </c>
      <c r="B555" s="73"/>
      <c r="C555" t="s">
        <v>2802</v>
      </c>
      <c r="G555" t="s">
        <v>3189</v>
      </c>
      <c r="H555" t="s">
        <v>3189</v>
      </c>
      <c r="I555" s="91">
        <v>1</v>
      </c>
      <c r="U555" s="91"/>
    </row>
    <row r="556" spans="1:21">
      <c r="A556" s="73" t="s">
        <v>3193</v>
      </c>
      <c r="B556" s="73"/>
      <c r="C556" t="s">
        <v>3983</v>
      </c>
      <c r="G556" t="s">
        <v>3193</v>
      </c>
      <c r="H556" t="s">
        <v>3193</v>
      </c>
      <c r="I556" s="91">
        <v>1</v>
      </c>
      <c r="U556" s="91"/>
    </row>
    <row r="557" spans="1:21">
      <c r="A557" s="73" t="s">
        <v>3198</v>
      </c>
      <c r="B557" s="73"/>
      <c r="C557" t="s">
        <v>3984</v>
      </c>
      <c r="G557" t="s">
        <v>3198</v>
      </c>
      <c r="H557" t="s">
        <v>3887</v>
      </c>
      <c r="I557" s="91">
        <v>0.98044692737430161</v>
      </c>
      <c r="U557" s="91"/>
    </row>
    <row r="558" spans="1:21">
      <c r="A558" s="73" t="s">
        <v>3202</v>
      </c>
      <c r="B558" s="73"/>
      <c r="C558" t="s">
        <v>3985</v>
      </c>
      <c r="G558" t="s">
        <v>3202</v>
      </c>
      <c r="H558" t="s">
        <v>3202</v>
      </c>
      <c r="I558" s="91">
        <v>1</v>
      </c>
      <c r="U558" s="91"/>
    </row>
    <row r="559" spans="1:21">
      <c r="A559" s="73" t="s">
        <v>3205</v>
      </c>
      <c r="B559" s="73"/>
      <c r="C559" t="s">
        <v>2311</v>
      </c>
      <c r="G559" t="s">
        <v>3205</v>
      </c>
      <c r="H559" t="s">
        <v>3205</v>
      </c>
      <c r="I559" s="91">
        <v>1</v>
      </c>
      <c r="U559" s="91"/>
    </row>
    <row r="560" spans="1:21">
      <c r="A560" s="73" t="s">
        <v>3210</v>
      </c>
      <c r="B560" s="73"/>
      <c r="C560" t="s">
        <v>3986</v>
      </c>
      <c r="G560" t="s">
        <v>3210</v>
      </c>
      <c r="H560" t="s">
        <v>3210</v>
      </c>
      <c r="I560" s="91">
        <v>1</v>
      </c>
      <c r="U560" s="91"/>
    </row>
    <row r="561" spans="1:21">
      <c r="A561" s="73" t="s">
        <v>3215</v>
      </c>
      <c r="B561" s="73"/>
      <c r="C561" t="s">
        <v>3987</v>
      </c>
      <c r="G561" t="s">
        <v>3215</v>
      </c>
      <c r="H561" t="s">
        <v>3215</v>
      </c>
      <c r="I561" s="91">
        <v>1</v>
      </c>
      <c r="U561" s="91"/>
    </row>
    <row r="562" spans="1:21">
      <c r="A562" s="73" t="s">
        <v>3219</v>
      </c>
      <c r="B562" s="73"/>
      <c r="C562" t="s">
        <v>3988</v>
      </c>
      <c r="G562" t="s">
        <v>3219</v>
      </c>
      <c r="H562" t="s">
        <v>3219</v>
      </c>
      <c r="I562" s="91">
        <v>1</v>
      </c>
      <c r="U562" s="91"/>
    </row>
    <row r="563" spans="1:21">
      <c r="A563" s="73" t="s">
        <v>3223</v>
      </c>
      <c r="B563" s="73"/>
      <c r="C563" t="s">
        <v>3989</v>
      </c>
      <c r="G563" t="s">
        <v>3223</v>
      </c>
      <c r="H563" t="s">
        <v>3223</v>
      </c>
      <c r="I563" s="91">
        <v>1</v>
      </c>
      <c r="U563" s="91"/>
    </row>
    <row r="564" spans="1:21">
      <c r="A564" s="73" t="s">
        <v>3225</v>
      </c>
      <c r="B564" s="73"/>
      <c r="C564" t="s">
        <v>3990</v>
      </c>
      <c r="G564" t="s">
        <v>3225</v>
      </c>
      <c r="H564" t="s">
        <v>3193</v>
      </c>
      <c r="I564" s="91">
        <v>0.57651821862348185</v>
      </c>
      <c r="U564" s="91"/>
    </row>
    <row r="565" spans="1:21">
      <c r="A565" s="73" t="s">
        <v>3229</v>
      </c>
      <c r="B565" s="73"/>
      <c r="C565" t="s">
        <v>3189</v>
      </c>
      <c r="G565" t="s">
        <v>3229</v>
      </c>
      <c r="H565" t="s">
        <v>3231</v>
      </c>
      <c r="I565" s="91">
        <v>0.98300970873786409</v>
      </c>
      <c r="U565" s="91"/>
    </row>
    <row r="566" spans="1:21">
      <c r="A566" s="73" t="s">
        <v>3235</v>
      </c>
      <c r="B566" s="73"/>
      <c r="C566" t="s">
        <v>3991</v>
      </c>
      <c r="G566" t="s">
        <v>3235</v>
      </c>
      <c r="I566" s="91">
        <v>0</v>
      </c>
      <c r="U566" s="91"/>
    </row>
    <row r="567" spans="1:21">
      <c r="A567" s="73" t="s">
        <v>3239</v>
      </c>
      <c r="B567" s="73"/>
      <c r="C567" t="s">
        <v>3992</v>
      </c>
      <c r="G567" t="s">
        <v>3239</v>
      </c>
      <c r="H567" t="s">
        <v>4831</v>
      </c>
      <c r="I567" s="91">
        <v>0.93925383392436157</v>
      </c>
      <c r="U567" s="91"/>
    </row>
    <row r="568" spans="1:21">
      <c r="A568" s="73" t="s">
        <v>3243</v>
      </c>
      <c r="B568" s="73"/>
      <c r="C568" t="s">
        <v>3993</v>
      </c>
      <c r="G568" t="s">
        <v>3243</v>
      </c>
      <c r="H568" t="s">
        <v>4089</v>
      </c>
      <c r="I568" s="91">
        <v>0.51768271599923177</v>
      </c>
      <c r="U568" s="91"/>
    </row>
    <row r="569" spans="1:21">
      <c r="A569" s="73" t="s">
        <v>3247</v>
      </c>
      <c r="B569" s="73"/>
      <c r="C569" t="s">
        <v>3994</v>
      </c>
      <c r="G569" t="s">
        <v>3247</v>
      </c>
      <c r="H569" t="s">
        <v>3906</v>
      </c>
      <c r="I569" s="91">
        <v>0.96674302878258611</v>
      </c>
      <c r="U569" s="91"/>
    </row>
    <row r="570" spans="1:21">
      <c r="A570" s="73" t="s">
        <v>3251</v>
      </c>
      <c r="B570" s="73"/>
      <c r="C570" t="s">
        <v>3995</v>
      </c>
      <c r="G570" t="s">
        <v>3251</v>
      </c>
      <c r="I570" s="91">
        <v>0</v>
      </c>
      <c r="U570" s="91"/>
    </row>
    <row r="571" spans="1:21">
      <c r="A571" s="73" t="s">
        <v>3255</v>
      </c>
      <c r="B571" s="73"/>
      <c r="C571" t="s">
        <v>3996</v>
      </c>
      <c r="G571" t="s">
        <v>3255</v>
      </c>
      <c r="H571" t="s">
        <v>3256</v>
      </c>
      <c r="I571" s="91">
        <v>1</v>
      </c>
      <c r="U571" s="91"/>
    </row>
    <row r="572" spans="1:21">
      <c r="A572" s="73" t="s">
        <v>3260</v>
      </c>
      <c r="B572" s="73"/>
      <c r="C572" t="s">
        <v>3997</v>
      </c>
      <c r="G572" t="s">
        <v>3260</v>
      </c>
      <c r="H572" t="s">
        <v>4128</v>
      </c>
      <c r="I572" s="91">
        <v>0.96674302878258611</v>
      </c>
      <c r="U572" s="91"/>
    </row>
    <row r="573" spans="1:21">
      <c r="A573" s="73" t="s">
        <v>3264</v>
      </c>
      <c r="B573" s="73"/>
      <c r="C573" t="s">
        <v>3998</v>
      </c>
      <c r="G573" t="s">
        <v>3264</v>
      </c>
      <c r="H573" t="s">
        <v>3265</v>
      </c>
      <c r="I573" s="91">
        <v>0.94736842105263164</v>
      </c>
      <c r="U573" s="91"/>
    </row>
    <row r="574" spans="1:21">
      <c r="A574" s="73" t="s">
        <v>3269</v>
      </c>
      <c r="B574" s="73"/>
      <c r="C574" t="s">
        <v>3999</v>
      </c>
      <c r="G574" t="s">
        <v>3269</v>
      </c>
      <c r="H574" t="s">
        <v>3269</v>
      </c>
      <c r="I574" s="91">
        <v>1</v>
      </c>
      <c r="U574" s="91"/>
    </row>
    <row r="575" spans="1:21">
      <c r="A575" s="73" t="s">
        <v>3274</v>
      </c>
      <c r="B575" s="73"/>
      <c r="C575" t="s">
        <v>4000</v>
      </c>
      <c r="G575" t="s">
        <v>3274</v>
      </c>
      <c r="I575" s="91">
        <v>0</v>
      </c>
      <c r="U575" s="91"/>
    </row>
    <row r="576" spans="1:21">
      <c r="A576" s="73" t="s">
        <v>3277</v>
      </c>
      <c r="B576" s="73"/>
      <c r="C576" t="s">
        <v>4001</v>
      </c>
      <c r="G576" t="s">
        <v>3277</v>
      </c>
      <c r="H576" t="s">
        <v>3518</v>
      </c>
      <c r="I576" s="91">
        <v>0.98634294385432475</v>
      </c>
      <c r="U576" s="91"/>
    </row>
    <row r="577" spans="1:21">
      <c r="A577" s="73" t="s">
        <v>3280</v>
      </c>
      <c r="B577" s="73"/>
      <c r="C577" t="s">
        <v>2189</v>
      </c>
      <c r="G577" t="s">
        <v>3280</v>
      </c>
      <c r="H577" t="s">
        <v>3280</v>
      </c>
      <c r="I577" s="91">
        <v>1</v>
      </c>
      <c r="U577" s="91"/>
    </row>
    <row r="578" spans="1:21">
      <c r="A578" s="73" t="s">
        <v>3284</v>
      </c>
      <c r="B578" s="73"/>
      <c r="C578" t="s">
        <v>4002</v>
      </c>
      <c r="G578" t="s">
        <v>3284</v>
      </c>
      <c r="H578" t="s">
        <v>3872</v>
      </c>
      <c r="I578" s="91">
        <v>0.98859315589353614</v>
      </c>
      <c r="U578" s="91"/>
    </row>
    <row r="579" spans="1:21">
      <c r="A579" s="73" t="s">
        <v>2829</v>
      </c>
      <c r="B579" s="73"/>
      <c r="C579" t="s">
        <v>4003</v>
      </c>
      <c r="G579" t="s">
        <v>2829</v>
      </c>
      <c r="H579" t="s">
        <v>2829</v>
      </c>
      <c r="I579" s="91">
        <v>1</v>
      </c>
      <c r="U579" s="91"/>
    </row>
    <row r="580" spans="1:21">
      <c r="A580" s="73" t="s">
        <v>3291</v>
      </c>
      <c r="B580" s="73"/>
      <c r="C580" t="s">
        <v>4004</v>
      </c>
      <c r="G580" t="s">
        <v>3291</v>
      </c>
      <c r="H580" t="s">
        <v>4443</v>
      </c>
      <c r="I580" s="91">
        <v>0.55156695156695157</v>
      </c>
      <c r="U580" s="91"/>
    </row>
    <row r="581" spans="1:21">
      <c r="A581" s="73" t="s">
        <v>3295</v>
      </c>
      <c r="B581" s="73"/>
      <c r="C581" t="s">
        <v>4005</v>
      </c>
      <c r="G581" t="s">
        <v>3295</v>
      </c>
      <c r="H581" t="s">
        <v>5055</v>
      </c>
      <c r="I581" s="91">
        <v>0.98859315589353614</v>
      </c>
      <c r="U581" s="91"/>
    </row>
    <row r="582" spans="1:21">
      <c r="A582" s="73" t="s">
        <v>3299</v>
      </c>
      <c r="B582" s="73"/>
      <c r="C582" t="s">
        <v>4006</v>
      </c>
      <c r="G582" t="s">
        <v>3299</v>
      </c>
      <c r="H582" t="s">
        <v>3638</v>
      </c>
      <c r="I582" s="91">
        <v>0.98859315589353614</v>
      </c>
      <c r="U582" s="91"/>
    </row>
    <row r="583" spans="1:21">
      <c r="A583" s="73" t="s">
        <v>3304</v>
      </c>
      <c r="B583" s="73"/>
      <c r="C583" t="s">
        <v>4007</v>
      </c>
      <c r="G583" t="s">
        <v>3304</v>
      </c>
      <c r="H583" t="s">
        <v>3305</v>
      </c>
      <c r="I583" s="91">
        <v>1</v>
      </c>
      <c r="U583" s="91"/>
    </row>
    <row r="584" spans="1:21">
      <c r="A584" s="73" t="s">
        <v>3308</v>
      </c>
      <c r="B584" s="73"/>
      <c r="C584" t="s">
        <v>4008</v>
      </c>
      <c r="G584" t="s">
        <v>3308</v>
      </c>
      <c r="H584" t="s">
        <v>3521</v>
      </c>
      <c r="I584" s="91">
        <v>0.98634294385432475</v>
      </c>
      <c r="U584" s="91"/>
    </row>
    <row r="585" spans="1:21">
      <c r="A585" s="73" t="s">
        <v>3311</v>
      </c>
      <c r="B585" s="73"/>
      <c r="C585" t="s">
        <v>4009</v>
      </c>
      <c r="G585" t="s">
        <v>3311</v>
      </c>
      <c r="H585" t="s">
        <v>3872</v>
      </c>
      <c r="I585" s="91">
        <v>0.66404690919513443</v>
      </c>
      <c r="U585" s="91"/>
    </row>
    <row r="586" spans="1:21">
      <c r="A586" s="73" t="s">
        <v>3315</v>
      </c>
      <c r="B586" s="73"/>
      <c r="C586" t="s">
        <v>4010</v>
      </c>
      <c r="G586" t="s">
        <v>3315</v>
      </c>
      <c r="H586" t="s">
        <v>3972</v>
      </c>
      <c r="I586" s="91">
        <v>0.55640447730275555</v>
      </c>
      <c r="U586" s="91"/>
    </row>
    <row r="587" spans="1:21">
      <c r="A587" s="73" t="s">
        <v>3318</v>
      </c>
      <c r="B587" s="73"/>
      <c r="C587" t="s">
        <v>1941</v>
      </c>
      <c r="G587" t="s">
        <v>3318</v>
      </c>
      <c r="H587" t="s">
        <v>4581</v>
      </c>
      <c r="I587" s="91">
        <v>0.95022865724336503</v>
      </c>
      <c r="U587" s="91"/>
    </row>
    <row r="588" spans="1:21">
      <c r="A588" s="73" t="s">
        <v>3321</v>
      </c>
      <c r="B588" s="73"/>
      <c r="C588" t="s">
        <v>4011</v>
      </c>
      <c r="G588" t="s">
        <v>3321</v>
      </c>
      <c r="H588" t="s">
        <v>4540</v>
      </c>
      <c r="I588" s="91">
        <v>0.98765432098765427</v>
      </c>
      <c r="U588" s="91"/>
    </row>
    <row r="589" spans="1:21">
      <c r="A589" s="73" t="s">
        <v>3324</v>
      </c>
      <c r="B589" s="73"/>
      <c r="C589" t="s">
        <v>306</v>
      </c>
      <c r="G589" t="s">
        <v>3324</v>
      </c>
      <c r="H589" t="s">
        <v>4583</v>
      </c>
      <c r="I589" s="91">
        <v>0.88956935589246811</v>
      </c>
      <c r="U589" s="91"/>
    </row>
    <row r="590" spans="1:21">
      <c r="A590" s="73" t="s">
        <v>3327</v>
      </c>
      <c r="B590" s="73"/>
      <c r="C590" t="s">
        <v>4012</v>
      </c>
      <c r="G590" t="s">
        <v>3327</v>
      </c>
      <c r="H590" t="s">
        <v>3327</v>
      </c>
      <c r="I590" s="91">
        <v>1</v>
      </c>
      <c r="U590" s="91"/>
    </row>
    <row r="591" spans="1:21">
      <c r="A591" s="73" t="s">
        <v>3330</v>
      </c>
      <c r="B591" s="73"/>
      <c r="C591" t="s">
        <v>4013</v>
      </c>
      <c r="G591" t="s">
        <v>3330</v>
      </c>
      <c r="H591" t="s">
        <v>3890</v>
      </c>
      <c r="I591" s="91">
        <v>0.98859315589353614</v>
      </c>
      <c r="U591" s="91"/>
    </row>
    <row r="592" spans="1:21">
      <c r="A592" s="73" t="s">
        <v>3335</v>
      </c>
      <c r="B592" s="73"/>
      <c r="C592" t="s">
        <v>4014</v>
      </c>
      <c r="G592" t="s">
        <v>3335</v>
      </c>
      <c r="H592" t="s">
        <v>4473</v>
      </c>
      <c r="I592" s="91">
        <v>0.55113039535494723</v>
      </c>
      <c r="U592" s="91"/>
    </row>
    <row r="593" spans="1:21">
      <c r="A593" s="73" t="s">
        <v>3339</v>
      </c>
      <c r="B593" s="73"/>
      <c r="C593" t="s">
        <v>4015</v>
      </c>
      <c r="G593" t="s">
        <v>3339</v>
      </c>
      <c r="H593" t="s">
        <v>5082</v>
      </c>
      <c r="I593" s="91">
        <v>0.82382389176266946</v>
      </c>
      <c r="U593" s="91"/>
    </row>
    <row r="594" spans="1:21">
      <c r="A594" s="73" t="s">
        <v>3342</v>
      </c>
      <c r="B594" s="73"/>
      <c r="C594" t="s">
        <v>4016</v>
      </c>
      <c r="G594" t="s">
        <v>3342</v>
      </c>
      <c r="H594" t="s">
        <v>4589</v>
      </c>
      <c r="I594" s="91">
        <v>0.97838063800882313</v>
      </c>
      <c r="U594" s="91"/>
    </row>
    <row r="595" spans="1:21">
      <c r="A595" s="73" t="s">
        <v>3346</v>
      </c>
      <c r="B595" s="73"/>
      <c r="C595" t="s">
        <v>4017</v>
      </c>
      <c r="G595" t="s">
        <v>3346</v>
      </c>
      <c r="H595" t="s">
        <v>3059</v>
      </c>
      <c r="I595" s="91">
        <v>0.53666666666666674</v>
      </c>
      <c r="U595" s="91"/>
    </row>
    <row r="596" spans="1:21">
      <c r="A596" s="73" t="s">
        <v>3349</v>
      </c>
      <c r="B596" s="73"/>
      <c r="C596" t="s">
        <v>1865</v>
      </c>
      <c r="G596" t="s">
        <v>3349</v>
      </c>
      <c r="H596" t="s">
        <v>4442</v>
      </c>
      <c r="I596" s="91">
        <v>0.52435327279394461</v>
      </c>
      <c r="U596" s="91"/>
    </row>
    <row r="597" spans="1:21">
      <c r="A597" s="73" t="s">
        <v>3354</v>
      </c>
      <c r="B597" s="73"/>
      <c r="C597" t="s">
        <v>4018</v>
      </c>
      <c r="G597" t="s">
        <v>3354</v>
      </c>
      <c r="H597" t="s">
        <v>5157</v>
      </c>
      <c r="I597" s="91">
        <v>0.53998605543691436</v>
      </c>
      <c r="U597" s="91"/>
    </row>
    <row r="598" spans="1:21">
      <c r="A598" s="73" t="s">
        <v>3359</v>
      </c>
      <c r="B598" s="73"/>
      <c r="C598" t="s">
        <v>4019</v>
      </c>
      <c r="G598" t="s">
        <v>3359</v>
      </c>
      <c r="H598" t="s">
        <v>4497</v>
      </c>
      <c r="I598" s="91">
        <v>0.83568928854405655</v>
      </c>
      <c r="U598" s="91"/>
    </row>
    <row r="599" spans="1:21">
      <c r="A599" s="73" t="s">
        <v>3363</v>
      </c>
      <c r="B599" s="73"/>
      <c r="C599" t="s">
        <v>161</v>
      </c>
      <c r="G599" t="s">
        <v>3363</v>
      </c>
      <c r="H599" t="s">
        <v>4810</v>
      </c>
      <c r="I599" s="91">
        <v>0.53666666666666674</v>
      </c>
      <c r="U599" s="91"/>
    </row>
    <row r="600" spans="1:21">
      <c r="A600" s="73" t="s">
        <v>3368</v>
      </c>
      <c r="B600" s="73"/>
      <c r="C600" t="s">
        <v>3269</v>
      </c>
      <c r="G600" t="s">
        <v>3368</v>
      </c>
      <c r="H600" t="s">
        <v>4276</v>
      </c>
      <c r="I600" s="91">
        <v>0.95484396132450278</v>
      </c>
      <c r="U600" s="91"/>
    </row>
    <row r="601" spans="1:21">
      <c r="A601" s="73" t="s">
        <v>3373</v>
      </c>
      <c r="B601" s="73"/>
      <c r="C601" t="s">
        <v>4020</v>
      </c>
      <c r="G601" t="s">
        <v>3373</v>
      </c>
      <c r="H601" t="s">
        <v>3373</v>
      </c>
      <c r="I601" s="91">
        <v>1</v>
      </c>
      <c r="U601" s="91"/>
    </row>
    <row r="602" spans="1:21">
      <c r="A602" s="73" t="s">
        <v>3376</v>
      </c>
      <c r="B602" s="73"/>
      <c r="C602" t="s">
        <v>4021</v>
      </c>
      <c r="G602" t="s">
        <v>3376</v>
      </c>
      <c r="H602" t="s">
        <v>5086</v>
      </c>
      <c r="I602" s="91">
        <v>0.93013159533423029</v>
      </c>
      <c r="U602" s="91"/>
    </row>
    <row r="603" spans="1:21">
      <c r="A603" s="73" t="s">
        <v>3379</v>
      </c>
      <c r="B603" s="73"/>
      <c r="C603" t="s">
        <v>4022</v>
      </c>
      <c r="G603" t="s">
        <v>3379</v>
      </c>
      <c r="H603" t="s">
        <v>4982</v>
      </c>
      <c r="I603" s="91">
        <v>0.55040277852785047</v>
      </c>
      <c r="U603" s="91"/>
    </row>
    <row r="604" spans="1:21">
      <c r="A604" s="73" t="s">
        <v>3384</v>
      </c>
      <c r="B604" s="73"/>
      <c r="C604" t="s">
        <v>2183</v>
      </c>
      <c r="G604" t="s">
        <v>3384</v>
      </c>
      <c r="H604" t="s">
        <v>4098</v>
      </c>
      <c r="I604" s="91">
        <v>0.97449762878134161</v>
      </c>
      <c r="U604" s="91"/>
    </row>
    <row r="605" spans="1:21">
      <c r="A605" s="73" t="s">
        <v>3389</v>
      </c>
      <c r="B605" s="73"/>
      <c r="C605" t="s">
        <v>4023</v>
      </c>
      <c r="G605" t="s">
        <v>3389</v>
      </c>
      <c r="H605" t="s">
        <v>3389</v>
      </c>
      <c r="I605" s="91">
        <v>1</v>
      </c>
      <c r="U605" s="91"/>
    </row>
    <row r="606" spans="1:21">
      <c r="A606" s="73" t="s">
        <v>3392</v>
      </c>
      <c r="B606" s="73"/>
      <c r="C606" t="s">
        <v>4024</v>
      </c>
      <c r="G606" t="s">
        <v>3392</v>
      </c>
      <c r="H606" t="s">
        <v>4504</v>
      </c>
      <c r="I606" s="91">
        <v>0.59892144436988992</v>
      </c>
      <c r="U606" s="91"/>
    </row>
    <row r="607" spans="1:21">
      <c r="A607" s="73" t="s">
        <v>3396</v>
      </c>
      <c r="B607" s="73"/>
      <c r="C607" t="s">
        <v>4025</v>
      </c>
      <c r="G607" t="s">
        <v>3396</v>
      </c>
      <c r="H607" t="s">
        <v>3396</v>
      </c>
      <c r="I607" s="91">
        <v>1</v>
      </c>
      <c r="U607" s="91"/>
    </row>
    <row r="608" spans="1:21">
      <c r="A608" s="73" t="s">
        <v>3400</v>
      </c>
      <c r="B608" s="73"/>
      <c r="C608" t="s">
        <v>4026</v>
      </c>
      <c r="G608" t="s">
        <v>3400</v>
      </c>
      <c r="H608" t="s">
        <v>3400</v>
      </c>
      <c r="I608" s="91">
        <v>1</v>
      </c>
      <c r="U608" s="91"/>
    </row>
    <row r="609" spans="1:21">
      <c r="A609" s="73" t="s">
        <v>3404</v>
      </c>
      <c r="B609" s="73"/>
      <c r="C609" t="s">
        <v>4027</v>
      </c>
      <c r="G609" t="s">
        <v>3404</v>
      </c>
      <c r="H609" t="s">
        <v>4760</v>
      </c>
      <c r="I609" s="91">
        <v>0.5723076923076923</v>
      </c>
      <c r="U609" s="91"/>
    </row>
    <row r="610" spans="1:21">
      <c r="A610" s="73" t="s">
        <v>3407</v>
      </c>
      <c r="B610" s="73"/>
      <c r="C610" t="s">
        <v>201</v>
      </c>
      <c r="G610" t="s">
        <v>3407</v>
      </c>
      <c r="H610" t="s">
        <v>4982</v>
      </c>
      <c r="I610" s="91">
        <v>0.51557489147861746</v>
      </c>
      <c r="U610" s="91"/>
    </row>
    <row r="611" spans="1:21">
      <c r="A611" s="73" t="s">
        <v>3410</v>
      </c>
      <c r="B611" s="73"/>
      <c r="C611" t="s">
        <v>4028</v>
      </c>
      <c r="G611" t="s">
        <v>3410</v>
      </c>
      <c r="H611" t="s">
        <v>3411</v>
      </c>
      <c r="I611" s="91">
        <v>0.9915070842575886</v>
      </c>
      <c r="U611" s="91"/>
    </row>
    <row r="612" spans="1:21">
      <c r="A612" s="73" t="s">
        <v>3415</v>
      </c>
      <c r="B612" s="73"/>
      <c r="C612" t="s">
        <v>4029</v>
      </c>
      <c r="G612" t="s">
        <v>3415</v>
      </c>
      <c r="H612" t="s">
        <v>4957</v>
      </c>
      <c r="I612" s="91">
        <v>0.95</v>
      </c>
      <c r="U612" s="91"/>
    </row>
    <row r="613" spans="1:21">
      <c r="A613" s="73" t="s">
        <v>3419</v>
      </c>
      <c r="B613" s="73"/>
      <c r="C613" t="s">
        <v>4030</v>
      </c>
      <c r="G613" t="s">
        <v>3419</v>
      </c>
      <c r="H613" t="s">
        <v>3419</v>
      </c>
      <c r="I613" s="91">
        <v>1</v>
      </c>
      <c r="U613" s="91"/>
    </row>
    <row r="614" spans="1:21">
      <c r="A614" s="73" t="s">
        <v>3423</v>
      </c>
      <c r="B614" s="73"/>
      <c r="C614" t="s">
        <v>4031</v>
      </c>
      <c r="G614" t="s">
        <v>3423</v>
      </c>
      <c r="H614" t="s">
        <v>3423</v>
      </c>
      <c r="I614" s="91">
        <v>1</v>
      </c>
      <c r="U614" s="91"/>
    </row>
    <row r="615" spans="1:21">
      <c r="A615" s="73" t="s">
        <v>3428</v>
      </c>
      <c r="B615" s="73"/>
      <c r="C615" t="s">
        <v>4032</v>
      </c>
      <c r="G615" t="s">
        <v>3428</v>
      </c>
      <c r="H615" t="s">
        <v>4455</v>
      </c>
      <c r="I615" s="91">
        <v>0.94000000000000006</v>
      </c>
      <c r="U615" s="91"/>
    </row>
    <row r="616" spans="1:21">
      <c r="A616" s="73" t="s">
        <v>3432</v>
      </c>
      <c r="B616" s="73"/>
      <c r="C616" t="s">
        <v>4033</v>
      </c>
      <c r="G616" t="s">
        <v>3432</v>
      </c>
      <c r="H616" t="s">
        <v>3432</v>
      </c>
      <c r="I616" s="91">
        <v>1</v>
      </c>
      <c r="U616" s="91"/>
    </row>
    <row r="617" spans="1:21">
      <c r="A617" s="73" t="s">
        <v>3437</v>
      </c>
      <c r="B617" s="73"/>
      <c r="C617" t="s">
        <v>4034</v>
      </c>
      <c r="G617" t="s">
        <v>3437</v>
      </c>
      <c r="H617" t="s">
        <v>4869</v>
      </c>
      <c r="I617" s="91">
        <v>0.53666666666666674</v>
      </c>
      <c r="U617" s="91"/>
    </row>
    <row r="618" spans="1:21">
      <c r="A618" s="73" t="s">
        <v>3442</v>
      </c>
      <c r="B618" s="73"/>
      <c r="C618" t="s">
        <v>4035</v>
      </c>
      <c r="G618" t="s">
        <v>3442</v>
      </c>
      <c r="H618" t="s">
        <v>3442</v>
      </c>
      <c r="I618" s="91">
        <v>1</v>
      </c>
      <c r="U618" s="91"/>
    </row>
    <row r="619" spans="1:21">
      <c r="A619" s="73" t="s">
        <v>3447</v>
      </c>
      <c r="B619" s="73"/>
      <c r="C619" t="s">
        <v>4036</v>
      </c>
      <c r="G619" t="s">
        <v>3447</v>
      </c>
      <c r="I619" s="91">
        <v>0</v>
      </c>
      <c r="U619" s="91"/>
    </row>
    <row r="620" spans="1:21">
      <c r="A620" s="73" t="s">
        <v>3450</v>
      </c>
      <c r="B620" s="73"/>
      <c r="C620" t="s">
        <v>4037</v>
      </c>
      <c r="G620" t="s">
        <v>3450</v>
      </c>
      <c r="H620" t="s">
        <v>3450</v>
      </c>
      <c r="I620" s="91">
        <v>1</v>
      </c>
      <c r="U620" s="91"/>
    </row>
    <row r="621" spans="1:21">
      <c r="A621" s="73" t="s">
        <v>3455</v>
      </c>
      <c r="B621" s="73"/>
      <c r="C621" t="s">
        <v>4038</v>
      </c>
      <c r="G621" t="s">
        <v>3455</v>
      </c>
      <c r="H621" t="s">
        <v>3455</v>
      </c>
      <c r="I621" s="91">
        <v>1</v>
      </c>
      <c r="U621" s="91"/>
    </row>
    <row r="622" spans="1:21">
      <c r="A622" s="73" t="s">
        <v>3460</v>
      </c>
      <c r="C622" t="s">
        <v>581</v>
      </c>
      <c r="G622" t="s">
        <v>3460</v>
      </c>
      <c r="H622" t="s">
        <v>3460</v>
      </c>
      <c r="I622" s="91">
        <v>1</v>
      </c>
      <c r="U622" s="91"/>
    </row>
    <row r="623" spans="1:21">
      <c r="C623" t="s">
        <v>4039</v>
      </c>
      <c r="U623" s="91"/>
    </row>
    <row r="624" spans="1:21">
      <c r="C624" t="s">
        <v>4040</v>
      </c>
      <c r="U624" s="91"/>
    </row>
    <row r="625" spans="3:21">
      <c r="C625" t="s">
        <v>4041</v>
      </c>
      <c r="U625" s="91"/>
    </row>
    <row r="626" spans="3:21">
      <c r="C626" t="s">
        <v>4042</v>
      </c>
      <c r="U626" s="91"/>
    </row>
    <row r="627" spans="3:21">
      <c r="C627" t="s">
        <v>4043</v>
      </c>
      <c r="U627" s="91"/>
    </row>
    <row r="628" spans="3:21">
      <c r="C628" t="s">
        <v>4044</v>
      </c>
      <c r="U628" s="91"/>
    </row>
    <row r="629" spans="3:21">
      <c r="C629" t="s">
        <v>4045</v>
      </c>
      <c r="U629" s="91"/>
    </row>
    <row r="630" spans="3:21">
      <c r="C630" t="s">
        <v>4046</v>
      </c>
      <c r="U630" s="91"/>
    </row>
    <row r="631" spans="3:21">
      <c r="C631" t="s">
        <v>4047</v>
      </c>
      <c r="U631" s="91"/>
    </row>
    <row r="632" spans="3:21">
      <c r="C632" t="s">
        <v>4048</v>
      </c>
    </row>
    <row r="633" spans="3:21">
      <c r="C633" t="s">
        <v>4049</v>
      </c>
    </row>
    <row r="634" spans="3:21">
      <c r="C634" t="s">
        <v>4050</v>
      </c>
    </row>
    <row r="635" spans="3:21">
      <c r="C635" t="s">
        <v>4051</v>
      </c>
    </row>
    <row r="636" spans="3:21">
      <c r="C636" t="s">
        <v>4052</v>
      </c>
    </row>
    <row r="637" spans="3:21">
      <c r="C637" t="s">
        <v>4053</v>
      </c>
    </row>
    <row r="638" spans="3:21">
      <c r="C638" t="s">
        <v>4054</v>
      </c>
    </row>
    <row r="639" spans="3:21">
      <c r="C639" t="s">
        <v>4055</v>
      </c>
    </row>
    <row r="640" spans="3:21">
      <c r="C640" t="s">
        <v>4056</v>
      </c>
    </row>
    <row r="641" spans="3:3">
      <c r="C641" t="s">
        <v>4057</v>
      </c>
    </row>
    <row r="642" spans="3:3">
      <c r="C642" t="s">
        <v>4058</v>
      </c>
    </row>
    <row r="643" spans="3:3">
      <c r="C643" t="s">
        <v>4059</v>
      </c>
    </row>
    <row r="644" spans="3:3">
      <c r="C644" t="s">
        <v>4060</v>
      </c>
    </row>
    <row r="645" spans="3:3">
      <c r="C645" t="s">
        <v>4061</v>
      </c>
    </row>
    <row r="646" spans="3:3">
      <c r="C646" t="s">
        <v>4062</v>
      </c>
    </row>
    <row r="647" spans="3:3">
      <c r="C647" t="s">
        <v>4063</v>
      </c>
    </row>
    <row r="648" spans="3:3">
      <c r="C648" t="s">
        <v>4064</v>
      </c>
    </row>
    <row r="649" spans="3:3">
      <c r="C649" t="s">
        <v>4065</v>
      </c>
    </row>
    <row r="650" spans="3:3">
      <c r="C650" t="s">
        <v>1279</v>
      </c>
    </row>
    <row r="651" spans="3:3">
      <c r="C651" t="s">
        <v>1147</v>
      </c>
    </row>
    <row r="652" spans="3:3">
      <c r="C652" t="s">
        <v>4066</v>
      </c>
    </row>
    <row r="653" spans="3:3">
      <c r="C653" t="s">
        <v>4067</v>
      </c>
    </row>
    <row r="654" spans="3:3">
      <c r="C654" t="s">
        <v>2507</v>
      </c>
    </row>
    <row r="655" spans="3:3">
      <c r="C655" t="s">
        <v>4068</v>
      </c>
    </row>
    <row r="656" spans="3:3">
      <c r="C656" t="s">
        <v>4069</v>
      </c>
    </row>
    <row r="657" spans="3:3">
      <c r="C657" t="s">
        <v>2749</v>
      </c>
    </row>
    <row r="658" spans="3:3">
      <c r="C658" t="s">
        <v>4070</v>
      </c>
    </row>
    <row r="659" spans="3:3">
      <c r="C659" t="s">
        <v>4071</v>
      </c>
    </row>
    <row r="660" spans="3:3">
      <c r="C660" t="s">
        <v>4072</v>
      </c>
    </row>
    <row r="661" spans="3:3">
      <c r="C661" t="s">
        <v>356</v>
      </c>
    </row>
    <row r="662" spans="3:3">
      <c r="C662" t="s">
        <v>4073</v>
      </c>
    </row>
    <row r="663" spans="3:3">
      <c r="C663" t="s">
        <v>4074</v>
      </c>
    </row>
    <row r="664" spans="3:3">
      <c r="C664" t="s">
        <v>2617</v>
      </c>
    </row>
    <row r="665" spans="3:3">
      <c r="C665" t="s">
        <v>2851</v>
      </c>
    </row>
    <row r="666" spans="3:3">
      <c r="C666" t="s">
        <v>4075</v>
      </c>
    </row>
    <row r="667" spans="3:3">
      <c r="C667" t="s">
        <v>4076</v>
      </c>
    </row>
    <row r="668" spans="3:3">
      <c r="C668" t="s">
        <v>4077</v>
      </c>
    </row>
    <row r="669" spans="3:3">
      <c r="C669" t="s">
        <v>4078</v>
      </c>
    </row>
    <row r="670" spans="3:3">
      <c r="C670" t="s">
        <v>4079</v>
      </c>
    </row>
    <row r="671" spans="3:3">
      <c r="C671" t="s">
        <v>4080</v>
      </c>
    </row>
    <row r="672" spans="3:3">
      <c r="C672" t="s">
        <v>4081</v>
      </c>
    </row>
    <row r="673" spans="3:3">
      <c r="C673" t="s">
        <v>4082</v>
      </c>
    </row>
    <row r="674" spans="3:3">
      <c r="C674" t="s">
        <v>4083</v>
      </c>
    </row>
    <row r="675" spans="3:3">
      <c r="C675" t="s">
        <v>4084</v>
      </c>
    </row>
    <row r="676" spans="3:3">
      <c r="C676" t="s">
        <v>4085</v>
      </c>
    </row>
    <row r="677" spans="3:3">
      <c r="C677" t="s">
        <v>2905</v>
      </c>
    </row>
    <row r="678" spans="3:3">
      <c r="C678" t="s">
        <v>4086</v>
      </c>
    </row>
    <row r="679" spans="3:3">
      <c r="C679" t="s">
        <v>4087</v>
      </c>
    </row>
    <row r="680" spans="3:3">
      <c r="C680" t="s">
        <v>4088</v>
      </c>
    </row>
    <row r="681" spans="3:3">
      <c r="C681" t="s">
        <v>578</v>
      </c>
    </row>
    <row r="682" spans="3:3">
      <c r="C682" t="s">
        <v>4089</v>
      </c>
    </row>
    <row r="683" spans="3:3">
      <c r="C683" t="s">
        <v>4090</v>
      </c>
    </row>
    <row r="684" spans="3:3">
      <c r="C684" t="s">
        <v>4091</v>
      </c>
    </row>
    <row r="685" spans="3:3">
      <c r="C685" t="s">
        <v>4092</v>
      </c>
    </row>
    <row r="686" spans="3:3">
      <c r="C686" t="s">
        <v>1797</v>
      </c>
    </row>
    <row r="687" spans="3:3">
      <c r="C687" t="s">
        <v>4093</v>
      </c>
    </row>
    <row r="688" spans="3:3">
      <c r="C688" t="s">
        <v>4094</v>
      </c>
    </row>
    <row r="689" spans="3:3">
      <c r="C689" t="s">
        <v>4095</v>
      </c>
    </row>
    <row r="690" spans="3:3">
      <c r="C690" t="s">
        <v>4096</v>
      </c>
    </row>
    <row r="691" spans="3:3">
      <c r="C691" t="s">
        <v>4097</v>
      </c>
    </row>
    <row r="692" spans="3:3">
      <c r="C692" t="s">
        <v>4098</v>
      </c>
    </row>
    <row r="693" spans="3:3">
      <c r="C693" t="s">
        <v>2249</v>
      </c>
    </row>
    <row r="694" spans="3:3">
      <c r="C694" t="s">
        <v>4099</v>
      </c>
    </row>
    <row r="695" spans="3:3">
      <c r="C695" t="s">
        <v>4100</v>
      </c>
    </row>
    <row r="696" spans="3:3">
      <c r="C696" t="s">
        <v>1155</v>
      </c>
    </row>
    <row r="697" spans="3:3">
      <c r="C697" t="s">
        <v>4101</v>
      </c>
    </row>
    <row r="698" spans="3:3">
      <c r="C698" t="s">
        <v>4102</v>
      </c>
    </row>
    <row r="699" spans="3:3">
      <c r="C699" t="s">
        <v>4103</v>
      </c>
    </row>
    <row r="700" spans="3:3">
      <c r="C700" t="s">
        <v>4104</v>
      </c>
    </row>
    <row r="701" spans="3:3">
      <c r="C701" t="s">
        <v>4105</v>
      </c>
    </row>
    <row r="702" spans="3:3">
      <c r="C702" t="s">
        <v>4106</v>
      </c>
    </row>
    <row r="703" spans="3:3">
      <c r="C703" t="s">
        <v>4107</v>
      </c>
    </row>
    <row r="704" spans="3:3">
      <c r="C704" t="s">
        <v>662</v>
      </c>
    </row>
    <row r="705" spans="3:3">
      <c r="C705" t="s">
        <v>4108</v>
      </c>
    </row>
    <row r="706" spans="3:3">
      <c r="C706" t="s">
        <v>4109</v>
      </c>
    </row>
    <row r="707" spans="3:3">
      <c r="C707" t="s">
        <v>4110</v>
      </c>
    </row>
    <row r="708" spans="3:3">
      <c r="C708" t="s">
        <v>4111</v>
      </c>
    </row>
    <row r="709" spans="3:3">
      <c r="C709" t="s">
        <v>4112</v>
      </c>
    </row>
    <row r="710" spans="3:3">
      <c r="C710" t="s">
        <v>4113</v>
      </c>
    </row>
    <row r="711" spans="3:3">
      <c r="C711" t="s">
        <v>4114</v>
      </c>
    </row>
    <row r="712" spans="3:3">
      <c r="C712" t="s">
        <v>4115</v>
      </c>
    </row>
    <row r="713" spans="3:3">
      <c r="C713" t="s">
        <v>4116</v>
      </c>
    </row>
    <row r="714" spans="3:3">
      <c r="C714" t="s">
        <v>4117</v>
      </c>
    </row>
    <row r="715" spans="3:3">
      <c r="C715" t="s">
        <v>4118</v>
      </c>
    </row>
    <row r="716" spans="3:3">
      <c r="C716" t="s">
        <v>4119</v>
      </c>
    </row>
    <row r="717" spans="3:3">
      <c r="C717" t="s">
        <v>4120</v>
      </c>
    </row>
    <row r="718" spans="3:3">
      <c r="C718" t="s">
        <v>4121</v>
      </c>
    </row>
    <row r="719" spans="3:3">
      <c r="C719" t="s">
        <v>4122</v>
      </c>
    </row>
    <row r="720" spans="3:3">
      <c r="C720" t="s">
        <v>4123</v>
      </c>
    </row>
    <row r="721" spans="3:3">
      <c r="C721" t="s">
        <v>4124</v>
      </c>
    </row>
    <row r="722" spans="3:3">
      <c r="C722" t="s">
        <v>240</v>
      </c>
    </row>
    <row r="723" spans="3:3">
      <c r="C723" t="s">
        <v>4125</v>
      </c>
    </row>
    <row r="724" spans="3:3">
      <c r="C724" t="s">
        <v>4126</v>
      </c>
    </row>
    <row r="725" spans="3:3">
      <c r="C725" t="s">
        <v>4127</v>
      </c>
    </row>
    <row r="726" spans="3:3">
      <c r="C726" t="s">
        <v>1197</v>
      </c>
    </row>
    <row r="727" spans="3:3">
      <c r="C727" t="s">
        <v>4128</v>
      </c>
    </row>
    <row r="728" spans="3:3">
      <c r="C728" t="s">
        <v>4129</v>
      </c>
    </row>
    <row r="729" spans="3:3">
      <c r="C729" t="s">
        <v>4130</v>
      </c>
    </row>
    <row r="730" spans="3:3">
      <c r="C730" t="s">
        <v>4131</v>
      </c>
    </row>
    <row r="731" spans="3:3">
      <c r="C731" t="s">
        <v>4132</v>
      </c>
    </row>
    <row r="732" spans="3:3">
      <c r="C732" t="s">
        <v>4133</v>
      </c>
    </row>
    <row r="733" spans="3:3">
      <c r="C733" t="s">
        <v>4134</v>
      </c>
    </row>
    <row r="734" spans="3:3">
      <c r="C734" t="s">
        <v>4135</v>
      </c>
    </row>
    <row r="735" spans="3:3">
      <c r="C735" t="s">
        <v>4136</v>
      </c>
    </row>
    <row r="736" spans="3:3">
      <c r="C736" t="s">
        <v>4137</v>
      </c>
    </row>
    <row r="737" spans="3:3">
      <c r="C737" t="s">
        <v>1558</v>
      </c>
    </row>
    <row r="738" spans="3:3">
      <c r="C738" t="s">
        <v>4138</v>
      </c>
    </row>
    <row r="739" spans="3:3">
      <c r="C739" t="s">
        <v>4139</v>
      </c>
    </row>
    <row r="740" spans="3:3">
      <c r="C740" t="s">
        <v>4140</v>
      </c>
    </row>
    <row r="741" spans="3:3">
      <c r="C741" t="s">
        <v>4141</v>
      </c>
    </row>
    <row r="742" spans="3:3">
      <c r="C742" t="s">
        <v>4142</v>
      </c>
    </row>
    <row r="743" spans="3:3">
      <c r="C743" t="s">
        <v>4143</v>
      </c>
    </row>
    <row r="744" spans="3:3">
      <c r="C744" t="s">
        <v>4144</v>
      </c>
    </row>
    <row r="745" spans="3:3">
      <c r="C745" t="s">
        <v>4145</v>
      </c>
    </row>
    <row r="746" spans="3:3">
      <c r="C746" t="s">
        <v>4146</v>
      </c>
    </row>
    <row r="747" spans="3:3">
      <c r="C747" t="s">
        <v>4147</v>
      </c>
    </row>
    <row r="748" spans="3:3">
      <c r="C748" t="s">
        <v>4148</v>
      </c>
    </row>
    <row r="749" spans="3:3">
      <c r="C749" t="s">
        <v>4149</v>
      </c>
    </row>
    <row r="750" spans="3:3">
      <c r="C750" t="s">
        <v>1790</v>
      </c>
    </row>
    <row r="751" spans="3:3">
      <c r="C751" t="s">
        <v>4150</v>
      </c>
    </row>
    <row r="752" spans="3:3">
      <c r="C752" t="s">
        <v>4151</v>
      </c>
    </row>
    <row r="753" spans="3:3">
      <c r="C753" t="s">
        <v>4152</v>
      </c>
    </row>
    <row r="754" spans="3:3">
      <c r="C754" t="s">
        <v>4153</v>
      </c>
    </row>
    <row r="755" spans="3:3">
      <c r="C755" t="s">
        <v>4154</v>
      </c>
    </row>
    <row r="756" spans="3:3">
      <c r="C756" t="s">
        <v>4155</v>
      </c>
    </row>
    <row r="757" spans="3:3">
      <c r="C757" t="s">
        <v>1801</v>
      </c>
    </row>
    <row r="758" spans="3:3">
      <c r="C758" t="s">
        <v>3181</v>
      </c>
    </row>
    <row r="759" spans="3:3">
      <c r="C759" t="s">
        <v>4156</v>
      </c>
    </row>
    <row r="760" spans="3:3">
      <c r="C760" t="s">
        <v>3455</v>
      </c>
    </row>
    <row r="761" spans="3:3">
      <c r="C761" t="s">
        <v>4157</v>
      </c>
    </row>
    <row r="762" spans="3:3">
      <c r="C762" t="s">
        <v>4158</v>
      </c>
    </row>
    <row r="763" spans="3:3">
      <c r="C763" t="s">
        <v>4159</v>
      </c>
    </row>
    <row r="764" spans="3:3">
      <c r="C764" t="s">
        <v>4160</v>
      </c>
    </row>
    <row r="765" spans="3:3">
      <c r="C765" t="s">
        <v>4161</v>
      </c>
    </row>
    <row r="766" spans="3:3">
      <c r="C766" t="s">
        <v>4162</v>
      </c>
    </row>
    <row r="767" spans="3:3">
      <c r="C767" t="s">
        <v>2767</v>
      </c>
    </row>
    <row r="768" spans="3:3">
      <c r="C768" t="s">
        <v>4163</v>
      </c>
    </row>
    <row r="769" spans="3:3">
      <c r="C769" t="s">
        <v>4164</v>
      </c>
    </row>
    <row r="770" spans="3:3">
      <c r="C770" t="s">
        <v>92</v>
      </c>
    </row>
    <row r="771" spans="3:3">
      <c r="C771" t="s">
        <v>4165</v>
      </c>
    </row>
    <row r="772" spans="3:3">
      <c r="C772" t="s">
        <v>3017</v>
      </c>
    </row>
    <row r="773" spans="3:3">
      <c r="C773" t="s">
        <v>4166</v>
      </c>
    </row>
    <row r="774" spans="3:3">
      <c r="C774" t="s">
        <v>4167</v>
      </c>
    </row>
    <row r="775" spans="3:3">
      <c r="C775" t="s">
        <v>4168</v>
      </c>
    </row>
    <row r="776" spans="3:3">
      <c r="C776" t="s">
        <v>2728</v>
      </c>
    </row>
    <row r="777" spans="3:3">
      <c r="C777" t="s">
        <v>4169</v>
      </c>
    </row>
    <row r="778" spans="3:3">
      <c r="C778" t="s">
        <v>4170</v>
      </c>
    </row>
    <row r="779" spans="3:3">
      <c r="C779" t="s">
        <v>4171</v>
      </c>
    </row>
    <row r="780" spans="3:3">
      <c r="C780" t="s">
        <v>4172</v>
      </c>
    </row>
    <row r="781" spans="3:3">
      <c r="C781" t="s">
        <v>3152</v>
      </c>
    </row>
    <row r="782" spans="3:3">
      <c r="C782" t="s">
        <v>4173</v>
      </c>
    </row>
    <row r="783" spans="3:3">
      <c r="C783" t="s">
        <v>4174</v>
      </c>
    </row>
    <row r="784" spans="3:3">
      <c r="C784" t="s">
        <v>146</v>
      </c>
    </row>
    <row r="785" spans="3:3">
      <c r="C785" t="s">
        <v>4175</v>
      </c>
    </row>
    <row r="786" spans="3:3">
      <c r="C786" t="s">
        <v>4176</v>
      </c>
    </row>
    <row r="787" spans="3:3">
      <c r="C787" t="s">
        <v>4177</v>
      </c>
    </row>
    <row r="788" spans="3:3">
      <c r="C788" t="s">
        <v>4178</v>
      </c>
    </row>
    <row r="789" spans="3:3">
      <c r="C789" t="s">
        <v>4179</v>
      </c>
    </row>
    <row r="790" spans="3:3">
      <c r="C790" t="s">
        <v>1372</v>
      </c>
    </row>
    <row r="791" spans="3:3">
      <c r="C791" t="s">
        <v>4180</v>
      </c>
    </row>
    <row r="792" spans="3:3">
      <c r="C792" t="s">
        <v>4181</v>
      </c>
    </row>
    <row r="793" spans="3:3">
      <c r="C793" t="s">
        <v>4182</v>
      </c>
    </row>
    <row r="794" spans="3:3">
      <c r="C794" t="s">
        <v>4183</v>
      </c>
    </row>
    <row r="795" spans="3:3">
      <c r="C795" t="s">
        <v>4184</v>
      </c>
    </row>
    <row r="796" spans="3:3">
      <c r="C796" t="s">
        <v>61</v>
      </c>
    </row>
    <row r="797" spans="3:3">
      <c r="C797" t="s">
        <v>301</v>
      </c>
    </row>
    <row r="798" spans="3:3">
      <c r="C798" t="s">
        <v>263</v>
      </c>
    </row>
    <row r="799" spans="3:3">
      <c r="C799" t="s">
        <v>358</v>
      </c>
    </row>
    <row r="800" spans="3:3">
      <c r="C800" t="s">
        <v>4185</v>
      </c>
    </row>
    <row r="801" spans="3:3">
      <c r="C801" t="s">
        <v>4186</v>
      </c>
    </row>
    <row r="802" spans="3:3">
      <c r="C802" t="s">
        <v>4187</v>
      </c>
    </row>
    <row r="803" spans="3:3">
      <c r="C803" t="s">
        <v>4188</v>
      </c>
    </row>
    <row r="804" spans="3:3">
      <c r="C804" t="s">
        <v>4189</v>
      </c>
    </row>
    <row r="805" spans="3:3">
      <c r="C805" t="s">
        <v>4190</v>
      </c>
    </row>
    <row r="806" spans="3:3">
      <c r="C806" t="s">
        <v>4191</v>
      </c>
    </row>
    <row r="807" spans="3:3">
      <c r="C807" t="s">
        <v>4192</v>
      </c>
    </row>
    <row r="808" spans="3:3">
      <c r="C808" t="s">
        <v>4193</v>
      </c>
    </row>
    <row r="809" spans="3:3">
      <c r="C809" t="s">
        <v>4194</v>
      </c>
    </row>
    <row r="810" spans="3:3">
      <c r="C810" t="s">
        <v>4195</v>
      </c>
    </row>
    <row r="811" spans="3:3">
      <c r="C811" t="s">
        <v>4196</v>
      </c>
    </row>
    <row r="812" spans="3:3">
      <c r="C812" t="s">
        <v>4197</v>
      </c>
    </row>
    <row r="813" spans="3:3">
      <c r="C813" t="s">
        <v>4198</v>
      </c>
    </row>
    <row r="814" spans="3:3">
      <c r="C814" t="s">
        <v>4199</v>
      </c>
    </row>
    <row r="815" spans="3:3">
      <c r="C815" t="s">
        <v>4200</v>
      </c>
    </row>
    <row r="816" spans="3:3">
      <c r="C816" t="s">
        <v>4201</v>
      </c>
    </row>
    <row r="817" spans="3:3">
      <c r="C817" t="s">
        <v>4202</v>
      </c>
    </row>
    <row r="818" spans="3:3">
      <c r="C818" t="s">
        <v>4203</v>
      </c>
    </row>
    <row r="819" spans="3:3">
      <c r="C819" t="s">
        <v>359</v>
      </c>
    </row>
    <row r="820" spans="3:3">
      <c r="C820" t="s">
        <v>4204</v>
      </c>
    </row>
    <row r="821" spans="3:3">
      <c r="C821" t="s">
        <v>4205</v>
      </c>
    </row>
    <row r="822" spans="3:3">
      <c r="C822" t="s">
        <v>4206</v>
      </c>
    </row>
    <row r="823" spans="3:3">
      <c r="C823" t="s">
        <v>4207</v>
      </c>
    </row>
    <row r="824" spans="3:3">
      <c r="C824" t="s">
        <v>4208</v>
      </c>
    </row>
    <row r="825" spans="3:3">
      <c r="C825" t="s">
        <v>4209</v>
      </c>
    </row>
    <row r="826" spans="3:3">
      <c r="C826" t="s">
        <v>4210</v>
      </c>
    </row>
    <row r="827" spans="3:3">
      <c r="C827" t="s">
        <v>4211</v>
      </c>
    </row>
    <row r="828" spans="3:3">
      <c r="C828" t="s">
        <v>4212</v>
      </c>
    </row>
    <row r="829" spans="3:3">
      <c r="C829" t="s">
        <v>4213</v>
      </c>
    </row>
    <row r="830" spans="3:3">
      <c r="C830" t="s">
        <v>4214</v>
      </c>
    </row>
    <row r="831" spans="3:3">
      <c r="C831" t="s">
        <v>4215</v>
      </c>
    </row>
    <row r="832" spans="3:3">
      <c r="C832" t="s">
        <v>4216</v>
      </c>
    </row>
    <row r="833" spans="3:3">
      <c r="C833" t="s">
        <v>4217</v>
      </c>
    </row>
    <row r="834" spans="3:3">
      <c r="C834" t="s">
        <v>4218</v>
      </c>
    </row>
    <row r="835" spans="3:3">
      <c r="C835" t="s">
        <v>4219</v>
      </c>
    </row>
    <row r="836" spans="3:3">
      <c r="C836" t="s">
        <v>4220</v>
      </c>
    </row>
    <row r="837" spans="3:3">
      <c r="C837" t="s">
        <v>4221</v>
      </c>
    </row>
    <row r="838" spans="3:3">
      <c r="C838" t="s">
        <v>4222</v>
      </c>
    </row>
    <row r="839" spans="3:3">
      <c r="C839" t="s">
        <v>4223</v>
      </c>
    </row>
    <row r="840" spans="3:3">
      <c r="C840" t="s">
        <v>4224</v>
      </c>
    </row>
    <row r="841" spans="3:3">
      <c r="C841" t="s">
        <v>4225</v>
      </c>
    </row>
    <row r="842" spans="3:3">
      <c r="C842" t="s">
        <v>4226</v>
      </c>
    </row>
    <row r="843" spans="3:3">
      <c r="C843" t="s">
        <v>4227</v>
      </c>
    </row>
    <row r="844" spans="3:3">
      <c r="C844" t="s">
        <v>4228</v>
      </c>
    </row>
    <row r="845" spans="3:3">
      <c r="C845" t="s">
        <v>4229</v>
      </c>
    </row>
    <row r="846" spans="3:3">
      <c r="C846" t="s">
        <v>4230</v>
      </c>
    </row>
    <row r="847" spans="3:3">
      <c r="C847" t="s">
        <v>4231</v>
      </c>
    </row>
    <row r="848" spans="3:3">
      <c r="C848" t="s">
        <v>4232</v>
      </c>
    </row>
    <row r="849" spans="3:3">
      <c r="C849" t="s">
        <v>4233</v>
      </c>
    </row>
    <row r="850" spans="3:3">
      <c r="C850" t="s">
        <v>4234</v>
      </c>
    </row>
    <row r="851" spans="3:3">
      <c r="C851" t="s">
        <v>4235</v>
      </c>
    </row>
    <row r="852" spans="3:3">
      <c r="C852" t="s">
        <v>4236</v>
      </c>
    </row>
    <row r="853" spans="3:3">
      <c r="C853" t="s">
        <v>4237</v>
      </c>
    </row>
    <row r="854" spans="3:3">
      <c r="C854" t="s">
        <v>2473</v>
      </c>
    </row>
    <row r="855" spans="3:3">
      <c r="C855" t="s">
        <v>4238</v>
      </c>
    </row>
    <row r="856" spans="3:3">
      <c r="C856" t="s">
        <v>4239</v>
      </c>
    </row>
    <row r="857" spans="3:3">
      <c r="C857" t="s">
        <v>4240</v>
      </c>
    </row>
    <row r="858" spans="3:3">
      <c r="C858" t="s">
        <v>4241</v>
      </c>
    </row>
    <row r="859" spans="3:3">
      <c r="C859" t="s">
        <v>4242</v>
      </c>
    </row>
    <row r="860" spans="3:3">
      <c r="C860" t="s">
        <v>4243</v>
      </c>
    </row>
    <row r="861" spans="3:3">
      <c r="C861" t="s">
        <v>4244</v>
      </c>
    </row>
    <row r="862" spans="3:3">
      <c r="C862" t="s">
        <v>4245</v>
      </c>
    </row>
    <row r="863" spans="3:3">
      <c r="C863" t="s">
        <v>4246</v>
      </c>
    </row>
    <row r="864" spans="3:3">
      <c r="C864" t="s">
        <v>4247</v>
      </c>
    </row>
    <row r="865" spans="3:3">
      <c r="C865" t="s">
        <v>4248</v>
      </c>
    </row>
    <row r="866" spans="3:3">
      <c r="C866" t="s">
        <v>4249</v>
      </c>
    </row>
    <row r="867" spans="3:3">
      <c r="C867" t="s">
        <v>4250</v>
      </c>
    </row>
    <row r="868" spans="3:3">
      <c r="C868" t="s">
        <v>4251</v>
      </c>
    </row>
    <row r="869" spans="3:3">
      <c r="C869" t="s">
        <v>2949</v>
      </c>
    </row>
    <row r="870" spans="3:3">
      <c r="C870" t="s">
        <v>2192</v>
      </c>
    </row>
    <row r="871" spans="3:3">
      <c r="C871" t="s">
        <v>4252</v>
      </c>
    </row>
    <row r="872" spans="3:3">
      <c r="C872" t="s">
        <v>4253</v>
      </c>
    </row>
    <row r="873" spans="3:3">
      <c r="C873" t="s">
        <v>4254</v>
      </c>
    </row>
    <row r="874" spans="3:3">
      <c r="C874" t="s">
        <v>4255</v>
      </c>
    </row>
    <row r="875" spans="3:3">
      <c r="C875" t="s">
        <v>4256</v>
      </c>
    </row>
    <row r="876" spans="3:3">
      <c r="C876" t="s">
        <v>4257</v>
      </c>
    </row>
    <row r="877" spans="3:3">
      <c r="C877" t="s">
        <v>720</v>
      </c>
    </row>
    <row r="878" spans="3:3">
      <c r="C878" t="s">
        <v>4258</v>
      </c>
    </row>
    <row r="879" spans="3:3">
      <c r="C879" t="s">
        <v>4259</v>
      </c>
    </row>
    <row r="880" spans="3:3">
      <c r="C880" t="s">
        <v>4260</v>
      </c>
    </row>
    <row r="881" spans="3:3">
      <c r="C881" t="s">
        <v>4261</v>
      </c>
    </row>
    <row r="882" spans="3:3">
      <c r="C882" t="s">
        <v>1026</v>
      </c>
    </row>
    <row r="883" spans="3:3">
      <c r="C883" t="s">
        <v>4262</v>
      </c>
    </row>
    <row r="884" spans="3:3">
      <c r="C884" t="s">
        <v>4263</v>
      </c>
    </row>
    <row r="885" spans="3:3">
      <c r="C885" t="s">
        <v>4264</v>
      </c>
    </row>
    <row r="886" spans="3:3">
      <c r="C886" t="s">
        <v>2414</v>
      </c>
    </row>
    <row r="887" spans="3:3">
      <c r="C887" t="s">
        <v>4265</v>
      </c>
    </row>
    <row r="888" spans="3:3">
      <c r="C888" t="s">
        <v>3059</v>
      </c>
    </row>
    <row r="889" spans="3:3">
      <c r="C889" t="s">
        <v>4266</v>
      </c>
    </row>
    <row r="890" spans="3:3">
      <c r="C890" t="s">
        <v>2421</v>
      </c>
    </row>
    <row r="891" spans="3:3">
      <c r="C891" t="s">
        <v>4267</v>
      </c>
    </row>
    <row r="892" spans="3:3">
      <c r="C892" t="s">
        <v>4268</v>
      </c>
    </row>
    <row r="893" spans="3:3">
      <c r="C893" t="s">
        <v>624</v>
      </c>
    </row>
    <row r="894" spans="3:3">
      <c r="C894" t="s">
        <v>4269</v>
      </c>
    </row>
    <row r="895" spans="3:3">
      <c r="C895" t="s">
        <v>4270</v>
      </c>
    </row>
    <row r="896" spans="3:3">
      <c r="C896" t="s">
        <v>3038</v>
      </c>
    </row>
    <row r="897" spans="3:3">
      <c r="C897" t="s">
        <v>4271</v>
      </c>
    </row>
    <row r="898" spans="3:3">
      <c r="C898" t="s">
        <v>323</v>
      </c>
    </row>
    <row r="899" spans="3:3">
      <c r="C899" t="s">
        <v>53</v>
      </c>
    </row>
    <row r="900" spans="3:3">
      <c r="C900" t="s">
        <v>4272</v>
      </c>
    </row>
    <row r="901" spans="3:3">
      <c r="C901" t="s">
        <v>4273</v>
      </c>
    </row>
    <row r="902" spans="3:3">
      <c r="C902" t="s">
        <v>175</v>
      </c>
    </row>
    <row r="903" spans="3:3">
      <c r="C903" t="s">
        <v>120</v>
      </c>
    </row>
    <row r="904" spans="3:3">
      <c r="C904" t="s">
        <v>4274</v>
      </c>
    </row>
    <row r="905" spans="3:3">
      <c r="C905" t="s">
        <v>99</v>
      </c>
    </row>
    <row r="906" spans="3:3">
      <c r="C906" t="s">
        <v>4275</v>
      </c>
    </row>
    <row r="907" spans="3:3">
      <c r="C907" t="s">
        <v>4276</v>
      </c>
    </row>
    <row r="908" spans="3:3">
      <c r="C908" t="s">
        <v>4277</v>
      </c>
    </row>
    <row r="909" spans="3:3">
      <c r="C909" t="s">
        <v>4278</v>
      </c>
    </row>
    <row r="910" spans="3:3">
      <c r="C910" t="s">
        <v>4279</v>
      </c>
    </row>
    <row r="911" spans="3:3">
      <c r="C911" t="s">
        <v>1832</v>
      </c>
    </row>
    <row r="912" spans="3:3">
      <c r="C912" t="s">
        <v>4280</v>
      </c>
    </row>
    <row r="913" spans="3:3">
      <c r="C913" t="s">
        <v>4281</v>
      </c>
    </row>
    <row r="914" spans="3:3">
      <c r="C914" t="s">
        <v>4282</v>
      </c>
    </row>
    <row r="915" spans="3:3">
      <c r="C915" t="s">
        <v>4283</v>
      </c>
    </row>
    <row r="916" spans="3:3">
      <c r="C916" t="s">
        <v>4284</v>
      </c>
    </row>
    <row r="917" spans="3:3">
      <c r="C917" t="s">
        <v>4285</v>
      </c>
    </row>
    <row r="918" spans="3:3">
      <c r="C918" t="s">
        <v>4286</v>
      </c>
    </row>
    <row r="919" spans="3:3">
      <c r="C919" t="s">
        <v>4287</v>
      </c>
    </row>
    <row r="920" spans="3:3">
      <c r="C920" t="s">
        <v>4288</v>
      </c>
    </row>
    <row r="921" spans="3:3">
      <c r="C921" t="s">
        <v>1569</v>
      </c>
    </row>
    <row r="922" spans="3:3">
      <c r="C922" t="s">
        <v>4289</v>
      </c>
    </row>
    <row r="923" spans="3:3">
      <c r="C923" t="s">
        <v>4290</v>
      </c>
    </row>
    <row r="924" spans="3:3">
      <c r="C924" t="s">
        <v>4291</v>
      </c>
    </row>
    <row r="925" spans="3:3">
      <c r="C925" t="s">
        <v>4292</v>
      </c>
    </row>
    <row r="926" spans="3:3">
      <c r="C926" t="s">
        <v>688</v>
      </c>
    </row>
    <row r="927" spans="3:3">
      <c r="C927" t="s">
        <v>4293</v>
      </c>
    </row>
    <row r="928" spans="3:3">
      <c r="C928" t="s">
        <v>4294</v>
      </c>
    </row>
    <row r="929" spans="3:3">
      <c r="C929" t="s">
        <v>160</v>
      </c>
    </row>
    <row r="930" spans="3:3">
      <c r="C930" t="s">
        <v>4295</v>
      </c>
    </row>
    <row r="931" spans="3:3">
      <c r="C931" t="s">
        <v>4296</v>
      </c>
    </row>
    <row r="932" spans="3:3">
      <c r="C932" t="s">
        <v>4297</v>
      </c>
    </row>
    <row r="933" spans="3:3">
      <c r="C933" t="s">
        <v>4298</v>
      </c>
    </row>
    <row r="934" spans="3:3">
      <c r="C934" t="s">
        <v>4299</v>
      </c>
    </row>
    <row r="935" spans="3:3">
      <c r="C935" t="s">
        <v>2978</v>
      </c>
    </row>
    <row r="936" spans="3:3">
      <c r="C936" t="s">
        <v>4300</v>
      </c>
    </row>
    <row r="937" spans="3:3">
      <c r="C937" t="s">
        <v>4301</v>
      </c>
    </row>
    <row r="938" spans="3:3">
      <c r="C938" t="s">
        <v>3396</v>
      </c>
    </row>
    <row r="939" spans="3:3">
      <c r="C939" t="s">
        <v>4302</v>
      </c>
    </row>
    <row r="940" spans="3:3">
      <c r="C940" t="s">
        <v>4303</v>
      </c>
    </row>
    <row r="941" spans="3:3">
      <c r="C941" t="s">
        <v>4304</v>
      </c>
    </row>
    <row r="942" spans="3:3">
      <c r="C942" t="s">
        <v>4305</v>
      </c>
    </row>
    <row r="943" spans="3:3">
      <c r="C943" t="s">
        <v>707</v>
      </c>
    </row>
    <row r="944" spans="3:3">
      <c r="C944" t="s">
        <v>4306</v>
      </c>
    </row>
    <row r="945" spans="3:3">
      <c r="C945" t="s">
        <v>4307</v>
      </c>
    </row>
    <row r="946" spans="3:3">
      <c r="C946" t="s">
        <v>4308</v>
      </c>
    </row>
    <row r="947" spans="3:3">
      <c r="C947" t="s">
        <v>4309</v>
      </c>
    </row>
    <row r="948" spans="3:3">
      <c r="C948" t="s">
        <v>4310</v>
      </c>
    </row>
    <row r="949" spans="3:3">
      <c r="C949" t="s">
        <v>4311</v>
      </c>
    </row>
    <row r="950" spans="3:3">
      <c r="C950" t="s">
        <v>4312</v>
      </c>
    </row>
    <row r="951" spans="3:3">
      <c r="C951" t="s">
        <v>4313</v>
      </c>
    </row>
    <row r="952" spans="3:3">
      <c r="C952" t="s">
        <v>2158</v>
      </c>
    </row>
    <row r="953" spans="3:3">
      <c r="C953" t="s">
        <v>409</v>
      </c>
    </row>
    <row r="954" spans="3:3">
      <c r="C954" t="s">
        <v>726</v>
      </c>
    </row>
    <row r="955" spans="3:3">
      <c r="C955" t="s">
        <v>4314</v>
      </c>
    </row>
    <row r="956" spans="3:3">
      <c r="C956" t="s">
        <v>3460</v>
      </c>
    </row>
    <row r="957" spans="3:3">
      <c r="C957" t="s">
        <v>4315</v>
      </c>
    </row>
    <row r="958" spans="3:3">
      <c r="C958" t="s">
        <v>4316</v>
      </c>
    </row>
    <row r="959" spans="3:3">
      <c r="C959" t="s">
        <v>226</v>
      </c>
    </row>
    <row r="960" spans="3:3">
      <c r="C960" t="s">
        <v>79</v>
      </c>
    </row>
    <row r="961" spans="3:3">
      <c r="C961" t="s">
        <v>4317</v>
      </c>
    </row>
    <row r="962" spans="3:3">
      <c r="C962" t="s">
        <v>321</v>
      </c>
    </row>
    <row r="963" spans="3:3">
      <c r="C963" t="s">
        <v>4318</v>
      </c>
    </row>
    <row r="964" spans="3:3">
      <c r="C964" t="s">
        <v>4319</v>
      </c>
    </row>
    <row r="965" spans="3:3">
      <c r="C965" t="s">
        <v>300</v>
      </c>
    </row>
    <row r="966" spans="3:3">
      <c r="C966" t="s">
        <v>4320</v>
      </c>
    </row>
    <row r="967" spans="3:3">
      <c r="C967" t="s">
        <v>4321</v>
      </c>
    </row>
    <row r="968" spans="3:3">
      <c r="C968" t="s">
        <v>4322</v>
      </c>
    </row>
    <row r="969" spans="3:3">
      <c r="C969" t="s">
        <v>4323</v>
      </c>
    </row>
    <row r="970" spans="3:3">
      <c r="C970" t="s">
        <v>3007</v>
      </c>
    </row>
    <row r="971" spans="3:3">
      <c r="C971" t="s">
        <v>4324</v>
      </c>
    </row>
    <row r="972" spans="3:3">
      <c r="C972" t="s">
        <v>4325</v>
      </c>
    </row>
    <row r="973" spans="3:3">
      <c r="C973" t="s">
        <v>4326</v>
      </c>
    </row>
    <row r="974" spans="3:3">
      <c r="C974" t="s">
        <v>1541</v>
      </c>
    </row>
    <row r="975" spans="3:3">
      <c r="C975" t="s">
        <v>4327</v>
      </c>
    </row>
    <row r="976" spans="3:3">
      <c r="C976" t="s">
        <v>4328</v>
      </c>
    </row>
    <row r="977" spans="3:3">
      <c r="C977" t="s">
        <v>4329</v>
      </c>
    </row>
    <row r="978" spans="3:3">
      <c r="C978" t="s">
        <v>2585</v>
      </c>
    </row>
    <row r="979" spans="3:3">
      <c r="C979" t="s">
        <v>3442</v>
      </c>
    </row>
    <row r="980" spans="3:3">
      <c r="C980" t="s">
        <v>144</v>
      </c>
    </row>
    <row r="981" spans="3:3">
      <c r="C981" t="s">
        <v>3432</v>
      </c>
    </row>
    <row r="982" spans="3:3">
      <c r="C982" t="s">
        <v>4330</v>
      </c>
    </row>
    <row r="983" spans="3:3">
      <c r="C983" t="s">
        <v>379</v>
      </c>
    </row>
    <row r="984" spans="3:3">
      <c r="C984" t="s">
        <v>4331</v>
      </c>
    </row>
    <row r="985" spans="3:3">
      <c r="C985" t="s">
        <v>344</v>
      </c>
    </row>
    <row r="986" spans="3:3">
      <c r="C986" t="s">
        <v>4332</v>
      </c>
    </row>
    <row r="987" spans="3:3">
      <c r="C987" t="s">
        <v>4333</v>
      </c>
    </row>
    <row r="988" spans="3:3">
      <c r="C988" t="s">
        <v>1481</v>
      </c>
    </row>
    <row r="989" spans="3:3">
      <c r="C989" t="s">
        <v>4334</v>
      </c>
    </row>
    <row r="990" spans="3:3">
      <c r="C990" t="s">
        <v>4335</v>
      </c>
    </row>
    <row r="991" spans="3:3">
      <c r="C991" t="s">
        <v>4337</v>
      </c>
    </row>
    <row r="992" spans="3:3">
      <c r="C992" t="s">
        <v>286</v>
      </c>
    </row>
    <row r="993" spans="3:3">
      <c r="C993" t="s">
        <v>4338</v>
      </c>
    </row>
    <row r="994" spans="3:3">
      <c r="C994" t="s">
        <v>4339</v>
      </c>
    </row>
    <row r="995" spans="3:3">
      <c r="C995" t="s">
        <v>1888</v>
      </c>
    </row>
    <row r="996" spans="3:3">
      <c r="C996" t="s">
        <v>4340</v>
      </c>
    </row>
    <row r="997" spans="3:3">
      <c r="C997" t="s">
        <v>4341</v>
      </c>
    </row>
    <row r="998" spans="3:3">
      <c r="C998" t="s">
        <v>4342</v>
      </c>
    </row>
    <row r="999" spans="3:3">
      <c r="C999" t="s">
        <v>4343</v>
      </c>
    </row>
    <row r="1000" spans="3:3">
      <c r="C1000" t="s">
        <v>4344</v>
      </c>
    </row>
    <row r="1001" spans="3:3">
      <c r="C1001" t="s">
        <v>4345</v>
      </c>
    </row>
    <row r="1002" spans="3:3">
      <c r="C1002" t="s">
        <v>4346</v>
      </c>
    </row>
    <row r="1003" spans="3:3">
      <c r="C1003" t="s">
        <v>4347</v>
      </c>
    </row>
    <row r="1004" spans="3:3">
      <c r="C1004" t="s">
        <v>4348</v>
      </c>
    </row>
    <row r="1005" spans="3:3">
      <c r="C1005" t="s">
        <v>1171</v>
      </c>
    </row>
    <row r="1006" spans="3:3">
      <c r="C1006" t="s">
        <v>4349</v>
      </c>
    </row>
    <row r="1007" spans="3:3">
      <c r="C1007" t="s">
        <v>1354</v>
      </c>
    </row>
    <row r="1008" spans="3:3">
      <c r="C1008" t="s">
        <v>4350</v>
      </c>
    </row>
    <row r="1009" spans="3:3">
      <c r="C1009" t="s">
        <v>4351</v>
      </c>
    </row>
    <row r="1010" spans="3:3">
      <c r="C1010" t="s">
        <v>4352</v>
      </c>
    </row>
    <row r="1011" spans="3:3">
      <c r="C1011" t="s">
        <v>4353</v>
      </c>
    </row>
    <row r="1012" spans="3:3">
      <c r="C1012" t="s">
        <v>4354</v>
      </c>
    </row>
    <row r="1013" spans="3:3">
      <c r="C1013" t="s">
        <v>4355</v>
      </c>
    </row>
    <row r="1014" spans="3:3">
      <c r="C1014" t="s">
        <v>3419</v>
      </c>
    </row>
    <row r="1015" spans="3:3">
      <c r="C1015" t="s">
        <v>4356</v>
      </c>
    </row>
    <row r="1016" spans="3:3">
      <c r="C1016" t="s">
        <v>2916</v>
      </c>
    </row>
    <row r="1017" spans="3:3">
      <c r="C1017" t="s">
        <v>4357</v>
      </c>
    </row>
    <row r="1018" spans="3:3">
      <c r="C1018" t="s">
        <v>4358</v>
      </c>
    </row>
    <row r="1019" spans="3:3">
      <c r="C1019" t="s">
        <v>4359</v>
      </c>
    </row>
    <row r="1020" spans="3:3">
      <c r="C1020" t="s">
        <v>2946</v>
      </c>
    </row>
    <row r="1021" spans="3:3">
      <c r="C1021" t="s">
        <v>4360</v>
      </c>
    </row>
    <row r="1022" spans="3:3">
      <c r="C1022" t="s">
        <v>4361</v>
      </c>
    </row>
    <row r="1023" spans="3:3">
      <c r="C1023" t="s">
        <v>4362</v>
      </c>
    </row>
    <row r="1024" spans="3:3">
      <c r="C1024" t="s">
        <v>4363</v>
      </c>
    </row>
    <row r="1025" spans="3:3">
      <c r="C1025" t="s">
        <v>4364</v>
      </c>
    </row>
    <row r="1026" spans="3:3">
      <c r="C1026" t="s">
        <v>4365</v>
      </c>
    </row>
    <row r="1027" spans="3:3">
      <c r="C1027" t="s">
        <v>4366</v>
      </c>
    </row>
    <row r="1028" spans="3:3">
      <c r="C1028" t="s">
        <v>4367</v>
      </c>
    </row>
    <row r="1029" spans="3:3">
      <c r="C1029" t="s">
        <v>3087</v>
      </c>
    </row>
    <row r="1030" spans="3:3">
      <c r="C1030" t="s">
        <v>629</v>
      </c>
    </row>
    <row r="1031" spans="3:3">
      <c r="C1031" t="s">
        <v>4368</v>
      </c>
    </row>
    <row r="1032" spans="3:3">
      <c r="C1032" t="s">
        <v>4369</v>
      </c>
    </row>
    <row r="1033" spans="3:3">
      <c r="C1033" t="s">
        <v>2689</v>
      </c>
    </row>
    <row r="1034" spans="3:3">
      <c r="C1034" t="s">
        <v>539</v>
      </c>
    </row>
    <row r="1035" spans="3:3">
      <c r="C1035" t="s">
        <v>4370</v>
      </c>
    </row>
    <row r="1036" spans="3:3">
      <c r="C1036" t="s">
        <v>4371</v>
      </c>
    </row>
    <row r="1037" spans="3:3">
      <c r="C1037" t="s">
        <v>4372</v>
      </c>
    </row>
    <row r="1038" spans="3:3">
      <c r="C1038" t="s">
        <v>2919</v>
      </c>
    </row>
    <row r="1039" spans="3:3">
      <c r="C1039" t="s">
        <v>4373</v>
      </c>
    </row>
    <row r="1040" spans="3:3">
      <c r="C1040" t="s">
        <v>3143</v>
      </c>
    </row>
    <row r="1041" spans="3:3">
      <c r="C1041" t="s">
        <v>4374</v>
      </c>
    </row>
    <row r="1042" spans="3:3">
      <c r="C1042" t="s">
        <v>4375</v>
      </c>
    </row>
    <row r="1043" spans="3:3">
      <c r="C1043" t="s">
        <v>2722</v>
      </c>
    </row>
    <row r="1044" spans="3:3">
      <c r="C1044" t="s">
        <v>4376</v>
      </c>
    </row>
    <row r="1045" spans="3:3">
      <c r="C1045" t="s">
        <v>4377</v>
      </c>
    </row>
    <row r="1046" spans="3:3">
      <c r="C1046" t="s">
        <v>4378</v>
      </c>
    </row>
    <row r="1047" spans="3:3">
      <c r="C1047" t="s">
        <v>4379</v>
      </c>
    </row>
    <row r="1048" spans="3:3">
      <c r="C1048" t="s">
        <v>4380</v>
      </c>
    </row>
    <row r="1049" spans="3:3">
      <c r="C1049" t="s">
        <v>4381</v>
      </c>
    </row>
    <row r="1050" spans="3:3">
      <c r="C1050" t="s">
        <v>1756</v>
      </c>
    </row>
    <row r="1051" spans="3:3">
      <c r="C1051" t="s">
        <v>4382</v>
      </c>
    </row>
    <row r="1052" spans="3:3">
      <c r="C1052" t="s">
        <v>231</v>
      </c>
    </row>
    <row r="1053" spans="3:3">
      <c r="C1053" t="s">
        <v>4383</v>
      </c>
    </row>
    <row r="1054" spans="3:3">
      <c r="C1054" t="s">
        <v>4384</v>
      </c>
    </row>
    <row r="1055" spans="3:3">
      <c r="C1055" t="s">
        <v>4385</v>
      </c>
    </row>
    <row r="1056" spans="3:3">
      <c r="C1056" t="s">
        <v>4386</v>
      </c>
    </row>
    <row r="1057" spans="3:3">
      <c r="C1057" t="s">
        <v>2649</v>
      </c>
    </row>
    <row r="1058" spans="3:3">
      <c r="C1058" t="s">
        <v>2489</v>
      </c>
    </row>
    <row r="1059" spans="3:3">
      <c r="C1059" t="s">
        <v>4387</v>
      </c>
    </row>
    <row r="1060" spans="3:3">
      <c r="C1060" t="s">
        <v>4388</v>
      </c>
    </row>
    <row r="1061" spans="3:3">
      <c r="C1061" t="s">
        <v>4389</v>
      </c>
    </row>
    <row r="1062" spans="3:3">
      <c r="C1062" t="s">
        <v>4390</v>
      </c>
    </row>
    <row r="1063" spans="3:3">
      <c r="C1063" t="s">
        <v>645</v>
      </c>
    </row>
    <row r="1064" spans="3:3">
      <c r="C1064" t="s">
        <v>207</v>
      </c>
    </row>
    <row r="1065" spans="3:3">
      <c r="C1065" t="s">
        <v>378</v>
      </c>
    </row>
    <row r="1066" spans="3:3">
      <c r="C1066" t="s">
        <v>4391</v>
      </c>
    </row>
    <row r="1067" spans="3:3">
      <c r="C1067" t="s">
        <v>4392</v>
      </c>
    </row>
    <row r="1068" spans="3:3">
      <c r="C1068" t="s">
        <v>284</v>
      </c>
    </row>
    <row r="1069" spans="3:3">
      <c r="C1069" t="s">
        <v>4393</v>
      </c>
    </row>
    <row r="1070" spans="3:3">
      <c r="C1070" t="s">
        <v>2776</v>
      </c>
    </row>
    <row r="1071" spans="3:3">
      <c r="C1071" t="s">
        <v>4394</v>
      </c>
    </row>
    <row r="1072" spans="3:3">
      <c r="C1072" t="s">
        <v>4395</v>
      </c>
    </row>
    <row r="1073" spans="3:3">
      <c r="C1073" t="s">
        <v>2025</v>
      </c>
    </row>
    <row r="1074" spans="3:3">
      <c r="C1074" t="s">
        <v>2820</v>
      </c>
    </row>
    <row r="1075" spans="3:3">
      <c r="C1075" t="s">
        <v>4396</v>
      </c>
    </row>
    <row r="1076" spans="3:3">
      <c r="C1076" t="s">
        <v>4397</v>
      </c>
    </row>
    <row r="1077" spans="3:3">
      <c r="C1077" t="s">
        <v>2593</v>
      </c>
    </row>
    <row r="1078" spans="3:3">
      <c r="C1078" t="s">
        <v>4398</v>
      </c>
    </row>
    <row r="1079" spans="3:3">
      <c r="C1079" t="s">
        <v>292</v>
      </c>
    </row>
    <row r="1080" spans="3:3">
      <c r="C1080" t="s">
        <v>1429</v>
      </c>
    </row>
    <row r="1081" spans="3:3">
      <c r="C1081" t="s">
        <v>1078</v>
      </c>
    </row>
    <row r="1082" spans="3:3">
      <c r="C1082" t="s">
        <v>4399</v>
      </c>
    </row>
    <row r="1083" spans="3:3">
      <c r="C1083" t="s">
        <v>3177</v>
      </c>
    </row>
    <row r="1084" spans="3:3">
      <c r="C1084" t="s">
        <v>4400</v>
      </c>
    </row>
    <row r="1085" spans="3:3">
      <c r="C1085" t="s">
        <v>4401</v>
      </c>
    </row>
    <row r="1086" spans="3:3">
      <c r="C1086" t="s">
        <v>4402</v>
      </c>
    </row>
    <row r="1087" spans="3:3">
      <c r="C1087" t="s">
        <v>4403</v>
      </c>
    </row>
    <row r="1088" spans="3:3">
      <c r="C1088" t="s">
        <v>4404</v>
      </c>
    </row>
    <row r="1089" spans="3:3">
      <c r="C1089" t="s">
        <v>4405</v>
      </c>
    </row>
    <row r="1090" spans="3:3">
      <c r="C1090" t="s">
        <v>4406</v>
      </c>
    </row>
    <row r="1091" spans="3:3">
      <c r="C1091" t="s">
        <v>4407</v>
      </c>
    </row>
    <row r="1092" spans="3:3">
      <c r="C1092" t="s">
        <v>2900</v>
      </c>
    </row>
    <row r="1093" spans="3:3">
      <c r="C1093" t="s">
        <v>4408</v>
      </c>
    </row>
    <row r="1094" spans="3:3">
      <c r="C1094" t="s">
        <v>4409</v>
      </c>
    </row>
    <row r="1095" spans="3:3">
      <c r="C1095" t="s">
        <v>4410</v>
      </c>
    </row>
    <row r="1096" spans="3:3">
      <c r="C1096" t="s">
        <v>4411</v>
      </c>
    </row>
    <row r="1097" spans="3:3">
      <c r="C1097" t="s">
        <v>4412</v>
      </c>
    </row>
    <row r="1098" spans="3:3">
      <c r="C1098" t="s">
        <v>4413</v>
      </c>
    </row>
    <row r="1099" spans="3:3">
      <c r="C1099" t="s">
        <v>4414</v>
      </c>
    </row>
    <row r="1100" spans="3:3">
      <c r="C1100" t="s">
        <v>4415</v>
      </c>
    </row>
    <row r="1101" spans="3:3">
      <c r="C1101" t="s">
        <v>520</v>
      </c>
    </row>
    <row r="1102" spans="3:3">
      <c r="C1102" t="s">
        <v>4416</v>
      </c>
    </row>
    <row r="1103" spans="3:3">
      <c r="C1103" t="s">
        <v>4417</v>
      </c>
    </row>
    <row r="1104" spans="3:3">
      <c r="C1104" t="s">
        <v>4418</v>
      </c>
    </row>
    <row r="1105" spans="3:3">
      <c r="C1105" t="s">
        <v>4419</v>
      </c>
    </row>
    <row r="1106" spans="3:3">
      <c r="C1106" t="s">
        <v>4420</v>
      </c>
    </row>
    <row r="1107" spans="3:3">
      <c r="C1107" t="s">
        <v>4421</v>
      </c>
    </row>
    <row r="1108" spans="3:3">
      <c r="C1108" t="s">
        <v>4422</v>
      </c>
    </row>
    <row r="1109" spans="3:3">
      <c r="C1109" t="s">
        <v>4423</v>
      </c>
    </row>
    <row r="1110" spans="3:3">
      <c r="C1110" t="s">
        <v>4424</v>
      </c>
    </row>
    <row r="1111" spans="3:3">
      <c r="C1111" t="s">
        <v>4425</v>
      </c>
    </row>
    <row r="1112" spans="3:3">
      <c r="C1112" t="s">
        <v>3147</v>
      </c>
    </row>
    <row r="1113" spans="3:3">
      <c r="C1113" t="s">
        <v>2645</v>
      </c>
    </row>
    <row r="1114" spans="3:3">
      <c r="C1114" t="s">
        <v>4426</v>
      </c>
    </row>
    <row r="1115" spans="3:3">
      <c r="C1115" t="s">
        <v>3231</v>
      </c>
    </row>
    <row r="1116" spans="3:3">
      <c r="C1116" t="s">
        <v>4427</v>
      </c>
    </row>
    <row r="1117" spans="3:3">
      <c r="C1117" t="s">
        <v>4428</v>
      </c>
    </row>
    <row r="1118" spans="3:3">
      <c r="C1118" t="s">
        <v>4429</v>
      </c>
    </row>
    <row r="1119" spans="3:3">
      <c r="C1119" t="s">
        <v>4430</v>
      </c>
    </row>
    <row r="1120" spans="3:3">
      <c r="C1120" t="s">
        <v>340</v>
      </c>
    </row>
    <row r="1121" spans="3:3">
      <c r="C1121" t="s">
        <v>4431</v>
      </c>
    </row>
    <row r="1122" spans="3:3">
      <c r="C1122" t="s">
        <v>4432</v>
      </c>
    </row>
    <row r="1123" spans="3:3">
      <c r="C1123" t="s">
        <v>155</v>
      </c>
    </row>
    <row r="1124" spans="3:3">
      <c r="C1124" t="s">
        <v>4433</v>
      </c>
    </row>
    <row r="1125" spans="3:3">
      <c r="C1125" t="s">
        <v>4434</v>
      </c>
    </row>
    <row r="1126" spans="3:3">
      <c r="C1126" t="s">
        <v>4435</v>
      </c>
    </row>
    <row r="1127" spans="3:3">
      <c r="C1127" t="s">
        <v>4436</v>
      </c>
    </row>
    <row r="1128" spans="3:3">
      <c r="C1128" t="s">
        <v>4437</v>
      </c>
    </row>
    <row r="1129" spans="3:3">
      <c r="C1129" t="s">
        <v>4438</v>
      </c>
    </row>
    <row r="1130" spans="3:3">
      <c r="C1130" t="s">
        <v>4439</v>
      </c>
    </row>
    <row r="1131" spans="3:3">
      <c r="C1131" t="s">
        <v>4440</v>
      </c>
    </row>
    <row r="1132" spans="3:3">
      <c r="C1132" t="s">
        <v>4441</v>
      </c>
    </row>
    <row r="1133" spans="3:3">
      <c r="C1133" t="s">
        <v>2983</v>
      </c>
    </row>
    <row r="1134" spans="3:3">
      <c r="C1134" t="s">
        <v>4442</v>
      </c>
    </row>
    <row r="1135" spans="3:3">
      <c r="C1135" t="s">
        <v>4443</v>
      </c>
    </row>
    <row r="1136" spans="3:3">
      <c r="C1136" t="s">
        <v>4444</v>
      </c>
    </row>
    <row r="1137" spans="3:3">
      <c r="C1137" t="s">
        <v>4445</v>
      </c>
    </row>
    <row r="1138" spans="3:3">
      <c r="C1138" t="s">
        <v>4446</v>
      </c>
    </row>
    <row r="1139" spans="3:3">
      <c r="C1139" t="s">
        <v>4447</v>
      </c>
    </row>
    <row r="1140" spans="3:3">
      <c r="C1140" t="s">
        <v>45</v>
      </c>
    </row>
    <row r="1141" spans="3:3">
      <c r="C1141" t="s">
        <v>4448</v>
      </c>
    </row>
    <row r="1142" spans="3:3">
      <c r="C1142" t="s">
        <v>150</v>
      </c>
    </row>
    <row r="1143" spans="3:3">
      <c r="C1143" t="s">
        <v>4449</v>
      </c>
    </row>
    <row r="1144" spans="3:3">
      <c r="C1144" t="s">
        <v>4450</v>
      </c>
    </row>
    <row r="1145" spans="3:3">
      <c r="C1145" t="s">
        <v>4451</v>
      </c>
    </row>
    <row r="1146" spans="3:3">
      <c r="C1146" t="s">
        <v>4452</v>
      </c>
    </row>
    <row r="1147" spans="3:3">
      <c r="C1147" t="s">
        <v>4453</v>
      </c>
    </row>
    <row r="1148" spans="3:3">
      <c r="C1148" t="s">
        <v>4454</v>
      </c>
    </row>
    <row r="1149" spans="3:3">
      <c r="C1149" t="s">
        <v>4455</v>
      </c>
    </row>
    <row r="1150" spans="3:3">
      <c r="C1150" t="s">
        <v>1237</v>
      </c>
    </row>
    <row r="1151" spans="3:3">
      <c r="C1151" t="s">
        <v>1786</v>
      </c>
    </row>
    <row r="1152" spans="3:3">
      <c r="C1152" t="s">
        <v>4456</v>
      </c>
    </row>
    <row r="1153" spans="3:3">
      <c r="C1153" t="s">
        <v>4457</v>
      </c>
    </row>
    <row r="1154" spans="3:3">
      <c r="C1154" t="s">
        <v>1793</v>
      </c>
    </row>
    <row r="1155" spans="3:3">
      <c r="C1155" t="s">
        <v>4458</v>
      </c>
    </row>
    <row r="1156" spans="3:3">
      <c r="C1156" t="s">
        <v>4459</v>
      </c>
    </row>
    <row r="1157" spans="3:3">
      <c r="C1157" t="s">
        <v>4460</v>
      </c>
    </row>
    <row r="1158" spans="3:3">
      <c r="C1158" t="s">
        <v>4461</v>
      </c>
    </row>
    <row r="1159" spans="3:3">
      <c r="C1159" t="s">
        <v>4462</v>
      </c>
    </row>
    <row r="1160" spans="3:3">
      <c r="C1160" t="s">
        <v>4463</v>
      </c>
    </row>
    <row r="1161" spans="3:3">
      <c r="C1161" t="s">
        <v>571</v>
      </c>
    </row>
    <row r="1162" spans="3:3">
      <c r="C1162" t="s">
        <v>4464</v>
      </c>
    </row>
    <row r="1163" spans="3:3">
      <c r="C1163" t="s">
        <v>4465</v>
      </c>
    </row>
    <row r="1164" spans="3:3">
      <c r="C1164" t="s">
        <v>4466</v>
      </c>
    </row>
    <row r="1165" spans="3:3">
      <c r="C1165" t="s">
        <v>4467</v>
      </c>
    </row>
    <row r="1166" spans="3:3">
      <c r="C1166" t="s">
        <v>4468</v>
      </c>
    </row>
    <row r="1167" spans="3:3">
      <c r="C1167" t="s">
        <v>4469</v>
      </c>
    </row>
    <row r="1168" spans="3:3">
      <c r="C1168" t="s">
        <v>4470</v>
      </c>
    </row>
    <row r="1169" spans="3:3">
      <c r="C1169" t="s">
        <v>4471</v>
      </c>
    </row>
    <row r="1170" spans="3:3">
      <c r="C1170" t="s">
        <v>4472</v>
      </c>
    </row>
    <row r="1171" spans="3:3">
      <c r="C1171" t="s">
        <v>4473</v>
      </c>
    </row>
    <row r="1172" spans="3:3">
      <c r="C1172" t="s">
        <v>4474</v>
      </c>
    </row>
    <row r="1173" spans="3:3">
      <c r="C1173" t="s">
        <v>4475</v>
      </c>
    </row>
    <row r="1174" spans="3:3">
      <c r="C1174" t="s">
        <v>4476</v>
      </c>
    </row>
    <row r="1175" spans="3:3">
      <c r="C1175" t="s">
        <v>4477</v>
      </c>
    </row>
    <row r="1176" spans="3:3">
      <c r="C1176" t="s">
        <v>1143</v>
      </c>
    </row>
    <row r="1177" spans="3:3">
      <c r="C1177" t="s">
        <v>4478</v>
      </c>
    </row>
    <row r="1178" spans="3:3">
      <c r="C1178" t="s">
        <v>4479</v>
      </c>
    </row>
    <row r="1179" spans="3:3">
      <c r="C1179" t="s">
        <v>1361</v>
      </c>
    </row>
    <row r="1180" spans="3:3">
      <c r="C1180" t="s">
        <v>2795</v>
      </c>
    </row>
    <row r="1181" spans="3:3">
      <c r="C1181" t="s">
        <v>4480</v>
      </c>
    </row>
    <row r="1182" spans="3:3">
      <c r="C1182" t="s">
        <v>2890</v>
      </c>
    </row>
    <row r="1183" spans="3:3">
      <c r="C1183" t="s">
        <v>4481</v>
      </c>
    </row>
    <row r="1184" spans="3:3">
      <c r="C1184" t="s">
        <v>4482</v>
      </c>
    </row>
    <row r="1185" spans="3:3">
      <c r="C1185" t="s">
        <v>4483</v>
      </c>
    </row>
    <row r="1186" spans="3:3">
      <c r="C1186" t="s">
        <v>4484</v>
      </c>
    </row>
    <row r="1187" spans="3:3">
      <c r="C1187" t="s">
        <v>4485</v>
      </c>
    </row>
    <row r="1188" spans="3:3">
      <c r="C1188" t="s">
        <v>4486</v>
      </c>
    </row>
    <row r="1189" spans="3:3">
      <c r="C1189" t="s">
        <v>239</v>
      </c>
    </row>
    <row r="1190" spans="3:3">
      <c r="C1190" t="s">
        <v>4487</v>
      </c>
    </row>
    <row r="1191" spans="3:3">
      <c r="C1191" t="s">
        <v>4488</v>
      </c>
    </row>
    <row r="1192" spans="3:3">
      <c r="C1192" t="s">
        <v>2608</v>
      </c>
    </row>
    <row r="1193" spans="3:3">
      <c r="C1193" t="s">
        <v>4489</v>
      </c>
    </row>
    <row r="1194" spans="3:3">
      <c r="C1194" t="s">
        <v>4490</v>
      </c>
    </row>
    <row r="1195" spans="3:3">
      <c r="C1195" t="s">
        <v>4491</v>
      </c>
    </row>
    <row r="1196" spans="3:3">
      <c r="C1196" t="s">
        <v>4492</v>
      </c>
    </row>
    <row r="1197" spans="3:3">
      <c r="C1197" t="s">
        <v>4493</v>
      </c>
    </row>
    <row r="1198" spans="3:3">
      <c r="C1198" t="s">
        <v>4494</v>
      </c>
    </row>
    <row r="1199" spans="3:3">
      <c r="C1199" t="s">
        <v>4495</v>
      </c>
    </row>
    <row r="1200" spans="3:3">
      <c r="C1200" t="s">
        <v>4496</v>
      </c>
    </row>
    <row r="1201" spans="3:3">
      <c r="C1201" t="s">
        <v>4497</v>
      </c>
    </row>
    <row r="1202" spans="3:3">
      <c r="C1202" t="s">
        <v>4498</v>
      </c>
    </row>
    <row r="1203" spans="3:3">
      <c r="C1203" t="s">
        <v>4499</v>
      </c>
    </row>
    <row r="1204" spans="3:3">
      <c r="C1204" t="s">
        <v>4500</v>
      </c>
    </row>
    <row r="1205" spans="3:3">
      <c r="C1205" t="s">
        <v>1869</v>
      </c>
    </row>
    <row r="1206" spans="3:3">
      <c r="C1206" t="s">
        <v>4501</v>
      </c>
    </row>
    <row r="1207" spans="3:3">
      <c r="C1207" t="s">
        <v>4502</v>
      </c>
    </row>
    <row r="1208" spans="3:3">
      <c r="C1208" t="s">
        <v>4503</v>
      </c>
    </row>
    <row r="1209" spans="3:3">
      <c r="C1209" t="s">
        <v>4504</v>
      </c>
    </row>
    <row r="1210" spans="3:3">
      <c r="C1210" t="s">
        <v>4505</v>
      </c>
    </row>
    <row r="1211" spans="3:3">
      <c r="C1211" t="s">
        <v>4506</v>
      </c>
    </row>
    <row r="1212" spans="3:3">
      <c r="C1212" t="s">
        <v>1159</v>
      </c>
    </row>
    <row r="1213" spans="3:3">
      <c r="C1213" t="s">
        <v>2077</v>
      </c>
    </row>
    <row r="1214" spans="3:3">
      <c r="C1214" t="s">
        <v>2693</v>
      </c>
    </row>
    <row r="1215" spans="3:3">
      <c r="C1215" t="s">
        <v>4508</v>
      </c>
    </row>
    <row r="1216" spans="3:3">
      <c r="C1216" t="s">
        <v>4509</v>
      </c>
    </row>
    <row r="1217" spans="3:3">
      <c r="C1217" t="s">
        <v>2143</v>
      </c>
    </row>
    <row r="1218" spans="3:3">
      <c r="C1218" t="s">
        <v>4510</v>
      </c>
    </row>
    <row r="1219" spans="3:3">
      <c r="C1219" t="s">
        <v>4511</v>
      </c>
    </row>
    <row r="1220" spans="3:3">
      <c r="C1220" t="s">
        <v>4512</v>
      </c>
    </row>
    <row r="1221" spans="3:3">
      <c r="C1221" t="s">
        <v>4513</v>
      </c>
    </row>
    <row r="1222" spans="3:3">
      <c r="C1222" t="s">
        <v>4514</v>
      </c>
    </row>
    <row r="1223" spans="3:3">
      <c r="C1223" t="s">
        <v>4515</v>
      </c>
    </row>
    <row r="1224" spans="3:3">
      <c r="C1224" t="s">
        <v>4516</v>
      </c>
    </row>
    <row r="1225" spans="3:3">
      <c r="C1225" t="s">
        <v>4517</v>
      </c>
    </row>
    <row r="1226" spans="3:3">
      <c r="C1226" t="s">
        <v>4518</v>
      </c>
    </row>
    <row r="1227" spans="3:3">
      <c r="C1227" t="s">
        <v>2207</v>
      </c>
    </row>
    <row r="1228" spans="3:3">
      <c r="C1228" t="s">
        <v>4519</v>
      </c>
    </row>
    <row r="1229" spans="3:3">
      <c r="C1229" t="s">
        <v>1406</v>
      </c>
    </row>
    <row r="1230" spans="3:3">
      <c r="C1230" t="s">
        <v>4520</v>
      </c>
    </row>
    <row r="1231" spans="3:3">
      <c r="C1231" t="s">
        <v>4521</v>
      </c>
    </row>
    <row r="1232" spans="3:3">
      <c r="C1232" t="s">
        <v>4522</v>
      </c>
    </row>
    <row r="1233" spans="3:3">
      <c r="C1233" t="s">
        <v>4523</v>
      </c>
    </row>
    <row r="1234" spans="3:3">
      <c r="C1234" t="s">
        <v>4524</v>
      </c>
    </row>
    <row r="1235" spans="3:3">
      <c r="C1235" t="s">
        <v>4525</v>
      </c>
    </row>
    <row r="1236" spans="3:3">
      <c r="C1236" t="s">
        <v>4526</v>
      </c>
    </row>
    <row r="1237" spans="3:3">
      <c r="C1237" t="s">
        <v>4527</v>
      </c>
    </row>
    <row r="1238" spans="3:3">
      <c r="C1238" t="s">
        <v>4528</v>
      </c>
    </row>
    <row r="1239" spans="3:3">
      <c r="C1239" t="s">
        <v>2032</v>
      </c>
    </row>
    <row r="1240" spans="3:3">
      <c r="C1240" t="s">
        <v>1953</v>
      </c>
    </row>
    <row r="1241" spans="3:3">
      <c r="C1241" t="s">
        <v>4529</v>
      </c>
    </row>
    <row r="1242" spans="3:3">
      <c r="C1242" t="s">
        <v>4530</v>
      </c>
    </row>
    <row r="1243" spans="3:3">
      <c r="C1243" t="s">
        <v>4531</v>
      </c>
    </row>
    <row r="1244" spans="3:3">
      <c r="C1244" t="s">
        <v>4532</v>
      </c>
    </row>
    <row r="1245" spans="3:3">
      <c r="C1245" t="s">
        <v>4533</v>
      </c>
    </row>
    <row r="1246" spans="3:3">
      <c r="C1246" t="s">
        <v>4534</v>
      </c>
    </row>
    <row r="1247" spans="3:3">
      <c r="C1247" t="s">
        <v>4535</v>
      </c>
    </row>
    <row r="1248" spans="3:3">
      <c r="C1248" t="s">
        <v>4536</v>
      </c>
    </row>
    <row r="1249" spans="3:3">
      <c r="C1249" t="s">
        <v>2013</v>
      </c>
    </row>
    <row r="1250" spans="3:3">
      <c r="C1250" t="s">
        <v>2870</v>
      </c>
    </row>
    <row r="1251" spans="3:3">
      <c r="C1251" t="s">
        <v>2694</v>
      </c>
    </row>
    <row r="1252" spans="3:3">
      <c r="C1252" t="s">
        <v>1276</v>
      </c>
    </row>
    <row r="1253" spans="3:3">
      <c r="C1253" t="s">
        <v>4537</v>
      </c>
    </row>
    <row r="1254" spans="3:3">
      <c r="C1254" t="s">
        <v>4538</v>
      </c>
    </row>
    <row r="1255" spans="3:3">
      <c r="C1255" t="s">
        <v>2170</v>
      </c>
    </row>
    <row r="1256" spans="3:3">
      <c r="C1256" t="s">
        <v>35</v>
      </c>
    </row>
    <row r="1257" spans="3:3">
      <c r="C1257" t="s">
        <v>4539</v>
      </c>
    </row>
    <row r="1258" spans="3:3">
      <c r="C1258" t="s">
        <v>4540</v>
      </c>
    </row>
    <row r="1259" spans="3:3">
      <c r="C1259" t="s">
        <v>4541</v>
      </c>
    </row>
    <row r="1260" spans="3:3">
      <c r="C1260" t="s">
        <v>4542</v>
      </c>
    </row>
    <row r="1261" spans="3:3">
      <c r="C1261" t="s">
        <v>4543</v>
      </c>
    </row>
    <row r="1262" spans="3:3">
      <c r="C1262" t="s">
        <v>4544</v>
      </c>
    </row>
    <row r="1263" spans="3:3">
      <c r="C1263" t="s">
        <v>4545</v>
      </c>
    </row>
    <row r="1264" spans="3:3">
      <c r="C1264" t="s">
        <v>4546</v>
      </c>
    </row>
    <row r="1265" spans="3:3">
      <c r="C1265" t="s">
        <v>4547</v>
      </c>
    </row>
    <row r="1266" spans="3:3">
      <c r="C1266" t="s">
        <v>4548</v>
      </c>
    </row>
    <row r="1267" spans="3:3">
      <c r="C1267" t="s">
        <v>4549</v>
      </c>
    </row>
    <row r="1268" spans="3:3">
      <c r="C1268" t="s">
        <v>4550</v>
      </c>
    </row>
    <row r="1269" spans="3:3">
      <c r="C1269" t="s">
        <v>4551</v>
      </c>
    </row>
    <row r="1270" spans="3:3">
      <c r="C1270" t="s">
        <v>4552</v>
      </c>
    </row>
    <row r="1271" spans="3:3">
      <c r="C1271" t="s">
        <v>4553</v>
      </c>
    </row>
    <row r="1272" spans="3:3">
      <c r="C1272" t="s">
        <v>4554</v>
      </c>
    </row>
    <row r="1273" spans="3:3">
      <c r="C1273" t="s">
        <v>4555</v>
      </c>
    </row>
    <row r="1274" spans="3:3">
      <c r="C1274" t="s">
        <v>4556</v>
      </c>
    </row>
    <row r="1275" spans="3:3">
      <c r="C1275" t="s">
        <v>3210</v>
      </c>
    </row>
    <row r="1276" spans="3:3">
      <c r="C1276" t="s">
        <v>4557</v>
      </c>
    </row>
    <row r="1277" spans="3:3">
      <c r="C1277" t="s">
        <v>4558</v>
      </c>
    </row>
    <row r="1278" spans="3:3">
      <c r="C1278" t="s">
        <v>4559</v>
      </c>
    </row>
    <row r="1279" spans="3:3">
      <c r="C1279" t="s">
        <v>4560</v>
      </c>
    </row>
    <row r="1280" spans="3:3">
      <c r="C1280" t="s">
        <v>4561</v>
      </c>
    </row>
    <row r="1281" spans="3:3">
      <c r="C1281" t="s">
        <v>4562</v>
      </c>
    </row>
    <row r="1282" spans="3:3">
      <c r="C1282" t="s">
        <v>4563</v>
      </c>
    </row>
    <row r="1283" spans="3:3">
      <c r="C1283" t="s">
        <v>4564</v>
      </c>
    </row>
    <row r="1284" spans="3:3">
      <c r="C1284" t="s">
        <v>4565</v>
      </c>
    </row>
    <row r="1285" spans="3:3">
      <c r="C1285" t="s">
        <v>4566</v>
      </c>
    </row>
    <row r="1286" spans="3:3">
      <c r="C1286" t="s">
        <v>4567</v>
      </c>
    </row>
    <row r="1287" spans="3:3">
      <c r="C1287" t="s">
        <v>4568</v>
      </c>
    </row>
    <row r="1288" spans="3:3">
      <c r="C1288" t="s">
        <v>4569</v>
      </c>
    </row>
    <row r="1289" spans="3:3">
      <c r="C1289" t="s">
        <v>4570</v>
      </c>
    </row>
    <row r="1290" spans="3:3">
      <c r="C1290" t="s">
        <v>4571</v>
      </c>
    </row>
    <row r="1291" spans="3:3">
      <c r="C1291" t="s">
        <v>4572</v>
      </c>
    </row>
    <row r="1292" spans="3:3">
      <c r="C1292" t="s">
        <v>4573</v>
      </c>
    </row>
    <row r="1293" spans="3:3">
      <c r="C1293" t="s">
        <v>4574</v>
      </c>
    </row>
    <row r="1294" spans="3:3">
      <c r="C1294" t="s">
        <v>4575</v>
      </c>
    </row>
    <row r="1295" spans="3:3">
      <c r="C1295" t="s">
        <v>1394</v>
      </c>
    </row>
    <row r="1296" spans="3:3">
      <c r="C1296" t="s">
        <v>4576</v>
      </c>
    </row>
    <row r="1297" spans="3:3">
      <c r="C1297" t="s">
        <v>4577</v>
      </c>
    </row>
    <row r="1298" spans="3:3">
      <c r="C1298" t="s">
        <v>1266</v>
      </c>
    </row>
    <row r="1299" spans="3:3">
      <c r="C1299" t="s">
        <v>4578</v>
      </c>
    </row>
    <row r="1300" spans="3:3">
      <c r="C1300" t="s">
        <v>4579</v>
      </c>
    </row>
    <row r="1301" spans="3:3">
      <c r="C1301" t="s">
        <v>4580</v>
      </c>
    </row>
    <row r="1302" spans="3:3">
      <c r="C1302" t="s">
        <v>4581</v>
      </c>
    </row>
    <row r="1303" spans="3:3">
      <c r="C1303" t="s">
        <v>4582</v>
      </c>
    </row>
    <row r="1304" spans="3:3">
      <c r="C1304" t="s">
        <v>2883</v>
      </c>
    </row>
    <row r="1305" spans="3:3">
      <c r="C1305" t="s">
        <v>4583</v>
      </c>
    </row>
    <row r="1306" spans="3:3">
      <c r="C1306" t="s">
        <v>4584</v>
      </c>
    </row>
    <row r="1307" spans="3:3">
      <c r="C1307" t="s">
        <v>4585</v>
      </c>
    </row>
    <row r="1308" spans="3:3">
      <c r="C1308" t="s">
        <v>4586</v>
      </c>
    </row>
    <row r="1309" spans="3:3">
      <c r="C1309" t="s">
        <v>4587</v>
      </c>
    </row>
    <row r="1310" spans="3:3">
      <c r="C1310" t="s">
        <v>4588</v>
      </c>
    </row>
    <row r="1311" spans="3:3">
      <c r="C1311" t="s">
        <v>4589</v>
      </c>
    </row>
    <row r="1312" spans="3:3">
      <c r="C1312" t="s">
        <v>4590</v>
      </c>
    </row>
    <row r="1313" spans="3:3">
      <c r="C1313" t="s">
        <v>4591</v>
      </c>
    </row>
    <row r="1314" spans="3:3">
      <c r="C1314" t="s">
        <v>4592</v>
      </c>
    </row>
    <row r="1315" spans="3:3">
      <c r="C1315" t="s">
        <v>4593</v>
      </c>
    </row>
    <row r="1316" spans="3:3">
      <c r="C1316" t="s">
        <v>180</v>
      </c>
    </row>
    <row r="1317" spans="3:3">
      <c r="C1317" t="s">
        <v>4594</v>
      </c>
    </row>
    <row r="1318" spans="3:3">
      <c r="C1318" t="s">
        <v>4595</v>
      </c>
    </row>
    <row r="1319" spans="3:3">
      <c r="C1319" t="s">
        <v>4596</v>
      </c>
    </row>
    <row r="1320" spans="3:3">
      <c r="C1320" t="s">
        <v>4597</v>
      </c>
    </row>
    <row r="1321" spans="3:3">
      <c r="C1321" t="s">
        <v>4598</v>
      </c>
    </row>
    <row r="1322" spans="3:3">
      <c r="C1322" t="s">
        <v>548</v>
      </c>
    </row>
    <row r="1323" spans="3:3">
      <c r="C1323" t="s">
        <v>4599</v>
      </c>
    </row>
    <row r="1324" spans="3:3">
      <c r="C1324" t="s">
        <v>4600</v>
      </c>
    </row>
    <row r="1325" spans="3:3">
      <c r="C1325" t="s">
        <v>4601</v>
      </c>
    </row>
    <row r="1326" spans="3:3">
      <c r="C1326" t="s">
        <v>4602</v>
      </c>
    </row>
    <row r="1327" spans="3:3">
      <c r="C1327" t="s">
        <v>4603</v>
      </c>
    </row>
    <row r="1328" spans="3:3">
      <c r="C1328" t="s">
        <v>4604</v>
      </c>
    </row>
    <row r="1329" spans="3:3">
      <c r="C1329" t="s">
        <v>4605</v>
      </c>
    </row>
    <row r="1330" spans="3:3">
      <c r="C1330" t="s">
        <v>4606</v>
      </c>
    </row>
    <row r="1331" spans="3:3">
      <c r="C1331" t="s">
        <v>86</v>
      </c>
    </row>
    <row r="1332" spans="3:3">
      <c r="C1332" t="s">
        <v>523</v>
      </c>
    </row>
    <row r="1333" spans="3:3">
      <c r="C1333" t="s">
        <v>4607</v>
      </c>
    </row>
    <row r="1334" spans="3:3">
      <c r="C1334" t="s">
        <v>4608</v>
      </c>
    </row>
    <row r="1335" spans="3:3">
      <c r="C1335" t="s">
        <v>4609</v>
      </c>
    </row>
    <row r="1336" spans="3:3">
      <c r="C1336" t="s">
        <v>4610</v>
      </c>
    </row>
    <row r="1337" spans="3:3">
      <c r="C1337" t="s">
        <v>4611</v>
      </c>
    </row>
    <row r="1338" spans="3:3">
      <c r="C1338" t="s">
        <v>4612</v>
      </c>
    </row>
    <row r="1339" spans="3:3">
      <c r="C1339" t="s">
        <v>4613</v>
      </c>
    </row>
    <row r="1340" spans="3:3">
      <c r="C1340" t="s">
        <v>3135</v>
      </c>
    </row>
    <row r="1341" spans="3:3">
      <c r="C1341" t="s">
        <v>1410</v>
      </c>
    </row>
    <row r="1342" spans="3:3">
      <c r="C1342" t="s">
        <v>1582</v>
      </c>
    </row>
    <row r="1343" spans="3:3">
      <c r="C1343" t="s">
        <v>4614</v>
      </c>
    </row>
    <row r="1344" spans="3:3">
      <c r="C1344" t="s">
        <v>4615</v>
      </c>
    </row>
    <row r="1345" spans="3:3">
      <c r="C1345" t="s">
        <v>4616</v>
      </c>
    </row>
    <row r="1346" spans="3:3">
      <c r="C1346" t="s">
        <v>2639</v>
      </c>
    </row>
    <row r="1347" spans="3:3">
      <c r="C1347" t="s">
        <v>4617</v>
      </c>
    </row>
    <row r="1348" spans="3:3">
      <c r="C1348" t="s">
        <v>4618</v>
      </c>
    </row>
    <row r="1349" spans="3:3">
      <c r="C1349" t="s">
        <v>4619</v>
      </c>
    </row>
    <row r="1350" spans="3:3">
      <c r="C1350" t="s">
        <v>2007</v>
      </c>
    </row>
    <row r="1351" spans="3:3">
      <c r="C1351" t="s">
        <v>4620</v>
      </c>
    </row>
    <row r="1352" spans="3:3">
      <c r="C1352" t="s">
        <v>4621</v>
      </c>
    </row>
    <row r="1353" spans="3:3">
      <c r="C1353" t="s">
        <v>4622</v>
      </c>
    </row>
    <row r="1354" spans="3:3">
      <c r="C1354" t="s">
        <v>4623</v>
      </c>
    </row>
    <row r="1355" spans="3:3">
      <c r="C1355" t="s">
        <v>4624</v>
      </c>
    </row>
    <row r="1356" spans="3:3">
      <c r="C1356" t="s">
        <v>4625</v>
      </c>
    </row>
    <row r="1357" spans="3:3">
      <c r="C1357" t="s">
        <v>4626</v>
      </c>
    </row>
    <row r="1358" spans="3:3">
      <c r="C1358" t="s">
        <v>4627</v>
      </c>
    </row>
    <row r="1359" spans="3:3">
      <c r="C1359" t="s">
        <v>4628</v>
      </c>
    </row>
    <row r="1360" spans="3:3">
      <c r="C1360" t="s">
        <v>4629</v>
      </c>
    </row>
    <row r="1361" spans="3:3">
      <c r="C1361" t="s">
        <v>4630</v>
      </c>
    </row>
    <row r="1362" spans="3:3">
      <c r="C1362" t="s">
        <v>4631</v>
      </c>
    </row>
    <row r="1363" spans="3:3">
      <c r="C1363" t="s">
        <v>4632</v>
      </c>
    </row>
    <row r="1364" spans="3:3">
      <c r="C1364" t="s">
        <v>4633</v>
      </c>
    </row>
    <row r="1365" spans="3:3">
      <c r="C1365" t="s">
        <v>4634</v>
      </c>
    </row>
    <row r="1366" spans="3:3">
      <c r="C1366" t="s">
        <v>4635</v>
      </c>
    </row>
    <row r="1367" spans="3:3">
      <c r="C1367" t="s">
        <v>1094</v>
      </c>
    </row>
    <row r="1368" spans="3:3">
      <c r="C1368" t="s">
        <v>4636</v>
      </c>
    </row>
    <row r="1369" spans="3:3">
      <c r="C1369" t="s">
        <v>4637</v>
      </c>
    </row>
    <row r="1370" spans="3:3">
      <c r="C1370" t="s">
        <v>2112</v>
      </c>
    </row>
    <row r="1371" spans="3:3">
      <c r="C1371" t="s">
        <v>4638</v>
      </c>
    </row>
    <row r="1372" spans="3:3">
      <c r="C1372" t="s">
        <v>4639</v>
      </c>
    </row>
    <row r="1373" spans="3:3">
      <c r="C1373" t="s">
        <v>4640</v>
      </c>
    </row>
    <row r="1374" spans="3:3">
      <c r="C1374" t="s">
        <v>2922</v>
      </c>
    </row>
    <row r="1375" spans="3:3">
      <c r="C1375" t="s">
        <v>163</v>
      </c>
    </row>
    <row r="1376" spans="3:3">
      <c r="C1376" t="s">
        <v>4641</v>
      </c>
    </row>
    <row r="1377" spans="3:3">
      <c r="C1377" t="s">
        <v>4642</v>
      </c>
    </row>
    <row r="1378" spans="3:3">
      <c r="C1378" t="s">
        <v>4643</v>
      </c>
    </row>
    <row r="1379" spans="3:3">
      <c r="C1379" t="s">
        <v>4644</v>
      </c>
    </row>
    <row r="1380" spans="3:3">
      <c r="C1380" t="s">
        <v>4645</v>
      </c>
    </row>
    <row r="1381" spans="3:3">
      <c r="C1381" t="s">
        <v>4646</v>
      </c>
    </row>
    <row r="1382" spans="3:3">
      <c r="C1382" t="s">
        <v>4647</v>
      </c>
    </row>
    <row r="1383" spans="3:3">
      <c r="C1383" t="s">
        <v>4648</v>
      </c>
    </row>
    <row r="1384" spans="3:3">
      <c r="C1384" t="s">
        <v>4649</v>
      </c>
    </row>
    <row r="1385" spans="3:3">
      <c r="C1385" t="s">
        <v>4650</v>
      </c>
    </row>
    <row r="1386" spans="3:3">
      <c r="C1386" t="s">
        <v>4651</v>
      </c>
    </row>
    <row r="1387" spans="3:3">
      <c r="C1387" t="s">
        <v>4652</v>
      </c>
    </row>
    <row r="1388" spans="3:3">
      <c r="C1388" t="s">
        <v>4653</v>
      </c>
    </row>
    <row r="1389" spans="3:3">
      <c r="C1389" t="s">
        <v>4654</v>
      </c>
    </row>
    <row r="1390" spans="3:3">
      <c r="C1390" t="s">
        <v>75</v>
      </c>
    </row>
    <row r="1391" spans="3:3">
      <c r="C1391" t="s">
        <v>4655</v>
      </c>
    </row>
    <row r="1392" spans="3:3">
      <c r="C1392" t="s">
        <v>4656</v>
      </c>
    </row>
    <row r="1393" spans="3:3">
      <c r="C1393" t="s">
        <v>4657</v>
      </c>
    </row>
    <row r="1394" spans="3:3">
      <c r="C1394" t="s">
        <v>4658</v>
      </c>
    </row>
    <row r="1395" spans="3:3">
      <c r="C1395" t="s">
        <v>4659</v>
      </c>
    </row>
    <row r="1396" spans="3:3">
      <c r="C1396" t="s">
        <v>4660</v>
      </c>
    </row>
    <row r="1397" spans="3:3">
      <c r="C1397" t="s">
        <v>4661</v>
      </c>
    </row>
    <row r="1398" spans="3:3">
      <c r="C1398" t="s">
        <v>4662</v>
      </c>
    </row>
    <row r="1399" spans="3:3">
      <c r="C1399" t="s">
        <v>4663</v>
      </c>
    </row>
    <row r="1400" spans="3:3">
      <c r="C1400" t="s">
        <v>4664</v>
      </c>
    </row>
    <row r="1401" spans="3:3">
      <c r="C1401" t="s">
        <v>4665</v>
      </c>
    </row>
    <row r="1402" spans="3:3">
      <c r="C1402" t="s">
        <v>4666</v>
      </c>
    </row>
    <row r="1403" spans="3:3">
      <c r="C1403" t="s">
        <v>4667</v>
      </c>
    </row>
    <row r="1404" spans="3:3">
      <c r="C1404" t="s">
        <v>4668</v>
      </c>
    </row>
    <row r="1405" spans="3:3">
      <c r="C1405" t="s">
        <v>2625</v>
      </c>
    </row>
    <row r="1406" spans="3:3">
      <c r="C1406" t="s">
        <v>2147</v>
      </c>
    </row>
    <row r="1407" spans="3:3">
      <c r="C1407" t="s">
        <v>1119</v>
      </c>
    </row>
    <row r="1408" spans="3:3">
      <c r="C1408" t="s">
        <v>4669</v>
      </c>
    </row>
    <row r="1409" spans="3:3">
      <c r="C1409" t="s">
        <v>4670</v>
      </c>
    </row>
    <row r="1410" spans="3:3">
      <c r="C1410" t="s">
        <v>4671</v>
      </c>
    </row>
    <row r="1411" spans="3:3">
      <c r="C1411" t="s">
        <v>2286</v>
      </c>
    </row>
    <row r="1412" spans="3:3">
      <c r="C1412" t="s">
        <v>4672</v>
      </c>
    </row>
    <row r="1413" spans="3:3">
      <c r="C1413" t="s">
        <v>4673</v>
      </c>
    </row>
    <row r="1414" spans="3:3">
      <c r="C1414" t="s">
        <v>4674</v>
      </c>
    </row>
    <row r="1415" spans="3:3">
      <c r="C1415" t="s">
        <v>4675</v>
      </c>
    </row>
    <row r="1416" spans="3:3">
      <c r="C1416" t="s">
        <v>4676</v>
      </c>
    </row>
    <row r="1417" spans="3:3">
      <c r="C1417" t="s">
        <v>4677</v>
      </c>
    </row>
    <row r="1418" spans="3:3">
      <c r="C1418" t="s">
        <v>4678</v>
      </c>
    </row>
    <row r="1419" spans="3:3">
      <c r="C1419" t="s">
        <v>4679</v>
      </c>
    </row>
    <row r="1420" spans="3:3">
      <c r="C1420" t="s">
        <v>3230</v>
      </c>
    </row>
    <row r="1421" spans="3:3">
      <c r="C1421" t="s">
        <v>4680</v>
      </c>
    </row>
    <row r="1422" spans="3:3">
      <c r="C1422" t="s">
        <v>4681</v>
      </c>
    </row>
    <row r="1423" spans="3:3">
      <c r="C1423" t="s">
        <v>4682</v>
      </c>
    </row>
    <row r="1424" spans="3:3">
      <c r="C1424" t="s">
        <v>4683</v>
      </c>
    </row>
    <row r="1425" spans="3:3">
      <c r="C1425" t="s">
        <v>4684</v>
      </c>
    </row>
    <row r="1426" spans="3:3">
      <c r="C1426" t="s">
        <v>4685</v>
      </c>
    </row>
    <row r="1427" spans="3:3">
      <c r="C1427" t="s">
        <v>4686</v>
      </c>
    </row>
    <row r="1428" spans="3:3">
      <c r="C1428" t="s">
        <v>4687</v>
      </c>
    </row>
    <row r="1429" spans="3:3">
      <c r="C1429" t="s">
        <v>4688</v>
      </c>
    </row>
    <row r="1430" spans="3:3">
      <c r="C1430" t="s">
        <v>4689</v>
      </c>
    </row>
    <row r="1431" spans="3:3">
      <c r="C1431" t="s">
        <v>4690</v>
      </c>
    </row>
    <row r="1432" spans="3:3">
      <c r="C1432" t="s">
        <v>4691</v>
      </c>
    </row>
    <row r="1433" spans="3:3">
      <c r="C1433" t="s">
        <v>4692</v>
      </c>
    </row>
    <row r="1434" spans="3:3">
      <c r="C1434" t="s">
        <v>4693</v>
      </c>
    </row>
    <row r="1435" spans="3:3">
      <c r="C1435" t="s">
        <v>4694</v>
      </c>
    </row>
    <row r="1436" spans="3:3">
      <c r="C1436" t="s">
        <v>4695</v>
      </c>
    </row>
    <row r="1437" spans="3:3">
      <c r="C1437" t="s">
        <v>4696</v>
      </c>
    </row>
    <row r="1438" spans="3:3">
      <c r="C1438" t="s">
        <v>4697</v>
      </c>
    </row>
    <row r="1439" spans="3:3">
      <c r="C1439" t="s">
        <v>43</v>
      </c>
    </row>
    <row r="1440" spans="3:3">
      <c r="C1440" t="s">
        <v>4698</v>
      </c>
    </row>
    <row r="1441" spans="3:3">
      <c r="C1441" t="s">
        <v>4699</v>
      </c>
    </row>
    <row r="1442" spans="3:3">
      <c r="C1442" t="s">
        <v>4700</v>
      </c>
    </row>
    <row r="1443" spans="3:3">
      <c r="C1443" t="s">
        <v>4701</v>
      </c>
    </row>
    <row r="1444" spans="3:3">
      <c r="C1444" t="s">
        <v>4702</v>
      </c>
    </row>
    <row r="1445" spans="3:3">
      <c r="C1445" t="s">
        <v>1905</v>
      </c>
    </row>
    <row r="1446" spans="3:3">
      <c r="C1446" t="s">
        <v>4703</v>
      </c>
    </row>
    <row r="1447" spans="3:3">
      <c r="C1447" t="s">
        <v>4704</v>
      </c>
    </row>
    <row r="1448" spans="3:3">
      <c r="C1448" t="s">
        <v>4705</v>
      </c>
    </row>
    <row r="1449" spans="3:3">
      <c r="C1449" t="s">
        <v>4706</v>
      </c>
    </row>
    <row r="1450" spans="3:3">
      <c r="C1450" t="s">
        <v>4707</v>
      </c>
    </row>
    <row r="1451" spans="3:3">
      <c r="C1451" t="s">
        <v>1376</v>
      </c>
    </row>
    <row r="1452" spans="3:3">
      <c r="C1452" t="s">
        <v>4708</v>
      </c>
    </row>
    <row r="1453" spans="3:3">
      <c r="C1453" t="s">
        <v>4709</v>
      </c>
    </row>
    <row r="1454" spans="3:3">
      <c r="C1454" t="s">
        <v>4710</v>
      </c>
    </row>
    <row r="1455" spans="3:3">
      <c r="C1455" t="s">
        <v>4711</v>
      </c>
    </row>
    <row r="1456" spans="3:3">
      <c r="C1456" t="s">
        <v>4712</v>
      </c>
    </row>
    <row r="1457" spans="3:3">
      <c r="C1457" t="s">
        <v>4713</v>
      </c>
    </row>
    <row r="1458" spans="3:3">
      <c r="C1458" t="s">
        <v>4714</v>
      </c>
    </row>
    <row r="1459" spans="3:3">
      <c r="C1459" t="s">
        <v>174</v>
      </c>
    </row>
    <row r="1460" spans="3:3">
      <c r="C1460" t="s">
        <v>4715</v>
      </c>
    </row>
    <row r="1461" spans="3:3">
      <c r="C1461" t="s">
        <v>4716</v>
      </c>
    </row>
    <row r="1462" spans="3:3">
      <c r="C1462" t="s">
        <v>4717</v>
      </c>
    </row>
    <row r="1463" spans="3:3">
      <c r="C1463" t="s">
        <v>4718</v>
      </c>
    </row>
    <row r="1464" spans="3:3">
      <c r="C1464" t="s">
        <v>4719</v>
      </c>
    </row>
    <row r="1465" spans="3:3">
      <c r="C1465" t="s">
        <v>4720</v>
      </c>
    </row>
    <row r="1466" spans="3:3">
      <c r="C1466" t="s">
        <v>4721</v>
      </c>
    </row>
    <row r="1467" spans="3:3">
      <c r="C1467" t="s">
        <v>4722</v>
      </c>
    </row>
    <row r="1468" spans="3:3">
      <c r="C1468" t="s">
        <v>4723</v>
      </c>
    </row>
    <row r="1469" spans="3:3">
      <c r="C1469" t="s">
        <v>4724</v>
      </c>
    </row>
    <row r="1470" spans="3:3">
      <c r="C1470" t="s">
        <v>4725</v>
      </c>
    </row>
    <row r="1471" spans="3:3">
      <c r="C1471" t="s">
        <v>4726</v>
      </c>
    </row>
    <row r="1472" spans="3:3">
      <c r="C1472" t="s">
        <v>4727</v>
      </c>
    </row>
    <row r="1473" spans="3:3">
      <c r="C1473" t="s">
        <v>4728</v>
      </c>
    </row>
    <row r="1474" spans="3:3">
      <c r="C1474" t="s">
        <v>4729</v>
      </c>
    </row>
    <row r="1475" spans="3:3">
      <c r="C1475" t="s">
        <v>4730</v>
      </c>
    </row>
    <row r="1476" spans="3:3">
      <c r="C1476" t="s">
        <v>4731</v>
      </c>
    </row>
    <row r="1477" spans="3:3">
      <c r="C1477" t="s">
        <v>4732</v>
      </c>
    </row>
    <row r="1478" spans="3:3">
      <c r="C1478" t="s">
        <v>376</v>
      </c>
    </row>
    <row r="1479" spans="3:3">
      <c r="C1479" t="s">
        <v>2791</v>
      </c>
    </row>
    <row r="1480" spans="3:3">
      <c r="C1480" t="s">
        <v>4733</v>
      </c>
    </row>
    <row r="1481" spans="3:3">
      <c r="C1481" t="s">
        <v>4734</v>
      </c>
    </row>
    <row r="1482" spans="3:3">
      <c r="C1482" t="s">
        <v>4735</v>
      </c>
    </row>
    <row r="1483" spans="3:3">
      <c r="C1483" t="s">
        <v>4736</v>
      </c>
    </row>
    <row r="1484" spans="3:3">
      <c r="C1484" t="s">
        <v>4737</v>
      </c>
    </row>
    <row r="1485" spans="3:3">
      <c r="C1485" t="s">
        <v>4738</v>
      </c>
    </row>
    <row r="1486" spans="3:3">
      <c r="C1486" t="s">
        <v>4739</v>
      </c>
    </row>
    <row r="1487" spans="3:3">
      <c r="C1487" t="s">
        <v>4740</v>
      </c>
    </row>
    <row r="1488" spans="3:3">
      <c r="C1488" t="s">
        <v>4741</v>
      </c>
    </row>
    <row r="1489" spans="3:3">
      <c r="C1489" t="s">
        <v>4742</v>
      </c>
    </row>
    <row r="1490" spans="3:3">
      <c r="C1490" t="s">
        <v>4743</v>
      </c>
    </row>
    <row r="1491" spans="3:3">
      <c r="C1491" t="s">
        <v>4744</v>
      </c>
    </row>
    <row r="1492" spans="3:3">
      <c r="C1492" t="s">
        <v>4745</v>
      </c>
    </row>
    <row r="1493" spans="3:3">
      <c r="C1493" t="s">
        <v>4746</v>
      </c>
    </row>
    <row r="1494" spans="3:3">
      <c r="C1494" t="s">
        <v>4747</v>
      </c>
    </row>
    <row r="1495" spans="3:3">
      <c r="C1495" t="s">
        <v>4748</v>
      </c>
    </row>
    <row r="1496" spans="3:3">
      <c r="C1496" t="s">
        <v>4749</v>
      </c>
    </row>
    <row r="1497" spans="3:3">
      <c r="C1497" t="s">
        <v>4750</v>
      </c>
    </row>
    <row r="1498" spans="3:3">
      <c r="C1498" t="s">
        <v>4751</v>
      </c>
    </row>
    <row r="1499" spans="3:3">
      <c r="C1499" t="s">
        <v>4752</v>
      </c>
    </row>
    <row r="1500" spans="3:3">
      <c r="C1500" t="s">
        <v>4753</v>
      </c>
    </row>
    <row r="1501" spans="3:3">
      <c r="C1501" t="s">
        <v>4754</v>
      </c>
    </row>
    <row r="1502" spans="3:3">
      <c r="C1502" t="s">
        <v>4755</v>
      </c>
    </row>
    <row r="1503" spans="3:3">
      <c r="C1503" t="s">
        <v>4756</v>
      </c>
    </row>
    <row r="1504" spans="3:3">
      <c r="C1504" t="s">
        <v>4757</v>
      </c>
    </row>
    <row r="1505" spans="3:3">
      <c r="C1505" t="s">
        <v>4758</v>
      </c>
    </row>
    <row r="1506" spans="3:3">
      <c r="C1506" t="s">
        <v>4759</v>
      </c>
    </row>
    <row r="1507" spans="3:3">
      <c r="C1507" t="s">
        <v>4760</v>
      </c>
    </row>
    <row r="1508" spans="3:3">
      <c r="C1508" t="s">
        <v>4761</v>
      </c>
    </row>
    <row r="1509" spans="3:3">
      <c r="C1509" t="s">
        <v>4762</v>
      </c>
    </row>
    <row r="1510" spans="3:3">
      <c r="C1510" t="s">
        <v>4763</v>
      </c>
    </row>
    <row r="1511" spans="3:3">
      <c r="C1511" t="s">
        <v>4764</v>
      </c>
    </row>
    <row r="1512" spans="3:3">
      <c r="C1512" t="s">
        <v>4765</v>
      </c>
    </row>
    <row r="1513" spans="3:3">
      <c r="C1513" t="s">
        <v>4766</v>
      </c>
    </row>
    <row r="1514" spans="3:3">
      <c r="C1514" t="s">
        <v>4767</v>
      </c>
    </row>
    <row r="1515" spans="3:3">
      <c r="C1515" t="s">
        <v>4768</v>
      </c>
    </row>
    <row r="1516" spans="3:3">
      <c r="C1516" t="s">
        <v>4769</v>
      </c>
    </row>
    <row r="1517" spans="3:3">
      <c r="C1517" t="s">
        <v>4770</v>
      </c>
    </row>
    <row r="1518" spans="3:3">
      <c r="C1518" t="s">
        <v>4771</v>
      </c>
    </row>
    <row r="1519" spans="3:3">
      <c r="C1519" t="s">
        <v>4772</v>
      </c>
    </row>
    <row r="1520" spans="3:3">
      <c r="C1520" t="s">
        <v>4773</v>
      </c>
    </row>
    <row r="1521" spans="3:3">
      <c r="C1521" t="s">
        <v>4774</v>
      </c>
    </row>
    <row r="1522" spans="3:3">
      <c r="C1522" t="s">
        <v>4775</v>
      </c>
    </row>
    <row r="1523" spans="3:3">
      <c r="C1523" t="s">
        <v>4776</v>
      </c>
    </row>
    <row r="1524" spans="3:3">
      <c r="C1524" t="s">
        <v>4777</v>
      </c>
    </row>
    <row r="1525" spans="3:3">
      <c r="C1525" t="s">
        <v>4778</v>
      </c>
    </row>
    <row r="1526" spans="3:3">
      <c r="C1526" t="s">
        <v>4779</v>
      </c>
    </row>
    <row r="1527" spans="3:3">
      <c r="C1527" t="s">
        <v>4780</v>
      </c>
    </row>
    <row r="1528" spans="3:3">
      <c r="C1528" t="s">
        <v>4781</v>
      </c>
    </row>
    <row r="1529" spans="3:3">
      <c r="C1529" t="s">
        <v>4782</v>
      </c>
    </row>
    <row r="1530" spans="3:3">
      <c r="C1530" t="s">
        <v>4783</v>
      </c>
    </row>
    <row r="1531" spans="3:3">
      <c r="C1531" t="s">
        <v>4784</v>
      </c>
    </row>
    <row r="1532" spans="3:3">
      <c r="C1532" t="s">
        <v>4785</v>
      </c>
    </row>
    <row r="1533" spans="3:3">
      <c r="C1533" t="s">
        <v>4786</v>
      </c>
    </row>
    <row r="1534" spans="3:3">
      <c r="C1534" t="s">
        <v>4787</v>
      </c>
    </row>
    <row r="1535" spans="3:3">
      <c r="C1535" t="s">
        <v>4788</v>
      </c>
    </row>
    <row r="1536" spans="3:3">
      <c r="C1536" t="s">
        <v>4789</v>
      </c>
    </row>
    <row r="1537" spans="3:3">
      <c r="C1537" t="s">
        <v>449</v>
      </c>
    </row>
    <row r="1538" spans="3:3">
      <c r="C1538" t="s">
        <v>595</v>
      </c>
    </row>
    <row r="1539" spans="3:3">
      <c r="C1539" t="s">
        <v>399</v>
      </c>
    </row>
    <row r="1540" spans="3:3">
      <c r="C1540" t="s">
        <v>115</v>
      </c>
    </row>
    <row r="1541" spans="3:3">
      <c r="C1541" t="s">
        <v>4790</v>
      </c>
    </row>
    <row r="1542" spans="3:3">
      <c r="C1542" t="s">
        <v>4791</v>
      </c>
    </row>
    <row r="1543" spans="3:3">
      <c r="C1543" t="s">
        <v>4792</v>
      </c>
    </row>
    <row r="1544" spans="3:3">
      <c r="C1544" t="s">
        <v>4793</v>
      </c>
    </row>
    <row r="1545" spans="3:3">
      <c r="C1545" t="s">
        <v>4794</v>
      </c>
    </row>
    <row r="1546" spans="3:3">
      <c r="C1546" t="s">
        <v>4795</v>
      </c>
    </row>
    <row r="1547" spans="3:3">
      <c r="C1547" t="s">
        <v>2386</v>
      </c>
    </row>
    <row r="1548" spans="3:3">
      <c r="C1548" t="s">
        <v>2387</v>
      </c>
    </row>
    <row r="1549" spans="3:3">
      <c r="C1549" t="s">
        <v>4796</v>
      </c>
    </row>
    <row r="1550" spans="3:3">
      <c r="C1550" t="s">
        <v>4797</v>
      </c>
    </row>
    <row r="1551" spans="3:3">
      <c r="C1551" t="s">
        <v>4798</v>
      </c>
    </row>
    <row r="1552" spans="3:3">
      <c r="C1552" t="s">
        <v>4799</v>
      </c>
    </row>
    <row r="1553" spans="3:3">
      <c r="C1553" t="s">
        <v>4800</v>
      </c>
    </row>
    <row r="1554" spans="3:3">
      <c r="C1554" t="s">
        <v>4801</v>
      </c>
    </row>
    <row r="1555" spans="3:3">
      <c r="C1555" t="s">
        <v>4802</v>
      </c>
    </row>
    <row r="1556" spans="3:3">
      <c r="C1556" t="s">
        <v>4803</v>
      </c>
    </row>
    <row r="1557" spans="3:3">
      <c r="C1557" t="s">
        <v>2480</v>
      </c>
    </row>
    <row r="1558" spans="3:3">
      <c r="C1558" t="s">
        <v>4804</v>
      </c>
    </row>
    <row r="1559" spans="3:3">
      <c r="C1559" t="s">
        <v>1252</v>
      </c>
    </row>
    <row r="1560" spans="3:3">
      <c r="C1560" t="s">
        <v>4805</v>
      </c>
    </row>
    <row r="1561" spans="3:3">
      <c r="C1561" t="s">
        <v>4806</v>
      </c>
    </row>
    <row r="1562" spans="3:3">
      <c r="C1562" t="s">
        <v>4807</v>
      </c>
    </row>
    <row r="1563" spans="3:3">
      <c r="C1563" t="s">
        <v>4808</v>
      </c>
    </row>
    <row r="1564" spans="3:3">
      <c r="C1564" t="s">
        <v>407</v>
      </c>
    </row>
    <row r="1565" spans="3:3">
      <c r="C1565" t="s">
        <v>4809</v>
      </c>
    </row>
    <row r="1566" spans="3:3">
      <c r="C1566" t="s">
        <v>4810</v>
      </c>
    </row>
    <row r="1567" spans="3:3">
      <c r="C1567" t="s">
        <v>2097</v>
      </c>
    </row>
    <row r="1568" spans="3:3">
      <c r="C1568" t="s">
        <v>4811</v>
      </c>
    </row>
    <row r="1569" spans="3:3">
      <c r="C1569" t="s">
        <v>4812</v>
      </c>
    </row>
    <row r="1570" spans="3:3">
      <c r="C1570" t="s">
        <v>172</v>
      </c>
    </row>
    <row r="1571" spans="3:3">
      <c r="C1571" t="s">
        <v>4813</v>
      </c>
    </row>
    <row r="1572" spans="3:3">
      <c r="C1572" t="s">
        <v>134</v>
      </c>
    </row>
    <row r="1573" spans="3:3">
      <c r="C1573" t="s">
        <v>4814</v>
      </c>
    </row>
    <row r="1574" spans="3:3">
      <c r="C1574" t="s">
        <v>4815</v>
      </c>
    </row>
    <row r="1575" spans="3:3">
      <c r="C1575" t="s">
        <v>4816</v>
      </c>
    </row>
    <row r="1576" spans="3:3">
      <c r="C1576" t="s">
        <v>4817</v>
      </c>
    </row>
    <row r="1577" spans="3:3">
      <c r="C1577" t="s">
        <v>3423</v>
      </c>
    </row>
    <row r="1578" spans="3:3">
      <c r="C1578" t="s">
        <v>2219</v>
      </c>
    </row>
    <row r="1579" spans="3:3">
      <c r="C1579" t="s">
        <v>4818</v>
      </c>
    </row>
    <row r="1580" spans="3:3">
      <c r="C1580" t="s">
        <v>4819</v>
      </c>
    </row>
    <row r="1581" spans="3:3">
      <c r="C1581" t="s">
        <v>4820</v>
      </c>
    </row>
    <row r="1582" spans="3:3">
      <c r="C1582" t="s">
        <v>4821</v>
      </c>
    </row>
    <row r="1583" spans="3:3">
      <c r="C1583" t="s">
        <v>4822</v>
      </c>
    </row>
    <row r="1584" spans="3:3">
      <c r="C1584" t="s">
        <v>4823</v>
      </c>
    </row>
    <row r="1585" spans="3:3">
      <c r="C1585" t="s">
        <v>4824</v>
      </c>
    </row>
    <row r="1586" spans="3:3">
      <c r="C1586" t="s">
        <v>4825</v>
      </c>
    </row>
    <row r="1587" spans="3:3">
      <c r="C1587" t="s">
        <v>4826</v>
      </c>
    </row>
    <row r="1588" spans="3:3">
      <c r="C1588" t="s">
        <v>4827</v>
      </c>
    </row>
    <row r="1589" spans="3:3">
      <c r="C1589" t="s">
        <v>4828</v>
      </c>
    </row>
    <row r="1590" spans="3:3">
      <c r="C1590" t="s">
        <v>4829</v>
      </c>
    </row>
    <row r="1591" spans="3:3">
      <c r="C1591" t="s">
        <v>4830</v>
      </c>
    </row>
    <row r="1592" spans="3:3">
      <c r="C1592" t="s">
        <v>4831</v>
      </c>
    </row>
    <row r="1593" spans="3:3">
      <c r="C1593" t="s">
        <v>4832</v>
      </c>
    </row>
    <row r="1594" spans="3:3">
      <c r="C1594" t="s">
        <v>4833</v>
      </c>
    </row>
    <row r="1595" spans="3:3">
      <c r="C1595" t="s">
        <v>4834</v>
      </c>
    </row>
    <row r="1596" spans="3:3">
      <c r="C1596" t="s">
        <v>4835</v>
      </c>
    </row>
    <row r="1597" spans="3:3">
      <c r="C1597" t="s">
        <v>4836</v>
      </c>
    </row>
    <row r="1598" spans="3:3">
      <c r="C1598" t="s">
        <v>4837</v>
      </c>
    </row>
    <row r="1599" spans="3:3">
      <c r="C1599" t="s">
        <v>4838</v>
      </c>
    </row>
    <row r="1600" spans="3:3">
      <c r="C1600" t="s">
        <v>2860</v>
      </c>
    </row>
    <row r="1601" spans="3:3">
      <c r="C1601" t="s">
        <v>4839</v>
      </c>
    </row>
    <row r="1602" spans="3:3">
      <c r="C1602" t="s">
        <v>4840</v>
      </c>
    </row>
    <row r="1603" spans="3:3">
      <c r="C1603" t="s">
        <v>4841</v>
      </c>
    </row>
    <row r="1604" spans="3:3">
      <c r="C1604" t="s">
        <v>2630</v>
      </c>
    </row>
    <row r="1605" spans="3:3">
      <c r="C1605" t="s">
        <v>4842</v>
      </c>
    </row>
    <row r="1606" spans="3:3">
      <c r="C1606" t="s">
        <v>4843</v>
      </c>
    </row>
    <row r="1607" spans="3:3">
      <c r="C1607" t="s">
        <v>4844</v>
      </c>
    </row>
    <row r="1608" spans="3:3">
      <c r="C1608" t="s">
        <v>2599</v>
      </c>
    </row>
    <row r="1609" spans="3:3">
      <c r="C1609" t="s">
        <v>4845</v>
      </c>
    </row>
    <row r="1610" spans="3:3">
      <c r="C1610" t="s">
        <v>1705</v>
      </c>
    </row>
    <row r="1611" spans="3:3">
      <c r="C1611" t="s">
        <v>4846</v>
      </c>
    </row>
    <row r="1612" spans="3:3">
      <c r="C1612" t="s">
        <v>2987</v>
      </c>
    </row>
    <row r="1613" spans="3:3">
      <c r="C1613" t="s">
        <v>4847</v>
      </c>
    </row>
    <row r="1614" spans="3:3">
      <c r="C1614" t="s">
        <v>4848</v>
      </c>
    </row>
    <row r="1615" spans="3:3">
      <c r="C1615" t="s">
        <v>4849</v>
      </c>
    </row>
    <row r="1616" spans="3:3">
      <c r="C1616" t="s">
        <v>4850</v>
      </c>
    </row>
    <row r="1617" spans="3:3">
      <c r="C1617" t="s">
        <v>4851</v>
      </c>
    </row>
    <row r="1618" spans="3:3">
      <c r="C1618" t="s">
        <v>4852</v>
      </c>
    </row>
    <row r="1619" spans="3:3">
      <c r="C1619" t="s">
        <v>4853</v>
      </c>
    </row>
    <row r="1620" spans="3:3">
      <c r="C1620" t="s">
        <v>4854</v>
      </c>
    </row>
    <row r="1621" spans="3:3">
      <c r="C1621" t="s">
        <v>4855</v>
      </c>
    </row>
    <row r="1622" spans="3:3">
      <c r="C1622" t="s">
        <v>4856</v>
      </c>
    </row>
    <row r="1623" spans="3:3">
      <c r="C1623" t="s">
        <v>4857</v>
      </c>
    </row>
    <row r="1624" spans="3:3">
      <c r="C1624" t="s">
        <v>4858</v>
      </c>
    </row>
    <row r="1625" spans="3:3">
      <c r="C1625" t="s">
        <v>4859</v>
      </c>
    </row>
    <row r="1626" spans="3:3">
      <c r="C1626" t="s">
        <v>248</v>
      </c>
    </row>
    <row r="1627" spans="3:3">
      <c r="C1627" t="s">
        <v>4860</v>
      </c>
    </row>
    <row r="1628" spans="3:3">
      <c r="C1628" t="s">
        <v>4861</v>
      </c>
    </row>
    <row r="1629" spans="3:3">
      <c r="C1629" t="s">
        <v>4862</v>
      </c>
    </row>
    <row r="1630" spans="3:3">
      <c r="C1630" t="s">
        <v>4863</v>
      </c>
    </row>
    <row r="1631" spans="3:3">
      <c r="C1631" t="s">
        <v>4864</v>
      </c>
    </row>
    <row r="1632" spans="3:3">
      <c r="C1632" t="s">
        <v>4865</v>
      </c>
    </row>
    <row r="1633" spans="3:3">
      <c r="C1633" t="s">
        <v>4866</v>
      </c>
    </row>
    <row r="1634" spans="3:3">
      <c r="C1634" t="s">
        <v>4867</v>
      </c>
    </row>
    <row r="1635" spans="3:3">
      <c r="C1635" t="s">
        <v>4868</v>
      </c>
    </row>
    <row r="1636" spans="3:3">
      <c r="C1636" t="s">
        <v>4869</v>
      </c>
    </row>
    <row r="1637" spans="3:3">
      <c r="C1637" t="s">
        <v>4870</v>
      </c>
    </row>
    <row r="1638" spans="3:3">
      <c r="C1638" t="s">
        <v>4871</v>
      </c>
    </row>
    <row r="1639" spans="3:3">
      <c r="C1639" t="s">
        <v>4872</v>
      </c>
    </row>
    <row r="1640" spans="3:3">
      <c r="C1640" t="s">
        <v>4873</v>
      </c>
    </row>
    <row r="1641" spans="3:3">
      <c r="C1641" t="s">
        <v>4874</v>
      </c>
    </row>
    <row r="1642" spans="3:3">
      <c r="C1642" t="s">
        <v>4875</v>
      </c>
    </row>
    <row r="1643" spans="3:3">
      <c r="C1643" t="s">
        <v>4876</v>
      </c>
    </row>
    <row r="1644" spans="3:3">
      <c r="C1644" t="s">
        <v>1949</v>
      </c>
    </row>
    <row r="1645" spans="3:3">
      <c r="C1645" t="s">
        <v>4877</v>
      </c>
    </row>
    <row r="1646" spans="3:3">
      <c r="C1646" t="s">
        <v>4878</v>
      </c>
    </row>
    <row r="1647" spans="3:3">
      <c r="C1647" t="s">
        <v>1896</v>
      </c>
    </row>
    <row r="1648" spans="3:3">
      <c r="C1648" t="s">
        <v>4879</v>
      </c>
    </row>
    <row r="1649" spans="3:3">
      <c r="C1649" t="s">
        <v>4880</v>
      </c>
    </row>
    <row r="1650" spans="3:3">
      <c r="C1650" t="s">
        <v>4881</v>
      </c>
    </row>
    <row r="1651" spans="3:3">
      <c r="C1651" t="s">
        <v>4882</v>
      </c>
    </row>
    <row r="1652" spans="3:3">
      <c r="C1652" t="s">
        <v>4883</v>
      </c>
    </row>
    <row r="1653" spans="3:3">
      <c r="C1653" t="s">
        <v>4884</v>
      </c>
    </row>
    <row r="1654" spans="3:3">
      <c r="C1654" t="s">
        <v>4885</v>
      </c>
    </row>
    <row r="1655" spans="3:3">
      <c r="C1655" t="s">
        <v>4886</v>
      </c>
    </row>
    <row r="1656" spans="3:3">
      <c r="C1656" t="s">
        <v>4887</v>
      </c>
    </row>
    <row r="1657" spans="3:3">
      <c r="C1657" t="s">
        <v>4888</v>
      </c>
    </row>
    <row r="1658" spans="3:3">
      <c r="C1658" t="s">
        <v>4889</v>
      </c>
    </row>
    <row r="1659" spans="3:3">
      <c r="C1659" t="s">
        <v>4890</v>
      </c>
    </row>
    <row r="1660" spans="3:3">
      <c r="C1660" t="s">
        <v>4891</v>
      </c>
    </row>
    <row r="1661" spans="3:3">
      <c r="C1661" t="s">
        <v>4892</v>
      </c>
    </row>
    <row r="1662" spans="3:3">
      <c r="C1662" t="s">
        <v>4893</v>
      </c>
    </row>
    <row r="1663" spans="3:3">
      <c r="C1663" t="s">
        <v>4894</v>
      </c>
    </row>
    <row r="1664" spans="3:3">
      <c r="C1664" t="s">
        <v>4895</v>
      </c>
    </row>
    <row r="1665" spans="3:3">
      <c r="C1665" t="s">
        <v>4896</v>
      </c>
    </row>
    <row r="1666" spans="3:3">
      <c r="C1666" t="s">
        <v>4897</v>
      </c>
    </row>
    <row r="1667" spans="3:3">
      <c r="C1667" t="s">
        <v>10</v>
      </c>
    </row>
    <row r="1668" spans="3:3">
      <c r="C1668" t="s">
        <v>4898</v>
      </c>
    </row>
    <row r="1669" spans="3:3">
      <c r="C1669" t="s">
        <v>4899</v>
      </c>
    </row>
    <row r="1670" spans="3:3">
      <c r="C1670" t="s">
        <v>4900</v>
      </c>
    </row>
    <row r="1671" spans="3:3">
      <c r="C1671" t="s">
        <v>4901</v>
      </c>
    </row>
    <row r="1672" spans="3:3">
      <c r="C1672" t="s">
        <v>4902</v>
      </c>
    </row>
    <row r="1673" spans="3:3">
      <c r="C1673" t="s">
        <v>1082</v>
      </c>
    </row>
    <row r="1674" spans="3:3">
      <c r="C1674" t="s">
        <v>4903</v>
      </c>
    </row>
    <row r="1675" spans="3:3">
      <c r="C1675" t="s">
        <v>4904</v>
      </c>
    </row>
    <row r="1676" spans="3:3">
      <c r="C1676" t="s">
        <v>2940</v>
      </c>
    </row>
    <row r="1677" spans="3:3">
      <c r="C1677" t="s">
        <v>223</v>
      </c>
    </row>
    <row r="1678" spans="3:3">
      <c r="C1678" t="s">
        <v>2252</v>
      </c>
    </row>
    <row r="1679" spans="3:3">
      <c r="C1679" t="s">
        <v>4905</v>
      </c>
    </row>
    <row r="1680" spans="3:3">
      <c r="C1680" t="s">
        <v>4906</v>
      </c>
    </row>
    <row r="1681" spans="3:3">
      <c r="C1681" t="s">
        <v>4907</v>
      </c>
    </row>
    <row r="1682" spans="3:3">
      <c r="C1682" t="s">
        <v>4908</v>
      </c>
    </row>
    <row r="1683" spans="3:3">
      <c r="C1683" t="s">
        <v>619</v>
      </c>
    </row>
    <row r="1684" spans="3:3">
      <c r="C1684" t="s">
        <v>2256</v>
      </c>
    </row>
    <row r="1685" spans="3:3">
      <c r="C1685" t="s">
        <v>709</v>
      </c>
    </row>
    <row r="1686" spans="3:3">
      <c r="C1686" t="s">
        <v>2660</v>
      </c>
    </row>
    <row r="1687" spans="3:3">
      <c r="C1687" t="s">
        <v>405</v>
      </c>
    </row>
    <row r="1688" spans="3:3">
      <c r="C1688" t="s">
        <v>510</v>
      </c>
    </row>
    <row r="1689" spans="3:3">
      <c r="C1689" t="s">
        <v>4909</v>
      </c>
    </row>
    <row r="1690" spans="3:3">
      <c r="C1690" t="s">
        <v>4910</v>
      </c>
    </row>
    <row r="1691" spans="3:3">
      <c r="C1691" t="s">
        <v>2829</v>
      </c>
    </row>
    <row r="1692" spans="3:3">
      <c r="C1692" t="s">
        <v>2830</v>
      </c>
    </row>
    <row r="1693" spans="3:3">
      <c r="C1693" t="s">
        <v>4911</v>
      </c>
    </row>
    <row r="1694" spans="3:3">
      <c r="C1694" t="s">
        <v>4912</v>
      </c>
    </row>
    <row r="1695" spans="3:3">
      <c r="C1695" t="s">
        <v>4913</v>
      </c>
    </row>
    <row r="1696" spans="3:3">
      <c r="C1696" t="s">
        <v>2047</v>
      </c>
    </row>
    <row r="1697" spans="3:3">
      <c r="C1697" t="s">
        <v>4914</v>
      </c>
    </row>
    <row r="1698" spans="3:3">
      <c r="C1698" t="s">
        <v>4915</v>
      </c>
    </row>
    <row r="1699" spans="3:3">
      <c r="C1699" t="s">
        <v>1916</v>
      </c>
    </row>
    <row r="1700" spans="3:3">
      <c r="C1700" t="s">
        <v>4916</v>
      </c>
    </row>
    <row r="1701" spans="3:3">
      <c r="C1701" t="s">
        <v>2543</v>
      </c>
    </row>
    <row r="1702" spans="3:3">
      <c r="C1702" t="s">
        <v>4917</v>
      </c>
    </row>
    <row r="1703" spans="3:3">
      <c r="C1703" t="s">
        <v>1002</v>
      </c>
    </row>
    <row r="1704" spans="3:3">
      <c r="C1704" t="s">
        <v>4918</v>
      </c>
    </row>
    <row r="1705" spans="3:3">
      <c r="C1705" t="s">
        <v>2</v>
      </c>
    </row>
    <row r="1706" spans="3:3">
      <c r="C1706" t="s">
        <v>4919</v>
      </c>
    </row>
    <row r="1707" spans="3:3">
      <c r="C1707" t="s">
        <v>4920</v>
      </c>
    </row>
    <row r="1708" spans="3:3">
      <c r="C1708" t="s">
        <v>4921</v>
      </c>
    </row>
    <row r="1709" spans="3:3">
      <c r="C1709" t="s">
        <v>4922</v>
      </c>
    </row>
    <row r="1710" spans="3:3">
      <c r="C1710" t="s">
        <v>4923</v>
      </c>
    </row>
    <row r="1711" spans="3:3">
      <c r="C1711" t="s">
        <v>4924</v>
      </c>
    </row>
    <row r="1712" spans="3:3">
      <c r="C1712" t="s">
        <v>2808</v>
      </c>
    </row>
    <row r="1713" spans="3:3">
      <c r="C1713" t="s">
        <v>4925</v>
      </c>
    </row>
    <row r="1714" spans="3:3">
      <c r="C1714" t="s">
        <v>4926</v>
      </c>
    </row>
    <row r="1715" spans="3:3">
      <c r="C1715" t="s">
        <v>4927</v>
      </c>
    </row>
    <row r="1716" spans="3:3">
      <c r="C1716" t="s">
        <v>4928</v>
      </c>
    </row>
    <row r="1717" spans="3:3">
      <c r="C1717" t="s">
        <v>4929</v>
      </c>
    </row>
    <row r="1718" spans="3:3">
      <c r="C1718" t="s">
        <v>4930</v>
      </c>
    </row>
    <row r="1719" spans="3:3">
      <c r="C1719" t="s">
        <v>4931</v>
      </c>
    </row>
    <row r="1720" spans="3:3">
      <c r="C1720" t="s">
        <v>4932</v>
      </c>
    </row>
    <row r="1721" spans="3:3">
      <c r="C1721" t="s">
        <v>4933</v>
      </c>
    </row>
    <row r="1722" spans="3:3">
      <c r="C1722" t="s">
        <v>4934</v>
      </c>
    </row>
    <row r="1723" spans="3:3">
      <c r="C1723" t="s">
        <v>2363</v>
      </c>
    </row>
    <row r="1724" spans="3:3">
      <c r="C1724" t="s">
        <v>630</v>
      </c>
    </row>
    <row r="1725" spans="3:3">
      <c r="C1725" t="s">
        <v>4935</v>
      </c>
    </row>
    <row r="1726" spans="3:3">
      <c r="C1726" t="s">
        <v>4936</v>
      </c>
    </row>
    <row r="1727" spans="3:3">
      <c r="C1727" t="s">
        <v>4937</v>
      </c>
    </row>
    <row r="1728" spans="3:3">
      <c r="C1728" t="s">
        <v>4938</v>
      </c>
    </row>
    <row r="1729" spans="3:3">
      <c r="C1729" t="s">
        <v>4939</v>
      </c>
    </row>
    <row r="1730" spans="3:3">
      <c r="C1730" t="s">
        <v>4940</v>
      </c>
    </row>
    <row r="1731" spans="3:3">
      <c r="C1731" t="s">
        <v>4941</v>
      </c>
    </row>
    <row r="1732" spans="3:3">
      <c r="C1732" t="s">
        <v>1778</v>
      </c>
    </row>
    <row r="1733" spans="3:3">
      <c r="C1733" t="s">
        <v>4942</v>
      </c>
    </row>
    <row r="1734" spans="3:3">
      <c r="C1734" t="s">
        <v>4943</v>
      </c>
    </row>
    <row r="1735" spans="3:3">
      <c r="C1735" t="s">
        <v>4944</v>
      </c>
    </row>
    <row r="1736" spans="3:3">
      <c r="C1736" t="s">
        <v>4945</v>
      </c>
    </row>
    <row r="1737" spans="3:3">
      <c r="C1737" t="s">
        <v>4946</v>
      </c>
    </row>
    <row r="1738" spans="3:3">
      <c r="C1738" t="s">
        <v>4947</v>
      </c>
    </row>
    <row r="1739" spans="3:3">
      <c r="C1739" t="s">
        <v>4948</v>
      </c>
    </row>
    <row r="1740" spans="3:3">
      <c r="C1740" t="s">
        <v>350</v>
      </c>
    </row>
    <row r="1741" spans="3:3">
      <c r="C1741" t="s">
        <v>4949</v>
      </c>
    </row>
    <row r="1742" spans="3:3">
      <c r="C1742" t="s">
        <v>4950</v>
      </c>
    </row>
    <row r="1743" spans="3:3">
      <c r="C1743" t="s">
        <v>4951</v>
      </c>
    </row>
    <row r="1744" spans="3:3">
      <c r="C1744" t="s">
        <v>4952</v>
      </c>
    </row>
    <row r="1745" spans="3:3">
      <c r="C1745" t="s">
        <v>4953</v>
      </c>
    </row>
    <row r="1746" spans="3:3">
      <c r="C1746" t="s">
        <v>4954</v>
      </c>
    </row>
    <row r="1747" spans="3:3">
      <c r="C1747" t="s">
        <v>4955</v>
      </c>
    </row>
    <row r="1748" spans="3:3">
      <c r="C1748" t="s">
        <v>4956</v>
      </c>
    </row>
    <row r="1749" spans="3:3">
      <c r="C1749" t="s">
        <v>4957</v>
      </c>
    </row>
    <row r="1750" spans="3:3">
      <c r="C1750" t="s">
        <v>4958</v>
      </c>
    </row>
    <row r="1751" spans="3:3">
      <c r="C1751" t="s">
        <v>4959</v>
      </c>
    </row>
    <row r="1752" spans="3:3">
      <c r="C1752" t="s">
        <v>4960</v>
      </c>
    </row>
    <row r="1753" spans="3:3">
      <c r="C1753" t="s">
        <v>3028</v>
      </c>
    </row>
    <row r="1754" spans="3:3">
      <c r="C1754" t="s">
        <v>78</v>
      </c>
    </row>
    <row r="1755" spans="3:3">
      <c r="C1755" t="s">
        <v>4961</v>
      </c>
    </row>
    <row r="1756" spans="3:3">
      <c r="C1756" t="s">
        <v>4962</v>
      </c>
    </row>
    <row r="1757" spans="3:3">
      <c r="C1757" t="s">
        <v>4963</v>
      </c>
    </row>
    <row r="1758" spans="3:3">
      <c r="C1758" t="s">
        <v>4964</v>
      </c>
    </row>
    <row r="1759" spans="3:3">
      <c r="C1759" t="s">
        <v>4965</v>
      </c>
    </row>
    <row r="1760" spans="3:3">
      <c r="C1760" t="s">
        <v>4966</v>
      </c>
    </row>
    <row r="1761" spans="3:3">
      <c r="C1761" t="s">
        <v>4967</v>
      </c>
    </row>
    <row r="1762" spans="3:3">
      <c r="C1762" t="s">
        <v>2654</v>
      </c>
    </row>
    <row r="1763" spans="3:3">
      <c r="C1763" t="s">
        <v>4968</v>
      </c>
    </row>
    <row r="1764" spans="3:3">
      <c r="C1764" t="s">
        <v>4969</v>
      </c>
    </row>
    <row r="1765" spans="3:3">
      <c r="C1765" t="s">
        <v>4970</v>
      </c>
    </row>
    <row r="1766" spans="3:3">
      <c r="C1766" t="s">
        <v>4971</v>
      </c>
    </row>
    <row r="1767" spans="3:3">
      <c r="C1767" t="s">
        <v>1063</v>
      </c>
    </row>
    <row r="1768" spans="3:3">
      <c r="C1768" t="s">
        <v>4972</v>
      </c>
    </row>
    <row r="1769" spans="3:3">
      <c r="C1769" t="s">
        <v>4973</v>
      </c>
    </row>
    <row r="1770" spans="3:3">
      <c r="C1770" t="s">
        <v>4974</v>
      </c>
    </row>
    <row r="1771" spans="3:3">
      <c r="C1771" t="s">
        <v>4975</v>
      </c>
    </row>
    <row r="1772" spans="3:3">
      <c r="C1772" t="s">
        <v>4976</v>
      </c>
    </row>
    <row r="1773" spans="3:3">
      <c r="C1773" t="s">
        <v>4977</v>
      </c>
    </row>
    <row r="1774" spans="3:3">
      <c r="C1774" t="s">
        <v>4978</v>
      </c>
    </row>
    <row r="1775" spans="3:3">
      <c r="C1775" t="s">
        <v>4979</v>
      </c>
    </row>
    <row r="1776" spans="3:3">
      <c r="C1776" t="s">
        <v>4980</v>
      </c>
    </row>
    <row r="1777" spans="3:3">
      <c r="C1777" t="s">
        <v>4981</v>
      </c>
    </row>
    <row r="1778" spans="3:3">
      <c r="C1778" t="s">
        <v>4982</v>
      </c>
    </row>
    <row r="1779" spans="3:3">
      <c r="C1779" t="s">
        <v>1678</v>
      </c>
    </row>
    <row r="1780" spans="3:3">
      <c r="C1780" t="s">
        <v>4983</v>
      </c>
    </row>
    <row r="1781" spans="3:3">
      <c r="C1781" t="s">
        <v>4984</v>
      </c>
    </row>
    <row r="1782" spans="3:3">
      <c r="C1782" t="s">
        <v>4985</v>
      </c>
    </row>
    <row r="1783" spans="3:3">
      <c r="C1783" t="s">
        <v>4986</v>
      </c>
    </row>
    <row r="1784" spans="3:3">
      <c r="C1784" t="s">
        <v>4987</v>
      </c>
    </row>
    <row r="1785" spans="3:3">
      <c r="C1785" t="s">
        <v>4988</v>
      </c>
    </row>
    <row r="1786" spans="3:3">
      <c r="C1786" t="s">
        <v>4989</v>
      </c>
    </row>
    <row r="1787" spans="3:3">
      <c r="C1787" t="s">
        <v>4990</v>
      </c>
    </row>
    <row r="1788" spans="3:3">
      <c r="C1788" t="s">
        <v>2336</v>
      </c>
    </row>
    <row r="1789" spans="3:3">
      <c r="C1789" t="s">
        <v>4991</v>
      </c>
    </row>
    <row r="1790" spans="3:3">
      <c r="C1790" t="s">
        <v>4992</v>
      </c>
    </row>
    <row r="1791" spans="3:3">
      <c r="C1791" t="s">
        <v>4993</v>
      </c>
    </row>
    <row r="1792" spans="3:3">
      <c r="C1792" t="s">
        <v>4994</v>
      </c>
    </row>
    <row r="1793" spans="3:3">
      <c r="C1793" t="s">
        <v>324</v>
      </c>
    </row>
    <row r="1794" spans="3:3">
      <c r="C1794" t="s">
        <v>4995</v>
      </c>
    </row>
    <row r="1795" spans="3:3">
      <c r="C1795" t="s">
        <v>4996</v>
      </c>
    </row>
    <row r="1796" spans="3:3">
      <c r="C1796" t="s">
        <v>4997</v>
      </c>
    </row>
    <row r="1797" spans="3:3">
      <c r="C1797" t="s">
        <v>4998</v>
      </c>
    </row>
    <row r="1798" spans="3:3">
      <c r="C1798" t="s">
        <v>4999</v>
      </c>
    </row>
    <row r="1799" spans="3:3">
      <c r="C1799" t="s">
        <v>5000</v>
      </c>
    </row>
    <row r="1800" spans="3:3">
      <c r="C1800" t="s">
        <v>2780</v>
      </c>
    </row>
    <row r="1801" spans="3:3">
      <c r="C1801" t="s">
        <v>5001</v>
      </c>
    </row>
    <row r="1802" spans="3:3">
      <c r="C1802" t="s">
        <v>5002</v>
      </c>
    </row>
    <row r="1803" spans="3:3">
      <c r="C1803" t="s">
        <v>5003</v>
      </c>
    </row>
    <row r="1804" spans="3:3">
      <c r="C1804" t="s">
        <v>5004</v>
      </c>
    </row>
    <row r="1805" spans="3:3">
      <c r="C1805" t="s">
        <v>1821</v>
      </c>
    </row>
    <row r="1806" spans="3:3">
      <c r="C1806" t="s">
        <v>5005</v>
      </c>
    </row>
    <row r="1807" spans="3:3">
      <c r="C1807" t="s">
        <v>2263</v>
      </c>
    </row>
    <row r="1808" spans="3:3">
      <c r="C1808" t="s">
        <v>5006</v>
      </c>
    </row>
    <row r="1809" spans="3:3">
      <c r="C1809" t="s">
        <v>5007</v>
      </c>
    </row>
    <row r="1810" spans="3:3">
      <c r="C1810" t="s">
        <v>5008</v>
      </c>
    </row>
    <row r="1811" spans="3:3">
      <c r="C1811" t="s">
        <v>5009</v>
      </c>
    </row>
    <row r="1812" spans="3:3">
      <c r="C1812" t="s">
        <v>5010</v>
      </c>
    </row>
    <row r="1813" spans="3:3">
      <c r="C1813" t="s">
        <v>5011</v>
      </c>
    </row>
    <row r="1814" spans="3:3">
      <c r="C1814" t="s">
        <v>179</v>
      </c>
    </row>
    <row r="1815" spans="3:3">
      <c r="C1815" t="s">
        <v>5012</v>
      </c>
    </row>
    <row r="1816" spans="3:3">
      <c r="C1816" t="s">
        <v>5013</v>
      </c>
    </row>
    <row r="1817" spans="3:3">
      <c r="C1817" t="s">
        <v>5014</v>
      </c>
    </row>
    <row r="1818" spans="3:3">
      <c r="C1818" t="s">
        <v>5015</v>
      </c>
    </row>
    <row r="1819" spans="3:3">
      <c r="C1819" t="s">
        <v>5016</v>
      </c>
    </row>
    <row r="1820" spans="3:3">
      <c r="C1820" t="s">
        <v>5017</v>
      </c>
    </row>
    <row r="1821" spans="3:3">
      <c r="C1821" t="s">
        <v>5018</v>
      </c>
    </row>
    <row r="1822" spans="3:3">
      <c r="C1822" t="s">
        <v>5019</v>
      </c>
    </row>
    <row r="1823" spans="3:3">
      <c r="C1823" t="s">
        <v>5020</v>
      </c>
    </row>
    <row r="1824" spans="3:3">
      <c r="C1824" t="s">
        <v>3373</v>
      </c>
    </row>
    <row r="1825" spans="3:3">
      <c r="C1825" t="s">
        <v>5021</v>
      </c>
    </row>
    <row r="1826" spans="3:3">
      <c r="C1826" t="s">
        <v>5022</v>
      </c>
    </row>
    <row r="1827" spans="3:3">
      <c r="C1827" t="s">
        <v>1587</v>
      </c>
    </row>
    <row r="1828" spans="3:3">
      <c r="C1828" t="s">
        <v>5023</v>
      </c>
    </row>
    <row r="1829" spans="3:3">
      <c r="C1829" t="s">
        <v>2880</v>
      </c>
    </row>
    <row r="1830" spans="3:3">
      <c r="C1830" t="s">
        <v>2222</v>
      </c>
    </row>
    <row r="1831" spans="3:3">
      <c r="C1831" t="s">
        <v>5024</v>
      </c>
    </row>
    <row r="1832" spans="3:3">
      <c r="C1832" t="s">
        <v>5025</v>
      </c>
    </row>
    <row r="1833" spans="3:3">
      <c r="C1833" t="s">
        <v>5026</v>
      </c>
    </row>
    <row r="1834" spans="3:3">
      <c r="C1834" t="s">
        <v>5027</v>
      </c>
    </row>
    <row r="1835" spans="3:3">
      <c r="C1835" t="s">
        <v>2873</v>
      </c>
    </row>
    <row r="1836" spans="3:3">
      <c r="C1836" t="s">
        <v>3193</v>
      </c>
    </row>
    <row r="1837" spans="3:3">
      <c r="C1837" t="s">
        <v>5028</v>
      </c>
    </row>
    <row r="1838" spans="3:3">
      <c r="C1838" t="s">
        <v>5029</v>
      </c>
    </row>
    <row r="1839" spans="3:3">
      <c r="C1839" t="s">
        <v>3223</v>
      </c>
    </row>
    <row r="1840" spans="3:3">
      <c r="C1840" t="s">
        <v>5030</v>
      </c>
    </row>
    <row r="1841" spans="3:3">
      <c r="C1841" t="s">
        <v>5031</v>
      </c>
    </row>
    <row r="1842" spans="3:3">
      <c r="C1842" t="s">
        <v>1813</v>
      </c>
    </row>
    <row r="1843" spans="3:3">
      <c r="C1843" t="s">
        <v>5032</v>
      </c>
    </row>
    <row r="1844" spans="3:3">
      <c r="C1844" t="s">
        <v>5033</v>
      </c>
    </row>
    <row r="1845" spans="3:3">
      <c r="C1845" t="s">
        <v>5034</v>
      </c>
    </row>
    <row r="1846" spans="3:3">
      <c r="C1846" t="s">
        <v>2352</v>
      </c>
    </row>
    <row r="1847" spans="3:3">
      <c r="C1847" t="s">
        <v>5035</v>
      </c>
    </row>
    <row r="1848" spans="3:3">
      <c r="C1848" t="s">
        <v>1495</v>
      </c>
    </row>
    <row r="1849" spans="3:3">
      <c r="C1849" t="s">
        <v>1399</v>
      </c>
    </row>
    <row r="1850" spans="3:3">
      <c r="C1850" t="s">
        <v>341</v>
      </c>
    </row>
    <row r="1851" spans="3:3">
      <c r="C1851" t="s">
        <v>5036</v>
      </c>
    </row>
    <row r="1852" spans="3:3">
      <c r="C1852" t="s">
        <v>5037</v>
      </c>
    </row>
    <row r="1853" spans="3:3">
      <c r="C1853" t="s">
        <v>5038</v>
      </c>
    </row>
    <row r="1854" spans="3:3">
      <c r="C1854" t="s">
        <v>2811</v>
      </c>
    </row>
    <row r="1855" spans="3:3">
      <c r="C1855" t="s">
        <v>5039</v>
      </c>
    </row>
    <row r="1856" spans="3:3">
      <c r="C1856" t="s">
        <v>3168</v>
      </c>
    </row>
    <row r="1857" spans="3:3">
      <c r="C1857" t="s">
        <v>5040</v>
      </c>
    </row>
    <row r="1858" spans="3:3">
      <c r="C1858" t="s">
        <v>171</v>
      </c>
    </row>
    <row r="1859" spans="3:3">
      <c r="C1859" t="s">
        <v>545</v>
      </c>
    </row>
    <row r="1860" spans="3:3">
      <c r="C1860" t="s">
        <v>5041</v>
      </c>
    </row>
    <row r="1861" spans="3:3">
      <c r="C1861" t="s">
        <v>5042</v>
      </c>
    </row>
    <row r="1862" spans="3:3">
      <c r="C1862" t="s">
        <v>5043</v>
      </c>
    </row>
    <row r="1863" spans="3:3">
      <c r="C1863" t="s">
        <v>5044</v>
      </c>
    </row>
    <row r="1864" spans="3:3">
      <c r="C1864" t="s">
        <v>5045</v>
      </c>
    </row>
    <row r="1865" spans="3:3">
      <c r="C1865" t="s">
        <v>5046</v>
      </c>
    </row>
    <row r="1866" spans="3:3">
      <c r="C1866" t="s">
        <v>5047</v>
      </c>
    </row>
    <row r="1867" spans="3:3">
      <c r="C1867" t="s">
        <v>5048</v>
      </c>
    </row>
    <row r="1868" spans="3:3">
      <c r="C1868" t="s">
        <v>5049</v>
      </c>
    </row>
    <row r="1869" spans="3:3">
      <c r="C1869" t="s">
        <v>5050</v>
      </c>
    </row>
    <row r="1870" spans="3:3">
      <c r="C1870" t="s">
        <v>5051</v>
      </c>
    </row>
    <row r="1871" spans="3:3">
      <c r="C1871" t="s">
        <v>5052</v>
      </c>
    </row>
    <row r="1872" spans="3:3">
      <c r="C1872" t="s">
        <v>5053</v>
      </c>
    </row>
    <row r="1873" spans="3:3">
      <c r="C1873" t="s">
        <v>5054</v>
      </c>
    </row>
    <row r="1874" spans="3:3">
      <c r="C1874" t="s">
        <v>5055</v>
      </c>
    </row>
    <row r="1875" spans="3:3">
      <c r="C1875" t="s">
        <v>5056</v>
      </c>
    </row>
    <row r="1876" spans="3:3">
      <c r="C1876" t="s">
        <v>277</v>
      </c>
    </row>
    <row r="1877" spans="3:3">
      <c r="C1877" t="s">
        <v>380</v>
      </c>
    </row>
    <row r="1878" spans="3:3">
      <c r="C1878" t="s">
        <v>2343</v>
      </c>
    </row>
    <row r="1879" spans="3:3">
      <c r="C1879" t="s">
        <v>5057</v>
      </c>
    </row>
    <row r="1880" spans="3:3">
      <c r="C1880" t="s">
        <v>5058</v>
      </c>
    </row>
    <row r="1881" spans="3:3">
      <c r="C1881" t="s">
        <v>5059</v>
      </c>
    </row>
    <row r="1882" spans="3:3">
      <c r="C1882" t="s">
        <v>5060</v>
      </c>
    </row>
    <row r="1883" spans="3:3">
      <c r="C1883" t="s">
        <v>5061</v>
      </c>
    </row>
    <row r="1884" spans="3:3">
      <c r="C1884" t="s">
        <v>2260</v>
      </c>
    </row>
    <row r="1885" spans="3:3">
      <c r="C1885" t="s">
        <v>5062</v>
      </c>
    </row>
    <row r="1886" spans="3:3">
      <c r="C1886" t="s">
        <v>5063</v>
      </c>
    </row>
    <row r="1887" spans="3:3">
      <c r="C1887" t="s">
        <v>5064</v>
      </c>
    </row>
    <row r="1888" spans="3:3">
      <c r="C1888" t="s">
        <v>657</v>
      </c>
    </row>
    <row r="1889" spans="3:3">
      <c r="C1889" t="s">
        <v>5065</v>
      </c>
    </row>
    <row r="1890" spans="3:3">
      <c r="C1890" t="s">
        <v>1291</v>
      </c>
    </row>
    <row r="1891" spans="3:3">
      <c r="C1891" t="s">
        <v>5066</v>
      </c>
    </row>
    <row r="1892" spans="3:3">
      <c r="C1892" t="s">
        <v>1535</v>
      </c>
    </row>
    <row r="1893" spans="3:3">
      <c r="C1893" t="s">
        <v>5067</v>
      </c>
    </row>
    <row r="1894" spans="3:3">
      <c r="C1894" t="s">
        <v>5068</v>
      </c>
    </row>
    <row r="1895" spans="3:3">
      <c r="C1895" t="s">
        <v>5069</v>
      </c>
    </row>
    <row r="1896" spans="3:3">
      <c r="C1896" t="s">
        <v>3400</v>
      </c>
    </row>
    <row r="1897" spans="3:3">
      <c r="C1897" t="s">
        <v>1520</v>
      </c>
    </row>
    <row r="1898" spans="3:3">
      <c r="C1898" t="s">
        <v>1828</v>
      </c>
    </row>
    <row r="1899" spans="3:3">
      <c r="C1899" t="s">
        <v>5070</v>
      </c>
    </row>
    <row r="1900" spans="3:3">
      <c r="C1900" t="s">
        <v>2010</v>
      </c>
    </row>
    <row r="1901" spans="3:3">
      <c r="C1901" t="s">
        <v>1018</v>
      </c>
    </row>
    <row r="1902" spans="3:3">
      <c r="C1902" t="s">
        <v>5071</v>
      </c>
    </row>
    <row r="1903" spans="3:3">
      <c r="C1903" t="s">
        <v>2753</v>
      </c>
    </row>
    <row r="1904" spans="3:3">
      <c r="C1904" t="s">
        <v>5072</v>
      </c>
    </row>
    <row r="1905" spans="3:3">
      <c r="C1905" t="s">
        <v>5073</v>
      </c>
    </row>
    <row r="1906" spans="3:3">
      <c r="C1906" t="s">
        <v>5074</v>
      </c>
    </row>
    <row r="1907" spans="3:3">
      <c r="C1907" t="s">
        <v>3450</v>
      </c>
    </row>
    <row r="1908" spans="3:3">
      <c r="C1908" t="s">
        <v>5075</v>
      </c>
    </row>
    <row r="1909" spans="3:3">
      <c r="C1909" t="s">
        <v>502</v>
      </c>
    </row>
    <row r="1910" spans="3:3">
      <c r="C1910" t="s">
        <v>613</v>
      </c>
    </row>
    <row r="1911" spans="3:3">
      <c r="C1911" t="s">
        <v>5076</v>
      </c>
    </row>
    <row r="1912" spans="3:3">
      <c r="C1912" t="s">
        <v>5077</v>
      </c>
    </row>
    <row r="1913" spans="3:3">
      <c r="C1913" t="s">
        <v>138</v>
      </c>
    </row>
    <row r="1914" spans="3:3">
      <c r="C1914" t="s">
        <v>5078</v>
      </c>
    </row>
    <row r="1915" spans="3:3">
      <c r="C1915" t="s">
        <v>5079</v>
      </c>
    </row>
    <row r="1916" spans="3:3">
      <c r="C1916" t="s">
        <v>516</v>
      </c>
    </row>
    <row r="1917" spans="3:3">
      <c r="C1917" t="s">
        <v>5080</v>
      </c>
    </row>
    <row r="1918" spans="3:3">
      <c r="C1918" t="s">
        <v>82</v>
      </c>
    </row>
    <row r="1919" spans="3:3">
      <c r="C1919" t="s">
        <v>5081</v>
      </c>
    </row>
    <row r="1920" spans="3:3">
      <c r="C1920" t="s">
        <v>3119</v>
      </c>
    </row>
    <row r="1921" spans="3:3">
      <c r="C1921" t="s">
        <v>5082</v>
      </c>
    </row>
    <row r="1922" spans="3:3">
      <c r="C1922" t="s">
        <v>5083</v>
      </c>
    </row>
    <row r="1923" spans="3:3">
      <c r="C1923" t="s">
        <v>5084</v>
      </c>
    </row>
    <row r="1924" spans="3:3">
      <c r="C1924" t="s">
        <v>5085</v>
      </c>
    </row>
    <row r="1925" spans="3:3">
      <c r="C1925" t="s">
        <v>5086</v>
      </c>
    </row>
    <row r="1926" spans="3:3">
      <c r="C1926" t="s">
        <v>5087</v>
      </c>
    </row>
    <row r="1927" spans="3:3">
      <c r="C1927" t="s">
        <v>5088</v>
      </c>
    </row>
    <row r="1928" spans="3:3">
      <c r="C1928" t="s">
        <v>5089</v>
      </c>
    </row>
    <row r="1929" spans="3:3">
      <c r="C1929" t="s">
        <v>5090</v>
      </c>
    </row>
    <row r="1930" spans="3:3">
      <c r="C1930" t="s">
        <v>1241</v>
      </c>
    </row>
    <row r="1931" spans="3:3">
      <c r="C1931" t="s">
        <v>5091</v>
      </c>
    </row>
    <row r="1932" spans="3:3">
      <c r="C1932" t="s">
        <v>5092</v>
      </c>
    </row>
    <row r="1933" spans="3:3">
      <c r="C1933" t="s">
        <v>5093</v>
      </c>
    </row>
    <row r="1934" spans="3:3">
      <c r="C1934" t="s">
        <v>5094</v>
      </c>
    </row>
    <row r="1935" spans="3:3">
      <c r="C1935" t="s">
        <v>327</v>
      </c>
    </row>
    <row r="1936" spans="3:3">
      <c r="C1936" t="s">
        <v>5095</v>
      </c>
    </row>
    <row r="1937" spans="3:3">
      <c r="C1937" t="s">
        <v>5096</v>
      </c>
    </row>
    <row r="1938" spans="3:3">
      <c r="C1938" t="s">
        <v>5097</v>
      </c>
    </row>
    <row r="1939" spans="3:3">
      <c r="C1939" t="s">
        <v>5098</v>
      </c>
    </row>
    <row r="1940" spans="3:3">
      <c r="C1940" t="s">
        <v>5099</v>
      </c>
    </row>
    <row r="1941" spans="3:3">
      <c r="C1941" t="s">
        <v>573</v>
      </c>
    </row>
    <row r="1942" spans="3:3">
      <c r="C1942" t="s">
        <v>8</v>
      </c>
    </row>
    <row r="1943" spans="3:3">
      <c r="C1943" t="s">
        <v>5100</v>
      </c>
    </row>
    <row r="1944" spans="3:3">
      <c r="C1944" t="s">
        <v>5101</v>
      </c>
    </row>
    <row r="1945" spans="3:3">
      <c r="C1945" t="s">
        <v>5102</v>
      </c>
    </row>
    <row r="1946" spans="3:3">
      <c r="C1946" t="s">
        <v>5103</v>
      </c>
    </row>
    <row r="1947" spans="3:3">
      <c r="C1947" t="s">
        <v>5104</v>
      </c>
    </row>
    <row r="1948" spans="3:3">
      <c r="C1948" t="s">
        <v>5105</v>
      </c>
    </row>
    <row r="1949" spans="3:3">
      <c r="C1949" t="s">
        <v>5106</v>
      </c>
    </row>
    <row r="1950" spans="3:3">
      <c r="C1950" t="s">
        <v>5107</v>
      </c>
    </row>
    <row r="1951" spans="3:3">
      <c r="C1951" t="s">
        <v>5108</v>
      </c>
    </row>
    <row r="1952" spans="3:3">
      <c r="C1952" t="s">
        <v>5109</v>
      </c>
    </row>
    <row r="1953" spans="3:3">
      <c r="C1953" t="s">
        <v>5110</v>
      </c>
    </row>
    <row r="1954" spans="3:3">
      <c r="C1954" t="s">
        <v>5111</v>
      </c>
    </row>
    <row r="1955" spans="3:3">
      <c r="C1955" t="s">
        <v>5112</v>
      </c>
    </row>
    <row r="1956" spans="3:3">
      <c r="C1956" t="s">
        <v>2895</v>
      </c>
    </row>
    <row r="1957" spans="3:3">
      <c r="C1957" t="s">
        <v>5113</v>
      </c>
    </row>
    <row r="1958" spans="3:3">
      <c r="C1958" t="s">
        <v>5114</v>
      </c>
    </row>
    <row r="1959" spans="3:3">
      <c r="C1959" t="s">
        <v>5115</v>
      </c>
    </row>
    <row r="1960" spans="3:3">
      <c r="C1960" t="s">
        <v>5116</v>
      </c>
    </row>
    <row r="1961" spans="3:3">
      <c r="C1961" t="s">
        <v>5117</v>
      </c>
    </row>
    <row r="1962" spans="3:3">
      <c r="C1962" t="s">
        <v>5118</v>
      </c>
    </row>
    <row r="1963" spans="3:3">
      <c r="C1963" t="s">
        <v>5119</v>
      </c>
    </row>
    <row r="1964" spans="3:3">
      <c r="C1964" t="s">
        <v>5120</v>
      </c>
    </row>
    <row r="1965" spans="3:3">
      <c r="C1965" t="s">
        <v>5121</v>
      </c>
    </row>
    <row r="1966" spans="3:3">
      <c r="C1966" t="s">
        <v>5122</v>
      </c>
    </row>
    <row r="1967" spans="3:3">
      <c r="C1967" t="s">
        <v>5123</v>
      </c>
    </row>
    <row r="1968" spans="3:3">
      <c r="C1968" t="s">
        <v>5124</v>
      </c>
    </row>
    <row r="1969" spans="3:3">
      <c r="C1969" t="s">
        <v>5125</v>
      </c>
    </row>
    <row r="1970" spans="3:3">
      <c r="C1970" t="s">
        <v>5126</v>
      </c>
    </row>
    <row r="1971" spans="3:3">
      <c r="C1971" t="s">
        <v>5127</v>
      </c>
    </row>
    <row r="1972" spans="3:3">
      <c r="C1972" t="s">
        <v>5128</v>
      </c>
    </row>
    <row r="1973" spans="3:3">
      <c r="C1973" t="s">
        <v>5129</v>
      </c>
    </row>
    <row r="1974" spans="3:3">
      <c r="C1974" t="s">
        <v>5130</v>
      </c>
    </row>
    <row r="1975" spans="3:3">
      <c r="C1975" t="s">
        <v>5131</v>
      </c>
    </row>
    <row r="1976" spans="3:3">
      <c r="C1976" t="s">
        <v>5132</v>
      </c>
    </row>
    <row r="1977" spans="3:3">
      <c r="C1977" t="s">
        <v>5133</v>
      </c>
    </row>
    <row r="1978" spans="3:3">
      <c r="C1978" t="s">
        <v>5134</v>
      </c>
    </row>
    <row r="1979" spans="3:3">
      <c r="C1979" t="s">
        <v>5135</v>
      </c>
    </row>
    <row r="1980" spans="3:3">
      <c r="C1980" t="s">
        <v>2167</v>
      </c>
    </row>
    <row r="1981" spans="3:3">
      <c r="C1981" t="s">
        <v>5136</v>
      </c>
    </row>
    <row r="1982" spans="3:3">
      <c r="C1982" t="s">
        <v>5137</v>
      </c>
    </row>
    <row r="1983" spans="3:3">
      <c r="C1983" t="s">
        <v>2057</v>
      </c>
    </row>
    <row r="1984" spans="3:3">
      <c r="C1984" t="s">
        <v>5138</v>
      </c>
    </row>
    <row r="1985" spans="3:3">
      <c r="C1985" t="s">
        <v>2056</v>
      </c>
    </row>
    <row r="1986" spans="3:3">
      <c r="C1986" t="s">
        <v>5139</v>
      </c>
    </row>
    <row r="1987" spans="3:3">
      <c r="C1987" t="s">
        <v>5140</v>
      </c>
    </row>
    <row r="1988" spans="3:3">
      <c r="C1988" t="s">
        <v>5141</v>
      </c>
    </row>
    <row r="1989" spans="3:3">
      <c r="C1989" t="s">
        <v>5142</v>
      </c>
    </row>
    <row r="1990" spans="3:3">
      <c r="C1990" t="s">
        <v>256</v>
      </c>
    </row>
    <row r="1991" spans="3:3">
      <c r="C1991" t="s">
        <v>5143</v>
      </c>
    </row>
    <row r="1992" spans="3:3">
      <c r="C1992" t="s">
        <v>3185</v>
      </c>
    </row>
    <row r="1993" spans="3:3">
      <c r="C1993" t="s">
        <v>5144</v>
      </c>
    </row>
    <row r="1994" spans="3:3">
      <c r="C1994" t="s">
        <v>5145</v>
      </c>
    </row>
    <row r="1995" spans="3:3">
      <c r="C1995" t="s">
        <v>5146</v>
      </c>
    </row>
    <row r="1996" spans="3:3">
      <c r="C1996" t="s">
        <v>5147</v>
      </c>
    </row>
    <row r="1997" spans="3:3">
      <c r="C1997" t="s">
        <v>5148</v>
      </c>
    </row>
    <row r="1998" spans="3:3">
      <c r="C1998" t="s">
        <v>5149</v>
      </c>
    </row>
    <row r="1999" spans="3:3">
      <c r="C1999" t="s">
        <v>5150</v>
      </c>
    </row>
    <row r="2000" spans="3:3">
      <c r="C2000" t="s">
        <v>5151</v>
      </c>
    </row>
    <row r="2001" spans="3:3">
      <c r="C2001" t="s">
        <v>5152</v>
      </c>
    </row>
    <row r="2002" spans="3:3">
      <c r="C2002" t="s">
        <v>5153</v>
      </c>
    </row>
    <row r="2003" spans="3:3">
      <c r="C2003" t="s">
        <v>5154</v>
      </c>
    </row>
    <row r="2004" spans="3:3">
      <c r="C2004" t="s">
        <v>5155</v>
      </c>
    </row>
    <row r="2005" spans="3:3">
      <c r="C2005" t="s">
        <v>5156</v>
      </c>
    </row>
    <row r="2006" spans="3:3">
      <c r="C2006" t="s">
        <v>5157</v>
      </c>
    </row>
    <row r="2007" spans="3:3">
      <c r="C2007" t="s">
        <v>5158</v>
      </c>
    </row>
    <row r="2008" spans="3:3">
      <c r="C2008" t="s">
        <v>5159</v>
      </c>
    </row>
    <row r="2009" spans="3:3">
      <c r="C2009" t="s">
        <v>5160</v>
      </c>
    </row>
    <row r="2010" spans="3:3">
      <c r="C2010" t="s">
        <v>5161</v>
      </c>
    </row>
    <row r="2011" spans="3:3">
      <c r="C2011" t="s">
        <v>5162</v>
      </c>
    </row>
    <row r="2012" spans="3:3">
      <c r="C2012" t="s">
        <v>5163</v>
      </c>
    </row>
    <row r="2013" spans="3:3">
      <c r="C2013" t="s">
        <v>5164</v>
      </c>
    </row>
    <row r="2014" spans="3:3">
      <c r="C2014" t="s">
        <v>5165</v>
      </c>
    </row>
    <row r="2015" spans="3:3">
      <c r="C2015" t="s">
        <v>5166</v>
      </c>
    </row>
    <row r="2016" spans="3:3">
      <c r="C2016" t="s">
        <v>2757</v>
      </c>
    </row>
    <row r="2017" spans="3:3">
      <c r="C2017" t="s">
        <v>5167</v>
      </c>
    </row>
    <row r="2018" spans="3:3">
      <c r="C2018" t="s">
        <v>5168</v>
      </c>
    </row>
    <row r="2019" spans="3:3">
      <c r="C2019" t="s">
        <v>5169</v>
      </c>
    </row>
    <row r="2020" spans="3:3">
      <c r="C2020" t="s">
        <v>2125</v>
      </c>
    </row>
    <row r="2021" spans="3:3">
      <c r="C2021" t="s">
        <v>5170</v>
      </c>
    </row>
    <row r="2022" spans="3:3">
      <c r="C2022" t="s">
        <v>5171</v>
      </c>
    </row>
    <row r="2023" spans="3:3">
      <c r="C2023" t="s">
        <v>5172</v>
      </c>
    </row>
    <row r="2024" spans="3:3">
      <c r="C2024" t="s">
        <v>5173</v>
      </c>
    </row>
    <row r="2025" spans="3:3">
      <c r="C2025" t="s">
        <v>205</v>
      </c>
    </row>
    <row r="2026" spans="3:3">
      <c r="C2026" t="s">
        <v>5174</v>
      </c>
    </row>
    <row r="2027" spans="3:3">
      <c r="C2027" t="s">
        <v>3256</v>
      </c>
    </row>
    <row r="2028" spans="3:3">
      <c r="C2028" t="s">
        <v>5175</v>
      </c>
    </row>
    <row r="2029" spans="3:3">
      <c r="C2029" t="s">
        <v>1262</v>
      </c>
    </row>
    <row r="2030" spans="3:3">
      <c r="C2030" t="s">
        <v>5176</v>
      </c>
    </row>
    <row r="2031" spans="3:3">
      <c r="C2031" t="s">
        <v>1857</v>
      </c>
    </row>
    <row r="2032" spans="3:3">
      <c r="C2032" t="s">
        <v>2912</v>
      </c>
    </row>
    <row r="2033" spans="3:3">
      <c r="C2033" t="s">
        <v>5177</v>
      </c>
    </row>
    <row r="2034" spans="3:3">
      <c r="C2034" t="s">
        <v>5178</v>
      </c>
    </row>
    <row r="2035" spans="3:3">
      <c r="C2035" t="s">
        <v>5179</v>
      </c>
    </row>
    <row r="2036" spans="3:3">
      <c r="C2036" t="s">
        <v>2196</v>
      </c>
    </row>
    <row r="2037" spans="3:3">
      <c r="C2037" t="s">
        <v>1225</v>
      </c>
    </row>
    <row r="2038" spans="3:3">
      <c r="C2038" t="s">
        <v>5180</v>
      </c>
    </row>
    <row r="2039" spans="3:3">
      <c r="C2039" t="s">
        <v>5181</v>
      </c>
    </row>
    <row r="2040" spans="3:3">
      <c r="C2040" t="s">
        <v>5182</v>
      </c>
    </row>
    <row r="2041" spans="3:3">
      <c r="C2041" t="s">
        <v>5183</v>
      </c>
    </row>
    <row r="2042" spans="3:3">
      <c r="C2042" t="s">
        <v>5184</v>
      </c>
    </row>
    <row r="2043" spans="3:3">
      <c r="C2043" t="s">
        <v>5185</v>
      </c>
    </row>
    <row r="2044" spans="3:3">
      <c r="C2044" t="s">
        <v>5186</v>
      </c>
    </row>
    <row r="2045" spans="3:3">
      <c r="C2045" t="s">
        <v>5187</v>
      </c>
    </row>
    <row r="2046" spans="3:3">
      <c r="C2046" t="s">
        <v>210</v>
      </c>
    </row>
    <row r="2047" spans="3:3">
      <c r="C2047" t="s">
        <v>5188</v>
      </c>
    </row>
    <row r="2048" spans="3:3">
      <c r="C2048" t="s">
        <v>5189</v>
      </c>
    </row>
    <row r="2049" spans="3:3">
      <c r="C2049" t="s">
        <v>5190</v>
      </c>
    </row>
    <row r="2050" spans="3:3">
      <c r="C2050" t="s">
        <v>2515</v>
      </c>
    </row>
    <row r="2051" spans="3:3">
      <c r="C2051" t="s">
        <v>5191</v>
      </c>
    </row>
    <row r="2052" spans="3:3">
      <c r="C2052" t="s">
        <v>5192</v>
      </c>
    </row>
    <row r="2053" spans="3:3">
      <c r="C2053" t="s">
        <v>5193</v>
      </c>
    </row>
    <row r="2054" spans="3:3">
      <c r="C2054" t="s">
        <v>1546</v>
      </c>
    </row>
    <row r="2055" spans="3:3">
      <c r="C2055" t="s">
        <v>5194</v>
      </c>
    </row>
    <row r="2056" spans="3:3">
      <c r="C2056" t="s">
        <v>2773</v>
      </c>
    </row>
    <row r="2057" spans="3:3">
      <c r="C2057" t="s">
        <v>5195</v>
      </c>
    </row>
    <row r="2058" spans="3:3">
      <c r="C2058" t="s">
        <v>5196</v>
      </c>
    </row>
    <row r="2059" spans="3:3">
      <c r="C2059" t="s">
        <v>5197</v>
      </c>
    </row>
    <row r="2060" spans="3:3">
      <c r="C2060" t="s">
        <v>5198</v>
      </c>
    </row>
    <row r="2061" spans="3:3">
      <c r="C2061" t="s">
        <v>5199</v>
      </c>
    </row>
    <row r="2062" spans="3:3">
      <c r="C2062" t="s">
        <v>5200</v>
      </c>
    </row>
    <row r="2063" spans="3:3">
      <c r="C2063" t="s">
        <v>5201</v>
      </c>
    </row>
    <row r="2064" spans="3:3">
      <c r="C2064" t="s">
        <v>5202</v>
      </c>
    </row>
    <row r="2065" spans="3:3">
      <c r="C2065" t="s">
        <v>5203</v>
      </c>
    </row>
    <row r="2066" spans="3:3">
      <c r="C2066" t="s">
        <v>5204</v>
      </c>
    </row>
    <row r="2067" spans="3:3">
      <c r="C2067" t="s">
        <v>5205</v>
      </c>
    </row>
    <row r="2068" spans="3:3">
      <c r="C2068" t="s">
        <v>5206</v>
      </c>
    </row>
    <row r="2069" spans="3:3">
      <c r="C2069" t="s">
        <v>5207</v>
      </c>
    </row>
    <row r="2070" spans="3:3">
      <c r="C2070" t="s">
        <v>5208</v>
      </c>
    </row>
    <row r="2071" spans="3:3">
      <c r="C2071" t="s">
        <v>5209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M2" sqref="M2"/>
    </sheetView>
  </sheetViews>
  <sheetFormatPr defaultColWidth="11" defaultRowHeight="15.75"/>
  <cols>
    <col min="7" max="8" width="24.625" bestFit="1" customWidth="1"/>
  </cols>
  <sheetData>
    <row r="1" spans="1:16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3485</v>
      </c>
      <c r="O2" t="s">
        <v>1290</v>
      </c>
      <c r="P2" t="s">
        <v>690</v>
      </c>
    </row>
    <row r="3" spans="1:16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3483</v>
      </c>
      <c r="O3" t="s">
        <v>994</v>
      </c>
      <c r="P3" t="s">
        <v>691</v>
      </c>
    </row>
    <row r="4" spans="1:16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3484</v>
      </c>
      <c r="O4" t="s">
        <v>982</v>
      </c>
      <c r="P4" t="s">
        <v>693</v>
      </c>
    </row>
    <row r="5" spans="1:16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1318</v>
      </c>
      <c r="P5" t="s">
        <v>692</v>
      </c>
    </row>
    <row r="6" spans="1:16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>
      <c r="B36" s="3"/>
      <c r="G36" t="s">
        <v>585</v>
      </c>
      <c r="I36">
        <f t="shared" si="0"/>
        <v>0</v>
      </c>
      <c r="J36">
        <f t="shared" si="1"/>
        <v>1</v>
      </c>
    </row>
    <row r="37" spans="2:10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>
      <c r="G42" t="s">
        <v>285</v>
      </c>
      <c r="I42">
        <f t="shared" si="0"/>
        <v>0</v>
      </c>
      <c r="J42">
        <f t="shared" si="1"/>
        <v>1</v>
      </c>
    </row>
    <row r="43" spans="2:10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>
      <c r="G45" t="s">
        <v>107</v>
      </c>
      <c r="I45">
        <f t="shared" si="0"/>
        <v>0</v>
      </c>
      <c r="J45">
        <f t="shared" si="1"/>
        <v>1</v>
      </c>
    </row>
    <row r="46" spans="2:10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>
      <c r="G48" t="s">
        <v>122</v>
      </c>
      <c r="I48">
        <f t="shared" si="0"/>
        <v>0</v>
      </c>
      <c r="J48">
        <f t="shared" si="1"/>
        <v>1</v>
      </c>
    </row>
    <row r="49" spans="7:10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>
      <c r="G59" t="s">
        <v>206</v>
      </c>
      <c r="I59">
        <f t="shared" si="0"/>
        <v>0</v>
      </c>
      <c r="J59">
        <f t="shared" si="1"/>
        <v>1</v>
      </c>
    </row>
    <row r="60" spans="7:10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>
      <c r="G63" t="s">
        <v>590</v>
      </c>
      <c r="I63">
        <f t="shared" si="0"/>
        <v>0</v>
      </c>
      <c r="J63">
        <f t="shared" si="1"/>
        <v>1</v>
      </c>
    </row>
    <row r="64" spans="7:10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>
      <c r="G69" t="s">
        <v>578</v>
      </c>
      <c r="I69">
        <f t="shared" si="2"/>
        <v>0</v>
      </c>
      <c r="J69">
        <f t="shared" si="3"/>
        <v>1</v>
      </c>
    </row>
    <row r="70" spans="7:10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>
      <c r="G80" t="s">
        <v>184</v>
      </c>
      <c r="I80">
        <f t="shared" si="2"/>
        <v>0</v>
      </c>
      <c r="J80">
        <f t="shared" si="3"/>
        <v>1</v>
      </c>
    </row>
    <row r="81" spans="7:10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>
      <c r="G107" t="s">
        <v>157</v>
      </c>
      <c r="I107">
        <f t="shared" si="2"/>
        <v>0</v>
      </c>
      <c r="J107">
        <f t="shared" si="3"/>
        <v>1</v>
      </c>
    </row>
    <row r="108" spans="7:10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>
      <c r="G116" t="s">
        <v>719</v>
      </c>
      <c r="I116">
        <f t="shared" si="2"/>
        <v>0</v>
      </c>
      <c r="J116">
        <f t="shared" si="3"/>
        <v>1</v>
      </c>
    </row>
    <row r="117" spans="7:10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>
      <c r="G118" t="s">
        <v>328</v>
      </c>
      <c r="I118">
        <f t="shared" si="2"/>
        <v>0</v>
      </c>
      <c r="J118">
        <f t="shared" si="3"/>
        <v>1</v>
      </c>
    </row>
    <row r="119" spans="7:10">
      <c r="G119" t="s">
        <v>345</v>
      </c>
      <c r="I119">
        <f t="shared" si="2"/>
        <v>0</v>
      </c>
      <c r="J119">
        <f t="shared" si="3"/>
        <v>1</v>
      </c>
    </row>
    <row r="120" spans="7:10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>
      <c r="G121" t="s">
        <v>69</v>
      </c>
      <c r="I121">
        <f t="shared" si="2"/>
        <v>0</v>
      </c>
      <c r="J121">
        <f t="shared" si="3"/>
        <v>1</v>
      </c>
    </row>
    <row r="122" spans="7:10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>
      <c r="G124" t="s">
        <v>583</v>
      </c>
      <c r="I124">
        <f t="shared" si="2"/>
        <v>0</v>
      </c>
      <c r="J124">
        <f t="shared" si="3"/>
        <v>1</v>
      </c>
    </row>
    <row r="125" spans="7:10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>
      <c r="G131" t="s">
        <v>580</v>
      </c>
      <c r="I131">
        <f t="shared" si="4"/>
        <v>0</v>
      </c>
      <c r="J131">
        <f t="shared" si="5"/>
        <v>1</v>
      </c>
    </row>
    <row r="132" spans="7:10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>
      <c r="G144" t="s">
        <v>591</v>
      </c>
      <c r="I144">
        <f t="shared" si="4"/>
        <v>0</v>
      </c>
      <c r="J144">
        <f t="shared" si="5"/>
        <v>1</v>
      </c>
    </row>
    <row r="145" spans="7:10">
      <c r="G145" t="s">
        <v>338</v>
      </c>
      <c r="I145">
        <f t="shared" si="4"/>
        <v>0</v>
      </c>
      <c r="J145">
        <f t="shared" si="5"/>
        <v>1</v>
      </c>
    </row>
    <row r="146" spans="7:10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>
      <c r="G156" t="s">
        <v>352</v>
      </c>
      <c r="I156">
        <f t="shared" si="4"/>
        <v>0</v>
      </c>
      <c r="J156">
        <f t="shared" si="5"/>
        <v>1</v>
      </c>
    </row>
    <row r="157" spans="7:10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>
      <c r="G173" t="s">
        <v>636</v>
      </c>
      <c r="I173">
        <f t="shared" si="4"/>
        <v>0</v>
      </c>
      <c r="J173">
        <f t="shared" si="5"/>
        <v>1</v>
      </c>
    </row>
    <row r="174" spans="7:10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>
      <c r="G177" t="s">
        <v>604</v>
      </c>
      <c r="I177">
        <f t="shared" si="4"/>
        <v>0</v>
      </c>
      <c r="J177">
        <f t="shared" si="5"/>
        <v>1</v>
      </c>
    </row>
    <row r="178" spans="7:10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>
      <c r="G180" t="s">
        <v>555</v>
      </c>
      <c r="I180">
        <f t="shared" si="4"/>
        <v>0</v>
      </c>
      <c r="J180">
        <f t="shared" si="5"/>
        <v>1</v>
      </c>
    </row>
    <row r="181" spans="7:10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>
      <c r="G182" t="s">
        <v>563</v>
      </c>
      <c r="I182">
        <f t="shared" si="4"/>
        <v>0</v>
      </c>
      <c r="J182">
        <f t="shared" si="5"/>
        <v>1</v>
      </c>
    </row>
    <row r="183" spans="7:10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>
      <c r="G213" t="s">
        <v>54</v>
      </c>
      <c r="I213">
        <f t="shared" si="6"/>
        <v>0</v>
      </c>
      <c r="J213">
        <f t="shared" si="7"/>
        <v>1</v>
      </c>
    </row>
    <row r="214" spans="7:10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>
      <c r="G215" t="s">
        <v>599</v>
      </c>
      <c r="I215">
        <f t="shared" si="6"/>
        <v>0</v>
      </c>
      <c r="J215">
        <f t="shared" si="7"/>
        <v>1</v>
      </c>
    </row>
    <row r="216" spans="7:10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>
      <c r="G256" t="s">
        <v>698</v>
      </c>
      <c r="I256">
        <f t="shared" si="6"/>
        <v>0</v>
      </c>
      <c r="J256">
        <f t="shared" si="7"/>
        <v>1</v>
      </c>
    </row>
    <row r="257" spans="7:10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>
      <c r="G260" t="s">
        <v>605</v>
      </c>
      <c r="I260">
        <f t="shared" si="8"/>
        <v>0</v>
      </c>
      <c r="J260">
        <f t="shared" si="9"/>
        <v>1</v>
      </c>
    </row>
    <row r="261" spans="7:10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>
      <c r="G272" t="s">
        <v>577</v>
      </c>
      <c r="I272">
        <f t="shared" si="8"/>
        <v>0</v>
      </c>
      <c r="J272">
        <f t="shared" si="9"/>
        <v>1</v>
      </c>
    </row>
    <row r="273" spans="7:10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>
      <c r="G275" t="s">
        <v>191</v>
      </c>
      <c r="I275">
        <f t="shared" si="8"/>
        <v>0</v>
      </c>
      <c r="J275">
        <f t="shared" si="9"/>
        <v>1</v>
      </c>
    </row>
    <row r="276" spans="7:10">
      <c r="G276" t="s">
        <v>584</v>
      </c>
      <c r="I276">
        <f t="shared" si="8"/>
        <v>0</v>
      </c>
      <c r="J276">
        <f t="shared" si="9"/>
        <v>1</v>
      </c>
    </row>
    <row r="277" spans="7:10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>
      <c r="G279" t="s">
        <v>564</v>
      </c>
      <c r="I279">
        <f t="shared" si="8"/>
        <v>0</v>
      </c>
      <c r="J279">
        <f t="shared" si="9"/>
        <v>1</v>
      </c>
    </row>
    <row r="280" spans="7:10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>
      <c r="G283" t="s">
        <v>197</v>
      </c>
      <c r="I283">
        <f t="shared" si="8"/>
        <v>0</v>
      </c>
      <c r="J283">
        <f t="shared" si="9"/>
        <v>1</v>
      </c>
    </row>
    <row r="284" spans="7:10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>
      <c r="G292" t="s">
        <v>588</v>
      </c>
      <c r="I292">
        <f t="shared" si="8"/>
        <v>0</v>
      </c>
      <c r="J292">
        <f t="shared" si="9"/>
        <v>1</v>
      </c>
    </row>
    <row r="293" spans="7:10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>
      <c r="G308" t="s">
        <v>187</v>
      </c>
      <c r="I308">
        <f t="shared" si="8"/>
        <v>0</v>
      </c>
      <c r="J308">
        <f t="shared" si="9"/>
        <v>1</v>
      </c>
    </row>
    <row r="309" spans="7:10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>
      <c r="G311" t="s">
        <v>182</v>
      </c>
      <c r="I311">
        <f t="shared" si="8"/>
        <v>0</v>
      </c>
      <c r="J311">
        <f t="shared" si="9"/>
        <v>1</v>
      </c>
    </row>
    <row r="312" spans="7:10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>
      <c r="G339" t="s">
        <v>550</v>
      </c>
      <c r="I339">
        <f t="shared" si="10"/>
        <v>0</v>
      </c>
      <c r="J339">
        <f t="shared" si="11"/>
        <v>1</v>
      </c>
    </row>
    <row r="340" spans="7:10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>
      <c r="G354" t="s">
        <v>296</v>
      </c>
      <c r="I354">
        <f t="shared" si="10"/>
        <v>0</v>
      </c>
      <c r="J354">
        <f t="shared" si="11"/>
        <v>1</v>
      </c>
    </row>
    <row r="355" spans="7:10">
      <c r="G355" t="s">
        <v>225</v>
      </c>
      <c r="I355">
        <f t="shared" si="10"/>
        <v>0</v>
      </c>
      <c r="J355">
        <f t="shared" si="11"/>
        <v>1</v>
      </c>
    </row>
    <row r="356" spans="7:10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>
      <c r="G379" t="s">
        <v>643</v>
      </c>
      <c r="I379">
        <f t="shared" si="10"/>
        <v>0</v>
      </c>
      <c r="J379">
        <f t="shared" si="11"/>
        <v>1</v>
      </c>
    </row>
    <row r="380" spans="7:10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>
      <c r="G384" t="s">
        <v>17</v>
      </c>
      <c r="I384">
        <f t="shared" si="10"/>
        <v>0</v>
      </c>
      <c r="J384">
        <f t="shared" si="11"/>
        <v>1</v>
      </c>
    </row>
    <row r="385" spans="7:10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>
      <c r="G420" t="s">
        <v>337</v>
      </c>
      <c r="I420">
        <f t="shared" si="12"/>
        <v>0</v>
      </c>
      <c r="J420">
        <f t="shared" si="13"/>
        <v>1</v>
      </c>
    </row>
    <row r="421" spans="7:10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>
      <c r="G425" t="s">
        <v>263</v>
      </c>
      <c r="I425">
        <f t="shared" si="12"/>
        <v>0</v>
      </c>
      <c r="J425">
        <f t="shared" si="13"/>
        <v>1</v>
      </c>
    </row>
    <row r="426" spans="7:10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>
      <c r="G451" t="s">
        <v>96</v>
      </c>
      <c r="I451">
        <f t="shared" si="14"/>
        <v>0</v>
      </c>
      <c r="J451">
        <f t="shared" si="15"/>
        <v>1</v>
      </c>
    </row>
    <row r="452" spans="7:10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>
      <c r="G459" t="s">
        <v>108</v>
      </c>
      <c r="I459">
        <f t="shared" si="14"/>
        <v>0</v>
      </c>
      <c r="J459">
        <f t="shared" si="15"/>
        <v>1</v>
      </c>
    </row>
    <row r="460" spans="7:10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>
      <c r="G470" t="s">
        <v>347</v>
      </c>
      <c r="I470">
        <f t="shared" si="14"/>
        <v>0</v>
      </c>
      <c r="J470">
        <f t="shared" si="15"/>
        <v>1</v>
      </c>
    </row>
    <row r="471" spans="7:10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>
      <c r="G501" t="s">
        <v>312</v>
      </c>
      <c r="I501">
        <f t="shared" si="14"/>
        <v>0</v>
      </c>
      <c r="J501">
        <f t="shared" si="15"/>
        <v>1</v>
      </c>
    </row>
    <row r="502" spans="7:10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>
      <c r="G509" t="s">
        <v>549</v>
      </c>
      <c r="I509">
        <f t="shared" si="14"/>
        <v>0</v>
      </c>
      <c r="J509">
        <f t="shared" si="15"/>
        <v>1</v>
      </c>
    </row>
    <row r="510" spans="7:10">
      <c r="G510" t="s">
        <v>565</v>
      </c>
      <c r="I510">
        <f t="shared" si="14"/>
        <v>0</v>
      </c>
      <c r="J510">
        <f t="shared" si="15"/>
        <v>1</v>
      </c>
    </row>
    <row r="511" spans="7:10">
      <c r="G511" t="s">
        <v>696</v>
      </c>
      <c r="I511">
        <f t="shared" si="14"/>
        <v>0</v>
      </c>
      <c r="J511">
        <f t="shared" si="15"/>
        <v>1</v>
      </c>
    </row>
    <row r="512" spans="7:10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>
      <c r="G523" t="s">
        <v>193</v>
      </c>
      <c r="I523">
        <f t="shared" si="16"/>
        <v>0</v>
      </c>
      <c r="J523">
        <f t="shared" si="17"/>
        <v>1</v>
      </c>
    </row>
    <row r="524" spans="7:10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>
      <c r="G539" t="s">
        <v>603</v>
      </c>
      <c r="I539">
        <f t="shared" si="16"/>
        <v>0</v>
      </c>
      <c r="J539">
        <f t="shared" si="17"/>
        <v>1</v>
      </c>
    </row>
    <row r="540" spans="7:10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>
      <c r="G549" t="s">
        <v>257</v>
      </c>
      <c r="I549">
        <f t="shared" si="16"/>
        <v>0</v>
      </c>
      <c r="J549">
        <f t="shared" si="17"/>
        <v>1</v>
      </c>
    </row>
    <row r="550" spans="7:10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>
      <c r="G552" t="s">
        <v>143</v>
      </c>
      <c r="I552">
        <f t="shared" si="16"/>
        <v>0</v>
      </c>
      <c r="J552">
        <f t="shared" si="17"/>
        <v>1</v>
      </c>
    </row>
    <row r="553" spans="7:10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>
      <c r="G565" t="s">
        <v>587</v>
      </c>
      <c r="I565">
        <f t="shared" si="16"/>
        <v>0</v>
      </c>
      <c r="J565">
        <f t="shared" si="17"/>
        <v>1</v>
      </c>
    </row>
    <row r="566" spans="7:10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>
      <c r="G572" t="s">
        <v>582</v>
      </c>
      <c r="I572">
        <f t="shared" si="16"/>
        <v>0</v>
      </c>
      <c r="J572">
        <f t="shared" si="17"/>
        <v>1</v>
      </c>
    </row>
    <row r="573" spans="7:10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>
      <c r="I580">
        <f t="shared" si="18"/>
        <v>0</v>
      </c>
      <c r="J580">
        <f t="shared" si="19"/>
        <v>1</v>
      </c>
    </row>
    <row r="581" spans="7:10">
      <c r="I581">
        <f t="shared" si="18"/>
        <v>0</v>
      </c>
      <c r="J581">
        <f t="shared" si="19"/>
        <v>1</v>
      </c>
    </row>
    <row r="582" spans="7:10">
      <c r="I582">
        <f t="shared" si="18"/>
        <v>0</v>
      </c>
      <c r="J582">
        <f t="shared" si="19"/>
        <v>1</v>
      </c>
    </row>
    <row r="583" spans="7:10">
      <c r="I583">
        <f t="shared" si="18"/>
        <v>0</v>
      </c>
      <c r="J583">
        <f t="shared" si="19"/>
        <v>1</v>
      </c>
    </row>
    <row r="584" spans="7:10">
      <c r="I584">
        <f t="shared" si="18"/>
        <v>0</v>
      </c>
      <c r="J584">
        <f t="shared" si="19"/>
        <v>1</v>
      </c>
    </row>
    <row r="585" spans="7:10">
      <c r="I585">
        <f t="shared" si="18"/>
        <v>0</v>
      </c>
      <c r="J585">
        <f t="shared" si="19"/>
        <v>1</v>
      </c>
    </row>
    <row r="586" spans="7:10">
      <c r="I586">
        <f t="shared" si="18"/>
        <v>0</v>
      </c>
      <c r="J586">
        <f t="shared" si="19"/>
        <v>1</v>
      </c>
    </row>
    <row r="587" spans="7:10">
      <c r="I587">
        <f t="shared" si="18"/>
        <v>0</v>
      </c>
      <c r="J587">
        <f t="shared" si="19"/>
        <v>1</v>
      </c>
    </row>
    <row r="588" spans="7:10">
      <c r="I588">
        <f t="shared" si="18"/>
        <v>0</v>
      </c>
      <c r="J588">
        <f t="shared" si="19"/>
        <v>1</v>
      </c>
    </row>
    <row r="589" spans="7:10">
      <c r="I589">
        <f t="shared" si="18"/>
        <v>0</v>
      </c>
      <c r="J589">
        <f t="shared" si="19"/>
        <v>1</v>
      </c>
    </row>
    <row r="590" spans="7:10">
      <c r="I590">
        <f t="shared" si="18"/>
        <v>0</v>
      </c>
      <c r="J590">
        <f t="shared" si="19"/>
        <v>1</v>
      </c>
    </row>
    <row r="591" spans="7:10">
      <c r="I591">
        <f t="shared" si="18"/>
        <v>0</v>
      </c>
      <c r="J591">
        <f t="shared" si="19"/>
        <v>1</v>
      </c>
    </row>
    <row r="592" spans="7:10">
      <c r="I592">
        <f t="shared" si="18"/>
        <v>0</v>
      </c>
      <c r="J592">
        <f t="shared" si="19"/>
        <v>1</v>
      </c>
    </row>
    <row r="593" spans="9:10">
      <c r="I593">
        <f t="shared" si="18"/>
        <v>0</v>
      </c>
      <c r="J593">
        <f t="shared" si="19"/>
        <v>1</v>
      </c>
    </row>
    <row r="594" spans="9:10">
      <c r="I594">
        <f t="shared" si="18"/>
        <v>0</v>
      </c>
      <c r="J594">
        <f t="shared" si="19"/>
        <v>1</v>
      </c>
    </row>
    <row r="595" spans="9:10">
      <c r="I595">
        <f t="shared" si="18"/>
        <v>0</v>
      </c>
      <c r="J595">
        <f t="shared" si="19"/>
        <v>1</v>
      </c>
    </row>
    <row r="596" spans="9:10">
      <c r="I596">
        <f t="shared" si="18"/>
        <v>0</v>
      </c>
      <c r="J596">
        <f t="shared" si="19"/>
        <v>1</v>
      </c>
    </row>
    <row r="597" spans="9:10">
      <c r="I597">
        <f t="shared" si="18"/>
        <v>0</v>
      </c>
      <c r="J597">
        <f t="shared" si="19"/>
        <v>1</v>
      </c>
    </row>
    <row r="598" spans="9:10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>
      <c r="I599">
        <f t="shared" si="20"/>
        <v>0</v>
      </c>
      <c r="J599">
        <f t="shared" si="21"/>
        <v>1</v>
      </c>
    </row>
    <row r="600" spans="9:10">
      <c r="I600">
        <f t="shared" si="20"/>
        <v>0</v>
      </c>
      <c r="J600">
        <f t="shared" si="21"/>
        <v>1</v>
      </c>
    </row>
    <row r="601" spans="9:10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>
      <c r="I602">
        <f t="shared" si="22"/>
        <v>0</v>
      </c>
      <c r="J602">
        <f t="shared" si="23"/>
        <v>1</v>
      </c>
    </row>
    <row r="603" spans="9:10">
      <c r="I603">
        <f t="shared" si="22"/>
        <v>0</v>
      </c>
      <c r="J603">
        <f t="shared" si="23"/>
        <v>1</v>
      </c>
    </row>
    <row r="604" spans="9:10">
      <c r="I604">
        <f t="shared" si="22"/>
        <v>0</v>
      </c>
      <c r="J604">
        <f t="shared" si="23"/>
        <v>1</v>
      </c>
    </row>
    <row r="605" spans="9:10">
      <c r="I605">
        <f t="shared" si="22"/>
        <v>0</v>
      </c>
      <c r="J605">
        <f t="shared" si="23"/>
        <v>1</v>
      </c>
    </row>
    <row r="606" spans="9:10">
      <c r="I606">
        <f t="shared" si="22"/>
        <v>0</v>
      </c>
      <c r="J606">
        <f t="shared" si="23"/>
        <v>1</v>
      </c>
    </row>
    <row r="607" spans="9:10">
      <c r="I607">
        <f t="shared" si="22"/>
        <v>0</v>
      </c>
      <c r="J607">
        <f t="shared" si="23"/>
        <v>1</v>
      </c>
    </row>
    <row r="608" spans="9:10">
      <c r="I608">
        <f t="shared" si="22"/>
        <v>0</v>
      </c>
      <c r="J608">
        <f t="shared" si="23"/>
        <v>1</v>
      </c>
    </row>
    <row r="609" spans="9:10">
      <c r="I609">
        <f t="shared" si="22"/>
        <v>0</v>
      </c>
      <c r="J609">
        <f t="shared" si="23"/>
        <v>1</v>
      </c>
    </row>
    <row r="610" spans="9:10">
      <c r="I610">
        <f t="shared" si="22"/>
        <v>0</v>
      </c>
      <c r="J610">
        <f t="shared" si="23"/>
        <v>1</v>
      </c>
    </row>
    <row r="611" spans="9:10">
      <c r="I611">
        <f t="shared" si="22"/>
        <v>0</v>
      </c>
      <c r="J611">
        <f t="shared" si="23"/>
        <v>1</v>
      </c>
    </row>
    <row r="612" spans="9:10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>
      <c r="I613">
        <f t="shared" si="24"/>
        <v>0</v>
      </c>
      <c r="J613">
        <f t="shared" si="25"/>
        <v>1</v>
      </c>
    </row>
    <row r="614" spans="9:10">
      <c r="I614">
        <f t="shared" si="24"/>
        <v>0</v>
      </c>
      <c r="J614">
        <f t="shared" si="25"/>
        <v>1</v>
      </c>
    </row>
    <row r="615" spans="9:10">
      <c r="I615">
        <f t="shared" si="24"/>
        <v>0</v>
      </c>
      <c r="J615">
        <f t="shared" si="25"/>
        <v>1</v>
      </c>
    </row>
    <row r="616" spans="9:10">
      <c r="I616">
        <f t="shared" si="24"/>
        <v>0</v>
      </c>
      <c r="J616">
        <f t="shared" si="25"/>
        <v>1</v>
      </c>
    </row>
    <row r="617" spans="9:10">
      <c r="I617">
        <f t="shared" si="24"/>
        <v>0</v>
      </c>
      <c r="J617">
        <f t="shared" si="25"/>
        <v>1</v>
      </c>
    </row>
    <row r="618" spans="9:10">
      <c r="I618">
        <f t="shared" si="24"/>
        <v>0</v>
      </c>
      <c r="J618">
        <f t="shared" si="25"/>
        <v>1</v>
      </c>
    </row>
    <row r="619" spans="9:10">
      <c r="I619">
        <f t="shared" si="24"/>
        <v>0</v>
      </c>
      <c r="J619">
        <f t="shared" si="25"/>
        <v>1</v>
      </c>
    </row>
    <row r="620" spans="9:10">
      <c r="I620">
        <f t="shared" si="24"/>
        <v>0</v>
      </c>
      <c r="J620">
        <f t="shared" si="25"/>
        <v>1</v>
      </c>
    </row>
    <row r="621" spans="9:10">
      <c r="I621">
        <f t="shared" si="24"/>
        <v>0</v>
      </c>
      <c r="J621">
        <f t="shared" si="25"/>
        <v>1</v>
      </c>
    </row>
    <row r="622" spans="9:10">
      <c r="I622">
        <f t="shared" si="24"/>
        <v>0</v>
      </c>
      <c r="J622">
        <f t="shared" si="25"/>
        <v>1</v>
      </c>
    </row>
    <row r="623" spans="9:10">
      <c r="I623">
        <f t="shared" si="24"/>
        <v>0</v>
      </c>
      <c r="J623">
        <f t="shared" si="25"/>
        <v>1</v>
      </c>
    </row>
    <row r="624" spans="9:10">
      <c r="I624">
        <f t="shared" si="24"/>
        <v>0</v>
      </c>
      <c r="J624">
        <f t="shared" si="25"/>
        <v>1</v>
      </c>
    </row>
    <row r="625" spans="9:10">
      <c r="I625">
        <f t="shared" si="24"/>
        <v>0</v>
      </c>
      <c r="J625">
        <f t="shared" si="25"/>
        <v>1</v>
      </c>
    </row>
    <row r="626" spans="9:10">
      <c r="I626">
        <f t="shared" si="24"/>
        <v>0</v>
      </c>
      <c r="J626">
        <f t="shared" si="25"/>
        <v>1</v>
      </c>
    </row>
    <row r="627" spans="9:10">
      <c r="I627">
        <f t="shared" si="24"/>
        <v>0</v>
      </c>
      <c r="J627">
        <f t="shared" si="25"/>
        <v>1</v>
      </c>
    </row>
    <row r="628" spans="9:10">
      <c r="I628">
        <f t="shared" si="24"/>
        <v>0</v>
      </c>
      <c r="J628">
        <f t="shared" si="25"/>
        <v>1</v>
      </c>
    </row>
    <row r="629" spans="9:10">
      <c r="I629">
        <f t="shared" si="24"/>
        <v>0</v>
      </c>
      <c r="J629">
        <f t="shared" si="25"/>
        <v>1</v>
      </c>
    </row>
    <row r="630" spans="9:10">
      <c r="I630">
        <f t="shared" si="24"/>
        <v>0</v>
      </c>
      <c r="J630">
        <f t="shared" si="25"/>
        <v>1</v>
      </c>
    </row>
    <row r="631" spans="9:10">
      <c r="I631">
        <f t="shared" si="24"/>
        <v>0</v>
      </c>
      <c r="J631">
        <f t="shared" si="25"/>
        <v>1</v>
      </c>
    </row>
    <row r="632" spans="9:10">
      <c r="I632">
        <f t="shared" si="24"/>
        <v>0</v>
      </c>
      <c r="J632">
        <f t="shared" si="25"/>
        <v>1</v>
      </c>
    </row>
    <row r="633" spans="9:10">
      <c r="I633">
        <f t="shared" si="24"/>
        <v>0</v>
      </c>
      <c r="J633">
        <f t="shared" si="25"/>
        <v>1</v>
      </c>
    </row>
    <row r="634" spans="9:10">
      <c r="I634">
        <f t="shared" si="24"/>
        <v>0</v>
      </c>
      <c r="J634">
        <f t="shared" si="25"/>
        <v>1</v>
      </c>
    </row>
    <row r="635" spans="9:10">
      <c r="I635">
        <f t="shared" si="24"/>
        <v>0</v>
      </c>
      <c r="J635">
        <f t="shared" si="25"/>
        <v>1</v>
      </c>
    </row>
    <row r="636" spans="9:10">
      <c r="I636">
        <f t="shared" si="24"/>
        <v>0</v>
      </c>
      <c r="J636">
        <f t="shared" si="25"/>
        <v>1</v>
      </c>
    </row>
    <row r="637" spans="9:10">
      <c r="I637">
        <f t="shared" si="24"/>
        <v>0</v>
      </c>
      <c r="J637">
        <f t="shared" si="25"/>
        <v>1</v>
      </c>
    </row>
    <row r="638" spans="9:10">
      <c r="I638">
        <f t="shared" si="24"/>
        <v>0</v>
      </c>
      <c r="J638">
        <f t="shared" si="25"/>
        <v>1</v>
      </c>
    </row>
    <row r="639" spans="9:10">
      <c r="I639">
        <f t="shared" si="24"/>
        <v>0</v>
      </c>
      <c r="J639">
        <f t="shared" si="25"/>
        <v>1</v>
      </c>
    </row>
    <row r="640" spans="9:10">
      <c r="I640">
        <f t="shared" si="24"/>
        <v>0</v>
      </c>
      <c r="J640">
        <f t="shared" si="25"/>
        <v>1</v>
      </c>
    </row>
    <row r="641" spans="9:10">
      <c r="I641">
        <f t="shared" si="24"/>
        <v>0</v>
      </c>
      <c r="J641">
        <f t="shared" si="25"/>
        <v>1</v>
      </c>
    </row>
    <row r="642" spans="9:10">
      <c r="I642">
        <f t="shared" si="24"/>
        <v>0</v>
      </c>
      <c r="J642">
        <f t="shared" si="25"/>
        <v>1</v>
      </c>
    </row>
    <row r="643" spans="9:10">
      <c r="I643">
        <f t="shared" si="24"/>
        <v>0</v>
      </c>
      <c r="J643">
        <f t="shared" si="25"/>
        <v>1</v>
      </c>
    </row>
    <row r="644" spans="9:10">
      <c r="I644">
        <f t="shared" si="24"/>
        <v>0</v>
      </c>
      <c r="J644">
        <f t="shared" si="25"/>
        <v>1</v>
      </c>
    </row>
    <row r="645" spans="9:10">
      <c r="I645">
        <f t="shared" si="24"/>
        <v>0</v>
      </c>
      <c r="J645">
        <f t="shared" si="25"/>
        <v>1</v>
      </c>
    </row>
    <row r="646" spans="9:10">
      <c r="I646">
        <f t="shared" si="24"/>
        <v>0</v>
      </c>
      <c r="J646">
        <f t="shared" si="25"/>
        <v>1</v>
      </c>
    </row>
    <row r="647" spans="9:10">
      <c r="I647">
        <f t="shared" si="24"/>
        <v>0</v>
      </c>
      <c r="J647">
        <f t="shared" si="25"/>
        <v>1</v>
      </c>
    </row>
    <row r="648" spans="9:10">
      <c r="I648">
        <f t="shared" si="24"/>
        <v>0</v>
      </c>
      <c r="J648">
        <f t="shared" si="25"/>
        <v>1</v>
      </c>
    </row>
    <row r="649" spans="9:10">
      <c r="I649">
        <f t="shared" si="24"/>
        <v>0</v>
      </c>
      <c r="J649">
        <f t="shared" si="25"/>
        <v>1</v>
      </c>
    </row>
    <row r="650" spans="9:10">
      <c r="I650">
        <f t="shared" si="24"/>
        <v>0</v>
      </c>
      <c r="J650">
        <f t="shared" si="25"/>
        <v>1</v>
      </c>
    </row>
    <row r="651" spans="9:10">
      <c r="I651">
        <f t="shared" si="24"/>
        <v>0</v>
      </c>
      <c r="J651">
        <f t="shared" si="25"/>
        <v>1</v>
      </c>
    </row>
    <row r="652" spans="9:10">
      <c r="I652">
        <f t="shared" si="24"/>
        <v>0</v>
      </c>
      <c r="J652">
        <f t="shared" si="25"/>
        <v>1</v>
      </c>
    </row>
    <row r="653" spans="9:10">
      <c r="I653">
        <f t="shared" si="24"/>
        <v>0</v>
      </c>
      <c r="J653">
        <f t="shared" si="25"/>
        <v>1</v>
      </c>
    </row>
    <row r="654" spans="9:10">
      <c r="I654">
        <f t="shared" si="24"/>
        <v>0</v>
      </c>
      <c r="J654">
        <f t="shared" si="25"/>
        <v>1</v>
      </c>
    </row>
    <row r="655" spans="9:10">
      <c r="I655">
        <f t="shared" si="24"/>
        <v>0</v>
      </c>
      <c r="J655">
        <f t="shared" si="25"/>
        <v>1</v>
      </c>
    </row>
    <row r="656" spans="9:10">
      <c r="I656">
        <f t="shared" si="24"/>
        <v>0</v>
      </c>
      <c r="J656">
        <f t="shared" si="25"/>
        <v>1</v>
      </c>
    </row>
    <row r="657" spans="9:10">
      <c r="I657">
        <f t="shared" si="24"/>
        <v>0</v>
      </c>
      <c r="J657">
        <f t="shared" si="25"/>
        <v>1</v>
      </c>
    </row>
    <row r="658" spans="9:10">
      <c r="I658">
        <f t="shared" si="24"/>
        <v>0</v>
      </c>
      <c r="J658">
        <f t="shared" si="25"/>
        <v>1</v>
      </c>
    </row>
    <row r="659" spans="9:10">
      <c r="I659">
        <f t="shared" si="24"/>
        <v>0</v>
      </c>
      <c r="J659">
        <f t="shared" si="25"/>
        <v>1</v>
      </c>
    </row>
    <row r="660" spans="9:10">
      <c r="I660">
        <f t="shared" si="24"/>
        <v>0</v>
      </c>
      <c r="J660">
        <f t="shared" si="25"/>
        <v>1</v>
      </c>
    </row>
    <row r="661" spans="9:10">
      <c r="I661">
        <f t="shared" si="24"/>
        <v>0</v>
      </c>
      <c r="J661">
        <f t="shared" si="25"/>
        <v>1</v>
      </c>
    </row>
    <row r="662" spans="9:10">
      <c r="I662">
        <f t="shared" si="24"/>
        <v>0</v>
      </c>
      <c r="J662">
        <f t="shared" si="25"/>
        <v>1</v>
      </c>
    </row>
    <row r="663" spans="9:10">
      <c r="I663">
        <f t="shared" si="24"/>
        <v>0</v>
      </c>
      <c r="J663">
        <f t="shared" si="25"/>
        <v>1</v>
      </c>
    </row>
    <row r="664" spans="9:10">
      <c r="I664">
        <f t="shared" si="24"/>
        <v>0</v>
      </c>
      <c r="J664">
        <f t="shared" si="25"/>
        <v>1</v>
      </c>
    </row>
    <row r="665" spans="9:10">
      <c r="I665">
        <f t="shared" si="24"/>
        <v>0</v>
      </c>
      <c r="J665">
        <f t="shared" si="25"/>
        <v>1</v>
      </c>
    </row>
    <row r="666" spans="9:10">
      <c r="I666">
        <f t="shared" si="24"/>
        <v>0</v>
      </c>
      <c r="J666">
        <f t="shared" si="25"/>
        <v>1</v>
      </c>
    </row>
    <row r="667" spans="9:10">
      <c r="I667">
        <f t="shared" si="24"/>
        <v>0</v>
      </c>
      <c r="J667">
        <f t="shared" si="25"/>
        <v>1</v>
      </c>
    </row>
    <row r="668" spans="9:10">
      <c r="I668">
        <f t="shared" si="24"/>
        <v>0</v>
      </c>
      <c r="J668">
        <f t="shared" si="25"/>
        <v>1</v>
      </c>
    </row>
    <row r="669" spans="9:10">
      <c r="I669">
        <f t="shared" si="24"/>
        <v>0</v>
      </c>
      <c r="J669">
        <f t="shared" si="25"/>
        <v>1</v>
      </c>
    </row>
    <row r="670" spans="9:10">
      <c r="I670">
        <f t="shared" si="24"/>
        <v>0</v>
      </c>
      <c r="J670">
        <f t="shared" si="25"/>
        <v>1</v>
      </c>
    </row>
    <row r="671" spans="9:10">
      <c r="I671">
        <f t="shared" si="24"/>
        <v>0</v>
      </c>
      <c r="J671">
        <f t="shared" si="25"/>
        <v>1</v>
      </c>
    </row>
    <row r="672" spans="9:10">
      <c r="I672">
        <f t="shared" si="24"/>
        <v>0</v>
      </c>
      <c r="J672">
        <f t="shared" si="25"/>
        <v>1</v>
      </c>
    </row>
    <row r="673" spans="9:10">
      <c r="I673">
        <f t="shared" si="24"/>
        <v>0</v>
      </c>
      <c r="J673">
        <f t="shared" si="25"/>
        <v>1</v>
      </c>
    </row>
    <row r="674" spans="9:10">
      <c r="I674">
        <f t="shared" si="24"/>
        <v>0</v>
      </c>
      <c r="J674">
        <f t="shared" si="25"/>
        <v>1</v>
      </c>
    </row>
    <row r="675" spans="9:10">
      <c r="I675">
        <f t="shared" si="24"/>
        <v>0</v>
      </c>
      <c r="J675">
        <f t="shared" si="25"/>
        <v>1</v>
      </c>
    </row>
    <row r="676" spans="9:10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>
      <c r="I677">
        <f t="shared" si="26"/>
        <v>0</v>
      </c>
      <c r="J677">
        <f t="shared" si="27"/>
        <v>1</v>
      </c>
    </row>
    <row r="678" spans="9:10">
      <c r="I678">
        <f t="shared" si="26"/>
        <v>0</v>
      </c>
      <c r="J678">
        <f t="shared" si="27"/>
        <v>1</v>
      </c>
    </row>
    <row r="679" spans="9:10">
      <c r="I679">
        <f t="shared" si="26"/>
        <v>0</v>
      </c>
      <c r="J679">
        <f t="shared" si="27"/>
        <v>1</v>
      </c>
    </row>
    <row r="680" spans="9:10">
      <c r="I680">
        <f t="shared" si="26"/>
        <v>0</v>
      </c>
      <c r="J680">
        <f t="shared" si="27"/>
        <v>1</v>
      </c>
    </row>
    <row r="681" spans="9:10">
      <c r="I681">
        <f t="shared" si="26"/>
        <v>0</v>
      </c>
      <c r="J681">
        <f t="shared" si="27"/>
        <v>1</v>
      </c>
    </row>
    <row r="682" spans="9:10">
      <c r="I682">
        <f t="shared" si="26"/>
        <v>0</v>
      </c>
      <c r="J682">
        <f t="shared" si="27"/>
        <v>1</v>
      </c>
    </row>
    <row r="683" spans="9:10">
      <c r="I683">
        <f t="shared" si="26"/>
        <v>0</v>
      </c>
      <c r="J683">
        <f t="shared" si="27"/>
        <v>1</v>
      </c>
    </row>
    <row r="684" spans="9:10">
      <c r="I684">
        <f t="shared" si="26"/>
        <v>0</v>
      </c>
      <c r="J684">
        <f t="shared" si="27"/>
        <v>1</v>
      </c>
    </row>
    <row r="685" spans="9:10">
      <c r="I685">
        <f t="shared" si="26"/>
        <v>0</v>
      </c>
      <c r="J685">
        <f t="shared" si="27"/>
        <v>1</v>
      </c>
    </row>
    <row r="686" spans="9:10">
      <c r="I686">
        <f t="shared" si="26"/>
        <v>0</v>
      </c>
      <c r="J686">
        <f t="shared" si="27"/>
        <v>1</v>
      </c>
    </row>
    <row r="687" spans="9:10">
      <c r="I687">
        <f t="shared" si="26"/>
        <v>0</v>
      </c>
      <c r="J687">
        <f t="shared" si="27"/>
        <v>1</v>
      </c>
    </row>
    <row r="688" spans="9:10">
      <c r="I688">
        <f t="shared" si="26"/>
        <v>0</v>
      </c>
      <c r="J688">
        <f t="shared" si="27"/>
        <v>1</v>
      </c>
    </row>
    <row r="689" spans="9:10">
      <c r="I689">
        <f t="shared" si="26"/>
        <v>0</v>
      </c>
      <c r="J689">
        <f t="shared" si="27"/>
        <v>1</v>
      </c>
    </row>
    <row r="690" spans="9:10">
      <c r="I690">
        <f t="shared" si="26"/>
        <v>0</v>
      </c>
      <c r="J690">
        <f t="shared" si="27"/>
        <v>1</v>
      </c>
    </row>
    <row r="691" spans="9:10">
      <c r="I691">
        <f t="shared" si="26"/>
        <v>0</v>
      </c>
      <c r="J691">
        <f t="shared" si="27"/>
        <v>1</v>
      </c>
    </row>
    <row r="692" spans="9:10">
      <c r="I692">
        <f t="shared" si="26"/>
        <v>0</v>
      </c>
      <c r="J692">
        <f t="shared" si="27"/>
        <v>1</v>
      </c>
    </row>
    <row r="693" spans="9:10">
      <c r="I693">
        <f t="shared" si="26"/>
        <v>0</v>
      </c>
      <c r="J693">
        <f t="shared" si="27"/>
        <v>1</v>
      </c>
    </row>
    <row r="694" spans="9:10">
      <c r="I694">
        <f t="shared" si="26"/>
        <v>0</v>
      </c>
      <c r="J694">
        <f t="shared" si="27"/>
        <v>1</v>
      </c>
    </row>
    <row r="695" spans="9:10">
      <c r="I695">
        <f t="shared" si="26"/>
        <v>0</v>
      </c>
      <c r="J695">
        <f t="shared" si="27"/>
        <v>1</v>
      </c>
    </row>
    <row r="696" spans="9:10">
      <c r="I696">
        <f t="shared" si="26"/>
        <v>0</v>
      </c>
      <c r="J696">
        <f t="shared" si="27"/>
        <v>1</v>
      </c>
    </row>
    <row r="697" spans="9:10">
      <c r="I697">
        <f t="shared" si="26"/>
        <v>0</v>
      </c>
      <c r="J697">
        <f t="shared" si="27"/>
        <v>1</v>
      </c>
    </row>
    <row r="698" spans="9:10">
      <c r="I698">
        <f t="shared" si="26"/>
        <v>0</v>
      </c>
      <c r="J698">
        <f t="shared" si="27"/>
        <v>1</v>
      </c>
    </row>
    <row r="699" spans="9:10">
      <c r="I699">
        <f t="shared" si="26"/>
        <v>0</v>
      </c>
      <c r="J699">
        <f t="shared" si="27"/>
        <v>1</v>
      </c>
    </row>
    <row r="700" spans="9:10">
      <c r="I700">
        <f t="shared" si="26"/>
        <v>0</v>
      </c>
      <c r="J700">
        <f t="shared" si="27"/>
        <v>1</v>
      </c>
    </row>
    <row r="701" spans="9:10">
      <c r="I701">
        <f t="shared" si="26"/>
        <v>0</v>
      </c>
      <c r="J701">
        <f t="shared" si="27"/>
        <v>1</v>
      </c>
    </row>
    <row r="702" spans="9:10">
      <c r="I702">
        <f t="shared" si="26"/>
        <v>0</v>
      </c>
      <c r="J702">
        <f t="shared" si="27"/>
        <v>1</v>
      </c>
    </row>
    <row r="703" spans="9:10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</vt:i4>
      </vt:variant>
    </vt:vector>
  </HeadingPairs>
  <TitlesOfParts>
    <vt:vector size="29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Sheet3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 Møller Sørensen</cp:lastModifiedBy>
  <dcterms:created xsi:type="dcterms:W3CDTF">2020-03-07T10:01:41Z</dcterms:created>
  <dcterms:modified xsi:type="dcterms:W3CDTF">2021-06-08T21:24:11Z</dcterms:modified>
</cp:coreProperties>
</file>